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worksheets/sheet58.xml" ContentType="application/vnd.openxmlformats-officedocument.spreadsheetml.worksheet+xml"/>
  <Override PartName="/xl/worksheets/sheet59.xml" ContentType="application/vnd.openxmlformats-officedocument.spreadsheetml.worksheet+xml"/>
  <Override PartName="/xl/worksheets/sheet60.xml" ContentType="application/vnd.openxmlformats-officedocument.spreadsheetml.worksheet+xml"/>
  <Override PartName="/xl/worksheets/sheet61.xml" ContentType="application/vnd.openxmlformats-officedocument.spreadsheetml.worksheet+xml"/>
  <Override PartName="/xl/worksheets/sheet62.xml" ContentType="application/vnd.openxmlformats-officedocument.spreadsheetml.worksheet+xml"/>
  <Override PartName="/xl/worksheets/sheet63.xml" ContentType="application/vnd.openxmlformats-officedocument.spreadsheetml.worksheet+xml"/>
  <Override PartName="/xl/worksheets/sheet64.xml" ContentType="application/vnd.openxmlformats-officedocument.spreadsheetml.worksheet+xml"/>
  <Override PartName="/xl/worksheets/sheet65.xml" ContentType="application/vnd.openxmlformats-officedocument.spreadsheetml.worksheet+xml"/>
  <Override PartName="/xl/worksheets/sheet66.xml" ContentType="application/vnd.openxmlformats-officedocument.spreadsheetml.worksheet+xml"/>
  <Override PartName="/xl/worksheets/sheet67.xml" ContentType="application/vnd.openxmlformats-officedocument.spreadsheetml.worksheet+xml"/>
  <Override PartName="/xl/worksheets/sheet68.xml" ContentType="application/vnd.openxmlformats-officedocument.spreadsheetml.worksheet+xml"/>
  <Override PartName="/xl/worksheets/sheet69.xml" ContentType="application/vnd.openxmlformats-officedocument.spreadsheetml.worksheet+xml"/>
  <Override PartName="/xl/worksheets/sheet70.xml" ContentType="application/vnd.openxmlformats-officedocument.spreadsheetml.worksheet+xml"/>
  <Override PartName="/xl/worksheets/sheet71.xml" ContentType="application/vnd.openxmlformats-officedocument.spreadsheetml.worksheet+xml"/>
  <Override PartName="/xl/worksheets/sheet72.xml" ContentType="application/vnd.openxmlformats-officedocument.spreadsheetml.worksheet+xml"/>
  <Override PartName="/xl/worksheets/sheet73.xml" ContentType="application/vnd.openxmlformats-officedocument.spreadsheetml.worksheet+xml"/>
  <Override PartName="/xl/worksheets/sheet74.xml" ContentType="application/vnd.openxmlformats-officedocument.spreadsheetml.worksheet+xml"/>
  <Override PartName="/xl/worksheets/sheet75.xml" ContentType="application/vnd.openxmlformats-officedocument.spreadsheetml.worksheet+xml"/>
  <Override PartName="/xl/worksheets/sheet76.xml" ContentType="application/vnd.openxmlformats-officedocument.spreadsheetml.worksheet+xml"/>
  <Override PartName="/xl/worksheets/sheet77.xml" ContentType="application/vnd.openxmlformats-officedocument.spreadsheetml.worksheet+xml"/>
  <Override PartName="/xl/worksheets/sheet78.xml" ContentType="application/vnd.openxmlformats-officedocument.spreadsheetml.worksheet+xml"/>
  <Override PartName="/xl/worksheets/sheet79.xml" ContentType="application/vnd.openxmlformats-officedocument.spreadsheetml.worksheet+xml"/>
  <Override PartName="/xl/worksheets/sheet80.xml" ContentType="application/vnd.openxmlformats-officedocument.spreadsheetml.worksheet+xml"/>
  <Override PartName="/xl/worksheets/sheet81.xml" ContentType="application/vnd.openxmlformats-officedocument.spreadsheetml.worksheet+xml"/>
  <Override PartName="/xl/worksheets/sheet82.xml" ContentType="application/vnd.openxmlformats-officedocument.spreadsheetml.worksheet+xml"/>
  <Override PartName="/xl/worksheets/sheet83.xml" ContentType="application/vnd.openxmlformats-officedocument.spreadsheetml.worksheet+xml"/>
  <Override PartName="/xl/worksheets/sheet84.xml" ContentType="application/vnd.openxmlformats-officedocument.spreadsheetml.worksheet+xml"/>
  <Override PartName="/xl/worksheets/sheet85.xml" ContentType="application/vnd.openxmlformats-officedocument.spreadsheetml.worksheet+xml"/>
  <Override PartName="/xl/worksheets/sheet86.xml" ContentType="application/vnd.openxmlformats-officedocument.spreadsheetml.worksheet+xml"/>
  <Override PartName="/xl/worksheets/sheet87.xml" ContentType="application/vnd.openxmlformats-officedocument.spreadsheetml.worksheet+xml"/>
  <Override PartName="/xl/worksheets/sheet88.xml" ContentType="application/vnd.openxmlformats-officedocument.spreadsheetml.worksheet+xml"/>
  <Override PartName="/xl/worksheets/sheet89.xml" ContentType="application/vnd.openxmlformats-officedocument.spreadsheetml.worksheet+xml"/>
  <Override PartName="/xl/worksheets/sheet90.xml" ContentType="application/vnd.openxmlformats-officedocument.spreadsheetml.worksheet+xml"/>
  <Override PartName="/xl/worksheets/sheet91.xml" ContentType="application/vnd.openxmlformats-officedocument.spreadsheetml.worksheet+xml"/>
  <Override PartName="/xl/worksheets/sheet92.xml" ContentType="application/vnd.openxmlformats-officedocument.spreadsheetml.worksheet+xml"/>
  <Override PartName="/xl/worksheets/sheet93.xml" ContentType="application/vnd.openxmlformats-officedocument.spreadsheetml.worksheet+xml"/>
  <Override PartName="/xl/worksheets/sheet94.xml" ContentType="application/vnd.openxmlformats-officedocument.spreadsheetml.worksheet+xml"/>
  <Override PartName="/xl/worksheets/sheet95.xml" ContentType="application/vnd.openxmlformats-officedocument.spreadsheetml.worksheet+xml"/>
  <Override PartName="/xl/worksheets/sheet96.xml" ContentType="application/vnd.openxmlformats-officedocument.spreadsheetml.worksheet+xml"/>
  <Override PartName="/xl/worksheets/sheet97.xml" ContentType="application/vnd.openxmlformats-officedocument.spreadsheetml.worksheet+xml"/>
  <Override PartName="/xl/worksheets/sheet98.xml" ContentType="application/vnd.openxmlformats-officedocument.spreadsheetml.worksheet+xml"/>
  <Override PartName="/xl/worksheets/sheet99.xml" ContentType="application/vnd.openxmlformats-officedocument.spreadsheetml.worksheet+xml"/>
  <Override PartName="/xl/worksheets/sheet100.xml" ContentType="application/vnd.openxmlformats-officedocument.spreadsheetml.worksheet+xml"/>
  <Override PartName="/xl/worksheets/sheet101.xml" ContentType="application/vnd.openxmlformats-officedocument.spreadsheetml.worksheet+xml"/>
  <Override PartName="/xl/worksheets/sheet102.xml" ContentType="application/vnd.openxmlformats-officedocument.spreadsheetml.worksheet+xml"/>
  <Override PartName="/xl/worksheets/sheet103.xml" ContentType="application/vnd.openxmlformats-officedocument.spreadsheetml.worksheet+xml"/>
  <Override PartName="/xl/worksheets/sheet104.xml" ContentType="application/vnd.openxmlformats-officedocument.spreadsheetml.worksheet+xml"/>
  <Override PartName="/xl/worksheets/sheet105.xml" ContentType="application/vnd.openxmlformats-officedocument.spreadsheetml.worksheet+xml"/>
  <Override PartName="/xl/worksheets/sheet106.xml" ContentType="application/vnd.openxmlformats-officedocument.spreadsheetml.worksheet+xml"/>
  <Override PartName="/xl/worksheets/sheet107.xml" ContentType="application/vnd.openxmlformats-officedocument.spreadsheetml.worksheet+xml"/>
  <Override PartName="/xl/worksheets/sheet108.xml" ContentType="application/vnd.openxmlformats-officedocument.spreadsheetml.worksheet+xml"/>
  <Override PartName="/xl/worksheets/sheet109.xml" ContentType="application/vnd.openxmlformats-officedocument.spreadsheetml.worksheet+xml"/>
  <Override PartName="/xl/worksheets/sheet110.xml" ContentType="application/vnd.openxmlformats-officedocument.spreadsheetml.worksheet+xml"/>
  <Override PartName="/xl/worksheets/sheet111.xml" ContentType="application/vnd.openxmlformats-officedocument.spreadsheetml.worksheet+xml"/>
  <Override PartName="/xl/worksheets/sheet112.xml" ContentType="application/vnd.openxmlformats-officedocument.spreadsheetml.worksheet+xml"/>
  <Override PartName="/xl/worksheets/sheet113.xml" ContentType="application/vnd.openxmlformats-officedocument.spreadsheetml.worksheet+xml"/>
  <Override PartName="/xl/worksheets/sheet114.xml" ContentType="application/vnd.openxmlformats-officedocument.spreadsheetml.worksheet+xml"/>
  <Override PartName="/xl/worksheets/sheet115.xml" ContentType="application/vnd.openxmlformats-officedocument.spreadsheetml.worksheet+xml"/>
  <Override PartName="/xl/worksheets/sheet116.xml" ContentType="application/vnd.openxmlformats-officedocument.spreadsheetml.worksheet+xml"/>
  <Override PartName="/xl/worksheets/sheet117.xml" ContentType="application/vnd.openxmlformats-officedocument.spreadsheetml.worksheet+xml"/>
  <Override PartName="/xl/worksheets/sheet118.xml" ContentType="application/vnd.openxmlformats-officedocument.spreadsheetml.worksheet+xml"/>
  <Override PartName="/xl/worksheets/sheet119.xml" ContentType="application/vnd.openxmlformats-officedocument.spreadsheetml.worksheet+xml"/>
  <Override PartName="/xl/worksheets/sheet120.xml" ContentType="application/vnd.openxmlformats-officedocument.spreadsheetml.worksheet+xml"/>
  <Override PartName="/xl/worksheets/sheet121.xml" ContentType="application/vnd.openxmlformats-officedocument.spreadsheetml.worksheet+xml"/>
  <Override PartName="/xl/worksheets/sheet122.xml" ContentType="application/vnd.openxmlformats-officedocument.spreadsheetml.worksheet+xml"/>
  <Override PartName="/xl/worksheets/sheet123.xml" ContentType="application/vnd.openxmlformats-officedocument.spreadsheetml.worksheet+xml"/>
  <Override PartName="/xl/worksheets/sheet124.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externalLinks/externalLink10.xml" ContentType="application/vnd.openxmlformats-officedocument.spreadsheetml.externalLink+xml"/>
  <Override PartName="/xl/externalLinks/externalLink11.xml" ContentType="application/vnd.openxmlformats-officedocument.spreadsheetml.externalLink+xml"/>
  <Override PartName="/xl/externalLinks/externalLink12.xml" ContentType="application/vnd.openxmlformats-officedocument.spreadsheetml.externalLink+xml"/>
  <Override PartName="/xl/externalLinks/externalLink13.xml" ContentType="application/vnd.openxmlformats-officedocument.spreadsheetml.externalLink+xml"/>
  <Override PartName="/xl/externalLinks/externalLink14.xml" ContentType="application/vnd.openxmlformats-officedocument.spreadsheetml.externalLink+xml"/>
  <Override PartName="/xl/externalLinks/externalLink15.xml" ContentType="application/vnd.openxmlformats-officedocument.spreadsheetml.externalLink+xml"/>
  <Override PartName="/xl/externalLinks/externalLink16.xml" ContentType="application/vnd.openxmlformats-officedocument.spreadsheetml.externalLink+xml"/>
  <Override PartName="/xl/externalLinks/externalLink17.xml" ContentType="application/vnd.openxmlformats-officedocument.spreadsheetml.externalLink+xml"/>
  <Override PartName="/xl/externalLinks/externalLink18.xml" ContentType="application/vnd.openxmlformats-officedocument.spreadsheetml.externalLink+xml"/>
  <Override PartName="/xl/externalLinks/externalLink19.xml" ContentType="application/vnd.openxmlformats-officedocument.spreadsheetml.externalLink+xml"/>
  <Override PartName="/xl/externalLinks/externalLink20.xml" ContentType="application/vnd.openxmlformats-officedocument.spreadsheetml.externalLink+xml"/>
  <Override PartName="/xl/externalLinks/externalLink21.xml" ContentType="application/vnd.openxmlformats-officedocument.spreadsheetml.externalLink+xml"/>
  <Override PartName="/xl/externalLinks/externalLink22.xml" ContentType="application/vnd.openxmlformats-officedocument.spreadsheetml.externalLink+xml"/>
  <Override PartName="/xl/externalLinks/externalLink23.xml" ContentType="application/vnd.openxmlformats-officedocument.spreadsheetml.externalLink+xml"/>
  <Override PartName="/xl/externalLinks/externalLink24.xml" ContentType="application/vnd.openxmlformats-officedocument.spreadsheetml.externalLink+xml"/>
  <Override PartName="/xl/externalLinks/externalLink25.xml" ContentType="application/vnd.openxmlformats-officedocument.spreadsheetml.externalLink+xml"/>
  <Override PartName="/xl/externalLinks/externalLink26.xml" ContentType="application/vnd.openxmlformats-officedocument.spreadsheetml.externalLink+xml"/>
  <Override PartName="/xl/externalLinks/externalLink27.xml" ContentType="application/vnd.openxmlformats-officedocument.spreadsheetml.externalLink+xml"/>
  <Override PartName="/xl/externalLinks/externalLink28.xml" ContentType="application/vnd.openxmlformats-officedocument.spreadsheetml.externalLink+xml"/>
  <Override PartName="/xl/externalLinks/externalLink29.xml" ContentType="application/vnd.openxmlformats-officedocument.spreadsheetml.externalLink+xml"/>
  <Override PartName="/xl/externalLinks/externalLink30.xml" ContentType="application/vnd.openxmlformats-officedocument.spreadsheetml.externalLink+xml"/>
  <Override PartName="/xl/externalLinks/externalLink31.xml" ContentType="application/vnd.openxmlformats-officedocument.spreadsheetml.externalLink+xml"/>
  <Override PartName="/xl/externalLinks/externalLink32.xml" ContentType="application/vnd.openxmlformats-officedocument.spreadsheetml.externalLink+xml"/>
  <Override PartName="/xl/externalLinks/externalLink33.xml" ContentType="application/vnd.openxmlformats-officedocument.spreadsheetml.externalLink+xml"/>
  <Override PartName="/xl/externalLinks/externalLink34.xml" ContentType="application/vnd.openxmlformats-officedocument.spreadsheetml.externalLink+xml"/>
  <Override PartName="/xl/externalLinks/externalLink35.xml" ContentType="application/vnd.openxmlformats-officedocument.spreadsheetml.externalLink+xml"/>
  <Override PartName="/xl/externalLinks/externalLink36.xml" ContentType="application/vnd.openxmlformats-officedocument.spreadsheetml.externalLink+xml"/>
  <Override PartName="/xl/externalLinks/externalLink37.xml" ContentType="application/vnd.openxmlformats-officedocument.spreadsheetml.externalLink+xml"/>
  <Override PartName="/xl/externalLinks/externalLink38.xml" ContentType="application/vnd.openxmlformats-officedocument.spreadsheetml.externalLink+xml"/>
  <Override PartName="/xl/externalLinks/externalLink39.xml" ContentType="application/vnd.openxmlformats-officedocument.spreadsheetml.externalLink+xml"/>
  <Override PartName="/xl/externalLinks/externalLink40.xml" ContentType="application/vnd.openxmlformats-officedocument.spreadsheetml.externalLink+xml"/>
  <Override PartName="/xl/externalLinks/externalLink41.xml" ContentType="application/vnd.openxmlformats-officedocument.spreadsheetml.externalLink+xml"/>
  <Override PartName="/xl/externalLinks/externalLink42.xml" ContentType="application/vnd.openxmlformats-officedocument.spreadsheetml.externalLink+xml"/>
  <Override PartName="/xl/externalLinks/externalLink43.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omments1.xml" ContentType="application/vnd.openxmlformats-officedocument.spreadsheetml.comments+xml"/>
  <Override PartName="/xl/charts/chart1.xml" ContentType="application/vnd.openxmlformats-officedocument.drawingml.chart+xml"/>
  <Override PartName="/xl/drawings/drawing2.xml" ContentType="application/vnd.openxmlformats-officedocument.drawing+xml"/>
  <Override PartName="/xl/charts/chart2.xml" ContentType="application/vnd.openxmlformats-officedocument.drawingml.chart+xml"/>
  <Override PartName="/xl/charts/chart3.xml" ContentType="application/vnd.openxmlformats-officedocument.drawingml.chart+xml"/>
  <Override PartName="/xl/comments2.xml" ContentType="application/vnd.openxmlformats-officedocument.spreadsheetml.comments+xml"/>
  <Override PartName="/xl/drawings/drawing3.xml" ContentType="application/vnd.openxmlformats-officedocument.drawing+xml"/>
  <Override PartName="/xl/comments3.xml" ContentType="application/vnd.openxmlformats-officedocument.spreadsheetml.comments+xml"/>
  <Override PartName="/xl/charts/chart4.xml" ContentType="application/vnd.openxmlformats-officedocument.drawingml.chart+xml"/>
  <Override PartName="/xl/charts/chart5.xml" ContentType="application/vnd.openxmlformats-officedocument.drawingml.chart+xml"/>
  <Override PartName="/xl/comments4.xml" ContentType="application/vnd.openxmlformats-officedocument.spreadsheetml.comments+xml"/>
  <Override PartName="/xl/drawings/drawing4.xml" ContentType="application/vnd.openxmlformats-officedocument.drawing+xml"/>
  <Override PartName="/xl/drawings/drawing5.xml" ContentType="application/vnd.openxmlformats-officedocument.drawing+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4" rupBuild="26827"/>
  <workbookPr filterPrivacy="1" codeName="ЭтаКнига" defaultThemeVersion="124226"/>
  <xr:revisionPtr revIDLastSave="0" documentId="13_ncr:1_{F2DB8D46-7CE0-41C4-9812-7566518BE3AE}" xr6:coauthVersionLast="47" xr6:coauthVersionMax="47" xr10:uidLastSave="{00000000-0000-0000-0000-000000000000}"/>
  <bookViews>
    <workbookView xWindow="-28920" yWindow="-7110" windowWidth="29040" windowHeight="15720" tabRatio="850" firstSheet="1" activeTab="2" xr2:uid="{00000000-000D-0000-FFFF-FFFF00000000}"/>
  </bookViews>
  <sheets>
    <sheet name="Тарифи-зведен" sheetId="189" state="hidden" r:id="rId1"/>
    <sheet name="D1_2023-2024" sheetId="165" r:id="rId2"/>
    <sheet name="D2_2023-2024" sheetId="166" r:id="rId3"/>
    <sheet name="D3_2023-2024" sheetId="167" r:id="rId4"/>
    <sheet name="D4_2023-2024" sheetId="168" r:id="rId5"/>
    <sheet name="D5_2023-2024" sheetId="169" r:id="rId6"/>
    <sheet name="D6_2023-2024" sheetId="170" r:id="rId7"/>
    <sheet name="D7_2023-2024" sheetId="172" r:id="rId8"/>
    <sheet name="Вхідні дані" sheetId="24" state="hidden" r:id="rId9"/>
    <sheet name="Д 1_Заява" sheetId="32" state="hidden" r:id="rId10"/>
    <sheet name="КОНТРОЛЬ 1" sheetId="115" state="hidden" r:id="rId11"/>
    <sheet name="Д 2_Т на В" sheetId="55" state="hidden" r:id="rId12"/>
    <sheet name="Д 3_Т на Т з ЦТП" sheetId="61" state="hidden" r:id="rId13"/>
    <sheet name="Д 3.1_Т на Т без ЦТП" sheetId="92" state="hidden" r:id="rId14"/>
    <sheet name="Д 4_Т на П" sheetId="57" state="hidden" r:id="rId15"/>
    <sheet name="Д 5 Т на ТЕ з ЦТП" sheetId="58" state="hidden" r:id="rId16"/>
    <sheet name="Д 5.1 Т на ТЕ без ЦТП" sheetId="93" state="hidden" r:id="rId17"/>
    <sheet name="КОНТРОЛЬ 3" sheetId="163" state="hidden" r:id="rId18"/>
    <sheet name="Виробництво_1ст" sheetId="84" state="hidden" r:id="rId19"/>
    <sheet name="Транспортування_1ст" sheetId="159" state="hidden" r:id="rId20"/>
    <sheet name="Постачання_1ст" sheetId="83" state="hidden" r:id="rId21"/>
    <sheet name="ЗВВ_1ст" sheetId="78" state="hidden" r:id="rId22"/>
    <sheet name="Адміністративні_1ст" sheetId="66" state="hidden" r:id="rId23"/>
    <sheet name="КОНТРОЛЬ5" sheetId="188" state="hidden" r:id="rId24"/>
    <sheet name="БАЗИ РОЗПОДІЛУ" sheetId="90" state="hidden" r:id="rId25"/>
    <sheet name="ТЕ_2ст_тариф_з ЦТП" sheetId="99" state="hidden" r:id="rId26"/>
    <sheet name="ТЕ_2ст_тариф_без ЦТП" sheetId="105" state="hidden" r:id="rId27"/>
    <sheet name="Виробництво_2ст" sheetId="100" state="hidden" r:id="rId28"/>
    <sheet name="Транспортування_2ст" sheetId="160" state="hidden" r:id="rId29"/>
    <sheet name="Постачання_2ст" sheetId="106" state="hidden" r:id="rId30"/>
    <sheet name="ЗВВ_2ст" sheetId="102" state="hidden" r:id="rId31"/>
    <sheet name="БАЗИ РОЗПОДІЛУ_2ст" sheetId="101" state="hidden" r:id="rId32"/>
    <sheet name="Покриття втрат в мережах" sheetId="129" state="hidden" r:id="rId33"/>
    <sheet name="Д 6_Втрати" sheetId="26" state="hidden" r:id="rId34"/>
    <sheet name="Д 7_РП" sheetId="54" state="hidden" r:id="rId35"/>
    <sheet name="Д 8_Паливо" sheetId="20" state="hidden" r:id="rId36"/>
    <sheet name="Д 9_ЕЕ" sheetId="21" state="hidden" r:id="rId37"/>
    <sheet name="Д 10" sheetId="22" state="hidden" r:id="rId38"/>
    <sheet name="Д 11" sheetId="27" state="hidden" r:id="rId39"/>
    <sheet name="Д12_11" sheetId="97" state="hidden" r:id="rId40"/>
    <sheet name="Д 13_12" sheetId="29" state="hidden" r:id="rId41"/>
    <sheet name="Д 14" sheetId="30" state="hidden" r:id="rId42"/>
    <sheet name="Реєстр_робочий" sheetId="183" state="hidden" r:id="rId43"/>
    <sheet name="Д 15_13_Реєстр" sheetId="31" state="hidden" r:id="rId44"/>
    <sheet name="Розрахунки Річного плану" sheetId="49" state="hidden" r:id="rId45"/>
    <sheet name="Ср. за 5 лет" sheetId="62" state="hidden" r:id="rId46"/>
    <sheet name="ТР_КА 1-2" sheetId="127" state="hidden" r:id="rId47"/>
    <sheet name="Адміністративні_2ст" sheetId="103" state="hidden" r:id="rId48"/>
    <sheet name="БАЗА ИА" sheetId="186" state="hidden" r:id="rId49"/>
    <sheet name="ТЕ_2ст_вих" sheetId="98" state="hidden" r:id="rId50"/>
    <sheet name="2-х став на одиницю" sheetId="145" state="hidden" r:id="rId51"/>
    <sheet name="распределение" sheetId="146" state="hidden" r:id="rId52"/>
    <sheet name="Рішення 1Д" sheetId="150" state="hidden" r:id="rId53"/>
    <sheet name="Рішення 2Д" sheetId="151" state="hidden" r:id="rId54"/>
    <sheet name="Рішення 3Д" sheetId="140" state="hidden" r:id="rId55"/>
    <sheet name="Рішення 4Д" sheetId="142" state="hidden" r:id="rId56"/>
    <sheet name="Рішення 5Д" sheetId="138" state="hidden" r:id="rId57"/>
    <sheet name="Рішення 6Д" sheetId="139" state="hidden" r:id="rId58"/>
    <sheet name="Рішення 7Д" sheetId="144" state="hidden" r:id="rId59"/>
    <sheet name="Структура тарифу" sheetId="109" state="hidden" r:id="rId60"/>
    <sheet name="Порівняння" sheetId="171" state="hidden" r:id="rId61"/>
    <sheet name="Порівняння структур" sheetId="110" state="hidden" r:id="rId62"/>
    <sheet name="Податки" sheetId="180" state="hidden" r:id="rId63"/>
    <sheet name="Зв'язок" sheetId="63" state="hidden" r:id="rId64"/>
    <sheet name="РКО" sheetId="161" state="hidden" r:id="rId65"/>
    <sheet name="ПММ" sheetId="67" state="hidden" r:id="rId66"/>
    <sheet name="Прямі витрати" sheetId="174" state="hidden" r:id="rId67"/>
    <sheet name="ОП" sheetId="68" state="hidden" r:id="rId68"/>
    <sheet name="ФОП" sheetId="69" state="hidden" r:id="rId69"/>
    <sheet name="Зарплата Факт" sheetId="179" state="hidden" r:id="rId70"/>
    <sheet name="Амортизація" sheetId="70" state="hidden" r:id="rId71"/>
    <sheet name="Утилизація" sheetId="75" state="hidden" r:id="rId72"/>
    <sheet name="Страхування" sheetId="87" state="hidden" r:id="rId73"/>
    <sheet name="ТО" sheetId="88" state="hidden" r:id="rId74"/>
    <sheet name="Періодичні видання" sheetId="123" state="hidden" r:id="rId75"/>
    <sheet name="Факт 2023Поверка Юст" sheetId="181" state="hidden" r:id="rId76"/>
    <sheet name="Котел-повірка Юст" sheetId="89" state="hidden" r:id="rId77"/>
    <sheet name="Абон обсл 2022-23" sheetId="124" state="hidden" r:id="rId78"/>
    <sheet name="АО-прямые" sheetId="162" state="hidden" r:id="rId79"/>
    <sheet name="гран розмір" sheetId="125" state="hidden" r:id="rId80"/>
    <sheet name="Профпослуги2" sheetId="113" state="hidden" r:id="rId81"/>
    <sheet name="Запчастини" sheetId="116" state="hidden" r:id="rId82"/>
    <sheet name="по городам" sheetId="148" state="hidden" r:id="rId83"/>
    <sheet name="СВЕДЕНО_И" sheetId="147" state="hidden" r:id="rId84"/>
    <sheet name="Д-Сведено" sheetId="187" state="hidden" r:id="rId85"/>
    <sheet name="сведено-економ" sheetId="107" state="hidden" r:id="rId86"/>
    <sheet name="стр_тар_1 Гкал" sheetId="128" state="hidden" r:id="rId87"/>
    <sheet name="структури %" sheetId="108" state="hidden" r:id="rId88"/>
    <sheet name="інвестпрограма" sheetId="111" state="hidden" r:id="rId89"/>
    <sheet name="Сравнение 1 и 2 " sheetId="112" state="hidden" r:id="rId90"/>
    <sheet name="прибуток" sheetId="114" state="hidden" r:id="rId91"/>
    <sheet name="ПРЯМІ АО" sheetId="120" state="hidden" r:id="rId92"/>
    <sheet name="ПРЯМІ ІНШІ" sheetId="175" state="hidden" r:id="rId93"/>
    <sheet name="Примечания" sheetId="122" state="hidden" r:id="rId94"/>
    <sheet name="АО" sheetId="176" state="hidden" r:id="rId95"/>
    <sheet name="Ремонт-БФ" sheetId="178" state="hidden" r:id="rId96"/>
    <sheet name="Ремонт-план" sheetId="117" state="hidden" r:id="rId97"/>
    <sheet name="Профпослуги" sheetId="77" state="hidden" r:id="rId98"/>
    <sheet name="Картріджі" sheetId="76" state="hidden" r:id="rId99"/>
    <sheet name="Ціна ее" sheetId="118" state="hidden" r:id="rId100"/>
    <sheet name="Ціна газ" sheetId="119" state="hidden" r:id="rId101"/>
    <sheet name="Коригування витрат" sheetId="155" state="hidden" r:id="rId102"/>
    <sheet name="КОНТРОЛЬ 2" sheetId="157" state="hidden" r:id="rId103"/>
    <sheet name="ВОДА" sheetId="85" state="hidden" r:id="rId104"/>
    <sheet name="ТО ТЗ" sheetId="81" state="hidden" r:id="rId105"/>
    <sheet name="ТК ТЗ" sheetId="82" state="hidden" r:id="rId106"/>
    <sheet name="Для звіту по тарифам" sheetId="158" state="hidden" r:id="rId107"/>
    <sheet name="Додаток 1 до рішення" sheetId="130" state="hidden" r:id="rId108"/>
    <sheet name="Додаток 2 до рішення" sheetId="131" state="hidden" r:id="rId109"/>
    <sheet name="Додаток 3 до рішення" sheetId="132" state="hidden" r:id="rId110"/>
    <sheet name="Додаток 4 до рішення" sheetId="134" state="hidden" r:id="rId111"/>
    <sheet name="Додаток 5 до рішення" sheetId="133" state="hidden" r:id="rId112"/>
    <sheet name="Додаток 6 до рішення" sheetId="135" state="hidden" r:id="rId113"/>
    <sheet name="Додаток 7 до рішення" sheetId="136" state="hidden" r:id="rId114"/>
    <sheet name="Додаток 8 до рішення" sheetId="137" state="hidden" r:id="rId115"/>
    <sheet name="Додаток 9 до рішення" sheetId="153" state="hidden" r:id="rId116"/>
    <sheet name="Додаток 10 до рішення" sheetId="154" state="hidden" r:id="rId117"/>
    <sheet name="Додаток 11 до рішення" sheetId="152" state="hidden" r:id="rId118"/>
    <sheet name="По квартирам 1-3" sheetId="149" state="hidden" r:id="rId119"/>
    <sheet name="КОНТРОЛЬ-Доходи" sheetId="164" state="hidden" r:id="rId120"/>
    <sheet name="% структури" sheetId="173" state="hidden" r:id="rId121"/>
    <sheet name="Порівн ТАРИФІВ" sheetId="182" state="hidden" r:id="rId122"/>
    <sheet name="По Україні тариф" sheetId="184" state="hidden" r:id="rId123"/>
    <sheet name="Склад статей витрат" sheetId="185" state="hidden" r:id="rId124"/>
  </sheets>
  <externalReferences>
    <externalReference r:id="rId125"/>
    <externalReference r:id="rId126"/>
    <externalReference r:id="rId127"/>
    <externalReference r:id="rId128"/>
    <externalReference r:id="rId129"/>
    <externalReference r:id="rId130"/>
    <externalReference r:id="rId131"/>
    <externalReference r:id="rId132"/>
    <externalReference r:id="rId133"/>
    <externalReference r:id="rId134"/>
    <externalReference r:id="rId135"/>
    <externalReference r:id="rId136"/>
    <externalReference r:id="rId137"/>
    <externalReference r:id="rId138"/>
    <externalReference r:id="rId139"/>
    <externalReference r:id="rId140"/>
    <externalReference r:id="rId141"/>
    <externalReference r:id="rId142"/>
    <externalReference r:id="rId143"/>
    <externalReference r:id="rId144"/>
    <externalReference r:id="rId145"/>
    <externalReference r:id="rId146"/>
    <externalReference r:id="rId147"/>
    <externalReference r:id="rId148"/>
    <externalReference r:id="rId149"/>
    <externalReference r:id="rId150"/>
    <externalReference r:id="rId151"/>
    <externalReference r:id="rId152"/>
    <externalReference r:id="rId153"/>
    <externalReference r:id="rId154"/>
    <externalReference r:id="rId155"/>
    <externalReference r:id="rId156"/>
    <externalReference r:id="rId157"/>
    <externalReference r:id="rId158"/>
    <externalReference r:id="rId159"/>
    <externalReference r:id="rId160"/>
    <externalReference r:id="rId161"/>
    <externalReference r:id="rId162"/>
    <externalReference r:id="rId163"/>
    <externalReference r:id="rId164"/>
    <externalReference r:id="rId165"/>
    <externalReference r:id="rId166"/>
    <externalReference r:id="rId167"/>
  </externalReferences>
  <definedNames>
    <definedName name="__gvp14" localSheetId="47">[1]рік!#REF!</definedName>
    <definedName name="__gvp14" localSheetId="31">[1]рік!#REF!</definedName>
    <definedName name="__gvp14" localSheetId="18">[1]рік!#REF!</definedName>
    <definedName name="__gvp14" localSheetId="27">[1]рік!#REF!</definedName>
    <definedName name="__gvp14" localSheetId="13">[1]рік!#REF!</definedName>
    <definedName name="__gvp14" localSheetId="16">[1]рік!#REF!</definedName>
    <definedName name="__gvp14" localSheetId="21">[1]рік!#REF!</definedName>
    <definedName name="__gvp14" localSheetId="30">[1]рік!#REF!</definedName>
    <definedName name="__gvp14" localSheetId="20">[1]рік!#REF!</definedName>
    <definedName name="__gvp14" localSheetId="29">[1]рік!#REF!</definedName>
    <definedName name="__gvp14" localSheetId="26">[1]рік!#REF!</definedName>
    <definedName name="__gvp14">[1]рік!#REF!</definedName>
    <definedName name="__gvp2" localSheetId="47">[1]рік!#REF!</definedName>
    <definedName name="__gvp2" localSheetId="31">[1]рік!#REF!</definedName>
    <definedName name="__gvp2" localSheetId="18">[1]рік!#REF!</definedName>
    <definedName name="__gvp2" localSheetId="27">[1]рік!#REF!</definedName>
    <definedName name="__gvp2" localSheetId="13">[1]рік!#REF!</definedName>
    <definedName name="__gvp2" localSheetId="16">[1]рік!#REF!</definedName>
    <definedName name="__gvp2" localSheetId="21">[1]рік!#REF!</definedName>
    <definedName name="__gvp2" localSheetId="30">[1]рік!#REF!</definedName>
    <definedName name="__gvp2" localSheetId="20">[1]рік!#REF!</definedName>
    <definedName name="__gvp2" localSheetId="29">[1]рік!#REF!</definedName>
    <definedName name="__gvp2" localSheetId="26">[1]рік!#REF!</definedName>
    <definedName name="__gvp2">[1]рік!#REF!</definedName>
    <definedName name="__xlnm.Print_Area" localSheetId="47">#REF!</definedName>
    <definedName name="__xlnm.Print_Area" localSheetId="31">#REF!</definedName>
    <definedName name="__xlnm.Print_Area" localSheetId="27">#REF!</definedName>
    <definedName name="__xlnm.Print_Area" localSheetId="13">#REF!</definedName>
    <definedName name="__xlnm.Print_Area" localSheetId="16">#REF!</definedName>
    <definedName name="__xlnm.Print_Area" localSheetId="30">#REF!</definedName>
    <definedName name="__xlnm.Print_Area" localSheetId="29">#REF!</definedName>
    <definedName name="__xlnm.Print_Area" localSheetId="26">#REF!</definedName>
    <definedName name="__xlnm.Print_Area">#REF!</definedName>
    <definedName name="__xlnm.Print_Titles" localSheetId="47">(#REF!,#REF!)</definedName>
    <definedName name="__xlnm.Print_Titles" localSheetId="31">(#REF!,#REF!)</definedName>
    <definedName name="__xlnm.Print_Titles" localSheetId="27">(#REF!,#REF!)</definedName>
    <definedName name="__xlnm.Print_Titles" localSheetId="13">(#REF!,#REF!)</definedName>
    <definedName name="__xlnm.Print_Titles" localSheetId="16">(#REF!,#REF!)</definedName>
    <definedName name="__xlnm.Print_Titles" localSheetId="30">(#REF!,#REF!)</definedName>
    <definedName name="__xlnm.Print_Titles" localSheetId="29">(#REF!,#REF!)</definedName>
    <definedName name="__xlnm.Print_Titles" localSheetId="26">(#REF!,#REF!)</definedName>
    <definedName name="__xlnm.Print_Titles">(#REF!,#REF!)</definedName>
    <definedName name="_gvp14" localSheetId="47">[2]рік!#REF!</definedName>
    <definedName name="_gvp14" localSheetId="31">[2]рік!#REF!</definedName>
    <definedName name="_gvp14" localSheetId="18">[2]рік!#REF!</definedName>
    <definedName name="_gvp14" localSheetId="27">[2]рік!#REF!</definedName>
    <definedName name="_gvp14" localSheetId="103">[3]рік!#REF!</definedName>
    <definedName name="_gvp14" localSheetId="13">[2]рік!#REF!</definedName>
    <definedName name="_gvp14" localSheetId="16">[2]рік!#REF!</definedName>
    <definedName name="_gvp14" localSheetId="21">[2]рік!#REF!</definedName>
    <definedName name="_gvp14" localSheetId="30">[2]рік!#REF!</definedName>
    <definedName name="_gvp14" localSheetId="20">[2]рік!#REF!</definedName>
    <definedName name="_gvp14" localSheetId="29">[2]рік!#REF!</definedName>
    <definedName name="_gvp14" localSheetId="26">[2]рік!#REF!</definedName>
    <definedName name="_gvp14">[2]рік!#REF!</definedName>
    <definedName name="_gvp2" localSheetId="47">[2]рік!#REF!</definedName>
    <definedName name="_gvp2" localSheetId="31">[2]рік!#REF!</definedName>
    <definedName name="_gvp2" localSheetId="18">[2]рік!#REF!</definedName>
    <definedName name="_gvp2" localSheetId="27">[2]рік!#REF!</definedName>
    <definedName name="_gvp2" localSheetId="103">[3]рік!#REF!</definedName>
    <definedName name="_gvp2" localSheetId="13">[2]рік!#REF!</definedName>
    <definedName name="_gvp2" localSheetId="16">[2]рік!#REF!</definedName>
    <definedName name="_gvp2" localSheetId="21">[2]рік!#REF!</definedName>
    <definedName name="_gvp2" localSheetId="30">[2]рік!#REF!</definedName>
    <definedName name="_gvp2" localSheetId="20">[2]рік!#REF!</definedName>
    <definedName name="_gvp2" localSheetId="29">[2]рік!#REF!</definedName>
    <definedName name="_gvp2" localSheetId="26">[2]рік!#REF!</definedName>
    <definedName name="_gvp2">[2]рік!#REF!</definedName>
    <definedName name="_wrn2" hidden="1">{#N/A,#N/A,FALSE,"9PS0"}</definedName>
    <definedName name="_xlnm._FilterDatabase" localSheetId="18" hidden="1">Виробництво_1ст!$A$8:$U$82</definedName>
    <definedName name="_xlnm._FilterDatabase" localSheetId="36" hidden="1">'Д 9_ЕЕ'!$B$8:$T$84</definedName>
    <definedName name="_xlnm._FilterDatabase" localSheetId="39" hidden="1">Д12_11!$A$13:$Y$677</definedName>
    <definedName name="_xlnm._FilterDatabase" localSheetId="66" hidden="1">'Прямі витрати'!$A$10:$BS$1707</definedName>
    <definedName name="_xlnm._FilterDatabase" localSheetId="25" hidden="1">'ТЕ_2ст_тариф_з ЦТП'!$A$13:$AF$13</definedName>
    <definedName name="_xlnm._FilterDatabase" localSheetId="19" hidden="1">Транспортування_1ст!$A$10:$K$74</definedName>
    <definedName name="A1048999" localSheetId="47">#REF!</definedName>
    <definedName name="A1048999" localSheetId="31">#REF!</definedName>
    <definedName name="A1048999" localSheetId="18">#REF!</definedName>
    <definedName name="A1048999" localSheetId="27">#REF!</definedName>
    <definedName name="A1048999" localSheetId="103">'[4]1_Структура по елементах'!#REF!</definedName>
    <definedName name="A1048999" localSheetId="11">#REF!</definedName>
    <definedName name="A1048999" localSheetId="13">#REF!</definedName>
    <definedName name="A1048999" localSheetId="12">#REF!</definedName>
    <definedName name="A1048999" localSheetId="16">#REF!</definedName>
    <definedName name="A1048999" localSheetId="34">#REF!</definedName>
    <definedName name="A1048999" localSheetId="21">#REF!</definedName>
    <definedName name="A1048999" localSheetId="30">#REF!</definedName>
    <definedName name="A1048999" localSheetId="20">#REF!</definedName>
    <definedName name="A1048999" localSheetId="29">#REF!</definedName>
    <definedName name="A1048999" localSheetId="45">'[5]1_Структура по елементах'!#REF!</definedName>
    <definedName name="A1048999" localSheetId="26">#REF!</definedName>
    <definedName name="A1048999">#REF!</definedName>
    <definedName name="A1049000" localSheetId="47">#REF!</definedName>
    <definedName name="A1049000" localSheetId="31">#REF!</definedName>
    <definedName name="A1049000" localSheetId="18">#REF!</definedName>
    <definedName name="A1049000" localSheetId="27">#REF!</definedName>
    <definedName name="A1049000" localSheetId="103">'[4]1_Структура по елементах'!#REF!</definedName>
    <definedName name="A1049000" localSheetId="11">#REF!</definedName>
    <definedName name="A1049000" localSheetId="13">#REF!</definedName>
    <definedName name="A1049000" localSheetId="12">#REF!</definedName>
    <definedName name="A1049000" localSheetId="16">#REF!</definedName>
    <definedName name="A1049000" localSheetId="34">#REF!</definedName>
    <definedName name="A1049000" localSheetId="21">#REF!</definedName>
    <definedName name="A1049000" localSheetId="30">#REF!</definedName>
    <definedName name="A1049000" localSheetId="20">#REF!</definedName>
    <definedName name="A1049000" localSheetId="29">#REF!</definedName>
    <definedName name="A1049000" localSheetId="45">'[5]1_Структура по елементах'!#REF!</definedName>
    <definedName name="A1049000" localSheetId="26">#REF!</definedName>
    <definedName name="A1049000">#REF!</definedName>
    <definedName name="A1049999" localSheetId="47">#REF!</definedName>
    <definedName name="A1049999" localSheetId="31">#REF!</definedName>
    <definedName name="A1049999" localSheetId="18">#REF!</definedName>
    <definedName name="A1049999" localSheetId="27">#REF!</definedName>
    <definedName name="A1049999" localSheetId="103">'[4]1_Структура по елементах'!#REF!</definedName>
    <definedName name="A1049999" localSheetId="11">#REF!</definedName>
    <definedName name="A1049999" localSheetId="13">#REF!</definedName>
    <definedName name="A1049999" localSheetId="12">#REF!</definedName>
    <definedName name="A1049999" localSheetId="16">#REF!</definedName>
    <definedName name="A1049999" localSheetId="34">#REF!</definedName>
    <definedName name="A1049999" localSheetId="21">#REF!</definedName>
    <definedName name="A1049999" localSheetId="30">#REF!</definedName>
    <definedName name="A1049999" localSheetId="20">#REF!</definedName>
    <definedName name="A1049999" localSheetId="29">#REF!</definedName>
    <definedName name="A1049999" localSheetId="45">'[5]1_Структура по елементах'!#REF!</definedName>
    <definedName name="A1049999" localSheetId="26">#REF!</definedName>
    <definedName name="A1049999">#REF!</definedName>
    <definedName name="A1050000" localSheetId="47">#REF!</definedName>
    <definedName name="A1050000" localSheetId="31">#REF!</definedName>
    <definedName name="A1050000" localSheetId="18">#REF!</definedName>
    <definedName name="A1050000" localSheetId="27">#REF!</definedName>
    <definedName name="A1050000" localSheetId="103">'[4]1_Структура по елементах'!#REF!</definedName>
    <definedName name="A1050000" localSheetId="11">#REF!</definedName>
    <definedName name="A1050000" localSheetId="13">#REF!</definedName>
    <definedName name="A1050000" localSheetId="12">#REF!</definedName>
    <definedName name="A1050000" localSheetId="16">#REF!</definedName>
    <definedName name="A1050000" localSheetId="34">#REF!</definedName>
    <definedName name="A1050000" localSheetId="21">#REF!</definedName>
    <definedName name="A1050000" localSheetId="30">#REF!</definedName>
    <definedName name="A1050000" localSheetId="20">#REF!</definedName>
    <definedName name="A1050000" localSheetId="29">#REF!</definedName>
    <definedName name="A1050000" localSheetId="45">'[5]1_Структура по елементах'!#REF!</definedName>
    <definedName name="A1050000" localSheetId="26">#REF!</definedName>
    <definedName name="A1050000">#REF!</definedName>
    <definedName name="A1060000" localSheetId="47">#REF!</definedName>
    <definedName name="A1060000" localSheetId="31">#REF!</definedName>
    <definedName name="A1060000" localSheetId="18">#REF!</definedName>
    <definedName name="A1060000" localSheetId="27">#REF!</definedName>
    <definedName name="A1060000" localSheetId="103">'[4]1_Структура по елементах'!#REF!</definedName>
    <definedName name="A1060000" localSheetId="11">#REF!</definedName>
    <definedName name="A1060000" localSheetId="13">#REF!</definedName>
    <definedName name="A1060000" localSheetId="12">#REF!</definedName>
    <definedName name="A1060000" localSheetId="16">#REF!</definedName>
    <definedName name="A1060000" localSheetId="34">#REF!</definedName>
    <definedName name="A1060000" localSheetId="21">#REF!</definedName>
    <definedName name="A1060000" localSheetId="30">#REF!</definedName>
    <definedName name="A1060000" localSheetId="20">#REF!</definedName>
    <definedName name="A1060000" localSheetId="29">#REF!</definedName>
    <definedName name="A1060000" localSheetId="45">'[5]1_Структура по елементах'!#REF!</definedName>
    <definedName name="A1060000" localSheetId="26">#REF!</definedName>
    <definedName name="A1060000">#REF!</definedName>
    <definedName name="A1999999" localSheetId="47">#REF!</definedName>
    <definedName name="A1999999" localSheetId="31">#REF!</definedName>
    <definedName name="A1999999" localSheetId="18">#REF!</definedName>
    <definedName name="A1999999" localSheetId="27">#REF!</definedName>
    <definedName name="A1999999" localSheetId="103">'[4]1_Структура по елементах'!#REF!</definedName>
    <definedName name="A1999999" localSheetId="11">#REF!</definedName>
    <definedName name="A1999999" localSheetId="13">#REF!</definedName>
    <definedName name="A1999999" localSheetId="12">#REF!</definedName>
    <definedName name="A1999999" localSheetId="16">#REF!</definedName>
    <definedName name="A1999999" localSheetId="34">#REF!</definedName>
    <definedName name="A1999999" localSheetId="21">#REF!</definedName>
    <definedName name="A1999999" localSheetId="30">#REF!</definedName>
    <definedName name="A1999999" localSheetId="20">#REF!</definedName>
    <definedName name="A1999999" localSheetId="29">#REF!</definedName>
    <definedName name="A1999999" localSheetId="45">'[5]1_Структура по елементах'!#REF!</definedName>
    <definedName name="A1999999" localSheetId="26">#REF!</definedName>
    <definedName name="A1999999">#REF!</definedName>
    <definedName name="A2000021" localSheetId="47">#REF!</definedName>
    <definedName name="A2000021" localSheetId="31">#REF!</definedName>
    <definedName name="A2000021" localSheetId="18">#REF!</definedName>
    <definedName name="A2000021" localSheetId="27">#REF!</definedName>
    <definedName name="A2000021" localSheetId="103">'[4]1_Структура по елементах'!#REF!</definedName>
    <definedName name="A2000021" localSheetId="11">#REF!</definedName>
    <definedName name="A2000021" localSheetId="13">#REF!</definedName>
    <definedName name="A2000021" localSheetId="12">#REF!</definedName>
    <definedName name="A2000021" localSheetId="16">#REF!</definedName>
    <definedName name="A2000021" localSheetId="34">#REF!</definedName>
    <definedName name="A2000021" localSheetId="21">#REF!</definedName>
    <definedName name="A2000021" localSheetId="30">#REF!</definedName>
    <definedName name="A2000021" localSheetId="20">#REF!</definedName>
    <definedName name="A2000021" localSheetId="29">#REF!</definedName>
    <definedName name="A2000021" localSheetId="45">'[5]1_Структура по елементах'!#REF!</definedName>
    <definedName name="A2000021" localSheetId="26">#REF!</definedName>
    <definedName name="A2000021">#REF!</definedName>
    <definedName name="A6000000" localSheetId="47">#REF!</definedName>
    <definedName name="A6000000" localSheetId="31">#REF!</definedName>
    <definedName name="A6000000" localSheetId="18">#REF!</definedName>
    <definedName name="A6000000" localSheetId="27">#REF!</definedName>
    <definedName name="A6000000" localSheetId="103">'[4]1_Структура по елементах'!#REF!</definedName>
    <definedName name="A6000000" localSheetId="11">#REF!</definedName>
    <definedName name="A6000000" localSheetId="13">#REF!</definedName>
    <definedName name="A6000000" localSheetId="12">#REF!</definedName>
    <definedName name="A6000000" localSheetId="16">#REF!</definedName>
    <definedName name="A6000000" localSheetId="34">#REF!</definedName>
    <definedName name="A6000000" localSheetId="21">#REF!</definedName>
    <definedName name="A6000000" localSheetId="30">#REF!</definedName>
    <definedName name="A6000000" localSheetId="20">#REF!</definedName>
    <definedName name="A6000000" localSheetId="29">#REF!</definedName>
    <definedName name="A6000000" localSheetId="45">'[5]1_Структура по елементах'!#REF!</definedName>
    <definedName name="A6000000" localSheetId="26">#REF!</definedName>
    <definedName name="A6000000">#REF!</definedName>
    <definedName name="aaa" hidden="1">{#N/A,#N/A,FALSE,"9PS0"}</definedName>
    <definedName name="ab" hidden="1">{#N/A,#N/A,FALSE,"9PS0"}</definedName>
    <definedName name="AccessDatabase" hidden="1">"C:\WINDOWS\Рабочий стол\Робота Лутчина\Ltke2new\Ltke22.mdb"</definedName>
    <definedName name="adhdfharh" localSheetId="47">#REF!</definedName>
    <definedName name="adhdfharh" localSheetId="31">#REF!</definedName>
    <definedName name="adhdfharh" localSheetId="18">#REF!</definedName>
    <definedName name="adhdfharh" localSheetId="27">#REF!</definedName>
    <definedName name="adhdfharh" localSheetId="13">#REF!</definedName>
    <definedName name="adhdfharh" localSheetId="16">#REF!</definedName>
    <definedName name="adhdfharh" localSheetId="21">#REF!</definedName>
    <definedName name="adhdfharh" localSheetId="30">#REF!</definedName>
    <definedName name="adhdfharh" localSheetId="20">#REF!</definedName>
    <definedName name="adhdfharh" localSheetId="29">#REF!</definedName>
    <definedName name="adhdfharh" localSheetId="26">#REF!</definedName>
    <definedName name="adhdfharh">#REF!</definedName>
    <definedName name="bbb" hidden="1">{#N/A,#N/A,FALSE,"9PS0"}</definedName>
    <definedName name="Button_21">"Ltke22_LTKE1_0798__3__Таблица"</definedName>
    <definedName name="chel20" localSheetId="47">[2]рік!#REF!</definedName>
    <definedName name="chel20" localSheetId="31">[2]рік!#REF!</definedName>
    <definedName name="chel20" localSheetId="18">[2]рік!#REF!</definedName>
    <definedName name="chel20" localSheetId="27">[2]рік!#REF!</definedName>
    <definedName name="chel20" localSheetId="103">[3]рік!#REF!</definedName>
    <definedName name="chel20" localSheetId="13">[2]рік!#REF!</definedName>
    <definedName name="chel20" localSheetId="16">[2]рік!#REF!</definedName>
    <definedName name="chel20" localSheetId="21">[2]рік!#REF!</definedName>
    <definedName name="chel20" localSheetId="30">[2]рік!#REF!</definedName>
    <definedName name="chel20" localSheetId="20">[2]рік!#REF!</definedName>
    <definedName name="chel20" localSheetId="29">[2]рік!#REF!</definedName>
    <definedName name="chel20" localSheetId="26">[2]рік!#REF!</definedName>
    <definedName name="chel20">[2]рік!#REF!</definedName>
    <definedName name="DataLevels">[6]Ini!$C$47:$C$49</definedName>
    <definedName name="dtjuwr6wu" localSheetId="47">#REF!</definedName>
    <definedName name="dtjuwr6wu" localSheetId="31">#REF!</definedName>
    <definedName name="dtjuwr6wu" localSheetId="18">#REF!</definedName>
    <definedName name="dtjuwr6wu" localSheetId="27">#REF!</definedName>
    <definedName name="dtjuwr6wu" localSheetId="13">#REF!</definedName>
    <definedName name="dtjuwr6wu" localSheetId="16">#REF!</definedName>
    <definedName name="dtjuwr6wu" localSheetId="21">#REF!</definedName>
    <definedName name="dtjuwr6wu" localSheetId="30">#REF!</definedName>
    <definedName name="dtjuwr6wu" localSheetId="20">#REF!</definedName>
    <definedName name="dtjuwr6wu" localSheetId="29">#REF!</definedName>
    <definedName name="dtjuwr6wu" localSheetId="26">#REF!</definedName>
    <definedName name="dtjuwr6wu">#REF!</definedName>
    <definedName name="Excel_BuiltIn_Print_Area_1" localSheetId="22">#REF!</definedName>
    <definedName name="Excel_BuiltIn_Print_Area_1" localSheetId="47">#REF!</definedName>
    <definedName name="Excel_BuiltIn_Print_Area_1" localSheetId="31">#REF!</definedName>
    <definedName name="Excel_BuiltIn_Print_Area_1" localSheetId="18">#REF!</definedName>
    <definedName name="Excel_BuiltIn_Print_Area_1" localSheetId="27">#REF!</definedName>
    <definedName name="Excel_BuiltIn_Print_Area_1" localSheetId="103">#REF!</definedName>
    <definedName name="Excel_BuiltIn_Print_Area_1" localSheetId="13">#REF!</definedName>
    <definedName name="Excel_BuiltIn_Print_Area_1" localSheetId="16">#REF!</definedName>
    <definedName name="Excel_BuiltIn_Print_Area_1" localSheetId="21">#REF!</definedName>
    <definedName name="Excel_BuiltIn_Print_Area_1" localSheetId="30">#REF!</definedName>
    <definedName name="Excel_BuiltIn_Print_Area_1" localSheetId="20">#REF!</definedName>
    <definedName name="Excel_BuiltIn_Print_Area_1" localSheetId="29">#REF!</definedName>
    <definedName name="Excel_BuiltIn_Print_Area_1" localSheetId="26">#REF!</definedName>
    <definedName name="Excel_BuiltIn_Print_Area_1">#REF!</definedName>
    <definedName name="Excel_BuiltIn_Print_Area_3" localSheetId="22">#REF!</definedName>
    <definedName name="Excel_BuiltIn_Print_Area_3" localSheetId="47">#REF!</definedName>
    <definedName name="Excel_BuiltIn_Print_Area_3" localSheetId="31">#REF!</definedName>
    <definedName name="Excel_BuiltIn_Print_Area_3" localSheetId="18">#REF!</definedName>
    <definedName name="Excel_BuiltIn_Print_Area_3" localSheetId="27">#REF!</definedName>
    <definedName name="Excel_BuiltIn_Print_Area_3" localSheetId="103">#REF!</definedName>
    <definedName name="Excel_BuiltIn_Print_Area_3" localSheetId="13">#REF!</definedName>
    <definedName name="Excel_BuiltIn_Print_Area_3" localSheetId="16">#REF!</definedName>
    <definedName name="Excel_BuiltIn_Print_Area_3" localSheetId="21">#REF!</definedName>
    <definedName name="Excel_BuiltIn_Print_Area_3" localSheetId="30">#REF!</definedName>
    <definedName name="Excel_BuiltIn_Print_Area_3" localSheetId="20">#REF!</definedName>
    <definedName name="Excel_BuiltIn_Print_Area_3" localSheetId="29">#REF!</definedName>
    <definedName name="Excel_BuiltIn_Print_Area_3" localSheetId="26">#REF!</definedName>
    <definedName name="Excel_BuiltIn_Print_Area_3">#REF!</definedName>
    <definedName name="Excel_BuiltIn_Print_Area_9" localSheetId="22">#REF!</definedName>
    <definedName name="Excel_BuiltIn_Print_Area_9" localSheetId="47">#REF!</definedName>
    <definedName name="Excel_BuiltIn_Print_Area_9" localSheetId="31">#REF!</definedName>
    <definedName name="Excel_BuiltIn_Print_Area_9" localSheetId="18">#REF!</definedName>
    <definedName name="Excel_BuiltIn_Print_Area_9" localSheetId="27">#REF!</definedName>
    <definedName name="Excel_BuiltIn_Print_Area_9" localSheetId="103">#REF!</definedName>
    <definedName name="Excel_BuiltIn_Print_Area_9" localSheetId="13">#REF!</definedName>
    <definedName name="Excel_BuiltIn_Print_Area_9" localSheetId="16">#REF!</definedName>
    <definedName name="Excel_BuiltIn_Print_Area_9" localSheetId="21">#REF!</definedName>
    <definedName name="Excel_BuiltIn_Print_Area_9" localSheetId="30">#REF!</definedName>
    <definedName name="Excel_BuiltIn_Print_Area_9" localSheetId="20">#REF!</definedName>
    <definedName name="Excel_BuiltIn_Print_Area_9" localSheetId="29">#REF!</definedName>
    <definedName name="Excel_BuiltIn_Print_Area_9" localSheetId="26">#REF!</definedName>
    <definedName name="Excel_BuiltIn_Print_Area_9">#REF!</definedName>
    <definedName name="f" hidden="1">'[7]3 утв.'!$F$1:$H$65536,'[7]3 утв.'!$P$1:$AQ$65536</definedName>
    <definedName name="fdf" localSheetId="47">#REF!</definedName>
    <definedName name="fdf" localSheetId="31">#REF!</definedName>
    <definedName name="fdf" localSheetId="27">#REF!</definedName>
    <definedName name="fdf" localSheetId="13">#REF!</definedName>
    <definedName name="fdf" localSheetId="16">#REF!</definedName>
    <definedName name="fdf" localSheetId="30">#REF!</definedName>
    <definedName name="fdf" localSheetId="29">#REF!</definedName>
    <definedName name="fdf" localSheetId="26">#REF!</definedName>
    <definedName name="fdf">#REF!</definedName>
    <definedName name="fsdgfag" localSheetId="47">#REF!</definedName>
    <definedName name="fsdgfag" localSheetId="31">#REF!</definedName>
    <definedName name="fsdgfag" localSheetId="27">#REF!</definedName>
    <definedName name="fsdgfag" localSheetId="13">#REF!</definedName>
    <definedName name="fsdgfag" localSheetId="16">#REF!</definedName>
    <definedName name="fsdgfag" localSheetId="30">#REF!</definedName>
    <definedName name="fsdgfag" localSheetId="29">#REF!</definedName>
    <definedName name="fsdgfag" localSheetId="26">#REF!</definedName>
    <definedName name="fsdgfag">#REF!</definedName>
    <definedName name="Id_TypeList" localSheetId="47">'[8]Типи данних філії'!#REF!</definedName>
    <definedName name="Id_TypeList" localSheetId="31">'[8]Типи данних філії'!#REF!</definedName>
    <definedName name="Id_TypeList" localSheetId="18">'[8]Типи данних філії'!#REF!</definedName>
    <definedName name="Id_TypeList" localSheetId="27">'[8]Типи данних філії'!#REF!</definedName>
    <definedName name="Id_TypeList" localSheetId="13">'[8]Типи данних філії'!#REF!</definedName>
    <definedName name="Id_TypeList" localSheetId="16">'[8]Типи данних філії'!#REF!</definedName>
    <definedName name="Id_TypeList" localSheetId="21">'[8]Типи данних філії'!#REF!</definedName>
    <definedName name="Id_TypeList" localSheetId="30">'[8]Типи данних філії'!#REF!</definedName>
    <definedName name="Id_TypeList" localSheetId="20">'[8]Типи данних філії'!#REF!</definedName>
    <definedName name="Id_TypeList" localSheetId="29">'[8]Типи данних філії'!#REF!</definedName>
    <definedName name="Id_TypeList" localSheetId="26">'[8]Типи данних філії'!#REF!</definedName>
    <definedName name="Id_TypeList">'[8]Типи данних філії'!#REF!</definedName>
    <definedName name="koef_e_T5">[9]KOEF!$C$2</definedName>
    <definedName name="koef_e_T6">[9]KOEF!$D$2</definedName>
    <definedName name="koefE_1.1.1." localSheetId="47">#REF!</definedName>
    <definedName name="koefE_1.1.1." localSheetId="31">#REF!</definedName>
    <definedName name="koefE_1.1.1." localSheetId="18">#REF!</definedName>
    <definedName name="koefE_1.1.1." localSheetId="27">#REF!</definedName>
    <definedName name="koefE_1.1.1." localSheetId="13">#REF!</definedName>
    <definedName name="koefE_1.1.1." localSheetId="16">#REF!</definedName>
    <definedName name="koefE_1.1.1." localSheetId="21">#REF!</definedName>
    <definedName name="koefE_1.1.1." localSheetId="30">#REF!</definedName>
    <definedName name="koefE_1.1.1." localSheetId="20">#REF!</definedName>
    <definedName name="koefE_1.1.1." localSheetId="29">#REF!</definedName>
    <definedName name="koefE_1.1.1." localSheetId="26">#REF!</definedName>
    <definedName name="koefE_1.1.1.">#REF!</definedName>
    <definedName name="koefE_1.1.2." localSheetId="47">#REF!</definedName>
    <definedName name="koefE_1.1.2." localSheetId="31">#REF!</definedName>
    <definedName name="koefE_1.1.2." localSheetId="18">#REF!</definedName>
    <definedName name="koefE_1.1.2." localSheetId="27">#REF!</definedName>
    <definedName name="koefE_1.1.2." localSheetId="13">#REF!</definedName>
    <definedName name="koefE_1.1.2." localSheetId="16">#REF!</definedName>
    <definedName name="koefE_1.1.2." localSheetId="21">#REF!</definedName>
    <definedName name="koefE_1.1.2." localSheetId="30">#REF!</definedName>
    <definedName name="koefE_1.1.2." localSheetId="20">#REF!</definedName>
    <definedName name="koefE_1.1.2." localSheetId="29">#REF!</definedName>
    <definedName name="koefE_1.1.2." localSheetId="26">#REF!</definedName>
    <definedName name="koefE_1.1.2.">#REF!</definedName>
    <definedName name="koefT_1.2." localSheetId="47">#REF!</definedName>
    <definedName name="koefT_1.2." localSheetId="31">#REF!</definedName>
    <definedName name="koefT_1.2." localSheetId="18">#REF!</definedName>
    <definedName name="koefT_1.2." localSheetId="27">#REF!</definedName>
    <definedName name="koefT_1.2." localSheetId="13">#REF!</definedName>
    <definedName name="koefT_1.2." localSheetId="16">#REF!</definedName>
    <definedName name="koefT_1.2." localSheetId="21">#REF!</definedName>
    <definedName name="koefT_1.2." localSheetId="30">#REF!</definedName>
    <definedName name="koefT_1.2." localSheetId="20">#REF!</definedName>
    <definedName name="koefT_1.2." localSheetId="29">#REF!</definedName>
    <definedName name="koefT_1.2." localSheetId="26">#REF!</definedName>
    <definedName name="koefT_1.2.">#REF!</definedName>
    <definedName name="kot" hidden="1">{#N/A,#N/A,FALSE,"9PS0"}</definedName>
    <definedName name="l">[10]Ф2!$F$4</definedName>
    <definedName name="LastDataLev">[6]Ini!$C$46</definedName>
    <definedName name="LastDtLev">[6]Ini!$C$38</definedName>
    <definedName name="LastItem" localSheetId="45">[11]Лист1!$A$1</definedName>
    <definedName name="LastItem">[12]Лист1!$A$1</definedName>
    <definedName name="LevNames">[6]Ini!$C$40:$C$44</definedName>
    <definedName name="Ltke22_LTKE1_0798__3__Таблица" localSheetId="47">#REF!</definedName>
    <definedName name="Ltke22_LTKE1_0798__3__Таблица" localSheetId="31">#REF!</definedName>
    <definedName name="Ltke22_LTKE1_0798__3__Таблица" localSheetId="27">#REF!</definedName>
    <definedName name="Ltke22_LTKE1_0798__3__Таблица" localSheetId="13">#REF!</definedName>
    <definedName name="Ltke22_LTKE1_0798__3__Таблица" localSheetId="16">#REF!</definedName>
    <definedName name="Ltke22_LTKE1_0798__3__Таблица" localSheetId="30">#REF!</definedName>
    <definedName name="Ltke22_LTKE1_0798__3__Таблица" localSheetId="29">#REF!</definedName>
    <definedName name="Ltke22_LTKE1_0798__3__Таблица" localSheetId="26">#REF!</definedName>
    <definedName name="Ltke22_LTKE1_0798__3__Таблица">#REF!</definedName>
    <definedName name="QКТМ" localSheetId="47">[2]рік!#REF!</definedName>
    <definedName name="QКТМ" localSheetId="31">[2]рік!#REF!</definedName>
    <definedName name="QКТМ" localSheetId="18">[2]рік!#REF!</definedName>
    <definedName name="QКТМ" localSheetId="27">[2]рік!#REF!</definedName>
    <definedName name="QКТМ" localSheetId="103">[3]рік!#REF!</definedName>
    <definedName name="QКТМ" localSheetId="13">[2]рік!#REF!</definedName>
    <definedName name="QКТМ" localSheetId="16">[2]рік!#REF!</definedName>
    <definedName name="QКТМ" localSheetId="21">[2]рік!#REF!</definedName>
    <definedName name="QКТМ" localSheetId="30">[2]рік!#REF!</definedName>
    <definedName name="QКТМ" localSheetId="20">[2]рік!#REF!</definedName>
    <definedName name="QКТМ" localSheetId="29">[2]рік!#REF!</definedName>
    <definedName name="QКТМ" localSheetId="26">[2]рік!#REF!</definedName>
    <definedName name="QКТМ">[2]рік!#REF!</definedName>
    <definedName name="QКТМ1" localSheetId="47">[2]рік!#REF!</definedName>
    <definedName name="QКТМ1" localSheetId="31">[2]рік!#REF!</definedName>
    <definedName name="QКТМ1" localSheetId="18">[2]рік!#REF!</definedName>
    <definedName name="QКТМ1" localSheetId="27">[2]рік!#REF!</definedName>
    <definedName name="QКТМ1" localSheetId="103">[3]рік!#REF!</definedName>
    <definedName name="QКТМ1" localSheetId="13">[2]рік!#REF!</definedName>
    <definedName name="QКТМ1" localSheetId="16">[2]рік!#REF!</definedName>
    <definedName name="QКТМ1" localSheetId="21">[2]рік!#REF!</definedName>
    <definedName name="QКТМ1" localSheetId="30">[2]рік!#REF!</definedName>
    <definedName name="QКТМ1" localSheetId="20">[2]рік!#REF!</definedName>
    <definedName name="QКТМ1" localSheetId="29">[2]рік!#REF!</definedName>
    <definedName name="QКТМ1" localSheetId="26">[2]рік!#REF!</definedName>
    <definedName name="QКТМ1">[2]рік!#REF!</definedName>
    <definedName name="Qрозрах" localSheetId="47">[2]рік!#REF!</definedName>
    <definedName name="Qрозрах" localSheetId="31">[2]рік!#REF!</definedName>
    <definedName name="Qрозрах" localSheetId="18">[2]рік!#REF!</definedName>
    <definedName name="Qрозрах" localSheetId="27">[2]рік!#REF!</definedName>
    <definedName name="Qрозрах" localSheetId="103">[3]рік!#REF!</definedName>
    <definedName name="Qрозрах" localSheetId="13">[2]рік!#REF!</definedName>
    <definedName name="Qрозрах" localSheetId="16">[2]рік!#REF!</definedName>
    <definedName name="Qрозрах" localSheetId="21">[2]рік!#REF!</definedName>
    <definedName name="Qрозрах" localSheetId="30">[2]рік!#REF!</definedName>
    <definedName name="Qрозрах" localSheetId="20">[2]рік!#REF!</definedName>
    <definedName name="Qрозрах" localSheetId="29">[2]рік!#REF!</definedName>
    <definedName name="Qрозрах" localSheetId="26">[2]рік!#REF!</definedName>
    <definedName name="Qрозрах">[2]рік!#REF!</definedName>
    <definedName name="ReportsList" localSheetId="47">#REF!</definedName>
    <definedName name="ReportsList" localSheetId="31">#REF!</definedName>
    <definedName name="ReportsList" localSheetId="18">#REF!</definedName>
    <definedName name="ReportsList" localSheetId="27">#REF!</definedName>
    <definedName name="ReportsList" localSheetId="13">#REF!</definedName>
    <definedName name="ReportsList" localSheetId="16">#REF!</definedName>
    <definedName name="ReportsList" localSheetId="21">#REF!</definedName>
    <definedName name="ReportsList" localSheetId="30">#REF!</definedName>
    <definedName name="ReportsList" localSheetId="20">#REF!</definedName>
    <definedName name="ReportsList" localSheetId="29">#REF!</definedName>
    <definedName name="ReportsList" localSheetId="26">#REF!</definedName>
    <definedName name="ReportsList">#REF!</definedName>
    <definedName name="s" hidden="1">{#N/A,#N/A,FALSE,"9PS0"}</definedName>
    <definedName name="ShowFil" localSheetId="47">[12]!ShowFil</definedName>
    <definedName name="ShowFil" localSheetId="31">[12]!ShowFil</definedName>
    <definedName name="ShowFil" localSheetId="18">[12]!ShowFil</definedName>
    <definedName name="ShowFil" localSheetId="27">[12]!ShowFil</definedName>
    <definedName name="ShowFil" localSheetId="11">[12]!ShowFil</definedName>
    <definedName name="ShowFil" localSheetId="13">[12]!ShowFil</definedName>
    <definedName name="ShowFil" localSheetId="12">[12]!ShowFil</definedName>
    <definedName name="ShowFil" localSheetId="16">[12]!ShowFil</definedName>
    <definedName name="ShowFil" localSheetId="34">[12]!ShowFil</definedName>
    <definedName name="ShowFil" localSheetId="21">[12]!ShowFil</definedName>
    <definedName name="ShowFil" localSheetId="30">[12]!ShowFil</definedName>
    <definedName name="ShowFil" localSheetId="20">[12]!ShowFil</definedName>
    <definedName name="ShowFil" localSheetId="29">[12]!ShowFil</definedName>
    <definedName name="ShowFil" localSheetId="45">[11]!ShowFil</definedName>
    <definedName name="ShowFil" localSheetId="26">[12]!ShowFil</definedName>
    <definedName name="ShowFil">[12]!ShowFil</definedName>
    <definedName name="Skk" localSheetId="47">[13]рік!#REF!</definedName>
    <definedName name="Skk" localSheetId="31">[13]рік!#REF!</definedName>
    <definedName name="Skk" localSheetId="18">[13]рік!#REF!</definedName>
    <definedName name="Skk" localSheetId="27">[13]рік!#REF!</definedName>
    <definedName name="Skk" localSheetId="103">[14]рік!#REF!</definedName>
    <definedName name="Skk" localSheetId="13">[13]рік!#REF!</definedName>
    <definedName name="Skk" localSheetId="16">[13]рік!#REF!</definedName>
    <definedName name="Skk" localSheetId="21">[13]рік!#REF!</definedName>
    <definedName name="Skk" localSheetId="30">[13]рік!#REF!</definedName>
    <definedName name="Skk" localSheetId="20">[13]рік!#REF!</definedName>
    <definedName name="Skk" localSheetId="29">[13]рік!#REF!</definedName>
    <definedName name="Skk" localSheetId="26">[13]рік!#REF!</definedName>
    <definedName name="Skk">[13]рік!#REF!</definedName>
    <definedName name="solver_drv" hidden="1">1</definedName>
    <definedName name="solver_est" hidden="1">1</definedName>
    <definedName name="solver_itr" hidden="1">100</definedName>
    <definedName name="solver_lin" hidden="1">0</definedName>
    <definedName name="solver_num" hidden="1">0</definedName>
    <definedName name="solver_nwt" hidden="1">1</definedName>
    <definedName name="solver_opt" localSheetId="47" hidden="1">#REF!</definedName>
    <definedName name="solver_opt" localSheetId="31" hidden="1">#REF!</definedName>
    <definedName name="solver_opt" localSheetId="18" hidden="1">#REF!</definedName>
    <definedName name="solver_opt" localSheetId="27" hidden="1">#REF!</definedName>
    <definedName name="solver_opt" localSheetId="13" hidden="1">#REF!</definedName>
    <definedName name="solver_opt" localSheetId="16" hidden="1">#REF!</definedName>
    <definedName name="solver_opt" localSheetId="21" hidden="1">#REF!</definedName>
    <definedName name="solver_opt" localSheetId="30" hidden="1">#REF!</definedName>
    <definedName name="solver_opt" localSheetId="20" hidden="1">#REF!</definedName>
    <definedName name="solver_opt" localSheetId="29" hidden="1">#REF!</definedName>
    <definedName name="solver_opt" localSheetId="26" hidden="1">#REF!</definedName>
    <definedName name="solver_opt" hidden="1">#REF!</definedName>
    <definedName name="solver_pre" hidden="1">0.000001</definedName>
    <definedName name="solver_scl" hidden="1">0</definedName>
    <definedName name="solver_sho" hidden="1">0</definedName>
    <definedName name="solver_tim" hidden="1">100</definedName>
    <definedName name="solver_tmp" hidden="1">#NULL!</definedName>
    <definedName name="solver_tol" hidden="1">0.05</definedName>
    <definedName name="solver_typ" hidden="1">1</definedName>
    <definedName name="solver_val" hidden="1">0</definedName>
    <definedName name="st" localSheetId="47">#REF!</definedName>
    <definedName name="st" localSheetId="31">#REF!</definedName>
    <definedName name="st" localSheetId="18">#REF!</definedName>
    <definedName name="st" localSheetId="27">#REF!</definedName>
    <definedName name="st" localSheetId="13">#REF!</definedName>
    <definedName name="st" localSheetId="16">#REF!</definedName>
    <definedName name="st" localSheetId="21">#REF!</definedName>
    <definedName name="st" localSheetId="30">#REF!</definedName>
    <definedName name="st" localSheetId="20">#REF!</definedName>
    <definedName name="st" localSheetId="29">#REF!</definedName>
    <definedName name="st" localSheetId="26">#REF!</definedName>
    <definedName name="st">#REF!</definedName>
    <definedName name="stroka">'[15]tar ee 99'!$CT$95:$CT$110</definedName>
    <definedName name="SZFHDFHA" localSheetId="47">'[16]Вхідні дані'!#REF!</definedName>
    <definedName name="SZFHDFHA" localSheetId="31">'[16]Вхідні дані'!#REF!</definedName>
    <definedName name="SZFHDFHA" localSheetId="18">'[16]Вхідні дані'!#REF!</definedName>
    <definedName name="SZFHDFHA" localSheetId="27">'[16]Вхідні дані'!#REF!</definedName>
    <definedName name="SZFHDFHA" localSheetId="13">'[16]Вхідні дані'!#REF!</definedName>
    <definedName name="SZFHDFHA" localSheetId="16">'[16]Вхідні дані'!#REF!</definedName>
    <definedName name="SZFHDFHA" localSheetId="21">'[16]Вхідні дані'!#REF!</definedName>
    <definedName name="SZFHDFHA" localSheetId="30">'[16]Вхідні дані'!#REF!</definedName>
    <definedName name="SZFHDFHA" localSheetId="20">'[16]Вхідні дані'!#REF!</definedName>
    <definedName name="SZFHDFHA" localSheetId="29">'[16]Вхідні дані'!#REF!</definedName>
    <definedName name="SZFHDFHA" localSheetId="26">'[16]Вхідні дані'!#REF!</definedName>
    <definedName name="SZFHDFHA">'[16]Вхідні дані'!#REF!</definedName>
    <definedName name="t" hidden="1">{#N/A,#N/A,FALSE,"9PS0"}</definedName>
    <definedName name="tgfaf" localSheetId="47">#REF!</definedName>
    <definedName name="tgfaf" localSheetId="31">#REF!</definedName>
    <definedName name="tgfaf" localSheetId="27">#REF!</definedName>
    <definedName name="tgfaf" localSheetId="13">#REF!</definedName>
    <definedName name="tgfaf" localSheetId="16">#REF!</definedName>
    <definedName name="tgfaf" localSheetId="30">#REF!</definedName>
    <definedName name="tgfaf" localSheetId="29">#REF!</definedName>
    <definedName name="tgfaf" localSheetId="26">#REF!</definedName>
    <definedName name="tgfaf">#REF!</definedName>
    <definedName name="ver" hidden="1">{#N/A,#N/A,FALSE,"9PS0"}</definedName>
    <definedName name="voda100" localSheetId="47">[2]рік!#REF!</definedName>
    <definedName name="voda100" localSheetId="31">[2]рік!#REF!</definedName>
    <definedName name="voda100" localSheetId="18">[2]рік!#REF!</definedName>
    <definedName name="voda100" localSheetId="27">[2]рік!#REF!</definedName>
    <definedName name="voda100" localSheetId="103">[3]рік!#REF!</definedName>
    <definedName name="voda100" localSheetId="13">[2]рік!#REF!</definedName>
    <definedName name="voda100" localSheetId="16">[2]рік!#REF!</definedName>
    <definedName name="voda100" localSheetId="21">[2]рік!#REF!</definedName>
    <definedName name="voda100" localSheetId="30">[2]рік!#REF!</definedName>
    <definedName name="voda100" localSheetId="20">[2]рік!#REF!</definedName>
    <definedName name="voda100" localSheetId="29">[2]рік!#REF!</definedName>
    <definedName name="voda100" localSheetId="26">[2]рік!#REF!</definedName>
    <definedName name="voda100">[2]рік!#REF!</definedName>
    <definedName name="wrn.r1." hidden="1">{#N/A,#N/A,FALSE,"9PS0"}</definedName>
    <definedName name="xff1" localSheetId="47">#REF!</definedName>
    <definedName name="xff1" localSheetId="31">#REF!</definedName>
    <definedName name="xff1" localSheetId="18">#REF!</definedName>
    <definedName name="xff1" localSheetId="27">#REF!</definedName>
    <definedName name="xff1" localSheetId="103">'[4]1_Структура по елементах'!#REF!</definedName>
    <definedName name="xff1" localSheetId="11">#REF!</definedName>
    <definedName name="xff1" localSheetId="13">#REF!</definedName>
    <definedName name="xff1" localSheetId="12">#REF!</definedName>
    <definedName name="xff1" localSheetId="16">#REF!</definedName>
    <definedName name="xff1" localSheetId="34">#REF!</definedName>
    <definedName name="xff1" localSheetId="21">#REF!</definedName>
    <definedName name="xff1" localSheetId="30">#REF!</definedName>
    <definedName name="xff1" localSheetId="20">#REF!</definedName>
    <definedName name="xff1" localSheetId="29">#REF!</definedName>
    <definedName name="xff1" localSheetId="45">'[5]1_Структура по елементах'!#REF!</definedName>
    <definedName name="xff1" localSheetId="26">#REF!</definedName>
    <definedName name="xff1">#REF!</definedName>
    <definedName name="xgg" localSheetId="47">#REF!</definedName>
    <definedName name="xgg" localSheetId="31">#REF!</definedName>
    <definedName name="xgg" localSheetId="18">#REF!</definedName>
    <definedName name="xgg" localSheetId="27">#REF!</definedName>
    <definedName name="xgg" localSheetId="103">'[4]1_Структура по елементах'!#REF!</definedName>
    <definedName name="xgg" localSheetId="11">#REF!</definedName>
    <definedName name="xgg" localSheetId="13">#REF!</definedName>
    <definedName name="xgg" localSheetId="12">#REF!</definedName>
    <definedName name="xgg" localSheetId="16">#REF!</definedName>
    <definedName name="xgg" localSheetId="34">#REF!</definedName>
    <definedName name="xgg" localSheetId="21">#REF!</definedName>
    <definedName name="xgg" localSheetId="30">#REF!</definedName>
    <definedName name="xgg" localSheetId="20">#REF!</definedName>
    <definedName name="xgg" localSheetId="29">#REF!</definedName>
    <definedName name="xgg" localSheetId="45">'[5]1_Структура по елементах'!#REF!</definedName>
    <definedName name="xgg" localSheetId="26">#REF!</definedName>
    <definedName name="xgg">#REF!</definedName>
    <definedName name="xgg1" localSheetId="47">#REF!</definedName>
    <definedName name="xgg1" localSheetId="31">#REF!</definedName>
    <definedName name="xgg1" localSheetId="18">#REF!</definedName>
    <definedName name="xgg1" localSheetId="27">#REF!</definedName>
    <definedName name="xgg1" localSheetId="103">'[4]1_Структура по елементах'!#REF!</definedName>
    <definedName name="xgg1" localSheetId="11">#REF!</definedName>
    <definedName name="xgg1" localSheetId="13">#REF!</definedName>
    <definedName name="xgg1" localSheetId="12">#REF!</definedName>
    <definedName name="xgg1" localSheetId="16">#REF!</definedName>
    <definedName name="xgg1" localSheetId="34">#REF!</definedName>
    <definedName name="xgg1" localSheetId="21">#REF!</definedName>
    <definedName name="xgg1" localSheetId="30">#REF!</definedName>
    <definedName name="xgg1" localSheetId="20">#REF!</definedName>
    <definedName name="xgg1" localSheetId="29">#REF!</definedName>
    <definedName name="xgg1" localSheetId="45">'[5]1_Структура по елементах'!#REF!</definedName>
    <definedName name="xgg1" localSheetId="26">#REF!</definedName>
    <definedName name="xgg1">#REF!</definedName>
    <definedName name="xxx1" localSheetId="47">#REF!</definedName>
    <definedName name="xxx1" localSheetId="31">#REF!</definedName>
    <definedName name="xxx1" localSheetId="18">#REF!</definedName>
    <definedName name="xxx1" localSheetId="27">#REF!</definedName>
    <definedName name="xxx1" localSheetId="103">'[4]1_Структура по елементах'!#REF!</definedName>
    <definedName name="xxx1" localSheetId="11">#REF!</definedName>
    <definedName name="xxx1" localSheetId="13">#REF!</definedName>
    <definedName name="xxx1" localSheetId="12">#REF!</definedName>
    <definedName name="xxx1" localSheetId="16">#REF!</definedName>
    <definedName name="xxx1" localSheetId="34">#REF!</definedName>
    <definedName name="xxx1" localSheetId="21">#REF!</definedName>
    <definedName name="xxx1" localSheetId="30">#REF!</definedName>
    <definedName name="xxx1" localSheetId="20">#REF!</definedName>
    <definedName name="xxx1" localSheetId="29">#REF!</definedName>
    <definedName name="xxx1" localSheetId="45">'[5]1_Структура по елементах'!#REF!</definedName>
    <definedName name="xxx1" localSheetId="26">#REF!</definedName>
    <definedName name="xxx1">#REF!</definedName>
    <definedName name="Year" localSheetId="47">#REF!</definedName>
    <definedName name="Year" localSheetId="31">#REF!</definedName>
    <definedName name="Year" localSheetId="18">#REF!</definedName>
    <definedName name="Year" localSheetId="27">#REF!</definedName>
    <definedName name="Year" localSheetId="13">#REF!</definedName>
    <definedName name="Year" localSheetId="16">#REF!</definedName>
    <definedName name="Year" localSheetId="21">#REF!</definedName>
    <definedName name="Year" localSheetId="30">#REF!</definedName>
    <definedName name="Year" localSheetId="20">#REF!</definedName>
    <definedName name="Year" localSheetId="29">#REF!</definedName>
    <definedName name="Year" localSheetId="26">#REF!</definedName>
    <definedName name="Year">#REF!</definedName>
    <definedName name="Z_2B9BA360_C094_11D4_BCAF_00C026C07CB6_.wvu.Cols" hidden="1">'[17]0'!$C$1:$L$65536,'[17]0'!$P$1:$AI$65536</definedName>
    <definedName name="Z_2B9BA361_C094_11D4_BCAF_00C026C07CB6_.wvu.Cols" hidden="1">'[17]1'!$D$1:$F$65536,'[17]1'!$L$1:$AQ$65536</definedName>
    <definedName name="Z_2B9BA362_C094_11D4_BCAF_00C026C07CB6_.wvu.Cols" hidden="1">'[17]1 кв'!$C$1:$E$65536,'[17]1 кв'!$N$1:$AX$65536</definedName>
    <definedName name="Z_2B9BA363_C094_11D4_BCAF_00C026C07CB6_.wvu.Cols" hidden="1">'[17]10'!$F$1:$H$65536,'[17]10'!$P$1:$AR$65536</definedName>
    <definedName name="Z_2B9BA364_C094_11D4_BCAF_00C026C07CB6_.wvu.Cols" hidden="1">'[17]10 міс.'!$C$1:$E$65536,'[17]10 міс.'!$N$1:$AX$65536</definedName>
    <definedName name="Z_2B9BA365_C094_11D4_BCAF_00C026C07CB6_.wvu.Cols" hidden="1">'[17]11'!$F$1:$H$65536,'[17]11'!$P$1:$AR$65536</definedName>
    <definedName name="Z_2B9BA366_C094_11D4_BCAF_00C026C07CB6_.wvu.Cols" hidden="1">'[17]11 міс.'!$C$1:$E$65536,'[17]11 міс.'!$N$1:$AX$65536</definedName>
    <definedName name="Z_2B9BA367_C094_11D4_BCAF_00C026C07CB6_.wvu.Cols" hidden="1">'[17]12'!$F$1:$H$65536,'[17]12'!$P$1:$AR$65536</definedName>
    <definedName name="Z_2B9BA368_C094_11D4_BCAF_00C026C07CB6_.wvu.Cols" hidden="1">'[17]12 міс.'!$C$1:$E$65536,'[17]12 міс.'!$N$1:$AX$65536</definedName>
    <definedName name="Z_2B9BA369_C094_11D4_BCAF_00C026C07CB6_.wvu.Cols" hidden="1">'[17]1998'!$C$1:$E$65536,'[17]1998'!$I$1:$AC$65536</definedName>
    <definedName name="Z_2B9BA36A_C094_11D4_BCAF_00C026C07CB6_.wvu.Cols" hidden="1">'[17]1півр'!$C$1:$E$65536,'[17]1півр'!$N$1:$AX$65536</definedName>
    <definedName name="Z_2B9BA36B_C094_11D4_BCAF_00C026C07CB6_.wvu.Cols" hidden="1">'[17]2'!$F$1:$H$65536,'[17]2'!$P$1:$AQ$65536</definedName>
    <definedName name="Z_2B9BA36C_C094_11D4_BCAF_00C026C07CB6_.wvu.Cols" hidden="1">'[17]2 кв'!$C$1:$E$65536,'[17]2 кв'!$M$1:$AW$65536</definedName>
    <definedName name="Z_2B9BA36D_C094_11D4_BCAF_00C026C07CB6_.wvu.Cols" hidden="1">'[17]2 утв'!$F$1:$H$65536,'[17]2 утв'!$P$1:$AM$65536</definedName>
    <definedName name="Z_2B9BA36E_C094_11D4_BCAF_00C026C07CB6_.wvu.Cols" hidden="1">'[17]3 не сокр.'!$F$1:$H$65536,'[17]3 не сокр.'!$P$1:$AQ$65536</definedName>
    <definedName name="Z_2B9BA36F_C094_11D4_BCAF_00C026C07CB6_.wvu.Cols" hidden="1">'[17]3 тар.'!$C$1:$E$65536,'[17]3 тар.'!$I$1:$AO$65536</definedName>
    <definedName name="Z_2B9BA370_C094_11D4_BCAF_00C026C07CB6_.wvu.Cols" hidden="1">'[17]3 утв.'!$F$1:$H$65536,'[17]3 утв.'!$P$1:$AQ$65536</definedName>
    <definedName name="Z_2B9BA371_C094_11D4_BCAF_00C026C07CB6_.wvu.Cols" hidden="1">'[17]3кв'!$C$1:$E$65536,'[17]3кв'!$N$1:$AX$65536</definedName>
    <definedName name="Z_2B9BA372_C094_11D4_BCAF_00C026C07CB6_.wvu.Cols" hidden="1">'[17]3кв '!$C$1:$E$65536,'[17]3кв '!$I$1:$AA$65536</definedName>
    <definedName name="Z_2B9BA373_C094_11D4_BCAF_00C026C07CB6_.wvu.Cols" hidden="1">'[17]4 утв'!$F$1:$H$65536,'[17]4 утв'!$P$1:$AR$65536</definedName>
    <definedName name="Z_2B9BA374_C094_11D4_BCAF_00C026C07CB6_.wvu.Cols" hidden="1">'[17]5'!$F$1:$H$65536,'[17]5'!$P$1:$AR$65536</definedName>
    <definedName name="Z_2B9BA375_C094_11D4_BCAF_00C026C07CB6_.wvu.Cols" hidden="1">'[17]6'!$F$1:$H$65536,'[17]6'!$P$1:$AR$65536</definedName>
    <definedName name="Z_2B9BA376_C094_11D4_BCAF_00C026C07CB6_.wvu.Cols" hidden="1">'[17]7'!$F$1:$H$65536,'[17]7'!$P$1:$AR$65536</definedName>
    <definedName name="Z_2B9BA377_C094_11D4_BCAF_00C026C07CB6_.wvu.Cols" hidden="1">'[17]7 міс'!$C$1:$E$65536,'[17]7 міс'!$N$1:$AX$65536</definedName>
    <definedName name="Z_2B9BA378_C094_11D4_BCAF_00C026C07CB6_.wvu.Cols" hidden="1">'[17]8'!$F$1:$H$65536,'[17]8'!$P$1:$AR$65536</definedName>
    <definedName name="Z_2B9BA379_C094_11D4_BCAF_00C026C07CB6_.wvu.Cols" hidden="1">'[17]8 міс.'!$C$1:$E$65536,'[17]8 міс.'!$N$1:$AX$65536</definedName>
    <definedName name="Z_2B9BA37A_C094_11D4_BCAF_00C026C07CB6_.wvu.Cols" hidden="1">'[17]812'!$F$1:$H$65536,'[17]812'!$P$1:$AM$65536</definedName>
    <definedName name="Z_2B9BA37B_C094_11D4_BCAF_00C026C07CB6_.wvu.Cols" hidden="1">'[17]812 (2)'!$F$1:$H$65536,'[17]812 (2)'!$P$1:$AL$65536</definedName>
    <definedName name="Z_2B9BA37C_C094_11D4_BCAF_00C026C07CB6_.wvu.Cols" hidden="1">'[17]9'!$F$1:$H$65536,'[17]9'!$P$1:$AP$65536</definedName>
    <definedName name="Z_2B9BA37D_C094_11D4_BCAF_00C026C07CB6_.wvu.Cols" hidden="1">'[17]9 (2)'!$C$1:$E$65536,'[17]9 (2)'!$I$1:$AF$65536</definedName>
    <definedName name="Z_2B9BA37E_C094_11D4_BCAF_00C026C07CB6_.wvu.Cols" hidden="1">'[17]9 міс.'!$C$1:$E$65536,'[17]9 міс.'!$N$1:$AX$65536</definedName>
    <definedName name="Z_F5654560_D292_11D4_BCAF_00C026C07CB6_.wvu.Cols" hidden="1">'[17]0'!$C$1:$L$65536,'[17]0'!$P$1:$AI$65536</definedName>
    <definedName name="Z_F5654561_D292_11D4_BCAF_00C026C07CB6_.wvu.Cols" hidden="1">'[17]1'!$D$1:$F$65536,'[17]1'!$L$1:$AQ$65536</definedName>
    <definedName name="Z_F5654562_D292_11D4_BCAF_00C026C07CB6_.wvu.Cols" hidden="1">'[17]1 кв'!$C$1:$E$65536,'[17]1 кв'!$N$1:$AX$65536</definedName>
    <definedName name="Z_F5654563_D292_11D4_BCAF_00C026C07CB6_.wvu.Cols" hidden="1">'[17]10'!$F$1:$H$65536,'[17]10'!$P$1:$AR$65536</definedName>
    <definedName name="Z_F5654564_D292_11D4_BCAF_00C026C07CB6_.wvu.Cols" hidden="1">'[17]10 міс.'!$C$1:$E$65536,'[17]10 міс.'!$N$1:$AX$65536</definedName>
    <definedName name="Z_F5654565_D292_11D4_BCAF_00C026C07CB6_.wvu.Cols" hidden="1">'[17]11'!$F$1:$H$65536,'[17]11'!$P$1:$AR$65536</definedName>
    <definedName name="Z_F5654566_D292_11D4_BCAF_00C026C07CB6_.wvu.Cols" hidden="1">'[17]11 міс.'!$C$1:$E$65536,'[17]11 міс.'!$N$1:$AX$65536</definedName>
    <definedName name="Z_F5654567_D292_11D4_BCAF_00C026C07CB6_.wvu.Cols" hidden="1">'[17]12'!$F$1:$H$65536,'[17]12'!$P$1:$AR$65536</definedName>
    <definedName name="Z_F5654568_D292_11D4_BCAF_00C026C07CB6_.wvu.Cols" hidden="1">'[17]12 міс.'!$C$1:$E$65536,'[17]12 міс.'!$N$1:$AX$65536</definedName>
    <definedName name="Z_F5654569_D292_11D4_BCAF_00C026C07CB6_.wvu.Cols" hidden="1">'[17]1998'!$C$1:$E$65536,'[17]1998'!$I$1:$AC$65536</definedName>
    <definedName name="Z_F565456A_D292_11D4_BCAF_00C026C07CB6_.wvu.Cols" hidden="1">'[17]1півр'!$C$1:$E$65536,'[17]1півр'!$N$1:$AX$65536</definedName>
    <definedName name="Z_F565456B_D292_11D4_BCAF_00C026C07CB6_.wvu.Cols" hidden="1">'[17]2'!$F$1:$H$65536,'[17]2'!$P$1:$AQ$65536</definedName>
    <definedName name="Z_F565456C_D292_11D4_BCAF_00C026C07CB6_.wvu.Cols" hidden="1">'[17]2 кв'!$C$1:$E$65536,'[17]2 кв'!$M$1:$AW$65536</definedName>
    <definedName name="Z_F565456D_D292_11D4_BCAF_00C026C07CB6_.wvu.Cols" hidden="1">'[17]2 утв'!$F$1:$H$65536,'[17]2 утв'!$P$1:$AM$65536</definedName>
    <definedName name="Z_F565456E_D292_11D4_BCAF_00C026C07CB6_.wvu.Cols" hidden="1">'[17]3 не сокр.'!$F$1:$H$65536,'[17]3 не сокр.'!$P$1:$AQ$65536</definedName>
    <definedName name="Z_F565456F_D292_11D4_BCAF_00C026C07CB6_.wvu.Cols" hidden="1">'[17]3 тар.'!$C$1:$E$65536,'[17]3 тар.'!$I$1:$AO$65536</definedName>
    <definedName name="Z_F5654570_D292_11D4_BCAF_00C026C07CB6_.wvu.Cols" hidden="1">'[17]3 утв.'!$F$1:$H$65536,'[17]3 утв.'!$P$1:$AQ$65536</definedName>
    <definedName name="Z_F5654571_D292_11D4_BCAF_00C026C07CB6_.wvu.Cols" hidden="1">'[17]3кв'!$C$1:$E$65536,'[17]3кв'!$N$1:$AX$65536</definedName>
    <definedName name="Z_F5654572_D292_11D4_BCAF_00C026C07CB6_.wvu.Cols" hidden="1">'[17]3кв '!$C$1:$E$65536,'[17]3кв '!$I$1:$AA$65536</definedName>
    <definedName name="Z_F5654573_D292_11D4_BCAF_00C026C07CB6_.wvu.Cols" hidden="1">'[17]4 утв'!$F$1:$H$65536,'[17]4 утв'!$P$1:$AR$65536</definedName>
    <definedName name="Z_F5654574_D292_11D4_BCAF_00C026C07CB6_.wvu.Cols" hidden="1">'[17]5'!$F$1:$H$65536,'[17]5'!$P$1:$AR$65536</definedName>
    <definedName name="Z_F5654575_D292_11D4_BCAF_00C026C07CB6_.wvu.Cols" hidden="1">'[17]6'!$F$1:$H$65536,'[17]6'!$P$1:$AR$65536</definedName>
    <definedName name="Z_F5654576_D292_11D4_BCAF_00C026C07CB6_.wvu.Cols" hidden="1">'[17]7'!$F$1:$H$65536,'[17]7'!$P$1:$AR$65536</definedName>
    <definedName name="Z_F5654577_D292_11D4_BCAF_00C026C07CB6_.wvu.Cols" hidden="1">'[17]7 міс'!$C$1:$E$65536,'[17]7 міс'!$N$1:$AX$65536</definedName>
    <definedName name="Z_F5654578_D292_11D4_BCAF_00C026C07CB6_.wvu.Cols" hidden="1">'[17]8'!$F$1:$H$65536,'[17]8'!$P$1:$AR$65536</definedName>
    <definedName name="Z_F5654579_D292_11D4_BCAF_00C026C07CB6_.wvu.Cols" hidden="1">'[17]8 міс.'!$C$1:$E$65536,'[17]8 міс.'!$N$1:$AX$65536</definedName>
    <definedName name="Z_F565457A_D292_11D4_BCAF_00C026C07CB6_.wvu.Cols" hidden="1">'[17]812'!$F$1:$H$65536,'[17]812'!$P$1:$AM$65536</definedName>
    <definedName name="Z_F565457B_D292_11D4_BCAF_00C026C07CB6_.wvu.Cols" hidden="1">'[17]812 (2)'!$F$1:$H$65536,'[17]812 (2)'!$P$1:$AL$65536</definedName>
    <definedName name="Z_F565457C_D292_11D4_BCAF_00C026C07CB6_.wvu.Cols" hidden="1">'[17]9'!$F$1:$H$65536,'[17]9'!$P$1:$AP$65536</definedName>
    <definedName name="Z_F565457D_D292_11D4_BCAF_00C026C07CB6_.wvu.Cols" hidden="1">'[17]9 (2)'!$C$1:$E$65536,'[17]9 (2)'!$I$1:$AF$65536</definedName>
    <definedName name="Z_F565457E_D292_11D4_BCAF_00C026C07CB6_.wvu.Cols" hidden="1">'[17]9 міс.'!$C$1:$E$65536,'[17]9 міс.'!$N$1:$AX$65536</definedName>
    <definedName name="zzz1" localSheetId="47">#REF!</definedName>
    <definedName name="zzz1" localSheetId="31">#REF!</definedName>
    <definedName name="zzz1" localSheetId="18">#REF!</definedName>
    <definedName name="zzz1" localSheetId="27">#REF!</definedName>
    <definedName name="zzz1" localSheetId="103">'[4]1_Структура по елементах'!#REF!</definedName>
    <definedName name="zzz1" localSheetId="11">#REF!</definedName>
    <definedName name="zzz1" localSheetId="13">#REF!</definedName>
    <definedName name="zzz1" localSheetId="12">#REF!</definedName>
    <definedName name="zzz1" localSheetId="16">#REF!</definedName>
    <definedName name="zzz1" localSheetId="34">#REF!</definedName>
    <definedName name="zzz1" localSheetId="21">#REF!</definedName>
    <definedName name="zzz1" localSheetId="30">#REF!</definedName>
    <definedName name="zzz1" localSheetId="20">#REF!</definedName>
    <definedName name="zzz1" localSheetId="29">#REF!</definedName>
    <definedName name="zzz1" localSheetId="45">'[5]1_Структура по елементах'!#REF!</definedName>
    <definedName name="zzz1" localSheetId="26">#REF!</definedName>
    <definedName name="zzz1">#REF!</definedName>
    <definedName name="А1" localSheetId="47">#REF!</definedName>
    <definedName name="А1" localSheetId="31">#REF!</definedName>
    <definedName name="А1" localSheetId="18">#REF!</definedName>
    <definedName name="А1" localSheetId="27">#REF!</definedName>
    <definedName name="А1" localSheetId="13">#REF!</definedName>
    <definedName name="А1" localSheetId="16">#REF!</definedName>
    <definedName name="А1" localSheetId="21">#REF!</definedName>
    <definedName name="А1" localSheetId="30">#REF!</definedName>
    <definedName name="А1" localSheetId="20">#REF!</definedName>
    <definedName name="А1" localSheetId="29">#REF!</definedName>
    <definedName name="А1" localSheetId="26">#REF!</definedName>
    <definedName name="А1">#REF!</definedName>
    <definedName name="ааола" localSheetId="47">#REF!</definedName>
    <definedName name="ааола" localSheetId="31">#REF!</definedName>
    <definedName name="ааола" localSheetId="18">#REF!</definedName>
    <definedName name="ааола" localSheetId="27">#REF!</definedName>
    <definedName name="ааола" localSheetId="13">#REF!</definedName>
    <definedName name="ааола" localSheetId="16">#REF!</definedName>
    <definedName name="ааола" localSheetId="21">#REF!</definedName>
    <definedName name="ааола" localSheetId="30">#REF!</definedName>
    <definedName name="ааола" localSheetId="20">#REF!</definedName>
    <definedName name="ааола" localSheetId="29">#REF!</definedName>
    <definedName name="ааола" localSheetId="26">#REF!</definedName>
    <definedName name="ааола">#REF!</definedName>
    <definedName name="АвтоподборВС" localSheetId="47">#REF!</definedName>
    <definedName name="АвтоподборВС" localSheetId="31">#REF!</definedName>
    <definedName name="АвтоподборВС" localSheetId="18">#REF!</definedName>
    <definedName name="АвтоподборВС" localSheetId="27">#REF!</definedName>
    <definedName name="АвтоподборВС" localSheetId="11">#REF!</definedName>
    <definedName name="АвтоподборВС" localSheetId="13">#REF!</definedName>
    <definedName name="АвтоподборВС" localSheetId="12">#REF!</definedName>
    <definedName name="АвтоподборВС" localSheetId="16">#REF!</definedName>
    <definedName name="АвтоподборВС" localSheetId="34">#REF!</definedName>
    <definedName name="АвтоподборВС" localSheetId="21">#REF!</definedName>
    <definedName name="АвтоподборВС" localSheetId="30">#REF!</definedName>
    <definedName name="АвтоподборВС" localSheetId="20">#REF!</definedName>
    <definedName name="АвтоподборВС" localSheetId="29">#REF!</definedName>
    <definedName name="АвтоподборВС" localSheetId="26">#REF!</definedName>
    <definedName name="АвтоподборВС">#REF!</definedName>
    <definedName name="аеочапо" localSheetId="47">#REF!</definedName>
    <definedName name="аеочапо" localSheetId="31">#REF!</definedName>
    <definedName name="аеочапо" localSheetId="18">#REF!</definedName>
    <definedName name="аеочапо" localSheetId="27">#REF!</definedName>
    <definedName name="аеочапо" localSheetId="13">#REF!</definedName>
    <definedName name="аеочапо" localSheetId="16">#REF!</definedName>
    <definedName name="аеочапо" localSheetId="21">#REF!</definedName>
    <definedName name="аеочапо" localSheetId="30">#REF!</definedName>
    <definedName name="аеочапо" localSheetId="20">#REF!</definedName>
    <definedName name="аеочапо" localSheetId="29">#REF!</definedName>
    <definedName name="аеочапо" localSheetId="26">#REF!</definedName>
    <definedName name="аеочапо">#REF!</definedName>
    <definedName name="ап" localSheetId="47">#REF!</definedName>
    <definedName name="ап" localSheetId="31">#REF!</definedName>
    <definedName name="ап" localSheetId="18">#REF!</definedName>
    <definedName name="ап" localSheetId="27">#REF!</definedName>
    <definedName name="ап" localSheetId="13">#REF!</definedName>
    <definedName name="ап" localSheetId="16">#REF!</definedName>
    <definedName name="ап" localSheetId="21">#REF!</definedName>
    <definedName name="ап" localSheetId="30">#REF!</definedName>
    <definedName name="ап" localSheetId="20">#REF!</definedName>
    <definedName name="ап" localSheetId="29">#REF!</definedName>
    <definedName name="ап" localSheetId="26">#REF!</definedName>
    <definedName name="ап">#REF!</definedName>
    <definedName name="_xlnm.Database" localSheetId="47">#REF!</definedName>
    <definedName name="_xlnm.Database" localSheetId="31">#REF!</definedName>
    <definedName name="_xlnm.Database" localSheetId="18">#REF!</definedName>
    <definedName name="_xlnm.Database" localSheetId="27">#REF!</definedName>
    <definedName name="_xlnm.Database" localSheetId="13">#REF!</definedName>
    <definedName name="_xlnm.Database" localSheetId="16">#REF!</definedName>
    <definedName name="_xlnm.Database" localSheetId="21">#REF!</definedName>
    <definedName name="_xlnm.Database" localSheetId="30">#REF!</definedName>
    <definedName name="_xlnm.Database" localSheetId="20">#REF!</definedName>
    <definedName name="_xlnm.Database" localSheetId="29">#REF!</definedName>
    <definedName name="_xlnm.Database" localSheetId="26">#REF!</definedName>
    <definedName name="_xlnm.Database">#REF!</definedName>
    <definedName name="База_данных_ИМ" localSheetId="47">#REF!</definedName>
    <definedName name="База_данных_ИМ" localSheetId="31">#REF!</definedName>
    <definedName name="База_данных_ИМ" localSheetId="18">#REF!</definedName>
    <definedName name="База_данных_ИМ" localSheetId="27">#REF!</definedName>
    <definedName name="База_данных_ИМ" localSheetId="13">#REF!</definedName>
    <definedName name="База_данных_ИМ" localSheetId="16">#REF!</definedName>
    <definedName name="База_данных_ИМ" localSheetId="21">#REF!</definedName>
    <definedName name="База_данных_ИМ" localSheetId="30">#REF!</definedName>
    <definedName name="База_данных_ИМ" localSheetId="20">#REF!</definedName>
    <definedName name="База_данных_ИМ" localSheetId="29">#REF!</definedName>
    <definedName name="База_данных_ИМ" localSheetId="26">#REF!</definedName>
    <definedName name="База_данных_ИМ">#REF!</definedName>
    <definedName name="Баланс">[0]!Баланс</definedName>
    <definedName name="Безраб" localSheetId="47">#REF!</definedName>
    <definedName name="Безраб" localSheetId="31">#REF!</definedName>
    <definedName name="Безраб" localSheetId="18">#REF!</definedName>
    <definedName name="Безраб" localSheetId="27">#REF!</definedName>
    <definedName name="Безраб" localSheetId="13">#REF!</definedName>
    <definedName name="Безраб" localSheetId="16">#REF!</definedName>
    <definedName name="Безраб" localSheetId="21">#REF!</definedName>
    <definedName name="Безраб" localSheetId="30">#REF!</definedName>
    <definedName name="Безраб" localSheetId="20">#REF!</definedName>
    <definedName name="Безраб" localSheetId="29">#REF!</definedName>
    <definedName name="Безраб" localSheetId="26">#REF!</definedName>
    <definedName name="Безраб">#REF!</definedName>
    <definedName name="бер">'[18]812'!$P$1:$P$65536</definedName>
    <definedName name="БПн">[19]Ф2!$E$2</definedName>
    <definedName name="бюдж_п">[20]м_812!$I$1:$I$65536</definedName>
    <definedName name="Бюдж1" localSheetId="47">[2]рік!#REF!</definedName>
    <definedName name="Бюдж1" localSheetId="31">[2]рік!#REF!</definedName>
    <definedName name="Бюдж1" localSheetId="18">[2]рік!#REF!</definedName>
    <definedName name="Бюдж1" localSheetId="27">[2]рік!#REF!</definedName>
    <definedName name="Бюдж1" localSheetId="103">[3]рік!#REF!</definedName>
    <definedName name="Бюдж1" localSheetId="13">[2]рік!#REF!</definedName>
    <definedName name="Бюдж1" localSheetId="16">[2]рік!#REF!</definedName>
    <definedName name="Бюдж1" localSheetId="21">[2]рік!#REF!</definedName>
    <definedName name="Бюдж1" localSheetId="30">[2]рік!#REF!</definedName>
    <definedName name="Бюдж1" localSheetId="20">[2]рік!#REF!</definedName>
    <definedName name="Бюдж1" localSheetId="29">[2]рік!#REF!</definedName>
    <definedName name="Бюдж1" localSheetId="26">[2]рік!#REF!</definedName>
    <definedName name="Бюдж1">[2]рік!#REF!</definedName>
    <definedName name="Бюдж2" localSheetId="47">[2]рік!#REF!</definedName>
    <definedName name="Бюдж2" localSheetId="31">[2]рік!#REF!</definedName>
    <definedName name="Бюдж2" localSheetId="18">[2]рік!#REF!</definedName>
    <definedName name="Бюдж2" localSheetId="27">[2]рік!#REF!</definedName>
    <definedName name="Бюдж2" localSheetId="103">[3]рік!#REF!</definedName>
    <definedName name="Бюдж2" localSheetId="13">[2]рік!#REF!</definedName>
    <definedName name="Бюдж2" localSheetId="16">[2]рік!#REF!</definedName>
    <definedName name="Бюдж2" localSheetId="21">[2]рік!#REF!</definedName>
    <definedName name="Бюдж2" localSheetId="30">[2]рік!#REF!</definedName>
    <definedName name="Бюдж2" localSheetId="20">[2]рік!#REF!</definedName>
    <definedName name="Бюдж2" localSheetId="29">[2]рік!#REF!</definedName>
    <definedName name="Бюдж2" localSheetId="26">[2]рік!#REF!</definedName>
    <definedName name="Бюдж2">[2]рік!#REF!</definedName>
    <definedName name="вадлрфпвдаот" localSheetId="47">#REF!</definedName>
    <definedName name="вадлрфпвдаот" localSheetId="31">#REF!</definedName>
    <definedName name="вадлрфпвдаот" localSheetId="18">#REF!</definedName>
    <definedName name="вадлрфпвдаот" localSheetId="27">#REF!</definedName>
    <definedName name="вадлрфпвдаот" localSheetId="13">#REF!</definedName>
    <definedName name="вадлрфпвдаот" localSheetId="16">#REF!</definedName>
    <definedName name="вадлрфпвдаот" localSheetId="21">#REF!</definedName>
    <definedName name="вадлрфпвдаот" localSheetId="30">#REF!</definedName>
    <definedName name="вадлрфпвдаот" localSheetId="20">#REF!</definedName>
    <definedName name="вадлрфпвдаот" localSheetId="29">#REF!</definedName>
    <definedName name="вадлрфпвдаот" localSheetId="26">#REF!</definedName>
    <definedName name="вадлрфпвдаот">#REF!</definedName>
    <definedName name="ВДЛпрфюпод" localSheetId="47">'[16]Вхідні дані'!#REF!</definedName>
    <definedName name="ВДЛпрфюпод" localSheetId="31">'[16]Вхідні дані'!#REF!</definedName>
    <definedName name="ВДЛпрфюпод" localSheetId="18">'[16]Вхідні дані'!#REF!</definedName>
    <definedName name="ВДЛпрфюпод" localSheetId="27">'[16]Вхідні дані'!#REF!</definedName>
    <definedName name="ВДЛпрфюпод" localSheetId="13">'[16]Вхідні дані'!#REF!</definedName>
    <definedName name="ВДЛпрфюпод" localSheetId="16">'[16]Вхідні дані'!#REF!</definedName>
    <definedName name="ВДЛпрфюпод" localSheetId="21">'[16]Вхідні дані'!#REF!</definedName>
    <definedName name="ВДЛпрфюпод" localSheetId="30">'[16]Вхідні дані'!#REF!</definedName>
    <definedName name="ВДЛпрфюпод" localSheetId="20">'[16]Вхідні дані'!#REF!</definedName>
    <definedName name="ВДЛпрфюпод" localSheetId="29">'[16]Вхідні дані'!#REF!</definedName>
    <definedName name="ВДЛпрфюпод" localSheetId="26">'[16]Вхідні дані'!#REF!</definedName>
    <definedName name="ВДЛпрфюпод">'[16]Вхідні дані'!#REF!</definedName>
    <definedName name="вер">'[18]812'!$X$1:$X$65536</definedName>
    <definedName name="врівар" localSheetId="47">#REF!</definedName>
    <definedName name="врівар" localSheetId="31">#REF!</definedName>
    <definedName name="врівар" localSheetId="18">#REF!</definedName>
    <definedName name="врівар" localSheetId="27">#REF!</definedName>
    <definedName name="врівар" localSheetId="13">#REF!</definedName>
    <definedName name="врівар" localSheetId="16">#REF!</definedName>
    <definedName name="врівар" localSheetId="21">#REF!</definedName>
    <definedName name="врівар" localSheetId="30">#REF!</definedName>
    <definedName name="врівар" localSheetId="20">#REF!</definedName>
    <definedName name="врівар" localSheetId="29">#REF!</definedName>
    <definedName name="врівар" localSheetId="26">#REF!</definedName>
    <definedName name="врівар">#REF!</definedName>
    <definedName name="Встав">[21]Коригування!$W$9:$W$2131,[21]Коригування!$AF$9:$AH$2131,[21]Коригування!$AM$9:$AM$2131,[21]Коригування!$AO$9:$AO$2131,[21]Коригування!$AQ$9:$AQ$2131,[21]Коригування!$AU$9:$AU$2131,[21]Коригування!$AW$9:$AW$2131+[21]Коригування!$AY$9:$BD$2131,[21]Коригування!$BG$9:$BP$2131,[21]Коригування!$BY$9:$BY$2131,[21]Коригування!$CF$9:$CG$2131,[21]Коригування!$CJ$9:$CO$2131,[21]Коригування!$CX$9:$CY$2131,[21]Коригування!$DB$9:$DC$2131,[21]Коригування!$DJ$9:$DJ$2131,[21]Коригування!$DL$9:$DM$2131,[21]Коригування!$DO$9:$DO$2131,[21]Коригування!$DT$9:$DT$2131</definedName>
    <definedName name="ВСЬОГО" localSheetId="47">#REF!</definedName>
    <definedName name="ВСЬОГО" localSheetId="31">#REF!</definedName>
    <definedName name="ВСЬОГО" localSheetId="18">#REF!</definedName>
    <definedName name="ВСЬОГО" localSheetId="27">#REF!</definedName>
    <definedName name="ВСЬОГО" localSheetId="13">#REF!</definedName>
    <definedName name="ВСЬОГО" localSheetId="16">#REF!</definedName>
    <definedName name="ВСЬОГО" localSheetId="21">#REF!</definedName>
    <definedName name="ВСЬОГО" localSheetId="30">#REF!</definedName>
    <definedName name="ВСЬОГО" localSheetId="20">#REF!</definedName>
    <definedName name="ВСЬОГО" localSheetId="29">#REF!</definedName>
    <definedName name="ВСЬОГО" localSheetId="26">#REF!</definedName>
    <definedName name="ВСЬОГО">#REF!</definedName>
    <definedName name="ВчерашнийДень">[0]!ВчерашнийДень</definedName>
    <definedName name="Г123" localSheetId="47">'[22]ВД (анал)'!#REF!</definedName>
    <definedName name="Г123" localSheetId="31">'[22]ВД (анал)'!#REF!</definedName>
    <definedName name="Г123" localSheetId="18">'[22]ВД (анал)'!#REF!</definedName>
    <definedName name="Г123" localSheetId="27">'[22]ВД (анал)'!#REF!</definedName>
    <definedName name="Г123" localSheetId="13">'[22]ВД (анал)'!#REF!</definedName>
    <definedName name="Г123" localSheetId="16">'[22]ВД (анал)'!#REF!</definedName>
    <definedName name="Г123" localSheetId="21">'[22]ВД (анал)'!#REF!</definedName>
    <definedName name="Г123" localSheetId="30">'[22]ВД (анал)'!#REF!</definedName>
    <definedName name="Г123" localSheetId="20">'[22]ВД (анал)'!#REF!</definedName>
    <definedName name="Г123" localSheetId="29">'[22]ВД (анал)'!#REF!</definedName>
    <definedName name="Г123" localSheetId="26">'[22]ВД (анал)'!#REF!</definedName>
    <definedName name="Г123">'[22]ВД (анал)'!#REF!</definedName>
    <definedName name="г154" localSheetId="47">#REF!</definedName>
    <definedName name="г154" localSheetId="31">#REF!</definedName>
    <definedName name="г154" localSheetId="18">#REF!</definedName>
    <definedName name="г154" localSheetId="27">#REF!</definedName>
    <definedName name="г154" localSheetId="13">#REF!</definedName>
    <definedName name="г154" localSheetId="16">#REF!</definedName>
    <definedName name="г154" localSheetId="21">#REF!</definedName>
    <definedName name="г154" localSheetId="30">#REF!</definedName>
    <definedName name="г154" localSheetId="20">#REF!</definedName>
    <definedName name="г154" localSheetId="29">#REF!</definedName>
    <definedName name="г154" localSheetId="26">#REF!</definedName>
    <definedName name="г154">#REF!</definedName>
    <definedName name="Год">'[23]Технич лист'!$F$2:$F$100</definedName>
    <definedName name="груд">'[18]812'!$AB$1:$AB$65536</definedName>
    <definedName name="ГРУДЕНЬ" hidden="1">{#N/A,#N/A,FALSE,"9PS0"}</definedName>
    <definedName name="Д" localSheetId="47">#REF!</definedName>
    <definedName name="Д" localSheetId="31">#REF!</definedName>
    <definedName name="Д" localSheetId="18">#REF!</definedName>
    <definedName name="Д" localSheetId="27">#REF!</definedName>
    <definedName name="Д" localSheetId="103">#REF!</definedName>
    <definedName name="Д" localSheetId="13">#REF!</definedName>
    <definedName name="Д" localSheetId="16">#REF!</definedName>
    <definedName name="Д" localSheetId="21">#REF!</definedName>
    <definedName name="Д" localSheetId="30">#REF!</definedName>
    <definedName name="Д" localSheetId="20">#REF!</definedName>
    <definedName name="Д" localSheetId="29">#REF!</definedName>
    <definedName name="Д" localSheetId="26">#REF!</definedName>
    <definedName name="Д">#REF!</definedName>
    <definedName name="ДДД" localSheetId="47">#REF!</definedName>
    <definedName name="ДДД" localSheetId="31">#REF!</definedName>
    <definedName name="ДДД" localSheetId="18">#REF!</definedName>
    <definedName name="ДДД" localSheetId="27">#REF!</definedName>
    <definedName name="ДДД" localSheetId="13">#REF!</definedName>
    <definedName name="ДДД" localSheetId="16">#REF!</definedName>
    <definedName name="ДДД" localSheetId="21">#REF!</definedName>
    <definedName name="ДДД" localSheetId="30">#REF!</definedName>
    <definedName name="ДДД" localSheetId="20">#REF!</definedName>
    <definedName name="ДДД" localSheetId="29">#REF!</definedName>
    <definedName name="ДДД" localSheetId="26">#REF!</definedName>
    <definedName name="ДДД">#REF!</definedName>
    <definedName name="ДепЕЗ" hidden="1">{#N/A,#N/A,FALSE,"9PS0"}</definedName>
    <definedName name="додаток" localSheetId="47">#REF!</definedName>
    <definedName name="додаток" localSheetId="31">#REF!</definedName>
    <definedName name="додаток" localSheetId="18">#REF!</definedName>
    <definedName name="додаток" localSheetId="27">#REF!</definedName>
    <definedName name="додаток" localSheetId="13">#REF!</definedName>
    <definedName name="додаток" localSheetId="16">#REF!</definedName>
    <definedName name="додаток" localSheetId="21">#REF!</definedName>
    <definedName name="додаток" localSheetId="30">#REF!</definedName>
    <definedName name="додаток" localSheetId="20">#REF!</definedName>
    <definedName name="додаток" localSheetId="29">#REF!</definedName>
    <definedName name="додаток" localSheetId="26">#REF!</definedName>
    <definedName name="додаток">#REF!</definedName>
    <definedName name="Доро" localSheetId="47">#REF!</definedName>
    <definedName name="Доро" localSheetId="31">#REF!</definedName>
    <definedName name="Доро" localSheetId="18">#REF!</definedName>
    <definedName name="Доро" localSheetId="27">#REF!</definedName>
    <definedName name="Доро" localSheetId="13">#REF!</definedName>
    <definedName name="Доро" localSheetId="16">#REF!</definedName>
    <definedName name="Доро" localSheetId="21">#REF!</definedName>
    <definedName name="Доро" localSheetId="30">#REF!</definedName>
    <definedName name="Доро" localSheetId="20">#REF!</definedName>
    <definedName name="Доро" localSheetId="29">#REF!</definedName>
    <definedName name="Доро" localSheetId="26">#REF!</definedName>
    <definedName name="Доро">#REF!</definedName>
    <definedName name="дохпожу" localSheetId="47">#REF!</definedName>
    <definedName name="дохпожу" localSheetId="31">#REF!</definedName>
    <definedName name="дохпожу" localSheetId="18">#REF!</definedName>
    <definedName name="дохпожу" localSheetId="27">#REF!</definedName>
    <definedName name="дохпожу" localSheetId="13">#REF!</definedName>
    <definedName name="дохпожу" localSheetId="16">#REF!</definedName>
    <definedName name="дохпожу" localSheetId="21">#REF!</definedName>
    <definedName name="дохпожу" localSheetId="30">#REF!</definedName>
    <definedName name="дохпожу" localSheetId="20">#REF!</definedName>
    <definedName name="дохпожу" localSheetId="29">#REF!</definedName>
    <definedName name="дохпожу" localSheetId="26">#REF!</definedName>
    <definedName name="дохпожу">#REF!</definedName>
    <definedName name="експл_9">[24]Експл!$J$59</definedName>
    <definedName name="експл_9п">[24]Експл!$I$59</definedName>
    <definedName name="експл_зв">[24]Експл!$E$59</definedName>
    <definedName name="експл_п">[24]Експл!$K$59</definedName>
    <definedName name="жвалдофрждвао" localSheetId="47">#REF!</definedName>
    <definedName name="жвалдофрждвао" localSheetId="31">#REF!</definedName>
    <definedName name="жвалдофрждвао" localSheetId="18">#REF!</definedName>
    <definedName name="жвалдофрждвао" localSheetId="27">#REF!</definedName>
    <definedName name="жвалдофрждвао" localSheetId="13">#REF!</definedName>
    <definedName name="жвалдофрждвао" localSheetId="16">#REF!</definedName>
    <definedName name="жвалдофрждвао" localSheetId="21">#REF!</definedName>
    <definedName name="жвалдофрждвао" localSheetId="30">#REF!</definedName>
    <definedName name="жвалдофрждвао" localSheetId="20">#REF!</definedName>
    <definedName name="жвалдофрждвао" localSheetId="29">#REF!</definedName>
    <definedName name="жвалдофрждвао" localSheetId="26">#REF!</definedName>
    <definedName name="жвалдофрждвао">#REF!</definedName>
    <definedName name="жжж" localSheetId="47">#REF!</definedName>
    <definedName name="жжж" localSheetId="31">#REF!</definedName>
    <definedName name="жжж" localSheetId="18">#REF!</definedName>
    <definedName name="жжж" localSheetId="27">#REF!</definedName>
    <definedName name="жжж" localSheetId="13">#REF!</definedName>
    <definedName name="жжж" localSheetId="16">#REF!</definedName>
    <definedName name="жжж" localSheetId="21">#REF!</definedName>
    <definedName name="жжж" localSheetId="30">#REF!</definedName>
    <definedName name="жжж" localSheetId="20">#REF!</definedName>
    <definedName name="жжж" localSheetId="29">#REF!</definedName>
    <definedName name="жжж" localSheetId="26">#REF!</definedName>
    <definedName name="жжж">#REF!</definedName>
    <definedName name="жовт">'[18]812'!$Z$1:$Z$65536</definedName>
    <definedName name="жовтень" hidden="1">{#N/A,#N/A,FALSE,"9PS0"}</definedName>
    <definedName name="_xlnm.Print_Titles" localSheetId="1">'D1_2023-2024'!$6:$6</definedName>
    <definedName name="_xlnm.Print_Titles" localSheetId="2">'D2_2023-2024'!$6:$6</definedName>
    <definedName name="_xlnm.Print_Titles" localSheetId="3">'D3_2023-2024'!$7:$7</definedName>
    <definedName name="_xlnm.Print_Titles" localSheetId="4">'D4_2023-2024'!$7:$7</definedName>
    <definedName name="_xlnm.Print_Titles" localSheetId="6">'D6_2023-2024'!$10:$10</definedName>
    <definedName name="_xlnm.Print_Titles" localSheetId="22">Адміністративні_1ст!$6:$7</definedName>
    <definedName name="_xlnm.Print_Titles" localSheetId="31">'БАЗИ РОЗПОДІЛУ_2ст'!$5:$6</definedName>
    <definedName name="_xlnm.Print_Titles" localSheetId="18">Виробництво_1ст!$7:$8</definedName>
    <definedName name="_xlnm.Print_Titles" localSheetId="27">Виробництво_2ст!#REF!</definedName>
    <definedName name="_xlnm.Print_Titles" localSheetId="37">'Д 10'!$11:$11</definedName>
    <definedName name="_xlnm.Print_Titles" localSheetId="40">'Д 13_12'!$13:$13</definedName>
    <definedName name="_xlnm.Print_Titles" localSheetId="11">'Д 2_Т на В'!$11:$11</definedName>
    <definedName name="_xlnm.Print_Titles" localSheetId="13">'Д 3.1_Т на Т без ЦТП'!$10:$10</definedName>
    <definedName name="_xlnm.Print_Titles" localSheetId="12">'Д 3_Т на Т з ЦТП'!$10:$10</definedName>
    <definedName name="_xlnm.Print_Titles" localSheetId="15">'Д 5 Т на ТЕ з ЦТП'!$9:$9</definedName>
    <definedName name="_xlnm.Print_Titles" localSheetId="16">'Д 5.1 Т на ТЕ без ЦТП'!$9:$9</definedName>
    <definedName name="_xlnm.Print_Titles" localSheetId="34">'Д 7_РП'!$13:$13</definedName>
    <definedName name="_xlnm.Print_Titles" localSheetId="35">'Д 8_Паливо'!$7:$7</definedName>
    <definedName name="_xlnm.Print_Titles" localSheetId="36">'Д 9_ЕЕ'!$8:$8</definedName>
    <definedName name="_xlnm.Print_Titles" localSheetId="39">Д12_11!$13:$13</definedName>
    <definedName name="_xlnm.Print_Titles" localSheetId="113">'Додаток 7 до рішення'!$11:$11</definedName>
    <definedName name="_xlnm.Print_Titles" localSheetId="114">'Додаток 8 до рішення'!$11:$11</definedName>
    <definedName name="_xlnm.Print_Titles" localSheetId="21">ЗВВ_1ст!$6:$7</definedName>
    <definedName name="_xlnm.Print_Titles" localSheetId="10">'КОНТРОЛЬ 1'!$A:$A</definedName>
    <definedName name="_xlnm.Print_Titles" localSheetId="67">ОП!#REF!</definedName>
    <definedName name="_xlnm.Print_Titles" localSheetId="66">'Прямі витрати'!$10:$10</definedName>
    <definedName name="_xlnm.Print_Titles" localSheetId="54">'Рішення 3Д'!$11:$11</definedName>
    <definedName name="_xlnm.Print_Titles" localSheetId="55">'Рішення 4Д'!$11:$11</definedName>
    <definedName name="_xlnm.Print_Titles" localSheetId="56">'Рішення 5Д'!$9:$9</definedName>
    <definedName name="_xlnm.Print_Titles" localSheetId="57">'Рішення 6Д'!$9:$9</definedName>
    <definedName name="_xlnm.Print_Titles" localSheetId="26">'ТЕ_2ст_тариф_без ЦТП'!$13:$13</definedName>
    <definedName name="_xlnm.Print_Titles" localSheetId="25">'ТЕ_2ст_тариф_з ЦТП'!$13:$13</definedName>
    <definedName name="_xlnm.Print_Titles" localSheetId="19">Транспортування_1ст!$6:$8</definedName>
    <definedName name="_xlnm.Print_Titles" localSheetId="28">Транспортування_2ст!$6:$8</definedName>
    <definedName name="зарплатаБ" hidden="1">{#N/A,#N/A,FALSE,"9PS0"}</definedName>
    <definedName name="ЗБ">'[25]tar ee 99'!$CT$95:$CT$110</definedName>
    <definedName name="зв">[24]ПЛАН_1вар!$G$1:$G$65536</definedName>
    <definedName name="зв_2004">[20]м_812!$H$1:$H$65536</definedName>
    <definedName name="зв_9">[24]ПЛАН_1вар!$L$1:$L$65536</definedName>
    <definedName name="зв_9м">[20]м_812!$K$1:$K$65536</definedName>
    <definedName name="ЗведКоштор1КВбезСЗ" localSheetId="47">#REF!</definedName>
    <definedName name="ЗведКоштор1КВбезСЗ" localSheetId="31">#REF!</definedName>
    <definedName name="ЗведКоштор1КВбезСЗ" localSheetId="18">#REF!</definedName>
    <definedName name="ЗведКоштор1КВбезСЗ" localSheetId="27">#REF!</definedName>
    <definedName name="ЗведКоштор1КВбезСЗ" localSheetId="13">#REF!</definedName>
    <definedName name="ЗведКоштор1КВбезСЗ" localSheetId="16">#REF!</definedName>
    <definedName name="ЗведКоштор1КВбезСЗ" localSheetId="21">#REF!</definedName>
    <definedName name="ЗведКоштор1КВбезСЗ" localSheetId="30">#REF!</definedName>
    <definedName name="ЗведКоштор1КВбезСЗ" localSheetId="20">#REF!</definedName>
    <definedName name="ЗведКоштор1КВбезСЗ" localSheetId="29">#REF!</definedName>
    <definedName name="ЗведКоштор1КВбезСЗ" localSheetId="26">#REF!</definedName>
    <definedName name="ЗведКоштор1КВбезСЗ">#REF!</definedName>
    <definedName name="ЗЗЗ" localSheetId="47">#REF!</definedName>
    <definedName name="ЗЗЗ" localSheetId="31">#REF!</definedName>
    <definedName name="ЗЗЗ" localSheetId="18">#REF!</definedName>
    <definedName name="ЗЗЗ" localSheetId="27">#REF!</definedName>
    <definedName name="ЗЗЗ" localSheetId="13">#REF!</definedName>
    <definedName name="ЗЗЗ" localSheetId="16">#REF!</definedName>
    <definedName name="ЗЗЗ" localSheetId="21">#REF!</definedName>
    <definedName name="ЗЗЗ" localSheetId="30">#REF!</definedName>
    <definedName name="ЗЗЗ" localSheetId="20">#REF!</definedName>
    <definedName name="ЗЗЗ" localSheetId="29">#REF!</definedName>
    <definedName name="ЗЗЗ" localSheetId="26">#REF!</definedName>
    <definedName name="ЗЗЗ">#REF!</definedName>
    <definedName name="иваиява" localSheetId="47">'[26]Вхідні дані'!#REF!</definedName>
    <definedName name="иваиява" localSheetId="31">'[26]Вхідні дані'!#REF!</definedName>
    <definedName name="иваиява" localSheetId="18">'[26]Вхідні дані'!#REF!</definedName>
    <definedName name="иваиява" localSheetId="27">'[26]Вхідні дані'!#REF!</definedName>
    <definedName name="иваиява" localSheetId="13">'[26]Вхідні дані'!#REF!</definedName>
    <definedName name="иваиява" localSheetId="16">'[26]Вхідні дані'!#REF!</definedName>
    <definedName name="иваиява" localSheetId="21">'[26]Вхідні дані'!#REF!</definedName>
    <definedName name="иваиява" localSheetId="30">'[26]Вхідні дані'!#REF!</definedName>
    <definedName name="иваиява" localSheetId="20">'[26]Вхідні дані'!#REF!</definedName>
    <definedName name="иваиява" localSheetId="29">'[26]Вхідні дані'!#REF!</definedName>
    <definedName name="иваиява" localSheetId="26">'[26]Вхідні дані'!#REF!</definedName>
    <definedName name="иваиява">'[26]Вхідні дані'!#REF!</definedName>
    <definedName name="Извлечение_ИМ" localSheetId="47">#REF!</definedName>
    <definedName name="Извлечение_ИМ" localSheetId="31">#REF!</definedName>
    <definedName name="Извлечение_ИМ" localSheetId="18">#REF!</definedName>
    <definedName name="Извлечение_ИМ" localSheetId="27">#REF!</definedName>
    <definedName name="Извлечение_ИМ" localSheetId="13">#REF!</definedName>
    <definedName name="Извлечение_ИМ" localSheetId="16">#REF!</definedName>
    <definedName name="Извлечение_ИМ" localSheetId="21">#REF!</definedName>
    <definedName name="Извлечение_ИМ" localSheetId="30">#REF!</definedName>
    <definedName name="Извлечение_ИМ" localSheetId="20">#REF!</definedName>
    <definedName name="Извлечение_ИМ" localSheetId="29">#REF!</definedName>
    <definedName name="Извлечение_ИМ" localSheetId="26">#REF!</definedName>
    <definedName name="Извлечение_ИМ">#REF!</definedName>
    <definedName name="_xlnm.Extract" localSheetId="47">#REF!</definedName>
    <definedName name="_xlnm.Extract" localSheetId="31">#REF!</definedName>
    <definedName name="_xlnm.Extract" localSheetId="18">#REF!</definedName>
    <definedName name="_xlnm.Extract" localSheetId="27">#REF!</definedName>
    <definedName name="_xlnm.Extract" localSheetId="13">#REF!</definedName>
    <definedName name="_xlnm.Extract" localSheetId="16">#REF!</definedName>
    <definedName name="_xlnm.Extract" localSheetId="21">#REF!</definedName>
    <definedName name="_xlnm.Extract" localSheetId="30">#REF!</definedName>
    <definedName name="_xlnm.Extract" localSheetId="20">#REF!</definedName>
    <definedName name="_xlnm.Extract" localSheetId="29">#REF!</definedName>
    <definedName name="_xlnm.Extract" localSheetId="26">#REF!</definedName>
    <definedName name="_xlnm.Extract">#REF!</definedName>
    <definedName name="Инно" localSheetId="47">#REF!</definedName>
    <definedName name="Инно" localSheetId="31">#REF!</definedName>
    <definedName name="Инно" localSheetId="18">#REF!</definedName>
    <definedName name="Инно" localSheetId="27">#REF!</definedName>
    <definedName name="Инно" localSheetId="13">#REF!</definedName>
    <definedName name="Инно" localSheetId="16">#REF!</definedName>
    <definedName name="Инно" localSheetId="21">#REF!</definedName>
    <definedName name="Инно" localSheetId="30">#REF!</definedName>
    <definedName name="Инно" localSheetId="20">#REF!</definedName>
    <definedName name="Инно" localSheetId="29">#REF!</definedName>
    <definedName name="Инно" localSheetId="26">#REF!</definedName>
    <definedName name="Инно">#REF!</definedName>
    <definedName name="ИсключитьПраздник">[0]!ИсключитьПраздник</definedName>
    <definedName name="іва" localSheetId="47">#REF!</definedName>
    <definedName name="іва" localSheetId="31">#REF!</definedName>
    <definedName name="іва" localSheetId="18">#REF!</definedName>
    <definedName name="іва" localSheetId="27">#REF!</definedName>
    <definedName name="іва" localSheetId="13">#REF!</definedName>
    <definedName name="іва" localSheetId="16">#REF!</definedName>
    <definedName name="іва" localSheetId="21">#REF!</definedName>
    <definedName name="іва" localSheetId="30">#REF!</definedName>
    <definedName name="іва" localSheetId="20">#REF!</definedName>
    <definedName name="іва" localSheetId="29">#REF!</definedName>
    <definedName name="іва" localSheetId="26">#REF!</definedName>
    <definedName name="іва">#REF!</definedName>
    <definedName name="іваіф" localSheetId="47">#REF!</definedName>
    <definedName name="іваіф" localSheetId="31">#REF!</definedName>
    <definedName name="іваіф" localSheetId="18">#REF!</definedName>
    <definedName name="іваіф" localSheetId="27">#REF!</definedName>
    <definedName name="іваіф" localSheetId="13">#REF!</definedName>
    <definedName name="іваіф" localSheetId="16">#REF!</definedName>
    <definedName name="іваіф" localSheetId="21">#REF!</definedName>
    <definedName name="іваіф" localSheetId="30">#REF!</definedName>
    <definedName name="іваіф" localSheetId="20">#REF!</definedName>
    <definedName name="іваіф" localSheetId="29">#REF!</definedName>
    <definedName name="іваіф" localSheetId="26">#REF!</definedName>
    <definedName name="іваіф">#REF!</definedName>
    <definedName name="івп" localSheetId="47">#REF!</definedName>
    <definedName name="івп" localSheetId="31">#REF!</definedName>
    <definedName name="івп" localSheetId="18">#REF!</definedName>
    <definedName name="івп" localSheetId="27">#REF!</definedName>
    <definedName name="івп" localSheetId="13">#REF!</definedName>
    <definedName name="івп" localSheetId="16">#REF!</definedName>
    <definedName name="івп" localSheetId="21">#REF!</definedName>
    <definedName name="івп" localSheetId="30">#REF!</definedName>
    <definedName name="івп" localSheetId="20">#REF!</definedName>
    <definedName name="івп" localSheetId="29">#REF!</definedName>
    <definedName name="івп" localSheetId="26">#REF!</definedName>
    <definedName name="івп">#REF!</definedName>
    <definedName name="Інші1" localSheetId="47">[2]рік!#REF!</definedName>
    <definedName name="Інші1" localSheetId="31">[2]рік!#REF!</definedName>
    <definedName name="Інші1" localSheetId="18">[2]рік!#REF!</definedName>
    <definedName name="Інші1" localSheetId="27">[2]рік!#REF!</definedName>
    <definedName name="Інші1" localSheetId="103">[3]рік!#REF!</definedName>
    <definedName name="Інші1" localSheetId="13">[2]рік!#REF!</definedName>
    <definedName name="Інші1" localSheetId="16">[2]рік!#REF!</definedName>
    <definedName name="Інші1" localSheetId="21">[2]рік!#REF!</definedName>
    <definedName name="Інші1" localSheetId="30">[2]рік!#REF!</definedName>
    <definedName name="Інші1" localSheetId="20">[2]рік!#REF!</definedName>
    <definedName name="Інші1" localSheetId="29">[2]рік!#REF!</definedName>
    <definedName name="Інші1" localSheetId="26">[2]рік!#REF!</definedName>
    <definedName name="Інші1">[2]рік!#REF!</definedName>
    <definedName name="Інші2" localSheetId="47">[2]рік!#REF!</definedName>
    <definedName name="Інші2" localSheetId="31">[2]рік!#REF!</definedName>
    <definedName name="Інші2" localSheetId="18">[2]рік!#REF!</definedName>
    <definedName name="Інші2" localSheetId="27">[2]рік!#REF!</definedName>
    <definedName name="Інші2" localSheetId="103">[3]рік!#REF!</definedName>
    <definedName name="Інші2" localSheetId="13">[2]рік!#REF!</definedName>
    <definedName name="Інші2" localSheetId="16">[2]рік!#REF!</definedName>
    <definedName name="Інші2" localSheetId="21">[2]рік!#REF!</definedName>
    <definedName name="Інші2" localSheetId="30">[2]рік!#REF!</definedName>
    <definedName name="Інші2" localSheetId="20">[2]рік!#REF!</definedName>
    <definedName name="Інші2" localSheetId="29">[2]рік!#REF!</definedName>
    <definedName name="Інші2" localSheetId="26">[2]рік!#REF!</definedName>
    <definedName name="Інші2">[2]рік!#REF!</definedName>
    <definedName name="кв_4">[20]м_812!$AF$1:$AF$65536</definedName>
    <definedName name="кв1">'[18]812'!$M$1:$M$65536</definedName>
    <definedName name="кв2">'[18]812'!$Q$1:$Q$65536</definedName>
    <definedName name="кв3">'[18]812'!$U$1:$U$65536</definedName>
    <definedName name="кв4">'[18]812'!$Y$1:$Y$65536</definedName>
    <definedName name="квіт">'[18]812'!$R$1:$R$65536</definedName>
    <definedName name="ккк" localSheetId="47">#REF!</definedName>
    <definedName name="ккк" localSheetId="31">#REF!</definedName>
    <definedName name="ккк" localSheetId="18">#REF!</definedName>
    <definedName name="ккк" localSheetId="27">#REF!</definedName>
    <definedName name="ккк" localSheetId="11">#REF!</definedName>
    <definedName name="ккк" localSheetId="13">#REF!</definedName>
    <definedName name="ккк" localSheetId="12">#REF!</definedName>
    <definedName name="ккк" localSheetId="16">#REF!</definedName>
    <definedName name="ккк" localSheetId="34">#REF!</definedName>
    <definedName name="ккк" localSheetId="21">#REF!</definedName>
    <definedName name="ккк" localSheetId="30">#REF!</definedName>
    <definedName name="ккк" localSheetId="20">#REF!</definedName>
    <definedName name="ккк" localSheetId="29">#REF!</definedName>
    <definedName name="ккк" localSheetId="26">#REF!</definedName>
    <definedName name="ккк">#REF!</definedName>
    <definedName name="клімат1" localSheetId="47">[2]рік!#REF!</definedName>
    <definedName name="клімат1" localSheetId="31">[2]рік!#REF!</definedName>
    <definedName name="клімат1" localSheetId="18">[2]рік!#REF!</definedName>
    <definedName name="клімат1" localSheetId="27">[2]рік!#REF!</definedName>
    <definedName name="клімат1" localSheetId="103">[3]рік!#REF!</definedName>
    <definedName name="клімат1" localSheetId="13">[2]рік!#REF!</definedName>
    <definedName name="клімат1" localSheetId="16">[2]рік!#REF!</definedName>
    <definedName name="клімат1" localSheetId="21">[2]рік!#REF!</definedName>
    <definedName name="клімат1" localSheetId="30">[2]рік!#REF!</definedName>
    <definedName name="клімат1" localSheetId="20">[2]рік!#REF!</definedName>
    <definedName name="клімат1" localSheetId="29">[2]рік!#REF!</definedName>
    <definedName name="клімат1" localSheetId="26">[2]рік!#REF!</definedName>
    <definedName name="клімат1">[2]рік!#REF!</definedName>
    <definedName name="клімат2" localSheetId="47">[2]рік!#REF!</definedName>
    <definedName name="клімат2" localSheetId="31">[2]рік!#REF!</definedName>
    <definedName name="клімат2" localSheetId="18">[2]рік!#REF!</definedName>
    <definedName name="клімат2" localSheetId="27">[2]рік!#REF!</definedName>
    <definedName name="клімат2" localSheetId="103">[3]рік!#REF!</definedName>
    <definedName name="клімат2" localSheetId="13">[2]рік!#REF!</definedName>
    <definedName name="клімат2" localSheetId="16">[2]рік!#REF!</definedName>
    <definedName name="клімат2" localSheetId="21">[2]рік!#REF!</definedName>
    <definedName name="клімат2" localSheetId="30">[2]рік!#REF!</definedName>
    <definedName name="клімат2" localSheetId="20">[2]рік!#REF!</definedName>
    <definedName name="клімат2" localSheetId="29">[2]рік!#REF!</definedName>
    <definedName name="клімат2" localSheetId="26">[2]рік!#REF!</definedName>
    <definedName name="клімат2">[2]рік!#REF!</definedName>
    <definedName name="клімат3" localSheetId="47">[2]рік!#REF!</definedName>
    <definedName name="клімат3" localSheetId="31">[2]рік!#REF!</definedName>
    <definedName name="клімат3" localSheetId="18">[2]рік!#REF!</definedName>
    <definedName name="клімат3" localSheetId="27">[2]рік!#REF!</definedName>
    <definedName name="клімат3" localSheetId="103">[3]рік!#REF!</definedName>
    <definedName name="клімат3" localSheetId="13">[2]рік!#REF!</definedName>
    <definedName name="клімат3" localSheetId="16">[2]рік!#REF!</definedName>
    <definedName name="клімат3" localSheetId="21">[2]рік!#REF!</definedName>
    <definedName name="клімат3" localSheetId="30">[2]рік!#REF!</definedName>
    <definedName name="клімат3" localSheetId="20">[2]рік!#REF!</definedName>
    <definedName name="клімат3" localSheetId="29">[2]рік!#REF!</definedName>
    <definedName name="клімат3" localSheetId="26">[2]рік!#REF!</definedName>
    <definedName name="клімат3">[2]рік!#REF!</definedName>
    <definedName name="КМКП_НАСЕЛЕННЯ" localSheetId="47">#REF!</definedName>
    <definedName name="КМКП_НАСЕЛЕННЯ" localSheetId="31">#REF!</definedName>
    <definedName name="КМКП_НАСЕЛЕННЯ" localSheetId="18">#REF!</definedName>
    <definedName name="КМКП_НАСЕЛЕННЯ" localSheetId="27">#REF!</definedName>
    <definedName name="КМКП_НАСЕЛЕННЯ" localSheetId="13">#REF!</definedName>
    <definedName name="КМКП_НАСЕЛЕННЯ" localSheetId="16">#REF!</definedName>
    <definedName name="КМКП_НАСЕЛЕННЯ" localSheetId="21">#REF!</definedName>
    <definedName name="КМКП_НАСЕЛЕННЯ" localSheetId="30">#REF!</definedName>
    <definedName name="КМКП_НАСЕЛЕННЯ" localSheetId="20">#REF!</definedName>
    <definedName name="КМКП_НАСЕЛЕННЯ" localSheetId="29">#REF!</definedName>
    <definedName name="КМКП_НАСЕЛЕННЯ" localSheetId="26">#REF!</definedName>
    <definedName name="КМКП_НАСЕЛЕННЯ">#REF!</definedName>
    <definedName name="копия">[19]Ф2!$E$2</definedName>
    <definedName name="_xlnm.Criteria" localSheetId="47">#REF!</definedName>
    <definedName name="_xlnm.Criteria" localSheetId="31">#REF!</definedName>
    <definedName name="_xlnm.Criteria" localSheetId="18">#REF!</definedName>
    <definedName name="_xlnm.Criteria" localSheetId="27">#REF!</definedName>
    <definedName name="_xlnm.Criteria" localSheetId="13">#REF!</definedName>
    <definedName name="_xlnm.Criteria" localSheetId="16">#REF!</definedName>
    <definedName name="_xlnm.Criteria" localSheetId="21">#REF!</definedName>
    <definedName name="_xlnm.Criteria" localSheetId="30">#REF!</definedName>
    <definedName name="_xlnm.Criteria" localSheetId="20">#REF!</definedName>
    <definedName name="_xlnm.Criteria" localSheetId="29">#REF!</definedName>
    <definedName name="_xlnm.Criteria" localSheetId="26">#REF!</definedName>
    <definedName name="_xlnm.Criteria">#REF!</definedName>
    <definedName name="Критерии_ИМ" localSheetId="47">#REF!</definedName>
    <definedName name="Критерии_ИМ" localSheetId="31">#REF!</definedName>
    <definedName name="Критерии_ИМ" localSheetId="18">#REF!</definedName>
    <definedName name="Критерии_ИМ" localSheetId="27">#REF!</definedName>
    <definedName name="Критерии_ИМ" localSheetId="13">#REF!</definedName>
    <definedName name="Критерии_ИМ" localSheetId="16">#REF!</definedName>
    <definedName name="Критерии_ИМ" localSheetId="21">#REF!</definedName>
    <definedName name="Критерии_ИМ" localSheetId="30">#REF!</definedName>
    <definedName name="Критерии_ИМ" localSheetId="20">#REF!</definedName>
    <definedName name="Критерии_ИМ" localSheetId="29">#REF!</definedName>
    <definedName name="Критерии_ИМ" localSheetId="26">#REF!</definedName>
    <definedName name="Критерии_ИМ">#REF!</definedName>
    <definedName name="КТМ1" localSheetId="47">[2]рік!#REF!</definedName>
    <definedName name="КТМ1" localSheetId="31">[2]рік!#REF!</definedName>
    <definedName name="КТМ1" localSheetId="18">[2]рік!#REF!</definedName>
    <definedName name="КТМ1" localSheetId="27">[2]рік!#REF!</definedName>
    <definedName name="КТМ1" localSheetId="103">[3]рік!#REF!</definedName>
    <definedName name="КТМ1" localSheetId="13">[2]рік!#REF!</definedName>
    <definedName name="КТМ1" localSheetId="16">[2]рік!#REF!</definedName>
    <definedName name="КТМ1" localSheetId="21">[2]рік!#REF!</definedName>
    <definedName name="КТМ1" localSheetId="30">[2]рік!#REF!</definedName>
    <definedName name="КТМ1" localSheetId="20">[2]рік!#REF!</definedName>
    <definedName name="КТМ1" localSheetId="29">[2]рік!#REF!</definedName>
    <definedName name="КТМ1" localSheetId="26">[2]рік!#REF!</definedName>
    <definedName name="КТМ1">[2]рік!#REF!</definedName>
    <definedName name="КТМ2" localSheetId="47">[2]рік!#REF!</definedName>
    <definedName name="КТМ2" localSheetId="31">[2]рік!#REF!</definedName>
    <definedName name="КТМ2" localSheetId="18">[2]рік!#REF!</definedName>
    <definedName name="КТМ2" localSheetId="27">[2]рік!#REF!</definedName>
    <definedName name="КТМ2" localSheetId="103">[3]рік!#REF!</definedName>
    <definedName name="КТМ2" localSheetId="13">[2]рік!#REF!</definedName>
    <definedName name="КТМ2" localSheetId="16">[2]рік!#REF!</definedName>
    <definedName name="КТМ2" localSheetId="21">[2]рік!#REF!</definedName>
    <definedName name="КТМ2" localSheetId="30">[2]рік!#REF!</definedName>
    <definedName name="КТМ2" localSheetId="20">[2]рік!#REF!</definedName>
    <definedName name="КТМ2" localSheetId="29">[2]рік!#REF!</definedName>
    <definedName name="КТМ2" localSheetId="26">[2]рік!#REF!</definedName>
    <definedName name="КТМ2">[2]рік!#REF!</definedName>
    <definedName name="КТМ3" localSheetId="47">[2]рік!#REF!</definedName>
    <definedName name="КТМ3" localSheetId="31">[2]рік!#REF!</definedName>
    <definedName name="КТМ3" localSheetId="18">[2]рік!#REF!</definedName>
    <definedName name="КТМ3" localSheetId="27">[2]рік!#REF!</definedName>
    <definedName name="КТМ3" localSheetId="103">[3]рік!#REF!</definedName>
    <definedName name="КТМ3" localSheetId="13">[2]рік!#REF!</definedName>
    <definedName name="КТМ3" localSheetId="16">[2]рік!#REF!</definedName>
    <definedName name="КТМ3" localSheetId="21">[2]рік!#REF!</definedName>
    <definedName name="КТМ3" localSheetId="30">[2]рік!#REF!</definedName>
    <definedName name="КТМ3" localSheetId="20">[2]рік!#REF!</definedName>
    <definedName name="КТМ3" localSheetId="29">[2]рік!#REF!</definedName>
    <definedName name="КТМ3" localSheetId="26">[2]рік!#REF!</definedName>
    <definedName name="КТМ3">[2]рік!#REF!</definedName>
    <definedName name="кфк" localSheetId="47">#REF!</definedName>
    <definedName name="кфк" localSheetId="31">#REF!</definedName>
    <definedName name="кфк" localSheetId="18">#REF!</definedName>
    <definedName name="кфк" localSheetId="27">#REF!</definedName>
    <definedName name="кфк" localSheetId="13">#REF!</definedName>
    <definedName name="кфк" localSheetId="16">#REF!</definedName>
    <definedName name="кфк" localSheetId="21">#REF!</definedName>
    <definedName name="кфк" localSheetId="30">#REF!</definedName>
    <definedName name="кфк" localSheetId="20">#REF!</definedName>
    <definedName name="кфк" localSheetId="29">#REF!</definedName>
    <definedName name="кфк" localSheetId="26">#REF!</definedName>
    <definedName name="кфк">#REF!</definedName>
    <definedName name="лип">'[18]812'!$V$1:$V$65536</definedName>
    <definedName name="лист">'[18]812'!$AA$1:$AA$65536</definedName>
    <definedName name="Лист2" localSheetId="47">#REF!</definedName>
    <definedName name="Лист2" localSheetId="31">#REF!</definedName>
    <definedName name="Лист2" localSheetId="18">#REF!</definedName>
    <definedName name="Лист2" localSheetId="27">#REF!</definedName>
    <definedName name="Лист2" localSheetId="13">#REF!</definedName>
    <definedName name="Лист2" localSheetId="16">#REF!</definedName>
    <definedName name="Лист2" localSheetId="21">#REF!</definedName>
    <definedName name="Лист2" localSheetId="30">#REF!</definedName>
    <definedName name="Лист2" localSheetId="20">#REF!</definedName>
    <definedName name="Лист2" localSheetId="29">#REF!</definedName>
    <definedName name="Лист2" localSheetId="26">#REF!</definedName>
    <definedName name="Лист2">#REF!</definedName>
    <definedName name="ло" hidden="1">{#N/A,#N/A,FALSE,"9PS0"}</definedName>
    <definedName name="лют">'[18]812'!$O$1:$O$65536</definedName>
    <definedName name="лютий" hidden="1">{#N/A,#N/A,FALSE,"9PS0"}</definedName>
    <definedName name="макет812">'[18]812'!$A$8:$AB$262</definedName>
    <definedName name="Месяц">'[23]Технич лист'!$E$2:$E$23</definedName>
    <definedName name="Мой_лист">MID(CELL("имяфайла",[27]База!$E$1),SEARCH("[",CELL("имяфайла",[27]База!$E$1)),256)&amp;"!"</definedName>
    <definedName name="НазваПроекту">'[23]Технич лист'!$C$2:$C$6</definedName>
    <definedName name="Наименование">[28]Ф2!$E$2</definedName>
    <definedName name="Накоп" localSheetId="47">#REF!</definedName>
    <definedName name="Накоп" localSheetId="31">#REF!</definedName>
    <definedName name="Накоп" localSheetId="18">#REF!</definedName>
    <definedName name="Накоп" localSheetId="27">#REF!</definedName>
    <definedName name="Накоп" localSheetId="13">#REF!</definedName>
    <definedName name="Накоп" localSheetId="16">#REF!</definedName>
    <definedName name="Накоп" localSheetId="21">#REF!</definedName>
    <definedName name="Накоп" localSheetId="30">#REF!</definedName>
    <definedName name="Накоп" localSheetId="20">#REF!</definedName>
    <definedName name="Накоп" localSheetId="29">#REF!</definedName>
    <definedName name="Накоп" localSheetId="26">#REF!</definedName>
    <definedName name="Накоп">#REF!</definedName>
    <definedName name="НАСЕЛЕННЯ" localSheetId="47">#REF!</definedName>
    <definedName name="НАСЕЛЕННЯ" localSheetId="31">#REF!</definedName>
    <definedName name="НАСЕЛЕННЯ" localSheetId="18">#REF!</definedName>
    <definedName name="НАСЕЛЕННЯ" localSheetId="27">#REF!</definedName>
    <definedName name="НАСЕЛЕННЯ" localSheetId="13">#REF!</definedName>
    <definedName name="НАСЕЛЕННЯ" localSheetId="16">#REF!</definedName>
    <definedName name="НАСЕЛЕННЯ" localSheetId="21">#REF!</definedName>
    <definedName name="НАСЕЛЕННЯ" localSheetId="30">#REF!</definedName>
    <definedName name="НАСЕЛЕННЯ" localSheetId="20">#REF!</definedName>
    <definedName name="НАСЕЛЕННЯ" localSheetId="29">#REF!</definedName>
    <definedName name="НАСЕЛЕННЯ" localSheetId="26">#REF!</definedName>
    <definedName name="НАСЕЛЕННЯ">#REF!</definedName>
    <definedName name="НДС" localSheetId="47">#REF!</definedName>
    <definedName name="НДС" localSheetId="31">#REF!</definedName>
    <definedName name="НДС" localSheetId="18">#REF!</definedName>
    <definedName name="НДС" localSheetId="27">#REF!</definedName>
    <definedName name="НДС" localSheetId="13">#REF!</definedName>
    <definedName name="НДС" localSheetId="16">#REF!</definedName>
    <definedName name="НДС" localSheetId="21">#REF!</definedName>
    <definedName name="НДС" localSheetId="30">#REF!</definedName>
    <definedName name="НДС" localSheetId="20">#REF!</definedName>
    <definedName name="НДС" localSheetId="29">#REF!</definedName>
    <definedName name="НДС" localSheetId="26">#REF!</definedName>
    <definedName name="НДС">#REF!</definedName>
    <definedName name="_xlnm.Print_Area" localSheetId="1">'D1_2023-2024'!$A$1:$G$108</definedName>
    <definedName name="_xlnm.Print_Area" localSheetId="2">'D2_2023-2024'!$A$1:$G$108</definedName>
    <definedName name="_xlnm.Print_Area" localSheetId="3">'D3_2023-2024'!$A$1:$G$133</definedName>
    <definedName name="_xlnm.Print_Area" localSheetId="4">'D4_2023-2024'!$A$1:$G$133</definedName>
    <definedName name="_xlnm.Print_Area" localSheetId="5">'D5_2023-2024'!$B$1:$F$26</definedName>
    <definedName name="_xlnm.Print_Area" localSheetId="6">'D6_2023-2024'!$B$1:$E$244</definedName>
    <definedName name="_xlnm.Print_Area" localSheetId="7">'D7_2023-2024'!$B$1:$F$26</definedName>
    <definedName name="_xlnm.Print_Area" localSheetId="22">Адміністративні_1ст!$A$1:$M$70</definedName>
    <definedName name="_xlnm.Print_Area" localSheetId="47">Адміністративні_2ст!$A$1:$M$68</definedName>
    <definedName name="_xlnm.Print_Area" localSheetId="70">Амортизація!$A$1:$S$35</definedName>
    <definedName name="_xlnm.Print_Area" localSheetId="78">'АО-прямые'!$B$1:$F$43</definedName>
    <definedName name="_xlnm.Print_Area" localSheetId="48">'БАЗА ИА'!$B$1:$M$32</definedName>
    <definedName name="_xlnm.Print_Area" localSheetId="24">'БАЗИ РОЗПОДІЛУ'!$B$1:$M$28</definedName>
    <definedName name="_xlnm.Print_Area" localSheetId="31">'БАЗИ РОЗПОДІЛУ_2ст'!$B$1:$M$28</definedName>
    <definedName name="_xlnm.Print_Area" localSheetId="18">Виробництво_1ст!$B$2:$J$88</definedName>
    <definedName name="_xlnm.Print_Area" localSheetId="27">Виробництво_2ст!#REF!</definedName>
    <definedName name="_xlnm.Print_Area" localSheetId="103">ВОДА!$A$3:$W$110</definedName>
    <definedName name="_xlnm.Print_Area" localSheetId="8">'Вхідні дані'!$B$2:$F$71</definedName>
    <definedName name="_xlnm.Print_Area" localSheetId="9">'Д 1_Заява'!$A$4:$B$42</definedName>
    <definedName name="_xlnm.Print_Area" localSheetId="37">'Д 10'!$A$1:$G$130</definedName>
    <definedName name="_xlnm.Print_Area" localSheetId="40">'Д 13_12'!$A$1:$N$46</definedName>
    <definedName name="_xlnm.Print_Area" localSheetId="43">'Д 15_13_Реєстр'!$A$1:$C$40</definedName>
    <definedName name="_xlnm.Print_Area" localSheetId="11">'Д 2_Т на В'!$B$1:$X$65</definedName>
    <definedName name="_xlnm.Print_Area" localSheetId="13">'Д 3.1_Т на Т без ЦТП'!$A$1:$K$67</definedName>
    <definedName name="_xlnm.Print_Area" localSheetId="12">'Д 3_Т на Т з ЦТП'!$A$1:$K$67</definedName>
    <definedName name="_xlnm.Print_Area" localSheetId="14">'Д 4_Т на П'!$A$1:$G$51</definedName>
    <definedName name="_xlnm.Print_Area" localSheetId="15">'Д 5 Т на ТЕ з ЦТП'!$A$1:$H$48</definedName>
    <definedName name="_xlnm.Print_Area" localSheetId="16">'Д 5.1 Т на ТЕ без ЦТП'!$A$1:$H$48</definedName>
    <definedName name="_xlnm.Print_Area" localSheetId="33">'Д 6_Втрати'!$A:$F</definedName>
    <definedName name="_xlnm.Print_Area" localSheetId="34">'Д 7_РП'!$B$1:$S$148</definedName>
    <definedName name="_xlnm.Print_Area" localSheetId="35">'Д 8_Паливо'!$B$1:$J$55</definedName>
    <definedName name="_xlnm.Print_Area" localSheetId="36">'Д 9_ЕЕ'!$B$1:$P$88</definedName>
    <definedName name="_xlnm.Print_Area" localSheetId="39">Д12_11!$C$1:$S$738</definedName>
    <definedName name="_xlnm.Print_Area" localSheetId="116">'Додаток 10 до рішення'!$B$1:$F$42</definedName>
    <definedName name="_xlnm.Print_Area" localSheetId="117">'Додаток 11 до рішення'!$B$1:$E$245</definedName>
    <definedName name="_xlnm.Print_Area" localSheetId="108">'Додаток 2 до рішення'!$A$1:$G$49</definedName>
    <definedName name="_xlnm.Print_Area" localSheetId="109">'Додаток 3 до рішення'!$A$1:$G$41</definedName>
    <definedName name="_xlnm.Print_Area" localSheetId="110">'Додаток 4 до рішення'!$A$1:$G$43</definedName>
    <definedName name="_xlnm.Print_Area" localSheetId="111">'Додаток 5 до рішення'!$A$1:$G$43</definedName>
    <definedName name="_xlnm.Print_Area" localSheetId="112">'Додаток 6 до рішення'!$A$1:$G$38</definedName>
    <definedName name="_xlnm.Print_Area" localSheetId="113">'Додаток 7 до рішення'!$A$1:$G$135</definedName>
    <definedName name="_xlnm.Print_Area" localSheetId="114">'Додаток 8 до рішення'!$A$1:$G$135</definedName>
    <definedName name="_xlnm.Print_Area" localSheetId="115">'Додаток 9 до рішення'!$B$1:$F$35</definedName>
    <definedName name="_xlnm.Print_Area" localSheetId="69">'Зарплата Факт'!$A$1:$N$27</definedName>
    <definedName name="_xlnm.Print_Area" localSheetId="21">ЗВВ_1ст!$B$1:$N$71</definedName>
    <definedName name="_xlnm.Print_Area" localSheetId="30">ЗВВ_2ст!$B$1:$N$69</definedName>
    <definedName name="_xlnm.Print_Area" localSheetId="63">'Зв''язок'!$B$1:$M$55</definedName>
    <definedName name="_xlnm.Print_Area" localSheetId="98">Картріджі!$B$50:$E$67</definedName>
    <definedName name="_xlnm.Print_Area" localSheetId="10">'КОНТРОЛЬ 1'!$A$70:$V$92</definedName>
    <definedName name="_xlnm.Print_Area" localSheetId="76">'Котел-повірка Юст'!$B$39:$J$60</definedName>
    <definedName name="_xlnm.Print_Area" localSheetId="67">ОП!#REF!</definedName>
    <definedName name="_xlnm.Print_Area" localSheetId="74">'Періодичні видання'!$A$1:$L$23</definedName>
    <definedName name="_xlnm.Print_Area" localSheetId="65">ПММ!$A$1:$P$25</definedName>
    <definedName name="_xlnm.Print_Area" localSheetId="118">'По квартирам 1-3'!$A$1:$W$53</definedName>
    <definedName name="_xlnm.Print_Area" localSheetId="62">Податки!$B$1:$F$16</definedName>
    <definedName name="_xlnm.Print_Area" localSheetId="32">'Покриття втрат в мережах'!$A$1:$G$34</definedName>
    <definedName name="_xlnm.Print_Area" localSheetId="121">'Порівн ТАРИФІВ'!$A$1:$I$17</definedName>
    <definedName name="_xlnm.Print_Area" localSheetId="60">Порівняння!$A$1:$U$61</definedName>
    <definedName name="_xlnm.Print_Area" localSheetId="61">'Порівняння структур'!$A$1:$H$12</definedName>
    <definedName name="_xlnm.Print_Area" localSheetId="20">Постачання_1ст!$B$1:$J$69</definedName>
    <definedName name="_xlnm.Print_Area" localSheetId="29">Постачання_2ст!$B$1:$J$69</definedName>
    <definedName name="_xlnm.Print_Area" localSheetId="97">Профпослуги!$B$3:$H$34</definedName>
    <definedName name="_xlnm.Print_Area" localSheetId="66">'Прямі витрати'!$A$1:$AR$247</definedName>
    <definedName name="_xlnm.Print_Area" localSheetId="51">распределение!$A$1:$K$16</definedName>
    <definedName name="_xlnm.Print_Area" localSheetId="42">Реєстр_робочий!$A$1:$C$107</definedName>
    <definedName name="_xlnm.Print_Area" localSheetId="96">'Ремонт-план'!$B$1:$O$23</definedName>
    <definedName name="_xlnm.Print_Area" localSheetId="54">'Рішення 3Д'!$A$1:$G$135</definedName>
    <definedName name="_xlnm.Print_Area" localSheetId="55">'Рішення 4Д'!$A$1:$G$135</definedName>
    <definedName name="_xlnm.Print_Area" localSheetId="56">'Рішення 5Д'!$A$1:$E$39</definedName>
    <definedName name="_xlnm.Print_Area" localSheetId="57">'Рішення 6Д'!$B$1:$F$48</definedName>
    <definedName name="_xlnm.Print_Area" localSheetId="83">СВЕДЕНО_И!$A$3:$H$32</definedName>
    <definedName name="_xlnm.Print_Area" localSheetId="85">'сведено-економ'!$A$132:$H$167</definedName>
    <definedName name="_xlnm.Print_Area" localSheetId="45">'Ср. за 5 лет'!$A$1:$Q$33</definedName>
    <definedName name="_xlnm.Print_Area" localSheetId="59">'Структура тарифу'!$A$1:$M$61</definedName>
    <definedName name="_xlnm.Print_Area" localSheetId="87">'структури %'!$A$1:$J$17</definedName>
    <definedName name="_xlnm.Print_Area" localSheetId="49">ТЕ_2ст_вих!$A$1:$I$79</definedName>
    <definedName name="_xlnm.Print_Area" localSheetId="26">'ТЕ_2ст_тариф_без ЦТП'!$B$1:$S$232</definedName>
    <definedName name="_xlnm.Print_Area" localSheetId="25">'ТЕ_2ст_тариф_з ЦТП'!$B$1:$S$235</definedName>
    <definedName name="_xlnm.Print_Area" localSheetId="105">'ТК ТЗ'!$B$3:$I$49</definedName>
    <definedName name="_xlnm.Print_Area" localSheetId="73">ТО!$B$26:$R$59</definedName>
    <definedName name="_xlnm.Print_Area" localSheetId="104">'ТО ТЗ'!$B$1:$I$43</definedName>
    <definedName name="_xlnm.Print_Area" localSheetId="19">Транспортування_1ст!$B$1:$H$80</definedName>
    <definedName name="_xlnm.Print_Area" localSheetId="28">Транспортування_2ст!$B$1:$H$80</definedName>
    <definedName name="_xlnm.Print_Area" localSheetId="71">Утилизація!$B$3:$G$27</definedName>
    <definedName name="_xlnm.Print_Area" localSheetId="75">'Факт 2023Поверка Юст'!$A$1:$G$100</definedName>
    <definedName name="_xlnm.Print_Area" localSheetId="68">ФОП!$A$1:$H$61</definedName>
    <definedName name="_xlnm.Print_Area" localSheetId="99">'Ціна ее'!$A$3:$H$19</definedName>
    <definedName name="облік" localSheetId="22">[29]скрыть!$D$4:$D$6</definedName>
    <definedName name="облік" localSheetId="47">[29]скрыть!$D$4:$D$6</definedName>
    <definedName name="облік" localSheetId="18">[29]скрыть!$D$4:$D$6</definedName>
    <definedName name="облік" localSheetId="27">[29]скрыть!$D$4:$D$6</definedName>
    <definedName name="облік" localSheetId="21">[29]скрыть!$D$4:$D$6</definedName>
    <definedName name="облік" localSheetId="30">[29]скрыть!$D$4:$D$6</definedName>
    <definedName name="облік" localSheetId="20">[29]скрыть!$D$4:$D$6</definedName>
    <definedName name="облік" localSheetId="29">[29]скрыть!$D$4:$D$6</definedName>
    <definedName name="облік" localSheetId="45">[30]скрыть!$D$4:$D$6</definedName>
    <definedName name="облік">[31]скрыть!$D$4:$D$6</definedName>
    <definedName name="облікГВП" localSheetId="22">[29]скрыть!$G$4:$G$6</definedName>
    <definedName name="облікГВП" localSheetId="47">[29]скрыть!$G$4:$G$6</definedName>
    <definedName name="облікГВП" localSheetId="18">[29]скрыть!$G$4:$G$6</definedName>
    <definedName name="облікГВП" localSheetId="27">[29]скрыть!$G$4:$G$6</definedName>
    <definedName name="облікГВП" localSheetId="21">[29]скрыть!$G$4:$G$6</definedName>
    <definedName name="облікГВП" localSheetId="30">[29]скрыть!$G$4:$G$6</definedName>
    <definedName name="облікГВП" localSheetId="20">[29]скрыть!$G$4:$G$6</definedName>
    <definedName name="облікГВП" localSheetId="29">[29]скрыть!$G$4:$G$6</definedName>
    <definedName name="облікГВП" localSheetId="45">[30]скрыть!$G$4:$G$6</definedName>
    <definedName name="облікГВП">[31]скрыть!$G$4:$G$6</definedName>
    <definedName name="Од" localSheetId="47">#REF!</definedName>
    <definedName name="Од" localSheetId="31">#REF!</definedName>
    <definedName name="Од" localSheetId="18">#REF!</definedName>
    <definedName name="Од" localSheetId="27">#REF!</definedName>
    <definedName name="Од" localSheetId="11">#REF!</definedName>
    <definedName name="Од" localSheetId="13">#REF!</definedName>
    <definedName name="Од" localSheetId="12">#REF!</definedName>
    <definedName name="Од" localSheetId="16">#REF!</definedName>
    <definedName name="Од" localSheetId="34">#REF!</definedName>
    <definedName name="Од" localSheetId="21">#REF!</definedName>
    <definedName name="Од" localSheetId="30">#REF!</definedName>
    <definedName name="Од" localSheetId="20">#REF!</definedName>
    <definedName name="Од" localSheetId="29">#REF!</definedName>
    <definedName name="Од" localSheetId="26">#REF!</definedName>
    <definedName name="Од">#REF!</definedName>
    <definedName name="Од_Б" localSheetId="47">#REF!</definedName>
    <definedName name="Од_Б" localSheetId="31">#REF!</definedName>
    <definedName name="Од_Б" localSheetId="18">#REF!</definedName>
    <definedName name="Од_Б" localSheetId="27">#REF!</definedName>
    <definedName name="Од_Б" localSheetId="11">#REF!</definedName>
    <definedName name="Од_Б" localSheetId="13">#REF!</definedName>
    <definedName name="Од_Б" localSheetId="12">#REF!</definedName>
    <definedName name="Од_Б" localSheetId="16">#REF!</definedName>
    <definedName name="Од_Б" localSheetId="34">#REF!</definedName>
    <definedName name="Од_Б" localSheetId="21">#REF!</definedName>
    <definedName name="Од_Б" localSheetId="30">#REF!</definedName>
    <definedName name="Од_Б" localSheetId="20">#REF!</definedName>
    <definedName name="Од_Б" localSheetId="29">#REF!</definedName>
    <definedName name="Од_Б" localSheetId="26">#REF!</definedName>
    <definedName name="Од_Б">#REF!</definedName>
    <definedName name="Од_БI" localSheetId="47">#REF!</definedName>
    <definedName name="Од_БI" localSheetId="31">#REF!</definedName>
    <definedName name="Од_БI" localSheetId="18">#REF!</definedName>
    <definedName name="Од_БI" localSheetId="27">#REF!</definedName>
    <definedName name="Од_БI" localSheetId="11">#REF!</definedName>
    <definedName name="Од_БI" localSheetId="13">#REF!</definedName>
    <definedName name="Од_БI" localSheetId="12">#REF!</definedName>
    <definedName name="Од_БI" localSheetId="16">#REF!</definedName>
    <definedName name="Од_БI" localSheetId="34">#REF!</definedName>
    <definedName name="Од_БI" localSheetId="21">#REF!</definedName>
    <definedName name="Од_БI" localSheetId="30">#REF!</definedName>
    <definedName name="Од_БI" localSheetId="20">#REF!</definedName>
    <definedName name="Од_БI" localSheetId="29">#REF!</definedName>
    <definedName name="Од_БI" localSheetId="26">#REF!</definedName>
    <definedName name="Од_БI">#REF!</definedName>
    <definedName name="Од_І" localSheetId="47">#REF!</definedName>
    <definedName name="Од_І" localSheetId="31">#REF!</definedName>
    <definedName name="Од_І" localSheetId="18">#REF!</definedName>
    <definedName name="Од_І" localSheetId="27">#REF!</definedName>
    <definedName name="Од_І" localSheetId="11">#REF!</definedName>
    <definedName name="Од_І" localSheetId="13">#REF!</definedName>
    <definedName name="Од_І" localSheetId="12">#REF!</definedName>
    <definedName name="Од_І" localSheetId="16">#REF!</definedName>
    <definedName name="Од_І" localSheetId="34">#REF!</definedName>
    <definedName name="Од_І" localSheetId="21">#REF!</definedName>
    <definedName name="Од_І" localSheetId="30">#REF!</definedName>
    <definedName name="Од_І" localSheetId="20">#REF!</definedName>
    <definedName name="Од_І" localSheetId="29">#REF!</definedName>
    <definedName name="Од_І" localSheetId="26">#REF!</definedName>
    <definedName name="Од_І">#REF!</definedName>
    <definedName name="Од_Н" localSheetId="47">#REF!</definedName>
    <definedName name="Од_Н" localSheetId="31">#REF!</definedName>
    <definedName name="Од_Н" localSheetId="18">#REF!</definedName>
    <definedName name="Од_Н" localSheetId="27">#REF!</definedName>
    <definedName name="Од_Н" localSheetId="11">#REF!</definedName>
    <definedName name="Од_Н" localSheetId="13">#REF!</definedName>
    <definedName name="Од_Н" localSheetId="12">#REF!</definedName>
    <definedName name="Од_Н" localSheetId="16">#REF!</definedName>
    <definedName name="Од_Н" localSheetId="34">#REF!</definedName>
    <definedName name="Од_Н" localSheetId="21">#REF!</definedName>
    <definedName name="Од_Н" localSheetId="30">#REF!</definedName>
    <definedName name="Од_Н" localSheetId="20">#REF!</definedName>
    <definedName name="Од_Н" localSheetId="29">#REF!</definedName>
    <definedName name="Од_Н" localSheetId="26">#REF!</definedName>
    <definedName name="Од_Н">#REF!</definedName>
    <definedName name="ооо" localSheetId="47">'[26]Вхідні дані'!#REF!</definedName>
    <definedName name="ооо" localSheetId="31">'[26]Вхідні дані'!#REF!</definedName>
    <definedName name="ооо" localSheetId="18">'[26]Вхідні дані'!#REF!</definedName>
    <definedName name="ооо" localSheetId="27">'[26]Вхідні дані'!#REF!</definedName>
    <definedName name="ооо" localSheetId="13">'[26]Вхідні дані'!#REF!</definedName>
    <definedName name="ооо" localSheetId="16">'[26]Вхідні дані'!#REF!</definedName>
    <definedName name="ооо" localSheetId="21">'[26]Вхідні дані'!#REF!</definedName>
    <definedName name="ооо" localSheetId="30">'[26]Вхідні дані'!#REF!</definedName>
    <definedName name="ооо" localSheetId="20">'[26]Вхідні дані'!#REF!</definedName>
    <definedName name="ооо" localSheetId="29">'[26]Вхідні дані'!#REF!</definedName>
    <definedName name="ооо" localSheetId="26">'[26]Вхідні дані'!#REF!</definedName>
    <definedName name="ооо">'[26]Вхідні дані'!#REF!</definedName>
    <definedName name="Откл">#REF!</definedName>
    <definedName name="отклонение" localSheetId="47">#REF!</definedName>
    <definedName name="отклонение" localSheetId="31">#REF!</definedName>
    <definedName name="отклонение" localSheetId="18">#REF!</definedName>
    <definedName name="отклонение" localSheetId="27">#REF!</definedName>
    <definedName name="отклонение" localSheetId="13">#REF!</definedName>
    <definedName name="отклонение" localSheetId="16">#REF!</definedName>
    <definedName name="отклонение" localSheetId="21">#REF!</definedName>
    <definedName name="отклонение" localSheetId="30">#REF!</definedName>
    <definedName name="отклонение" localSheetId="65">'[32]Вхідні дані'!#REF!</definedName>
    <definedName name="отклонение" localSheetId="20">#REF!</definedName>
    <definedName name="отклонение" localSheetId="29">#REF!</definedName>
    <definedName name="отклонение" localSheetId="26">#REF!</definedName>
    <definedName name="отклонение">#REF!</definedName>
    <definedName name="отклонение_15">"$#ССЫЛ!.$#ССЫЛ!$#ССЫЛ!"</definedName>
    <definedName name="отклонение_18">NA()</definedName>
    <definedName name="отклонение_18_15">NA()</definedName>
    <definedName name="отклонение_2" localSheetId="47">'[33]Вхідні дані'!#REF!</definedName>
    <definedName name="отклонение_2" localSheetId="31">'[33]Вхідні дані'!#REF!</definedName>
    <definedName name="отклонение_2" localSheetId="18">'[33]Вхідні дані'!#REF!</definedName>
    <definedName name="отклонение_2" localSheetId="27">'[33]Вхідні дані'!#REF!</definedName>
    <definedName name="отклонение_2" localSheetId="13">'[33]Вхідні дані'!#REF!</definedName>
    <definedName name="отклонение_2" localSheetId="16">'[33]Вхідні дані'!#REF!</definedName>
    <definedName name="отклонение_2" localSheetId="21">'[33]Вхідні дані'!#REF!</definedName>
    <definedName name="отклонение_2" localSheetId="30">'[33]Вхідні дані'!#REF!</definedName>
    <definedName name="отклонение_2" localSheetId="20">'[33]Вхідні дані'!#REF!</definedName>
    <definedName name="отклонение_2" localSheetId="29">'[33]Вхідні дані'!#REF!</definedName>
    <definedName name="отклонение_2" localSheetId="26">'[33]Вхідні дані'!#REF!</definedName>
    <definedName name="отклонение_2">'[33]Вхідні дані'!#REF!</definedName>
    <definedName name="отклонение_27">NA()</definedName>
    <definedName name="отклонение_31">NA()</definedName>
    <definedName name="отклонение_33">NA()</definedName>
    <definedName name="отклонение_34">NA()</definedName>
    <definedName name="отклонение_35">NA()</definedName>
    <definedName name="отклонение_36">NA()</definedName>
    <definedName name="отклонение_38">NA()</definedName>
    <definedName name="отклонение_4">NA()</definedName>
    <definedName name="Отсорт_Д_СВ" localSheetId="47">#REF!</definedName>
    <definedName name="Отсорт_Д_СВ" localSheetId="31">#REF!</definedName>
    <definedName name="Отсорт_Д_СВ" localSheetId="18">#REF!</definedName>
    <definedName name="Отсорт_Д_СВ" localSheetId="27">#REF!</definedName>
    <definedName name="Отсорт_Д_СВ" localSheetId="11">#REF!</definedName>
    <definedName name="Отсорт_Д_СВ" localSheetId="13">#REF!</definedName>
    <definedName name="Отсорт_Д_СВ" localSheetId="12">#REF!</definedName>
    <definedName name="Отсорт_Д_СВ" localSheetId="16">#REF!</definedName>
    <definedName name="Отсорт_Д_СВ" localSheetId="34">#REF!</definedName>
    <definedName name="Отсорт_Д_СВ" localSheetId="21">#REF!</definedName>
    <definedName name="Отсорт_Д_СВ" localSheetId="30">#REF!</definedName>
    <definedName name="Отсорт_Д_СВ" localSheetId="20">#REF!</definedName>
    <definedName name="Отсорт_Д_СВ" localSheetId="29">#REF!</definedName>
    <definedName name="Отсорт_Д_СВ" localSheetId="26">#REF!</definedName>
    <definedName name="Отсорт_Д_СВ">#REF!</definedName>
    <definedName name="отчет_2005">'[34]812'!$F$1:$F$65536</definedName>
    <definedName name="отчет_9мес">'[18]812'!$K$1:$K$65536</definedName>
    <definedName name="охорона_праці">NA()</definedName>
    <definedName name="охорона_праці_15">NA()</definedName>
    <definedName name="оч_г">[24]ПЛАН_1вар!$N$1:$N$65536</definedName>
    <definedName name="оч_рік">[20]м_812!$L$1:$L$65536</definedName>
    <definedName name="очікув">'[18]812'!$J$1:$J$65536</definedName>
    <definedName name="пдв" localSheetId="47">#REF!</definedName>
    <definedName name="пдв" localSheetId="31">#REF!</definedName>
    <definedName name="пдв" localSheetId="18">#REF!</definedName>
    <definedName name="пдв" localSheetId="27">#REF!</definedName>
    <definedName name="пдв" localSheetId="13">#REF!</definedName>
    <definedName name="пдв" localSheetId="16">#REF!</definedName>
    <definedName name="пдв" localSheetId="21">#REF!</definedName>
    <definedName name="пдв" localSheetId="30">#REF!</definedName>
    <definedName name="пдв" localSheetId="65">'[32]Вхідні дані'!#REF!</definedName>
    <definedName name="пдв" localSheetId="20">#REF!</definedName>
    <definedName name="пдв" localSheetId="29">#REF!</definedName>
    <definedName name="пдв" localSheetId="26">#REF!</definedName>
    <definedName name="пдв">#REF!</definedName>
    <definedName name="пдв_15">"$#ССЫЛ!.$#ССЫЛ!$#ССЫЛ!"</definedName>
    <definedName name="пдв_18">NA()</definedName>
    <definedName name="пдв_18_15">NA()</definedName>
    <definedName name="пдв_2" localSheetId="47">'[33]Вхідні дані'!#REF!</definedName>
    <definedName name="пдв_2" localSheetId="31">'[33]Вхідні дані'!#REF!</definedName>
    <definedName name="пдв_2" localSheetId="18">'[33]Вхідні дані'!#REF!</definedName>
    <definedName name="пдв_2" localSheetId="27">'[33]Вхідні дані'!#REF!</definedName>
    <definedName name="пдв_2" localSheetId="13">'[33]Вхідні дані'!#REF!</definedName>
    <definedName name="пдв_2" localSheetId="16">'[33]Вхідні дані'!#REF!</definedName>
    <definedName name="пдв_2" localSheetId="21">'[33]Вхідні дані'!#REF!</definedName>
    <definedName name="пдв_2" localSheetId="30">'[33]Вхідні дані'!#REF!</definedName>
    <definedName name="пдв_2" localSheetId="20">'[33]Вхідні дані'!#REF!</definedName>
    <definedName name="пдв_2" localSheetId="29">'[33]Вхідні дані'!#REF!</definedName>
    <definedName name="пдв_2" localSheetId="26">'[33]Вхідні дані'!#REF!</definedName>
    <definedName name="пдв_2">'[33]Вхідні дані'!#REF!</definedName>
    <definedName name="пдв_27">NA()</definedName>
    <definedName name="пдв_31">NA()</definedName>
    <definedName name="пдв_33">NA()</definedName>
    <definedName name="пдв_34">NA()</definedName>
    <definedName name="пдв_35">NA()</definedName>
    <definedName name="пдв_36">NA()</definedName>
    <definedName name="пдв_38">NA()</definedName>
    <definedName name="пдв_4">NA()</definedName>
    <definedName name="Пенс" localSheetId="47">#REF!</definedName>
    <definedName name="Пенс" localSheetId="31">#REF!</definedName>
    <definedName name="Пенс" localSheetId="18">#REF!</definedName>
    <definedName name="Пенс" localSheetId="27">#REF!</definedName>
    <definedName name="Пенс" localSheetId="13">#REF!</definedName>
    <definedName name="Пенс" localSheetId="16">#REF!</definedName>
    <definedName name="Пенс" localSheetId="21">#REF!</definedName>
    <definedName name="Пенс" localSheetId="30">#REF!</definedName>
    <definedName name="Пенс" localSheetId="20">#REF!</definedName>
    <definedName name="Пенс" localSheetId="29">#REF!</definedName>
    <definedName name="Пенс" localSheetId="26">#REF!</definedName>
    <definedName name="Пенс">#REF!</definedName>
    <definedName name="Период">[28]Ф2!$F$4</definedName>
    <definedName name="ПериодОтчёта">'[28]Технич лист'!$B$2:$B$7</definedName>
    <definedName name="пл_9">[24]ПЛАН_1вар!$K$1:$K$65536</definedName>
    <definedName name="пл_г">[24]ПЛАН_1вар!$M$1:$M$65536</definedName>
    <definedName name="пл_скор">[20]м_812!$J$1:$J$65536</definedName>
    <definedName name="план" hidden="1">{#N/A,#N/A,FALSE,"9PS0"}</definedName>
    <definedName name="поверхи" localSheetId="22">[29]скрыть!$B$4:$B$9</definedName>
    <definedName name="поверхи" localSheetId="47">[29]скрыть!$B$4:$B$9</definedName>
    <definedName name="поверхи" localSheetId="18">[29]скрыть!$B$4:$B$9</definedName>
    <definedName name="поверхи" localSheetId="27">[29]скрыть!$B$4:$B$9</definedName>
    <definedName name="поверхи" localSheetId="21">[29]скрыть!$B$4:$B$9</definedName>
    <definedName name="поверхи" localSheetId="30">[29]скрыть!$B$4:$B$9</definedName>
    <definedName name="поверхи" localSheetId="20">[29]скрыть!$B$4:$B$9</definedName>
    <definedName name="поверхи" localSheetId="29">[29]скрыть!$B$4:$B$9</definedName>
    <definedName name="поверхи" localSheetId="45">[30]скрыть!$B$4:$B$9</definedName>
    <definedName name="поверхи">[31]скрыть!$B$4:$B$9</definedName>
    <definedName name="ппп" localSheetId="47">#REF!</definedName>
    <definedName name="ппп" localSheetId="31">#REF!</definedName>
    <definedName name="ппп" localSheetId="18">#REF!</definedName>
    <definedName name="ппп" localSheetId="27">#REF!</definedName>
    <definedName name="ппп" localSheetId="11">#REF!</definedName>
    <definedName name="ппп" localSheetId="13">#REF!</definedName>
    <definedName name="ппп" localSheetId="12">#REF!</definedName>
    <definedName name="ппп" localSheetId="16">#REF!</definedName>
    <definedName name="ппп" localSheetId="34">#REF!</definedName>
    <definedName name="ппп" localSheetId="21">#REF!</definedName>
    <definedName name="ппп" localSheetId="30">#REF!</definedName>
    <definedName name="ппп" localSheetId="20">#REF!</definedName>
    <definedName name="ппп" localSheetId="29">#REF!</definedName>
    <definedName name="ппп" localSheetId="26">#REF!</definedName>
    <definedName name="ппп">#REF!</definedName>
    <definedName name="пр_1">[24]ПЛАН_1вар!$P$1:$P$65536</definedName>
    <definedName name="пр_1кв">[20]м_812!$N$1:$N$65536</definedName>
    <definedName name="пр_2">[24]ПЛАН_1вар!$Q$1:$Q$65536</definedName>
    <definedName name="пр_2кв">[20]м_812!$O$1:$O$65536</definedName>
    <definedName name="пр_3">[24]ПЛАН_1вар!$R$1:$R$65536</definedName>
    <definedName name="пр_3кв">[20]м_812!$P$1:$P$65536</definedName>
    <definedName name="пр_4">[24]ПЛАН_1вар!$S$1:$S$65536</definedName>
    <definedName name="пр_4кв">[20]м_812!$Q$1:$Q$65536</definedName>
    <definedName name="пр_г">[24]ПЛАН_1вар!$O$1:$O$65536</definedName>
    <definedName name="пр_рік">[20]м_812!$M$1:$M$65536</definedName>
    <definedName name="Признак">'[28]Технич лист'!$A$2:$A$4</definedName>
    <definedName name="проект">'[18]812'!$L$1:$L$65536</definedName>
    <definedName name="проь" localSheetId="47">#REF!</definedName>
    <definedName name="проь" localSheetId="31">#REF!</definedName>
    <definedName name="проь" localSheetId="18">#REF!</definedName>
    <definedName name="проь" localSheetId="27">#REF!</definedName>
    <definedName name="проь" localSheetId="13">#REF!</definedName>
    <definedName name="проь" localSheetId="16">#REF!</definedName>
    <definedName name="проь" localSheetId="21">#REF!</definedName>
    <definedName name="проь" localSheetId="30">#REF!</definedName>
    <definedName name="проь" localSheetId="20">#REF!</definedName>
    <definedName name="проь" localSheetId="29">#REF!</definedName>
    <definedName name="проь" localSheetId="26">#REF!</definedName>
    <definedName name="проь">#REF!</definedName>
    <definedName name="РЕГ" localSheetId="47">#REF!</definedName>
    <definedName name="РЕГ" localSheetId="31">#REF!</definedName>
    <definedName name="РЕГ" localSheetId="18">#REF!</definedName>
    <definedName name="РЕГ" localSheetId="27">#REF!</definedName>
    <definedName name="РЕГ" localSheetId="11">#REF!</definedName>
    <definedName name="РЕГ" localSheetId="13">#REF!</definedName>
    <definedName name="РЕГ" localSheetId="12">#REF!</definedName>
    <definedName name="РЕГ" localSheetId="16">#REF!</definedName>
    <definedName name="РЕГ" localSheetId="34">#REF!</definedName>
    <definedName name="РЕГ" localSheetId="21">#REF!</definedName>
    <definedName name="РЕГ" localSheetId="30">#REF!</definedName>
    <definedName name="РЕГ" localSheetId="20">#REF!</definedName>
    <definedName name="РЕГ" localSheetId="29">#REF!</definedName>
    <definedName name="РЕГ" localSheetId="26">#REF!</definedName>
    <definedName name="РЕГ">#REF!</definedName>
    <definedName name="Регіон" localSheetId="47">#REF!</definedName>
    <definedName name="Регіон" localSheetId="31">#REF!</definedName>
    <definedName name="Регіон" localSheetId="18">#REF!</definedName>
    <definedName name="Регіон" localSheetId="27">#REF!</definedName>
    <definedName name="Регіон" localSheetId="11">#REF!</definedName>
    <definedName name="Регіон" localSheetId="13">#REF!</definedName>
    <definedName name="Регіон" localSheetId="12">#REF!</definedName>
    <definedName name="Регіон" localSheetId="16">#REF!</definedName>
    <definedName name="Регіон" localSheetId="34">#REF!</definedName>
    <definedName name="Регіон" localSheetId="21">#REF!</definedName>
    <definedName name="Регіон" localSheetId="30">#REF!</definedName>
    <definedName name="Регіон" localSheetId="20">#REF!</definedName>
    <definedName name="Регіон" localSheetId="29">#REF!</definedName>
    <definedName name="Регіон" localSheetId="26">#REF!</definedName>
    <definedName name="Регіон">#REF!</definedName>
    <definedName name="рік" hidden="1">{#N/A,#N/A,FALSE,"9PS0"}</definedName>
    <definedName name="рое" hidden="1">{#N/A,#N/A,FALSE,"9PS0"}</definedName>
    <definedName name="Розр1" localSheetId="47">[2]рік!#REF!</definedName>
    <definedName name="Розр1" localSheetId="31">[2]рік!#REF!</definedName>
    <definedName name="Розр1" localSheetId="18">[2]рік!#REF!</definedName>
    <definedName name="Розр1" localSheetId="27">[2]рік!#REF!</definedName>
    <definedName name="Розр1" localSheetId="103">[3]рік!#REF!</definedName>
    <definedName name="Розр1" localSheetId="13">[2]рік!#REF!</definedName>
    <definedName name="Розр1" localSheetId="16">[2]рік!#REF!</definedName>
    <definedName name="Розр1" localSheetId="21">[2]рік!#REF!</definedName>
    <definedName name="Розр1" localSheetId="30">[2]рік!#REF!</definedName>
    <definedName name="Розр1" localSheetId="20">[2]рік!#REF!</definedName>
    <definedName name="Розр1" localSheetId="29">[2]рік!#REF!</definedName>
    <definedName name="Розр1" localSheetId="26">[2]рік!#REF!</definedName>
    <definedName name="Розр1">[2]рік!#REF!</definedName>
    <definedName name="Розр2" localSheetId="47">[2]рік!#REF!</definedName>
    <definedName name="Розр2" localSheetId="31">[2]рік!#REF!</definedName>
    <definedName name="Розр2" localSheetId="18">[2]рік!#REF!</definedName>
    <definedName name="Розр2" localSheetId="27">[2]рік!#REF!</definedName>
    <definedName name="Розр2" localSheetId="103">[3]рік!#REF!</definedName>
    <definedName name="Розр2" localSheetId="13">[2]рік!#REF!</definedName>
    <definedName name="Розр2" localSheetId="16">[2]рік!#REF!</definedName>
    <definedName name="Розр2" localSheetId="21">[2]рік!#REF!</definedName>
    <definedName name="Розр2" localSheetId="30">[2]рік!#REF!</definedName>
    <definedName name="Розр2" localSheetId="20">[2]рік!#REF!</definedName>
    <definedName name="Розр2" localSheetId="29">[2]рік!#REF!</definedName>
    <definedName name="Розр2" localSheetId="26">[2]рік!#REF!</definedName>
    <definedName name="Розр2">[2]рік!#REF!</definedName>
    <definedName name="Розр3" localSheetId="47">[2]рік!#REF!</definedName>
    <definedName name="Розр3" localSheetId="31">[2]рік!#REF!</definedName>
    <definedName name="Розр3" localSheetId="18">[2]рік!#REF!</definedName>
    <definedName name="Розр3" localSheetId="27">[2]рік!#REF!</definedName>
    <definedName name="Розр3" localSheetId="103">[3]рік!#REF!</definedName>
    <definedName name="Розр3" localSheetId="13">[2]рік!#REF!</definedName>
    <definedName name="Розр3" localSheetId="16">[2]рік!#REF!</definedName>
    <definedName name="Розр3" localSheetId="21">[2]рік!#REF!</definedName>
    <definedName name="Розр3" localSheetId="30">[2]рік!#REF!</definedName>
    <definedName name="Розр3" localSheetId="20">[2]рік!#REF!</definedName>
    <definedName name="Розр3" localSheetId="29">[2]рік!#REF!</definedName>
    <definedName name="Розр3" localSheetId="26">[2]рік!#REF!</definedName>
    <definedName name="Розр3">[2]рік!#REF!</definedName>
    <definedName name="рр" localSheetId="47">#REF!</definedName>
    <definedName name="рр" localSheetId="31">#REF!</definedName>
    <definedName name="рр" localSheetId="18">#REF!</definedName>
    <definedName name="рр" localSheetId="27">#REF!</definedName>
    <definedName name="рр" localSheetId="11">#REF!</definedName>
    <definedName name="рр" localSheetId="13">#REF!</definedName>
    <definedName name="рр" localSheetId="12">#REF!</definedName>
    <definedName name="рр" localSheetId="16">#REF!</definedName>
    <definedName name="рр" localSheetId="34">#REF!</definedName>
    <definedName name="рр" localSheetId="21">#REF!</definedName>
    <definedName name="рр" localSheetId="30">#REF!</definedName>
    <definedName name="рр" localSheetId="20">#REF!</definedName>
    <definedName name="рр" localSheetId="29">#REF!</definedName>
    <definedName name="рр" localSheetId="26">#REF!</definedName>
    <definedName name="рр">#REF!</definedName>
    <definedName name="ррр" localSheetId="47">#REF!</definedName>
    <definedName name="ррр" localSheetId="31">#REF!</definedName>
    <definedName name="ррр" localSheetId="18">#REF!</definedName>
    <definedName name="ррр" localSheetId="27">#REF!</definedName>
    <definedName name="ррр" localSheetId="13">#REF!</definedName>
    <definedName name="ррр" localSheetId="16">#REF!</definedName>
    <definedName name="ррр" localSheetId="21">#REF!</definedName>
    <definedName name="ррр" localSheetId="30">#REF!</definedName>
    <definedName name="ррр" localSheetId="20">#REF!</definedName>
    <definedName name="ррр" localSheetId="29">#REF!</definedName>
    <definedName name="ррр" localSheetId="26">#REF!</definedName>
    <definedName name="ррр">#REF!</definedName>
    <definedName name="свод">[20]м_812!$A$1:$AL$65536</definedName>
    <definedName name="серп">'[18]812'!$W$1:$W$65536</definedName>
    <definedName name="СЕРПЕНЬ" hidden="1">{#N/A,#N/A,FALSE,"9PS0"}</definedName>
    <definedName name="січ">'[18]812'!$N$1:$N$65536</definedName>
    <definedName name="скоригов">'[18]812'!$I$1:$I$65536</definedName>
    <definedName name="Соц" localSheetId="47">#REF!</definedName>
    <definedName name="Соц" localSheetId="31">#REF!</definedName>
    <definedName name="Соц" localSheetId="18">#REF!</definedName>
    <definedName name="Соц" localSheetId="27">#REF!</definedName>
    <definedName name="Соц" localSheetId="13">#REF!</definedName>
    <definedName name="Соц" localSheetId="16">#REF!</definedName>
    <definedName name="Соц" localSheetId="21">#REF!</definedName>
    <definedName name="Соц" localSheetId="30">#REF!</definedName>
    <definedName name="Соц" localSheetId="20">#REF!</definedName>
    <definedName name="Соц" localSheetId="29">#REF!</definedName>
    <definedName name="Соц" localSheetId="26">#REF!</definedName>
    <definedName name="Соц">#REF!</definedName>
    <definedName name="соц_1">'[24]Інші витрати'!$M$65</definedName>
    <definedName name="соц_2">'[24]Інші витрати'!$N$65</definedName>
    <definedName name="соц_3">'[24]Інші витрати'!$O$65</definedName>
    <definedName name="соц_4">'[24]Інші витрати'!$P$65</definedName>
    <definedName name="соц_9">'[24]Інші витрати'!$I$65</definedName>
    <definedName name="соц_9п">'[24]Інші витрати'!$H$65</definedName>
    <definedName name="соц_зв">'[24]Інші витрати'!$D$65</definedName>
    <definedName name="соц_о">'[24]Інші витрати'!$K$65</definedName>
    <definedName name="соц_п">'[24]Інші витрати'!$J$65</definedName>
    <definedName name="Список_компах" localSheetId="47">OFFSET(#REF!,,,COUNTA(#REF!),1)</definedName>
    <definedName name="Список_компах" localSheetId="31">OFFSET(#REF!,,,COUNTA(#REF!),1)</definedName>
    <definedName name="Список_компах" localSheetId="18">OFFSET(#REF!,,,COUNTA(#REF!),1)</definedName>
    <definedName name="Список_компах" localSheetId="27">OFFSET(#REF!,,,COUNTA(#REF!),1)</definedName>
    <definedName name="Список_компах" localSheetId="11">OFFSET(#REF!,,,COUNTA(#REF!),1)</definedName>
    <definedName name="Список_компах" localSheetId="13">OFFSET(#REF!,,,COUNTA(#REF!),1)</definedName>
    <definedName name="Список_компах" localSheetId="12">OFFSET(#REF!,,,COUNTA(#REF!),1)</definedName>
    <definedName name="Список_компах" localSheetId="16">OFFSET(#REF!,,,COUNTA(#REF!),1)</definedName>
    <definedName name="Список_компах" localSheetId="34">OFFSET(#REF!,,,COUNTA(#REF!),1)</definedName>
    <definedName name="Список_компах" localSheetId="21">OFFSET(#REF!,,,COUNTA(#REF!),1)</definedName>
    <definedName name="Список_компах" localSheetId="30">OFFSET(#REF!,,,COUNTA(#REF!),1)</definedName>
    <definedName name="Список_компах" localSheetId="20">OFFSET(#REF!,,,COUNTA(#REF!),1)</definedName>
    <definedName name="Список_компах" localSheetId="29">OFFSET(#REF!,,,COUNTA(#REF!),1)</definedName>
    <definedName name="Список_компах" localSheetId="26">OFFSET(#REF!,,,COUNTA(#REF!),1)</definedName>
    <definedName name="Список_компах">OFFSET(#REF!,,,COUNTA(#REF!),1)</definedName>
    <definedName name="статьи">[20]м_812!$D$1:$D$65536</definedName>
    <definedName name="Тело_СТ" localSheetId="47">#REF!</definedName>
    <definedName name="Тело_СТ" localSheetId="31">#REF!</definedName>
    <definedName name="Тело_СТ" localSheetId="18">#REF!</definedName>
    <definedName name="Тело_СТ" localSheetId="27">#REF!</definedName>
    <definedName name="Тело_СТ" localSheetId="11">#REF!</definedName>
    <definedName name="Тело_СТ" localSheetId="13">#REF!</definedName>
    <definedName name="Тело_СТ" localSheetId="12">#REF!</definedName>
    <definedName name="Тело_СТ" localSheetId="16">#REF!</definedName>
    <definedName name="Тело_СТ" localSheetId="34">#REF!</definedName>
    <definedName name="Тело_СТ" localSheetId="21">#REF!</definedName>
    <definedName name="Тело_СТ" localSheetId="30">#REF!</definedName>
    <definedName name="Тело_СТ" localSheetId="20">#REF!</definedName>
    <definedName name="Тело_СТ" localSheetId="29">#REF!</definedName>
    <definedName name="Тело_СТ" localSheetId="26">#REF!</definedName>
    <definedName name="Тело_СТ">#REF!</definedName>
    <definedName name="тепло" localSheetId="47">'[33]Вхідні дані'!#REF!</definedName>
    <definedName name="тепло" localSheetId="31">'[33]Вхідні дані'!#REF!</definedName>
    <definedName name="тепло" localSheetId="18">'[33]Вхідні дані'!#REF!</definedName>
    <definedName name="тепло" localSheetId="27">'[33]Вхідні дані'!#REF!</definedName>
    <definedName name="тепло" localSheetId="13">'[33]Вхідні дані'!#REF!</definedName>
    <definedName name="тепло" localSheetId="16">'[33]Вхідні дані'!#REF!</definedName>
    <definedName name="тепло" localSheetId="21">'[33]Вхідні дані'!#REF!</definedName>
    <definedName name="тепло" localSheetId="30">'[33]Вхідні дані'!#REF!</definedName>
    <definedName name="тепло" localSheetId="20">'[33]Вхідні дані'!#REF!</definedName>
    <definedName name="тепло" localSheetId="29">'[33]Вхідні дані'!#REF!</definedName>
    <definedName name="тепло" localSheetId="26">'[33]Вхідні дані'!#REF!</definedName>
    <definedName name="тепло">'[33]Вхідні дані'!#REF!</definedName>
    <definedName name="трав">'[18]812'!$S$1:$S$65536</definedName>
    <definedName name="травень" hidden="1">{#N/A,#N/A,FALSE,"9PS0"}</definedName>
    <definedName name="Уз" localSheetId="47">#REF!</definedName>
    <definedName name="Уз" localSheetId="31">#REF!</definedName>
    <definedName name="Уз" localSheetId="18">#REF!</definedName>
    <definedName name="Уз" localSheetId="27">#REF!</definedName>
    <definedName name="Уз" localSheetId="11">#REF!</definedName>
    <definedName name="Уз" localSheetId="13">#REF!</definedName>
    <definedName name="Уз" localSheetId="12">#REF!</definedName>
    <definedName name="Уз" localSheetId="16">#REF!</definedName>
    <definedName name="Уз" localSheetId="34">#REF!</definedName>
    <definedName name="Уз" localSheetId="21">#REF!</definedName>
    <definedName name="Уз" localSheetId="30">#REF!</definedName>
    <definedName name="Уз" localSheetId="20">#REF!</definedName>
    <definedName name="Уз" localSheetId="29">#REF!</definedName>
    <definedName name="Уз" localSheetId="26">#REF!</definedName>
    <definedName name="Уз">#REF!</definedName>
    <definedName name="Уз_б" localSheetId="47">#REF!</definedName>
    <definedName name="Уз_б" localSheetId="31">#REF!</definedName>
    <definedName name="Уз_б" localSheetId="18">#REF!</definedName>
    <definedName name="Уз_б" localSheetId="27">#REF!</definedName>
    <definedName name="Уз_б" localSheetId="11">#REF!</definedName>
    <definedName name="Уз_б" localSheetId="13">#REF!</definedName>
    <definedName name="Уз_б" localSheetId="12">#REF!</definedName>
    <definedName name="Уз_б" localSheetId="16">#REF!</definedName>
    <definedName name="Уз_б" localSheetId="34">#REF!</definedName>
    <definedName name="Уз_б" localSheetId="21">#REF!</definedName>
    <definedName name="Уз_б" localSheetId="30">#REF!</definedName>
    <definedName name="Уз_б" localSheetId="20">#REF!</definedName>
    <definedName name="Уз_б" localSheetId="29">#REF!</definedName>
    <definedName name="Уз_б" localSheetId="26">#REF!</definedName>
    <definedName name="Уз_б">#REF!</definedName>
    <definedName name="Уз_і" localSheetId="47">#REF!</definedName>
    <definedName name="Уз_і" localSheetId="31">#REF!</definedName>
    <definedName name="Уз_і" localSheetId="18">#REF!</definedName>
    <definedName name="Уз_і" localSheetId="27">#REF!</definedName>
    <definedName name="Уз_і" localSheetId="11">#REF!</definedName>
    <definedName name="Уз_і" localSheetId="13">#REF!</definedName>
    <definedName name="Уз_і" localSheetId="12">#REF!</definedName>
    <definedName name="Уз_і" localSheetId="16">#REF!</definedName>
    <definedName name="Уз_і" localSheetId="34">#REF!</definedName>
    <definedName name="Уз_і" localSheetId="21">#REF!</definedName>
    <definedName name="Уз_і" localSheetId="30">#REF!</definedName>
    <definedName name="Уз_і" localSheetId="20">#REF!</definedName>
    <definedName name="Уз_і" localSheetId="29">#REF!</definedName>
    <definedName name="Уз_і" localSheetId="26">#REF!</definedName>
    <definedName name="Уз_і">#REF!</definedName>
    <definedName name="Уз_н" localSheetId="47">#REF!</definedName>
    <definedName name="Уз_н" localSheetId="31">#REF!</definedName>
    <definedName name="Уз_н" localSheetId="18">#REF!</definedName>
    <definedName name="Уз_н" localSheetId="27">#REF!</definedName>
    <definedName name="Уз_н" localSheetId="11">#REF!</definedName>
    <definedName name="Уз_н" localSheetId="13">#REF!</definedName>
    <definedName name="Уз_н" localSheetId="12">#REF!</definedName>
    <definedName name="Уз_н" localSheetId="16">#REF!</definedName>
    <definedName name="Уз_н" localSheetId="34">#REF!</definedName>
    <definedName name="Уз_н" localSheetId="21">#REF!</definedName>
    <definedName name="Уз_н" localSheetId="30">#REF!</definedName>
    <definedName name="Уз_н" localSheetId="20">#REF!</definedName>
    <definedName name="Уз_н" localSheetId="29">#REF!</definedName>
    <definedName name="Уз_н" localSheetId="26">#REF!</definedName>
    <definedName name="Уз_н">#REF!</definedName>
    <definedName name="Уп" localSheetId="47">#REF!</definedName>
    <definedName name="Уп" localSheetId="31">#REF!</definedName>
    <definedName name="Уп" localSheetId="18">#REF!</definedName>
    <definedName name="Уп" localSheetId="27">#REF!</definedName>
    <definedName name="Уп" localSheetId="11">#REF!</definedName>
    <definedName name="Уп" localSheetId="13">#REF!</definedName>
    <definedName name="Уп" localSheetId="12">#REF!</definedName>
    <definedName name="Уп" localSheetId="16">#REF!</definedName>
    <definedName name="Уп" localSheetId="34">#REF!</definedName>
    <definedName name="Уп" localSheetId="21">#REF!</definedName>
    <definedName name="Уп" localSheetId="30">#REF!</definedName>
    <definedName name="Уп" localSheetId="20">#REF!</definedName>
    <definedName name="Уп" localSheetId="29">#REF!</definedName>
    <definedName name="Уп" localSheetId="26">#REF!</definedName>
    <definedName name="Уп">#REF!</definedName>
    <definedName name="Уп_б" localSheetId="47">#REF!</definedName>
    <definedName name="Уп_б" localSheetId="31">#REF!</definedName>
    <definedName name="Уп_б" localSheetId="18">#REF!</definedName>
    <definedName name="Уп_б" localSheetId="27">#REF!</definedName>
    <definedName name="Уп_б" localSheetId="11">#REF!</definedName>
    <definedName name="Уп_б" localSheetId="13">#REF!</definedName>
    <definedName name="Уп_б" localSheetId="12">#REF!</definedName>
    <definedName name="Уп_б" localSheetId="16">#REF!</definedName>
    <definedName name="Уп_б" localSheetId="34">#REF!</definedName>
    <definedName name="Уп_б" localSheetId="21">#REF!</definedName>
    <definedName name="Уп_б" localSheetId="30">#REF!</definedName>
    <definedName name="Уп_б" localSheetId="20">#REF!</definedName>
    <definedName name="Уп_б" localSheetId="29">#REF!</definedName>
    <definedName name="Уп_б" localSheetId="26">#REF!</definedName>
    <definedName name="Уп_б">#REF!</definedName>
    <definedName name="Уп_і" localSheetId="47">#REF!</definedName>
    <definedName name="Уп_і" localSheetId="31">#REF!</definedName>
    <definedName name="Уп_і" localSheetId="18">#REF!</definedName>
    <definedName name="Уп_і" localSheetId="27">#REF!</definedName>
    <definedName name="Уп_і" localSheetId="11">#REF!</definedName>
    <definedName name="Уп_і" localSheetId="13">#REF!</definedName>
    <definedName name="Уп_і" localSheetId="12">#REF!</definedName>
    <definedName name="Уп_і" localSheetId="16">#REF!</definedName>
    <definedName name="Уп_і" localSheetId="34">#REF!</definedName>
    <definedName name="Уп_і" localSheetId="21">#REF!</definedName>
    <definedName name="Уп_і" localSheetId="30">#REF!</definedName>
    <definedName name="Уп_і" localSheetId="20">#REF!</definedName>
    <definedName name="Уп_і" localSheetId="29">#REF!</definedName>
    <definedName name="Уп_і" localSheetId="26">#REF!</definedName>
    <definedName name="Уп_і">#REF!</definedName>
    <definedName name="Уп_н" localSheetId="47">#REF!</definedName>
    <definedName name="Уп_н" localSheetId="31">#REF!</definedName>
    <definedName name="Уп_н" localSheetId="18">#REF!</definedName>
    <definedName name="Уп_н" localSheetId="27">#REF!</definedName>
    <definedName name="Уп_н" localSheetId="11">#REF!</definedName>
    <definedName name="Уп_н" localSheetId="13">#REF!</definedName>
    <definedName name="Уп_н" localSheetId="12">#REF!</definedName>
    <definedName name="Уп_н" localSheetId="16">#REF!</definedName>
    <definedName name="Уп_н" localSheetId="34">#REF!</definedName>
    <definedName name="Уп_н" localSheetId="21">#REF!</definedName>
    <definedName name="Уп_н" localSheetId="30">#REF!</definedName>
    <definedName name="Уп_н" localSheetId="20">#REF!</definedName>
    <definedName name="Уп_н" localSheetId="29">#REF!</definedName>
    <definedName name="Уп_н" localSheetId="26">#REF!</definedName>
    <definedName name="Уп_н">#REF!</definedName>
    <definedName name="ууй" localSheetId="47">#REF!</definedName>
    <definedName name="ууй" localSheetId="31">#REF!</definedName>
    <definedName name="ууй" localSheetId="18">#REF!</definedName>
    <definedName name="ууй" localSheetId="27">#REF!</definedName>
    <definedName name="ууй" localSheetId="13">#REF!</definedName>
    <definedName name="ууй" localSheetId="16">#REF!</definedName>
    <definedName name="ууй" localSheetId="21">#REF!</definedName>
    <definedName name="ууй" localSheetId="30">#REF!</definedName>
    <definedName name="ууй" localSheetId="20">#REF!</definedName>
    <definedName name="ууй" localSheetId="29">#REF!</definedName>
    <definedName name="ууй" localSheetId="26">#REF!</definedName>
    <definedName name="ууй">#REF!</definedName>
    <definedName name="УХ" localSheetId="47">#REF!</definedName>
    <definedName name="УХ" localSheetId="31">#REF!</definedName>
    <definedName name="УХ" localSheetId="18">#REF!</definedName>
    <definedName name="УХ" localSheetId="27">#REF!</definedName>
    <definedName name="УХ" localSheetId="11">#REF!</definedName>
    <definedName name="УХ" localSheetId="13">#REF!</definedName>
    <definedName name="УХ" localSheetId="12">#REF!</definedName>
    <definedName name="УХ" localSheetId="16">#REF!</definedName>
    <definedName name="УХ" localSheetId="34">#REF!</definedName>
    <definedName name="УХ" localSheetId="21">#REF!</definedName>
    <definedName name="УХ" localSheetId="30">#REF!</definedName>
    <definedName name="УХ" localSheetId="20">#REF!</definedName>
    <definedName name="УХ" localSheetId="29">#REF!</definedName>
    <definedName name="УХ" localSheetId="26">#REF!</definedName>
    <definedName name="УХ">#REF!</definedName>
    <definedName name="ухват" localSheetId="47">#REF!</definedName>
    <definedName name="ухват" localSheetId="31">#REF!</definedName>
    <definedName name="ухват" localSheetId="18">#REF!</definedName>
    <definedName name="ухват" localSheetId="27">#REF!</definedName>
    <definedName name="ухват" localSheetId="11">#REF!</definedName>
    <definedName name="ухват" localSheetId="13">#REF!</definedName>
    <definedName name="ухват" localSheetId="12">#REF!</definedName>
    <definedName name="ухват" localSheetId="16">#REF!</definedName>
    <definedName name="ухват" localSheetId="34">#REF!</definedName>
    <definedName name="ухват" localSheetId="21">#REF!</definedName>
    <definedName name="ухват" localSheetId="30">#REF!</definedName>
    <definedName name="ухват" localSheetId="20">#REF!</definedName>
    <definedName name="ухват" localSheetId="29">#REF!</definedName>
    <definedName name="ухват" localSheetId="26">#REF!</definedName>
    <definedName name="ухват">#REF!</definedName>
    <definedName name="Ф" localSheetId="47">#REF!</definedName>
    <definedName name="Ф" localSheetId="31">#REF!</definedName>
    <definedName name="Ф" localSheetId="18">#REF!</definedName>
    <definedName name="Ф" localSheetId="27">#REF!</definedName>
    <definedName name="Ф" localSheetId="13">#REF!</definedName>
    <definedName name="Ф" localSheetId="16">#REF!</definedName>
    <definedName name="Ф" localSheetId="21">#REF!</definedName>
    <definedName name="Ф" localSheetId="30">#REF!</definedName>
    <definedName name="Ф" localSheetId="20">#REF!</definedName>
    <definedName name="Ф" localSheetId="29">#REF!</definedName>
    <definedName name="Ф" localSheetId="26">#REF!</definedName>
    <definedName name="Ф">#REF!</definedName>
    <definedName name="фдпшгфж" localSheetId="47">#REF!</definedName>
    <definedName name="фдпшгфж" localSheetId="31">#REF!</definedName>
    <definedName name="фдпшгфж" localSheetId="18">#REF!</definedName>
    <definedName name="фдпшгфж" localSheetId="27">#REF!</definedName>
    <definedName name="фдпшгфж" localSheetId="13">#REF!</definedName>
    <definedName name="фдпшгфж" localSheetId="16">#REF!</definedName>
    <definedName name="фдпшгфж" localSheetId="21">#REF!</definedName>
    <definedName name="фдпшгфж" localSheetId="30">#REF!</definedName>
    <definedName name="фдпшгфж" localSheetId="20">#REF!</definedName>
    <definedName name="фдпшгфж" localSheetId="29">#REF!</definedName>
    <definedName name="фдпшгфж" localSheetId="26">#REF!</definedName>
    <definedName name="фдпшгфж">#REF!</definedName>
    <definedName name="філії">[35]Лист1!$C$4:$C$11</definedName>
    <definedName name="ццц" localSheetId="47">#REF!</definedName>
    <definedName name="ццц" localSheetId="31">#REF!</definedName>
    <definedName name="ццц" localSheetId="18">#REF!</definedName>
    <definedName name="ццц" localSheetId="27">#REF!</definedName>
    <definedName name="ццц" localSheetId="13">#REF!</definedName>
    <definedName name="ццц" localSheetId="16">#REF!</definedName>
    <definedName name="ццц" localSheetId="21">#REF!</definedName>
    <definedName name="ццц" localSheetId="30">#REF!</definedName>
    <definedName name="ццц" localSheetId="20">#REF!</definedName>
    <definedName name="ццц" localSheetId="29">#REF!</definedName>
    <definedName name="ццц" localSheetId="26">#REF!</definedName>
    <definedName name="ццц">#REF!</definedName>
    <definedName name="чапельник" localSheetId="47">#REF!</definedName>
    <definedName name="чапельник" localSheetId="31">#REF!</definedName>
    <definedName name="чапельник" localSheetId="18">#REF!</definedName>
    <definedName name="чапельник" localSheetId="27">#REF!</definedName>
    <definedName name="чапельник" localSheetId="11">#REF!</definedName>
    <definedName name="чапельник" localSheetId="13">#REF!</definedName>
    <definedName name="чапельник" localSheetId="12">#REF!</definedName>
    <definedName name="чапельник" localSheetId="16">#REF!</definedName>
    <definedName name="чапельник" localSheetId="34">#REF!</definedName>
    <definedName name="чапельник" localSheetId="21">#REF!</definedName>
    <definedName name="чапельник" localSheetId="30">#REF!</definedName>
    <definedName name="чапельник" localSheetId="20">#REF!</definedName>
    <definedName name="чапельник" localSheetId="29">#REF!</definedName>
    <definedName name="чапельник" localSheetId="26">#REF!</definedName>
    <definedName name="чапельник">#REF!</definedName>
    <definedName name="черв">'[18]812'!$T$1:$T$65536</definedName>
    <definedName name="Черта" localSheetId="47">#REF!</definedName>
    <definedName name="Черта" localSheetId="31">#REF!</definedName>
    <definedName name="Черта" localSheetId="18">#REF!</definedName>
    <definedName name="Черта" localSheetId="27">#REF!</definedName>
    <definedName name="Черта" localSheetId="11">#REF!</definedName>
    <definedName name="Черта" localSheetId="13">#REF!</definedName>
    <definedName name="Черта" localSheetId="12">#REF!</definedName>
    <definedName name="Черта" localSheetId="16">#REF!</definedName>
    <definedName name="Черта" localSheetId="34">#REF!</definedName>
    <definedName name="Черта" localSheetId="21">#REF!</definedName>
    <definedName name="Черта" localSheetId="30">#REF!</definedName>
    <definedName name="Черта" localSheetId="20">#REF!</definedName>
    <definedName name="Черта" localSheetId="29">#REF!</definedName>
    <definedName name="Черта" localSheetId="26">#REF!</definedName>
    <definedName name="Черта">#REF!</definedName>
    <definedName name="чпапат" localSheetId="47">#REF!</definedName>
    <definedName name="чпапат" localSheetId="31">#REF!</definedName>
    <definedName name="чпапат" localSheetId="18">#REF!</definedName>
    <definedName name="чпапат" localSheetId="27">#REF!</definedName>
    <definedName name="чпапат" localSheetId="13">#REF!</definedName>
    <definedName name="чпапат" localSheetId="16">#REF!</definedName>
    <definedName name="чпапат" localSheetId="21">#REF!</definedName>
    <definedName name="чпапат" localSheetId="30">#REF!</definedName>
    <definedName name="чпапат" localSheetId="20">#REF!</definedName>
    <definedName name="чпапат" localSheetId="29">#REF!</definedName>
    <definedName name="чпапат" localSheetId="26">#REF!</definedName>
    <definedName name="чпапат">#REF!</definedName>
    <definedName name="яаиаипфа" localSheetId="47">#REF!</definedName>
    <definedName name="яаиаипфа" localSheetId="31">#REF!</definedName>
    <definedName name="яаиаипфа" localSheetId="18">#REF!</definedName>
    <definedName name="яаиаипфа" localSheetId="27">#REF!</definedName>
    <definedName name="яаиаипфа" localSheetId="13">#REF!</definedName>
    <definedName name="яаиаипфа" localSheetId="16">#REF!</definedName>
    <definedName name="яаиаипфа" localSheetId="21">#REF!</definedName>
    <definedName name="яаиаипфа" localSheetId="30">#REF!</definedName>
    <definedName name="яаиаипфа" localSheetId="20">#REF!</definedName>
    <definedName name="яаиаипфа" localSheetId="29">#REF!</definedName>
    <definedName name="яаиаипфа" localSheetId="26">#REF!</definedName>
    <definedName name="яаиаипфа">#REF!</definedName>
  </definedNames>
  <calcPr calcId="191029"/>
</workbook>
</file>

<file path=xl/calcChain.xml><?xml version="1.0" encoding="utf-8"?>
<calcChain xmlns="http://schemas.openxmlformats.org/spreadsheetml/2006/main">
  <c r="R240" i="105" l="1"/>
  <c r="O240" i="105"/>
  <c r="L240" i="105"/>
  <c r="I240" i="105"/>
  <c r="F240" i="105"/>
  <c r="R209" i="99"/>
  <c r="R208" i="99"/>
  <c r="R207" i="99"/>
  <c r="R206" i="99"/>
  <c r="R205" i="99"/>
  <c r="R203" i="99"/>
  <c r="R201" i="99"/>
  <c r="R200" i="99"/>
  <c r="R198" i="99"/>
  <c r="R197" i="99"/>
  <c r="R195" i="99"/>
  <c r="R194" i="99"/>
  <c r="R193" i="99"/>
  <c r="R191" i="99"/>
  <c r="R190" i="99"/>
  <c r="R189" i="99"/>
  <c r="R187" i="99"/>
  <c r="R186" i="99"/>
  <c r="R185" i="99"/>
  <c r="R183" i="99"/>
  <c r="R182" i="99"/>
  <c r="R181" i="99"/>
  <c r="R180" i="99"/>
  <c r="S179" i="99"/>
  <c r="R179" i="99"/>
  <c r="S178" i="99"/>
  <c r="R178" i="99"/>
  <c r="S177" i="99"/>
  <c r="R177" i="99"/>
  <c r="S176" i="99"/>
  <c r="R176" i="99"/>
  <c r="R174" i="99"/>
  <c r="S173" i="99"/>
  <c r="S172" i="99"/>
  <c r="O209" i="99"/>
  <c r="O208" i="99"/>
  <c r="O207" i="99"/>
  <c r="O206" i="99"/>
  <c r="O205" i="99"/>
  <c r="O201" i="99"/>
  <c r="O200" i="99"/>
  <c r="O198" i="99"/>
  <c r="O197" i="99"/>
  <c r="O195" i="99"/>
  <c r="O194" i="99"/>
  <c r="O193" i="99"/>
  <c r="O191" i="99"/>
  <c r="O190" i="99"/>
  <c r="O189" i="99"/>
  <c r="O187" i="99"/>
  <c r="O186" i="99"/>
  <c r="O185" i="99"/>
  <c r="O183" i="99"/>
  <c r="O182" i="99"/>
  <c r="O181" i="99"/>
  <c r="O180" i="99"/>
  <c r="O179" i="99"/>
  <c r="P178" i="99"/>
  <c r="O178" i="99"/>
  <c r="N178" i="99" s="1"/>
  <c r="P177" i="99"/>
  <c r="O177" i="99"/>
  <c r="P176" i="99"/>
  <c r="O176" i="99"/>
  <c r="N176" i="99" s="1"/>
  <c r="O174" i="99"/>
  <c r="P173" i="99"/>
  <c r="P172" i="99"/>
  <c r="L209" i="99"/>
  <c r="L208" i="99"/>
  <c r="L207" i="99"/>
  <c r="L206" i="99"/>
  <c r="L205" i="99"/>
  <c r="L201" i="99"/>
  <c r="L200" i="99"/>
  <c r="L198" i="99"/>
  <c r="L197" i="99"/>
  <c r="L195" i="99"/>
  <c r="L194" i="99"/>
  <c r="L193" i="99"/>
  <c r="L191" i="99"/>
  <c r="L190" i="99"/>
  <c r="L189" i="99"/>
  <c r="L187" i="99"/>
  <c r="L186" i="99"/>
  <c r="L185" i="99"/>
  <c r="L183" i="99"/>
  <c r="L182" i="99"/>
  <c r="L181" i="99"/>
  <c r="L180" i="99"/>
  <c r="M179" i="99"/>
  <c r="L179" i="99"/>
  <c r="M178" i="99"/>
  <c r="L178" i="99"/>
  <c r="F178" i="99" s="1"/>
  <c r="M177" i="99"/>
  <c r="L177" i="99"/>
  <c r="M176" i="99"/>
  <c r="L176" i="99"/>
  <c r="F176" i="99" s="1"/>
  <c r="L174" i="99"/>
  <c r="F174" i="99" s="1"/>
  <c r="M173" i="99"/>
  <c r="M172" i="99"/>
  <c r="I209" i="99"/>
  <c r="F209" i="99"/>
  <c r="I208" i="99"/>
  <c r="F208" i="99"/>
  <c r="I207" i="99"/>
  <c r="F207" i="99"/>
  <c r="I206" i="99"/>
  <c r="F206" i="99"/>
  <c r="I205" i="99"/>
  <c r="F205" i="99"/>
  <c r="I203" i="99"/>
  <c r="I201" i="99"/>
  <c r="I200" i="99"/>
  <c r="F200" i="99"/>
  <c r="I198" i="99"/>
  <c r="F198" i="99" s="1"/>
  <c r="I197" i="99"/>
  <c r="I195" i="99"/>
  <c r="F195" i="99" s="1"/>
  <c r="I194" i="99"/>
  <c r="F194" i="99"/>
  <c r="I193" i="99"/>
  <c r="I191" i="99"/>
  <c r="I190" i="99"/>
  <c r="F190" i="99"/>
  <c r="I189" i="99"/>
  <c r="I187" i="99"/>
  <c r="I186" i="99"/>
  <c r="F186" i="99" s="1"/>
  <c r="I185" i="99"/>
  <c r="I183" i="99"/>
  <c r="I182" i="99"/>
  <c r="F182" i="99" s="1"/>
  <c r="I181" i="99"/>
  <c r="I180" i="99"/>
  <c r="F180" i="99" s="1"/>
  <c r="Q179" i="99"/>
  <c r="I179" i="99"/>
  <c r="Q178" i="99"/>
  <c r="J178" i="99"/>
  <c r="G178" i="99" s="1"/>
  <c r="I178" i="99"/>
  <c r="Q177" i="99"/>
  <c r="J177" i="99"/>
  <c r="I177" i="99"/>
  <c r="H177" i="99" s="1"/>
  <c r="Q176" i="99"/>
  <c r="J176" i="99"/>
  <c r="G176" i="99" s="1"/>
  <c r="I176" i="99"/>
  <c r="I174" i="99"/>
  <c r="J173" i="99"/>
  <c r="G173" i="99" s="1"/>
  <c r="J172" i="99"/>
  <c r="G172" i="99" s="1"/>
  <c r="R209" i="105"/>
  <c r="R208" i="105"/>
  <c r="R207" i="105"/>
  <c r="R206" i="105"/>
  <c r="R205" i="105"/>
  <c r="R203" i="105"/>
  <c r="R201" i="105"/>
  <c r="R200" i="105"/>
  <c r="R198" i="105"/>
  <c r="R197" i="105"/>
  <c r="R195" i="105"/>
  <c r="R194" i="105"/>
  <c r="R193" i="105"/>
  <c r="R191" i="105"/>
  <c r="R190" i="105"/>
  <c r="R189" i="105"/>
  <c r="R187" i="105"/>
  <c r="R186" i="105"/>
  <c r="R185" i="105"/>
  <c r="R183" i="105"/>
  <c r="R182" i="105"/>
  <c r="R181" i="105"/>
  <c r="R180" i="105"/>
  <c r="S179" i="105"/>
  <c r="R179" i="105"/>
  <c r="Q179" i="105"/>
  <c r="S178" i="105"/>
  <c r="R178" i="105"/>
  <c r="Q178" i="105" s="1"/>
  <c r="S177" i="105"/>
  <c r="R177" i="105"/>
  <c r="S176" i="105"/>
  <c r="R176" i="105"/>
  <c r="Q176" i="105" s="1"/>
  <c r="R174" i="105"/>
  <c r="S173" i="105"/>
  <c r="S172" i="105"/>
  <c r="O209" i="105"/>
  <c r="O208" i="105"/>
  <c r="O207" i="105"/>
  <c r="O206" i="105"/>
  <c r="O205" i="105"/>
  <c r="O201" i="105"/>
  <c r="O200" i="105"/>
  <c r="O198" i="105"/>
  <c r="O197" i="105"/>
  <c r="O195" i="105"/>
  <c r="O194" i="105"/>
  <c r="O193" i="105"/>
  <c r="O191" i="105"/>
  <c r="O190" i="105"/>
  <c r="O189" i="105"/>
  <c r="O187" i="105"/>
  <c r="O186" i="105"/>
  <c r="O185" i="105"/>
  <c r="O183" i="105"/>
  <c r="O182" i="105"/>
  <c r="O181" i="105"/>
  <c r="O180" i="105"/>
  <c r="O179" i="105"/>
  <c r="P178" i="105"/>
  <c r="O178" i="105"/>
  <c r="N178" i="105" s="1"/>
  <c r="P177" i="105"/>
  <c r="N177" i="105" s="1"/>
  <c r="O177" i="105"/>
  <c r="P176" i="105"/>
  <c r="O176" i="105"/>
  <c r="N176" i="105" s="1"/>
  <c r="O174" i="105"/>
  <c r="P173" i="105"/>
  <c r="P172" i="105"/>
  <c r="L209" i="105"/>
  <c r="L208" i="105"/>
  <c r="L207" i="105"/>
  <c r="L206" i="105"/>
  <c r="L205" i="105"/>
  <c r="L201" i="105"/>
  <c r="L200" i="105"/>
  <c r="L198" i="105"/>
  <c r="L197" i="105"/>
  <c r="L195" i="105"/>
  <c r="L194" i="105"/>
  <c r="L193" i="105"/>
  <c r="L191" i="105"/>
  <c r="L190" i="105"/>
  <c r="L189" i="105"/>
  <c r="L187" i="105"/>
  <c r="L186" i="105"/>
  <c r="L185" i="105"/>
  <c r="L183" i="105"/>
  <c r="L182" i="105"/>
  <c r="L181" i="105"/>
  <c r="L180" i="105"/>
  <c r="M179" i="105"/>
  <c r="K179" i="105" s="1"/>
  <c r="L179" i="105"/>
  <c r="M178" i="105"/>
  <c r="L178" i="105"/>
  <c r="K178" i="105" s="1"/>
  <c r="M177" i="105"/>
  <c r="L177" i="105"/>
  <c r="M176" i="105"/>
  <c r="L176" i="105"/>
  <c r="K176" i="105" s="1"/>
  <c r="L174" i="105"/>
  <c r="M173" i="105"/>
  <c r="M172" i="105"/>
  <c r="G178" i="105"/>
  <c r="I174" i="105"/>
  <c r="J173" i="105"/>
  <c r="J172" i="105"/>
  <c r="G172" i="105" s="1"/>
  <c r="J178" i="105"/>
  <c r="J177" i="105"/>
  <c r="J176" i="105"/>
  <c r="G176" i="105" s="1"/>
  <c r="F14" i="58"/>
  <c r="Q177" i="105" l="1"/>
  <c r="K176" i="99"/>
  <c r="G177" i="99"/>
  <c r="F183" i="99"/>
  <c r="K177" i="99"/>
  <c r="N177" i="99"/>
  <c r="F187" i="99"/>
  <c r="F179" i="99"/>
  <c r="F191" i="99"/>
  <c r="E177" i="99"/>
  <c r="O15" i="109" s="1"/>
  <c r="H178" i="99"/>
  <c r="F177" i="99"/>
  <c r="K178" i="99"/>
  <c r="F181" i="99"/>
  <c r="F185" i="99"/>
  <c r="F189" i="99"/>
  <c r="F193" i="99"/>
  <c r="F197" i="99"/>
  <c r="F201" i="99"/>
  <c r="H176" i="99"/>
  <c r="K179" i="99"/>
  <c r="G173" i="105"/>
  <c r="G177" i="105"/>
  <c r="F174" i="105"/>
  <c r="K177" i="105"/>
  <c r="H121" i="166"/>
  <c r="I121" i="166"/>
  <c r="J121" i="166"/>
  <c r="K121" i="166"/>
  <c r="L121" i="166"/>
  <c r="M121" i="166"/>
  <c r="N121" i="166"/>
  <c r="O121" i="166"/>
  <c r="P121" i="166"/>
  <c r="Q121" i="166"/>
  <c r="R121" i="166"/>
  <c r="S121" i="166"/>
  <c r="T121" i="166"/>
  <c r="U121" i="166"/>
  <c r="V121" i="166"/>
  <c r="W121" i="166"/>
  <c r="X121" i="166"/>
  <c r="C113" i="166"/>
  <c r="C113" i="165"/>
  <c r="A1" i="158"/>
  <c r="H13" i="189"/>
  <c r="H25" i="189" s="1"/>
  <c r="G15" i="189"/>
  <c r="H15" i="189"/>
  <c r="H14" i="189"/>
  <c r="G13" i="189"/>
  <c r="G25" i="189" s="1"/>
  <c r="E176" i="99" l="1"/>
  <c r="O14" i="109" s="1"/>
  <c r="E178" i="99"/>
  <c r="O16" i="109" s="1"/>
  <c r="B1" i="189"/>
  <c r="G2" i="20" l="1"/>
  <c r="E29" i="107"/>
  <c r="I21" i="24"/>
  <c r="F79" i="159" l="1"/>
  <c r="F77" i="159"/>
  <c r="Q256" i="105"/>
  <c r="N256" i="105"/>
  <c r="K256" i="105"/>
  <c r="H256" i="105"/>
  <c r="E256" i="105"/>
  <c r="K251" i="99"/>
  <c r="M5" i="188"/>
  <c r="M6" i="188"/>
  <c r="M7" i="188"/>
  <c r="M8" i="188"/>
  <c r="M9" i="188"/>
  <c r="M10" i="188"/>
  <c r="M11" i="188"/>
  <c r="M12" i="188"/>
  <c r="M13" i="188"/>
  <c r="M14" i="188"/>
  <c r="M15" i="188"/>
  <c r="M16" i="188"/>
  <c r="M17" i="188"/>
  <c r="M18" i="188"/>
  <c r="M19" i="188"/>
  <c r="M20" i="188"/>
  <c r="M21" i="188"/>
  <c r="M22" i="188"/>
  <c r="M23" i="188"/>
  <c r="M24" i="188"/>
  <c r="M25" i="188"/>
  <c r="M26" i="188"/>
  <c r="M27" i="188"/>
  <c r="M28" i="188"/>
  <c r="M29" i="188"/>
  <c r="M30" i="188"/>
  <c r="M31" i="188"/>
  <c r="M32" i="188"/>
  <c r="M33" i="188"/>
  <c r="M34" i="188"/>
  <c r="M35" i="188"/>
  <c r="M36" i="188"/>
  <c r="M37" i="188"/>
  <c r="M38" i="188"/>
  <c r="M39" i="188"/>
  <c r="M40" i="188"/>
  <c r="M41" i="188"/>
  <c r="M42" i="188"/>
  <c r="M43" i="188"/>
  <c r="M4" i="188"/>
  <c r="S12" i="188"/>
  <c r="S13" i="188"/>
  <c r="R12" i="188"/>
  <c r="R13" i="188"/>
  <c r="Q12" i="188"/>
  <c r="Q13" i="188"/>
  <c r="Q30" i="188"/>
  <c r="Q31" i="188"/>
  <c r="Q32" i="188"/>
  <c r="Q36" i="188"/>
  <c r="P12" i="188"/>
  <c r="P13" i="188"/>
  <c r="O12" i="188"/>
  <c r="O13" i="188"/>
  <c r="N40" i="188"/>
  <c r="N41" i="188"/>
  <c r="N33" i="188"/>
  <c r="N34" i="188"/>
  <c r="N31" i="188"/>
  <c r="N32" i="188"/>
  <c r="N29" i="188"/>
  <c r="N30" i="188"/>
  <c r="I7" i="188"/>
  <c r="I25" i="188"/>
  <c r="I26" i="188"/>
  <c r="I27" i="188"/>
  <c r="I28" i="188"/>
  <c r="H7" i="188"/>
  <c r="H25" i="188"/>
  <c r="H26" i="188"/>
  <c r="J26" i="188" s="1"/>
  <c r="H27" i="188"/>
  <c r="H28" i="188"/>
  <c r="H29" i="188"/>
  <c r="E7" i="188"/>
  <c r="E25" i="188"/>
  <c r="E26" i="188"/>
  <c r="E27" i="188"/>
  <c r="E28" i="188"/>
  <c r="D7" i="188"/>
  <c r="D25" i="188"/>
  <c r="D26" i="188"/>
  <c r="D27" i="188"/>
  <c r="D28" i="188"/>
  <c r="D29" i="188"/>
  <c r="C4" i="188"/>
  <c r="B5" i="188"/>
  <c r="B6" i="188"/>
  <c r="B7" i="188"/>
  <c r="B8" i="188"/>
  <c r="B9" i="188"/>
  <c r="B10" i="188"/>
  <c r="B11" i="188"/>
  <c r="B12" i="188"/>
  <c r="B13" i="188"/>
  <c r="B14" i="188"/>
  <c r="B15" i="188"/>
  <c r="B16" i="188"/>
  <c r="B17" i="188"/>
  <c r="B18" i="188"/>
  <c r="B19" i="188"/>
  <c r="B20" i="188"/>
  <c r="B21" i="188"/>
  <c r="B22" i="188"/>
  <c r="B23" i="188"/>
  <c r="B24" i="188"/>
  <c r="B25" i="188"/>
  <c r="B26" i="188"/>
  <c r="B27" i="188"/>
  <c r="B28" i="188"/>
  <c r="B29" i="188"/>
  <c r="B30" i="188"/>
  <c r="B4" i="188"/>
  <c r="T73" i="99"/>
  <c r="T74" i="99"/>
  <c r="H13" i="20"/>
  <c r="H12" i="20"/>
  <c r="H11" i="20" s="1"/>
  <c r="H10" i="20"/>
  <c r="B26" i="172"/>
  <c r="D31" i="20"/>
  <c r="D30" i="20"/>
  <c r="D29" i="20"/>
  <c r="D28" i="20"/>
  <c r="F27" i="20"/>
  <c r="D27" i="20"/>
  <c r="H25" i="20"/>
  <c r="H24" i="20"/>
  <c r="H23" i="20"/>
  <c r="H22" i="20"/>
  <c r="H21" i="20"/>
  <c r="G21" i="20"/>
  <c r="H19" i="20"/>
  <c r="H18" i="20"/>
  <c r="H17" i="20"/>
  <c r="H16" i="20"/>
  <c r="D16" i="20"/>
  <c r="H15" i="20"/>
  <c r="F15" i="20"/>
  <c r="D15" i="20"/>
  <c r="D19" i="20"/>
  <c r="D18" i="20"/>
  <c r="D17" i="20"/>
  <c r="F10" i="20"/>
  <c r="F16" i="20" s="1"/>
  <c r="I21" i="20" l="1"/>
  <c r="F28" i="20"/>
  <c r="F27" i="188"/>
  <c r="F7" i="188"/>
  <c r="J25" i="188"/>
  <c r="T12" i="188"/>
  <c r="J28" i="188"/>
  <c r="F25" i="188"/>
  <c r="J27" i="188"/>
  <c r="J7" i="188"/>
  <c r="U13" i="188"/>
  <c r="F28" i="188"/>
  <c r="T13" i="188"/>
  <c r="U12" i="188"/>
  <c r="F26" i="188"/>
  <c r="F11" i="20"/>
  <c r="F17" i="20" l="1"/>
  <c r="F12" i="20"/>
  <c r="F29" i="20"/>
  <c r="F18" i="20" l="1"/>
  <c r="F13" i="20"/>
  <c r="F30" i="20"/>
  <c r="F19" i="20" l="1"/>
  <c r="F31" i="20"/>
  <c r="C65" i="20" l="1"/>
  <c r="B64" i="20"/>
  <c r="B63" i="20"/>
  <c r="B62" i="20"/>
  <c r="H54" i="20"/>
  <c r="B54" i="20"/>
  <c r="C64" i="20"/>
  <c r="R13" i="20"/>
  <c r="M12" i="20"/>
  <c r="M9" i="20"/>
  <c r="Q74" i="115" l="1"/>
  <c r="K74" i="115"/>
  <c r="K253" i="99"/>
  <c r="Q254" i="99"/>
  <c r="N254" i="99"/>
  <c r="K254" i="99"/>
  <c r="H254" i="99"/>
  <c r="E254" i="99"/>
  <c r="K252" i="99"/>
  <c r="G42" i="105"/>
  <c r="G42" i="99"/>
  <c r="E26" i="172"/>
  <c r="E244" i="170"/>
  <c r="B244" i="170"/>
  <c r="E26" i="169"/>
  <c r="B26" i="169"/>
  <c r="E133" i="168"/>
  <c r="B133" i="168"/>
  <c r="D133" i="167"/>
  <c r="B133" i="167"/>
  <c r="F108" i="166"/>
  <c r="B108" i="166"/>
  <c r="E42" i="105" l="1"/>
  <c r="P9" i="188" s="1"/>
  <c r="G39" i="105"/>
  <c r="G17" i="22" l="1"/>
  <c r="G105" i="115"/>
  <c r="B7" i="125" l="1"/>
  <c r="B133" i="107" l="1"/>
  <c r="B142" i="107"/>
  <c r="B151" i="107"/>
  <c r="B169" i="107"/>
  <c r="E190" i="107" l="1"/>
  <c r="G190" i="107"/>
  <c r="E196" i="107"/>
  <c r="F196" i="107"/>
  <c r="G196" i="107"/>
  <c r="E203" i="107"/>
  <c r="F203" i="107"/>
  <c r="G203" i="107"/>
  <c r="E209" i="107"/>
  <c r="E210" i="107" s="1"/>
  <c r="F209" i="107"/>
  <c r="F210" i="107" s="1"/>
  <c r="G209" i="107"/>
  <c r="G210" i="107"/>
  <c r="E216" i="107"/>
  <c r="F216" i="107"/>
  <c r="G216" i="107"/>
  <c r="D44" i="109"/>
  <c r="D43" i="109"/>
  <c r="D33" i="109"/>
  <c r="D32" i="109"/>
  <c r="D31" i="109"/>
  <c r="D30" i="109"/>
  <c r="D29" i="109"/>
  <c r="L37" i="109"/>
  <c r="E57" i="109"/>
  <c r="E56" i="109"/>
  <c r="L32" i="159" l="1"/>
  <c r="L33" i="159"/>
  <c r="L35" i="159"/>
  <c r="J14" i="159"/>
  <c r="L12" i="84"/>
  <c r="E49" i="88"/>
  <c r="L11" i="84"/>
  <c r="L10" i="84"/>
  <c r="T7" i="114"/>
  <c r="T8" i="114"/>
  <c r="S7" i="114"/>
  <c r="S8" i="114"/>
  <c r="R7" i="114"/>
  <c r="R8" i="114"/>
  <c r="Q7" i="114"/>
  <c r="Q8" i="114"/>
  <c r="L8" i="114"/>
  <c r="M8" i="114"/>
  <c r="N8" i="114"/>
  <c r="O8" i="114"/>
  <c r="L7" i="114"/>
  <c r="M7" i="114"/>
  <c r="N7" i="114"/>
  <c r="O7" i="114"/>
  <c r="G88" i="105"/>
  <c r="R227" i="105"/>
  <c r="O227" i="105"/>
  <c r="L227" i="105"/>
  <c r="I227" i="105"/>
  <c r="F227" i="105"/>
  <c r="S226" i="105"/>
  <c r="P226" i="105"/>
  <c r="M226" i="105"/>
  <c r="J226" i="105"/>
  <c r="G226" i="105"/>
  <c r="S225" i="105"/>
  <c r="R225" i="105"/>
  <c r="Q225" i="105"/>
  <c r="P225" i="105"/>
  <c r="O225" i="105"/>
  <c r="N225" i="105"/>
  <c r="M225" i="105"/>
  <c r="L225" i="105"/>
  <c r="K225" i="105"/>
  <c r="J225" i="105"/>
  <c r="I225" i="105"/>
  <c r="H225" i="105"/>
  <c r="G225" i="105"/>
  <c r="F225" i="105"/>
  <c r="E225" i="105"/>
  <c r="R224" i="105"/>
  <c r="O224" i="105"/>
  <c r="L224" i="105"/>
  <c r="I224" i="105"/>
  <c r="F224" i="105"/>
  <c r="S223" i="105"/>
  <c r="P223" i="105"/>
  <c r="M223" i="105"/>
  <c r="J223" i="105"/>
  <c r="G223" i="105"/>
  <c r="S222" i="105"/>
  <c r="R222" i="105"/>
  <c r="Q222" i="105"/>
  <c r="P222" i="105"/>
  <c r="O222" i="105"/>
  <c r="N222" i="105"/>
  <c r="M222" i="105"/>
  <c r="L222" i="105"/>
  <c r="K222" i="105"/>
  <c r="J222" i="105"/>
  <c r="I222" i="105"/>
  <c r="H222" i="105"/>
  <c r="G222" i="105"/>
  <c r="F222" i="105"/>
  <c r="E222" i="105"/>
  <c r="S221" i="105"/>
  <c r="R221" i="105"/>
  <c r="P221" i="105"/>
  <c r="O221" i="105"/>
  <c r="M221" i="105"/>
  <c r="L221" i="105"/>
  <c r="J221" i="105"/>
  <c r="I221" i="105"/>
  <c r="G221" i="105"/>
  <c r="F221" i="105"/>
  <c r="S220" i="105"/>
  <c r="R220" i="105"/>
  <c r="P220" i="105"/>
  <c r="O220" i="105"/>
  <c r="M220" i="105"/>
  <c r="L220" i="105"/>
  <c r="J220" i="105"/>
  <c r="I220" i="105"/>
  <c r="G220" i="105"/>
  <c r="F220" i="105"/>
  <c r="I209" i="105"/>
  <c r="F209" i="105"/>
  <c r="I208" i="105"/>
  <c r="F208" i="105"/>
  <c r="I207" i="105"/>
  <c r="F207" i="105"/>
  <c r="I206" i="105"/>
  <c r="F206" i="105"/>
  <c r="I205" i="105"/>
  <c r="F205" i="105"/>
  <c r="I203" i="105"/>
  <c r="I201" i="105"/>
  <c r="F201" i="105" s="1"/>
  <c r="I200" i="105"/>
  <c r="F200" i="105" s="1"/>
  <c r="I198" i="105"/>
  <c r="I197" i="105"/>
  <c r="F197" i="105" s="1"/>
  <c r="I195" i="105"/>
  <c r="I194" i="105"/>
  <c r="F194" i="105" s="1"/>
  <c r="I193" i="105"/>
  <c r="F193" i="105" s="1"/>
  <c r="I191" i="105"/>
  <c r="F191" i="105" s="1"/>
  <c r="I190" i="105"/>
  <c r="F190" i="105" s="1"/>
  <c r="I189" i="105"/>
  <c r="F189" i="105" s="1"/>
  <c r="I187" i="105"/>
  <c r="I186" i="105"/>
  <c r="F186" i="105" s="1"/>
  <c r="I185" i="105"/>
  <c r="I183" i="105"/>
  <c r="F183" i="105" s="1"/>
  <c r="I182" i="105"/>
  <c r="I181" i="105"/>
  <c r="F181" i="105" s="1"/>
  <c r="I180" i="105"/>
  <c r="I179" i="105"/>
  <c r="I178" i="105"/>
  <c r="I177" i="105"/>
  <c r="I176" i="105"/>
  <c r="S157" i="105"/>
  <c r="P157" i="105"/>
  <c r="M157" i="105"/>
  <c r="J157" i="105"/>
  <c r="G157" i="105"/>
  <c r="S156" i="105"/>
  <c r="P156" i="105"/>
  <c r="M156" i="105"/>
  <c r="J156" i="105"/>
  <c r="G156" i="105"/>
  <c r="E152" i="105"/>
  <c r="E150" i="105"/>
  <c r="G150" i="105" s="1"/>
  <c r="E149" i="105"/>
  <c r="G149" i="105" s="1"/>
  <c r="E148" i="105"/>
  <c r="G148" i="105" s="1"/>
  <c r="E147" i="105"/>
  <c r="G147" i="105" s="1"/>
  <c r="E146" i="105"/>
  <c r="G146" i="105" s="1"/>
  <c r="S118" i="105"/>
  <c r="P118" i="105"/>
  <c r="N118" i="105" s="1"/>
  <c r="M118" i="105"/>
  <c r="J118" i="105"/>
  <c r="H118" i="105" s="1"/>
  <c r="E118" i="105"/>
  <c r="S117" i="105"/>
  <c r="P117" i="105"/>
  <c r="M117" i="105"/>
  <c r="J117" i="105"/>
  <c r="H117" i="105" s="1"/>
  <c r="E117" i="105"/>
  <c r="R114" i="105"/>
  <c r="O114" i="105"/>
  <c r="L114" i="105"/>
  <c r="I114" i="105"/>
  <c r="F114" i="105"/>
  <c r="Q113" i="105"/>
  <c r="O113" i="105"/>
  <c r="K113" i="105"/>
  <c r="H113" i="105"/>
  <c r="G113" i="105"/>
  <c r="F113" i="105"/>
  <c r="E111" i="105"/>
  <c r="E29" i="188" s="1"/>
  <c r="F29" i="188" s="1"/>
  <c r="R106" i="105"/>
  <c r="R196" i="105" s="1"/>
  <c r="Q106" i="105"/>
  <c r="O106" i="105"/>
  <c r="O196" i="105" s="1"/>
  <c r="N106" i="105"/>
  <c r="L106" i="105"/>
  <c r="L196" i="105" s="1"/>
  <c r="K106" i="105"/>
  <c r="I106" i="105"/>
  <c r="I196" i="105" s="1"/>
  <c r="H106" i="105"/>
  <c r="G106" i="105"/>
  <c r="F106" i="105"/>
  <c r="E106" i="105"/>
  <c r="E24" i="188" s="1"/>
  <c r="R102" i="105"/>
  <c r="R192" i="105" s="1"/>
  <c r="O102" i="105"/>
  <c r="O192" i="105" s="1"/>
  <c r="L102" i="105"/>
  <c r="L192" i="105" s="1"/>
  <c r="I102" i="105"/>
  <c r="I192" i="105" s="1"/>
  <c r="F102" i="105"/>
  <c r="R98" i="105"/>
  <c r="R188" i="105" s="1"/>
  <c r="O98" i="105"/>
  <c r="O188" i="105" s="1"/>
  <c r="L98" i="105"/>
  <c r="L188" i="105" s="1"/>
  <c r="I98" i="105"/>
  <c r="I188" i="105" s="1"/>
  <c r="F98" i="105"/>
  <c r="R94" i="105"/>
  <c r="R184" i="105" s="1"/>
  <c r="O94" i="105"/>
  <c r="O184" i="105" s="1"/>
  <c r="L94" i="105"/>
  <c r="L184" i="105" s="1"/>
  <c r="I94" i="105"/>
  <c r="I184" i="105" s="1"/>
  <c r="F94" i="105"/>
  <c r="E74" i="105"/>
  <c r="E73" i="105"/>
  <c r="R70" i="105"/>
  <c r="O70" i="105"/>
  <c r="L70" i="105"/>
  <c r="I70" i="105"/>
  <c r="F70" i="105"/>
  <c r="S69" i="105"/>
  <c r="Q69" i="105" s="1"/>
  <c r="O69" i="105"/>
  <c r="N69" i="105" s="1"/>
  <c r="L69" i="105"/>
  <c r="L203" i="105" s="1"/>
  <c r="J69" i="105"/>
  <c r="G67" i="105"/>
  <c r="E67" i="105" s="1"/>
  <c r="E66" i="105"/>
  <c r="P33" i="188" s="1"/>
  <c r="R65" i="105"/>
  <c r="R199" i="105" s="1"/>
  <c r="O65" i="105"/>
  <c r="O199" i="105" s="1"/>
  <c r="L65" i="105"/>
  <c r="L199" i="105" s="1"/>
  <c r="I65" i="105"/>
  <c r="I199" i="105" s="1"/>
  <c r="G65" i="105"/>
  <c r="E64" i="105"/>
  <c r="P31" i="188" s="1"/>
  <c r="E63" i="105"/>
  <c r="P30" i="188" s="1"/>
  <c r="E62" i="105"/>
  <c r="P29" i="188" s="1"/>
  <c r="Q44" i="105"/>
  <c r="N44" i="105"/>
  <c r="K44" i="105"/>
  <c r="H44" i="105"/>
  <c r="S11" i="188" s="1"/>
  <c r="E44" i="105"/>
  <c r="P11" i="188" s="1"/>
  <c r="G78" i="160"/>
  <c r="F76" i="160"/>
  <c r="G3" i="160"/>
  <c r="G2" i="160"/>
  <c r="G2" i="159"/>
  <c r="G3" i="159"/>
  <c r="K121" i="99"/>
  <c r="G69" i="105" l="1"/>
  <c r="F184" i="105"/>
  <c r="R204" i="105"/>
  <c r="O204" i="105"/>
  <c r="F188" i="105"/>
  <c r="F196" i="105"/>
  <c r="L204" i="105"/>
  <c r="K117" i="105"/>
  <c r="F179" i="105"/>
  <c r="E145" i="105"/>
  <c r="F192" i="105"/>
  <c r="H178" i="105"/>
  <c r="E178" i="105" s="1"/>
  <c r="P16" i="109" s="1"/>
  <c r="Q16" i="109" s="1"/>
  <c r="F178" i="105"/>
  <c r="F182" i="105"/>
  <c r="F187" i="105"/>
  <c r="F198" i="105"/>
  <c r="O203" i="105"/>
  <c r="F199" i="105"/>
  <c r="Q117" i="105"/>
  <c r="H177" i="105"/>
  <c r="E177" i="105" s="1"/>
  <c r="P15" i="109" s="1"/>
  <c r="Q15" i="109" s="1"/>
  <c r="F177" i="105"/>
  <c r="K118" i="105"/>
  <c r="Q118" i="105"/>
  <c r="N117" i="105"/>
  <c r="H176" i="105"/>
  <c r="E176" i="105" s="1"/>
  <c r="P14" i="109" s="1"/>
  <c r="Q14" i="109" s="1"/>
  <c r="F176" i="105"/>
  <c r="F180" i="105"/>
  <c r="F185" i="105"/>
  <c r="F195" i="105"/>
  <c r="P34" i="188"/>
  <c r="G74" i="105"/>
  <c r="P41" i="188"/>
  <c r="H69" i="105"/>
  <c r="S36" i="188" s="1"/>
  <c r="G73" i="105"/>
  <c r="P40" i="188"/>
  <c r="N113" i="105"/>
  <c r="F204" i="105"/>
  <c r="G118" i="105"/>
  <c r="G152" i="105"/>
  <c r="G203" i="105" s="1"/>
  <c r="F69" i="105"/>
  <c r="K69" i="105"/>
  <c r="E69" i="105" s="1"/>
  <c r="P36" i="188" s="1"/>
  <c r="G117" i="105"/>
  <c r="E65" i="105"/>
  <c r="P32" i="188" s="1"/>
  <c r="G145" i="105"/>
  <c r="I204" i="105"/>
  <c r="E113" i="105"/>
  <c r="F203" i="105" l="1"/>
  <c r="J179" i="54"/>
  <c r="J180" i="54"/>
  <c r="J181" i="54"/>
  <c r="J178" i="54"/>
  <c r="H28" i="24" l="1"/>
  <c r="F53" i="84"/>
  <c r="AE43" i="174"/>
  <c r="AB43" i="174" s="1"/>
  <c r="AA43" i="174" s="1"/>
  <c r="AF100" i="174"/>
  <c r="AF43" i="174"/>
  <c r="AP120" i="174"/>
  <c r="AP121" i="174"/>
  <c r="AP122" i="174"/>
  <c r="AP123" i="174"/>
  <c r="AP124" i="174"/>
  <c r="AP125" i="174"/>
  <c r="AP126" i="174"/>
  <c r="AP127" i="174"/>
  <c r="AP128" i="174"/>
  <c r="AP129" i="174"/>
  <c r="AP130" i="174"/>
  <c r="AP131" i="174"/>
  <c r="AP132" i="174"/>
  <c r="AP133" i="174"/>
  <c r="AP134" i="174"/>
  <c r="AP135" i="174"/>
  <c r="AP136" i="174"/>
  <c r="AP137" i="174"/>
  <c r="AP138" i="174"/>
  <c r="AP139" i="174"/>
  <c r="AP140" i="174"/>
  <c r="AP141" i="174"/>
  <c r="AP142" i="174"/>
  <c r="AP143" i="174"/>
  <c r="AP144" i="174"/>
  <c r="AP145" i="174"/>
  <c r="AP146" i="174"/>
  <c r="AE129" i="174"/>
  <c r="AE130" i="174"/>
  <c r="AE131" i="174"/>
  <c r="AE132" i="174"/>
  <c r="AE133" i="174"/>
  <c r="AE134" i="174"/>
  <c r="AE135" i="174"/>
  <c r="AE136" i="174"/>
  <c r="AE137" i="174"/>
  <c r="AE138" i="174"/>
  <c r="AE139" i="174"/>
  <c r="AE140" i="174"/>
  <c r="AE141" i="174"/>
  <c r="AE142" i="174"/>
  <c r="AE143" i="174"/>
  <c r="AA131" i="174"/>
  <c r="AA132" i="174"/>
  <c r="AA133" i="174"/>
  <c r="AA134" i="174"/>
  <c r="AA135" i="174"/>
  <c r="AA137" i="174"/>
  <c r="AA138" i="174"/>
  <c r="AA139" i="174"/>
  <c r="AD136" i="174"/>
  <c r="AA136" i="174" s="1"/>
  <c r="AD135" i="174"/>
  <c r="G28" i="77"/>
  <c r="G22" i="77"/>
  <c r="AD121" i="174"/>
  <c r="AD68" i="174"/>
  <c r="AD84" i="174"/>
  <c r="F43" i="66"/>
  <c r="F18" i="66"/>
  <c r="AC112" i="174"/>
  <c r="AD98" i="174"/>
  <c r="AC98" i="174"/>
  <c r="AD97" i="174"/>
  <c r="AC97" i="174"/>
  <c r="AF75" i="174"/>
  <c r="AH98" i="174"/>
  <c r="AH97" i="174"/>
  <c r="AH67" i="174"/>
  <c r="E33" i="88"/>
  <c r="R33" i="88"/>
  <c r="AP12" i="174"/>
  <c r="AP13" i="174"/>
  <c r="AP14" i="174"/>
  <c r="AP15" i="174"/>
  <c r="AP16" i="174"/>
  <c r="AP17" i="174"/>
  <c r="AP18" i="174"/>
  <c r="AP22" i="174"/>
  <c r="AP23" i="174"/>
  <c r="AP29" i="174"/>
  <c r="AP31" i="174"/>
  <c r="AP34" i="174"/>
  <c r="AP35" i="174"/>
  <c r="AP36" i="174"/>
  <c r="AP37" i="174"/>
  <c r="AP40" i="174"/>
  <c r="AP41" i="174"/>
  <c r="AP42" i="174"/>
  <c r="AP44" i="174"/>
  <c r="AP45" i="174"/>
  <c r="AP46" i="174"/>
  <c r="AP47" i="174"/>
  <c r="AP48" i="174"/>
  <c r="AP49" i="174"/>
  <c r="AP50" i="174"/>
  <c r="AP51" i="174"/>
  <c r="AP52" i="174"/>
  <c r="AP53" i="174"/>
  <c r="AP54" i="174"/>
  <c r="AP55" i="174"/>
  <c r="AP56" i="174"/>
  <c r="AP57" i="174"/>
  <c r="AP58" i="174"/>
  <c r="AP59" i="174"/>
  <c r="AP60" i="174"/>
  <c r="AP61" i="174"/>
  <c r="AP62" i="174"/>
  <c r="AP63" i="174"/>
  <c r="AP64" i="174"/>
  <c r="AP65" i="174"/>
  <c r="AP66" i="174"/>
  <c r="AP67" i="174"/>
  <c r="AP68" i="174"/>
  <c r="AP69" i="174"/>
  <c r="AP70" i="174"/>
  <c r="AP71" i="174"/>
  <c r="AP72" i="174"/>
  <c r="AP73" i="174"/>
  <c r="AP74" i="174"/>
  <c r="AP75" i="174"/>
  <c r="AP76" i="174"/>
  <c r="AP77" i="174"/>
  <c r="AP78" i="174"/>
  <c r="AP79" i="174"/>
  <c r="AP80" i="174"/>
  <c r="AP81" i="174"/>
  <c r="AP82" i="174"/>
  <c r="AP84" i="174"/>
  <c r="AP85" i="174"/>
  <c r="AP86" i="174"/>
  <c r="AP87" i="174"/>
  <c r="AP88" i="174"/>
  <c r="AP89" i="174"/>
  <c r="AP90" i="174"/>
  <c r="AP91" i="174"/>
  <c r="AP92" i="174"/>
  <c r="AP93" i="174"/>
  <c r="AP94" i="174"/>
  <c r="AP95" i="174"/>
  <c r="AP98" i="174"/>
  <c r="AP99" i="174"/>
  <c r="AP100" i="174"/>
  <c r="AP101" i="174"/>
  <c r="AP102" i="174"/>
  <c r="AP103" i="174"/>
  <c r="AP104" i="174"/>
  <c r="AP105" i="174"/>
  <c r="AP106" i="174"/>
  <c r="AP107" i="174"/>
  <c r="AP109" i="174"/>
  <c r="AP110" i="174"/>
  <c r="AP111" i="174"/>
  <c r="AP112" i="174"/>
  <c r="AP114" i="174"/>
  <c r="AP118" i="174"/>
  <c r="AP148" i="174"/>
  <c r="AQ97" i="174"/>
  <c r="AP97" i="174" s="1"/>
  <c r="AG1711" i="174" l="1"/>
  <c r="B1711" i="174"/>
  <c r="AF98" i="174"/>
  <c r="AF88" i="174"/>
  <c r="AC117" i="174"/>
  <c r="AQ117" i="174"/>
  <c r="AP117" i="174" s="1"/>
  <c r="AN117" i="174"/>
  <c r="AF127" i="174"/>
  <c r="AF90" i="174" l="1"/>
  <c r="AF97" i="174" l="1"/>
  <c r="AE97" i="174" s="1"/>
  <c r="AD96" i="174"/>
  <c r="AC96" i="174"/>
  <c r="AQ96" i="174"/>
  <c r="AP96" i="174" s="1"/>
  <c r="AN96" i="174"/>
  <c r="AH96" i="174"/>
  <c r="AF96" i="174"/>
  <c r="AF89" i="174"/>
  <c r="AE89" i="174" s="1"/>
  <c r="AF112" i="174"/>
  <c r="AE112" i="174" s="1"/>
  <c r="AP188" i="174"/>
  <c r="AP189" i="174"/>
  <c r="AP190" i="174"/>
  <c r="AP191" i="174"/>
  <c r="AP192" i="174"/>
  <c r="AP193" i="174"/>
  <c r="AP194" i="174"/>
  <c r="AP195" i="174"/>
  <c r="AP196" i="174"/>
  <c r="AP197" i="174"/>
  <c r="AP198" i="174"/>
  <c r="AP199" i="174"/>
  <c r="AP200" i="174"/>
  <c r="AP201" i="174"/>
  <c r="AP202" i="174"/>
  <c r="AP203" i="174"/>
  <c r="AP204" i="174"/>
  <c r="AP205" i="174"/>
  <c r="AP206" i="174"/>
  <c r="AP207" i="174"/>
  <c r="AP208" i="174"/>
  <c r="AP209" i="174"/>
  <c r="AP210" i="174"/>
  <c r="AP211" i="174"/>
  <c r="AP212" i="174"/>
  <c r="AP213" i="174"/>
  <c r="AP214" i="174"/>
  <c r="AP215" i="174"/>
  <c r="AP216" i="174"/>
  <c r="AP217" i="174"/>
  <c r="AP218" i="174"/>
  <c r="AP219" i="174"/>
  <c r="AP220" i="174"/>
  <c r="AP221" i="174"/>
  <c r="AP222" i="174"/>
  <c r="AP223" i="174"/>
  <c r="AP224" i="174"/>
  <c r="AP225" i="174"/>
  <c r="AP226" i="174"/>
  <c r="AP227" i="174"/>
  <c r="AP228" i="174"/>
  <c r="AP229" i="174"/>
  <c r="AP230" i="174"/>
  <c r="AP231" i="174"/>
  <c r="AP232" i="174"/>
  <c r="AP233" i="174"/>
  <c r="AP234" i="174"/>
  <c r="AP235" i="174"/>
  <c r="AP236" i="174"/>
  <c r="AP237" i="174"/>
  <c r="AP238" i="174"/>
  <c r="AP149" i="174"/>
  <c r="AP150" i="174"/>
  <c r="AP151" i="174"/>
  <c r="AP152" i="174"/>
  <c r="AP153" i="174"/>
  <c r="AP154" i="174"/>
  <c r="AP155" i="174"/>
  <c r="AP156" i="174"/>
  <c r="AP157" i="174"/>
  <c r="AP158" i="174"/>
  <c r="AP159" i="174"/>
  <c r="AP160" i="174"/>
  <c r="AP161" i="174"/>
  <c r="AP162" i="174"/>
  <c r="AP163" i="174"/>
  <c r="AP164" i="174"/>
  <c r="AP165" i="174"/>
  <c r="AP166" i="174"/>
  <c r="AP167" i="174"/>
  <c r="AP168" i="174"/>
  <c r="AP169" i="174"/>
  <c r="AP170" i="174"/>
  <c r="AP171" i="174"/>
  <c r="AP172" i="174"/>
  <c r="AP173" i="174"/>
  <c r="AP174" i="174"/>
  <c r="AP175" i="174"/>
  <c r="AP176" i="174"/>
  <c r="AP177" i="174"/>
  <c r="AP178" i="174"/>
  <c r="AP179" i="174"/>
  <c r="AP180" i="174"/>
  <c r="AP181" i="174"/>
  <c r="AP182" i="174"/>
  <c r="AP183" i="174"/>
  <c r="AP184" i="174"/>
  <c r="AP185" i="174"/>
  <c r="AP186" i="174"/>
  <c r="AP187" i="174"/>
  <c r="AL80" i="174"/>
  <c r="AJ80" i="174"/>
  <c r="A21" i="123"/>
  <c r="AE41" i="174"/>
  <c r="AE44" i="174"/>
  <c r="AE45" i="174"/>
  <c r="AE46" i="174"/>
  <c r="AE47" i="174"/>
  <c r="AE48" i="174"/>
  <c r="AE49" i="174"/>
  <c r="AE50" i="174"/>
  <c r="AE51" i="174"/>
  <c r="AE52" i="174"/>
  <c r="AE57" i="174"/>
  <c r="AE59" i="174"/>
  <c r="AB59" i="174" s="1"/>
  <c r="AA59" i="174" s="1"/>
  <c r="AE60" i="174"/>
  <c r="AE63" i="174"/>
  <c r="AE64" i="174"/>
  <c r="AE71" i="174"/>
  <c r="AE72" i="174"/>
  <c r="AE73" i="174"/>
  <c r="AE74" i="174"/>
  <c r="AE75" i="174"/>
  <c r="AE78" i="174"/>
  <c r="AE81" i="174"/>
  <c r="AE82" i="174"/>
  <c r="AE84" i="174"/>
  <c r="AE85" i="174"/>
  <c r="AE86" i="174"/>
  <c r="AE87" i="174"/>
  <c r="AE88" i="174"/>
  <c r="AE90" i="174"/>
  <c r="AE91" i="174"/>
  <c r="AE92" i="174"/>
  <c r="AE93" i="174"/>
  <c r="AE94" i="174"/>
  <c r="AE95" i="174"/>
  <c r="AE98" i="174"/>
  <c r="AE100" i="174"/>
  <c r="AE101" i="174"/>
  <c r="AE103" i="174"/>
  <c r="AE105" i="174"/>
  <c r="AE106" i="174"/>
  <c r="AE107" i="174"/>
  <c r="AE109" i="174"/>
  <c r="AE110" i="174"/>
  <c r="AE111" i="174"/>
  <c r="AE114" i="174"/>
  <c r="AE118" i="174"/>
  <c r="AE119" i="174"/>
  <c r="AE120" i="174"/>
  <c r="AE121" i="174"/>
  <c r="AE122" i="174"/>
  <c r="AE123" i="174"/>
  <c r="AE124" i="174"/>
  <c r="AE125" i="174"/>
  <c r="AE126" i="174"/>
  <c r="AE127" i="174"/>
  <c r="AE128" i="174"/>
  <c r="AE144" i="174"/>
  <c r="AE145" i="174"/>
  <c r="AE146" i="174"/>
  <c r="AE148" i="174"/>
  <c r="AE149" i="174"/>
  <c r="AE150" i="174"/>
  <c r="AE151" i="174"/>
  <c r="AE152" i="174"/>
  <c r="AE153" i="174"/>
  <c r="AE154" i="174"/>
  <c r="AE155" i="174"/>
  <c r="AE156" i="174"/>
  <c r="AE157" i="174"/>
  <c r="AE158" i="174"/>
  <c r="AE159" i="174"/>
  <c r="AE160" i="174"/>
  <c r="AE161" i="174"/>
  <c r="AE162" i="174"/>
  <c r="AE163" i="174"/>
  <c r="AE164" i="174"/>
  <c r="AH68" i="174"/>
  <c r="AF68" i="174"/>
  <c r="AE69" i="174"/>
  <c r="AF66" i="174"/>
  <c r="AE66" i="174" s="1"/>
  <c r="AF65" i="174"/>
  <c r="AE65" i="174" s="1"/>
  <c r="AE67" i="174"/>
  <c r="AF61" i="174"/>
  <c r="AE61" i="174" s="1"/>
  <c r="AF58" i="174"/>
  <c r="AE58" i="174" s="1"/>
  <c r="AF56" i="174"/>
  <c r="AE56" i="174" s="1"/>
  <c r="AF54" i="174"/>
  <c r="AE54" i="174" s="1"/>
  <c r="AF53" i="174"/>
  <c r="AE53" i="174" s="1"/>
  <c r="AE55" i="174"/>
  <c r="AF42" i="174"/>
  <c r="AE42" i="174" s="1"/>
  <c r="AF40" i="174"/>
  <c r="AE40" i="174" s="1"/>
  <c r="AF79" i="174"/>
  <c r="AE79" i="174" s="1"/>
  <c r="BS13" i="174"/>
  <c r="H19" i="69"/>
  <c r="AJ30" i="174" s="1"/>
  <c r="B29" i="186"/>
  <c r="E13" i="186"/>
  <c r="L12" i="186"/>
  <c r="M12" i="186"/>
  <c r="G31" i="186"/>
  <c r="B31" i="186"/>
  <c r="G29" i="186"/>
  <c r="K3" i="186"/>
  <c r="G3" i="186"/>
  <c r="AF70" i="174"/>
  <c r="AE70" i="174" s="1"/>
  <c r="AE62" i="174"/>
  <c r="AH27" i="174"/>
  <c r="AH28" i="174"/>
  <c r="AQ28" i="174"/>
  <c r="AP28" i="174" s="1"/>
  <c r="AQ27" i="174"/>
  <c r="AP27" i="174" s="1"/>
  <c r="AF27" i="174"/>
  <c r="AD27" i="174"/>
  <c r="AC27" i="174"/>
  <c r="AF28" i="174"/>
  <c r="AC28" i="174"/>
  <c r="AD29" i="174"/>
  <c r="AE17" i="174"/>
  <c r="AE31" i="174"/>
  <c r="AE34" i="174"/>
  <c r="AE36" i="174"/>
  <c r="AE37" i="174"/>
  <c r="AE165" i="174"/>
  <c r="AE166" i="174"/>
  <c r="AE167" i="174"/>
  <c r="AE168" i="174"/>
  <c r="AE169" i="174"/>
  <c r="AE170" i="174"/>
  <c r="AE171" i="174"/>
  <c r="AE172" i="174"/>
  <c r="AE173" i="174"/>
  <c r="AE174" i="174"/>
  <c r="AE175" i="174"/>
  <c r="AE176" i="174"/>
  <c r="AE177" i="174"/>
  <c r="AE178" i="174"/>
  <c r="AE179" i="174"/>
  <c r="AE180" i="174"/>
  <c r="AE181" i="174"/>
  <c r="AE182" i="174"/>
  <c r="AE183" i="174"/>
  <c r="AE184" i="174"/>
  <c r="AE185" i="174"/>
  <c r="AE186" i="174"/>
  <c r="AE187" i="174"/>
  <c r="AE188" i="174"/>
  <c r="AE189" i="174"/>
  <c r="AE190" i="174"/>
  <c r="AE191" i="174"/>
  <c r="AE192" i="174"/>
  <c r="AE193" i="174"/>
  <c r="AE194" i="174"/>
  <c r="AE195" i="174"/>
  <c r="AE196" i="174"/>
  <c r="AE197" i="174"/>
  <c r="AE198" i="174"/>
  <c r="AE199" i="174"/>
  <c r="AE200" i="174"/>
  <c r="AE201" i="174"/>
  <c r="AE202" i="174"/>
  <c r="AE203" i="174"/>
  <c r="AE204" i="174"/>
  <c r="AE205" i="174"/>
  <c r="AE206" i="174"/>
  <c r="AE207" i="174"/>
  <c r="AE208" i="174"/>
  <c r="AE209" i="174"/>
  <c r="AE210" i="174"/>
  <c r="AE211" i="174"/>
  <c r="AE212" i="174"/>
  <c r="AE213" i="174"/>
  <c r="AE214" i="174"/>
  <c r="AE215" i="174"/>
  <c r="AE216" i="174"/>
  <c r="AE217" i="174"/>
  <c r="AE218" i="174"/>
  <c r="AE219" i="174"/>
  <c r="AE220" i="174"/>
  <c r="AE221" i="174"/>
  <c r="AE222" i="174"/>
  <c r="AE223" i="174"/>
  <c r="AE224" i="174"/>
  <c r="AE225" i="174"/>
  <c r="AE226" i="174"/>
  <c r="AE227" i="174"/>
  <c r="AE228" i="174"/>
  <c r="AE229" i="174"/>
  <c r="AE230" i="174"/>
  <c r="AE231" i="174"/>
  <c r="AE232" i="174"/>
  <c r="AE233" i="174"/>
  <c r="AE234" i="174"/>
  <c r="AE235" i="174"/>
  <c r="AE236" i="174"/>
  <c r="AE237" i="174"/>
  <c r="AE238" i="174"/>
  <c r="AE239" i="174"/>
  <c r="AE240" i="174"/>
  <c r="AE241" i="174"/>
  <c r="AE242" i="174"/>
  <c r="AE243" i="174"/>
  <c r="AE244" i="174"/>
  <c r="AE245" i="174"/>
  <c r="AE246" i="174"/>
  <c r="AE247" i="174"/>
  <c r="AE248" i="174"/>
  <c r="AE249" i="174"/>
  <c r="AE250" i="174"/>
  <c r="AE251" i="174"/>
  <c r="AE252" i="174"/>
  <c r="AE253" i="174"/>
  <c r="AE254" i="174"/>
  <c r="AE255" i="174"/>
  <c r="AF76" i="174"/>
  <c r="AE76" i="174" s="1"/>
  <c r="AB76" i="174" s="1"/>
  <c r="AA76" i="174" s="1"/>
  <c r="AE68" i="174" l="1"/>
  <c r="AB51" i="174"/>
  <c r="AA51" i="174" s="1"/>
  <c r="AB47" i="174"/>
  <c r="AA47" i="174" s="1"/>
  <c r="AB118" i="174"/>
  <c r="AA118" i="174" s="1"/>
  <c r="AB92" i="174"/>
  <c r="AA92" i="174" s="1"/>
  <c r="AE96" i="174"/>
  <c r="AB96" i="174" s="1"/>
  <c r="AA96" i="174" s="1"/>
  <c r="AB156" i="174"/>
  <c r="AB152" i="174"/>
  <c r="AA152" i="174" s="1"/>
  <c r="AB148" i="174"/>
  <c r="AA148" i="174" s="1"/>
  <c r="AB144" i="174"/>
  <c r="AA144" i="174" s="1"/>
  <c r="AB140" i="174"/>
  <c r="AA140" i="174" s="1"/>
  <c r="AB127" i="174"/>
  <c r="AA127" i="174" s="1"/>
  <c r="AB123" i="174"/>
  <c r="AA123" i="174" s="1"/>
  <c r="AB72" i="174"/>
  <c r="AA72" i="174" s="1"/>
  <c r="AB41" i="174"/>
  <c r="AA41" i="174" s="1"/>
  <c r="AB155" i="174"/>
  <c r="AA155" i="174" s="1"/>
  <c r="AB151" i="174"/>
  <c r="AA151" i="174" s="1"/>
  <c r="AB143" i="174"/>
  <c r="AA143" i="174" s="1"/>
  <c r="AB130" i="174"/>
  <c r="AB126" i="174"/>
  <c r="AA126" i="174" s="1"/>
  <c r="AB122" i="174"/>
  <c r="AA122" i="174" s="1"/>
  <c r="AB73" i="174"/>
  <c r="AA73" i="174" s="1"/>
  <c r="AB50" i="174"/>
  <c r="AA50" i="174" s="1"/>
  <c r="AB62" i="174"/>
  <c r="AA62" i="174" s="1"/>
  <c r="AB53" i="174"/>
  <c r="AA53" i="174" s="1"/>
  <c r="AB61" i="174"/>
  <c r="AA61" i="174" s="1"/>
  <c r="AB69" i="174"/>
  <c r="AA69" i="174" s="1"/>
  <c r="AB58" i="174"/>
  <c r="AA58" i="174" s="1"/>
  <c r="AB66" i="174"/>
  <c r="AA66" i="174" s="1"/>
  <c r="AB65" i="174"/>
  <c r="AA65" i="174" s="1"/>
  <c r="AB154" i="174"/>
  <c r="AA154" i="174" s="1"/>
  <c r="AB150" i="174"/>
  <c r="AA150" i="174" s="1"/>
  <c r="AB146" i="174"/>
  <c r="AA146" i="174" s="1"/>
  <c r="AB142" i="174"/>
  <c r="AA142" i="174" s="1"/>
  <c r="AB129" i="174"/>
  <c r="AA129" i="174" s="1"/>
  <c r="AB125" i="174"/>
  <c r="AA125" i="174" s="1"/>
  <c r="AB121" i="174"/>
  <c r="AA121" i="174" s="1"/>
  <c r="AB82" i="174"/>
  <c r="AA82" i="174" s="1"/>
  <c r="AB74" i="174"/>
  <c r="AA74" i="174" s="1"/>
  <c r="AB57" i="174"/>
  <c r="AA57" i="174" s="1"/>
  <c r="AB49" i="174"/>
  <c r="AA49" i="174" s="1"/>
  <c r="AB45" i="174"/>
  <c r="AA45" i="174" s="1"/>
  <c r="AB63" i="174"/>
  <c r="AA63" i="174" s="1"/>
  <c r="AB70" i="174"/>
  <c r="AA70" i="174" s="1"/>
  <c r="AB54" i="174"/>
  <c r="AA54" i="174" s="1"/>
  <c r="AB46" i="174"/>
  <c r="AA46" i="174" s="1"/>
  <c r="AB78" i="174"/>
  <c r="AA78" i="174" s="1"/>
  <c r="AB98" i="174"/>
  <c r="AA98" i="174" s="1"/>
  <c r="AB86" i="174"/>
  <c r="AA86" i="174" s="1"/>
  <c r="AB55" i="174"/>
  <c r="AA55" i="174" s="1"/>
  <c r="AB84" i="174"/>
  <c r="AA84" i="174" s="1"/>
  <c r="AB75" i="174"/>
  <c r="AA75" i="174" s="1"/>
  <c r="AB71" i="174"/>
  <c r="AA71" i="174" s="1"/>
  <c r="AB42" i="174"/>
  <c r="AA42" i="174" s="1"/>
  <c r="AB67" i="174"/>
  <c r="AA67" i="174" s="1"/>
  <c r="AB94" i="174"/>
  <c r="AA94" i="174" s="1"/>
  <c r="AB90" i="174"/>
  <c r="AA90" i="174" s="1"/>
  <c r="AB81" i="174"/>
  <c r="AA81" i="174" s="1"/>
  <c r="AB109" i="174"/>
  <c r="AA109" i="174" s="1"/>
  <c r="AB105" i="174"/>
  <c r="AA105" i="174" s="1"/>
  <c r="AB101" i="174"/>
  <c r="AA101" i="174" s="1"/>
  <c r="AB97" i="174"/>
  <c r="AA97" i="174" s="1"/>
  <c r="AB93" i="174"/>
  <c r="AA93" i="174" s="1"/>
  <c r="AB89" i="174"/>
  <c r="AA89" i="174" s="1"/>
  <c r="AB85" i="174"/>
  <c r="AA85" i="174" s="1"/>
  <c r="AB88" i="174"/>
  <c r="AA88" i="174" s="1"/>
  <c r="AB157" i="174"/>
  <c r="AB64" i="174"/>
  <c r="AA64" i="174" s="1"/>
  <c r="AB60" i="174"/>
  <c r="AA60" i="174" s="1"/>
  <c r="AB56" i="174"/>
  <c r="AA56" i="174" s="1"/>
  <c r="AB52" i="174"/>
  <c r="AA52" i="174" s="1"/>
  <c r="AB48" i="174"/>
  <c r="AA48" i="174" s="1"/>
  <c r="AB44" i="174"/>
  <c r="AA44" i="174" s="1"/>
  <c r="AB114" i="174"/>
  <c r="AA114" i="174" s="1"/>
  <c r="AB110" i="174"/>
  <c r="AA110" i="174" s="1"/>
  <c r="AB106" i="174"/>
  <c r="AA106" i="174" s="1"/>
  <c r="AB153" i="174"/>
  <c r="AA153" i="174" s="1"/>
  <c r="AB149" i="174"/>
  <c r="AA149" i="174" s="1"/>
  <c r="AB145" i="174"/>
  <c r="AA145" i="174" s="1"/>
  <c r="AB141" i="174"/>
  <c r="AA141" i="174" s="1"/>
  <c r="AB128" i="174"/>
  <c r="AA128" i="174" s="1"/>
  <c r="AB124" i="174"/>
  <c r="AA124" i="174" s="1"/>
  <c r="AB120" i="174"/>
  <c r="AA120" i="174" s="1"/>
  <c r="AB111" i="174"/>
  <c r="AA111" i="174" s="1"/>
  <c r="AB107" i="174"/>
  <c r="AA107" i="174" s="1"/>
  <c r="AB103" i="174"/>
  <c r="AA103" i="174" s="1"/>
  <c r="AB95" i="174"/>
  <c r="AA95" i="174" s="1"/>
  <c r="AB91" i="174"/>
  <c r="AA91" i="174" s="1"/>
  <c r="AB87" i="174"/>
  <c r="AA87" i="174" s="1"/>
  <c r="AB68" i="174"/>
  <c r="AA68" i="174" s="1"/>
  <c r="AB79" i="174"/>
  <c r="AA79" i="174" s="1"/>
  <c r="AB112" i="174"/>
  <c r="AA112" i="174" s="1"/>
  <c r="AB100" i="174"/>
  <c r="AA100" i="174" s="1"/>
  <c r="AE80" i="174"/>
  <c r="AB80" i="174" s="1"/>
  <c r="AA80" i="174" s="1"/>
  <c r="AB40" i="174"/>
  <c r="AA40" i="174" s="1"/>
  <c r="AE28" i="174"/>
  <c r="AE27" i="174"/>
  <c r="G396" i="184" l="1"/>
  <c r="H396" i="184"/>
  <c r="I396" i="184"/>
  <c r="J396" i="184"/>
  <c r="K396" i="184"/>
  <c r="L396" i="184"/>
  <c r="M396" i="184"/>
  <c r="N396" i="184"/>
  <c r="O396" i="184"/>
  <c r="P396" i="184"/>
  <c r="Q396" i="184"/>
  <c r="R396" i="184"/>
  <c r="G392" i="184"/>
  <c r="H392" i="184"/>
  <c r="I392" i="184"/>
  <c r="J392" i="184"/>
  <c r="K392" i="184"/>
  <c r="L392" i="184"/>
  <c r="M392" i="184"/>
  <c r="N392" i="184"/>
  <c r="O392" i="184"/>
  <c r="P392" i="184"/>
  <c r="Q392" i="184"/>
  <c r="R392" i="184"/>
  <c r="C400" i="184"/>
  <c r="T352" i="184"/>
  <c r="T348" i="184"/>
  <c r="T344" i="184"/>
  <c r="V352" i="184"/>
  <c r="U352" i="184"/>
  <c r="S352" i="184"/>
  <c r="V348" i="184"/>
  <c r="U348" i="184"/>
  <c r="S348" i="184"/>
  <c r="V344" i="184"/>
  <c r="U344" i="184"/>
  <c r="S344" i="184"/>
  <c r="R352" i="184"/>
  <c r="Q352" i="184"/>
  <c r="P352" i="184"/>
  <c r="O352" i="184"/>
  <c r="N352" i="184"/>
  <c r="M352" i="184"/>
  <c r="L352" i="184"/>
  <c r="K352" i="184"/>
  <c r="J352" i="184"/>
  <c r="I352" i="184"/>
  <c r="H352" i="184"/>
  <c r="G352" i="184"/>
  <c r="H350" i="184"/>
  <c r="H348" i="184" s="1"/>
  <c r="R348" i="184"/>
  <c r="Q348" i="184"/>
  <c r="P348" i="184"/>
  <c r="O348" i="184"/>
  <c r="N348" i="184"/>
  <c r="M348" i="184"/>
  <c r="L348" i="184"/>
  <c r="K348" i="184"/>
  <c r="J348" i="184"/>
  <c r="I348" i="184"/>
  <c r="G348" i="184"/>
  <c r="R344" i="184"/>
  <c r="Q344" i="184"/>
  <c r="P344" i="184"/>
  <c r="O344" i="184"/>
  <c r="N344" i="184"/>
  <c r="M344" i="184"/>
  <c r="L344" i="184"/>
  <c r="K344" i="184"/>
  <c r="I344" i="184"/>
  <c r="H344" i="184"/>
  <c r="F352" i="184"/>
  <c r="E352" i="184"/>
  <c r="D352" i="184"/>
  <c r="F348" i="184"/>
  <c r="E348" i="184"/>
  <c r="D348" i="184"/>
  <c r="F344" i="184"/>
  <c r="E344" i="184"/>
  <c r="D344" i="184"/>
  <c r="M16" i="186" l="1"/>
  <c r="L16" i="186"/>
  <c r="F380" i="184"/>
  <c r="E380" i="184"/>
  <c r="D380" i="184"/>
  <c r="C380" i="184"/>
  <c r="F376" i="184"/>
  <c r="E376" i="184"/>
  <c r="D376" i="184"/>
  <c r="C376" i="184"/>
  <c r="C396" i="184"/>
  <c r="C392" i="184"/>
  <c r="F396" i="184"/>
  <c r="E396" i="184"/>
  <c r="D396" i="184"/>
  <c r="F392" i="184"/>
  <c r="E392" i="184"/>
  <c r="D392" i="184"/>
  <c r="F364" i="184"/>
  <c r="E364" i="184"/>
  <c r="D364" i="184"/>
  <c r="F360" i="184"/>
  <c r="E360" i="184"/>
  <c r="D360" i="184"/>
  <c r="M332" i="184" l="1"/>
  <c r="E332" i="184"/>
  <c r="D332" i="184"/>
  <c r="E328" i="184"/>
  <c r="D328" i="184"/>
  <c r="F248" i="184" l="1"/>
  <c r="E248" i="184"/>
  <c r="D248" i="184"/>
  <c r="C248" i="184"/>
  <c r="N205" i="184" l="1"/>
  <c r="M205" i="184"/>
  <c r="K205" i="184"/>
  <c r="J205" i="184"/>
  <c r="H205" i="184"/>
  <c r="G205" i="184"/>
  <c r="D205" i="184"/>
  <c r="C205" i="184"/>
  <c r="N204" i="184"/>
  <c r="M204" i="184"/>
  <c r="K204" i="184"/>
  <c r="J204" i="184"/>
  <c r="H204" i="184"/>
  <c r="G204" i="184"/>
  <c r="D204" i="184"/>
  <c r="C204" i="184"/>
  <c r="N203" i="184"/>
  <c r="M203" i="184"/>
  <c r="K203" i="184"/>
  <c r="K202" i="184" s="1"/>
  <c r="J203" i="184"/>
  <c r="H203" i="184"/>
  <c r="H202" i="184" s="1"/>
  <c r="G203" i="184"/>
  <c r="D203" i="184"/>
  <c r="D202" i="184" s="1"/>
  <c r="C203" i="184"/>
  <c r="C202" i="184" s="1"/>
  <c r="N202" i="184"/>
  <c r="E202" i="184"/>
  <c r="M201" i="184"/>
  <c r="J201" i="184"/>
  <c r="G201" i="184"/>
  <c r="E201" i="184"/>
  <c r="D201" i="184"/>
  <c r="C201" i="184"/>
  <c r="N200" i="184"/>
  <c r="M200" i="184"/>
  <c r="K200" i="184"/>
  <c r="J200" i="184"/>
  <c r="H200" i="184"/>
  <c r="G200" i="184"/>
  <c r="E200" i="184"/>
  <c r="D200" i="184"/>
  <c r="C200" i="184"/>
  <c r="N199" i="184"/>
  <c r="M199" i="184"/>
  <c r="K199" i="184"/>
  <c r="J199" i="184"/>
  <c r="H199" i="184"/>
  <c r="G199" i="184"/>
  <c r="E199" i="184"/>
  <c r="D199" i="184"/>
  <c r="C199" i="184"/>
  <c r="P197" i="184"/>
  <c r="M197" i="184"/>
  <c r="J197" i="184"/>
  <c r="G197" i="184"/>
  <c r="F197" i="184"/>
  <c r="E197" i="184"/>
  <c r="D197" i="184"/>
  <c r="C197" i="184"/>
  <c r="Q196" i="184"/>
  <c r="P196" i="184"/>
  <c r="N196" i="184"/>
  <c r="M196" i="184"/>
  <c r="K196" i="184"/>
  <c r="J196" i="184"/>
  <c r="H196" i="184"/>
  <c r="G196" i="184"/>
  <c r="F196" i="184"/>
  <c r="E196" i="184"/>
  <c r="D196" i="184"/>
  <c r="C196" i="184"/>
  <c r="Q195" i="184"/>
  <c r="P195" i="184"/>
  <c r="N195" i="184"/>
  <c r="N194" i="184" s="1"/>
  <c r="M195" i="184"/>
  <c r="K195" i="184"/>
  <c r="K194" i="184" s="1"/>
  <c r="J195" i="184"/>
  <c r="H195" i="184"/>
  <c r="H194" i="184" s="1"/>
  <c r="G195" i="184"/>
  <c r="G194" i="184" s="1"/>
  <c r="F195" i="184"/>
  <c r="F194" i="184" s="1"/>
  <c r="E195" i="184"/>
  <c r="D195" i="184"/>
  <c r="D194" i="184" s="1"/>
  <c r="C195" i="184"/>
  <c r="C194" i="184" s="1"/>
  <c r="Q194" i="184"/>
  <c r="E194" i="184"/>
  <c r="G198" i="184" l="1"/>
  <c r="H198" i="184"/>
  <c r="N198" i="184"/>
  <c r="E198" i="184"/>
  <c r="D198" i="184"/>
  <c r="K198" i="184"/>
  <c r="C198" i="184"/>
  <c r="H183" i="184"/>
  <c r="N183" i="184" s="1"/>
  <c r="N182" i="184" s="1"/>
  <c r="M182" i="184"/>
  <c r="K182" i="184"/>
  <c r="J182" i="184"/>
  <c r="H182" i="184"/>
  <c r="G182" i="184"/>
  <c r="E182" i="184"/>
  <c r="D182" i="184"/>
  <c r="C182" i="184"/>
  <c r="K179" i="184"/>
  <c r="N179" i="184" s="1"/>
  <c r="N178" i="184" s="1"/>
  <c r="M178" i="184"/>
  <c r="J178" i="184"/>
  <c r="H178" i="184"/>
  <c r="G178" i="184"/>
  <c r="E178" i="184"/>
  <c r="D178" i="184"/>
  <c r="C178" i="184"/>
  <c r="K178" i="184" l="1"/>
  <c r="Q168" i="184"/>
  <c r="N168" i="184"/>
  <c r="K168" i="184"/>
  <c r="H167" i="184"/>
  <c r="R166" i="184"/>
  <c r="P166" i="184"/>
  <c r="O166" i="184"/>
  <c r="M166" i="184"/>
  <c r="L166" i="184"/>
  <c r="J166" i="184"/>
  <c r="I166" i="184"/>
  <c r="H166" i="184"/>
  <c r="G166" i="184"/>
  <c r="F166" i="184"/>
  <c r="E166" i="184"/>
  <c r="D166" i="184"/>
  <c r="C166" i="184"/>
  <c r="Q164" i="184"/>
  <c r="N164" i="184"/>
  <c r="K164" i="184"/>
  <c r="Q163" i="184"/>
  <c r="Q167" i="184" s="1"/>
  <c r="Q166" i="184" s="1"/>
  <c r="K163" i="184"/>
  <c r="K167" i="184" s="1"/>
  <c r="R162" i="184"/>
  <c r="P162" i="184"/>
  <c r="O162" i="184"/>
  <c r="M162" i="184"/>
  <c r="L162" i="184"/>
  <c r="J162" i="184"/>
  <c r="I162" i="184"/>
  <c r="H162" i="184"/>
  <c r="G162" i="184"/>
  <c r="F162" i="184"/>
  <c r="E162" i="184"/>
  <c r="D162" i="184"/>
  <c r="C162" i="184"/>
  <c r="K166" i="184" l="1"/>
  <c r="Q162" i="184"/>
  <c r="K162" i="184"/>
  <c r="N163" i="184"/>
  <c r="N167" i="184" s="1"/>
  <c r="N166" i="184" s="1"/>
  <c r="S138" i="184"/>
  <c r="S141" i="184" s="1"/>
  <c r="S130" i="184"/>
  <c r="N162" i="184" l="1"/>
  <c r="G130" i="184"/>
  <c r="D140" i="184"/>
  <c r="D139" i="184"/>
  <c r="E138" i="184"/>
  <c r="E141" i="184" s="1"/>
  <c r="D138" i="184"/>
  <c r="F130" i="184"/>
  <c r="E130" i="184"/>
  <c r="D130" i="184"/>
  <c r="C130" i="184"/>
  <c r="D141" i="184" l="1"/>
  <c r="O114" i="184"/>
  <c r="N114" i="184"/>
  <c r="M114" i="184"/>
  <c r="L114" i="184"/>
  <c r="K114" i="184"/>
  <c r="J114" i="184"/>
  <c r="I114" i="184"/>
  <c r="H114" i="184"/>
  <c r="G114" i="184"/>
  <c r="E114" i="184"/>
  <c r="D114" i="184"/>
  <c r="C114" i="184"/>
  <c r="P98" i="184"/>
  <c r="O98" i="184"/>
  <c r="M98" i="184"/>
  <c r="L98" i="184"/>
  <c r="J98" i="184"/>
  <c r="I98" i="184"/>
  <c r="H98" i="184"/>
  <c r="G98" i="184"/>
  <c r="F98" i="184"/>
  <c r="E98" i="184"/>
  <c r="D98" i="184"/>
  <c r="C98" i="184"/>
  <c r="I82" i="184"/>
  <c r="G82" i="184"/>
  <c r="C82" i="184"/>
  <c r="I76" i="184"/>
  <c r="H76" i="184"/>
  <c r="G76" i="184"/>
  <c r="I75" i="184"/>
  <c r="H75" i="184"/>
  <c r="G75" i="184"/>
  <c r="C74" i="184"/>
  <c r="R73" i="184"/>
  <c r="Q73" i="184"/>
  <c r="O73" i="184"/>
  <c r="N73" i="184"/>
  <c r="L73" i="184"/>
  <c r="K73" i="184"/>
  <c r="I73" i="184"/>
  <c r="H73" i="184"/>
  <c r="P72" i="184"/>
  <c r="L72" i="184"/>
  <c r="O72" i="184" s="1"/>
  <c r="K72" i="184"/>
  <c r="N72" i="184" s="1"/>
  <c r="R71" i="184"/>
  <c r="Q71" i="184"/>
  <c r="P71" i="184"/>
  <c r="O71" i="184"/>
  <c r="N71" i="184"/>
  <c r="M71" i="184"/>
  <c r="M70" i="184" s="1"/>
  <c r="L71" i="184"/>
  <c r="K71" i="184"/>
  <c r="J71" i="184"/>
  <c r="I71" i="184"/>
  <c r="H71" i="184"/>
  <c r="G71" i="184"/>
  <c r="G70" i="184" s="1"/>
  <c r="F70" i="184"/>
  <c r="E70" i="184"/>
  <c r="D70" i="184"/>
  <c r="C70" i="184"/>
  <c r="P69" i="184"/>
  <c r="P73" i="184" s="1"/>
  <c r="J69" i="184"/>
  <c r="J73" i="184" s="1"/>
  <c r="P68" i="184"/>
  <c r="J68" i="184"/>
  <c r="M68" i="184" s="1"/>
  <c r="R66" i="184"/>
  <c r="Q66" i="184"/>
  <c r="O66" i="184"/>
  <c r="N66" i="184"/>
  <c r="L66" i="184"/>
  <c r="K66" i="184"/>
  <c r="I66" i="184"/>
  <c r="H66" i="184"/>
  <c r="G66" i="184"/>
  <c r="F66" i="184"/>
  <c r="E66" i="184"/>
  <c r="D66" i="184"/>
  <c r="C66" i="184"/>
  <c r="K70" i="184" l="1"/>
  <c r="I70" i="184"/>
  <c r="L70" i="184"/>
  <c r="I74" i="184"/>
  <c r="J70" i="184"/>
  <c r="N70" i="184"/>
  <c r="G74" i="184"/>
  <c r="M69" i="184"/>
  <c r="M66" i="184" s="1"/>
  <c r="P66" i="184"/>
  <c r="H70" i="184"/>
  <c r="H74" i="184"/>
  <c r="P70" i="184"/>
  <c r="O70" i="184"/>
  <c r="R72" i="184"/>
  <c r="R70" i="184" s="1"/>
  <c r="J66" i="184"/>
  <c r="Q72" i="184"/>
  <c r="Q70" i="184" s="1"/>
  <c r="E16" i="184" l="1"/>
  <c r="D16" i="184"/>
  <c r="E15" i="184"/>
  <c r="D15" i="184"/>
  <c r="E14" i="184"/>
  <c r="D14" i="184"/>
  <c r="E13" i="184"/>
  <c r="D13" i="184"/>
  <c r="C13" i="184"/>
  <c r="F12" i="184"/>
  <c r="E12" i="184"/>
  <c r="D12" i="184"/>
  <c r="F11" i="184"/>
  <c r="E11" i="184"/>
  <c r="D11" i="184"/>
  <c r="F10" i="184"/>
  <c r="E10" i="184"/>
  <c r="D10" i="184"/>
  <c r="E48" i="88"/>
  <c r="F76" i="84"/>
  <c r="L38" i="84"/>
  <c r="D26" i="84"/>
  <c r="D20" i="84"/>
  <c r="D22" i="84"/>
  <c r="F70" i="159"/>
  <c r="F57" i="159"/>
  <c r="F54" i="159"/>
  <c r="D9" i="184" l="1"/>
  <c r="E9" i="184"/>
  <c r="F9" i="184"/>
  <c r="D53" i="84" l="1"/>
  <c r="B94" i="115"/>
  <c r="E94" i="115" s="1"/>
  <c r="D42" i="84"/>
  <c r="D76" i="84"/>
  <c r="F56" i="84"/>
  <c r="D58" i="84"/>
  <c r="F58" i="84"/>
  <c r="F62" i="183"/>
  <c r="F61" i="183"/>
  <c r="A5" i="183" l="1"/>
  <c r="F30" i="78"/>
  <c r="F40" i="84"/>
  <c r="F36" i="162" l="1"/>
  <c r="H37" i="24"/>
  <c r="H36" i="24"/>
  <c r="F32" i="162"/>
  <c r="D11" i="182" l="1"/>
  <c r="E11" i="182" s="1"/>
  <c r="T295" i="21" l="1"/>
  <c r="E350" i="21"/>
  <c r="F350" i="21"/>
  <c r="G350" i="21"/>
  <c r="H350" i="21"/>
  <c r="I350" i="21"/>
  <c r="J350" i="21"/>
  <c r="K350" i="21"/>
  <c r="L350" i="21"/>
  <c r="M350" i="21"/>
  <c r="N350" i="21"/>
  <c r="O350" i="21"/>
  <c r="P350" i="21"/>
  <c r="Q350" i="21"/>
  <c r="R350" i="21"/>
  <c r="D350" i="21"/>
  <c r="E340" i="21"/>
  <c r="F340" i="21"/>
  <c r="G340" i="21"/>
  <c r="H340" i="21"/>
  <c r="I340" i="21"/>
  <c r="J340" i="21"/>
  <c r="K340" i="21"/>
  <c r="L340" i="21"/>
  <c r="M340" i="21"/>
  <c r="N340" i="21"/>
  <c r="O340" i="21"/>
  <c r="P340" i="21"/>
  <c r="Q340" i="21"/>
  <c r="R340" i="21"/>
  <c r="D340" i="21"/>
  <c r="E335" i="21"/>
  <c r="F335" i="21"/>
  <c r="G335" i="21"/>
  <c r="H335" i="21"/>
  <c r="I335" i="21"/>
  <c r="J335" i="21"/>
  <c r="K335" i="21"/>
  <c r="L335" i="21"/>
  <c r="M335" i="21"/>
  <c r="N335" i="21"/>
  <c r="O335" i="21"/>
  <c r="P335" i="21"/>
  <c r="Q335" i="21"/>
  <c r="R335" i="21"/>
  <c r="D335" i="21"/>
  <c r="E330" i="21"/>
  <c r="F330" i="21"/>
  <c r="G330" i="21"/>
  <c r="H330" i="21"/>
  <c r="I330" i="21"/>
  <c r="J330" i="21"/>
  <c r="K330" i="21"/>
  <c r="L330" i="21"/>
  <c r="M330" i="21"/>
  <c r="N330" i="21"/>
  <c r="O330" i="21"/>
  <c r="P330" i="21"/>
  <c r="Q330" i="21"/>
  <c r="R330" i="21"/>
  <c r="D330" i="21"/>
  <c r="E325" i="21"/>
  <c r="F325" i="21"/>
  <c r="G325" i="21"/>
  <c r="H325" i="21"/>
  <c r="I325" i="21"/>
  <c r="J325" i="21"/>
  <c r="K325" i="21"/>
  <c r="L325" i="21"/>
  <c r="M325" i="21"/>
  <c r="N325" i="21"/>
  <c r="O325" i="21"/>
  <c r="P325" i="21"/>
  <c r="Q325" i="21"/>
  <c r="R325" i="21"/>
  <c r="D325" i="21"/>
  <c r="E320" i="21"/>
  <c r="F320" i="21"/>
  <c r="G320" i="21"/>
  <c r="H320" i="21"/>
  <c r="I320" i="21"/>
  <c r="J320" i="21"/>
  <c r="K320" i="21"/>
  <c r="L320" i="21"/>
  <c r="M320" i="21"/>
  <c r="N320" i="21"/>
  <c r="O320" i="21"/>
  <c r="P320" i="21"/>
  <c r="Q320" i="21"/>
  <c r="R320" i="21"/>
  <c r="D320" i="21"/>
  <c r="E315" i="21"/>
  <c r="F315" i="21"/>
  <c r="G315" i="21"/>
  <c r="H315" i="21"/>
  <c r="I315" i="21"/>
  <c r="J315" i="21"/>
  <c r="K315" i="21"/>
  <c r="L315" i="21"/>
  <c r="M315" i="21"/>
  <c r="N315" i="21"/>
  <c r="O315" i="21"/>
  <c r="P315" i="21"/>
  <c r="Q315" i="21"/>
  <c r="R315" i="21"/>
  <c r="D315" i="21"/>
  <c r="E310" i="21"/>
  <c r="E305" i="21" s="1"/>
  <c r="F310" i="21"/>
  <c r="G310" i="21"/>
  <c r="H310" i="21"/>
  <c r="I310" i="21"/>
  <c r="I305" i="21" s="1"/>
  <c r="J310" i="21"/>
  <c r="K310" i="21"/>
  <c r="L310" i="21"/>
  <c r="M310" i="21"/>
  <c r="M305" i="21" s="1"/>
  <c r="N310" i="21"/>
  <c r="O310" i="21"/>
  <c r="P310" i="21"/>
  <c r="Q310" i="21"/>
  <c r="Q305" i="21" s="1"/>
  <c r="R310" i="21"/>
  <c r="D310" i="21"/>
  <c r="E307" i="21"/>
  <c r="F307" i="21"/>
  <c r="F297" i="21" s="1"/>
  <c r="G307" i="21"/>
  <c r="H307" i="21"/>
  <c r="H297" i="21" s="1"/>
  <c r="I307" i="21"/>
  <c r="J307" i="21"/>
  <c r="J297" i="21" s="1"/>
  <c r="K307" i="21"/>
  <c r="L307" i="21"/>
  <c r="L297" i="21" s="1"/>
  <c r="M307" i="21"/>
  <c r="N307" i="21"/>
  <c r="N297" i="21" s="1"/>
  <c r="O307" i="21"/>
  <c r="P307" i="21"/>
  <c r="P297" i="21" s="1"/>
  <c r="Q307" i="21"/>
  <c r="R307" i="21"/>
  <c r="R297" i="21" s="1"/>
  <c r="E306" i="21"/>
  <c r="F306" i="21"/>
  <c r="F296" i="21" s="1"/>
  <c r="G306" i="21"/>
  <c r="H306" i="21"/>
  <c r="H296" i="21" s="1"/>
  <c r="I306" i="21"/>
  <c r="J306" i="21"/>
  <c r="J296" i="21" s="1"/>
  <c r="K306" i="21"/>
  <c r="L306" i="21"/>
  <c r="L296" i="21" s="1"/>
  <c r="M306" i="21"/>
  <c r="N306" i="21"/>
  <c r="N296" i="21" s="1"/>
  <c r="O306" i="21"/>
  <c r="P306" i="21"/>
  <c r="P296" i="21" s="1"/>
  <c r="Q306" i="21"/>
  <c r="R306" i="21"/>
  <c r="R296" i="21" s="1"/>
  <c r="G305" i="21"/>
  <c r="K305" i="21"/>
  <c r="O305" i="21"/>
  <c r="E304" i="21"/>
  <c r="F304" i="21"/>
  <c r="F294" i="21" s="1"/>
  <c r="G304" i="21"/>
  <c r="G294" i="21" s="1"/>
  <c r="H304" i="21"/>
  <c r="H294" i="21" s="1"/>
  <c r="I304" i="21"/>
  <c r="J304" i="21"/>
  <c r="J294" i="21" s="1"/>
  <c r="K304" i="21"/>
  <c r="K294" i="21" s="1"/>
  <c r="L304" i="21"/>
  <c r="L294" i="21" s="1"/>
  <c r="M304" i="21"/>
  <c r="N304" i="21"/>
  <c r="N294" i="21" s="1"/>
  <c r="O304" i="21"/>
  <c r="O294" i="21" s="1"/>
  <c r="P304" i="21"/>
  <c r="P294" i="21" s="1"/>
  <c r="Q304" i="21"/>
  <c r="R304" i="21"/>
  <c r="R294" i="21" s="1"/>
  <c r="D306" i="21"/>
  <c r="D296" i="21" s="1"/>
  <c r="D307" i="21"/>
  <c r="D304" i="21"/>
  <c r="D294" i="21" s="1"/>
  <c r="P167" i="21"/>
  <c r="O167" i="21"/>
  <c r="N167" i="21"/>
  <c r="M167" i="21"/>
  <c r="L167" i="21"/>
  <c r="K167" i="21"/>
  <c r="J167" i="21"/>
  <c r="I167" i="21"/>
  <c r="H167" i="21"/>
  <c r="G167" i="21"/>
  <c r="F167" i="21"/>
  <c r="E167" i="21"/>
  <c r="P164" i="21"/>
  <c r="O164" i="21"/>
  <c r="N164" i="21"/>
  <c r="M164" i="21"/>
  <c r="L164" i="21"/>
  <c r="K164" i="21"/>
  <c r="J164" i="21"/>
  <c r="I164" i="21"/>
  <c r="H164" i="21"/>
  <c r="G164" i="21"/>
  <c r="F164" i="21"/>
  <c r="E164" i="21"/>
  <c r="P154" i="21"/>
  <c r="O154" i="21"/>
  <c r="N154" i="21"/>
  <c r="M154" i="21"/>
  <c r="L154" i="21"/>
  <c r="K154" i="21"/>
  <c r="J154" i="21"/>
  <c r="I154" i="21"/>
  <c r="H154" i="21"/>
  <c r="G154" i="21"/>
  <c r="F154" i="21"/>
  <c r="E154" i="21"/>
  <c r="P138" i="21"/>
  <c r="O138" i="21"/>
  <c r="N138" i="21"/>
  <c r="M138" i="21"/>
  <c r="L138" i="21"/>
  <c r="K138" i="21"/>
  <c r="J138" i="21"/>
  <c r="I138" i="21"/>
  <c r="H138" i="21"/>
  <c r="G138" i="21"/>
  <c r="F138" i="21"/>
  <c r="E138" i="21"/>
  <c r="P135" i="21"/>
  <c r="O135" i="21"/>
  <c r="N135" i="21"/>
  <c r="M135" i="21"/>
  <c r="L135" i="21"/>
  <c r="K135" i="21"/>
  <c r="J135" i="21"/>
  <c r="I135" i="21"/>
  <c r="H135" i="21"/>
  <c r="G135" i="21"/>
  <c r="F135" i="21"/>
  <c r="E135" i="21"/>
  <c r="P125" i="21"/>
  <c r="O125" i="21"/>
  <c r="N125" i="21"/>
  <c r="M125" i="21"/>
  <c r="L125" i="21"/>
  <c r="K125" i="21"/>
  <c r="J125" i="21"/>
  <c r="I125" i="21"/>
  <c r="H125" i="21"/>
  <c r="G125" i="21"/>
  <c r="F125" i="21"/>
  <c r="E125" i="21"/>
  <c r="P116" i="21"/>
  <c r="O116" i="21"/>
  <c r="N116" i="21"/>
  <c r="M116" i="21"/>
  <c r="L116" i="21"/>
  <c r="K116" i="21"/>
  <c r="J116" i="21"/>
  <c r="I116" i="21"/>
  <c r="H116" i="21"/>
  <c r="G116" i="21"/>
  <c r="F116" i="21"/>
  <c r="E116" i="21"/>
  <c r="P101" i="21"/>
  <c r="O101" i="21"/>
  <c r="N101" i="21"/>
  <c r="M101" i="21"/>
  <c r="L101" i="21"/>
  <c r="K101" i="21"/>
  <c r="J101" i="21"/>
  <c r="I101" i="21"/>
  <c r="H101" i="21"/>
  <c r="G101" i="21"/>
  <c r="F101" i="21"/>
  <c r="E101" i="21"/>
  <c r="P100" i="21"/>
  <c r="O100" i="21"/>
  <c r="N100" i="21"/>
  <c r="M100" i="21"/>
  <c r="L100" i="21"/>
  <c r="K100" i="21"/>
  <c r="J100" i="21"/>
  <c r="I100" i="21"/>
  <c r="H100" i="21"/>
  <c r="G100" i="21"/>
  <c r="F100" i="21"/>
  <c r="E100" i="21"/>
  <c r="P99" i="21"/>
  <c r="O99" i="21"/>
  <c r="N99" i="21"/>
  <c r="M99" i="21"/>
  <c r="L99" i="21"/>
  <c r="K99" i="21"/>
  <c r="J99" i="21"/>
  <c r="I99" i="21"/>
  <c r="H99" i="21"/>
  <c r="G99" i="21"/>
  <c r="F99" i="21"/>
  <c r="E99" i="21"/>
  <c r="P80" i="21"/>
  <c r="O80" i="21"/>
  <c r="N80" i="21"/>
  <c r="M80" i="21"/>
  <c r="L80" i="21"/>
  <c r="K80" i="21"/>
  <c r="J80" i="21"/>
  <c r="I80" i="21"/>
  <c r="H80" i="21"/>
  <c r="G80" i="21"/>
  <c r="F80" i="21"/>
  <c r="E80" i="21"/>
  <c r="P77" i="21"/>
  <c r="O77" i="21"/>
  <c r="N77" i="21"/>
  <c r="M77" i="21"/>
  <c r="L77" i="21"/>
  <c r="K77" i="21"/>
  <c r="J77" i="21"/>
  <c r="I77" i="21"/>
  <c r="H77" i="21"/>
  <c r="G77" i="21"/>
  <c r="F77" i="21"/>
  <c r="E77" i="21"/>
  <c r="E71" i="21"/>
  <c r="P71" i="21"/>
  <c r="O71" i="21"/>
  <c r="N71" i="21"/>
  <c r="M71" i="21"/>
  <c r="L71" i="21"/>
  <c r="K71" i="21"/>
  <c r="J71" i="21"/>
  <c r="I71" i="21"/>
  <c r="H71" i="21"/>
  <c r="G71" i="21"/>
  <c r="F71" i="21"/>
  <c r="P57" i="21"/>
  <c r="O57" i="21"/>
  <c r="N57" i="21"/>
  <c r="M57" i="21"/>
  <c r="L57" i="21"/>
  <c r="K57" i="21"/>
  <c r="J57" i="21"/>
  <c r="I57" i="21"/>
  <c r="H57" i="21"/>
  <c r="G57" i="21"/>
  <c r="F57" i="21"/>
  <c r="E57" i="21"/>
  <c r="P56" i="21"/>
  <c r="O56" i="21"/>
  <c r="N56" i="21"/>
  <c r="M56" i="21"/>
  <c r="L56" i="21"/>
  <c r="K56" i="21"/>
  <c r="J56" i="21"/>
  <c r="I56" i="21"/>
  <c r="H56" i="21"/>
  <c r="G56" i="21"/>
  <c r="F56" i="21"/>
  <c r="E56" i="21"/>
  <c r="F55" i="21"/>
  <c r="G55" i="21"/>
  <c r="H55" i="21"/>
  <c r="I55" i="21"/>
  <c r="J55" i="21"/>
  <c r="K55" i="21"/>
  <c r="L55" i="21"/>
  <c r="M55" i="21"/>
  <c r="N55" i="21"/>
  <c r="O55" i="21"/>
  <c r="P55" i="21"/>
  <c r="E55" i="21"/>
  <c r="P50" i="21"/>
  <c r="O50" i="21"/>
  <c r="N50" i="21"/>
  <c r="M50" i="21"/>
  <c r="L50" i="21"/>
  <c r="K50" i="21"/>
  <c r="J50" i="21"/>
  <c r="I50" i="21"/>
  <c r="H50" i="21"/>
  <c r="G50" i="21"/>
  <c r="F50" i="21"/>
  <c r="E50" i="21"/>
  <c r="P49" i="21"/>
  <c r="O49" i="21"/>
  <c r="O48" i="21" s="1"/>
  <c r="N49" i="21"/>
  <c r="M49" i="21"/>
  <c r="L49" i="21"/>
  <c r="K49" i="21"/>
  <c r="K48" i="21" s="1"/>
  <c r="J49" i="21"/>
  <c r="I49" i="21"/>
  <c r="I48" i="21" s="1"/>
  <c r="H49" i="21"/>
  <c r="G49" i="21"/>
  <c r="G48" i="21" s="1"/>
  <c r="F49" i="21"/>
  <c r="E49" i="21"/>
  <c r="F48" i="21"/>
  <c r="H48" i="21"/>
  <c r="J48" i="21"/>
  <c r="L48" i="21"/>
  <c r="M48" i="21"/>
  <c r="N48" i="21"/>
  <c r="P48" i="21"/>
  <c r="E48" i="21"/>
  <c r="N36" i="21"/>
  <c r="M36" i="21"/>
  <c r="L36" i="21"/>
  <c r="K36" i="21"/>
  <c r="J36" i="21"/>
  <c r="I36" i="21"/>
  <c r="H36" i="21"/>
  <c r="H34" i="21" s="1"/>
  <c r="G36" i="21"/>
  <c r="F36" i="21"/>
  <c r="E36" i="21"/>
  <c r="P36" i="21"/>
  <c r="O36" i="21"/>
  <c r="P35" i="21"/>
  <c r="O35" i="21"/>
  <c r="N35" i="21"/>
  <c r="N34" i="21" s="1"/>
  <c r="M35" i="21"/>
  <c r="M34" i="21" s="1"/>
  <c r="L35" i="21"/>
  <c r="K35" i="21"/>
  <c r="J35" i="21"/>
  <c r="J34" i="21" s="1"/>
  <c r="I35" i="21"/>
  <c r="H35" i="21"/>
  <c r="G35" i="21"/>
  <c r="F35" i="21"/>
  <c r="F34" i="21" s="1"/>
  <c r="E35" i="21"/>
  <c r="P22" i="21"/>
  <c r="O22" i="21"/>
  <c r="N22" i="21"/>
  <c r="M22" i="21"/>
  <c r="L22" i="21"/>
  <c r="K22" i="21"/>
  <c r="J22" i="21"/>
  <c r="I22" i="21"/>
  <c r="H22" i="21"/>
  <c r="G22" i="21"/>
  <c r="F22" i="21"/>
  <c r="E22" i="21"/>
  <c r="P19" i="21"/>
  <c r="O19" i="21"/>
  <c r="N19" i="21"/>
  <c r="M19" i="21"/>
  <c r="L19" i="21"/>
  <c r="K19" i="21"/>
  <c r="J19" i="21"/>
  <c r="I19" i="21"/>
  <c r="H19" i="21"/>
  <c r="G19" i="21"/>
  <c r="F19" i="21"/>
  <c r="E19" i="21"/>
  <c r="P13" i="21"/>
  <c r="O13" i="21"/>
  <c r="N13" i="21"/>
  <c r="M13" i="21"/>
  <c r="L13" i="21"/>
  <c r="K13" i="21"/>
  <c r="J13" i="21"/>
  <c r="F13" i="21"/>
  <c r="I13" i="21"/>
  <c r="H13" i="21"/>
  <c r="G13" i="21"/>
  <c r="E13" i="21"/>
  <c r="E297" i="21"/>
  <c r="G297" i="21"/>
  <c r="I297" i="21"/>
  <c r="K297" i="21"/>
  <c r="M297" i="21"/>
  <c r="O297" i="21"/>
  <c r="Q297" i="21"/>
  <c r="E296" i="21"/>
  <c r="G296" i="21"/>
  <c r="I296" i="21"/>
  <c r="K296" i="21"/>
  <c r="M296" i="21"/>
  <c r="O296" i="21"/>
  <c r="Q296" i="21"/>
  <c r="D297" i="21"/>
  <c r="E294" i="21"/>
  <c r="I294" i="21"/>
  <c r="M294" i="21"/>
  <c r="Q294" i="21"/>
  <c r="C350" i="21"/>
  <c r="C345" i="21"/>
  <c r="C340" i="21"/>
  <c r="C335" i="21"/>
  <c r="C330" i="21"/>
  <c r="C325" i="21"/>
  <c r="C320" i="21"/>
  <c r="C315" i="21"/>
  <c r="C310" i="21"/>
  <c r="C305" i="21"/>
  <c r="C300" i="21"/>
  <c r="C295" i="21"/>
  <c r="E300" i="21"/>
  <c r="F300" i="21"/>
  <c r="G300" i="21"/>
  <c r="H300" i="21"/>
  <c r="I300" i="21"/>
  <c r="J300" i="21"/>
  <c r="K300" i="21"/>
  <c r="L300" i="21"/>
  <c r="M300" i="21"/>
  <c r="N300" i="21"/>
  <c r="O300" i="21"/>
  <c r="P300" i="21"/>
  <c r="Q300" i="21"/>
  <c r="R300" i="21"/>
  <c r="D300" i="21"/>
  <c r="D164" i="21" l="1"/>
  <c r="R305" i="21"/>
  <c r="N305" i="21"/>
  <c r="J305" i="21"/>
  <c r="F305" i="21"/>
  <c r="P305" i="21"/>
  <c r="P295" i="21" s="1"/>
  <c r="L305" i="21"/>
  <c r="L295" i="21" s="1"/>
  <c r="H305" i="21"/>
  <c r="D305" i="21"/>
  <c r="D295" i="21" s="1"/>
  <c r="U295" i="21" s="1"/>
  <c r="R295" i="21"/>
  <c r="N295" i="21"/>
  <c r="J295" i="21"/>
  <c r="F295" i="21"/>
  <c r="O295" i="21"/>
  <c r="K295" i="21"/>
  <c r="G295" i="21"/>
  <c r="H295" i="21"/>
  <c r="Q295" i="21"/>
  <c r="M295" i="21"/>
  <c r="I295" i="21"/>
  <c r="E295" i="21"/>
  <c r="L34" i="21"/>
  <c r="P34" i="21"/>
  <c r="K34" i="21"/>
  <c r="O34" i="21"/>
  <c r="E34" i="21"/>
  <c r="I34" i="21"/>
  <c r="G34" i="21"/>
  <c r="E33" i="84" l="1"/>
  <c r="D33" i="84"/>
  <c r="C33" i="84"/>
  <c r="E25" i="83"/>
  <c r="D25" i="83"/>
  <c r="E31" i="159"/>
  <c r="D31" i="159"/>
  <c r="C31" i="159"/>
  <c r="A34" i="70" l="1"/>
  <c r="A32" i="70"/>
  <c r="J3" i="70"/>
  <c r="O34" i="70"/>
  <c r="F17" i="70"/>
  <c r="F8" i="70" s="1"/>
  <c r="H11" i="70"/>
  <c r="I11" i="70"/>
  <c r="J11" i="70"/>
  <c r="K11" i="70"/>
  <c r="L11" i="70"/>
  <c r="M11" i="70"/>
  <c r="N11" i="70"/>
  <c r="O11" i="70"/>
  <c r="P11" i="70"/>
  <c r="Q11" i="70"/>
  <c r="R11" i="70"/>
  <c r="S11" i="70"/>
  <c r="F11" i="70"/>
  <c r="G10" i="70"/>
  <c r="G12" i="70"/>
  <c r="G13" i="70"/>
  <c r="T13" i="70" s="1"/>
  <c r="F31" i="159" s="1"/>
  <c r="G14" i="70"/>
  <c r="G15" i="70"/>
  <c r="G16" i="70"/>
  <c r="T16" i="70" s="1"/>
  <c r="G17" i="70"/>
  <c r="G18" i="70"/>
  <c r="G19" i="70"/>
  <c r="T19" i="70" s="1"/>
  <c r="G20" i="70"/>
  <c r="T20" i="70" s="1"/>
  <c r="G21" i="70"/>
  <c r="T21" i="70" s="1"/>
  <c r="G22" i="70"/>
  <c r="T22" i="70" s="1"/>
  <c r="G23" i="70"/>
  <c r="T23" i="70" s="1"/>
  <c r="G24" i="70"/>
  <c r="G25" i="70"/>
  <c r="T25" i="70" s="1"/>
  <c r="G26" i="70"/>
  <c r="T26" i="70" s="1"/>
  <c r="G27" i="70"/>
  <c r="T27" i="70" s="1"/>
  <c r="G28" i="70"/>
  <c r="T28" i="70" s="1"/>
  <c r="G29" i="70"/>
  <c r="T29" i="70" s="1"/>
  <c r="H8" i="70"/>
  <c r="I8" i="70"/>
  <c r="J8" i="70"/>
  <c r="K8" i="70"/>
  <c r="L8" i="70"/>
  <c r="M8" i="70"/>
  <c r="N8" i="70"/>
  <c r="O8" i="70"/>
  <c r="P8" i="70"/>
  <c r="Q8" i="70"/>
  <c r="R8" i="70"/>
  <c r="S8" i="70"/>
  <c r="E13" i="70"/>
  <c r="E8" i="70" s="1"/>
  <c r="D13" i="70"/>
  <c r="D8" i="70" s="1"/>
  <c r="T10" i="70" l="1"/>
  <c r="AJ33" i="174"/>
  <c r="T15" i="70"/>
  <c r="AQ33" i="174"/>
  <c r="AP33" i="174" s="1"/>
  <c r="F20" i="162"/>
  <c r="I13" i="124" s="1"/>
  <c r="T18" i="70"/>
  <c r="AD33" i="174"/>
  <c r="F36" i="66"/>
  <c r="T14" i="70"/>
  <c r="AN33" i="174"/>
  <c r="F25" i="83"/>
  <c r="T24" i="70"/>
  <c r="AC33" i="174"/>
  <c r="F37" i="78"/>
  <c r="T12" i="70"/>
  <c r="AH33" i="174"/>
  <c r="T17" i="70"/>
  <c r="AR33" i="174"/>
  <c r="G11" i="70"/>
  <c r="T11" i="70" l="1"/>
  <c r="AL33" i="174"/>
  <c r="G9" i="70"/>
  <c r="D5" i="70"/>
  <c r="AF33" i="174" l="1"/>
  <c r="AE33" i="174" s="1"/>
  <c r="F33" i="84"/>
  <c r="T9" i="70"/>
  <c r="G8" i="70"/>
  <c r="T8" i="70" s="1"/>
  <c r="I33" i="124"/>
  <c r="L33" i="124" s="1"/>
  <c r="F13" i="162" l="1"/>
  <c r="F12" i="162"/>
  <c r="E18" i="162"/>
  <c r="D32" i="124" l="1"/>
  <c r="G15" i="124"/>
  <c r="G19" i="124"/>
  <c r="G13" i="124" l="1"/>
  <c r="G12" i="124"/>
  <c r="G10" i="124"/>
  <c r="C18" i="162" l="1"/>
  <c r="B1" i="162"/>
  <c r="F4" i="162"/>
  <c r="D4" i="162"/>
  <c r="C4" i="162"/>
  <c r="G27" i="179"/>
  <c r="C27" i="179"/>
  <c r="F88" i="181" l="1"/>
  <c r="F87" i="181"/>
  <c r="F85" i="181"/>
  <c r="F84" i="181"/>
  <c r="F96" i="181" s="1"/>
  <c r="F95" i="181" s="1"/>
  <c r="F73" i="181"/>
  <c r="F72" i="181"/>
  <c r="F97" i="181" s="1"/>
  <c r="F98" i="181"/>
  <c r="AQ83" i="174" s="1"/>
  <c r="AP83" i="174" s="1"/>
  <c r="F99" i="181"/>
  <c r="F100" i="181" l="1"/>
  <c r="F94" i="100" l="1"/>
  <c r="F14" i="110" s="1"/>
  <c r="F1" i="110" s="1"/>
  <c r="E47" i="110"/>
  <c r="E46" i="110"/>
  <c r="E44" i="110"/>
  <c r="E43" i="110"/>
  <c r="E42" i="110"/>
  <c r="E30" i="110"/>
  <c r="E25" i="110"/>
  <c r="G4" i="81"/>
  <c r="H6" i="81"/>
  <c r="D6" i="81"/>
  <c r="I39" i="81"/>
  <c r="AH104" i="174" s="1"/>
  <c r="N57" i="66"/>
  <c r="F59" i="66"/>
  <c r="N59" i="66" s="1"/>
  <c r="F31" i="78"/>
  <c r="F56" i="159"/>
  <c r="F64" i="84"/>
  <c r="G45" i="88"/>
  <c r="C34" i="75"/>
  <c r="AF108" i="174" s="1"/>
  <c r="AE108" i="174" s="1"/>
  <c r="I34" i="75"/>
  <c r="AD108" i="174" s="1"/>
  <c r="D34" i="75"/>
  <c r="AH108" i="174" s="1"/>
  <c r="E34" i="75"/>
  <c r="AN108" i="174" s="1"/>
  <c r="I32" i="75"/>
  <c r="H32" i="75"/>
  <c r="F32" i="75"/>
  <c r="D32" i="75"/>
  <c r="F34" i="75"/>
  <c r="AQ108" i="174" s="1"/>
  <c r="AP108" i="174" s="1"/>
  <c r="H34" i="75"/>
  <c r="AC108" i="174" s="1"/>
  <c r="N34" i="75"/>
  <c r="Q6" i="179"/>
  <c r="P10" i="179"/>
  <c r="K3" i="179"/>
  <c r="L24" i="179"/>
  <c r="L23" i="179"/>
  <c r="N21" i="179"/>
  <c r="L22" i="179"/>
  <c r="M21" i="179"/>
  <c r="F21" i="179"/>
  <c r="E22" i="179"/>
  <c r="L39" i="179"/>
  <c r="L38" i="179"/>
  <c r="L37" i="179"/>
  <c r="L36" i="179"/>
  <c r="M36" i="179" s="1"/>
  <c r="I31" i="179"/>
  <c r="I30" i="179"/>
  <c r="I26" i="179"/>
  <c r="Q26" i="179" s="1"/>
  <c r="I25" i="179"/>
  <c r="Q25" i="179" s="1"/>
  <c r="H24" i="179"/>
  <c r="D24" i="179"/>
  <c r="H23" i="179"/>
  <c r="D23" i="179"/>
  <c r="J22" i="179"/>
  <c r="I22" i="179"/>
  <c r="H22" i="179" s="1"/>
  <c r="J21" i="179"/>
  <c r="J20" i="179"/>
  <c r="H20" i="179"/>
  <c r="F20" i="179"/>
  <c r="F17" i="179" s="1"/>
  <c r="E20" i="179"/>
  <c r="J19" i="179"/>
  <c r="H19" i="179" s="1"/>
  <c r="F19" i="179"/>
  <c r="F25" i="179" s="1"/>
  <c r="E19" i="179"/>
  <c r="E25" i="179" s="1"/>
  <c r="E33" i="179" s="1"/>
  <c r="H18" i="179"/>
  <c r="F18" i="179"/>
  <c r="E18" i="179"/>
  <c r="D18" i="179" s="1"/>
  <c r="I17" i="179"/>
  <c r="Q18" i="179" s="1"/>
  <c r="E17" i="179"/>
  <c r="J16" i="179"/>
  <c r="H16" i="179" s="1"/>
  <c r="D16" i="179"/>
  <c r="J15" i="179"/>
  <c r="H15" i="179" s="1"/>
  <c r="D15" i="179"/>
  <c r="H14" i="179"/>
  <c r="D14" i="179"/>
  <c r="J13" i="179"/>
  <c r="I13" i="179"/>
  <c r="Q14" i="179" s="1"/>
  <c r="F13" i="179"/>
  <c r="E13" i="179"/>
  <c r="P14" i="179" s="1"/>
  <c r="D13" i="179"/>
  <c r="D75" i="22" s="1"/>
  <c r="J12" i="179"/>
  <c r="H12" i="179" s="1"/>
  <c r="D12" i="179"/>
  <c r="J11" i="179"/>
  <c r="H11" i="179" s="1"/>
  <c r="D11" i="179"/>
  <c r="H10" i="179"/>
  <c r="D10" i="179"/>
  <c r="I9" i="179"/>
  <c r="Q10" i="179" s="1"/>
  <c r="F9" i="179"/>
  <c r="D9" i="179" s="1"/>
  <c r="D43" i="22" s="1"/>
  <c r="D32" i="22" s="1"/>
  <c r="E9" i="179"/>
  <c r="J8" i="179"/>
  <c r="J31" i="179" s="1"/>
  <c r="H8" i="179"/>
  <c r="D8" i="179"/>
  <c r="J7" i="179"/>
  <c r="D7" i="179"/>
  <c r="H6" i="179"/>
  <c r="D6" i="179"/>
  <c r="J5" i="179"/>
  <c r="I5" i="179"/>
  <c r="F5" i="179"/>
  <c r="E5" i="179"/>
  <c r="D5" i="179" s="1"/>
  <c r="D24" i="22" s="1"/>
  <c r="G3" i="179"/>
  <c r="C3" i="179"/>
  <c r="F26" i="179" l="1"/>
  <c r="H26" i="179"/>
  <c r="I27" i="179"/>
  <c r="D25" i="179"/>
  <c r="P25" i="179"/>
  <c r="D17" i="179"/>
  <c r="P6" i="179"/>
  <c r="AB108" i="174"/>
  <c r="AA108" i="174" s="1"/>
  <c r="J25" i="179"/>
  <c r="H13" i="179"/>
  <c r="E75" i="22" s="1"/>
  <c r="D19" i="179"/>
  <c r="D20" i="179"/>
  <c r="D26" i="179" s="1"/>
  <c r="I21" i="179"/>
  <c r="H21" i="179" s="1"/>
  <c r="P18" i="179"/>
  <c r="E63" i="110"/>
  <c r="L21" i="179"/>
  <c r="D22" i="179"/>
  <c r="F27" i="179"/>
  <c r="E21" i="179"/>
  <c r="D21" i="179" s="1"/>
  <c r="D27" i="179" s="1"/>
  <c r="H17" i="179"/>
  <c r="H5" i="179"/>
  <c r="E24" i="22" s="1"/>
  <c r="J9" i="179"/>
  <c r="J27" i="179" s="1"/>
  <c r="J17" i="179"/>
  <c r="E26" i="179"/>
  <c r="J26" i="179"/>
  <c r="J30" i="179"/>
  <c r="H7" i="179"/>
  <c r="H25" i="179" s="1"/>
  <c r="E27" i="179" l="1"/>
  <c r="I29" i="179"/>
  <c r="Q27" i="179"/>
  <c r="E34" i="179"/>
  <c r="P26" i="179"/>
  <c r="H9" i="179"/>
  <c r="H27" i="179" l="1"/>
  <c r="E43" i="22"/>
  <c r="E29" i="179"/>
  <c r="P27" i="179"/>
  <c r="D7" i="113"/>
  <c r="N22" i="89"/>
  <c r="N21" i="89"/>
  <c r="E38" i="88"/>
  <c r="E9" i="88"/>
  <c r="F74" i="84" s="1"/>
  <c r="E10" i="88"/>
  <c r="C8" i="117"/>
  <c r="C7" i="117"/>
  <c r="E32" i="88"/>
  <c r="E31" i="88"/>
  <c r="G52" i="88"/>
  <c r="E52" i="88"/>
  <c r="N20" i="89" l="1"/>
  <c r="F67" i="84"/>
  <c r="E21" i="87"/>
  <c r="D8" i="180"/>
  <c r="B11" i="180"/>
  <c r="B1" i="180"/>
  <c r="D14" i="180"/>
  <c r="B14" i="180"/>
  <c r="D11" i="180"/>
  <c r="C9" i="180"/>
  <c r="B3" i="180"/>
  <c r="AH77" i="174" l="1"/>
  <c r="AE77" i="174" s="1"/>
  <c r="AB77" i="174" s="1"/>
  <c r="AA77" i="174" s="1"/>
  <c r="D9" i="180"/>
  <c r="F69" i="159" s="1"/>
  <c r="G9" i="180"/>
  <c r="S58" i="171" l="1"/>
  <c r="Q58" i="171"/>
  <c r="O58" i="171"/>
  <c r="M58" i="171"/>
  <c r="S57" i="171"/>
  <c r="Q57" i="171"/>
  <c r="O57" i="171"/>
  <c r="M57" i="171"/>
  <c r="S56" i="171"/>
  <c r="Q56" i="171"/>
  <c r="O56" i="171"/>
  <c r="M56" i="171"/>
  <c r="S55" i="171"/>
  <c r="Q55" i="171"/>
  <c r="O55" i="171"/>
  <c r="M55" i="171"/>
  <c r="S54" i="171"/>
  <c r="Q54" i="171"/>
  <c r="O54" i="171"/>
  <c r="M54" i="171"/>
  <c r="S53" i="171"/>
  <c r="Q53" i="171"/>
  <c r="O53" i="171"/>
  <c r="M53" i="171"/>
  <c r="S52" i="171"/>
  <c r="Q52" i="171"/>
  <c r="O52" i="171"/>
  <c r="M52" i="171"/>
  <c r="S51" i="171"/>
  <c r="Q51" i="171"/>
  <c r="O51" i="171"/>
  <c r="M51" i="171"/>
  <c r="S50" i="171"/>
  <c r="Q50" i="171"/>
  <c r="O50" i="171"/>
  <c r="M50" i="171"/>
  <c r="S49" i="171"/>
  <c r="Q49" i="171"/>
  <c r="O49" i="171"/>
  <c r="M49" i="171"/>
  <c r="S48" i="171"/>
  <c r="R48" i="171"/>
  <c r="Q48" i="171"/>
  <c r="P48" i="171"/>
  <c r="O48" i="171"/>
  <c r="M48" i="171"/>
  <c r="S47" i="171"/>
  <c r="R47" i="171"/>
  <c r="Q47" i="171"/>
  <c r="P47" i="171"/>
  <c r="O47" i="171"/>
  <c r="N47" i="171"/>
  <c r="M47" i="171"/>
  <c r="L47" i="171"/>
  <c r="S46" i="171"/>
  <c r="R46" i="171"/>
  <c r="Q46" i="171"/>
  <c r="P46" i="171"/>
  <c r="O46" i="171"/>
  <c r="N46" i="171"/>
  <c r="M46" i="171"/>
  <c r="L46" i="171"/>
  <c r="S45" i="171"/>
  <c r="R45" i="171"/>
  <c r="Q45" i="171"/>
  <c r="P45" i="171"/>
  <c r="O45" i="171"/>
  <c r="N45" i="171"/>
  <c r="M45" i="171"/>
  <c r="L45" i="171"/>
  <c r="S44" i="171"/>
  <c r="R44" i="171"/>
  <c r="Q44" i="171"/>
  <c r="P44" i="171"/>
  <c r="O44" i="171"/>
  <c r="N44" i="171"/>
  <c r="M44" i="171"/>
  <c r="L44" i="171"/>
  <c r="S43" i="171"/>
  <c r="R43" i="171"/>
  <c r="Q43" i="171"/>
  <c r="P43" i="171"/>
  <c r="O43" i="171"/>
  <c r="N43" i="171"/>
  <c r="M43" i="171"/>
  <c r="L43" i="171"/>
  <c r="S42" i="171"/>
  <c r="R42" i="171"/>
  <c r="Q42" i="171"/>
  <c r="P42" i="171"/>
  <c r="O42" i="171"/>
  <c r="N42" i="171"/>
  <c r="M42" i="171"/>
  <c r="L42" i="171"/>
  <c r="S41" i="171"/>
  <c r="R41" i="171"/>
  <c r="Q41" i="171"/>
  <c r="P41" i="171"/>
  <c r="O41" i="171"/>
  <c r="N41" i="171"/>
  <c r="M41" i="171"/>
  <c r="L41" i="171"/>
  <c r="S40" i="171"/>
  <c r="R40" i="171"/>
  <c r="Q40" i="171"/>
  <c r="P40" i="171"/>
  <c r="O40" i="171"/>
  <c r="N40" i="171"/>
  <c r="M40" i="171"/>
  <c r="L40" i="171"/>
  <c r="S39" i="171"/>
  <c r="R39" i="171"/>
  <c r="Q39" i="171"/>
  <c r="P39" i="171"/>
  <c r="O39" i="171"/>
  <c r="N39" i="171"/>
  <c r="M39" i="171"/>
  <c r="L39" i="171"/>
  <c r="S38" i="171"/>
  <c r="R38" i="171"/>
  <c r="Q38" i="171"/>
  <c r="P38" i="171"/>
  <c r="O38" i="171"/>
  <c r="N38" i="171"/>
  <c r="M38" i="171"/>
  <c r="L38" i="171"/>
  <c r="S37" i="171"/>
  <c r="R37" i="171"/>
  <c r="Q37" i="171"/>
  <c r="P37" i="171"/>
  <c r="O37" i="171"/>
  <c r="N37" i="171"/>
  <c r="M37" i="171"/>
  <c r="L37" i="171"/>
  <c r="S36" i="171"/>
  <c r="R36" i="171"/>
  <c r="Q36" i="171"/>
  <c r="P36" i="171"/>
  <c r="O36" i="171"/>
  <c r="N36" i="171"/>
  <c r="M36" i="171"/>
  <c r="L36" i="171"/>
  <c r="S35" i="171"/>
  <c r="R35" i="171"/>
  <c r="Q35" i="171"/>
  <c r="P35" i="171"/>
  <c r="O35" i="171"/>
  <c r="N35" i="171"/>
  <c r="M35" i="171"/>
  <c r="L35" i="171"/>
  <c r="S34" i="171"/>
  <c r="R34" i="171"/>
  <c r="Q34" i="171"/>
  <c r="P34" i="171"/>
  <c r="O34" i="171"/>
  <c r="N34" i="171"/>
  <c r="M34" i="171"/>
  <c r="L34" i="171"/>
  <c r="S33" i="171"/>
  <c r="R33" i="171"/>
  <c r="Q33" i="171"/>
  <c r="P33" i="171"/>
  <c r="O33" i="171"/>
  <c r="N33" i="171"/>
  <c r="M33" i="171"/>
  <c r="L33" i="171"/>
  <c r="S32" i="171"/>
  <c r="R32" i="171"/>
  <c r="Q32" i="171"/>
  <c r="P32" i="171"/>
  <c r="O32" i="171"/>
  <c r="N32" i="171"/>
  <c r="M32" i="171"/>
  <c r="L32" i="171"/>
  <c r="S31" i="171"/>
  <c r="R31" i="171"/>
  <c r="Q31" i="171"/>
  <c r="P31" i="171"/>
  <c r="O31" i="171"/>
  <c r="N31" i="171"/>
  <c r="M31" i="171"/>
  <c r="L31" i="171"/>
  <c r="S30" i="171"/>
  <c r="R30" i="171"/>
  <c r="Q30" i="171"/>
  <c r="P30" i="171"/>
  <c r="O30" i="171"/>
  <c r="N30" i="171"/>
  <c r="M30" i="171"/>
  <c r="L30" i="171"/>
  <c r="S29" i="171"/>
  <c r="R29" i="171"/>
  <c r="Q29" i="171"/>
  <c r="P29" i="171"/>
  <c r="O29" i="171"/>
  <c r="N29" i="171"/>
  <c r="M29" i="171"/>
  <c r="L29" i="171"/>
  <c r="S28" i="171"/>
  <c r="R28" i="171"/>
  <c r="Q28" i="171"/>
  <c r="P28" i="171"/>
  <c r="O28" i="171"/>
  <c r="N28" i="171"/>
  <c r="M28" i="171"/>
  <c r="L28" i="171"/>
  <c r="S27" i="171"/>
  <c r="R27" i="171"/>
  <c r="Q27" i="171"/>
  <c r="P27" i="171"/>
  <c r="O27" i="171"/>
  <c r="N27" i="171"/>
  <c r="M27" i="171"/>
  <c r="L27" i="171"/>
  <c r="S26" i="171"/>
  <c r="R26" i="171"/>
  <c r="Q26" i="171"/>
  <c r="P26" i="171"/>
  <c r="O26" i="171"/>
  <c r="N26" i="171"/>
  <c r="M26" i="171"/>
  <c r="L26" i="171"/>
  <c r="S25" i="171"/>
  <c r="R25" i="171"/>
  <c r="Q25" i="171"/>
  <c r="P25" i="171"/>
  <c r="O25" i="171"/>
  <c r="N25" i="171"/>
  <c r="M25" i="171"/>
  <c r="L25" i="171"/>
  <c r="S24" i="171"/>
  <c r="R24" i="171"/>
  <c r="Q24" i="171"/>
  <c r="P24" i="171"/>
  <c r="O24" i="171"/>
  <c r="N24" i="171"/>
  <c r="M24" i="171"/>
  <c r="L24" i="171"/>
  <c r="S23" i="171"/>
  <c r="R23" i="171"/>
  <c r="Q23" i="171"/>
  <c r="P23" i="171"/>
  <c r="O23" i="171"/>
  <c r="N23" i="171"/>
  <c r="M23" i="171"/>
  <c r="L23" i="171"/>
  <c r="S22" i="171"/>
  <c r="R22" i="171"/>
  <c r="Q22" i="171"/>
  <c r="P22" i="171"/>
  <c r="O22" i="171"/>
  <c r="N22" i="171"/>
  <c r="M22" i="171"/>
  <c r="L22" i="171"/>
  <c r="S21" i="171"/>
  <c r="R21" i="171"/>
  <c r="Q21" i="171"/>
  <c r="P21" i="171"/>
  <c r="O21" i="171"/>
  <c r="N21" i="171"/>
  <c r="M21" i="171"/>
  <c r="L21" i="171"/>
  <c r="S20" i="171"/>
  <c r="R20" i="171"/>
  <c r="Q20" i="171"/>
  <c r="P20" i="171"/>
  <c r="O20" i="171"/>
  <c r="N20" i="171"/>
  <c r="M20" i="171"/>
  <c r="L20" i="171"/>
  <c r="S19" i="171"/>
  <c r="R19" i="171"/>
  <c r="Q19" i="171"/>
  <c r="P19" i="171"/>
  <c r="O19" i="171"/>
  <c r="N19" i="171"/>
  <c r="M19" i="171"/>
  <c r="L19" i="171"/>
  <c r="S18" i="171"/>
  <c r="R18" i="171"/>
  <c r="Q18" i="171"/>
  <c r="P18" i="171"/>
  <c r="O18" i="171"/>
  <c r="N18" i="171"/>
  <c r="M18" i="171"/>
  <c r="L18" i="171"/>
  <c r="S17" i="171"/>
  <c r="R17" i="171"/>
  <c r="Q17" i="171"/>
  <c r="P17" i="171"/>
  <c r="O17" i="171"/>
  <c r="N17" i="171"/>
  <c r="M17" i="171"/>
  <c r="L17" i="171"/>
  <c r="S16" i="171"/>
  <c r="R16" i="171"/>
  <c r="Q16" i="171"/>
  <c r="P16" i="171"/>
  <c r="O16" i="171"/>
  <c r="N16" i="171"/>
  <c r="M16" i="171"/>
  <c r="L16" i="171"/>
  <c r="S15" i="171"/>
  <c r="R15" i="171"/>
  <c r="Q15" i="171"/>
  <c r="P15" i="171"/>
  <c r="O15" i="171"/>
  <c r="N15" i="171"/>
  <c r="M15" i="171"/>
  <c r="L15" i="171"/>
  <c r="S14" i="171"/>
  <c r="R14" i="171"/>
  <c r="Q14" i="171"/>
  <c r="P14" i="171"/>
  <c r="O14" i="171"/>
  <c r="N14" i="171"/>
  <c r="M14" i="171"/>
  <c r="L14" i="171"/>
  <c r="S13" i="171"/>
  <c r="R13" i="171"/>
  <c r="Q13" i="171"/>
  <c r="P13" i="171"/>
  <c r="O13" i="171"/>
  <c r="N13" i="171"/>
  <c r="M13" i="171"/>
  <c r="L13" i="171"/>
  <c r="S12" i="171"/>
  <c r="R12" i="171"/>
  <c r="Q12" i="171"/>
  <c r="P12" i="171"/>
  <c r="O12" i="171"/>
  <c r="N12" i="171"/>
  <c r="M12" i="171"/>
  <c r="L12" i="171"/>
  <c r="S11" i="171"/>
  <c r="R11" i="171"/>
  <c r="Q11" i="171"/>
  <c r="P11" i="171"/>
  <c r="O11" i="171"/>
  <c r="N11" i="171"/>
  <c r="M11" i="171"/>
  <c r="L11" i="171"/>
  <c r="S10" i="171"/>
  <c r="R10" i="171"/>
  <c r="Q10" i="171"/>
  <c r="P10" i="171"/>
  <c r="O10" i="171"/>
  <c r="N10" i="171"/>
  <c r="M10" i="171"/>
  <c r="L10" i="171"/>
  <c r="S9" i="171"/>
  <c r="R9" i="171"/>
  <c r="Q9" i="171"/>
  <c r="P9" i="171"/>
  <c r="O9" i="171"/>
  <c r="N9" i="171"/>
  <c r="M9" i="171"/>
  <c r="L9" i="171"/>
  <c r="S8" i="171"/>
  <c r="R8" i="171"/>
  <c r="Q8" i="171"/>
  <c r="P8" i="171"/>
  <c r="O8" i="171"/>
  <c r="N8" i="171"/>
  <c r="M8" i="171"/>
  <c r="L8" i="171"/>
  <c r="S7" i="171"/>
  <c r="R7" i="171"/>
  <c r="Q7" i="171"/>
  <c r="P7" i="171"/>
  <c r="O7" i="171"/>
  <c r="N7" i="171"/>
  <c r="M7" i="171"/>
  <c r="L7" i="171"/>
  <c r="L7" i="84"/>
  <c r="F18" i="84"/>
  <c r="L9" i="69"/>
  <c r="K9" i="69"/>
  <c r="H1" i="68"/>
  <c r="J4" i="68"/>
  <c r="J5" i="68"/>
  <c r="J7" i="68"/>
  <c r="J6" i="68"/>
  <c r="J8" i="68" l="1"/>
  <c r="D33" i="75"/>
  <c r="E33" i="75"/>
  <c r="F33" i="75"/>
  <c r="G33" i="75"/>
  <c r="H33" i="75"/>
  <c r="I33" i="75"/>
  <c r="C33" i="75"/>
  <c r="E32" i="75"/>
  <c r="C32" i="75"/>
  <c r="J32" i="75" s="1"/>
  <c r="H40" i="63"/>
  <c r="H42" i="63" s="1"/>
  <c r="I40" i="63"/>
  <c r="I42" i="63" s="1"/>
  <c r="J40" i="63"/>
  <c r="K40" i="63"/>
  <c r="L40" i="63"/>
  <c r="G40" i="63"/>
  <c r="G42" i="63" s="1"/>
  <c r="L42" i="63"/>
  <c r="L45" i="63"/>
  <c r="L49" i="63"/>
  <c r="AD117" i="174" s="1"/>
  <c r="G49" i="63"/>
  <c r="AF117" i="174" s="1"/>
  <c r="F48" i="63"/>
  <c r="H47" i="63"/>
  <c r="F47" i="63" s="1"/>
  <c r="H46" i="63"/>
  <c r="F43" i="63"/>
  <c r="L44" i="63"/>
  <c r="F44" i="63"/>
  <c r="L41" i="63"/>
  <c r="K41" i="63"/>
  <c r="J41" i="63"/>
  <c r="J42" i="63" s="1"/>
  <c r="J45" i="63" s="1"/>
  <c r="I41" i="63"/>
  <c r="H41" i="63"/>
  <c r="G41" i="63"/>
  <c r="F41" i="63"/>
  <c r="F21" i="63"/>
  <c r="L13" i="63"/>
  <c r="K13" i="63"/>
  <c r="F14" i="63"/>
  <c r="J16" i="63"/>
  <c r="F12" i="63"/>
  <c r="F13" i="63" s="1"/>
  <c r="I45" i="63" l="1"/>
  <c r="I8" i="63"/>
  <c r="AN116" i="174" s="1"/>
  <c r="F16" i="63"/>
  <c r="J8" i="63"/>
  <c r="AQ116" i="174" s="1"/>
  <c r="AP116" i="174" s="1"/>
  <c r="AB116" i="174" s="1"/>
  <c r="G45" i="63"/>
  <c r="G8" i="63"/>
  <c r="AF116" i="174" s="1"/>
  <c r="H45" i="63"/>
  <c r="F45" i="63" s="1"/>
  <c r="H8" i="63"/>
  <c r="AH116" i="174" s="1"/>
  <c r="K42" i="63"/>
  <c r="K45" i="63" s="1"/>
  <c r="L8" i="63"/>
  <c r="AD116" i="174" s="1"/>
  <c r="H49" i="63"/>
  <c r="J33" i="75"/>
  <c r="F40" i="63"/>
  <c r="M42" i="63" s="1"/>
  <c r="AF18" i="174"/>
  <c r="AE18" i="174" s="1"/>
  <c r="F42" i="63" l="1"/>
  <c r="F49" i="63"/>
  <c r="AH117" i="174"/>
  <c r="AE117" i="174" s="1"/>
  <c r="AB117" i="174" s="1"/>
  <c r="AA117" i="174" s="1"/>
  <c r="K8" i="63"/>
  <c r="AC116" i="174" s="1"/>
  <c r="AA116" i="174" s="1"/>
  <c r="D161" i="21"/>
  <c r="D132" i="21"/>
  <c r="D107" i="21"/>
  <c r="P170" i="21"/>
  <c r="O170" i="21"/>
  <c r="N170" i="21"/>
  <c r="M170" i="21"/>
  <c r="L170" i="21"/>
  <c r="K170" i="21"/>
  <c r="J170" i="21"/>
  <c r="I170" i="21"/>
  <c r="H170" i="21"/>
  <c r="G170" i="21"/>
  <c r="F170" i="21"/>
  <c r="E170" i="21"/>
  <c r="D170" i="21"/>
  <c r="P158" i="21"/>
  <c r="O158" i="21"/>
  <c r="N158" i="21"/>
  <c r="M158" i="21"/>
  <c r="L158" i="21"/>
  <c r="K158" i="21"/>
  <c r="J158" i="21"/>
  <c r="I158" i="21"/>
  <c r="H158" i="21"/>
  <c r="G158" i="21"/>
  <c r="F158" i="21"/>
  <c r="E158" i="21"/>
  <c r="D154" i="21"/>
  <c r="D158" i="21" s="1"/>
  <c r="P152" i="21"/>
  <c r="P153" i="21" s="1"/>
  <c r="O152" i="21"/>
  <c r="O153" i="21" s="1"/>
  <c r="N152" i="21"/>
  <c r="N153" i="21" s="1"/>
  <c r="M152" i="21"/>
  <c r="M153" i="21" s="1"/>
  <c r="L152" i="21"/>
  <c r="L153" i="21" s="1"/>
  <c r="K152" i="21"/>
  <c r="K153" i="21" s="1"/>
  <c r="J152" i="21"/>
  <c r="J153" i="21" s="1"/>
  <c r="I152" i="21"/>
  <c r="I153" i="21" s="1"/>
  <c r="H152" i="21"/>
  <c r="H153" i="21" s="1"/>
  <c r="G152" i="21"/>
  <c r="G153" i="21" s="1"/>
  <c r="F152" i="21"/>
  <c r="F153" i="21" s="1"/>
  <c r="E152" i="21"/>
  <c r="E153" i="21" s="1"/>
  <c r="D152" i="21"/>
  <c r="E196" i="21"/>
  <c r="F196" i="21"/>
  <c r="G196" i="21"/>
  <c r="H196" i="21"/>
  <c r="I196" i="21"/>
  <c r="J196" i="21"/>
  <c r="K196" i="21"/>
  <c r="L196" i="21"/>
  <c r="M196" i="21"/>
  <c r="N196" i="21"/>
  <c r="O196" i="21"/>
  <c r="P196" i="21"/>
  <c r="P141" i="21"/>
  <c r="O141" i="21"/>
  <c r="N141" i="21"/>
  <c r="M141" i="21"/>
  <c r="L141" i="21"/>
  <c r="K141" i="21"/>
  <c r="J141" i="21"/>
  <c r="I141" i="21"/>
  <c r="H141" i="21"/>
  <c r="G141" i="21"/>
  <c r="F141" i="21"/>
  <c r="E141" i="21"/>
  <c r="D141" i="21"/>
  <c r="P129" i="21"/>
  <c r="O129" i="21"/>
  <c r="N129" i="21"/>
  <c r="L129" i="21"/>
  <c r="K129" i="21"/>
  <c r="J129" i="21"/>
  <c r="H129" i="21"/>
  <c r="G129" i="21"/>
  <c r="F129" i="21"/>
  <c r="P123" i="21"/>
  <c r="O123" i="21"/>
  <c r="N123" i="21"/>
  <c r="M123" i="21"/>
  <c r="L123" i="21"/>
  <c r="K123" i="21"/>
  <c r="J123" i="21"/>
  <c r="I123" i="21"/>
  <c r="H123" i="21"/>
  <c r="G123" i="21"/>
  <c r="F123" i="21"/>
  <c r="E123" i="21"/>
  <c r="D123" i="21"/>
  <c r="E207" i="21"/>
  <c r="F207" i="21"/>
  <c r="G207" i="21"/>
  <c r="H207" i="21"/>
  <c r="I207" i="21"/>
  <c r="J207" i="21"/>
  <c r="K207" i="21"/>
  <c r="L207" i="21"/>
  <c r="M207" i="21"/>
  <c r="N207" i="21"/>
  <c r="O207" i="21"/>
  <c r="P207" i="21"/>
  <c r="E206" i="21"/>
  <c r="F206" i="21"/>
  <c r="G206" i="21"/>
  <c r="H206" i="21"/>
  <c r="I206" i="21"/>
  <c r="J206" i="21"/>
  <c r="K206" i="21"/>
  <c r="L206" i="21"/>
  <c r="M206" i="21"/>
  <c r="N206" i="21"/>
  <c r="O206" i="21"/>
  <c r="P206" i="21"/>
  <c r="E205" i="21"/>
  <c r="F205" i="21"/>
  <c r="G205" i="21"/>
  <c r="H205" i="21"/>
  <c r="I205" i="21"/>
  <c r="J205" i="21"/>
  <c r="K205" i="21"/>
  <c r="L205" i="21"/>
  <c r="M205" i="21"/>
  <c r="N205" i="21"/>
  <c r="O205" i="21"/>
  <c r="P205" i="21"/>
  <c r="E195" i="21"/>
  <c r="F195" i="21"/>
  <c r="G195" i="21"/>
  <c r="H195" i="21"/>
  <c r="I195" i="21"/>
  <c r="J195" i="21"/>
  <c r="K195" i="21"/>
  <c r="L195" i="21"/>
  <c r="M195" i="21"/>
  <c r="N195" i="21"/>
  <c r="O195" i="21"/>
  <c r="P195" i="21"/>
  <c r="E194" i="21"/>
  <c r="F194" i="21"/>
  <c r="G194" i="21"/>
  <c r="H194" i="21"/>
  <c r="I194" i="21"/>
  <c r="J194" i="21"/>
  <c r="K194" i="21"/>
  <c r="L194" i="21"/>
  <c r="M194" i="21"/>
  <c r="N194" i="21"/>
  <c r="O194" i="21"/>
  <c r="P194" i="21"/>
  <c r="E193" i="21"/>
  <c r="F193" i="21"/>
  <c r="G193" i="21"/>
  <c r="H193" i="21"/>
  <c r="I193" i="21"/>
  <c r="J193" i="21"/>
  <c r="K193" i="21"/>
  <c r="L193" i="21"/>
  <c r="M193" i="21"/>
  <c r="N193" i="21"/>
  <c r="O193" i="21"/>
  <c r="P193" i="21"/>
  <c r="E216" i="21"/>
  <c r="F216" i="21"/>
  <c r="G216" i="21"/>
  <c r="H216" i="21"/>
  <c r="I216" i="21"/>
  <c r="J216" i="21"/>
  <c r="K216" i="21"/>
  <c r="L216" i="21"/>
  <c r="M216" i="21"/>
  <c r="N216" i="21"/>
  <c r="O216" i="21"/>
  <c r="P216" i="21"/>
  <c r="E204" i="21"/>
  <c r="F204" i="21"/>
  <c r="G204" i="21"/>
  <c r="H204" i="21"/>
  <c r="I204" i="21"/>
  <c r="J204" i="21"/>
  <c r="K204" i="21"/>
  <c r="L204" i="21"/>
  <c r="M204" i="21"/>
  <c r="N204" i="21"/>
  <c r="O204" i="21"/>
  <c r="P204" i="21"/>
  <c r="E203" i="21"/>
  <c r="F203" i="21"/>
  <c r="G203" i="21"/>
  <c r="H203" i="21"/>
  <c r="I203" i="21"/>
  <c r="J203" i="21"/>
  <c r="K203" i="21"/>
  <c r="L203" i="21"/>
  <c r="M203" i="21"/>
  <c r="N203" i="21"/>
  <c r="O203" i="21"/>
  <c r="P203" i="21"/>
  <c r="E202" i="21"/>
  <c r="F202" i="21"/>
  <c r="G202" i="21"/>
  <c r="H202" i="21"/>
  <c r="I202" i="21"/>
  <c r="J202" i="21"/>
  <c r="K202" i="21"/>
  <c r="L202" i="21"/>
  <c r="M202" i="21"/>
  <c r="N202" i="21"/>
  <c r="O202" i="21"/>
  <c r="P202" i="21"/>
  <c r="E215" i="21"/>
  <c r="F215" i="21"/>
  <c r="G215" i="21"/>
  <c r="H215" i="21"/>
  <c r="I215" i="21"/>
  <c r="J215" i="21"/>
  <c r="K215" i="21"/>
  <c r="L215" i="21"/>
  <c r="M215" i="21"/>
  <c r="N215" i="21"/>
  <c r="O215" i="21"/>
  <c r="P215" i="21"/>
  <c r="E214" i="21"/>
  <c r="F214" i="21"/>
  <c r="G214" i="21"/>
  <c r="H214" i="21"/>
  <c r="I214" i="21"/>
  <c r="J214" i="21"/>
  <c r="K214" i="21"/>
  <c r="L214" i="21"/>
  <c r="M214" i="21"/>
  <c r="N214" i="21"/>
  <c r="O214" i="21"/>
  <c r="P214" i="21"/>
  <c r="E212" i="21"/>
  <c r="F212" i="21"/>
  <c r="G212" i="21"/>
  <c r="H212" i="21"/>
  <c r="I212" i="21"/>
  <c r="J212" i="21"/>
  <c r="K212" i="21"/>
  <c r="L212" i="21"/>
  <c r="M212" i="21"/>
  <c r="N212" i="21"/>
  <c r="O212" i="21"/>
  <c r="P212" i="21"/>
  <c r="D50" i="21"/>
  <c r="D203" i="21" s="1"/>
  <c r="D49" i="21"/>
  <c r="D202" i="21" s="1"/>
  <c r="C200" i="21"/>
  <c r="E200" i="21"/>
  <c r="F200" i="21"/>
  <c r="G200" i="21"/>
  <c r="H200" i="21"/>
  <c r="I200" i="21"/>
  <c r="J200" i="21"/>
  <c r="K200" i="21"/>
  <c r="L200" i="21"/>
  <c r="M200" i="21"/>
  <c r="N200" i="21"/>
  <c r="O200" i="21"/>
  <c r="P200" i="21"/>
  <c r="P280" i="21"/>
  <c r="O280" i="21"/>
  <c r="N280" i="21"/>
  <c r="M280" i="21"/>
  <c r="L280" i="21"/>
  <c r="K280" i="21"/>
  <c r="J280" i="21"/>
  <c r="I280" i="21"/>
  <c r="H280" i="21"/>
  <c r="G280" i="21"/>
  <c r="F280" i="21"/>
  <c r="E280" i="21"/>
  <c r="D280" i="21"/>
  <c r="D153" i="21" l="1"/>
  <c r="H124" i="21"/>
  <c r="P124" i="21"/>
  <c r="E124" i="21"/>
  <c r="I124" i="21"/>
  <c r="M124" i="21"/>
  <c r="L124" i="21"/>
  <c r="F124" i="21"/>
  <c r="J124" i="21"/>
  <c r="N124" i="21"/>
  <c r="E129" i="21"/>
  <c r="I129" i="21"/>
  <c r="M129" i="21"/>
  <c r="G124" i="21"/>
  <c r="K124" i="21"/>
  <c r="O124" i="21"/>
  <c r="D125" i="21"/>
  <c r="D196" i="21" s="1"/>
  <c r="D48" i="21"/>
  <c r="D129" i="21" l="1"/>
  <c r="D124" i="21"/>
  <c r="D201" i="21"/>
  <c r="AA264" i="174" l="1"/>
  <c r="AA265" i="174"/>
  <c r="AA266" i="174"/>
  <c r="AA267" i="174"/>
  <c r="AA268" i="174"/>
  <c r="AA269" i="174"/>
  <c r="AA270" i="174"/>
  <c r="AA271" i="174"/>
  <c r="AA272" i="174"/>
  <c r="AA273" i="174"/>
  <c r="AA274" i="174"/>
  <c r="AA275" i="174"/>
  <c r="AA276" i="174"/>
  <c r="AA277" i="174"/>
  <c r="AA278" i="174"/>
  <c r="AA279" i="174"/>
  <c r="AA280" i="174"/>
  <c r="AA281" i="174"/>
  <c r="AA282" i="174"/>
  <c r="AA283" i="174"/>
  <c r="AA284" i="174"/>
  <c r="AA285" i="174"/>
  <c r="AA286" i="174"/>
  <c r="AA287" i="174"/>
  <c r="AA288" i="174"/>
  <c r="AA289" i="174"/>
  <c r="AA290" i="174"/>
  <c r="AA291" i="174"/>
  <c r="AA292" i="174"/>
  <c r="AA293" i="174"/>
  <c r="AA294" i="174"/>
  <c r="AA295" i="174"/>
  <c r="AA296" i="174"/>
  <c r="AA297" i="174"/>
  <c r="AA298" i="174"/>
  <c r="AA299" i="174"/>
  <c r="AA300" i="174"/>
  <c r="AA301" i="174"/>
  <c r="AA302" i="174"/>
  <c r="AA303" i="174"/>
  <c r="AA304" i="174"/>
  <c r="AA305" i="174"/>
  <c r="AA156" i="174"/>
  <c r="AA157" i="174"/>
  <c r="AB158" i="174"/>
  <c r="AA158" i="174" s="1"/>
  <c r="AB159" i="174"/>
  <c r="AA159" i="174" s="1"/>
  <c r="AB160" i="174"/>
  <c r="AA160" i="174" s="1"/>
  <c r="AB161" i="174"/>
  <c r="AA161" i="174" s="1"/>
  <c r="AB162" i="174"/>
  <c r="AA162" i="174" s="1"/>
  <c r="AB163" i="174"/>
  <c r="AA163" i="174" s="1"/>
  <c r="AB164" i="174"/>
  <c r="AA164" i="174" s="1"/>
  <c r="AB165" i="174"/>
  <c r="AA165" i="174" s="1"/>
  <c r="AB166" i="174"/>
  <c r="AA166" i="174" s="1"/>
  <c r="AB167" i="174"/>
  <c r="AA167" i="174" s="1"/>
  <c r="AB168" i="174"/>
  <c r="AA168" i="174" s="1"/>
  <c r="AB169" i="174"/>
  <c r="AA169" i="174" s="1"/>
  <c r="AB170" i="174"/>
  <c r="AA170" i="174" s="1"/>
  <c r="AB171" i="174"/>
  <c r="AA171" i="174" s="1"/>
  <c r="AB172" i="174"/>
  <c r="AA172" i="174" s="1"/>
  <c r="AB173" i="174"/>
  <c r="AA173" i="174" s="1"/>
  <c r="AB174" i="174"/>
  <c r="AA174" i="174" s="1"/>
  <c r="AB175" i="174"/>
  <c r="AA175" i="174" s="1"/>
  <c r="AB176" i="174"/>
  <c r="AA176" i="174" s="1"/>
  <c r="AB177" i="174"/>
  <c r="AA177" i="174" s="1"/>
  <c r="AB178" i="174"/>
  <c r="AA178" i="174" s="1"/>
  <c r="AB179" i="174"/>
  <c r="AA179" i="174" s="1"/>
  <c r="AB180" i="174"/>
  <c r="AA180" i="174" s="1"/>
  <c r="AB181" i="174"/>
  <c r="AA181" i="174" s="1"/>
  <c r="AB182" i="174"/>
  <c r="AA182" i="174" s="1"/>
  <c r="AB183" i="174"/>
  <c r="AA183" i="174" s="1"/>
  <c r="AB184" i="174"/>
  <c r="AA184" i="174" s="1"/>
  <c r="AB185" i="174"/>
  <c r="AA185" i="174" s="1"/>
  <c r="AB186" i="174"/>
  <c r="AA186" i="174" s="1"/>
  <c r="AB187" i="174"/>
  <c r="AA187" i="174" s="1"/>
  <c r="AB188" i="174"/>
  <c r="AA188" i="174" s="1"/>
  <c r="AB189" i="174"/>
  <c r="AA189" i="174" s="1"/>
  <c r="AB190" i="174"/>
  <c r="AA190" i="174" s="1"/>
  <c r="AB191" i="174"/>
  <c r="AA191" i="174" s="1"/>
  <c r="AB192" i="174"/>
  <c r="AA192" i="174" s="1"/>
  <c r="AB193" i="174"/>
  <c r="AA193" i="174" s="1"/>
  <c r="AB194" i="174"/>
  <c r="AA194" i="174" s="1"/>
  <c r="AB195" i="174"/>
  <c r="AA195" i="174" s="1"/>
  <c r="AB196" i="174"/>
  <c r="AA196" i="174" s="1"/>
  <c r="AB197" i="174"/>
  <c r="AA197" i="174" s="1"/>
  <c r="AB198" i="174"/>
  <c r="AA198" i="174" s="1"/>
  <c r="AB199" i="174"/>
  <c r="AA199" i="174" s="1"/>
  <c r="AB200" i="174"/>
  <c r="AA200" i="174" s="1"/>
  <c r="AB201" i="174"/>
  <c r="AA201" i="174" s="1"/>
  <c r="AB202" i="174"/>
  <c r="AA202" i="174" s="1"/>
  <c r="AB203" i="174"/>
  <c r="AA203" i="174" s="1"/>
  <c r="AB204" i="174"/>
  <c r="AA204" i="174" s="1"/>
  <c r="AB205" i="174"/>
  <c r="AA205" i="174" s="1"/>
  <c r="AB206" i="174"/>
  <c r="AA206" i="174" s="1"/>
  <c r="AB207" i="174"/>
  <c r="AA207" i="174" s="1"/>
  <c r="AB208" i="174"/>
  <c r="AA208" i="174" s="1"/>
  <c r="AB209" i="174"/>
  <c r="AA209" i="174" s="1"/>
  <c r="AB210" i="174"/>
  <c r="AA210" i="174" s="1"/>
  <c r="AB211" i="174"/>
  <c r="AA211" i="174" s="1"/>
  <c r="AB212" i="174"/>
  <c r="AA212" i="174" s="1"/>
  <c r="AB213" i="174"/>
  <c r="AA213" i="174" s="1"/>
  <c r="AB214" i="174"/>
  <c r="AA214" i="174" s="1"/>
  <c r="AB215" i="174"/>
  <c r="AA215" i="174" s="1"/>
  <c r="AB216" i="174"/>
  <c r="AA216" i="174" s="1"/>
  <c r="AB217" i="174"/>
  <c r="AA217" i="174" s="1"/>
  <c r="AB218" i="174"/>
  <c r="AA218" i="174" s="1"/>
  <c r="AB219" i="174"/>
  <c r="AA219" i="174" s="1"/>
  <c r="AB220" i="174"/>
  <c r="AA220" i="174" s="1"/>
  <c r="AB221" i="174"/>
  <c r="AA221" i="174" s="1"/>
  <c r="AB222" i="174"/>
  <c r="AA222" i="174" s="1"/>
  <c r="AB223" i="174"/>
  <c r="AA223" i="174" s="1"/>
  <c r="AB224" i="174"/>
  <c r="AA224" i="174" s="1"/>
  <c r="AB225" i="174"/>
  <c r="AA225" i="174" s="1"/>
  <c r="AB226" i="174"/>
  <c r="AA226" i="174" s="1"/>
  <c r="AB227" i="174"/>
  <c r="AA227" i="174" s="1"/>
  <c r="AB228" i="174"/>
  <c r="AA228" i="174" s="1"/>
  <c r="AB229" i="174"/>
  <c r="AA229" i="174" s="1"/>
  <c r="AB230" i="174"/>
  <c r="AA230" i="174" s="1"/>
  <c r="AB231" i="174"/>
  <c r="AA231" i="174" s="1"/>
  <c r="AB232" i="174"/>
  <c r="AA232" i="174" s="1"/>
  <c r="AB233" i="174"/>
  <c r="AA233" i="174" s="1"/>
  <c r="AB234" i="174"/>
  <c r="AA234" i="174" s="1"/>
  <c r="AB235" i="174"/>
  <c r="AA235" i="174" s="1"/>
  <c r="AB236" i="174"/>
  <c r="AA236" i="174" s="1"/>
  <c r="AB237" i="174"/>
  <c r="AA237" i="174" s="1"/>
  <c r="AB238" i="174"/>
  <c r="AA238" i="174" s="1"/>
  <c r="AB239" i="174"/>
  <c r="AA239" i="174" s="1"/>
  <c r="AB240" i="174"/>
  <c r="AA240" i="174" s="1"/>
  <c r="AB241" i="174"/>
  <c r="AA241" i="174" s="1"/>
  <c r="AB242" i="174"/>
  <c r="AA242" i="174" s="1"/>
  <c r="AB243" i="174"/>
  <c r="AA243" i="174" s="1"/>
  <c r="AB244" i="174"/>
  <c r="AA244" i="174" s="1"/>
  <c r="AB245" i="174"/>
  <c r="AA245" i="174" s="1"/>
  <c r="AB246" i="174"/>
  <c r="AA246" i="174" s="1"/>
  <c r="AB247" i="174"/>
  <c r="AA247" i="174" s="1"/>
  <c r="AB248" i="174"/>
  <c r="AA248" i="174" s="1"/>
  <c r="AB249" i="174"/>
  <c r="AA249" i="174" s="1"/>
  <c r="AB250" i="174"/>
  <c r="AA250" i="174" s="1"/>
  <c r="AB251" i="174"/>
  <c r="AA251" i="174" s="1"/>
  <c r="AB252" i="174"/>
  <c r="AA252" i="174" s="1"/>
  <c r="AB253" i="174"/>
  <c r="AA253" i="174" s="1"/>
  <c r="AB254" i="174"/>
  <c r="AA254" i="174" s="1"/>
  <c r="AB255" i="174"/>
  <c r="AA255" i="174" s="1"/>
  <c r="AB256" i="174"/>
  <c r="AA256" i="174" s="1"/>
  <c r="AB257" i="174"/>
  <c r="AA257" i="174" s="1"/>
  <c r="AB258" i="174"/>
  <c r="AA258" i="174" s="1"/>
  <c r="AB259" i="174"/>
  <c r="AA259" i="174" s="1"/>
  <c r="AB260" i="174"/>
  <c r="AA260" i="174" s="1"/>
  <c r="AB261" i="174"/>
  <c r="AA261" i="174" s="1"/>
  <c r="AB262" i="174"/>
  <c r="AA262" i="174" s="1"/>
  <c r="AB263" i="174"/>
  <c r="AA263" i="174" s="1"/>
  <c r="AE11" i="174"/>
  <c r="AB17" i="174"/>
  <c r="AA17" i="174" s="1"/>
  <c r="AB18" i="174"/>
  <c r="AA18" i="174" s="1"/>
  <c r="AB27" i="174"/>
  <c r="AA27" i="174" s="1"/>
  <c r="AB28" i="174"/>
  <c r="AA28" i="174" s="1"/>
  <c r="AB31" i="174"/>
  <c r="AA31" i="174" s="1"/>
  <c r="AB33" i="174"/>
  <c r="AA33" i="174" s="1"/>
  <c r="BM33" i="174" s="1"/>
  <c r="AB34" i="174"/>
  <c r="AA34" i="174" s="1"/>
  <c r="AB37" i="174"/>
  <c r="AA37" i="174" s="1"/>
  <c r="AP11" i="174"/>
  <c r="F41" i="88"/>
  <c r="L12" i="123"/>
  <c r="G12" i="123" s="1"/>
  <c r="J3" i="123"/>
  <c r="I3" i="123"/>
  <c r="F3" i="123"/>
  <c r="E3" i="123"/>
  <c r="D3" i="123"/>
  <c r="AN115" i="174" s="1"/>
  <c r="B3" i="123"/>
  <c r="AF115" i="174" s="1"/>
  <c r="K7" i="123" l="1"/>
  <c r="K11" i="123"/>
  <c r="K16" i="123"/>
  <c r="K8" i="123"/>
  <c r="K13" i="123"/>
  <c r="K4" i="123"/>
  <c r="K15" i="123"/>
  <c r="K5" i="123"/>
  <c r="K9" i="123"/>
  <c r="K14" i="123"/>
  <c r="K6" i="123"/>
  <c r="K10" i="123"/>
  <c r="AQ115" i="174"/>
  <c r="AP115" i="174" s="1"/>
  <c r="F30" i="162"/>
  <c r="AB11" i="174"/>
  <c r="AA11" i="174" s="1"/>
  <c r="L10" i="77" l="1"/>
  <c r="D71" i="24" l="1"/>
  <c r="AQ25" i="174" l="1"/>
  <c r="AP25" i="174" s="1"/>
  <c r="AQ21" i="174"/>
  <c r="AP21" i="174" s="1"/>
  <c r="AQ20" i="174"/>
  <c r="AP20" i="174" s="1"/>
  <c r="AQ24" i="174"/>
  <c r="AP24" i="174" s="1"/>
  <c r="AQ26" i="174"/>
  <c r="AP26" i="174" s="1"/>
  <c r="F33" i="162"/>
  <c r="J57" i="89"/>
  <c r="J56" i="89"/>
  <c r="J55" i="89"/>
  <c r="J54" i="89"/>
  <c r="J53" i="89"/>
  <c r="J52" i="89"/>
  <c r="J51" i="89"/>
  <c r="J50" i="89"/>
  <c r="J44" i="89"/>
  <c r="J45" i="89" s="1"/>
  <c r="A1" i="123"/>
  <c r="N4" i="89"/>
  <c r="N3" i="89"/>
  <c r="N14" i="89"/>
  <c r="N9" i="89"/>
  <c r="N13" i="89"/>
  <c r="N8" i="89"/>
  <c r="J16" i="89"/>
  <c r="J34" i="89" s="1"/>
  <c r="G3" i="89"/>
  <c r="C13" i="113"/>
  <c r="C7" i="113"/>
  <c r="C8" i="113"/>
  <c r="C9" i="113"/>
  <c r="C10" i="113"/>
  <c r="C11" i="113"/>
  <c r="C16" i="113"/>
  <c r="L12" i="113"/>
  <c r="E12" i="113"/>
  <c r="K12" i="113"/>
  <c r="G12" i="113"/>
  <c r="F47" i="84" l="1"/>
  <c r="N27" i="89"/>
  <c r="J58" i="89"/>
  <c r="N12" i="89"/>
  <c r="N7" i="89"/>
  <c r="C46" i="178"/>
  <c r="D41" i="178"/>
  <c r="A1" i="119"/>
  <c r="H25" i="24"/>
  <c r="H23" i="24"/>
  <c r="H22" i="24"/>
  <c r="H21" i="24"/>
  <c r="J22" i="24"/>
  <c r="N28" i="89" l="1"/>
  <c r="F53" i="159"/>
  <c r="AF83" i="174"/>
  <c r="H96" i="181"/>
  <c r="N26" i="89"/>
  <c r="B2" i="117"/>
  <c r="A3" i="118"/>
  <c r="H13" i="118"/>
  <c r="D197" i="21"/>
  <c r="D198" i="21"/>
  <c r="AH83" i="174" l="1"/>
  <c r="AE83" i="174" s="1"/>
  <c r="AB83" i="174" s="1"/>
  <c r="AA83" i="174" s="1"/>
  <c r="H97" i="181"/>
  <c r="H95" i="181" s="1"/>
  <c r="D56" i="21"/>
  <c r="D214" i="21" s="1"/>
  <c r="D57" i="21"/>
  <c r="D215" i="21" s="1"/>
  <c r="F213" i="21"/>
  <c r="G213" i="21"/>
  <c r="H213" i="21"/>
  <c r="I213" i="21"/>
  <c r="J213" i="21"/>
  <c r="K213" i="21"/>
  <c r="L213" i="21"/>
  <c r="M213" i="21"/>
  <c r="N213" i="21"/>
  <c r="O213" i="21"/>
  <c r="P213" i="21"/>
  <c r="D116" i="21"/>
  <c r="D80" i="21"/>
  <c r="D216" i="21" s="1"/>
  <c r="D77" i="21"/>
  <c r="D204" i="21" s="1"/>
  <c r="F201" i="21"/>
  <c r="G201" i="21"/>
  <c r="H201" i="21"/>
  <c r="I201" i="21"/>
  <c r="J201" i="21"/>
  <c r="K201" i="21"/>
  <c r="L201" i="21"/>
  <c r="M201" i="21"/>
  <c r="N201" i="21"/>
  <c r="O201" i="21"/>
  <c r="P201" i="21"/>
  <c r="E201" i="21"/>
  <c r="D205" i="21" l="1"/>
  <c r="D206" i="21"/>
  <c r="D207" i="21"/>
  <c r="D55" i="21"/>
  <c r="D213" i="21" s="1"/>
  <c r="E213" i="21"/>
  <c r="D36" i="102" l="1"/>
  <c r="D35" i="102"/>
  <c r="D19" i="102"/>
  <c r="D18" i="102"/>
  <c r="D95" i="85"/>
  <c r="F90" i="85"/>
  <c r="G90" i="85" s="1"/>
  <c r="F38" i="85"/>
  <c r="G37" i="85"/>
  <c r="G39" i="85" s="1"/>
  <c r="F36" i="85"/>
  <c r="G28" i="85"/>
  <c r="F28" i="85"/>
  <c r="D90" i="85"/>
  <c r="E90" i="85" s="1"/>
  <c r="E88" i="85"/>
  <c r="D88" i="85"/>
  <c r="D89" i="85" s="1"/>
  <c r="D39" i="85"/>
  <c r="D36" i="85" s="1"/>
  <c r="E37" i="85"/>
  <c r="E39" i="85" s="1"/>
  <c r="D28" i="85"/>
  <c r="E25" i="85"/>
  <c r="E24" i="85"/>
  <c r="D24" i="85"/>
  <c r="E22" i="85"/>
  <c r="D21" i="85"/>
  <c r="E21" i="85" s="1"/>
  <c r="D20" i="85"/>
  <c r="E20" i="85" s="1"/>
  <c r="D19" i="85"/>
  <c r="E19" i="85" s="1"/>
  <c r="E18" i="85"/>
  <c r="M22" i="85"/>
  <c r="M28" i="85"/>
  <c r="E17" i="85" l="1"/>
  <c r="E16" i="85" s="1"/>
  <c r="E34" i="85" s="1"/>
  <c r="E31" i="85" s="1"/>
  <c r="D38" i="85"/>
  <c r="E89" i="85"/>
  <c r="G36" i="85"/>
  <c r="G38" i="85"/>
  <c r="F33" i="85"/>
  <c r="E38" i="85"/>
  <c r="E36" i="85"/>
  <c r="D29" i="85"/>
  <c r="D17" i="85"/>
  <c r="D16" i="85" s="1"/>
  <c r="D34" i="85" s="1"/>
  <c r="D31" i="85" s="1"/>
  <c r="F88" i="85" l="1"/>
  <c r="F89" i="85" s="1"/>
  <c r="G33" i="85"/>
  <c r="C15" i="70"/>
  <c r="B15" i="70"/>
  <c r="C14" i="70"/>
  <c r="E78" i="22" s="1"/>
  <c r="B14" i="70"/>
  <c r="D78" i="22" s="1"/>
  <c r="C13" i="70"/>
  <c r="B13" i="70"/>
  <c r="D46" i="22" s="1"/>
  <c r="C9" i="70"/>
  <c r="E27" i="22" s="1"/>
  <c r="B9" i="70"/>
  <c r="D27" i="22" s="1"/>
  <c r="G88" i="85" l="1"/>
  <c r="G89" i="85" s="1"/>
  <c r="D7" i="78" l="1"/>
  <c r="E77" i="22"/>
  <c r="E76" i="22"/>
  <c r="D77" i="22"/>
  <c r="D76" i="22"/>
  <c r="E45" i="22"/>
  <c r="E44" i="22"/>
  <c r="D45" i="22"/>
  <c r="D44" i="22"/>
  <c r="E26" i="22"/>
  <c r="E25" i="22"/>
  <c r="D26" i="22"/>
  <c r="D25" i="22"/>
  <c r="C37" i="178"/>
  <c r="C36" i="178"/>
  <c r="C35" i="178"/>
  <c r="C34" i="178"/>
  <c r="C33" i="178"/>
  <c r="D32" i="178"/>
  <c r="B32" i="178"/>
  <c r="C32" i="178" s="1"/>
  <c r="D23" i="178"/>
  <c r="B23" i="178"/>
  <c r="D14" i="178"/>
  <c r="D5" i="178"/>
  <c r="C23" i="178" l="1"/>
  <c r="B5" i="178"/>
  <c r="C5" i="178" s="1"/>
  <c r="B14" i="178"/>
  <c r="C14" i="178" s="1"/>
  <c r="H95" i="85" l="1"/>
  <c r="H94" i="85"/>
  <c r="H93" i="85"/>
  <c r="H92" i="85"/>
  <c r="C18" i="70"/>
  <c r="B18" i="70"/>
  <c r="C24" i="70"/>
  <c r="B24" i="70"/>
  <c r="B8" i="70" l="1"/>
  <c r="C8" i="70"/>
  <c r="C6" i="70"/>
  <c r="B6" i="70"/>
  <c r="D61" i="22"/>
  <c r="D54" i="22"/>
  <c r="D81" i="22" s="1"/>
  <c r="D94" i="22"/>
  <c r="D85" i="22"/>
  <c r="D84" i="22"/>
  <c r="D83" i="22"/>
  <c r="D82" i="22"/>
  <c r="G105" i="54" l="1"/>
  <c r="M19" i="105" s="1"/>
  <c r="G113" i="54"/>
  <c r="K19" i="105" l="1"/>
  <c r="G72" i="54"/>
  <c r="D74" i="160" l="1"/>
  <c r="C57" i="49"/>
  <c r="C47" i="49"/>
  <c r="N29" i="29"/>
  <c r="N27" i="29"/>
  <c r="M27" i="29"/>
  <c r="L27" i="29"/>
  <c r="K27" i="29"/>
  <c r="J27" i="29"/>
  <c r="I27" i="29"/>
  <c r="G27" i="29"/>
  <c r="N14" i="29"/>
  <c r="I132" i="54"/>
  <c r="J132" i="54"/>
  <c r="K132" i="54"/>
  <c r="L132" i="54"/>
  <c r="M132" i="54"/>
  <c r="N132" i="54"/>
  <c r="I131" i="54"/>
  <c r="J131" i="54"/>
  <c r="K131" i="54"/>
  <c r="L131" i="54"/>
  <c r="M131" i="54"/>
  <c r="N131" i="54"/>
  <c r="H132" i="54"/>
  <c r="H131" i="54"/>
  <c r="I129" i="54"/>
  <c r="J129" i="54"/>
  <c r="K129" i="54"/>
  <c r="L129" i="54"/>
  <c r="M129" i="54"/>
  <c r="N129" i="54"/>
  <c r="I128" i="54"/>
  <c r="J128" i="54"/>
  <c r="K128" i="54"/>
  <c r="L128" i="54"/>
  <c r="M128" i="54"/>
  <c r="N128" i="54"/>
  <c r="H129" i="54"/>
  <c r="H128" i="54"/>
  <c r="I126" i="54"/>
  <c r="J126" i="54"/>
  <c r="K126" i="54"/>
  <c r="L126" i="54"/>
  <c r="M126" i="54"/>
  <c r="N126" i="54"/>
  <c r="I125" i="54"/>
  <c r="J125" i="54"/>
  <c r="K125" i="54"/>
  <c r="L125" i="54"/>
  <c r="M125" i="54"/>
  <c r="N125" i="54"/>
  <c r="H126" i="54"/>
  <c r="H125" i="54"/>
  <c r="I123" i="54"/>
  <c r="J123" i="54"/>
  <c r="K123" i="54"/>
  <c r="L123" i="54"/>
  <c r="M123" i="54"/>
  <c r="N123" i="54"/>
  <c r="H123" i="54"/>
  <c r="I122" i="54"/>
  <c r="J122" i="54"/>
  <c r="K122" i="54"/>
  <c r="L122" i="54"/>
  <c r="M122" i="54"/>
  <c r="N122" i="54"/>
  <c r="H122" i="54"/>
  <c r="I119" i="54"/>
  <c r="J119" i="54"/>
  <c r="K119" i="54"/>
  <c r="L119" i="54"/>
  <c r="M119" i="54"/>
  <c r="N119" i="54"/>
  <c r="H120" i="54"/>
  <c r="H119" i="54"/>
  <c r="W65" i="54"/>
  <c r="W68" i="54"/>
  <c r="W70" i="54"/>
  <c r="W57" i="54"/>
  <c r="W45" i="54"/>
  <c r="W46" i="54"/>
  <c r="N55" i="54"/>
  <c r="M55" i="54"/>
  <c r="L55" i="54"/>
  <c r="K55" i="54"/>
  <c r="J55" i="54"/>
  <c r="I55" i="54"/>
  <c r="L17" i="49"/>
  <c r="L18" i="49"/>
  <c r="L20" i="49"/>
  <c r="L21" i="49"/>
  <c r="L22" i="49"/>
  <c r="L25" i="49"/>
  <c r="L26" i="49"/>
  <c r="L28" i="49"/>
  <c r="L29" i="49"/>
  <c r="L32" i="49"/>
  <c r="L33" i="49"/>
  <c r="L36" i="49"/>
  <c r="L37" i="49"/>
  <c r="L40" i="49"/>
  <c r="L41" i="49"/>
  <c r="L43" i="49"/>
  <c r="L44" i="49"/>
  <c r="L47" i="49"/>
  <c r="L48" i="49"/>
  <c r="L50" i="49"/>
  <c r="L51" i="49"/>
  <c r="L54" i="49"/>
  <c r="L55" i="49"/>
  <c r="L57" i="49"/>
  <c r="L58" i="49"/>
  <c r="G123" i="54" l="1"/>
  <c r="G126" i="54"/>
  <c r="G132" i="54"/>
  <c r="G125" i="54"/>
  <c r="G129" i="54"/>
  <c r="G131" i="54"/>
  <c r="G119" i="54"/>
  <c r="G122" i="54"/>
  <c r="G128" i="54"/>
  <c r="D155" i="49" l="1"/>
  <c r="F137" i="49"/>
  <c r="F136" i="49" s="1"/>
  <c r="F156" i="49" s="1"/>
  <c r="G137" i="49"/>
  <c r="G136" i="49" s="1"/>
  <c r="G156" i="49" s="1"/>
  <c r="H137" i="49"/>
  <c r="H136" i="49" s="1"/>
  <c r="H156" i="49" s="1"/>
  <c r="I137" i="49"/>
  <c r="I136" i="49" s="1"/>
  <c r="I156" i="49" s="1"/>
  <c r="J137" i="49"/>
  <c r="J136" i="49" s="1"/>
  <c r="J156" i="49" s="1"/>
  <c r="E137" i="49"/>
  <c r="E136" i="49" s="1"/>
  <c r="E156" i="49" s="1"/>
  <c r="F110" i="49"/>
  <c r="F153" i="49" s="1"/>
  <c r="G110" i="49"/>
  <c r="G153" i="49" s="1"/>
  <c r="H110" i="49"/>
  <c r="H153" i="49" s="1"/>
  <c r="I110" i="49"/>
  <c r="I153" i="49" s="1"/>
  <c r="J110" i="49"/>
  <c r="J153" i="49" s="1"/>
  <c r="E110" i="49"/>
  <c r="E153" i="49" s="1"/>
  <c r="F116" i="49"/>
  <c r="F154" i="49" s="1"/>
  <c r="G116" i="49"/>
  <c r="G154" i="49" s="1"/>
  <c r="H116" i="49"/>
  <c r="H154" i="49" s="1"/>
  <c r="I116" i="49"/>
  <c r="I154" i="49" s="1"/>
  <c r="J116" i="49"/>
  <c r="J154" i="49" s="1"/>
  <c r="E116" i="49"/>
  <c r="E154" i="49" s="1"/>
  <c r="J152" i="49" l="1"/>
  <c r="F152" i="49"/>
  <c r="I152" i="49"/>
  <c r="H152" i="49"/>
  <c r="E152" i="49"/>
  <c r="G152" i="49"/>
  <c r="C19" i="49"/>
  <c r="L19" i="49" s="1"/>
  <c r="C35" i="49"/>
  <c r="L35" i="49" s="1"/>
  <c r="F12" i="62" l="1"/>
  <c r="F26" i="62" s="1"/>
  <c r="G22" i="29"/>
  <c r="K146" i="49" l="1"/>
  <c r="U655" i="97" l="1"/>
  <c r="S655" i="97"/>
  <c r="C21" i="62"/>
  <c r="H26" i="62"/>
  <c r="B12" i="62"/>
  <c r="D12" i="62"/>
  <c r="D26" i="62" s="1"/>
  <c r="E12" i="62"/>
  <c r="E26" i="62" s="1"/>
  <c r="H12" i="62"/>
  <c r="M12" i="62"/>
  <c r="M26" i="62" s="1"/>
  <c r="N12" i="62"/>
  <c r="O12" i="62"/>
  <c r="I13" i="62"/>
  <c r="J13" i="62"/>
  <c r="K13" i="62"/>
  <c r="L13" i="62"/>
  <c r="I26" i="62"/>
  <c r="J26" i="62"/>
  <c r="K26" i="62"/>
  <c r="L26" i="62"/>
  <c r="D21" i="62"/>
  <c r="E21" i="62"/>
  <c r="F21" i="62"/>
  <c r="H21" i="62"/>
  <c r="B21" i="62"/>
  <c r="G10" i="62"/>
  <c r="G12" i="62" s="1"/>
  <c r="G26" i="62" s="1"/>
  <c r="C10" i="62"/>
  <c r="C7" i="62"/>
  <c r="C12" i="62" s="1"/>
  <c r="C26" i="62" s="1"/>
  <c r="P12" i="62" l="1"/>
  <c r="G21" i="62"/>
  <c r="P13" i="62"/>
  <c r="M26" i="29" l="1"/>
  <c r="M25" i="29"/>
  <c r="M24" i="29"/>
  <c r="K25" i="29"/>
  <c r="K26" i="29"/>
  <c r="K24" i="29"/>
  <c r="J26" i="29"/>
  <c r="J25" i="29"/>
  <c r="J24" i="29"/>
  <c r="D26" i="29"/>
  <c r="D25" i="29"/>
  <c r="D24" i="29"/>
  <c r="G26" i="29"/>
  <c r="G25" i="29"/>
  <c r="G24" i="29"/>
  <c r="I692" i="97" l="1"/>
  <c r="J692" i="97"/>
  <c r="K692" i="97"/>
  <c r="K695" i="97" s="1"/>
  <c r="L692" i="97"/>
  <c r="L695" i="97" s="1"/>
  <c r="M692" i="97"/>
  <c r="N692" i="97"/>
  <c r="O692" i="97"/>
  <c r="P692" i="97"/>
  <c r="P693" i="97" s="1"/>
  <c r="Q692" i="97"/>
  <c r="Q693" i="97" s="1"/>
  <c r="R692" i="97"/>
  <c r="S692" i="97"/>
  <c r="U692" i="97"/>
  <c r="U693" i="97" s="1"/>
  <c r="V692" i="97"/>
  <c r="W692" i="97"/>
  <c r="X692" i="97"/>
  <c r="J695" i="97"/>
  <c r="N695" i="97"/>
  <c r="Q695" i="97"/>
  <c r="I696" i="97"/>
  <c r="J696" i="97"/>
  <c r="K696" i="97"/>
  <c r="L696" i="97"/>
  <c r="M696" i="97"/>
  <c r="N696" i="97"/>
  <c r="O696" i="97"/>
  <c r="P696" i="97"/>
  <c r="Q696" i="97"/>
  <c r="R696" i="97"/>
  <c r="S696" i="97"/>
  <c r="I698" i="97"/>
  <c r="J698" i="97"/>
  <c r="K698" i="97"/>
  <c r="L698" i="97"/>
  <c r="M698" i="97"/>
  <c r="N698" i="97"/>
  <c r="O698" i="97"/>
  <c r="P698" i="97"/>
  <c r="Q698" i="97"/>
  <c r="R698" i="97"/>
  <c r="S698" i="97"/>
  <c r="I699" i="97"/>
  <c r="J699" i="97"/>
  <c r="K699" i="97"/>
  <c r="L699" i="97"/>
  <c r="M699" i="97"/>
  <c r="N699" i="97"/>
  <c r="O699" i="97"/>
  <c r="P699" i="97"/>
  <c r="Q699" i="97"/>
  <c r="R699" i="97"/>
  <c r="S699" i="97"/>
  <c r="I700" i="97"/>
  <c r="I703" i="97" s="1"/>
  <c r="I701" i="97" s="1"/>
  <c r="I697" i="97" s="1"/>
  <c r="J700" i="97"/>
  <c r="K700" i="97"/>
  <c r="L700" i="97"/>
  <c r="M700" i="97"/>
  <c r="N700" i="97"/>
  <c r="O700" i="97"/>
  <c r="P700" i="97"/>
  <c r="Q700" i="97"/>
  <c r="R700" i="97"/>
  <c r="S700" i="97"/>
  <c r="S703" i="97" s="1"/>
  <c r="S701" i="97" s="1"/>
  <c r="S697" i="97" s="1"/>
  <c r="T701" i="97" s="1"/>
  <c r="J701" i="97"/>
  <c r="J697" i="97" s="1"/>
  <c r="K701" i="97"/>
  <c r="K697" i="97" s="1"/>
  <c r="L701" i="97"/>
  <c r="L697" i="97" s="1"/>
  <c r="M701" i="97"/>
  <c r="M697" i="97" s="1"/>
  <c r="N701" i="97"/>
  <c r="N697" i="97" s="1"/>
  <c r="O701" i="97"/>
  <c r="O697" i="97" s="1"/>
  <c r="P701" i="97"/>
  <c r="P697" i="97" s="1"/>
  <c r="Q701" i="97"/>
  <c r="Q697" i="97" s="1"/>
  <c r="R701" i="97"/>
  <c r="R697" i="97" s="1"/>
  <c r="P695" i="97" l="1"/>
  <c r="M695" i="97"/>
  <c r="M693" i="97"/>
  <c r="R695" i="97"/>
  <c r="R693" i="97"/>
  <c r="S695" i="97"/>
  <c r="S693" i="97"/>
  <c r="O695" i="97"/>
  <c r="O693" i="97"/>
  <c r="I695" i="97"/>
  <c r="I693" i="97"/>
  <c r="N26" i="29"/>
  <c r="N25" i="29"/>
  <c r="N24" i="29"/>
  <c r="C10" i="49"/>
  <c r="F100" i="54"/>
  <c r="E132" i="54"/>
  <c r="E130" i="54" s="1"/>
  <c r="E131" i="54"/>
  <c r="E129" i="54"/>
  <c r="E128" i="54"/>
  <c r="E127" i="54" s="1"/>
  <c r="E126" i="54"/>
  <c r="E125" i="54"/>
  <c r="E124" i="54"/>
  <c r="E123" i="54"/>
  <c r="E122" i="54"/>
  <c r="E120" i="54"/>
  <c r="E119" i="54"/>
  <c r="E112" i="54"/>
  <c r="E109" i="54"/>
  <c r="E106" i="54"/>
  <c r="E103" i="54"/>
  <c r="E100" i="54"/>
  <c r="E96" i="54" s="1"/>
  <c r="E95" i="54" s="1"/>
  <c r="E97" i="54"/>
  <c r="E91" i="54"/>
  <c r="D71" i="22" s="1"/>
  <c r="E87" i="54"/>
  <c r="D69" i="22" s="1"/>
  <c r="D93" i="22" s="1"/>
  <c r="E83" i="54"/>
  <c r="D67" i="22" s="1"/>
  <c r="E80" i="54"/>
  <c r="E77" i="54"/>
  <c r="E71" i="54"/>
  <c r="D73" i="22" s="1"/>
  <c r="E58" i="54"/>
  <c r="E50" i="54"/>
  <c r="E48" i="54"/>
  <c r="D34" i="22" s="1"/>
  <c r="E42" i="54"/>
  <c r="E39" i="54"/>
  <c r="E36" i="54"/>
  <c r="E33" i="54"/>
  <c r="E30" i="54"/>
  <c r="E27" i="54"/>
  <c r="E18" i="54"/>
  <c r="E17" i="54"/>
  <c r="E75" i="54" l="1"/>
  <c r="D63" i="22" s="1"/>
  <c r="E118" i="54"/>
  <c r="E117" i="54" s="1"/>
  <c r="E116" i="54" s="1"/>
  <c r="D74" i="22"/>
  <c r="D98" i="22" s="1"/>
  <c r="D97" i="22"/>
  <c r="D72" i="22"/>
  <c r="D96" i="22" s="1"/>
  <c r="D95" i="22"/>
  <c r="D68" i="22"/>
  <c r="D92" i="22" s="1"/>
  <c r="D91" i="22"/>
  <c r="E121" i="54"/>
  <c r="E74" i="54"/>
  <c r="E76" i="54" s="1"/>
  <c r="D64" i="22" l="1"/>
  <c r="D90" i="22" s="1"/>
  <c r="D62" i="22"/>
  <c r="D88" i="22" s="1"/>
  <c r="D89" i="22"/>
  <c r="E92" i="54"/>
  <c r="E84" i="54"/>
  <c r="E69" i="54"/>
  <c r="E47" i="54" s="1"/>
  <c r="E88" i="54"/>
  <c r="E26" i="54" l="1"/>
  <c r="E24" i="54" s="1"/>
  <c r="E49" i="54"/>
  <c r="E16" i="54" l="1"/>
  <c r="D33" i="22"/>
  <c r="E14" i="54"/>
  <c r="D19" i="22" s="1"/>
  <c r="E21" i="54"/>
  <c r="E19" i="54" s="1"/>
  <c r="D20" i="22" s="1"/>
  <c r="D38" i="22" l="1"/>
  <c r="D41" i="22"/>
  <c r="D40" i="22" s="1"/>
  <c r="D35" i="22"/>
  <c r="D21" i="22"/>
  <c r="C20" i="120"/>
  <c r="B38" i="176"/>
  <c r="G31" i="176"/>
  <c r="G29" i="176"/>
  <c r="G24" i="176"/>
  <c r="G22" i="176"/>
  <c r="G21" i="176"/>
  <c r="G20" i="176"/>
  <c r="H19" i="176"/>
  <c r="F19" i="176"/>
  <c r="G18" i="176"/>
  <c r="G17" i="176"/>
  <c r="G15" i="176" s="1"/>
  <c r="G16" i="176"/>
  <c r="F15" i="176"/>
  <c r="G14" i="176"/>
  <c r="H13" i="176"/>
  <c r="G13" i="176"/>
  <c r="G12" i="176"/>
  <c r="F11" i="176"/>
  <c r="G10" i="176"/>
  <c r="H9" i="176"/>
  <c r="G9" i="176"/>
  <c r="B7" i="176"/>
  <c r="C7" i="176" s="1"/>
  <c r="E7" i="176" s="1"/>
  <c r="F7" i="176" s="1"/>
  <c r="G7" i="176" s="1"/>
  <c r="H7" i="176" s="1"/>
  <c r="I7" i="176" s="1"/>
  <c r="C7" i="120"/>
  <c r="C4" i="120"/>
  <c r="C39" i="66"/>
  <c r="C24" i="66"/>
  <c r="C20" i="66"/>
  <c r="C8" i="66" s="1"/>
  <c r="C9" i="66"/>
  <c r="C40" i="78"/>
  <c r="C24" i="78"/>
  <c r="C20" i="78"/>
  <c r="C15" i="78"/>
  <c r="C9" i="78"/>
  <c r="G11" i="176" l="1"/>
  <c r="G8" i="176" s="1"/>
  <c r="F8" i="176"/>
  <c r="F25" i="176" s="1"/>
  <c r="C8" i="78"/>
  <c r="C6" i="120"/>
  <c r="G19" i="176"/>
  <c r="G25" i="176" s="1"/>
  <c r="F30" i="176"/>
  <c r="H14" i="176"/>
  <c r="C23" i="83"/>
  <c r="C10" i="83"/>
  <c r="C9" i="83" l="1"/>
  <c r="F28" i="176"/>
  <c r="G28" i="176" s="1"/>
  <c r="G30" i="176"/>
  <c r="F27" i="176" l="1"/>
  <c r="F26" i="176" s="1"/>
  <c r="F32" i="176" s="1"/>
  <c r="F34" i="176" s="1"/>
  <c r="F35" i="176" s="1"/>
  <c r="G27" i="176" l="1"/>
  <c r="G26" i="176" s="1"/>
  <c r="G32" i="176" s="1"/>
  <c r="C40" i="159" l="1"/>
  <c r="C29" i="159" s="1"/>
  <c r="C13" i="159"/>
  <c r="C12" i="159" l="1"/>
  <c r="C31" i="84"/>
  <c r="C12" i="84"/>
  <c r="C11" i="84" s="1"/>
  <c r="C10" i="84" l="1"/>
  <c r="D12" i="174"/>
  <c r="C12" i="174" s="1"/>
  <c r="K12" i="174"/>
  <c r="G12" i="174"/>
  <c r="AS248" i="174" l="1"/>
  <c r="A11" i="174"/>
  <c r="N11" i="174" s="1"/>
  <c r="Z11" i="174" s="1"/>
  <c r="AS11" i="174" s="1"/>
  <c r="P2" i="174"/>
  <c r="Q2" i="174"/>
  <c r="R2" i="174"/>
  <c r="S2" i="174"/>
  <c r="T2" i="174"/>
  <c r="U2" i="174"/>
  <c r="V2" i="174"/>
  <c r="W2" i="174"/>
  <c r="X2" i="174"/>
  <c r="Y2" i="174"/>
  <c r="O2" i="174"/>
  <c r="D2" i="174"/>
  <c r="E2" i="174"/>
  <c r="F2" i="174"/>
  <c r="G2" i="174"/>
  <c r="H2" i="174"/>
  <c r="I2" i="174"/>
  <c r="J2" i="174"/>
  <c r="K2" i="174"/>
  <c r="L2" i="174"/>
  <c r="M2" i="174"/>
  <c r="C2" i="174"/>
  <c r="A3" i="174"/>
  <c r="BG1130" i="174"/>
  <c r="BF1130" i="174"/>
  <c r="BG1129" i="174"/>
  <c r="BF1129" i="174"/>
  <c r="BG1128" i="174"/>
  <c r="BF1128" i="174"/>
  <c r="BG1127" i="174"/>
  <c r="BF1127" i="174"/>
  <c r="BG1126" i="174"/>
  <c r="BF1126" i="174"/>
  <c r="BG1125" i="174"/>
  <c r="BF1125" i="174"/>
  <c r="BG1124" i="174"/>
  <c r="BF1124" i="174"/>
  <c r="BG1123" i="174"/>
  <c r="BF1123" i="174"/>
  <c r="BG1122" i="174"/>
  <c r="BF1122" i="174"/>
  <c r="BG1121" i="174"/>
  <c r="BF1121" i="174"/>
  <c r="BG1120" i="174"/>
  <c r="BF1120" i="174"/>
  <c r="BG1119" i="174"/>
  <c r="BF1119" i="174"/>
  <c r="BG1118" i="174"/>
  <c r="BF1118" i="174"/>
  <c r="BG1117" i="174"/>
  <c r="BF1117" i="174"/>
  <c r="BG1116" i="174"/>
  <c r="BF1116" i="174"/>
  <c r="BG1115" i="174"/>
  <c r="BF1115" i="174"/>
  <c r="BG1114" i="174"/>
  <c r="BF1114" i="174"/>
  <c r="BG1113" i="174"/>
  <c r="BF1113" i="174"/>
  <c r="BG1112" i="174"/>
  <c r="BF1112" i="174"/>
  <c r="BG1111" i="174"/>
  <c r="BF1111" i="174"/>
  <c r="BG1110" i="174"/>
  <c r="BF1110" i="174"/>
  <c r="BG1109" i="174"/>
  <c r="BF1109" i="174"/>
  <c r="BG1108" i="174"/>
  <c r="BF1108" i="174"/>
  <c r="BG1107" i="174"/>
  <c r="BF1107" i="174"/>
  <c r="BG1106" i="174"/>
  <c r="BF1106" i="174"/>
  <c r="BG1105" i="174"/>
  <c r="BF1105" i="174"/>
  <c r="BG1104" i="174"/>
  <c r="BF1104" i="174"/>
  <c r="BG1103" i="174"/>
  <c r="BF1103" i="174"/>
  <c r="BG1102" i="174"/>
  <c r="BF1102" i="174"/>
  <c r="BG1101" i="174"/>
  <c r="BF1101" i="174"/>
  <c r="BG1100" i="174"/>
  <c r="BF1100" i="174"/>
  <c r="BG1099" i="174"/>
  <c r="BF1099" i="174"/>
  <c r="BG1098" i="174"/>
  <c r="BF1098" i="174"/>
  <c r="BG1097" i="174"/>
  <c r="BF1097" i="174"/>
  <c r="BG1096" i="174"/>
  <c r="BF1096" i="174"/>
  <c r="BG1095" i="174"/>
  <c r="BF1095" i="174"/>
  <c r="BG1094" i="174"/>
  <c r="BF1094" i="174"/>
  <c r="BG1093" i="174"/>
  <c r="BF1093" i="174"/>
  <c r="BG1092" i="174"/>
  <c r="BF1092" i="174"/>
  <c r="BG1091" i="174"/>
  <c r="BF1091" i="174"/>
  <c r="BG1090" i="174"/>
  <c r="BF1090" i="174"/>
  <c r="BG1089" i="174"/>
  <c r="BF1089" i="174"/>
  <c r="BG1088" i="174"/>
  <c r="BF1088" i="174"/>
  <c r="BG1087" i="174"/>
  <c r="BF1087" i="174"/>
  <c r="BG1086" i="174"/>
  <c r="BF1086" i="174"/>
  <c r="BG1085" i="174"/>
  <c r="BF1085" i="174"/>
  <c r="BG1084" i="174"/>
  <c r="BF1084" i="174"/>
  <c r="BG1083" i="174"/>
  <c r="BF1083" i="174"/>
  <c r="BG1082" i="174"/>
  <c r="BF1082" i="174"/>
  <c r="BG1081" i="174"/>
  <c r="BF1081" i="174"/>
  <c r="BG1080" i="174"/>
  <c r="BF1080" i="174"/>
  <c r="BG1079" i="174"/>
  <c r="BF1079" i="174"/>
  <c r="BG1078" i="174"/>
  <c r="BF1078" i="174"/>
  <c r="BG1077" i="174"/>
  <c r="BF1077" i="174"/>
  <c r="BG1076" i="174"/>
  <c r="BF1076" i="174"/>
  <c r="BG1075" i="174"/>
  <c r="BF1075" i="174"/>
  <c r="BG1074" i="174"/>
  <c r="BF1074" i="174"/>
  <c r="BG1073" i="174"/>
  <c r="BF1073" i="174"/>
  <c r="BG1072" i="174"/>
  <c r="BF1072" i="174"/>
  <c r="BG1071" i="174"/>
  <c r="BF1071" i="174"/>
  <c r="BG1070" i="174"/>
  <c r="BF1070" i="174"/>
  <c r="BG1069" i="174"/>
  <c r="BF1069" i="174"/>
  <c r="BG1068" i="174"/>
  <c r="BF1068" i="174"/>
  <c r="BG1067" i="174"/>
  <c r="BF1067" i="174"/>
  <c r="BG1066" i="174"/>
  <c r="BF1066" i="174"/>
  <c r="BG1065" i="174"/>
  <c r="BF1065" i="174"/>
  <c r="BG1064" i="174"/>
  <c r="BF1064" i="174"/>
  <c r="BG1063" i="174"/>
  <c r="BF1063" i="174"/>
  <c r="BG1062" i="174"/>
  <c r="BF1062" i="174"/>
  <c r="BG1061" i="174"/>
  <c r="BF1061" i="174"/>
  <c r="BG1060" i="174"/>
  <c r="BF1060" i="174"/>
  <c r="BG1059" i="174"/>
  <c r="BF1059" i="174"/>
  <c r="BG1058" i="174"/>
  <c r="BF1058" i="174"/>
  <c r="BG1057" i="174"/>
  <c r="BF1057" i="174"/>
  <c r="BG1056" i="174"/>
  <c r="BF1056" i="174"/>
  <c r="BG1055" i="174"/>
  <c r="BF1055" i="174"/>
  <c r="BG1054" i="174"/>
  <c r="BF1054" i="174"/>
  <c r="BG1053" i="174"/>
  <c r="BF1053" i="174"/>
  <c r="BG1052" i="174"/>
  <c r="BF1052" i="174"/>
  <c r="BG1051" i="174"/>
  <c r="BF1051" i="174"/>
  <c r="BG1050" i="174"/>
  <c r="BF1050" i="174"/>
  <c r="BG1049" i="174"/>
  <c r="BF1049" i="174"/>
  <c r="BG1048" i="174"/>
  <c r="BF1048" i="174"/>
  <c r="BG1047" i="174"/>
  <c r="BF1047" i="174"/>
  <c r="BG1046" i="174"/>
  <c r="BF1046" i="174"/>
  <c r="BG1045" i="174"/>
  <c r="BF1045" i="174"/>
  <c r="BG1044" i="174"/>
  <c r="BF1044" i="174"/>
  <c r="BG1043" i="174"/>
  <c r="BF1043" i="174"/>
  <c r="BG1042" i="174"/>
  <c r="BF1042" i="174"/>
  <c r="BG1041" i="174"/>
  <c r="BF1041" i="174"/>
  <c r="BG1040" i="174"/>
  <c r="BF1040" i="174"/>
  <c r="BG1039" i="174"/>
  <c r="BF1039" i="174"/>
  <c r="BG1038" i="174"/>
  <c r="BF1038" i="174"/>
  <c r="BG1037" i="174"/>
  <c r="BF1037" i="174"/>
  <c r="BG1036" i="174"/>
  <c r="BF1036" i="174"/>
  <c r="BG1035" i="174"/>
  <c r="BF1035" i="174"/>
  <c r="BG1034" i="174"/>
  <c r="BF1034" i="174"/>
  <c r="BG1033" i="174"/>
  <c r="BF1033" i="174"/>
  <c r="BG1032" i="174"/>
  <c r="BF1032" i="174"/>
  <c r="BG1031" i="174"/>
  <c r="BF1031" i="174"/>
  <c r="BG1030" i="174"/>
  <c r="BF1030" i="174"/>
  <c r="BG1029" i="174"/>
  <c r="BF1029" i="174"/>
  <c r="BG1028" i="174"/>
  <c r="BF1028" i="174"/>
  <c r="BG1027" i="174"/>
  <c r="BF1027" i="174"/>
  <c r="BG1026" i="174"/>
  <c r="BF1026" i="174"/>
  <c r="BG1025" i="174"/>
  <c r="BF1025" i="174"/>
  <c r="BG1024" i="174"/>
  <c r="BF1024" i="174"/>
  <c r="BG1023" i="174"/>
  <c r="BF1023" i="174"/>
  <c r="BG1022" i="174"/>
  <c r="BF1022" i="174"/>
  <c r="BG1021" i="174"/>
  <c r="BF1021" i="174"/>
  <c r="BG1020" i="174"/>
  <c r="BF1020" i="174"/>
  <c r="BG1019" i="174"/>
  <c r="BF1019" i="174"/>
  <c r="BG1018" i="174"/>
  <c r="BF1018" i="174"/>
  <c r="BG1017" i="174"/>
  <c r="BF1017" i="174"/>
  <c r="BG1016" i="174"/>
  <c r="BF1016" i="174"/>
  <c r="BG1015" i="174"/>
  <c r="BF1015" i="174"/>
  <c r="BG1014" i="174"/>
  <c r="BF1014" i="174"/>
  <c r="BG1013" i="174"/>
  <c r="BF1013" i="174"/>
  <c r="BG1012" i="174"/>
  <c r="BF1012" i="174"/>
  <c r="BG1011" i="174"/>
  <c r="BF1011" i="174"/>
  <c r="BG1010" i="174"/>
  <c r="BF1010" i="174"/>
  <c r="BG1009" i="174"/>
  <c r="BF1009" i="174"/>
  <c r="BG1008" i="174"/>
  <c r="BF1008" i="174"/>
  <c r="BG1007" i="174"/>
  <c r="BF1007" i="174"/>
  <c r="BG1006" i="174"/>
  <c r="BF1006" i="174"/>
  <c r="BG1005" i="174"/>
  <c r="BF1005" i="174"/>
  <c r="BG1004" i="174"/>
  <c r="BF1004" i="174"/>
  <c r="BG1003" i="174"/>
  <c r="BF1003" i="174"/>
  <c r="BG1002" i="174"/>
  <c r="BF1002" i="174"/>
  <c r="BG1001" i="174"/>
  <c r="BF1001" i="174"/>
  <c r="BG1000" i="174"/>
  <c r="BF1000" i="174"/>
  <c r="BG999" i="174"/>
  <c r="BF999" i="174"/>
  <c r="BG998" i="174"/>
  <c r="BF998" i="174"/>
  <c r="BG997" i="174"/>
  <c r="BF997" i="174"/>
  <c r="BG996" i="174"/>
  <c r="BF996" i="174"/>
  <c r="BG995" i="174"/>
  <c r="BF995" i="174"/>
  <c r="BG994" i="174"/>
  <c r="BF994" i="174"/>
  <c r="BG993" i="174"/>
  <c r="BF993" i="174"/>
  <c r="BG992" i="174"/>
  <c r="BF992" i="174"/>
  <c r="BG991" i="174"/>
  <c r="BF991" i="174"/>
  <c r="BG990" i="174"/>
  <c r="BF990" i="174"/>
  <c r="BG989" i="174"/>
  <c r="BF989" i="174"/>
  <c r="BG988" i="174"/>
  <c r="BF988" i="174"/>
  <c r="BG987" i="174"/>
  <c r="BF987" i="174"/>
  <c r="BG986" i="174"/>
  <c r="BF986" i="174"/>
  <c r="BG985" i="174"/>
  <c r="BF985" i="174"/>
  <c r="BG984" i="174"/>
  <c r="BF984" i="174"/>
  <c r="BG983" i="174"/>
  <c r="BF983" i="174"/>
  <c r="BG982" i="174"/>
  <c r="BF982" i="174"/>
  <c r="BG981" i="174"/>
  <c r="BF981" i="174"/>
  <c r="BG980" i="174"/>
  <c r="BF980" i="174"/>
  <c r="BG979" i="174"/>
  <c r="BF979" i="174"/>
  <c r="BG978" i="174"/>
  <c r="BF978" i="174"/>
  <c r="BG977" i="174"/>
  <c r="BF977" i="174"/>
  <c r="BG976" i="174"/>
  <c r="BF976" i="174"/>
  <c r="BG975" i="174"/>
  <c r="BF975" i="174"/>
  <c r="BG974" i="174"/>
  <c r="BF974" i="174"/>
  <c r="BG973" i="174"/>
  <c r="BF973" i="174"/>
  <c r="BG972" i="174"/>
  <c r="BF972" i="174"/>
  <c r="BG971" i="174"/>
  <c r="BF971" i="174"/>
  <c r="BG970" i="174"/>
  <c r="BF970" i="174"/>
  <c r="BG969" i="174"/>
  <c r="BF969" i="174"/>
  <c r="BG968" i="174"/>
  <c r="BF968" i="174"/>
  <c r="BG967" i="174"/>
  <c r="BF967" i="174"/>
  <c r="BG966" i="174"/>
  <c r="BF966" i="174"/>
  <c r="BG965" i="174"/>
  <c r="BF965" i="174"/>
  <c r="BG964" i="174"/>
  <c r="BF964" i="174"/>
  <c r="BG963" i="174"/>
  <c r="BF963" i="174"/>
  <c r="BG962" i="174"/>
  <c r="BF962" i="174"/>
  <c r="BG961" i="174"/>
  <c r="BF961" i="174"/>
  <c r="BG960" i="174"/>
  <c r="BF960" i="174"/>
  <c r="BG959" i="174"/>
  <c r="BF959" i="174"/>
  <c r="BG958" i="174"/>
  <c r="BF958" i="174"/>
  <c r="BG957" i="174"/>
  <c r="BF957" i="174"/>
  <c r="BG956" i="174"/>
  <c r="BF956" i="174"/>
  <c r="BG955" i="174"/>
  <c r="BF955" i="174"/>
  <c r="BG954" i="174"/>
  <c r="BF954" i="174"/>
  <c r="BG953" i="174"/>
  <c r="BF953" i="174"/>
  <c r="BG952" i="174"/>
  <c r="BF952" i="174"/>
  <c r="BG951" i="174"/>
  <c r="BF951" i="174"/>
  <c r="BG950" i="174"/>
  <c r="BF950" i="174"/>
  <c r="BG949" i="174"/>
  <c r="BF949" i="174"/>
  <c r="BG948" i="174"/>
  <c r="BF948" i="174"/>
  <c r="BG947" i="174"/>
  <c r="BF947" i="174"/>
  <c r="BG946" i="174"/>
  <c r="BF946" i="174"/>
  <c r="BG945" i="174"/>
  <c r="BF945" i="174"/>
  <c r="BG944" i="174"/>
  <c r="BF944" i="174"/>
  <c r="BG943" i="174"/>
  <c r="BF943" i="174"/>
  <c r="BG942" i="174"/>
  <c r="BF942" i="174"/>
  <c r="BG941" i="174"/>
  <c r="BF941" i="174"/>
  <c r="BG940" i="174"/>
  <c r="BF940" i="174"/>
  <c r="BG939" i="174"/>
  <c r="BF939" i="174"/>
  <c r="BG938" i="174"/>
  <c r="BF938" i="174"/>
  <c r="BG937" i="174"/>
  <c r="BF937" i="174"/>
  <c r="BG936" i="174"/>
  <c r="BF936" i="174"/>
  <c r="BG935" i="174"/>
  <c r="BF935" i="174"/>
  <c r="BG934" i="174"/>
  <c r="BF934" i="174"/>
  <c r="BG933" i="174"/>
  <c r="BF933" i="174"/>
  <c r="BG932" i="174"/>
  <c r="BF932" i="174"/>
  <c r="BG931" i="174"/>
  <c r="BF931" i="174"/>
  <c r="BG930" i="174"/>
  <c r="BF930" i="174"/>
  <c r="BG929" i="174"/>
  <c r="BF929" i="174"/>
  <c r="BG928" i="174"/>
  <c r="BF928" i="174"/>
  <c r="BG927" i="174"/>
  <c r="BF927" i="174"/>
  <c r="BG926" i="174"/>
  <c r="BF926" i="174"/>
  <c r="BG925" i="174"/>
  <c r="BF925" i="174"/>
  <c r="BG924" i="174"/>
  <c r="BF924" i="174"/>
  <c r="BG923" i="174"/>
  <c r="BF923" i="174"/>
  <c r="BG922" i="174"/>
  <c r="BF922" i="174"/>
  <c r="BG921" i="174"/>
  <c r="BF921" i="174"/>
  <c r="BG920" i="174"/>
  <c r="BF920" i="174"/>
  <c r="BG919" i="174"/>
  <c r="BF919" i="174"/>
  <c r="BG918" i="174"/>
  <c r="BF918" i="174"/>
  <c r="BG917" i="174"/>
  <c r="BF917" i="174"/>
  <c r="BG916" i="174"/>
  <c r="BF916" i="174"/>
  <c r="BG915" i="174"/>
  <c r="BF915" i="174"/>
  <c r="BG914" i="174"/>
  <c r="BF914" i="174"/>
  <c r="BG913" i="174"/>
  <c r="BF913" i="174"/>
  <c r="BG912" i="174"/>
  <c r="BF912" i="174"/>
  <c r="BG911" i="174"/>
  <c r="BF911" i="174"/>
  <c r="BG910" i="174"/>
  <c r="BF910" i="174"/>
  <c r="BG909" i="174"/>
  <c r="BF909" i="174"/>
  <c r="BG908" i="174"/>
  <c r="BF908" i="174"/>
  <c r="BG907" i="174"/>
  <c r="BF907" i="174"/>
  <c r="BG906" i="174"/>
  <c r="BF906" i="174"/>
  <c r="BG905" i="174"/>
  <c r="BF905" i="174"/>
  <c r="BG904" i="174"/>
  <c r="BF904" i="174"/>
  <c r="BG903" i="174"/>
  <c r="BF903" i="174"/>
  <c r="BG902" i="174"/>
  <c r="BF902" i="174"/>
  <c r="BG901" i="174"/>
  <c r="BF901" i="174"/>
  <c r="BG900" i="174"/>
  <c r="BF900" i="174"/>
  <c r="BG899" i="174"/>
  <c r="BF899" i="174"/>
  <c r="BG898" i="174"/>
  <c r="BF898" i="174"/>
  <c r="BG897" i="174"/>
  <c r="BF897" i="174"/>
  <c r="BG896" i="174"/>
  <c r="BF896" i="174"/>
  <c r="BG895" i="174"/>
  <c r="BF895" i="174"/>
  <c r="BG894" i="174"/>
  <c r="BF894" i="174"/>
  <c r="BG893" i="174"/>
  <c r="BF893" i="174"/>
  <c r="BG892" i="174"/>
  <c r="BF892" i="174"/>
  <c r="BG891" i="174"/>
  <c r="BF891" i="174"/>
  <c r="BG890" i="174"/>
  <c r="BF890" i="174"/>
  <c r="BG889" i="174"/>
  <c r="BF889" i="174"/>
  <c r="BG888" i="174"/>
  <c r="BF888" i="174"/>
  <c r="BG887" i="174"/>
  <c r="BF887" i="174"/>
  <c r="BG886" i="174"/>
  <c r="BF886" i="174"/>
  <c r="BG885" i="174"/>
  <c r="BF885" i="174"/>
  <c r="BG884" i="174"/>
  <c r="BF884" i="174"/>
  <c r="BG883" i="174"/>
  <c r="BF883" i="174"/>
  <c r="BG882" i="174"/>
  <c r="BF882" i="174"/>
  <c r="BG881" i="174"/>
  <c r="BF881" i="174"/>
  <c r="BG880" i="174"/>
  <c r="BF880" i="174"/>
  <c r="BG879" i="174"/>
  <c r="BF879" i="174"/>
  <c r="BG878" i="174"/>
  <c r="BF878" i="174"/>
  <c r="BG877" i="174"/>
  <c r="BF877" i="174"/>
  <c r="BG876" i="174"/>
  <c r="BF876" i="174"/>
  <c r="BG875" i="174"/>
  <c r="BF875" i="174"/>
  <c r="BG874" i="174"/>
  <c r="BF874" i="174"/>
  <c r="BG873" i="174"/>
  <c r="BF873" i="174"/>
  <c r="BG872" i="174"/>
  <c r="BF872" i="174"/>
  <c r="BG871" i="174"/>
  <c r="BF871" i="174"/>
  <c r="BG870" i="174"/>
  <c r="BF870" i="174"/>
  <c r="BG869" i="174"/>
  <c r="BF869" i="174"/>
  <c r="BG868" i="174"/>
  <c r="BF868" i="174"/>
  <c r="BG867" i="174"/>
  <c r="BF867" i="174"/>
  <c r="BG866" i="174"/>
  <c r="BF866" i="174"/>
  <c r="BG865" i="174"/>
  <c r="BF865" i="174"/>
  <c r="BG864" i="174"/>
  <c r="BF864" i="174"/>
  <c r="BG863" i="174"/>
  <c r="BF863" i="174"/>
  <c r="BG862" i="174"/>
  <c r="BF862" i="174"/>
  <c r="BG861" i="174"/>
  <c r="BF861" i="174"/>
  <c r="BG860" i="174"/>
  <c r="BF860" i="174"/>
  <c r="BG859" i="174"/>
  <c r="BF859" i="174"/>
  <c r="BG858" i="174"/>
  <c r="BF858" i="174"/>
  <c r="BG857" i="174"/>
  <c r="BF857" i="174"/>
  <c r="BG856" i="174"/>
  <c r="BF856" i="174"/>
  <c r="BG855" i="174"/>
  <c r="BF855" i="174"/>
  <c r="BG854" i="174"/>
  <c r="BF854" i="174"/>
  <c r="BG853" i="174"/>
  <c r="BF853" i="174"/>
  <c r="BG852" i="174"/>
  <c r="BF852" i="174"/>
  <c r="BG851" i="174"/>
  <c r="BF851" i="174"/>
  <c r="BG850" i="174"/>
  <c r="BF850" i="174"/>
  <c r="BG849" i="174"/>
  <c r="BF849" i="174"/>
  <c r="BG848" i="174"/>
  <c r="BF848" i="174"/>
  <c r="BG847" i="174"/>
  <c r="BF847" i="174"/>
  <c r="BG846" i="174"/>
  <c r="BF846" i="174"/>
  <c r="BG845" i="174"/>
  <c r="BF845" i="174"/>
  <c r="BG844" i="174"/>
  <c r="BF844" i="174"/>
  <c r="BG843" i="174"/>
  <c r="BF843" i="174"/>
  <c r="BG842" i="174"/>
  <c r="BF842" i="174"/>
  <c r="BG841" i="174"/>
  <c r="BF841" i="174"/>
  <c r="BG840" i="174"/>
  <c r="BF840" i="174"/>
  <c r="BG839" i="174"/>
  <c r="BF839" i="174"/>
  <c r="BG838" i="174"/>
  <c r="BF838" i="174"/>
  <c r="BG837" i="174"/>
  <c r="BF837" i="174"/>
  <c r="BG836" i="174"/>
  <c r="BF836" i="174"/>
  <c r="BG835" i="174"/>
  <c r="BF835" i="174"/>
  <c r="BG834" i="174"/>
  <c r="BF834" i="174"/>
  <c r="BG833" i="174"/>
  <c r="BF833" i="174"/>
  <c r="BG832" i="174"/>
  <c r="BF832" i="174"/>
  <c r="BG831" i="174"/>
  <c r="BF831" i="174"/>
  <c r="BG830" i="174"/>
  <c r="BF830" i="174"/>
  <c r="BG829" i="174"/>
  <c r="BF829" i="174"/>
  <c r="BG828" i="174"/>
  <c r="BF828" i="174"/>
  <c r="BG827" i="174"/>
  <c r="BF827" i="174"/>
  <c r="BG826" i="174"/>
  <c r="BF826" i="174"/>
  <c r="BG825" i="174"/>
  <c r="BF825" i="174"/>
  <c r="BG824" i="174"/>
  <c r="BF824" i="174"/>
  <c r="BG823" i="174"/>
  <c r="BF823" i="174"/>
  <c r="BG822" i="174"/>
  <c r="BF822" i="174"/>
  <c r="BG821" i="174"/>
  <c r="BF821" i="174"/>
  <c r="BG820" i="174"/>
  <c r="BF820" i="174"/>
  <c r="BG819" i="174"/>
  <c r="BF819" i="174"/>
  <c r="BG818" i="174"/>
  <c r="BF818" i="174"/>
  <c r="BG817" i="174"/>
  <c r="BF817" i="174"/>
  <c r="BG816" i="174"/>
  <c r="BF816" i="174"/>
  <c r="BG815" i="174"/>
  <c r="BF815" i="174"/>
  <c r="BG814" i="174"/>
  <c r="BF814" i="174"/>
  <c r="BG813" i="174"/>
  <c r="BF813" i="174"/>
  <c r="BG812" i="174"/>
  <c r="BF812" i="174"/>
  <c r="BG811" i="174"/>
  <c r="BF811" i="174"/>
  <c r="BG810" i="174"/>
  <c r="BF810" i="174"/>
  <c r="BG809" i="174"/>
  <c r="BF809" i="174"/>
  <c r="BG808" i="174"/>
  <c r="BF808" i="174"/>
  <c r="BG807" i="174"/>
  <c r="BF807" i="174"/>
  <c r="BG806" i="174"/>
  <c r="BF806" i="174"/>
  <c r="BG805" i="174"/>
  <c r="BF805" i="174"/>
  <c r="BG804" i="174"/>
  <c r="BF804" i="174"/>
  <c r="BG803" i="174"/>
  <c r="BF803" i="174"/>
  <c r="BG802" i="174"/>
  <c r="BF802" i="174"/>
  <c r="BG801" i="174"/>
  <c r="BF801" i="174"/>
  <c r="BG800" i="174"/>
  <c r="BF800" i="174"/>
  <c r="BG799" i="174"/>
  <c r="BF799" i="174"/>
  <c r="BG798" i="174"/>
  <c r="BF798" i="174"/>
  <c r="BG797" i="174"/>
  <c r="BF797" i="174"/>
  <c r="BG796" i="174"/>
  <c r="BF796" i="174"/>
  <c r="BG795" i="174"/>
  <c r="BF795" i="174"/>
  <c r="BG794" i="174"/>
  <c r="BF794" i="174"/>
  <c r="BG793" i="174"/>
  <c r="BF793" i="174"/>
  <c r="BG792" i="174"/>
  <c r="BF792" i="174"/>
  <c r="BG791" i="174"/>
  <c r="BF791" i="174"/>
  <c r="BG790" i="174"/>
  <c r="BF790" i="174"/>
  <c r="BG789" i="174"/>
  <c r="BF789" i="174"/>
  <c r="BG788" i="174"/>
  <c r="BF788" i="174"/>
  <c r="BG787" i="174"/>
  <c r="BF787" i="174"/>
  <c r="BG786" i="174"/>
  <c r="BF786" i="174"/>
  <c r="BG785" i="174"/>
  <c r="BF785" i="174"/>
  <c r="BG784" i="174"/>
  <c r="BF784" i="174"/>
  <c r="BG783" i="174"/>
  <c r="BF783" i="174"/>
  <c r="BG782" i="174"/>
  <c r="BF782" i="174"/>
  <c r="BG781" i="174"/>
  <c r="BF781" i="174"/>
  <c r="BG780" i="174"/>
  <c r="BF780" i="174"/>
  <c r="BG779" i="174"/>
  <c r="BF779" i="174"/>
  <c r="BG778" i="174"/>
  <c r="BF778" i="174"/>
  <c r="BG777" i="174"/>
  <c r="BF777" i="174"/>
  <c r="BG776" i="174"/>
  <c r="BF776" i="174"/>
  <c r="BG775" i="174"/>
  <c r="BF775" i="174"/>
  <c r="BG774" i="174"/>
  <c r="BF774" i="174"/>
  <c r="BG773" i="174"/>
  <c r="BF773" i="174"/>
  <c r="BG772" i="174"/>
  <c r="BF772" i="174"/>
  <c r="BG771" i="174"/>
  <c r="BF771" i="174"/>
  <c r="BG770" i="174"/>
  <c r="BF770" i="174"/>
  <c r="BG769" i="174"/>
  <c r="BF769" i="174"/>
  <c r="BG768" i="174"/>
  <c r="BF768" i="174"/>
  <c r="BG767" i="174"/>
  <c r="BF767" i="174"/>
  <c r="BG766" i="174"/>
  <c r="BF766" i="174"/>
  <c r="BG765" i="174"/>
  <c r="BF765" i="174"/>
  <c r="BG764" i="174"/>
  <c r="BF764" i="174"/>
  <c r="BG763" i="174"/>
  <c r="BF763" i="174"/>
  <c r="BG762" i="174"/>
  <c r="BF762" i="174"/>
  <c r="BG761" i="174"/>
  <c r="BF761" i="174"/>
  <c r="BG760" i="174"/>
  <c r="BF760" i="174"/>
  <c r="BG759" i="174"/>
  <c r="BF759" i="174"/>
  <c r="BG758" i="174"/>
  <c r="BF758" i="174"/>
  <c r="BG757" i="174"/>
  <c r="BF757" i="174"/>
  <c r="BG756" i="174"/>
  <c r="BF756" i="174"/>
  <c r="BG755" i="174"/>
  <c r="BF755" i="174"/>
  <c r="BG754" i="174"/>
  <c r="BF754" i="174"/>
  <c r="BG753" i="174"/>
  <c r="BF753" i="174"/>
  <c r="BG752" i="174"/>
  <c r="BF752" i="174"/>
  <c r="BG751" i="174"/>
  <c r="BF751" i="174"/>
  <c r="BG750" i="174"/>
  <c r="BF750" i="174"/>
  <c r="BG749" i="174"/>
  <c r="BF749" i="174"/>
  <c r="BG748" i="174"/>
  <c r="BF748" i="174"/>
  <c r="BG747" i="174"/>
  <c r="BF747" i="174"/>
  <c r="BG746" i="174"/>
  <c r="BF746" i="174"/>
  <c r="BG745" i="174"/>
  <c r="BF745" i="174"/>
  <c r="BG744" i="174"/>
  <c r="BF744" i="174"/>
  <c r="BG743" i="174"/>
  <c r="BF743" i="174"/>
  <c r="BG742" i="174"/>
  <c r="BF742" i="174"/>
  <c r="BG741" i="174"/>
  <c r="BF741" i="174"/>
  <c r="BG740" i="174"/>
  <c r="BF740" i="174"/>
  <c r="BG739" i="174"/>
  <c r="BF739" i="174"/>
  <c r="BG738" i="174"/>
  <c r="BF738" i="174"/>
  <c r="BG737" i="174"/>
  <c r="BF737" i="174"/>
  <c r="BG736" i="174"/>
  <c r="BF736" i="174"/>
  <c r="BG735" i="174"/>
  <c r="BF735" i="174"/>
  <c r="BG734" i="174"/>
  <c r="BF734" i="174"/>
  <c r="BG733" i="174"/>
  <c r="BF733" i="174"/>
  <c r="BG732" i="174"/>
  <c r="BF732" i="174"/>
  <c r="BG731" i="174"/>
  <c r="BF731" i="174"/>
  <c r="BG730" i="174"/>
  <c r="BF730" i="174"/>
  <c r="BG729" i="174"/>
  <c r="BF729" i="174"/>
  <c r="BG728" i="174"/>
  <c r="BF728" i="174"/>
  <c r="BG727" i="174"/>
  <c r="BF727" i="174"/>
  <c r="BG726" i="174"/>
  <c r="BF726" i="174"/>
  <c r="BG725" i="174"/>
  <c r="BF725" i="174"/>
  <c r="BG724" i="174"/>
  <c r="BF724" i="174"/>
  <c r="BG723" i="174"/>
  <c r="BF723" i="174"/>
  <c r="BG722" i="174"/>
  <c r="BF722" i="174"/>
  <c r="BG721" i="174"/>
  <c r="BF721" i="174"/>
  <c r="BG720" i="174"/>
  <c r="BF720" i="174"/>
  <c r="BG719" i="174"/>
  <c r="BF719" i="174"/>
  <c r="BG718" i="174"/>
  <c r="BF718" i="174"/>
  <c r="BG717" i="174"/>
  <c r="BF717" i="174"/>
  <c r="BG716" i="174"/>
  <c r="BF716" i="174"/>
  <c r="BG715" i="174"/>
  <c r="BF715" i="174"/>
  <c r="BG714" i="174"/>
  <c r="BF714" i="174"/>
  <c r="BG713" i="174"/>
  <c r="BF713" i="174"/>
  <c r="BG712" i="174"/>
  <c r="BF712" i="174"/>
  <c r="BG711" i="174"/>
  <c r="BF711" i="174"/>
  <c r="BG710" i="174"/>
  <c r="BF710" i="174"/>
  <c r="BG709" i="174"/>
  <c r="BF709" i="174"/>
  <c r="BG708" i="174"/>
  <c r="BF708" i="174"/>
  <c r="BG707" i="174"/>
  <c r="BF707" i="174"/>
  <c r="BG706" i="174"/>
  <c r="BF706" i="174"/>
  <c r="BG705" i="174"/>
  <c r="BF705" i="174"/>
  <c r="BG704" i="174"/>
  <c r="BF704" i="174"/>
  <c r="BG703" i="174"/>
  <c r="BF703" i="174"/>
  <c r="BG702" i="174"/>
  <c r="BF702" i="174"/>
  <c r="BG701" i="174"/>
  <c r="BF701" i="174"/>
  <c r="BG700" i="174"/>
  <c r="BF700" i="174"/>
  <c r="BG699" i="174"/>
  <c r="BF699" i="174"/>
  <c r="BG698" i="174"/>
  <c r="BF698" i="174"/>
  <c r="BG697" i="174"/>
  <c r="BF697" i="174"/>
  <c r="BG696" i="174"/>
  <c r="BF696" i="174"/>
  <c r="BG695" i="174"/>
  <c r="BF695" i="174"/>
  <c r="BG694" i="174"/>
  <c r="BF694" i="174"/>
  <c r="BG693" i="174"/>
  <c r="BF693" i="174"/>
  <c r="BG692" i="174"/>
  <c r="BF692" i="174"/>
  <c r="BG691" i="174"/>
  <c r="BF691" i="174"/>
  <c r="BG690" i="174"/>
  <c r="BF690" i="174"/>
  <c r="BG689" i="174"/>
  <c r="BF689" i="174"/>
  <c r="BG688" i="174"/>
  <c r="BF688" i="174"/>
  <c r="BG687" i="174"/>
  <c r="BF687" i="174"/>
  <c r="BG686" i="174"/>
  <c r="BF686" i="174"/>
  <c r="BG685" i="174"/>
  <c r="BF685" i="174"/>
  <c r="BG684" i="174"/>
  <c r="BF684" i="174"/>
  <c r="BG683" i="174"/>
  <c r="BF683" i="174"/>
  <c r="BG682" i="174"/>
  <c r="BF682" i="174"/>
  <c r="BG681" i="174"/>
  <c r="BF681" i="174"/>
  <c r="BG680" i="174"/>
  <c r="BF680" i="174"/>
  <c r="BG679" i="174"/>
  <c r="BF679" i="174"/>
  <c r="BG678" i="174"/>
  <c r="BF678" i="174"/>
  <c r="BG677" i="174"/>
  <c r="BF677" i="174"/>
  <c r="BG676" i="174"/>
  <c r="BF676" i="174"/>
  <c r="BG675" i="174"/>
  <c r="BF675" i="174"/>
  <c r="BG674" i="174"/>
  <c r="BF674" i="174"/>
  <c r="BG673" i="174"/>
  <c r="BF673" i="174"/>
  <c r="BG672" i="174"/>
  <c r="BF672" i="174"/>
  <c r="BG671" i="174"/>
  <c r="BF671" i="174"/>
  <c r="BG670" i="174"/>
  <c r="BF670" i="174"/>
  <c r="BG669" i="174"/>
  <c r="BF669" i="174"/>
  <c r="BG668" i="174"/>
  <c r="BF668" i="174"/>
  <c r="BG667" i="174"/>
  <c r="BF667" i="174"/>
  <c r="BG666" i="174"/>
  <c r="BF666" i="174"/>
  <c r="BG665" i="174"/>
  <c r="BF665" i="174"/>
  <c r="BG664" i="174"/>
  <c r="BF664" i="174"/>
  <c r="BG663" i="174"/>
  <c r="BF663" i="174"/>
  <c r="BG662" i="174"/>
  <c r="BF662" i="174"/>
  <c r="BG661" i="174"/>
  <c r="BF661" i="174"/>
  <c r="BG660" i="174"/>
  <c r="BF660" i="174"/>
  <c r="BG659" i="174"/>
  <c r="BF659" i="174"/>
  <c r="BG658" i="174"/>
  <c r="BF658" i="174"/>
  <c r="BG657" i="174"/>
  <c r="BF657" i="174"/>
  <c r="BG656" i="174"/>
  <c r="BF656" i="174"/>
  <c r="BG655" i="174"/>
  <c r="BF655" i="174"/>
  <c r="BG654" i="174"/>
  <c r="BF654" i="174"/>
  <c r="BG653" i="174"/>
  <c r="BF653" i="174"/>
  <c r="BG652" i="174"/>
  <c r="BF652" i="174"/>
  <c r="BG651" i="174"/>
  <c r="BF651" i="174"/>
  <c r="BG650" i="174"/>
  <c r="BF650" i="174"/>
  <c r="BG649" i="174"/>
  <c r="BF649" i="174"/>
  <c r="BG648" i="174"/>
  <c r="BF648" i="174"/>
  <c r="BG647" i="174"/>
  <c r="BF647" i="174"/>
  <c r="BG646" i="174"/>
  <c r="BF646" i="174"/>
  <c r="BG645" i="174"/>
  <c r="BF645" i="174"/>
  <c r="BG644" i="174"/>
  <c r="BF644" i="174"/>
  <c r="BG643" i="174"/>
  <c r="BF643" i="174"/>
  <c r="BG642" i="174"/>
  <c r="BF642" i="174"/>
  <c r="BG641" i="174"/>
  <c r="BF641" i="174"/>
  <c r="BG640" i="174"/>
  <c r="BF640" i="174"/>
  <c r="BG639" i="174"/>
  <c r="BF639" i="174"/>
  <c r="BG638" i="174"/>
  <c r="BF638" i="174"/>
  <c r="BG637" i="174"/>
  <c r="BF637" i="174"/>
  <c r="BG636" i="174"/>
  <c r="BF636" i="174"/>
  <c r="BG635" i="174"/>
  <c r="BF635" i="174"/>
  <c r="BG634" i="174"/>
  <c r="BF634" i="174"/>
  <c r="BG633" i="174"/>
  <c r="BF633" i="174"/>
  <c r="BG632" i="174"/>
  <c r="BF632" i="174"/>
  <c r="BG631" i="174"/>
  <c r="BF631" i="174"/>
  <c r="BG630" i="174"/>
  <c r="BF630" i="174"/>
  <c r="BG629" i="174"/>
  <c r="BF629" i="174"/>
  <c r="BG628" i="174"/>
  <c r="BF628" i="174"/>
  <c r="BG627" i="174"/>
  <c r="BF627" i="174"/>
  <c r="BG626" i="174"/>
  <c r="BF626" i="174"/>
  <c r="BG625" i="174"/>
  <c r="BF625" i="174"/>
  <c r="BG624" i="174"/>
  <c r="BF624" i="174"/>
  <c r="BG623" i="174"/>
  <c r="BF623" i="174"/>
  <c r="BG622" i="174"/>
  <c r="BF622" i="174"/>
  <c r="BG621" i="174"/>
  <c r="BF621" i="174"/>
  <c r="BG620" i="174"/>
  <c r="BF620" i="174"/>
  <c r="BG619" i="174"/>
  <c r="BF619" i="174"/>
  <c r="BG618" i="174"/>
  <c r="BF618" i="174"/>
  <c r="BG617" i="174"/>
  <c r="BF617" i="174"/>
  <c r="BG616" i="174"/>
  <c r="BF616" i="174"/>
  <c r="BG615" i="174"/>
  <c r="BF615" i="174"/>
  <c r="BG614" i="174"/>
  <c r="BF614" i="174"/>
  <c r="BG613" i="174"/>
  <c r="BF613" i="174"/>
  <c r="BG612" i="174"/>
  <c r="BF612" i="174"/>
  <c r="BG611" i="174"/>
  <c r="BF611" i="174"/>
  <c r="BG610" i="174"/>
  <c r="BF610" i="174"/>
  <c r="BG609" i="174"/>
  <c r="BF609" i="174"/>
  <c r="BG608" i="174"/>
  <c r="BF608" i="174"/>
  <c r="BG607" i="174"/>
  <c r="BF607" i="174"/>
  <c r="BG606" i="174"/>
  <c r="BF606" i="174"/>
  <c r="BG605" i="174"/>
  <c r="BF605" i="174"/>
  <c r="BG604" i="174"/>
  <c r="BF604" i="174"/>
  <c r="BG603" i="174"/>
  <c r="BF603" i="174"/>
  <c r="BG602" i="174"/>
  <c r="BF602" i="174"/>
  <c r="BG601" i="174"/>
  <c r="BF601" i="174"/>
  <c r="BG600" i="174"/>
  <c r="BF600" i="174"/>
  <c r="BG599" i="174"/>
  <c r="BF599" i="174"/>
  <c r="BG598" i="174"/>
  <c r="BF598" i="174"/>
  <c r="BG597" i="174"/>
  <c r="BF597" i="174"/>
  <c r="BG596" i="174"/>
  <c r="BF596" i="174"/>
  <c r="BG595" i="174"/>
  <c r="BF595" i="174"/>
  <c r="BG594" i="174"/>
  <c r="BF594" i="174"/>
  <c r="BG593" i="174"/>
  <c r="BF593" i="174"/>
  <c r="BG592" i="174"/>
  <c r="BF592" i="174"/>
  <c r="BG591" i="174"/>
  <c r="BF591" i="174"/>
  <c r="BG590" i="174"/>
  <c r="BF590" i="174"/>
  <c r="BG589" i="174"/>
  <c r="BF589" i="174"/>
  <c r="BG588" i="174"/>
  <c r="BF588" i="174"/>
  <c r="BG587" i="174"/>
  <c r="BF587" i="174"/>
  <c r="BG586" i="174"/>
  <c r="BF586" i="174"/>
  <c r="BG585" i="174"/>
  <c r="BF585" i="174"/>
  <c r="BG584" i="174"/>
  <c r="BF584" i="174"/>
  <c r="BG583" i="174"/>
  <c r="BF583" i="174"/>
  <c r="BG582" i="174"/>
  <c r="BF582" i="174"/>
  <c r="BG581" i="174"/>
  <c r="BF581" i="174"/>
  <c r="BG580" i="174"/>
  <c r="BF580" i="174"/>
  <c r="BG579" i="174"/>
  <c r="BF579" i="174"/>
  <c r="BG578" i="174"/>
  <c r="BF578" i="174"/>
  <c r="BG577" i="174"/>
  <c r="BF577" i="174"/>
  <c r="BG576" i="174"/>
  <c r="BF576" i="174"/>
  <c r="BG575" i="174"/>
  <c r="BF575" i="174"/>
  <c r="BG574" i="174"/>
  <c r="BF574" i="174"/>
  <c r="BG573" i="174"/>
  <c r="BF573" i="174"/>
  <c r="BG572" i="174"/>
  <c r="BF572" i="174"/>
  <c r="BG571" i="174"/>
  <c r="BF571" i="174"/>
  <c r="BG570" i="174"/>
  <c r="BF570" i="174"/>
  <c r="BG569" i="174"/>
  <c r="BF569" i="174"/>
  <c r="BG568" i="174"/>
  <c r="BF568" i="174"/>
  <c r="BG567" i="174"/>
  <c r="BF567" i="174"/>
  <c r="BG566" i="174"/>
  <c r="BF566" i="174"/>
  <c r="BG565" i="174"/>
  <c r="BF565" i="174"/>
  <c r="BG564" i="174"/>
  <c r="BF564" i="174"/>
  <c r="BG563" i="174"/>
  <c r="BF563" i="174"/>
  <c r="BG562" i="174"/>
  <c r="BF562" i="174"/>
  <c r="BG561" i="174"/>
  <c r="BF561" i="174"/>
  <c r="BG560" i="174"/>
  <c r="BF560" i="174"/>
  <c r="BG559" i="174"/>
  <c r="BF559" i="174"/>
  <c r="BG558" i="174"/>
  <c r="BF558" i="174"/>
  <c r="BG557" i="174"/>
  <c r="BF557" i="174"/>
  <c r="BG556" i="174"/>
  <c r="BF556" i="174"/>
  <c r="BG555" i="174"/>
  <c r="BF555" i="174"/>
  <c r="BG554" i="174"/>
  <c r="BF554" i="174"/>
  <c r="BG553" i="174"/>
  <c r="BF553" i="174"/>
  <c r="BG552" i="174"/>
  <c r="BF552" i="174"/>
  <c r="BG551" i="174"/>
  <c r="BF551" i="174"/>
  <c r="BG550" i="174"/>
  <c r="BF550" i="174"/>
  <c r="BG549" i="174"/>
  <c r="BF549" i="174"/>
  <c r="BG548" i="174"/>
  <c r="BF548" i="174"/>
  <c r="BG547" i="174"/>
  <c r="BF547" i="174"/>
  <c r="BG546" i="174"/>
  <c r="BF546" i="174"/>
  <c r="BG545" i="174"/>
  <c r="BF545" i="174"/>
  <c r="BG544" i="174"/>
  <c r="BF544" i="174"/>
  <c r="BG543" i="174"/>
  <c r="BF543" i="174"/>
  <c r="BG542" i="174"/>
  <c r="BF542" i="174"/>
  <c r="BG541" i="174"/>
  <c r="BF541" i="174"/>
  <c r="BG540" i="174"/>
  <c r="BF540" i="174"/>
  <c r="BG539" i="174"/>
  <c r="BF539" i="174"/>
  <c r="BG538" i="174"/>
  <c r="BF538" i="174"/>
  <c r="BG537" i="174"/>
  <c r="BF537" i="174"/>
  <c r="BG536" i="174"/>
  <c r="BF536" i="174"/>
  <c r="BG535" i="174"/>
  <c r="BF535" i="174"/>
  <c r="BG534" i="174"/>
  <c r="BF534" i="174"/>
  <c r="BG533" i="174"/>
  <c r="BF533" i="174"/>
  <c r="BG532" i="174"/>
  <c r="BF532" i="174"/>
  <c r="BG531" i="174"/>
  <c r="BF531" i="174"/>
  <c r="BG530" i="174"/>
  <c r="BF530" i="174"/>
  <c r="BG529" i="174"/>
  <c r="BF529" i="174"/>
  <c r="BG528" i="174"/>
  <c r="BF528" i="174"/>
  <c r="BG527" i="174"/>
  <c r="BF527" i="174"/>
  <c r="BG526" i="174"/>
  <c r="BF526" i="174"/>
  <c r="BG525" i="174"/>
  <c r="BF525" i="174"/>
  <c r="BG524" i="174"/>
  <c r="BF524" i="174"/>
  <c r="BG523" i="174"/>
  <c r="BF523" i="174"/>
  <c r="BG522" i="174"/>
  <c r="BF522" i="174"/>
  <c r="BG521" i="174"/>
  <c r="BF521" i="174"/>
  <c r="BG520" i="174"/>
  <c r="BF520" i="174"/>
  <c r="BG519" i="174"/>
  <c r="BF519" i="174"/>
  <c r="BG518" i="174"/>
  <c r="BF518" i="174"/>
  <c r="BG517" i="174"/>
  <c r="BF517" i="174"/>
  <c r="BG516" i="174"/>
  <c r="BF516" i="174"/>
  <c r="BG515" i="174"/>
  <c r="BF515" i="174"/>
  <c r="BG514" i="174"/>
  <c r="BF514" i="174"/>
  <c r="BG513" i="174"/>
  <c r="BF513" i="174"/>
  <c r="BG512" i="174"/>
  <c r="BF512" i="174"/>
  <c r="BG511" i="174"/>
  <c r="BF511" i="174"/>
  <c r="BG510" i="174"/>
  <c r="BF510" i="174"/>
  <c r="BG509" i="174"/>
  <c r="BF509" i="174"/>
  <c r="BG508" i="174"/>
  <c r="BF508" i="174"/>
  <c r="BG507" i="174"/>
  <c r="BF507" i="174"/>
  <c r="BG506" i="174"/>
  <c r="BF506" i="174"/>
  <c r="BG505" i="174"/>
  <c r="BF505" i="174"/>
  <c r="BG504" i="174"/>
  <c r="BF504" i="174"/>
  <c r="BG503" i="174"/>
  <c r="BF503" i="174"/>
  <c r="BG502" i="174"/>
  <c r="BF502" i="174"/>
  <c r="BG501" i="174"/>
  <c r="BF501" i="174"/>
  <c r="BG500" i="174"/>
  <c r="BF500" i="174"/>
  <c r="BG499" i="174"/>
  <c r="BF499" i="174"/>
  <c r="BG498" i="174"/>
  <c r="BF498" i="174"/>
  <c r="BG497" i="174"/>
  <c r="BF497" i="174"/>
  <c r="BG496" i="174"/>
  <c r="BF496" i="174"/>
  <c r="BG495" i="174"/>
  <c r="BF495" i="174"/>
  <c r="BG494" i="174"/>
  <c r="BF494" i="174"/>
  <c r="BG493" i="174"/>
  <c r="BF493" i="174"/>
  <c r="BG492" i="174"/>
  <c r="BF492" i="174"/>
  <c r="BG491" i="174"/>
  <c r="BF491" i="174"/>
  <c r="BG490" i="174"/>
  <c r="BF490" i="174"/>
  <c r="BG489" i="174"/>
  <c r="BF489" i="174"/>
  <c r="BG488" i="174"/>
  <c r="BF488" i="174"/>
  <c r="BG487" i="174"/>
  <c r="BF487" i="174"/>
  <c r="BG486" i="174"/>
  <c r="BF486" i="174"/>
  <c r="BG485" i="174"/>
  <c r="BF485" i="174"/>
  <c r="BG484" i="174"/>
  <c r="BF484" i="174"/>
  <c r="BG483" i="174"/>
  <c r="BF483" i="174"/>
  <c r="BG482" i="174"/>
  <c r="BF482" i="174"/>
  <c r="BG481" i="174"/>
  <c r="BF481" i="174"/>
  <c r="BG480" i="174"/>
  <c r="BF480" i="174"/>
  <c r="BG479" i="174"/>
  <c r="BF479" i="174"/>
  <c r="BG478" i="174"/>
  <c r="BF478" i="174"/>
  <c r="BG477" i="174"/>
  <c r="BF477" i="174"/>
  <c r="BG476" i="174"/>
  <c r="BF476" i="174"/>
  <c r="BG475" i="174"/>
  <c r="BF475" i="174"/>
  <c r="BG474" i="174"/>
  <c r="BF474" i="174"/>
  <c r="BG473" i="174"/>
  <c r="BF473" i="174"/>
  <c r="BG472" i="174"/>
  <c r="BF472" i="174"/>
  <c r="BG471" i="174"/>
  <c r="BF471" i="174"/>
  <c r="BG470" i="174"/>
  <c r="BF470" i="174"/>
  <c r="BG469" i="174"/>
  <c r="BF469" i="174"/>
  <c r="BG468" i="174"/>
  <c r="BF468" i="174"/>
  <c r="BG467" i="174"/>
  <c r="BF467" i="174"/>
  <c r="BG466" i="174"/>
  <c r="BF466" i="174"/>
  <c r="BG465" i="174"/>
  <c r="BF465" i="174"/>
  <c r="BG464" i="174"/>
  <c r="BF464" i="174"/>
  <c r="BG463" i="174"/>
  <c r="BF463" i="174"/>
  <c r="BG462" i="174"/>
  <c r="BF462" i="174"/>
  <c r="BG461" i="174"/>
  <c r="BF461" i="174"/>
  <c r="BG460" i="174"/>
  <c r="BF460" i="174"/>
  <c r="BG459" i="174"/>
  <c r="BF459" i="174"/>
  <c r="BG458" i="174"/>
  <c r="BF458" i="174"/>
  <c r="BG457" i="174"/>
  <c r="BF457" i="174"/>
  <c r="BG456" i="174"/>
  <c r="BF456" i="174"/>
  <c r="BG455" i="174"/>
  <c r="BF455" i="174"/>
  <c r="BG454" i="174"/>
  <c r="BF454" i="174"/>
  <c r="BG453" i="174"/>
  <c r="BF453" i="174"/>
  <c r="BG452" i="174"/>
  <c r="BF452" i="174"/>
  <c r="BG451" i="174"/>
  <c r="BF451" i="174"/>
  <c r="BG450" i="174"/>
  <c r="BF450" i="174"/>
  <c r="BG449" i="174"/>
  <c r="BF449" i="174"/>
  <c r="BG448" i="174"/>
  <c r="BF448" i="174"/>
  <c r="BG447" i="174"/>
  <c r="BF447" i="174"/>
  <c r="BG446" i="174"/>
  <c r="BF446" i="174"/>
  <c r="BG445" i="174"/>
  <c r="BF445" i="174"/>
  <c r="BG444" i="174"/>
  <c r="BF444" i="174"/>
  <c r="BG443" i="174"/>
  <c r="BF443" i="174"/>
  <c r="BG442" i="174"/>
  <c r="BF442" i="174"/>
  <c r="BG441" i="174"/>
  <c r="BF441" i="174"/>
  <c r="BG440" i="174"/>
  <c r="BF440" i="174"/>
  <c r="BG439" i="174"/>
  <c r="BF439" i="174"/>
  <c r="BG438" i="174"/>
  <c r="BF438" i="174"/>
  <c r="BG437" i="174"/>
  <c r="BF437" i="174"/>
  <c r="BG436" i="174"/>
  <c r="BF436" i="174"/>
  <c r="BG435" i="174"/>
  <c r="BF435" i="174"/>
  <c r="BG434" i="174"/>
  <c r="BF434" i="174"/>
  <c r="BG433" i="174"/>
  <c r="BF433" i="174"/>
  <c r="BG432" i="174"/>
  <c r="BF432" i="174"/>
  <c r="BG431" i="174"/>
  <c r="BF431" i="174"/>
  <c r="BG430" i="174"/>
  <c r="BF430" i="174"/>
  <c r="BG429" i="174"/>
  <c r="BF429" i="174"/>
  <c r="BG428" i="174"/>
  <c r="BF428" i="174"/>
  <c r="BG427" i="174"/>
  <c r="BF427" i="174"/>
  <c r="BG426" i="174"/>
  <c r="BF426" i="174"/>
  <c r="BG425" i="174"/>
  <c r="BF425" i="174"/>
  <c r="BG424" i="174"/>
  <c r="BF424" i="174"/>
  <c r="BG423" i="174"/>
  <c r="BF423" i="174"/>
  <c r="BG422" i="174"/>
  <c r="BF422" i="174"/>
  <c r="BG421" i="174"/>
  <c r="BF421" i="174"/>
  <c r="BG420" i="174"/>
  <c r="BF420" i="174"/>
  <c r="BG419" i="174"/>
  <c r="BF419" i="174"/>
  <c r="BG418" i="174"/>
  <c r="BF418" i="174"/>
  <c r="BG417" i="174"/>
  <c r="BF417" i="174"/>
  <c r="BG416" i="174"/>
  <c r="BF416" i="174"/>
  <c r="BG415" i="174"/>
  <c r="BF415" i="174"/>
  <c r="BG414" i="174"/>
  <c r="BF414" i="174"/>
  <c r="BG413" i="174"/>
  <c r="BF413" i="174"/>
  <c r="BG412" i="174"/>
  <c r="BF412" i="174"/>
  <c r="BG411" i="174"/>
  <c r="BF411" i="174"/>
  <c r="BG410" i="174"/>
  <c r="BF410" i="174"/>
  <c r="BG409" i="174"/>
  <c r="BF409" i="174"/>
  <c r="BG408" i="174"/>
  <c r="BF408" i="174"/>
  <c r="BG407" i="174"/>
  <c r="BF407" i="174"/>
  <c r="BG406" i="174"/>
  <c r="BF406" i="174"/>
  <c r="BG405" i="174"/>
  <c r="BF405" i="174"/>
  <c r="BG404" i="174"/>
  <c r="BF404" i="174"/>
  <c r="BG403" i="174"/>
  <c r="BF403" i="174"/>
  <c r="BG402" i="174"/>
  <c r="BF402" i="174"/>
  <c r="BG401" i="174"/>
  <c r="BF401" i="174"/>
  <c r="BG400" i="174"/>
  <c r="BF400" i="174"/>
  <c r="BG399" i="174"/>
  <c r="BF399" i="174"/>
  <c r="BG398" i="174"/>
  <c r="BF398" i="174"/>
  <c r="BG397" i="174"/>
  <c r="BF397" i="174"/>
  <c r="BG396" i="174"/>
  <c r="BF396" i="174"/>
  <c r="BG395" i="174"/>
  <c r="BF395" i="174"/>
  <c r="BG394" i="174"/>
  <c r="BF394" i="174"/>
  <c r="BG393" i="174"/>
  <c r="BF393" i="174"/>
  <c r="BG392" i="174"/>
  <c r="BF392" i="174"/>
  <c r="BG391" i="174"/>
  <c r="BF391" i="174"/>
  <c r="BG390" i="174"/>
  <c r="BF390" i="174"/>
  <c r="BG389" i="174"/>
  <c r="BF389" i="174"/>
  <c r="BG388" i="174"/>
  <c r="BF388" i="174"/>
  <c r="BG387" i="174"/>
  <c r="BF387" i="174"/>
  <c r="BG386" i="174"/>
  <c r="BF386" i="174"/>
  <c r="BG385" i="174"/>
  <c r="BF385" i="174"/>
  <c r="BG384" i="174"/>
  <c r="BF384" i="174"/>
  <c r="BG383" i="174"/>
  <c r="BF383" i="174"/>
  <c r="BG382" i="174"/>
  <c r="BF382" i="174"/>
  <c r="BG381" i="174"/>
  <c r="BF381" i="174"/>
  <c r="BG380" i="174"/>
  <c r="BF380" i="174"/>
  <c r="BG379" i="174"/>
  <c r="BF379" i="174"/>
  <c r="BG378" i="174"/>
  <c r="BF378" i="174"/>
  <c r="BG377" i="174"/>
  <c r="BF377" i="174"/>
  <c r="BG376" i="174"/>
  <c r="BF376" i="174"/>
  <c r="BG375" i="174"/>
  <c r="BF375" i="174"/>
  <c r="BG374" i="174"/>
  <c r="BF374" i="174"/>
  <c r="BG373" i="174"/>
  <c r="BF373" i="174"/>
  <c r="BG372" i="174"/>
  <c r="BF372" i="174"/>
  <c r="BG371" i="174"/>
  <c r="BF371" i="174"/>
  <c r="BG370" i="174"/>
  <c r="BF370" i="174"/>
  <c r="BG369" i="174"/>
  <c r="BF369" i="174"/>
  <c r="BG368" i="174"/>
  <c r="BF368" i="174"/>
  <c r="BG367" i="174"/>
  <c r="BF367" i="174"/>
  <c r="BG366" i="174"/>
  <c r="BF366" i="174"/>
  <c r="BG365" i="174"/>
  <c r="BF365" i="174"/>
  <c r="BG364" i="174"/>
  <c r="BF364" i="174"/>
  <c r="BG363" i="174"/>
  <c r="BF363" i="174"/>
  <c r="BG362" i="174"/>
  <c r="BF362" i="174"/>
  <c r="BG361" i="174"/>
  <c r="BF361" i="174"/>
  <c r="BG360" i="174"/>
  <c r="BF360" i="174"/>
  <c r="BG359" i="174"/>
  <c r="BF359" i="174"/>
  <c r="BG358" i="174"/>
  <c r="BF358" i="174"/>
  <c r="BG357" i="174"/>
  <c r="BF357" i="174"/>
  <c r="BG356" i="174"/>
  <c r="BF356" i="174"/>
  <c r="BG355" i="174"/>
  <c r="BF355" i="174"/>
  <c r="BG354" i="174"/>
  <c r="BF354" i="174"/>
  <c r="BG353" i="174"/>
  <c r="BF353" i="174"/>
  <c r="BG352" i="174"/>
  <c r="BF352" i="174"/>
  <c r="BG351" i="174"/>
  <c r="BF351" i="174"/>
  <c r="BG350" i="174"/>
  <c r="BF350" i="174"/>
  <c r="BG349" i="174"/>
  <c r="BF349" i="174"/>
  <c r="BG348" i="174"/>
  <c r="BF348" i="174"/>
  <c r="BG347" i="174"/>
  <c r="BF347" i="174"/>
  <c r="BG346" i="174"/>
  <c r="BF346" i="174"/>
  <c r="BG345" i="174"/>
  <c r="BF345" i="174"/>
  <c r="BG344" i="174"/>
  <c r="BF344" i="174"/>
  <c r="BG343" i="174"/>
  <c r="BF343" i="174"/>
  <c r="BG342" i="174"/>
  <c r="BF342" i="174"/>
  <c r="BG341" i="174"/>
  <c r="BF341" i="174"/>
  <c r="BG340" i="174"/>
  <c r="BF340" i="174"/>
  <c r="BG339" i="174"/>
  <c r="BF339" i="174"/>
  <c r="BG338" i="174"/>
  <c r="BF338" i="174"/>
  <c r="BG337" i="174"/>
  <c r="BF337" i="174"/>
  <c r="BG336" i="174"/>
  <c r="BF336" i="174"/>
  <c r="BG335" i="174"/>
  <c r="BF335" i="174"/>
  <c r="BG334" i="174"/>
  <c r="BF334" i="174"/>
  <c r="BG333" i="174"/>
  <c r="BF333" i="174"/>
  <c r="BG332" i="174"/>
  <c r="BF332" i="174"/>
  <c r="BG331" i="174"/>
  <c r="BF331" i="174"/>
  <c r="BG330" i="174"/>
  <c r="BF330" i="174"/>
  <c r="BG329" i="174"/>
  <c r="BF329" i="174"/>
  <c r="BG328" i="174"/>
  <c r="BF328" i="174"/>
  <c r="BG327" i="174"/>
  <c r="BF327" i="174"/>
  <c r="BG326" i="174"/>
  <c r="BF326" i="174"/>
  <c r="BG325" i="174"/>
  <c r="BF325" i="174"/>
  <c r="BG324" i="174"/>
  <c r="BF324" i="174"/>
  <c r="BG323" i="174"/>
  <c r="BF323" i="174"/>
  <c r="BG322" i="174"/>
  <c r="BF322" i="174"/>
  <c r="BG321" i="174"/>
  <c r="BF321" i="174"/>
  <c r="BG320" i="174"/>
  <c r="BF320" i="174"/>
  <c r="BG319" i="174"/>
  <c r="BF319" i="174"/>
  <c r="BG318" i="174"/>
  <c r="BF318" i="174"/>
  <c r="BG317" i="174"/>
  <c r="BF317" i="174"/>
  <c r="BG316" i="174"/>
  <c r="BF316" i="174"/>
  <c r="BG315" i="174"/>
  <c r="BF315" i="174"/>
  <c r="BG314" i="174"/>
  <c r="BF314" i="174"/>
  <c r="BG313" i="174"/>
  <c r="BF313" i="174"/>
  <c r="BG312" i="174"/>
  <c r="BF312" i="174"/>
  <c r="BG311" i="174"/>
  <c r="BF311" i="174"/>
  <c r="BG310" i="174"/>
  <c r="BF310" i="174"/>
  <c r="BG309" i="174"/>
  <c r="BF309" i="174"/>
  <c r="BG308" i="174"/>
  <c r="BF308" i="174"/>
  <c r="BG307" i="174"/>
  <c r="BF307" i="174"/>
  <c r="BG306" i="174"/>
  <c r="BF306" i="174"/>
  <c r="BG305" i="174"/>
  <c r="BF305" i="174"/>
  <c r="BG304" i="174"/>
  <c r="BF304" i="174"/>
  <c r="BG303" i="174"/>
  <c r="BF303" i="174"/>
  <c r="BG302" i="174"/>
  <c r="BF302" i="174"/>
  <c r="BG301" i="174"/>
  <c r="BF301" i="174"/>
  <c r="BG300" i="174"/>
  <c r="BF300" i="174"/>
  <c r="BG299" i="174"/>
  <c r="BF299" i="174"/>
  <c r="BG298" i="174"/>
  <c r="BF298" i="174"/>
  <c r="BG297" i="174"/>
  <c r="BF297" i="174"/>
  <c r="BG296" i="174"/>
  <c r="BF296" i="174"/>
  <c r="BG295" i="174"/>
  <c r="BF295" i="174"/>
  <c r="BG294" i="174"/>
  <c r="BF294" i="174"/>
  <c r="BG293" i="174"/>
  <c r="BF293" i="174"/>
  <c r="BG292" i="174"/>
  <c r="BF292" i="174"/>
  <c r="BG291" i="174"/>
  <c r="BF291" i="174"/>
  <c r="BG290" i="174"/>
  <c r="BF290" i="174"/>
  <c r="BG289" i="174"/>
  <c r="BF289" i="174"/>
  <c r="BG288" i="174"/>
  <c r="BF288" i="174"/>
  <c r="BG287" i="174"/>
  <c r="BF287" i="174"/>
  <c r="BG286" i="174"/>
  <c r="BF286" i="174"/>
  <c r="BG285" i="174"/>
  <c r="BF285" i="174"/>
  <c r="BG284" i="174"/>
  <c r="BF284" i="174"/>
  <c r="BG283" i="174"/>
  <c r="BF283" i="174"/>
  <c r="BG282" i="174"/>
  <c r="BF282" i="174"/>
  <c r="BG281" i="174"/>
  <c r="BF281" i="174"/>
  <c r="BG280" i="174"/>
  <c r="BF280" i="174"/>
  <c r="BG279" i="174"/>
  <c r="BF279" i="174"/>
  <c r="BG278" i="174"/>
  <c r="BF278" i="174"/>
  <c r="BG277" i="174"/>
  <c r="BF277" i="174"/>
  <c r="BG276" i="174"/>
  <c r="BF276" i="174"/>
  <c r="BG275" i="174"/>
  <c r="BF275" i="174"/>
  <c r="BG274" i="174"/>
  <c r="BF274" i="174"/>
  <c r="BG273" i="174"/>
  <c r="BF273" i="174"/>
  <c r="BG272" i="174"/>
  <c r="BF272" i="174"/>
  <c r="BG271" i="174"/>
  <c r="BF271" i="174"/>
  <c r="BG270" i="174"/>
  <c r="BF270" i="174"/>
  <c r="BG269" i="174"/>
  <c r="BF269" i="174"/>
  <c r="BG268" i="174"/>
  <c r="BF268" i="174"/>
  <c r="BG267" i="174"/>
  <c r="BF267" i="174"/>
  <c r="BG266" i="174"/>
  <c r="BF266" i="174"/>
  <c r="BG265" i="174"/>
  <c r="BF265" i="174"/>
  <c r="BG264" i="174"/>
  <c r="BF264" i="174"/>
  <c r="BG263" i="174"/>
  <c r="BF263" i="174"/>
  <c r="BG262" i="174"/>
  <c r="BF262" i="174"/>
  <c r="BG261" i="174"/>
  <c r="BF261" i="174"/>
  <c r="BG260" i="174"/>
  <c r="BF260" i="174"/>
  <c r="BG259" i="174"/>
  <c r="BF259" i="174"/>
  <c r="BG258" i="174"/>
  <c r="BF258" i="174"/>
  <c r="BG257" i="174"/>
  <c r="BF257" i="174"/>
  <c r="BG256" i="174"/>
  <c r="BF256" i="174"/>
  <c r="BG255" i="174"/>
  <c r="BF255" i="174"/>
  <c r="BG254" i="174"/>
  <c r="BF254" i="174"/>
  <c r="BG253" i="174"/>
  <c r="BF253" i="174"/>
  <c r="BG252" i="174"/>
  <c r="BF252" i="174"/>
  <c r="BG251" i="174"/>
  <c r="BF251" i="174"/>
  <c r="BG250" i="174"/>
  <c r="BF250" i="174"/>
  <c r="BG249" i="174"/>
  <c r="BF249" i="174"/>
  <c r="BG248" i="174"/>
  <c r="BF248" i="174"/>
  <c r="BG247" i="174"/>
  <c r="BF247" i="174"/>
  <c r="BG246" i="174"/>
  <c r="BF246" i="174"/>
  <c r="BG245" i="174"/>
  <c r="BF245" i="174"/>
  <c r="A12" i="174" l="1"/>
  <c r="N12" i="174" s="1"/>
  <c r="Z12" i="174" s="1"/>
  <c r="AS12" i="174" s="1"/>
  <c r="AU529" i="174"/>
  <c r="AU497" i="174"/>
  <c r="AU517" i="174"/>
  <c r="AU521" i="174"/>
  <c r="AU553" i="174"/>
  <c r="AU419" i="174"/>
  <c r="AU427" i="174"/>
  <c r="AU501" i="174"/>
  <c r="AU505" i="174"/>
  <c r="AU533" i="174"/>
  <c r="AU537" i="174"/>
  <c r="AU549" i="174"/>
  <c r="AU593" i="174"/>
  <c r="AU609" i="174"/>
  <c r="AU777" i="174"/>
  <c r="AU1043" i="174"/>
  <c r="AU509" i="174"/>
  <c r="AU513" i="174"/>
  <c r="AU525" i="174"/>
  <c r="AU541" i="174"/>
  <c r="AU545" i="174"/>
  <c r="AU557" i="174"/>
  <c r="AU769" i="174"/>
  <c r="AU818" i="174"/>
  <c r="AU958" i="174"/>
  <c r="AU962" i="174"/>
  <c r="AU964" i="174"/>
  <c r="AU966" i="174"/>
  <c r="AU968" i="174"/>
  <c r="AU970" i="174"/>
  <c r="AU972" i="174"/>
  <c r="AU974" i="174"/>
  <c r="AU976" i="174"/>
  <c r="AU1046" i="174"/>
  <c r="AU472" i="174"/>
  <c r="AU432" i="174"/>
  <c r="AU418" i="174"/>
  <c r="AU426" i="174"/>
  <c r="AU456" i="174"/>
  <c r="AU370" i="174"/>
  <c r="AU377" i="174"/>
  <c r="AU378" i="174"/>
  <c r="AU386" i="174"/>
  <c r="AU394" i="174"/>
  <c r="AU402" i="174"/>
  <c r="AU424" i="174"/>
  <c r="AU587" i="174"/>
  <c r="AU701" i="174"/>
  <c r="AU703" i="174"/>
  <c r="AU711" i="174"/>
  <c r="AU802" i="174"/>
  <c r="AU804" i="174"/>
  <c r="AU814" i="174"/>
  <c r="AU1015" i="174"/>
  <c r="AU1041" i="174"/>
  <c r="AU1048" i="174"/>
  <c r="AU1054" i="174"/>
  <c r="AU601" i="174"/>
  <c r="AU617" i="174"/>
  <c r="AU645" i="174"/>
  <c r="AU649" i="174"/>
  <c r="AU651" i="174"/>
  <c r="AU653" i="174"/>
  <c r="AU657" i="174"/>
  <c r="AU659" i="174"/>
  <c r="AU661" i="174"/>
  <c r="AU665" i="174"/>
  <c r="AU667" i="174"/>
  <c r="AU669" i="174"/>
  <c r="AU673" i="174"/>
  <c r="AU675" i="174"/>
  <c r="AU677" i="174"/>
  <c r="AU681" i="174"/>
  <c r="AU683" i="174"/>
  <c r="AU685" i="174"/>
  <c r="AU689" i="174"/>
  <c r="AU691" i="174"/>
  <c r="AU693" i="174"/>
  <c r="AU697" i="174"/>
  <c r="AU705" i="174"/>
  <c r="AU707" i="174"/>
  <c r="AU713" i="174"/>
  <c r="AU715" i="174"/>
  <c r="AU717" i="174"/>
  <c r="AU719" i="174"/>
  <c r="AU721" i="174"/>
  <c r="AU723" i="174"/>
  <c r="AU725" i="174"/>
  <c r="AU727" i="174"/>
  <c r="AU729" i="174"/>
  <c r="AU731" i="174"/>
  <c r="AU733" i="174"/>
  <c r="AU735" i="174"/>
  <c r="AU737" i="174"/>
  <c r="AU739" i="174"/>
  <c r="AU741" i="174"/>
  <c r="AU743" i="174"/>
  <c r="AU771" i="174"/>
  <c r="AU779" i="174"/>
  <c r="AU822" i="174"/>
  <c r="AU1017" i="174"/>
  <c r="AU1037" i="174"/>
  <c r="AU1045" i="174"/>
  <c r="AU1064" i="174"/>
  <c r="AU1098" i="174"/>
  <c r="AU1128" i="174"/>
  <c r="AU709" i="174"/>
  <c r="AU745" i="174"/>
  <c r="AU1039" i="174"/>
  <c r="BC2" i="174"/>
  <c r="AU411" i="174"/>
  <c r="AU428" i="174"/>
  <c r="AU477" i="174"/>
  <c r="AU493" i="174"/>
  <c r="AU365" i="174"/>
  <c r="AU367" i="174"/>
  <c r="AU368" i="174"/>
  <c r="AU371" i="174"/>
  <c r="AU373" i="174"/>
  <c r="AU374" i="174"/>
  <c r="AU375" i="174"/>
  <c r="AU376" i="174"/>
  <c r="AU381" i="174"/>
  <c r="AU382" i="174"/>
  <c r="AU384" i="174"/>
  <c r="AU387" i="174"/>
  <c r="AU389" i="174"/>
  <c r="AU390" i="174"/>
  <c r="AU391" i="174"/>
  <c r="AU392" i="174"/>
  <c r="AU397" i="174"/>
  <c r="AU398" i="174"/>
  <c r="AU399" i="174"/>
  <c r="AU400" i="174"/>
  <c r="AU403" i="174"/>
  <c r="AU405" i="174"/>
  <c r="AU406" i="174"/>
  <c r="AU407" i="174"/>
  <c r="AU462" i="174"/>
  <c r="AU467" i="174"/>
  <c r="AU478" i="174"/>
  <c r="AU483" i="174"/>
  <c r="AU486" i="174"/>
  <c r="AU383" i="174"/>
  <c r="AU422" i="174"/>
  <c r="AU434" i="174"/>
  <c r="AU450" i="174"/>
  <c r="AU466" i="174"/>
  <c r="AU471" i="174"/>
  <c r="AU473" i="174"/>
  <c r="AU475" i="174"/>
  <c r="AU364" i="174"/>
  <c r="AU372" i="174"/>
  <c r="AU380" i="174"/>
  <c r="AU385" i="174"/>
  <c r="AU388" i="174"/>
  <c r="AU396" i="174"/>
  <c r="AU401" i="174"/>
  <c r="AU404" i="174"/>
  <c r="AU412" i="174"/>
  <c r="AU490" i="174"/>
  <c r="AW2" i="174"/>
  <c r="AV2" i="174"/>
  <c r="AU420" i="174"/>
  <c r="AU430" i="174"/>
  <c r="AU454" i="174"/>
  <c r="AU459" i="174"/>
  <c r="AU470" i="174"/>
  <c r="AU474" i="174"/>
  <c r="AU479" i="174"/>
  <c r="AU482" i="174"/>
  <c r="AU485" i="174"/>
  <c r="AU487" i="174"/>
  <c r="AZ2" i="174"/>
  <c r="AU366" i="174"/>
  <c r="AU409" i="174"/>
  <c r="AU414" i="174"/>
  <c r="AU795" i="174"/>
  <c r="AU797" i="174"/>
  <c r="AU806" i="174"/>
  <c r="AU812" i="174"/>
  <c r="AU813" i="174"/>
  <c r="AU494" i="174"/>
  <c r="AU498" i="174"/>
  <c r="AU502" i="174"/>
  <c r="AU506" i="174"/>
  <c r="AU510" i="174"/>
  <c r="AU514" i="174"/>
  <c r="AU518" i="174"/>
  <c r="AU522" i="174"/>
  <c r="AU526" i="174"/>
  <c r="AU530" i="174"/>
  <c r="AU534" i="174"/>
  <c r="AU538" i="174"/>
  <c r="AU542" i="174"/>
  <c r="AU546" i="174"/>
  <c r="AU550" i="174"/>
  <c r="AU554" i="174"/>
  <c r="AU558" i="174"/>
  <c r="AU1021" i="174"/>
  <c r="AU791" i="174"/>
  <c r="AU799" i="174"/>
  <c r="AU808" i="174"/>
  <c r="AU809" i="174"/>
  <c r="AU824" i="174"/>
  <c r="AU417" i="174"/>
  <c r="AU425" i="174"/>
  <c r="AU586" i="174"/>
  <c r="AU595" i="174"/>
  <c r="AU810" i="174"/>
  <c r="AU785" i="174"/>
  <c r="AU793" i="174"/>
  <c r="AU801" i="174"/>
  <c r="AU820" i="174"/>
  <c r="AU821" i="174"/>
  <c r="AU448" i="174"/>
  <c r="AU451" i="174"/>
  <c r="AU452" i="174"/>
  <c r="AU455" i="174"/>
  <c r="AU460" i="174"/>
  <c r="AU463" i="174"/>
  <c r="AU464" i="174"/>
  <c r="AU468" i="174"/>
  <c r="AU476" i="174"/>
  <c r="AU480" i="174"/>
  <c r="AU484" i="174"/>
  <c r="AU488" i="174"/>
  <c r="AU491" i="174"/>
  <c r="AU492" i="174"/>
  <c r="AU496" i="174"/>
  <c r="AU500" i="174"/>
  <c r="AU504" i="174"/>
  <c r="AU508" i="174"/>
  <c r="AU512" i="174"/>
  <c r="AU516" i="174"/>
  <c r="AU520" i="174"/>
  <c r="AU524" i="174"/>
  <c r="AU528" i="174"/>
  <c r="AU532" i="174"/>
  <c r="AU536" i="174"/>
  <c r="AU540" i="174"/>
  <c r="AU544" i="174"/>
  <c r="AU548" i="174"/>
  <c r="AU552" i="174"/>
  <c r="AU556" i="174"/>
  <c r="AU560" i="174"/>
  <c r="AU589" i="174"/>
  <c r="AU597" i="174"/>
  <c r="AU605" i="174"/>
  <c r="AU613" i="174"/>
  <c r="AU621" i="174"/>
  <c r="AU624" i="174"/>
  <c r="AU626" i="174"/>
  <c r="AU628" i="174"/>
  <c r="AU630" i="174"/>
  <c r="AU636" i="174"/>
  <c r="AU638" i="174"/>
  <c r="AU642" i="174"/>
  <c r="AU646" i="174"/>
  <c r="AU652" i="174"/>
  <c r="AU654" i="174"/>
  <c r="AU658" i="174"/>
  <c r="AU662" i="174"/>
  <c r="AU666" i="174"/>
  <c r="AU668" i="174"/>
  <c r="AU670" i="174"/>
  <c r="AU676" i="174"/>
  <c r="AU678" i="174"/>
  <c r="AU682" i="174"/>
  <c r="AU684" i="174"/>
  <c r="AU686" i="174"/>
  <c r="AU690" i="174"/>
  <c r="AU692" i="174"/>
  <c r="AU694" i="174"/>
  <c r="AU698" i="174"/>
  <c r="AU700" i="174"/>
  <c r="AU702" i="174"/>
  <c r="AU706" i="174"/>
  <c r="AU708" i="174"/>
  <c r="AU710" i="174"/>
  <c r="AU714" i="174"/>
  <c r="AU716" i="174"/>
  <c r="AU718" i="174"/>
  <c r="AU724" i="174"/>
  <c r="AU726" i="174"/>
  <c r="AU730" i="174"/>
  <c r="AU732" i="174"/>
  <c r="AU734" i="174"/>
  <c r="AU738" i="174"/>
  <c r="AU740" i="174"/>
  <c r="AU742" i="174"/>
  <c r="AU746" i="174"/>
  <c r="AU748" i="174"/>
  <c r="AU750" i="174"/>
  <c r="AU754" i="174"/>
  <c r="AU756" i="174"/>
  <c r="AU758" i="174"/>
  <c r="AU764" i="174"/>
  <c r="AU766" i="174"/>
  <c r="AU770" i="174"/>
  <c r="AU772" i="174"/>
  <c r="AU774" i="174"/>
  <c r="AU787" i="174"/>
  <c r="AU789" i="174"/>
  <c r="AU800" i="174"/>
  <c r="AU807" i="174"/>
  <c r="AU816" i="174"/>
  <c r="AU817" i="174"/>
  <c r="AU408" i="174"/>
  <c r="AU413" i="174"/>
  <c r="AU416" i="174"/>
  <c r="AU433" i="174"/>
  <c r="AU495" i="174"/>
  <c r="AU499" i="174"/>
  <c r="AU503" i="174"/>
  <c r="AU507" i="174"/>
  <c r="AU511" i="174"/>
  <c r="AU515" i="174"/>
  <c r="AU519" i="174"/>
  <c r="AU523" i="174"/>
  <c r="AU527" i="174"/>
  <c r="AU531" i="174"/>
  <c r="AU535" i="174"/>
  <c r="AU539" i="174"/>
  <c r="AU543" i="174"/>
  <c r="AU547" i="174"/>
  <c r="AU551" i="174"/>
  <c r="AU555" i="174"/>
  <c r="AU559" i="174"/>
  <c r="AU561" i="174"/>
  <c r="AU565" i="174"/>
  <c r="AU567" i="174"/>
  <c r="AU569" i="174"/>
  <c r="AU571" i="174"/>
  <c r="AU573" i="174"/>
  <c r="AU575" i="174"/>
  <c r="AU577" i="174"/>
  <c r="AU579" i="174"/>
  <c r="AU581" i="174"/>
  <c r="AU583" i="174"/>
  <c r="AU585" i="174"/>
  <c r="AU591" i="174"/>
  <c r="AU594" i="174"/>
  <c r="AU599" i="174"/>
  <c r="AU602" i="174"/>
  <c r="AU607" i="174"/>
  <c r="AU610" i="174"/>
  <c r="AU615" i="174"/>
  <c r="AU618" i="174"/>
  <c r="AU805" i="174"/>
  <c r="AU811" i="174"/>
  <c r="AU819" i="174"/>
  <c r="AU890" i="174"/>
  <c r="AU894" i="174"/>
  <c r="AU898" i="174"/>
  <c r="AU902" i="174"/>
  <c r="AU912" i="174"/>
  <c r="AU916" i="174"/>
  <c r="AU920" i="174"/>
  <c r="AU924" i="174"/>
  <c r="AU928" i="174"/>
  <c r="AU932" i="174"/>
  <c r="AU1047" i="174"/>
  <c r="AU1049" i="174"/>
  <c r="AU1051" i="174"/>
  <c r="AU1052" i="174"/>
  <c r="AU1053" i="174"/>
  <c r="AU1055" i="174"/>
  <c r="AU1056" i="174"/>
  <c r="AU1057" i="174"/>
  <c r="AU1060" i="174"/>
  <c r="AU1061" i="174"/>
  <c r="AU1065" i="174"/>
  <c r="AU1068" i="174"/>
  <c r="AU1069" i="174"/>
  <c r="AU1072" i="174"/>
  <c r="AU1073" i="174"/>
  <c r="AU1076" i="174"/>
  <c r="AU1077" i="174"/>
  <c r="AU1080" i="174"/>
  <c r="AU1081" i="174"/>
  <c r="AU1084" i="174"/>
  <c r="AU1085" i="174"/>
  <c r="AU1088" i="174"/>
  <c r="AU1089" i="174"/>
  <c r="AU1092" i="174"/>
  <c r="AU1093" i="174"/>
  <c r="AU1096" i="174"/>
  <c r="AU1097" i="174"/>
  <c r="AU1100" i="174"/>
  <c r="AU1101" i="174"/>
  <c r="AU1104" i="174"/>
  <c r="AU1105" i="174"/>
  <c r="AU1108" i="174"/>
  <c r="AU1109" i="174"/>
  <c r="AU1112" i="174"/>
  <c r="AU1113" i="174"/>
  <c r="AU1116" i="174"/>
  <c r="AU1117" i="174"/>
  <c r="AU1120" i="174"/>
  <c r="AU1121" i="174"/>
  <c r="AU1124" i="174"/>
  <c r="AU1125" i="174"/>
  <c r="AU1129" i="174"/>
  <c r="AU980" i="174"/>
  <c r="AU984" i="174"/>
  <c r="AU988" i="174"/>
  <c r="AU992" i="174"/>
  <c r="AU996" i="174"/>
  <c r="AU1000" i="174"/>
  <c r="AU1014" i="174"/>
  <c r="AU1016" i="174"/>
  <c r="AU1018" i="174"/>
  <c r="AU1036" i="174"/>
  <c r="AU1040" i="174"/>
  <c r="AU1044" i="174"/>
  <c r="AU803" i="174"/>
  <c r="AU815" i="174"/>
  <c r="AU823" i="174"/>
  <c r="AU891" i="174"/>
  <c r="AU892" i="174"/>
  <c r="AU900" i="174"/>
  <c r="AU944" i="174"/>
  <c r="AU946" i="174"/>
  <c r="AU948" i="174"/>
  <c r="AU950" i="174"/>
  <c r="AU952" i="174"/>
  <c r="AU1050" i="174"/>
  <c r="AU1058" i="174"/>
  <c r="AU1059" i="174"/>
  <c r="AU1062" i="174"/>
  <c r="AU1063" i="174"/>
  <c r="AU1066" i="174"/>
  <c r="AU1067" i="174"/>
  <c r="AU1070" i="174"/>
  <c r="AU1071" i="174"/>
  <c r="AU1074" i="174"/>
  <c r="AU1075" i="174"/>
  <c r="AU1078" i="174"/>
  <c r="AU1079" i="174"/>
  <c r="AU1082" i="174"/>
  <c r="AU1083" i="174"/>
  <c r="AU1086" i="174"/>
  <c r="AU1087" i="174"/>
  <c r="AU1090" i="174"/>
  <c r="AU1091" i="174"/>
  <c r="AU1094" i="174"/>
  <c r="AU1095" i="174"/>
  <c r="AU1099" i="174"/>
  <c r="AU1102" i="174"/>
  <c r="AU1103" i="174"/>
  <c r="AU1106" i="174"/>
  <c r="AU1107" i="174"/>
  <c r="AU1110" i="174"/>
  <c r="AU1111" i="174"/>
  <c r="AU1114" i="174"/>
  <c r="AU1115" i="174"/>
  <c r="AU1118" i="174"/>
  <c r="AU1119" i="174"/>
  <c r="AU1122" i="174"/>
  <c r="AU1123" i="174"/>
  <c r="AU1126" i="174"/>
  <c r="AU1127" i="174"/>
  <c r="AU1130" i="174"/>
  <c r="AU978" i="174"/>
  <c r="AU982" i="174"/>
  <c r="AU986" i="174"/>
  <c r="AU990" i="174"/>
  <c r="AU998" i="174"/>
  <c r="AU1002" i="174"/>
  <c r="AU1019" i="174"/>
  <c r="AU1020" i="174"/>
  <c r="AU1038" i="174"/>
  <c r="AU1042" i="174"/>
  <c r="AU447" i="174"/>
  <c r="AU246" i="174"/>
  <c r="AU247" i="174"/>
  <c r="AU249" i="174"/>
  <c r="AU250" i="174"/>
  <c r="AU251" i="174"/>
  <c r="AU253" i="174"/>
  <c r="AU254" i="174"/>
  <c r="AU255" i="174"/>
  <c r="AU257" i="174"/>
  <c r="AU258" i="174"/>
  <c r="AU259" i="174"/>
  <c r="AU261" i="174"/>
  <c r="AU262" i="174"/>
  <c r="AU263" i="174"/>
  <c r="AU265" i="174"/>
  <c r="AU266" i="174"/>
  <c r="AU267" i="174"/>
  <c r="AU269" i="174"/>
  <c r="AU270" i="174"/>
  <c r="AU271" i="174"/>
  <c r="AU273" i="174"/>
  <c r="AU274" i="174"/>
  <c r="AU275" i="174"/>
  <c r="AU277" i="174"/>
  <c r="AU278" i="174"/>
  <c r="AU279" i="174"/>
  <c r="AU281" i="174"/>
  <c r="AU282" i="174"/>
  <c r="AU283" i="174"/>
  <c r="AU285" i="174"/>
  <c r="AU286" i="174"/>
  <c r="AU287" i="174"/>
  <c r="AU289" i="174"/>
  <c r="AU290" i="174"/>
  <c r="AU291" i="174"/>
  <c r="AU293" i="174"/>
  <c r="AU294" i="174"/>
  <c r="AU295" i="174"/>
  <c r="AU297" i="174"/>
  <c r="AU298" i="174"/>
  <c r="AU299" i="174"/>
  <c r="AU301" i="174"/>
  <c r="AU302" i="174"/>
  <c r="AU303" i="174"/>
  <c r="AU305" i="174"/>
  <c r="AU306" i="174"/>
  <c r="AU307" i="174"/>
  <c r="AU309" i="174"/>
  <c r="AU310" i="174"/>
  <c r="AU311" i="174"/>
  <c r="AU313" i="174"/>
  <c r="AU314" i="174"/>
  <c r="AU315" i="174"/>
  <c r="AU317" i="174"/>
  <c r="AU318" i="174"/>
  <c r="AU319" i="174"/>
  <c r="AU321" i="174"/>
  <c r="AU322" i="174"/>
  <c r="AU323" i="174"/>
  <c r="AU325" i="174"/>
  <c r="AU326" i="174"/>
  <c r="AU327" i="174"/>
  <c r="AU329" i="174"/>
  <c r="AU330" i="174"/>
  <c r="AU331" i="174"/>
  <c r="AU333" i="174"/>
  <c r="AU334" i="174"/>
  <c r="AU335" i="174"/>
  <c r="AU337" i="174"/>
  <c r="AU338" i="174"/>
  <c r="AU339" i="174"/>
  <c r="AU341" i="174"/>
  <c r="AU342" i="174"/>
  <c r="AU343" i="174"/>
  <c r="AU345" i="174"/>
  <c r="AU346" i="174"/>
  <c r="AU347" i="174"/>
  <c r="AU349" i="174"/>
  <c r="AU350" i="174"/>
  <c r="AU351" i="174"/>
  <c r="AU352" i="174"/>
  <c r="AU353" i="174"/>
  <c r="AU354" i="174"/>
  <c r="AU355" i="174"/>
  <c r="AU357" i="174"/>
  <c r="AU358" i="174"/>
  <c r="AU359" i="174"/>
  <c r="AU360" i="174"/>
  <c r="AU361" i="174"/>
  <c r="AU362" i="174"/>
  <c r="AU435" i="174"/>
  <c r="AU436" i="174"/>
  <c r="AU437" i="174"/>
  <c r="AU445" i="174"/>
  <c r="AU446" i="174"/>
  <c r="AU590" i="174"/>
  <c r="AU598" i="174"/>
  <c r="AU606" i="174"/>
  <c r="AU614" i="174"/>
  <c r="AU622" i="174"/>
  <c r="AU632" i="174"/>
  <c r="AU634" i="174"/>
  <c r="AU640" i="174"/>
  <c r="AU644" i="174"/>
  <c r="AU648" i="174"/>
  <c r="AU650" i="174"/>
  <c r="AU656" i="174"/>
  <c r="AU660" i="174"/>
  <c r="AU664" i="174"/>
  <c r="AU672" i="174"/>
  <c r="AU674" i="174"/>
  <c r="AU680" i="174"/>
  <c r="AU688" i="174"/>
  <c r="AU696" i="174"/>
  <c r="AU704" i="174"/>
  <c r="AU712" i="174"/>
  <c r="AU720" i="174"/>
  <c r="AU722" i="174"/>
  <c r="AU728" i="174"/>
  <c r="AU736" i="174"/>
  <c r="AU744" i="174"/>
  <c r="AU752" i="174"/>
  <c r="AU760" i="174"/>
  <c r="AU762" i="174"/>
  <c r="AU768" i="174"/>
  <c r="AU776" i="174"/>
  <c r="AU778" i="174"/>
  <c r="AU562" i="174"/>
  <c r="AU564" i="174"/>
  <c r="AU566" i="174"/>
  <c r="AU568" i="174"/>
  <c r="AU570" i="174"/>
  <c r="AU572" i="174"/>
  <c r="AU574" i="174"/>
  <c r="AU576" i="174"/>
  <c r="AU578" i="174"/>
  <c r="AU580" i="174"/>
  <c r="AU582" i="174"/>
  <c r="AU584" i="174"/>
  <c r="AU603" i="174"/>
  <c r="AU611" i="174"/>
  <c r="AU619" i="174"/>
  <c r="AU588" i="174"/>
  <c r="AU592" i="174"/>
  <c r="AU596" i="174"/>
  <c r="AU600" i="174"/>
  <c r="AU604" i="174"/>
  <c r="AU608" i="174"/>
  <c r="AU612" i="174"/>
  <c r="AU616" i="174"/>
  <c r="AU620" i="174"/>
  <c r="AU781" i="174"/>
  <c r="AU623" i="174"/>
  <c r="AU629" i="174"/>
  <c r="AU633" i="174"/>
  <c r="AU635" i="174"/>
  <c r="AU637" i="174"/>
  <c r="AU641" i="174"/>
  <c r="AU643" i="174"/>
  <c r="AU783" i="174"/>
  <c r="AU825" i="174"/>
  <c r="AU833" i="174"/>
  <c r="AU788" i="174"/>
  <c r="AU790" i="174"/>
  <c r="AU792" i="174"/>
  <c r="AU794" i="174"/>
  <c r="AU796" i="174"/>
  <c r="AU798" i="174"/>
  <c r="AU827" i="174"/>
  <c r="AU830" i="174"/>
  <c r="AU838" i="174"/>
  <c r="AU829" i="174"/>
  <c r="AU837" i="174"/>
  <c r="AU826" i="174"/>
  <c r="AU915" i="174"/>
  <c r="AU839" i="174"/>
  <c r="AU840" i="174"/>
  <c r="AU841" i="174"/>
  <c r="AU843" i="174"/>
  <c r="AU845" i="174"/>
  <c r="AU847" i="174"/>
  <c r="AU848" i="174"/>
  <c r="AU849" i="174"/>
  <c r="AU851" i="174"/>
  <c r="AU853" i="174"/>
  <c r="AU855" i="174"/>
  <c r="AU856" i="174"/>
  <c r="AU857" i="174"/>
  <c r="AU859" i="174"/>
  <c r="AU861" i="174"/>
  <c r="AU863" i="174"/>
  <c r="AU864" i="174"/>
  <c r="AU865" i="174"/>
  <c r="AU867" i="174"/>
  <c r="AU869" i="174"/>
  <c r="AU871" i="174"/>
  <c r="AU872" i="174"/>
  <c r="AU873" i="174"/>
  <c r="AU875" i="174"/>
  <c r="AU877" i="174"/>
  <c r="AU879" i="174"/>
  <c r="AU880" i="174"/>
  <c r="AU881" i="174"/>
  <c r="AU883" i="174"/>
  <c r="AU885" i="174"/>
  <c r="AU887" i="174"/>
  <c r="AU888" i="174"/>
  <c r="AU913" i="174"/>
  <c r="AU914" i="174"/>
  <c r="AU918" i="174"/>
  <c r="AU922" i="174"/>
  <c r="AU926" i="174"/>
  <c r="AU930" i="174"/>
  <c r="AU934" i="174"/>
  <c r="AU906" i="174"/>
  <c r="AU908" i="174"/>
  <c r="AU910" i="174"/>
  <c r="AU895" i="174"/>
  <c r="AU938" i="174"/>
  <c r="AU940" i="174"/>
  <c r="AU954" i="174"/>
  <c r="AU956" i="174"/>
  <c r="AU960" i="174"/>
  <c r="AU994" i="174"/>
  <c r="AU1022" i="174"/>
  <c r="AU1023" i="174"/>
  <c r="AU1031" i="174"/>
  <c r="AU919" i="174"/>
  <c r="AU923" i="174"/>
  <c r="AU927" i="174"/>
  <c r="AU931" i="174"/>
  <c r="AU935" i="174"/>
  <c r="AU939" i="174"/>
  <c r="AU941" i="174"/>
  <c r="AU943" i="174"/>
  <c r="AU947" i="174"/>
  <c r="AU949" i="174"/>
  <c r="AU951" i="174"/>
  <c r="AU955" i="174"/>
  <c r="AU957" i="174"/>
  <c r="AU959" i="174"/>
  <c r="AU961" i="174"/>
  <c r="AU963" i="174"/>
  <c r="AU965" i="174"/>
  <c r="AU967" i="174"/>
  <c r="AU969" i="174"/>
  <c r="AU971" i="174"/>
  <c r="AU973" i="174"/>
  <c r="AU975" i="174"/>
  <c r="AU977" i="174"/>
  <c r="AU979" i="174"/>
  <c r="AU981" i="174"/>
  <c r="AU983" i="174"/>
  <c r="AU985" i="174"/>
  <c r="AU987" i="174"/>
  <c r="AU989" i="174"/>
  <c r="AU991" i="174"/>
  <c r="AU993" i="174"/>
  <c r="AU997" i="174"/>
  <c r="AU999" i="174"/>
  <c r="AU1001" i="174"/>
  <c r="AU1003" i="174"/>
  <c r="AU1005" i="174"/>
  <c r="AU1007" i="174"/>
  <c r="AU1009" i="174"/>
  <c r="AU1011" i="174"/>
  <c r="AU1013" i="174"/>
  <c r="AU1025" i="174"/>
  <c r="AU1033" i="174"/>
  <c r="AU1027" i="174"/>
  <c r="AU1035" i="174"/>
  <c r="AU1029" i="174"/>
  <c r="A13" i="174" l="1"/>
  <c r="A14" i="174" s="1"/>
  <c r="A15" i="174" s="1"/>
  <c r="A16" i="174" s="1"/>
  <c r="N16" i="174" s="1"/>
  <c r="Z16" i="174" s="1"/>
  <c r="AS16" i="174" s="1"/>
  <c r="AU905" i="174"/>
  <c r="AU889" i="174"/>
  <c r="AU933" i="174"/>
  <c r="AU925" i="174"/>
  <c r="AU909" i="174"/>
  <c r="AU886" i="174"/>
  <c r="AU878" i="174"/>
  <c r="AU870" i="174"/>
  <c r="AU862" i="174"/>
  <c r="AU854" i="174"/>
  <c r="AU846" i="174"/>
  <c r="AU1028" i="174"/>
  <c r="AU917" i="174"/>
  <c r="AU439" i="174"/>
  <c r="AU1034" i="174"/>
  <c r="AU897" i="174"/>
  <c r="AU1032" i="174"/>
  <c r="AU369" i="174"/>
  <c r="AU1026" i="174"/>
  <c r="AU773" i="174"/>
  <c r="AU336" i="174"/>
  <c r="AU328" i="174"/>
  <c r="AU320" i="174"/>
  <c r="AU312" i="174"/>
  <c r="AU304" i="174"/>
  <c r="AU296" i="174"/>
  <c r="AU288" i="174"/>
  <c r="AU280" i="174"/>
  <c r="AU272" i="174"/>
  <c r="AU264" i="174"/>
  <c r="AU256" i="174"/>
  <c r="AU248" i="174"/>
  <c r="AU458" i="174"/>
  <c r="AU699" i="174"/>
  <c r="AU441" i="174"/>
  <c r="AU489" i="174"/>
  <c r="AU395" i="174"/>
  <c r="AU363" i="174"/>
  <c r="AU695" i="174"/>
  <c r="AU687" i="174"/>
  <c r="AU679" i="174"/>
  <c r="AU671" i="174"/>
  <c r="AU663" i="174"/>
  <c r="AU655" i="174"/>
  <c r="AU647" i="174"/>
  <c r="AU907" i="174"/>
  <c r="AU431" i="174"/>
  <c r="AU784" i="174"/>
  <c r="AU481" i="174"/>
  <c r="AU1008" i="174"/>
  <c r="AU899" i="174"/>
  <c r="AU893" i="174"/>
  <c r="AU393" i="174"/>
  <c r="AU1004" i="174"/>
  <c r="AU903" i="174"/>
  <c r="AU936" i="174"/>
  <c r="AU942" i="174"/>
  <c r="AU379" i="174"/>
  <c r="AU901" i="174"/>
  <c r="AU780" i="174"/>
  <c r="AU775" i="174"/>
  <c r="AU765" i="174"/>
  <c r="AU761" i="174"/>
  <c r="AU757" i="174"/>
  <c r="AU753" i="174"/>
  <c r="AU749" i="174"/>
  <c r="AY2" i="174"/>
  <c r="AU1030" i="174"/>
  <c r="AU884" i="174"/>
  <c r="AU852" i="174"/>
  <c r="AU836" i="174"/>
  <c r="AU860" i="174"/>
  <c r="AU844" i="174"/>
  <c r="AU443" i="174"/>
  <c r="AU953" i="174"/>
  <c r="AU945" i="174"/>
  <c r="AU937" i="174"/>
  <c r="AU929" i="174"/>
  <c r="AU921" i="174"/>
  <c r="AU832" i="174"/>
  <c r="AU835" i="174"/>
  <c r="AU786" i="174"/>
  <c r="AU442" i="174"/>
  <c r="AU356" i="174"/>
  <c r="AU348" i="174"/>
  <c r="AU344" i="174"/>
  <c r="AU340" i="174"/>
  <c r="AU332" i="174"/>
  <c r="AU324" i="174"/>
  <c r="AU316" i="174"/>
  <c r="AU308" i="174"/>
  <c r="AU300" i="174"/>
  <c r="AU292" i="174"/>
  <c r="AU284" i="174"/>
  <c r="AU276" i="174"/>
  <c r="AU268" i="174"/>
  <c r="AU260" i="174"/>
  <c r="AU252" i="174"/>
  <c r="AU1010" i="174"/>
  <c r="AU410" i="174"/>
  <c r="BB2" i="174"/>
  <c r="AU782" i="174"/>
  <c r="AU767" i="174"/>
  <c r="AU763" i="174"/>
  <c r="AU759" i="174"/>
  <c r="AU755" i="174"/>
  <c r="AU751" i="174"/>
  <c r="AU747" i="174"/>
  <c r="AU911" i="174"/>
  <c r="AU876" i="174"/>
  <c r="AU868" i="174"/>
  <c r="AU834" i="174"/>
  <c r="AU828" i="174"/>
  <c r="AU625" i="174"/>
  <c r="AU1024" i="174"/>
  <c r="AU995" i="174"/>
  <c r="AU882" i="174"/>
  <c r="AU874" i="174"/>
  <c r="AU866" i="174"/>
  <c r="AU858" i="174"/>
  <c r="AU850" i="174"/>
  <c r="AU842" i="174"/>
  <c r="AU831" i="174"/>
  <c r="AU639" i="174"/>
  <c r="AU631" i="174"/>
  <c r="AU627" i="174"/>
  <c r="AU438" i="174"/>
  <c r="AU444" i="174"/>
  <c r="AU440" i="174"/>
  <c r="AU1012" i="174"/>
  <c r="AU904" i="174"/>
  <c r="AU896" i="174"/>
  <c r="AU1006" i="174"/>
  <c r="AU563" i="174"/>
  <c r="BA2" i="174"/>
  <c r="AU423" i="174"/>
  <c r="AU453" i="174"/>
  <c r="AU449" i="174"/>
  <c r="AU421" i="174"/>
  <c r="BE2" i="174"/>
  <c r="AU457" i="174"/>
  <c r="AU415" i="174"/>
  <c r="AU245" i="174"/>
  <c r="BD2" i="174"/>
  <c r="AU461" i="174"/>
  <c r="AX2" i="174"/>
  <c r="AU469" i="174"/>
  <c r="AU429" i="174"/>
  <c r="AU465" i="174"/>
  <c r="N15" i="174" l="1"/>
  <c r="Z15" i="174" s="1"/>
  <c r="AS15" i="174" s="1"/>
  <c r="A17" i="174"/>
  <c r="A18" i="174" s="1"/>
  <c r="N14" i="174"/>
  <c r="Z14" i="174" s="1"/>
  <c r="AS14" i="174" s="1"/>
  <c r="N13" i="174"/>
  <c r="Z13" i="174" s="1"/>
  <c r="AS13" i="174" s="1"/>
  <c r="AU2" i="174"/>
  <c r="N17" i="174" l="1"/>
  <c r="Z17" i="174" s="1"/>
  <c r="AS17" i="174" s="1"/>
  <c r="A19" i="174"/>
  <c r="N18" i="174"/>
  <c r="Z18" i="174" s="1"/>
  <c r="AS18" i="174" s="1"/>
  <c r="F96" i="159"/>
  <c r="F95" i="159"/>
  <c r="F94" i="159"/>
  <c r="F93" i="159"/>
  <c r="F92" i="159"/>
  <c r="F91" i="159"/>
  <c r="F90" i="159"/>
  <c r="F89" i="159"/>
  <c r="F26" i="61"/>
  <c r="F19" i="61"/>
  <c r="F12" i="61"/>
  <c r="N19" i="174" l="1"/>
  <c r="Z19" i="174" s="1"/>
  <c r="AS19" i="174" s="1"/>
  <c r="A20" i="174"/>
  <c r="D4" i="173"/>
  <c r="D1" i="110"/>
  <c r="L1" i="110" s="1"/>
  <c r="A21" i="174" l="1"/>
  <c r="N20" i="174"/>
  <c r="Z20" i="174" s="1"/>
  <c r="AS20" i="174" s="1"/>
  <c r="F11" i="172"/>
  <c r="H11" i="172" s="1"/>
  <c r="F10" i="172"/>
  <c r="H10" i="172" s="1"/>
  <c r="F9" i="172"/>
  <c r="H9" i="172" s="1"/>
  <c r="F8" i="172"/>
  <c r="H8" i="172" s="1"/>
  <c r="A22" i="174" l="1"/>
  <c r="N21" i="174"/>
  <c r="Z21" i="174" s="1"/>
  <c r="AS21" i="174" s="1"/>
  <c r="A23" i="174" l="1"/>
  <c r="N22" i="174"/>
  <c r="Z22" i="174" s="1"/>
  <c r="AS22" i="174" s="1"/>
  <c r="W99" i="165"/>
  <c r="W98" i="165"/>
  <c r="W96" i="165"/>
  <c r="W95" i="165"/>
  <c r="W77" i="165"/>
  <c r="W68" i="165"/>
  <c r="W66" i="165"/>
  <c r="W43" i="165"/>
  <c r="W31" i="165"/>
  <c r="W31" i="166"/>
  <c r="W43" i="166"/>
  <c r="W66" i="166"/>
  <c r="W68" i="166"/>
  <c r="W77" i="166"/>
  <c r="W95" i="166"/>
  <c r="W96" i="166"/>
  <c r="W98" i="166"/>
  <c r="W99" i="166"/>
  <c r="J37" i="171"/>
  <c r="J32" i="171"/>
  <c r="J33" i="171"/>
  <c r="J34" i="171"/>
  <c r="J35" i="171"/>
  <c r="A24" i="174" l="1"/>
  <c r="N23" i="174"/>
  <c r="Z23" i="174" s="1"/>
  <c r="AS23" i="174" s="1"/>
  <c r="G60" i="171"/>
  <c r="L60" i="171" s="1"/>
  <c r="B60" i="171"/>
  <c r="J42" i="171"/>
  <c r="J41" i="171"/>
  <c r="J31" i="171"/>
  <c r="H42" i="171"/>
  <c r="H41" i="171"/>
  <c r="H35" i="171"/>
  <c r="H34" i="171"/>
  <c r="H33" i="171"/>
  <c r="H32" i="171"/>
  <c r="H31" i="171"/>
  <c r="F42" i="171"/>
  <c r="D42" i="171" s="1"/>
  <c r="F41" i="171"/>
  <c r="F35" i="171"/>
  <c r="D35" i="171" s="1"/>
  <c r="F34" i="171"/>
  <c r="D34" i="171" s="1"/>
  <c r="F33" i="171"/>
  <c r="D33" i="171" s="1"/>
  <c r="F32" i="171"/>
  <c r="F31" i="171"/>
  <c r="F30" i="171"/>
  <c r="L61" i="171"/>
  <c r="D32" i="171"/>
  <c r="B6" i="171"/>
  <c r="C6" i="171" s="1"/>
  <c r="D6" i="171" s="1"/>
  <c r="E6" i="171" s="1"/>
  <c r="F6" i="171" s="1"/>
  <c r="G6" i="171" s="1"/>
  <c r="H6" i="171" s="1"/>
  <c r="I6" i="171" s="1"/>
  <c r="J6" i="171" s="1"/>
  <c r="K6" i="171" s="1"/>
  <c r="L6" i="171" s="1"/>
  <c r="M6" i="171" s="1"/>
  <c r="N6" i="171" s="1"/>
  <c r="O6" i="171" s="1"/>
  <c r="P6" i="171" s="1"/>
  <c r="Q6" i="171" s="1"/>
  <c r="R6" i="171" s="1"/>
  <c r="S6" i="171" s="1"/>
  <c r="B149" i="170"/>
  <c r="B150" i="170" s="1"/>
  <c r="B151" i="170" s="1"/>
  <c r="B152" i="170" s="1"/>
  <c r="B153" i="170" s="1"/>
  <c r="B154" i="170" s="1"/>
  <c r="B155" i="170" s="1"/>
  <c r="B156" i="170" s="1"/>
  <c r="B157" i="170" s="1"/>
  <c r="B158" i="170" s="1"/>
  <c r="B159" i="170" s="1"/>
  <c r="B160" i="170" s="1"/>
  <c r="B161" i="170" s="1"/>
  <c r="B162" i="170" s="1"/>
  <c r="B163" i="170" s="1"/>
  <c r="B164" i="170" s="1"/>
  <c r="B165" i="170" s="1"/>
  <c r="B166" i="170" s="1"/>
  <c r="B167" i="170" s="1"/>
  <c r="B168" i="170" s="1"/>
  <c r="B169" i="170" s="1"/>
  <c r="B170" i="170" s="1"/>
  <c r="B171" i="170" s="1"/>
  <c r="B172" i="170" s="1"/>
  <c r="B173" i="170" s="1"/>
  <c r="B174" i="170" s="1"/>
  <c r="B175" i="170" s="1"/>
  <c r="B176" i="170" s="1"/>
  <c r="B177" i="170" s="1"/>
  <c r="B178" i="170" s="1"/>
  <c r="B179" i="170" s="1"/>
  <c r="B180" i="170" s="1"/>
  <c r="B181" i="170" s="1"/>
  <c r="B182" i="170" s="1"/>
  <c r="B183" i="170" s="1"/>
  <c r="B184" i="170" s="1"/>
  <c r="B185" i="170" s="1"/>
  <c r="B186" i="170" s="1"/>
  <c r="B187" i="170" s="1"/>
  <c r="B188" i="170" s="1"/>
  <c r="B189" i="170" s="1"/>
  <c r="B190" i="170" s="1"/>
  <c r="B191" i="170" s="1"/>
  <c r="B192" i="170" s="1"/>
  <c r="B193" i="170" s="1"/>
  <c r="B194" i="170" s="1"/>
  <c r="B195" i="170" s="1"/>
  <c r="B196" i="170" s="1"/>
  <c r="B197" i="170" s="1"/>
  <c r="B198" i="170" s="1"/>
  <c r="B199" i="170" s="1"/>
  <c r="B200" i="170" s="1"/>
  <c r="B201" i="170" s="1"/>
  <c r="B202" i="170" s="1"/>
  <c r="B203" i="170" s="1"/>
  <c r="B204" i="170" s="1"/>
  <c r="B205" i="170" s="1"/>
  <c r="B206" i="170" s="1"/>
  <c r="B207" i="170" s="1"/>
  <c r="B208" i="170" s="1"/>
  <c r="B209" i="170" s="1"/>
  <c r="B210" i="170" s="1"/>
  <c r="B211" i="170" s="1"/>
  <c r="B212" i="170" s="1"/>
  <c r="B213" i="170" s="1"/>
  <c r="B214" i="170" s="1"/>
  <c r="B215" i="170" s="1"/>
  <c r="B216" i="170" s="1"/>
  <c r="B217" i="170" s="1"/>
  <c r="B218" i="170" s="1"/>
  <c r="B219" i="170" s="1"/>
  <c r="B220" i="170" s="1"/>
  <c r="B221" i="170" s="1"/>
  <c r="B222" i="170" s="1"/>
  <c r="B223" i="170" s="1"/>
  <c r="B224" i="170" s="1"/>
  <c r="B225" i="170" s="1"/>
  <c r="B226" i="170" s="1"/>
  <c r="B227" i="170" s="1"/>
  <c r="B228" i="170" s="1"/>
  <c r="B229" i="170" s="1"/>
  <c r="B230" i="170" s="1"/>
  <c r="B231" i="170" s="1"/>
  <c r="B232" i="170" s="1"/>
  <c r="B233" i="170" s="1"/>
  <c r="B234" i="170" s="1"/>
  <c r="B235" i="170" s="1"/>
  <c r="B236" i="170" s="1"/>
  <c r="B237" i="170" s="1"/>
  <c r="B238" i="170" s="1"/>
  <c r="B239" i="170" s="1"/>
  <c r="B240" i="170" s="1"/>
  <c r="B241" i="170" s="1"/>
  <c r="B242" i="170" s="1"/>
  <c r="E9" i="167"/>
  <c r="A25" i="174" l="1"/>
  <c r="N24" i="174"/>
  <c r="Z24" i="174" s="1"/>
  <c r="AS24" i="174" s="1"/>
  <c r="J9" i="167"/>
  <c r="J16" i="167"/>
  <c r="T35" i="171"/>
  <c r="T32" i="171"/>
  <c r="T34" i="171"/>
  <c r="T33" i="171"/>
  <c r="T42" i="171"/>
  <c r="D41" i="171"/>
  <c r="T41" i="171" s="1"/>
  <c r="D31" i="171"/>
  <c r="T31" i="171" s="1"/>
  <c r="C103" i="166"/>
  <c r="A26" i="174" l="1"/>
  <c r="N25" i="174"/>
  <c r="Z25" i="174" s="1"/>
  <c r="AS25" i="174" s="1"/>
  <c r="C73" i="166"/>
  <c r="C103" i="165"/>
  <c r="C73" i="165"/>
  <c r="E63" i="165"/>
  <c r="E23" i="134"/>
  <c r="M29" i="115"/>
  <c r="F12" i="124"/>
  <c r="F10" i="124"/>
  <c r="F9" i="124"/>
  <c r="A27" i="174" l="1"/>
  <c r="N26" i="174"/>
  <c r="Z26" i="174" s="1"/>
  <c r="AS26" i="174" s="1"/>
  <c r="E58" i="165"/>
  <c r="E28" i="134"/>
  <c r="D18" i="162"/>
  <c r="G11" i="124" s="1"/>
  <c r="G14" i="124" s="1"/>
  <c r="A28" i="174" l="1"/>
  <c r="N27" i="174"/>
  <c r="Z27" i="174" s="1"/>
  <c r="AS27" i="174" s="1"/>
  <c r="Q113" i="99"/>
  <c r="K113" i="99"/>
  <c r="H113" i="99"/>
  <c r="A29" i="174" l="1"/>
  <c r="N28" i="174"/>
  <c r="Z28" i="174" s="1"/>
  <c r="AS28" i="174" s="1"/>
  <c r="E40" i="78"/>
  <c r="A30" i="174" l="1"/>
  <c r="A31" i="174" s="1"/>
  <c r="N29" i="174"/>
  <c r="Z29" i="174" s="1"/>
  <c r="AS29" i="174" s="1"/>
  <c r="D2" i="164"/>
  <c r="D3" i="164"/>
  <c r="F3" i="164"/>
  <c r="G3" i="164"/>
  <c r="E3" i="164"/>
  <c r="C2" i="164"/>
  <c r="B1" i="164"/>
  <c r="E7" i="164"/>
  <c r="E6" i="164"/>
  <c r="E5" i="164"/>
  <c r="I26" i="164"/>
  <c r="C59" i="163"/>
  <c r="C38" i="134"/>
  <c r="N30" i="174" l="1"/>
  <c r="Z30" i="174" s="1"/>
  <c r="AS30" i="174" s="1"/>
  <c r="A32" i="174"/>
  <c r="N31" i="174"/>
  <c r="Z31" i="174" s="1"/>
  <c r="AS31" i="174" s="1"/>
  <c r="E84" i="22"/>
  <c r="E85" i="22"/>
  <c r="E83" i="22"/>
  <c r="E82" i="22"/>
  <c r="A33" i="174" l="1"/>
  <c r="N32" i="174"/>
  <c r="Z32" i="174" s="1"/>
  <c r="AS32" i="174" s="1"/>
  <c r="E94" i="22"/>
  <c r="I29" i="29"/>
  <c r="F14" i="29"/>
  <c r="K19" i="29"/>
  <c r="M15" i="29"/>
  <c r="J15" i="29"/>
  <c r="G15" i="29"/>
  <c r="M19" i="29"/>
  <c r="J19" i="29"/>
  <c r="J28" i="29" s="1"/>
  <c r="G19" i="29"/>
  <c r="G28" i="29" s="1"/>
  <c r="C14" i="29"/>
  <c r="I14" i="29"/>
  <c r="L14" i="29"/>
  <c r="D15" i="29"/>
  <c r="E15" i="29"/>
  <c r="H15" i="29"/>
  <c r="C16" i="29"/>
  <c r="F16" i="29"/>
  <c r="F24" i="29" s="1"/>
  <c r="L16" i="29"/>
  <c r="C17" i="29"/>
  <c r="F17" i="29"/>
  <c r="F25" i="29" s="1"/>
  <c r="K15" i="29"/>
  <c r="L17" i="29"/>
  <c r="C18" i="29"/>
  <c r="F18" i="29"/>
  <c r="I18" i="29"/>
  <c r="L18" i="29"/>
  <c r="E19" i="29"/>
  <c r="F20" i="29"/>
  <c r="I20" i="29"/>
  <c r="L20" i="29"/>
  <c r="C21" i="29"/>
  <c r="F21" i="29"/>
  <c r="I21" i="29"/>
  <c r="L21" i="29"/>
  <c r="C22" i="29"/>
  <c r="I22" i="29"/>
  <c r="L22" i="29"/>
  <c r="K28" i="29"/>
  <c r="M28" i="29"/>
  <c r="C29" i="29"/>
  <c r="H29" i="29"/>
  <c r="F29" i="29" s="1"/>
  <c r="L29" i="29"/>
  <c r="I19" i="29" l="1"/>
  <c r="I28" i="29" s="1"/>
  <c r="A34" i="174"/>
  <c r="N33" i="174"/>
  <c r="Z33" i="174" s="1"/>
  <c r="AS33" i="174" s="1"/>
  <c r="M23" i="29"/>
  <c r="I26" i="29"/>
  <c r="K23" i="29"/>
  <c r="J23" i="29"/>
  <c r="F15" i="29"/>
  <c r="G23" i="29"/>
  <c r="C25" i="29"/>
  <c r="C26" i="29"/>
  <c r="C15" i="29"/>
  <c r="L26" i="29"/>
  <c r="L25" i="29"/>
  <c r="L24" i="29"/>
  <c r="N15" i="29"/>
  <c r="N19" i="29"/>
  <c r="N28" i="29" s="1"/>
  <c r="I15" i="29"/>
  <c r="I23" i="29" s="1"/>
  <c r="C20" i="29"/>
  <c r="C24" i="29" s="1"/>
  <c r="I16" i="29"/>
  <c r="I24" i="29" s="1"/>
  <c r="D19" i="29"/>
  <c r="D23" i="29" s="1"/>
  <c r="I17" i="29"/>
  <c r="I25" i="29" s="1"/>
  <c r="A35" i="174" l="1"/>
  <c r="A36" i="174" s="1"/>
  <c r="N34" i="174"/>
  <c r="Z34" i="174" s="1"/>
  <c r="AS34" i="174" s="1"/>
  <c r="L15" i="29"/>
  <c r="N23" i="29"/>
  <c r="L19" i="29"/>
  <c r="D28" i="29"/>
  <c r="C19" i="29"/>
  <c r="C23" i="29" s="1"/>
  <c r="N36" i="174" l="1"/>
  <c r="Z36" i="174" s="1"/>
  <c r="AS36" i="174" s="1"/>
  <c r="A37" i="174"/>
  <c r="A38" i="174" s="1"/>
  <c r="N35" i="174"/>
  <c r="Z35" i="174" s="1"/>
  <c r="AS35" i="174" s="1"/>
  <c r="L23" i="29"/>
  <c r="L28" i="29"/>
  <c r="C28" i="29"/>
  <c r="N37" i="174" l="1"/>
  <c r="Z37" i="174" s="1"/>
  <c r="AS37" i="174" s="1"/>
  <c r="G57" i="22"/>
  <c r="A39" i="174" l="1"/>
  <c r="A40" i="174" s="1"/>
  <c r="A41" i="174" s="1"/>
  <c r="N38" i="174"/>
  <c r="Z38" i="174" s="1"/>
  <c r="AS38" i="174" s="1"/>
  <c r="D59" i="98"/>
  <c r="A42" i="174" l="1"/>
  <c r="A43" i="174" s="1"/>
  <c r="N41" i="174"/>
  <c r="Z41" i="174" s="1"/>
  <c r="AS41" i="174" s="1"/>
  <c r="N40" i="174"/>
  <c r="Z40" i="174" s="1"/>
  <c r="AS40" i="174" s="1"/>
  <c r="N39" i="174"/>
  <c r="Z39" i="174" s="1"/>
  <c r="AS39" i="174" s="1"/>
  <c r="C24" i="163"/>
  <c r="C23" i="163"/>
  <c r="N43" i="174" l="1"/>
  <c r="Z43" i="174" s="1"/>
  <c r="A44" i="174"/>
  <c r="N44" i="174" s="1"/>
  <c r="N42" i="174"/>
  <c r="Z42" i="174" s="1"/>
  <c r="AS42" i="174" s="1"/>
  <c r="E26" i="129"/>
  <c r="A45" i="174" l="1"/>
  <c r="A46" i="174" s="1"/>
  <c r="Z44" i="174"/>
  <c r="AS44" i="174" s="1"/>
  <c r="N45" i="174" l="1"/>
  <c r="Z45" i="174" s="1"/>
  <c r="AS45" i="174" s="1"/>
  <c r="A47" i="174"/>
  <c r="N46" i="174"/>
  <c r="Z46" i="174" s="1"/>
  <c r="AS46" i="174" s="1"/>
  <c r="A48" i="174" l="1"/>
  <c r="N47" i="174"/>
  <c r="Z47" i="174" s="1"/>
  <c r="AS47" i="174" s="1"/>
  <c r="D19" i="157"/>
  <c r="F86" i="115"/>
  <c r="E86" i="115"/>
  <c r="A49" i="174" l="1"/>
  <c r="N48" i="174"/>
  <c r="Z48" i="174" s="1"/>
  <c r="AS48" i="174" s="1"/>
  <c r="V84" i="115"/>
  <c r="V82" i="115"/>
  <c r="S85" i="115"/>
  <c r="F85" i="115"/>
  <c r="S84" i="115"/>
  <c r="F83" i="115"/>
  <c r="S82" i="115"/>
  <c r="S81" i="115"/>
  <c r="F81" i="115"/>
  <c r="E83" i="115"/>
  <c r="E82" i="115"/>
  <c r="P85" i="115"/>
  <c r="C85" i="115"/>
  <c r="P84" i="115"/>
  <c r="C84" i="115"/>
  <c r="C83" i="115"/>
  <c r="P82" i="115"/>
  <c r="C82" i="115"/>
  <c r="P81" i="115"/>
  <c r="C81" i="115"/>
  <c r="B84" i="115"/>
  <c r="B83" i="115"/>
  <c r="B82" i="115"/>
  <c r="M85" i="115"/>
  <c r="M84" i="115"/>
  <c r="M81" i="115"/>
  <c r="E85" i="115"/>
  <c r="E84" i="115"/>
  <c r="M82" i="115"/>
  <c r="E81" i="115"/>
  <c r="J85" i="115"/>
  <c r="J81" i="115"/>
  <c r="B85" i="115"/>
  <c r="D85" i="115" s="1"/>
  <c r="J84" i="115"/>
  <c r="J82" i="115"/>
  <c r="B81" i="115"/>
  <c r="D81" i="115" s="1"/>
  <c r="V81" i="115"/>
  <c r="V85" i="115"/>
  <c r="F82" i="115"/>
  <c r="G82" i="115" s="1"/>
  <c r="F84" i="115"/>
  <c r="A50" i="174" l="1"/>
  <c r="N49" i="174"/>
  <c r="Z49" i="174" s="1"/>
  <c r="AS49" i="174" s="1"/>
  <c r="D82" i="115"/>
  <c r="G85" i="115"/>
  <c r="G81" i="115"/>
  <c r="D84" i="115"/>
  <c r="G84" i="115"/>
  <c r="A51" i="174" l="1"/>
  <c r="N50" i="174"/>
  <c r="Z50" i="174" s="1"/>
  <c r="AS50" i="174" s="1"/>
  <c r="F77" i="115"/>
  <c r="E77" i="115"/>
  <c r="N74" i="115"/>
  <c r="F35" i="162"/>
  <c r="F34" i="162"/>
  <c r="F28" i="162"/>
  <c r="F27" i="162"/>
  <c r="F26" i="162"/>
  <c r="F25" i="162"/>
  <c r="F24" i="162"/>
  <c r="E152" i="99"/>
  <c r="E150" i="99"/>
  <c r="E149" i="99"/>
  <c r="E148" i="99"/>
  <c r="E147" i="99"/>
  <c r="E146" i="99"/>
  <c r="D94" i="100"/>
  <c r="C94" i="100"/>
  <c r="M67" i="100"/>
  <c r="M72" i="100"/>
  <c r="M73" i="100"/>
  <c r="M77" i="100"/>
  <c r="M78" i="100"/>
  <c r="M81" i="100"/>
  <c r="M64" i="100"/>
  <c r="M66" i="100"/>
  <c r="B62" i="100"/>
  <c r="B63" i="100"/>
  <c r="B64" i="100"/>
  <c r="B48" i="100"/>
  <c r="B49" i="100"/>
  <c r="B50" i="100"/>
  <c r="B51" i="100"/>
  <c r="B52" i="100"/>
  <c r="B53" i="100"/>
  <c r="B54" i="100"/>
  <c r="B55" i="100"/>
  <c r="B56" i="100"/>
  <c r="B57" i="100"/>
  <c r="B58" i="100"/>
  <c r="B41" i="100"/>
  <c r="B42" i="100"/>
  <c r="B43" i="100"/>
  <c r="B44" i="100"/>
  <c r="B45" i="100"/>
  <c r="B27" i="100"/>
  <c r="B28" i="100"/>
  <c r="B29" i="100"/>
  <c r="B30" i="100"/>
  <c r="B31" i="100"/>
  <c r="B32" i="100"/>
  <c r="B33" i="100"/>
  <c r="B34" i="100"/>
  <c r="B35" i="100"/>
  <c r="B36" i="100"/>
  <c r="B37" i="100"/>
  <c r="B38" i="100"/>
  <c r="B39" i="100"/>
  <c r="B40" i="100"/>
  <c r="B14" i="100"/>
  <c r="B15" i="100"/>
  <c r="B16" i="100"/>
  <c r="B17" i="100"/>
  <c r="B18" i="100"/>
  <c r="B19" i="100"/>
  <c r="B20" i="100"/>
  <c r="B21" i="100"/>
  <c r="B22" i="100"/>
  <c r="B23" i="100"/>
  <c r="B24" i="100"/>
  <c r="B25" i="100"/>
  <c r="B26" i="100"/>
  <c r="S69" i="99"/>
  <c r="G67" i="99"/>
  <c r="T62" i="99"/>
  <c r="T63" i="99"/>
  <c r="T64" i="99"/>
  <c r="T65" i="99"/>
  <c r="T66" i="99"/>
  <c r="T67" i="99"/>
  <c r="E74" i="99"/>
  <c r="E73" i="99"/>
  <c r="J69" i="99"/>
  <c r="F185" i="21"/>
  <c r="F188" i="21"/>
  <c r="F190" i="21"/>
  <c r="F192" i="21"/>
  <c r="G185" i="21"/>
  <c r="G188" i="21"/>
  <c r="G190" i="21"/>
  <c r="G192" i="21"/>
  <c r="H185" i="21"/>
  <c r="H188" i="21"/>
  <c r="H190" i="21"/>
  <c r="H192" i="21"/>
  <c r="I185" i="21"/>
  <c r="I188" i="21"/>
  <c r="I190" i="21"/>
  <c r="I192" i="21"/>
  <c r="C39" i="166" l="1"/>
  <c r="C118" i="166" s="1"/>
  <c r="O41" i="188"/>
  <c r="C39" i="165"/>
  <c r="C118" i="165" s="1"/>
  <c r="O40" i="188"/>
  <c r="A52" i="174"/>
  <c r="N51" i="174"/>
  <c r="Z51" i="174" s="1"/>
  <c r="AS51" i="174" s="1"/>
  <c r="A53" i="174" l="1"/>
  <c r="N52" i="174"/>
  <c r="Z52" i="174" s="1"/>
  <c r="AS52" i="174" s="1"/>
  <c r="A54" i="174" l="1"/>
  <c r="N53" i="174"/>
  <c r="Z53" i="174" s="1"/>
  <c r="AS53" i="174" s="1"/>
  <c r="C156" i="49"/>
  <c r="F155" i="49"/>
  <c r="G155" i="49"/>
  <c r="H155" i="49"/>
  <c r="I155" i="49"/>
  <c r="J155" i="49"/>
  <c r="E155" i="49"/>
  <c r="C155" i="49" l="1"/>
  <c r="A55" i="174"/>
  <c r="N54" i="174"/>
  <c r="Z54" i="174" s="1"/>
  <c r="AS54" i="174" s="1"/>
  <c r="C115" i="49"/>
  <c r="F200" i="54" s="1"/>
  <c r="O158" i="54"/>
  <c r="A56" i="174" l="1"/>
  <c r="N55" i="174"/>
  <c r="Z55" i="174" s="1"/>
  <c r="AS55" i="174" s="1"/>
  <c r="D25" i="24"/>
  <c r="A57" i="174" l="1"/>
  <c r="N56" i="174"/>
  <c r="Z56" i="174" s="1"/>
  <c r="AS56" i="174" s="1"/>
  <c r="A58" i="174" l="1"/>
  <c r="N57" i="174"/>
  <c r="Z57" i="174" s="1"/>
  <c r="AS57" i="174" s="1"/>
  <c r="D22" i="21"/>
  <c r="D212" i="21" s="1"/>
  <c r="D19" i="21"/>
  <c r="D200" i="21" s="1"/>
  <c r="A59" i="174" l="1"/>
  <c r="N58" i="174"/>
  <c r="Z58" i="174" s="1"/>
  <c r="AS58" i="174" s="1"/>
  <c r="F11" i="162"/>
  <c r="F8" i="162"/>
  <c r="F9" i="162"/>
  <c r="F10" i="162"/>
  <c r="F7" i="162"/>
  <c r="A60" i="174" l="1"/>
  <c r="N59" i="174"/>
  <c r="Z59" i="174" s="1"/>
  <c r="AS59" i="174" s="1"/>
  <c r="F6" i="162"/>
  <c r="C6" i="162"/>
  <c r="C5" i="162" s="1"/>
  <c r="D6" i="162"/>
  <c r="E6" i="162"/>
  <c r="E5" i="162" s="1"/>
  <c r="A61" i="174" l="1"/>
  <c r="N60" i="174"/>
  <c r="Z60" i="174" s="1"/>
  <c r="AS60" i="174" s="1"/>
  <c r="D5" i="162"/>
  <c r="G9" i="124"/>
  <c r="G8" i="124" s="1"/>
  <c r="G25" i="124" s="1"/>
  <c r="G32" i="124" s="1"/>
  <c r="I9" i="124"/>
  <c r="A62" i="174" l="1"/>
  <c r="N61" i="174"/>
  <c r="Z61" i="174" s="1"/>
  <c r="AS61" i="174" s="1"/>
  <c r="D94" i="159"/>
  <c r="F42" i="106"/>
  <c r="F12" i="106"/>
  <c r="F14" i="106"/>
  <c r="F15" i="106"/>
  <c r="F17" i="106"/>
  <c r="F27" i="106"/>
  <c r="F28" i="106"/>
  <c r="F31" i="106"/>
  <c r="F32" i="106"/>
  <c r="F34" i="106"/>
  <c r="F35" i="106"/>
  <c r="F36" i="106"/>
  <c r="F39" i="106"/>
  <c r="F40" i="106"/>
  <c r="F41" i="106"/>
  <c r="F43" i="106"/>
  <c r="F44" i="106"/>
  <c r="F45" i="106"/>
  <c r="F46" i="106"/>
  <c r="F47" i="106"/>
  <c r="F49" i="106"/>
  <c r="F50" i="106"/>
  <c r="F51" i="106"/>
  <c r="F52" i="106"/>
  <c r="F53" i="106"/>
  <c r="F54" i="106"/>
  <c r="F55" i="106"/>
  <c r="F58" i="106"/>
  <c r="F59" i="106"/>
  <c r="F60" i="106"/>
  <c r="F63" i="106"/>
  <c r="F11" i="106"/>
  <c r="E63" i="106"/>
  <c r="P63" i="106" s="1"/>
  <c r="E62" i="106"/>
  <c r="P62" i="106" s="1"/>
  <c r="P55" i="106"/>
  <c r="F7" i="161"/>
  <c r="F5" i="161" s="1"/>
  <c r="AQ119" i="174" s="1"/>
  <c r="AP119" i="174" s="1"/>
  <c r="AB119" i="174" s="1"/>
  <c r="H5" i="161"/>
  <c r="D5" i="161"/>
  <c r="A7" i="161"/>
  <c r="A8" i="161" s="1"/>
  <c r="A9" i="161" s="1"/>
  <c r="A10" i="161" s="1"/>
  <c r="G5" i="161"/>
  <c r="E5" i="161"/>
  <c r="C5" i="161"/>
  <c r="H11" i="124"/>
  <c r="F19" i="124"/>
  <c r="H19" i="124"/>
  <c r="F15" i="124"/>
  <c r="H15" i="124"/>
  <c r="F13" i="124"/>
  <c r="F14" i="124" s="1"/>
  <c r="E13" i="124"/>
  <c r="E14" i="124" s="1"/>
  <c r="E12" i="124"/>
  <c r="E10" i="124"/>
  <c r="E9" i="124"/>
  <c r="I5" i="124"/>
  <c r="F12" i="66"/>
  <c r="AD21" i="174" s="1"/>
  <c r="F13" i="66"/>
  <c r="AD22" i="174" s="1"/>
  <c r="F14" i="66"/>
  <c r="AD23" i="174" s="1"/>
  <c r="F15" i="66"/>
  <c r="AD24" i="174" s="1"/>
  <c r="F16" i="66"/>
  <c r="AD25" i="174" s="1"/>
  <c r="F17" i="66"/>
  <c r="AD26" i="174" s="1"/>
  <c r="F11" i="66"/>
  <c r="AD20" i="174" s="1"/>
  <c r="F54" i="66" l="1"/>
  <c r="AD119" i="174"/>
  <c r="AA119" i="174"/>
  <c r="A63" i="174"/>
  <c r="N62" i="174"/>
  <c r="Z62" i="174" s="1"/>
  <c r="AS62" i="174" s="1"/>
  <c r="H8" i="124"/>
  <c r="H25" i="124" s="1"/>
  <c r="H32" i="124" s="1"/>
  <c r="I5" i="161"/>
  <c r="F11" i="124"/>
  <c r="F8" i="124" s="1"/>
  <c r="F25" i="124" s="1"/>
  <c r="F32" i="124" s="1"/>
  <c r="F81" i="100"/>
  <c r="E81" i="100"/>
  <c r="D81" i="100"/>
  <c r="C81" i="100"/>
  <c r="B81" i="100"/>
  <c r="E80" i="100"/>
  <c r="D80" i="100"/>
  <c r="C80" i="100"/>
  <c r="B80" i="100"/>
  <c r="E79" i="100"/>
  <c r="D79" i="100"/>
  <c r="C79" i="100"/>
  <c r="B79" i="100"/>
  <c r="F78" i="100"/>
  <c r="E78" i="100"/>
  <c r="D78" i="100"/>
  <c r="C78" i="100"/>
  <c r="B78" i="100"/>
  <c r="F77" i="100"/>
  <c r="E77" i="100"/>
  <c r="D77" i="100"/>
  <c r="C77" i="100"/>
  <c r="B77" i="100"/>
  <c r="E76" i="100"/>
  <c r="D76" i="100"/>
  <c r="C76" i="100"/>
  <c r="B76" i="100"/>
  <c r="E75" i="100"/>
  <c r="D75" i="100"/>
  <c r="C75" i="100"/>
  <c r="B75" i="100"/>
  <c r="E74" i="100"/>
  <c r="D74" i="100"/>
  <c r="C74" i="100"/>
  <c r="B74" i="100"/>
  <c r="F73" i="100"/>
  <c r="E73" i="100"/>
  <c r="D73" i="100"/>
  <c r="C73" i="100"/>
  <c r="B73" i="100"/>
  <c r="F72" i="100"/>
  <c r="E72" i="100"/>
  <c r="D72" i="100"/>
  <c r="C72" i="100"/>
  <c r="B72" i="100"/>
  <c r="E71" i="100"/>
  <c r="D71" i="100"/>
  <c r="C71" i="100"/>
  <c r="B71" i="100"/>
  <c r="E70" i="100"/>
  <c r="D70" i="100"/>
  <c r="C70" i="100"/>
  <c r="B70" i="100"/>
  <c r="E69" i="100"/>
  <c r="D69" i="100"/>
  <c r="C69" i="100"/>
  <c r="B69" i="100"/>
  <c r="E68" i="100"/>
  <c r="D68" i="100"/>
  <c r="C68" i="100"/>
  <c r="B68" i="100"/>
  <c r="F67" i="100"/>
  <c r="E67" i="100"/>
  <c r="D67" i="100"/>
  <c r="C67" i="100"/>
  <c r="B67" i="100"/>
  <c r="F66" i="100"/>
  <c r="E66" i="100"/>
  <c r="D66" i="100"/>
  <c r="C66" i="100"/>
  <c r="B66" i="100"/>
  <c r="E65" i="100"/>
  <c r="D65" i="100"/>
  <c r="C65" i="100"/>
  <c r="B65" i="100"/>
  <c r="F64" i="100"/>
  <c r="E64" i="100"/>
  <c r="D64" i="100"/>
  <c r="C64" i="100"/>
  <c r="E63" i="100"/>
  <c r="D63" i="100"/>
  <c r="C63" i="100"/>
  <c r="F62" i="100"/>
  <c r="E62" i="100"/>
  <c r="D62" i="100"/>
  <c r="C62" i="100"/>
  <c r="E61" i="100"/>
  <c r="D61" i="100"/>
  <c r="C61" i="100"/>
  <c r="E60" i="100"/>
  <c r="D60" i="100"/>
  <c r="C60" i="100"/>
  <c r="B60" i="100"/>
  <c r="E59" i="100"/>
  <c r="D59" i="100"/>
  <c r="C59" i="100"/>
  <c r="B59" i="100"/>
  <c r="E58" i="100"/>
  <c r="D58" i="100"/>
  <c r="C58" i="100"/>
  <c r="E57" i="100"/>
  <c r="D57" i="100"/>
  <c r="C57" i="100"/>
  <c r="E56" i="100"/>
  <c r="D56" i="100"/>
  <c r="C56" i="100"/>
  <c r="F55" i="100"/>
  <c r="E55" i="100"/>
  <c r="D55" i="100"/>
  <c r="C55" i="100"/>
  <c r="E54" i="100"/>
  <c r="D54" i="100"/>
  <c r="C54" i="100"/>
  <c r="E53" i="100"/>
  <c r="D53" i="100"/>
  <c r="C53" i="100"/>
  <c r="E52" i="100"/>
  <c r="D52" i="100"/>
  <c r="C52" i="100"/>
  <c r="E51" i="100"/>
  <c r="D51" i="100"/>
  <c r="C51" i="100"/>
  <c r="E50" i="100"/>
  <c r="D50" i="100"/>
  <c r="C50" i="100"/>
  <c r="E49" i="100"/>
  <c r="D49" i="100"/>
  <c r="C49" i="100"/>
  <c r="E48" i="100"/>
  <c r="D48" i="100"/>
  <c r="C48" i="100"/>
  <c r="E47" i="100"/>
  <c r="D47" i="100"/>
  <c r="C47" i="100"/>
  <c r="B47" i="100"/>
  <c r="F46" i="100"/>
  <c r="E46" i="100"/>
  <c r="D46" i="100"/>
  <c r="C46" i="100"/>
  <c r="B46" i="100"/>
  <c r="E45" i="100"/>
  <c r="D45" i="100"/>
  <c r="C45" i="100"/>
  <c r="E44" i="100"/>
  <c r="D44" i="100"/>
  <c r="C44" i="100"/>
  <c r="E43" i="100"/>
  <c r="D43" i="100"/>
  <c r="C43" i="100"/>
  <c r="E42" i="100"/>
  <c r="D42" i="100"/>
  <c r="C42" i="100"/>
  <c r="E41" i="100"/>
  <c r="D41" i="100"/>
  <c r="C41" i="100"/>
  <c r="E40" i="100"/>
  <c r="D40" i="100"/>
  <c r="C40" i="100"/>
  <c r="F39" i="100"/>
  <c r="E39" i="100"/>
  <c r="D39" i="100"/>
  <c r="C39" i="100"/>
  <c r="E38" i="100"/>
  <c r="D38" i="100"/>
  <c r="C38" i="100"/>
  <c r="E37" i="100"/>
  <c r="D37" i="100"/>
  <c r="C37" i="100"/>
  <c r="F36" i="100"/>
  <c r="E36" i="100"/>
  <c r="D36" i="100"/>
  <c r="C36" i="100"/>
  <c r="E35" i="100"/>
  <c r="D35" i="100"/>
  <c r="C35" i="100"/>
  <c r="E34" i="100"/>
  <c r="D34" i="100"/>
  <c r="C34" i="100"/>
  <c r="E33" i="100"/>
  <c r="D33" i="100"/>
  <c r="C33" i="100"/>
  <c r="E32" i="100"/>
  <c r="D32" i="100"/>
  <c r="C32" i="100"/>
  <c r="C31" i="100"/>
  <c r="E30" i="100"/>
  <c r="D30" i="100"/>
  <c r="C30" i="100"/>
  <c r="E29" i="100"/>
  <c r="D29" i="100"/>
  <c r="C29" i="100"/>
  <c r="E28" i="100"/>
  <c r="D28" i="100"/>
  <c r="C28" i="100"/>
  <c r="E27" i="100"/>
  <c r="D27" i="100"/>
  <c r="C27" i="100"/>
  <c r="E26" i="100"/>
  <c r="D26" i="100"/>
  <c r="C26" i="100"/>
  <c r="E25" i="100"/>
  <c r="D25" i="100"/>
  <c r="C25" i="100"/>
  <c r="E24" i="100"/>
  <c r="D24" i="100"/>
  <c r="C24" i="100"/>
  <c r="F23" i="100"/>
  <c r="AF23" i="174" s="1"/>
  <c r="E23" i="100"/>
  <c r="D23" i="100"/>
  <c r="C23" i="100"/>
  <c r="E22" i="100"/>
  <c r="D22" i="100"/>
  <c r="C22" i="100"/>
  <c r="E21" i="100"/>
  <c r="D21" i="100"/>
  <c r="C21" i="100"/>
  <c r="E20" i="100"/>
  <c r="D20" i="100"/>
  <c r="C20" i="100"/>
  <c r="E19" i="100"/>
  <c r="D19" i="100"/>
  <c r="C19" i="100"/>
  <c r="E18" i="100"/>
  <c r="D18" i="100"/>
  <c r="C18" i="100"/>
  <c r="E17" i="100"/>
  <c r="D17" i="100"/>
  <c r="C17" i="100"/>
  <c r="E16" i="100"/>
  <c r="D16" i="100"/>
  <c r="C16" i="100"/>
  <c r="E15" i="100"/>
  <c r="D15" i="100"/>
  <c r="C15" i="100"/>
  <c r="E14" i="100"/>
  <c r="D14" i="100"/>
  <c r="C14" i="100"/>
  <c r="E13" i="100"/>
  <c r="D13" i="100"/>
  <c r="C13" i="100"/>
  <c r="B13" i="100"/>
  <c r="E12" i="100"/>
  <c r="C12" i="100"/>
  <c r="B12" i="100"/>
  <c r="C11" i="100"/>
  <c r="B11" i="100"/>
  <c r="C10" i="100"/>
  <c r="B10" i="100"/>
  <c r="B5" i="115"/>
  <c r="F58" i="103"/>
  <c r="E58" i="103"/>
  <c r="D58" i="103"/>
  <c r="C58" i="103"/>
  <c r="B58" i="103"/>
  <c r="E57" i="103"/>
  <c r="D57" i="103"/>
  <c r="C57" i="103"/>
  <c r="B57" i="103"/>
  <c r="N56" i="103"/>
  <c r="F56" i="103"/>
  <c r="E56" i="103"/>
  <c r="D56" i="103"/>
  <c r="C56" i="103"/>
  <c r="B56" i="103"/>
  <c r="E55" i="103"/>
  <c r="D55" i="103"/>
  <c r="C55" i="103"/>
  <c r="B55" i="103"/>
  <c r="F54" i="103"/>
  <c r="E54" i="103"/>
  <c r="D54" i="103"/>
  <c r="C54" i="103"/>
  <c r="B54" i="103"/>
  <c r="F53" i="103"/>
  <c r="E53" i="103"/>
  <c r="D53" i="103"/>
  <c r="C53" i="103"/>
  <c r="B53" i="103"/>
  <c r="E52" i="103"/>
  <c r="D52" i="103"/>
  <c r="C52" i="103"/>
  <c r="B52" i="103"/>
  <c r="E51" i="103"/>
  <c r="D51" i="103"/>
  <c r="C51" i="103"/>
  <c r="B51" i="103"/>
  <c r="F50" i="103"/>
  <c r="E50" i="103"/>
  <c r="D50" i="103"/>
  <c r="C50" i="103"/>
  <c r="B50" i="103"/>
  <c r="E49" i="103"/>
  <c r="D49" i="103"/>
  <c r="C49" i="103"/>
  <c r="B49" i="103"/>
  <c r="E48" i="103"/>
  <c r="D48" i="103"/>
  <c r="C48" i="103"/>
  <c r="B48" i="103"/>
  <c r="E47" i="103"/>
  <c r="D47" i="103"/>
  <c r="C47" i="103"/>
  <c r="B47" i="103"/>
  <c r="E46" i="103"/>
  <c r="D46" i="103"/>
  <c r="C46" i="103"/>
  <c r="B46" i="103"/>
  <c r="F45" i="103"/>
  <c r="E45" i="103"/>
  <c r="D45" i="103"/>
  <c r="C45" i="103"/>
  <c r="B45" i="103"/>
  <c r="E44" i="103"/>
  <c r="D44" i="103"/>
  <c r="C44" i="103"/>
  <c r="B44" i="103"/>
  <c r="E43" i="103"/>
  <c r="D43" i="103"/>
  <c r="C43" i="103"/>
  <c r="B43" i="103"/>
  <c r="F42" i="103"/>
  <c r="E42" i="103"/>
  <c r="D42" i="103"/>
  <c r="C42" i="103"/>
  <c r="B42" i="103"/>
  <c r="E41" i="103"/>
  <c r="D41" i="103"/>
  <c r="C41" i="103"/>
  <c r="B41" i="103"/>
  <c r="E40" i="103"/>
  <c r="D40" i="103"/>
  <c r="C40" i="103"/>
  <c r="B40" i="103"/>
  <c r="E39" i="103"/>
  <c r="D39" i="103"/>
  <c r="C39" i="103"/>
  <c r="B39" i="103"/>
  <c r="C38" i="103"/>
  <c r="B38" i="103"/>
  <c r="E37" i="103"/>
  <c r="D37" i="103"/>
  <c r="C37" i="103"/>
  <c r="B37" i="103"/>
  <c r="E36" i="103"/>
  <c r="D36" i="103"/>
  <c r="C36" i="103"/>
  <c r="B36" i="103"/>
  <c r="F35" i="103"/>
  <c r="E35" i="103"/>
  <c r="D35" i="103"/>
  <c r="C35" i="103"/>
  <c r="B35" i="103"/>
  <c r="E34" i="103"/>
  <c r="D34" i="103"/>
  <c r="C34" i="103"/>
  <c r="B34" i="103"/>
  <c r="E33" i="103"/>
  <c r="D33" i="103"/>
  <c r="C33" i="103"/>
  <c r="B33" i="103"/>
  <c r="E32" i="103"/>
  <c r="D32" i="103"/>
  <c r="C32" i="103"/>
  <c r="B32" i="103"/>
  <c r="E31" i="103"/>
  <c r="D31" i="103"/>
  <c r="C31" i="103"/>
  <c r="B31" i="103"/>
  <c r="F30" i="103"/>
  <c r="E30" i="103"/>
  <c r="D30" i="103"/>
  <c r="C30" i="103"/>
  <c r="B30" i="103"/>
  <c r="F29" i="103"/>
  <c r="E29" i="103"/>
  <c r="D29" i="103"/>
  <c r="C29" i="103"/>
  <c r="B29" i="103"/>
  <c r="E28" i="103"/>
  <c r="D28" i="103"/>
  <c r="C28" i="103"/>
  <c r="B28" i="103"/>
  <c r="E27" i="103"/>
  <c r="D27" i="103"/>
  <c r="C27" i="103"/>
  <c r="B27" i="103"/>
  <c r="F26" i="103"/>
  <c r="E26" i="103"/>
  <c r="D26" i="103"/>
  <c r="C26" i="103"/>
  <c r="B26" i="103"/>
  <c r="E25" i="103"/>
  <c r="D25" i="103"/>
  <c r="C25" i="103"/>
  <c r="B25" i="103"/>
  <c r="C24" i="103"/>
  <c r="B24" i="103"/>
  <c r="E23" i="103"/>
  <c r="D23" i="103"/>
  <c r="C23" i="103"/>
  <c r="B23" i="103"/>
  <c r="E22" i="103"/>
  <c r="D22" i="103"/>
  <c r="C22" i="103"/>
  <c r="B22" i="103"/>
  <c r="E21" i="103"/>
  <c r="D21" i="103"/>
  <c r="C21" i="103"/>
  <c r="B21" i="103"/>
  <c r="C20" i="103"/>
  <c r="B20" i="103"/>
  <c r="E19" i="103"/>
  <c r="D19" i="103"/>
  <c r="C19" i="103"/>
  <c r="B19" i="103"/>
  <c r="E18" i="103"/>
  <c r="D18" i="103"/>
  <c r="C18" i="103"/>
  <c r="B18" i="103"/>
  <c r="E17" i="103"/>
  <c r="D17" i="103"/>
  <c r="C17" i="103"/>
  <c r="B17" i="103"/>
  <c r="E16" i="103"/>
  <c r="D16" i="103"/>
  <c r="C16" i="103"/>
  <c r="B16" i="103"/>
  <c r="E15" i="103"/>
  <c r="D15" i="103"/>
  <c r="C15" i="103"/>
  <c r="B15" i="103"/>
  <c r="F14" i="103"/>
  <c r="E14" i="103"/>
  <c r="D14" i="103"/>
  <c r="C14" i="103"/>
  <c r="B14" i="103"/>
  <c r="E13" i="103"/>
  <c r="D13" i="103"/>
  <c r="C13" i="103"/>
  <c r="B13" i="103"/>
  <c r="E12" i="103"/>
  <c r="D12" i="103"/>
  <c r="C12" i="103"/>
  <c r="B12" i="103"/>
  <c r="E11" i="103"/>
  <c r="D11" i="103"/>
  <c r="C11" i="103"/>
  <c r="B11" i="103"/>
  <c r="E10" i="103"/>
  <c r="D10" i="103"/>
  <c r="C10" i="103"/>
  <c r="B10" i="103"/>
  <c r="F63" i="102"/>
  <c r="E63" i="102"/>
  <c r="D63" i="102"/>
  <c r="C63" i="102"/>
  <c r="B63" i="102"/>
  <c r="E62" i="102"/>
  <c r="D62" i="102"/>
  <c r="C62" i="102"/>
  <c r="B62" i="102"/>
  <c r="F61" i="102"/>
  <c r="E61" i="102"/>
  <c r="D61" i="102"/>
  <c r="C61" i="102"/>
  <c r="B61" i="102"/>
  <c r="F60" i="102"/>
  <c r="E60" i="102"/>
  <c r="D60" i="102"/>
  <c r="C60" i="102"/>
  <c r="B60" i="102"/>
  <c r="E59" i="102"/>
  <c r="D59" i="102"/>
  <c r="C59" i="102"/>
  <c r="B59" i="102"/>
  <c r="E58" i="102"/>
  <c r="D58" i="102"/>
  <c r="C58" i="102"/>
  <c r="B58" i="102"/>
  <c r="E57" i="102"/>
  <c r="D57" i="102"/>
  <c r="C57" i="102"/>
  <c r="B57" i="102"/>
  <c r="N56" i="102"/>
  <c r="M56" i="102"/>
  <c r="L56" i="102"/>
  <c r="K56" i="102"/>
  <c r="J56" i="102"/>
  <c r="I56" i="102"/>
  <c r="H56" i="102"/>
  <c r="G56" i="102"/>
  <c r="F56" i="102"/>
  <c r="E56" i="102"/>
  <c r="D56" i="102"/>
  <c r="C56" i="102"/>
  <c r="B56" i="102"/>
  <c r="E55" i="102"/>
  <c r="D55" i="102"/>
  <c r="C55" i="102"/>
  <c r="B55" i="102"/>
  <c r="F54" i="102"/>
  <c r="E54" i="102"/>
  <c r="D54" i="102"/>
  <c r="C54" i="102"/>
  <c r="B54" i="102"/>
  <c r="E53" i="102"/>
  <c r="D53" i="102"/>
  <c r="C53" i="102"/>
  <c r="B53" i="102"/>
  <c r="E52" i="102"/>
  <c r="D52" i="102"/>
  <c r="C52" i="102"/>
  <c r="B52" i="102"/>
  <c r="F51" i="102"/>
  <c r="E51" i="102"/>
  <c r="D51" i="102"/>
  <c r="C51" i="102"/>
  <c r="B51" i="102"/>
  <c r="E50" i="102"/>
  <c r="D50" i="102"/>
  <c r="C50" i="102"/>
  <c r="B50" i="102"/>
  <c r="F49" i="102"/>
  <c r="E49" i="102"/>
  <c r="D49" i="102"/>
  <c r="C49" i="102"/>
  <c r="B49" i="102"/>
  <c r="E48" i="102"/>
  <c r="D48" i="102"/>
  <c r="C48" i="102"/>
  <c r="B48" i="102"/>
  <c r="F47" i="102"/>
  <c r="E47" i="102"/>
  <c r="D47" i="102"/>
  <c r="C47" i="102"/>
  <c r="B47" i="102"/>
  <c r="E46" i="102"/>
  <c r="D46" i="102"/>
  <c r="C46" i="102"/>
  <c r="B46" i="102"/>
  <c r="F45" i="102"/>
  <c r="E45" i="102"/>
  <c r="D45" i="102"/>
  <c r="C45" i="102"/>
  <c r="B45" i="102"/>
  <c r="E44" i="102"/>
  <c r="D44" i="102"/>
  <c r="C44" i="102"/>
  <c r="B44" i="102"/>
  <c r="F43" i="102"/>
  <c r="E43" i="102"/>
  <c r="D43" i="102"/>
  <c r="C43" i="102"/>
  <c r="B43" i="102"/>
  <c r="E42" i="102"/>
  <c r="D42" i="102"/>
  <c r="C42" i="102"/>
  <c r="B42" i="102"/>
  <c r="E41" i="102"/>
  <c r="D41" i="102"/>
  <c r="C41" i="102"/>
  <c r="B41" i="102"/>
  <c r="E40" i="102"/>
  <c r="D40" i="102"/>
  <c r="C40" i="102"/>
  <c r="B40" i="102"/>
  <c r="C39" i="102"/>
  <c r="B39" i="102"/>
  <c r="E38" i="102"/>
  <c r="D38" i="102"/>
  <c r="C38" i="102"/>
  <c r="B38" i="102"/>
  <c r="E37" i="102"/>
  <c r="D37" i="102"/>
  <c r="C37" i="102"/>
  <c r="B37" i="102"/>
  <c r="E36" i="102"/>
  <c r="C36" i="102"/>
  <c r="B36" i="102"/>
  <c r="E35" i="102"/>
  <c r="C35" i="102"/>
  <c r="B35" i="102"/>
  <c r="E34" i="102"/>
  <c r="D34" i="102"/>
  <c r="C34" i="102"/>
  <c r="B34" i="102"/>
  <c r="E33" i="102"/>
  <c r="D33" i="102"/>
  <c r="C33" i="102"/>
  <c r="B33" i="102"/>
  <c r="E32" i="102"/>
  <c r="D32" i="102"/>
  <c r="C32" i="102"/>
  <c r="B32" i="102"/>
  <c r="F31" i="102"/>
  <c r="E31" i="102"/>
  <c r="D31" i="102"/>
  <c r="C31" i="102"/>
  <c r="B31" i="102"/>
  <c r="F30" i="102"/>
  <c r="E30" i="102"/>
  <c r="D30" i="102"/>
  <c r="C30" i="102"/>
  <c r="B30" i="102"/>
  <c r="F29" i="102"/>
  <c r="E29" i="102"/>
  <c r="D29" i="102"/>
  <c r="C29" i="102"/>
  <c r="B29" i="102"/>
  <c r="E28" i="102"/>
  <c r="D28" i="102"/>
  <c r="C28" i="102"/>
  <c r="B28" i="102"/>
  <c r="E27" i="102"/>
  <c r="D27" i="102"/>
  <c r="C27" i="102"/>
  <c r="B27" i="102"/>
  <c r="E26" i="102"/>
  <c r="D26" i="102"/>
  <c r="C26" i="102"/>
  <c r="B26" i="102"/>
  <c r="E25" i="102"/>
  <c r="D25" i="102"/>
  <c r="C25" i="102"/>
  <c r="B25" i="102"/>
  <c r="C24" i="102"/>
  <c r="B24" i="102"/>
  <c r="E23" i="102"/>
  <c r="D23" i="102"/>
  <c r="C23" i="102"/>
  <c r="B23" i="102"/>
  <c r="E22" i="102"/>
  <c r="D22" i="102"/>
  <c r="C22" i="102"/>
  <c r="B22" i="102"/>
  <c r="E21" i="102"/>
  <c r="D21" i="102"/>
  <c r="C21" i="102"/>
  <c r="B21" i="102"/>
  <c r="C20" i="102"/>
  <c r="B20" i="102"/>
  <c r="E19" i="102"/>
  <c r="C19" i="102"/>
  <c r="B19" i="102"/>
  <c r="E18" i="102"/>
  <c r="C18" i="102"/>
  <c r="B18" i="102"/>
  <c r="E17" i="102"/>
  <c r="C17" i="102"/>
  <c r="B17" i="102"/>
  <c r="E16" i="102"/>
  <c r="C16" i="102"/>
  <c r="B16" i="102"/>
  <c r="E15" i="102"/>
  <c r="C15" i="102"/>
  <c r="B15" i="102"/>
  <c r="E14" i="102"/>
  <c r="C14" i="102"/>
  <c r="B14" i="102"/>
  <c r="E13" i="102"/>
  <c r="C13" i="102"/>
  <c r="B13" i="102"/>
  <c r="C12" i="102"/>
  <c r="B12" i="102"/>
  <c r="E11" i="102"/>
  <c r="C11" i="102"/>
  <c r="B11" i="102"/>
  <c r="E10" i="102"/>
  <c r="C10" i="102"/>
  <c r="B10" i="102"/>
  <c r="F73" i="160"/>
  <c r="F72" i="160"/>
  <c r="F71" i="160"/>
  <c r="F67" i="160"/>
  <c r="F64" i="160"/>
  <c r="F63" i="160"/>
  <c r="F62" i="160"/>
  <c r="F60" i="160"/>
  <c r="F59" i="160"/>
  <c r="F56" i="160"/>
  <c r="F55" i="160"/>
  <c r="F54" i="160"/>
  <c r="F53" i="160"/>
  <c r="F51" i="160"/>
  <c r="F50" i="160"/>
  <c r="F49" i="160"/>
  <c r="F45" i="160"/>
  <c r="F38" i="160"/>
  <c r="F37" i="160"/>
  <c r="F32" i="160"/>
  <c r="E73" i="160"/>
  <c r="E72" i="160"/>
  <c r="E71" i="160"/>
  <c r="E70" i="160"/>
  <c r="E69" i="160"/>
  <c r="E34" i="110" s="1"/>
  <c r="E68" i="160"/>
  <c r="E67" i="160"/>
  <c r="E66" i="160"/>
  <c r="E65" i="160"/>
  <c r="E64" i="160"/>
  <c r="E63" i="160"/>
  <c r="E62" i="160"/>
  <c r="E61" i="160"/>
  <c r="E60" i="160"/>
  <c r="E59" i="160"/>
  <c r="E58" i="160"/>
  <c r="E57" i="160"/>
  <c r="E56" i="160"/>
  <c r="E55" i="160"/>
  <c r="E54" i="160"/>
  <c r="E53" i="160"/>
  <c r="E52" i="160"/>
  <c r="E51" i="160"/>
  <c r="E50" i="160"/>
  <c r="E49" i="160"/>
  <c r="E48" i="160"/>
  <c r="E47" i="160"/>
  <c r="E46" i="160"/>
  <c r="E45" i="160"/>
  <c r="E44" i="160"/>
  <c r="E43" i="160"/>
  <c r="E42" i="160"/>
  <c r="E41" i="160"/>
  <c r="E40" i="160"/>
  <c r="E39" i="160"/>
  <c r="E38" i="160"/>
  <c r="E37" i="160"/>
  <c r="E36" i="160"/>
  <c r="E35" i="160"/>
  <c r="E34" i="160"/>
  <c r="E33" i="160"/>
  <c r="E35" i="110" s="1"/>
  <c r="E32" i="160"/>
  <c r="E31" i="160"/>
  <c r="E30" i="160"/>
  <c r="E29" i="110" s="1"/>
  <c r="E28" i="160"/>
  <c r="E27" i="160"/>
  <c r="E28" i="110" s="1"/>
  <c r="E26" i="160"/>
  <c r="E37" i="110" s="1"/>
  <c r="E12" i="110" s="1"/>
  <c r="E25" i="160"/>
  <c r="E24" i="160"/>
  <c r="E23" i="160"/>
  <c r="E22" i="160"/>
  <c r="E21" i="160"/>
  <c r="E20" i="160"/>
  <c r="E19" i="160"/>
  <c r="E18" i="160"/>
  <c r="E17" i="160"/>
  <c r="E16" i="160"/>
  <c r="E15" i="160"/>
  <c r="E32" i="110" s="1"/>
  <c r="E14" i="160"/>
  <c r="E31" i="110" s="1"/>
  <c r="D73" i="160"/>
  <c r="D72" i="160"/>
  <c r="D71" i="160"/>
  <c r="D70" i="160"/>
  <c r="D69" i="160"/>
  <c r="C34" i="110" s="1"/>
  <c r="D68" i="160"/>
  <c r="D67" i="160"/>
  <c r="D66" i="160"/>
  <c r="D65" i="160"/>
  <c r="D64" i="160"/>
  <c r="D63" i="160"/>
  <c r="D62" i="160"/>
  <c r="D61" i="160"/>
  <c r="D60" i="160"/>
  <c r="D59" i="160"/>
  <c r="D58" i="160"/>
  <c r="D57" i="160"/>
  <c r="D56" i="160"/>
  <c r="D55" i="160"/>
  <c r="D54" i="160"/>
  <c r="D53" i="160"/>
  <c r="D52" i="160"/>
  <c r="D51" i="160"/>
  <c r="D50" i="160"/>
  <c r="D49" i="160"/>
  <c r="D48" i="160"/>
  <c r="D47" i="160"/>
  <c r="D46" i="160"/>
  <c r="D45" i="160"/>
  <c r="D44" i="160"/>
  <c r="D43" i="160"/>
  <c r="D42" i="160"/>
  <c r="D41" i="160"/>
  <c r="D40" i="160"/>
  <c r="D39" i="160"/>
  <c r="D38" i="160"/>
  <c r="D37" i="160"/>
  <c r="D36" i="160"/>
  <c r="D35" i="160"/>
  <c r="D34" i="160"/>
  <c r="D33" i="160"/>
  <c r="C35" i="110" s="1"/>
  <c r="D32" i="160"/>
  <c r="D31" i="160"/>
  <c r="D30" i="160"/>
  <c r="C29" i="110" s="1"/>
  <c r="D28" i="160"/>
  <c r="D27" i="160"/>
  <c r="C28" i="110" s="1"/>
  <c r="D26" i="160"/>
  <c r="D25" i="160"/>
  <c r="D24" i="160"/>
  <c r="D23" i="160"/>
  <c r="D22" i="160"/>
  <c r="D21" i="160"/>
  <c r="D20" i="160"/>
  <c r="D19" i="160"/>
  <c r="D18" i="160"/>
  <c r="D17" i="160"/>
  <c r="D16" i="160"/>
  <c r="D15" i="160"/>
  <c r="C32" i="110" s="1"/>
  <c r="D14" i="160"/>
  <c r="C31" i="110" s="1"/>
  <c r="C73" i="160"/>
  <c r="C72" i="160"/>
  <c r="C71" i="160"/>
  <c r="C70" i="160"/>
  <c r="C69" i="160"/>
  <c r="B34" i="110" s="1"/>
  <c r="C68" i="160"/>
  <c r="C67" i="160"/>
  <c r="C66" i="160"/>
  <c r="C65" i="160"/>
  <c r="C64" i="160"/>
  <c r="C63" i="160"/>
  <c r="C62" i="160"/>
  <c r="C61" i="160"/>
  <c r="C60" i="160"/>
  <c r="C59" i="160"/>
  <c r="C58" i="160"/>
  <c r="C57" i="160"/>
  <c r="C56" i="160"/>
  <c r="C55" i="160"/>
  <c r="C54" i="160"/>
  <c r="C53" i="160"/>
  <c r="C52" i="160"/>
  <c r="C51" i="160"/>
  <c r="C50" i="160"/>
  <c r="C49" i="160"/>
  <c r="C48" i="160"/>
  <c r="C47" i="160"/>
  <c r="C46" i="160"/>
  <c r="C45" i="160"/>
  <c r="C44" i="160"/>
  <c r="C43" i="160"/>
  <c r="C42" i="160"/>
  <c r="C41" i="160"/>
  <c r="C40" i="160"/>
  <c r="C39" i="160"/>
  <c r="C38" i="160"/>
  <c r="C37" i="160"/>
  <c r="C36" i="160"/>
  <c r="C35" i="160"/>
  <c r="C34" i="160"/>
  <c r="C33" i="160"/>
  <c r="B35" i="110" s="1"/>
  <c r="C32" i="160"/>
  <c r="C31" i="160"/>
  <c r="C30" i="160"/>
  <c r="B29" i="110" s="1"/>
  <c r="C29" i="160"/>
  <c r="C28" i="160"/>
  <c r="C27" i="160"/>
  <c r="B28" i="110" s="1"/>
  <c r="C17" i="160"/>
  <c r="C18" i="160"/>
  <c r="C19" i="160"/>
  <c r="C20" i="160"/>
  <c r="C21" i="160"/>
  <c r="C22" i="160"/>
  <c r="C23" i="160"/>
  <c r="C24" i="160"/>
  <c r="C25" i="160"/>
  <c r="C26" i="160"/>
  <c r="C16" i="160"/>
  <c r="C15" i="160"/>
  <c r="B32" i="110" s="1"/>
  <c r="C14" i="160"/>
  <c r="B31" i="110" s="1"/>
  <c r="B15" i="160"/>
  <c r="B16" i="160"/>
  <c r="B17" i="160"/>
  <c r="B18" i="160"/>
  <c r="B19" i="160"/>
  <c r="B20" i="160"/>
  <c r="B21" i="160"/>
  <c r="B22" i="160"/>
  <c r="B23" i="160"/>
  <c r="B24" i="160"/>
  <c r="B25" i="160"/>
  <c r="B26" i="160"/>
  <c r="B27" i="160"/>
  <c r="B28" i="160"/>
  <c r="B29" i="160"/>
  <c r="B30" i="160"/>
  <c r="B31" i="160"/>
  <c r="B32" i="160"/>
  <c r="B33" i="160"/>
  <c r="B34" i="160"/>
  <c r="B35" i="160"/>
  <c r="B36" i="160"/>
  <c r="B37" i="160"/>
  <c r="B38" i="160"/>
  <c r="B39" i="160"/>
  <c r="B40" i="160"/>
  <c r="B41" i="160"/>
  <c r="B42" i="160"/>
  <c r="B43" i="160"/>
  <c r="B44" i="160"/>
  <c r="B45" i="160"/>
  <c r="B46" i="160"/>
  <c r="B47" i="160"/>
  <c r="B48" i="160"/>
  <c r="B49" i="160"/>
  <c r="B50" i="160"/>
  <c r="B51" i="160"/>
  <c r="B52" i="160"/>
  <c r="B53" i="160"/>
  <c r="B54" i="160"/>
  <c r="B55" i="160"/>
  <c r="B56" i="160"/>
  <c r="B57" i="160"/>
  <c r="B58" i="160"/>
  <c r="B59" i="160"/>
  <c r="B60" i="160"/>
  <c r="B61" i="160"/>
  <c r="B62" i="160"/>
  <c r="B63" i="160"/>
  <c r="B64" i="160"/>
  <c r="B65" i="160"/>
  <c r="B66" i="160"/>
  <c r="B67" i="160"/>
  <c r="B68" i="160"/>
  <c r="B69" i="160"/>
  <c r="B70" i="160"/>
  <c r="B71" i="160"/>
  <c r="B72" i="160"/>
  <c r="B73" i="160"/>
  <c r="B14" i="160"/>
  <c r="B13" i="160"/>
  <c r="B12" i="160"/>
  <c r="C11" i="160"/>
  <c r="D11" i="160"/>
  <c r="E11" i="160"/>
  <c r="C10" i="160"/>
  <c r="D10" i="160"/>
  <c r="E10" i="160"/>
  <c r="B11" i="160"/>
  <c r="B10" i="160"/>
  <c r="E21" i="92"/>
  <c r="D21" i="92"/>
  <c r="E20" i="92"/>
  <c r="D20" i="92"/>
  <c r="E18" i="92"/>
  <c r="D18" i="92"/>
  <c r="E17" i="92"/>
  <c r="D17" i="92"/>
  <c r="D16" i="92"/>
  <c r="E15" i="92"/>
  <c r="D15" i="92"/>
  <c r="E13" i="92"/>
  <c r="D13" i="92"/>
  <c r="E17" i="61"/>
  <c r="D17" i="61"/>
  <c r="E13" i="61"/>
  <c r="E15" i="61"/>
  <c r="E18" i="61"/>
  <c r="E20" i="61"/>
  <c r="E21" i="61"/>
  <c r="D21" i="61"/>
  <c r="D20" i="61"/>
  <c r="D18" i="61"/>
  <c r="D16" i="61"/>
  <c r="D15" i="61"/>
  <c r="D13" i="61"/>
  <c r="M80" i="100"/>
  <c r="E33" i="110" l="1"/>
  <c r="A64" i="174"/>
  <c r="N63" i="174"/>
  <c r="Z63" i="174" s="1"/>
  <c r="AS63" i="174" s="1"/>
  <c r="D12" i="92"/>
  <c r="B33" i="110"/>
  <c r="C33" i="110"/>
  <c r="F68" i="160"/>
  <c r="D95" i="159"/>
  <c r="F80" i="100"/>
  <c r="F8" i="77"/>
  <c r="AA130" i="174" s="1"/>
  <c r="F34" i="77"/>
  <c r="G34" i="77"/>
  <c r="F93" i="160"/>
  <c r="E93" i="160"/>
  <c r="D93" i="160"/>
  <c r="C93" i="160"/>
  <c r="F92" i="160"/>
  <c r="E92" i="160"/>
  <c r="D92" i="160"/>
  <c r="C92" i="160"/>
  <c r="F91" i="160"/>
  <c r="E91" i="160"/>
  <c r="D91" i="160"/>
  <c r="C91" i="160"/>
  <c r="F90" i="160"/>
  <c r="E90" i="160"/>
  <c r="D90" i="160"/>
  <c r="C90" i="160"/>
  <c r="F89" i="160"/>
  <c r="E89" i="160"/>
  <c r="D89" i="160"/>
  <c r="C89" i="160"/>
  <c r="F88" i="160"/>
  <c r="E88" i="160"/>
  <c r="D88" i="160"/>
  <c r="C88" i="160"/>
  <c r="F86" i="160"/>
  <c r="E86" i="160"/>
  <c r="D86" i="160"/>
  <c r="C86" i="160"/>
  <c r="F85" i="160"/>
  <c r="F94" i="160" s="1"/>
  <c r="E85" i="160"/>
  <c r="E94" i="160" s="1"/>
  <c r="D85" i="160"/>
  <c r="D94" i="160" s="1"/>
  <c r="C85" i="160"/>
  <c r="C94" i="160" s="1"/>
  <c r="F84" i="160"/>
  <c r="F95" i="160" s="1"/>
  <c r="E84" i="160"/>
  <c r="D84" i="160"/>
  <c r="D95" i="160" s="1"/>
  <c r="C84" i="160"/>
  <c r="C95" i="160" s="1"/>
  <c r="I12" i="119"/>
  <c r="G12" i="119"/>
  <c r="E12" i="119"/>
  <c r="C12" i="119"/>
  <c r="A7" i="119"/>
  <c r="A8" i="119" s="1"/>
  <c r="A9" i="119" s="1"/>
  <c r="A10" i="119" s="1"/>
  <c r="A11" i="119" s="1"/>
  <c r="H12" i="119"/>
  <c r="F12" i="119"/>
  <c r="D12" i="119"/>
  <c r="E95" i="160" l="1"/>
  <c r="A65" i="174"/>
  <c r="N64" i="174"/>
  <c r="Z64" i="174" s="1"/>
  <c r="AS64" i="174" s="1"/>
  <c r="G8" i="77"/>
  <c r="H90" i="85"/>
  <c r="I90" i="85" s="1"/>
  <c r="W28" i="85"/>
  <c r="U28" i="85"/>
  <c r="S28" i="85"/>
  <c r="Q28" i="85"/>
  <c r="O28" i="85"/>
  <c r="K28" i="85"/>
  <c r="G25" i="85"/>
  <c r="G24" i="85" s="1"/>
  <c r="F24" i="85"/>
  <c r="G22" i="85"/>
  <c r="A66" i="174" l="1"/>
  <c r="N65" i="174"/>
  <c r="Z65" i="174" s="1"/>
  <c r="AS65" i="174" s="1"/>
  <c r="I12" i="82"/>
  <c r="C24" i="157" s="1"/>
  <c r="I13" i="82"/>
  <c r="AH102" i="174" s="1"/>
  <c r="AE102" i="174" s="1"/>
  <c r="AB102" i="174" s="1"/>
  <c r="I14" i="82"/>
  <c r="I15" i="82"/>
  <c r="H24" i="157" l="1"/>
  <c r="AD102" i="174"/>
  <c r="AA102" i="174" s="1"/>
  <c r="G24" i="157"/>
  <c r="AC102" i="174"/>
  <c r="A67" i="174"/>
  <c r="N66" i="174"/>
  <c r="Z66" i="174" s="1"/>
  <c r="AS66" i="174" s="1"/>
  <c r="D24" i="157"/>
  <c r="F43" i="159"/>
  <c r="F42" i="160" s="1"/>
  <c r="E24" i="157"/>
  <c r="A68" i="174" l="1"/>
  <c r="N67" i="174"/>
  <c r="Z67" i="174" s="1"/>
  <c r="AS67" i="174" s="1"/>
  <c r="B24" i="157"/>
  <c r="F30" i="157"/>
  <c r="E30" i="157"/>
  <c r="C30" i="157"/>
  <c r="C29" i="157"/>
  <c r="F69" i="160"/>
  <c r="F34" i="110" s="1"/>
  <c r="F28" i="157"/>
  <c r="H28" i="157"/>
  <c r="G28" i="157"/>
  <c r="E28" i="157"/>
  <c r="R9" i="87"/>
  <c r="R10" i="87"/>
  <c r="R11" i="87"/>
  <c r="R12" i="87"/>
  <c r="R13" i="87"/>
  <c r="R14" i="87"/>
  <c r="R15" i="87"/>
  <c r="R16" i="87"/>
  <c r="R17" i="87"/>
  <c r="R18" i="87"/>
  <c r="R19" i="87"/>
  <c r="R8" i="87"/>
  <c r="E36" i="88"/>
  <c r="C28" i="157"/>
  <c r="E21" i="157"/>
  <c r="Q8" i="88"/>
  <c r="H21" i="157" s="1"/>
  <c r="M8" i="88"/>
  <c r="K8" i="88"/>
  <c r="F21" i="157" s="1"/>
  <c r="I8" i="88"/>
  <c r="A69" i="174" l="1"/>
  <c r="N68" i="174"/>
  <c r="Z68" i="174" s="1"/>
  <c r="AS68" i="174" s="1"/>
  <c r="H27" i="157"/>
  <c r="G27" i="157"/>
  <c r="F27" i="157"/>
  <c r="E27" i="157"/>
  <c r="D27" i="157"/>
  <c r="C27" i="157"/>
  <c r="F8" i="63"/>
  <c r="F57" i="63"/>
  <c r="A70" i="174" l="1"/>
  <c r="N69" i="174"/>
  <c r="Z69" i="174" s="1"/>
  <c r="AS69" i="174" s="1"/>
  <c r="B27" i="157"/>
  <c r="I27" i="157" s="1"/>
  <c r="G14" i="88"/>
  <c r="F51" i="100"/>
  <c r="F53" i="100"/>
  <c r="E43" i="88"/>
  <c r="A71" i="174" l="1"/>
  <c r="N70" i="174"/>
  <c r="Z70" i="174" s="1"/>
  <c r="AS70" i="174" s="1"/>
  <c r="M65" i="100"/>
  <c r="F65" i="100"/>
  <c r="F44" i="84"/>
  <c r="F44" i="100" s="1"/>
  <c r="F40" i="100"/>
  <c r="F57" i="100"/>
  <c r="H9" i="77"/>
  <c r="H10" i="77"/>
  <c r="H11" i="77"/>
  <c r="H12" i="77"/>
  <c r="H13" i="77"/>
  <c r="H14" i="77"/>
  <c r="H15" i="77"/>
  <c r="H16" i="77"/>
  <c r="H17" i="77"/>
  <c r="H18" i="77"/>
  <c r="H19" i="77"/>
  <c r="H20" i="77"/>
  <c r="H22" i="77"/>
  <c r="H23" i="77"/>
  <c r="H24" i="77"/>
  <c r="H25" i="77"/>
  <c r="H26" i="77"/>
  <c r="H27" i="77"/>
  <c r="H28" i="77"/>
  <c r="H29" i="77"/>
  <c r="H30" i="77"/>
  <c r="H31" i="77"/>
  <c r="H32" i="77"/>
  <c r="H33" i="77"/>
  <c r="F57" i="83"/>
  <c r="F57" i="106" s="1"/>
  <c r="F56" i="83"/>
  <c r="F56" i="106" s="1"/>
  <c r="F69" i="84"/>
  <c r="F68" i="84"/>
  <c r="F67" i="159"/>
  <c r="F66" i="160" s="1"/>
  <c r="F66" i="159"/>
  <c r="F65" i="160" s="1"/>
  <c r="F59" i="78"/>
  <c r="F58" i="102" s="1"/>
  <c r="F58" i="78"/>
  <c r="F57" i="102" s="1"/>
  <c r="F53" i="66"/>
  <c r="F52" i="103" s="1"/>
  <c r="F52" i="66"/>
  <c r="F51" i="103" s="1"/>
  <c r="H51" i="63"/>
  <c r="B53" i="63"/>
  <c r="B51" i="63"/>
  <c r="A19" i="123"/>
  <c r="F19" i="123"/>
  <c r="A72" i="174" l="1"/>
  <c r="N71" i="174"/>
  <c r="Z71" i="174" s="1"/>
  <c r="AS71" i="174" s="1"/>
  <c r="F69" i="100"/>
  <c r="M69" i="100"/>
  <c r="F70" i="100"/>
  <c r="M70" i="100"/>
  <c r="F68" i="100"/>
  <c r="M68" i="100"/>
  <c r="H21" i="77"/>
  <c r="H8" i="77" s="1"/>
  <c r="H98" i="159"/>
  <c r="H94" i="159"/>
  <c r="F5" i="117"/>
  <c r="D41" i="24"/>
  <c r="B78" i="160"/>
  <c r="B76" i="160"/>
  <c r="E13" i="160"/>
  <c r="D13" i="160"/>
  <c r="C13" i="160"/>
  <c r="C12" i="160" s="1"/>
  <c r="D8" i="160"/>
  <c r="C8" i="160"/>
  <c r="F7" i="160"/>
  <c r="E7" i="160"/>
  <c r="D3" i="160"/>
  <c r="A73" i="174" l="1"/>
  <c r="N72" i="174"/>
  <c r="Z72" i="174" s="1"/>
  <c r="AS72" i="174" s="1"/>
  <c r="C5" i="115"/>
  <c r="H95" i="159"/>
  <c r="A74" i="174" l="1"/>
  <c r="N73" i="174"/>
  <c r="Z73" i="174" s="1"/>
  <c r="AS73" i="174" s="1"/>
  <c r="F19" i="66"/>
  <c r="F19" i="103" s="1"/>
  <c r="F19" i="78"/>
  <c r="F19" i="102" s="1"/>
  <c r="F20" i="83"/>
  <c r="F20" i="106" s="1"/>
  <c r="F43" i="78"/>
  <c r="F42" i="102" s="1"/>
  <c r="F18" i="103"/>
  <c r="F18" i="78"/>
  <c r="F18" i="102" s="1"/>
  <c r="F19" i="83"/>
  <c r="F19" i="106" s="1"/>
  <c r="F41" i="66"/>
  <c r="F40" i="103" s="1"/>
  <c r="F42" i="78"/>
  <c r="F41" i="102" s="1"/>
  <c r="F49" i="84"/>
  <c r="B5" i="68"/>
  <c r="B6" i="68" s="1"/>
  <c r="B7" i="68" s="1"/>
  <c r="B8" i="68" s="1"/>
  <c r="A75" i="174" l="1"/>
  <c r="N74" i="174"/>
  <c r="Z74" i="174" s="1"/>
  <c r="AS74" i="174" s="1"/>
  <c r="F49" i="100"/>
  <c r="F50" i="100"/>
  <c r="G9" i="68"/>
  <c r="F26" i="157" s="1"/>
  <c r="F38" i="83"/>
  <c r="F38" i="106" s="1"/>
  <c r="F24" i="159"/>
  <c r="F24" i="160" s="1"/>
  <c r="F25" i="159"/>
  <c r="F25" i="160" s="1"/>
  <c r="I9" i="68"/>
  <c r="F40" i="66"/>
  <c r="F39" i="103" s="1"/>
  <c r="F28" i="84"/>
  <c r="F28" i="100" s="1"/>
  <c r="H9" i="68"/>
  <c r="F41" i="78"/>
  <c r="F40" i="102" s="1"/>
  <c r="F48" i="159"/>
  <c r="F49" i="159"/>
  <c r="E9" i="68"/>
  <c r="F47" i="159"/>
  <c r="F48" i="84"/>
  <c r="F27" i="84"/>
  <c r="F27" i="100" s="1"/>
  <c r="F9" i="68"/>
  <c r="D9" i="68"/>
  <c r="N75" i="174" l="1"/>
  <c r="Z75" i="174" s="1"/>
  <c r="AS75" i="174" s="1"/>
  <c r="A76" i="174"/>
  <c r="F48" i="100"/>
  <c r="F46" i="160"/>
  <c r="F47" i="160"/>
  <c r="F48" i="160"/>
  <c r="F16" i="157"/>
  <c r="C16" i="157"/>
  <c r="C26" i="157"/>
  <c r="E16" i="157"/>
  <c r="E26" i="157"/>
  <c r="G16" i="157"/>
  <c r="G26" i="157"/>
  <c r="H16" i="157"/>
  <c r="H26" i="157"/>
  <c r="D16" i="157"/>
  <c r="D26" i="157"/>
  <c r="J9" i="68"/>
  <c r="A5" i="118"/>
  <c r="N76" i="174" l="1"/>
  <c r="Z76" i="174" s="1"/>
  <c r="AS76" i="174" s="1"/>
  <c r="A77" i="174"/>
  <c r="B16" i="157"/>
  <c r="I16" i="157" s="1"/>
  <c r="B26" i="157"/>
  <c r="I26" i="157" s="1"/>
  <c r="N152" i="54"/>
  <c r="M152" i="54"/>
  <c r="L152" i="54"/>
  <c r="K152" i="54"/>
  <c r="F132" i="54"/>
  <c r="F131" i="54"/>
  <c r="F129" i="54"/>
  <c r="F128" i="54"/>
  <c r="F125" i="54"/>
  <c r="F126" i="54"/>
  <c r="F123" i="54"/>
  <c r="F122" i="54"/>
  <c r="F120" i="54"/>
  <c r="F119" i="54"/>
  <c r="F18" i="54"/>
  <c r="F17" i="54"/>
  <c r="N77" i="174" l="1"/>
  <c r="Z77" i="174" s="1"/>
  <c r="AS77" i="174" s="1"/>
  <c r="A78" i="174"/>
  <c r="F112" i="54"/>
  <c r="F109" i="54"/>
  <c r="F106" i="54"/>
  <c r="F103" i="54"/>
  <c r="F97" i="54"/>
  <c r="F96" i="54" s="1"/>
  <c r="F91" i="54"/>
  <c r="F87" i="54"/>
  <c r="F80" i="54"/>
  <c r="F77" i="54"/>
  <c r="F83" i="54"/>
  <c r="F58" i="54"/>
  <c r="F50" i="54"/>
  <c r="F39" i="54"/>
  <c r="F36" i="54"/>
  <c r="F33" i="54"/>
  <c r="F30" i="54"/>
  <c r="F27" i="54"/>
  <c r="N78" i="174" l="1"/>
  <c r="Z78" i="174" s="1"/>
  <c r="AS78" i="174" s="1"/>
  <c r="A79" i="174"/>
  <c r="F48" i="54"/>
  <c r="F75" i="54"/>
  <c r="N79" i="174" l="1"/>
  <c r="Z79" i="174" s="1"/>
  <c r="A80" i="174"/>
  <c r="A81" i="174" s="1"/>
  <c r="A82" i="174" s="1"/>
  <c r="A83" i="174" s="1"/>
  <c r="A84" i="174" s="1"/>
  <c r="A85" i="174" s="1"/>
  <c r="A86" i="174" s="1"/>
  <c r="A87" i="174" s="1"/>
  <c r="A88" i="174" s="1"/>
  <c r="A89" i="174" s="1"/>
  <c r="A90" i="174" s="1"/>
  <c r="A91" i="174" s="1"/>
  <c r="A92" i="174" s="1"/>
  <c r="A93" i="174" s="1"/>
  <c r="A94" i="174" s="1"/>
  <c r="A95" i="174" s="1"/>
  <c r="A96" i="174" s="1"/>
  <c r="A97" i="174" s="1"/>
  <c r="A98" i="174" s="1"/>
  <c r="A99" i="174" s="1"/>
  <c r="A100" i="174" s="1"/>
  <c r="A101" i="174" s="1"/>
  <c r="A102" i="174" s="1"/>
  <c r="A103" i="174" s="1"/>
  <c r="A104" i="174" s="1"/>
  <c r="A105" i="174" s="1"/>
  <c r="A106" i="174" s="1"/>
  <c r="A107" i="174" s="1"/>
  <c r="A108" i="174" s="1"/>
  <c r="A109" i="174" s="1"/>
  <c r="A110" i="174" s="1"/>
  <c r="A111" i="174" s="1"/>
  <c r="A112" i="174" s="1"/>
  <c r="A113" i="174" s="1"/>
  <c r="A114" i="174" s="1"/>
  <c r="A115" i="174" s="1"/>
  <c r="A116" i="174" s="1"/>
  <c r="A117" i="174" s="1"/>
  <c r="A118" i="174" s="1"/>
  <c r="A119" i="174" s="1"/>
  <c r="A120" i="174" s="1"/>
  <c r="A121" i="174" s="1"/>
  <c r="A122" i="174" s="1"/>
  <c r="A123" i="174" s="1"/>
  <c r="A124" i="174" s="1"/>
  <c r="A125" i="174" s="1"/>
  <c r="A126" i="174" s="1"/>
  <c r="A127" i="174" s="1"/>
  <c r="A128" i="174" s="1"/>
  <c r="A129" i="174" s="1"/>
  <c r="A130" i="174" s="1"/>
  <c r="I63" i="54"/>
  <c r="J63" i="54"/>
  <c r="K63" i="54"/>
  <c r="L63" i="54"/>
  <c r="M63" i="54"/>
  <c r="N63" i="54"/>
  <c r="H63" i="54"/>
  <c r="H62" i="54"/>
  <c r="H61" i="54"/>
  <c r="H60" i="54"/>
  <c r="H59" i="54"/>
  <c r="H55" i="54"/>
  <c r="G55" i="54" s="1"/>
  <c r="W55" i="54" s="1"/>
  <c r="H54" i="54"/>
  <c r="H53" i="54"/>
  <c r="I52" i="54"/>
  <c r="J52" i="54"/>
  <c r="K52" i="54"/>
  <c r="L52" i="54"/>
  <c r="M52" i="54"/>
  <c r="N52" i="54"/>
  <c r="H52" i="54"/>
  <c r="H51" i="54"/>
  <c r="D116" i="49"/>
  <c r="A131" i="174" l="1"/>
  <c r="D54" i="24"/>
  <c r="D53" i="24"/>
  <c r="O28" i="62"/>
  <c r="N28" i="62"/>
  <c r="L28" i="62"/>
  <c r="K28" i="62"/>
  <c r="J28" i="62"/>
  <c r="I28" i="62"/>
  <c r="H28" i="62"/>
  <c r="B28" i="62"/>
  <c r="O27" i="62"/>
  <c r="N27" i="62"/>
  <c r="M27" i="62"/>
  <c r="L27" i="62"/>
  <c r="K27" i="62"/>
  <c r="J27" i="62"/>
  <c r="I27" i="62"/>
  <c r="O26" i="62"/>
  <c r="N26" i="62"/>
  <c r="P10" i="62"/>
  <c r="P19" i="62" s="1"/>
  <c r="P9" i="62"/>
  <c r="P18" i="62" s="1"/>
  <c r="P8" i="62"/>
  <c r="P17" i="62" s="1"/>
  <c r="P7" i="62"/>
  <c r="P16" i="62" l="1"/>
  <c r="P21" i="62"/>
  <c r="N131" i="174"/>
  <c r="Z131" i="174" s="1"/>
  <c r="A132" i="174"/>
  <c r="E12" i="78"/>
  <c r="E9" i="78" l="1"/>
  <c r="E12" i="102"/>
  <c r="N132" i="174"/>
  <c r="Z132" i="174" s="1"/>
  <c r="A133" i="174"/>
  <c r="F60" i="78"/>
  <c r="F59" i="102" s="1"/>
  <c r="A134" i="174" l="1"/>
  <c r="N133" i="174"/>
  <c r="Z133" i="174" s="1"/>
  <c r="F7" i="159"/>
  <c r="B79" i="159"/>
  <c r="B77" i="159"/>
  <c r="F62" i="159"/>
  <c r="F61" i="160" s="1"/>
  <c r="E29" i="159"/>
  <c r="D29" i="159"/>
  <c r="D29" i="160" s="1"/>
  <c r="F23" i="159"/>
  <c r="F22" i="159"/>
  <c r="F21" i="159"/>
  <c r="F20" i="159"/>
  <c r="F19" i="159"/>
  <c r="F18" i="159"/>
  <c r="F17" i="159"/>
  <c r="E13" i="159"/>
  <c r="D13" i="159"/>
  <c r="E7" i="159"/>
  <c r="D8" i="159"/>
  <c r="C8" i="159"/>
  <c r="D3" i="159"/>
  <c r="D31" i="84"/>
  <c r="D31" i="100" s="1"/>
  <c r="A135" i="174" l="1"/>
  <c r="N134" i="174"/>
  <c r="Z134" i="174" s="1"/>
  <c r="F20" i="160"/>
  <c r="AH23" i="174"/>
  <c r="AE23" i="174" s="1"/>
  <c r="AB23" i="174" s="1"/>
  <c r="F19" i="160"/>
  <c r="AH22" i="174"/>
  <c r="F17" i="160"/>
  <c r="AH20" i="174"/>
  <c r="F23" i="160"/>
  <c r="AH26" i="174"/>
  <c r="F18" i="160"/>
  <c r="AH21" i="174"/>
  <c r="F22" i="160"/>
  <c r="AH25" i="174"/>
  <c r="F21" i="160"/>
  <c r="AH24" i="174"/>
  <c r="D75" i="160"/>
  <c r="D12" i="160"/>
  <c r="E16" i="61"/>
  <c r="E16" i="92"/>
  <c r="E12" i="92" s="1"/>
  <c r="E29" i="160"/>
  <c r="E12" i="160" s="1"/>
  <c r="E36" i="110" s="1"/>
  <c r="E27" i="110" s="1"/>
  <c r="E12" i="159"/>
  <c r="E22" i="61"/>
  <c r="E22" i="92"/>
  <c r="E19" i="92" s="1"/>
  <c r="D22" i="61"/>
  <c r="D19" i="61" s="1"/>
  <c r="D22" i="92"/>
  <c r="D19" i="92" s="1"/>
  <c r="D12" i="159"/>
  <c r="D5" i="115" s="1"/>
  <c r="O33" i="55"/>
  <c r="O14" i="55"/>
  <c r="O53" i="55" s="1"/>
  <c r="O29" i="55"/>
  <c r="H37" i="114"/>
  <c r="H38" i="114"/>
  <c r="H39" i="114"/>
  <c r="H40" i="114"/>
  <c r="H41" i="114"/>
  <c r="H36" i="114"/>
  <c r="K8" i="157"/>
  <c r="J8" i="157"/>
  <c r="I8" i="157"/>
  <c r="H8" i="157"/>
  <c r="G7" i="157"/>
  <c r="G6" i="157"/>
  <c r="G5" i="157"/>
  <c r="G4" i="157"/>
  <c r="G3" i="157"/>
  <c r="G8" i="157" l="1"/>
  <c r="A136" i="174"/>
  <c r="N135" i="174"/>
  <c r="Z135" i="174" s="1"/>
  <c r="F5" i="115"/>
  <c r="F99" i="159"/>
  <c r="F97" i="159"/>
  <c r="E5" i="115"/>
  <c r="G5" i="115"/>
  <c r="O13" i="55"/>
  <c r="O12" i="55" s="1"/>
  <c r="O43" i="55" s="1"/>
  <c r="E2" i="22"/>
  <c r="P2" i="105"/>
  <c r="P2" i="99"/>
  <c r="A137" i="174" l="1"/>
  <c r="N136" i="174"/>
  <c r="Z136" i="174" s="1"/>
  <c r="E97" i="159"/>
  <c r="E95" i="159"/>
  <c r="E94" i="159"/>
  <c r="E89" i="159"/>
  <c r="E96" i="159"/>
  <c r="E90" i="159"/>
  <c r="E92" i="159"/>
  <c r="E93" i="159"/>
  <c r="E91" i="159"/>
  <c r="E98" i="159"/>
  <c r="O54" i="55"/>
  <c r="A138" i="174" l="1"/>
  <c r="N137" i="174"/>
  <c r="Z137" i="174" s="1"/>
  <c r="E99" i="159"/>
  <c r="U55" i="106"/>
  <c r="T55" i="106"/>
  <c r="S55" i="106"/>
  <c r="R55" i="106"/>
  <c r="P117" i="99"/>
  <c r="N117" i="99" s="1"/>
  <c r="P118" i="99"/>
  <c r="N118" i="99" s="1"/>
  <c r="S117" i="99"/>
  <c r="S118" i="99"/>
  <c r="Q118" i="99" s="1"/>
  <c r="M117" i="99"/>
  <c r="K117" i="99" s="1"/>
  <c r="M118" i="99"/>
  <c r="K118" i="99" s="1"/>
  <c r="J117" i="99"/>
  <c r="H117" i="99" s="1"/>
  <c r="J118" i="99"/>
  <c r="H118" i="99" s="1"/>
  <c r="E117" i="99"/>
  <c r="G117" i="99" s="1"/>
  <c r="E118" i="99"/>
  <c r="G118" i="99" s="1"/>
  <c r="Q117" i="99"/>
  <c r="G9" i="92"/>
  <c r="H2" i="92"/>
  <c r="H2" i="61"/>
  <c r="D39" i="58"/>
  <c r="A139" i="174" l="1"/>
  <c r="N138" i="174"/>
  <c r="Z138" i="174" s="1"/>
  <c r="B8" i="155"/>
  <c r="D7" i="155"/>
  <c r="C7" i="155"/>
  <c r="C5" i="155"/>
  <c r="D4" i="155"/>
  <c r="C4" i="155"/>
  <c r="A140" i="174" l="1"/>
  <c r="N139" i="174"/>
  <c r="Z139" i="174" s="1"/>
  <c r="E4" i="155"/>
  <c r="C6" i="155"/>
  <c r="E7" i="155"/>
  <c r="D5" i="155"/>
  <c r="E5" i="155" s="1"/>
  <c r="C8" i="155"/>
  <c r="C9" i="155" s="1"/>
  <c r="D6" i="155"/>
  <c r="N140" i="174" l="1"/>
  <c r="Z140" i="174" s="1"/>
  <c r="A141" i="174"/>
  <c r="D8" i="155"/>
  <c r="D9" i="155" s="1"/>
  <c r="E6" i="155"/>
  <c r="E8" i="155" s="1"/>
  <c r="E9" i="155" s="1"/>
  <c r="A142" i="174" l="1"/>
  <c r="N141" i="174"/>
  <c r="Z141" i="174" s="1"/>
  <c r="H12" i="118"/>
  <c r="H11" i="118"/>
  <c r="H10" i="118"/>
  <c r="H9" i="118"/>
  <c r="H8" i="118"/>
  <c r="A143" i="174" l="1"/>
  <c r="A144" i="174" s="1"/>
  <c r="A145" i="174" s="1"/>
  <c r="A146" i="174" s="1"/>
  <c r="A147" i="174" s="1"/>
  <c r="A148" i="174" s="1"/>
  <c r="N142" i="174"/>
  <c r="H39" i="154"/>
  <c r="H32" i="154"/>
  <c r="H30" i="154"/>
  <c r="H23" i="154"/>
  <c r="H21" i="154"/>
  <c r="H14" i="154"/>
  <c r="H12" i="154"/>
  <c r="H32" i="153"/>
  <c r="H25" i="153"/>
  <c r="H23" i="153"/>
  <c r="H16" i="153"/>
  <c r="H14" i="153"/>
  <c r="E13" i="136"/>
  <c r="J13" i="136" s="1"/>
  <c r="G137" i="150" l="1"/>
  <c r="F137" i="150"/>
  <c r="E137" i="150"/>
  <c r="D137" i="150"/>
  <c r="C137" i="150"/>
  <c r="G136" i="150"/>
  <c r="F136" i="150"/>
  <c r="E136" i="150"/>
  <c r="D136" i="150"/>
  <c r="C136" i="150"/>
  <c r="G135" i="150"/>
  <c r="F135" i="150"/>
  <c r="E135" i="150"/>
  <c r="D135" i="150"/>
  <c r="C135" i="150"/>
  <c r="G134" i="150"/>
  <c r="F134" i="150"/>
  <c r="E134" i="150"/>
  <c r="D134" i="150"/>
  <c r="C134" i="150"/>
  <c r="E98" i="150"/>
  <c r="E103" i="150"/>
  <c r="D108" i="150"/>
  <c r="E108" i="150"/>
  <c r="F108" i="150"/>
  <c r="G108" i="150"/>
  <c r="C108" i="150"/>
  <c r="C104" i="150"/>
  <c r="C74" i="150"/>
  <c r="C72" i="150"/>
  <c r="I1" i="149"/>
  <c r="U1" i="149" s="1"/>
  <c r="F5" i="149"/>
  <c r="R49" i="149"/>
  <c r="S49" i="149" s="1"/>
  <c r="R40" i="149"/>
  <c r="R46" i="149" s="1"/>
  <c r="O40" i="149"/>
  <c r="F40" i="149"/>
  <c r="F46" i="149" s="1"/>
  <c r="E40" i="149"/>
  <c r="C40" i="149"/>
  <c r="N30" i="149"/>
  <c r="N46" i="149" s="1"/>
  <c r="D30" i="149"/>
  <c r="B30" i="149"/>
  <c r="B46" i="149" s="1"/>
  <c r="N29" i="149"/>
  <c r="O29" i="149" s="1"/>
  <c r="B29" i="149"/>
  <c r="E29" i="149" s="1"/>
  <c r="N28" i="149"/>
  <c r="N44" i="149" s="1"/>
  <c r="D28" i="149"/>
  <c r="B28" i="149"/>
  <c r="B44" i="149" s="1"/>
  <c r="N27" i="149"/>
  <c r="O27" i="149" s="1"/>
  <c r="B27" i="149"/>
  <c r="E27" i="149" s="1"/>
  <c r="N26" i="149"/>
  <c r="N42" i="149" s="1"/>
  <c r="B26" i="149"/>
  <c r="B42" i="149" s="1"/>
  <c r="N25" i="149"/>
  <c r="O25" i="149" s="1"/>
  <c r="B25" i="149"/>
  <c r="E25" i="149" s="1"/>
  <c r="R24" i="149"/>
  <c r="R30" i="149" s="1"/>
  <c r="O24" i="149"/>
  <c r="F24" i="149"/>
  <c r="F30" i="149" s="1"/>
  <c r="E24" i="149"/>
  <c r="C24" i="149"/>
  <c r="B21" i="149"/>
  <c r="R20" i="149"/>
  <c r="S20" i="149" s="1"/>
  <c r="F20" i="149"/>
  <c r="G20" i="149" s="1"/>
  <c r="R19" i="149"/>
  <c r="S19" i="149" s="1"/>
  <c r="F19" i="149"/>
  <c r="G19" i="149" s="1"/>
  <c r="R18" i="149"/>
  <c r="S18" i="149" s="1"/>
  <c r="F18" i="149"/>
  <c r="G18" i="149" s="1"/>
  <c r="R17" i="149"/>
  <c r="S17" i="149" s="1"/>
  <c r="F17" i="149"/>
  <c r="G17" i="149" s="1"/>
  <c r="R16" i="149"/>
  <c r="S16" i="149" s="1"/>
  <c r="F16" i="149"/>
  <c r="G16" i="149" s="1"/>
  <c r="R15" i="149"/>
  <c r="F15" i="149"/>
  <c r="G15" i="149" s="1"/>
  <c r="R14" i="149"/>
  <c r="P14" i="149"/>
  <c r="O14" i="149"/>
  <c r="F14" i="149"/>
  <c r="D14" i="149"/>
  <c r="E14" i="149" s="1"/>
  <c r="G14" i="149" s="1"/>
  <c r="C14" i="149"/>
  <c r="R13" i="149"/>
  <c r="P13" i="149"/>
  <c r="O13" i="149"/>
  <c r="F13" i="149"/>
  <c r="D13" i="149"/>
  <c r="E13" i="149" s="1"/>
  <c r="G13" i="149" s="1"/>
  <c r="C13" i="149"/>
  <c r="R12" i="149"/>
  <c r="P12" i="149"/>
  <c r="O12" i="149"/>
  <c r="F12" i="149"/>
  <c r="D12" i="149"/>
  <c r="E12" i="149" s="1"/>
  <c r="G12" i="149" s="1"/>
  <c r="C12" i="149"/>
  <c r="R11" i="149"/>
  <c r="P11" i="149"/>
  <c r="O11" i="149"/>
  <c r="F11" i="149"/>
  <c r="E11" i="149"/>
  <c r="G11" i="149" s="1"/>
  <c r="D11" i="149"/>
  <c r="C11" i="149"/>
  <c r="R10" i="149"/>
  <c r="P10" i="149"/>
  <c r="O10" i="149"/>
  <c r="F10" i="149"/>
  <c r="D10" i="149"/>
  <c r="E10" i="149" s="1"/>
  <c r="G10" i="149" s="1"/>
  <c r="C10" i="149"/>
  <c r="R9" i="149"/>
  <c r="P9" i="149"/>
  <c r="P21" i="149" s="1"/>
  <c r="O9" i="149"/>
  <c r="O21" i="149" s="1"/>
  <c r="F9" i="149"/>
  <c r="D9" i="149"/>
  <c r="E9" i="149" s="1"/>
  <c r="G9" i="149" s="1"/>
  <c r="C9" i="149"/>
  <c r="C21" i="149" s="1"/>
  <c r="R32" i="149" l="1"/>
  <c r="S32" i="149" s="1"/>
  <c r="R36" i="149"/>
  <c r="S36" i="149" s="1"/>
  <c r="O28" i="149"/>
  <c r="O30" i="149"/>
  <c r="R34" i="149"/>
  <c r="S34" i="149" s="1"/>
  <c r="R47" i="149"/>
  <c r="S47" i="149" s="1"/>
  <c r="R51" i="149"/>
  <c r="S51" i="149" s="1"/>
  <c r="D26" i="149"/>
  <c r="R33" i="149"/>
  <c r="S33" i="149" s="1"/>
  <c r="R50" i="149"/>
  <c r="S50" i="149" s="1"/>
  <c r="F21" i="149"/>
  <c r="R21" i="149"/>
  <c r="O26" i="149"/>
  <c r="O37" i="149" s="1"/>
  <c r="P28" i="149"/>
  <c r="R31" i="149"/>
  <c r="S31" i="149" s="1"/>
  <c r="R35" i="149"/>
  <c r="S35" i="149" s="1"/>
  <c r="R48" i="149"/>
  <c r="S48" i="149" s="1"/>
  <c r="R52" i="149"/>
  <c r="S52" i="149" s="1"/>
  <c r="C44" i="149"/>
  <c r="D44" i="149"/>
  <c r="E44" i="149"/>
  <c r="C46" i="149"/>
  <c r="D46" i="149"/>
  <c r="E46" i="149"/>
  <c r="G46" i="149" s="1"/>
  <c r="O42" i="149"/>
  <c r="P42" i="149"/>
  <c r="O44" i="149"/>
  <c r="P44" i="149"/>
  <c r="O46" i="149"/>
  <c r="P46" i="149"/>
  <c r="C42" i="149"/>
  <c r="D42" i="149"/>
  <c r="E42" i="149"/>
  <c r="G27" i="149"/>
  <c r="E21" i="149"/>
  <c r="G21" i="149" s="1"/>
  <c r="D25" i="149"/>
  <c r="F26" i="149"/>
  <c r="D27" i="149"/>
  <c r="F28" i="149"/>
  <c r="D29" i="149"/>
  <c r="S15" i="149"/>
  <c r="C25" i="149"/>
  <c r="R25" i="149"/>
  <c r="E26" i="149"/>
  <c r="P26" i="149"/>
  <c r="C27" i="149"/>
  <c r="R27" i="149"/>
  <c r="E28" i="149"/>
  <c r="C29" i="149"/>
  <c r="R29" i="149"/>
  <c r="E30" i="149"/>
  <c r="G30" i="149" s="1"/>
  <c r="P30" i="149"/>
  <c r="N41" i="149"/>
  <c r="R41" i="149"/>
  <c r="N43" i="149"/>
  <c r="R43" i="149"/>
  <c r="N45" i="149"/>
  <c r="R45" i="149"/>
  <c r="F33" i="149"/>
  <c r="G33" i="149" s="1"/>
  <c r="F34" i="149"/>
  <c r="G34" i="149" s="1"/>
  <c r="F35" i="149"/>
  <c r="G35" i="149" s="1"/>
  <c r="F36" i="149"/>
  <c r="G36" i="149" s="1"/>
  <c r="B37" i="149"/>
  <c r="B41" i="149"/>
  <c r="F41" i="149"/>
  <c r="B43" i="149"/>
  <c r="F43" i="149"/>
  <c r="B45" i="149"/>
  <c r="F45" i="149"/>
  <c r="F47" i="149"/>
  <c r="G47" i="149" s="1"/>
  <c r="F48" i="149"/>
  <c r="G48" i="149" s="1"/>
  <c r="F49" i="149"/>
  <c r="G49" i="149" s="1"/>
  <c r="F50" i="149"/>
  <c r="G50" i="149" s="1"/>
  <c r="F51" i="149"/>
  <c r="G51" i="149" s="1"/>
  <c r="F52" i="149"/>
  <c r="G52" i="149" s="1"/>
  <c r="F25" i="149"/>
  <c r="F27" i="149"/>
  <c r="F29" i="149"/>
  <c r="G29" i="149" s="1"/>
  <c r="F31" i="149"/>
  <c r="G31" i="149" s="1"/>
  <c r="F32" i="149"/>
  <c r="G32" i="149" s="1"/>
  <c r="P25" i="149"/>
  <c r="C26" i="149"/>
  <c r="R26" i="149"/>
  <c r="P27" i="149"/>
  <c r="C28" i="149"/>
  <c r="R28" i="149"/>
  <c r="P29" i="149"/>
  <c r="C30" i="149"/>
  <c r="R42" i="149"/>
  <c r="R44" i="149"/>
  <c r="F42" i="149"/>
  <c r="F44" i="149"/>
  <c r="G26" i="149" l="1"/>
  <c r="O43" i="149"/>
  <c r="P43" i="149"/>
  <c r="D43" i="149"/>
  <c r="E43" i="149"/>
  <c r="G43" i="149" s="1"/>
  <c r="C43" i="149"/>
  <c r="F37" i="149"/>
  <c r="F53" i="149"/>
  <c r="C37" i="149"/>
  <c r="R37" i="149"/>
  <c r="G42" i="149"/>
  <c r="E37" i="149"/>
  <c r="O45" i="149"/>
  <c r="P45" i="149"/>
  <c r="O41" i="149"/>
  <c r="O53" i="149" s="1"/>
  <c r="P41" i="149"/>
  <c r="P53" i="149" s="1"/>
  <c r="D45" i="149"/>
  <c r="E45" i="149"/>
  <c r="G45" i="149" s="1"/>
  <c r="C45" i="149"/>
  <c r="D41" i="149"/>
  <c r="E41" i="149"/>
  <c r="B53" i="149"/>
  <c r="C41" i="149"/>
  <c r="C53" i="149" s="1"/>
  <c r="P37" i="149"/>
  <c r="G25" i="149"/>
  <c r="R53" i="149"/>
  <c r="G28" i="149"/>
  <c r="G44" i="149"/>
  <c r="E53" i="149" l="1"/>
  <c r="G41" i="149"/>
  <c r="G53" i="149" s="1"/>
  <c r="G37" i="149"/>
  <c r="B16" i="147" l="1"/>
  <c r="E29" i="147"/>
  <c r="E23" i="147"/>
  <c r="E16" i="147"/>
  <c r="E9" i="147"/>
  <c r="J9" i="147" l="1"/>
  <c r="H9" i="147"/>
  <c r="J16" i="147"/>
  <c r="H16" i="147"/>
  <c r="B29" i="147"/>
  <c r="H29" i="147" s="1"/>
  <c r="J23" i="147"/>
  <c r="H23" i="147"/>
  <c r="F60" i="98"/>
  <c r="H60" i="98" l="1"/>
  <c r="G60" i="98" l="1"/>
  <c r="C45" i="146"/>
  <c r="D23" i="146"/>
  <c r="G3" i="146" l="1"/>
  <c r="G9" i="146"/>
  <c r="H6" i="146"/>
  <c r="I6" i="146"/>
  <c r="G8" i="146" l="1"/>
  <c r="G14" i="146" s="1"/>
  <c r="G7" i="146"/>
  <c r="K11" i="146"/>
  <c r="E13" i="140"/>
  <c r="E18" i="145"/>
  <c r="H18" i="145"/>
  <c r="K18" i="145"/>
  <c r="N18" i="145"/>
  <c r="Q18" i="145"/>
  <c r="V18" i="145"/>
  <c r="W18" i="145"/>
  <c r="X18" i="145"/>
  <c r="Y18" i="145"/>
  <c r="Z18" i="145"/>
  <c r="AA18" i="145"/>
  <c r="AB18" i="145"/>
  <c r="AC18" i="145"/>
  <c r="AD18" i="145"/>
  <c r="AE18" i="145"/>
  <c r="AF18" i="145"/>
  <c r="AG18" i="145"/>
  <c r="AH18" i="145"/>
  <c r="AI18" i="145"/>
  <c r="AJ18" i="145"/>
  <c r="AK18" i="145"/>
  <c r="AL18" i="145"/>
  <c r="AM18" i="145"/>
  <c r="AN18" i="145"/>
  <c r="AO18" i="145"/>
  <c r="AP18" i="145"/>
  <c r="AQ18" i="145"/>
  <c r="C33" i="145"/>
  <c r="C34" i="145"/>
  <c r="E2" i="145"/>
  <c r="H2" i="145"/>
  <c r="K2" i="145"/>
  <c r="N2" i="145"/>
  <c r="Q2" i="145"/>
  <c r="V2" i="145"/>
  <c r="W2" i="145"/>
  <c r="X2" i="145"/>
  <c r="Y2" i="145"/>
  <c r="Z2" i="145"/>
  <c r="AA2" i="145"/>
  <c r="AB2" i="145"/>
  <c r="AC2" i="145"/>
  <c r="AD2" i="145"/>
  <c r="AE2" i="145"/>
  <c r="AF2" i="145"/>
  <c r="AG2" i="145"/>
  <c r="AH2" i="145"/>
  <c r="AI2" i="145"/>
  <c r="D5" i="145"/>
  <c r="G5" i="145"/>
  <c r="J5" i="145"/>
  <c r="M5" i="145"/>
  <c r="P5" i="145"/>
  <c r="V5" i="145"/>
  <c r="W5" i="145"/>
  <c r="X5" i="145"/>
  <c r="Y5" i="145"/>
  <c r="Z5" i="145"/>
  <c r="AA5" i="145"/>
  <c r="AB5" i="145"/>
  <c r="AC5" i="145"/>
  <c r="AD5" i="145"/>
  <c r="AE5" i="145"/>
  <c r="AF5" i="145"/>
  <c r="AG5" i="145"/>
  <c r="AH5" i="145"/>
  <c r="AI5" i="145"/>
  <c r="AJ5" i="145"/>
  <c r="AK5" i="145"/>
  <c r="AL5" i="145"/>
  <c r="AM5" i="145"/>
  <c r="G13" i="146" l="1"/>
  <c r="G6" i="146"/>
  <c r="G12" i="146"/>
  <c r="N14" i="146" s="1"/>
  <c r="G52" i="145"/>
  <c r="J52" i="145"/>
  <c r="M52" i="145"/>
  <c r="P52" i="145"/>
  <c r="G51" i="145"/>
  <c r="J51" i="145"/>
  <c r="M51" i="145"/>
  <c r="P51" i="145"/>
  <c r="G50" i="145"/>
  <c r="J50" i="145"/>
  <c r="M50" i="145"/>
  <c r="P50" i="145"/>
  <c r="G49" i="145"/>
  <c r="J49" i="145"/>
  <c r="M49" i="145"/>
  <c r="P49" i="145"/>
  <c r="G48" i="145"/>
  <c r="J48" i="145"/>
  <c r="M48" i="145"/>
  <c r="P48" i="145"/>
  <c r="G47" i="145"/>
  <c r="J47" i="145"/>
  <c r="M47" i="145"/>
  <c r="P47" i="145"/>
  <c r="G46" i="145"/>
  <c r="J46" i="145"/>
  <c r="M46" i="145"/>
  <c r="P46" i="145"/>
  <c r="G45" i="145"/>
  <c r="J45" i="145"/>
  <c r="M45" i="145"/>
  <c r="P45" i="145"/>
  <c r="G44" i="145"/>
  <c r="J44" i="145"/>
  <c r="M44" i="145"/>
  <c r="P44" i="145"/>
  <c r="G43" i="145"/>
  <c r="J43" i="145"/>
  <c r="M43" i="145"/>
  <c r="P43" i="145"/>
  <c r="G42" i="145"/>
  <c r="J42" i="145"/>
  <c r="M42" i="145"/>
  <c r="P42" i="145"/>
  <c r="G41" i="145"/>
  <c r="J41" i="145"/>
  <c r="M41" i="145"/>
  <c r="P41" i="145"/>
  <c r="G40" i="145"/>
  <c r="J40" i="145"/>
  <c r="M40" i="145"/>
  <c r="P40" i="145"/>
  <c r="G39" i="145"/>
  <c r="J39" i="145"/>
  <c r="M39" i="145"/>
  <c r="P39" i="145"/>
  <c r="G38" i="145"/>
  <c r="J38" i="145"/>
  <c r="M38" i="145"/>
  <c r="P38" i="145"/>
  <c r="G37" i="145"/>
  <c r="J37" i="145"/>
  <c r="M37" i="145"/>
  <c r="P37" i="145"/>
  <c r="G36" i="145"/>
  <c r="J36" i="145"/>
  <c r="M36" i="145"/>
  <c r="P36" i="145"/>
  <c r="G35" i="145"/>
  <c r="J35" i="145"/>
  <c r="M35" i="145"/>
  <c r="P35" i="145"/>
  <c r="G34" i="145"/>
  <c r="I34" i="145"/>
  <c r="J34" i="145"/>
  <c r="L34" i="145"/>
  <c r="M34" i="145"/>
  <c r="O34" i="145"/>
  <c r="P34" i="145"/>
  <c r="G33" i="145"/>
  <c r="I33" i="145"/>
  <c r="J33" i="145"/>
  <c r="L33" i="145"/>
  <c r="M33" i="145"/>
  <c r="O33" i="145"/>
  <c r="P33" i="145"/>
  <c r="G32" i="145"/>
  <c r="J32" i="145"/>
  <c r="M32" i="145"/>
  <c r="P32" i="145"/>
  <c r="T74" i="105"/>
  <c r="T73" i="105"/>
  <c r="D32" i="145"/>
  <c r="D33" i="145"/>
  <c r="D34" i="145"/>
  <c r="D35" i="145"/>
  <c r="D36" i="145"/>
  <c r="D37" i="145"/>
  <c r="D38" i="145"/>
  <c r="D39" i="145"/>
  <c r="D40" i="145"/>
  <c r="D41" i="145"/>
  <c r="D42" i="145"/>
  <c r="D43" i="145"/>
  <c r="D44" i="145"/>
  <c r="D45" i="145"/>
  <c r="D46" i="145"/>
  <c r="D47" i="145"/>
  <c r="D48" i="145"/>
  <c r="D49" i="145"/>
  <c r="D50" i="145"/>
  <c r="D51" i="145"/>
  <c r="D52" i="145"/>
  <c r="D53" i="145"/>
  <c r="D54" i="145"/>
  <c r="D55" i="145"/>
  <c r="D59" i="145"/>
  <c r="D60" i="145"/>
  <c r="D61" i="145"/>
  <c r="D62" i="145"/>
  <c r="D63" i="145"/>
  <c r="D65" i="145"/>
  <c r="D66" i="145"/>
  <c r="C8" i="145"/>
  <c r="C9" i="145"/>
  <c r="C10" i="145"/>
  <c r="C11" i="145"/>
  <c r="C12" i="145"/>
  <c r="C13" i="145"/>
  <c r="C14" i="145"/>
  <c r="C15" i="145"/>
  <c r="C16" i="145"/>
  <c r="C17" i="145"/>
  <c r="C21" i="145"/>
  <c r="C22" i="145"/>
  <c r="C23" i="145"/>
  <c r="C24" i="145"/>
  <c r="C70" i="145"/>
  <c r="C73" i="145"/>
  <c r="C77" i="145"/>
  <c r="C95" i="145"/>
  <c r="C96" i="145"/>
  <c r="C97" i="145"/>
  <c r="C98" i="145"/>
  <c r="C105" i="145"/>
  <c r="C106" i="145"/>
  <c r="C111" i="145"/>
  <c r="C114" i="145"/>
  <c r="C117" i="145"/>
  <c r="AJ2" i="145"/>
  <c r="AK2" i="145"/>
  <c r="AL2" i="145"/>
  <c r="AM2" i="145"/>
  <c r="AN2" i="145"/>
  <c r="AO2" i="145"/>
  <c r="AP2" i="145"/>
  <c r="AQ2" i="145"/>
  <c r="AR2" i="145"/>
  <c r="AS2" i="145"/>
  <c r="AT2" i="145"/>
  <c r="AU2" i="145"/>
  <c r="AV2" i="145"/>
  <c r="AW2" i="145"/>
  <c r="AX2" i="145"/>
  <c r="AY2" i="145"/>
  <c r="AZ2" i="145"/>
  <c r="BA2" i="145"/>
  <c r="B3" i="145"/>
  <c r="B4" i="145"/>
  <c r="B5" i="145"/>
  <c r="B6" i="145"/>
  <c r="B7" i="145"/>
  <c r="B8" i="145"/>
  <c r="B9" i="145"/>
  <c r="B10" i="145"/>
  <c r="B11" i="145"/>
  <c r="B12" i="145"/>
  <c r="B13" i="145"/>
  <c r="B14" i="145"/>
  <c r="B15" i="145"/>
  <c r="B16" i="145"/>
  <c r="B17" i="145"/>
  <c r="B18" i="145"/>
  <c r="B19" i="145"/>
  <c r="B20" i="145"/>
  <c r="B21" i="145"/>
  <c r="B22" i="145"/>
  <c r="B23" i="145"/>
  <c r="B24" i="145"/>
  <c r="B25" i="145"/>
  <c r="B26" i="145"/>
  <c r="B27" i="145"/>
  <c r="B28" i="145"/>
  <c r="B29" i="145"/>
  <c r="B30" i="145"/>
  <c r="B31" i="145"/>
  <c r="B32" i="145"/>
  <c r="B33" i="145"/>
  <c r="B34" i="145"/>
  <c r="B35" i="145"/>
  <c r="B36" i="145"/>
  <c r="B37" i="145"/>
  <c r="B38" i="145"/>
  <c r="B39" i="145"/>
  <c r="B40" i="145"/>
  <c r="B41" i="145"/>
  <c r="B42" i="145"/>
  <c r="B43" i="145"/>
  <c r="B44" i="145"/>
  <c r="B45" i="145"/>
  <c r="B46" i="145"/>
  <c r="B47" i="145"/>
  <c r="B48" i="145"/>
  <c r="B49" i="145"/>
  <c r="B50" i="145"/>
  <c r="B51" i="145"/>
  <c r="B52" i="145"/>
  <c r="B53" i="145"/>
  <c r="B54" i="145"/>
  <c r="B55" i="145"/>
  <c r="B56" i="145"/>
  <c r="B57" i="145"/>
  <c r="B58" i="145"/>
  <c r="B59" i="145"/>
  <c r="B60" i="145"/>
  <c r="B61" i="145"/>
  <c r="B62" i="145"/>
  <c r="B63" i="145"/>
  <c r="B64" i="145"/>
  <c r="B65" i="145"/>
  <c r="B66" i="145"/>
  <c r="B67" i="145"/>
  <c r="B68" i="145"/>
  <c r="B69" i="145"/>
  <c r="B70" i="145"/>
  <c r="B71" i="145"/>
  <c r="B72" i="145"/>
  <c r="B73" i="145"/>
  <c r="B74" i="145"/>
  <c r="B75" i="145"/>
  <c r="B76" i="145"/>
  <c r="B77" i="145"/>
  <c r="B78" i="145"/>
  <c r="B79" i="145"/>
  <c r="B80" i="145"/>
  <c r="B81" i="145"/>
  <c r="B82" i="145"/>
  <c r="B83" i="145"/>
  <c r="B84" i="145"/>
  <c r="B85" i="145"/>
  <c r="B86" i="145"/>
  <c r="B87" i="145"/>
  <c r="B88" i="145"/>
  <c r="B89" i="145"/>
  <c r="B90" i="145"/>
  <c r="B91" i="145"/>
  <c r="B92" i="145"/>
  <c r="B93" i="145"/>
  <c r="B94" i="145"/>
  <c r="B95" i="145"/>
  <c r="B96" i="145"/>
  <c r="B97" i="145"/>
  <c r="B98" i="145"/>
  <c r="B99" i="145"/>
  <c r="B100" i="145"/>
  <c r="B101" i="145"/>
  <c r="B102" i="145"/>
  <c r="B103" i="145"/>
  <c r="B104" i="145"/>
  <c r="B105" i="145"/>
  <c r="B106" i="145"/>
  <c r="B107" i="145"/>
  <c r="B108" i="145"/>
  <c r="B109" i="145"/>
  <c r="B110" i="145"/>
  <c r="B111" i="145"/>
  <c r="B112" i="145"/>
  <c r="B113" i="145"/>
  <c r="B114" i="145"/>
  <c r="B115" i="145"/>
  <c r="B116" i="145"/>
  <c r="B117" i="145"/>
  <c r="B118" i="145"/>
  <c r="B119" i="145"/>
  <c r="B120" i="145"/>
  <c r="B121" i="145"/>
  <c r="B122" i="145"/>
  <c r="B123" i="145"/>
  <c r="B124" i="145"/>
  <c r="B125" i="145"/>
  <c r="B126" i="145"/>
  <c r="B127" i="145"/>
  <c r="B128" i="145"/>
  <c r="B129" i="145"/>
  <c r="B2" i="145"/>
  <c r="A3" i="145"/>
  <c r="A4" i="145"/>
  <c r="A5" i="145"/>
  <c r="A6" i="145"/>
  <c r="A7" i="145"/>
  <c r="A8" i="145"/>
  <c r="A9" i="145"/>
  <c r="A10" i="145"/>
  <c r="A11" i="145"/>
  <c r="A12" i="145"/>
  <c r="A13" i="145"/>
  <c r="A14" i="145"/>
  <c r="A15" i="145"/>
  <c r="A16" i="145"/>
  <c r="A17" i="145"/>
  <c r="A18" i="145"/>
  <c r="A19" i="145"/>
  <c r="A20" i="145"/>
  <c r="A21" i="145"/>
  <c r="A22" i="145"/>
  <c r="A23" i="145"/>
  <c r="A24" i="145"/>
  <c r="A25" i="145"/>
  <c r="A26" i="145"/>
  <c r="A27" i="145"/>
  <c r="A28" i="145"/>
  <c r="A29" i="145"/>
  <c r="A30" i="145"/>
  <c r="A31" i="145"/>
  <c r="A32" i="145"/>
  <c r="A33" i="145"/>
  <c r="A34" i="145"/>
  <c r="A35" i="145"/>
  <c r="A36" i="145"/>
  <c r="A37" i="145"/>
  <c r="A38" i="145"/>
  <c r="A39" i="145"/>
  <c r="A40" i="145"/>
  <c r="A41" i="145"/>
  <c r="A42" i="145"/>
  <c r="A43" i="145"/>
  <c r="A44" i="145"/>
  <c r="A45" i="145"/>
  <c r="A46" i="145"/>
  <c r="A47" i="145"/>
  <c r="A48" i="145"/>
  <c r="A49" i="145"/>
  <c r="A50" i="145"/>
  <c r="A51" i="145"/>
  <c r="A52" i="145"/>
  <c r="A53" i="145"/>
  <c r="A54" i="145"/>
  <c r="A55" i="145"/>
  <c r="A56" i="145"/>
  <c r="A57" i="145"/>
  <c r="A58" i="145"/>
  <c r="A59" i="145"/>
  <c r="A60" i="145"/>
  <c r="A61" i="145"/>
  <c r="A62" i="145"/>
  <c r="A63" i="145"/>
  <c r="A64" i="145"/>
  <c r="A65" i="145"/>
  <c r="A66" i="145"/>
  <c r="A67" i="145"/>
  <c r="A68" i="145"/>
  <c r="A69" i="145"/>
  <c r="A70" i="145"/>
  <c r="A71" i="145"/>
  <c r="A72" i="145"/>
  <c r="A73" i="145"/>
  <c r="A74" i="145"/>
  <c r="A75" i="145"/>
  <c r="A76" i="145"/>
  <c r="A77" i="145"/>
  <c r="A78" i="145"/>
  <c r="A79" i="145"/>
  <c r="A80" i="145"/>
  <c r="A81" i="145"/>
  <c r="A82" i="145"/>
  <c r="A83" i="145"/>
  <c r="A84" i="145"/>
  <c r="A85" i="145"/>
  <c r="A86" i="145"/>
  <c r="A87" i="145"/>
  <c r="A88" i="145"/>
  <c r="A89" i="145"/>
  <c r="A90" i="145"/>
  <c r="A91" i="145"/>
  <c r="A92" i="145"/>
  <c r="A93" i="145"/>
  <c r="A94" i="145"/>
  <c r="A95" i="145"/>
  <c r="A96" i="145"/>
  <c r="A97" i="145"/>
  <c r="A98" i="145"/>
  <c r="A99" i="145"/>
  <c r="A100" i="145"/>
  <c r="A101" i="145"/>
  <c r="A102" i="145"/>
  <c r="A103" i="145"/>
  <c r="A104" i="145"/>
  <c r="A105" i="145"/>
  <c r="A106" i="145"/>
  <c r="A107" i="145"/>
  <c r="A108" i="145"/>
  <c r="A109" i="145"/>
  <c r="A110" i="145"/>
  <c r="A111" i="145"/>
  <c r="A112" i="145"/>
  <c r="A113" i="145"/>
  <c r="A114" i="145"/>
  <c r="A115" i="145"/>
  <c r="A116" i="145"/>
  <c r="A117" i="145"/>
  <c r="A118" i="145"/>
  <c r="A119" i="145"/>
  <c r="A120" i="145"/>
  <c r="A121" i="145"/>
  <c r="A122" i="145"/>
  <c r="A123" i="145"/>
  <c r="A124" i="145"/>
  <c r="A125" i="145"/>
  <c r="A126" i="145"/>
  <c r="A127" i="145"/>
  <c r="A128" i="145"/>
  <c r="A129" i="145"/>
  <c r="A2" i="145"/>
  <c r="H26" i="139"/>
  <c r="H19" i="139"/>
  <c r="H44" i="139"/>
  <c r="H37" i="139"/>
  <c r="H35" i="139"/>
  <c r="H28" i="139"/>
  <c r="H17" i="139"/>
  <c r="F189" i="107"/>
  <c r="F190" i="107" s="1"/>
  <c r="E181" i="107"/>
  <c r="F181" i="107"/>
  <c r="G181" i="107"/>
  <c r="E176" i="107"/>
  <c r="E182" i="107" s="1"/>
  <c r="F176" i="107"/>
  <c r="F182" i="107" s="1"/>
  <c r="G176" i="107"/>
  <c r="G182" i="107" s="1"/>
  <c r="E175" i="107"/>
  <c r="F175" i="107"/>
  <c r="G175" i="107"/>
  <c r="E174" i="107"/>
  <c r="F174" i="107"/>
  <c r="G174" i="107"/>
  <c r="C167" i="107"/>
  <c r="C208" i="107" s="1"/>
  <c r="C166" i="107"/>
  <c r="C189" i="107" s="1"/>
  <c r="C165" i="107"/>
  <c r="C215" i="107" s="1"/>
  <c r="C164" i="107"/>
  <c r="C176" i="107" s="1"/>
  <c r="C182" i="107" s="1"/>
  <c r="D147" i="107"/>
  <c r="E180" i="107" l="1"/>
  <c r="E183" i="107" s="1"/>
  <c r="E177" i="107"/>
  <c r="F180" i="107"/>
  <c r="F183" i="107" s="1"/>
  <c r="F177" i="107"/>
  <c r="F178" i="107" s="1"/>
  <c r="F11" i="147" s="1"/>
  <c r="G180" i="107"/>
  <c r="G183" i="107" s="1"/>
  <c r="G177" i="107"/>
  <c r="G178" i="107" s="1"/>
  <c r="G11" i="147" s="1"/>
  <c r="F4" i="149" s="1"/>
  <c r="E217" i="107"/>
  <c r="E30" i="147" s="1"/>
  <c r="C202" i="107"/>
  <c r="C195" i="107"/>
  <c r="E178" i="107"/>
  <c r="E11" i="147" s="1"/>
  <c r="N13" i="146"/>
  <c r="G217" i="107"/>
  <c r="G30" i="147" s="1"/>
  <c r="F217" i="107"/>
  <c r="F30" i="147" s="1"/>
  <c r="F26" i="147"/>
  <c r="F204" i="107"/>
  <c r="F24" i="147" s="1"/>
  <c r="G26" i="147"/>
  <c r="E26" i="147"/>
  <c r="E204" i="107"/>
  <c r="E24" i="147" s="1"/>
  <c r="G204" i="107"/>
  <c r="G24" i="147" s="1"/>
  <c r="E197" i="107"/>
  <c r="E20" i="147" s="1"/>
  <c r="E191" i="107"/>
  <c r="E18" i="147" s="1"/>
  <c r="G191" i="107"/>
  <c r="G18" i="147" s="1"/>
  <c r="F191" i="107"/>
  <c r="F18" i="147" s="1"/>
  <c r="G184" i="107"/>
  <c r="G13" i="147" s="1"/>
  <c r="R4" i="149" s="1"/>
  <c r="E184" i="107"/>
  <c r="E13" i="147" s="1"/>
  <c r="F184" i="107" l="1"/>
  <c r="F13" i="147" s="1"/>
  <c r="R5" i="149" s="1"/>
  <c r="F197" i="107"/>
  <c r="F20" i="147" s="1"/>
  <c r="G197" i="107"/>
  <c r="G20" i="147" s="1"/>
  <c r="E12" i="128"/>
  <c r="E23" i="128" s="1"/>
  <c r="C25" i="110"/>
  <c r="F25" i="110"/>
  <c r="B25" i="110"/>
  <c r="C54" i="110"/>
  <c r="G54" i="110"/>
  <c r="H54" i="110"/>
  <c r="I54" i="110"/>
  <c r="J54" i="110"/>
  <c r="K54" i="110"/>
  <c r="B54" i="110"/>
  <c r="F78" i="102"/>
  <c r="H74" i="102"/>
  <c r="I74" i="102"/>
  <c r="J74" i="102"/>
  <c r="K74" i="102"/>
  <c r="G74" i="102"/>
  <c r="C66" i="110"/>
  <c r="G66" i="110"/>
  <c r="H66" i="110"/>
  <c r="I66" i="110"/>
  <c r="J66" i="110"/>
  <c r="K66" i="110"/>
  <c r="B66" i="110"/>
  <c r="F102" i="103"/>
  <c r="F42" i="110"/>
  <c r="F43" i="110"/>
  <c r="F44" i="110"/>
  <c r="F46" i="110"/>
  <c r="F47" i="110"/>
  <c r="C42" i="110"/>
  <c r="C43" i="110"/>
  <c r="C44" i="110"/>
  <c r="C46" i="110"/>
  <c r="C47" i="110"/>
  <c r="B42" i="110"/>
  <c r="B43" i="110"/>
  <c r="B44" i="110"/>
  <c r="B46" i="110"/>
  <c r="B47" i="110"/>
  <c r="F30" i="110"/>
  <c r="C30" i="110"/>
  <c r="C36" i="110" s="1"/>
  <c r="B30" i="110"/>
  <c r="B36" i="110" s="1"/>
  <c r="N1" i="110"/>
  <c r="C3" i="173" s="1"/>
  <c r="A40" i="110"/>
  <c r="A41" i="110"/>
  <c r="A42" i="110"/>
  <c r="A43" i="110"/>
  <c r="A44" i="110"/>
  <c r="A45" i="110"/>
  <c r="A46" i="110"/>
  <c r="A47" i="110"/>
  <c r="A48" i="110"/>
  <c r="A16" i="110"/>
  <c r="A17" i="110"/>
  <c r="A18" i="110"/>
  <c r="A19" i="110"/>
  <c r="A20" i="110"/>
  <c r="A21" i="110"/>
  <c r="A22" i="110"/>
  <c r="A23" i="110"/>
  <c r="A24" i="110"/>
  <c r="A27" i="110"/>
  <c r="A28" i="110"/>
  <c r="A29" i="110"/>
  <c r="A30" i="110"/>
  <c r="A31" i="110"/>
  <c r="A32" i="110"/>
  <c r="A33" i="110"/>
  <c r="A34" i="110"/>
  <c r="A35" i="110"/>
  <c r="A36" i="110"/>
  <c r="A15" i="110"/>
  <c r="G9" i="112"/>
  <c r="F66" i="110" l="1"/>
  <c r="F54" i="110"/>
  <c r="G19" i="138" l="1"/>
  <c r="G26" i="138"/>
  <c r="G28" i="138"/>
  <c r="G35" i="138"/>
  <c r="G17" i="138"/>
  <c r="C38" i="133"/>
  <c r="C113" i="150"/>
  <c r="C33" i="135"/>
  <c r="C141" i="150" s="1"/>
  <c r="F20" i="107" l="1"/>
  <c r="I60" i="98" l="1"/>
  <c r="I26" i="128"/>
  <c r="I27" i="128" s="1"/>
  <c r="I29" i="128" s="1"/>
  <c r="I22" i="128"/>
  <c r="I11" i="128"/>
  <c r="I15" i="128"/>
  <c r="G6" i="128"/>
  <c r="F6" i="128"/>
  <c r="G5" i="128"/>
  <c r="F5" i="128"/>
  <c r="G4" i="128"/>
  <c r="F4" i="128"/>
  <c r="G3" i="128"/>
  <c r="F3" i="128"/>
  <c r="D8" i="128"/>
  <c r="E7" i="128"/>
  <c r="E8" i="128" s="1"/>
  <c r="D7" i="128"/>
  <c r="C7" i="128"/>
  <c r="C8" i="128" s="1"/>
  <c r="B7" i="128"/>
  <c r="B8" i="128" s="1"/>
  <c r="I16" i="128" l="1"/>
  <c r="I18" i="128" s="1"/>
  <c r="F7" i="128"/>
  <c r="F8" i="128" s="1"/>
  <c r="G7" i="128"/>
  <c r="G8" i="128" s="1"/>
  <c r="E109" i="66" l="1"/>
  <c r="E108" i="66"/>
  <c r="E107" i="66"/>
  <c r="E106" i="66"/>
  <c r="E105" i="66"/>
  <c r="E104" i="66"/>
  <c r="E103" i="66"/>
  <c r="E102" i="66"/>
  <c r="E101" i="66"/>
  <c r="E100" i="66"/>
  <c r="F83" i="78"/>
  <c r="E83" i="78" s="1"/>
  <c r="E84" i="78"/>
  <c r="E82" i="78"/>
  <c r="E81" i="78"/>
  <c r="E80" i="78"/>
  <c r="E79" i="78"/>
  <c r="E78" i="78"/>
  <c r="E77" i="78"/>
  <c r="E76" i="78"/>
  <c r="E75" i="78"/>
  <c r="E110" i="66" l="1"/>
  <c r="E85" i="78"/>
  <c r="F81" i="83" l="1"/>
  <c r="E61" i="108" s="1"/>
  <c r="F79" i="83"/>
  <c r="E59" i="108" s="1"/>
  <c r="F75" i="83"/>
  <c r="E55" i="108" s="1"/>
  <c r="F74" i="83"/>
  <c r="E54" i="108" s="1"/>
  <c r="E42" i="108"/>
  <c r="F107" i="84"/>
  <c r="E29" i="108" s="1"/>
  <c r="F106" i="84"/>
  <c r="F105" i="84"/>
  <c r="E27" i="108" s="1"/>
  <c r="F104" i="84"/>
  <c r="E26" i="108" s="1"/>
  <c r="F103" i="84"/>
  <c r="E25" i="108" s="1"/>
  <c r="F102" i="84"/>
  <c r="E24" i="108" s="1"/>
  <c r="F101" i="84"/>
  <c r="E23" i="108" s="1"/>
  <c r="F33" i="66"/>
  <c r="F33" i="103" s="1"/>
  <c r="E94" i="108"/>
  <c r="C93" i="108"/>
  <c r="E93" i="108"/>
  <c r="E92" i="108"/>
  <c r="E91" i="108"/>
  <c r="C90" i="108"/>
  <c r="E90" i="108"/>
  <c r="E89" i="108"/>
  <c r="C88" i="108"/>
  <c r="E88" i="108"/>
  <c r="C87" i="108"/>
  <c r="E87" i="108"/>
  <c r="C86" i="108"/>
  <c r="E86" i="108"/>
  <c r="E85" i="108"/>
  <c r="E84" i="108"/>
  <c r="B83" i="108"/>
  <c r="C83" i="108"/>
  <c r="D83" i="108"/>
  <c r="E83" i="108"/>
  <c r="F83" i="108"/>
  <c r="G83" i="108"/>
  <c r="D82" i="108"/>
  <c r="A83" i="108"/>
  <c r="A84" i="108"/>
  <c r="A85" i="108"/>
  <c r="A86" i="108"/>
  <c r="A87" i="108"/>
  <c r="A88" i="108"/>
  <c r="A89" i="108"/>
  <c r="A90" i="108"/>
  <c r="A91" i="108"/>
  <c r="A92" i="108"/>
  <c r="A93" i="108"/>
  <c r="A94" i="108"/>
  <c r="A81" i="108"/>
  <c r="E79" i="108"/>
  <c r="C78" i="108"/>
  <c r="E78" i="108"/>
  <c r="E77" i="108"/>
  <c r="E76" i="108"/>
  <c r="C75" i="108"/>
  <c r="E75" i="108"/>
  <c r="E74" i="108"/>
  <c r="C73" i="108"/>
  <c r="E73" i="108"/>
  <c r="C72" i="108"/>
  <c r="E72" i="108"/>
  <c r="C71" i="108"/>
  <c r="E71" i="108"/>
  <c r="E70" i="108"/>
  <c r="E69" i="108"/>
  <c r="A69" i="108"/>
  <c r="A70" i="108"/>
  <c r="A71" i="108"/>
  <c r="A72" i="108"/>
  <c r="A73" i="108"/>
  <c r="A74" i="108"/>
  <c r="A75" i="108"/>
  <c r="A76" i="108"/>
  <c r="A77" i="108"/>
  <c r="A78" i="108"/>
  <c r="A79" i="108"/>
  <c r="B68" i="108"/>
  <c r="C68" i="108"/>
  <c r="D68" i="108"/>
  <c r="E68" i="108"/>
  <c r="F68" i="108"/>
  <c r="G68" i="108"/>
  <c r="D67" i="108"/>
  <c r="A68" i="108"/>
  <c r="A66" i="108"/>
  <c r="C63" i="108"/>
  <c r="E63" i="108"/>
  <c r="C61" i="108"/>
  <c r="C60" i="108"/>
  <c r="E60" i="108"/>
  <c r="C58" i="108"/>
  <c r="E58" i="108"/>
  <c r="C57" i="108"/>
  <c r="E57" i="108"/>
  <c r="C56" i="108"/>
  <c r="E56" i="108"/>
  <c r="A54" i="108"/>
  <c r="A55" i="108"/>
  <c r="A56" i="108"/>
  <c r="A57" i="108"/>
  <c r="A58" i="108"/>
  <c r="A59" i="108"/>
  <c r="A60" i="108"/>
  <c r="A61" i="108"/>
  <c r="A62" i="108"/>
  <c r="A63" i="108"/>
  <c r="A64" i="108"/>
  <c r="G53" i="108"/>
  <c r="B53" i="108"/>
  <c r="C53" i="108"/>
  <c r="D53" i="108"/>
  <c r="E53" i="108"/>
  <c r="F53" i="108"/>
  <c r="D52" i="108"/>
  <c r="A53" i="108"/>
  <c r="A51" i="108"/>
  <c r="E48" i="108"/>
  <c r="C48" i="108"/>
  <c r="E32" i="108"/>
  <c r="C32" i="108"/>
  <c r="B38" i="108"/>
  <c r="D38" i="108"/>
  <c r="F38" i="108"/>
  <c r="G38" i="108"/>
  <c r="A24" i="108"/>
  <c r="A25" i="108"/>
  <c r="A26" i="108"/>
  <c r="A27" i="108"/>
  <c r="A28" i="108"/>
  <c r="A29" i="108"/>
  <c r="A30" i="108"/>
  <c r="A31" i="108"/>
  <c r="A32" i="108"/>
  <c r="A33" i="108"/>
  <c r="A36" i="108"/>
  <c r="A38" i="108"/>
  <c r="A39" i="108"/>
  <c r="A40" i="108"/>
  <c r="A41" i="108"/>
  <c r="A42" i="108"/>
  <c r="A43" i="108"/>
  <c r="A44" i="108"/>
  <c r="A45" i="108"/>
  <c r="A46" i="108"/>
  <c r="A47" i="108"/>
  <c r="A48" i="108"/>
  <c r="A49" i="108"/>
  <c r="F22" i="108"/>
  <c r="G22" i="108"/>
  <c r="A23" i="108"/>
  <c r="B22" i="108"/>
  <c r="D22" i="108"/>
  <c r="A22" i="108"/>
  <c r="A21" i="108"/>
  <c r="H109" i="66"/>
  <c r="G93" i="108" s="1"/>
  <c r="D93" i="108"/>
  <c r="D92" i="108"/>
  <c r="D91" i="108"/>
  <c r="H106" i="66"/>
  <c r="G90" i="108" s="1"/>
  <c r="D90" i="108"/>
  <c r="D89" i="108"/>
  <c r="H104" i="66"/>
  <c r="G88" i="108" s="1"/>
  <c r="D88" i="108"/>
  <c r="H103" i="66"/>
  <c r="G87" i="108" s="1"/>
  <c r="D87" i="108"/>
  <c r="H102" i="66"/>
  <c r="G86" i="108" s="1"/>
  <c r="D86" i="108"/>
  <c r="D85" i="108"/>
  <c r="D94" i="108"/>
  <c r="H84" i="78"/>
  <c r="G78" i="108" s="1"/>
  <c r="D78" i="108"/>
  <c r="D77" i="108"/>
  <c r="D76" i="108"/>
  <c r="H81" i="78"/>
  <c r="G75" i="108" s="1"/>
  <c r="D75" i="108"/>
  <c r="D74" i="108"/>
  <c r="H79" i="78"/>
  <c r="G73" i="108" s="1"/>
  <c r="D73" i="108"/>
  <c r="H78" i="78"/>
  <c r="G72" i="108" s="1"/>
  <c r="D72" i="108"/>
  <c r="H77" i="78"/>
  <c r="G71" i="108" s="1"/>
  <c r="D71" i="108"/>
  <c r="D70" i="108"/>
  <c r="D79" i="108"/>
  <c r="D81" i="83"/>
  <c r="H83" i="83"/>
  <c r="G63" i="108" s="1"/>
  <c r="H80" i="83"/>
  <c r="G60" i="108" s="1"/>
  <c r="H78" i="83"/>
  <c r="G58" i="108" s="1"/>
  <c r="H77" i="83"/>
  <c r="G57" i="108" s="1"/>
  <c r="H76" i="83"/>
  <c r="G56" i="108" s="1"/>
  <c r="G48" i="108"/>
  <c r="H110" i="84"/>
  <c r="G32" i="108" s="1"/>
  <c r="R20" i="87"/>
  <c r="D20" i="87"/>
  <c r="P20" i="87"/>
  <c r="N20" i="87"/>
  <c r="L20" i="87"/>
  <c r="J20" i="87"/>
  <c r="H20" i="87"/>
  <c r="F20" i="87"/>
  <c r="D727" i="97"/>
  <c r="H81" i="83" l="1"/>
  <c r="G61" i="108" s="1"/>
  <c r="D42" i="108"/>
  <c r="D84" i="108"/>
  <c r="D69" i="108"/>
  <c r="D46" i="108"/>
  <c r="E43" i="108"/>
  <c r="D43" i="108"/>
  <c r="E39" i="108"/>
  <c r="E44" i="108"/>
  <c r="D44" i="108"/>
  <c r="E45" i="108"/>
  <c r="D45" i="108"/>
  <c r="D39" i="108"/>
  <c r="E46" i="108"/>
  <c r="E28" i="108"/>
  <c r="E27" i="61" l="1"/>
  <c r="V14" i="55"/>
  <c r="R14" i="55"/>
  <c r="N14" i="55"/>
  <c r="J14" i="55"/>
  <c r="A15" i="107" l="1"/>
  <c r="G93" i="107"/>
  <c r="G122" i="107" s="1"/>
  <c r="F93" i="107"/>
  <c r="F122" i="107" s="1"/>
  <c r="E93" i="107"/>
  <c r="E122" i="107" s="1"/>
  <c r="D93" i="107"/>
  <c r="D122" i="107" s="1"/>
  <c r="C93" i="107"/>
  <c r="C122" i="107" s="1"/>
  <c r="E85" i="107"/>
  <c r="E114" i="107" s="1"/>
  <c r="E84" i="107"/>
  <c r="E113" i="107" s="1"/>
  <c r="D96" i="84" l="1"/>
  <c r="B16" i="108"/>
  <c r="Q9" i="90" l="1"/>
  <c r="Q12" i="90"/>
  <c r="Q16" i="90"/>
  <c r="Q19" i="90"/>
  <c r="P9" i="90"/>
  <c r="P12" i="90"/>
  <c r="P16" i="90"/>
  <c r="P19" i="90"/>
  <c r="G47" i="127"/>
  <c r="G66" i="127"/>
  <c r="G68" i="127"/>
  <c r="F68" i="127"/>
  <c r="G6" i="127"/>
  <c r="F6" i="127"/>
  <c r="F5" i="127"/>
  <c r="E6" i="127"/>
  <c r="E7" i="127"/>
  <c r="E8" i="127"/>
  <c r="E9" i="127"/>
  <c r="E10" i="127"/>
  <c r="E11" i="127"/>
  <c r="E12" i="127"/>
  <c r="E13" i="127"/>
  <c r="E14" i="127"/>
  <c r="E15" i="127"/>
  <c r="E16" i="127"/>
  <c r="E17" i="127"/>
  <c r="E18" i="127"/>
  <c r="E19" i="127"/>
  <c r="E20" i="127"/>
  <c r="E21" i="127"/>
  <c r="E22" i="127"/>
  <c r="E23" i="127"/>
  <c r="E24" i="127"/>
  <c r="E25" i="127"/>
  <c r="E26" i="127"/>
  <c r="E27" i="127"/>
  <c r="E28" i="127"/>
  <c r="E29" i="127"/>
  <c r="E30" i="127"/>
  <c r="E31" i="127"/>
  <c r="E32" i="127"/>
  <c r="E33" i="127"/>
  <c r="E34" i="127"/>
  <c r="E35" i="127"/>
  <c r="E36" i="127"/>
  <c r="E37" i="127"/>
  <c r="E38" i="127"/>
  <c r="E39" i="127"/>
  <c r="E40" i="127"/>
  <c r="E41" i="127"/>
  <c r="E42" i="127"/>
  <c r="E43" i="127"/>
  <c r="E44" i="127"/>
  <c r="E45" i="127"/>
  <c r="E46" i="127"/>
  <c r="E47" i="127"/>
  <c r="E48" i="127"/>
  <c r="E49" i="127"/>
  <c r="E50" i="127"/>
  <c r="E51" i="127"/>
  <c r="E52" i="127"/>
  <c r="E54" i="127"/>
  <c r="E55" i="127"/>
  <c r="E56" i="127"/>
  <c r="E57" i="127"/>
  <c r="E58" i="127"/>
  <c r="E59" i="127"/>
  <c r="E60" i="127"/>
  <c r="E61" i="127"/>
  <c r="E62" i="127"/>
  <c r="E63" i="127"/>
  <c r="E64" i="127"/>
  <c r="E65" i="127"/>
  <c r="E66" i="127"/>
  <c r="E67" i="127"/>
  <c r="E68" i="127"/>
  <c r="E5" i="127"/>
  <c r="D47" i="127"/>
  <c r="D66" i="127"/>
  <c r="D67" i="127"/>
  <c r="D6" i="127"/>
  <c r="C6" i="127"/>
  <c r="C67" i="127"/>
  <c r="C5" i="127"/>
  <c r="B55" i="127"/>
  <c r="B56" i="127"/>
  <c r="B57" i="127"/>
  <c r="B58" i="127"/>
  <c r="B59" i="127"/>
  <c r="B60" i="127"/>
  <c r="B61" i="127"/>
  <c r="B62" i="127"/>
  <c r="B63" i="127"/>
  <c r="B64" i="127"/>
  <c r="B65" i="127"/>
  <c r="B66" i="127"/>
  <c r="B67" i="127"/>
  <c r="B68" i="127"/>
  <c r="B46" i="127"/>
  <c r="B47" i="127"/>
  <c r="B48" i="127"/>
  <c r="B49" i="127"/>
  <c r="B50" i="127"/>
  <c r="B51" i="127"/>
  <c r="B52" i="127"/>
  <c r="B54" i="127"/>
  <c r="B6" i="127"/>
  <c r="B7" i="127"/>
  <c r="B8" i="127"/>
  <c r="B9" i="127"/>
  <c r="B10" i="127"/>
  <c r="B11" i="127"/>
  <c r="B12" i="127"/>
  <c r="B13" i="127"/>
  <c r="B14" i="127"/>
  <c r="B15" i="127"/>
  <c r="B16" i="127"/>
  <c r="B17" i="127"/>
  <c r="B18" i="127"/>
  <c r="B19" i="127"/>
  <c r="B20" i="127"/>
  <c r="B21" i="127"/>
  <c r="B22" i="127"/>
  <c r="B23" i="127"/>
  <c r="B24" i="127"/>
  <c r="B25" i="127"/>
  <c r="B26" i="127"/>
  <c r="B27" i="127"/>
  <c r="B28" i="127"/>
  <c r="B29" i="127"/>
  <c r="B30" i="127"/>
  <c r="B31" i="127"/>
  <c r="B32" i="127"/>
  <c r="B33" i="127"/>
  <c r="B34" i="127"/>
  <c r="B35" i="127"/>
  <c r="B36" i="127"/>
  <c r="B37" i="127"/>
  <c r="B38" i="127"/>
  <c r="B39" i="127"/>
  <c r="B40" i="127"/>
  <c r="B41" i="127"/>
  <c r="B42" i="127"/>
  <c r="B43" i="127"/>
  <c r="B44" i="127"/>
  <c r="B45" i="127"/>
  <c r="B5" i="127"/>
  <c r="I47" i="127" l="1"/>
  <c r="I66" i="127"/>
  <c r="V14" i="103" l="1"/>
  <c r="V26" i="103"/>
  <c r="W26" i="103" s="1"/>
  <c r="V29" i="103"/>
  <c r="W29" i="103" s="1"/>
  <c r="V30" i="103"/>
  <c r="W30" i="103" s="1"/>
  <c r="V33" i="103"/>
  <c r="W33" i="103" s="1"/>
  <c r="V35" i="103"/>
  <c r="W35" i="103" s="1"/>
  <c r="V42" i="103"/>
  <c r="V45" i="103"/>
  <c r="W45" i="103" s="1"/>
  <c r="V50" i="103"/>
  <c r="W50" i="103" s="1"/>
  <c r="V54" i="103"/>
  <c r="W54" i="103" s="1"/>
  <c r="V56" i="103"/>
  <c r="W56" i="103" s="1"/>
  <c r="V58" i="103"/>
  <c r="W58" i="103" s="1"/>
  <c r="X29" i="102"/>
  <c r="Y29" i="102" s="1"/>
  <c r="X43" i="102"/>
  <c r="X45" i="102"/>
  <c r="Y45" i="102" s="1"/>
  <c r="X47" i="102"/>
  <c r="Y47" i="102" s="1"/>
  <c r="X49" i="102"/>
  <c r="Y49" i="102" s="1"/>
  <c r="X51" i="102"/>
  <c r="Y51" i="102" s="1"/>
  <c r="X54" i="102"/>
  <c r="Y54" i="102" s="1"/>
  <c r="X56" i="102"/>
  <c r="Y56" i="102" s="1"/>
  <c r="X58" i="102"/>
  <c r="Y58" i="102" s="1"/>
  <c r="X60" i="102"/>
  <c r="Y60" i="102" s="1"/>
  <c r="X61" i="102"/>
  <c r="Y61" i="102" s="1"/>
  <c r="X63" i="102"/>
  <c r="Y63" i="102" s="1"/>
  <c r="B62" i="106"/>
  <c r="Q63" i="106"/>
  <c r="Q11" i="106"/>
  <c r="Q12" i="106"/>
  <c r="Q14" i="106"/>
  <c r="Q15" i="106"/>
  <c r="Q17" i="106"/>
  <c r="Q20" i="106"/>
  <c r="Q27" i="106"/>
  <c r="Q28" i="106"/>
  <c r="Q31" i="106"/>
  <c r="Q32" i="106"/>
  <c r="Q34" i="106"/>
  <c r="Q35" i="106"/>
  <c r="Q36" i="106"/>
  <c r="Q39" i="106"/>
  <c r="Q40" i="106"/>
  <c r="Q41" i="106"/>
  <c r="Q42" i="106"/>
  <c r="Q43" i="106"/>
  <c r="Q44" i="106"/>
  <c r="Q45" i="106"/>
  <c r="Q46" i="106"/>
  <c r="Q47" i="106"/>
  <c r="Q49" i="106"/>
  <c r="Q50" i="106"/>
  <c r="Q51" i="106"/>
  <c r="Q52" i="106"/>
  <c r="Q53" i="106"/>
  <c r="Q54" i="106"/>
  <c r="Q55" i="106"/>
  <c r="Q57" i="106"/>
  <c r="Q58" i="106"/>
  <c r="Q59" i="106"/>
  <c r="Q60" i="106"/>
  <c r="M23" i="100"/>
  <c r="M36" i="100"/>
  <c r="M39" i="100"/>
  <c r="M46" i="100"/>
  <c r="M53" i="100"/>
  <c r="M55" i="100"/>
  <c r="O55" i="100" s="1"/>
  <c r="M62" i="100"/>
  <c r="O65" i="100"/>
  <c r="O73" i="100"/>
  <c r="F40" i="69"/>
  <c r="F39" i="69"/>
  <c r="E40" i="69"/>
  <c r="E39" i="69"/>
  <c r="D40" i="69"/>
  <c r="D39" i="69"/>
  <c r="C40" i="69"/>
  <c r="C39" i="69"/>
  <c r="V37" i="103" l="1"/>
  <c r="F37" i="103"/>
  <c r="V11" i="103"/>
  <c r="F11" i="103"/>
  <c r="O80" i="100"/>
  <c r="O39" i="100"/>
  <c r="O77" i="100"/>
  <c r="O81" i="100"/>
  <c r="O67" i="100"/>
  <c r="O53" i="100"/>
  <c r="W14" i="103"/>
  <c r="O72" i="100"/>
  <c r="O64" i="100"/>
  <c r="O36" i="100"/>
  <c r="Y43" i="102"/>
  <c r="O70" i="100"/>
  <c r="O66" i="100"/>
  <c r="O62" i="100"/>
  <c r="O46" i="100"/>
  <c r="O23" i="100"/>
  <c r="F12" i="103"/>
  <c r="O5" i="66"/>
  <c r="F13" i="103"/>
  <c r="F45" i="66"/>
  <c r="F44" i="103" s="1"/>
  <c r="F48" i="66"/>
  <c r="F47" i="103" s="1"/>
  <c r="B4" i="125"/>
  <c r="I37" i="124" s="1"/>
  <c r="W11" i="103" l="1"/>
  <c r="W37" i="103"/>
  <c r="V44" i="103"/>
  <c r="V47" i="103"/>
  <c r="V12" i="103"/>
  <c r="V13" i="103"/>
  <c r="J31" i="124"/>
  <c r="I26" i="124"/>
  <c r="J24" i="124"/>
  <c r="E19" i="124"/>
  <c r="D19" i="124"/>
  <c r="E15" i="124"/>
  <c r="D15" i="124"/>
  <c r="E11" i="124"/>
  <c r="B7" i="124"/>
  <c r="C7" i="124" s="1"/>
  <c r="D7" i="124" s="1"/>
  <c r="E7" i="124" s="1"/>
  <c r="F7" i="124" s="1"/>
  <c r="G7" i="124" s="1"/>
  <c r="H7" i="124" s="1"/>
  <c r="I7" i="124" s="1"/>
  <c r="J7" i="124" s="1"/>
  <c r="W47" i="103" l="1"/>
  <c r="W44" i="103"/>
  <c r="W12" i="103"/>
  <c r="W13" i="103"/>
  <c r="E8" i="124"/>
  <c r="E25" i="124" s="1"/>
  <c r="E32" i="124" s="1"/>
  <c r="D11" i="124"/>
  <c r="D8" i="124" s="1"/>
  <c r="J28" i="124"/>
  <c r="J30" i="124"/>
  <c r="J23" i="124"/>
  <c r="J29" i="124"/>
  <c r="J27" i="124"/>
  <c r="J26" i="124" l="1"/>
  <c r="J9" i="124"/>
  <c r="Q19" i="106" l="1"/>
  <c r="F38" i="102"/>
  <c r="B62" i="83"/>
  <c r="F37" i="83"/>
  <c r="F26" i="106"/>
  <c r="B61" i="84"/>
  <c r="B61" i="100" s="1"/>
  <c r="F58" i="66"/>
  <c r="C12" i="113"/>
  <c r="N12" i="113"/>
  <c r="F57" i="103" l="1"/>
  <c r="N58" i="66"/>
  <c r="N57" i="103" s="1"/>
  <c r="M79" i="100"/>
  <c r="F79" i="100"/>
  <c r="F34" i="100"/>
  <c r="Q37" i="106"/>
  <c r="F37" i="106"/>
  <c r="Q26" i="106"/>
  <c r="B53" i="127"/>
  <c r="E53" i="127"/>
  <c r="X38" i="102"/>
  <c r="X18" i="102"/>
  <c r="M34" i="100"/>
  <c r="V57" i="103"/>
  <c r="W57" i="103" l="1"/>
  <c r="O79" i="100"/>
  <c r="O34" i="100"/>
  <c r="Y18" i="102"/>
  <c r="Y38" i="102"/>
  <c r="R32" i="88"/>
  <c r="R34" i="88"/>
  <c r="R35" i="88"/>
  <c r="R36" i="88"/>
  <c r="R37" i="88"/>
  <c r="R38" i="88"/>
  <c r="R40" i="88"/>
  <c r="R41" i="88"/>
  <c r="R42" i="88"/>
  <c r="R43" i="88"/>
  <c r="R44" i="88"/>
  <c r="R45" i="88"/>
  <c r="R46" i="88"/>
  <c r="R47" i="88"/>
  <c r="R48" i="88"/>
  <c r="R49" i="88"/>
  <c r="R50" i="88"/>
  <c r="R51" i="88"/>
  <c r="R52" i="88"/>
  <c r="R53" i="88"/>
  <c r="R54" i="88"/>
  <c r="R55" i="88"/>
  <c r="R56" i="88"/>
  <c r="R57" i="88"/>
  <c r="R58" i="88"/>
  <c r="M74" i="100" l="1"/>
  <c r="F74" i="100"/>
  <c r="F45" i="159" l="1"/>
  <c r="F44" i="160" s="1"/>
  <c r="D28" i="157"/>
  <c r="B28" i="157" s="1"/>
  <c r="O74" i="100"/>
  <c r="J108" i="89"/>
  <c r="B32" i="88"/>
  <c r="B33" i="88" s="1"/>
  <c r="B34" i="88" s="1"/>
  <c r="B35" i="88" s="1"/>
  <c r="B36" i="88" s="1"/>
  <c r="N2" i="89"/>
  <c r="J3" i="89"/>
  <c r="M25" i="89" s="1"/>
  <c r="F52" i="160" l="1"/>
  <c r="D29" i="157"/>
  <c r="B29" i="157" s="1"/>
  <c r="B37" i="88"/>
  <c r="B38" i="88" s="1"/>
  <c r="B39" i="88" s="1"/>
  <c r="B40" i="88" s="1"/>
  <c r="B41" i="88" s="1"/>
  <c r="B42" i="88" s="1"/>
  <c r="B43" i="88" s="1"/>
  <c r="B44" i="88" s="1"/>
  <c r="B45" i="88" s="1"/>
  <c r="B46" i="88" s="1"/>
  <c r="B47" i="88" s="1"/>
  <c r="B48" i="88" s="1"/>
  <c r="B49" i="88" s="1"/>
  <c r="B50" i="88" s="1"/>
  <c r="B51" i="88" s="1"/>
  <c r="B52" i="88" s="1"/>
  <c r="B53" i="88" s="1"/>
  <c r="B54" i="88" s="1"/>
  <c r="B55" i="88" s="1"/>
  <c r="B56" i="88" s="1"/>
  <c r="B57" i="88" s="1"/>
  <c r="B58" i="88" s="1"/>
  <c r="B59" i="88" s="1"/>
  <c r="J93" i="89"/>
  <c r="I29" i="157" l="1"/>
  <c r="F54" i="84"/>
  <c r="F54" i="100" s="1"/>
  <c r="F59" i="84"/>
  <c r="F59" i="100" s="1"/>
  <c r="F76" i="100" l="1"/>
  <c r="M76" i="100"/>
  <c r="M54" i="100"/>
  <c r="M44" i="100"/>
  <c r="X31" i="102"/>
  <c r="M59" i="100"/>
  <c r="F58" i="100"/>
  <c r="I32" i="85"/>
  <c r="H32" i="85"/>
  <c r="O54" i="100" l="1"/>
  <c r="M58" i="100"/>
  <c r="O44" i="100"/>
  <c r="Y31" i="102"/>
  <c r="O59" i="100"/>
  <c r="O76" i="100"/>
  <c r="F21" i="123"/>
  <c r="F63" i="84"/>
  <c r="F63" i="100" s="1"/>
  <c r="F22" i="87"/>
  <c r="D22" i="87"/>
  <c r="O58" i="100" l="1"/>
  <c r="M63" i="100"/>
  <c r="G5" i="117"/>
  <c r="F34" i="160"/>
  <c r="O63" i="100" l="1"/>
  <c r="L47" i="109"/>
  <c r="L50" i="109" s="1"/>
  <c r="O5" i="117"/>
  <c r="H20" i="157" s="1"/>
  <c r="G50" i="55"/>
  <c r="K33" i="55"/>
  <c r="K14" i="55"/>
  <c r="K13" i="55" s="1"/>
  <c r="W14" i="55"/>
  <c r="S14" i="55"/>
  <c r="F25" i="66" l="1"/>
  <c r="F11" i="61"/>
  <c r="F42" i="57"/>
  <c r="C5" i="122"/>
  <c r="V25" i="103" l="1"/>
  <c r="F25" i="103"/>
  <c r="F103" i="103" s="1"/>
  <c r="G45" i="120"/>
  <c r="F61" i="83" l="1"/>
  <c r="F75" i="84"/>
  <c r="F75" i="100" l="1"/>
  <c r="M75" i="100"/>
  <c r="Q61" i="106"/>
  <c r="F61" i="106"/>
  <c r="O75" i="100" l="1"/>
  <c r="E58" i="76"/>
  <c r="AH113" i="174" s="1"/>
  <c r="E59" i="76"/>
  <c r="E60" i="76"/>
  <c r="AQ113" i="174" s="1"/>
  <c r="AP113" i="174" s="1"/>
  <c r="E61" i="76"/>
  <c r="E62" i="76"/>
  <c r="E63" i="76"/>
  <c r="E57" i="76"/>
  <c r="L15" i="113"/>
  <c r="K15" i="113"/>
  <c r="AC147" i="174" s="1"/>
  <c r="J15" i="113"/>
  <c r="I15" i="113"/>
  <c r="H15" i="113"/>
  <c r="G15" i="113"/>
  <c r="F15" i="113"/>
  <c r="E15" i="113"/>
  <c r="D15" i="113"/>
  <c r="C31" i="157" l="1"/>
  <c r="AF113" i="174"/>
  <c r="AN147" i="174"/>
  <c r="F62" i="83"/>
  <c r="H31" i="157"/>
  <c r="AD113" i="174"/>
  <c r="E31" i="157"/>
  <c r="AN113" i="174"/>
  <c r="AF147" i="174"/>
  <c r="F61" i="84"/>
  <c r="AD147" i="174"/>
  <c r="F50" i="66"/>
  <c r="G31" i="157"/>
  <c r="AC113" i="174"/>
  <c r="F59" i="159"/>
  <c r="F58" i="160" s="1"/>
  <c r="AH147" i="174"/>
  <c r="AQ147" i="174"/>
  <c r="AP147" i="174" s="1"/>
  <c r="F31" i="157"/>
  <c r="F58" i="159"/>
  <c r="F57" i="160" s="1"/>
  <c r="D31" i="157"/>
  <c r="E64" i="76"/>
  <c r="I41" i="81"/>
  <c r="I40" i="81"/>
  <c r="B18" i="82"/>
  <c r="B19" i="82" s="1"/>
  <c r="B20" i="82" s="1"/>
  <c r="B21" i="82" s="1"/>
  <c r="B22" i="82" s="1"/>
  <c r="B23" i="82" s="1"/>
  <c r="B24" i="82" s="1"/>
  <c r="B25" i="82" s="1"/>
  <c r="B26" i="82" s="1"/>
  <c r="B27" i="82" s="1"/>
  <c r="B28" i="82" s="1"/>
  <c r="B29" i="82" s="1"/>
  <c r="B30" i="82" s="1"/>
  <c r="B31" i="82" s="1"/>
  <c r="B32" i="82" s="1"/>
  <c r="B33" i="82" s="1"/>
  <c r="B34" i="82" s="1"/>
  <c r="B35" i="82" s="1"/>
  <c r="B36" i="82" s="1"/>
  <c r="B37" i="82" s="1"/>
  <c r="B38" i="82" s="1"/>
  <c r="B39" i="82" s="1"/>
  <c r="B40" i="82" s="1"/>
  <c r="B41" i="82" s="1"/>
  <c r="B42" i="82" s="1"/>
  <c r="B17" i="82"/>
  <c r="F56" i="100"/>
  <c r="F18" i="100"/>
  <c r="F62" i="106" l="1"/>
  <c r="Q62" i="106"/>
  <c r="G23" i="157"/>
  <c r="AC104" i="174"/>
  <c r="H23" i="157"/>
  <c r="AD104" i="174"/>
  <c r="B31" i="157"/>
  <c r="F61" i="100"/>
  <c r="O61" i="100" s="1"/>
  <c r="M61" i="100"/>
  <c r="AE113" i="174"/>
  <c r="AB113" i="174" s="1"/>
  <c r="AA113" i="174" s="1"/>
  <c r="BL113" i="174" s="1"/>
  <c r="AE147" i="174"/>
  <c r="AB147" i="174" s="1"/>
  <c r="AA147" i="174" s="1"/>
  <c r="I31" i="157"/>
  <c r="D23" i="157"/>
  <c r="F42" i="159"/>
  <c r="F41" i="160" s="1"/>
  <c r="F32" i="66"/>
  <c r="M18" i="100"/>
  <c r="M56" i="100"/>
  <c r="M27" i="100"/>
  <c r="O27" i="100" s="1"/>
  <c r="V32" i="103" l="1"/>
  <c r="F32" i="103"/>
  <c r="O18" i="100"/>
  <c r="O56" i="100"/>
  <c r="Q30" i="88"/>
  <c r="H22" i="157" s="1"/>
  <c r="O30" i="88"/>
  <c r="M30" i="88"/>
  <c r="K30" i="88"/>
  <c r="F22" i="157" s="1"/>
  <c r="I30" i="88"/>
  <c r="C15" i="116"/>
  <c r="J5" i="116"/>
  <c r="B10" i="88"/>
  <c r="B11" i="88" s="1"/>
  <c r="B12" i="88" s="1"/>
  <c r="B13" i="88" s="1"/>
  <c r="B14" i="88" s="1"/>
  <c r="B15" i="88" s="1"/>
  <c r="B16" i="88" s="1"/>
  <c r="B17" i="88" s="1"/>
  <c r="B18" i="88" s="1"/>
  <c r="B19" i="88" s="1"/>
  <c r="B14" i="81"/>
  <c r="B15" i="81" s="1"/>
  <c r="B16" i="81" s="1"/>
  <c r="B17" i="81" s="1"/>
  <c r="B18" i="81" s="1"/>
  <c r="B19" i="81" s="1"/>
  <c r="B20" i="81" s="1"/>
  <c r="B21" i="81" s="1"/>
  <c r="B22" i="81" s="1"/>
  <c r="B23" i="81" s="1"/>
  <c r="B24" i="81" s="1"/>
  <c r="B25" i="81" s="1"/>
  <c r="C11" i="116"/>
  <c r="C9" i="116"/>
  <c r="H5" i="113"/>
  <c r="F5" i="113"/>
  <c r="C7" i="116"/>
  <c r="C6" i="116"/>
  <c r="C28" i="116"/>
  <c r="C27" i="116"/>
  <c r="C26" i="116"/>
  <c r="C25" i="116"/>
  <c r="C24" i="116"/>
  <c r="C23" i="116"/>
  <c r="C22" i="116"/>
  <c r="C21" i="116"/>
  <c r="C20" i="116"/>
  <c r="C19" i="116"/>
  <c r="C18" i="116"/>
  <c r="C17" i="116"/>
  <c r="C16" i="116"/>
  <c r="C14" i="116"/>
  <c r="C13" i="116"/>
  <c r="C12" i="116"/>
  <c r="C10" i="116"/>
  <c r="C8" i="116"/>
  <c r="L5" i="116"/>
  <c r="I5" i="116"/>
  <c r="G5" i="116"/>
  <c r="D5" i="116"/>
  <c r="C14" i="113"/>
  <c r="C15" i="113"/>
  <c r="C17" i="113"/>
  <c r="C18" i="113"/>
  <c r="C19" i="113"/>
  <c r="C20" i="113"/>
  <c r="C21" i="113"/>
  <c r="C22" i="113"/>
  <c r="C23" i="113"/>
  <c r="C24" i="113"/>
  <c r="C25" i="113"/>
  <c r="C26" i="113"/>
  <c r="C27" i="113"/>
  <c r="C28" i="113"/>
  <c r="K5" i="113"/>
  <c r="I5" i="113"/>
  <c r="D5" i="113"/>
  <c r="L5" i="113"/>
  <c r="J5" i="113"/>
  <c r="G5" i="113"/>
  <c r="E5" i="113"/>
  <c r="BL147" i="174" l="1"/>
  <c r="O15" i="113"/>
  <c r="F32" i="78"/>
  <c r="F32" i="102" s="1"/>
  <c r="G22" i="157"/>
  <c r="F33" i="83"/>
  <c r="F33" i="106" s="1"/>
  <c r="E22" i="157"/>
  <c r="B26" i="81"/>
  <c r="B27" i="81" s="1"/>
  <c r="B28" i="81" s="1"/>
  <c r="B29" i="81" s="1"/>
  <c r="B30" i="81" s="1"/>
  <c r="B31" i="81" s="1"/>
  <c r="B32" i="81" s="1"/>
  <c r="B33" i="81" s="1"/>
  <c r="W32" i="103"/>
  <c r="Q33" i="106"/>
  <c r="F31" i="66"/>
  <c r="X32" i="102"/>
  <c r="Y32" i="102" s="1"/>
  <c r="M51" i="100"/>
  <c r="K5" i="116"/>
  <c r="C5" i="116"/>
  <c r="E5" i="116"/>
  <c r="T210" i="54"/>
  <c r="T219" i="54"/>
  <c r="T205" i="54"/>
  <c r="T194" i="54"/>
  <c r="B34" i="81" l="1"/>
  <c r="B35" i="81" s="1"/>
  <c r="B36" i="81" s="1"/>
  <c r="V31" i="103"/>
  <c r="F31" i="103"/>
  <c r="O51" i="100"/>
  <c r="E20" i="120"/>
  <c r="F20" i="120"/>
  <c r="F6" i="120" s="1"/>
  <c r="H20" i="120"/>
  <c r="E7" i="120"/>
  <c r="E6" i="120" s="1"/>
  <c r="F7" i="120"/>
  <c r="H7" i="120"/>
  <c r="D4" i="120"/>
  <c r="D7" i="120"/>
  <c r="H6" i="120" l="1"/>
  <c r="W31" i="103"/>
  <c r="D20" i="120"/>
  <c r="D6" i="120" s="1"/>
  <c r="I35" i="85" l="1"/>
  <c r="I38" i="85" s="1"/>
  <c r="K35" i="85"/>
  <c r="K38" i="85" s="1"/>
  <c r="H35" i="85"/>
  <c r="H38" i="85" s="1"/>
  <c r="J35" i="85"/>
  <c r="J38" i="85" s="1"/>
  <c r="J39" i="85" s="1"/>
  <c r="W87" i="85"/>
  <c r="V87" i="85"/>
  <c r="U87" i="85"/>
  <c r="T87" i="85"/>
  <c r="S87" i="85"/>
  <c r="R87" i="85"/>
  <c r="Q87" i="85"/>
  <c r="P87" i="85"/>
  <c r="O87" i="85"/>
  <c r="N87" i="85"/>
  <c r="M87" i="85"/>
  <c r="L87" i="85"/>
  <c r="K87" i="85"/>
  <c r="J87" i="85"/>
  <c r="I87" i="85"/>
  <c r="H87" i="85"/>
  <c r="W84" i="85"/>
  <c r="V84" i="85"/>
  <c r="U84" i="85"/>
  <c r="T84" i="85"/>
  <c r="S84" i="85"/>
  <c r="R84" i="85"/>
  <c r="Q84" i="85"/>
  <c r="P84" i="85"/>
  <c r="O84" i="85"/>
  <c r="N84" i="85"/>
  <c r="M84" i="85"/>
  <c r="L84" i="85"/>
  <c r="K84" i="85"/>
  <c r="J84" i="85"/>
  <c r="I84" i="85"/>
  <c r="H84" i="85"/>
  <c r="W81" i="85"/>
  <c r="V81" i="85"/>
  <c r="U81" i="85"/>
  <c r="T81" i="85"/>
  <c r="S81" i="85"/>
  <c r="R81" i="85"/>
  <c r="Q81" i="85"/>
  <c r="P81" i="85"/>
  <c r="O81" i="85"/>
  <c r="N81" i="85"/>
  <c r="M81" i="85"/>
  <c r="L81" i="85"/>
  <c r="K81" i="85"/>
  <c r="I81" i="85" s="1"/>
  <c r="J81" i="85"/>
  <c r="I79" i="85"/>
  <c r="I80" i="85" s="1"/>
  <c r="H79" i="85"/>
  <c r="H80" i="85" s="1"/>
  <c r="W78" i="85"/>
  <c r="V78" i="85"/>
  <c r="U78" i="85"/>
  <c r="T78" i="85"/>
  <c r="S78" i="85"/>
  <c r="R78" i="85"/>
  <c r="Q78" i="85"/>
  <c r="P78" i="85"/>
  <c r="O78" i="85"/>
  <c r="N78" i="85"/>
  <c r="M78" i="85"/>
  <c r="L78" i="85"/>
  <c r="K78" i="85"/>
  <c r="J78" i="85"/>
  <c r="I76" i="85"/>
  <c r="I77" i="85" s="1"/>
  <c r="H76" i="85"/>
  <c r="H77" i="85" s="1"/>
  <c r="W75" i="85"/>
  <c r="V75" i="85"/>
  <c r="U75" i="85"/>
  <c r="T75" i="85"/>
  <c r="S75" i="85"/>
  <c r="R75" i="85"/>
  <c r="Q75" i="85"/>
  <c r="P75" i="85"/>
  <c r="O75" i="85"/>
  <c r="N75" i="85"/>
  <c r="M75" i="85"/>
  <c r="L75" i="85"/>
  <c r="K75" i="85"/>
  <c r="J75" i="85"/>
  <c r="I75" i="85"/>
  <c r="H75" i="85"/>
  <c r="I73" i="85"/>
  <c r="I74" i="85" s="1"/>
  <c r="H73" i="85"/>
  <c r="H74" i="85" s="1"/>
  <c r="W72" i="85"/>
  <c r="V72" i="85"/>
  <c r="U72" i="85"/>
  <c r="T72" i="85"/>
  <c r="S72" i="85"/>
  <c r="R72" i="85"/>
  <c r="Q72" i="85"/>
  <c r="P72" i="85"/>
  <c r="O72" i="85"/>
  <c r="N72" i="85"/>
  <c r="M72" i="85"/>
  <c r="L72" i="85"/>
  <c r="K72" i="85"/>
  <c r="I72" i="85" s="1"/>
  <c r="J72" i="85"/>
  <c r="H72" i="85" s="1"/>
  <c r="I70" i="85"/>
  <c r="I71" i="85" s="1"/>
  <c r="H70" i="85"/>
  <c r="H71" i="85" s="1"/>
  <c r="W69" i="85"/>
  <c r="V69" i="85"/>
  <c r="U69" i="85"/>
  <c r="T69" i="85"/>
  <c r="S69" i="85"/>
  <c r="R69" i="85"/>
  <c r="Q69" i="85"/>
  <c r="P69" i="85"/>
  <c r="O69" i="85"/>
  <c r="N69" i="85"/>
  <c r="M69" i="85"/>
  <c r="L69" i="85"/>
  <c r="H69" i="85" s="1"/>
  <c r="K69" i="85"/>
  <c r="I69" i="85" s="1"/>
  <c r="J69" i="85"/>
  <c r="I67" i="85"/>
  <c r="I68" i="85" s="1"/>
  <c r="H67" i="85"/>
  <c r="H68" i="85" s="1"/>
  <c r="W66" i="85"/>
  <c r="V66" i="85"/>
  <c r="U66" i="85"/>
  <c r="T66" i="85"/>
  <c r="S66" i="85"/>
  <c r="R66" i="85"/>
  <c r="Q66" i="85"/>
  <c r="P66" i="85"/>
  <c r="O66" i="85"/>
  <c r="N66" i="85"/>
  <c r="M66" i="85"/>
  <c r="I66" i="85" s="1"/>
  <c r="L66" i="85"/>
  <c r="K66" i="85"/>
  <c r="J66" i="85"/>
  <c r="I64" i="85"/>
  <c r="I65" i="85" s="1"/>
  <c r="H64" i="85"/>
  <c r="H65" i="85" s="1"/>
  <c r="W63" i="85"/>
  <c r="V63" i="85"/>
  <c r="U63" i="85"/>
  <c r="T63" i="85"/>
  <c r="S63" i="85"/>
  <c r="R63" i="85"/>
  <c r="Q63" i="85"/>
  <c r="P63" i="85"/>
  <c r="O63" i="85"/>
  <c r="N63" i="85"/>
  <c r="M63" i="85"/>
  <c r="L63" i="85"/>
  <c r="K63" i="85"/>
  <c r="J63" i="85"/>
  <c r="H63" i="85" s="1"/>
  <c r="I61" i="85"/>
  <c r="I62" i="85" s="1"/>
  <c r="H61" i="85"/>
  <c r="H62" i="85" s="1"/>
  <c r="W60" i="85"/>
  <c r="V60" i="85"/>
  <c r="U60" i="85"/>
  <c r="T60" i="85"/>
  <c r="S60" i="85"/>
  <c r="R60" i="85"/>
  <c r="Q60" i="85"/>
  <c r="P60" i="85"/>
  <c r="O60" i="85"/>
  <c r="N60" i="85"/>
  <c r="M60" i="85"/>
  <c r="L60" i="85"/>
  <c r="K60" i="85"/>
  <c r="J60" i="85"/>
  <c r="I60" i="85"/>
  <c r="I58" i="85"/>
  <c r="I59" i="85" s="1"/>
  <c r="H58" i="85"/>
  <c r="H59" i="85" s="1"/>
  <c r="W57" i="85"/>
  <c r="V57" i="85"/>
  <c r="U57" i="85"/>
  <c r="T57" i="85"/>
  <c r="S57" i="85"/>
  <c r="R57" i="85"/>
  <c r="Q57" i="85"/>
  <c r="P57" i="85"/>
  <c r="O57" i="85"/>
  <c r="N57" i="85"/>
  <c r="M57" i="85"/>
  <c r="L57" i="85"/>
  <c r="K57" i="85"/>
  <c r="I57" i="85" s="1"/>
  <c r="J57" i="85"/>
  <c r="H57" i="85" s="1"/>
  <c r="I55" i="85"/>
  <c r="I56" i="85" s="1"/>
  <c r="H55" i="85"/>
  <c r="H56" i="85" s="1"/>
  <c r="W54" i="85"/>
  <c r="V54" i="85"/>
  <c r="U54" i="85"/>
  <c r="T54" i="85"/>
  <c r="S54" i="85"/>
  <c r="R54" i="85"/>
  <c r="Q54" i="85"/>
  <c r="P54" i="85"/>
  <c r="O54" i="85"/>
  <c r="N54" i="85"/>
  <c r="M54" i="85"/>
  <c r="L54" i="85"/>
  <c r="K54" i="85"/>
  <c r="J54" i="85"/>
  <c r="I54" i="85"/>
  <c r="I52" i="85"/>
  <c r="I53" i="85" s="1"/>
  <c r="H52" i="85"/>
  <c r="H53" i="85" s="1"/>
  <c r="W51" i="85"/>
  <c r="V51" i="85"/>
  <c r="U51" i="85"/>
  <c r="T51" i="85"/>
  <c r="S51" i="85"/>
  <c r="R51" i="85"/>
  <c r="Q51" i="85"/>
  <c r="P51" i="85"/>
  <c r="O51" i="85"/>
  <c r="N51" i="85"/>
  <c r="M51" i="85"/>
  <c r="L51" i="85"/>
  <c r="K51" i="85"/>
  <c r="J51" i="85"/>
  <c r="H51" i="85" s="1"/>
  <c r="I49" i="85"/>
  <c r="I50" i="85" s="1"/>
  <c r="H49" i="85"/>
  <c r="H50" i="85" s="1"/>
  <c r="W48" i="85"/>
  <c r="V48" i="85"/>
  <c r="U48" i="85"/>
  <c r="T48" i="85"/>
  <c r="S48" i="85"/>
  <c r="R48" i="85"/>
  <c r="Q48" i="85"/>
  <c r="P48" i="85"/>
  <c r="O48" i="85"/>
  <c r="N48" i="85"/>
  <c r="M48" i="85"/>
  <c r="L48" i="85"/>
  <c r="K48" i="85"/>
  <c r="J48" i="85"/>
  <c r="H48" i="85" s="1"/>
  <c r="I48" i="85"/>
  <c r="I46" i="85"/>
  <c r="I47" i="85" s="1"/>
  <c r="H46" i="85"/>
  <c r="H47" i="85" s="1"/>
  <c r="W45" i="85"/>
  <c r="V45" i="85"/>
  <c r="U45" i="85"/>
  <c r="T45" i="85"/>
  <c r="S45" i="85"/>
  <c r="R45" i="85"/>
  <c r="Q45" i="85"/>
  <c r="P45" i="85"/>
  <c r="O45" i="85"/>
  <c r="N45" i="85"/>
  <c r="M45" i="85"/>
  <c r="L45" i="85"/>
  <c r="K45" i="85"/>
  <c r="I45" i="85" s="1"/>
  <c r="J45" i="85"/>
  <c r="H45" i="85" s="1"/>
  <c r="I43" i="85"/>
  <c r="I44" i="85" s="1"/>
  <c r="H43" i="85"/>
  <c r="H44" i="85" s="1"/>
  <c r="W42" i="85"/>
  <c r="V42" i="85"/>
  <c r="U42" i="85"/>
  <c r="T42" i="85"/>
  <c r="S42" i="85"/>
  <c r="R42" i="85"/>
  <c r="Q42" i="85"/>
  <c r="P42" i="85"/>
  <c r="O42" i="85"/>
  <c r="N42" i="85"/>
  <c r="M42" i="85"/>
  <c r="L42" i="85"/>
  <c r="K42" i="85"/>
  <c r="I42" i="85" s="1"/>
  <c r="J42" i="85"/>
  <c r="I40" i="85"/>
  <c r="I41" i="85" s="1"/>
  <c r="H40" i="85"/>
  <c r="H41" i="85" s="1"/>
  <c r="W37" i="85"/>
  <c r="U37" i="85"/>
  <c r="S37" i="85"/>
  <c r="Q37" i="85"/>
  <c r="O37" i="85"/>
  <c r="H37" i="85"/>
  <c r="K37" i="85"/>
  <c r="T16" i="85"/>
  <c r="T34" i="85" s="1"/>
  <c r="T31" i="85" s="1"/>
  <c r="P16" i="85"/>
  <c r="P34" i="85" s="1"/>
  <c r="P31" i="85" s="1"/>
  <c r="I27" i="85"/>
  <c r="H27" i="85"/>
  <c r="I26" i="85"/>
  <c r="H26" i="85"/>
  <c r="H25" i="85"/>
  <c r="M24" i="85"/>
  <c r="L24" i="85"/>
  <c r="I23" i="85"/>
  <c r="H23" i="85"/>
  <c r="I22" i="85"/>
  <c r="M21" i="85"/>
  <c r="H21" i="85"/>
  <c r="I21" i="85" s="1"/>
  <c r="I20" i="85"/>
  <c r="H19" i="85"/>
  <c r="H18" i="85"/>
  <c r="V16" i="85"/>
  <c r="V34" i="85" s="1"/>
  <c r="V31" i="85" s="1"/>
  <c r="R16" i="85"/>
  <c r="R34" i="85" s="1"/>
  <c r="R31" i="85" s="1"/>
  <c r="N16" i="85"/>
  <c r="N34" i="85" s="1"/>
  <c r="N31" i="85" s="1"/>
  <c r="I51" i="85" l="1"/>
  <c r="H54" i="85"/>
  <c r="I63" i="85"/>
  <c r="H66" i="85"/>
  <c r="H42" i="85"/>
  <c r="H81" i="85"/>
  <c r="I78" i="85"/>
  <c r="H60" i="85"/>
  <c r="H78" i="85"/>
  <c r="O16" i="85"/>
  <c r="O34" i="85" s="1"/>
  <c r="O31" i="85" s="1"/>
  <c r="S16" i="85"/>
  <c r="S34" i="85" s="1"/>
  <c r="S31" i="85" s="1"/>
  <c r="H28" i="85"/>
  <c r="H20" i="85"/>
  <c r="H22" i="85"/>
  <c r="L29" i="85"/>
  <c r="H29" i="85" s="1"/>
  <c r="I25" i="85"/>
  <c r="I19" i="85"/>
  <c r="L17" i="85"/>
  <c r="M37" i="85"/>
  <c r="I37" i="85" s="1"/>
  <c r="J24" i="85"/>
  <c r="H24" i="85" s="1"/>
  <c r="N35" i="85"/>
  <c r="N38" i="85" s="1"/>
  <c r="N39" i="85" s="1"/>
  <c r="K39" i="85"/>
  <c r="O35" i="85"/>
  <c r="O38" i="85" s="1"/>
  <c r="O39" i="85" s="1"/>
  <c r="S35" i="85"/>
  <c r="S38" i="85" s="1"/>
  <c r="S39" i="85" s="1"/>
  <c r="W35" i="85"/>
  <c r="W38" i="85" s="1"/>
  <c r="W39" i="85" s="1"/>
  <c r="R35" i="85"/>
  <c r="R38" i="85" s="1"/>
  <c r="R39" i="85" s="1"/>
  <c r="V35" i="85"/>
  <c r="V38" i="85" s="1"/>
  <c r="V39" i="85" s="1"/>
  <c r="M35" i="85"/>
  <c r="M38" i="85" s="1"/>
  <c r="Q35" i="85"/>
  <c r="Q38" i="85" s="1"/>
  <c r="Q39" i="85" s="1"/>
  <c r="U35" i="85"/>
  <c r="U38" i="85" s="1"/>
  <c r="U39" i="85" s="1"/>
  <c r="L35" i="85"/>
  <c r="L38" i="85" s="1"/>
  <c r="P35" i="85"/>
  <c r="P38" i="85" s="1"/>
  <c r="P39" i="85" s="1"/>
  <c r="T35" i="85"/>
  <c r="T38" i="85" s="1"/>
  <c r="T39" i="85" s="1"/>
  <c r="W16" i="85"/>
  <c r="W34" i="85" s="1"/>
  <c r="W31" i="85" s="1"/>
  <c r="L39" i="85" l="1"/>
  <c r="H39" i="85" s="1"/>
  <c r="F36" i="159"/>
  <c r="F35" i="160" s="1"/>
  <c r="N36" i="85"/>
  <c r="N33" i="85" s="1"/>
  <c r="N88" i="85" s="1"/>
  <c r="Q16" i="85"/>
  <c r="Q34" i="85" s="1"/>
  <c r="Q31" i="85" s="1"/>
  <c r="L16" i="85"/>
  <c r="L34" i="85" s="1"/>
  <c r="L31" i="85" s="1"/>
  <c r="U16" i="85"/>
  <c r="U34" i="85" s="1"/>
  <c r="U31" i="85" s="1"/>
  <c r="H110" i="85"/>
  <c r="O36" i="85"/>
  <c r="O33" i="85" s="1"/>
  <c r="V36" i="85"/>
  <c r="V33" i="85" s="1"/>
  <c r="V88" i="85" s="1"/>
  <c r="I28" i="85"/>
  <c r="M17" i="85"/>
  <c r="H17" i="85"/>
  <c r="M39" i="85"/>
  <c r="I39" i="85" s="1"/>
  <c r="J17" i="85"/>
  <c r="K24" i="85"/>
  <c r="I24" i="85" s="1"/>
  <c r="I18" i="85"/>
  <c r="P36" i="85"/>
  <c r="P33" i="85" s="1"/>
  <c r="P88" i="85" s="1"/>
  <c r="W36" i="85"/>
  <c r="W33" i="85" s="1"/>
  <c r="R36" i="85"/>
  <c r="R33" i="85" s="1"/>
  <c r="T36" i="85"/>
  <c r="T33" i="85" s="1"/>
  <c r="S36" i="85"/>
  <c r="S33" i="85" s="1"/>
  <c r="U36" i="85" l="1"/>
  <c r="U33" i="85" s="1"/>
  <c r="U88" i="85" s="1"/>
  <c r="Q36" i="85"/>
  <c r="Q33" i="85" s="1"/>
  <c r="Q88" i="85" s="1"/>
  <c r="G14" i="157" s="1"/>
  <c r="L36" i="85"/>
  <c r="N32" i="85"/>
  <c r="N110" i="85" s="1"/>
  <c r="J16" i="85"/>
  <c r="J34" i="85" s="1"/>
  <c r="J36" i="85" s="1"/>
  <c r="I110" i="85"/>
  <c r="G110" i="85" s="1"/>
  <c r="M16" i="85"/>
  <c r="M34" i="85" s="1"/>
  <c r="M31" i="85" s="1"/>
  <c r="H109" i="85"/>
  <c r="V32" i="85"/>
  <c r="I17" i="85"/>
  <c r="I109" i="85" s="1"/>
  <c r="H16" i="85"/>
  <c r="H34" i="85" s="1"/>
  <c r="H31" i="85" s="1"/>
  <c r="K17" i="85"/>
  <c r="J31" i="85"/>
  <c r="P32" i="85"/>
  <c r="W88" i="85"/>
  <c r="W32" i="85"/>
  <c r="R88" i="85"/>
  <c r="R32" i="85"/>
  <c r="O88" i="85"/>
  <c r="E14" i="157" s="1"/>
  <c r="O32" i="85"/>
  <c r="T88" i="85"/>
  <c r="T32" i="85"/>
  <c r="S88" i="85"/>
  <c r="S32" i="85"/>
  <c r="L33" i="85"/>
  <c r="AD38" i="174" l="1"/>
  <c r="AQ38" i="174"/>
  <c r="AP38" i="174" s="1"/>
  <c r="AC38" i="174"/>
  <c r="AN38" i="174"/>
  <c r="C19" i="115"/>
  <c r="F23" i="162"/>
  <c r="B19" i="115" s="1"/>
  <c r="U32" i="85"/>
  <c r="U109" i="85" s="1"/>
  <c r="F14" i="157"/>
  <c r="Q32" i="85"/>
  <c r="Q110" i="85" s="1"/>
  <c r="H14" i="157"/>
  <c r="N109" i="85"/>
  <c r="N108" i="85" s="1"/>
  <c r="J33" i="85"/>
  <c r="J88" i="85" s="1"/>
  <c r="H36" i="85"/>
  <c r="H33" i="85" s="1"/>
  <c r="H88" i="85" s="1"/>
  <c r="M36" i="85"/>
  <c r="M33" i="85" s="1"/>
  <c r="M88" i="85" s="1"/>
  <c r="R109" i="85"/>
  <c r="R110" i="85"/>
  <c r="S109" i="85"/>
  <c r="S110" i="85"/>
  <c r="T109" i="85"/>
  <c r="T110" i="85"/>
  <c r="O109" i="85"/>
  <c r="O110" i="85"/>
  <c r="W109" i="85"/>
  <c r="W110" i="85"/>
  <c r="P109" i="85"/>
  <c r="P110" i="85"/>
  <c r="I108" i="85"/>
  <c r="K16" i="85"/>
  <c r="K34" i="85" s="1"/>
  <c r="H108" i="85"/>
  <c r="G109" i="85"/>
  <c r="V109" i="85"/>
  <c r="V110" i="85"/>
  <c r="C22" i="115"/>
  <c r="G26" i="120"/>
  <c r="C18" i="115"/>
  <c r="D20" i="115"/>
  <c r="C21" i="115"/>
  <c r="I16" i="85"/>
  <c r="L88" i="85"/>
  <c r="L32" i="85"/>
  <c r="AH16" i="174" l="1"/>
  <c r="D19" i="115"/>
  <c r="Q109" i="85"/>
  <c r="Q108" i="85" s="1"/>
  <c r="F15" i="159"/>
  <c r="D93" i="159" s="1"/>
  <c r="H93" i="159" s="1"/>
  <c r="U110" i="85"/>
  <c r="U108" i="85" s="1"/>
  <c r="D14" i="157"/>
  <c r="G108" i="85"/>
  <c r="J32" i="85"/>
  <c r="J109" i="85" s="1"/>
  <c r="M32" i="85"/>
  <c r="M109" i="85" s="1"/>
  <c r="L110" i="85"/>
  <c r="L109" i="85"/>
  <c r="W108" i="85"/>
  <c r="T108" i="85"/>
  <c r="R108" i="85"/>
  <c r="K36" i="85"/>
  <c r="K31" i="85"/>
  <c r="V108" i="85"/>
  <c r="P108" i="85"/>
  <c r="O108" i="85"/>
  <c r="N107" i="85" s="1"/>
  <c r="S108" i="85"/>
  <c r="I34" i="85"/>
  <c r="I31" i="85" s="1"/>
  <c r="F17" i="85"/>
  <c r="F21" i="85"/>
  <c r="F29" i="85"/>
  <c r="F15" i="160" l="1"/>
  <c r="F32" i="110" s="1"/>
  <c r="B17" i="115"/>
  <c r="J110" i="85"/>
  <c r="J108" i="85" s="1"/>
  <c r="D37" i="98"/>
  <c r="F16" i="85"/>
  <c r="F34" i="85" s="1"/>
  <c r="F35" i="85" s="1"/>
  <c r="G21" i="85"/>
  <c r="V107" i="85"/>
  <c r="M110" i="85"/>
  <c r="M108" i="85" s="1"/>
  <c r="L108" i="85"/>
  <c r="P107" i="85"/>
  <c r="R107" i="85"/>
  <c r="K33" i="85"/>
  <c r="K88" i="85" s="1"/>
  <c r="I36" i="85"/>
  <c r="I33" i="85" s="1"/>
  <c r="I88" i="85" s="1"/>
  <c r="T107" i="85"/>
  <c r="AF16" i="174" l="1"/>
  <c r="C16" i="115"/>
  <c r="C14" i="157"/>
  <c r="B14" i="157" s="1"/>
  <c r="I14" i="157" s="1"/>
  <c r="G17" i="85"/>
  <c r="L107" i="85"/>
  <c r="C17" i="115" s="1"/>
  <c r="K32" i="85"/>
  <c r="F31" i="85"/>
  <c r="F32" i="85" s="1"/>
  <c r="AE16" i="174" l="1"/>
  <c r="AB16" i="174" s="1"/>
  <c r="AA16" i="174" s="1"/>
  <c r="AE38" i="174"/>
  <c r="AB38" i="174" s="1"/>
  <c r="AA38" i="174" s="1"/>
  <c r="BM38" i="174" s="1"/>
  <c r="C23" i="115"/>
  <c r="G16" i="85"/>
  <c r="G34" i="85" s="1"/>
  <c r="G35" i="85" s="1"/>
  <c r="K110" i="85"/>
  <c r="K109" i="85"/>
  <c r="K108" i="85" l="1"/>
  <c r="J107" i="85" s="1"/>
  <c r="F17" i="84"/>
  <c r="F17" i="100" l="1"/>
  <c r="C14" i="166"/>
  <c r="C14" i="165"/>
  <c r="G31" i="85"/>
  <c r="G32" i="85" s="1"/>
  <c r="D66" i="98" s="1"/>
  <c r="C13" i="132"/>
  <c r="C55" i="150" s="1"/>
  <c r="M17" i="100"/>
  <c r="D105" i="84"/>
  <c r="G43" i="108" l="1"/>
  <c r="C43" i="108"/>
  <c r="C27" i="108"/>
  <c r="H105" i="84"/>
  <c r="G27" i="108" s="1"/>
  <c r="H8" i="108" l="1"/>
  <c r="D14" i="118"/>
  <c r="D229" i="21" l="1"/>
  <c r="D35" i="24" l="1"/>
  <c r="D33" i="24"/>
  <c r="F14" i="118"/>
  <c r="D34" i="24" s="1"/>
  <c r="E14" i="118"/>
  <c r="D32" i="24" s="1"/>
  <c r="C14" i="118"/>
  <c r="T297" i="21" l="1"/>
  <c r="U297" i="21" s="1"/>
  <c r="D81" i="21"/>
  <c r="D139" i="21"/>
  <c r="D168" i="21"/>
  <c r="E168" i="21" s="1"/>
  <c r="H14" i="118"/>
  <c r="J14" i="118" s="1"/>
  <c r="D29" i="24"/>
  <c r="T296" i="21"/>
  <c r="U296" i="21" s="1"/>
  <c r="D136" i="21"/>
  <c r="D117" i="21"/>
  <c r="D165" i="21"/>
  <c r="E165" i="21" s="1"/>
  <c r="E169" i="21" l="1"/>
  <c r="F168" i="21"/>
  <c r="F37" i="159"/>
  <c r="F36" i="160" s="1"/>
  <c r="F38" i="84"/>
  <c r="T294" i="21"/>
  <c r="U294" i="21" s="1"/>
  <c r="U298" i="21" s="1"/>
  <c r="D102" i="21"/>
  <c r="D159" i="21"/>
  <c r="E159" i="21" s="1"/>
  <c r="D130" i="21"/>
  <c r="E166" i="21"/>
  <c r="F165" i="21"/>
  <c r="D183" i="21"/>
  <c r="N192" i="21"/>
  <c r="J185" i="21"/>
  <c r="L185" i="21"/>
  <c r="M185" i="21"/>
  <c r="N185" i="21"/>
  <c r="O185" i="21"/>
  <c r="P185" i="21"/>
  <c r="K5" i="117"/>
  <c r="I5" i="117"/>
  <c r="E5" i="117"/>
  <c r="D5" i="117" s="1"/>
  <c r="AH35" i="174" s="1"/>
  <c r="C5" i="117"/>
  <c r="AF35" i="174" l="1"/>
  <c r="AE35" i="174" s="1"/>
  <c r="AB35" i="174" s="1"/>
  <c r="F169" i="21"/>
  <c r="G168" i="21"/>
  <c r="F166" i="21"/>
  <c r="G165" i="21"/>
  <c r="E160" i="21"/>
  <c r="F159" i="21"/>
  <c r="F38" i="100"/>
  <c r="M38" i="100"/>
  <c r="E288" i="21"/>
  <c r="E171" i="21"/>
  <c r="E172" i="21" s="1"/>
  <c r="I211" i="21"/>
  <c r="G211" i="21"/>
  <c r="F20" i="157"/>
  <c r="B45" i="178"/>
  <c r="C45" i="178" s="1"/>
  <c r="E20" i="157"/>
  <c r="B44" i="178"/>
  <c r="C44" i="178" s="1"/>
  <c r="B42" i="178"/>
  <c r="B43" i="178"/>
  <c r="C43" i="178" s="1"/>
  <c r="O211" i="21"/>
  <c r="F35" i="84"/>
  <c r="C20" i="157"/>
  <c r="D20" i="157"/>
  <c r="E192" i="21"/>
  <c r="J192" i="21"/>
  <c r="P192" i="21"/>
  <c r="L192" i="21"/>
  <c r="M192" i="21"/>
  <c r="K192" i="21"/>
  <c r="O192" i="21"/>
  <c r="M211" i="21"/>
  <c r="E211" i="21"/>
  <c r="J211" i="21"/>
  <c r="N211" i="21"/>
  <c r="L211" i="21"/>
  <c r="P211" i="21"/>
  <c r="K211" i="21"/>
  <c r="G169" i="21" l="1"/>
  <c r="H168" i="21"/>
  <c r="O38" i="100"/>
  <c r="F288" i="21"/>
  <c r="F171" i="21"/>
  <c r="F172" i="21" s="1"/>
  <c r="G166" i="21"/>
  <c r="H165" i="21"/>
  <c r="E286" i="21"/>
  <c r="F160" i="21"/>
  <c r="F286" i="21" s="1"/>
  <c r="G159" i="21"/>
  <c r="H211" i="21"/>
  <c r="F211" i="21"/>
  <c r="C42" i="178"/>
  <c r="B41" i="178"/>
  <c r="C41" i="178" s="1"/>
  <c r="D108" i="84"/>
  <c r="C30" i="108" s="1"/>
  <c r="F35" i="100"/>
  <c r="B34" i="146" s="1"/>
  <c r="F96" i="84"/>
  <c r="M35" i="100"/>
  <c r="C46" i="108"/>
  <c r="G46" i="108"/>
  <c r="D211" i="21"/>
  <c r="H169" i="21" l="1"/>
  <c r="I168" i="21"/>
  <c r="G288" i="21"/>
  <c r="G171" i="21"/>
  <c r="G172" i="21" s="1"/>
  <c r="G160" i="21"/>
  <c r="H159" i="21"/>
  <c r="H166" i="21"/>
  <c r="I165" i="21"/>
  <c r="O35" i="100"/>
  <c r="I169" i="21" l="1"/>
  <c r="J168" i="21"/>
  <c r="H160" i="21"/>
  <c r="H286" i="21" s="1"/>
  <c r="I159" i="21"/>
  <c r="H288" i="21"/>
  <c r="H171" i="21"/>
  <c r="H172" i="21" s="1"/>
  <c r="I166" i="21"/>
  <c r="J165" i="21"/>
  <c r="G286" i="21"/>
  <c r="K185" i="21"/>
  <c r="E185" i="21"/>
  <c r="J169" i="21" l="1"/>
  <c r="K168" i="21"/>
  <c r="I288" i="21"/>
  <c r="I171" i="21"/>
  <c r="I172" i="21" s="1"/>
  <c r="I160" i="21"/>
  <c r="J159" i="21"/>
  <c r="J166" i="21"/>
  <c r="K165" i="21"/>
  <c r="C161" i="49"/>
  <c r="C164" i="49"/>
  <c r="D164" i="49" s="1"/>
  <c r="E164" i="49" s="1"/>
  <c r="F164" i="49" s="1"/>
  <c r="G164" i="49" s="1"/>
  <c r="H164" i="49" s="1"/>
  <c r="I164" i="49" s="1"/>
  <c r="J164" i="49" s="1"/>
  <c r="C160" i="49"/>
  <c r="D160" i="49" s="1"/>
  <c r="E160" i="49" s="1"/>
  <c r="C163" i="49"/>
  <c r="D163" i="49" s="1"/>
  <c r="E163" i="49" s="1"/>
  <c r="D165" i="49"/>
  <c r="E165" i="49" s="1"/>
  <c r="F165" i="49" s="1"/>
  <c r="G165" i="49" s="1"/>
  <c r="H165" i="49" s="1"/>
  <c r="I165" i="49" s="1"/>
  <c r="J165" i="49" s="1"/>
  <c r="K169" i="21" l="1"/>
  <c r="L168" i="21"/>
  <c r="J288" i="21"/>
  <c r="J171" i="21"/>
  <c r="J172" i="21" s="1"/>
  <c r="K166" i="21"/>
  <c r="L165" i="21"/>
  <c r="I286" i="21"/>
  <c r="J160" i="21"/>
  <c r="J286" i="21" s="1"/>
  <c r="K159" i="21"/>
  <c r="D161" i="49"/>
  <c r="E161" i="49" s="1"/>
  <c r="F161" i="49" s="1"/>
  <c r="G161" i="49" s="1"/>
  <c r="H161" i="49" s="1"/>
  <c r="I161" i="49" s="1"/>
  <c r="J161" i="49" s="1"/>
  <c r="D162" i="49"/>
  <c r="D159" i="49"/>
  <c r="E159" i="49"/>
  <c r="F160" i="49"/>
  <c r="E162" i="49"/>
  <c r="F163" i="49"/>
  <c r="L169" i="21" l="1"/>
  <c r="M168" i="21"/>
  <c r="L166" i="21"/>
  <c r="M165" i="21"/>
  <c r="K160" i="21"/>
  <c r="L159" i="21"/>
  <c r="K288" i="21"/>
  <c r="K171" i="21"/>
  <c r="K172" i="21" s="1"/>
  <c r="E158" i="49"/>
  <c r="D158" i="49"/>
  <c r="F159" i="49"/>
  <c r="G160" i="49"/>
  <c r="F162" i="49"/>
  <c r="G163" i="49"/>
  <c r="M169" i="21" l="1"/>
  <c r="N168" i="21"/>
  <c r="L160" i="21"/>
  <c r="L286" i="21" s="1"/>
  <c r="M159" i="21"/>
  <c r="L288" i="21"/>
  <c r="L171" i="21"/>
  <c r="L172" i="21" s="1"/>
  <c r="M166" i="21"/>
  <c r="N165" i="21"/>
  <c r="K286" i="21"/>
  <c r="F158" i="49"/>
  <c r="G162" i="49"/>
  <c r="H163" i="49"/>
  <c r="G159" i="49"/>
  <c r="H160" i="49"/>
  <c r="N169" i="21" l="1"/>
  <c r="O168" i="21"/>
  <c r="M160" i="21"/>
  <c r="N159" i="21"/>
  <c r="M288" i="21"/>
  <c r="M171" i="21"/>
  <c r="M172" i="21" s="1"/>
  <c r="N166" i="21"/>
  <c r="O165" i="21"/>
  <c r="I163" i="49"/>
  <c r="H162" i="49"/>
  <c r="G158" i="49"/>
  <c r="I160" i="49"/>
  <c r="H159" i="49"/>
  <c r="O169" i="21" l="1"/>
  <c r="P168" i="21"/>
  <c r="P169" i="21" s="1"/>
  <c r="D169" i="21" s="1"/>
  <c r="N288" i="21"/>
  <c r="N171" i="21"/>
  <c r="N172" i="21" s="1"/>
  <c r="N160" i="21"/>
  <c r="N286" i="21" s="1"/>
  <c r="O159" i="21"/>
  <c r="M286" i="21"/>
  <c r="O166" i="21"/>
  <c r="P165" i="21"/>
  <c r="P166" i="21" s="1"/>
  <c r="H158" i="49"/>
  <c r="I162" i="49"/>
  <c r="J163" i="49"/>
  <c r="J162" i="49" s="1"/>
  <c r="I159" i="49"/>
  <c r="J160" i="49"/>
  <c r="J159" i="49" s="1"/>
  <c r="O288" i="21" l="1"/>
  <c r="O171" i="21"/>
  <c r="O172" i="21" s="1"/>
  <c r="P288" i="21"/>
  <c r="P171" i="21"/>
  <c r="P172" i="21" s="1"/>
  <c r="D166" i="21"/>
  <c r="O160" i="21"/>
  <c r="O286" i="21" s="1"/>
  <c r="P159" i="21"/>
  <c r="P160" i="21" s="1"/>
  <c r="J158" i="49"/>
  <c r="I158" i="49"/>
  <c r="D288" i="21" l="1"/>
  <c r="D171" i="21"/>
  <c r="D172" i="21" s="1"/>
  <c r="P286" i="21"/>
  <c r="D160" i="21"/>
  <c r="D286" i="21" s="1"/>
  <c r="C24" i="49"/>
  <c r="L24" i="49" s="1"/>
  <c r="I3" i="84" l="1"/>
  <c r="L2" i="21"/>
  <c r="E2" i="93"/>
  <c r="E2" i="58"/>
  <c r="D2" i="57"/>
  <c r="S2" i="55"/>
  <c r="G1" i="115"/>
  <c r="N219" i="174" l="1"/>
  <c r="Z219" i="174" s="1"/>
  <c r="AS219" i="174" s="1"/>
  <c r="G7" i="120"/>
  <c r="N220" i="174" l="1"/>
  <c r="Z220" i="174" s="1"/>
  <c r="AS220" i="174" s="1"/>
  <c r="F59" i="69"/>
  <c r="G40" i="69"/>
  <c r="I3" i="100"/>
  <c r="N221" i="174" l="1"/>
  <c r="Z221" i="174" s="1"/>
  <c r="AS221" i="174" s="1"/>
  <c r="D40" i="78"/>
  <c r="N222" i="174" l="1"/>
  <c r="Z222" i="174" s="1"/>
  <c r="AS222" i="174" s="1"/>
  <c r="D39" i="102"/>
  <c r="D12" i="84"/>
  <c r="D12" i="100" s="1"/>
  <c r="F108" i="84"/>
  <c r="N223" i="174" l="1"/>
  <c r="Z223" i="174" s="1"/>
  <c r="AS223" i="174" s="1"/>
  <c r="E30" i="108"/>
  <c r="H108" i="84"/>
  <c r="G30" i="108" s="1"/>
  <c r="D39" i="66"/>
  <c r="D38" i="103" s="1"/>
  <c r="D20" i="78"/>
  <c r="D20" i="102" s="1"/>
  <c r="E25" i="106"/>
  <c r="P25" i="106" s="1"/>
  <c r="E26" i="106"/>
  <c r="P26" i="106" s="1"/>
  <c r="E27" i="106"/>
  <c r="P27" i="106" s="1"/>
  <c r="E28" i="106"/>
  <c r="P28" i="106" s="1"/>
  <c r="E29" i="106"/>
  <c r="P29" i="106" s="1"/>
  <c r="E30" i="106"/>
  <c r="P30" i="106" s="1"/>
  <c r="E31" i="106"/>
  <c r="P31" i="106" s="1"/>
  <c r="E32" i="106"/>
  <c r="P32" i="106" s="1"/>
  <c r="E33" i="106"/>
  <c r="P33" i="106" s="1"/>
  <c r="E34" i="106"/>
  <c r="P34" i="106" s="1"/>
  <c r="E35" i="106"/>
  <c r="P35" i="106" s="1"/>
  <c r="E36" i="106"/>
  <c r="P36" i="106" s="1"/>
  <c r="E37" i="106"/>
  <c r="P37" i="106" s="1"/>
  <c r="E38" i="106"/>
  <c r="P38" i="106" s="1"/>
  <c r="E39" i="106"/>
  <c r="P39" i="106" s="1"/>
  <c r="E40" i="106"/>
  <c r="P40" i="106" s="1"/>
  <c r="E41" i="106"/>
  <c r="P41" i="106" s="1"/>
  <c r="E42" i="106"/>
  <c r="P42" i="106" s="1"/>
  <c r="E43" i="106"/>
  <c r="P43" i="106" s="1"/>
  <c r="E44" i="106"/>
  <c r="P44" i="106" s="1"/>
  <c r="E45" i="106"/>
  <c r="P45" i="106" s="1"/>
  <c r="E46" i="106"/>
  <c r="P46" i="106" s="1"/>
  <c r="E47" i="106"/>
  <c r="P47" i="106" s="1"/>
  <c r="E48" i="106"/>
  <c r="P48" i="106" s="1"/>
  <c r="E49" i="106"/>
  <c r="P49" i="106" s="1"/>
  <c r="E50" i="106"/>
  <c r="P50" i="106" s="1"/>
  <c r="E51" i="106"/>
  <c r="P51" i="106" s="1"/>
  <c r="E52" i="106"/>
  <c r="P52" i="106" s="1"/>
  <c r="E53" i="106"/>
  <c r="P53" i="106" s="1"/>
  <c r="E54" i="106"/>
  <c r="P54" i="106" s="1"/>
  <c r="E56" i="106"/>
  <c r="P56" i="106" s="1"/>
  <c r="E57" i="106"/>
  <c r="P57" i="106" s="1"/>
  <c r="E58" i="106"/>
  <c r="P58" i="106" s="1"/>
  <c r="E59" i="106"/>
  <c r="P59" i="106" s="1"/>
  <c r="E60" i="106"/>
  <c r="P60" i="106" s="1"/>
  <c r="E61" i="106"/>
  <c r="P61" i="106" s="1"/>
  <c r="D25" i="106"/>
  <c r="D26" i="106"/>
  <c r="D27" i="106"/>
  <c r="D28" i="106"/>
  <c r="D29" i="106"/>
  <c r="D30" i="106"/>
  <c r="D31" i="106"/>
  <c r="D32" i="106"/>
  <c r="D33" i="106"/>
  <c r="D34" i="106"/>
  <c r="D35" i="106"/>
  <c r="D36" i="106"/>
  <c r="D37" i="106"/>
  <c r="D38" i="106"/>
  <c r="D39" i="106"/>
  <c r="D40" i="106"/>
  <c r="D41" i="106"/>
  <c r="D42" i="106"/>
  <c r="D43" i="106"/>
  <c r="D44" i="106"/>
  <c r="D45" i="106"/>
  <c r="D46" i="106"/>
  <c r="D47" i="106"/>
  <c r="D48" i="106"/>
  <c r="D49" i="106"/>
  <c r="D50" i="106"/>
  <c r="D51" i="106"/>
  <c r="D52" i="106"/>
  <c r="D53" i="106"/>
  <c r="D54" i="106"/>
  <c r="D56" i="106"/>
  <c r="D57" i="106"/>
  <c r="D58" i="106"/>
  <c r="D59" i="106"/>
  <c r="D60" i="106"/>
  <c r="D61" i="106"/>
  <c r="D63" i="106"/>
  <c r="C25" i="106"/>
  <c r="C26" i="106"/>
  <c r="C27" i="106"/>
  <c r="C28" i="106"/>
  <c r="C29" i="106"/>
  <c r="C30" i="106"/>
  <c r="C31" i="106"/>
  <c r="C32" i="106"/>
  <c r="C33" i="106"/>
  <c r="C34" i="106"/>
  <c r="C35" i="106"/>
  <c r="C36" i="106"/>
  <c r="C37" i="106"/>
  <c r="C38" i="106"/>
  <c r="C39" i="106"/>
  <c r="C40" i="106"/>
  <c r="C41" i="106"/>
  <c r="C42" i="106"/>
  <c r="C43" i="106"/>
  <c r="C44" i="106"/>
  <c r="C45" i="106"/>
  <c r="C46" i="106"/>
  <c r="C47" i="106"/>
  <c r="C48" i="106"/>
  <c r="C49" i="106"/>
  <c r="C50" i="106"/>
  <c r="C51" i="106"/>
  <c r="C52" i="106"/>
  <c r="C53" i="106"/>
  <c r="C54" i="106"/>
  <c r="C56" i="106"/>
  <c r="C57" i="106"/>
  <c r="C58" i="106"/>
  <c r="C59" i="106"/>
  <c r="C60" i="106"/>
  <c r="C61" i="106"/>
  <c r="C63" i="106"/>
  <c r="D24" i="106"/>
  <c r="E24" i="106"/>
  <c r="P24" i="106" s="1"/>
  <c r="C24" i="106"/>
  <c r="D22" i="106"/>
  <c r="E22" i="106"/>
  <c r="P22" i="106" s="1"/>
  <c r="C22" i="106"/>
  <c r="D21" i="106"/>
  <c r="E21" i="106"/>
  <c r="P21" i="106" s="1"/>
  <c r="C21" i="106"/>
  <c r="E12" i="106"/>
  <c r="P12" i="106" s="1"/>
  <c r="E13" i="106"/>
  <c r="P13" i="106" s="1"/>
  <c r="E14" i="106"/>
  <c r="P14" i="106" s="1"/>
  <c r="E15" i="106"/>
  <c r="P15" i="106" s="1"/>
  <c r="E16" i="106"/>
  <c r="P16" i="106" s="1"/>
  <c r="E17" i="106"/>
  <c r="P17" i="106" s="1"/>
  <c r="E18" i="106"/>
  <c r="P18" i="106" s="1"/>
  <c r="E19" i="106"/>
  <c r="P19" i="106" s="1"/>
  <c r="E20" i="106"/>
  <c r="P20" i="106" s="1"/>
  <c r="D12" i="106"/>
  <c r="D13" i="106"/>
  <c r="D14" i="106"/>
  <c r="D15" i="106"/>
  <c r="D17" i="106"/>
  <c r="D18" i="106"/>
  <c r="D19" i="106"/>
  <c r="D20" i="106"/>
  <c r="C12" i="106"/>
  <c r="C13" i="106"/>
  <c r="C14" i="106"/>
  <c r="C15" i="106"/>
  <c r="C16" i="106"/>
  <c r="C17" i="106"/>
  <c r="C18" i="106"/>
  <c r="C19" i="106"/>
  <c r="C20" i="106"/>
  <c r="D11" i="106"/>
  <c r="E11" i="106"/>
  <c r="P11" i="106" s="1"/>
  <c r="C11" i="106"/>
  <c r="D55" i="69"/>
  <c r="E55" i="69"/>
  <c r="F55" i="69"/>
  <c r="C55" i="69"/>
  <c r="D54" i="69"/>
  <c r="E54" i="69"/>
  <c r="F54" i="69"/>
  <c r="C54" i="69"/>
  <c r="C53" i="69"/>
  <c r="F53" i="69" s="1"/>
  <c r="C52" i="69"/>
  <c r="F52" i="69" s="1"/>
  <c r="C48" i="69"/>
  <c r="D48" i="69" s="1"/>
  <c r="C47" i="69"/>
  <c r="F47" i="69" s="1"/>
  <c r="C43" i="69"/>
  <c r="F43" i="69" s="1"/>
  <c r="C42" i="69"/>
  <c r="F42" i="69" s="1"/>
  <c r="C38" i="69"/>
  <c r="D38" i="69" s="1"/>
  <c r="C37" i="69"/>
  <c r="F37" i="69" s="1"/>
  <c r="C33" i="69"/>
  <c r="F33" i="69" s="1"/>
  <c r="C32" i="69"/>
  <c r="F32" i="69" s="1"/>
  <c r="C28" i="69"/>
  <c r="D28" i="69" s="1"/>
  <c r="C27" i="69"/>
  <c r="F27" i="69" s="1"/>
  <c r="C23" i="69"/>
  <c r="F23" i="69" s="1"/>
  <c r="C22" i="69"/>
  <c r="F22" i="69" s="1"/>
  <c r="C18" i="69"/>
  <c r="D18" i="69" s="1"/>
  <c r="C17" i="69"/>
  <c r="F17" i="69" s="1"/>
  <c r="C13" i="69"/>
  <c r="F13" i="69" s="1"/>
  <c r="C12" i="69"/>
  <c r="F12" i="69" s="1"/>
  <c r="H9" i="69"/>
  <c r="E102" i="103"/>
  <c r="D102" i="103"/>
  <c r="C70" i="110" s="1"/>
  <c r="C102" i="103"/>
  <c r="B70" i="110" s="1"/>
  <c r="E100" i="103"/>
  <c r="E99" i="103"/>
  <c r="D100" i="103"/>
  <c r="C68" i="110" s="1"/>
  <c r="D99" i="103"/>
  <c r="C67" i="110" s="1"/>
  <c r="C100" i="103"/>
  <c r="B68" i="110" s="1"/>
  <c r="C99" i="103"/>
  <c r="B67" i="110" s="1"/>
  <c r="D103" i="103"/>
  <c r="C71" i="110" s="1"/>
  <c r="C103" i="103"/>
  <c r="B71" i="110" s="1"/>
  <c r="D97" i="103"/>
  <c r="C65" i="110" s="1"/>
  <c r="E97" i="103"/>
  <c r="D96" i="103"/>
  <c r="E96" i="103"/>
  <c r="C97" i="103"/>
  <c r="B65" i="110" s="1"/>
  <c r="C96" i="103"/>
  <c r="E76" i="102"/>
  <c r="E77" i="102"/>
  <c r="E80" i="102"/>
  <c r="E79" i="102"/>
  <c r="E82" i="102"/>
  <c r="D76" i="102"/>
  <c r="D77" i="102"/>
  <c r="C53" i="110" s="1"/>
  <c r="D80" i="102"/>
  <c r="C56" i="110" s="1"/>
  <c r="D79" i="102"/>
  <c r="C55" i="110" s="1"/>
  <c r="D81" i="102"/>
  <c r="C57" i="110" s="1"/>
  <c r="D82" i="102"/>
  <c r="C58" i="110" s="1"/>
  <c r="C76" i="102"/>
  <c r="C77" i="102"/>
  <c r="B53" i="110" s="1"/>
  <c r="C80" i="102"/>
  <c r="B56" i="110" s="1"/>
  <c r="C79" i="102"/>
  <c r="B55" i="110" s="1"/>
  <c r="C82" i="102"/>
  <c r="B58" i="110" s="1"/>
  <c r="E39" i="102"/>
  <c r="E24" i="78"/>
  <c r="E20" i="78"/>
  <c r="E20" i="102" s="1"/>
  <c r="J9" i="69" l="1"/>
  <c r="N224" i="174"/>
  <c r="Z224" i="174" s="1"/>
  <c r="AS224" i="174" s="1"/>
  <c r="F8" i="186"/>
  <c r="AF30" i="174"/>
  <c r="M6" i="179"/>
  <c r="F29" i="84"/>
  <c r="C16" i="165" s="1"/>
  <c r="S16" i="165" s="1"/>
  <c r="C17" i="157"/>
  <c r="E24" i="102"/>
  <c r="E8" i="78"/>
  <c r="F29" i="100"/>
  <c r="D83" i="102"/>
  <c r="C59" i="110" s="1"/>
  <c r="D101" i="103"/>
  <c r="C69" i="110" s="1"/>
  <c r="C81" i="102"/>
  <c r="B57" i="110" s="1"/>
  <c r="C83" i="102"/>
  <c r="B59" i="110" s="1"/>
  <c r="E81" i="102"/>
  <c r="E83" i="102"/>
  <c r="E103" i="103"/>
  <c r="C101" i="103"/>
  <c r="B69" i="110" s="1"/>
  <c r="B52" i="110"/>
  <c r="B64" i="110"/>
  <c r="C64" i="110"/>
  <c r="C52" i="110"/>
  <c r="E101" i="103"/>
  <c r="F21" i="69"/>
  <c r="F41" i="69"/>
  <c r="F51" i="69"/>
  <c r="D17" i="69"/>
  <c r="D16" i="69" s="1"/>
  <c r="D27" i="69"/>
  <c r="D26" i="69" s="1"/>
  <c r="D37" i="69"/>
  <c r="D36" i="69" s="1"/>
  <c r="D47" i="69"/>
  <c r="D46" i="69" s="1"/>
  <c r="F18" i="69"/>
  <c r="F16" i="69" s="1"/>
  <c r="F28" i="69"/>
  <c r="F26" i="69" s="1"/>
  <c r="F38" i="69"/>
  <c r="F36" i="69" s="1"/>
  <c r="F48" i="69"/>
  <c r="F46" i="69" s="1"/>
  <c r="D13" i="69"/>
  <c r="D23" i="69"/>
  <c r="D33" i="69"/>
  <c r="D43" i="69"/>
  <c r="D53" i="69"/>
  <c r="D12" i="69"/>
  <c r="D22" i="69"/>
  <c r="D32" i="69"/>
  <c r="D42" i="69"/>
  <c r="D52" i="69"/>
  <c r="F31" i="69"/>
  <c r="E23" i="106"/>
  <c r="N225" i="174" l="1"/>
  <c r="Z225" i="174" s="1"/>
  <c r="AS225" i="174" s="1"/>
  <c r="C16" i="166"/>
  <c r="S16" i="166" s="1"/>
  <c r="C15" i="132"/>
  <c r="C57" i="150" s="1"/>
  <c r="D101" i="84"/>
  <c r="H101" i="84" s="1"/>
  <c r="G23" i="108" s="1"/>
  <c r="D21" i="69"/>
  <c r="D51" i="69"/>
  <c r="D41" i="69"/>
  <c r="D31" i="69"/>
  <c r="D11" i="69"/>
  <c r="H2" i="115"/>
  <c r="F2" i="115"/>
  <c r="D2" i="115"/>
  <c r="B2" i="115"/>
  <c r="C23" i="106"/>
  <c r="C10" i="106"/>
  <c r="C147" i="54"/>
  <c r="B129" i="22"/>
  <c r="B45" i="29"/>
  <c r="B4" i="115"/>
  <c r="Y15" i="114"/>
  <c r="X15" i="114"/>
  <c r="W15" i="114"/>
  <c r="V15" i="114"/>
  <c r="Y14" i="114"/>
  <c r="X14" i="114"/>
  <c r="W14" i="114"/>
  <c r="V14" i="114"/>
  <c r="U8" i="114"/>
  <c r="P8" i="114"/>
  <c r="K8" i="114"/>
  <c r="U7" i="114"/>
  <c r="P7" i="114"/>
  <c r="K7" i="114"/>
  <c r="K23" i="114"/>
  <c r="K22" i="114"/>
  <c r="K21" i="114"/>
  <c r="K20" i="114"/>
  <c r="K19" i="114"/>
  <c r="K18" i="114"/>
  <c r="P16" i="114"/>
  <c r="P15" i="114"/>
  <c r="P14" i="114"/>
  <c r="P13" i="114"/>
  <c r="P12" i="114"/>
  <c r="P11" i="114"/>
  <c r="B63" i="112"/>
  <c r="H56" i="112"/>
  <c r="G56" i="112"/>
  <c r="F56" i="112"/>
  <c r="E56" i="112"/>
  <c r="D56" i="112"/>
  <c r="H55" i="112"/>
  <c r="G55" i="112"/>
  <c r="F55" i="112"/>
  <c r="E55" i="112"/>
  <c r="D47" i="112"/>
  <c r="D41" i="112"/>
  <c r="H40" i="112"/>
  <c r="D40" i="112"/>
  <c r="H39" i="112"/>
  <c r="G39" i="112"/>
  <c r="E39" i="112"/>
  <c r="D39" i="112"/>
  <c r="H38" i="112"/>
  <c r="G38" i="112"/>
  <c r="E38" i="112"/>
  <c r="D38" i="112"/>
  <c r="H37" i="112"/>
  <c r="G37" i="112"/>
  <c r="E37" i="112"/>
  <c r="D37" i="112"/>
  <c r="D36" i="112"/>
  <c r="M20" i="112"/>
  <c r="L20" i="112"/>
  <c r="K20" i="112"/>
  <c r="J20" i="112"/>
  <c r="I20" i="112"/>
  <c r="H20" i="112"/>
  <c r="G20" i="112"/>
  <c r="F20" i="112"/>
  <c r="E20" i="112"/>
  <c r="M19" i="112"/>
  <c r="L19" i="112"/>
  <c r="K19" i="112"/>
  <c r="J19" i="112"/>
  <c r="I19" i="112"/>
  <c r="H19" i="112"/>
  <c r="G19" i="112"/>
  <c r="F19" i="112"/>
  <c r="E19" i="112"/>
  <c r="R9" i="112"/>
  <c r="Q9" i="112"/>
  <c r="P9" i="112"/>
  <c r="O9" i="112"/>
  <c r="N9" i="112"/>
  <c r="M9" i="112"/>
  <c r="L9" i="112"/>
  <c r="K9" i="112"/>
  <c r="J9" i="112"/>
  <c r="I9" i="112"/>
  <c r="H9" i="112"/>
  <c r="F9" i="112"/>
  <c r="E9" i="112"/>
  <c r="D9" i="112"/>
  <c r="O19" i="112" l="1"/>
  <c r="Q20" i="112"/>
  <c r="N226" i="174"/>
  <c r="Z226" i="174" s="1"/>
  <c r="AS226" i="174" s="1"/>
  <c r="C23" i="108"/>
  <c r="R20" i="112"/>
  <c r="R19" i="112"/>
  <c r="P20" i="112"/>
  <c r="Q19" i="112"/>
  <c r="P19" i="112"/>
  <c r="J8" i="114"/>
  <c r="J7" i="114"/>
  <c r="D12" i="110"/>
  <c r="U15" i="114"/>
  <c r="D56" i="69"/>
  <c r="O20" i="112"/>
  <c r="B8" i="115"/>
  <c r="C9" i="106"/>
  <c r="C8" i="115" s="1"/>
  <c r="U14" i="114"/>
  <c r="N227" i="174" l="1"/>
  <c r="Z227" i="174" s="1"/>
  <c r="AS227" i="174" s="1"/>
  <c r="B4" i="108"/>
  <c r="B5" i="108"/>
  <c r="B6" i="108"/>
  <c r="B7" i="108"/>
  <c r="B8" i="108"/>
  <c r="B9" i="108"/>
  <c r="B10" i="108"/>
  <c r="B11" i="108"/>
  <c r="B12" i="108"/>
  <c r="B13" i="108"/>
  <c r="B14" i="108"/>
  <c r="B15" i="108"/>
  <c r="B17" i="108"/>
  <c r="B3" i="108"/>
  <c r="N228" i="174" l="1"/>
  <c r="Z228" i="174" s="1"/>
  <c r="AS228" i="174" s="1"/>
  <c r="D74" i="21"/>
  <c r="N229" i="174" l="1"/>
  <c r="Z229" i="174" s="1"/>
  <c r="AS229" i="174" s="1"/>
  <c r="A178" i="26"/>
  <c r="A135" i="26"/>
  <c r="A94" i="26"/>
  <c r="A53" i="26"/>
  <c r="C111" i="26"/>
  <c r="C70" i="26"/>
  <c r="N230" i="174" l="1"/>
  <c r="Z230" i="174" s="1"/>
  <c r="AS230" i="174" s="1"/>
  <c r="N231" i="174" l="1"/>
  <c r="Z231" i="174" s="1"/>
  <c r="AS231" i="174" s="1"/>
  <c r="F75" i="109"/>
  <c r="F77" i="109" s="1"/>
  <c r="E69" i="109" s="1"/>
  <c r="D96" i="100"/>
  <c r="C16" i="110" s="1"/>
  <c r="E96" i="100"/>
  <c r="E16" i="110" s="1"/>
  <c r="D97" i="100"/>
  <c r="C17" i="110" s="1"/>
  <c r="E97" i="100"/>
  <c r="E17" i="110" s="1"/>
  <c r="D98" i="100"/>
  <c r="C18" i="110" s="1"/>
  <c r="C5" i="110" s="1"/>
  <c r="E98" i="100"/>
  <c r="D99" i="100"/>
  <c r="C19" i="110" s="1"/>
  <c r="E99" i="100"/>
  <c r="D100" i="100"/>
  <c r="C20" i="110" s="1"/>
  <c r="E100" i="100"/>
  <c r="E20" i="110" s="1"/>
  <c r="D101" i="100"/>
  <c r="C21" i="110" s="1"/>
  <c r="E101" i="100"/>
  <c r="E21" i="110" s="1"/>
  <c r="D102" i="100"/>
  <c r="C22" i="110" s="1"/>
  <c r="C9" i="110" s="1"/>
  <c r="E102" i="100"/>
  <c r="E22" i="110" s="1"/>
  <c r="D103" i="100"/>
  <c r="C23" i="110" s="1"/>
  <c r="E103" i="100"/>
  <c r="F103" i="100"/>
  <c r="F23" i="110" s="1"/>
  <c r="C101" i="100"/>
  <c r="B21" i="110" s="1"/>
  <c r="C103" i="100"/>
  <c r="B23" i="110" s="1"/>
  <c r="C102" i="100"/>
  <c r="B22" i="110" s="1"/>
  <c r="C100" i="100"/>
  <c r="B20" i="110" s="1"/>
  <c r="B7" i="110" s="1"/>
  <c r="C99" i="100"/>
  <c r="B19" i="110" s="1"/>
  <c r="B6" i="110" s="1"/>
  <c r="C98" i="100"/>
  <c r="B18" i="110" s="1"/>
  <c r="B5" i="110" s="1"/>
  <c r="C97" i="100"/>
  <c r="B17" i="110" s="1"/>
  <c r="C96" i="100"/>
  <c r="B16" i="110" s="1"/>
  <c r="M68" i="109"/>
  <c r="N232" i="174" l="1"/>
  <c r="Z232" i="174" s="1"/>
  <c r="AS232" i="174" s="1"/>
  <c r="D10" i="110"/>
  <c r="E23" i="110"/>
  <c r="D6" i="110"/>
  <c r="E19" i="110"/>
  <c r="D5" i="110"/>
  <c r="E18" i="110"/>
  <c r="E5" i="110" s="1"/>
  <c r="D9" i="110"/>
  <c r="D7" i="110"/>
  <c r="C6" i="110"/>
  <c r="B9" i="110"/>
  <c r="B10" i="110"/>
  <c r="C7" i="110"/>
  <c r="C10" i="110"/>
  <c r="F79" i="109"/>
  <c r="E70" i="109"/>
  <c r="E74" i="109"/>
  <c r="E75" i="109"/>
  <c r="E71" i="109"/>
  <c r="E67" i="109"/>
  <c r="E72" i="109"/>
  <c r="E68" i="109"/>
  <c r="E73" i="109"/>
  <c r="N233" i="174" l="1"/>
  <c r="Z233" i="174" s="1"/>
  <c r="AS233" i="174" s="1"/>
  <c r="D81" i="106"/>
  <c r="C45" i="110" s="1"/>
  <c r="C8" i="110" s="1"/>
  <c r="E81" i="106"/>
  <c r="D77" i="106"/>
  <c r="C41" i="110" s="1"/>
  <c r="C4" i="110" s="1"/>
  <c r="E77" i="106"/>
  <c r="D76" i="106"/>
  <c r="C40" i="110" s="1"/>
  <c r="E76" i="106"/>
  <c r="E40" i="110" s="1"/>
  <c r="C81" i="106"/>
  <c r="B45" i="110" s="1"/>
  <c r="B8" i="110" s="1"/>
  <c r="C75" i="106"/>
  <c r="C84" i="106"/>
  <c r="B48" i="110" s="1"/>
  <c r="C77" i="106"/>
  <c r="B41" i="110" s="1"/>
  <c r="B4" i="110" s="1"/>
  <c r="C76" i="106"/>
  <c r="B40" i="110" s="1"/>
  <c r="N234" i="174" l="1"/>
  <c r="Z234" i="174" s="1"/>
  <c r="AS234" i="174" s="1"/>
  <c r="D4" i="110"/>
  <c r="E41" i="110"/>
  <c r="D8" i="110"/>
  <c r="E45" i="110"/>
  <c r="C3" i="110"/>
  <c r="D3" i="110"/>
  <c r="B39" i="110"/>
  <c r="B3" i="110"/>
  <c r="C85" i="106"/>
  <c r="C86" i="106" s="1"/>
  <c r="E76" i="109"/>
  <c r="E77" i="109" s="1"/>
  <c r="B6" i="109"/>
  <c r="C6" i="109" s="1"/>
  <c r="D6" i="109" s="1"/>
  <c r="E6" i="109" s="1"/>
  <c r="F6" i="109" l="1"/>
  <c r="G6" i="109" s="1"/>
  <c r="J6" i="109" s="1"/>
  <c r="K6" i="109" s="1"/>
  <c r="L6" i="109" s="1"/>
  <c r="M6" i="109" s="1"/>
  <c r="H6" i="109"/>
  <c r="I6" i="109" s="1"/>
  <c r="N235" i="174"/>
  <c r="Z235" i="174" s="1"/>
  <c r="AS235" i="174" s="1"/>
  <c r="N236" i="174" l="1"/>
  <c r="Z236" i="174" s="1"/>
  <c r="AS236" i="174" s="1"/>
  <c r="N237" i="174" l="1"/>
  <c r="Z237" i="174" s="1"/>
  <c r="AS237" i="174" s="1"/>
  <c r="G65" i="107"/>
  <c r="F65" i="107"/>
  <c r="E65" i="107"/>
  <c r="D65" i="107"/>
  <c r="C65" i="107"/>
  <c r="J65" i="107" s="1"/>
  <c r="E57" i="107"/>
  <c r="E56" i="107"/>
  <c r="N238" i="174" l="1"/>
  <c r="Z238" i="174" s="1"/>
  <c r="AS238" i="174" s="1"/>
  <c r="E58" i="107"/>
  <c r="E86" i="107"/>
  <c r="E115" i="107" s="1"/>
  <c r="K84" i="99"/>
  <c r="A12" i="32"/>
  <c r="T27" i="54"/>
  <c r="E66" i="98"/>
  <c r="G68" i="106"/>
  <c r="B68" i="106"/>
  <c r="G66" i="106"/>
  <c r="B66" i="106"/>
  <c r="D23" i="106"/>
  <c r="E10" i="106"/>
  <c r="J8" i="106"/>
  <c r="I8" i="106"/>
  <c r="H8" i="106"/>
  <c r="G8" i="106"/>
  <c r="F8" i="106"/>
  <c r="E8" i="106"/>
  <c r="D8" i="106"/>
  <c r="D74" i="106" s="1"/>
  <c r="C8" i="106"/>
  <c r="C74" i="106" s="1"/>
  <c r="G4" i="106"/>
  <c r="C4" i="106"/>
  <c r="M2" i="106"/>
  <c r="N239" i="174" l="1"/>
  <c r="Z239" i="174" s="1"/>
  <c r="AS239" i="174" s="1"/>
  <c r="E84" i="106"/>
  <c r="E48" i="110" s="1"/>
  <c r="E39" i="110" s="1"/>
  <c r="E9" i="106"/>
  <c r="N240" i="174" l="1"/>
  <c r="Z240" i="174" s="1"/>
  <c r="AS240" i="174" s="1"/>
  <c r="E85" i="106"/>
  <c r="D39" i="110"/>
  <c r="G8" i="115"/>
  <c r="E75" i="106"/>
  <c r="O2" i="106"/>
  <c r="V107" i="105"/>
  <c r="V108" i="105"/>
  <c r="V109" i="105"/>
  <c r="V110" i="105"/>
  <c r="V107" i="99"/>
  <c r="V108" i="99"/>
  <c r="V109" i="99"/>
  <c r="V110" i="99"/>
  <c r="V89" i="99"/>
  <c r="V89" i="105"/>
  <c r="T111" i="105"/>
  <c r="T117" i="105"/>
  <c r="U117" i="105" s="1"/>
  <c r="T118" i="105"/>
  <c r="U118" i="105" s="1"/>
  <c r="T107" i="105"/>
  <c r="U107" i="105" s="1"/>
  <c r="T108" i="105"/>
  <c r="U108" i="105" s="1"/>
  <c r="T109" i="105"/>
  <c r="U109" i="105" s="1"/>
  <c r="T110" i="105"/>
  <c r="U110" i="105" s="1"/>
  <c r="T89" i="105"/>
  <c r="U89" i="105" s="1"/>
  <c r="P231" i="105"/>
  <c r="C231" i="105"/>
  <c r="AA111" i="105"/>
  <c r="AA110" i="105"/>
  <c r="AA109" i="105"/>
  <c r="AA108" i="105"/>
  <c r="AA107" i="105"/>
  <c r="AA89" i="105"/>
  <c r="T67" i="105"/>
  <c r="T66" i="105"/>
  <c r="T65" i="105"/>
  <c r="T64" i="105"/>
  <c r="T63" i="105"/>
  <c r="T62" i="105"/>
  <c r="AD46" i="105"/>
  <c r="AC46" i="105"/>
  <c r="AB46" i="105"/>
  <c r="AA46" i="105"/>
  <c r="AD45" i="105"/>
  <c r="AC45" i="105"/>
  <c r="AB45" i="105"/>
  <c r="AA45" i="105"/>
  <c r="F220" i="99"/>
  <c r="G220" i="99"/>
  <c r="I220" i="99"/>
  <c r="J220" i="99"/>
  <c r="K220" i="99"/>
  <c r="L220" i="99"/>
  <c r="M220" i="99"/>
  <c r="O220" i="99"/>
  <c r="P220" i="99"/>
  <c r="R220" i="99"/>
  <c r="S220" i="99"/>
  <c r="F221" i="99"/>
  <c r="G221" i="99"/>
  <c r="I221" i="99"/>
  <c r="J221" i="99"/>
  <c r="K221" i="99"/>
  <c r="L221" i="99"/>
  <c r="M221" i="99"/>
  <c r="O221" i="99"/>
  <c r="P221" i="99"/>
  <c r="R221" i="99"/>
  <c r="S221" i="99"/>
  <c r="F222" i="99"/>
  <c r="G222" i="99"/>
  <c r="H222" i="99"/>
  <c r="I222" i="99"/>
  <c r="J222" i="99"/>
  <c r="K222" i="99"/>
  <c r="L222" i="99"/>
  <c r="M222" i="99"/>
  <c r="N222" i="99"/>
  <c r="O222" i="99"/>
  <c r="P222" i="99"/>
  <c r="Q222" i="99"/>
  <c r="R222" i="99"/>
  <c r="S222" i="99"/>
  <c r="G223" i="99"/>
  <c r="J223" i="99"/>
  <c r="K223" i="99"/>
  <c r="K247" i="99" s="1"/>
  <c r="L223" i="99"/>
  <c r="M223" i="99"/>
  <c r="P223" i="99"/>
  <c r="S223" i="99"/>
  <c r="F224" i="99"/>
  <c r="I224" i="99"/>
  <c r="K224" i="99"/>
  <c r="K248" i="99" s="1"/>
  <c r="L224" i="99"/>
  <c r="M224" i="99"/>
  <c r="E10" i="167" s="1"/>
  <c r="J10" i="167" s="1"/>
  <c r="O224" i="99"/>
  <c r="R224" i="99"/>
  <c r="F225" i="99"/>
  <c r="G225" i="99"/>
  <c r="H225" i="99"/>
  <c r="I225" i="99"/>
  <c r="J225" i="99"/>
  <c r="K225" i="99"/>
  <c r="L225" i="99"/>
  <c r="M225" i="99"/>
  <c r="N225" i="99"/>
  <c r="O225" i="99"/>
  <c r="P225" i="99"/>
  <c r="Q225" i="99"/>
  <c r="R225" i="99"/>
  <c r="S225" i="99"/>
  <c r="G226" i="99"/>
  <c r="J226" i="99"/>
  <c r="M226" i="99"/>
  <c r="P226" i="99"/>
  <c r="S226" i="99"/>
  <c r="F227" i="99"/>
  <c r="I227" i="99"/>
  <c r="L227" i="99"/>
  <c r="O227" i="99"/>
  <c r="R227" i="99"/>
  <c r="E222" i="99"/>
  <c r="E225" i="99"/>
  <c r="M218" i="99"/>
  <c r="M227" i="99" s="1"/>
  <c r="K218" i="99"/>
  <c r="K227" i="99" s="1"/>
  <c r="L217" i="99"/>
  <c r="L226" i="99" s="1"/>
  <c r="K217" i="99"/>
  <c r="K226" i="99" s="1"/>
  <c r="N241" i="174" l="1"/>
  <c r="Z241" i="174" s="1"/>
  <c r="AS241" i="174" s="1"/>
  <c r="E14" i="140"/>
  <c r="E14" i="136"/>
  <c r="J14" i="136" s="1"/>
  <c r="E86" i="106"/>
  <c r="AA66" i="105"/>
  <c r="AE46" i="105"/>
  <c r="U65" i="105"/>
  <c r="V106" i="105"/>
  <c r="U66" i="105"/>
  <c r="AA106" i="105"/>
  <c r="AE45" i="105"/>
  <c r="AF46" i="105"/>
  <c r="AB62" i="105"/>
  <c r="AA63" i="105"/>
  <c r="V111" i="105"/>
  <c r="AF45" i="105"/>
  <c r="U63" i="105"/>
  <c r="U64" i="105"/>
  <c r="AA44" i="105"/>
  <c r="AB65" i="105"/>
  <c r="U62" i="105"/>
  <c r="AD44" i="105"/>
  <c r="AA62" i="105"/>
  <c r="AC44" i="105"/>
  <c r="AB44" i="105"/>
  <c r="AB64" i="105"/>
  <c r="U111" i="105"/>
  <c r="AB63" i="105"/>
  <c r="AA64" i="105"/>
  <c r="AB66" i="105"/>
  <c r="N242" i="174" l="1"/>
  <c r="Z242" i="174" s="1"/>
  <c r="AS242" i="174" s="1"/>
  <c r="AA65" i="105"/>
  <c r="AE44" i="105"/>
  <c r="AF44" i="105"/>
  <c r="N243" i="174" l="1"/>
  <c r="Z243" i="174" s="1"/>
  <c r="AS243" i="174" s="1"/>
  <c r="L70" i="99"/>
  <c r="O70" i="99"/>
  <c r="R70" i="99"/>
  <c r="I70" i="99"/>
  <c r="AA45" i="99"/>
  <c r="AB45" i="99"/>
  <c r="AC45" i="99"/>
  <c r="AD45" i="99"/>
  <c r="AA46" i="99"/>
  <c r="AB46" i="99"/>
  <c r="AC46" i="99"/>
  <c r="AD46" i="99"/>
  <c r="F70" i="99"/>
  <c r="D58" i="145" s="1"/>
  <c r="E66" i="99"/>
  <c r="O33" i="188" s="1"/>
  <c r="E63" i="99"/>
  <c r="O30" i="188" s="1"/>
  <c r="E64" i="99"/>
  <c r="O31" i="188" s="1"/>
  <c r="E62" i="99"/>
  <c r="O29" i="188" s="1"/>
  <c r="Q44" i="99"/>
  <c r="O32" i="145" s="1"/>
  <c r="N44" i="99"/>
  <c r="L32" i="145" s="1"/>
  <c r="K44" i="99"/>
  <c r="I32" i="145" s="1"/>
  <c r="H44" i="99"/>
  <c r="E44" i="99"/>
  <c r="O11" i="188" s="1"/>
  <c r="D21" i="98"/>
  <c r="R65" i="99"/>
  <c r="R199" i="99" s="1"/>
  <c r="O65" i="99"/>
  <c r="O199" i="99" s="1"/>
  <c r="L65" i="99"/>
  <c r="L199" i="99" s="1"/>
  <c r="I65" i="99"/>
  <c r="I199" i="99" s="1"/>
  <c r="G65" i="99"/>
  <c r="M128" i="99"/>
  <c r="K128" i="99"/>
  <c r="L127" i="99"/>
  <c r="K127" i="99"/>
  <c r="AA107" i="99"/>
  <c r="AA108" i="99"/>
  <c r="AA109" i="99"/>
  <c r="AA110" i="99"/>
  <c r="AA89" i="99"/>
  <c r="F106" i="99"/>
  <c r="T89" i="99"/>
  <c r="U89" i="99" s="1"/>
  <c r="T107" i="99"/>
  <c r="T108" i="99"/>
  <c r="T109" i="99"/>
  <c r="T110" i="99"/>
  <c r="T111" i="99"/>
  <c r="T117" i="99"/>
  <c r="T118" i="99"/>
  <c r="L94" i="99"/>
  <c r="L184" i="99" s="1"/>
  <c r="L102" i="99"/>
  <c r="L192" i="99" s="1"/>
  <c r="O94" i="99"/>
  <c r="O184" i="99" s="1"/>
  <c r="O102" i="99"/>
  <c r="O192" i="99" s="1"/>
  <c r="R94" i="99"/>
  <c r="R184" i="99" s="1"/>
  <c r="R102" i="99"/>
  <c r="R192" i="99" s="1"/>
  <c r="F102" i="99"/>
  <c r="I102" i="99"/>
  <c r="I192" i="99" s="1"/>
  <c r="D92" i="103"/>
  <c r="B92" i="103"/>
  <c r="C89" i="103"/>
  <c r="C88" i="103"/>
  <c r="C86" i="103"/>
  <c r="B70" i="103"/>
  <c r="C69" i="103"/>
  <c r="G63" i="103"/>
  <c r="B63" i="103"/>
  <c r="G61" i="103"/>
  <c r="B61" i="103"/>
  <c r="W42" i="103"/>
  <c r="W25" i="103"/>
  <c r="E9" i="103"/>
  <c r="F7" i="103"/>
  <c r="E7" i="103"/>
  <c r="D7" i="103"/>
  <c r="H3" i="103"/>
  <c r="C3" i="103"/>
  <c r="G68" i="102"/>
  <c r="B68" i="102"/>
  <c r="G66" i="102"/>
  <c r="B66" i="102"/>
  <c r="E9" i="102"/>
  <c r="C9" i="102"/>
  <c r="C84" i="102" s="1"/>
  <c r="F7" i="102"/>
  <c r="E7" i="102"/>
  <c r="D7" i="102"/>
  <c r="H3" i="102"/>
  <c r="C3" i="102"/>
  <c r="G27" i="101"/>
  <c r="B27" i="101"/>
  <c r="G25" i="101"/>
  <c r="K3" i="101"/>
  <c r="G3" i="101"/>
  <c r="F98" i="99"/>
  <c r="F94" i="99"/>
  <c r="I94" i="99"/>
  <c r="I184" i="99" s="1"/>
  <c r="E111" i="99"/>
  <c r="I29" i="188" s="1"/>
  <c r="J29" i="188" s="1"/>
  <c r="C14" i="110"/>
  <c r="C1" i="110" s="1"/>
  <c r="K1" i="110" s="1"/>
  <c r="G86" i="100"/>
  <c r="B86" i="100"/>
  <c r="G84" i="100"/>
  <c r="B84" i="100"/>
  <c r="J7" i="100"/>
  <c r="I7" i="100"/>
  <c r="H7" i="100"/>
  <c r="G7" i="100"/>
  <c r="F7" i="100"/>
  <c r="E7" i="100"/>
  <c r="E94" i="100" s="1"/>
  <c r="E14" i="110" s="1"/>
  <c r="E1" i="110" s="1"/>
  <c r="M1" i="110" s="1"/>
  <c r="D3" i="173" s="1"/>
  <c r="D7" i="100"/>
  <c r="H4" i="100"/>
  <c r="D4" i="100"/>
  <c r="P234" i="99"/>
  <c r="C234" i="99"/>
  <c r="D43" i="98"/>
  <c r="E43" i="98" s="1"/>
  <c r="D41" i="98"/>
  <c r="E41" i="98" s="1"/>
  <c r="F41" i="98" s="1"/>
  <c r="G41" i="98" s="1"/>
  <c r="H41" i="98" s="1"/>
  <c r="I41" i="98" s="1"/>
  <c r="F199" i="99" l="1"/>
  <c r="F192" i="99"/>
  <c r="J18" i="112"/>
  <c r="R11" i="188"/>
  <c r="U11" i="188" s="1"/>
  <c r="F184" i="99"/>
  <c r="N244" i="174"/>
  <c r="Z244" i="174" s="1"/>
  <c r="AS244" i="174" s="1"/>
  <c r="B60" i="110"/>
  <c r="B51" i="110" s="1"/>
  <c r="C75" i="102"/>
  <c r="E8" i="102"/>
  <c r="Q2" i="102" s="1"/>
  <c r="E84" i="102"/>
  <c r="D27" i="110"/>
  <c r="I36" i="112"/>
  <c r="N36" i="112" s="1"/>
  <c r="C50" i="145"/>
  <c r="I18" i="112"/>
  <c r="C32" i="145"/>
  <c r="I40" i="112"/>
  <c r="N40" i="112" s="1"/>
  <c r="C54" i="145"/>
  <c r="V111" i="99"/>
  <c r="C99" i="145"/>
  <c r="I37" i="112"/>
  <c r="N37" i="112" s="1"/>
  <c r="C51" i="145"/>
  <c r="I38" i="112"/>
  <c r="N38" i="112" s="1"/>
  <c r="C52" i="145"/>
  <c r="K18" i="112"/>
  <c r="M18" i="112"/>
  <c r="L18" i="112"/>
  <c r="C8" i="102"/>
  <c r="C4" i="115"/>
  <c r="C104" i="100"/>
  <c r="G157" i="99"/>
  <c r="D50" i="146" s="1"/>
  <c r="AA63" i="99"/>
  <c r="AB64" i="99"/>
  <c r="AC44" i="99"/>
  <c r="AB62" i="99"/>
  <c r="AF46" i="99"/>
  <c r="G156" i="99"/>
  <c r="AB44" i="99"/>
  <c r="U111" i="99"/>
  <c r="AF45" i="99"/>
  <c r="AE46" i="99"/>
  <c r="AE45" i="99"/>
  <c r="U66" i="99"/>
  <c r="AB63" i="99"/>
  <c r="AD44" i="99"/>
  <c r="U62" i="99"/>
  <c r="AA66" i="99"/>
  <c r="AA64" i="99"/>
  <c r="AA62" i="99"/>
  <c r="AA44" i="99"/>
  <c r="AB66" i="99"/>
  <c r="U64" i="99"/>
  <c r="U63" i="99"/>
  <c r="E65" i="99"/>
  <c r="O32" i="188" s="1"/>
  <c r="AA111" i="99"/>
  <c r="N245" i="174" l="1"/>
  <c r="Z245" i="174" s="1"/>
  <c r="AS245" i="174" s="1"/>
  <c r="AE44" i="99"/>
  <c r="G9" i="115"/>
  <c r="C85" i="102"/>
  <c r="D51" i="110"/>
  <c r="E75" i="102"/>
  <c r="E85" i="102" s="1"/>
  <c r="B27" i="110"/>
  <c r="I39" i="112"/>
  <c r="N39" i="112" s="1"/>
  <c r="C53" i="145"/>
  <c r="C105" i="100"/>
  <c r="B24" i="110"/>
  <c r="O2" i="102"/>
  <c r="C9" i="115"/>
  <c r="C95" i="100"/>
  <c r="AF44" i="99"/>
  <c r="AB65" i="99"/>
  <c r="U65" i="99"/>
  <c r="AA65" i="99"/>
  <c r="N246" i="174" l="1"/>
  <c r="Z246" i="174" s="1"/>
  <c r="AS246" i="174" s="1"/>
  <c r="N247" i="174"/>
  <c r="Z247" i="174" s="1"/>
  <c r="AS247" i="174" s="1"/>
  <c r="C106" i="100"/>
  <c r="B15" i="110"/>
  <c r="B58" i="21" l="1"/>
  <c r="H53" i="69" l="1"/>
  <c r="H52" i="69"/>
  <c r="H50" i="69"/>
  <c r="H49" i="69"/>
  <c r="H48" i="69"/>
  <c r="H47" i="69"/>
  <c r="H45" i="69"/>
  <c r="H44" i="69"/>
  <c r="H43" i="69"/>
  <c r="H42" i="69"/>
  <c r="H40" i="69"/>
  <c r="H39" i="69"/>
  <c r="H38" i="69"/>
  <c r="H37" i="69"/>
  <c r="G35" i="69"/>
  <c r="H34" i="69"/>
  <c r="H33" i="69"/>
  <c r="H32" i="69"/>
  <c r="H30" i="69"/>
  <c r="F16" i="162" s="1"/>
  <c r="G30" i="69"/>
  <c r="H29" i="69"/>
  <c r="H28" i="69"/>
  <c r="H27" i="69"/>
  <c r="H25" i="69"/>
  <c r="G25" i="69"/>
  <c r="H24" i="69"/>
  <c r="H23" i="69"/>
  <c r="H22" i="69"/>
  <c r="H20" i="69"/>
  <c r="G20" i="69"/>
  <c r="H18" i="69"/>
  <c r="H17" i="69"/>
  <c r="H15" i="69"/>
  <c r="F28" i="159" s="1"/>
  <c r="F28" i="160" s="1"/>
  <c r="H14" i="69"/>
  <c r="J21" i="69" s="1"/>
  <c r="H12" i="69"/>
  <c r="H10" i="69"/>
  <c r="F30" i="84" s="1"/>
  <c r="F30" i="100" s="1"/>
  <c r="L8" i="101" l="1"/>
  <c r="L8" i="186"/>
  <c r="H17" i="157"/>
  <c r="AD30" i="174"/>
  <c r="M26" i="179"/>
  <c r="AC30" i="174"/>
  <c r="M25" i="179"/>
  <c r="AQ30" i="174"/>
  <c r="AP30" i="174" s="1"/>
  <c r="K8" i="186"/>
  <c r="J64" i="69"/>
  <c r="F15" i="162"/>
  <c r="M18" i="179"/>
  <c r="E17" i="157"/>
  <c r="AN30" i="174"/>
  <c r="J8" i="186"/>
  <c r="M14" i="179"/>
  <c r="AL30" i="174"/>
  <c r="M10" i="179"/>
  <c r="I14" i="69"/>
  <c r="H64" i="69"/>
  <c r="I64" i="69"/>
  <c r="H65" i="69"/>
  <c r="G17" i="157"/>
  <c r="H10" i="176"/>
  <c r="K12" i="176" s="1"/>
  <c r="F17" i="157"/>
  <c r="F27" i="159"/>
  <c r="D17" i="157"/>
  <c r="F30" i="159"/>
  <c r="I10" i="124"/>
  <c r="H46" i="69"/>
  <c r="AC32" i="174" s="1"/>
  <c r="K8" i="101"/>
  <c r="G18" i="120"/>
  <c r="H66" i="69"/>
  <c r="H31" i="69"/>
  <c r="AQ32" i="174" s="1"/>
  <c r="AP32" i="174" s="1"/>
  <c r="H26" i="69"/>
  <c r="AN32" i="174" s="1"/>
  <c r="H41" i="69"/>
  <c r="H16" i="69"/>
  <c r="AL32" i="174" s="1"/>
  <c r="H36" i="69"/>
  <c r="H51" i="69"/>
  <c r="H21" i="69"/>
  <c r="AJ32" i="174" s="1"/>
  <c r="J8" i="101"/>
  <c r="D58" i="21"/>
  <c r="H55" i="69"/>
  <c r="J55" i="69" s="1"/>
  <c r="C6" i="97"/>
  <c r="AE30" i="174" l="1"/>
  <c r="AB30" i="174" s="1"/>
  <c r="AA30" i="174" s="1"/>
  <c r="N26" i="179"/>
  <c r="AD32" i="174"/>
  <c r="J10" i="124"/>
  <c r="K64" i="69"/>
  <c r="J65" i="69"/>
  <c r="I65" i="69"/>
  <c r="J66" i="69"/>
  <c r="I66" i="69"/>
  <c r="H12" i="176"/>
  <c r="H11" i="176" s="1"/>
  <c r="N18" i="179"/>
  <c r="L18" i="179" s="1"/>
  <c r="G18" i="157"/>
  <c r="N25" i="179"/>
  <c r="E18" i="157"/>
  <c r="N14" i="179"/>
  <c r="L14" i="179" s="1"/>
  <c r="N10" i="179"/>
  <c r="L10" i="179" s="1"/>
  <c r="B17" i="157"/>
  <c r="D89" i="159"/>
  <c r="H89" i="159" s="1"/>
  <c r="F27" i="160"/>
  <c r="F28" i="110" s="1"/>
  <c r="F30" i="160"/>
  <c r="F29" i="110" s="1"/>
  <c r="D90" i="159"/>
  <c r="H90" i="159" s="1"/>
  <c r="F18" i="157"/>
  <c r="F19" i="162"/>
  <c r="D18" i="157"/>
  <c r="S23" i="102"/>
  <c r="H18" i="157"/>
  <c r="F56" i="78"/>
  <c r="C39" i="108"/>
  <c r="G39" i="108"/>
  <c r="I12" i="124"/>
  <c r="H63" i="69"/>
  <c r="G21" i="120"/>
  <c r="G58" i="22"/>
  <c r="G84" i="22" s="1"/>
  <c r="H74" i="98"/>
  <c r="G83" i="22"/>
  <c r="G74" i="98"/>
  <c r="G55" i="22"/>
  <c r="G82" i="22" s="1"/>
  <c r="K65" i="69" l="1"/>
  <c r="K66" i="69"/>
  <c r="J12" i="124"/>
  <c r="X55" i="102"/>
  <c r="F55" i="102"/>
  <c r="Y55" i="102" l="1"/>
  <c r="E61" i="22"/>
  <c r="I74" i="98" l="1"/>
  <c r="G59" i="22"/>
  <c r="G85" i="22" s="1"/>
  <c r="E32" i="22"/>
  <c r="E23" i="22"/>
  <c r="F47" i="93" l="1"/>
  <c r="B47" i="93"/>
  <c r="E66" i="92"/>
  <c r="B66" i="92"/>
  <c r="E60" i="92"/>
  <c r="D60" i="92"/>
  <c r="E59" i="92"/>
  <c r="D59" i="92"/>
  <c r="E58" i="92"/>
  <c r="D58" i="92"/>
  <c r="E57" i="92"/>
  <c r="D57" i="92"/>
  <c r="E54" i="92"/>
  <c r="D54" i="92"/>
  <c r="E51" i="92"/>
  <c r="E50" i="92" s="1"/>
  <c r="D51" i="92"/>
  <c r="D50" i="92" s="1"/>
  <c r="E39" i="92"/>
  <c r="D39" i="92"/>
  <c r="G31" i="92"/>
  <c r="D24" i="188" s="1"/>
  <c r="F24" i="188" s="1"/>
  <c r="E31" i="92"/>
  <c r="D31" i="92"/>
  <c r="E27" i="92"/>
  <c r="D27" i="92"/>
  <c r="E23" i="92"/>
  <c r="E11" i="92" s="1"/>
  <c r="D23" i="92"/>
  <c r="D11" i="92" s="1"/>
  <c r="F9" i="92"/>
  <c r="E9" i="92"/>
  <c r="E51" i="61"/>
  <c r="D51" i="61"/>
  <c r="E54" i="61"/>
  <c r="D54" i="61"/>
  <c r="E60" i="61"/>
  <c r="D60" i="61"/>
  <c r="E59" i="61"/>
  <c r="D59" i="61"/>
  <c r="E58" i="61"/>
  <c r="D58" i="61"/>
  <c r="E57" i="61"/>
  <c r="D57" i="61"/>
  <c r="T106" i="105" l="1"/>
  <c r="U106" i="105" s="1"/>
  <c r="E56" i="92"/>
  <c r="E53" i="92" s="1"/>
  <c r="D56" i="92"/>
  <c r="D53" i="92" s="1"/>
  <c r="F47" i="127" l="1"/>
  <c r="D37" i="92"/>
  <c r="D45" i="92" s="1"/>
  <c r="D46" i="92" s="1"/>
  <c r="G68" i="83" l="1"/>
  <c r="B68" i="83"/>
  <c r="G66" i="83"/>
  <c r="B66" i="83"/>
  <c r="G69" i="78"/>
  <c r="B69" i="78"/>
  <c r="G67" i="78"/>
  <c r="B67" i="78"/>
  <c r="G65" i="66"/>
  <c r="G63" i="66"/>
  <c r="G87" i="84" l="1"/>
  <c r="G85" i="84"/>
  <c r="G27" i="90"/>
  <c r="G25" i="90"/>
  <c r="N21" i="67"/>
  <c r="H53" i="63"/>
  <c r="N23" i="67"/>
  <c r="O3" i="67"/>
  <c r="J3" i="67"/>
  <c r="H4" i="69"/>
  <c r="E4" i="69"/>
  <c r="I28" i="75"/>
  <c r="F28" i="75"/>
  <c r="G4" i="75"/>
  <c r="C4" i="75"/>
  <c r="D4" i="77"/>
  <c r="E53" i="76"/>
  <c r="B53" i="76"/>
  <c r="H4" i="82"/>
  <c r="C4" i="82"/>
  <c r="N26" i="88"/>
  <c r="H26" i="88"/>
  <c r="N3" i="88"/>
  <c r="H3" i="88"/>
  <c r="J58" i="55" l="1"/>
  <c r="I58" i="55"/>
  <c r="V55" i="55" l="1"/>
  <c r="U55" i="55"/>
  <c r="R55" i="55"/>
  <c r="Q55" i="55"/>
  <c r="N55" i="55"/>
  <c r="M55" i="55"/>
  <c r="J55" i="55"/>
  <c r="I55" i="55"/>
  <c r="G33" i="55"/>
  <c r="E33" i="55"/>
  <c r="F37" i="55"/>
  <c r="G37" i="55"/>
  <c r="E37" i="55"/>
  <c r="F33" i="55"/>
  <c r="F29" i="55"/>
  <c r="G29" i="55"/>
  <c r="E29" i="55"/>
  <c r="F27" i="55"/>
  <c r="F26" i="55"/>
  <c r="F24" i="55"/>
  <c r="F22" i="55"/>
  <c r="F18" i="55"/>
  <c r="G18" i="55"/>
  <c r="E18" i="55"/>
  <c r="M19" i="55"/>
  <c r="N19" i="55"/>
  <c r="P19" i="55"/>
  <c r="F18" i="112" s="1"/>
  <c r="P18" i="112" s="1"/>
  <c r="Q19" i="55"/>
  <c r="R19" i="55"/>
  <c r="T19" i="55"/>
  <c r="G18" i="112" s="1"/>
  <c r="Q18" i="112" s="1"/>
  <c r="U19" i="55"/>
  <c r="V19" i="55"/>
  <c r="X19" i="55"/>
  <c r="H18" i="112" s="1"/>
  <c r="R18" i="112" s="1"/>
  <c r="I19" i="55"/>
  <c r="J19" i="55"/>
  <c r="L19" i="55"/>
  <c r="E15" i="55"/>
  <c r="F15" i="55"/>
  <c r="G15" i="55"/>
  <c r="E16" i="55"/>
  <c r="F16" i="55"/>
  <c r="G16" i="55"/>
  <c r="E17" i="55"/>
  <c r="F17" i="55"/>
  <c r="G17" i="55"/>
  <c r="Q11" i="188" l="1"/>
  <c r="T11" i="188" s="1"/>
  <c r="E18" i="112"/>
  <c r="O18" i="112" s="1"/>
  <c r="E14" i="55"/>
  <c r="G14" i="55"/>
  <c r="F14" i="55"/>
  <c r="X10" i="55" l="1"/>
  <c r="W10" i="55"/>
  <c r="V10" i="55"/>
  <c r="T10" i="55"/>
  <c r="S10" i="55"/>
  <c r="R10" i="55"/>
  <c r="P10" i="55"/>
  <c r="O10" i="55"/>
  <c r="N10" i="55"/>
  <c r="L10" i="55"/>
  <c r="K10" i="55"/>
  <c r="J10" i="55"/>
  <c r="H10" i="55"/>
  <c r="G10" i="55"/>
  <c r="F10" i="55"/>
  <c r="I3" i="63"/>
  <c r="E3" i="63"/>
  <c r="E46" i="57"/>
  <c r="E45" i="57"/>
  <c r="E44" i="57"/>
  <c r="E43" i="57"/>
  <c r="D46" i="57"/>
  <c r="D45" i="57"/>
  <c r="D44" i="57"/>
  <c r="D43" i="57"/>
  <c r="E16" i="57" l="1"/>
  <c r="E15" i="57"/>
  <c r="F15" i="57"/>
  <c r="E13" i="57"/>
  <c r="F13" i="57"/>
  <c r="D13" i="57"/>
  <c r="B27" i="90"/>
  <c r="B25" i="90"/>
  <c r="K3" i="90"/>
  <c r="G3" i="90"/>
  <c r="L8" i="90"/>
  <c r="K8" i="90"/>
  <c r="J8" i="90"/>
  <c r="F21" i="83"/>
  <c r="F18" i="83"/>
  <c r="D94" i="66"/>
  <c r="B94" i="66"/>
  <c r="C11" i="135" l="1"/>
  <c r="C119" i="150" s="1"/>
  <c r="F21" i="106"/>
  <c r="Q18" i="106"/>
  <c r="F18" i="106"/>
  <c r="Q21" i="106"/>
  <c r="D74" i="83"/>
  <c r="G13" i="57"/>
  <c r="L16" i="109" l="1"/>
  <c r="E132" i="105"/>
  <c r="J17" i="171"/>
  <c r="C80" i="166"/>
  <c r="C80" i="165"/>
  <c r="E132" i="99"/>
  <c r="F76" i="106"/>
  <c r="C54" i="108"/>
  <c r="H74" i="83"/>
  <c r="G54" i="108" s="1"/>
  <c r="F21" i="66"/>
  <c r="G132" i="105" l="1"/>
  <c r="G76" i="106"/>
  <c r="F40" i="110"/>
  <c r="V21" i="103"/>
  <c r="F21" i="103"/>
  <c r="F96" i="103" s="1"/>
  <c r="F26" i="84"/>
  <c r="F26" i="100" s="1"/>
  <c r="AF26" i="174" s="1"/>
  <c r="AE26" i="174" s="1"/>
  <c r="AB26" i="174" s="1"/>
  <c r="F13" i="83"/>
  <c r="AN21" i="174" s="1"/>
  <c r="F49" i="78"/>
  <c r="O8" i="88"/>
  <c r="G21" i="157" s="1"/>
  <c r="R19" i="88"/>
  <c r="R18" i="88"/>
  <c r="R17" i="88"/>
  <c r="R16" i="88"/>
  <c r="R15" i="88"/>
  <c r="R13" i="88"/>
  <c r="R12" i="88"/>
  <c r="R11" i="88"/>
  <c r="R9" i="88"/>
  <c r="W21" i="103" l="1"/>
  <c r="Q13" i="106"/>
  <c r="F13" i="106"/>
  <c r="X48" i="102"/>
  <c r="F48" i="102"/>
  <c r="M57" i="100"/>
  <c r="M26" i="100"/>
  <c r="O26" i="100" s="1"/>
  <c r="X19" i="102"/>
  <c r="G8" i="88"/>
  <c r="E8" i="88"/>
  <c r="R31" i="88"/>
  <c r="R10" i="88"/>
  <c r="R14" i="88"/>
  <c r="R8" i="88" l="1"/>
  <c r="C21" i="157"/>
  <c r="B21" i="157" s="1"/>
  <c r="I21" i="157" s="1"/>
  <c r="F41" i="84"/>
  <c r="F40" i="159"/>
  <c r="F39" i="160" s="1"/>
  <c r="D21" i="157"/>
  <c r="Y48" i="102"/>
  <c r="O57" i="100"/>
  <c r="M28" i="100"/>
  <c r="O28" i="100" s="1"/>
  <c r="Y19" i="102"/>
  <c r="V19" i="103"/>
  <c r="O78" i="100"/>
  <c r="F41" i="100"/>
  <c r="F47" i="100"/>
  <c r="M47" i="100" l="1"/>
  <c r="M41" i="100"/>
  <c r="W19" i="103"/>
  <c r="F22" i="84"/>
  <c r="F22" i="100" s="1"/>
  <c r="AF22" i="174" s="1"/>
  <c r="AE22" i="174" s="1"/>
  <c r="AB22" i="174" s="1"/>
  <c r="O47" i="100" l="1"/>
  <c r="M22" i="100"/>
  <c r="O22" i="100" s="1"/>
  <c r="O41" i="100"/>
  <c r="E11" i="84"/>
  <c r="E11" i="100" s="1"/>
  <c r="F51" i="78"/>
  <c r="X50" i="102" l="1"/>
  <c r="F50" i="102"/>
  <c r="O3" i="87"/>
  <c r="I3" i="87"/>
  <c r="P24" i="87"/>
  <c r="N24" i="87"/>
  <c r="L24" i="87"/>
  <c r="L25" i="87" s="1"/>
  <c r="J24" i="87"/>
  <c r="J25" i="87" s="1"/>
  <c r="F25" i="157" s="1"/>
  <c r="H24" i="87"/>
  <c r="F24" i="87"/>
  <c r="F25" i="87" s="1"/>
  <c r="AH99" i="174" s="1"/>
  <c r="D24" i="87"/>
  <c r="D25" i="87" s="1"/>
  <c r="R23" i="87"/>
  <c r="R24" i="87" s="1"/>
  <c r="R21" i="87"/>
  <c r="R22" i="87" s="1"/>
  <c r="S20" i="87"/>
  <c r="P25" i="87"/>
  <c r="N25" i="87"/>
  <c r="H25" i="87"/>
  <c r="E25" i="157" s="1"/>
  <c r="G25" i="157" l="1"/>
  <c r="AC99" i="174"/>
  <c r="C25" i="157"/>
  <c r="AF99" i="174"/>
  <c r="AE99" i="174" s="1"/>
  <c r="AB99" i="174" s="1"/>
  <c r="AA99" i="174" s="1"/>
  <c r="H25" i="157"/>
  <c r="AD99" i="174"/>
  <c r="Y50" i="102"/>
  <c r="F44" i="159"/>
  <c r="F43" i="160" s="1"/>
  <c r="D25" i="157"/>
  <c r="R25" i="87"/>
  <c r="F34" i="66"/>
  <c r="F45" i="84"/>
  <c r="F45" i="100" s="1"/>
  <c r="F35" i="78"/>
  <c r="BM99" i="174" l="1"/>
  <c r="B25" i="157"/>
  <c r="I25" i="157"/>
  <c r="V34" i="103"/>
  <c r="F34" i="103"/>
  <c r="X35" i="102"/>
  <c r="F35" i="102"/>
  <c r="M45" i="100"/>
  <c r="S19" i="87"/>
  <c r="B72" i="66"/>
  <c r="C71" i="66"/>
  <c r="B65" i="66"/>
  <c r="B63" i="66"/>
  <c r="H6" i="77"/>
  <c r="F3" i="77"/>
  <c r="Y35" i="102" l="1"/>
  <c r="W34" i="103"/>
  <c r="O45" i="100"/>
  <c r="R9" i="85"/>
  <c r="M9" i="85"/>
  <c r="E37" i="98" l="1"/>
  <c r="X30" i="102" l="1"/>
  <c r="Y30" i="102" s="1"/>
  <c r="F66" i="127" l="1"/>
  <c r="F25" i="55" l="1"/>
  <c r="F28" i="55" s="1"/>
  <c r="F71" i="84"/>
  <c r="C45" i="108" l="1"/>
  <c r="G45" i="108"/>
  <c r="F71" i="100"/>
  <c r="D73" i="109" s="1"/>
  <c r="H73" i="109" s="1"/>
  <c r="M71" i="100"/>
  <c r="D107" i="84"/>
  <c r="F21" i="84"/>
  <c r="F21" i="100" s="1"/>
  <c r="AF21" i="174" s="1"/>
  <c r="AE21" i="174" s="1"/>
  <c r="AB21" i="174" s="1"/>
  <c r="F20" i="84"/>
  <c r="F20" i="100" s="1"/>
  <c r="AF20" i="174" s="1"/>
  <c r="AE20" i="174" s="1"/>
  <c r="AB20" i="174" s="1"/>
  <c r="M40" i="100" l="1"/>
  <c r="H107" i="84"/>
  <c r="G29" i="108" s="1"/>
  <c r="C29" i="108"/>
  <c r="H14" i="108" s="1"/>
  <c r="M21" i="100"/>
  <c r="O21" i="100" s="1"/>
  <c r="M20" i="100"/>
  <c r="O20" i="100" s="1"/>
  <c r="O71" i="100"/>
  <c r="F102" i="100"/>
  <c r="F22" i="110" s="1"/>
  <c r="C66" i="127"/>
  <c r="H66" i="127" s="1"/>
  <c r="C47" i="127"/>
  <c r="H47" i="127" s="1"/>
  <c r="B87" i="84"/>
  <c r="B85" i="84"/>
  <c r="E31" i="84"/>
  <c r="E31" i="100" s="1"/>
  <c r="E104" i="100" s="1"/>
  <c r="E24" i="110" s="1"/>
  <c r="E15" i="110" s="1"/>
  <c r="J8" i="84"/>
  <c r="I8" i="84"/>
  <c r="H8" i="84"/>
  <c r="G8" i="84"/>
  <c r="F8" i="84"/>
  <c r="E8" i="84"/>
  <c r="D8" i="84"/>
  <c r="H4" i="84"/>
  <c r="D4" i="84"/>
  <c r="D24" i="66"/>
  <c r="D24" i="103" s="1"/>
  <c r="E24" i="66"/>
  <c r="E24" i="103" s="1"/>
  <c r="D20" i="66"/>
  <c r="D20" i="103" s="1"/>
  <c r="E20" i="66"/>
  <c r="E20" i="103" s="1"/>
  <c r="N11" i="66"/>
  <c r="N11" i="103" s="1"/>
  <c r="N14" i="66"/>
  <c r="N14" i="103" s="1"/>
  <c r="N19" i="66"/>
  <c r="N19" i="103" s="1"/>
  <c r="N26" i="66"/>
  <c r="N26" i="103" s="1"/>
  <c r="N29" i="66"/>
  <c r="N29" i="103" s="1"/>
  <c r="N30" i="66"/>
  <c r="N30" i="103" s="1"/>
  <c r="N31" i="66"/>
  <c r="N31" i="103" s="1"/>
  <c r="N32" i="66"/>
  <c r="N32" i="103" s="1"/>
  <c r="N33" i="66"/>
  <c r="N33" i="103" s="1"/>
  <c r="N34" i="66"/>
  <c r="N34" i="103" s="1"/>
  <c r="N35" i="66"/>
  <c r="N35" i="103" s="1"/>
  <c r="N38" i="66"/>
  <c r="N37" i="103" s="1"/>
  <c r="N45" i="66"/>
  <c r="N44" i="103" s="1"/>
  <c r="N46" i="66"/>
  <c r="N45" i="103" s="1"/>
  <c r="N48" i="66"/>
  <c r="N47" i="103" s="1"/>
  <c r="N51" i="66"/>
  <c r="N50" i="103" s="1"/>
  <c r="N55" i="66"/>
  <c r="N54" i="103" s="1"/>
  <c r="N60" i="66"/>
  <c r="N58" i="103" s="1"/>
  <c r="E105" i="100" l="1"/>
  <c r="O40" i="100"/>
  <c r="J14" i="108"/>
  <c r="I14" i="108"/>
  <c r="E10" i="84"/>
  <c r="D15" i="110" l="1"/>
  <c r="F111" i="84"/>
  <c r="E101" i="84" s="1"/>
  <c r="E10" i="100"/>
  <c r="F4" i="115"/>
  <c r="B117" i="21"/>
  <c r="B110" i="21"/>
  <c r="B111" i="21"/>
  <c r="F47" i="78"/>
  <c r="B105" i="21"/>
  <c r="B114" i="21" s="1"/>
  <c r="B106" i="21"/>
  <c r="B115" i="21" s="1"/>
  <c r="E98" i="21"/>
  <c r="F98" i="21"/>
  <c r="G98" i="21"/>
  <c r="H98" i="21"/>
  <c r="I98" i="21"/>
  <c r="J98" i="21"/>
  <c r="K98" i="21"/>
  <c r="L98" i="21"/>
  <c r="M98" i="21"/>
  <c r="N98" i="21"/>
  <c r="O98" i="21"/>
  <c r="P98" i="21"/>
  <c r="D100" i="21"/>
  <c r="E130" i="21" s="1"/>
  <c r="E131" i="21" s="1"/>
  <c r="D16" i="57"/>
  <c r="D15" i="57"/>
  <c r="F8" i="83"/>
  <c r="E8" i="83"/>
  <c r="D8" i="83"/>
  <c r="G4" i="83"/>
  <c r="C4" i="83"/>
  <c r="D23" i="83"/>
  <c r="E14" i="57" s="1"/>
  <c r="E17" i="57" s="1"/>
  <c r="D14" i="57"/>
  <c r="X46" i="102" l="1"/>
  <c r="F46" i="102"/>
  <c r="F130" i="21"/>
  <c r="F131" i="21" s="1"/>
  <c r="E276" i="21"/>
  <c r="E103" i="84"/>
  <c r="D25" i="108" s="1"/>
  <c r="F109" i="84"/>
  <c r="E31" i="108" s="1"/>
  <c r="E105" i="84"/>
  <c r="D27" i="108" s="1"/>
  <c r="E106" i="84"/>
  <c r="D28" i="108" s="1"/>
  <c r="E108" i="84"/>
  <c r="D30" i="108" s="1"/>
  <c r="E33" i="108"/>
  <c r="E110" i="84"/>
  <c r="D32" i="108" s="1"/>
  <c r="E104" i="84"/>
  <c r="D26" i="108" s="1"/>
  <c r="E102" i="84"/>
  <c r="D24" i="108" s="1"/>
  <c r="G4" i="115"/>
  <c r="E95" i="100"/>
  <c r="E106" i="100" s="1"/>
  <c r="E107" i="84"/>
  <c r="D29" i="108" s="1"/>
  <c r="D23" i="108"/>
  <c r="E109" i="84"/>
  <c r="D31" i="108" s="1"/>
  <c r="D195" i="21"/>
  <c r="D17" i="57"/>
  <c r="N43" i="66"/>
  <c r="N42" i="103" s="1"/>
  <c r="F16" i="57"/>
  <c r="F22" i="83"/>
  <c r="Y46" i="102" l="1"/>
  <c r="G130" i="21"/>
  <c r="G131" i="21" s="1"/>
  <c r="F276" i="21"/>
  <c r="Q22" i="106"/>
  <c r="F22" i="106"/>
  <c r="E111" i="84"/>
  <c r="D33" i="108" s="1"/>
  <c r="E23" i="83"/>
  <c r="F24" i="83"/>
  <c r="G276" i="21" l="1"/>
  <c r="H130" i="21"/>
  <c r="H131" i="21" s="1"/>
  <c r="C13" i="135"/>
  <c r="C121" i="150" s="1"/>
  <c r="F24" i="106"/>
  <c r="F14" i="57"/>
  <c r="F17" i="57" s="1"/>
  <c r="P23" i="106"/>
  <c r="Q24" i="106"/>
  <c r="D75" i="83"/>
  <c r="G15" i="57"/>
  <c r="E10" i="83"/>
  <c r="J8" i="83"/>
  <c r="I8" i="83"/>
  <c r="H8" i="83"/>
  <c r="G8" i="83"/>
  <c r="D12" i="57"/>
  <c r="L18" i="109" l="1"/>
  <c r="E134" i="105"/>
  <c r="J19" i="171"/>
  <c r="C82" i="166"/>
  <c r="C82" i="165"/>
  <c r="I130" i="21"/>
  <c r="I131" i="21" s="1"/>
  <c r="H276" i="21"/>
  <c r="F12" i="57"/>
  <c r="P10" i="106"/>
  <c r="E134" i="99"/>
  <c r="F77" i="106"/>
  <c r="H75" i="83"/>
  <c r="G55" i="108" s="1"/>
  <c r="C55" i="108"/>
  <c r="M2" i="83"/>
  <c r="E9" i="83"/>
  <c r="G134" i="105" l="1"/>
  <c r="J130" i="21"/>
  <c r="J131" i="21" s="1"/>
  <c r="I276" i="21"/>
  <c r="F41" i="110"/>
  <c r="G77" i="106"/>
  <c r="F84" i="83"/>
  <c r="E80" i="83" s="1"/>
  <c r="D60" i="108" s="1"/>
  <c r="P9" i="106"/>
  <c r="E77" i="83"/>
  <c r="D57" i="108" s="1"/>
  <c r="F82" i="83"/>
  <c r="O2" i="83"/>
  <c r="F8" i="115"/>
  <c r="F34" i="78"/>
  <c r="F33" i="78"/>
  <c r="I11" i="82"/>
  <c r="I24" i="157" s="1"/>
  <c r="I38" i="81"/>
  <c r="C23" i="157" l="1"/>
  <c r="B23" i="157" s="1"/>
  <c r="AF104" i="174"/>
  <c r="AE104" i="174" s="1"/>
  <c r="AB104" i="174" s="1"/>
  <c r="AA104" i="174" s="1"/>
  <c r="E74" i="83"/>
  <c r="E79" i="83"/>
  <c r="D59" i="108" s="1"/>
  <c r="E75" i="83"/>
  <c r="D55" i="108" s="1"/>
  <c r="E64" i="108"/>
  <c r="E78" i="83"/>
  <c r="D58" i="108" s="1"/>
  <c r="E76" i="83"/>
  <c r="D56" i="108" s="1"/>
  <c r="E83" i="83"/>
  <c r="D63" i="108" s="1"/>
  <c r="E81" i="83"/>
  <c r="D61" i="108" s="1"/>
  <c r="J276" i="21"/>
  <c r="K130" i="21"/>
  <c r="K131" i="21" s="1"/>
  <c r="X34" i="102"/>
  <c r="F34" i="102"/>
  <c r="X33" i="102"/>
  <c r="F33" i="102"/>
  <c r="D54" i="108"/>
  <c r="E82" i="83"/>
  <c r="D62" i="108" s="1"/>
  <c r="E62" i="108"/>
  <c r="Q38" i="106"/>
  <c r="F43" i="84"/>
  <c r="F43" i="100" s="1"/>
  <c r="I37" i="81"/>
  <c r="I23" i="157" l="1"/>
  <c r="BM104" i="174"/>
  <c r="K276" i="21"/>
  <c r="L130" i="21"/>
  <c r="L131" i="21" s="1"/>
  <c r="Y34" i="102"/>
  <c r="Y33" i="102"/>
  <c r="E84" i="83"/>
  <c r="D64" i="108" s="1"/>
  <c r="M43" i="100"/>
  <c r="M48" i="100"/>
  <c r="C64" i="76"/>
  <c r="F54" i="78"/>
  <c r="M130" i="21" l="1"/>
  <c r="M131" i="21" s="1"/>
  <c r="L276" i="21"/>
  <c r="X53" i="102"/>
  <c r="F53" i="102"/>
  <c r="O43" i="100"/>
  <c r="O48" i="100"/>
  <c r="F36" i="78"/>
  <c r="Y53" i="102" l="1"/>
  <c r="M276" i="21"/>
  <c r="N130" i="21"/>
  <c r="N131" i="21" s="1"/>
  <c r="X36" i="102"/>
  <c r="F36" i="102"/>
  <c r="F22" i="78"/>
  <c r="F21" i="78"/>
  <c r="O130" i="21" l="1"/>
  <c r="O131" i="21" s="1"/>
  <c r="N276" i="21"/>
  <c r="Y36" i="102"/>
  <c r="X22" i="102"/>
  <c r="F22" i="102"/>
  <c r="X21" i="102"/>
  <c r="F21" i="102"/>
  <c r="N25" i="66"/>
  <c r="N25" i="103" s="1"/>
  <c r="O276" i="21" l="1"/>
  <c r="P130" i="21"/>
  <c r="P131" i="21" s="1"/>
  <c r="Y21" i="102"/>
  <c r="Y22" i="102"/>
  <c r="X59" i="102"/>
  <c r="Y59" i="102" s="1"/>
  <c r="F53" i="78"/>
  <c r="D24" i="78"/>
  <c r="D24" i="102" s="1"/>
  <c r="F23" i="78"/>
  <c r="F23" i="102" s="1"/>
  <c r="F7" i="78"/>
  <c r="E7" i="78"/>
  <c r="H3" i="78"/>
  <c r="C3" i="78"/>
  <c r="C25" i="26"/>
  <c r="C24" i="27"/>
  <c r="C24" i="30"/>
  <c r="C24" i="31"/>
  <c r="C25" i="76"/>
  <c r="E9" i="66"/>
  <c r="B10" i="77"/>
  <c r="B11" i="77" s="1"/>
  <c r="B12" i="77" s="1"/>
  <c r="B14" i="77" s="1"/>
  <c r="B15" i="77" s="1"/>
  <c r="B16" i="77" s="1"/>
  <c r="B17" i="77" s="1"/>
  <c r="B18" i="77" s="1"/>
  <c r="B19" i="77" s="1"/>
  <c r="B20" i="77" s="1"/>
  <c r="B21" i="77" s="1"/>
  <c r="B22" i="77" s="1"/>
  <c r="B23" i="77" s="1"/>
  <c r="B24" i="77" s="1"/>
  <c r="B25" i="77" s="1"/>
  <c r="B26" i="77" s="1"/>
  <c r="B27" i="77" s="1"/>
  <c r="B28" i="77" s="1"/>
  <c r="B29" i="77" s="1"/>
  <c r="B30" i="77" s="1"/>
  <c r="B31" i="77" s="1"/>
  <c r="B32" i="77" s="1"/>
  <c r="B33" i="77" s="1"/>
  <c r="F47" i="66"/>
  <c r="V53" i="103"/>
  <c r="W53" i="103" s="1"/>
  <c r="F49" i="66"/>
  <c r="J34" i="75"/>
  <c r="I28" i="157" s="1"/>
  <c r="J31" i="75"/>
  <c r="I25" i="75"/>
  <c r="I24" i="75"/>
  <c r="I23" i="75"/>
  <c r="I21" i="75"/>
  <c r="I19" i="75"/>
  <c r="P276" i="21" l="1"/>
  <c r="V46" i="103"/>
  <c r="F46" i="103"/>
  <c r="X52" i="102"/>
  <c r="F52" i="102"/>
  <c r="V48" i="103"/>
  <c r="F48" i="103"/>
  <c r="F20" i="78"/>
  <c r="X23" i="102"/>
  <c r="Y23" i="102" s="1"/>
  <c r="F42" i="66"/>
  <c r="F41" i="103" s="1"/>
  <c r="F45" i="78"/>
  <c r="F49" i="103"/>
  <c r="N54" i="66"/>
  <c r="N53" i="103" s="1"/>
  <c r="N47" i="66"/>
  <c r="N46" i="103" s="1"/>
  <c r="I18" i="75"/>
  <c r="F52" i="84"/>
  <c r="F52" i="100" s="1"/>
  <c r="N49" i="66"/>
  <c r="N48" i="103" s="1"/>
  <c r="E65" i="78"/>
  <c r="H34" i="77"/>
  <c r="F60" i="84"/>
  <c r="F60" i="100" s="1"/>
  <c r="F48" i="83"/>
  <c r="W48" i="103" l="1"/>
  <c r="W46" i="103"/>
  <c r="Y52" i="102"/>
  <c r="Q48" i="106"/>
  <c r="F48" i="106"/>
  <c r="X44" i="102"/>
  <c r="F44" i="102"/>
  <c r="X20" i="102"/>
  <c r="F20" i="102"/>
  <c r="V49" i="103"/>
  <c r="O2" i="78"/>
  <c r="B9" i="115"/>
  <c r="N40" i="66"/>
  <c r="N39" i="103" s="1"/>
  <c r="V39" i="103"/>
  <c r="W39" i="103" s="1"/>
  <c r="M60" i="100"/>
  <c r="M52" i="100"/>
  <c r="N42" i="66"/>
  <c r="N41" i="103" s="1"/>
  <c r="V41" i="103"/>
  <c r="W41" i="103" s="1"/>
  <c r="N50" i="66"/>
  <c r="N49" i="103" s="1"/>
  <c r="F9" i="115"/>
  <c r="Q2" i="78"/>
  <c r="F44" i="66"/>
  <c r="D131" i="21" l="1"/>
  <c r="Y44" i="102"/>
  <c r="Y20" i="102"/>
  <c r="V43" i="103"/>
  <c r="F43" i="103"/>
  <c r="W49" i="103"/>
  <c r="O52" i="100"/>
  <c r="O60" i="100"/>
  <c r="N44" i="66"/>
  <c r="N43" i="103" s="1"/>
  <c r="E39" i="66"/>
  <c r="E8" i="66" s="1"/>
  <c r="E161" i="21" l="1"/>
  <c r="E162" i="21" s="1"/>
  <c r="E287" i="21" s="1"/>
  <c r="E285" i="21" s="1"/>
  <c r="D276" i="21"/>
  <c r="W43" i="103"/>
  <c r="R2" i="66"/>
  <c r="E38" i="103"/>
  <c r="F37" i="84"/>
  <c r="F37" i="100" s="1"/>
  <c r="N12" i="66"/>
  <c r="N12" i="103" s="1"/>
  <c r="F161" i="21" l="1"/>
  <c r="F162" i="21" s="1"/>
  <c r="F287" i="21" s="1"/>
  <c r="F285" i="21" s="1"/>
  <c r="E8" i="103"/>
  <c r="E104" i="103"/>
  <c r="F10" i="115"/>
  <c r="F12" i="115" s="1"/>
  <c r="B16" i="115"/>
  <c r="D16" i="115" s="1"/>
  <c r="M37" i="100"/>
  <c r="F100" i="100"/>
  <c r="F20" i="110" s="1"/>
  <c r="O17" i="100"/>
  <c r="D17" i="115"/>
  <c r="F13" i="109"/>
  <c r="F71" i="54"/>
  <c r="E163" i="21" l="1"/>
  <c r="F163" i="21"/>
  <c r="F174" i="21" s="1"/>
  <c r="G161" i="21"/>
  <c r="G162" i="21" s="1"/>
  <c r="G287" i="21" s="1"/>
  <c r="G285" i="21" s="1"/>
  <c r="R2" i="103"/>
  <c r="G10" i="115"/>
  <c r="G12" i="115" s="1"/>
  <c r="E95" i="103"/>
  <c r="O37" i="100"/>
  <c r="E73" i="22"/>
  <c r="D24" i="98"/>
  <c r="H161" i="21" l="1"/>
  <c r="H162" i="21" s="1"/>
  <c r="H287" i="21" s="1"/>
  <c r="H285" i="21" s="1"/>
  <c r="E174" i="21"/>
  <c r="E74" i="22"/>
  <c r="E98" i="22" s="1"/>
  <c r="E97" i="22"/>
  <c r="D63" i="110"/>
  <c r="D11" i="110"/>
  <c r="F29" i="83"/>
  <c r="F29" i="106" s="1"/>
  <c r="G163" i="21" l="1"/>
  <c r="H163" i="21"/>
  <c r="H174" i="21" s="1"/>
  <c r="I161" i="21"/>
  <c r="I162" i="21" s="1"/>
  <c r="I287" i="21" s="1"/>
  <c r="I285" i="21" s="1"/>
  <c r="D2" i="110"/>
  <c r="B18" i="115"/>
  <c r="D18" i="115" s="1"/>
  <c r="Q29" i="106"/>
  <c r="F27" i="66"/>
  <c r="F27" i="103" s="1"/>
  <c r="F100" i="103" s="1"/>
  <c r="L12" i="110" l="1"/>
  <c r="L9" i="110"/>
  <c r="L10" i="110"/>
  <c r="L5" i="110"/>
  <c r="L7" i="110"/>
  <c r="L6" i="110"/>
  <c r="L8" i="110"/>
  <c r="L3" i="110"/>
  <c r="L4" i="110"/>
  <c r="L11" i="110"/>
  <c r="J161" i="21"/>
  <c r="J162" i="21" s="1"/>
  <c r="J287" i="21" s="1"/>
  <c r="J285" i="21" s="1"/>
  <c r="G174" i="21"/>
  <c r="N27" i="66"/>
  <c r="N27" i="103" s="1"/>
  <c r="V27" i="103"/>
  <c r="W27" i="103" s="1"/>
  <c r="B22" i="115"/>
  <c r="D22" i="115" s="1"/>
  <c r="F27" i="78"/>
  <c r="F27" i="102" s="1"/>
  <c r="I163" i="21" l="1"/>
  <c r="J163" i="21"/>
  <c r="J174" i="21" s="1"/>
  <c r="K161" i="21"/>
  <c r="K162" i="21" s="1"/>
  <c r="K287" i="21" s="1"/>
  <c r="K285" i="21" s="1"/>
  <c r="N18" i="66"/>
  <c r="N18" i="103" s="1"/>
  <c r="V18" i="103"/>
  <c r="B21" i="115"/>
  <c r="X27" i="102"/>
  <c r="Y27" i="102" s="1"/>
  <c r="L161" i="21" l="1"/>
  <c r="L162" i="21" s="1"/>
  <c r="L287" i="21" s="1"/>
  <c r="L285" i="21" s="1"/>
  <c r="I174" i="21"/>
  <c r="W18" i="103"/>
  <c r="D21" i="115"/>
  <c r="B23" i="115"/>
  <c r="D23" i="115" s="1"/>
  <c r="A23" i="67"/>
  <c r="A21" i="67"/>
  <c r="L163" i="21" l="1"/>
  <c r="L174" i="21" s="1"/>
  <c r="M161" i="21"/>
  <c r="M162" i="21" s="1"/>
  <c r="M287" i="21" s="1"/>
  <c r="M285" i="21" s="1"/>
  <c r="K163" i="21"/>
  <c r="O32" i="70"/>
  <c r="Q3" i="70"/>
  <c r="F22" i="66"/>
  <c r="B59" i="69"/>
  <c r="C9" i="103"/>
  <c r="J18" i="67"/>
  <c r="E18" i="67"/>
  <c r="N161" i="21" l="1"/>
  <c r="N162" i="21" s="1"/>
  <c r="N287" i="21" s="1"/>
  <c r="N285" i="21" s="1"/>
  <c r="K174" i="21"/>
  <c r="V22" i="103"/>
  <c r="F22" i="103"/>
  <c r="C8" i="103"/>
  <c r="P2" i="103" s="1"/>
  <c r="C104" i="103"/>
  <c r="D9" i="66"/>
  <c r="D8" i="66" s="1"/>
  <c r="D9" i="103"/>
  <c r="N21" i="66"/>
  <c r="N21" i="103" s="1"/>
  <c r="N22" i="66"/>
  <c r="N22" i="103" s="1"/>
  <c r="N13" i="66"/>
  <c r="N13" i="103" s="1"/>
  <c r="F23" i="66"/>
  <c r="M30" i="100"/>
  <c r="O30" i="100" s="1"/>
  <c r="X40" i="102"/>
  <c r="Y40" i="102" s="1"/>
  <c r="M13" i="67"/>
  <c r="H14" i="67"/>
  <c r="D18" i="67"/>
  <c r="M16" i="67"/>
  <c r="H17" i="67"/>
  <c r="H12" i="67"/>
  <c r="G18" i="67"/>
  <c r="L18" i="67"/>
  <c r="H13" i="67"/>
  <c r="M14" i="67"/>
  <c r="I18" i="67"/>
  <c r="C18" i="67"/>
  <c r="B18" i="67"/>
  <c r="F18" i="67"/>
  <c r="K18" i="67"/>
  <c r="H16" i="67"/>
  <c r="M17" i="67"/>
  <c r="H15" i="67"/>
  <c r="M15" i="67"/>
  <c r="M12" i="67"/>
  <c r="H11" i="67"/>
  <c r="M11" i="67"/>
  <c r="J13" i="124" l="1"/>
  <c r="M163" i="21"/>
  <c r="N163" i="21"/>
  <c r="N174" i="21" s="1"/>
  <c r="O161" i="21"/>
  <c r="O162" i="21" s="1"/>
  <c r="O287" i="21" s="1"/>
  <c r="O285" i="21" s="1"/>
  <c r="W22" i="103"/>
  <c r="F19" i="157"/>
  <c r="G19" i="157"/>
  <c r="F31" i="160"/>
  <c r="F33" i="110" s="1"/>
  <c r="H19" i="157"/>
  <c r="V23" i="103"/>
  <c r="F23" i="103"/>
  <c r="F97" i="103" s="1"/>
  <c r="C10" i="115"/>
  <c r="C12" i="115" s="1"/>
  <c r="B72" i="110"/>
  <c r="C95" i="103"/>
  <c r="C105" i="103" s="1"/>
  <c r="D8" i="103"/>
  <c r="Q2" i="103" s="1"/>
  <c r="D104" i="103"/>
  <c r="Q2" i="66"/>
  <c r="D10" i="115"/>
  <c r="X42" i="102"/>
  <c r="X41" i="102"/>
  <c r="F8" i="101"/>
  <c r="H54" i="69"/>
  <c r="J54" i="69" s="1"/>
  <c r="F36" i="103"/>
  <c r="F101" i="103" s="1"/>
  <c r="F8" i="90"/>
  <c r="F20" i="66"/>
  <c r="N23" i="66"/>
  <c r="N17" i="67"/>
  <c r="N14" i="67"/>
  <c r="N13" i="67"/>
  <c r="AN19" i="174" s="1"/>
  <c r="N12" i="67"/>
  <c r="AH19" i="174" s="1"/>
  <c r="M18" i="67"/>
  <c r="N15" i="67"/>
  <c r="H18" i="67"/>
  <c r="N16" i="67"/>
  <c r="N11" i="67"/>
  <c r="F33" i="157" l="1"/>
  <c r="AQ19" i="174"/>
  <c r="AP19" i="174" s="1"/>
  <c r="H33" i="157"/>
  <c r="AD19" i="174"/>
  <c r="C33" i="157"/>
  <c r="AF19" i="174"/>
  <c r="AE19" i="174" s="1"/>
  <c r="AB19" i="174" s="1"/>
  <c r="G33" i="157"/>
  <c r="AC19" i="174"/>
  <c r="I17" i="157"/>
  <c r="N8" i="186"/>
  <c r="M29" i="179"/>
  <c r="BM30" i="174"/>
  <c r="P18" i="67"/>
  <c r="E33" i="157"/>
  <c r="F16" i="159"/>
  <c r="F16" i="160" s="1"/>
  <c r="D33" i="157"/>
  <c r="O163" i="21"/>
  <c r="O174" i="21" s="1"/>
  <c r="P161" i="21"/>
  <c r="P162" i="21" s="1"/>
  <c r="P287" i="21" s="1"/>
  <c r="P285" i="21" s="1"/>
  <c r="M174" i="21"/>
  <c r="W23" i="103"/>
  <c r="E19" i="157"/>
  <c r="N20" i="66"/>
  <c r="N20" i="103" s="1"/>
  <c r="N23" i="103"/>
  <c r="V20" i="103"/>
  <c r="F20" i="103"/>
  <c r="X37" i="102"/>
  <c r="F37" i="102"/>
  <c r="N8" i="101"/>
  <c r="E10" i="115"/>
  <c r="B63" i="110"/>
  <c r="B11" i="110"/>
  <c r="C72" i="110"/>
  <c r="C63" i="110" s="1"/>
  <c r="D95" i="103"/>
  <c r="Y41" i="102"/>
  <c r="Y42" i="102"/>
  <c r="F91" i="84"/>
  <c r="M50" i="100"/>
  <c r="F90" i="84"/>
  <c r="M29" i="100"/>
  <c r="O29" i="100" s="1"/>
  <c r="N36" i="66"/>
  <c r="N36" i="103" s="1"/>
  <c r="V36" i="103"/>
  <c r="W36" i="103" s="1"/>
  <c r="M49" i="100"/>
  <c r="N41" i="66"/>
  <c r="N40" i="103" s="1"/>
  <c r="V40" i="103"/>
  <c r="W40" i="103" s="1"/>
  <c r="F10" i="66"/>
  <c r="F10" i="103" s="1"/>
  <c r="F10" i="78"/>
  <c r="F10" i="102" s="1"/>
  <c r="F19" i="84"/>
  <c r="F19" i="100" s="1"/>
  <c r="F96" i="100"/>
  <c r="F16" i="110" s="1"/>
  <c r="F16" i="109"/>
  <c r="F25" i="106"/>
  <c r="F32" i="84"/>
  <c r="N8" i="90"/>
  <c r="S23" i="78"/>
  <c r="C19" i="157"/>
  <c r="N18" i="67"/>
  <c r="O18" i="67"/>
  <c r="AA19" i="174" l="1"/>
  <c r="B33" i="157"/>
  <c r="I33" i="157" s="1"/>
  <c r="B2" i="110"/>
  <c r="P163" i="21"/>
  <c r="D162" i="21"/>
  <c r="D287" i="21" s="1"/>
  <c r="D285" i="21" s="1"/>
  <c r="C18" i="166"/>
  <c r="C18" i="165"/>
  <c r="W20" i="103"/>
  <c r="Y37" i="102"/>
  <c r="B19" i="157"/>
  <c r="C17" i="132"/>
  <c r="C59" i="150" s="1"/>
  <c r="F32" i="100"/>
  <c r="F97" i="100" s="1"/>
  <c r="F17" i="110" s="1"/>
  <c r="O49" i="100"/>
  <c r="D79" i="83"/>
  <c r="H79" i="83" s="1"/>
  <c r="G59" i="108" s="1"/>
  <c r="C14" i="135"/>
  <c r="C122" i="150" s="1"/>
  <c r="M19" i="100"/>
  <c r="O19" i="100" s="1"/>
  <c r="O50" i="100"/>
  <c r="D40" i="108"/>
  <c r="E40" i="108"/>
  <c r="M32" i="100"/>
  <c r="D102" i="84"/>
  <c r="G40" i="108"/>
  <c r="C40" i="108"/>
  <c r="V10" i="103"/>
  <c r="W10" i="103" s="1"/>
  <c r="G16" i="57"/>
  <c r="Q25" i="106"/>
  <c r="X10" i="102"/>
  <c r="Y10" i="102" s="1"/>
  <c r="F81" i="106"/>
  <c r="E7" i="66"/>
  <c r="F7" i="66"/>
  <c r="D7" i="66"/>
  <c r="H3" i="66"/>
  <c r="C3" i="66"/>
  <c r="L19" i="109" l="1"/>
  <c r="E135" i="105"/>
  <c r="AR39" i="174"/>
  <c r="AR2" i="174" s="1"/>
  <c r="M23" i="115"/>
  <c r="J7" i="110"/>
  <c r="J3" i="110"/>
  <c r="J12" i="110"/>
  <c r="J10" i="110"/>
  <c r="J6" i="110"/>
  <c r="J4" i="110"/>
  <c r="J9" i="110"/>
  <c r="J5" i="110"/>
  <c r="J8" i="110"/>
  <c r="J11" i="110"/>
  <c r="O32" i="100"/>
  <c r="P174" i="21"/>
  <c r="D163" i="21"/>
  <c r="D174" i="21" s="1"/>
  <c r="J20" i="171"/>
  <c r="C83" i="166"/>
  <c r="C83" i="165"/>
  <c r="C19" i="165"/>
  <c r="C19" i="166"/>
  <c r="I19" i="157"/>
  <c r="E135" i="99"/>
  <c r="F18" i="109"/>
  <c r="C18" i="132"/>
  <c r="C60" i="150" s="1"/>
  <c r="F33" i="100"/>
  <c r="C34" i="157"/>
  <c r="G81" i="106"/>
  <c r="F45" i="110"/>
  <c r="C59" i="108"/>
  <c r="D106" i="84"/>
  <c r="C24" i="108"/>
  <c r="H102" i="84"/>
  <c r="G24" i="108" s="1"/>
  <c r="M33" i="100"/>
  <c r="P2" i="66"/>
  <c r="B10" i="115"/>
  <c r="B12" i="115" s="1"/>
  <c r="N10" i="66"/>
  <c r="N10" i="103" s="1"/>
  <c r="G135" i="105" l="1"/>
  <c r="G44" i="108"/>
  <c r="C44" i="108"/>
  <c r="D34" i="157"/>
  <c r="B34" i="157" s="1"/>
  <c r="I34" i="157" s="1"/>
  <c r="C28" i="108"/>
  <c r="H106" i="84"/>
  <c r="G28" i="108" s="1"/>
  <c r="O33" i="100"/>
  <c r="F19" i="109"/>
  <c r="F101" i="100"/>
  <c r="F21" i="110" s="1"/>
  <c r="J73" i="109" l="1"/>
  <c r="Q56" i="106"/>
  <c r="N53" i="66" l="1"/>
  <c r="N52" i="103" s="1"/>
  <c r="V52" i="103"/>
  <c r="W52" i="103" s="1"/>
  <c r="X57" i="102"/>
  <c r="Y57" i="102" s="1"/>
  <c r="V51" i="103" l="1"/>
  <c r="W51" i="103" s="1"/>
  <c r="N52" i="66"/>
  <c r="N51" i="103" s="1"/>
  <c r="C2" i="54"/>
  <c r="E54" i="22" l="1"/>
  <c r="E81" i="22" s="1"/>
  <c r="L64" i="22" l="1"/>
  <c r="C40" i="29"/>
  <c r="F40" i="29" s="1"/>
  <c r="I40" i="29" s="1"/>
  <c r="L40" i="29" s="1"/>
  <c r="F34" i="29"/>
  <c r="I34" i="29" s="1"/>
  <c r="L34" i="29" s="1"/>
  <c r="F35" i="29"/>
  <c r="I35" i="29" s="1"/>
  <c r="L35" i="29" s="1"/>
  <c r="F36" i="29"/>
  <c r="I36" i="29" s="1"/>
  <c r="L36" i="29" s="1"/>
  <c r="F37" i="29"/>
  <c r="I37" i="29" s="1"/>
  <c r="L37" i="29" s="1"/>
  <c r="F38" i="29"/>
  <c r="I38" i="29" s="1"/>
  <c r="L38" i="29" s="1"/>
  <c r="F39" i="29"/>
  <c r="I39" i="29" s="1"/>
  <c r="L39" i="29" s="1"/>
  <c r="F41" i="29"/>
  <c r="I41" i="29" s="1"/>
  <c r="L41" i="29" s="1"/>
  <c r="F30" i="29"/>
  <c r="I30" i="29" s="1"/>
  <c r="L30" i="29" s="1"/>
  <c r="B109" i="21" l="1"/>
  <c r="B104" i="21"/>
  <c r="B113" i="21" s="1"/>
  <c r="D96" i="21"/>
  <c r="D7" i="21"/>
  <c r="B107" i="21"/>
  <c r="E132" i="21"/>
  <c r="E133" i="21" s="1"/>
  <c r="B102" i="21"/>
  <c r="D99" i="21"/>
  <c r="D193" i="21" s="1"/>
  <c r="B81" i="21"/>
  <c r="B78" i="21"/>
  <c r="B74" i="21"/>
  <c r="D72" i="21"/>
  <c r="B72" i="21"/>
  <c r="D71" i="21"/>
  <c r="M87" i="21"/>
  <c r="C87" i="21"/>
  <c r="B23" i="21"/>
  <c r="F132" i="21" l="1"/>
  <c r="F133" i="21" s="1"/>
  <c r="E277" i="21"/>
  <c r="E275" i="21" s="1"/>
  <c r="Q71" i="21"/>
  <c r="D192" i="21"/>
  <c r="D75" i="21"/>
  <c r="D257" i="21" s="1"/>
  <c r="D110" i="21"/>
  <c r="D272" i="21" s="1"/>
  <c r="D109" i="21"/>
  <c r="E107" i="21"/>
  <c r="E111" i="21" s="1"/>
  <c r="E102" i="21"/>
  <c r="E106" i="21" s="1"/>
  <c r="E266" i="21" s="1"/>
  <c r="D105" i="21"/>
  <c r="D271" i="21" s="1"/>
  <c r="D104" i="21"/>
  <c r="D261" i="21" s="1"/>
  <c r="D101" i="21"/>
  <c r="D73" i="21"/>
  <c r="D256" i="21" s="1"/>
  <c r="E74" i="21"/>
  <c r="E72" i="21"/>
  <c r="D194" i="21" l="1"/>
  <c r="G27" i="120"/>
  <c r="G20" i="120" s="1"/>
  <c r="G6" i="120" s="1"/>
  <c r="G132" i="21"/>
  <c r="G133" i="21" s="1"/>
  <c r="E134" i="21"/>
  <c r="D262" i="21"/>
  <c r="E139" i="21"/>
  <c r="E140" i="21" s="1"/>
  <c r="E267" i="21"/>
  <c r="E265" i="21" s="1"/>
  <c r="D270" i="21"/>
  <c r="D113" i="21"/>
  <c r="D98" i="21"/>
  <c r="D108" i="21" s="1"/>
  <c r="D111" i="21"/>
  <c r="E104" i="21"/>
  <c r="E261" i="21" s="1"/>
  <c r="D114" i="21"/>
  <c r="E109" i="21"/>
  <c r="E262" i="21" s="1"/>
  <c r="F107" i="21"/>
  <c r="E110" i="21"/>
  <c r="E272" i="21" s="1"/>
  <c r="F102" i="21"/>
  <c r="E105" i="21"/>
  <c r="E271" i="21" s="1"/>
  <c r="E103" i="21"/>
  <c r="E108" i="21"/>
  <c r="D106" i="21"/>
  <c r="E115" i="21"/>
  <c r="D76" i="21"/>
  <c r="E75" i="21"/>
  <c r="E257" i="21" s="1"/>
  <c r="F74" i="21"/>
  <c r="E73" i="21"/>
  <c r="E256" i="21" s="1"/>
  <c r="F72" i="21"/>
  <c r="F134" i="21" l="1"/>
  <c r="F277" i="21"/>
  <c r="F275" i="21" s="1"/>
  <c r="D266" i="21"/>
  <c r="E136" i="21"/>
  <c r="E137" i="21" s="1"/>
  <c r="E142" i="21" s="1"/>
  <c r="F139" i="21"/>
  <c r="F140" i="21" s="1"/>
  <c r="H132" i="21"/>
  <c r="H133" i="21" s="1"/>
  <c r="E260" i="21"/>
  <c r="D267" i="21"/>
  <c r="E270" i="21"/>
  <c r="D103" i="21"/>
  <c r="D112" i="21" s="1"/>
  <c r="E114" i="21"/>
  <c r="E113" i="21"/>
  <c r="F108" i="21"/>
  <c r="F111" i="21"/>
  <c r="F109" i="21"/>
  <c r="F262" i="21" s="1"/>
  <c r="G107" i="21"/>
  <c r="F110" i="21"/>
  <c r="F272" i="21" s="1"/>
  <c r="G102" i="21"/>
  <c r="F105" i="21"/>
  <c r="F271" i="21" s="1"/>
  <c r="F106" i="21"/>
  <c r="F266" i="21" s="1"/>
  <c r="F104" i="21"/>
  <c r="F261" i="21" s="1"/>
  <c r="F103" i="21"/>
  <c r="F28" i="78"/>
  <c r="O9" i="78" s="1"/>
  <c r="D115" i="21"/>
  <c r="E112" i="21"/>
  <c r="E76" i="21"/>
  <c r="F73" i="21"/>
  <c r="F256" i="21" s="1"/>
  <c r="G72" i="21"/>
  <c r="F75" i="21"/>
  <c r="F257" i="21" s="1"/>
  <c r="G74" i="21"/>
  <c r="G134" i="21" l="1"/>
  <c r="G277" i="21"/>
  <c r="G275" i="21" s="1"/>
  <c r="D265" i="21"/>
  <c r="I132" i="21"/>
  <c r="I133" i="21" s="1"/>
  <c r="H277" i="21"/>
  <c r="H275" i="21" s="1"/>
  <c r="E143" i="21"/>
  <c r="F136" i="21"/>
  <c r="F137" i="21" s="1"/>
  <c r="F142" i="21" s="1"/>
  <c r="G139" i="21"/>
  <c r="G140" i="21" s="1"/>
  <c r="F267" i="21"/>
  <c r="F265" i="21" s="1"/>
  <c r="F270" i="21"/>
  <c r="F260" i="21"/>
  <c r="G21" i="115"/>
  <c r="X28" i="102"/>
  <c r="F28" i="102"/>
  <c r="F28" i="66"/>
  <c r="O9" i="66" s="1"/>
  <c r="F113" i="21"/>
  <c r="F112" i="21"/>
  <c r="F114" i="21"/>
  <c r="G109" i="21"/>
  <c r="G262" i="21" s="1"/>
  <c r="G111" i="21"/>
  <c r="G108" i="21"/>
  <c r="F115" i="21"/>
  <c r="H107" i="21"/>
  <c r="G110" i="21"/>
  <c r="G272" i="21" s="1"/>
  <c r="H102" i="21"/>
  <c r="G105" i="21"/>
  <c r="G271" i="21" s="1"/>
  <c r="G103" i="21"/>
  <c r="G104" i="21"/>
  <c r="G261" i="21" s="1"/>
  <c r="G106" i="21"/>
  <c r="G266" i="21" s="1"/>
  <c r="G75" i="21"/>
  <c r="G257" i="21" s="1"/>
  <c r="H74" i="21"/>
  <c r="F76" i="21"/>
  <c r="G73" i="21"/>
  <c r="G256" i="21" s="1"/>
  <c r="H72" i="21"/>
  <c r="F143" i="21" l="1"/>
  <c r="G136" i="21"/>
  <c r="G137" i="21" s="1"/>
  <c r="G142" i="21" s="1"/>
  <c r="H139" i="21"/>
  <c r="H140" i="21" s="1"/>
  <c r="J132" i="21"/>
  <c r="J133" i="21" s="1"/>
  <c r="H134" i="21"/>
  <c r="E145" i="21"/>
  <c r="G267" i="21"/>
  <c r="G265" i="21" s="1"/>
  <c r="G270" i="21"/>
  <c r="G260" i="21"/>
  <c r="H22" i="115"/>
  <c r="AD39" i="174"/>
  <c r="F28" i="103"/>
  <c r="F99" i="103" s="1"/>
  <c r="G22" i="115"/>
  <c r="Y28" i="102"/>
  <c r="H13" i="157"/>
  <c r="N28" i="66"/>
  <c r="V28" i="103"/>
  <c r="F24" i="66"/>
  <c r="G114" i="21"/>
  <c r="G112" i="21"/>
  <c r="G113" i="21"/>
  <c r="H111" i="21"/>
  <c r="H109" i="21"/>
  <c r="H262" i="21" s="1"/>
  <c r="H108" i="21"/>
  <c r="G115" i="21"/>
  <c r="I107" i="21"/>
  <c r="H110" i="21"/>
  <c r="H272" i="21" s="1"/>
  <c r="I102" i="21"/>
  <c r="H105" i="21"/>
  <c r="H271" i="21" s="1"/>
  <c r="H106" i="21"/>
  <c r="H266" i="21" s="1"/>
  <c r="H103" i="21"/>
  <c r="H104" i="21"/>
  <c r="H261" i="21" s="1"/>
  <c r="G76" i="21"/>
  <c r="H75" i="21"/>
  <c r="H257" i="21" s="1"/>
  <c r="I74" i="21"/>
  <c r="H73" i="21"/>
  <c r="H256" i="21" s="1"/>
  <c r="I72" i="21"/>
  <c r="I134" i="21" l="1"/>
  <c r="I277" i="21"/>
  <c r="I275" i="21" s="1"/>
  <c r="F145" i="21"/>
  <c r="K132" i="21"/>
  <c r="K133" i="21" s="1"/>
  <c r="H136" i="21"/>
  <c r="H137" i="21" s="1"/>
  <c r="H142" i="21" s="1"/>
  <c r="G143" i="21"/>
  <c r="I139" i="21"/>
  <c r="I140" i="21" s="1"/>
  <c r="H267" i="21"/>
  <c r="H265" i="21" s="1"/>
  <c r="H270" i="21"/>
  <c r="H260" i="21"/>
  <c r="W28" i="103"/>
  <c r="I22" i="115"/>
  <c r="F24" i="103"/>
  <c r="H115" i="21"/>
  <c r="N24" i="66"/>
  <c r="N28" i="103"/>
  <c r="V24" i="103"/>
  <c r="H112" i="21"/>
  <c r="H114" i="21"/>
  <c r="I109" i="21"/>
  <c r="I262" i="21" s="1"/>
  <c r="I108" i="21"/>
  <c r="I111" i="21"/>
  <c r="H113" i="21"/>
  <c r="J107" i="21"/>
  <c r="I110" i="21"/>
  <c r="I272" i="21" s="1"/>
  <c r="J102" i="21"/>
  <c r="I105" i="21"/>
  <c r="I271" i="21" s="1"/>
  <c r="I103" i="21"/>
  <c r="I106" i="21"/>
  <c r="I266" i="21" s="1"/>
  <c r="I104" i="21"/>
  <c r="I261" i="21" s="1"/>
  <c r="H76" i="21"/>
  <c r="I73" i="21"/>
  <c r="I256" i="21" s="1"/>
  <c r="J72" i="21"/>
  <c r="I75" i="21"/>
  <c r="I257" i="21" s="1"/>
  <c r="J74" i="21"/>
  <c r="J134" i="21" l="1"/>
  <c r="J277" i="21"/>
  <c r="J275" i="21" s="1"/>
  <c r="W24" i="103"/>
  <c r="G145" i="21"/>
  <c r="K277" i="21"/>
  <c r="K275" i="21" s="1"/>
  <c r="L132" i="21"/>
  <c r="L133" i="21" s="1"/>
  <c r="I136" i="21"/>
  <c r="I137" i="21" s="1"/>
  <c r="I142" i="21" s="1"/>
  <c r="H143" i="21"/>
  <c r="J139" i="21"/>
  <c r="J140" i="21" s="1"/>
  <c r="I260" i="21"/>
  <c r="I267" i="21"/>
  <c r="I265" i="21" s="1"/>
  <c r="I270" i="21"/>
  <c r="N24" i="103"/>
  <c r="I112" i="21"/>
  <c r="I115" i="21"/>
  <c r="I114" i="21"/>
  <c r="J111" i="21"/>
  <c r="J109" i="21"/>
  <c r="J262" i="21" s="1"/>
  <c r="J108" i="21"/>
  <c r="I113" i="21"/>
  <c r="K107" i="21"/>
  <c r="J110" i="21"/>
  <c r="J272" i="21" s="1"/>
  <c r="K102" i="21"/>
  <c r="J105" i="21"/>
  <c r="J271" i="21" s="1"/>
  <c r="J106" i="21"/>
  <c r="J266" i="21" s="1"/>
  <c r="J104" i="21"/>
  <c r="J261" i="21" s="1"/>
  <c r="J103" i="21"/>
  <c r="I76" i="21"/>
  <c r="J73" i="21"/>
  <c r="J256" i="21" s="1"/>
  <c r="K72" i="21"/>
  <c r="J75" i="21"/>
  <c r="J257" i="21" s="1"/>
  <c r="K74" i="21"/>
  <c r="J260" i="21" l="1"/>
  <c r="H145" i="21"/>
  <c r="K139" i="21"/>
  <c r="K140" i="21" s="1"/>
  <c r="I143" i="21"/>
  <c r="J136" i="21"/>
  <c r="J137" i="21" s="1"/>
  <c r="J142" i="21" s="1"/>
  <c r="K134" i="21"/>
  <c r="M132" i="21"/>
  <c r="M133" i="21" s="1"/>
  <c r="J267" i="21"/>
  <c r="J265" i="21" s="1"/>
  <c r="J270" i="21"/>
  <c r="J115" i="21"/>
  <c r="J113" i="21"/>
  <c r="J112" i="21"/>
  <c r="J114" i="21"/>
  <c r="K108" i="21"/>
  <c r="K109" i="21"/>
  <c r="K262" i="21" s="1"/>
  <c r="K111" i="21"/>
  <c r="L107" i="21"/>
  <c r="K110" i="21"/>
  <c r="K272" i="21" s="1"/>
  <c r="L102" i="21"/>
  <c r="K105" i="21"/>
  <c r="K271" i="21" s="1"/>
  <c r="K104" i="21"/>
  <c r="K261" i="21" s="1"/>
  <c r="K106" i="21"/>
  <c r="K266" i="21" s="1"/>
  <c r="K103" i="21"/>
  <c r="J76" i="21"/>
  <c r="K73" i="21"/>
  <c r="K256" i="21" s="1"/>
  <c r="L72" i="21"/>
  <c r="K75" i="21"/>
  <c r="K257" i="21" s="1"/>
  <c r="L74" i="21"/>
  <c r="L134" i="21" l="1"/>
  <c r="L277" i="21"/>
  <c r="L275" i="21" s="1"/>
  <c r="I145" i="21"/>
  <c r="N132" i="21"/>
  <c r="N133" i="21" s="1"/>
  <c r="L139" i="21"/>
  <c r="L140" i="21" s="1"/>
  <c r="J143" i="21"/>
  <c r="K136" i="21"/>
  <c r="K137" i="21" s="1"/>
  <c r="K142" i="21" s="1"/>
  <c r="K267" i="21"/>
  <c r="K265" i="21" s="1"/>
  <c r="K270" i="21"/>
  <c r="K260" i="21"/>
  <c r="K115" i="21"/>
  <c r="K114" i="21"/>
  <c r="L111" i="21"/>
  <c r="L109" i="21"/>
  <c r="L262" i="21" s="1"/>
  <c r="L108" i="21"/>
  <c r="K112" i="21"/>
  <c r="K113" i="21"/>
  <c r="M107" i="21"/>
  <c r="L110" i="21"/>
  <c r="L272" i="21" s="1"/>
  <c r="M102" i="21"/>
  <c r="L105" i="21"/>
  <c r="L271" i="21" s="1"/>
  <c r="L103" i="21"/>
  <c r="L104" i="21"/>
  <c r="L261" i="21" s="1"/>
  <c r="L106" i="21"/>
  <c r="L266" i="21" s="1"/>
  <c r="K76" i="21"/>
  <c r="L73" i="21"/>
  <c r="L256" i="21" s="1"/>
  <c r="M72" i="21"/>
  <c r="L75" i="21"/>
  <c r="L257" i="21" s="1"/>
  <c r="M74" i="21"/>
  <c r="M134" i="21" l="1"/>
  <c r="M277" i="21"/>
  <c r="M275" i="21" s="1"/>
  <c r="J145" i="21"/>
  <c r="M139" i="21"/>
  <c r="M140" i="21" s="1"/>
  <c r="O132" i="21"/>
  <c r="O133" i="21" s="1"/>
  <c r="L136" i="21"/>
  <c r="L137" i="21" s="1"/>
  <c r="L142" i="21" s="1"/>
  <c r="K143" i="21"/>
  <c r="L267" i="21"/>
  <c r="L265" i="21" s="1"/>
  <c r="L270" i="21"/>
  <c r="L260" i="21"/>
  <c r="L112" i="21"/>
  <c r="L114" i="21"/>
  <c r="L113" i="21"/>
  <c r="M108" i="21"/>
  <c r="M111" i="21"/>
  <c r="M109" i="21"/>
  <c r="M262" i="21" s="1"/>
  <c r="L115" i="21"/>
  <c r="N107" i="21"/>
  <c r="M110" i="21"/>
  <c r="M272" i="21" s="1"/>
  <c r="N102" i="21"/>
  <c r="M105" i="21"/>
  <c r="M271" i="21" s="1"/>
  <c r="M106" i="21"/>
  <c r="M266" i="21" s="1"/>
  <c r="M104" i="21"/>
  <c r="M261" i="21" s="1"/>
  <c r="M103" i="21"/>
  <c r="M75" i="21"/>
  <c r="M257" i="21" s="1"/>
  <c r="N74" i="21"/>
  <c r="M73" i="21"/>
  <c r="M256" i="21" s="1"/>
  <c r="N72" i="21"/>
  <c r="L76" i="21"/>
  <c r="N134" i="21" l="1"/>
  <c r="N277" i="21"/>
  <c r="N275" i="21" s="1"/>
  <c r="K145" i="21"/>
  <c r="M136" i="21"/>
  <c r="M137" i="21" s="1"/>
  <c r="M142" i="21" s="1"/>
  <c r="L143" i="21"/>
  <c r="N139" i="21"/>
  <c r="N140" i="21" s="1"/>
  <c r="P132" i="21"/>
  <c r="P133" i="21" s="1"/>
  <c r="M267" i="21"/>
  <c r="M265" i="21" s="1"/>
  <c r="M270" i="21"/>
  <c r="M260" i="21"/>
  <c r="M113" i="21"/>
  <c r="M114" i="21"/>
  <c r="M115" i="21"/>
  <c r="N111" i="21"/>
  <c r="N109" i="21"/>
  <c r="N262" i="21" s="1"/>
  <c r="N108" i="21"/>
  <c r="M112" i="21"/>
  <c r="O107" i="21"/>
  <c r="N110" i="21"/>
  <c r="N272" i="21" s="1"/>
  <c r="O102" i="21"/>
  <c r="N105" i="21"/>
  <c r="N271" i="21" s="1"/>
  <c r="N106" i="21"/>
  <c r="N266" i="21" s="1"/>
  <c r="N103" i="21"/>
  <c r="N104" i="21"/>
  <c r="N261" i="21" s="1"/>
  <c r="N75" i="21"/>
  <c r="N257" i="21" s="1"/>
  <c r="O74" i="21"/>
  <c r="N73" i="21"/>
  <c r="N256" i="21" s="1"/>
  <c r="O72" i="21"/>
  <c r="M76" i="21"/>
  <c r="O134" i="21" l="1"/>
  <c r="O277" i="21"/>
  <c r="O275" i="21" s="1"/>
  <c r="L145" i="21"/>
  <c r="O139" i="21"/>
  <c r="O140" i="21" s="1"/>
  <c r="M143" i="21"/>
  <c r="N136" i="21"/>
  <c r="N137" i="21" s="1"/>
  <c r="N142" i="21" s="1"/>
  <c r="N267" i="21"/>
  <c r="N265" i="21" s="1"/>
  <c r="N260" i="21"/>
  <c r="N270" i="21"/>
  <c r="N115" i="21"/>
  <c r="N112" i="21"/>
  <c r="N114" i="21"/>
  <c r="O108" i="21"/>
  <c r="O111" i="21"/>
  <c r="O109" i="21"/>
  <c r="O262" i="21" s="1"/>
  <c r="N113" i="21"/>
  <c r="P107" i="21"/>
  <c r="O110" i="21"/>
  <c r="O272" i="21" s="1"/>
  <c r="P102" i="21"/>
  <c r="O105" i="21"/>
  <c r="O271" i="21" s="1"/>
  <c r="O106" i="21"/>
  <c r="O266" i="21" s="1"/>
  <c r="O103" i="21"/>
  <c r="O104" i="21"/>
  <c r="O261" i="21" s="1"/>
  <c r="O73" i="21"/>
  <c r="O256" i="21" s="1"/>
  <c r="P72" i="21"/>
  <c r="P73" i="21" s="1"/>
  <c r="P256" i="21" s="1"/>
  <c r="O75" i="21"/>
  <c r="O257" i="21" s="1"/>
  <c r="P74" i="21"/>
  <c r="N76" i="21"/>
  <c r="O260" i="21" l="1"/>
  <c r="P134" i="21"/>
  <c r="P277" i="21"/>
  <c r="P275" i="21" s="1"/>
  <c r="M145" i="21"/>
  <c r="P139" i="21"/>
  <c r="P140" i="21" s="1"/>
  <c r="N143" i="21"/>
  <c r="O136" i="21"/>
  <c r="O137" i="21" s="1"/>
  <c r="O142" i="21" s="1"/>
  <c r="O270" i="21"/>
  <c r="O267" i="21"/>
  <c r="O265" i="21" s="1"/>
  <c r="Q228" i="21"/>
  <c r="O113" i="21"/>
  <c r="O114" i="21"/>
  <c r="O115" i="21"/>
  <c r="P110" i="21"/>
  <c r="P272" i="21" s="1"/>
  <c r="Q244" i="21" s="1"/>
  <c r="P111" i="21"/>
  <c r="P109" i="21"/>
  <c r="P262" i="21" s="1"/>
  <c r="Q234" i="21" s="1"/>
  <c r="P108" i="21"/>
  <c r="O112" i="21"/>
  <c r="P105" i="21"/>
  <c r="P271" i="21" s="1"/>
  <c r="P104" i="21"/>
  <c r="P261" i="21" s="1"/>
  <c r="P103" i="21"/>
  <c r="P106" i="21"/>
  <c r="P266" i="21" s="1"/>
  <c r="O76" i="21"/>
  <c r="P75" i="21"/>
  <c r="P136" i="21" l="1"/>
  <c r="P137" i="21" s="1"/>
  <c r="P142" i="21" s="1"/>
  <c r="O143" i="21"/>
  <c r="D134" i="21"/>
  <c r="D133" i="21"/>
  <c r="D277" i="21" s="1"/>
  <c r="D275" i="21" s="1"/>
  <c r="H19" i="115" s="1"/>
  <c r="N145" i="21"/>
  <c r="P267" i="21"/>
  <c r="Q239" i="21" s="1"/>
  <c r="P270" i="21"/>
  <c r="Q242" i="21" s="1"/>
  <c r="Q238" i="21"/>
  <c r="Q243" i="21"/>
  <c r="P260" i="21"/>
  <c r="Q233" i="21"/>
  <c r="P76" i="21"/>
  <c r="P257" i="21"/>
  <c r="Q229" i="21" s="1"/>
  <c r="P112" i="21"/>
  <c r="P115" i="21"/>
  <c r="P114" i="21"/>
  <c r="P113" i="21"/>
  <c r="E61" i="98"/>
  <c r="F61" i="98" s="1"/>
  <c r="G61" i="98" s="1"/>
  <c r="H61" i="98" s="1"/>
  <c r="I61" i="98" s="1"/>
  <c r="AQ39" i="174" l="1"/>
  <c r="AP39" i="174" s="1"/>
  <c r="F13" i="157"/>
  <c r="F11" i="157" s="1"/>
  <c r="F22" i="162"/>
  <c r="F18" i="162" s="1"/>
  <c r="P143" i="21"/>
  <c r="O145" i="21"/>
  <c r="P265" i="21"/>
  <c r="Q237" i="21" s="1"/>
  <c r="AF14" i="174"/>
  <c r="AE14" i="174" s="1"/>
  <c r="E62" i="98"/>
  <c r="F62" i="98" s="1"/>
  <c r="G62" i="98" s="1"/>
  <c r="H62" i="98" s="1"/>
  <c r="I62" i="98" s="1"/>
  <c r="AQ2" i="174" l="1"/>
  <c r="AB14" i="174"/>
  <c r="AA14" i="174" s="1"/>
  <c r="G19" i="115"/>
  <c r="I19" i="115" s="1"/>
  <c r="D140" i="21"/>
  <c r="D137" i="21"/>
  <c r="P145" i="21"/>
  <c r="O41" i="54"/>
  <c r="P41" i="54"/>
  <c r="Q41" i="54"/>
  <c r="R41" i="54"/>
  <c r="S41" i="54"/>
  <c r="O40" i="54"/>
  <c r="P40" i="54"/>
  <c r="Q40" i="54"/>
  <c r="R40" i="54"/>
  <c r="S40" i="54"/>
  <c r="O58" i="54"/>
  <c r="P58" i="54"/>
  <c r="Q58" i="54"/>
  <c r="R58" i="54"/>
  <c r="S58" i="54"/>
  <c r="O50" i="54"/>
  <c r="P50" i="54"/>
  <c r="Q50" i="54"/>
  <c r="R50" i="54"/>
  <c r="S50" i="54"/>
  <c r="O71" i="54"/>
  <c r="P71" i="54"/>
  <c r="Q71" i="54"/>
  <c r="R71" i="54"/>
  <c r="S71" i="54"/>
  <c r="D41" i="21"/>
  <c r="E41" i="21" s="1"/>
  <c r="D37" i="21"/>
  <c r="E37" i="21" s="1"/>
  <c r="D16" i="21"/>
  <c r="D14" i="21"/>
  <c r="B51" i="21"/>
  <c r="B41" i="21"/>
  <c r="B37" i="21"/>
  <c r="B20" i="21"/>
  <c r="B16" i="21"/>
  <c r="B14" i="21"/>
  <c r="AT315" i="174" l="1"/>
  <c r="AT391" i="174"/>
  <c r="AT327" i="174"/>
  <c r="AT455" i="174"/>
  <c r="AT903" i="174"/>
  <c r="AT443" i="174"/>
  <c r="AT839" i="174"/>
  <c r="AT587" i="174"/>
  <c r="AT647" i="174"/>
  <c r="AT619" i="174"/>
  <c r="AT723" i="174"/>
  <c r="AT595" i="174"/>
  <c r="AT511" i="174"/>
  <c r="AT531" i="174"/>
  <c r="AT291" i="174"/>
  <c r="AT539" i="174"/>
  <c r="AT319" i="174"/>
  <c r="AT747" i="174"/>
  <c r="AT583" i="174"/>
  <c r="AT263" i="174"/>
  <c r="AT851" i="174"/>
  <c r="AT255" i="174"/>
  <c r="AT703" i="174"/>
  <c r="AT575" i="174"/>
  <c r="AT927" i="174"/>
  <c r="AT831" i="174"/>
  <c r="AT1043" i="174"/>
  <c r="AT955" i="174"/>
  <c r="AT1103" i="174"/>
  <c r="AT1079" i="174"/>
  <c r="AT476" i="174"/>
  <c r="AT284" i="174"/>
  <c r="AT444" i="174"/>
  <c r="AT380" i="174"/>
  <c r="AT636" i="174"/>
  <c r="AT316" i="174"/>
  <c r="AT524" i="174"/>
  <c r="AT604" i="174"/>
  <c r="AT711" i="174"/>
  <c r="AT467" i="174"/>
  <c r="AT787" i="174"/>
  <c r="AT731" i="174"/>
  <c r="AT447" i="174"/>
  <c r="AT767" i="174"/>
  <c r="AT979" i="174"/>
  <c r="AT268" i="174"/>
  <c r="AT396" i="174"/>
  <c r="AT540" i="174"/>
  <c r="AT716" i="174"/>
  <c r="AT652" i="174"/>
  <c r="AT796" i="174"/>
  <c r="AT732" i="174"/>
  <c r="AT252" i="174"/>
  <c r="AT348" i="174"/>
  <c r="AT460" i="174"/>
  <c r="AT572" i="174"/>
  <c r="AT700" i="174"/>
  <c r="AT828" i="174"/>
  <c r="AT332" i="174"/>
  <c r="AT412" i="174"/>
  <c r="AT508" i="174"/>
  <c r="AT588" i="174"/>
  <c r="AT668" i="174"/>
  <c r="AT764" i="174"/>
  <c r="AT972" i="174"/>
  <c r="AT844" i="174"/>
  <c r="AT908" i="174"/>
  <c r="AT924" i="174"/>
  <c r="AT1020" i="174"/>
  <c r="AT1100" i="174"/>
  <c r="AT1052" i="174"/>
  <c r="AT289" i="174"/>
  <c r="AT892" i="174"/>
  <c r="AT988" i="174"/>
  <c r="AT273" i="174"/>
  <c r="AT999" i="174"/>
  <c r="AT385" i="174"/>
  <c r="AT963" i="174"/>
  <c r="AT321" i="174"/>
  <c r="AT481" i="174"/>
  <c r="AT465" i="174"/>
  <c r="AT1084" i="174"/>
  <c r="AT1031" i="174"/>
  <c r="AT353" i="174"/>
  <c r="AT545" i="174"/>
  <c r="AT609" i="174"/>
  <c r="AT449" i="174"/>
  <c r="AT577" i="174"/>
  <c r="AT657" i="174"/>
  <c r="AT401" i="174"/>
  <c r="AT529" i="174"/>
  <c r="AT641" i="174"/>
  <c r="AT721" i="174"/>
  <c r="AT705" i="174"/>
  <c r="AT780" i="174"/>
  <c r="AT860" i="174"/>
  <c r="AT956" i="174"/>
  <c r="AT1036" i="174"/>
  <c r="AT1116" i="174"/>
  <c r="AT1095" i="174"/>
  <c r="AT337" i="174"/>
  <c r="AT417" i="174"/>
  <c r="AT513" i="174"/>
  <c r="AT593" i="174"/>
  <c r="AT673" i="174"/>
  <c r="AT769" i="174"/>
  <c r="AT737" i="174"/>
  <c r="AT801" i="174"/>
  <c r="AT785" i="174"/>
  <c r="AT865" i="174"/>
  <c r="AT833" i="174"/>
  <c r="AT849" i="174"/>
  <c r="AT331" i="174"/>
  <c r="AT891" i="174"/>
  <c r="AT519" i="174"/>
  <c r="AT775" i="174"/>
  <c r="AT403" i="174"/>
  <c r="AT659" i="174"/>
  <c r="AT251" i="174"/>
  <c r="AT907" i="174"/>
  <c r="AT383" i="174"/>
  <c r="AT639" i="174"/>
  <c r="AT895" i="174"/>
  <c r="AT1011" i="174"/>
  <c r="AT1119" i="174"/>
  <c r="AT300" i="174"/>
  <c r="AT364" i="174"/>
  <c r="AT428" i="174"/>
  <c r="AT492" i="174"/>
  <c r="AT556" i="174"/>
  <c r="AT620" i="174"/>
  <c r="AT684" i="174"/>
  <c r="AT748" i="174"/>
  <c r="AT812" i="174"/>
  <c r="AT876" i="174"/>
  <c r="AT940" i="174"/>
  <c r="AT1004" i="174"/>
  <c r="AT1068" i="174"/>
  <c r="AT911" i="174"/>
  <c r="AT1063" i="174"/>
  <c r="AT305" i="174"/>
  <c r="AT369" i="174"/>
  <c r="AT433" i="174"/>
  <c r="AT497" i="174"/>
  <c r="AT561" i="174"/>
  <c r="AT625" i="174"/>
  <c r="AT689" i="174"/>
  <c r="AT753" i="174"/>
  <c r="AT817" i="174"/>
  <c r="AT881" i="174"/>
  <c r="AT945" i="174"/>
  <c r="AT929" i="174"/>
  <c r="AT913" i="174"/>
  <c r="AT1009" i="174"/>
  <c r="AT993" i="174"/>
  <c r="AT977" i="174"/>
  <c r="AT1041" i="174"/>
  <c r="AT897" i="174"/>
  <c r="AT961" i="174"/>
  <c r="AT1025" i="174"/>
  <c r="AT1073" i="174"/>
  <c r="AT1057" i="174"/>
  <c r="AT253" i="174"/>
  <c r="AT1121" i="174"/>
  <c r="AT1105" i="174"/>
  <c r="AT314" i="174"/>
  <c r="AT1089" i="174"/>
  <c r="AT282" i="174"/>
  <c r="AT266" i="174"/>
  <c r="AT362" i="174"/>
  <c r="AT250" i="174"/>
  <c r="AT330" i="174"/>
  <c r="AT426" i="174"/>
  <c r="AT298" i="174"/>
  <c r="AT378" i="174"/>
  <c r="AT394" i="174"/>
  <c r="AT458" i="174"/>
  <c r="AT442" i="174"/>
  <c r="AT346" i="174"/>
  <c r="AT410" i="174"/>
  <c r="AT474" i="174"/>
  <c r="AT490" i="174"/>
  <c r="AT506" i="174"/>
  <c r="AT522" i="174"/>
  <c r="AT538" i="174"/>
  <c r="AT570" i="174"/>
  <c r="AT586" i="174"/>
  <c r="AT602" i="174"/>
  <c r="AT554" i="174"/>
  <c r="AT618" i="174"/>
  <c r="AT634" i="174"/>
  <c r="AT666" i="174"/>
  <c r="AT698" i="174"/>
  <c r="AT714" i="174"/>
  <c r="AT650" i="174"/>
  <c r="AT730" i="174"/>
  <c r="AT682" i="174"/>
  <c r="AT746" i="174"/>
  <c r="AT762" i="174"/>
  <c r="AT794" i="174"/>
  <c r="AT810" i="174"/>
  <c r="AT826" i="174"/>
  <c r="AT778" i="174"/>
  <c r="AT842" i="174"/>
  <c r="AT858" i="174"/>
  <c r="AT874" i="174"/>
  <c r="AT890" i="174"/>
  <c r="AT906" i="174"/>
  <c r="AT922" i="174"/>
  <c r="AT938" i="174"/>
  <c r="AT954" i="174"/>
  <c r="AT986" i="174"/>
  <c r="AT1002" i="174"/>
  <c r="AT1018" i="174"/>
  <c r="AT970" i="174"/>
  <c r="AT1050" i="174"/>
  <c r="AP2" i="174"/>
  <c r="AT267" i="174"/>
  <c r="AT283" i="174"/>
  <c r="AT427" i="174"/>
  <c r="AT523" i="174"/>
  <c r="AT699" i="174"/>
  <c r="AT843" i="174"/>
  <c r="AT311" i="174"/>
  <c r="AT375" i="174"/>
  <c r="AT439" i="174"/>
  <c r="AT503" i="174"/>
  <c r="AT567" i="174"/>
  <c r="AT631" i="174"/>
  <c r="AT695" i="174"/>
  <c r="AT759" i="174"/>
  <c r="AT823" i="174"/>
  <c r="AT887" i="174"/>
  <c r="AT779" i="174"/>
  <c r="AT387" i="174"/>
  <c r="AT451" i="174"/>
  <c r="AT515" i="174"/>
  <c r="AT579" i="174"/>
  <c r="AT643" i="174"/>
  <c r="AT707" i="174"/>
  <c r="AT771" i="174"/>
  <c r="AT835" i="174"/>
  <c r="AT899" i="174"/>
  <c r="AT491" i="174"/>
  <c r="AT603" i="174"/>
  <c r="AT715" i="174"/>
  <c r="AT859" i="174"/>
  <c r="AT275" i="174"/>
  <c r="AT371" i="174"/>
  <c r="AT303" i="174"/>
  <c r="AT367" i="174"/>
  <c r="AT431" i="174"/>
  <c r="AT495" i="174"/>
  <c r="AT559" i="174"/>
  <c r="AT623" i="174"/>
  <c r="AT687" i="174"/>
  <c r="AT751" i="174"/>
  <c r="AT815" i="174"/>
  <c r="AT879" i="174"/>
  <c r="AT923" i="174"/>
  <c r="AT951" i="174"/>
  <c r="AT971" i="174"/>
  <c r="AT1003" i="174"/>
  <c r="AT1035" i="174"/>
  <c r="AT1071" i="174"/>
  <c r="AT1099" i="174"/>
  <c r="AT1115" i="174"/>
  <c r="AT248" i="174"/>
  <c r="AT264" i="174"/>
  <c r="AT280" i="174"/>
  <c r="AT296" i="174"/>
  <c r="AT312" i="174"/>
  <c r="AT328" i="174"/>
  <c r="AT344" i="174"/>
  <c r="AT360" i="174"/>
  <c r="AT376" i="174"/>
  <c r="AT392" i="174"/>
  <c r="AT408" i="174"/>
  <c r="AT424" i="174"/>
  <c r="AT440" i="174"/>
  <c r="AT456" i="174"/>
  <c r="AT472" i="174"/>
  <c r="AT488" i="174"/>
  <c r="AT504" i="174"/>
  <c r="AT520" i="174"/>
  <c r="AT536" i="174"/>
  <c r="AT552" i="174"/>
  <c r="AT568" i="174"/>
  <c r="AT584" i="174"/>
  <c r="AT600" i="174"/>
  <c r="AT616" i="174"/>
  <c r="AT632" i="174"/>
  <c r="AT648" i="174"/>
  <c r="AT664" i="174"/>
  <c r="AT680" i="174"/>
  <c r="AT696" i="174"/>
  <c r="AT712" i="174"/>
  <c r="AT728" i="174"/>
  <c r="AT744" i="174"/>
  <c r="AT760" i="174"/>
  <c r="AT776" i="174"/>
  <c r="AT792" i="174"/>
  <c r="AT808" i="174"/>
  <c r="AT824" i="174"/>
  <c r="AT840" i="174"/>
  <c r="AT856" i="174"/>
  <c r="AT872" i="174"/>
  <c r="AT888" i="174"/>
  <c r="AT904" i="174"/>
  <c r="AT920" i="174"/>
  <c r="AT936" i="174"/>
  <c r="AT952" i="174"/>
  <c r="AT968" i="174"/>
  <c r="AT984" i="174"/>
  <c r="AT1000" i="174"/>
  <c r="AT1016" i="174"/>
  <c r="AT1032" i="174"/>
  <c r="AT1048" i="174"/>
  <c r="AT1064" i="174"/>
  <c r="AT1080" i="174"/>
  <c r="AT1096" i="174"/>
  <c r="AT1112" i="174"/>
  <c r="AT1128" i="174"/>
  <c r="AT947" i="174"/>
  <c r="AT991" i="174"/>
  <c r="AT1023" i="174"/>
  <c r="AT1051" i="174"/>
  <c r="AT1087" i="174"/>
  <c r="AT265" i="174"/>
  <c r="AT285" i="174"/>
  <c r="AT301" i="174"/>
  <c r="AT317" i="174"/>
  <c r="AT333" i="174"/>
  <c r="AT349" i="174"/>
  <c r="AT365" i="174"/>
  <c r="AT381" i="174"/>
  <c r="AT397" i="174"/>
  <c r="AT413" i="174"/>
  <c r="AT429" i="174"/>
  <c r="AT445" i="174"/>
  <c r="AT461" i="174"/>
  <c r="AT477" i="174"/>
  <c r="AT493" i="174"/>
  <c r="AT509" i="174"/>
  <c r="AT525" i="174"/>
  <c r="AT541" i="174"/>
  <c r="AT557" i="174"/>
  <c r="AT573" i="174"/>
  <c r="AT589" i="174"/>
  <c r="AT605" i="174"/>
  <c r="AT621" i="174"/>
  <c r="AT637" i="174"/>
  <c r="AT653" i="174"/>
  <c r="AT669" i="174"/>
  <c r="AT685" i="174"/>
  <c r="AT701" i="174"/>
  <c r="AT717" i="174"/>
  <c r="AT733" i="174"/>
  <c r="AT749" i="174"/>
  <c r="AT765" i="174"/>
  <c r="AT781" i="174"/>
  <c r="AT797" i="174"/>
  <c r="AT813" i="174"/>
  <c r="AT829" i="174"/>
  <c r="AT845" i="174"/>
  <c r="AT861" i="174"/>
  <c r="AT877" i="174"/>
  <c r="AT893" i="174"/>
  <c r="AT909" i="174"/>
  <c r="AT925" i="174"/>
  <c r="AT941" i="174"/>
  <c r="AT957" i="174"/>
  <c r="AT973" i="174"/>
  <c r="AT989" i="174"/>
  <c r="AT1005" i="174"/>
  <c r="AT1021" i="174"/>
  <c r="AT1037" i="174"/>
  <c r="AT1053" i="174"/>
  <c r="AT1069" i="174"/>
  <c r="AT1085" i="174"/>
  <c r="AT1101" i="174"/>
  <c r="AT1117" i="174"/>
  <c r="AT245" i="174"/>
  <c r="AT246" i="174"/>
  <c r="AT262" i="174"/>
  <c r="AT278" i="174"/>
  <c r="AT294" i="174"/>
  <c r="AT310" i="174"/>
  <c r="AT326" i="174"/>
  <c r="AT342" i="174"/>
  <c r="AT358" i="174"/>
  <c r="AT374" i="174"/>
  <c r="AT390" i="174"/>
  <c r="AT406" i="174"/>
  <c r="AT422" i="174"/>
  <c r="AT438" i="174"/>
  <c r="AT454" i="174"/>
  <c r="AT470" i="174"/>
  <c r="AT486" i="174"/>
  <c r="AT502" i="174"/>
  <c r="AT518" i="174"/>
  <c r="AT534" i="174"/>
  <c r="AT550" i="174"/>
  <c r="AT566" i="174"/>
  <c r="AT582" i="174"/>
  <c r="AT598" i="174"/>
  <c r="AT614" i="174"/>
  <c r="AT630" i="174"/>
  <c r="AT646" i="174"/>
  <c r="AT662" i="174"/>
  <c r="AT678" i="174"/>
  <c r="AT694" i="174"/>
  <c r="AT710" i="174"/>
  <c r="AT726" i="174"/>
  <c r="AT742" i="174"/>
  <c r="AT758" i="174"/>
  <c r="AT774" i="174"/>
  <c r="AT790" i="174"/>
  <c r="AT806" i="174"/>
  <c r="AT822" i="174"/>
  <c r="AT838" i="174"/>
  <c r="AT854" i="174"/>
  <c r="AT870" i="174"/>
  <c r="AT886" i="174"/>
  <c r="AT902" i="174"/>
  <c r="AT918" i="174"/>
  <c r="AT934" i="174"/>
  <c r="AT950" i="174"/>
  <c r="AT966" i="174"/>
  <c r="AT982" i="174"/>
  <c r="AT998" i="174"/>
  <c r="AT1014" i="174"/>
  <c r="AT1030" i="174"/>
  <c r="AT1046" i="174"/>
  <c r="AT1062" i="174"/>
  <c r="AT1094" i="174"/>
  <c r="AT1034" i="174"/>
  <c r="AT1066" i="174"/>
  <c r="AT875" i="174"/>
  <c r="AT395" i="174"/>
  <c r="AT507" i="174"/>
  <c r="AT667" i="174"/>
  <c r="AT811" i="174"/>
  <c r="AT279" i="174"/>
  <c r="AT359" i="174"/>
  <c r="AT423" i="174"/>
  <c r="AT487" i="174"/>
  <c r="AT551" i="174"/>
  <c r="AT615" i="174"/>
  <c r="AT679" i="174"/>
  <c r="AT743" i="174"/>
  <c r="AT807" i="174"/>
  <c r="AT871" i="174"/>
  <c r="AT363" i="174"/>
  <c r="AT323" i="174"/>
  <c r="AT435" i="174"/>
  <c r="AT499" i="174"/>
  <c r="AT563" i="174"/>
  <c r="AT627" i="174"/>
  <c r="AT691" i="174"/>
  <c r="AT755" i="174"/>
  <c r="AT819" i="174"/>
  <c r="AT883" i="174"/>
  <c r="AT459" i="174"/>
  <c r="AT571" i="174"/>
  <c r="AT683" i="174"/>
  <c r="AT827" i="174"/>
  <c r="AT259" i="174"/>
  <c r="AT355" i="174"/>
  <c r="AT287" i="174"/>
  <c r="AT351" i="174"/>
  <c r="AT415" i="174"/>
  <c r="AT479" i="174"/>
  <c r="AT543" i="174"/>
  <c r="AT607" i="174"/>
  <c r="AT671" i="174"/>
  <c r="AT735" i="174"/>
  <c r="AT799" i="174"/>
  <c r="AT863" i="174"/>
  <c r="AT919" i="174"/>
  <c r="AT943" i="174"/>
  <c r="AT967" i="174"/>
  <c r="AT995" i="174"/>
  <c r="AT1027" i="174"/>
  <c r="AT1059" i="174"/>
  <c r="AT1091" i="174"/>
  <c r="AT1111" i="174"/>
  <c r="AT1127" i="174"/>
  <c r="AT260" i="174"/>
  <c r="AT276" i="174"/>
  <c r="AT292" i="174"/>
  <c r="AT308" i="174"/>
  <c r="AT324" i="174"/>
  <c r="AT340" i="174"/>
  <c r="AT356" i="174"/>
  <c r="AT372" i="174"/>
  <c r="AT388" i="174"/>
  <c r="AT404" i="174"/>
  <c r="AT420" i="174"/>
  <c r="AT436" i="174"/>
  <c r="AT452" i="174"/>
  <c r="AT468" i="174"/>
  <c r="AT484" i="174"/>
  <c r="AT500" i="174"/>
  <c r="AT516" i="174"/>
  <c r="AT532" i="174"/>
  <c r="AT548" i="174"/>
  <c r="AT564" i="174"/>
  <c r="AT580" i="174"/>
  <c r="AT596" i="174"/>
  <c r="AT612" i="174"/>
  <c r="AT628" i="174"/>
  <c r="AT644" i="174"/>
  <c r="AT660" i="174"/>
  <c r="AT676" i="174"/>
  <c r="AT692" i="174"/>
  <c r="AT708" i="174"/>
  <c r="AT724" i="174"/>
  <c r="AT740" i="174"/>
  <c r="AT756" i="174"/>
  <c r="AT772" i="174"/>
  <c r="AT788" i="174"/>
  <c r="AT804" i="174"/>
  <c r="AT820" i="174"/>
  <c r="AT836" i="174"/>
  <c r="AT852" i="174"/>
  <c r="AT868" i="174"/>
  <c r="AT884" i="174"/>
  <c r="AT900" i="174"/>
  <c r="AT916" i="174"/>
  <c r="AT932" i="174"/>
  <c r="AT948" i="174"/>
  <c r="AT964" i="174"/>
  <c r="AT980" i="174"/>
  <c r="AT996" i="174"/>
  <c r="AT1012" i="174"/>
  <c r="AT1028" i="174"/>
  <c r="AT1044" i="174"/>
  <c r="AT1060" i="174"/>
  <c r="AT1076" i="174"/>
  <c r="AT1092" i="174"/>
  <c r="AT1108" i="174"/>
  <c r="AT1124" i="174"/>
  <c r="AT939" i="174"/>
  <c r="AT983" i="174"/>
  <c r="AT1015" i="174"/>
  <c r="AT1047" i="174"/>
  <c r="AT1075" i="174"/>
  <c r="AT261" i="174"/>
  <c r="AT281" i="174"/>
  <c r="AT297" i="174"/>
  <c r="AT313" i="174"/>
  <c r="AT329" i="174"/>
  <c r="AT345" i="174"/>
  <c r="AT361" i="174"/>
  <c r="AT377" i="174"/>
  <c r="AT393" i="174"/>
  <c r="AT409" i="174"/>
  <c r="AT425" i="174"/>
  <c r="AT441" i="174"/>
  <c r="AT457" i="174"/>
  <c r="AT473" i="174"/>
  <c r="AT489" i="174"/>
  <c r="AT505" i="174"/>
  <c r="AT521" i="174"/>
  <c r="AT537" i="174"/>
  <c r="AT553" i="174"/>
  <c r="AT569" i="174"/>
  <c r="AT585" i="174"/>
  <c r="AT601" i="174"/>
  <c r="AT617" i="174"/>
  <c r="AT633" i="174"/>
  <c r="AT649" i="174"/>
  <c r="AT665" i="174"/>
  <c r="AT681" i="174"/>
  <c r="AT697" i="174"/>
  <c r="AT713" i="174"/>
  <c r="AT729" i="174"/>
  <c r="AT745" i="174"/>
  <c r="AT761" i="174"/>
  <c r="AT777" i="174"/>
  <c r="AT793" i="174"/>
  <c r="AT809" i="174"/>
  <c r="AT825" i="174"/>
  <c r="AT841" i="174"/>
  <c r="AT857" i="174"/>
  <c r="AT873" i="174"/>
  <c r="AT889" i="174"/>
  <c r="AT905" i="174"/>
  <c r="AT921" i="174"/>
  <c r="AT937" i="174"/>
  <c r="AT953" i="174"/>
  <c r="AT969" i="174"/>
  <c r="AT985" i="174"/>
  <c r="AT1001" i="174"/>
  <c r="AT1017" i="174"/>
  <c r="AT1033" i="174"/>
  <c r="AT1049" i="174"/>
  <c r="AT1065" i="174"/>
  <c r="AT1081" i="174"/>
  <c r="AT1097" i="174"/>
  <c r="AT1113" i="174"/>
  <c r="AT1129" i="174"/>
  <c r="AT269" i="174"/>
  <c r="AT258" i="174"/>
  <c r="AT274" i="174"/>
  <c r="AT290" i="174"/>
  <c r="AT306" i="174"/>
  <c r="AT322" i="174"/>
  <c r="AT338" i="174"/>
  <c r="AT354" i="174"/>
  <c r="AT370" i="174"/>
  <c r="AT386" i="174"/>
  <c r="AT402" i="174"/>
  <c r="AT418" i="174"/>
  <c r="AT434" i="174"/>
  <c r="AT450" i="174"/>
  <c r="AT466" i="174"/>
  <c r="AT482" i="174"/>
  <c r="AT498" i="174"/>
  <c r="AT514" i="174"/>
  <c r="AT530" i="174"/>
  <c r="AT546" i="174"/>
  <c r="AT562" i="174"/>
  <c r="AT578" i="174"/>
  <c r="AT594" i="174"/>
  <c r="AT610" i="174"/>
  <c r="AT626" i="174"/>
  <c r="AT642" i="174"/>
  <c r="AT658" i="174"/>
  <c r="AT674" i="174"/>
  <c r="AT690" i="174"/>
  <c r="AT706" i="174"/>
  <c r="AT722" i="174"/>
  <c r="AT738" i="174"/>
  <c r="AT754" i="174"/>
  <c r="AT770" i="174"/>
  <c r="AT786" i="174"/>
  <c r="AT802" i="174"/>
  <c r="AT818" i="174"/>
  <c r="AT834" i="174"/>
  <c r="AT850" i="174"/>
  <c r="AT866" i="174"/>
  <c r="AT882" i="174"/>
  <c r="AT898" i="174"/>
  <c r="AT914" i="174"/>
  <c r="AT930" i="174"/>
  <c r="AT946" i="174"/>
  <c r="AT962" i="174"/>
  <c r="AT978" i="174"/>
  <c r="AT994" i="174"/>
  <c r="AT1010" i="174"/>
  <c r="AT1026" i="174"/>
  <c r="AT1042" i="174"/>
  <c r="AT1058" i="174"/>
  <c r="AT1074" i="174"/>
  <c r="AT379" i="174"/>
  <c r="AT347" i="174"/>
  <c r="AT475" i="174"/>
  <c r="AT651" i="174"/>
  <c r="AT763" i="174"/>
  <c r="AT247" i="174"/>
  <c r="AT343" i="174"/>
  <c r="AT407" i="174"/>
  <c r="AT471" i="174"/>
  <c r="AT535" i="174"/>
  <c r="AT599" i="174"/>
  <c r="AT663" i="174"/>
  <c r="AT727" i="174"/>
  <c r="AT791" i="174"/>
  <c r="AT855" i="174"/>
  <c r="AT299" i="174"/>
  <c r="AT307" i="174"/>
  <c r="AT419" i="174"/>
  <c r="AT483" i="174"/>
  <c r="AT547" i="174"/>
  <c r="AT611" i="174"/>
  <c r="AT675" i="174"/>
  <c r="AT739" i="174"/>
  <c r="AT803" i="174"/>
  <c r="AT867" i="174"/>
  <c r="AT411" i="174"/>
  <c r="AT555" i="174"/>
  <c r="AT635" i="174"/>
  <c r="AT795" i="174"/>
  <c r="AT295" i="174"/>
  <c r="AT339" i="174"/>
  <c r="AT271" i="174"/>
  <c r="AT335" i="174"/>
  <c r="AT399" i="174"/>
  <c r="AT463" i="174"/>
  <c r="AT527" i="174"/>
  <c r="AT591" i="174"/>
  <c r="AT655" i="174"/>
  <c r="AT719" i="174"/>
  <c r="AT783" i="174"/>
  <c r="AT847" i="174"/>
  <c r="AT915" i="174"/>
  <c r="AT935" i="174"/>
  <c r="AT959" i="174"/>
  <c r="AT987" i="174"/>
  <c r="AT1019" i="174"/>
  <c r="AT1055" i="174"/>
  <c r="AT1083" i="174"/>
  <c r="AT1107" i="174"/>
  <c r="AT1123" i="174"/>
  <c r="AT256" i="174"/>
  <c r="AT272" i="174"/>
  <c r="AT288" i="174"/>
  <c r="AT304" i="174"/>
  <c r="AT320" i="174"/>
  <c r="AT336" i="174"/>
  <c r="AT352" i="174"/>
  <c r="AT368" i="174"/>
  <c r="AT384" i="174"/>
  <c r="AT400" i="174"/>
  <c r="AT416" i="174"/>
  <c r="AT432" i="174"/>
  <c r="AT448" i="174"/>
  <c r="AT464" i="174"/>
  <c r="AT480" i="174"/>
  <c r="AT496" i="174"/>
  <c r="AT512" i="174"/>
  <c r="AT528" i="174"/>
  <c r="AT544" i="174"/>
  <c r="AT560" i="174"/>
  <c r="AT576" i="174"/>
  <c r="AT592" i="174"/>
  <c r="AT608" i="174"/>
  <c r="AT624" i="174"/>
  <c r="AT640" i="174"/>
  <c r="AT656" i="174"/>
  <c r="AT672" i="174"/>
  <c r="AT688" i="174"/>
  <c r="AT704" i="174"/>
  <c r="AT720" i="174"/>
  <c r="AT736" i="174"/>
  <c r="AT752" i="174"/>
  <c r="AT768" i="174"/>
  <c r="AT784" i="174"/>
  <c r="AT800" i="174"/>
  <c r="AT816" i="174"/>
  <c r="AT832" i="174"/>
  <c r="AT848" i="174"/>
  <c r="AT864" i="174"/>
  <c r="AT880" i="174"/>
  <c r="AT896" i="174"/>
  <c r="AT912" i="174"/>
  <c r="AT928" i="174"/>
  <c r="AT944" i="174"/>
  <c r="AT960" i="174"/>
  <c r="AT976" i="174"/>
  <c r="AT992" i="174"/>
  <c r="AT1008" i="174"/>
  <c r="AT1024" i="174"/>
  <c r="AT1040" i="174"/>
  <c r="AT1056" i="174"/>
  <c r="AT1072" i="174"/>
  <c r="AT1088" i="174"/>
  <c r="AT1104" i="174"/>
  <c r="AT1120" i="174"/>
  <c r="AT931" i="174"/>
  <c r="AT975" i="174"/>
  <c r="AT1007" i="174"/>
  <c r="AT1039" i="174"/>
  <c r="AT1067" i="174"/>
  <c r="AT249" i="174"/>
  <c r="AT277" i="174"/>
  <c r="AT293" i="174"/>
  <c r="AT309" i="174"/>
  <c r="AT325" i="174"/>
  <c r="AT341" i="174"/>
  <c r="AT357" i="174"/>
  <c r="AT373" i="174"/>
  <c r="AT389" i="174"/>
  <c r="AT405" i="174"/>
  <c r="AT421" i="174"/>
  <c r="AT437" i="174"/>
  <c r="AT453" i="174"/>
  <c r="AT469" i="174"/>
  <c r="AT485" i="174"/>
  <c r="AT501" i="174"/>
  <c r="AT517" i="174"/>
  <c r="AT533" i="174"/>
  <c r="AT549" i="174"/>
  <c r="AT565" i="174"/>
  <c r="AT581" i="174"/>
  <c r="AT597" i="174"/>
  <c r="AT613" i="174"/>
  <c r="AT629" i="174"/>
  <c r="AT645" i="174"/>
  <c r="AT661" i="174"/>
  <c r="AT677" i="174"/>
  <c r="AT693" i="174"/>
  <c r="AT709" i="174"/>
  <c r="AT725" i="174"/>
  <c r="AT741" i="174"/>
  <c r="AT757" i="174"/>
  <c r="AT773" i="174"/>
  <c r="AT789" i="174"/>
  <c r="AT805" i="174"/>
  <c r="AT821" i="174"/>
  <c r="AT837" i="174"/>
  <c r="AT853" i="174"/>
  <c r="AT869" i="174"/>
  <c r="AT885" i="174"/>
  <c r="AT901" i="174"/>
  <c r="AT917" i="174"/>
  <c r="AT933" i="174"/>
  <c r="AT949" i="174"/>
  <c r="AT965" i="174"/>
  <c r="AT981" i="174"/>
  <c r="AT997" i="174"/>
  <c r="AT1013" i="174"/>
  <c r="AT1029" i="174"/>
  <c r="AT1045" i="174"/>
  <c r="AT1061" i="174"/>
  <c r="AT1077" i="174"/>
  <c r="AT1093" i="174"/>
  <c r="AT1109" i="174"/>
  <c r="AT1125" i="174"/>
  <c r="AT257" i="174"/>
  <c r="AT254" i="174"/>
  <c r="AT270" i="174"/>
  <c r="AT286" i="174"/>
  <c r="AT302" i="174"/>
  <c r="AT318" i="174"/>
  <c r="AT334" i="174"/>
  <c r="AT350" i="174"/>
  <c r="AT366" i="174"/>
  <c r="AT382" i="174"/>
  <c r="AT398" i="174"/>
  <c r="AT414" i="174"/>
  <c r="AT430" i="174"/>
  <c r="AT446" i="174"/>
  <c r="AT462" i="174"/>
  <c r="AT478" i="174"/>
  <c r="AT494" i="174"/>
  <c r="AT510" i="174"/>
  <c r="AT526" i="174"/>
  <c r="AT542" i="174"/>
  <c r="AT558" i="174"/>
  <c r="AT574" i="174"/>
  <c r="AT590" i="174"/>
  <c r="AT606" i="174"/>
  <c r="AT622" i="174"/>
  <c r="AT638" i="174"/>
  <c r="AT654" i="174"/>
  <c r="AT670" i="174"/>
  <c r="AT686" i="174"/>
  <c r="AT702" i="174"/>
  <c r="AT718" i="174"/>
  <c r="AT734" i="174"/>
  <c r="AT750" i="174"/>
  <c r="AT766" i="174"/>
  <c r="AT782" i="174"/>
  <c r="AT798" i="174"/>
  <c r="AT814" i="174"/>
  <c r="AT830" i="174"/>
  <c r="AT846" i="174"/>
  <c r="AT862" i="174"/>
  <c r="AT878" i="174"/>
  <c r="AT894" i="174"/>
  <c r="AT910" i="174"/>
  <c r="AT926" i="174"/>
  <c r="AT942" i="174"/>
  <c r="AT958" i="174"/>
  <c r="AT974" i="174"/>
  <c r="AT990" i="174"/>
  <c r="AT1006" i="174"/>
  <c r="AT1022" i="174"/>
  <c r="AT1038" i="174"/>
  <c r="AT1054" i="174"/>
  <c r="AT1070" i="174"/>
  <c r="AT1082" i="174"/>
  <c r="AT1118" i="174"/>
  <c r="AT1078" i="174"/>
  <c r="AT1102" i="174"/>
  <c r="AT1098" i="174"/>
  <c r="AT1114" i="174"/>
  <c r="AT1086" i="174"/>
  <c r="AT1110" i="174"/>
  <c r="AT1130" i="174"/>
  <c r="AT1126" i="174"/>
  <c r="AT1090" i="174"/>
  <c r="AT1106" i="174"/>
  <c r="AT1122" i="174"/>
  <c r="E43" i="21"/>
  <c r="E44" i="21"/>
  <c r="E42" i="21"/>
  <c r="F5" i="162"/>
  <c r="I14" i="124"/>
  <c r="D142" i="21"/>
  <c r="D143" i="21" s="1"/>
  <c r="S39" i="54"/>
  <c r="O39" i="54"/>
  <c r="R39" i="54"/>
  <c r="P39" i="54"/>
  <c r="Q39" i="54"/>
  <c r="F37" i="21"/>
  <c r="F41" i="21"/>
  <c r="AT2" i="174" l="1"/>
  <c r="F44" i="21"/>
  <c r="F42" i="21"/>
  <c r="F43" i="21"/>
  <c r="H11" i="115"/>
  <c r="I11" i="115" s="1"/>
  <c r="J14" i="124"/>
  <c r="J11" i="124" s="1"/>
  <c r="I11" i="124"/>
  <c r="K10" i="186" s="1"/>
  <c r="D145" i="21"/>
  <c r="E117" i="21"/>
  <c r="D118" i="21"/>
  <c r="D119" i="21" s="1"/>
  <c r="AC36" i="174" s="1"/>
  <c r="D23" i="21"/>
  <c r="E23" i="21" s="1"/>
  <c r="F23" i="21" s="1"/>
  <c r="G23" i="21" s="1"/>
  <c r="H23" i="21" s="1"/>
  <c r="I23" i="21" s="1"/>
  <c r="J23" i="21" s="1"/>
  <c r="K23" i="21" s="1"/>
  <c r="L23" i="21" s="1"/>
  <c r="D78" i="21"/>
  <c r="E78" i="21" s="1"/>
  <c r="F78" i="21" s="1"/>
  <c r="G78" i="21" s="1"/>
  <c r="H78" i="21" s="1"/>
  <c r="I78" i="21" s="1"/>
  <c r="J78" i="21" s="1"/>
  <c r="K78" i="21" s="1"/>
  <c r="L78" i="21" s="1"/>
  <c r="M78" i="21" s="1"/>
  <c r="N78" i="21" s="1"/>
  <c r="O78" i="21" s="1"/>
  <c r="P78" i="21" s="1"/>
  <c r="P79" i="21" s="1"/>
  <c r="P258" i="21" s="1"/>
  <c r="E58" i="21"/>
  <c r="F58" i="21" s="1"/>
  <c r="G58" i="21" s="1"/>
  <c r="H58" i="21" s="1"/>
  <c r="I58" i="21" s="1"/>
  <c r="J58" i="21" s="1"/>
  <c r="K58" i="21" s="1"/>
  <c r="L58" i="21" s="1"/>
  <c r="M58" i="21" s="1"/>
  <c r="N58" i="21" s="1"/>
  <c r="O58" i="21" s="1"/>
  <c r="P58" i="21" s="1"/>
  <c r="D51" i="21"/>
  <c r="E51" i="21" s="1"/>
  <c r="F51" i="21" s="1"/>
  <c r="G51" i="21" s="1"/>
  <c r="H51" i="21" s="1"/>
  <c r="I51" i="21" s="1"/>
  <c r="J51" i="21" s="1"/>
  <c r="K51" i="21" s="1"/>
  <c r="L51" i="21" s="1"/>
  <c r="M51" i="21" s="1"/>
  <c r="D20" i="21"/>
  <c r="E20" i="21" s="1"/>
  <c r="F20" i="21" s="1"/>
  <c r="G20" i="21" s="1"/>
  <c r="H20" i="21" s="1"/>
  <c r="I20" i="21" s="1"/>
  <c r="J20" i="21" s="1"/>
  <c r="K20" i="21" s="1"/>
  <c r="L20" i="21" s="1"/>
  <c r="M20" i="21" s="1"/>
  <c r="N20" i="21" s="1"/>
  <c r="O20" i="21" s="1"/>
  <c r="P20" i="21" s="1"/>
  <c r="G37" i="21"/>
  <c r="G41" i="21"/>
  <c r="E16" i="21"/>
  <c r="E14" i="21"/>
  <c r="E15" i="21" s="1"/>
  <c r="E236" i="21" s="1"/>
  <c r="D13" i="21"/>
  <c r="G43" i="21" l="1"/>
  <c r="G44" i="21"/>
  <c r="G42" i="21"/>
  <c r="H20" i="115"/>
  <c r="M5" i="117"/>
  <c r="D24" i="21"/>
  <c r="D239" i="21" s="1"/>
  <c r="D17" i="21"/>
  <c r="D237" i="21" s="1"/>
  <c r="D185" i="21"/>
  <c r="F25" i="78"/>
  <c r="F117" i="21"/>
  <c r="E118" i="21"/>
  <c r="E119" i="21" s="1"/>
  <c r="E81" i="21"/>
  <c r="F81" i="21" s="1"/>
  <c r="G81" i="21" s="1"/>
  <c r="H81" i="21" s="1"/>
  <c r="I81" i="21" s="1"/>
  <c r="J81" i="21" s="1"/>
  <c r="K81" i="21" s="1"/>
  <c r="L81" i="21" s="1"/>
  <c r="M81" i="21" s="1"/>
  <c r="N81" i="21" s="1"/>
  <c r="O81" i="21" s="1"/>
  <c r="P81" i="21" s="1"/>
  <c r="P82" i="21" s="1"/>
  <c r="D82" i="21"/>
  <c r="D259" i="21" s="1"/>
  <c r="K21" i="21"/>
  <c r="K238" i="21" s="1"/>
  <c r="M21" i="21"/>
  <c r="M238" i="21" s="1"/>
  <c r="F21" i="21"/>
  <c r="F238" i="21" s="1"/>
  <c r="G21" i="21"/>
  <c r="G238" i="21" s="1"/>
  <c r="I21" i="21"/>
  <c r="I238" i="21" s="1"/>
  <c r="P21" i="21"/>
  <c r="P238" i="21" s="1"/>
  <c r="E21" i="21"/>
  <c r="E238" i="21" s="1"/>
  <c r="H21" i="21"/>
  <c r="H238" i="21" s="1"/>
  <c r="O21" i="21"/>
  <c r="O238" i="21" s="1"/>
  <c r="J21" i="21"/>
  <c r="J238" i="21" s="1"/>
  <c r="N21" i="21"/>
  <c r="N238" i="21" s="1"/>
  <c r="L21" i="21"/>
  <c r="L238" i="21" s="1"/>
  <c r="L79" i="21"/>
  <c r="L258" i="21" s="1"/>
  <c r="D79" i="21"/>
  <c r="D258" i="21" s="1"/>
  <c r="G79" i="21"/>
  <c r="G258" i="21" s="1"/>
  <c r="K79" i="21"/>
  <c r="K258" i="21" s="1"/>
  <c r="E79" i="21"/>
  <c r="E258" i="21" s="1"/>
  <c r="H79" i="21"/>
  <c r="H258" i="21" s="1"/>
  <c r="F79" i="21"/>
  <c r="F258" i="21" s="1"/>
  <c r="J79" i="21"/>
  <c r="J258" i="21" s="1"/>
  <c r="N79" i="21"/>
  <c r="N258" i="21" s="1"/>
  <c r="I79" i="21"/>
  <c r="I258" i="21" s="1"/>
  <c r="M79" i="21"/>
  <c r="M258" i="21" s="1"/>
  <c r="O79" i="21"/>
  <c r="O258" i="21" s="1"/>
  <c r="H37" i="21"/>
  <c r="H41" i="21"/>
  <c r="N51" i="21"/>
  <c r="F14" i="21"/>
  <c r="G14" i="21" s="1"/>
  <c r="H14" i="21" s="1"/>
  <c r="I14" i="21" s="1"/>
  <c r="J14" i="21" s="1"/>
  <c r="K14" i="21" s="1"/>
  <c r="L14" i="21" s="1"/>
  <c r="M14" i="21" s="1"/>
  <c r="N14" i="21" s="1"/>
  <c r="O14" i="21" s="1"/>
  <c r="P14" i="21" s="1"/>
  <c r="P15" i="21" s="1"/>
  <c r="P236" i="21" s="1"/>
  <c r="E17" i="21"/>
  <c r="E24" i="21"/>
  <c r="E239" i="21" s="1"/>
  <c r="M23" i="21"/>
  <c r="N23" i="21" s="1"/>
  <c r="F16" i="21"/>
  <c r="D15" i="21"/>
  <c r="D236" i="21" s="1"/>
  <c r="AC35" i="174" l="1"/>
  <c r="AA35" i="174" s="1"/>
  <c r="F26" i="78"/>
  <c r="I2" i="117"/>
  <c r="H44" i="21"/>
  <c r="H43" i="21"/>
  <c r="H42" i="21"/>
  <c r="D255" i="21"/>
  <c r="AN39" i="174" s="1"/>
  <c r="Q230" i="21"/>
  <c r="P83" i="21"/>
  <c r="P259" i="21"/>
  <c r="P255" i="21" s="1"/>
  <c r="E18" i="21"/>
  <c r="E237" i="21"/>
  <c r="G20" i="157"/>
  <c r="B20" i="157" s="1"/>
  <c r="F25" i="102"/>
  <c r="G20" i="115"/>
  <c r="I20" i="115" s="1"/>
  <c r="X25" i="102"/>
  <c r="D21" i="21"/>
  <c r="F82" i="21"/>
  <c r="I82" i="21"/>
  <c r="D83" i="21"/>
  <c r="G117" i="21"/>
  <c r="F118" i="21"/>
  <c r="F119" i="21" s="1"/>
  <c r="L82" i="21"/>
  <c r="M82" i="21"/>
  <c r="K82" i="21"/>
  <c r="N82" i="21"/>
  <c r="O82" i="21"/>
  <c r="G82" i="21"/>
  <c r="E82" i="21"/>
  <c r="J82" i="21"/>
  <c r="H82" i="21"/>
  <c r="E25" i="21"/>
  <c r="O51" i="21"/>
  <c r="I37" i="21"/>
  <c r="I41" i="21"/>
  <c r="G15" i="21"/>
  <c r="G236" i="21" s="1"/>
  <c r="M15" i="21"/>
  <c r="M236" i="21" s="1"/>
  <c r="I15" i="21"/>
  <c r="I236" i="21" s="1"/>
  <c r="F15" i="21"/>
  <c r="F236" i="21" s="1"/>
  <c r="H15" i="21"/>
  <c r="H236" i="21" s="1"/>
  <c r="K15" i="21"/>
  <c r="K236" i="21" s="1"/>
  <c r="N15" i="21"/>
  <c r="N236" i="21" s="1"/>
  <c r="L15" i="21"/>
  <c r="L236" i="21" s="1"/>
  <c r="O15" i="21"/>
  <c r="O236" i="21" s="1"/>
  <c r="J15" i="21"/>
  <c r="J236" i="21" s="1"/>
  <c r="D18" i="21"/>
  <c r="G16" i="21"/>
  <c r="F24" i="21"/>
  <c r="F17" i="21"/>
  <c r="F237" i="21" s="1"/>
  <c r="O23" i="21"/>
  <c r="BM35" i="174" l="1"/>
  <c r="AE39" i="174"/>
  <c r="AB39" i="174" s="1"/>
  <c r="I44" i="21"/>
  <c r="I43" i="21"/>
  <c r="I42" i="21"/>
  <c r="E26" i="21"/>
  <c r="D84" i="21"/>
  <c r="F30" i="83" s="1"/>
  <c r="G18" i="115" s="1"/>
  <c r="D199" i="21"/>
  <c r="P84" i="21"/>
  <c r="P199" i="21"/>
  <c r="Y25" i="102"/>
  <c r="E235" i="21"/>
  <c r="Q208" i="21"/>
  <c r="O83" i="21"/>
  <c r="O259" i="21"/>
  <c r="O255" i="21" s="1"/>
  <c r="G83" i="21"/>
  <c r="G259" i="21"/>
  <c r="G255" i="21" s="1"/>
  <c r="M83" i="21"/>
  <c r="M259" i="21"/>
  <c r="M255" i="21" s="1"/>
  <c r="J83" i="21"/>
  <c r="J259" i="21"/>
  <c r="J255" i="21" s="1"/>
  <c r="N83" i="21"/>
  <c r="N259" i="21"/>
  <c r="N255" i="21" s="1"/>
  <c r="F83" i="21"/>
  <c r="F259" i="21"/>
  <c r="F255" i="21" s="1"/>
  <c r="H83" i="21"/>
  <c r="H259" i="21"/>
  <c r="H255" i="21" s="1"/>
  <c r="L83" i="21"/>
  <c r="L259" i="21"/>
  <c r="L255" i="21" s="1"/>
  <c r="I83" i="21"/>
  <c r="I259" i="21"/>
  <c r="I255" i="21" s="1"/>
  <c r="F25" i="21"/>
  <c r="F239" i="21"/>
  <c r="E83" i="21"/>
  <c r="E259" i="21"/>
  <c r="K83" i="21"/>
  <c r="K259" i="21"/>
  <c r="K255" i="21" s="1"/>
  <c r="D25" i="21"/>
  <c r="D238" i="21"/>
  <c r="I20" i="157"/>
  <c r="X26" i="102"/>
  <c r="F26" i="102"/>
  <c r="F24" i="78"/>
  <c r="H18" i="115"/>
  <c r="H117" i="21"/>
  <c r="G118" i="21"/>
  <c r="G119" i="21" s="1"/>
  <c r="R84" i="21"/>
  <c r="P51" i="21"/>
  <c r="J41" i="21"/>
  <c r="J37" i="21"/>
  <c r="F18" i="21"/>
  <c r="H16" i="21"/>
  <c r="G24" i="21"/>
  <c r="G17" i="21"/>
  <c r="P23" i="21"/>
  <c r="F26" i="21" l="1"/>
  <c r="J44" i="21"/>
  <c r="J43" i="21"/>
  <c r="J42" i="21"/>
  <c r="D26" i="21"/>
  <c r="E84" i="21"/>
  <c r="E199" i="21"/>
  <c r="I84" i="21"/>
  <c r="I199" i="21"/>
  <c r="H84" i="21"/>
  <c r="H199" i="21"/>
  <c r="N84" i="21"/>
  <c r="N199" i="21"/>
  <c r="M84" i="21"/>
  <c r="M199" i="21"/>
  <c r="O84" i="21"/>
  <c r="O199" i="21"/>
  <c r="K84" i="21"/>
  <c r="K199" i="21"/>
  <c r="L84" i="21"/>
  <c r="L199" i="21"/>
  <c r="F84" i="21"/>
  <c r="F199" i="21"/>
  <c r="J84" i="21"/>
  <c r="J199" i="21"/>
  <c r="G84" i="21"/>
  <c r="G199" i="21"/>
  <c r="F235" i="21"/>
  <c r="D235" i="21"/>
  <c r="Q210" i="21"/>
  <c r="E255" i="21"/>
  <c r="Q227" i="21" s="1"/>
  <c r="Q231" i="21"/>
  <c r="G25" i="21"/>
  <c r="G239" i="21"/>
  <c r="G18" i="21"/>
  <c r="G237" i="21"/>
  <c r="I18" i="115"/>
  <c r="Y26" i="102"/>
  <c r="Q30" i="106"/>
  <c r="F30" i="106"/>
  <c r="X24" i="102"/>
  <c r="F24" i="102"/>
  <c r="E13" i="157"/>
  <c r="I117" i="21"/>
  <c r="H118" i="21"/>
  <c r="H119" i="21" s="1"/>
  <c r="F23" i="83"/>
  <c r="K37" i="21"/>
  <c r="K41" i="21"/>
  <c r="I16" i="21"/>
  <c r="H24" i="21"/>
  <c r="H17" i="21"/>
  <c r="F16" i="84" l="1"/>
  <c r="F16" i="100" s="1"/>
  <c r="H16" i="115"/>
  <c r="K44" i="21"/>
  <c r="K43" i="21"/>
  <c r="K42" i="21"/>
  <c r="AF15" i="174"/>
  <c r="G26" i="21"/>
  <c r="H25" i="21"/>
  <c r="H239" i="21"/>
  <c r="H18" i="21"/>
  <c r="H237" i="21"/>
  <c r="G235" i="21"/>
  <c r="F23" i="106"/>
  <c r="Y24" i="102"/>
  <c r="C13" i="157"/>
  <c r="Q23" i="106"/>
  <c r="C15" i="135"/>
  <c r="C123" i="150" s="1"/>
  <c r="G14" i="57"/>
  <c r="J117" i="21"/>
  <c r="I118" i="21"/>
  <c r="I119" i="21" s="1"/>
  <c r="L37" i="21"/>
  <c r="L41" i="21"/>
  <c r="J16" i="21"/>
  <c r="I24" i="21"/>
  <c r="I17" i="21"/>
  <c r="L44" i="21" l="1"/>
  <c r="L43" i="21"/>
  <c r="L42" i="21"/>
  <c r="F12" i="109"/>
  <c r="C13" i="165"/>
  <c r="M16" i="100"/>
  <c r="O16" i="100" s="1"/>
  <c r="C13" i="166"/>
  <c r="D104" i="84"/>
  <c r="C26" i="108" s="1"/>
  <c r="C12" i="132"/>
  <c r="C54" i="150" s="1"/>
  <c r="G16" i="115"/>
  <c r="I16" i="115" s="1"/>
  <c r="H26" i="21"/>
  <c r="I25" i="21"/>
  <c r="I239" i="21"/>
  <c r="I18" i="21"/>
  <c r="I237" i="21"/>
  <c r="H235" i="21"/>
  <c r="F99" i="100"/>
  <c r="F19" i="110" s="1"/>
  <c r="J18" i="171"/>
  <c r="C81" i="166"/>
  <c r="C81" i="165"/>
  <c r="F43" i="99"/>
  <c r="C12" i="135"/>
  <c r="C120" i="150" s="1"/>
  <c r="G17" i="57"/>
  <c r="K117" i="21"/>
  <c r="J118" i="21"/>
  <c r="J119" i="21" s="1"/>
  <c r="M37" i="21"/>
  <c r="M41" i="21"/>
  <c r="K16" i="21"/>
  <c r="J24" i="21"/>
  <c r="J17" i="21"/>
  <c r="L20" i="109" l="1"/>
  <c r="L17" i="109" s="1"/>
  <c r="E136" i="105"/>
  <c r="M42" i="21"/>
  <c r="M43" i="21"/>
  <c r="M44" i="21"/>
  <c r="I26" i="21"/>
  <c r="H104" i="84"/>
  <c r="G26" i="108" s="1"/>
  <c r="J25" i="21"/>
  <c r="J239" i="21"/>
  <c r="J18" i="21"/>
  <c r="J237" i="21"/>
  <c r="I235" i="21"/>
  <c r="J21" i="171"/>
  <c r="C84" i="166"/>
  <c r="C84" i="165"/>
  <c r="E136" i="99"/>
  <c r="L117" i="21"/>
  <c r="K118" i="21"/>
  <c r="K119" i="21" s="1"/>
  <c r="N41" i="21"/>
  <c r="N37" i="21"/>
  <c r="L16" i="21"/>
  <c r="K24" i="21"/>
  <c r="K17" i="21"/>
  <c r="G136" i="105" l="1"/>
  <c r="G133" i="105" s="1"/>
  <c r="E133" i="105"/>
  <c r="N43" i="21"/>
  <c r="N44" i="21"/>
  <c r="N42" i="21"/>
  <c r="J26" i="21"/>
  <c r="K25" i="21"/>
  <c r="K239" i="21"/>
  <c r="K18" i="21"/>
  <c r="K237" i="21"/>
  <c r="J235" i="21"/>
  <c r="M117" i="21"/>
  <c r="L118" i="21"/>
  <c r="L119" i="21" s="1"/>
  <c r="O37" i="21"/>
  <c r="O41" i="21"/>
  <c r="M16" i="21"/>
  <c r="L24" i="21"/>
  <c r="L17" i="21"/>
  <c r="O44" i="21" l="1"/>
  <c r="O43" i="21"/>
  <c r="O42" i="21"/>
  <c r="K26" i="21"/>
  <c r="L25" i="21"/>
  <c r="L239" i="21"/>
  <c r="L18" i="21"/>
  <c r="L237" i="21"/>
  <c r="K235" i="21"/>
  <c r="N117" i="21"/>
  <c r="M118" i="21"/>
  <c r="M119" i="21" s="1"/>
  <c r="P37" i="21"/>
  <c r="P41" i="21"/>
  <c r="N16" i="21"/>
  <c r="M24" i="21"/>
  <c r="M17" i="21"/>
  <c r="P44" i="21" l="1"/>
  <c r="P43" i="21"/>
  <c r="P42" i="21"/>
  <c r="L26" i="21"/>
  <c r="M18" i="21"/>
  <c r="M237" i="21"/>
  <c r="M25" i="21"/>
  <c r="M239" i="21"/>
  <c r="L235" i="21"/>
  <c r="O117" i="21"/>
  <c r="N118" i="21"/>
  <c r="N119" i="21" s="1"/>
  <c r="O16" i="21"/>
  <c r="N24" i="21"/>
  <c r="N17" i="21"/>
  <c r="M26" i="21" l="1"/>
  <c r="M235" i="21"/>
  <c r="N25" i="21"/>
  <c r="N239" i="21"/>
  <c r="N18" i="21"/>
  <c r="N237" i="21"/>
  <c r="P117" i="21"/>
  <c r="P118" i="21" s="1"/>
  <c r="P119" i="21" s="1"/>
  <c r="O118" i="21"/>
  <c r="O119" i="21" s="1"/>
  <c r="P16" i="21"/>
  <c r="O24" i="21"/>
  <c r="O17" i="21"/>
  <c r="N26" i="21" l="1"/>
  <c r="O25" i="21"/>
  <c r="O239" i="21"/>
  <c r="O18" i="21"/>
  <c r="O237" i="21"/>
  <c r="N235" i="21"/>
  <c r="P17" i="21"/>
  <c r="P24" i="21"/>
  <c r="O26" i="21" l="1"/>
  <c r="P18" i="21"/>
  <c r="P237" i="21"/>
  <c r="Q209" i="21" s="1"/>
  <c r="P25" i="21"/>
  <c r="P239" i="21"/>
  <c r="O235" i="21"/>
  <c r="G25" i="54"/>
  <c r="P26" i="21" l="1"/>
  <c r="Q211" i="21"/>
  <c r="P235" i="21"/>
  <c r="C116" i="49"/>
  <c r="E109" i="49"/>
  <c r="E108" i="49" s="1"/>
  <c r="F109" i="49"/>
  <c r="F108" i="49" s="1"/>
  <c r="G109" i="49"/>
  <c r="G108" i="49" s="1"/>
  <c r="H109" i="49"/>
  <c r="H108" i="49" s="1"/>
  <c r="I109" i="49"/>
  <c r="I108" i="49" s="1"/>
  <c r="D22" i="49"/>
  <c r="E22" i="49" s="1"/>
  <c r="F22" i="49" s="1"/>
  <c r="G22" i="49" s="1"/>
  <c r="H22" i="49" s="1"/>
  <c r="I22" i="49" s="1"/>
  <c r="J22" i="49" s="1"/>
  <c r="D36" i="49"/>
  <c r="E36" i="49" s="1"/>
  <c r="F36" i="49" s="1"/>
  <c r="G36" i="49" s="1"/>
  <c r="H36" i="49" s="1"/>
  <c r="I36" i="49" s="1"/>
  <c r="J36" i="49" s="1"/>
  <c r="D137" i="49"/>
  <c r="D154" i="49" s="1"/>
  <c r="C136" i="49"/>
  <c r="Q207" i="21" l="1"/>
  <c r="C137" i="49"/>
  <c r="C154" i="49" s="1"/>
  <c r="F203" i="54" l="1"/>
  <c r="O48" i="54"/>
  <c r="P48" i="54"/>
  <c r="Q48" i="54"/>
  <c r="R48" i="54"/>
  <c r="S48" i="54"/>
  <c r="G64" i="54"/>
  <c r="W64" i="54" s="1"/>
  <c r="E34" i="22"/>
  <c r="E67" i="22"/>
  <c r="O78" i="54"/>
  <c r="P78" i="54"/>
  <c r="Q78" i="54"/>
  <c r="R78" i="54"/>
  <c r="S78" i="54"/>
  <c r="O79" i="54"/>
  <c r="P79" i="54"/>
  <c r="Q79" i="54"/>
  <c r="R79" i="54"/>
  <c r="S79" i="54"/>
  <c r="O81" i="54"/>
  <c r="P81" i="54"/>
  <c r="Q81" i="54"/>
  <c r="R81" i="54"/>
  <c r="S81" i="54"/>
  <c r="O82" i="54"/>
  <c r="P82" i="54"/>
  <c r="Q82" i="54"/>
  <c r="R82" i="54"/>
  <c r="S82" i="54"/>
  <c r="E69" i="22"/>
  <c r="E93" i="22" s="1"/>
  <c r="E71" i="22"/>
  <c r="O93" i="54"/>
  <c r="O37" i="54" s="1"/>
  <c r="P93" i="54"/>
  <c r="P37" i="54" s="1"/>
  <c r="Q93" i="54"/>
  <c r="Q37" i="54" s="1"/>
  <c r="R93" i="54"/>
  <c r="R37" i="54" s="1"/>
  <c r="S93" i="54"/>
  <c r="S37" i="54" s="1"/>
  <c r="O94" i="54"/>
  <c r="O38" i="54" s="1"/>
  <c r="P94" i="54"/>
  <c r="P38" i="54" s="1"/>
  <c r="Q94" i="54"/>
  <c r="Q38" i="54" s="1"/>
  <c r="R94" i="54"/>
  <c r="R38" i="54" s="1"/>
  <c r="S94" i="54"/>
  <c r="S38" i="54" s="1"/>
  <c r="O89" i="54"/>
  <c r="O34" i="54" s="1"/>
  <c r="P89" i="54"/>
  <c r="P34" i="54" s="1"/>
  <c r="Q89" i="54"/>
  <c r="Q34" i="54" s="1"/>
  <c r="R89" i="54"/>
  <c r="R34" i="54" s="1"/>
  <c r="S89" i="54"/>
  <c r="S34" i="54" s="1"/>
  <c r="O90" i="54"/>
  <c r="O35" i="54" s="1"/>
  <c r="P90" i="54"/>
  <c r="P35" i="54" s="1"/>
  <c r="Q90" i="54"/>
  <c r="Q35" i="54" s="1"/>
  <c r="R90" i="54"/>
  <c r="R35" i="54" s="1"/>
  <c r="S90" i="54"/>
  <c r="S35" i="54" s="1"/>
  <c r="O85" i="54"/>
  <c r="O31" i="54" s="1"/>
  <c r="P85" i="54"/>
  <c r="P31" i="54" s="1"/>
  <c r="Q85" i="54"/>
  <c r="Q31" i="54" s="1"/>
  <c r="R85" i="54"/>
  <c r="R31" i="54" s="1"/>
  <c r="S85" i="54"/>
  <c r="S31" i="54" s="1"/>
  <c r="O86" i="54"/>
  <c r="O32" i="54" s="1"/>
  <c r="P86" i="54"/>
  <c r="P32" i="54" s="1"/>
  <c r="Q86" i="54"/>
  <c r="Q32" i="54" s="1"/>
  <c r="R86" i="54"/>
  <c r="R32" i="54" s="1"/>
  <c r="S86" i="54"/>
  <c r="S32" i="54" s="1"/>
  <c r="S130" i="54"/>
  <c r="R130" i="54"/>
  <c r="Q130" i="54"/>
  <c r="Q91" i="54" s="1"/>
  <c r="P130" i="54"/>
  <c r="P91" i="54" s="1"/>
  <c r="O130" i="54"/>
  <c r="S127" i="54"/>
  <c r="S87" i="54" s="1"/>
  <c r="R127" i="54"/>
  <c r="R87" i="54" s="1"/>
  <c r="Q127" i="54"/>
  <c r="P127" i="54"/>
  <c r="P87" i="54" s="1"/>
  <c r="O127" i="54"/>
  <c r="S124" i="54"/>
  <c r="S83" i="54" s="1"/>
  <c r="R124" i="54"/>
  <c r="R83" i="54" s="1"/>
  <c r="Q124" i="54"/>
  <c r="P124" i="54"/>
  <c r="P83" i="54" s="1"/>
  <c r="O124" i="54"/>
  <c r="S121" i="54"/>
  <c r="S80" i="54" s="1"/>
  <c r="R121" i="54"/>
  <c r="R80" i="54" s="1"/>
  <c r="Q121" i="54"/>
  <c r="Q80" i="54" s="1"/>
  <c r="P121" i="54"/>
  <c r="P80" i="54" s="1"/>
  <c r="O121" i="54"/>
  <c r="O80" i="54" s="1"/>
  <c r="O118" i="54"/>
  <c r="O77" i="54" s="1"/>
  <c r="P118" i="54"/>
  <c r="P77" i="54" s="1"/>
  <c r="Q118" i="54"/>
  <c r="Q77" i="54" s="1"/>
  <c r="R118" i="54"/>
  <c r="R77" i="54" s="1"/>
  <c r="S118" i="54"/>
  <c r="S77" i="54" s="1"/>
  <c r="D6" i="49"/>
  <c r="E6" i="49" s="1"/>
  <c r="F6" i="49" s="1"/>
  <c r="G6" i="49" s="1"/>
  <c r="H6" i="49" s="1"/>
  <c r="I6" i="49" s="1"/>
  <c r="J6" i="49" s="1"/>
  <c r="G102" i="54"/>
  <c r="G99" i="54"/>
  <c r="D21" i="49"/>
  <c r="E21" i="49" s="1"/>
  <c r="F21" i="49" s="1"/>
  <c r="G21" i="49" s="1"/>
  <c r="H21" i="49" s="1"/>
  <c r="I21" i="49" s="1"/>
  <c r="J21" i="49" s="1"/>
  <c r="D18" i="49"/>
  <c r="E18" i="49" s="1"/>
  <c r="F18" i="49" s="1"/>
  <c r="G18" i="49" s="1"/>
  <c r="H18" i="49" s="1"/>
  <c r="I18" i="49" s="1"/>
  <c r="J18" i="49" s="1"/>
  <c r="C16" i="49"/>
  <c r="L16" i="49" s="1"/>
  <c r="F121" i="54"/>
  <c r="F118" i="54"/>
  <c r="F133" i="54"/>
  <c r="G133" i="54"/>
  <c r="H133" i="54"/>
  <c r="I133" i="54"/>
  <c r="J133" i="54"/>
  <c r="K133" i="54"/>
  <c r="L133" i="54"/>
  <c r="M133" i="54"/>
  <c r="N133" i="54"/>
  <c r="O133" i="54"/>
  <c r="P133" i="54"/>
  <c r="Q133" i="54"/>
  <c r="R133" i="54"/>
  <c r="S133" i="54"/>
  <c r="E133" i="54"/>
  <c r="E115" i="54" s="1"/>
  <c r="Q83" i="54"/>
  <c r="F124" i="54"/>
  <c r="F127" i="54"/>
  <c r="Q87" i="54"/>
  <c r="S91" i="54"/>
  <c r="R91" i="54"/>
  <c r="O91" i="54"/>
  <c r="G67" i="54"/>
  <c r="W67" i="54" s="1"/>
  <c r="G66" i="54"/>
  <c r="W66" i="54" s="1"/>
  <c r="G56" i="54"/>
  <c r="W56" i="54" s="1"/>
  <c r="G44" i="54"/>
  <c r="W44" i="54" s="1"/>
  <c r="G43" i="54"/>
  <c r="W43" i="54" s="1"/>
  <c r="S42" i="54"/>
  <c r="R42" i="54"/>
  <c r="Q42" i="54"/>
  <c r="P42" i="54"/>
  <c r="O42" i="54"/>
  <c r="N42" i="54"/>
  <c r="M42" i="54"/>
  <c r="L42" i="54"/>
  <c r="K42" i="54"/>
  <c r="J42" i="54"/>
  <c r="I42" i="54"/>
  <c r="H42" i="54"/>
  <c r="F42" i="54"/>
  <c r="A8" i="26"/>
  <c r="P29" i="21" l="1"/>
  <c r="O29" i="21"/>
  <c r="E72" i="22"/>
  <c r="E96" i="22" s="1"/>
  <c r="E95" i="22"/>
  <c r="E68" i="22"/>
  <c r="E92" i="22" s="1"/>
  <c r="E91" i="22"/>
  <c r="O29" i="54"/>
  <c r="L30" i="21"/>
  <c r="S29" i="54"/>
  <c r="P30" i="21"/>
  <c r="L29" i="21"/>
  <c r="R29" i="54"/>
  <c r="O30" i="21"/>
  <c r="M29" i="21"/>
  <c r="Q29" i="54"/>
  <c r="N30" i="21"/>
  <c r="N29" i="21"/>
  <c r="P29" i="54"/>
  <c r="P18" i="54" s="1"/>
  <c r="M30" i="21"/>
  <c r="R28" i="54"/>
  <c r="S28" i="54"/>
  <c r="O28" i="54"/>
  <c r="O17" i="54" s="1"/>
  <c r="P28" i="54"/>
  <c r="Q28" i="54"/>
  <c r="Q17" i="54" s="1"/>
  <c r="C159" i="49"/>
  <c r="S30" i="54"/>
  <c r="O30" i="54"/>
  <c r="R17" i="54"/>
  <c r="O18" i="54"/>
  <c r="S18" i="54"/>
  <c r="Q30" i="54"/>
  <c r="S27" i="54"/>
  <c r="P36" i="54"/>
  <c r="P30" i="54"/>
  <c r="R33" i="54"/>
  <c r="S33" i="54"/>
  <c r="O33" i="54"/>
  <c r="Q36" i="54"/>
  <c r="R30" i="54"/>
  <c r="P33" i="54"/>
  <c r="Q33" i="54"/>
  <c r="S36" i="54"/>
  <c r="O36" i="54"/>
  <c r="Q117" i="54"/>
  <c r="Q75" i="54" s="1"/>
  <c r="Q74" i="54" s="1"/>
  <c r="R117" i="54"/>
  <c r="R75" i="54" s="1"/>
  <c r="R74" i="54" s="1"/>
  <c r="R69" i="54" s="1"/>
  <c r="F95" i="54"/>
  <c r="H99" i="54"/>
  <c r="I99" i="54" s="1"/>
  <c r="J99" i="54" s="1"/>
  <c r="K99" i="54" s="1"/>
  <c r="L99" i="54" s="1"/>
  <c r="M99" i="54" s="1"/>
  <c r="N99" i="54" s="1"/>
  <c r="O99" i="54" s="1"/>
  <c r="P99" i="54" s="1"/>
  <c r="Q99" i="54" s="1"/>
  <c r="R99" i="54" s="1"/>
  <c r="S99" i="54" s="1"/>
  <c r="H102" i="54"/>
  <c r="I102" i="54" s="1"/>
  <c r="J102" i="54" s="1"/>
  <c r="K102" i="54" s="1"/>
  <c r="L102" i="54" s="1"/>
  <c r="M102" i="54" s="1"/>
  <c r="N102" i="54" s="1"/>
  <c r="O102" i="54" s="1"/>
  <c r="P102" i="54" s="1"/>
  <c r="Q102" i="54" s="1"/>
  <c r="R102" i="54" s="1"/>
  <c r="S102" i="54" s="1"/>
  <c r="F117" i="54"/>
  <c r="P117" i="54"/>
  <c r="P75" i="54" s="1"/>
  <c r="P74" i="54" s="1"/>
  <c r="S117" i="54"/>
  <c r="S116" i="54" s="1"/>
  <c r="S115" i="54" s="1"/>
  <c r="O117" i="54"/>
  <c r="O75" i="54" s="1"/>
  <c r="O87" i="54"/>
  <c r="G42" i="54"/>
  <c r="W42" i="54" s="1"/>
  <c r="Q27" i="54" l="1"/>
  <c r="P27" i="54"/>
  <c r="O27" i="54"/>
  <c r="O16" i="54"/>
  <c r="R18" i="54"/>
  <c r="R23" i="54" s="1"/>
  <c r="R27" i="54"/>
  <c r="Q18" i="54"/>
  <c r="P69" i="54"/>
  <c r="P47" i="54" s="1"/>
  <c r="Q69" i="54"/>
  <c r="S17" i="54"/>
  <c r="S16" i="54" s="1"/>
  <c r="O22" i="54"/>
  <c r="R22" i="54"/>
  <c r="R21" i="54" s="1"/>
  <c r="O23" i="54"/>
  <c r="Q22" i="54"/>
  <c r="S23" i="54"/>
  <c r="P23" i="54"/>
  <c r="D11" i="98"/>
  <c r="D10" i="98" s="1"/>
  <c r="E14" i="22"/>
  <c r="F74" i="54"/>
  <c r="E63" i="22"/>
  <c r="R36" i="54"/>
  <c r="P17" i="54"/>
  <c r="P16" i="54" s="1"/>
  <c r="R116" i="54"/>
  <c r="R115" i="54" s="1"/>
  <c r="Q116" i="54"/>
  <c r="Q115" i="54" s="1"/>
  <c r="O116" i="54"/>
  <c r="O115" i="54" s="1"/>
  <c r="P116" i="54"/>
  <c r="P115" i="54" s="1"/>
  <c r="S75" i="54"/>
  <c r="S74" i="54" s="1"/>
  <c r="S69" i="54" s="1"/>
  <c r="O21" i="54" l="1"/>
  <c r="E62" i="22"/>
  <c r="E64" i="22"/>
  <c r="E90" i="22" s="1"/>
  <c r="E89" i="22"/>
  <c r="Q23" i="54"/>
  <c r="Q21" i="54" s="1"/>
  <c r="Q16" i="54"/>
  <c r="R16" i="54"/>
  <c r="S22" i="54"/>
  <c r="S21" i="54" s="1"/>
  <c r="P22" i="54"/>
  <c r="P21" i="54" s="1"/>
  <c r="F76" i="54"/>
  <c r="D17" i="98"/>
  <c r="D15" i="98" s="1"/>
  <c r="F88" i="54"/>
  <c r="F92" i="54"/>
  <c r="F84" i="54"/>
  <c r="F69" i="54"/>
  <c r="P26" i="54"/>
  <c r="R47" i="54"/>
  <c r="Q47" i="54"/>
  <c r="K64" i="22" l="1"/>
  <c r="E88" i="22"/>
  <c r="F47" i="54"/>
  <c r="F49" i="54" s="1"/>
  <c r="D25" i="98"/>
  <c r="D23" i="98"/>
  <c r="K32" i="98" s="1"/>
  <c r="Q26" i="54"/>
  <c r="R26" i="54"/>
  <c r="S47" i="54"/>
  <c r="F26" i="54" l="1"/>
  <c r="D36" i="98"/>
  <c r="R58" i="55"/>
  <c r="V58" i="55"/>
  <c r="N58" i="55"/>
  <c r="S26" i="54"/>
  <c r="E48" i="61" l="1"/>
  <c r="F24" i="54"/>
  <c r="F16" i="54" s="1"/>
  <c r="E48" i="92"/>
  <c r="E47" i="92" s="1"/>
  <c r="F14" i="54" l="1"/>
  <c r="D26" i="98" s="1"/>
  <c r="F21" i="54"/>
  <c r="F19" i="54" s="1"/>
  <c r="E20" i="22" s="1"/>
  <c r="E33" i="22"/>
  <c r="E38" i="22" s="1"/>
  <c r="B3" i="26"/>
  <c r="E35" i="22" l="1"/>
  <c r="E41" i="22"/>
  <c r="E40" i="22" s="1"/>
  <c r="E19" i="22"/>
  <c r="D20" i="49"/>
  <c r="D19" i="49" s="1"/>
  <c r="D17" i="49"/>
  <c r="D16" i="49" s="1"/>
  <c r="D28" i="49"/>
  <c r="E28" i="49" s="1"/>
  <c r="D25" i="49"/>
  <c r="E25" i="49" s="1"/>
  <c r="C27" i="49"/>
  <c r="L27" i="49" s="1"/>
  <c r="E21" i="22" l="1"/>
  <c r="C162" i="49"/>
  <c r="C158" i="49" s="1"/>
  <c r="G101" i="54"/>
  <c r="E27" i="49"/>
  <c r="F25" i="49"/>
  <c r="E24" i="49"/>
  <c r="D24" i="49"/>
  <c r="E20" i="49"/>
  <c r="E17" i="49"/>
  <c r="E16" i="49" s="1"/>
  <c r="D15" i="49"/>
  <c r="F28" i="49"/>
  <c r="D27" i="49"/>
  <c r="C15" i="49"/>
  <c r="L15" i="49" s="1"/>
  <c r="D44" i="49"/>
  <c r="E44" i="49" s="1"/>
  <c r="F44" i="49" s="1"/>
  <c r="G44" i="49" s="1"/>
  <c r="H44" i="49" s="1"/>
  <c r="I44" i="49" s="1"/>
  <c r="J44" i="49" s="1"/>
  <c r="D43" i="49"/>
  <c r="E43" i="49" s="1"/>
  <c r="C49" i="49"/>
  <c r="D47" i="49"/>
  <c r="C46" i="49"/>
  <c r="C42" i="49"/>
  <c r="D37" i="49"/>
  <c r="E37" i="49" s="1"/>
  <c r="F37" i="49" s="1"/>
  <c r="G37" i="49" s="1"/>
  <c r="H37" i="49" s="1"/>
  <c r="I37" i="49" s="1"/>
  <c r="J37" i="49" s="1"/>
  <c r="D35" i="49"/>
  <c r="E35" i="49" s="1"/>
  <c r="F35" i="49" s="1"/>
  <c r="G35" i="49" s="1"/>
  <c r="H35" i="49" s="1"/>
  <c r="I35" i="49" s="1"/>
  <c r="J35" i="49" s="1"/>
  <c r="D32" i="49"/>
  <c r="D31" i="49" s="1"/>
  <c r="C34" i="49"/>
  <c r="C31" i="49"/>
  <c r="D57" i="49"/>
  <c r="E57" i="49" s="1"/>
  <c r="F57" i="49" s="1"/>
  <c r="G57" i="49" s="1"/>
  <c r="H57" i="49" s="1"/>
  <c r="I57" i="49" s="1"/>
  <c r="J57" i="49" s="1"/>
  <c r="G114" i="54" l="1"/>
  <c r="H114" i="54" s="1"/>
  <c r="I114" i="54" s="1"/>
  <c r="J114" i="54" s="1"/>
  <c r="K114" i="54" s="1"/>
  <c r="L114" i="54" s="1"/>
  <c r="M114" i="54" s="1"/>
  <c r="N114" i="54" s="1"/>
  <c r="O114" i="54" s="1"/>
  <c r="P114" i="54" s="1"/>
  <c r="Q114" i="54" s="1"/>
  <c r="R114" i="54" s="1"/>
  <c r="S114" i="54" s="1"/>
  <c r="L49" i="49"/>
  <c r="G108" i="54"/>
  <c r="P19" i="105" s="1"/>
  <c r="L34" i="49"/>
  <c r="G111" i="54"/>
  <c r="L42" i="49"/>
  <c r="G107" i="54"/>
  <c r="L31" i="49"/>
  <c r="F27" i="164"/>
  <c r="G27" i="164"/>
  <c r="S19" i="105"/>
  <c r="Q19" i="105" s="1"/>
  <c r="F11" i="164"/>
  <c r="P18" i="105"/>
  <c r="L46" i="49"/>
  <c r="F5" i="129"/>
  <c r="D191" i="54"/>
  <c r="D9" i="163" s="1"/>
  <c r="G5" i="129"/>
  <c r="D192" i="54"/>
  <c r="E9" i="163" s="1"/>
  <c r="F4" i="129"/>
  <c r="D186" i="54"/>
  <c r="D8" i="163" s="1"/>
  <c r="D7" i="163" s="1"/>
  <c r="G57" i="115"/>
  <c r="E57" i="115"/>
  <c r="G58" i="115"/>
  <c r="P19" i="99"/>
  <c r="F18" i="167" s="1"/>
  <c r="S19" i="99"/>
  <c r="G18" i="167" s="1"/>
  <c r="G18" i="168"/>
  <c r="P18" i="99"/>
  <c r="C39" i="49"/>
  <c r="H108" i="54"/>
  <c r="I108" i="54" s="1"/>
  <c r="J108" i="54" s="1"/>
  <c r="K108" i="54" s="1"/>
  <c r="L108" i="54" s="1"/>
  <c r="M108" i="54" s="1"/>
  <c r="N108" i="54" s="1"/>
  <c r="O108" i="54" s="1"/>
  <c r="P108" i="54" s="1"/>
  <c r="Q108" i="54" s="1"/>
  <c r="R108" i="54" s="1"/>
  <c r="S108" i="54" s="1"/>
  <c r="H111" i="54"/>
  <c r="I111" i="54" s="1"/>
  <c r="J111" i="54" s="1"/>
  <c r="K111" i="54" s="1"/>
  <c r="L111" i="54" s="1"/>
  <c r="M111" i="54" s="1"/>
  <c r="N111" i="54" s="1"/>
  <c r="O111" i="54" s="1"/>
  <c r="P111" i="54" s="1"/>
  <c r="Q111" i="54" s="1"/>
  <c r="R111" i="54" s="1"/>
  <c r="S111" i="54" s="1"/>
  <c r="F20" i="49"/>
  <c r="F19" i="49" s="1"/>
  <c r="E19" i="49"/>
  <c r="H107" i="54"/>
  <c r="G106" i="54"/>
  <c r="H101" i="54"/>
  <c r="G100" i="54"/>
  <c r="J19" i="105" s="1"/>
  <c r="E23" i="49"/>
  <c r="G112" i="54"/>
  <c r="H113" i="54"/>
  <c r="C45" i="49"/>
  <c r="L45" i="49" s="1"/>
  <c r="D49" i="49"/>
  <c r="D23" i="49"/>
  <c r="G25" i="49"/>
  <c r="F24" i="49"/>
  <c r="F17" i="49"/>
  <c r="F16" i="49" s="1"/>
  <c r="G28" i="49"/>
  <c r="F27" i="49"/>
  <c r="E42" i="49"/>
  <c r="E32" i="49"/>
  <c r="F32" i="49" s="1"/>
  <c r="F31" i="49" s="1"/>
  <c r="D46" i="49"/>
  <c r="E47" i="49"/>
  <c r="E46" i="49" s="1"/>
  <c r="D40" i="49"/>
  <c r="F43" i="49"/>
  <c r="D42" i="49"/>
  <c r="C30" i="49"/>
  <c r="L30" i="49" s="1"/>
  <c r="E34" i="49"/>
  <c r="D34" i="49"/>
  <c r="D30" i="49" s="1"/>
  <c r="N19" i="105" l="1"/>
  <c r="F18" i="168"/>
  <c r="G110" i="54"/>
  <c r="L39" i="49"/>
  <c r="H19" i="105"/>
  <c r="E19" i="105" s="1"/>
  <c r="G19" i="105"/>
  <c r="G11" i="164"/>
  <c r="S18" i="105"/>
  <c r="N18" i="105"/>
  <c r="G92" i="168"/>
  <c r="G97" i="168"/>
  <c r="G96" i="168"/>
  <c r="F21" i="136"/>
  <c r="F17" i="167"/>
  <c r="F21" i="137"/>
  <c r="F17" i="168"/>
  <c r="F92" i="168"/>
  <c r="F97" i="168"/>
  <c r="F96" i="168"/>
  <c r="D189" i="54"/>
  <c r="B9" i="163" s="1"/>
  <c r="D27" i="164"/>
  <c r="D181" i="54"/>
  <c r="G4" i="129"/>
  <c r="D187" i="54"/>
  <c r="E8" i="163" s="1"/>
  <c r="E7" i="163" s="1"/>
  <c r="G22" i="136"/>
  <c r="H58" i="115"/>
  <c r="F22" i="136"/>
  <c r="H57" i="115"/>
  <c r="G22" i="142"/>
  <c r="G94" i="142" s="1"/>
  <c r="G22" i="137"/>
  <c r="G94" i="137" s="1"/>
  <c r="F22" i="142"/>
  <c r="F22" i="137"/>
  <c r="G55" i="115"/>
  <c r="D5" i="129"/>
  <c r="F21" i="142"/>
  <c r="Q19" i="99"/>
  <c r="G22" i="140"/>
  <c r="N19" i="99"/>
  <c r="F22" i="140"/>
  <c r="N18" i="99"/>
  <c r="F21" i="140"/>
  <c r="E58" i="115"/>
  <c r="F3" i="129"/>
  <c r="B57" i="115"/>
  <c r="I57" i="115" s="1"/>
  <c r="L13" i="98"/>
  <c r="H11" i="98"/>
  <c r="H10" i="98" s="1"/>
  <c r="P17" i="105" s="1"/>
  <c r="N17" i="105" s="1"/>
  <c r="D18" i="168"/>
  <c r="J19" i="99"/>
  <c r="G109" i="54"/>
  <c r="S18" i="99"/>
  <c r="G17" i="167" s="1"/>
  <c r="C38" i="49"/>
  <c r="L38" i="49" s="1"/>
  <c r="H110" i="54"/>
  <c r="I110" i="54" s="1"/>
  <c r="F23" i="49"/>
  <c r="G20" i="49"/>
  <c r="G19" i="49" s="1"/>
  <c r="I113" i="54"/>
  <c r="H112" i="54"/>
  <c r="I107" i="54"/>
  <c r="H106" i="54"/>
  <c r="H100" i="54"/>
  <c r="I101" i="54"/>
  <c r="G32" i="49"/>
  <c r="H32" i="49" s="1"/>
  <c r="D45" i="49"/>
  <c r="E31" i="49"/>
  <c r="E30" i="49" s="1"/>
  <c r="G24" i="49"/>
  <c r="H25" i="49"/>
  <c r="E15" i="49"/>
  <c r="G17" i="49"/>
  <c r="G16" i="49" s="1"/>
  <c r="F15" i="49"/>
  <c r="H28" i="49"/>
  <c r="G27" i="49"/>
  <c r="D39" i="49"/>
  <c r="D38" i="49" s="1"/>
  <c r="E40" i="49"/>
  <c r="E49" i="49"/>
  <c r="E45" i="49" s="1"/>
  <c r="F47" i="49"/>
  <c r="F46" i="49" s="1"/>
  <c r="F42" i="49"/>
  <c r="G43" i="49"/>
  <c r="G31" i="49"/>
  <c r="F34" i="49"/>
  <c r="F30" i="49" s="1"/>
  <c r="Q18" i="105" l="1"/>
  <c r="G97" i="167"/>
  <c r="G68" i="167"/>
  <c r="G96" i="167"/>
  <c r="G92" i="167"/>
  <c r="D96" i="168"/>
  <c r="D92" i="168"/>
  <c r="D97" i="168"/>
  <c r="F97" i="167"/>
  <c r="F96" i="167"/>
  <c r="F92" i="167"/>
  <c r="G21" i="137"/>
  <c r="G17" i="168"/>
  <c r="H55" i="115"/>
  <c r="D18" i="167"/>
  <c r="F16" i="168"/>
  <c r="P17" i="99"/>
  <c r="F16" i="167" s="1"/>
  <c r="D182" i="54"/>
  <c r="F57" i="115"/>
  <c r="G21" i="140"/>
  <c r="G94" i="140" s="1"/>
  <c r="G21" i="136"/>
  <c r="D22" i="140"/>
  <c r="D22" i="136"/>
  <c r="D22" i="142"/>
  <c r="D94" i="142" s="1"/>
  <c r="D22" i="137"/>
  <c r="D94" i="137" s="1"/>
  <c r="G21" i="142"/>
  <c r="G3" i="129"/>
  <c r="B58" i="115"/>
  <c r="I58" i="115" s="1"/>
  <c r="L14" i="98"/>
  <c r="M13" i="98"/>
  <c r="N13" i="98" s="1"/>
  <c r="I11" i="98"/>
  <c r="I10" i="98" s="1"/>
  <c r="S17" i="105" s="1"/>
  <c r="Q17" i="105" s="1"/>
  <c r="H109" i="54"/>
  <c r="H19" i="99"/>
  <c r="Q18" i="99"/>
  <c r="H20" i="49"/>
  <c r="H19" i="49" s="1"/>
  <c r="J107" i="54"/>
  <c r="I106" i="54"/>
  <c r="I100" i="54"/>
  <c r="J101" i="54"/>
  <c r="J113" i="54"/>
  <c r="I112" i="54"/>
  <c r="J110" i="54"/>
  <c r="I109" i="54"/>
  <c r="G47" i="49"/>
  <c r="H47" i="49" s="1"/>
  <c r="I25" i="49"/>
  <c r="H24" i="49"/>
  <c r="G23" i="49"/>
  <c r="G15" i="49"/>
  <c r="H17" i="49"/>
  <c r="H16" i="49" s="1"/>
  <c r="H27" i="49"/>
  <c r="I28" i="49"/>
  <c r="F49" i="49"/>
  <c r="F45" i="49" s="1"/>
  <c r="F40" i="49"/>
  <c r="E39" i="49"/>
  <c r="E38" i="49" s="1"/>
  <c r="H43" i="49"/>
  <c r="G42" i="49"/>
  <c r="H31" i="49"/>
  <c r="I32" i="49"/>
  <c r="G34" i="49"/>
  <c r="G30" i="49" s="1"/>
  <c r="G70" i="140" l="1"/>
  <c r="F127" i="168"/>
  <c r="F51" i="168"/>
  <c r="F128" i="168"/>
  <c r="F51" i="167"/>
  <c r="G16" i="168"/>
  <c r="S17" i="99"/>
  <c r="G16" i="167" s="1"/>
  <c r="F58" i="115"/>
  <c r="F20" i="137"/>
  <c r="G70" i="136"/>
  <c r="G94" i="136"/>
  <c r="Y45" i="99"/>
  <c r="F20" i="136"/>
  <c r="F20" i="142"/>
  <c r="N5" i="145"/>
  <c r="F20" i="140"/>
  <c r="Y43" i="99"/>
  <c r="Y44" i="99"/>
  <c r="M14" i="98"/>
  <c r="N14" i="98" s="1"/>
  <c r="N17" i="99"/>
  <c r="Y46" i="99"/>
  <c r="Y40" i="105"/>
  <c r="Y43" i="105"/>
  <c r="Y44" i="105"/>
  <c r="Y41" i="105"/>
  <c r="Y46" i="105"/>
  <c r="Y45" i="105"/>
  <c r="I20" i="49"/>
  <c r="I19" i="49" s="1"/>
  <c r="G46" i="49"/>
  <c r="J100" i="54"/>
  <c r="K101" i="54"/>
  <c r="K113" i="54"/>
  <c r="J112" i="54"/>
  <c r="K107" i="54"/>
  <c r="J106" i="54"/>
  <c r="K110" i="54"/>
  <c r="J109" i="54"/>
  <c r="I24" i="49"/>
  <c r="J25" i="49"/>
  <c r="J24" i="49" s="1"/>
  <c r="H23" i="49"/>
  <c r="H15" i="49"/>
  <c r="I17" i="49"/>
  <c r="I16" i="49" s="1"/>
  <c r="I27" i="49"/>
  <c r="J28" i="49"/>
  <c r="J27" i="49" s="1"/>
  <c r="G49" i="49"/>
  <c r="G40" i="49"/>
  <c r="F39" i="49"/>
  <c r="F38" i="49" s="1"/>
  <c r="H42" i="49"/>
  <c r="I43" i="49"/>
  <c r="H46" i="49"/>
  <c r="I47" i="49"/>
  <c r="J32" i="49"/>
  <c r="J31" i="49" s="1"/>
  <c r="I31" i="49"/>
  <c r="H34" i="49"/>
  <c r="H30" i="49" s="1"/>
  <c r="G127" i="168" l="1"/>
  <c r="G51" i="168"/>
  <c r="G128" i="168"/>
  <c r="G51" i="167"/>
  <c r="L5" i="145"/>
  <c r="J57" i="115"/>
  <c r="Z46" i="105"/>
  <c r="G20" i="136"/>
  <c r="Z41" i="105"/>
  <c r="Z44" i="99"/>
  <c r="Z40" i="105"/>
  <c r="G20" i="137"/>
  <c r="Z45" i="105"/>
  <c r="G20" i="142"/>
  <c r="N34" i="145"/>
  <c r="N28" i="145"/>
  <c r="N33" i="145"/>
  <c r="N32" i="145"/>
  <c r="N29" i="145"/>
  <c r="N31" i="145"/>
  <c r="G20" i="140"/>
  <c r="Q5" i="145"/>
  <c r="Z44" i="105"/>
  <c r="Z43" i="105"/>
  <c r="E2" i="111"/>
  <c r="C57" i="115"/>
  <c r="D57" i="115" s="1"/>
  <c r="J23" i="49"/>
  <c r="Z43" i="99"/>
  <c r="Z45" i="99"/>
  <c r="Z46" i="99"/>
  <c r="Q17" i="99"/>
  <c r="G45" i="49"/>
  <c r="J20" i="49"/>
  <c r="J19" i="49" s="1"/>
  <c r="K106" i="54"/>
  <c r="L107" i="54"/>
  <c r="K100" i="54"/>
  <c r="L101" i="54"/>
  <c r="L110" i="54"/>
  <c r="K109" i="54"/>
  <c r="L113" i="54"/>
  <c r="K112" i="54"/>
  <c r="I23" i="49"/>
  <c r="J17" i="49"/>
  <c r="J16" i="49" s="1"/>
  <c r="I15" i="49"/>
  <c r="H49" i="49"/>
  <c r="H45" i="49" s="1"/>
  <c r="H40" i="49"/>
  <c r="G39" i="49"/>
  <c r="G38" i="49" s="1"/>
  <c r="I42" i="49"/>
  <c r="J43" i="49"/>
  <c r="J42" i="49" s="1"/>
  <c r="J47" i="49"/>
  <c r="J46" i="49" s="1"/>
  <c r="I46" i="49"/>
  <c r="J34" i="49"/>
  <c r="J30" i="49" s="1"/>
  <c r="I34" i="49"/>
  <c r="I30" i="49" s="1"/>
  <c r="O5" i="145" l="1"/>
  <c r="J58" i="115"/>
  <c r="Q32" i="145"/>
  <c r="Q33" i="145"/>
  <c r="Q28" i="145"/>
  <c r="Q34" i="145"/>
  <c r="Q29" i="145"/>
  <c r="Q31" i="145"/>
  <c r="F2" i="111"/>
  <c r="C58" i="115"/>
  <c r="D58" i="115" s="1"/>
  <c r="L100" i="54"/>
  <c r="M101" i="54"/>
  <c r="L112" i="54"/>
  <c r="M113" i="54"/>
  <c r="M110" i="54"/>
  <c r="L109" i="54"/>
  <c r="L106" i="54"/>
  <c r="M107" i="54"/>
  <c r="J15" i="49"/>
  <c r="I49" i="49"/>
  <c r="I45" i="49" s="1"/>
  <c r="J49" i="49"/>
  <c r="J45" i="49" s="1"/>
  <c r="H39" i="49"/>
  <c r="H38" i="49" s="1"/>
  <c r="I40" i="49"/>
  <c r="M106" i="54" l="1"/>
  <c r="N107" i="54"/>
  <c r="M112" i="54"/>
  <c r="N113" i="54"/>
  <c r="N110" i="54"/>
  <c r="M109" i="54"/>
  <c r="N101" i="54"/>
  <c r="M100" i="54"/>
  <c r="I39" i="49"/>
  <c r="I38" i="49" s="1"/>
  <c r="J40" i="49"/>
  <c r="J39" i="49" s="1"/>
  <c r="J38" i="49" s="1"/>
  <c r="N100" i="54" l="1"/>
  <c r="O101" i="54"/>
  <c r="N112" i="54"/>
  <c r="O113" i="54"/>
  <c r="O110" i="54"/>
  <c r="N109" i="54"/>
  <c r="N106" i="54"/>
  <c r="O107" i="54"/>
  <c r="D53" i="49"/>
  <c r="E53" i="49"/>
  <c r="F53" i="49"/>
  <c r="G53" i="49"/>
  <c r="H53" i="49"/>
  <c r="I53" i="49"/>
  <c r="J53" i="49"/>
  <c r="C53" i="49"/>
  <c r="C56" i="49"/>
  <c r="L56" i="49" s="1"/>
  <c r="B27" i="62"/>
  <c r="H27" i="62"/>
  <c r="G27" i="62"/>
  <c r="F27" i="62"/>
  <c r="E27" i="62"/>
  <c r="D27" i="62"/>
  <c r="Q19" i="62"/>
  <c r="Q18" i="62"/>
  <c r="Q17" i="62"/>
  <c r="Q16" i="62"/>
  <c r="D28" i="62"/>
  <c r="Q20" i="62"/>
  <c r="G104" i="54" l="1"/>
  <c r="L53" i="49"/>
  <c r="E11" i="164"/>
  <c r="E16" i="164" s="1"/>
  <c r="M18" i="105"/>
  <c r="F28" i="62"/>
  <c r="D51" i="24"/>
  <c r="D50" i="24"/>
  <c r="E28" i="62"/>
  <c r="M28" i="62"/>
  <c r="G28" i="62"/>
  <c r="D52" i="24"/>
  <c r="E4" i="129"/>
  <c r="E29" i="129" s="1"/>
  <c r="D185" i="54"/>
  <c r="C8" i="163" s="1"/>
  <c r="D56" i="24"/>
  <c r="E56" i="115"/>
  <c r="M18" i="99"/>
  <c r="O106" i="54"/>
  <c r="P107" i="54"/>
  <c r="P113" i="54"/>
  <c r="O112" i="54"/>
  <c r="P110" i="54"/>
  <c r="O109" i="54"/>
  <c r="H104" i="54"/>
  <c r="P101" i="54"/>
  <c r="O100" i="54"/>
  <c r="C52" i="49"/>
  <c r="L52" i="49" s="1"/>
  <c r="D56" i="49"/>
  <c r="D52" i="49" s="1"/>
  <c r="D14" i="49" s="1"/>
  <c r="E56" i="49"/>
  <c r="E52" i="49" s="1"/>
  <c r="E14" i="49" s="1"/>
  <c r="C27" i="62"/>
  <c r="Q27" i="62" s="1"/>
  <c r="K18" i="105" l="1"/>
  <c r="M164" i="99"/>
  <c r="T74" i="115" s="1"/>
  <c r="M81" i="99"/>
  <c r="P26" i="62"/>
  <c r="P28" i="62" s="1"/>
  <c r="C28" i="62"/>
  <c r="Q26" i="62"/>
  <c r="P27" i="62"/>
  <c r="D58" i="24" s="1"/>
  <c r="E17" i="167"/>
  <c r="E21" i="137"/>
  <c r="E17" i="168"/>
  <c r="D190" i="54"/>
  <c r="C9" i="163" s="1"/>
  <c r="C7" i="163" s="1"/>
  <c r="E27" i="164"/>
  <c r="C27" i="164"/>
  <c r="E21" i="136"/>
  <c r="E94" i="136" s="1"/>
  <c r="E74" i="115"/>
  <c r="G56" i="115"/>
  <c r="G54" i="115" s="1"/>
  <c r="M56" i="115" s="1"/>
  <c r="E5" i="129"/>
  <c r="E21" i="142"/>
  <c r="K18" i="99"/>
  <c r="K164" i="99" s="1"/>
  <c r="E21" i="140"/>
  <c r="D55" i="24"/>
  <c r="E18" i="168"/>
  <c r="M19" i="99"/>
  <c r="I104" i="54"/>
  <c r="Q110" i="54"/>
  <c r="P109" i="54"/>
  <c r="H105" i="54"/>
  <c r="I105" i="54" s="1"/>
  <c r="J105" i="54" s="1"/>
  <c r="K105" i="54" s="1"/>
  <c r="L105" i="54" s="1"/>
  <c r="M105" i="54" s="1"/>
  <c r="N105" i="54" s="1"/>
  <c r="O105" i="54" s="1"/>
  <c r="P105" i="54" s="1"/>
  <c r="Q105" i="54" s="1"/>
  <c r="R105" i="54" s="1"/>
  <c r="S105" i="54" s="1"/>
  <c r="Q107" i="54"/>
  <c r="P106" i="54"/>
  <c r="P100" i="54"/>
  <c r="Q101" i="54"/>
  <c r="Q113" i="54"/>
  <c r="P112" i="54"/>
  <c r="G103" i="54"/>
  <c r="F56" i="49"/>
  <c r="F52" i="49" s="1"/>
  <c r="F14" i="49" s="1"/>
  <c r="C5" i="129" l="1"/>
  <c r="J19" i="129"/>
  <c r="D49" i="24"/>
  <c r="R59" i="88" s="1"/>
  <c r="E96" i="167"/>
  <c r="E92" i="167"/>
  <c r="E68" i="167"/>
  <c r="E97" i="167"/>
  <c r="E96" i="168"/>
  <c r="E92" i="168"/>
  <c r="E97" i="168"/>
  <c r="H56" i="115"/>
  <c r="E18" i="167"/>
  <c r="E70" i="136"/>
  <c r="D180" i="54"/>
  <c r="D188" i="54"/>
  <c r="F56" i="115"/>
  <c r="E42" i="98"/>
  <c r="E22" i="142"/>
  <c r="E22" i="137"/>
  <c r="E22" i="140"/>
  <c r="E22" i="136"/>
  <c r="E70" i="140"/>
  <c r="E94" i="140"/>
  <c r="M55" i="115"/>
  <c r="M57" i="115"/>
  <c r="G59" i="115"/>
  <c r="M58" i="115"/>
  <c r="E3" i="129"/>
  <c r="B56" i="115"/>
  <c r="I56" i="115" s="1"/>
  <c r="L12" i="98"/>
  <c r="R29" i="62"/>
  <c r="G11" i="98"/>
  <c r="G10" i="98" s="1"/>
  <c r="M17" i="105" s="1"/>
  <c r="K17" i="105" s="1"/>
  <c r="K19" i="99"/>
  <c r="E19" i="99" s="1"/>
  <c r="G19" i="99"/>
  <c r="H54" i="115" s="1"/>
  <c r="Q112" i="54"/>
  <c r="R113" i="54"/>
  <c r="Q106" i="54"/>
  <c r="R107" i="54"/>
  <c r="I103" i="54"/>
  <c r="J104" i="54"/>
  <c r="R101" i="54"/>
  <c r="Q100" i="54"/>
  <c r="R110" i="54"/>
  <c r="Q109" i="54"/>
  <c r="H103" i="54"/>
  <c r="G56" i="49"/>
  <c r="G52" i="49" s="1"/>
  <c r="G14" i="49" s="1"/>
  <c r="E190" i="54" l="1"/>
  <c r="M85" i="105" s="1"/>
  <c r="J52" i="109"/>
  <c r="K255" i="99"/>
  <c r="H16" i="189"/>
  <c r="E39" i="98"/>
  <c r="H59" i="115"/>
  <c r="E189" i="54"/>
  <c r="J85" i="105" s="1"/>
  <c r="E192" i="54"/>
  <c r="S85" i="105" s="1"/>
  <c r="E191" i="54"/>
  <c r="P85" i="105" s="1"/>
  <c r="M17" i="99"/>
  <c r="E16" i="168"/>
  <c r="M54" i="115"/>
  <c r="E30" i="88"/>
  <c r="F42" i="84" s="1"/>
  <c r="R39" i="88"/>
  <c r="G30" i="88"/>
  <c r="M12" i="98"/>
  <c r="N12" i="98" s="1"/>
  <c r="G98" i="137"/>
  <c r="F98" i="137"/>
  <c r="G99" i="137"/>
  <c r="F99" i="137"/>
  <c r="D99" i="137"/>
  <c r="D89" i="168"/>
  <c r="D98" i="137"/>
  <c r="D90" i="168"/>
  <c r="E98" i="137"/>
  <c r="E99" i="137"/>
  <c r="S110" i="54"/>
  <c r="S109" i="54" s="1"/>
  <c r="R109" i="54"/>
  <c r="J103" i="54"/>
  <c r="K104" i="54"/>
  <c r="R112" i="54"/>
  <c r="S113" i="54"/>
  <c r="S112" i="54" s="1"/>
  <c r="S101" i="54"/>
  <c r="S100" i="54" s="1"/>
  <c r="R100" i="54"/>
  <c r="S107" i="54"/>
  <c r="S106" i="54" s="1"/>
  <c r="R106" i="54"/>
  <c r="H56" i="49"/>
  <c r="H52" i="49" s="1"/>
  <c r="H14" i="49" s="1"/>
  <c r="M108" i="105" l="1"/>
  <c r="M109" i="105"/>
  <c r="M106" i="105"/>
  <c r="M110" i="105"/>
  <c r="M107" i="105"/>
  <c r="M111" i="105"/>
  <c r="G39" i="98"/>
  <c r="G40" i="98" s="1"/>
  <c r="E40" i="98"/>
  <c r="F41" i="159"/>
  <c r="F40" i="160" s="1"/>
  <c r="D22" i="157"/>
  <c r="H39" i="98"/>
  <c r="H40" i="98" s="1"/>
  <c r="F39" i="98"/>
  <c r="F40" i="98" s="1"/>
  <c r="I39" i="98"/>
  <c r="I40" i="98" s="1"/>
  <c r="E128" i="168"/>
  <c r="E127" i="168"/>
  <c r="E51" i="168"/>
  <c r="E20" i="136"/>
  <c r="E16" i="167"/>
  <c r="E87" i="168"/>
  <c r="E20" i="140"/>
  <c r="K5" i="145"/>
  <c r="K28" i="145" s="1"/>
  <c r="E92" i="137"/>
  <c r="C7" i="145"/>
  <c r="E88" i="142"/>
  <c r="E20" i="137"/>
  <c r="G34" i="69"/>
  <c r="X45" i="105"/>
  <c r="C22" i="157"/>
  <c r="G29" i="69"/>
  <c r="D91" i="142"/>
  <c r="D91" i="137"/>
  <c r="D92" i="142"/>
  <c r="D92" i="137"/>
  <c r="K26" i="179"/>
  <c r="R26" i="179" s="1"/>
  <c r="G39" i="69"/>
  <c r="G10" i="69"/>
  <c r="G55" i="69" s="1"/>
  <c r="K31" i="145"/>
  <c r="K34" i="145"/>
  <c r="E20" i="142"/>
  <c r="E98" i="142"/>
  <c r="G98" i="142"/>
  <c r="E99" i="142"/>
  <c r="D99" i="142"/>
  <c r="G99" i="142"/>
  <c r="F98" i="142"/>
  <c r="AA117" i="105"/>
  <c r="D98" i="142"/>
  <c r="F99" i="142"/>
  <c r="X46" i="105"/>
  <c r="X40" i="105"/>
  <c r="X43" i="105"/>
  <c r="X41" i="105"/>
  <c r="X44" i="105"/>
  <c r="K25" i="179"/>
  <c r="R25" i="179" s="1"/>
  <c r="R30" i="88"/>
  <c r="F17" i="103"/>
  <c r="F15" i="103"/>
  <c r="F16" i="103"/>
  <c r="X44" i="99"/>
  <c r="X43" i="99"/>
  <c r="X45" i="99"/>
  <c r="X46" i="99"/>
  <c r="K17" i="99"/>
  <c r="K103" i="54"/>
  <c r="L104" i="54"/>
  <c r="J56" i="49"/>
  <c r="J52" i="49" s="1"/>
  <c r="J14" i="49" s="1"/>
  <c r="I56" i="49"/>
  <c r="I52" i="49" s="1"/>
  <c r="I14" i="49" s="1"/>
  <c r="B22" i="157" l="1"/>
  <c r="I22" i="157" s="1"/>
  <c r="K29" i="145"/>
  <c r="O4" i="103"/>
  <c r="L4" i="83"/>
  <c r="O3" i="102"/>
  <c r="L4" i="106"/>
  <c r="O4" i="66"/>
  <c r="E89" i="142"/>
  <c r="K32" i="145"/>
  <c r="K33" i="145"/>
  <c r="E89" i="137"/>
  <c r="E51" i="167"/>
  <c r="E88" i="137"/>
  <c r="E86" i="168"/>
  <c r="E91" i="137"/>
  <c r="E89" i="168"/>
  <c r="E70" i="137"/>
  <c r="E68" i="168"/>
  <c r="E90" i="142"/>
  <c r="E88" i="168"/>
  <c r="G70" i="137"/>
  <c r="G68" i="168"/>
  <c r="E92" i="142"/>
  <c r="E90" i="168"/>
  <c r="G70" i="142"/>
  <c r="G54" i="69"/>
  <c r="E90" i="137"/>
  <c r="E70" i="142"/>
  <c r="E91" i="142"/>
  <c r="I5" i="145"/>
  <c r="J56" i="115"/>
  <c r="M42" i="100"/>
  <c r="F42" i="100"/>
  <c r="O3" i="78"/>
  <c r="Q21" i="114"/>
  <c r="Q22" i="114"/>
  <c r="R21" i="114"/>
  <c r="R22" i="114"/>
  <c r="S22" i="114"/>
  <c r="S21" i="114"/>
  <c r="T22" i="114"/>
  <c r="T21" i="114"/>
  <c r="AA118" i="105"/>
  <c r="V117" i="105"/>
  <c r="V118" i="105"/>
  <c r="D2" i="111"/>
  <c r="C56" i="115"/>
  <c r="D56" i="115" s="1"/>
  <c r="V17" i="103"/>
  <c r="N17" i="66"/>
  <c r="N17" i="103" s="1"/>
  <c r="V15" i="103"/>
  <c r="N15" i="66"/>
  <c r="N15" i="103" s="1"/>
  <c r="F9" i="66"/>
  <c r="V16" i="103"/>
  <c r="N16" i="66"/>
  <c r="N16" i="103" s="1"/>
  <c r="M104" i="54"/>
  <c r="L103" i="54"/>
  <c r="K29" i="179" l="1"/>
  <c r="K54" i="69"/>
  <c r="P21" i="114"/>
  <c r="P28" i="114" s="1"/>
  <c r="H32" i="157"/>
  <c r="E87" i="142"/>
  <c r="E85" i="168"/>
  <c r="E87" i="137"/>
  <c r="O42" i="100"/>
  <c r="P22" i="114"/>
  <c r="J22" i="114" s="1"/>
  <c r="W16" i="103"/>
  <c r="W17" i="103"/>
  <c r="N9" i="66"/>
  <c r="V9" i="103"/>
  <c r="W15" i="103"/>
  <c r="F9" i="103"/>
  <c r="M103" i="54"/>
  <c r="N104" i="54"/>
  <c r="J21" i="114" l="1"/>
  <c r="P29" i="114"/>
  <c r="W9" i="103"/>
  <c r="N103" i="54"/>
  <c r="O104" i="54"/>
  <c r="O103" i="54" l="1"/>
  <c r="P104" i="54"/>
  <c r="P103" i="54" l="1"/>
  <c r="Q104" i="54"/>
  <c r="Q103" i="54" l="1"/>
  <c r="R104" i="54"/>
  <c r="S104" i="54" l="1"/>
  <c r="S103" i="54" s="1"/>
  <c r="R103" i="54"/>
  <c r="E66" i="61" l="1"/>
  <c r="B66" i="61"/>
  <c r="E56" i="61"/>
  <c r="E53" i="61" s="1"/>
  <c r="D56" i="61"/>
  <c r="D53" i="61" s="1"/>
  <c r="E50" i="61"/>
  <c r="D50" i="61"/>
  <c r="E47" i="61"/>
  <c r="E39" i="61"/>
  <c r="D39" i="61"/>
  <c r="G31" i="61"/>
  <c r="E31" i="61"/>
  <c r="D31" i="61"/>
  <c r="D27" i="61"/>
  <c r="E23" i="61"/>
  <c r="D23" i="61"/>
  <c r="E19" i="61"/>
  <c r="D12" i="61"/>
  <c r="G9" i="61"/>
  <c r="F9" i="61"/>
  <c r="E9" i="61"/>
  <c r="G9" i="57"/>
  <c r="F9" i="57"/>
  <c r="E9" i="57"/>
  <c r="T106" i="99" l="1"/>
  <c r="H24" i="188"/>
  <c r="H30" i="171"/>
  <c r="D11" i="61"/>
  <c r="D37" i="61" l="1"/>
  <c r="D45" i="61" s="1"/>
  <c r="D46" i="61" s="1"/>
  <c r="F50" i="57"/>
  <c r="B50" i="57"/>
  <c r="F47" i="58" l="1"/>
  <c r="B47" i="58"/>
  <c r="D47" i="26"/>
  <c r="B47" i="26"/>
  <c r="A23" i="32" l="1"/>
  <c r="Q64" i="55" l="1"/>
  <c r="C64" i="55"/>
  <c r="E42" i="57"/>
  <c r="D42" i="57"/>
  <c r="F34" i="57"/>
  <c r="E34" i="57"/>
  <c r="D34" i="57"/>
  <c r="G26" i="57"/>
  <c r="J30" i="171" s="1"/>
  <c r="D30" i="171" s="1"/>
  <c r="T30" i="171" s="1"/>
  <c r="F26" i="57"/>
  <c r="E26" i="57"/>
  <c r="D26" i="57"/>
  <c r="F22" i="57"/>
  <c r="E22" i="57"/>
  <c r="D22" i="57"/>
  <c r="F18" i="57"/>
  <c r="F11" i="57" s="1"/>
  <c r="E18" i="57"/>
  <c r="D18" i="57"/>
  <c r="D11" i="57" s="1"/>
  <c r="F58" i="55"/>
  <c r="H56" i="55"/>
  <c r="D55" i="112" s="1"/>
  <c r="G56" i="55"/>
  <c r="F56" i="55"/>
  <c r="E56" i="55"/>
  <c r="F55" i="55"/>
  <c r="J24" i="55" s="1"/>
  <c r="E55" i="55"/>
  <c r="W45" i="55"/>
  <c r="F45" i="55"/>
  <c r="E45" i="55"/>
  <c r="X37" i="55"/>
  <c r="H36" i="112" s="1"/>
  <c r="H21" i="55"/>
  <c r="H20" i="55"/>
  <c r="N12" i="188" l="1"/>
  <c r="T45" i="99"/>
  <c r="D19" i="112"/>
  <c r="N19" i="112" s="1"/>
  <c r="N13" i="188"/>
  <c r="T46" i="99"/>
  <c r="D20" i="112"/>
  <c r="N20" i="112" s="1"/>
  <c r="K45" i="55"/>
  <c r="T45" i="105"/>
  <c r="U45" i="105" s="1"/>
  <c r="U45" i="99"/>
  <c r="T46" i="105"/>
  <c r="U46" i="105" s="1"/>
  <c r="U46" i="99"/>
  <c r="V31" i="55"/>
  <c r="V26" i="55"/>
  <c r="V27" i="55"/>
  <c r="V36" i="55"/>
  <c r="V24" i="55"/>
  <c r="V35" i="55"/>
  <c r="V18" i="55"/>
  <c r="V32" i="55"/>
  <c r="V34" i="55"/>
  <c r="V22" i="55"/>
  <c r="V42" i="55"/>
  <c r="V30" i="55"/>
  <c r="R18" i="55"/>
  <c r="V41" i="55"/>
  <c r="V28" i="55"/>
  <c r="S45" i="55"/>
  <c r="W41" i="55"/>
  <c r="U41" i="55"/>
  <c r="R32" i="55"/>
  <c r="R41" i="55"/>
  <c r="R27" i="55"/>
  <c r="R31" i="55"/>
  <c r="R30" i="55"/>
  <c r="R22" i="55"/>
  <c r="R36" i="55"/>
  <c r="R35" i="55"/>
  <c r="R24" i="55"/>
  <c r="R42" i="55"/>
  <c r="R34" i="55"/>
  <c r="R26" i="55"/>
  <c r="R28" i="55"/>
  <c r="Q41" i="55"/>
  <c r="S41" i="55"/>
  <c r="N35" i="55"/>
  <c r="N30" i="55"/>
  <c r="J35" i="55"/>
  <c r="J30" i="55"/>
  <c r="N34" i="55"/>
  <c r="J34" i="55"/>
  <c r="N41" i="55"/>
  <c r="N32" i="55"/>
  <c r="J42" i="55"/>
  <c r="J32" i="55"/>
  <c r="N42" i="55"/>
  <c r="N36" i="55"/>
  <c r="N31" i="55"/>
  <c r="J41" i="55"/>
  <c r="J36" i="55"/>
  <c r="J31" i="55"/>
  <c r="N26" i="55"/>
  <c r="N27" i="55"/>
  <c r="N22" i="55"/>
  <c r="J26" i="55"/>
  <c r="J27" i="55"/>
  <c r="J22" i="55"/>
  <c r="N18" i="55"/>
  <c r="N28" i="55"/>
  <c r="N24" i="55"/>
  <c r="J28" i="55"/>
  <c r="J18" i="55"/>
  <c r="I41" i="55"/>
  <c r="M41" i="55"/>
  <c r="G13" i="55"/>
  <c r="G12" i="55" s="1"/>
  <c r="H19" i="55"/>
  <c r="E13" i="55"/>
  <c r="E12" i="55" s="1"/>
  <c r="D32" i="57"/>
  <c r="D40" i="57" s="1"/>
  <c r="D41" i="57" s="1"/>
  <c r="D54" i="57" s="1"/>
  <c r="F32" i="57"/>
  <c r="N11" i="188" l="1"/>
  <c r="T44" i="99"/>
  <c r="D18" i="112"/>
  <c r="N18" i="112" s="1"/>
  <c r="K29" i="55"/>
  <c r="F40" i="57"/>
  <c r="F41" i="57" s="1"/>
  <c r="F54" i="57" s="1"/>
  <c r="T44" i="105"/>
  <c r="U44" i="105" s="1"/>
  <c r="U44" i="99"/>
  <c r="V29" i="55"/>
  <c r="W13" i="55"/>
  <c r="Q37" i="55"/>
  <c r="U33" i="55"/>
  <c r="W33" i="55"/>
  <c r="U13" i="55"/>
  <c r="V37" i="55"/>
  <c r="W37" i="55"/>
  <c r="U37" i="55"/>
  <c r="W29" i="55"/>
  <c r="V25" i="55"/>
  <c r="V33" i="55"/>
  <c r="U29" i="55"/>
  <c r="Q33" i="55"/>
  <c r="Q29" i="55"/>
  <c r="S13" i="55"/>
  <c r="R25" i="55"/>
  <c r="Q13" i="55"/>
  <c r="R37" i="55"/>
  <c r="S33" i="55"/>
  <c r="R33" i="55"/>
  <c r="R29" i="55"/>
  <c r="S37" i="55"/>
  <c r="S29" i="55"/>
  <c r="J37" i="55"/>
  <c r="M13" i="55"/>
  <c r="J33" i="55"/>
  <c r="M37" i="55"/>
  <c r="J25" i="55"/>
  <c r="J29" i="55"/>
  <c r="I37" i="55"/>
  <c r="I33" i="55"/>
  <c r="M33" i="55"/>
  <c r="N25" i="55"/>
  <c r="N33" i="55"/>
  <c r="N29" i="55"/>
  <c r="I13" i="55"/>
  <c r="I29" i="55"/>
  <c r="M29" i="55"/>
  <c r="N37" i="55"/>
  <c r="G43" i="55"/>
  <c r="G59" i="55" s="1"/>
  <c r="E43" i="55"/>
  <c r="E59" i="55" s="1"/>
  <c r="F10" i="22"/>
  <c r="K12" i="55" l="1"/>
  <c r="K43" i="55" s="1"/>
  <c r="K51" i="55" s="1"/>
  <c r="K52" i="55" s="1"/>
  <c r="Q12" i="55"/>
  <c r="Q43" i="55" s="1"/>
  <c r="W12" i="55"/>
  <c r="W43" i="55" s="1"/>
  <c r="U12" i="55"/>
  <c r="U43" i="55" s="1"/>
  <c r="S12" i="55"/>
  <c r="S43" i="55" s="1"/>
  <c r="E51" i="55"/>
  <c r="E74" i="55" s="1"/>
  <c r="M12" i="55"/>
  <c r="M43" i="55" s="1"/>
  <c r="M59" i="55" s="1"/>
  <c r="I12" i="55"/>
  <c r="I43" i="55" s="1"/>
  <c r="I59" i="55" s="1"/>
  <c r="F74" i="98"/>
  <c r="E74" i="98" s="1"/>
  <c r="C32" i="29"/>
  <c r="F32" i="29" s="1"/>
  <c r="I32" i="29" s="1"/>
  <c r="L32" i="29" s="1"/>
  <c r="D48" i="27"/>
  <c r="B48" i="27"/>
  <c r="A5" i="27"/>
  <c r="K59" i="55" l="1"/>
  <c r="K54" i="55"/>
  <c r="K53" i="55"/>
  <c r="W51" i="55"/>
  <c r="W54" i="55" s="1"/>
  <c r="W59" i="55"/>
  <c r="S51" i="55"/>
  <c r="S54" i="55" s="1"/>
  <c r="S59" i="55"/>
  <c r="Q59" i="55"/>
  <c r="Q51" i="55"/>
  <c r="Q53" i="55" s="1"/>
  <c r="U59" i="55"/>
  <c r="U51" i="55"/>
  <c r="U54" i="55" s="1"/>
  <c r="M51" i="55"/>
  <c r="I51" i="55"/>
  <c r="I74" i="55" s="1"/>
  <c r="E52" i="55"/>
  <c r="E53" i="55"/>
  <c r="E54" i="55"/>
  <c r="C31" i="29"/>
  <c r="F31" i="29" s="1"/>
  <c r="I31" i="29" s="1"/>
  <c r="L31" i="29" s="1"/>
  <c r="D34" i="30"/>
  <c r="W52" i="55" l="1"/>
  <c r="S53" i="55"/>
  <c r="S52" i="55"/>
  <c r="W53" i="55"/>
  <c r="Q54" i="55"/>
  <c r="Q52" i="55"/>
  <c r="M54" i="55"/>
  <c r="U52" i="55"/>
  <c r="U53" i="55"/>
  <c r="I52" i="55"/>
  <c r="I53" i="55"/>
  <c r="M52" i="55"/>
  <c r="M53" i="55"/>
  <c r="I54" i="55"/>
  <c r="G54" i="22"/>
  <c r="G81" i="22" s="1"/>
  <c r="C33" i="29"/>
  <c r="F33" i="29" s="1"/>
  <c r="I33" i="29" s="1"/>
  <c r="L33" i="29" s="1"/>
  <c r="A7" i="30"/>
  <c r="O147" i="54" l="1"/>
  <c r="G12" i="54"/>
  <c r="F12" i="54"/>
  <c r="B8" i="54"/>
  <c r="N6" i="54"/>
  <c r="D9" i="49" l="1"/>
  <c r="E9" i="49" s="1"/>
  <c r="F9" i="49" s="1"/>
  <c r="G9" i="49" s="1"/>
  <c r="H9" i="49" s="1"/>
  <c r="I9" i="49" s="1"/>
  <c r="J9" i="49" s="1"/>
  <c r="C7" i="49"/>
  <c r="C5" i="49"/>
  <c r="D7" i="49" l="1"/>
  <c r="C11" i="49"/>
  <c r="C67" i="49" s="1"/>
  <c r="D5" i="49"/>
  <c r="C12" i="49"/>
  <c r="E7" i="49"/>
  <c r="D11" i="49"/>
  <c r="E5" i="49"/>
  <c r="F5" i="49" s="1"/>
  <c r="G5" i="49" s="1"/>
  <c r="H5" i="49" s="1"/>
  <c r="I5" i="49" s="1"/>
  <c r="J5" i="49" s="1"/>
  <c r="D12" i="49" l="1"/>
  <c r="E12" i="49"/>
  <c r="D81" i="49"/>
  <c r="D66" i="49"/>
  <c r="D142" i="49" s="1"/>
  <c r="D67" i="49"/>
  <c r="D63" i="49"/>
  <c r="F7" i="49"/>
  <c r="E11" i="49"/>
  <c r="D65" i="49"/>
  <c r="D62" i="49"/>
  <c r="D71" i="49"/>
  <c r="D70" i="49"/>
  <c r="D103" i="49"/>
  <c r="D102" i="49"/>
  <c r="D100" i="49"/>
  <c r="D99" i="49"/>
  <c r="D96" i="49"/>
  <c r="D95" i="49"/>
  <c r="D93" i="49"/>
  <c r="D92" i="49"/>
  <c r="D89" i="49"/>
  <c r="D88" i="49"/>
  <c r="D86" i="49"/>
  <c r="D85" i="49"/>
  <c r="D82" i="49"/>
  <c r="D80" i="49"/>
  <c r="D78" i="49"/>
  <c r="D77" i="49"/>
  <c r="D74" i="49"/>
  <c r="D73" i="49"/>
  <c r="E66" i="49" l="1"/>
  <c r="E142" i="49" s="1"/>
  <c r="E88" i="49"/>
  <c r="D150" i="49"/>
  <c r="D143" i="49"/>
  <c r="D141" i="49" s="1"/>
  <c r="E80" i="49"/>
  <c r="E102" i="49"/>
  <c r="E95" i="49"/>
  <c r="E73" i="49"/>
  <c r="E62" i="49"/>
  <c r="E71" i="49"/>
  <c r="E78" i="49"/>
  <c r="E86" i="49"/>
  <c r="E93" i="49"/>
  <c r="E100" i="49"/>
  <c r="E77" i="49"/>
  <c r="E76" i="49" s="1"/>
  <c r="E85" i="49"/>
  <c r="E84" i="49" s="1"/>
  <c r="E92" i="49"/>
  <c r="E99" i="49"/>
  <c r="E70" i="49"/>
  <c r="E74" i="49"/>
  <c r="E82" i="49"/>
  <c r="E89" i="49"/>
  <c r="E96" i="49"/>
  <c r="E103" i="49"/>
  <c r="E65" i="49"/>
  <c r="E81" i="49"/>
  <c r="D64" i="49"/>
  <c r="G7" i="49"/>
  <c r="F11" i="49"/>
  <c r="F12" i="49"/>
  <c r="F88" i="49" s="1"/>
  <c r="D61" i="49"/>
  <c r="E67" i="49"/>
  <c r="E63" i="49"/>
  <c r="D76" i="49"/>
  <c r="D72" i="49"/>
  <c r="D84" i="49"/>
  <c r="D91" i="49"/>
  <c r="D79" i="49"/>
  <c r="D87" i="49"/>
  <c r="D94" i="49"/>
  <c r="H73" i="54" s="1"/>
  <c r="D101" i="49"/>
  <c r="D69" i="49"/>
  <c r="D98" i="49"/>
  <c r="I120" i="54" l="1"/>
  <c r="D127" i="49"/>
  <c r="D126" i="49"/>
  <c r="E91" i="49"/>
  <c r="E98" i="49"/>
  <c r="E94" i="49"/>
  <c r="E72" i="49"/>
  <c r="E143" i="49"/>
  <c r="E141" i="49" s="1"/>
  <c r="E150" i="49"/>
  <c r="D125" i="49"/>
  <c r="D131" i="49"/>
  <c r="D135" i="49"/>
  <c r="D129" i="49"/>
  <c r="D133" i="49"/>
  <c r="D132" i="49"/>
  <c r="D134" i="49"/>
  <c r="D128" i="49"/>
  <c r="E127" i="49"/>
  <c r="E126" i="49"/>
  <c r="E79" i="49"/>
  <c r="D60" i="49"/>
  <c r="E87" i="49"/>
  <c r="E101" i="49"/>
  <c r="E69" i="49"/>
  <c r="F81" i="49"/>
  <c r="F66" i="49"/>
  <c r="F142" i="49" s="1"/>
  <c r="E61" i="49"/>
  <c r="E64" i="49"/>
  <c r="F65" i="49"/>
  <c r="F62" i="49"/>
  <c r="F102" i="49"/>
  <c r="F95" i="49"/>
  <c r="F80" i="49"/>
  <c r="F73" i="49"/>
  <c r="F103" i="49"/>
  <c r="F96" i="49"/>
  <c r="F89" i="49"/>
  <c r="F82" i="49"/>
  <c r="F74" i="49"/>
  <c r="F99" i="49"/>
  <c r="F92" i="49"/>
  <c r="F85" i="49"/>
  <c r="F77" i="49"/>
  <c r="F70" i="49"/>
  <c r="F100" i="49"/>
  <c r="F93" i="49"/>
  <c r="F86" i="49"/>
  <c r="F78" i="49"/>
  <c r="F71" i="49"/>
  <c r="D68" i="49"/>
  <c r="D75" i="49"/>
  <c r="H7" i="49"/>
  <c r="G11" i="49"/>
  <c r="G12" i="49"/>
  <c r="G88" i="49" s="1"/>
  <c r="D83" i="49"/>
  <c r="F67" i="49"/>
  <c r="F63" i="49"/>
  <c r="D90" i="49"/>
  <c r="D97" i="49"/>
  <c r="E134" i="49" l="1"/>
  <c r="I73" i="54"/>
  <c r="E129" i="49"/>
  <c r="J120" i="54"/>
  <c r="E133" i="49"/>
  <c r="E75" i="49"/>
  <c r="E128" i="49"/>
  <c r="E97" i="49"/>
  <c r="E90" i="49"/>
  <c r="E131" i="49"/>
  <c r="E68" i="49"/>
  <c r="F143" i="49"/>
  <c r="F141" i="49" s="1"/>
  <c r="F150" i="49"/>
  <c r="D130" i="49"/>
  <c r="D124" i="49"/>
  <c r="E135" i="49"/>
  <c r="E132" i="49"/>
  <c r="E83" i="49"/>
  <c r="E125" i="49"/>
  <c r="G81" i="49"/>
  <c r="G66" i="49"/>
  <c r="G142" i="49" s="1"/>
  <c r="E60" i="49"/>
  <c r="F91" i="49"/>
  <c r="F79" i="49"/>
  <c r="F76" i="49"/>
  <c r="F94" i="49"/>
  <c r="J73" i="54" s="1"/>
  <c r="D59" i="49"/>
  <c r="F69" i="49"/>
  <c r="F98" i="49"/>
  <c r="F87" i="49"/>
  <c r="J130" i="54" s="1"/>
  <c r="G67" i="49"/>
  <c r="G63" i="49"/>
  <c r="F64" i="49"/>
  <c r="I7" i="49"/>
  <c r="H11" i="49"/>
  <c r="H12" i="49"/>
  <c r="H88" i="49" s="1"/>
  <c r="G62" i="49"/>
  <c r="G65" i="49"/>
  <c r="G102" i="49"/>
  <c r="G95" i="49"/>
  <c r="G80" i="49"/>
  <c r="G73" i="49"/>
  <c r="G103" i="49"/>
  <c r="G96" i="49"/>
  <c r="G89" i="49"/>
  <c r="G82" i="49"/>
  <c r="G74" i="49"/>
  <c r="G99" i="49"/>
  <c r="G92" i="49"/>
  <c r="G85" i="49"/>
  <c r="G77" i="49"/>
  <c r="G70" i="49"/>
  <c r="G100" i="49"/>
  <c r="G93" i="49"/>
  <c r="G86" i="49"/>
  <c r="G78" i="49"/>
  <c r="G71" i="49"/>
  <c r="F61" i="49"/>
  <c r="F84" i="49"/>
  <c r="F72" i="49"/>
  <c r="F101" i="49"/>
  <c r="F129" i="49" l="1"/>
  <c r="F127" i="49"/>
  <c r="K82" i="54"/>
  <c r="K120" i="54"/>
  <c r="K79" i="54" s="1"/>
  <c r="F128" i="49"/>
  <c r="E130" i="49"/>
  <c r="D149" i="49"/>
  <c r="F125" i="49"/>
  <c r="G143" i="49"/>
  <c r="G141" i="49" s="1"/>
  <c r="G150" i="49"/>
  <c r="E59" i="49"/>
  <c r="E146" i="49" s="1"/>
  <c r="E147" i="49" s="1"/>
  <c r="E124" i="49"/>
  <c r="D123" i="49"/>
  <c r="F133" i="49"/>
  <c r="F134" i="49"/>
  <c r="F131" i="49"/>
  <c r="F135" i="49"/>
  <c r="F132" i="49"/>
  <c r="F126" i="49"/>
  <c r="H81" i="49"/>
  <c r="H66" i="49"/>
  <c r="H142" i="49" s="1"/>
  <c r="G69" i="49"/>
  <c r="G98" i="49"/>
  <c r="K85" i="54" s="1"/>
  <c r="G87" i="49"/>
  <c r="F60" i="49"/>
  <c r="F75" i="49"/>
  <c r="F90" i="49"/>
  <c r="G91" i="49"/>
  <c r="G79" i="49"/>
  <c r="K90" i="54" s="1"/>
  <c r="H65" i="49"/>
  <c r="H62" i="49"/>
  <c r="H70" i="49"/>
  <c r="H99" i="49"/>
  <c r="H92" i="49"/>
  <c r="H85" i="49"/>
  <c r="H77" i="49"/>
  <c r="H71" i="49"/>
  <c r="H100" i="49"/>
  <c r="H93" i="49"/>
  <c r="H86" i="49"/>
  <c r="H78" i="49"/>
  <c r="H102" i="49"/>
  <c r="H95" i="49"/>
  <c r="H80" i="49"/>
  <c r="H73" i="49"/>
  <c r="H103" i="49"/>
  <c r="H96" i="49"/>
  <c r="H89" i="49"/>
  <c r="H82" i="49"/>
  <c r="H74" i="49"/>
  <c r="G76" i="49"/>
  <c r="G94" i="49"/>
  <c r="K73" i="54" s="1"/>
  <c r="G61" i="49"/>
  <c r="F68" i="49"/>
  <c r="F83" i="49"/>
  <c r="G64" i="49"/>
  <c r="J7" i="49"/>
  <c r="I11" i="49"/>
  <c r="I12" i="49"/>
  <c r="I88" i="49" s="1"/>
  <c r="H67" i="49"/>
  <c r="L82" i="54" s="1"/>
  <c r="H63" i="49"/>
  <c r="L120" i="54" s="1"/>
  <c r="L79" i="54" s="1"/>
  <c r="G84" i="49"/>
  <c r="G72" i="49"/>
  <c r="G101" i="49"/>
  <c r="F97" i="49"/>
  <c r="K130" i="54" l="1"/>
  <c r="E148" i="49"/>
  <c r="I62" i="54"/>
  <c r="I60" i="54"/>
  <c r="I61" i="54"/>
  <c r="I59" i="54"/>
  <c r="K71" i="54"/>
  <c r="K81" i="54"/>
  <c r="K121" i="54"/>
  <c r="K80" i="54" s="1"/>
  <c r="K118" i="54"/>
  <c r="K78" i="54"/>
  <c r="K86" i="54"/>
  <c r="K124" i="54"/>
  <c r="K83" i="54" s="1"/>
  <c r="G127" i="49"/>
  <c r="G126" i="49"/>
  <c r="E149" i="49"/>
  <c r="I78" i="49"/>
  <c r="J78" i="49"/>
  <c r="G125" i="49"/>
  <c r="H143" i="49"/>
  <c r="H141" i="49" s="1"/>
  <c r="H150" i="49"/>
  <c r="F130" i="49"/>
  <c r="E123" i="49"/>
  <c r="F124" i="49"/>
  <c r="G131" i="49"/>
  <c r="G134" i="49"/>
  <c r="G135" i="49"/>
  <c r="G132" i="49"/>
  <c r="G133" i="49"/>
  <c r="G129" i="49"/>
  <c r="G128" i="49"/>
  <c r="I81" i="49"/>
  <c r="I66" i="49"/>
  <c r="I142" i="49" s="1"/>
  <c r="H84" i="49"/>
  <c r="H72" i="49"/>
  <c r="H101" i="49"/>
  <c r="G90" i="49"/>
  <c r="H87" i="49"/>
  <c r="H91" i="49"/>
  <c r="F59" i="49"/>
  <c r="F146" i="49" s="1"/>
  <c r="F147" i="49" s="1"/>
  <c r="H76" i="49"/>
  <c r="H69" i="49"/>
  <c r="O83" i="54"/>
  <c r="O74" i="54" s="1"/>
  <c r="H64" i="49"/>
  <c r="H82" i="54"/>
  <c r="I65" i="49"/>
  <c r="I62" i="49"/>
  <c r="I102" i="49"/>
  <c r="I95" i="49"/>
  <c r="I80" i="49"/>
  <c r="I73" i="49"/>
  <c r="I103" i="49"/>
  <c r="I96" i="49"/>
  <c r="I89" i="49"/>
  <c r="I82" i="49"/>
  <c r="I74" i="49"/>
  <c r="I99" i="49"/>
  <c r="I92" i="49"/>
  <c r="I85" i="49"/>
  <c r="I77" i="49"/>
  <c r="I70" i="49"/>
  <c r="I100" i="49"/>
  <c r="I93" i="49"/>
  <c r="I86" i="49"/>
  <c r="I71" i="49"/>
  <c r="G75" i="49"/>
  <c r="H61" i="49"/>
  <c r="G68" i="49"/>
  <c r="G97" i="49"/>
  <c r="H94" i="49"/>
  <c r="L73" i="54" s="1"/>
  <c r="I67" i="49"/>
  <c r="I63" i="49"/>
  <c r="G83" i="49"/>
  <c r="H79" i="54"/>
  <c r="J11" i="49"/>
  <c r="J12" i="49"/>
  <c r="J88" i="49" s="1"/>
  <c r="G60" i="49"/>
  <c r="H79" i="49"/>
  <c r="L90" i="54" s="1"/>
  <c r="H98" i="49"/>
  <c r="E129" i="22"/>
  <c r="G10" i="22"/>
  <c r="E10" i="22"/>
  <c r="L130" i="54" l="1"/>
  <c r="K94" i="54"/>
  <c r="F148" i="49"/>
  <c r="J54" i="54"/>
  <c r="J51" i="54"/>
  <c r="J53" i="54"/>
  <c r="I53" i="54"/>
  <c r="I54" i="54"/>
  <c r="F149" i="49"/>
  <c r="J60" i="54"/>
  <c r="J59" i="54"/>
  <c r="J62" i="54"/>
  <c r="J61" i="54"/>
  <c r="I51" i="54"/>
  <c r="H129" i="49"/>
  <c r="L85" i="54"/>
  <c r="L31" i="54" s="1"/>
  <c r="L71" i="54"/>
  <c r="L81" i="54"/>
  <c r="L121" i="54"/>
  <c r="L80" i="54" s="1"/>
  <c r="L78" i="54"/>
  <c r="L118" i="54"/>
  <c r="I82" i="54"/>
  <c r="M82" i="54"/>
  <c r="H127" i="49"/>
  <c r="K91" i="54"/>
  <c r="K93" i="54"/>
  <c r="I79" i="54"/>
  <c r="M120" i="54"/>
  <c r="M79" i="54" s="1"/>
  <c r="L86" i="54"/>
  <c r="K77" i="54"/>
  <c r="K117" i="54"/>
  <c r="L89" i="54"/>
  <c r="L127" i="54"/>
  <c r="L87" i="54" s="1"/>
  <c r="K89" i="54"/>
  <c r="K127" i="54"/>
  <c r="K87" i="54" s="1"/>
  <c r="F123" i="49"/>
  <c r="L41" i="54"/>
  <c r="L40" i="54"/>
  <c r="O69" i="54"/>
  <c r="I143" i="49"/>
  <c r="I141" i="49" s="1"/>
  <c r="I150" i="49"/>
  <c r="G130" i="49"/>
  <c r="H125" i="49"/>
  <c r="G124" i="49"/>
  <c r="H134" i="49"/>
  <c r="H86" i="54"/>
  <c r="H135" i="49"/>
  <c r="H90" i="54"/>
  <c r="H132" i="49"/>
  <c r="H131" i="49"/>
  <c r="H94" i="54"/>
  <c r="H133" i="49"/>
  <c r="H128" i="49"/>
  <c r="H126" i="49"/>
  <c r="H68" i="49"/>
  <c r="J81" i="49"/>
  <c r="J66" i="49"/>
  <c r="J142" i="49" s="1"/>
  <c r="H78" i="54"/>
  <c r="H60" i="49"/>
  <c r="H83" i="49"/>
  <c r="H93" i="54"/>
  <c r="I69" i="49"/>
  <c r="I98" i="49"/>
  <c r="M85" i="54" s="1"/>
  <c r="M31" i="54" s="1"/>
  <c r="I87" i="49"/>
  <c r="H97" i="49"/>
  <c r="I76" i="49"/>
  <c r="I94" i="49"/>
  <c r="H90" i="49"/>
  <c r="C63" i="49"/>
  <c r="I64" i="49"/>
  <c r="J67" i="49"/>
  <c r="J63" i="49"/>
  <c r="N120" i="54" s="1"/>
  <c r="I61" i="49"/>
  <c r="H75" i="49"/>
  <c r="I91" i="49"/>
  <c r="I79" i="49"/>
  <c r="H81" i="54"/>
  <c r="H121" i="54"/>
  <c r="J65" i="49"/>
  <c r="J62" i="49"/>
  <c r="J102" i="49"/>
  <c r="J95" i="49"/>
  <c r="J80" i="49"/>
  <c r="J73" i="49"/>
  <c r="J103" i="49"/>
  <c r="J96" i="49"/>
  <c r="J89" i="49"/>
  <c r="J82" i="49"/>
  <c r="J74" i="49"/>
  <c r="J99" i="49"/>
  <c r="J92" i="49"/>
  <c r="J85" i="49"/>
  <c r="J77" i="49"/>
  <c r="J70" i="49"/>
  <c r="J100" i="49"/>
  <c r="J93" i="49"/>
  <c r="J86" i="49"/>
  <c r="J71" i="49"/>
  <c r="G59" i="49"/>
  <c r="G146" i="49" s="1"/>
  <c r="G147" i="49" s="1"/>
  <c r="I84" i="49"/>
  <c r="I72" i="49"/>
  <c r="I101" i="49"/>
  <c r="F45" i="29"/>
  <c r="N79" i="54" l="1"/>
  <c r="G120" i="54"/>
  <c r="H80" i="54"/>
  <c r="E30" i="21" s="1"/>
  <c r="E33" i="21" s="1"/>
  <c r="M130" i="54"/>
  <c r="L94" i="54"/>
  <c r="L124" i="54"/>
  <c r="L83" i="54" s="1"/>
  <c r="K60" i="54"/>
  <c r="K32" i="54" s="1"/>
  <c r="K62" i="54"/>
  <c r="K38" i="54" s="1"/>
  <c r="K61" i="54"/>
  <c r="K35" i="54" s="1"/>
  <c r="K59" i="54"/>
  <c r="K29" i="54" s="1"/>
  <c r="I134" i="49"/>
  <c r="M73" i="54"/>
  <c r="M71" i="54" s="1"/>
  <c r="M81" i="54"/>
  <c r="M121" i="54"/>
  <c r="M80" i="54" s="1"/>
  <c r="M78" i="54"/>
  <c r="M118" i="54"/>
  <c r="M86" i="54"/>
  <c r="M124" i="54"/>
  <c r="M83" i="54" s="1"/>
  <c r="I127" i="49"/>
  <c r="I132" i="49"/>
  <c r="M90" i="54"/>
  <c r="J82" i="54"/>
  <c r="N82" i="54"/>
  <c r="M89" i="54"/>
  <c r="K75" i="54"/>
  <c r="K116" i="54"/>
  <c r="K115" i="54" s="1"/>
  <c r="L93" i="54"/>
  <c r="L91" i="54"/>
  <c r="L77" i="54"/>
  <c r="L117" i="54"/>
  <c r="L39" i="54"/>
  <c r="O47" i="54"/>
  <c r="O26" i="54" s="1"/>
  <c r="H127" i="54"/>
  <c r="H89" i="54"/>
  <c r="I125" i="49"/>
  <c r="C66" i="49"/>
  <c r="C142" i="49" s="1"/>
  <c r="J150" i="49"/>
  <c r="G123" i="49"/>
  <c r="G148" i="49"/>
  <c r="G149" i="49"/>
  <c r="H71" i="54"/>
  <c r="H130" i="49"/>
  <c r="H130" i="54"/>
  <c r="H124" i="49"/>
  <c r="I86" i="54"/>
  <c r="I135" i="49"/>
  <c r="I94" i="54"/>
  <c r="I133" i="49"/>
  <c r="I85" i="54"/>
  <c r="I129" i="49"/>
  <c r="I131" i="49"/>
  <c r="I128" i="49"/>
  <c r="I89" i="54"/>
  <c r="I126" i="49"/>
  <c r="J69" i="49"/>
  <c r="J98" i="49"/>
  <c r="N85" i="54" s="1"/>
  <c r="N31" i="54" s="1"/>
  <c r="J87" i="49"/>
  <c r="H118" i="54"/>
  <c r="C81" i="49"/>
  <c r="J143" i="49"/>
  <c r="J141" i="49" s="1"/>
  <c r="H59" i="49"/>
  <c r="H146" i="49" s="1"/>
  <c r="H147" i="49" s="1"/>
  <c r="J76" i="49"/>
  <c r="J94" i="49"/>
  <c r="N73" i="54" s="1"/>
  <c r="I97" i="49"/>
  <c r="J91" i="49"/>
  <c r="J79" i="49"/>
  <c r="N90" i="54" s="1"/>
  <c r="I81" i="54"/>
  <c r="I121" i="54"/>
  <c r="I80" i="54" s="1"/>
  <c r="C65" i="49"/>
  <c r="C64" i="49" s="1"/>
  <c r="C62" i="49"/>
  <c r="C61" i="49" s="1"/>
  <c r="C102" i="49"/>
  <c r="C95" i="49"/>
  <c r="C88" i="49"/>
  <c r="C80" i="49"/>
  <c r="C70" i="49"/>
  <c r="C103" i="49"/>
  <c r="C96" i="49"/>
  <c r="C89" i="49"/>
  <c r="C82" i="49"/>
  <c r="C74" i="49"/>
  <c r="C73" i="49"/>
  <c r="C99" i="49"/>
  <c r="C92" i="49"/>
  <c r="C85" i="49"/>
  <c r="C77" i="49"/>
  <c r="C100" i="49"/>
  <c r="C93" i="49"/>
  <c r="C86" i="49"/>
  <c r="C78" i="49"/>
  <c r="C71" i="49"/>
  <c r="J61" i="49"/>
  <c r="M61" i="49" s="1"/>
  <c r="N61" i="49" s="1"/>
  <c r="I75" i="49"/>
  <c r="I68" i="49"/>
  <c r="I60" i="49"/>
  <c r="I90" i="49"/>
  <c r="H85" i="54"/>
  <c r="H124" i="54"/>
  <c r="J64" i="49"/>
  <c r="I83" i="49"/>
  <c r="I78" i="54"/>
  <c r="I118" i="54"/>
  <c r="J79" i="54"/>
  <c r="G79" i="54" s="1"/>
  <c r="W79" i="54" s="1"/>
  <c r="J84" i="49"/>
  <c r="J72" i="49"/>
  <c r="J101" i="49"/>
  <c r="A8" i="29"/>
  <c r="B7" i="31"/>
  <c r="H83" i="54" l="1"/>
  <c r="H87" i="54"/>
  <c r="H117" i="54"/>
  <c r="H91" i="54"/>
  <c r="M94" i="54"/>
  <c r="N130" i="54"/>
  <c r="K87" i="49"/>
  <c r="H30" i="21"/>
  <c r="K53" i="54"/>
  <c r="L53" i="54"/>
  <c r="L34" i="54" s="1"/>
  <c r="L54" i="54"/>
  <c r="L37" i="54" s="1"/>
  <c r="L51" i="54"/>
  <c r="L28" i="54" s="1"/>
  <c r="K54" i="54"/>
  <c r="K51" i="54"/>
  <c r="K28" i="54" s="1"/>
  <c r="K27" i="54" s="1"/>
  <c r="L59" i="54"/>
  <c r="L62" i="54"/>
  <c r="L38" i="54" s="1"/>
  <c r="L61" i="54"/>
  <c r="L35" i="54" s="1"/>
  <c r="L60" i="54"/>
  <c r="L32" i="54" s="1"/>
  <c r="L30" i="54" s="1"/>
  <c r="N71" i="54"/>
  <c r="N121" i="54"/>
  <c r="N80" i="54" s="1"/>
  <c r="N81" i="54"/>
  <c r="N118" i="54"/>
  <c r="N78" i="54"/>
  <c r="J126" i="49"/>
  <c r="C126" i="49" s="1"/>
  <c r="D171" i="54"/>
  <c r="M127" i="54"/>
  <c r="M87" i="54" s="1"/>
  <c r="K74" i="54"/>
  <c r="J127" i="49"/>
  <c r="C127" i="49" s="1"/>
  <c r="L116" i="54"/>
  <c r="L115" i="54" s="1"/>
  <c r="L75" i="54"/>
  <c r="N86" i="54"/>
  <c r="N124" i="54"/>
  <c r="N83" i="54" s="1"/>
  <c r="M93" i="54"/>
  <c r="M91" i="54"/>
  <c r="M117" i="54"/>
  <c r="M77" i="54"/>
  <c r="G82" i="54"/>
  <c r="W82" i="54" s="1"/>
  <c r="H149" i="49"/>
  <c r="H31" i="54"/>
  <c r="H37" i="54"/>
  <c r="H38" i="54"/>
  <c r="J125" i="49"/>
  <c r="C125" i="49" s="1"/>
  <c r="C143" i="49"/>
  <c r="C141" i="49" s="1"/>
  <c r="C150" i="49"/>
  <c r="H148" i="49"/>
  <c r="I71" i="54"/>
  <c r="I130" i="49"/>
  <c r="H123" i="49"/>
  <c r="I124" i="49"/>
  <c r="H77" i="54"/>
  <c r="I124" i="54"/>
  <c r="I83" i="54" s="1"/>
  <c r="J90" i="54"/>
  <c r="J132" i="49"/>
  <c r="J85" i="54"/>
  <c r="J129" i="49"/>
  <c r="J86" i="54"/>
  <c r="J135" i="49"/>
  <c r="J134" i="49"/>
  <c r="J133" i="49"/>
  <c r="J131" i="49"/>
  <c r="I127" i="54"/>
  <c r="I87" i="54" s="1"/>
  <c r="J90" i="49"/>
  <c r="J128" i="49"/>
  <c r="J75" i="49"/>
  <c r="I59" i="49"/>
  <c r="I146" i="49" s="1"/>
  <c r="I147" i="49" s="1"/>
  <c r="C60" i="49"/>
  <c r="C72" i="49"/>
  <c r="L64" i="49" s="1"/>
  <c r="C69" i="49"/>
  <c r="L61" i="49" s="1"/>
  <c r="C101" i="49"/>
  <c r="C94" i="49"/>
  <c r="J81" i="54"/>
  <c r="J121" i="54"/>
  <c r="J80" i="54" s="1"/>
  <c r="I93" i="54"/>
  <c r="I130" i="54"/>
  <c r="I91" i="54" s="1"/>
  <c r="I90" i="54"/>
  <c r="C76" i="49"/>
  <c r="J68" i="49"/>
  <c r="C98" i="49"/>
  <c r="J97" i="49"/>
  <c r="I117" i="54"/>
  <c r="I77" i="54"/>
  <c r="J60" i="49"/>
  <c r="C91" i="49"/>
  <c r="W72" i="54" s="1"/>
  <c r="C87" i="49"/>
  <c r="H116" i="54"/>
  <c r="H115" i="54" s="1"/>
  <c r="H75" i="54"/>
  <c r="J83" i="49"/>
  <c r="J78" i="54"/>
  <c r="J118" i="54"/>
  <c r="G118" i="54" s="1"/>
  <c r="C84" i="49"/>
  <c r="C79" i="49"/>
  <c r="D5" i="163" l="1"/>
  <c r="K186" i="54"/>
  <c r="L186" i="54" s="1"/>
  <c r="X77" i="54"/>
  <c r="M125" i="49"/>
  <c r="L87" i="49"/>
  <c r="G130" i="54"/>
  <c r="G121" i="54"/>
  <c r="D174" i="54" s="1"/>
  <c r="N94" i="54"/>
  <c r="L22" i="54"/>
  <c r="H19" i="29"/>
  <c r="F22" i="29"/>
  <c r="F26" i="29" s="1"/>
  <c r="I29" i="21"/>
  <c r="G81" i="54"/>
  <c r="W81" i="54" s="1"/>
  <c r="L36" i="54"/>
  <c r="L29" i="54"/>
  <c r="L23" i="54" s="1"/>
  <c r="L58" i="54"/>
  <c r="L50" i="54"/>
  <c r="M53" i="54"/>
  <c r="M34" i="54" s="1"/>
  <c r="M61" i="54"/>
  <c r="M35" i="54" s="1"/>
  <c r="M62" i="54"/>
  <c r="M38" i="54" s="1"/>
  <c r="M60" i="54"/>
  <c r="M32" i="54" s="1"/>
  <c r="M30" i="54" s="1"/>
  <c r="M59" i="54"/>
  <c r="M29" i="54" s="1"/>
  <c r="L33" i="54"/>
  <c r="L74" i="54"/>
  <c r="M75" i="54"/>
  <c r="M116" i="54"/>
  <c r="M115" i="54" s="1"/>
  <c r="N127" i="54"/>
  <c r="N87" i="54" s="1"/>
  <c r="N89" i="54"/>
  <c r="N93" i="54"/>
  <c r="N91" i="54"/>
  <c r="K69" i="54"/>
  <c r="K88" i="54"/>
  <c r="K92" i="54"/>
  <c r="K84" i="54"/>
  <c r="N117" i="54"/>
  <c r="N77" i="54"/>
  <c r="K76" i="54"/>
  <c r="C138" i="49"/>
  <c r="N41" i="54"/>
  <c r="E29" i="21"/>
  <c r="E32" i="21" s="1"/>
  <c r="G78" i="54"/>
  <c r="W78" i="54" s="1"/>
  <c r="I32" i="54"/>
  <c r="I149" i="49"/>
  <c r="I35" i="54"/>
  <c r="I38" i="54"/>
  <c r="G90" i="54"/>
  <c r="G70" i="22"/>
  <c r="G94" i="22" s="1"/>
  <c r="C139" i="49"/>
  <c r="I148" i="49"/>
  <c r="G73" i="54"/>
  <c r="W73" i="54" s="1"/>
  <c r="J71" i="54"/>
  <c r="J130" i="49"/>
  <c r="H34" i="54"/>
  <c r="H29" i="54"/>
  <c r="H32" i="54"/>
  <c r="H30" i="54" s="1"/>
  <c r="H35" i="54"/>
  <c r="D175" i="54"/>
  <c r="G86" i="54"/>
  <c r="L16" i="105" s="1"/>
  <c r="K16" i="105" s="1"/>
  <c r="G80" i="54"/>
  <c r="G85" i="54"/>
  <c r="H28" i="54"/>
  <c r="C133" i="49"/>
  <c r="C135" i="49"/>
  <c r="C132" i="49"/>
  <c r="I123" i="49"/>
  <c r="I37" i="54"/>
  <c r="C128" i="49"/>
  <c r="C134" i="49"/>
  <c r="C129" i="49"/>
  <c r="I34" i="54"/>
  <c r="I31" i="54"/>
  <c r="J94" i="54"/>
  <c r="J124" i="54"/>
  <c r="J83" i="54" s="1"/>
  <c r="G83" i="54" s="1"/>
  <c r="W83" i="54" s="1"/>
  <c r="J124" i="49"/>
  <c r="C131" i="49"/>
  <c r="X78" i="54" s="1"/>
  <c r="J89" i="54"/>
  <c r="C97" i="49"/>
  <c r="G54" i="61"/>
  <c r="C90" i="49"/>
  <c r="J127" i="54"/>
  <c r="J87" i="54" s="1"/>
  <c r="C68" i="49"/>
  <c r="L60" i="49" s="1"/>
  <c r="I116" i="54"/>
  <c r="I115" i="54" s="1"/>
  <c r="I75" i="54"/>
  <c r="I74" i="54" s="1"/>
  <c r="J77" i="54"/>
  <c r="J117" i="54"/>
  <c r="J93" i="54"/>
  <c r="J91" i="54"/>
  <c r="H74" i="54"/>
  <c r="C83" i="49"/>
  <c r="J59" i="49"/>
  <c r="C75" i="49"/>
  <c r="D172" i="54"/>
  <c r="C6" i="163" l="1"/>
  <c r="M185" i="54"/>
  <c r="W90" i="54"/>
  <c r="O16" i="105"/>
  <c r="N16" i="105" s="1"/>
  <c r="W80" i="54"/>
  <c r="I16" i="105"/>
  <c r="B6" i="163"/>
  <c r="M184" i="54"/>
  <c r="E5" i="163"/>
  <c r="K187" i="54"/>
  <c r="L187" i="54" s="1"/>
  <c r="E10" i="164"/>
  <c r="E14" i="164" s="1"/>
  <c r="L15" i="105"/>
  <c r="K15" i="105" s="1"/>
  <c r="L27" i="54"/>
  <c r="G124" i="54"/>
  <c r="G127" i="54"/>
  <c r="L90" i="49"/>
  <c r="M59" i="49"/>
  <c r="L17" i="54"/>
  <c r="L21" i="54"/>
  <c r="G91" i="54"/>
  <c r="W91" i="54" s="1"/>
  <c r="E26" i="164"/>
  <c r="W86" i="54"/>
  <c r="G87" i="54"/>
  <c r="G117" i="54"/>
  <c r="E15" i="164"/>
  <c r="E17" i="164" s="1"/>
  <c r="H28" i="29"/>
  <c r="F19" i="29"/>
  <c r="F23" i="29" s="1"/>
  <c r="F26" i="164"/>
  <c r="G17" i="98"/>
  <c r="L14" i="105" s="1"/>
  <c r="K14" i="105" s="1"/>
  <c r="I16" i="99"/>
  <c r="D15" i="167" s="1"/>
  <c r="D62" i="167" s="1"/>
  <c r="D26" i="164"/>
  <c r="H17" i="98"/>
  <c r="I30" i="21"/>
  <c r="L18" i="54"/>
  <c r="L16" i="54" s="1"/>
  <c r="M33" i="54"/>
  <c r="M54" i="54"/>
  <c r="M37" i="54" s="1"/>
  <c r="M36" i="54" s="1"/>
  <c r="N54" i="54"/>
  <c r="N37" i="54" s="1"/>
  <c r="J149" i="49"/>
  <c r="N62" i="54"/>
  <c r="N38" i="54" s="1"/>
  <c r="N60" i="54"/>
  <c r="N32" i="54" s="1"/>
  <c r="N30" i="54" s="1"/>
  <c r="N59" i="54"/>
  <c r="N61" i="54"/>
  <c r="N35" i="54" s="1"/>
  <c r="M51" i="54"/>
  <c r="M28" i="54" s="1"/>
  <c r="C111" i="49"/>
  <c r="F199" i="54" s="1"/>
  <c r="J30" i="21"/>
  <c r="L48" i="54"/>
  <c r="D170" i="54"/>
  <c r="I56" i="61"/>
  <c r="I38" i="61" s="1"/>
  <c r="N116" i="54"/>
  <c r="N115" i="54" s="1"/>
  <c r="N75" i="54"/>
  <c r="M74" i="54"/>
  <c r="M76" i="54" s="1"/>
  <c r="L88" i="54"/>
  <c r="L84" i="54"/>
  <c r="L69" i="54"/>
  <c r="L92" i="54"/>
  <c r="L76" i="54"/>
  <c r="D176" i="54"/>
  <c r="D177" i="54"/>
  <c r="H76" i="54"/>
  <c r="H84" i="54"/>
  <c r="H88" i="54"/>
  <c r="H92" i="54"/>
  <c r="N40" i="54"/>
  <c r="M40" i="54"/>
  <c r="M41" i="54"/>
  <c r="M23" i="54" s="1"/>
  <c r="M58" i="54"/>
  <c r="I69" i="54"/>
  <c r="H69" i="54"/>
  <c r="I30" i="54"/>
  <c r="G54" i="92"/>
  <c r="K54" i="92" s="1"/>
  <c r="G77" i="54"/>
  <c r="C121" i="49"/>
  <c r="F205" i="54" s="1"/>
  <c r="G35" i="93"/>
  <c r="O16" i="99"/>
  <c r="F15" i="167" s="1"/>
  <c r="G59" i="92"/>
  <c r="C7" i="103"/>
  <c r="B14" i="110"/>
  <c r="B1" i="110" s="1"/>
  <c r="J1" i="110" s="1"/>
  <c r="C7" i="102"/>
  <c r="C7" i="100"/>
  <c r="D9" i="92"/>
  <c r="U10" i="55"/>
  <c r="Q10" i="55"/>
  <c r="M10" i="55"/>
  <c r="I10" i="55"/>
  <c r="E10" i="55"/>
  <c r="L16" i="99"/>
  <c r="E15" i="167" s="1"/>
  <c r="D15" i="168"/>
  <c r="L15" i="99"/>
  <c r="G67" i="22"/>
  <c r="F35" i="93"/>
  <c r="G58" i="92"/>
  <c r="E75" i="166" s="1"/>
  <c r="G57" i="92"/>
  <c r="E35" i="93"/>
  <c r="E59" i="58" s="1"/>
  <c r="F35" i="58"/>
  <c r="G58" i="61"/>
  <c r="E75" i="165" s="1"/>
  <c r="P55" i="55"/>
  <c r="F54" i="112" s="1"/>
  <c r="G44" i="57"/>
  <c r="C8" i="84"/>
  <c r="C8" i="83"/>
  <c r="C7" i="78"/>
  <c r="G71" i="54"/>
  <c r="W71" i="54" s="1"/>
  <c r="D9" i="61"/>
  <c r="C7" i="66"/>
  <c r="L97" i="49"/>
  <c r="L83" i="49"/>
  <c r="C124" i="49"/>
  <c r="C130" i="49"/>
  <c r="V130" i="54"/>
  <c r="H33" i="54"/>
  <c r="H36" i="54"/>
  <c r="I33" i="54"/>
  <c r="I29" i="54"/>
  <c r="H27" i="54"/>
  <c r="I28" i="54"/>
  <c r="F29" i="21" s="1"/>
  <c r="G93" i="54"/>
  <c r="G89" i="54"/>
  <c r="G94" i="54"/>
  <c r="R16" i="105" s="1"/>
  <c r="Q16" i="105" s="1"/>
  <c r="J123" i="49"/>
  <c r="J37" i="54"/>
  <c r="L75" i="49"/>
  <c r="C59" i="49"/>
  <c r="L59" i="49" s="1"/>
  <c r="I76" i="54"/>
  <c r="I84" i="54"/>
  <c r="I88" i="54"/>
  <c r="J116" i="54"/>
  <c r="J115" i="54" s="1"/>
  <c r="J75" i="54"/>
  <c r="I92" i="54"/>
  <c r="E12" i="54"/>
  <c r="D9" i="57"/>
  <c r="D10" i="22"/>
  <c r="G98" i="54"/>
  <c r="I17" i="98" l="1"/>
  <c r="R14" i="99" s="1"/>
  <c r="G13" i="167" s="1"/>
  <c r="G46" i="57"/>
  <c r="G71" i="22"/>
  <c r="G95" i="22" s="1"/>
  <c r="X55" i="55"/>
  <c r="H54" i="112" s="1"/>
  <c r="F19" i="142"/>
  <c r="E6" i="163"/>
  <c r="E4" i="163" s="1"/>
  <c r="M187" i="54"/>
  <c r="W93" i="54"/>
  <c r="R15" i="105"/>
  <c r="Q15" i="105" s="1"/>
  <c r="W77" i="54"/>
  <c r="I15" i="105"/>
  <c r="C5" i="163"/>
  <c r="C4" i="163" s="1"/>
  <c r="K185" i="54"/>
  <c r="L185" i="54" s="1"/>
  <c r="F16" i="105"/>
  <c r="H16" i="105"/>
  <c r="E16" i="105" s="1"/>
  <c r="J14" i="129"/>
  <c r="N185" i="54"/>
  <c r="W89" i="54"/>
  <c r="O15" i="105"/>
  <c r="N15" i="105" s="1"/>
  <c r="O14" i="105"/>
  <c r="N14" i="105" s="1"/>
  <c r="R14" i="105"/>
  <c r="Q14" i="105" s="1"/>
  <c r="D6" i="163"/>
  <c r="D4" i="163" s="1"/>
  <c r="M186" i="54"/>
  <c r="D19" i="140"/>
  <c r="M18" i="54"/>
  <c r="M22" i="54"/>
  <c r="M21" i="54" s="1"/>
  <c r="N59" i="49"/>
  <c r="H16" i="99"/>
  <c r="C7" i="111" s="1"/>
  <c r="D19" i="136"/>
  <c r="G26" i="164"/>
  <c r="W94" i="54"/>
  <c r="G69" i="22"/>
  <c r="G93" i="22" s="1"/>
  <c r="W87" i="54"/>
  <c r="F30" i="21"/>
  <c r="T55" i="55"/>
  <c r="G54" i="112" s="1"/>
  <c r="G45" i="57"/>
  <c r="K48" i="115" s="1"/>
  <c r="O14" i="99"/>
  <c r="F13" i="167" s="1"/>
  <c r="H15" i="98"/>
  <c r="H25" i="98" s="1"/>
  <c r="L47" i="54"/>
  <c r="L26" i="54" s="1"/>
  <c r="I15" i="98"/>
  <c r="I25" i="98" s="1"/>
  <c r="E14" i="167"/>
  <c r="E18" i="137"/>
  <c r="E14" i="168"/>
  <c r="E19" i="137"/>
  <c r="E15" i="168"/>
  <c r="G17" i="137"/>
  <c r="G13" i="168"/>
  <c r="E17" i="137"/>
  <c r="E13" i="168"/>
  <c r="D62" i="168"/>
  <c r="F19" i="137"/>
  <c r="F15" i="168"/>
  <c r="E18" i="164"/>
  <c r="J56" i="92"/>
  <c r="F75" i="166"/>
  <c r="I56" i="92"/>
  <c r="H56" i="92"/>
  <c r="D75" i="166"/>
  <c r="E17" i="142"/>
  <c r="G15" i="98"/>
  <c r="G25" i="98" s="1"/>
  <c r="L14" i="99"/>
  <c r="E13" i="167" s="1"/>
  <c r="F28" i="29"/>
  <c r="D10" i="164"/>
  <c r="C10" i="164"/>
  <c r="C26" i="164"/>
  <c r="K56" i="61"/>
  <c r="G10" i="164"/>
  <c r="J56" i="61"/>
  <c r="F10" i="164"/>
  <c r="C42" i="163"/>
  <c r="K49" i="115"/>
  <c r="K42" i="57"/>
  <c r="K47" i="115"/>
  <c r="I42" i="57"/>
  <c r="H56" i="61"/>
  <c r="I15" i="99"/>
  <c r="D14" i="167" s="1"/>
  <c r="J29" i="21"/>
  <c r="C118" i="49"/>
  <c r="F206" i="54" s="1"/>
  <c r="C119" i="49"/>
  <c r="F207" i="54" s="1"/>
  <c r="C113" i="49"/>
  <c r="F202" i="54" s="1"/>
  <c r="N36" i="54"/>
  <c r="I48" i="115"/>
  <c r="M50" i="54"/>
  <c r="N29" i="54"/>
  <c r="N23" i="54" s="1"/>
  <c r="N58" i="54"/>
  <c r="N53" i="54"/>
  <c r="N34" i="54" s="1"/>
  <c r="N33" i="54" s="1"/>
  <c r="C112" i="49"/>
  <c r="F201" i="54" s="1"/>
  <c r="C117" i="49"/>
  <c r="F204" i="54" s="1"/>
  <c r="M27" i="54"/>
  <c r="I46" i="61"/>
  <c r="I51" i="171" s="1"/>
  <c r="O28" i="61"/>
  <c r="O15" i="61"/>
  <c r="O19" i="61"/>
  <c r="O23" i="61"/>
  <c r="O27" i="61"/>
  <c r="O31" i="61"/>
  <c r="O35" i="61"/>
  <c r="O39" i="61"/>
  <c r="O43" i="61"/>
  <c r="O40" i="61"/>
  <c r="O14" i="61"/>
  <c r="O18" i="61"/>
  <c r="O22" i="61"/>
  <c r="O26" i="61"/>
  <c r="O30" i="61"/>
  <c r="O34" i="61"/>
  <c r="O38" i="61"/>
  <c r="O42" i="61"/>
  <c r="O11" i="61"/>
  <c r="O16" i="61"/>
  <c r="O20" i="61"/>
  <c r="O32" i="61"/>
  <c r="O44" i="61"/>
  <c r="O13" i="61"/>
  <c r="O17" i="61"/>
  <c r="O21" i="61"/>
  <c r="O25" i="61"/>
  <c r="O29" i="61"/>
  <c r="O33" i="61"/>
  <c r="O37" i="61"/>
  <c r="O41" i="61"/>
  <c r="O45" i="61"/>
  <c r="O12" i="61"/>
  <c r="O24" i="61"/>
  <c r="O36" i="61"/>
  <c r="N74" i="54"/>
  <c r="N76" i="54" s="1"/>
  <c r="M69" i="54"/>
  <c r="M92" i="54"/>
  <c r="M84" i="54"/>
  <c r="M88" i="54"/>
  <c r="D169" i="54"/>
  <c r="F130" i="54"/>
  <c r="F116" i="54" s="1"/>
  <c r="F115" i="54" s="1"/>
  <c r="D173" i="54"/>
  <c r="N39" i="54"/>
  <c r="G34" i="93"/>
  <c r="G59" i="58"/>
  <c r="F34" i="58"/>
  <c r="F58" i="58"/>
  <c r="F34" i="93"/>
  <c r="F59" i="58"/>
  <c r="I53" i="61"/>
  <c r="U34" i="92"/>
  <c r="U33" i="92"/>
  <c r="U14" i="92"/>
  <c r="U32" i="92"/>
  <c r="U36" i="92"/>
  <c r="U31" i="92"/>
  <c r="U35" i="92"/>
  <c r="U42" i="92"/>
  <c r="U43" i="92"/>
  <c r="O42" i="92"/>
  <c r="E73" i="166" s="1"/>
  <c r="N43" i="92"/>
  <c r="N42" i="92"/>
  <c r="D73" i="166" s="1"/>
  <c r="N38" i="92"/>
  <c r="D69" i="166" s="1"/>
  <c r="H53" i="92"/>
  <c r="G60" i="54"/>
  <c r="W60" i="54" s="1"/>
  <c r="D19" i="142"/>
  <c r="D19" i="137"/>
  <c r="F17" i="140"/>
  <c r="F17" i="136"/>
  <c r="E17" i="140"/>
  <c r="E17" i="136"/>
  <c r="E18" i="140"/>
  <c r="E18" i="136"/>
  <c r="E19" i="140"/>
  <c r="E19" i="136"/>
  <c r="F19" i="140"/>
  <c r="F19" i="136"/>
  <c r="G17" i="140"/>
  <c r="G17" i="136"/>
  <c r="J38" i="54"/>
  <c r="E35" i="58"/>
  <c r="E18" i="142"/>
  <c r="E19" i="142"/>
  <c r="P2" i="145"/>
  <c r="M2" i="145"/>
  <c r="J2" i="145"/>
  <c r="K15" i="99"/>
  <c r="K16" i="99"/>
  <c r="D7" i="111" s="1"/>
  <c r="N16" i="99"/>
  <c r="E7" i="111" s="1"/>
  <c r="Q14" i="99"/>
  <c r="N14" i="99"/>
  <c r="K14" i="99"/>
  <c r="F40" i="133"/>
  <c r="H48" i="115"/>
  <c r="E40" i="134"/>
  <c r="E47" i="115"/>
  <c r="E40" i="133"/>
  <c r="H47" i="115"/>
  <c r="D40" i="133"/>
  <c r="H46" i="115"/>
  <c r="I40" i="54"/>
  <c r="I50" i="54"/>
  <c r="G57" i="61"/>
  <c r="D75" i="165" s="1"/>
  <c r="M48" i="54"/>
  <c r="M39" i="54"/>
  <c r="J35" i="54"/>
  <c r="G35" i="54" s="1"/>
  <c r="J29" i="54"/>
  <c r="C120" i="49"/>
  <c r="R16" i="99"/>
  <c r="G15" i="167" s="1"/>
  <c r="G62" i="167" s="1"/>
  <c r="R15" i="99"/>
  <c r="G14" i="167" s="1"/>
  <c r="O15" i="99"/>
  <c r="F14" i="167" s="1"/>
  <c r="G73" i="22"/>
  <c r="G97" i="22" s="1"/>
  <c r="G91" i="22"/>
  <c r="G68" i="22"/>
  <c r="G92" i="22" s="1"/>
  <c r="H35" i="58"/>
  <c r="G60" i="61"/>
  <c r="G75" i="165" s="1"/>
  <c r="G35" i="58"/>
  <c r="G59" i="61"/>
  <c r="F75" i="165" s="1"/>
  <c r="C149" i="49"/>
  <c r="E34" i="93"/>
  <c r="H35" i="93"/>
  <c r="G60" i="92"/>
  <c r="G75" i="166" s="1"/>
  <c r="J31" i="54"/>
  <c r="J32" i="54"/>
  <c r="G32" i="54" s="1"/>
  <c r="W32" i="54" s="1"/>
  <c r="G116" i="54"/>
  <c r="I27" i="54"/>
  <c r="J34" i="54"/>
  <c r="J28" i="54"/>
  <c r="C123" i="49"/>
  <c r="U116" i="54" s="1"/>
  <c r="J74" i="54"/>
  <c r="G75" i="54"/>
  <c r="W75" i="54" s="1"/>
  <c r="H98" i="54"/>
  <c r="G97" i="54"/>
  <c r="J18" i="105" s="1"/>
  <c r="C23" i="49"/>
  <c r="O22" i="49" l="1"/>
  <c r="L23" i="49"/>
  <c r="F13" i="168"/>
  <c r="F17" i="137"/>
  <c r="C40" i="163"/>
  <c r="O113" i="99"/>
  <c r="G16" i="58"/>
  <c r="O43" i="92"/>
  <c r="F16" i="93"/>
  <c r="G18" i="105"/>
  <c r="J109" i="105" s="1"/>
  <c r="H18" i="105"/>
  <c r="E18" i="105" s="1"/>
  <c r="P43" i="92"/>
  <c r="Z43" i="92" s="1"/>
  <c r="G16" i="93"/>
  <c r="M183" i="54"/>
  <c r="J51" i="109"/>
  <c r="J48" i="115"/>
  <c r="N186" i="54"/>
  <c r="J15" i="129"/>
  <c r="B5" i="163"/>
  <c r="B4" i="163" s="1"/>
  <c r="K184" i="54"/>
  <c r="J184" i="54" s="1"/>
  <c r="H15" i="105"/>
  <c r="E15" i="105" s="1"/>
  <c r="F15" i="105"/>
  <c r="N187" i="54"/>
  <c r="J16" i="129"/>
  <c r="G17" i="142"/>
  <c r="F17" i="142"/>
  <c r="I14" i="129"/>
  <c r="P42" i="92"/>
  <c r="F73" i="166" s="1"/>
  <c r="D18" i="136"/>
  <c r="J53" i="92"/>
  <c r="M17" i="54"/>
  <c r="M16" i="54" s="1"/>
  <c r="J42" i="57"/>
  <c r="V116" i="54"/>
  <c r="F25" i="164"/>
  <c r="W35" i="54"/>
  <c r="I22" i="54"/>
  <c r="I53" i="92"/>
  <c r="E62" i="168" s="1"/>
  <c r="E34" i="134"/>
  <c r="E109" i="150" s="1"/>
  <c r="E69" i="165"/>
  <c r="K76" i="166"/>
  <c r="K76" i="165"/>
  <c r="E38" i="134"/>
  <c r="E113" i="150" s="1"/>
  <c r="E73" i="165"/>
  <c r="F18" i="137"/>
  <c r="F14" i="168"/>
  <c r="G19" i="137"/>
  <c r="G15" i="168"/>
  <c r="D18" i="137"/>
  <c r="D14" i="168"/>
  <c r="G18" i="137"/>
  <c r="G14" i="168"/>
  <c r="K51" i="171"/>
  <c r="G51" i="171"/>
  <c r="F62" i="167"/>
  <c r="E38" i="133"/>
  <c r="P76" i="166"/>
  <c r="P76" i="165"/>
  <c r="F38" i="133"/>
  <c r="Q76" i="166"/>
  <c r="Q76" i="165"/>
  <c r="E27" i="134"/>
  <c r="E101" i="150" s="1"/>
  <c r="E62" i="165"/>
  <c r="E11" i="134"/>
  <c r="E46" i="165"/>
  <c r="E15" i="134"/>
  <c r="E89" i="150" s="1"/>
  <c r="E50" i="165"/>
  <c r="E35" i="134"/>
  <c r="E70" i="165"/>
  <c r="E20" i="134"/>
  <c r="E55" i="165"/>
  <c r="E7" i="134"/>
  <c r="E10" i="150" s="1"/>
  <c r="E42" i="165"/>
  <c r="E48" i="165"/>
  <c r="G105" i="166"/>
  <c r="G105" i="165"/>
  <c r="E106" i="150"/>
  <c r="E14" i="134"/>
  <c r="E49" i="165"/>
  <c r="E17" i="134"/>
  <c r="E91" i="150" s="1"/>
  <c r="E52" i="165"/>
  <c r="E19" i="134"/>
  <c r="E93" i="150" s="1"/>
  <c r="E54" i="165"/>
  <c r="E25" i="134"/>
  <c r="E60" i="165"/>
  <c r="E26" i="134"/>
  <c r="E100" i="150" s="1"/>
  <c r="E61" i="165"/>
  <c r="D38" i="133"/>
  <c r="O76" i="165"/>
  <c r="O76" i="166"/>
  <c r="L48" i="115"/>
  <c r="M48" i="115" s="1"/>
  <c r="F105" i="166"/>
  <c r="F105" i="165"/>
  <c r="E21" i="134"/>
  <c r="E95" i="150" s="1"/>
  <c r="E56" i="165"/>
  <c r="E18" i="134"/>
  <c r="E92" i="150" s="1"/>
  <c r="E53" i="165"/>
  <c r="E24" i="134"/>
  <c r="E97" i="150" s="1"/>
  <c r="E59" i="165"/>
  <c r="E36" i="134"/>
  <c r="E111" i="150" s="1"/>
  <c r="E71" i="165"/>
  <c r="E30" i="134"/>
  <c r="E104" i="150" s="1"/>
  <c r="E65" i="165"/>
  <c r="E12" i="134"/>
  <c r="E47" i="165"/>
  <c r="L47" i="115"/>
  <c r="M47" i="115" s="1"/>
  <c r="E105" i="165"/>
  <c r="E105" i="166"/>
  <c r="E37" i="134"/>
  <c r="E112" i="150" s="1"/>
  <c r="E72" i="165"/>
  <c r="E22" i="134"/>
  <c r="E96" i="150" s="1"/>
  <c r="E57" i="165"/>
  <c r="E39" i="134"/>
  <c r="E114" i="150" s="1"/>
  <c r="E74" i="165"/>
  <c r="E29" i="134"/>
  <c r="E102" i="150" s="1"/>
  <c r="E64" i="165"/>
  <c r="E16" i="134"/>
  <c r="E90" i="150" s="1"/>
  <c r="E51" i="165"/>
  <c r="P38" i="92"/>
  <c r="F69" i="166" s="1"/>
  <c r="F113" i="99"/>
  <c r="G38" i="61"/>
  <c r="D164" i="54"/>
  <c r="E25" i="164"/>
  <c r="E13" i="134"/>
  <c r="E88" i="150" s="1"/>
  <c r="D184" i="54"/>
  <c r="B8" i="163" s="1"/>
  <c r="B7" i="163" s="1"/>
  <c r="D11" i="164"/>
  <c r="C11" i="164"/>
  <c r="E87" i="150"/>
  <c r="D6" i="111"/>
  <c r="D20" i="111" s="1"/>
  <c r="K160" i="99"/>
  <c r="F47" i="115"/>
  <c r="G47" i="115" s="1"/>
  <c r="D18" i="140"/>
  <c r="F5" i="111"/>
  <c r="L49" i="115"/>
  <c r="M49" i="115" s="1"/>
  <c r="I46" i="115"/>
  <c r="J46" i="115" s="1"/>
  <c r="I47" i="115"/>
  <c r="J47" i="115" s="1"/>
  <c r="K30" i="21"/>
  <c r="N18" i="54"/>
  <c r="G29" i="21"/>
  <c r="G30" i="21"/>
  <c r="I61" i="21"/>
  <c r="I254" i="21" s="1"/>
  <c r="I252" i="21"/>
  <c r="I33" i="21"/>
  <c r="I54" i="21"/>
  <c r="I253" i="21" s="1"/>
  <c r="I40" i="21"/>
  <c r="I251" i="21" s="1"/>
  <c r="L162" i="54"/>
  <c r="E174" i="54"/>
  <c r="E175" i="54"/>
  <c r="E177" i="54"/>
  <c r="E176" i="54"/>
  <c r="E8" i="129"/>
  <c r="D205" i="54"/>
  <c r="G205" i="54" s="1"/>
  <c r="H15" i="99"/>
  <c r="I32" i="21"/>
  <c r="I187" i="21"/>
  <c r="I184" i="21" s="1"/>
  <c r="I53" i="21"/>
  <c r="I248" i="21" s="1"/>
  <c r="I60" i="21"/>
  <c r="I249" i="21" s="1"/>
  <c r="I247" i="21"/>
  <c r="I39" i="21"/>
  <c r="I246" i="21" s="1"/>
  <c r="N84" i="54"/>
  <c r="N69" i="54"/>
  <c r="N88" i="54"/>
  <c r="N92" i="54"/>
  <c r="G38" i="93"/>
  <c r="G55" i="58" s="1"/>
  <c r="D165" i="54"/>
  <c r="N32" i="105" s="1"/>
  <c r="O32" i="105" s="1"/>
  <c r="D168" i="54"/>
  <c r="G35" i="135"/>
  <c r="G143" i="150" s="1"/>
  <c r="G34" i="58"/>
  <c r="G58" i="58"/>
  <c r="G60" i="58" s="1"/>
  <c r="S14" i="92"/>
  <c r="S32" i="92"/>
  <c r="S36" i="92"/>
  <c r="S31" i="92"/>
  <c r="S35" i="92"/>
  <c r="S34" i="92"/>
  <c r="S33" i="92"/>
  <c r="S38" i="92"/>
  <c r="X38" i="92" s="1"/>
  <c r="S43" i="92"/>
  <c r="X43" i="92" s="1"/>
  <c r="S42" i="92"/>
  <c r="X42" i="92" s="1"/>
  <c r="N42" i="61"/>
  <c r="N43" i="61"/>
  <c r="N38" i="61"/>
  <c r="H53" i="61"/>
  <c r="O2" i="145"/>
  <c r="H61" i="58"/>
  <c r="E34" i="58"/>
  <c r="E58" i="58"/>
  <c r="E60" i="58" s="1"/>
  <c r="I48" i="92"/>
  <c r="P43" i="61"/>
  <c r="P42" i="61"/>
  <c r="J53" i="61"/>
  <c r="P38" i="61"/>
  <c r="J48" i="92"/>
  <c r="L2" i="145"/>
  <c r="G61" i="58"/>
  <c r="H34" i="58"/>
  <c r="H58" i="58"/>
  <c r="I2" i="145"/>
  <c r="F61" i="58"/>
  <c r="F60" i="58"/>
  <c r="H34" i="93"/>
  <c r="H59" i="58"/>
  <c r="Q43" i="61"/>
  <c r="Q42" i="61"/>
  <c r="Q38" i="61"/>
  <c r="K53" i="61"/>
  <c r="T31" i="92"/>
  <c r="T35" i="92"/>
  <c r="T34" i="92"/>
  <c r="T33" i="92"/>
  <c r="T14" i="92"/>
  <c r="T32" i="92"/>
  <c r="T36" i="92"/>
  <c r="T43" i="92"/>
  <c r="T42" i="92"/>
  <c r="Y42" i="92" s="1"/>
  <c r="O7" i="135"/>
  <c r="O29" i="135" s="1"/>
  <c r="P7" i="135"/>
  <c r="P29" i="135" s="1"/>
  <c r="Q7" i="135"/>
  <c r="F46" i="131" s="1"/>
  <c r="H49" i="115"/>
  <c r="K56" i="92"/>
  <c r="E5" i="111"/>
  <c r="G59" i="54"/>
  <c r="W59" i="54" s="1"/>
  <c r="K7" i="135"/>
  <c r="K28" i="135" s="1"/>
  <c r="E115" i="150"/>
  <c r="G18" i="140"/>
  <c r="G18" i="136"/>
  <c r="F18" i="140"/>
  <c r="F18" i="136"/>
  <c r="G19" i="140"/>
  <c r="G19" i="136"/>
  <c r="G61" i="54"/>
  <c r="W61" i="54" s="1"/>
  <c r="D5" i="111"/>
  <c r="E35" i="135"/>
  <c r="E143" i="150" s="1"/>
  <c r="E55" i="115"/>
  <c r="E54" i="115" s="1"/>
  <c r="L55" i="115" s="1"/>
  <c r="D4" i="129"/>
  <c r="C4" i="129" s="1"/>
  <c r="G18" i="142"/>
  <c r="D18" i="142"/>
  <c r="F18" i="142"/>
  <c r="G19" i="142"/>
  <c r="N15" i="99"/>
  <c r="Q16" i="99"/>
  <c r="F7" i="111" s="1"/>
  <c r="F35" i="135"/>
  <c r="F143" i="150" s="1"/>
  <c r="Q15" i="99"/>
  <c r="D46" i="131"/>
  <c r="G40" i="134"/>
  <c r="E49" i="115"/>
  <c r="D40" i="134"/>
  <c r="E46" i="115"/>
  <c r="F40" i="134"/>
  <c r="E48" i="115"/>
  <c r="G56" i="92"/>
  <c r="G40" i="133"/>
  <c r="G56" i="61"/>
  <c r="C75" i="165" s="1"/>
  <c r="I41" i="54"/>
  <c r="I58" i="54"/>
  <c r="F17" i="98"/>
  <c r="F15" i="98" s="1"/>
  <c r="I14" i="105" s="1"/>
  <c r="G74" i="54"/>
  <c r="W74" i="54" s="1"/>
  <c r="J40" i="54"/>
  <c r="J50" i="54"/>
  <c r="M47" i="54"/>
  <c r="M26" i="54" s="1"/>
  <c r="J58" i="54"/>
  <c r="H41" i="54"/>
  <c r="H18" i="54" s="1"/>
  <c r="H58" i="54"/>
  <c r="H40" i="54"/>
  <c r="H50" i="54"/>
  <c r="F15" i="99"/>
  <c r="G72" i="22"/>
  <c r="G96" i="22" s="1"/>
  <c r="D17" i="168"/>
  <c r="F16" i="99"/>
  <c r="G74" i="22"/>
  <c r="G98" i="22" s="1"/>
  <c r="J18" i="99"/>
  <c r="D17" i="167" s="1"/>
  <c r="G63" i="22"/>
  <c r="F38" i="93"/>
  <c r="D35" i="93"/>
  <c r="D35" i="58"/>
  <c r="L55" i="55"/>
  <c r="G43" i="57"/>
  <c r="H42" i="57" s="1"/>
  <c r="C14" i="49"/>
  <c r="J30" i="54"/>
  <c r="G115" i="54"/>
  <c r="J76" i="54"/>
  <c r="J69" i="54"/>
  <c r="G29" i="54"/>
  <c r="W29" i="54" s="1"/>
  <c r="J33" i="54"/>
  <c r="I36" i="54"/>
  <c r="G62" i="54"/>
  <c r="W62" i="54" s="1"/>
  <c r="J27" i="54"/>
  <c r="J84" i="54"/>
  <c r="J88" i="54"/>
  <c r="J92" i="54"/>
  <c r="I98" i="54"/>
  <c r="H97" i="54"/>
  <c r="H96" i="54" s="1"/>
  <c r="H95" i="54" s="1"/>
  <c r="G96" i="54"/>
  <c r="Y43" i="92" l="1"/>
  <c r="Z42" i="92"/>
  <c r="J89" i="105"/>
  <c r="J179" i="105" s="1"/>
  <c r="H179" i="105" s="1"/>
  <c r="J107" i="105"/>
  <c r="J108" i="105"/>
  <c r="D87" i="168" s="1"/>
  <c r="J8" i="129"/>
  <c r="D68" i="168"/>
  <c r="D70" i="137"/>
  <c r="D89" i="137"/>
  <c r="D89" i="142"/>
  <c r="D86" i="168"/>
  <c r="D88" i="137"/>
  <c r="D88" i="142"/>
  <c r="D88" i="168"/>
  <c r="D90" i="142"/>
  <c r="D90" i="137"/>
  <c r="C75" i="166"/>
  <c r="U43" i="166" s="1"/>
  <c r="V43" i="166" s="1"/>
  <c r="P88" i="105"/>
  <c r="P175" i="105" s="1"/>
  <c r="P109" i="105"/>
  <c r="P107" i="105"/>
  <c r="P110" i="105"/>
  <c r="P108" i="105"/>
  <c r="P111" i="105"/>
  <c r="P89" i="105"/>
  <c r="P179" i="105" s="1"/>
  <c r="N179" i="105" s="1"/>
  <c r="S88" i="105"/>
  <c r="S175" i="105" s="1"/>
  <c r="S110" i="105"/>
  <c r="S109" i="105"/>
  <c r="S107" i="105"/>
  <c r="S108" i="105"/>
  <c r="S111" i="105"/>
  <c r="M88" i="105"/>
  <c r="M175" i="105" s="1"/>
  <c r="D16" i="58"/>
  <c r="C12" i="128" s="1"/>
  <c r="C23" i="128" s="1"/>
  <c r="J88" i="105"/>
  <c r="J175" i="105" s="1"/>
  <c r="K183" i="54"/>
  <c r="H51" i="109"/>
  <c r="F14" i="105"/>
  <c r="H14" i="105"/>
  <c r="E14" i="105" s="1"/>
  <c r="O85" i="105"/>
  <c r="J9" i="92"/>
  <c r="K32" i="99"/>
  <c r="L32" i="99" s="1"/>
  <c r="K32" i="105"/>
  <c r="L32" i="105" s="1"/>
  <c r="H9" i="92"/>
  <c r="I85" i="105"/>
  <c r="I9" i="92"/>
  <c r="L85" i="105"/>
  <c r="K9" i="92"/>
  <c r="R85" i="105"/>
  <c r="L184" i="54"/>
  <c r="N184" i="54"/>
  <c r="I23" i="54"/>
  <c r="I18" i="54" s="1"/>
  <c r="I250" i="21"/>
  <c r="I245" i="21"/>
  <c r="O38" i="92"/>
  <c r="E69" i="166" s="1"/>
  <c r="G38" i="92"/>
  <c r="C69" i="166" s="1"/>
  <c r="D23" i="111"/>
  <c r="I17" i="54"/>
  <c r="E62" i="167"/>
  <c r="D183" i="54"/>
  <c r="J22" i="54"/>
  <c r="K98" i="165"/>
  <c r="K96" i="165"/>
  <c r="K95" i="165"/>
  <c r="K99" i="165"/>
  <c r="K95" i="166"/>
  <c r="K99" i="166"/>
  <c r="K98" i="166"/>
  <c r="K96" i="166"/>
  <c r="E94" i="150"/>
  <c r="E10" i="130"/>
  <c r="E18" i="130" s="1"/>
  <c r="U75" i="166"/>
  <c r="U73" i="166"/>
  <c r="V73" i="166" s="1"/>
  <c r="U75" i="165"/>
  <c r="W75" i="165"/>
  <c r="U66" i="165"/>
  <c r="V66" i="165" s="1"/>
  <c r="U65" i="165"/>
  <c r="U68" i="165"/>
  <c r="V68" i="165" s="1"/>
  <c r="U43" i="165"/>
  <c r="V43" i="165" s="1"/>
  <c r="U73" i="165"/>
  <c r="E51" i="171"/>
  <c r="T51" i="171" s="1"/>
  <c r="E110" i="150"/>
  <c r="E99" i="150"/>
  <c r="D17" i="137"/>
  <c r="D13" i="168"/>
  <c r="D92" i="167"/>
  <c r="D90" i="167"/>
  <c r="D89" i="167"/>
  <c r="D97" i="167"/>
  <c r="D96" i="167"/>
  <c r="F62" i="168"/>
  <c r="G62" i="168"/>
  <c r="E7" i="165"/>
  <c r="D20" i="158" s="1"/>
  <c r="E76" i="165"/>
  <c r="G38" i="133"/>
  <c r="R76" i="166"/>
  <c r="R76" i="165"/>
  <c r="G69" i="165"/>
  <c r="G34" i="134"/>
  <c r="G109" i="150" s="1"/>
  <c r="E86" i="150"/>
  <c r="E85" i="150" s="1"/>
  <c r="E10" i="134"/>
  <c r="E9" i="134" s="1"/>
  <c r="E32" i="134" s="1"/>
  <c r="E107" i="150" s="1"/>
  <c r="Q96" i="166"/>
  <c r="Q98" i="166"/>
  <c r="Q99" i="166"/>
  <c r="Q95" i="166"/>
  <c r="D179" i="54"/>
  <c r="L76" i="166"/>
  <c r="L76" i="165"/>
  <c r="M76" i="166"/>
  <c r="M76" i="165"/>
  <c r="F38" i="134"/>
  <c r="F73" i="165"/>
  <c r="D34" i="134"/>
  <c r="D109" i="150" s="1"/>
  <c r="D69" i="165"/>
  <c r="Q95" i="165"/>
  <c r="Q99" i="165"/>
  <c r="Q98" i="165"/>
  <c r="Q96" i="165"/>
  <c r="P95" i="166"/>
  <c r="P96" i="166"/>
  <c r="P99" i="166"/>
  <c r="P98" i="166"/>
  <c r="E45" i="165"/>
  <c r="E44" i="165" s="1"/>
  <c r="E67" i="165" s="1"/>
  <c r="E110" i="165" s="1"/>
  <c r="Q8" i="166"/>
  <c r="Q8" i="165"/>
  <c r="P8" i="165"/>
  <c r="P8" i="166"/>
  <c r="C34" i="134"/>
  <c r="C109" i="150" s="1"/>
  <c r="C69" i="165"/>
  <c r="U69" i="165" s="1"/>
  <c r="O95" i="165"/>
  <c r="O99" i="165"/>
  <c r="O98" i="165"/>
  <c r="O96" i="165"/>
  <c r="P95" i="165"/>
  <c r="P99" i="165"/>
  <c r="P98" i="165"/>
  <c r="P96" i="165"/>
  <c r="Q29" i="135"/>
  <c r="J76" i="165"/>
  <c r="J76" i="166"/>
  <c r="G38" i="134"/>
  <c r="G113" i="150" s="1"/>
  <c r="G73" i="165"/>
  <c r="F69" i="165"/>
  <c r="F34" i="134"/>
  <c r="F109" i="150" s="1"/>
  <c r="D38" i="134"/>
  <c r="D73" i="165"/>
  <c r="O95" i="166"/>
  <c r="O96" i="166"/>
  <c r="O98" i="166"/>
  <c r="O99" i="166"/>
  <c r="D24" i="111"/>
  <c r="D22" i="111"/>
  <c r="D21" i="111"/>
  <c r="D19" i="111"/>
  <c r="T113" i="99"/>
  <c r="N113" i="99"/>
  <c r="G113" i="99"/>
  <c r="F94" i="136"/>
  <c r="F94" i="140"/>
  <c r="U38" i="92"/>
  <c r="Z38" i="92" s="1"/>
  <c r="F94" i="142"/>
  <c r="F94" i="137"/>
  <c r="T38" i="92"/>
  <c r="E94" i="137"/>
  <c r="E94" i="142"/>
  <c r="D25" i="164"/>
  <c r="C3" i="163"/>
  <c r="P7" i="132"/>
  <c r="E45" i="151" s="1"/>
  <c r="D3" i="163"/>
  <c r="Q7" i="132"/>
  <c r="F45" i="131" s="1"/>
  <c r="E42" i="150"/>
  <c r="E35" i="150"/>
  <c r="E41" i="150"/>
  <c r="E38" i="150"/>
  <c r="E17" i="150"/>
  <c r="E31" i="150"/>
  <c r="E28" i="150"/>
  <c r="E18" i="150"/>
  <c r="E23" i="150"/>
  <c r="E11" i="150"/>
  <c r="E26" i="150"/>
  <c r="E33" i="150"/>
  <c r="E27" i="150"/>
  <c r="E16" i="150"/>
  <c r="E21" i="150"/>
  <c r="E36" i="150"/>
  <c r="E32" i="150"/>
  <c r="E40" i="150"/>
  <c r="E9" i="150"/>
  <c r="E25" i="150"/>
  <c r="E30" i="150"/>
  <c r="E19" i="150"/>
  <c r="E43" i="150"/>
  <c r="E22" i="150"/>
  <c r="E15" i="150"/>
  <c r="G42" i="57"/>
  <c r="K45" i="115" s="1"/>
  <c r="K46" i="115"/>
  <c r="C6" i="111"/>
  <c r="F46" i="115"/>
  <c r="G46" i="115" s="1"/>
  <c r="F6" i="111"/>
  <c r="F49" i="115"/>
  <c r="G49" i="115" s="1"/>
  <c r="E6" i="111"/>
  <c r="F48" i="115"/>
  <c r="G48" i="115" s="1"/>
  <c r="E185" i="54"/>
  <c r="M85" i="99" s="1"/>
  <c r="E186" i="54"/>
  <c r="P85" i="99" s="1"/>
  <c r="E187" i="54"/>
  <c r="S85" i="99" s="1"/>
  <c r="I49" i="115"/>
  <c r="J49" i="115" s="1"/>
  <c r="F32" i="21"/>
  <c r="D163" i="54"/>
  <c r="H32" i="105" s="1"/>
  <c r="I32" i="105" s="1"/>
  <c r="I47" i="21"/>
  <c r="I64" i="21"/>
  <c r="N54" i="21"/>
  <c r="N253" i="21" s="1"/>
  <c r="N252" i="21"/>
  <c r="N190" i="21"/>
  <c r="N40" i="21"/>
  <c r="N251" i="21" s="1"/>
  <c r="N61" i="21"/>
  <c r="N254" i="21" s="1"/>
  <c r="J61" i="21"/>
  <c r="J254" i="21" s="1"/>
  <c r="J252" i="21"/>
  <c r="J54" i="21"/>
  <c r="J253" i="21" s="1"/>
  <c r="J33" i="21"/>
  <c r="J40" i="21"/>
  <c r="J251" i="21" s="1"/>
  <c r="J190" i="21"/>
  <c r="N32" i="99"/>
  <c r="O32" i="99" s="1"/>
  <c r="K162" i="54"/>
  <c r="E170" i="54"/>
  <c r="I9" i="61" s="1"/>
  <c r="E171" i="54"/>
  <c r="J9" i="61" s="1"/>
  <c r="E172" i="54"/>
  <c r="K9" i="61" s="1"/>
  <c r="E169" i="54"/>
  <c r="H9" i="61" s="1"/>
  <c r="D8" i="129"/>
  <c r="I8" i="129" s="1"/>
  <c r="D204" i="54"/>
  <c r="G204" i="54" s="1"/>
  <c r="G8" i="129"/>
  <c r="L8" i="129" s="1"/>
  <c r="D207" i="54"/>
  <c r="G207" i="54" s="1"/>
  <c r="F8" i="129"/>
  <c r="K8" i="129" s="1"/>
  <c r="D206" i="54"/>
  <c r="G206" i="54" s="1"/>
  <c r="G37" i="93"/>
  <c r="G53" i="61"/>
  <c r="I46" i="21"/>
  <c r="J32" i="21"/>
  <c r="J60" i="21"/>
  <c r="J249" i="21" s="1"/>
  <c r="J188" i="21"/>
  <c r="J247" i="21"/>
  <c r="J53" i="21"/>
  <c r="J248" i="21" s="1"/>
  <c r="J39" i="21"/>
  <c r="J246" i="21" s="1"/>
  <c r="I63" i="21"/>
  <c r="I59" i="21"/>
  <c r="I244" i="21" s="1"/>
  <c r="I234" i="21" s="1"/>
  <c r="I38" i="21"/>
  <c r="I241" i="21" s="1"/>
  <c r="I52" i="21"/>
  <c r="I243" i="21" s="1"/>
  <c r="I233" i="21" s="1"/>
  <c r="I242" i="21"/>
  <c r="I232" i="21" s="1"/>
  <c r="D167" i="54"/>
  <c r="J183" i="54" s="1"/>
  <c r="N183" i="54" s="1"/>
  <c r="H10" i="159" s="1"/>
  <c r="H11" i="159" s="1"/>
  <c r="H60" i="58"/>
  <c r="E16" i="99"/>
  <c r="B7" i="111" s="1"/>
  <c r="O26" i="135"/>
  <c r="F25" i="98"/>
  <c r="I14" i="99"/>
  <c r="E46" i="131"/>
  <c r="O27" i="135"/>
  <c r="E46" i="130"/>
  <c r="O28" i="135"/>
  <c r="Q27" i="135"/>
  <c r="P28" i="135"/>
  <c r="D46" i="151"/>
  <c r="F37" i="93"/>
  <c r="F55" i="58"/>
  <c r="J47" i="92"/>
  <c r="J51" i="92"/>
  <c r="J50" i="92" s="1"/>
  <c r="I47" i="92"/>
  <c r="I51" i="92"/>
  <c r="I50" i="92" s="1"/>
  <c r="D34" i="93"/>
  <c r="D59" i="58"/>
  <c r="D34" i="58"/>
  <c r="D58" i="58"/>
  <c r="I45" i="115"/>
  <c r="V33" i="92"/>
  <c r="V38" i="92"/>
  <c r="V14" i="92"/>
  <c r="V32" i="92"/>
  <c r="V36" i="92"/>
  <c r="V31" i="92"/>
  <c r="V35" i="92"/>
  <c r="V34" i="92"/>
  <c r="V42" i="92"/>
  <c r="V43" i="92"/>
  <c r="H48" i="92"/>
  <c r="F46" i="151"/>
  <c r="Q26" i="135"/>
  <c r="Q28" i="135"/>
  <c r="P27" i="135"/>
  <c r="R7" i="135"/>
  <c r="G46" i="151" s="1"/>
  <c r="E46" i="151"/>
  <c r="P26" i="135"/>
  <c r="Q43" i="92"/>
  <c r="Q42" i="92"/>
  <c r="G73" i="166" s="1"/>
  <c r="W73" i="166" s="1"/>
  <c r="Q38" i="92"/>
  <c r="G69" i="166" s="1"/>
  <c r="W69" i="166" s="1"/>
  <c r="J36" i="61"/>
  <c r="P36" i="61" s="1"/>
  <c r="K35" i="61"/>
  <c r="Q35" i="61" s="1"/>
  <c r="I33" i="61"/>
  <c r="J32" i="61"/>
  <c r="P32" i="61" s="1"/>
  <c r="K31" i="61"/>
  <c r="Q31" i="61" s="1"/>
  <c r="H34" i="61"/>
  <c r="N34" i="61" s="1"/>
  <c r="I36" i="61"/>
  <c r="J35" i="61"/>
  <c r="P35" i="61" s="1"/>
  <c r="K34" i="61"/>
  <c r="Q34" i="61" s="1"/>
  <c r="I32" i="61"/>
  <c r="J31" i="61"/>
  <c r="P31" i="61" s="1"/>
  <c r="H33" i="61"/>
  <c r="N33" i="61" s="1"/>
  <c r="I35" i="61"/>
  <c r="J34" i="61"/>
  <c r="P34" i="61" s="1"/>
  <c r="K33" i="61"/>
  <c r="Q33" i="61" s="1"/>
  <c r="I31" i="61"/>
  <c r="H32" i="61"/>
  <c r="N32" i="61" s="1"/>
  <c r="H36" i="61"/>
  <c r="N36" i="61" s="1"/>
  <c r="K36" i="61"/>
  <c r="Q36" i="61" s="1"/>
  <c r="I34" i="61"/>
  <c r="J33" i="61"/>
  <c r="P33" i="61" s="1"/>
  <c r="K32" i="61"/>
  <c r="Q32" i="61" s="1"/>
  <c r="H31" i="61"/>
  <c r="N31" i="61" s="1"/>
  <c r="H35" i="61"/>
  <c r="N35" i="61" s="1"/>
  <c r="G53" i="92"/>
  <c r="K36" i="92"/>
  <c r="Q36" i="92" s="1"/>
  <c r="I35" i="92"/>
  <c r="O35" i="92" s="1"/>
  <c r="Y35" i="92" s="1"/>
  <c r="I33" i="92"/>
  <c r="O33" i="92" s="1"/>
  <c r="Y33" i="92" s="1"/>
  <c r="K35" i="92"/>
  <c r="Q35" i="92" s="1"/>
  <c r="K33" i="92"/>
  <c r="Q33" i="92" s="1"/>
  <c r="I36" i="92"/>
  <c r="O36" i="92" s="1"/>
  <c r="Y36" i="92" s="1"/>
  <c r="I34" i="92"/>
  <c r="O34" i="92" s="1"/>
  <c r="Y34" i="92" s="1"/>
  <c r="I32" i="92"/>
  <c r="O32" i="92" s="1"/>
  <c r="Y32" i="92" s="1"/>
  <c r="K34" i="92"/>
  <c r="Q34" i="92" s="1"/>
  <c r="K32" i="92"/>
  <c r="Q32" i="92" s="1"/>
  <c r="H33" i="92"/>
  <c r="N33" i="92" s="1"/>
  <c r="X33" i="92" s="1"/>
  <c r="J34" i="92"/>
  <c r="P34" i="92" s="1"/>
  <c r="Z34" i="92" s="1"/>
  <c r="H32" i="92"/>
  <c r="N32" i="92" s="1"/>
  <c r="X32" i="92" s="1"/>
  <c r="H36" i="92"/>
  <c r="N36" i="92" s="1"/>
  <c r="X36" i="92" s="1"/>
  <c r="J33" i="92"/>
  <c r="P33" i="92" s="1"/>
  <c r="Z33" i="92" s="1"/>
  <c r="H35" i="92"/>
  <c r="N35" i="92" s="1"/>
  <c r="X35" i="92" s="1"/>
  <c r="J32" i="92"/>
  <c r="P32" i="92" s="1"/>
  <c r="Z32" i="92" s="1"/>
  <c r="J36" i="92"/>
  <c r="P36" i="92" s="1"/>
  <c r="Z36" i="92" s="1"/>
  <c r="H34" i="92"/>
  <c r="N34" i="92" s="1"/>
  <c r="X34" i="92" s="1"/>
  <c r="J35" i="92"/>
  <c r="P35" i="92" s="1"/>
  <c r="Z35" i="92" s="1"/>
  <c r="H31" i="92"/>
  <c r="N31" i="92" s="1"/>
  <c r="K31" i="92"/>
  <c r="Q31" i="92" s="1"/>
  <c r="G65" i="166" s="1"/>
  <c r="I31" i="92"/>
  <c r="O31" i="92" s="1"/>
  <c r="J31" i="92"/>
  <c r="P31" i="92" s="1"/>
  <c r="K53" i="92"/>
  <c r="K26" i="135"/>
  <c r="K29" i="135"/>
  <c r="J7" i="135"/>
  <c r="J27" i="135" s="1"/>
  <c r="D115" i="150"/>
  <c r="D21" i="140"/>
  <c r="D94" i="140" s="1"/>
  <c r="D21" i="136"/>
  <c r="D21" i="142"/>
  <c r="D21" i="137"/>
  <c r="K27" i="135"/>
  <c r="E46" i="150"/>
  <c r="L7" i="135"/>
  <c r="L29" i="135" s="1"/>
  <c r="F115" i="150"/>
  <c r="M7" i="135"/>
  <c r="M28" i="135" s="1"/>
  <c r="G115" i="150"/>
  <c r="E15" i="99"/>
  <c r="F45" i="115" s="1"/>
  <c r="D17" i="142"/>
  <c r="C40" i="133"/>
  <c r="H45" i="115"/>
  <c r="L57" i="115"/>
  <c r="L58" i="115"/>
  <c r="L56" i="115"/>
  <c r="E59" i="115"/>
  <c r="C40" i="134"/>
  <c r="E45" i="115"/>
  <c r="D3" i="129"/>
  <c r="C3" i="129" s="1"/>
  <c r="B55" i="115"/>
  <c r="I55" i="115" s="1"/>
  <c r="L11" i="98"/>
  <c r="I39" i="54"/>
  <c r="I48" i="54"/>
  <c r="H39" i="54"/>
  <c r="J41" i="54"/>
  <c r="J23" i="54" s="1"/>
  <c r="H48" i="54"/>
  <c r="N188" i="21"/>
  <c r="N60" i="21"/>
  <c r="N249" i="21" s="1"/>
  <c r="N53" i="21"/>
  <c r="N248" i="21" s="1"/>
  <c r="H55" i="55"/>
  <c r="H45" i="171" s="1"/>
  <c r="E54" i="112"/>
  <c r="F11" i="98"/>
  <c r="E11" i="98" s="1"/>
  <c r="E10" i="98" s="1"/>
  <c r="D178" i="54"/>
  <c r="G18" i="99"/>
  <c r="H18" i="99"/>
  <c r="G76" i="54"/>
  <c r="E17" i="98"/>
  <c r="E15" i="98" s="1"/>
  <c r="G95" i="54"/>
  <c r="G89" i="22"/>
  <c r="G64" i="22"/>
  <c r="G90" i="22" s="1"/>
  <c r="G62" i="22"/>
  <c r="E38" i="93"/>
  <c r="E55" i="58" s="1"/>
  <c r="N247" i="21"/>
  <c r="N39" i="21"/>
  <c r="N246" i="21" s="1"/>
  <c r="G69" i="54"/>
  <c r="W69" i="54" s="1"/>
  <c r="G38" i="54"/>
  <c r="W38" i="54" s="1"/>
  <c r="J36" i="54"/>
  <c r="J48" i="54"/>
  <c r="G84" i="54"/>
  <c r="G88" i="54"/>
  <c r="G92" i="54"/>
  <c r="J98" i="54"/>
  <c r="I97" i="54"/>
  <c r="I96" i="54" s="1"/>
  <c r="I95" i="54" s="1"/>
  <c r="W75" i="166" l="1"/>
  <c r="U66" i="166"/>
  <c r="V66" i="166" s="1"/>
  <c r="U68" i="166"/>
  <c r="V68" i="166" s="1"/>
  <c r="U65" i="166"/>
  <c r="U69" i="166"/>
  <c r="V69" i="166" s="1"/>
  <c r="G175" i="105"/>
  <c r="D16" i="93"/>
  <c r="J106" i="105"/>
  <c r="D85" i="168" s="1"/>
  <c r="D70" i="142"/>
  <c r="G179" i="105"/>
  <c r="E179" i="105"/>
  <c r="P17" i="109" s="1"/>
  <c r="E69" i="142"/>
  <c r="E67" i="168"/>
  <c r="E69" i="137"/>
  <c r="G88" i="168"/>
  <c r="G90" i="142"/>
  <c r="G90" i="137"/>
  <c r="F90" i="168"/>
  <c r="F92" i="142"/>
  <c r="F92" i="137"/>
  <c r="F90" i="137"/>
  <c r="F90" i="142"/>
  <c r="F88" i="168"/>
  <c r="M108" i="99"/>
  <c r="M109" i="99"/>
  <c r="M110" i="99"/>
  <c r="M111" i="99"/>
  <c r="M107" i="99"/>
  <c r="S106" i="105"/>
  <c r="G86" i="168"/>
  <c r="G88" i="137"/>
  <c r="G88" i="142"/>
  <c r="F70" i="137"/>
  <c r="F70" i="142"/>
  <c r="F68" i="168"/>
  <c r="P106" i="105"/>
  <c r="F86" i="168"/>
  <c r="F88" i="137"/>
  <c r="F88" i="142"/>
  <c r="I19" i="129"/>
  <c r="D67" i="168"/>
  <c r="D69" i="142"/>
  <c r="D69" i="137"/>
  <c r="G89" i="137"/>
  <c r="G89" i="142"/>
  <c r="G87" i="168"/>
  <c r="G67" i="168"/>
  <c r="G69" i="142"/>
  <c r="G69" i="137"/>
  <c r="F89" i="168"/>
  <c r="F91" i="142"/>
  <c r="F91" i="137"/>
  <c r="D87" i="137"/>
  <c r="H14" i="129"/>
  <c r="E184" i="54"/>
  <c r="J85" i="99" s="1"/>
  <c r="H52" i="109"/>
  <c r="G92" i="137"/>
  <c r="G92" i="142"/>
  <c r="G90" i="168"/>
  <c r="G89" i="168"/>
  <c r="G91" i="137"/>
  <c r="G91" i="142"/>
  <c r="F87" i="168"/>
  <c r="F89" i="137"/>
  <c r="F89" i="142"/>
  <c r="F69" i="142"/>
  <c r="F67" i="168"/>
  <c r="F69" i="137"/>
  <c r="D25" i="111"/>
  <c r="Z7" i="165"/>
  <c r="U7" i="165"/>
  <c r="I43" i="109"/>
  <c r="I34" i="109"/>
  <c r="I29" i="109"/>
  <c r="I30" i="109"/>
  <c r="I32" i="109"/>
  <c r="I11" i="109"/>
  <c r="I10" i="109"/>
  <c r="I9" i="109"/>
  <c r="I44" i="109"/>
  <c r="I31" i="109"/>
  <c r="I33" i="109"/>
  <c r="H24" i="159"/>
  <c r="H22" i="159"/>
  <c r="H20" i="159"/>
  <c r="H18" i="159"/>
  <c r="H16" i="159"/>
  <c r="H37" i="159"/>
  <c r="H69" i="159"/>
  <c r="H66" i="159"/>
  <c r="H58" i="159"/>
  <c r="H56" i="159"/>
  <c r="H53" i="159"/>
  <c r="H48" i="159"/>
  <c r="H45" i="159"/>
  <c r="H42" i="159"/>
  <c r="H40" i="159"/>
  <c r="H15" i="159"/>
  <c r="H23" i="159"/>
  <c r="H21" i="159"/>
  <c r="H19" i="159"/>
  <c r="H17" i="159"/>
  <c r="H25" i="159"/>
  <c r="H36" i="159"/>
  <c r="H34" i="159"/>
  <c r="H70" i="159"/>
  <c r="H67" i="159"/>
  <c r="H59" i="159"/>
  <c r="H57" i="159"/>
  <c r="H54" i="159"/>
  <c r="H49" i="159"/>
  <c r="H47" i="159"/>
  <c r="H44" i="159"/>
  <c r="H41" i="159"/>
  <c r="K14" i="61"/>
  <c r="Q14" i="61" s="1"/>
  <c r="H14" i="61"/>
  <c r="N14" i="61" s="1"/>
  <c r="I14" i="92"/>
  <c r="O14" i="92" s="1"/>
  <c r="Y14" i="92" s="1"/>
  <c r="I14" i="61"/>
  <c r="L183" i="54"/>
  <c r="G10" i="159" s="1"/>
  <c r="J14" i="61"/>
  <c r="P14" i="61" s="1"/>
  <c r="K14" i="92"/>
  <c r="Q14" i="92" s="1"/>
  <c r="AA14" i="92" s="1"/>
  <c r="H14" i="92"/>
  <c r="N14" i="92" s="1"/>
  <c r="X14" i="92" s="1"/>
  <c r="J14" i="92"/>
  <c r="P14" i="92" s="1"/>
  <c r="Z14" i="92" s="1"/>
  <c r="T113" i="105"/>
  <c r="I21" i="54"/>
  <c r="J162" i="54"/>
  <c r="L165" i="54" s="1"/>
  <c r="I16" i="54"/>
  <c r="I66" i="21"/>
  <c r="J245" i="21"/>
  <c r="N245" i="21"/>
  <c r="N64" i="21"/>
  <c r="I240" i="21"/>
  <c r="I230" i="21" s="1"/>
  <c r="I231" i="21"/>
  <c r="N250" i="21"/>
  <c r="J250" i="21"/>
  <c r="Y38" i="92"/>
  <c r="D12" i="128"/>
  <c r="D23" i="128" s="1"/>
  <c r="G23" i="128" s="1"/>
  <c r="H37" i="171"/>
  <c r="I37" i="171" s="1"/>
  <c r="N47" i="21"/>
  <c r="J17" i="54"/>
  <c r="J21" i="54"/>
  <c r="E84" i="150"/>
  <c r="E105" i="150" s="1"/>
  <c r="P30" i="132"/>
  <c r="E45" i="131"/>
  <c r="E23" i="130"/>
  <c r="E36" i="130"/>
  <c r="E30" i="130"/>
  <c r="E19" i="130"/>
  <c r="E26" i="130"/>
  <c r="E11" i="130"/>
  <c r="E27" i="130"/>
  <c r="E33" i="130"/>
  <c r="E21" i="130"/>
  <c r="E9" i="130"/>
  <c r="E15" i="130"/>
  <c r="E38" i="130"/>
  <c r="E28" i="130"/>
  <c r="E41" i="130"/>
  <c r="E31" i="130"/>
  <c r="E22" i="130"/>
  <c r="E43" i="130"/>
  <c r="E32" i="130"/>
  <c r="E25" i="130"/>
  <c r="E40" i="130"/>
  <c r="E17" i="130"/>
  <c r="E42" i="130"/>
  <c r="E16" i="130"/>
  <c r="E35" i="130"/>
  <c r="D26" i="111"/>
  <c r="W73" i="165"/>
  <c r="V73" i="165"/>
  <c r="W69" i="165"/>
  <c r="V69" i="165"/>
  <c r="V113" i="105"/>
  <c r="G2" i="145"/>
  <c r="D13" i="167"/>
  <c r="I42" i="171"/>
  <c r="I34" i="171"/>
  <c r="I32" i="171"/>
  <c r="D45" i="171"/>
  <c r="T45" i="171" s="1"/>
  <c r="U45" i="171" s="1"/>
  <c r="I31" i="171"/>
  <c r="I12" i="171"/>
  <c r="I9" i="171"/>
  <c r="I41" i="171"/>
  <c r="I11" i="171"/>
  <c r="I35" i="171"/>
  <c r="I10" i="171"/>
  <c r="I30" i="171"/>
  <c r="J45" i="171"/>
  <c r="I33" i="171"/>
  <c r="X31" i="92"/>
  <c r="D65" i="166"/>
  <c r="D30" i="134"/>
  <c r="D104" i="150" s="1"/>
  <c r="D65" i="165"/>
  <c r="J95" i="165"/>
  <c r="J96" i="165"/>
  <c r="J98" i="165"/>
  <c r="J99" i="165"/>
  <c r="Q31" i="165"/>
  <c r="L95" i="165"/>
  <c r="L99" i="165"/>
  <c r="L98" i="165"/>
  <c r="L96" i="165"/>
  <c r="I76" i="165"/>
  <c r="I76" i="166"/>
  <c r="G30" i="134"/>
  <c r="G104" i="150" s="1"/>
  <c r="G65" i="165"/>
  <c r="J96" i="166"/>
  <c r="J98" i="166"/>
  <c r="J99" i="166"/>
  <c r="J95" i="166"/>
  <c r="P31" i="165"/>
  <c r="M96" i="166"/>
  <c r="M98" i="166"/>
  <c r="M99" i="166"/>
  <c r="M95" i="166"/>
  <c r="R98" i="166"/>
  <c r="N98" i="166" s="1"/>
  <c r="R99" i="166"/>
  <c r="N99" i="166" s="1"/>
  <c r="R95" i="166"/>
  <c r="N95" i="166" s="1"/>
  <c r="R96" i="166"/>
  <c r="N96" i="166" s="1"/>
  <c r="Y31" i="92"/>
  <c r="E65" i="166"/>
  <c r="P31" i="166"/>
  <c r="M95" i="165"/>
  <c r="M99" i="165"/>
  <c r="M98" i="165"/>
  <c r="M96" i="165"/>
  <c r="R95" i="165"/>
  <c r="N95" i="165" s="1"/>
  <c r="R99" i="165"/>
  <c r="N99" i="165" s="1"/>
  <c r="R98" i="165"/>
  <c r="N98" i="165" s="1"/>
  <c r="R96" i="165"/>
  <c r="N96" i="165" s="1"/>
  <c r="E45" i="134"/>
  <c r="N7" i="135"/>
  <c r="C46" i="131" s="1"/>
  <c r="N76" i="165"/>
  <c r="N76" i="166"/>
  <c r="Z31" i="92"/>
  <c r="F65" i="166"/>
  <c r="F30" i="134"/>
  <c r="F104" i="150" s="1"/>
  <c r="F65" i="165"/>
  <c r="O7" i="132"/>
  <c r="D45" i="151" s="1"/>
  <c r="O8" i="166"/>
  <c r="O8" i="165"/>
  <c r="Q31" i="166"/>
  <c r="L95" i="166"/>
  <c r="L96" i="166"/>
  <c r="L99" i="166"/>
  <c r="L98" i="166"/>
  <c r="J23" i="128"/>
  <c r="F23" i="128"/>
  <c r="E113" i="99"/>
  <c r="C46" i="146"/>
  <c r="E8" i="150"/>
  <c r="E14" i="150"/>
  <c r="E29" i="150"/>
  <c r="D166" i="54"/>
  <c r="G25" i="164"/>
  <c r="B54" i="115"/>
  <c r="I54" i="115" s="1"/>
  <c r="I59" i="115" s="1"/>
  <c r="F45" i="151"/>
  <c r="Q30" i="132"/>
  <c r="C25" i="164"/>
  <c r="E24" i="150"/>
  <c r="E39" i="150"/>
  <c r="E20" i="150"/>
  <c r="H32" i="99"/>
  <c r="I32" i="99" s="1"/>
  <c r="B3" i="163"/>
  <c r="J45" i="115"/>
  <c r="J50" i="115" s="1"/>
  <c r="G45" i="115"/>
  <c r="G50" i="115" s="1"/>
  <c r="F50" i="115"/>
  <c r="I50" i="115"/>
  <c r="K50" i="115"/>
  <c r="J88" i="99"/>
  <c r="J175" i="99" s="1"/>
  <c r="P162" i="54"/>
  <c r="D30" i="21"/>
  <c r="J39" i="54"/>
  <c r="J18" i="54"/>
  <c r="I67" i="21"/>
  <c r="J64" i="21"/>
  <c r="J47" i="21"/>
  <c r="C8" i="129"/>
  <c r="AA33" i="92"/>
  <c r="O54" i="21"/>
  <c r="O253" i="21" s="1"/>
  <c r="O61" i="21"/>
  <c r="O254" i="21" s="1"/>
  <c r="O40" i="21"/>
  <c r="O251" i="21" s="1"/>
  <c r="O190" i="21"/>
  <c r="O252" i="21"/>
  <c r="D203" i="54"/>
  <c r="I62" i="21"/>
  <c r="J63" i="21"/>
  <c r="J46" i="21"/>
  <c r="J59" i="21"/>
  <c r="J244" i="21" s="1"/>
  <c r="J234" i="21" s="1"/>
  <c r="J52" i="21"/>
  <c r="J243" i="21" s="1"/>
  <c r="J233" i="21" s="1"/>
  <c r="J187" i="21"/>
  <c r="J184" i="21" s="1"/>
  <c r="J242" i="21"/>
  <c r="J232" i="21" s="1"/>
  <c r="J38" i="21"/>
  <c r="J241" i="21" s="1"/>
  <c r="I45" i="21"/>
  <c r="E179" i="54"/>
  <c r="E182" i="54"/>
  <c r="E181" i="54"/>
  <c r="E180" i="54"/>
  <c r="E188" i="54"/>
  <c r="E183" i="54"/>
  <c r="E173" i="54"/>
  <c r="E168" i="54"/>
  <c r="E167" i="54"/>
  <c r="G46" i="131"/>
  <c r="R29" i="135"/>
  <c r="N29" i="135" s="1"/>
  <c r="D17" i="136"/>
  <c r="AA34" i="92"/>
  <c r="C3" i="145"/>
  <c r="F14" i="99"/>
  <c r="D2" i="145" s="1"/>
  <c r="M29" i="135"/>
  <c r="D17" i="140"/>
  <c r="AA31" i="92"/>
  <c r="H14" i="99"/>
  <c r="R26" i="135"/>
  <c r="N26" i="135" s="1"/>
  <c r="AA32" i="92"/>
  <c r="C4" i="145"/>
  <c r="R27" i="135"/>
  <c r="N27" i="135" s="1"/>
  <c r="D92" i="140"/>
  <c r="AA38" i="92"/>
  <c r="R28" i="135"/>
  <c r="N28" i="135" s="1"/>
  <c r="M26" i="135"/>
  <c r="AA35" i="92"/>
  <c r="AA36" i="92"/>
  <c r="D60" i="58"/>
  <c r="L27" i="135"/>
  <c r="F46" i="130"/>
  <c r="L26" i="135"/>
  <c r="D91" i="140"/>
  <c r="J29" i="135"/>
  <c r="AA43" i="92"/>
  <c r="E34" i="133"/>
  <c r="D34" i="133"/>
  <c r="D33" i="133"/>
  <c r="AA42" i="92"/>
  <c r="G6" i="83"/>
  <c r="G26" i="83" s="1"/>
  <c r="R26" i="106" s="1"/>
  <c r="E18" i="99"/>
  <c r="P88" i="99" s="1"/>
  <c r="P175" i="99" s="1"/>
  <c r="F55" i="115"/>
  <c r="H47" i="92"/>
  <c r="H51" i="92"/>
  <c r="H50" i="92" s="1"/>
  <c r="H38" i="93"/>
  <c r="H55" i="58" s="1"/>
  <c r="K48" i="92"/>
  <c r="F33" i="133"/>
  <c r="F32" i="133"/>
  <c r="J26" i="135"/>
  <c r="G46" i="130"/>
  <c r="J28" i="135"/>
  <c r="D92" i="136"/>
  <c r="D91" i="136"/>
  <c r="D94" i="136"/>
  <c r="I7" i="135"/>
  <c r="C115" i="150"/>
  <c r="M27" i="135"/>
  <c r="G46" i="150"/>
  <c r="L28" i="135"/>
  <c r="F46" i="150"/>
  <c r="D46" i="130"/>
  <c r="D46" i="150"/>
  <c r="F113" i="150"/>
  <c r="B6" i="111"/>
  <c r="E33" i="133"/>
  <c r="G32" i="133"/>
  <c r="G34" i="133"/>
  <c r="G33" i="133"/>
  <c r="D113" i="150"/>
  <c r="D32" i="133"/>
  <c r="E32" i="133"/>
  <c r="F34" i="133"/>
  <c r="L54" i="115"/>
  <c r="H50" i="115"/>
  <c r="P48" i="115"/>
  <c r="P46" i="115"/>
  <c r="P47" i="115"/>
  <c r="P49" i="115"/>
  <c r="O48" i="115"/>
  <c r="E50" i="115"/>
  <c r="O47" i="115"/>
  <c r="O49" i="115"/>
  <c r="O46" i="115"/>
  <c r="B59" i="115"/>
  <c r="G6" i="106"/>
  <c r="G62" i="106" s="1"/>
  <c r="I47" i="54"/>
  <c r="I26" i="54" s="1"/>
  <c r="H47" i="54"/>
  <c r="H26" i="54" s="1"/>
  <c r="D54" i="112"/>
  <c r="L90" i="85"/>
  <c r="L89" i="85" s="1"/>
  <c r="J47" i="54"/>
  <c r="J26" i="54" s="1"/>
  <c r="N187" i="21"/>
  <c r="N184" i="21" s="1"/>
  <c r="N52" i="21"/>
  <c r="N243" i="21" s="1"/>
  <c r="N233" i="21" s="1"/>
  <c r="N59" i="21"/>
  <c r="N244" i="21" s="1"/>
  <c r="N234" i="21" s="1"/>
  <c r="F53" i="21"/>
  <c r="F248" i="21" s="1"/>
  <c r="F60" i="21"/>
  <c r="F249" i="21" s="1"/>
  <c r="O188" i="21"/>
  <c r="O60" i="21"/>
  <c r="O249" i="21" s="1"/>
  <c r="O53" i="21"/>
  <c r="O248" i="21" s="1"/>
  <c r="I6" i="106"/>
  <c r="I62" i="106" s="1"/>
  <c r="J6" i="106"/>
  <c r="J62" i="106" s="1"/>
  <c r="H6" i="106"/>
  <c r="H62" i="106" s="1"/>
  <c r="F10" i="98"/>
  <c r="J17" i="105" s="1"/>
  <c r="G14" i="22"/>
  <c r="W14" i="105"/>
  <c r="U14" i="105"/>
  <c r="V14" i="105"/>
  <c r="T14" i="105"/>
  <c r="J107" i="99"/>
  <c r="D86" i="167" s="1"/>
  <c r="J108" i="99"/>
  <c r="D87" i="167" s="1"/>
  <c r="J109" i="99"/>
  <c r="D88" i="167" s="1"/>
  <c r="J89" i="99"/>
  <c r="J179" i="99" s="1"/>
  <c r="H179" i="99" s="1"/>
  <c r="E178" i="54"/>
  <c r="E25" i="98"/>
  <c r="G88" i="22"/>
  <c r="M64" i="22"/>
  <c r="E37" i="93"/>
  <c r="I6" i="83"/>
  <c r="J6" i="83"/>
  <c r="H6" i="83"/>
  <c r="H88" i="22"/>
  <c r="N63" i="21"/>
  <c r="O247" i="21"/>
  <c r="O39" i="21"/>
  <c r="O246" i="21" s="1"/>
  <c r="F247" i="21"/>
  <c r="F39" i="21"/>
  <c r="F246" i="21" s="1"/>
  <c r="N242" i="21"/>
  <c r="N232" i="21" s="1"/>
  <c r="N38" i="21"/>
  <c r="N241" i="21" s="1"/>
  <c r="N46" i="21"/>
  <c r="K98" i="54"/>
  <c r="J97" i="54"/>
  <c r="J96" i="54" s="1"/>
  <c r="J95" i="54" s="1"/>
  <c r="K23" i="128" l="1"/>
  <c r="D87" i="142"/>
  <c r="S36" i="105"/>
  <c r="S36" i="99"/>
  <c r="P36" i="105"/>
  <c r="P36" i="99"/>
  <c r="H17" i="105"/>
  <c r="G17" i="105"/>
  <c r="M36" i="105"/>
  <c r="M36" i="99"/>
  <c r="J36" i="105"/>
  <c r="J36" i="99"/>
  <c r="F87" i="142"/>
  <c r="F85" i="168"/>
  <c r="F87" i="137"/>
  <c r="G87" i="142"/>
  <c r="G85" i="168"/>
  <c r="G87" i="137"/>
  <c r="G11" i="159"/>
  <c r="G39" i="159" s="1"/>
  <c r="G46" i="159"/>
  <c r="Q32" i="99"/>
  <c r="R32" i="99" s="1"/>
  <c r="Q32" i="105"/>
  <c r="R32" i="105" s="1"/>
  <c r="K165" i="54"/>
  <c r="E8" i="130"/>
  <c r="N67" i="21"/>
  <c r="O245" i="21"/>
  <c r="F245" i="21"/>
  <c r="J240" i="21"/>
  <c r="J230" i="21" s="1"/>
  <c r="J231" i="21"/>
  <c r="N240" i="21"/>
  <c r="N230" i="21" s="1"/>
  <c r="N231" i="21"/>
  <c r="O250" i="21"/>
  <c r="O64" i="21"/>
  <c r="O47" i="21"/>
  <c r="G21" i="83"/>
  <c r="R21" i="106" s="1"/>
  <c r="D7" i="158"/>
  <c r="D162" i="54"/>
  <c r="J53" i="109" s="1"/>
  <c r="O54" i="115"/>
  <c r="E29" i="130"/>
  <c r="H7" i="135"/>
  <c r="C46" i="151"/>
  <c r="E20" i="130"/>
  <c r="E24" i="130"/>
  <c r="E39" i="130"/>
  <c r="E14" i="130"/>
  <c r="E13" i="150"/>
  <c r="E44" i="150" s="1"/>
  <c r="W65" i="166"/>
  <c r="V65" i="166"/>
  <c r="V65" i="165"/>
  <c r="W65" i="165"/>
  <c r="U113" i="105"/>
  <c r="D45" i="131"/>
  <c r="AA113" i="105"/>
  <c r="G11" i="83"/>
  <c r="R11" i="106" s="1"/>
  <c r="O30" i="132"/>
  <c r="D69" i="140"/>
  <c r="D67" i="167"/>
  <c r="F69" i="136"/>
  <c r="F67" i="167"/>
  <c r="D70" i="136"/>
  <c r="D68" i="167"/>
  <c r="K32" i="171"/>
  <c r="K34" i="171"/>
  <c r="K33" i="171"/>
  <c r="K41" i="171"/>
  <c r="K21" i="171"/>
  <c r="K35" i="171"/>
  <c r="K42" i="171"/>
  <c r="K17" i="171"/>
  <c r="K10" i="171"/>
  <c r="K12" i="171"/>
  <c r="K19" i="171"/>
  <c r="K18" i="171"/>
  <c r="K11" i="171"/>
  <c r="K13" i="171"/>
  <c r="K30" i="171"/>
  <c r="K14" i="171"/>
  <c r="K20" i="171"/>
  <c r="K37" i="171"/>
  <c r="K16" i="171"/>
  <c r="K9" i="171"/>
  <c r="K31" i="171"/>
  <c r="R8" i="166"/>
  <c r="R8" i="165"/>
  <c r="O31" i="165"/>
  <c r="I98" i="166"/>
  <c r="H98" i="166" s="1"/>
  <c r="D105" i="165"/>
  <c r="D105" i="166"/>
  <c r="I99" i="166"/>
  <c r="H99" i="166" s="1"/>
  <c r="I96" i="166"/>
  <c r="H96" i="166" s="1"/>
  <c r="H76" i="165"/>
  <c r="I98" i="165"/>
  <c r="H98" i="165" s="1"/>
  <c r="I95" i="166"/>
  <c r="H95" i="166" s="1"/>
  <c r="H76" i="166"/>
  <c r="I95" i="165"/>
  <c r="H95" i="165" s="1"/>
  <c r="N7" i="132"/>
  <c r="C45" i="131" s="1"/>
  <c r="O31" i="166"/>
  <c r="I99" i="165"/>
  <c r="H99" i="165" s="1"/>
  <c r="I96" i="165"/>
  <c r="H96" i="165" s="1"/>
  <c r="G36" i="83"/>
  <c r="R36" i="106" s="1"/>
  <c r="C101" i="145"/>
  <c r="V113" i="99"/>
  <c r="AA113" i="99"/>
  <c r="D69" i="136"/>
  <c r="U113" i="99"/>
  <c r="E3" i="163"/>
  <c r="R7" i="132"/>
  <c r="G45" i="151" s="1"/>
  <c r="J17" i="99"/>
  <c r="D16" i="167" s="1"/>
  <c r="D20" i="142"/>
  <c r="H62" i="83"/>
  <c r="S62" i="106" s="1"/>
  <c r="I9" i="57"/>
  <c r="G9" i="100"/>
  <c r="K167" i="54"/>
  <c r="G62" i="83"/>
  <c r="R62" i="106" s="1"/>
  <c r="H9" i="57"/>
  <c r="I62" i="83"/>
  <c r="T62" i="106" s="1"/>
  <c r="J9" i="57"/>
  <c r="G52" i="83"/>
  <c r="R52" i="106" s="1"/>
  <c r="G50" i="83"/>
  <c r="R50" i="106" s="1"/>
  <c r="J62" i="83"/>
  <c r="U62" i="106" s="1"/>
  <c r="K9" i="57"/>
  <c r="E61" i="58"/>
  <c r="L46" i="115"/>
  <c r="M46" i="115" s="1"/>
  <c r="J64" i="99"/>
  <c r="L167" i="54"/>
  <c r="E204" i="54"/>
  <c r="G203" i="54"/>
  <c r="J16" i="54"/>
  <c r="J67" i="21"/>
  <c r="F33" i="21"/>
  <c r="F40" i="21"/>
  <c r="F251" i="21" s="1"/>
  <c r="F61" i="21"/>
  <c r="F254" i="21" s="1"/>
  <c r="F187" i="21"/>
  <c r="F184" i="21" s="1"/>
  <c r="F54" i="21"/>
  <c r="F253" i="21" s="1"/>
  <c r="F252" i="21"/>
  <c r="H9" i="160"/>
  <c r="E206" i="54"/>
  <c r="E207" i="54"/>
  <c r="E205" i="54"/>
  <c r="G9" i="160"/>
  <c r="H173" i="54"/>
  <c r="J66" i="21"/>
  <c r="I65" i="21"/>
  <c r="G12" i="83"/>
  <c r="R12" i="106" s="1"/>
  <c r="G61" i="83"/>
  <c r="R61" i="106" s="1"/>
  <c r="G25" i="83"/>
  <c r="R25" i="106" s="1"/>
  <c r="G45" i="83"/>
  <c r="R45" i="106" s="1"/>
  <c r="G47" i="83"/>
  <c r="R47" i="106" s="1"/>
  <c r="G20" i="83"/>
  <c r="R20" i="106" s="1"/>
  <c r="J45" i="21"/>
  <c r="J62" i="21"/>
  <c r="M153" i="54"/>
  <c r="L153" i="54" s="1"/>
  <c r="J9" i="100"/>
  <c r="M156" i="54"/>
  <c r="L156" i="54" s="1"/>
  <c r="I9" i="100"/>
  <c r="M155" i="54"/>
  <c r="L155" i="54" s="1"/>
  <c r="H9" i="100"/>
  <c r="M154" i="54"/>
  <c r="L154" i="54" s="1"/>
  <c r="G61" i="100"/>
  <c r="G64" i="100"/>
  <c r="G67" i="100"/>
  <c r="G74" i="100"/>
  <c r="G57" i="106"/>
  <c r="F171" i="54"/>
  <c r="F169" i="54"/>
  <c r="F172" i="54"/>
  <c r="F177" i="54"/>
  <c r="F168" i="54"/>
  <c r="F170" i="54"/>
  <c r="F175" i="54"/>
  <c r="F174" i="54"/>
  <c r="F173" i="54"/>
  <c r="F176" i="54"/>
  <c r="P111" i="99"/>
  <c r="I29" i="135"/>
  <c r="H29" i="135" s="1"/>
  <c r="G24" i="83"/>
  <c r="R24" i="106" s="1"/>
  <c r="G37" i="83"/>
  <c r="R37" i="106" s="1"/>
  <c r="G59" i="83"/>
  <c r="R59" i="106" s="1"/>
  <c r="G18" i="83"/>
  <c r="R18" i="106" s="1"/>
  <c r="G41" i="83"/>
  <c r="R41" i="106" s="1"/>
  <c r="G34" i="83"/>
  <c r="R34" i="106" s="1"/>
  <c r="G45" i="106"/>
  <c r="G30" i="83"/>
  <c r="R30" i="106" s="1"/>
  <c r="G28" i="83"/>
  <c r="R28" i="106" s="1"/>
  <c r="G49" i="83"/>
  <c r="R49" i="106" s="1"/>
  <c r="G35" i="83"/>
  <c r="R35" i="106" s="1"/>
  <c r="G38" i="83"/>
  <c r="R38" i="106" s="1"/>
  <c r="G63" i="83"/>
  <c r="R63" i="106" s="1"/>
  <c r="G15" i="83"/>
  <c r="R15" i="106" s="1"/>
  <c r="G33" i="83"/>
  <c r="R33" i="106" s="1"/>
  <c r="G32" i="83"/>
  <c r="R32" i="106" s="1"/>
  <c r="G19" i="83"/>
  <c r="R19" i="106" s="1"/>
  <c r="G60" i="83"/>
  <c r="R60" i="106" s="1"/>
  <c r="G51" i="83"/>
  <c r="R51" i="106" s="1"/>
  <c r="G31" i="83"/>
  <c r="R31" i="106" s="1"/>
  <c r="G53" i="83"/>
  <c r="R53" i="106" s="1"/>
  <c r="G48" i="83"/>
  <c r="R48" i="106" s="1"/>
  <c r="G58" i="83"/>
  <c r="R58" i="106" s="1"/>
  <c r="G54" i="83"/>
  <c r="R54" i="106" s="1"/>
  <c r="G29" i="83"/>
  <c r="R29" i="106" s="1"/>
  <c r="G56" i="83"/>
  <c r="R56" i="106" s="1"/>
  <c r="S108" i="99"/>
  <c r="G53" i="106"/>
  <c r="G57" i="83"/>
  <c r="R57" i="106" s="1"/>
  <c r="G44" i="83"/>
  <c r="R44" i="106" s="1"/>
  <c r="G27" i="83"/>
  <c r="R27" i="106" s="1"/>
  <c r="G42" i="83"/>
  <c r="R42" i="106" s="1"/>
  <c r="G43" i="83"/>
  <c r="R43" i="106" s="1"/>
  <c r="G40" i="83"/>
  <c r="R40" i="106" s="1"/>
  <c r="G17" i="83"/>
  <c r="R17" i="106" s="1"/>
  <c r="G13" i="83"/>
  <c r="R13" i="106" s="1"/>
  <c r="G14" i="83"/>
  <c r="R14" i="106" s="1"/>
  <c r="G46" i="83"/>
  <c r="R46" i="106" s="1"/>
  <c r="G39" i="83"/>
  <c r="R39" i="106" s="1"/>
  <c r="G22" i="83"/>
  <c r="R22" i="106" s="1"/>
  <c r="G51" i="106"/>
  <c r="S110" i="99"/>
  <c r="M88" i="99"/>
  <c r="M175" i="99" s="1"/>
  <c r="G175" i="99" s="1"/>
  <c r="S88" i="99"/>
  <c r="S175" i="99" s="1"/>
  <c r="P107" i="99"/>
  <c r="G35" i="106"/>
  <c r="G38" i="106"/>
  <c r="S109" i="99"/>
  <c r="P108" i="99"/>
  <c r="G18" i="106"/>
  <c r="G27" i="106"/>
  <c r="G39" i="106"/>
  <c r="C5" i="111"/>
  <c r="E14" i="99"/>
  <c r="C105" i="166" s="1"/>
  <c r="G30" i="106"/>
  <c r="G14" i="106"/>
  <c r="G59" i="106"/>
  <c r="G26" i="106"/>
  <c r="D35" i="135"/>
  <c r="D143" i="150" s="1"/>
  <c r="F2" i="145"/>
  <c r="S111" i="99"/>
  <c r="P89" i="99"/>
  <c r="P179" i="99" s="1"/>
  <c r="P109" i="99"/>
  <c r="G50" i="106"/>
  <c r="G44" i="106"/>
  <c r="G32" i="106"/>
  <c r="G52" i="106"/>
  <c r="G25" i="106"/>
  <c r="G60" i="106"/>
  <c r="S107" i="99"/>
  <c r="P110" i="99"/>
  <c r="G54" i="106"/>
  <c r="G41" i="106"/>
  <c r="G36" i="106"/>
  <c r="G28" i="106"/>
  <c r="G22" i="106"/>
  <c r="G40" i="106"/>
  <c r="I27" i="135"/>
  <c r="H27" i="135" s="1"/>
  <c r="I26" i="135"/>
  <c r="H26" i="135" s="1"/>
  <c r="I28" i="135"/>
  <c r="H28" i="135" s="1"/>
  <c r="K47" i="92"/>
  <c r="K51" i="92"/>
  <c r="K50" i="92" s="1"/>
  <c r="C6" i="145"/>
  <c r="F54" i="115"/>
  <c r="F59" i="115" s="1"/>
  <c r="H37" i="93"/>
  <c r="D88" i="140"/>
  <c r="D88" i="136"/>
  <c r="D89" i="140"/>
  <c r="D89" i="136"/>
  <c r="D90" i="140"/>
  <c r="D90" i="136"/>
  <c r="C46" i="130"/>
  <c r="C46" i="150"/>
  <c r="D70" i="140"/>
  <c r="F69" i="140"/>
  <c r="G43" i="106"/>
  <c r="G61" i="106"/>
  <c r="G11" i="106"/>
  <c r="G58" i="106"/>
  <c r="G24" i="106"/>
  <c r="G12" i="106"/>
  <c r="G15" i="106"/>
  <c r="G33" i="106"/>
  <c r="G42" i="106"/>
  <c r="G21" i="106"/>
  <c r="G34" i="106"/>
  <c r="G29" i="106"/>
  <c r="G13" i="106"/>
  <c r="G31" i="106"/>
  <c r="G19" i="106"/>
  <c r="G63" i="106"/>
  <c r="G17" i="106"/>
  <c r="G20" i="106"/>
  <c r="G48" i="106"/>
  <c r="G37" i="106"/>
  <c r="G46" i="106"/>
  <c r="G49" i="106"/>
  <c r="G56" i="106"/>
  <c r="G47" i="106"/>
  <c r="O45" i="115"/>
  <c r="P45" i="115"/>
  <c r="L10" i="98"/>
  <c r="M11" i="98"/>
  <c r="N11" i="98" s="1"/>
  <c r="F30" i="127"/>
  <c r="F67" i="127"/>
  <c r="H67" i="127" s="1"/>
  <c r="F60" i="127"/>
  <c r="F64" i="127"/>
  <c r="F46" i="127"/>
  <c r="F40" i="127"/>
  <c r="F39" i="127"/>
  <c r="F20" i="127"/>
  <c r="F55" i="127"/>
  <c r="F49" i="127"/>
  <c r="F43" i="127"/>
  <c r="F50" i="127"/>
  <c r="F56" i="127"/>
  <c r="F35" i="127"/>
  <c r="F63" i="127"/>
  <c r="F45" i="127"/>
  <c r="F41" i="127"/>
  <c r="F23" i="127"/>
  <c r="F44" i="127"/>
  <c r="F14" i="127"/>
  <c r="F29" i="127"/>
  <c r="F34" i="127"/>
  <c r="F61" i="127"/>
  <c r="F52" i="127"/>
  <c r="F13" i="127"/>
  <c r="F38" i="127"/>
  <c r="F12" i="127"/>
  <c r="F65" i="127"/>
  <c r="AC90" i="99"/>
  <c r="F19" i="127"/>
  <c r="F48" i="127"/>
  <c r="F42" i="127"/>
  <c r="F36" i="127"/>
  <c r="F37" i="127"/>
  <c r="G30" i="127"/>
  <c r="G62" i="127"/>
  <c r="G59" i="127"/>
  <c r="G54" i="127"/>
  <c r="G31" i="127"/>
  <c r="G58" i="127"/>
  <c r="G57" i="127"/>
  <c r="G51" i="127"/>
  <c r="G33" i="127"/>
  <c r="G32" i="127"/>
  <c r="O187" i="21"/>
  <c r="O184" i="21" s="1"/>
  <c r="O59" i="21"/>
  <c r="O244" i="21" s="1"/>
  <c r="O234" i="21" s="1"/>
  <c r="P188" i="21"/>
  <c r="P53" i="21"/>
  <c r="P248" i="21" s="1"/>
  <c r="P60" i="21"/>
  <c r="P249" i="21" s="1"/>
  <c r="K10" i="98"/>
  <c r="J59" i="106"/>
  <c r="J13" i="106"/>
  <c r="J27" i="106"/>
  <c r="J61" i="106"/>
  <c r="J22" i="106"/>
  <c r="J36" i="106"/>
  <c r="J49" i="106"/>
  <c r="J18" i="106"/>
  <c r="J34" i="106"/>
  <c r="J33" i="106"/>
  <c r="J57" i="106"/>
  <c r="J19" i="106"/>
  <c r="J38" i="106"/>
  <c r="J50" i="106"/>
  <c r="J20" i="106"/>
  <c r="J32" i="106"/>
  <c r="J46" i="106"/>
  <c r="J60" i="106"/>
  <c r="J51" i="106"/>
  <c r="J25" i="106"/>
  <c r="J54" i="106"/>
  <c r="J17" i="106"/>
  <c r="J35" i="106"/>
  <c r="J52" i="106"/>
  <c r="J43" i="106"/>
  <c r="J15" i="106"/>
  <c r="J42" i="106"/>
  <c r="J56" i="106"/>
  <c r="J28" i="106"/>
  <c r="J44" i="106"/>
  <c r="J63" i="106"/>
  <c r="J47" i="106"/>
  <c r="J14" i="106"/>
  <c r="J31" i="106"/>
  <c r="J48" i="106"/>
  <c r="J37" i="106"/>
  <c r="J12" i="106"/>
  <c r="J24" i="106"/>
  <c r="J39" i="106"/>
  <c r="J53" i="106"/>
  <c r="J21" i="106"/>
  <c r="J41" i="106"/>
  <c r="J58" i="106"/>
  <c r="J40" i="106"/>
  <c r="J11" i="106"/>
  <c r="J26" i="106"/>
  <c r="J45" i="106"/>
  <c r="J29" i="106"/>
  <c r="J30" i="106"/>
  <c r="H60" i="106"/>
  <c r="H11" i="106"/>
  <c r="H32" i="106"/>
  <c r="H47" i="106"/>
  <c r="H59" i="106"/>
  <c r="H49" i="106"/>
  <c r="H25" i="106"/>
  <c r="H33" i="106"/>
  <c r="H48" i="106"/>
  <c r="H21" i="106"/>
  <c r="H52" i="106"/>
  <c r="H36" i="106"/>
  <c r="H54" i="106"/>
  <c r="H22" i="106"/>
  <c r="H44" i="106"/>
  <c r="H56" i="106"/>
  <c r="H37" i="106"/>
  <c r="H19" i="106"/>
  <c r="H45" i="106"/>
  <c r="H63" i="106"/>
  <c r="H46" i="106"/>
  <c r="H13" i="106"/>
  <c r="H31" i="106"/>
  <c r="H51" i="106"/>
  <c r="H17" i="106"/>
  <c r="H38" i="106"/>
  <c r="H27" i="106"/>
  <c r="H15" i="106"/>
  <c r="H42" i="106"/>
  <c r="H57" i="106"/>
  <c r="H40" i="106"/>
  <c r="H61" i="106"/>
  <c r="H26" i="106"/>
  <c r="H43" i="106"/>
  <c r="H24" i="106"/>
  <c r="H14" i="106"/>
  <c r="H35" i="106"/>
  <c r="H50" i="106"/>
  <c r="H18" i="106"/>
  <c r="H12" i="106"/>
  <c r="H28" i="106"/>
  <c r="H41" i="106"/>
  <c r="H53" i="106"/>
  <c r="H34" i="106"/>
  <c r="H58" i="106"/>
  <c r="H20" i="106"/>
  <c r="H39" i="106"/>
  <c r="H29" i="106"/>
  <c r="H30" i="106"/>
  <c r="I56" i="106"/>
  <c r="I19" i="106"/>
  <c r="I41" i="106"/>
  <c r="I51" i="106"/>
  <c r="I28" i="106"/>
  <c r="I14" i="106"/>
  <c r="I21" i="106"/>
  <c r="I27" i="106"/>
  <c r="I43" i="106"/>
  <c r="I57" i="106"/>
  <c r="I18" i="106"/>
  <c r="I45" i="106"/>
  <c r="I36" i="106"/>
  <c r="I34" i="106"/>
  <c r="I42" i="106"/>
  <c r="I11" i="106"/>
  <c r="I58" i="106"/>
  <c r="I49" i="106"/>
  <c r="I20" i="106"/>
  <c r="I26" i="106"/>
  <c r="I38" i="106"/>
  <c r="I52" i="106"/>
  <c r="I40" i="106"/>
  <c r="I60" i="106"/>
  <c r="I59" i="106"/>
  <c r="I46" i="106"/>
  <c r="I44" i="106"/>
  <c r="I13" i="106"/>
  <c r="I25" i="106"/>
  <c r="I37" i="106"/>
  <c r="I48" i="106"/>
  <c r="I15" i="106"/>
  <c r="I35" i="106"/>
  <c r="I54" i="106"/>
  <c r="I24" i="106"/>
  <c r="I53" i="106"/>
  <c r="I17" i="106"/>
  <c r="I63" i="106"/>
  <c r="I39" i="106"/>
  <c r="I32" i="106"/>
  <c r="I12" i="106"/>
  <c r="I22" i="106"/>
  <c r="I33" i="106"/>
  <c r="I47" i="106"/>
  <c r="I61" i="106"/>
  <c r="I31" i="106"/>
  <c r="I50" i="106"/>
  <c r="I29" i="106"/>
  <c r="I30" i="106"/>
  <c r="F6" i="106"/>
  <c r="G55" i="127"/>
  <c r="D38" i="93"/>
  <c r="N62" i="21"/>
  <c r="I18" i="83"/>
  <c r="T18" i="106" s="1"/>
  <c r="I31" i="83"/>
  <c r="T31" i="106" s="1"/>
  <c r="I26" i="83"/>
  <c r="T26" i="106" s="1"/>
  <c r="I40" i="83"/>
  <c r="T40" i="106" s="1"/>
  <c r="I35" i="83"/>
  <c r="T35" i="106" s="1"/>
  <c r="I51" i="83"/>
  <c r="T51" i="106" s="1"/>
  <c r="I47" i="83"/>
  <c r="T47" i="106" s="1"/>
  <c r="I43" i="83"/>
  <c r="T43" i="106" s="1"/>
  <c r="I59" i="83"/>
  <c r="T59" i="106" s="1"/>
  <c r="I21" i="83"/>
  <c r="T21" i="106" s="1"/>
  <c r="I13" i="83"/>
  <c r="T13" i="106" s="1"/>
  <c r="I38" i="83"/>
  <c r="T38" i="106" s="1"/>
  <c r="I53" i="83"/>
  <c r="T53" i="106" s="1"/>
  <c r="I61" i="83"/>
  <c r="T61" i="106" s="1"/>
  <c r="I56" i="83"/>
  <c r="T56" i="106" s="1"/>
  <c r="I20" i="83"/>
  <c r="T20" i="106" s="1"/>
  <c r="I22" i="83"/>
  <c r="T22" i="106" s="1"/>
  <c r="I25" i="83"/>
  <c r="T25" i="106" s="1"/>
  <c r="I54" i="83"/>
  <c r="T54" i="106" s="1"/>
  <c r="I63" i="83"/>
  <c r="T63" i="106" s="1"/>
  <c r="I14" i="83"/>
  <c r="T14" i="106" s="1"/>
  <c r="I11" i="83"/>
  <c r="T11" i="106" s="1"/>
  <c r="I19" i="83"/>
  <c r="T19" i="106" s="1"/>
  <c r="I12" i="83"/>
  <c r="T12" i="106" s="1"/>
  <c r="I27" i="83"/>
  <c r="T27" i="106" s="1"/>
  <c r="I41" i="83"/>
  <c r="T41" i="106" s="1"/>
  <c r="I37" i="83"/>
  <c r="T37" i="106" s="1"/>
  <c r="I32" i="83"/>
  <c r="T32" i="106" s="1"/>
  <c r="I52" i="83"/>
  <c r="T52" i="106" s="1"/>
  <c r="I48" i="83"/>
  <c r="T48" i="106" s="1"/>
  <c r="I44" i="83"/>
  <c r="T44" i="106" s="1"/>
  <c r="I60" i="83"/>
  <c r="T60" i="106" s="1"/>
  <c r="I28" i="83"/>
  <c r="T28" i="106" s="1"/>
  <c r="I49" i="83"/>
  <c r="T49" i="106" s="1"/>
  <c r="I15" i="83"/>
  <c r="T15" i="106" s="1"/>
  <c r="I34" i="83"/>
  <c r="T34" i="106" s="1"/>
  <c r="I46" i="83"/>
  <c r="T46" i="106" s="1"/>
  <c r="I17" i="83"/>
  <c r="T17" i="106" s="1"/>
  <c r="I42" i="83"/>
  <c r="T42" i="106" s="1"/>
  <c r="I33" i="83"/>
  <c r="T33" i="106" s="1"/>
  <c r="I45" i="83"/>
  <c r="T45" i="106" s="1"/>
  <c r="I57" i="83"/>
  <c r="T57" i="106" s="1"/>
  <c r="I29" i="83"/>
  <c r="T29" i="106" s="1"/>
  <c r="I39" i="83"/>
  <c r="T39" i="106" s="1"/>
  <c r="I50" i="83"/>
  <c r="T50" i="106" s="1"/>
  <c r="I58" i="83"/>
  <c r="T58" i="106" s="1"/>
  <c r="I24" i="83"/>
  <c r="T24" i="106" s="1"/>
  <c r="I36" i="83"/>
  <c r="T36" i="106" s="1"/>
  <c r="I30" i="83"/>
  <c r="T30" i="106" s="1"/>
  <c r="F6" i="83"/>
  <c r="H29" i="83"/>
  <c r="S29" i="106" s="1"/>
  <c r="H15" i="83"/>
  <c r="S15" i="106" s="1"/>
  <c r="H18" i="83"/>
  <c r="S18" i="106" s="1"/>
  <c r="H19" i="83"/>
  <c r="S19" i="106" s="1"/>
  <c r="H37" i="83"/>
  <c r="S37" i="106" s="1"/>
  <c r="H32" i="83"/>
  <c r="S32" i="106" s="1"/>
  <c r="H52" i="83"/>
  <c r="S52" i="106" s="1"/>
  <c r="H48" i="83"/>
  <c r="S48" i="106" s="1"/>
  <c r="H44" i="83"/>
  <c r="S44" i="106" s="1"/>
  <c r="H60" i="83"/>
  <c r="S60" i="106" s="1"/>
  <c r="H56" i="83"/>
  <c r="S56" i="106" s="1"/>
  <c r="H20" i="83"/>
  <c r="S20" i="106" s="1"/>
  <c r="H14" i="83"/>
  <c r="S14" i="106" s="1"/>
  <c r="H39" i="83"/>
  <c r="S39" i="106" s="1"/>
  <c r="H54" i="83"/>
  <c r="S54" i="106" s="1"/>
  <c r="H63" i="83"/>
  <c r="S63" i="106" s="1"/>
  <c r="H12" i="83"/>
  <c r="S12" i="106" s="1"/>
  <c r="H47" i="83"/>
  <c r="S47" i="106" s="1"/>
  <c r="H22" i="83"/>
  <c r="S22" i="106" s="1"/>
  <c r="H41" i="83"/>
  <c r="S41" i="106" s="1"/>
  <c r="H42" i="83"/>
  <c r="S42" i="106" s="1"/>
  <c r="H38" i="83"/>
  <c r="S38" i="106" s="1"/>
  <c r="H33" i="83"/>
  <c r="S33" i="106" s="1"/>
  <c r="H53" i="83"/>
  <c r="S53" i="106" s="1"/>
  <c r="H49" i="83"/>
  <c r="S49" i="106" s="1"/>
  <c r="H45" i="83"/>
  <c r="S45" i="106" s="1"/>
  <c r="H61" i="83"/>
  <c r="S61" i="106" s="1"/>
  <c r="H57" i="83"/>
  <c r="S57" i="106" s="1"/>
  <c r="H21" i="83"/>
  <c r="S21" i="106" s="1"/>
  <c r="H31" i="83"/>
  <c r="S31" i="106" s="1"/>
  <c r="H35" i="83"/>
  <c r="S35" i="106" s="1"/>
  <c r="H43" i="83"/>
  <c r="S43" i="106" s="1"/>
  <c r="H11" i="83"/>
  <c r="S11" i="106" s="1"/>
  <c r="H25" i="83"/>
  <c r="S25" i="106" s="1"/>
  <c r="H13" i="83"/>
  <c r="S13" i="106" s="1"/>
  <c r="H40" i="83"/>
  <c r="S40" i="106" s="1"/>
  <c r="H27" i="83"/>
  <c r="S27" i="106" s="1"/>
  <c r="H28" i="83"/>
  <c r="S28" i="106" s="1"/>
  <c r="H34" i="83"/>
  <c r="S34" i="106" s="1"/>
  <c r="H50" i="83"/>
  <c r="S50" i="106" s="1"/>
  <c r="H46" i="83"/>
  <c r="S46" i="106" s="1"/>
  <c r="H58" i="83"/>
  <c r="S58" i="106" s="1"/>
  <c r="H26" i="83"/>
  <c r="S26" i="106" s="1"/>
  <c r="H51" i="83"/>
  <c r="S51" i="106" s="1"/>
  <c r="H59" i="83"/>
  <c r="S59" i="106" s="1"/>
  <c r="H17" i="83"/>
  <c r="S17" i="106" s="1"/>
  <c r="H24" i="83"/>
  <c r="S24" i="106" s="1"/>
  <c r="H36" i="83"/>
  <c r="S36" i="106" s="1"/>
  <c r="H30" i="83"/>
  <c r="S30" i="106" s="1"/>
  <c r="J18" i="83"/>
  <c r="U18" i="106" s="1"/>
  <c r="J31" i="83"/>
  <c r="U31" i="106" s="1"/>
  <c r="J26" i="83"/>
  <c r="U26" i="106" s="1"/>
  <c r="J40" i="83"/>
  <c r="U40" i="106" s="1"/>
  <c r="J35" i="83"/>
  <c r="U35" i="106" s="1"/>
  <c r="J51" i="83"/>
  <c r="U51" i="106" s="1"/>
  <c r="J47" i="83"/>
  <c r="U47" i="106" s="1"/>
  <c r="J43" i="83"/>
  <c r="U43" i="106" s="1"/>
  <c r="J59" i="83"/>
  <c r="U59" i="106" s="1"/>
  <c r="J20" i="83"/>
  <c r="U20" i="106" s="1"/>
  <c r="J14" i="83"/>
  <c r="U14" i="106" s="1"/>
  <c r="J15" i="83"/>
  <c r="U15" i="106" s="1"/>
  <c r="J39" i="83"/>
  <c r="U39" i="106" s="1"/>
  <c r="J54" i="83"/>
  <c r="U54" i="106" s="1"/>
  <c r="J63" i="83"/>
  <c r="U63" i="106" s="1"/>
  <c r="J11" i="83"/>
  <c r="U11" i="106" s="1"/>
  <c r="J19" i="83"/>
  <c r="U19" i="106" s="1"/>
  <c r="J12" i="83"/>
  <c r="U12" i="106" s="1"/>
  <c r="J27" i="83"/>
  <c r="U27" i="106" s="1"/>
  <c r="J41" i="83"/>
  <c r="U41" i="106" s="1"/>
  <c r="J37" i="83"/>
  <c r="U37" i="106" s="1"/>
  <c r="J32" i="83"/>
  <c r="U32" i="106" s="1"/>
  <c r="J52" i="83"/>
  <c r="U52" i="106" s="1"/>
  <c r="J48" i="83"/>
  <c r="U48" i="106" s="1"/>
  <c r="J44" i="83"/>
  <c r="U44" i="106" s="1"/>
  <c r="J60" i="83"/>
  <c r="U60" i="106" s="1"/>
  <c r="J56" i="83"/>
  <c r="U56" i="106" s="1"/>
  <c r="J25" i="83"/>
  <c r="U25" i="106" s="1"/>
  <c r="J46" i="83"/>
  <c r="U46" i="106" s="1"/>
  <c r="J17" i="83"/>
  <c r="U17" i="106" s="1"/>
  <c r="J21" i="83"/>
  <c r="U21" i="106" s="1"/>
  <c r="J13" i="83"/>
  <c r="U13" i="106" s="1"/>
  <c r="J28" i="83"/>
  <c r="U28" i="106" s="1"/>
  <c r="J42" i="83"/>
  <c r="U42" i="106" s="1"/>
  <c r="J38" i="83"/>
  <c r="U38" i="106" s="1"/>
  <c r="J33" i="83"/>
  <c r="U33" i="106" s="1"/>
  <c r="J53" i="83"/>
  <c r="U53" i="106" s="1"/>
  <c r="J49" i="83"/>
  <c r="U49" i="106" s="1"/>
  <c r="J45" i="83"/>
  <c r="U45" i="106" s="1"/>
  <c r="J61" i="83"/>
  <c r="U61" i="106" s="1"/>
  <c r="J57" i="83"/>
  <c r="U57" i="106" s="1"/>
  <c r="J22" i="83"/>
  <c r="U22" i="106" s="1"/>
  <c r="J29" i="83"/>
  <c r="U29" i="106" s="1"/>
  <c r="J34" i="83"/>
  <c r="U34" i="106" s="1"/>
  <c r="J50" i="83"/>
  <c r="U50" i="106" s="1"/>
  <c r="J58" i="83"/>
  <c r="U58" i="106" s="1"/>
  <c r="J24" i="83"/>
  <c r="U24" i="106" s="1"/>
  <c r="J36" i="83"/>
  <c r="U36" i="106" s="1"/>
  <c r="J30" i="83"/>
  <c r="U30" i="106" s="1"/>
  <c r="F63" i="21"/>
  <c r="N66" i="21"/>
  <c r="O63" i="21"/>
  <c r="O46" i="21"/>
  <c r="O52" i="21"/>
  <c r="O243" i="21" s="1"/>
  <c r="O233" i="21" s="1"/>
  <c r="O38" i="21"/>
  <c r="O241" i="21" s="1"/>
  <c r="O231" i="21" s="1"/>
  <c r="O242" i="21"/>
  <c r="O232" i="21" s="1"/>
  <c r="N45" i="21"/>
  <c r="P247" i="21"/>
  <c r="P39" i="21"/>
  <c r="P246" i="21" s="1"/>
  <c r="F46" i="21"/>
  <c r="L98" i="54"/>
  <c r="K97" i="54"/>
  <c r="K96" i="54" s="1"/>
  <c r="K95" i="54" s="1"/>
  <c r="G179" i="99" l="1"/>
  <c r="N179" i="99"/>
  <c r="E179" i="99" s="1"/>
  <c r="O17" i="109" s="1"/>
  <c r="Q17" i="109" s="1"/>
  <c r="I65" i="100"/>
  <c r="P62" i="105"/>
  <c r="P67" i="105"/>
  <c r="P64" i="105"/>
  <c r="P63" i="105"/>
  <c r="P66" i="105"/>
  <c r="P65" i="105"/>
  <c r="E17" i="105"/>
  <c r="H147" i="105" s="1"/>
  <c r="J147" i="105" s="1"/>
  <c r="J62" i="105"/>
  <c r="J66" i="105"/>
  <c r="J64" i="105"/>
  <c r="J63" i="105"/>
  <c r="J65" i="105"/>
  <c r="M66" i="105"/>
  <c r="M67" i="105"/>
  <c r="M65" i="105"/>
  <c r="J49" i="100"/>
  <c r="S66" i="105"/>
  <c r="S62" i="105"/>
  <c r="S67" i="105"/>
  <c r="S63" i="105"/>
  <c r="S64" i="105"/>
  <c r="S65" i="105"/>
  <c r="M63" i="105"/>
  <c r="M62" i="105"/>
  <c r="M64" i="105"/>
  <c r="M62" i="99"/>
  <c r="M63" i="99"/>
  <c r="M64" i="99"/>
  <c r="G43" i="159"/>
  <c r="G69" i="159"/>
  <c r="L69" i="159" s="1"/>
  <c r="G66" i="159"/>
  <c r="L66" i="159" s="1"/>
  <c r="G58" i="159"/>
  <c r="L58" i="159" s="1"/>
  <c r="G56" i="159"/>
  <c r="L56" i="159" s="1"/>
  <c r="G53" i="159"/>
  <c r="L53" i="159" s="1"/>
  <c r="G48" i="159"/>
  <c r="L48" i="159" s="1"/>
  <c r="G45" i="159"/>
  <c r="L45" i="159" s="1"/>
  <c r="G42" i="159"/>
  <c r="L42" i="159" s="1"/>
  <c r="G40" i="159"/>
  <c r="L40" i="159" s="1"/>
  <c r="G15" i="159"/>
  <c r="L15" i="159" s="1"/>
  <c r="G23" i="159"/>
  <c r="L23" i="159" s="1"/>
  <c r="G21" i="159"/>
  <c r="L21" i="159" s="1"/>
  <c r="G19" i="159"/>
  <c r="L19" i="159" s="1"/>
  <c r="G17" i="159"/>
  <c r="L17" i="159" s="1"/>
  <c r="G25" i="159"/>
  <c r="L25" i="159" s="1"/>
  <c r="G36" i="159"/>
  <c r="L36" i="159" s="1"/>
  <c r="G34" i="159"/>
  <c r="G70" i="159"/>
  <c r="L70" i="159" s="1"/>
  <c r="G67" i="159"/>
  <c r="L67" i="159" s="1"/>
  <c r="G59" i="159"/>
  <c r="L59" i="159" s="1"/>
  <c r="G57" i="159"/>
  <c r="L57" i="159" s="1"/>
  <c r="G54" i="159"/>
  <c r="L54" i="159" s="1"/>
  <c r="G49" i="159"/>
  <c r="L49" i="159" s="1"/>
  <c r="G47" i="159"/>
  <c r="L47" i="159" s="1"/>
  <c r="G44" i="159"/>
  <c r="L44" i="159" s="1"/>
  <c r="G41" i="159"/>
  <c r="L41" i="159" s="1"/>
  <c r="G24" i="159"/>
  <c r="L24" i="159" s="1"/>
  <c r="G22" i="159"/>
  <c r="L22" i="159" s="1"/>
  <c r="G20" i="159"/>
  <c r="L20" i="159" s="1"/>
  <c r="G18" i="159"/>
  <c r="L18" i="159" s="1"/>
  <c r="G16" i="159"/>
  <c r="L16" i="159" s="1"/>
  <c r="G37" i="159"/>
  <c r="L37" i="159" s="1"/>
  <c r="G38" i="159"/>
  <c r="E164" i="54"/>
  <c r="E32" i="105"/>
  <c r="F32" i="105" s="1"/>
  <c r="G45" i="131"/>
  <c r="E165" i="54"/>
  <c r="P245" i="21"/>
  <c r="O240" i="21"/>
  <c r="O230" i="21" s="1"/>
  <c r="F250" i="21"/>
  <c r="O67" i="21"/>
  <c r="E32" i="99"/>
  <c r="F32" i="99" s="1"/>
  <c r="E166" i="54"/>
  <c r="N8" i="166"/>
  <c r="E163" i="54"/>
  <c r="N8" i="165"/>
  <c r="E13" i="130"/>
  <c r="U99" i="166"/>
  <c r="V99" i="166" s="1"/>
  <c r="U77" i="166"/>
  <c r="V77" i="166" s="1"/>
  <c r="W105" i="166"/>
  <c r="U95" i="166"/>
  <c r="V95" i="166" s="1"/>
  <c r="U105" i="166"/>
  <c r="U96" i="166"/>
  <c r="V96" i="166" s="1"/>
  <c r="U98" i="166"/>
  <c r="V98" i="166" s="1"/>
  <c r="U82" i="166"/>
  <c r="U83" i="166"/>
  <c r="U84" i="166"/>
  <c r="U80" i="166"/>
  <c r="U81" i="166"/>
  <c r="U103" i="166"/>
  <c r="G42" i="100"/>
  <c r="G32" i="100"/>
  <c r="G35" i="100"/>
  <c r="G28" i="100"/>
  <c r="G33" i="100"/>
  <c r="F91" i="136"/>
  <c r="F89" i="167"/>
  <c r="G92" i="140"/>
  <c r="G90" i="167"/>
  <c r="G69" i="136"/>
  <c r="G67" i="167"/>
  <c r="E89" i="136"/>
  <c r="E87" i="167"/>
  <c r="F70" i="136"/>
  <c r="F68" i="167"/>
  <c r="G90" i="136"/>
  <c r="G88" i="167"/>
  <c r="E90" i="136"/>
  <c r="E88" i="167"/>
  <c r="E92" i="140"/>
  <c r="E90" i="167"/>
  <c r="F90" i="140"/>
  <c r="F88" i="167"/>
  <c r="E88" i="136"/>
  <c r="E86" i="167"/>
  <c r="F89" i="136"/>
  <c r="F87" i="167"/>
  <c r="F88" i="140"/>
  <c r="F86" i="167"/>
  <c r="G91" i="136"/>
  <c r="G89" i="167"/>
  <c r="D51" i="167"/>
  <c r="G88" i="136"/>
  <c r="G86" i="167"/>
  <c r="E91" i="136"/>
  <c r="E89" i="167"/>
  <c r="E69" i="136"/>
  <c r="E67" i="167"/>
  <c r="G89" i="140"/>
  <c r="G87" i="167"/>
  <c r="F92" i="136"/>
  <c r="F90" i="167"/>
  <c r="D20" i="137"/>
  <c r="D16" i="168"/>
  <c r="R31" i="166"/>
  <c r="N31" i="166" s="1"/>
  <c r="C105" i="165"/>
  <c r="R31" i="165"/>
  <c r="N31" i="165" s="1"/>
  <c r="I78" i="100"/>
  <c r="J51" i="100"/>
  <c r="G21" i="100"/>
  <c r="G18" i="100"/>
  <c r="G81" i="100"/>
  <c r="J62" i="99"/>
  <c r="R30" i="132"/>
  <c r="N30" i="132" s="1"/>
  <c r="G58" i="100"/>
  <c r="G51" i="100"/>
  <c r="G48" i="100"/>
  <c r="G45" i="100"/>
  <c r="J63" i="99"/>
  <c r="J66" i="99"/>
  <c r="I36" i="100"/>
  <c r="J65" i="99"/>
  <c r="H17" i="57"/>
  <c r="H29" i="57"/>
  <c r="H33" i="57"/>
  <c r="H37" i="57"/>
  <c r="H13" i="57"/>
  <c r="H28" i="57"/>
  <c r="H27" i="57"/>
  <c r="H31" i="57"/>
  <c r="H15" i="57"/>
  <c r="H26" i="57"/>
  <c r="H30" i="57"/>
  <c r="H38" i="57"/>
  <c r="H14" i="57"/>
  <c r="H16" i="57"/>
  <c r="G90" i="140"/>
  <c r="I72" i="100"/>
  <c r="I71" i="100"/>
  <c r="K15" i="57"/>
  <c r="K27" i="57"/>
  <c r="K31" i="57"/>
  <c r="K14" i="57"/>
  <c r="K30" i="57"/>
  <c r="K38" i="57"/>
  <c r="K13" i="57"/>
  <c r="K17" i="57"/>
  <c r="K29" i="57"/>
  <c r="K33" i="57"/>
  <c r="K37" i="57"/>
  <c r="K16" i="57"/>
  <c r="K28" i="57"/>
  <c r="K26" i="57"/>
  <c r="J15" i="57"/>
  <c r="J27" i="57"/>
  <c r="J31" i="57"/>
  <c r="J26" i="57"/>
  <c r="J13" i="57"/>
  <c r="J17" i="57"/>
  <c r="J29" i="57"/>
  <c r="J33" i="57"/>
  <c r="J37" i="57"/>
  <c r="J16" i="57"/>
  <c r="J28" i="57"/>
  <c r="J14" i="57"/>
  <c r="J30" i="57"/>
  <c r="J38" i="57"/>
  <c r="I15" i="57"/>
  <c r="I27" i="57"/>
  <c r="I31" i="57"/>
  <c r="I14" i="57"/>
  <c r="I30" i="57"/>
  <c r="I38" i="57"/>
  <c r="I13" i="57"/>
  <c r="I17" i="57"/>
  <c r="I29" i="57"/>
  <c r="I33" i="57"/>
  <c r="I37" i="57"/>
  <c r="I16" i="57"/>
  <c r="I28" i="57"/>
  <c r="I26" i="57"/>
  <c r="D61" i="58"/>
  <c r="L45" i="115"/>
  <c r="H81" i="100"/>
  <c r="M65" i="99"/>
  <c r="M66" i="99"/>
  <c r="J21" i="100"/>
  <c r="S64" i="99"/>
  <c r="S65" i="99"/>
  <c r="S66" i="99"/>
  <c r="S62" i="99"/>
  <c r="S63" i="99"/>
  <c r="I22" i="100"/>
  <c r="P63" i="99"/>
  <c r="P64" i="99"/>
  <c r="P65" i="99"/>
  <c r="P66" i="99"/>
  <c r="P62" i="99"/>
  <c r="I19" i="100"/>
  <c r="I46" i="100"/>
  <c r="J52" i="100"/>
  <c r="I52" i="100"/>
  <c r="I49" i="100"/>
  <c r="I39" i="100"/>
  <c r="J42" i="100"/>
  <c r="F38" i="21"/>
  <c r="F241" i="21" s="1"/>
  <c r="F231" i="21" s="1"/>
  <c r="F47" i="21"/>
  <c r="F64" i="21"/>
  <c r="F52" i="21"/>
  <c r="F243" i="21" s="1"/>
  <c r="F233" i="21" s="1"/>
  <c r="F242" i="21"/>
  <c r="F232" i="21" s="1"/>
  <c r="F59" i="21"/>
  <c r="F244" i="21" s="1"/>
  <c r="F234" i="21" s="1"/>
  <c r="I62" i="100"/>
  <c r="I55" i="100"/>
  <c r="J35" i="100"/>
  <c r="J33" i="100"/>
  <c r="I33" i="100"/>
  <c r="I29" i="100"/>
  <c r="J36" i="100"/>
  <c r="P252" i="21"/>
  <c r="P40" i="21"/>
  <c r="P251" i="21" s="1"/>
  <c r="P54" i="21"/>
  <c r="P253" i="21" s="1"/>
  <c r="P187" i="21"/>
  <c r="P184" i="21" s="1"/>
  <c r="P190" i="21"/>
  <c r="P61" i="21"/>
  <c r="P254" i="21" s="1"/>
  <c r="G33" i="21"/>
  <c r="G40" i="21"/>
  <c r="G251" i="21" s="1"/>
  <c r="G61" i="21"/>
  <c r="G254" i="21" s="1"/>
  <c r="G54" i="21"/>
  <c r="G253" i="21" s="1"/>
  <c r="G252" i="21"/>
  <c r="G32" i="21"/>
  <c r="G53" i="21"/>
  <c r="G248" i="21" s="1"/>
  <c r="G60" i="21"/>
  <c r="G249" i="21" s="1"/>
  <c r="G187" i="21"/>
  <c r="G184" i="21" s="1"/>
  <c r="G247" i="21"/>
  <c r="G39" i="21"/>
  <c r="G246" i="21" s="1"/>
  <c r="H78" i="100"/>
  <c r="J74" i="100"/>
  <c r="J67" i="100"/>
  <c r="J72" i="100"/>
  <c r="J65" i="100"/>
  <c r="J58" i="100"/>
  <c r="I26" i="100"/>
  <c r="J18" i="100"/>
  <c r="J19" i="100"/>
  <c r="W46" i="99"/>
  <c r="H19" i="100"/>
  <c r="J38" i="100"/>
  <c r="H46" i="100"/>
  <c r="H45" i="100"/>
  <c r="H61" i="100"/>
  <c r="H55" i="100"/>
  <c r="J71" i="100"/>
  <c r="J55" i="100"/>
  <c r="J39" i="100"/>
  <c r="J22" i="100"/>
  <c r="J76" i="100"/>
  <c r="J56" i="100"/>
  <c r="J40" i="100"/>
  <c r="J23" i="100"/>
  <c r="J73" i="100"/>
  <c r="J53" i="100"/>
  <c r="J37" i="100"/>
  <c r="J78" i="100"/>
  <c r="J62" i="100"/>
  <c r="J46" i="100"/>
  <c r="J29" i="100"/>
  <c r="H65" i="100"/>
  <c r="H49" i="100"/>
  <c r="H28" i="100"/>
  <c r="H54" i="100"/>
  <c r="H71" i="100"/>
  <c r="J75" i="100"/>
  <c r="J59" i="100"/>
  <c r="J43" i="100"/>
  <c r="J26" i="100"/>
  <c r="J80" i="100"/>
  <c r="J60" i="100"/>
  <c r="J44" i="100"/>
  <c r="J27" i="100"/>
  <c r="J77" i="100"/>
  <c r="J57" i="100"/>
  <c r="J41" i="100"/>
  <c r="J20" i="100"/>
  <c r="J66" i="100"/>
  <c r="J50" i="100"/>
  <c r="J34" i="100"/>
  <c r="H73" i="100"/>
  <c r="H53" i="100"/>
  <c r="H37" i="100"/>
  <c r="H62" i="100"/>
  <c r="H29" i="100"/>
  <c r="H27" i="100"/>
  <c r="J79" i="100"/>
  <c r="J63" i="100"/>
  <c r="J47" i="100"/>
  <c r="J30" i="100"/>
  <c r="J17" i="100"/>
  <c r="J64" i="100"/>
  <c r="J48" i="100"/>
  <c r="J32" i="100"/>
  <c r="J81" i="100"/>
  <c r="J61" i="100"/>
  <c r="J45" i="100"/>
  <c r="J28" i="100"/>
  <c r="J70" i="100"/>
  <c r="J54" i="100"/>
  <c r="H77" i="100"/>
  <c r="H57" i="100"/>
  <c r="H41" i="100"/>
  <c r="H70" i="100"/>
  <c r="H38" i="100"/>
  <c r="H39" i="100"/>
  <c r="H33" i="100"/>
  <c r="H74" i="100"/>
  <c r="H58" i="100"/>
  <c r="H42" i="100"/>
  <c r="H79" i="100"/>
  <c r="H47" i="100"/>
  <c r="H20" i="100"/>
  <c r="H66" i="100"/>
  <c r="H50" i="100"/>
  <c r="H34" i="100"/>
  <c r="H63" i="100"/>
  <c r="H18" i="100"/>
  <c r="H60" i="100"/>
  <c r="H30" i="100"/>
  <c r="T2" i="145"/>
  <c r="I80" i="100"/>
  <c r="I60" i="100"/>
  <c r="I44" i="100"/>
  <c r="I27" i="100"/>
  <c r="I77" i="100"/>
  <c r="I57" i="100"/>
  <c r="I41" i="100"/>
  <c r="I20" i="100"/>
  <c r="I70" i="100"/>
  <c r="I54" i="100"/>
  <c r="I38" i="100"/>
  <c r="I79" i="100"/>
  <c r="I63" i="100"/>
  <c r="I47" i="100"/>
  <c r="I30" i="100"/>
  <c r="G17" i="100"/>
  <c r="G66" i="100"/>
  <c r="G50" i="100"/>
  <c r="G34" i="100"/>
  <c r="G75" i="100"/>
  <c r="G59" i="100"/>
  <c r="G43" i="100"/>
  <c r="G26" i="100"/>
  <c r="G76" i="100"/>
  <c r="G56" i="100"/>
  <c r="G40" i="100"/>
  <c r="G23" i="100"/>
  <c r="G73" i="100"/>
  <c r="G53" i="100"/>
  <c r="G37" i="100"/>
  <c r="I64" i="100"/>
  <c r="I48" i="100"/>
  <c r="I32" i="100"/>
  <c r="I81" i="100"/>
  <c r="I61" i="100"/>
  <c r="I45" i="100"/>
  <c r="I28" i="100"/>
  <c r="I74" i="100"/>
  <c r="I58" i="100"/>
  <c r="I42" i="100"/>
  <c r="I21" i="100"/>
  <c r="I67" i="100"/>
  <c r="I51" i="100"/>
  <c r="I35" i="100"/>
  <c r="I18" i="100"/>
  <c r="G70" i="100"/>
  <c r="G54" i="100"/>
  <c r="G38" i="100"/>
  <c r="G79" i="100"/>
  <c r="G63" i="100"/>
  <c r="G47" i="100"/>
  <c r="G30" i="100"/>
  <c r="G80" i="100"/>
  <c r="G60" i="100"/>
  <c r="G44" i="100"/>
  <c r="G27" i="100"/>
  <c r="G77" i="100"/>
  <c r="G57" i="100"/>
  <c r="G41" i="100"/>
  <c r="G20" i="100"/>
  <c r="H21" i="100"/>
  <c r="H67" i="100"/>
  <c r="H51" i="100"/>
  <c r="H35" i="100"/>
  <c r="H80" i="100"/>
  <c r="I76" i="100"/>
  <c r="I56" i="100"/>
  <c r="I40" i="100"/>
  <c r="I23" i="100"/>
  <c r="I73" i="100"/>
  <c r="I53" i="100"/>
  <c r="I37" i="100"/>
  <c r="I17" i="100"/>
  <c r="I66" i="100"/>
  <c r="I50" i="100"/>
  <c r="I34" i="100"/>
  <c r="I75" i="100"/>
  <c r="I59" i="100"/>
  <c r="I43" i="100"/>
  <c r="G78" i="100"/>
  <c r="G62" i="100"/>
  <c r="G46" i="100"/>
  <c r="G29" i="100"/>
  <c r="G71" i="100"/>
  <c r="G55" i="100"/>
  <c r="G39" i="100"/>
  <c r="G22" i="100"/>
  <c r="G72" i="100"/>
  <c r="G52" i="100"/>
  <c r="G36" i="100"/>
  <c r="G19" i="100"/>
  <c r="G65" i="100"/>
  <c r="G49" i="100"/>
  <c r="H75" i="100"/>
  <c r="H59" i="100"/>
  <c r="H43" i="100"/>
  <c r="H26" i="100"/>
  <c r="H56" i="100"/>
  <c r="H23" i="100"/>
  <c r="J65" i="21"/>
  <c r="H76" i="100"/>
  <c r="H44" i="100"/>
  <c r="H22" i="100"/>
  <c r="H72" i="100"/>
  <c r="H40" i="100"/>
  <c r="H64" i="100"/>
  <c r="H48" i="100"/>
  <c r="H32" i="100"/>
  <c r="H17" i="100"/>
  <c r="M47" i="105" s="1"/>
  <c r="H52" i="100"/>
  <c r="H36" i="100"/>
  <c r="D33" i="127"/>
  <c r="I33" i="127" s="1"/>
  <c r="D57" i="127"/>
  <c r="I57" i="127" s="1"/>
  <c r="D51" i="127"/>
  <c r="I51" i="127" s="1"/>
  <c r="D12" i="127"/>
  <c r="D44" i="127"/>
  <c r="D13" i="127"/>
  <c r="D43" i="127"/>
  <c r="D45" i="127"/>
  <c r="D39" i="127"/>
  <c r="D64" i="127"/>
  <c r="D46" i="127"/>
  <c r="D58" i="127"/>
  <c r="I58" i="127" s="1"/>
  <c r="D49" i="127"/>
  <c r="D65" i="127"/>
  <c r="D50" i="127"/>
  <c r="D37" i="127"/>
  <c r="D63" i="127"/>
  <c r="D48" i="127"/>
  <c r="D31" i="127"/>
  <c r="I31" i="127" s="1"/>
  <c r="D52" i="127"/>
  <c r="D59" i="127"/>
  <c r="I59" i="127" s="1"/>
  <c r="D20" i="127"/>
  <c r="D11" i="127"/>
  <c r="D36" i="127"/>
  <c r="D55" i="127"/>
  <c r="I55" i="127" s="1"/>
  <c r="D60" i="127"/>
  <c r="D30" i="127"/>
  <c r="I30" i="127" s="1"/>
  <c r="D14" i="127"/>
  <c r="D34" i="127"/>
  <c r="D41" i="127"/>
  <c r="D23" i="127"/>
  <c r="D32" i="127"/>
  <c r="I32" i="127" s="1"/>
  <c r="D54" i="127"/>
  <c r="I54" i="127" s="1"/>
  <c r="D62" i="127"/>
  <c r="I62" i="127" s="1"/>
  <c r="D38" i="127"/>
  <c r="D29" i="127"/>
  <c r="D35" i="127"/>
  <c r="D19" i="127"/>
  <c r="D40" i="127"/>
  <c r="D56" i="127"/>
  <c r="D68" i="127"/>
  <c r="I68" i="127" s="1"/>
  <c r="D61" i="127"/>
  <c r="D42" i="127"/>
  <c r="C32" i="127"/>
  <c r="C58" i="127"/>
  <c r="C52" i="127"/>
  <c r="H52" i="127" s="1"/>
  <c r="C45" i="127"/>
  <c r="H45" i="127" s="1"/>
  <c r="C30" i="127"/>
  <c r="H30" i="127" s="1"/>
  <c r="C65" i="127"/>
  <c r="H65" i="127" s="1"/>
  <c r="C44" i="127"/>
  <c r="H44" i="127" s="1"/>
  <c r="C12" i="127"/>
  <c r="H12" i="127" s="1"/>
  <c r="C37" i="127"/>
  <c r="H37" i="127" s="1"/>
  <c r="C61" i="127"/>
  <c r="H61" i="127" s="1"/>
  <c r="C55" i="127"/>
  <c r="H55" i="127" s="1"/>
  <c r="C41" i="127"/>
  <c r="C23" i="127"/>
  <c r="H23" i="127" s="1"/>
  <c r="C33" i="127"/>
  <c r="C59" i="127"/>
  <c r="C11" i="127"/>
  <c r="C29" i="127"/>
  <c r="H29" i="127" s="1"/>
  <c r="C56" i="127"/>
  <c r="H56" i="127" s="1"/>
  <c r="C50" i="127"/>
  <c r="H50" i="127" s="1"/>
  <c r="C60" i="127"/>
  <c r="C14" i="127"/>
  <c r="H14" i="127" s="1"/>
  <c r="C68" i="127"/>
  <c r="H68" i="127" s="1"/>
  <c r="C46" i="127"/>
  <c r="H46" i="127" s="1"/>
  <c r="C54" i="127"/>
  <c r="C57" i="127"/>
  <c r="C43" i="127"/>
  <c r="H43" i="127" s="1"/>
  <c r="C35" i="127"/>
  <c r="H35" i="127" s="1"/>
  <c r="C20" i="127"/>
  <c r="H20" i="127" s="1"/>
  <c r="C13" i="127"/>
  <c r="H13" i="127" s="1"/>
  <c r="C64" i="127"/>
  <c r="H64" i="127" s="1"/>
  <c r="C42" i="127"/>
  <c r="H42" i="127" s="1"/>
  <c r="C31" i="127"/>
  <c r="C51" i="127"/>
  <c r="C62" i="127"/>
  <c r="C19" i="127"/>
  <c r="H19" i="127" s="1"/>
  <c r="C49" i="127"/>
  <c r="H49" i="127" s="1"/>
  <c r="C36" i="127"/>
  <c r="H36" i="127" s="1"/>
  <c r="C34" i="127"/>
  <c r="H34" i="127" s="1"/>
  <c r="C63" i="127"/>
  <c r="H63" i="127" s="1"/>
  <c r="C38" i="127"/>
  <c r="H38" i="127" s="1"/>
  <c r="C40" i="127"/>
  <c r="H40" i="127" s="1"/>
  <c r="C39" i="127"/>
  <c r="H39" i="127" s="1"/>
  <c r="C48" i="127"/>
  <c r="H48" i="127" s="1"/>
  <c r="H41" i="127"/>
  <c r="H60" i="127"/>
  <c r="E91" i="140"/>
  <c r="G88" i="140"/>
  <c r="F91" i="140"/>
  <c r="G92" i="136"/>
  <c r="G89" i="136"/>
  <c r="F88" i="136"/>
  <c r="G23" i="83"/>
  <c r="R23" i="106" s="1"/>
  <c r="F92" i="140"/>
  <c r="W44" i="99"/>
  <c r="W43" i="99"/>
  <c r="E92" i="136"/>
  <c r="E90" i="140"/>
  <c r="D51" i="109"/>
  <c r="F51" i="109" s="1"/>
  <c r="F90" i="136"/>
  <c r="E88" i="140"/>
  <c r="G69" i="140"/>
  <c r="G91" i="140"/>
  <c r="F89" i="140"/>
  <c r="E89" i="140"/>
  <c r="B5" i="111"/>
  <c r="C35" i="135"/>
  <c r="D14" i="135" s="1"/>
  <c r="D122" i="150" s="1"/>
  <c r="F70" i="140"/>
  <c r="E69" i="140"/>
  <c r="C2" i="145"/>
  <c r="U2" i="145"/>
  <c r="R2" i="145"/>
  <c r="S2" i="145"/>
  <c r="C45" i="151"/>
  <c r="F25" i="127"/>
  <c r="D37" i="93"/>
  <c r="D55" i="58"/>
  <c r="G23" i="106"/>
  <c r="D20" i="140"/>
  <c r="D20" i="136"/>
  <c r="G22" i="127"/>
  <c r="AC93" i="105"/>
  <c r="G10" i="127"/>
  <c r="AC90" i="105"/>
  <c r="F22" i="127"/>
  <c r="AC93" i="99"/>
  <c r="G11" i="127"/>
  <c r="F11" i="127"/>
  <c r="H5" i="145"/>
  <c r="O29" i="106"/>
  <c r="G29" i="127"/>
  <c r="G44" i="127"/>
  <c r="G20" i="127"/>
  <c r="G48" i="127"/>
  <c r="G60" i="127"/>
  <c r="G38" i="127"/>
  <c r="G67" i="127"/>
  <c r="I67" i="127" s="1"/>
  <c r="F10" i="127"/>
  <c r="F54" i="127"/>
  <c r="H54" i="127" s="1"/>
  <c r="F31" i="127"/>
  <c r="G46" i="127"/>
  <c r="G50" i="127"/>
  <c r="I50" i="127" s="1"/>
  <c r="G61" i="127"/>
  <c r="G41" i="127"/>
  <c r="G23" i="127"/>
  <c r="G14" i="127"/>
  <c r="G19" i="127"/>
  <c r="G40" i="127"/>
  <c r="F33" i="127"/>
  <c r="F58" i="127"/>
  <c r="F32" i="127"/>
  <c r="G49" i="127"/>
  <c r="G63" i="127"/>
  <c r="G43" i="127"/>
  <c r="I43" i="127" s="1"/>
  <c r="G35" i="127"/>
  <c r="G34" i="127"/>
  <c r="G39" i="127"/>
  <c r="G42" i="127"/>
  <c r="G45" i="127"/>
  <c r="W45" i="99"/>
  <c r="F62" i="127"/>
  <c r="F59" i="127"/>
  <c r="G65" i="127"/>
  <c r="G12" i="127"/>
  <c r="G64" i="127"/>
  <c r="G13" i="127"/>
  <c r="G37" i="127"/>
  <c r="G36" i="127"/>
  <c r="G52" i="127"/>
  <c r="G56" i="127"/>
  <c r="I56" i="127" s="1"/>
  <c r="F57" i="127"/>
  <c r="F51" i="127"/>
  <c r="G17" i="99"/>
  <c r="H17" i="99"/>
  <c r="O37" i="106"/>
  <c r="O46" i="106"/>
  <c r="P52" i="21"/>
  <c r="P243" i="21" s="1"/>
  <c r="P233" i="21" s="1"/>
  <c r="O35" i="106"/>
  <c r="O51" i="106"/>
  <c r="O63" i="106"/>
  <c r="O14" i="106"/>
  <c r="O38" i="106"/>
  <c r="O13" i="106"/>
  <c r="O28" i="106"/>
  <c r="O44" i="106"/>
  <c r="O50" i="106"/>
  <c r="N65" i="21"/>
  <c r="O30" i="106"/>
  <c r="O17" i="106"/>
  <c r="O31" i="106"/>
  <c r="O22" i="106"/>
  <c r="O39" i="106"/>
  <c r="O40" i="106"/>
  <c r="O26" i="106"/>
  <c r="W46" i="105"/>
  <c r="W40" i="105"/>
  <c r="W41" i="105"/>
  <c r="W44" i="105"/>
  <c r="W45" i="105"/>
  <c r="W43" i="105"/>
  <c r="O11" i="106"/>
  <c r="O45" i="106"/>
  <c r="O19" i="106"/>
  <c r="O52" i="106"/>
  <c r="O18" i="106"/>
  <c r="O34" i="106"/>
  <c r="O12" i="106"/>
  <c r="O61" i="106"/>
  <c r="O15" i="106"/>
  <c r="O54" i="106"/>
  <c r="O21" i="106"/>
  <c r="O58" i="106"/>
  <c r="O42" i="106"/>
  <c r="O20" i="106"/>
  <c r="O41" i="106"/>
  <c r="O43" i="106"/>
  <c r="O57" i="106"/>
  <c r="O55" i="106"/>
  <c r="O33" i="106"/>
  <c r="O47" i="106"/>
  <c r="O48" i="106"/>
  <c r="O27" i="106"/>
  <c r="O56" i="106"/>
  <c r="O60" i="106"/>
  <c r="O59" i="106"/>
  <c r="I23" i="106"/>
  <c r="O53" i="106"/>
  <c r="H23" i="106"/>
  <c r="O36" i="106"/>
  <c r="O49" i="106"/>
  <c r="O25" i="106"/>
  <c r="O32" i="106"/>
  <c r="O24" i="106"/>
  <c r="J23" i="106"/>
  <c r="O49" i="83"/>
  <c r="O14" i="83"/>
  <c r="O26" i="83"/>
  <c r="O50" i="83"/>
  <c r="O40" i="83"/>
  <c r="O44" i="83"/>
  <c r="O37" i="83"/>
  <c r="O51" i="83"/>
  <c r="O31" i="83"/>
  <c r="O45" i="83"/>
  <c r="O54" i="83"/>
  <c r="O47" i="83"/>
  <c r="O24" i="83"/>
  <c r="O43" i="83"/>
  <c r="O57" i="83"/>
  <c r="O53" i="83"/>
  <c r="O41" i="83"/>
  <c r="O12" i="83"/>
  <c r="O29" i="83"/>
  <c r="O46" i="83"/>
  <c r="O52" i="83"/>
  <c r="O27" i="83"/>
  <c r="O36" i="83"/>
  <c r="O11" i="83"/>
  <c r="O21" i="83"/>
  <c r="O42" i="83"/>
  <c r="O55" i="83"/>
  <c r="O39" i="83"/>
  <c r="O60" i="83"/>
  <c r="O15" i="83"/>
  <c r="O30" i="83"/>
  <c r="O59" i="83"/>
  <c r="O58" i="83"/>
  <c r="O28" i="83"/>
  <c r="O25" i="83"/>
  <c r="O38" i="83"/>
  <c r="O56" i="83"/>
  <c r="O17" i="83"/>
  <c r="O34" i="83"/>
  <c r="O13" i="83"/>
  <c r="O35" i="83"/>
  <c r="O61" i="83"/>
  <c r="O33" i="83"/>
  <c r="O22" i="83"/>
  <c r="O63" i="83"/>
  <c r="O20" i="83"/>
  <c r="O48" i="83"/>
  <c r="O19" i="83"/>
  <c r="O32" i="83"/>
  <c r="O18" i="83"/>
  <c r="F66" i="21"/>
  <c r="J23" i="83"/>
  <c r="U23" i="106" s="1"/>
  <c r="I23" i="83"/>
  <c r="T23" i="106" s="1"/>
  <c r="H23" i="83"/>
  <c r="S23" i="106" s="1"/>
  <c r="O62" i="21"/>
  <c r="P63" i="21"/>
  <c r="O66" i="21"/>
  <c r="O45" i="21"/>
  <c r="P46" i="21"/>
  <c r="P38" i="21"/>
  <c r="P241" i="21" s="1"/>
  <c r="P231" i="21" s="1"/>
  <c r="M98" i="54"/>
  <c r="L97" i="54"/>
  <c r="L96" i="54" s="1"/>
  <c r="L95" i="54" s="1"/>
  <c r="I52" i="127" l="1"/>
  <c r="H136" i="105"/>
  <c r="J136" i="105" s="1"/>
  <c r="H152" i="105"/>
  <c r="H149" i="105"/>
  <c r="J149" i="105" s="1"/>
  <c r="D120" i="168" s="1"/>
  <c r="H132" i="105"/>
  <c r="J132" i="105" s="1"/>
  <c r="I36" i="127"/>
  <c r="I12" i="127"/>
  <c r="H135" i="105"/>
  <c r="J135" i="105" s="1"/>
  <c r="H150" i="105"/>
  <c r="J150" i="105" s="1"/>
  <c r="D121" i="168" s="1"/>
  <c r="I37" i="127"/>
  <c r="I29" i="127"/>
  <c r="C20" i="145"/>
  <c r="H134" i="105"/>
  <c r="K62" i="105"/>
  <c r="K66" i="105"/>
  <c r="K47" i="105"/>
  <c r="J198" i="105"/>
  <c r="Q62" i="105"/>
  <c r="K67" i="105"/>
  <c r="H64" i="105"/>
  <c r="N63" i="105"/>
  <c r="K63" i="105"/>
  <c r="Q67" i="105"/>
  <c r="H63" i="105"/>
  <c r="J152" i="105"/>
  <c r="J203" i="105" s="1"/>
  <c r="H203" i="105" s="1"/>
  <c r="K135" i="105"/>
  <c r="M135" i="105" s="1"/>
  <c r="S42" i="105"/>
  <c r="S174" i="105" s="1"/>
  <c r="P42" i="105"/>
  <c r="P174" i="105" s="1"/>
  <c r="M42" i="105"/>
  <c r="M174" i="105" s="1"/>
  <c r="J42" i="105"/>
  <c r="J174" i="105" s="1"/>
  <c r="N147" i="105"/>
  <c r="P147" i="105" s="1"/>
  <c r="P198" i="105" s="1"/>
  <c r="N198" i="105" s="1"/>
  <c r="N134" i="105"/>
  <c r="N152" i="105"/>
  <c r="N132" i="105"/>
  <c r="P132" i="105" s="1"/>
  <c r="N149" i="105"/>
  <c r="P149" i="105" s="1"/>
  <c r="P200" i="105" s="1"/>
  <c r="N200" i="105" s="1"/>
  <c r="N148" i="105"/>
  <c r="P148" i="105" s="1"/>
  <c r="P199" i="105" s="1"/>
  <c r="N199" i="105" s="1"/>
  <c r="N136" i="105"/>
  <c r="P136" i="105" s="1"/>
  <c r="F107" i="168" s="1"/>
  <c r="N150" i="105"/>
  <c r="P150" i="105" s="1"/>
  <c r="P201" i="105" s="1"/>
  <c r="N146" i="105"/>
  <c r="N135" i="105"/>
  <c r="P135" i="105" s="1"/>
  <c r="F106" i="168" s="1"/>
  <c r="Q148" i="105"/>
  <c r="S148" i="105" s="1"/>
  <c r="S199" i="105" s="1"/>
  <c r="Q199" i="105" s="1"/>
  <c r="Q134" i="105"/>
  <c r="Q146" i="105"/>
  <c r="Q132" i="105"/>
  <c r="S132" i="105" s="1"/>
  <c r="G103" i="168" s="1"/>
  <c r="Q147" i="105"/>
  <c r="S147" i="105" s="1"/>
  <c r="S198" i="105" s="1"/>
  <c r="Q198" i="105" s="1"/>
  <c r="Q150" i="105"/>
  <c r="S150" i="105" s="1"/>
  <c r="S201" i="105" s="1"/>
  <c r="Q201" i="105" s="1"/>
  <c r="Q136" i="105"/>
  <c r="S136" i="105" s="1"/>
  <c r="Q152" i="105"/>
  <c r="Q149" i="105"/>
  <c r="S149" i="105" s="1"/>
  <c r="G120" i="168" s="1"/>
  <c r="Q135" i="105"/>
  <c r="S135" i="105" s="1"/>
  <c r="K152" i="105"/>
  <c r="K150" i="105"/>
  <c r="M150" i="105" s="1"/>
  <c r="M201" i="105" s="1"/>
  <c r="K201" i="105" s="1"/>
  <c r="K149" i="105"/>
  <c r="M149" i="105" s="1"/>
  <c r="M200" i="105" s="1"/>
  <c r="K146" i="105"/>
  <c r="K136" i="105"/>
  <c r="M136" i="105" s="1"/>
  <c r="E107" i="168" s="1"/>
  <c r="K147" i="105"/>
  <c r="M147" i="105" s="1"/>
  <c r="M198" i="105" s="1"/>
  <c r="K198" i="105" s="1"/>
  <c r="K134" i="105"/>
  <c r="K148" i="105"/>
  <c r="M148" i="105" s="1"/>
  <c r="M199" i="105" s="1"/>
  <c r="K199" i="105" s="1"/>
  <c r="K132" i="105"/>
  <c r="M132" i="105" s="1"/>
  <c r="N66" i="105"/>
  <c r="N62" i="105"/>
  <c r="I34" i="127"/>
  <c r="I49" i="127"/>
  <c r="I44" i="127"/>
  <c r="Q63" i="105"/>
  <c r="H62" i="105"/>
  <c r="S29" i="188" s="1"/>
  <c r="N67" i="105"/>
  <c r="I39" i="127"/>
  <c r="I63" i="127"/>
  <c r="H33" i="127"/>
  <c r="K64" i="105"/>
  <c r="Q64" i="105"/>
  <c r="Q66" i="105"/>
  <c r="H66" i="105"/>
  <c r="J134" i="105"/>
  <c r="J133" i="105" s="1"/>
  <c r="H133" i="105"/>
  <c r="N64" i="105"/>
  <c r="H146" i="105"/>
  <c r="H148" i="105"/>
  <c r="J148" i="105" s="1"/>
  <c r="J199" i="105" s="1"/>
  <c r="F240" i="21"/>
  <c r="F230" i="21" s="1"/>
  <c r="G245" i="21"/>
  <c r="G250" i="21"/>
  <c r="P250" i="21"/>
  <c r="P59" i="21"/>
  <c r="P244" i="21" s="1"/>
  <c r="P234" i="21" s="1"/>
  <c r="P242" i="21"/>
  <c r="P232" i="21" s="1"/>
  <c r="E44" i="130"/>
  <c r="U77" i="165"/>
  <c r="V77" i="165" s="1"/>
  <c r="U98" i="165"/>
  <c r="V98" i="165" s="1"/>
  <c r="U96" i="165"/>
  <c r="V96" i="165" s="1"/>
  <c r="U105" i="165"/>
  <c r="V105" i="165" s="1"/>
  <c r="W105" i="165"/>
  <c r="U95" i="165"/>
  <c r="V95" i="165" s="1"/>
  <c r="U99" i="165"/>
  <c r="V99" i="165" s="1"/>
  <c r="U80" i="165"/>
  <c r="U81" i="165"/>
  <c r="U84" i="165"/>
  <c r="U82" i="165"/>
  <c r="U83" i="165"/>
  <c r="U103" i="165"/>
  <c r="E48" i="168"/>
  <c r="E48" i="167"/>
  <c r="G48" i="167"/>
  <c r="G48" i="168"/>
  <c r="D128" i="168"/>
  <c r="D127" i="168"/>
  <c r="D51" i="168"/>
  <c r="F48" i="167"/>
  <c r="F48" i="168"/>
  <c r="G83" i="165"/>
  <c r="F81" i="165"/>
  <c r="E83" i="165"/>
  <c r="D81" i="165"/>
  <c r="G82" i="165"/>
  <c r="F80" i="165"/>
  <c r="F84" i="165"/>
  <c r="E82" i="165"/>
  <c r="D80" i="165"/>
  <c r="D84" i="165"/>
  <c r="G103" i="165"/>
  <c r="F103" i="165"/>
  <c r="E103" i="165"/>
  <c r="D103" i="165"/>
  <c r="G81" i="165"/>
  <c r="F83" i="165"/>
  <c r="E81" i="165"/>
  <c r="D83" i="165"/>
  <c r="G80" i="165"/>
  <c r="G84" i="165"/>
  <c r="F82" i="165"/>
  <c r="E80" i="165"/>
  <c r="E84" i="165"/>
  <c r="D82" i="165"/>
  <c r="E103" i="166"/>
  <c r="F84" i="166"/>
  <c r="F82" i="166"/>
  <c r="F80" i="166"/>
  <c r="F103" i="166"/>
  <c r="F83" i="166"/>
  <c r="F81" i="166"/>
  <c r="G80" i="166"/>
  <c r="E82" i="166"/>
  <c r="D84" i="166"/>
  <c r="G103" i="166"/>
  <c r="E83" i="166"/>
  <c r="D81" i="166"/>
  <c r="G81" i="166"/>
  <c r="E81" i="166"/>
  <c r="D80" i="166"/>
  <c r="V80" i="166" s="1"/>
  <c r="G84" i="166"/>
  <c r="G83" i="166"/>
  <c r="E80" i="166"/>
  <c r="E84" i="166"/>
  <c r="D82" i="166"/>
  <c r="D103" i="166"/>
  <c r="G82" i="166"/>
  <c r="D83" i="166"/>
  <c r="D106" i="168"/>
  <c r="L50" i="115"/>
  <c r="M45" i="115"/>
  <c r="M50" i="115" s="1"/>
  <c r="M47" i="99"/>
  <c r="D107" i="168"/>
  <c r="F103" i="168"/>
  <c r="F121" i="168"/>
  <c r="G106" i="168"/>
  <c r="G119" i="168"/>
  <c r="G107" i="168"/>
  <c r="G121" i="168"/>
  <c r="E118" i="168"/>
  <c r="E119" i="168"/>
  <c r="E103" i="168"/>
  <c r="E106" i="168"/>
  <c r="E121" i="168"/>
  <c r="D103" i="168"/>
  <c r="D118" i="168"/>
  <c r="F5" i="145"/>
  <c r="J55" i="115"/>
  <c r="P47" i="21"/>
  <c r="P64" i="21"/>
  <c r="G63" i="21"/>
  <c r="F45" i="21"/>
  <c r="F62" i="21"/>
  <c r="F67" i="21"/>
  <c r="G38" i="21"/>
  <c r="G241" i="21" s="1"/>
  <c r="G231" i="21" s="1"/>
  <c r="G46" i="21"/>
  <c r="G242" i="21"/>
  <c r="G232" i="21" s="1"/>
  <c r="G59" i="21"/>
  <c r="G244" i="21" s="1"/>
  <c r="G234" i="21" s="1"/>
  <c r="G52" i="21"/>
  <c r="G243" i="21" s="1"/>
  <c r="G233" i="21" s="1"/>
  <c r="G64" i="21"/>
  <c r="G47" i="21"/>
  <c r="AB74" i="105"/>
  <c r="AA74" i="105"/>
  <c r="U74" i="105"/>
  <c r="AA73" i="105"/>
  <c r="U73" i="105"/>
  <c r="G11" i="135"/>
  <c r="G119" i="150" s="1"/>
  <c r="AB42" i="105"/>
  <c r="E5" i="145"/>
  <c r="E53" i="145" s="1"/>
  <c r="G33" i="135"/>
  <c r="M33" i="135" s="1"/>
  <c r="G12" i="135"/>
  <c r="R12" i="135" s="1"/>
  <c r="D12" i="135"/>
  <c r="D120" i="150" s="1"/>
  <c r="E33" i="135"/>
  <c r="E141" i="150" s="1"/>
  <c r="H58" i="127"/>
  <c r="G13" i="135"/>
  <c r="G121" i="150" s="1"/>
  <c r="F12" i="135"/>
  <c r="F120" i="150" s="1"/>
  <c r="L51" i="109"/>
  <c r="M34" i="109" s="1"/>
  <c r="I11" i="127"/>
  <c r="H59" i="127"/>
  <c r="I23" i="127"/>
  <c r="I46" i="127"/>
  <c r="I38" i="127"/>
  <c r="I64" i="127"/>
  <c r="I65" i="127"/>
  <c r="H32" i="127"/>
  <c r="I60" i="127"/>
  <c r="I20" i="127"/>
  <c r="H51" i="127"/>
  <c r="I19" i="127"/>
  <c r="I61" i="127"/>
  <c r="I13" i="127"/>
  <c r="I48" i="127"/>
  <c r="I45" i="127"/>
  <c r="I35" i="127"/>
  <c r="H31" i="127"/>
  <c r="O14" i="135"/>
  <c r="D33" i="135"/>
  <c r="J33" i="135" s="1"/>
  <c r="F15" i="135"/>
  <c r="Q15" i="135" s="1"/>
  <c r="F13" i="135"/>
  <c r="L13" i="135" s="1"/>
  <c r="H57" i="127"/>
  <c r="H62" i="127"/>
  <c r="I42" i="127"/>
  <c r="I40" i="127"/>
  <c r="I14" i="127"/>
  <c r="I41" i="127"/>
  <c r="H11" i="127"/>
  <c r="E13" i="135"/>
  <c r="E121" i="150" s="1"/>
  <c r="F33" i="135"/>
  <c r="F141" i="150" s="1"/>
  <c r="J14" i="135"/>
  <c r="F11" i="135"/>
  <c r="Q11" i="135" s="1"/>
  <c r="E14" i="135"/>
  <c r="E122" i="150" s="1"/>
  <c r="E15" i="135"/>
  <c r="P15" i="135" s="1"/>
  <c r="C143" i="150"/>
  <c r="G14" i="135"/>
  <c r="M14" i="135" s="1"/>
  <c r="G15" i="135"/>
  <c r="G123" i="150" s="1"/>
  <c r="D11" i="135"/>
  <c r="J11" i="135" s="1"/>
  <c r="E12" i="135"/>
  <c r="E120" i="150" s="1"/>
  <c r="D13" i="135"/>
  <c r="D121" i="150" s="1"/>
  <c r="E11" i="135"/>
  <c r="P11" i="135" s="1"/>
  <c r="D15" i="135"/>
  <c r="D123" i="150" s="1"/>
  <c r="C53" i="127"/>
  <c r="D10" i="127"/>
  <c r="I10" i="127" s="1"/>
  <c r="D26" i="127"/>
  <c r="G27" i="127"/>
  <c r="D27" i="127"/>
  <c r="F28" i="127"/>
  <c r="C28" i="127"/>
  <c r="C10" i="127"/>
  <c r="H10" i="127" s="1"/>
  <c r="C26" i="127"/>
  <c r="C27" i="127"/>
  <c r="D18" i="127"/>
  <c r="G18" i="127"/>
  <c r="D22" i="127"/>
  <c r="I22" i="127" s="1"/>
  <c r="G53" i="127"/>
  <c r="D53" i="127"/>
  <c r="C18" i="127"/>
  <c r="C22" i="127"/>
  <c r="H22" i="127" s="1"/>
  <c r="D28" i="127"/>
  <c r="G28" i="127"/>
  <c r="AC95" i="99"/>
  <c r="F14" i="135"/>
  <c r="Q14" i="135" s="1"/>
  <c r="E17" i="99"/>
  <c r="R11" i="135"/>
  <c r="G25" i="127"/>
  <c r="AC95" i="105"/>
  <c r="H29" i="145"/>
  <c r="H33" i="145"/>
  <c r="H28" i="145"/>
  <c r="H32" i="145"/>
  <c r="H31" i="145"/>
  <c r="H34" i="145"/>
  <c r="C2" i="111"/>
  <c r="C55" i="115"/>
  <c r="O23" i="106"/>
  <c r="V22" i="114"/>
  <c r="T17" i="105"/>
  <c r="T130" i="105" s="1"/>
  <c r="V21" i="114"/>
  <c r="X22" i="114"/>
  <c r="X29" i="114" s="1"/>
  <c r="V17" i="105"/>
  <c r="Z130" i="105" s="1"/>
  <c r="Y22" i="114"/>
  <c r="Y29" i="114" s="1"/>
  <c r="W17" i="105"/>
  <c r="AA130" i="105" s="1"/>
  <c r="W22" i="114"/>
  <c r="W29" i="114" s="1"/>
  <c r="U17" i="105"/>
  <c r="U130" i="105" s="1"/>
  <c r="M156" i="99"/>
  <c r="P157" i="99"/>
  <c r="M157" i="99"/>
  <c r="S157" i="99"/>
  <c r="J157" i="99"/>
  <c r="J156" i="99"/>
  <c r="P156" i="99"/>
  <c r="S156" i="99"/>
  <c r="O23" i="83"/>
  <c r="O65" i="21"/>
  <c r="P66" i="21"/>
  <c r="M97" i="54"/>
  <c r="M96" i="54" s="1"/>
  <c r="M95" i="54" s="1"/>
  <c r="N98" i="54"/>
  <c r="G128" i="167" l="1"/>
  <c r="G127" i="167"/>
  <c r="J200" i="105"/>
  <c r="H200" i="105" s="1"/>
  <c r="F127" i="167"/>
  <c r="F128" i="167"/>
  <c r="F119" i="168"/>
  <c r="E128" i="167"/>
  <c r="E127" i="167"/>
  <c r="G118" i="168"/>
  <c r="D105" i="168"/>
  <c r="K200" i="105"/>
  <c r="G199" i="105"/>
  <c r="H199" i="105"/>
  <c r="E199" i="105" s="1"/>
  <c r="P37" i="109" s="1"/>
  <c r="M171" i="105"/>
  <c r="K174" i="105"/>
  <c r="N201" i="105"/>
  <c r="H174" i="105"/>
  <c r="G174" i="105"/>
  <c r="J171" i="105"/>
  <c r="S200" i="105"/>
  <c r="Q200" i="105" s="1"/>
  <c r="D123" i="168"/>
  <c r="E120" i="168"/>
  <c r="F120" i="168"/>
  <c r="D119" i="168"/>
  <c r="Q174" i="105"/>
  <c r="S171" i="105"/>
  <c r="G198" i="105"/>
  <c r="H198" i="105"/>
  <c r="E198" i="105" s="1"/>
  <c r="P36" i="109" s="1"/>
  <c r="P171" i="105"/>
  <c r="N174" i="105"/>
  <c r="F118" i="168"/>
  <c r="P42" i="99"/>
  <c r="P174" i="99" s="1"/>
  <c r="M42" i="99"/>
  <c r="M174" i="99" s="1"/>
  <c r="J42" i="99"/>
  <c r="J174" i="99" s="1"/>
  <c r="S42" i="99"/>
  <c r="S174" i="99" s="1"/>
  <c r="S152" i="105"/>
  <c r="S203" i="105" s="1"/>
  <c r="Q203" i="105" s="1"/>
  <c r="P134" i="105"/>
  <c r="N133" i="105"/>
  <c r="P39" i="105"/>
  <c r="N42" i="105"/>
  <c r="Q65" i="105"/>
  <c r="M134" i="105"/>
  <c r="M133" i="105" s="1"/>
  <c r="K133" i="105"/>
  <c r="P152" i="105"/>
  <c r="P203" i="105" s="1"/>
  <c r="N203" i="105" s="1"/>
  <c r="M39" i="105"/>
  <c r="K42" i="105"/>
  <c r="S31" i="188"/>
  <c r="P133" i="105"/>
  <c r="H145" i="105"/>
  <c r="J146" i="105"/>
  <c r="J197" i="105" s="1"/>
  <c r="K145" i="105"/>
  <c r="M146" i="105"/>
  <c r="M197" i="105" s="1"/>
  <c r="K197" i="105" s="1"/>
  <c r="S134" i="105"/>
  <c r="Q133" i="105"/>
  <c r="H42" i="105"/>
  <c r="J39" i="105"/>
  <c r="H65" i="105"/>
  <c r="S30" i="188"/>
  <c r="K65" i="105"/>
  <c r="N65" i="105"/>
  <c r="S33" i="188"/>
  <c r="M152" i="105"/>
  <c r="M203" i="105" s="1"/>
  <c r="K203" i="105" s="1"/>
  <c r="Q145" i="105"/>
  <c r="S146" i="105"/>
  <c r="S197" i="105" s="1"/>
  <c r="Q197" i="105" s="1"/>
  <c r="P146" i="105"/>
  <c r="P197" i="105" s="1"/>
  <c r="N197" i="105" s="1"/>
  <c r="N145" i="105"/>
  <c r="Q42" i="105"/>
  <c r="S39" i="105"/>
  <c r="S133" i="105"/>
  <c r="K31" i="109"/>
  <c r="P45" i="21"/>
  <c r="P240" i="21"/>
  <c r="P230" i="21" s="1"/>
  <c r="P62" i="21"/>
  <c r="G240" i="21"/>
  <c r="G230" i="21" s="1"/>
  <c r="L57" i="109"/>
  <c r="D130" i="140"/>
  <c r="D128" i="167"/>
  <c r="D129" i="140"/>
  <c r="D127" i="167"/>
  <c r="K10" i="109"/>
  <c r="W103" i="166"/>
  <c r="W83" i="166"/>
  <c r="W81" i="166"/>
  <c r="W80" i="166"/>
  <c r="V81" i="166"/>
  <c r="W84" i="166"/>
  <c r="V83" i="166"/>
  <c r="W82" i="166"/>
  <c r="V82" i="166"/>
  <c r="V103" i="166"/>
  <c r="V84" i="166"/>
  <c r="W83" i="165"/>
  <c r="V83" i="165"/>
  <c r="V80" i="165"/>
  <c r="W80" i="165"/>
  <c r="W82" i="165"/>
  <c r="V82" i="165"/>
  <c r="W103" i="165"/>
  <c r="V103" i="165"/>
  <c r="W84" i="165"/>
  <c r="V84" i="165"/>
  <c r="V81" i="165"/>
  <c r="W81" i="165"/>
  <c r="M11" i="135"/>
  <c r="B2" i="111"/>
  <c r="F46" i="171"/>
  <c r="E33" i="167"/>
  <c r="E33" i="168"/>
  <c r="P80" i="166"/>
  <c r="K80" i="166"/>
  <c r="K81" i="166"/>
  <c r="P81" i="166"/>
  <c r="K83" i="166"/>
  <c r="P83" i="166"/>
  <c r="Q103" i="166"/>
  <c r="L103" i="166"/>
  <c r="K103" i="166"/>
  <c r="P103" i="166"/>
  <c r="Q82" i="165"/>
  <c r="L82" i="165"/>
  <c r="M81" i="165"/>
  <c r="R81" i="165"/>
  <c r="R103" i="165"/>
  <c r="M103" i="165"/>
  <c r="Q84" i="165"/>
  <c r="L84" i="165"/>
  <c r="O81" i="165"/>
  <c r="J81" i="165"/>
  <c r="R83" i="165"/>
  <c r="M83" i="165"/>
  <c r="O103" i="166"/>
  <c r="J103" i="166"/>
  <c r="P84" i="166"/>
  <c r="K84" i="166"/>
  <c r="O80" i="166"/>
  <c r="J80" i="166"/>
  <c r="J81" i="166"/>
  <c r="O81" i="166"/>
  <c r="O84" i="166"/>
  <c r="J84" i="166"/>
  <c r="M80" i="166"/>
  <c r="R80" i="166"/>
  <c r="Q83" i="166"/>
  <c r="L83" i="166"/>
  <c r="Q84" i="166"/>
  <c r="L84" i="166"/>
  <c r="K80" i="165"/>
  <c r="P80" i="165"/>
  <c r="O83" i="165"/>
  <c r="J83" i="165"/>
  <c r="Q103" i="165"/>
  <c r="L103" i="165"/>
  <c r="K82" i="165"/>
  <c r="P82" i="165"/>
  <c r="Q81" i="165"/>
  <c r="L81" i="165"/>
  <c r="M82" i="166"/>
  <c r="R82" i="166"/>
  <c r="R84" i="166"/>
  <c r="M84" i="166"/>
  <c r="M103" i="166"/>
  <c r="R103" i="166"/>
  <c r="Q81" i="166"/>
  <c r="L81" i="166"/>
  <c r="Q82" i="166"/>
  <c r="L82" i="166"/>
  <c r="K84" i="165"/>
  <c r="P84" i="165"/>
  <c r="R80" i="165"/>
  <c r="M80" i="165"/>
  <c r="Q83" i="165"/>
  <c r="L83" i="165"/>
  <c r="K103" i="165"/>
  <c r="P103" i="165"/>
  <c r="O80" i="165"/>
  <c r="J80" i="165"/>
  <c r="R82" i="165"/>
  <c r="M82" i="165"/>
  <c r="O83" i="166"/>
  <c r="J83" i="166"/>
  <c r="O82" i="166"/>
  <c r="J82" i="166"/>
  <c r="R83" i="166"/>
  <c r="M83" i="166"/>
  <c r="R81" i="166"/>
  <c r="M81" i="166"/>
  <c r="K82" i="166"/>
  <c r="P82" i="166"/>
  <c r="Q80" i="166"/>
  <c r="L80" i="166"/>
  <c r="O82" i="165"/>
  <c r="J82" i="165"/>
  <c r="R84" i="165"/>
  <c r="M84" i="165"/>
  <c r="K81" i="165"/>
  <c r="P81" i="165"/>
  <c r="O103" i="165"/>
  <c r="J103" i="165"/>
  <c r="O84" i="165"/>
  <c r="J84" i="165"/>
  <c r="Q80" i="165"/>
  <c r="L80" i="165"/>
  <c r="K83" i="165"/>
  <c r="P83" i="165"/>
  <c r="K32" i="109"/>
  <c r="M10" i="109"/>
  <c r="D129" i="136"/>
  <c r="K43" i="109"/>
  <c r="E130" i="140"/>
  <c r="E130" i="136"/>
  <c r="G129" i="140"/>
  <c r="G129" i="136"/>
  <c r="E129" i="140"/>
  <c r="E129" i="136"/>
  <c r="M30" i="109"/>
  <c r="K11" i="109"/>
  <c r="E28" i="145"/>
  <c r="R33" i="135"/>
  <c r="P33" i="135"/>
  <c r="F129" i="140"/>
  <c r="F129" i="136"/>
  <c r="G130" i="140"/>
  <c r="G130" i="136"/>
  <c r="F130" i="140"/>
  <c r="F130" i="136"/>
  <c r="K33" i="109"/>
  <c r="E29" i="145"/>
  <c r="M32" i="109"/>
  <c r="M31" i="109"/>
  <c r="D130" i="136"/>
  <c r="K34" i="109"/>
  <c r="K9" i="109"/>
  <c r="E30" i="145"/>
  <c r="K33" i="135"/>
  <c r="K44" i="109"/>
  <c r="K30" i="109"/>
  <c r="K29" i="109"/>
  <c r="E31" i="145"/>
  <c r="R13" i="135"/>
  <c r="M13" i="135"/>
  <c r="D52" i="109"/>
  <c r="F52" i="109" s="1"/>
  <c r="E34" i="145"/>
  <c r="E32" i="145"/>
  <c r="E33" i="145"/>
  <c r="E50" i="145"/>
  <c r="E51" i="145"/>
  <c r="E54" i="145"/>
  <c r="E55" i="145"/>
  <c r="E52" i="145"/>
  <c r="J54" i="115"/>
  <c r="J59" i="115" s="1"/>
  <c r="N152" i="99"/>
  <c r="N147" i="99"/>
  <c r="N132" i="99"/>
  <c r="N148" i="99"/>
  <c r="N134" i="99"/>
  <c r="N146" i="99"/>
  <c r="N149" i="99"/>
  <c r="N135" i="99"/>
  <c r="N136" i="99"/>
  <c r="N150" i="99"/>
  <c r="Q148" i="99"/>
  <c r="Q134" i="99"/>
  <c r="Q149" i="99"/>
  <c r="Q135" i="99"/>
  <c r="Q136" i="99"/>
  <c r="Q150" i="99"/>
  <c r="Q146" i="99"/>
  <c r="Q152" i="99"/>
  <c r="Q147" i="99"/>
  <c r="Q132" i="99"/>
  <c r="K149" i="99"/>
  <c r="K150" i="99"/>
  <c r="K152" i="99"/>
  <c r="K147" i="99"/>
  <c r="K132" i="99"/>
  <c r="K134" i="99"/>
  <c r="K135" i="99"/>
  <c r="K146" i="99"/>
  <c r="K148" i="99"/>
  <c r="K136" i="99"/>
  <c r="H146" i="99"/>
  <c r="H150" i="99"/>
  <c r="H136" i="99"/>
  <c r="H135" i="99"/>
  <c r="H149" i="99"/>
  <c r="D104" i="168"/>
  <c r="H134" i="99"/>
  <c r="H148" i="99"/>
  <c r="H132" i="99"/>
  <c r="H147" i="99"/>
  <c r="H152" i="99"/>
  <c r="P67" i="21"/>
  <c r="G62" i="21"/>
  <c r="G66" i="21"/>
  <c r="F65" i="21"/>
  <c r="G45" i="21"/>
  <c r="G67" i="21"/>
  <c r="C54" i="115"/>
  <c r="K57" i="115" s="1"/>
  <c r="O12" i="135"/>
  <c r="AA42" i="105"/>
  <c r="AB73" i="105"/>
  <c r="J12" i="135"/>
  <c r="Q33" i="135"/>
  <c r="L33" i="135"/>
  <c r="B45" i="146"/>
  <c r="E67" i="99"/>
  <c r="O34" i="188" s="1"/>
  <c r="K11" i="135"/>
  <c r="B28" i="146"/>
  <c r="F28" i="146" s="1"/>
  <c r="M28" i="146" s="1"/>
  <c r="G39" i="99"/>
  <c r="E27" i="145" s="1"/>
  <c r="E42" i="99"/>
  <c r="M12" i="135"/>
  <c r="R14" i="135"/>
  <c r="L12" i="135"/>
  <c r="M29" i="109"/>
  <c r="M9" i="109"/>
  <c r="M33" i="109"/>
  <c r="M43" i="109"/>
  <c r="M19" i="109"/>
  <c r="M12" i="109"/>
  <c r="M37" i="109"/>
  <c r="M15" i="109"/>
  <c r="G120" i="150"/>
  <c r="D141" i="150"/>
  <c r="G141" i="150"/>
  <c r="F119" i="150"/>
  <c r="M17" i="109"/>
  <c r="M44" i="109"/>
  <c r="M11" i="109"/>
  <c r="M50" i="109"/>
  <c r="M18" i="109"/>
  <c r="M13" i="109"/>
  <c r="M20" i="109"/>
  <c r="M16" i="109"/>
  <c r="Q12" i="135"/>
  <c r="O33" i="135"/>
  <c r="F121" i="150"/>
  <c r="L11" i="135"/>
  <c r="K14" i="135"/>
  <c r="O15" i="135"/>
  <c r="K12" i="135"/>
  <c r="P12" i="135"/>
  <c r="J15" i="135"/>
  <c r="F123" i="150"/>
  <c r="O11" i="135"/>
  <c r="N11" i="135" s="1"/>
  <c r="P13" i="135"/>
  <c r="K13" i="135"/>
  <c r="E123" i="150"/>
  <c r="Q13" i="135"/>
  <c r="L15" i="135"/>
  <c r="G122" i="150"/>
  <c r="J13" i="135"/>
  <c r="P14" i="135"/>
  <c r="E119" i="150"/>
  <c r="D119" i="150"/>
  <c r="O13" i="135"/>
  <c r="M15" i="135"/>
  <c r="R15" i="135"/>
  <c r="K15" i="135"/>
  <c r="I18" i="127"/>
  <c r="I27" i="127"/>
  <c r="F18" i="127"/>
  <c r="H18" i="127" s="1"/>
  <c r="D25" i="127"/>
  <c r="I25" i="127" s="1"/>
  <c r="F27" i="127"/>
  <c r="H27" i="127" s="1"/>
  <c r="F53" i="127"/>
  <c r="H53" i="127" s="1"/>
  <c r="AC96" i="99"/>
  <c r="F26" i="127"/>
  <c r="H26" i="127" s="1"/>
  <c r="C25" i="127"/>
  <c r="H25" i="127" s="1"/>
  <c r="G26" i="127"/>
  <c r="I26" i="127" s="1"/>
  <c r="AC96" i="105"/>
  <c r="I53" i="127"/>
  <c r="H28" i="127"/>
  <c r="I28" i="127"/>
  <c r="F122" i="150"/>
  <c r="L14" i="135"/>
  <c r="C5" i="145"/>
  <c r="E121" i="142"/>
  <c r="E121" i="137"/>
  <c r="G123" i="142"/>
  <c r="G123" i="137"/>
  <c r="G122" i="142"/>
  <c r="G122" i="137"/>
  <c r="G121" i="142"/>
  <c r="G121" i="137"/>
  <c r="F123" i="142"/>
  <c r="F123" i="137"/>
  <c r="F120" i="142"/>
  <c r="F120" i="137"/>
  <c r="E122" i="142"/>
  <c r="E122" i="137"/>
  <c r="G120" i="142"/>
  <c r="G120" i="137"/>
  <c r="F121" i="142"/>
  <c r="F121" i="137"/>
  <c r="D121" i="142"/>
  <c r="D121" i="137"/>
  <c r="D123" i="142"/>
  <c r="D123" i="137"/>
  <c r="D108" i="142"/>
  <c r="D108" i="137"/>
  <c r="E123" i="142"/>
  <c r="E123" i="137"/>
  <c r="E120" i="142"/>
  <c r="E120" i="137"/>
  <c r="G105" i="142"/>
  <c r="G105" i="137"/>
  <c r="F105" i="142"/>
  <c r="F105" i="137"/>
  <c r="D107" i="142"/>
  <c r="D107" i="137"/>
  <c r="D105" i="142"/>
  <c r="D105" i="137"/>
  <c r="E108" i="142"/>
  <c r="E108" i="137"/>
  <c r="E105" i="142"/>
  <c r="E105" i="137"/>
  <c r="G108" i="142"/>
  <c r="G108" i="137"/>
  <c r="F108" i="142"/>
  <c r="F108" i="137"/>
  <c r="F122" i="142"/>
  <c r="F122" i="137"/>
  <c r="D120" i="142"/>
  <c r="D120" i="137"/>
  <c r="D122" i="142"/>
  <c r="D122" i="137"/>
  <c r="G109" i="142"/>
  <c r="G109" i="137"/>
  <c r="E109" i="142"/>
  <c r="E109" i="137"/>
  <c r="F109" i="142"/>
  <c r="F109" i="137"/>
  <c r="D109" i="142"/>
  <c r="D109" i="137"/>
  <c r="T130" i="99"/>
  <c r="R5" i="145"/>
  <c r="AA130" i="99"/>
  <c r="U5" i="145"/>
  <c r="U130" i="99"/>
  <c r="S5" i="145"/>
  <c r="Z130" i="99"/>
  <c r="T5" i="145"/>
  <c r="D55" i="115"/>
  <c r="W21" i="114"/>
  <c r="W28" i="114" s="1"/>
  <c r="Y21" i="114"/>
  <c r="Y28" i="114" s="1"/>
  <c r="V28" i="114"/>
  <c r="U22" i="114"/>
  <c r="V29" i="114"/>
  <c r="U29" i="114" s="1"/>
  <c r="X21" i="114"/>
  <c r="X28" i="114" s="1"/>
  <c r="O98" i="54"/>
  <c r="N97" i="54"/>
  <c r="N96" i="54" s="1"/>
  <c r="N95" i="54" s="1"/>
  <c r="G174" i="99" l="1"/>
  <c r="H174" i="99"/>
  <c r="J171" i="99"/>
  <c r="K174" i="99"/>
  <c r="M171" i="99"/>
  <c r="Q174" i="99"/>
  <c r="S171" i="99"/>
  <c r="N174" i="99"/>
  <c r="P171" i="99"/>
  <c r="E203" i="105"/>
  <c r="P41" i="109" s="1"/>
  <c r="E107" i="137"/>
  <c r="E174" i="105"/>
  <c r="P12" i="109" s="1"/>
  <c r="E200" i="105"/>
  <c r="P38" i="109" s="1"/>
  <c r="D119" i="137"/>
  <c r="G200" i="105"/>
  <c r="H197" i="105"/>
  <c r="E197" i="105" s="1"/>
  <c r="P35" i="109" s="1"/>
  <c r="G197" i="105"/>
  <c r="G171" i="105"/>
  <c r="M145" i="105"/>
  <c r="M196" i="105" s="1"/>
  <c r="K196" i="105" s="1"/>
  <c r="G123" i="168"/>
  <c r="J145" i="105"/>
  <c r="J196" i="105" s="1"/>
  <c r="F123" i="168"/>
  <c r="S145" i="105"/>
  <c r="S196" i="105" s="1"/>
  <c r="Q196" i="105" s="1"/>
  <c r="S32" i="188"/>
  <c r="P145" i="105"/>
  <c r="P196" i="105" s="1"/>
  <c r="E123" i="168"/>
  <c r="S9" i="188"/>
  <c r="AB42" i="99"/>
  <c r="O9" i="188"/>
  <c r="P65" i="21"/>
  <c r="I33" i="135"/>
  <c r="N82" i="165"/>
  <c r="C32" i="166"/>
  <c r="C32" i="165"/>
  <c r="N103" i="165"/>
  <c r="I103" i="165"/>
  <c r="N84" i="165"/>
  <c r="I84" i="165"/>
  <c r="I82" i="165"/>
  <c r="E104" i="168"/>
  <c r="E105" i="168"/>
  <c r="I82" i="166"/>
  <c r="F116" i="168"/>
  <c r="F117" i="168"/>
  <c r="H46" i="171"/>
  <c r="D46" i="171"/>
  <c r="T46" i="171" s="1"/>
  <c r="U46" i="171" s="1"/>
  <c r="J46" i="171"/>
  <c r="E117" i="168"/>
  <c r="D117" i="168"/>
  <c r="G117" i="168"/>
  <c r="F104" i="168"/>
  <c r="F105" i="168"/>
  <c r="G104" i="168"/>
  <c r="G105" i="168"/>
  <c r="N82" i="166"/>
  <c r="I80" i="165"/>
  <c r="I81" i="166"/>
  <c r="N81" i="166"/>
  <c r="I84" i="166"/>
  <c r="N83" i="166"/>
  <c r="N83" i="165"/>
  <c r="N84" i="166"/>
  <c r="N80" i="166"/>
  <c r="N103" i="166"/>
  <c r="N81" i="165"/>
  <c r="I83" i="166"/>
  <c r="N80" i="165"/>
  <c r="I83" i="165"/>
  <c r="I103" i="166"/>
  <c r="I81" i="165"/>
  <c r="I80" i="166"/>
  <c r="L52" i="109"/>
  <c r="N33" i="135"/>
  <c r="I11" i="135"/>
  <c r="I14" i="135"/>
  <c r="N12" i="135"/>
  <c r="G107" i="137"/>
  <c r="F107" i="137"/>
  <c r="K58" i="115"/>
  <c r="Q52" i="145" s="1"/>
  <c r="K56" i="115"/>
  <c r="D54" i="115"/>
  <c r="D59" i="115" s="1"/>
  <c r="C59" i="115"/>
  <c r="D119" i="142"/>
  <c r="K55" i="115"/>
  <c r="N14" i="135"/>
  <c r="AB67" i="99"/>
  <c r="P67" i="99"/>
  <c r="M67" i="99"/>
  <c r="M201" i="99" s="1"/>
  <c r="S67" i="99"/>
  <c r="C61" i="145"/>
  <c r="G73" i="99"/>
  <c r="I47" i="112"/>
  <c r="N47" i="112" s="1"/>
  <c r="AA73" i="99"/>
  <c r="U73" i="99"/>
  <c r="C62" i="145"/>
  <c r="G74" i="99"/>
  <c r="E62" i="145" s="1"/>
  <c r="C37" i="132"/>
  <c r="C79" i="150" s="1"/>
  <c r="G65" i="21"/>
  <c r="S152" i="99"/>
  <c r="M152" i="99"/>
  <c r="J152" i="99"/>
  <c r="P152" i="99"/>
  <c r="G152" i="99"/>
  <c r="S134" i="99"/>
  <c r="G105" i="167" s="1"/>
  <c r="G134" i="99"/>
  <c r="C122" i="145"/>
  <c r="E133" i="99"/>
  <c r="C121" i="145" s="1"/>
  <c r="AB67" i="105"/>
  <c r="P147" i="99"/>
  <c r="S147" i="99"/>
  <c r="S198" i="99" s="1"/>
  <c r="Q198" i="99" s="1"/>
  <c r="M147" i="99"/>
  <c r="J147" i="99"/>
  <c r="G147" i="99"/>
  <c r="S150" i="99"/>
  <c r="G121" i="167" s="1"/>
  <c r="M150" i="99"/>
  <c r="E121" i="167" s="1"/>
  <c r="J150" i="99"/>
  <c r="D121" i="167" s="1"/>
  <c r="P150" i="99"/>
  <c r="F121" i="167" s="1"/>
  <c r="G150" i="99"/>
  <c r="S148" i="99"/>
  <c r="M148" i="99"/>
  <c r="M199" i="99" s="1"/>
  <c r="K199" i="99" s="1"/>
  <c r="J148" i="99"/>
  <c r="P148" i="99"/>
  <c r="G148" i="99"/>
  <c r="M146" i="99"/>
  <c r="G146" i="99"/>
  <c r="E145" i="99"/>
  <c r="M132" i="99"/>
  <c r="E103" i="167" s="1"/>
  <c r="J132" i="99"/>
  <c r="D103" i="167" s="1"/>
  <c r="P132" i="99"/>
  <c r="F103" i="167" s="1"/>
  <c r="S132" i="99"/>
  <c r="G103" i="167" s="1"/>
  <c r="C120" i="145"/>
  <c r="G132" i="99"/>
  <c r="D32" i="146" s="1"/>
  <c r="C55" i="145"/>
  <c r="F34" i="109"/>
  <c r="D34" i="109" s="1"/>
  <c r="AA67" i="99"/>
  <c r="N67" i="99"/>
  <c r="C31" i="132"/>
  <c r="C73" i="150" s="1"/>
  <c r="U67" i="99"/>
  <c r="I41" i="112"/>
  <c r="N41" i="112" s="1"/>
  <c r="H11" i="135"/>
  <c r="I16" i="112"/>
  <c r="C30" i="145"/>
  <c r="AA42" i="99"/>
  <c r="P136" i="99"/>
  <c r="F107" i="167" s="1"/>
  <c r="S136" i="99"/>
  <c r="G109" i="136" s="1"/>
  <c r="M136" i="99"/>
  <c r="E107" i="167" s="1"/>
  <c r="J136" i="99"/>
  <c r="C124" i="145"/>
  <c r="G136" i="99"/>
  <c r="D36" i="146" s="1"/>
  <c r="P135" i="99"/>
  <c r="F106" i="167" s="1"/>
  <c r="S135" i="99"/>
  <c r="G106" i="167" s="1"/>
  <c r="M135" i="99"/>
  <c r="E106" i="167" s="1"/>
  <c r="J135" i="99"/>
  <c r="D106" i="167" s="1"/>
  <c r="C123" i="145"/>
  <c r="G135" i="99"/>
  <c r="D29" i="146" s="1"/>
  <c r="P149" i="99"/>
  <c r="P200" i="99" s="1"/>
  <c r="N200" i="99" s="1"/>
  <c r="M149" i="99"/>
  <c r="J149" i="99"/>
  <c r="S149" i="99"/>
  <c r="G149" i="99"/>
  <c r="I12" i="135"/>
  <c r="N13" i="135"/>
  <c r="I13" i="135"/>
  <c r="N15" i="135"/>
  <c r="I15" i="135"/>
  <c r="Q51" i="145"/>
  <c r="Q50" i="145"/>
  <c r="N50" i="145"/>
  <c r="Q53" i="145"/>
  <c r="E125" i="142"/>
  <c r="E125" i="137"/>
  <c r="F129" i="142"/>
  <c r="F129" i="137"/>
  <c r="D130" i="142"/>
  <c r="D130" i="137"/>
  <c r="D125" i="142"/>
  <c r="D125" i="137"/>
  <c r="G125" i="142"/>
  <c r="G125" i="137"/>
  <c r="E119" i="142"/>
  <c r="E119" i="137"/>
  <c r="F130" i="142"/>
  <c r="F130" i="137"/>
  <c r="G130" i="142"/>
  <c r="G130" i="137"/>
  <c r="F119" i="142"/>
  <c r="F119" i="137"/>
  <c r="G129" i="142"/>
  <c r="G129" i="137"/>
  <c r="D118" i="142"/>
  <c r="D118" i="137"/>
  <c r="D129" i="142"/>
  <c r="D129" i="137"/>
  <c r="F125" i="142"/>
  <c r="F125" i="137"/>
  <c r="E129" i="142"/>
  <c r="E129" i="137"/>
  <c r="G119" i="142"/>
  <c r="G119" i="137"/>
  <c r="E130" i="142"/>
  <c r="E130" i="137"/>
  <c r="D106" i="142"/>
  <c r="D106" i="137"/>
  <c r="G107" i="142"/>
  <c r="E107" i="142"/>
  <c r="F107" i="142"/>
  <c r="N51" i="145"/>
  <c r="K63" i="99"/>
  <c r="I91" i="84"/>
  <c r="Y65" i="99"/>
  <c r="Q64" i="99"/>
  <c r="Q54" i="145"/>
  <c r="G51" i="136"/>
  <c r="H51" i="145"/>
  <c r="Z64" i="99"/>
  <c r="Z63" i="99"/>
  <c r="N63" i="99"/>
  <c r="Z65" i="99"/>
  <c r="N62" i="99"/>
  <c r="F25" i="84"/>
  <c r="F25" i="100" s="1"/>
  <c r="AF25" i="174" s="1"/>
  <c r="AE25" i="174" s="1"/>
  <c r="AB25" i="174" s="1"/>
  <c r="F24" i="84"/>
  <c r="F24" i="100" s="1"/>
  <c r="U21" i="114"/>
  <c r="U28" i="114"/>
  <c r="T37" i="55"/>
  <c r="G36" i="112" s="1"/>
  <c r="O97" i="54"/>
  <c r="O96" i="54" s="1"/>
  <c r="O95" i="54" s="1"/>
  <c r="P98" i="54"/>
  <c r="E117" i="167" l="1"/>
  <c r="M197" i="99"/>
  <c r="K197" i="99" s="1"/>
  <c r="D118" i="167"/>
  <c r="J198" i="99"/>
  <c r="K201" i="99"/>
  <c r="G120" i="167"/>
  <c r="S200" i="99"/>
  <c r="Q200" i="99" s="1"/>
  <c r="G119" i="167"/>
  <c r="S199" i="99"/>
  <c r="Q199" i="99" s="1"/>
  <c r="E118" i="167"/>
  <c r="M198" i="99"/>
  <c r="K198" i="99" s="1"/>
  <c r="D46" i="146"/>
  <c r="G123" i="167"/>
  <c r="S203" i="99"/>
  <c r="Q203" i="99" s="1"/>
  <c r="P201" i="99"/>
  <c r="G171" i="99"/>
  <c r="E123" i="167"/>
  <c r="M203" i="99"/>
  <c r="D120" i="167"/>
  <c r="J200" i="99"/>
  <c r="F119" i="167"/>
  <c r="P199" i="99"/>
  <c r="N199" i="99" s="1"/>
  <c r="F123" i="167"/>
  <c r="P203" i="99"/>
  <c r="E174" i="99"/>
  <c r="O12" i="109" s="1"/>
  <c r="Q12" i="109" s="1"/>
  <c r="H12" i="135"/>
  <c r="E120" i="167"/>
  <c r="M200" i="99"/>
  <c r="K200" i="99" s="1"/>
  <c r="D119" i="167"/>
  <c r="J199" i="99"/>
  <c r="F118" i="167"/>
  <c r="P198" i="99"/>
  <c r="N198" i="99" s="1"/>
  <c r="D123" i="167"/>
  <c r="J203" i="99"/>
  <c r="H203" i="99" s="1"/>
  <c r="S201" i="99"/>
  <c r="Q201" i="99" s="1"/>
  <c r="D116" i="168"/>
  <c r="G116" i="168"/>
  <c r="E116" i="168"/>
  <c r="N196" i="105"/>
  <c r="H196" i="105"/>
  <c r="G196" i="105"/>
  <c r="AF24" i="174"/>
  <c r="H33" i="135"/>
  <c r="H83" i="166"/>
  <c r="H82" i="165"/>
  <c r="H103" i="165"/>
  <c r="H84" i="165"/>
  <c r="H80" i="166"/>
  <c r="H82" i="166"/>
  <c r="H84" i="166"/>
  <c r="H103" i="166"/>
  <c r="G109" i="140"/>
  <c r="G107" i="167"/>
  <c r="E121" i="140"/>
  <c r="E119" i="167"/>
  <c r="D109" i="140"/>
  <c r="D107" i="167"/>
  <c r="G118" i="167"/>
  <c r="F120" i="167"/>
  <c r="H81" i="165"/>
  <c r="H83" i="165"/>
  <c r="H81" i="166"/>
  <c r="H80" i="165"/>
  <c r="H14" i="135"/>
  <c r="E121" i="136"/>
  <c r="K54" i="115"/>
  <c r="S133" i="99"/>
  <c r="K145" i="99"/>
  <c r="B50" i="146"/>
  <c r="AB73" i="99"/>
  <c r="E61" i="145"/>
  <c r="G122" i="136"/>
  <c r="G122" i="140"/>
  <c r="G108" i="136"/>
  <c r="G108" i="140"/>
  <c r="G105" i="136"/>
  <c r="G105" i="140"/>
  <c r="H145" i="99"/>
  <c r="J146" i="99"/>
  <c r="J197" i="99" s="1"/>
  <c r="F121" i="136"/>
  <c r="F121" i="140"/>
  <c r="D45" i="146"/>
  <c r="F45" i="146" s="1"/>
  <c r="M45" i="146" s="1"/>
  <c r="G123" i="136"/>
  <c r="G123" i="140"/>
  <c r="E120" i="136"/>
  <c r="E120" i="140"/>
  <c r="AA67" i="105"/>
  <c r="U67" i="105"/>
  <c r="P134" i="99"/>
  <c r="F105" i="167" s="1"/>
  <c r="N133" i="99"/>
  <c r="G125" i="136"/>
  <c r="G125" i="140"/>
  <c r="F122" i="136"/>
  <c r="F122" i="140"/>
  <c r="E108" i="136"/>
  <c r="E108" i="140"/>
  <c r="F109" i="136"/>
  <c r="F109" i="140"/>
  <c r="E105" i="136"/>
  <c r="E105" i="140"/>
  <c r="P146" i="99"/>
  <c r="P197" i="99" s="1"/>
  <c r="N197" i="99" s="1"/>
  <c r="N145" i="99"/>
  <c r="G121" i="136"/>
  <c r="G121" i="140"/>
  <c r="E123" i="136"/>
  <c r="E123" i="140"/>
  <c r="D120" i="136"/>
  <c r="D120" i="140"/>
  <c r="D33" i="146"/>
  <c r="G133" i="99"/>
  <c r="G107" i="136"/>
  <c r="G107" i="140"/>
  <c r="E125" i="136"/>
  <c r="E125" i="140"/>
  <c r="E122" i="136"/>
  <c r="E122" i="140"/>
  <c r="D108" i="136"/>
  <c r="D108" i="140"/>
  <c r="D105" i="136"/>
  <c r="D105" i="140"/>
  <c r="G145" i="99"/>
  <c r="S146" i="99"/>
  <c r="S197" i="99" s="1"/>
  <c r="Q197" i="99" s="1"/>
  <c r="Q145" i="99"/>
  <c r="D123" i="136"/>
  <c r="D123" i="140"/>
  <c r="F120" i="136"/>
  <c r="F120" i="140"/>
  <c r="M134" i="99"/>
  <c r="E105" i="167" s="1"/>
  <c r="K133" i="99"/>
  <c r="D125" i="136"/>
  <c r="D125" i="140"/>
  <c r="D122" i="136"/>
  <c r="D122" i="140"/>
  <c r="F108" i="136"/>
  <c r="F108" i="140"/>
  <c r="E109" i="136"/>
  <c r="E109" i="140"/>
  <c r="F105" i="136"/>
  <c r="F105" i="140"/>
  <c r="E119" i="136"/>
  <c r="E119" i="140"/>
  <c r="M145" i="99"/>
  <c r="E116" i="167" s="1"/>
  <c r="D121" i="136"/>
  <c r="D121" i="140"/>
  <c r="F123" i="136"/>
  <c r="F123" i="140"/>
  <c r="G120" i="136"/>
  <c r="G120" i="140"/>
  <c r="J134" i="99"/>
  <c r="D105" i="167" s="1"/>
  <c r="H133" i="99"/>
  <c r="F125" i="136"/>
  <c r="F125" i="140"/>
  <c r="Q133" i="99"/>
  <c r="D109" i="136"/>
  <c r="H13" i="135"/>
  <c r="H15" i="135"/>
  <c r="G25" i="100"/>
  <c r="J25" i="100"/>
  <c r="H25" i="100"/>
  <c r="I25" i="100"/>
  <c r="N64" i="100"/>
  <c r="Q62" i="99"/>
  <c r="M36" i="112" s="1"/>
  <c r="R36" i="112" s="1"/>
  <c r="Q63" i="99"/>
  <c r="M37" i="112" s="1"/>
  <c r="R37" i="112" s="1"/>
  <c r="N70" i="100"/>
  <c r="Y62" i="99"/>
  <c r="N67" i="100"/>
  <c r="Y63" i="99"/>
  <c r="Z62" i="99"/>
  <c r="E36" i="136"/>
  <c r="G118" i="142"/>
  <c r="G118" i="137"/>
  <c r="G51" i="140"/>
  <c r="F118" i="142"/>
  <c r="F118" i="137"/>
  <c r="F51" i="140"/>
  <c r="E118" i="142"/>
  <c r="E118" i="137"/>
  <c r="G51" i="142"/>
  <c r="G51" i="137"/>
  <c r="E36" i="140"/>
  <c r="E106" i="142"/>
  <c r="E106" i="137"/>
  <c r="F106" i="142"/>
  <c r="F106" i="137"/>
  <c r="G106" i="142"/>
  <c r="G106" i="137"/>
  <c r="Y67" i="99"/>
  <c r="Z66" i="99"/>
  <c r="Y67" i="105"/>
  <c r="Q66" i="99"/>
  <c r="M40" i="112" s="1"/>
  <c r="R40" i="112" s="1"/>
  <c r="E51" i="140"/>
  <c r="Q55" i="145"/>
  <c r="X65" i="99"/>
  <c r="K53" i="145"/>
  <c r="K64" i="99"/>
  <c r="K52" i="145"/>
  <c r="N64" i="99"/>
  <c r="L38" i="112" s="1"/>
  <c r="Q38" i="112" s="1"/>
  <c r="N52" i="145"/>
  <c r="K54" i="145"/>
  <c r="N55" i="145"/>
  <c r="N77" i="100"/>
  <c r="K67" i="99"/>
  <c r="K41" i="112" s="1"/>
  <c r="K55" i="145"/>
  <c r="X62" i="99"/>
  <c r="K50" i="145"/>
  <c r="Y66" i="99"/>
  <c r="N54" i="145"/>
  <c r="K51" i="145"/>
  <c r="K47" i="99"/>
  <c r="K21" i="112" s="1"/>
  <c r="K35" i="145"/>
  <c r="N53" i="145"/>
  <c r="N21" i="100"/>
  <c r="N27" i="100"/>
  <c r="X63" i="99"/>
  <c r="X47" i="99"/>
  <c r="N18" i="100"/>
  <c r="N20" i="100"/>
  <c r="M38" i="112"/>
  <c r="R38" i="112" s="1"/>
  <c r="N54" i="100"/>
  <c r="N35" i="100"/>
  <c r="N60" i="100"/>
  <c r="N41" i="100"/>
  <c r="K62" i="99"/>
  <c r="N66" i="99"/>
  <c r="L40" i="112" s="1"/>
  <c r="K66" i="99"/>
  <c r="X67" i="99"/>
  <c r="X66" i="99"/>
  <c r="E51" i="136"/>
  <c r="N51" i="100"/>
  <c r="N57" i="100"/>
  <c r="N34" i="100"/>
  <c r="N58" i="100"/>
  <c r="N71" i="100"/>
  <c r="N55" i="100"/>
  <c r="N39" i="100"/>
  <c r="N22" i="100"/>
  <c r="N72" i="100"/>
  <c r="N40" i="100"/>
  <c r="N76" i="100"/>
  <c r="N36" i="100"/>
  <c r="N81" i="100"/>
  <c r="N61" i="100"/>
  <c r="N45" i="100"/>
  <c r="N28" i="100"/>
  <c r="N78" i="100"/>
  <c r="N42" i="100"/>
  <c r="X64" i="105"/>
  <c r="Z67" i="99"/>
  <c r="N66" i="100"/>
  <c r="N38" i="100"/>
  <c r="N75" i="100"/>
  <c r="N59" i="100"/>
  <c r="N43" i="100"/>
  <c r="N26" i="100"/>
  <c r="N80" i="100"/>
  <c r="N48" i="100"/>
  <c r="H53" i="145"/>
  <c r="N44" i="100"/>
  <c r="N65" i="100"/>
  <c r="N49" i="100"/>
  <c r="N33" i="100"/>
  <c r="N50" i="100"/>
  <c r="Y64" i="99"/>
  <c r="X64" i="99"/>
  <c r="Q67" i="99"/>
  <c r="N74" i="100"/>
  <c r="N46" i="100"/>
  <c r="N79" i="100"/>
  <c r="N63" i="100"/>
  <c r="N47" i="100"/>
  <c r="N30" i="100"/>
  <c r="N56" i="100"/>
  <c r="N23" i="100"/>
  <c r="N52" i="100"/>
  <c r="N19" i="100"/>
  <c r="N73" i="100"/>
  <c r="N53" i="100"/>
  <c r="N37" i="100"/>
  <c r="N62" i="100"/>
  <c r="J91" i="84"/>
  <c r="H91" i="84"/>
  <c r="M25" i="100"/>
  <c r="O25" i="100" s="1"/>
  <c r="M24" i="100"/>
  <c r="Y65" i="105"/>
  <c r="Z65" i="105"/>
  <c r="L37" i="112"/>
  <c r="Q37" i="112" s="1"/>
  <c r="Z63" i="105"/>
  <c r="Z66" i="105"/>
  <c r="L36" i="112"/>
  <c r="Q36" i="112" s="1"/>
  <c r="W64" i="99"/>
  <c r="N32" i="100"/>
  <c r="Z64" i="105"/>
  <c r="Z67" i="105"/>
  <c r="H63" i="99"/>
  <c r="R30" i="188" s="1"/>
  <c r="W63" i="99"/>
  <c r="K37" i="112"/>
  <c r="Y63" i="105"/>
  <c r="Z62" i="105"/>
  <c r="X66" i="105"/>
  <c r="L41" i="112"/>
  <c r="L50" i="145"/>
  <c r="Y62" i="105"/>
  <c r="Q98" i="54"/>
  <c r="P97" i="54"/>
  <c r="P96" i="54" s="1"/>
  <c r="P95" i="54" s="1"/>
  <c r="G200" i="99" l="1"/>
  <c r="H200" i="99"/>
  <c r="E200" i="99" s="1"/>
  <c r="O38" i="109" s="1"/>
  <c r="Q38" i="109" s="1"/>
  <c r="H198" i="99"/>
  <c r="E198" i="99" s="1"/>
  <c r="O36" i="109" s="1"/>
  <c r="Q36" i="109" s="1"/>
  <c r="G198" i="99"/>
  <c r="G199" i="99"/>
  <c r="H199" i="99"/>
  <c r="E199" i="99" s="1"/>
  <c r="O37" i="109" s="1"/>
  <c r="Q37" i="109" s="1"/>
  <c r="G197" i="99"/>
  <c r="H197" i="99"/>
  <c r="E197" i="99" s="1"/>
  <c r="O35" i="109" s="1"/>
  <c r="Q35" i="109" s="1"/>
  <c r="N201" i="99"/>
  <c r="E196" i="105"/>
  <c r="P34" i="109" s="1"/>
  <c r="U30" i="188"/>
  <c r="T30" i="188"/>
  <c r="K40" i="112"/>
  <c r="O50" i="145"/>
  <c r="G106" i="136"/>
  <c r="G104" i="167"/>
  <c r="G117" i="167"/>
  <c r="F117" i="167"/>
  <c r="D117" i="167"/>
  <c r="Q65" i="99"/>
  <c r="M39" i="112" s="1"/>
  <c r="R39" i="112" s="1"/>
  <c r="G106" i="140"/>
  <c r="E118" i="136"/>
  <c r="E118" i="140"/>
  <c r="D107" i="136"/>
  <c r="J133" i="99"/>
  <c r="D104" i="167" s="1"/>
  <c r="D107" i="140"/>
  <c r="E107" i="136"/>
  <c r="E107" i="140"/>
  <c r="M133" i="99"/>
  <c r="E104" i="167" s="1"/>
  <c r="G119" i="136"/>
  <c r="S145" i="99"/>
  <c r="G116" i="167" s="1"/>
  <c r="G119" i="140"/>
  <c r="F119" i="136"/>
  <c r="P145" i="99"/>
  <c r="F116" i="167" s="1"/>
  <c r="F119" i="140"/>
  <c r="F107" i="136"/>
  <c r="F107" i="140"/>
  <c r="P133" i="99"/>
  <c r="F104" i="167" s="1"/>
  <c r="J145" i="99"/>
  <c r="D116" i="167" s="1"/>
  <c r="D119" i="136"/>
  <c r="D119" i="140"/>
  <c r="W65" i="99"/>
  <c r="X63" i="105"/>
  <c r="X47" i="105"/>
  <c r="I24" i="100"/>
  <c r="H24" i="100"/>
  <c r="J24" i="100"/>
  <c r="G24" i="100"/>
  <c r="N65" i="99"/>
  <c r="Y66" i="105"/>
  <c r="X67" i="105"/>
  <c r="K38" i="112"/>
  <c r="E36" i="142"/>
  <c r="E36" i="137"/>
  <c r="F51" i="136"/>
  <c r="K36" i="112"/>
  <c r="M41" i="112"/>
  <c r="E51" i="142"/>
  <c r="E51" i="137"/>
  <c r="F51" i="142"/>
  <c r="F51" i="137"/>
  <c r="N29" i="100"/>
  <c r="K65" i="99"/>
  <c r="K39" i="112" s="1"/>
  <c r="H50" i="145"/>
  <c r="X65" i="105"/>
  <c r="N17" i="100"/>
  <c r="H54" i="145"/>
  <c r="H52" i="145"/>
  <c r="W62" i="99"/>
  <c r="I50" i="145"/>
  <c r="G91" i="84"/>
  <c r="X62" i="105"/>
  <c r="H62" i="99"/>
  <c r="H66" i="99"/>
  <c r="H64" i="99"/>
  <c r="W66" i="99"/>
  <c r="Y64" i="105"/>
  <c r="I51" i="145"/>
  <c r="L52" i="145"/>
  <c r="L51" i="145"/>
  <c r="O51" i="145"/>
  <c r="O52" i="145"/>
  <c r="AD63" i="99"/>
  <c r="AF63" i="99" s="1"/>
  <c r="O24" i="100"/>
  <c r="L39" i="112"/>
  <c r="Q39" i="112" s="1"/>
  <c r="W66" i="105"/>
  <c r="W65" i="105"/>
  <c r="AD63" i="105"/>
  <c r="AF63" i="105" s="1"/>
  <c r="W63" i="105"/>
  <c r="J37" i="112"/>
  <c r="O37" i="112" s="1"/>
  <c r="AC63" i="99"/>
  <c r="AE63" i="99" s="1"/>
  <c r="N25" i="100"/>
  <c r="D11" i="84"/>
  <c r="D11" i="100" s="1"/>
  <c r="Q97" i="54"/>
  <c r="Q96" i="54" s="1"/>
  <c r="Q95" i="54" s="1"/>
  <c r="R98" i="54"/>
  <c r="AC62" i="99" l="1"/>
  <c r="AE62" i="99" s="1"/>
  <c r="R29" i="188"/>
  <c r="R33" i="188"/>
  <c r="U33" i="188" s="1"/>
  <c r="J38" i="112"/>
  <c r="O38" i="112" s="1"/>
  <c r="R31" i="188"/>
  <c r="AD66" i="105"/>
  <c r="AF66" i="105" s="1"/>
  <c r="W64" i="105"/>
  <c r="E106" i="136"/>
  <c r="E106" i="140"/>
  <c r="F106" i="140"/>
  <c r="F106" i="136"/>
  <c r="F118" i="136"/>
  <c r="F118" i="140"/>
  <c r="D118" i="136"/>
  <c r="D118" i="140"/>
  <c r="G118" i="136"/>
  <c r="G118" i="140"/>
  <c r="D106" i="136"/>
  <c r="D106" i="140"/>
  <c r="I35" i="145"/>
  <c r="AC62" i="105"/>
  <c r="AE62" i="105" s="1"/>
  <c r="W62" i="105"/>
  <c r="AC64" i="99"/>
  <c r="AE64" i="99" s="1"/>
  <c r="AD64" i="99"/>
  <c r="AF64" i="99" s="1"/>
  <c r="AD66" i="99"/>
  <c r="AF66" i="99" s="1"/>
  <c r="AD64" i="105"/>
  <c r="AF64" i="105" s="1"/>
  <c r="H65" i="99"/>
  <c r="J40" i="112"/>
  <c r="J36" i="112"/>
  <c r="AC66" i="99"/>
  <c r="AE66" i="99" s="1"/>
  <c r="I52" i="145"/>
  <c r="AD62" i="99"/>
  <c r="AF62" i="99" s="1"/>
  <c r="AC63" i="105"/>
  <c r="AE63" i="105" s="1"/>
  <c r="AC66" i="105"/>
  <c r="AE66" i="105" s="1"/>
  <c r="AC64" i="105"/>
  <c r="AE64" i="105" s="1"/>
  <c r="N24" i="100"/>
  <c r="D104" i="100"/>
  <c r="F23" i="55"/>
  <c r="D10" i="84"/>
  <c r="N9" i="103"/>
  <c r="S98" i="54"/>
  <c r="S97" i="54" s="1"/>
  <c r="S96" i="54" s="1"/>
  <c r="S95" i="54" s="1"/>
  <c r="R97" i="54"/>
  <c r="R96" i="54" s="1"/>
  <c r="R95" i="54" s="1"/>
  <c r="S24" i="54"/>
  <c r="M24" i="54"/>
  <c r="J11" i="21" s="1"/>
  <c r="J28" i="21" s="1"/>
  <c r="L24" i="54"/>
  <c r="I11" i="21" s="1"/>
  <c r="I28" i="21" s="1"/>
  <c r="I24" i="54"/>
  <c r="F11" i="21" s="1"/>
  <c r="F28" i="21" s="1"/>
  <c r="J24" i="54"/>
  <c r="G11" i="21" s="1"/>
  <c r="G28" i="21" s="1"/>
  <c r="H24" i="54"/>
  <c r="Q24" i="54"/>
  <c r="R24" i="54"/>
  <c r="P24" i="54"/>
  <c r="O24" i="54"/>
  <c r="J39" i="112" l="1"/>
  <c r="O39" i="112" s="1"/>
  <c r="R32" i="188"/>
  <c r="U31" i="188"/>
  <c r="T31" i="188"/>
  <c r="U29" i="188"/>
  <c r="D10" i="100"/>
  <c r="D95" i="100" s="1"/>
  <c r="J69" i="21"/>
  <c r="J31" i="21"/>
  <c r="I69" i="21"/>
  <c r="I31" i="21"/>
  <c r="F69" i="21"/>
  <c r="F31" i="21"/>
  <c r="G69" i="21"/>
  <c r="G31" i="21"/>
  <c r="AD62" i="105"/>
  <c r="AF62" i="105" s="1"/>
  <c r="AC65" i="99"/>
  <c r="AE65" i="99" s="1"/>
  <c r="AD65" i="99"/>
  <c r="AF65" i="99" s="1"/>
  <c r="AC65" i="105"/>
  <c r="AE65" i="105" s="1"/>
  <c r="D105" i="100"/>
  <c r="C24" i="110"/>
  <c r="R19" i="54"/>
  <c r="Q19" i="54"/>
  <c r="P14" i="54"/>
  <c r="O14" i="54"/>
  <c r="S14" i="54"/>
  <c r="N23" i="55"/>
  <c r="N13" i="55" s="1"/>
  <c r="N12" i="55" s="1"/>
  <c r="N43" i="55" s="1"/>
  <c r="F13" i="55"/>
  <c r="F12" i="55" s="1"/>
  <c r="F43" i="55" s="1"/>
  <c r="V23" i="55"/>
  <c r="V13" i="55" s="1"/>
  <c r="V12" i="55" s="1"/>
  <c r="V43" i="55" s="1"/>
  <c r="J23" i="55"/>
  <c r="J13" i="55" s="1"/>
  <c r="J12" i="55" s="1"/>
  <c r="J43" i="55" s="1"/>
  <c r="R23" i="55"/>
  <c r="R13" i="55" s="1"/>
  <c r="R12" i="55" s="1"/>
  <c r="R43" i="55" s="1"/>
  <c r="D4" i="115"/>
  <c r="M14" i="54"/>
  <c r="I14" i="54"/>
  <c r="L14" i="54"/>
  <c r="J19" i="54"/>
  <c r="Q14" i="54"/>
  <c r="O19" i="54"/>
  <c r="L11" i="21"/>
  <c r="L28" i="21" s="1"/>
  <c r="L69" i="21" s="1"/>
  <c r="P11" i="21"/>
  <c r="P28" i="21" s="1"/>
  <c r="P69" i="21" s="1"/>
  <c r="O11" i="21"/>
  <c r="O28" i="21" s="1"/>
  <c r="O69" i="21" s="1"/>
  <c r="N11" i="21"/>
  <c r="N28" i="21" s="1"/>
  <c r="N69" i="21" s="1"/>
  <c r="M11" i="21"/>
  <c r="M28" i="21" s="1"/>
  <c r="M69" i="21" s="1"/>
  <c r="E11" i="21"/>
  <c r="U32" i="188" l="1"/>
  <c r="T32" i="188"/>
  <c r="E4" i="115"/>
  <c r="E12" i="21"/>
  <c r="E28" i="21"/>
  <c r="AD65" i="105"/>
  <c r="AF65" i="105" s="1"/>
  <c r="D106" i="100"/>
  <c r="P19" i="54"/>
  <c r="S19" i="54"/>
  <c r="C15" i="110"/>
  <c r="R14" i="54"/>
  <c r="J59" i="55"/>
  <c r="J51" i="55"/>
  <c r="R51" i="55"/>
  <c r="R54" i="55" s="1"/>
  <c r="R59" i="55"/>
  <c r="N59" i="55"/>
  <c r="N51" i="55"/>
  <c r="N54" i="55" s="1"/>
  <c r="F59" i="55"/>
  <c r="F51" i="55"/>
  <c r="F54" i="55" s="1"/>
  <c r="V51" i="55"/>
  <c r="V54" i="55" s="1"/>
  <c r="V59" i="55"/>
  <c r="L19" i="54"/>
  <c r="I19" i="54"/>
  <c r="M19" i="54"/>
  <c r="J14" i="54"/>
  <c r="I12" i="21"/>
  <c r="I70" i="21"/>
  <c r="J12" i="21"/>
  <c r="J70" i="21"/>
  <c r="F12" i="21"/>
  <c r="F70" i="21"/>
  <c r="G12" i="21"/>
  <c r="G70" i="21"/>
  <c r="E69" i="21" l="1"/>
  <c r="E70" i="21" s="1"/>
  <c r="E31" i="21"/>
  <c r="G54" i="140"/>
  <c r="D54" i="140"/>
  <c r="H69" i="99"/>
  <c r="R36" i="188" s="1"/>
  <c r="Q69" i="99"/>
  <c r="Q57" i="145"/>
  <c r="H43" i="112"/>
  <c r="E43" i="112"/>
  <c r="F74" i="55"/>
  <c r="F52" i="55"/>
  <c r="F53" i="55"/>
  <c r="J74" i="55"/>
  <c r="J52" i="55"/>
  <c r="J53" i="55"/>
  <c r="J54" i="55"/>
  <c r="V52" i="55"/>
  <c r="V53" i="55"/>
  <c r="N53" i="55"/>
  <c r="N52" i="55"/>
  <c r="R52" i="55"/>
  <c r="R53" i="55"/>
  <c r="U36" i="188" l="1"/>
  <c r="T36" i="188"/>
  <c r="M90" i="85"/>
  <c r="N90" i="85" l="1"/>
  <c r="M89" i="85"/>
  <c r="J64" i="22" l="1"/>
  <c r="O90" i="85"/>
  <c r="N89" i="85"/>
  <c r="D48" i="61"/>
  <c r="D47" i="61" s="1"/>
  <c r="D48" i="92"/>
  <c r="D47" i="92" s="1"/>
  <c r="J8" i="108" l="1"/>
  <c r="I8" i="108"/>
  <c r="P90" i="85"/>
  <c r="O89" i="85"/>
  <c r="U58" i="55"/>
  <c r="M58" i="55"/>
  <c r="Q58" i="55"/>
  <c r="Q90" i="85" l="1"/>
  <c r="P89" i="85"/>
  <c r="E58" i="55"/>
  <c r="R90" i="85" l="1"/>
  <c r="Q89" i="85"/>
  <c r="S90" i="85" l="1"/>
  <c r="R89" i="85"/>
  <c r="T90" i="85" l="1"/>
  <c r="S89" i="85"/>
  <c r="L37" i="55"/>
  <c r="Q29" i="188" l="1"/>
  <c r="T29" i="188" s="1"/>
  <c r="E36" i="112"/>
  <c r="O36" i="112" s="1"/>
  <c r="U90" i="85"/>
  <c r="T89" i="85"/>
  <c r="L98" i="99"/>
  <c r="L188" i="99" s="1"/>
  <c r="O98" i="99"/>
  <c r="O188" i="99" s="1"/>
  <c r="I98" i="99"/>
  <c r="I188" i="99" s="1"/>
  <c r="R98" i="99"/>
  <c r="R188" i="99" s="1"/>
  <c r="U110" i="99"/>
  <c r="U109" i="99"/>
  <c r="U108" i="99"/>
  <c r="P106" i="99"/>
  <c r="P196" i="99" s="1"/>
  <c r="O106" i="99"/>
  <c r="O196" i="99" s="1"/>
  <c r="I106" i="99"/>
  <c r="I196" i="99" s="1"/>
  <c r="N106" i="99"/>
  <c r="L106" i="99"/>
  <c r="L196" i="99" s="1"/>
  <c r="G106" i="99"/>
  <c r="M106" i="99" s="1"/>
  <c r="M196" i="99" s="1"/>
  <c r="H106" i="99"/>
  <c r="Q106" i="99"/>
  <c r="K106" i="99"/>
  <c r="R106" i="99"/>
  <c r="R196" i="99" s="1"/>
  <c r="J106" i="99"/>
  <c r="J196" i="99" s="1"/>
  <c r="S106" i="99"/>
  <c r="S196" i="99" s="1"/>
  <c r="E106" i="99"/>
  <c r="U107" i="99"/>
  <c r="F188" i="99" l="1"/>
  <c r="C94" i="145"/>
  <c r="I24" i="188"/>
  <c r="J24" i="188" s="1"/>
  <c r="K196" i="99"/>
  <c r="H196" i="99"/>
  <c r="G196" i="99"/>
  <c r="F196" i="99"/>
  <c r="Q196" i="99"/>
  <c r="N196" i="99"/>
  <c r="D87" i="136"/>
  <c r="D85" i="167"/>
  <c r="E87" i="136"/>
  <c r="E85" i="167"/>
  <c r="F87" i="136"/>
  <c r="F85" i="167"/>
  <c r="G87" i="136"/>
  <c r="G85" i="167"/>
  <c r="D87" i="140"/>
  <c r="E87" i="140"/>
  <c r="G87" i="140"/>
  <c r="F87" i="140"/>
  <c r="V90" i="85"/>
  <c r="U89" i="85"/>
  <c r="V106" i="99"/>
  <c r="AA106" i="99"/>
  <c r="F114" i="99"/>
  <c r="F204" i="99" s="1"/>
  <c r="U106" i="99"/>
  <c r="E196" i="99" l="1"/>
  <c r="O34" i="109" s="1"/>
  <c r="Q34" i="109" s="1"/>
  <c r="W90" i="85"/>
  <c r="V89" i="85"/>
  <c r="I114" i="99"/>
  <c r="I204" i="99" s="1"/>
  <c r="O114" i="99"/>
  <c r="O204" i="99" s="1"/>
  <c r="R114" i="99"/>
  <c r="R204" i="99" s="1"/>
  <c r="U117" i="99"/>
  <c r="U118" i="99"/>
  <c r="C50" i="146"/>
  <c r="F50" i="146" s="1"/>
  <c r="M50" i="146" s="1"/>
  <c r="W89" i="85" l="1"/>
  <c r="E99" i="136"/>
  <c r="E98" i="136"/>
  <c r="F99" i="140" l="1"/>
  <c r="F99" i="136"/>
  <c r="G99" i="140"/>
  <c r="G99" i="136"/>
  <c r="G98" i="140"/>
  <c r="G98" i="136"/>
  <c r="D99" i="140"/>
  <c r="D99" i="136"/>
  <c r="D98" i="140"/>
  <c r="D98" i="136"/>
  <c r="F98" i="140"/>
  <c r="F98" i="136"/>
  <c r="M14" i="114"/>
  <c r="E98" i="140"/>
  <c r="M15" i="114"/>
  <c r="E99" i="140"/>
  <c r="N14" i="114"/>
  <c r="L14" i="114"/>
  <c r="L15" i="114"/>
  <c r="O15" i="114" l="1"/>
  <c r="N15" i="114"/>
  <c r="O14" i="114"/>
  <c r="K14" i="114" s="1"/>
  <c r="V118" i="99"/>
  <c r="V117" i="99"/>
  <c r="AA117" i="99"/>
  <c r="AA118" i="99"/>
  <c r="K15" i="114" l="1"/>
  <c r="K29" i="114" s="1"/>
  <c r="J14" i="114"/>
  <c r="K28" i="114"/>
  <c r="J15" i="114" l="1"/>
  <c r="J29" i="114" s="1"/>
  <c r="J28" i="114"/>
  <c r="F11" i="69" l="1"/>
  <c r="F56" i="69" s="1"/>
  <c r="H13" i="69"/>
  <c r="H11" i="69" s="1"/>
  <c r="N6" i="179" l="1"/>
  <c r="L6" i="179" s="1"/>
  <c r="AF32" i="174"/>
  <c r="AE32" i="174" s="1"/>
  <c r="AB32" i="174" s="1"/>
  <c r="AA32" i="174" s="1"/>
  <c r="H56" i="69"/>
  <c r="C18" i="157"/>
  <c r="B18" i="157" s="1"/>
  <c r="F31" i="84"/>
  <c r="N29" i="179" l="1"/>
  <c r="L29" i="179" s="1"/>
  <c r="J56" i="69"/>
  <c r="BM32" i="174"/>
  <c r="F31" i="100"/>
  <c r="C20" i="166"/>
  <c r="C20" i="165"/>
  <c r="I18" i="157"/>
  <c r="H69" i="100"/>
  <c r="G69" i="100"/>
  <c r="J69" i="100"/>
  <c r="I69" i="100"/>
  <c r="G68" i="100"/>
  <c r="J68" i="100"/>
  <c r="I68" i="100"/>
  <c r="H68" i="100"/>
  <c r="C19" i="132"/>
  <c r="C61" i="150" s="1"/>
  <c r="O68" i="100"/>
  <c r="O69" i="100"/>
  <c r="M31" i="100"/>
  <c r="I31" i="100" l="1"/>
  <c r="S17" i="166"/>
  <c r="C17" i="166"/>
  <c r="C17" i="165"/>
  <c r="S17" i="165"/>
  <c r="J31" i="100"/>
  <c r="H31" i="100"/>
  <c r="G31" i="100"/>
  <c r="F20" i="109"/>
  <c r="F17" i="109" s="1"/>
  <c r="O31" i="100"/>
  <c r="C16" i="132"/>
  <c r="C58" i="150" s="1"/>
  <c r="N69" i="100"/>
  <c r="N68" i="100"/>
  <c r="N31" i="100" l="1"/>
  <c r="L14" i="49" l="1"/>
  <c r="C5" i="113"/>
  <c r="K74" i="55"/>
  <c r="D24" i="127" l="1"/>
  <c r="C34" i="146" l="1"/>
  <c r="C24" i="127"/>
  <c r="F34" i="146" l="1"/>
  <c r="M34" i="146" s="1"/>
  <c r="F24" i="127"/>
  <c r="H24" i="127" s="1"/>
  <c r="AC97" i="99"/>
  <c r="AC94" i="99"/>
  <c r="G24" i="127"/>
  <c r="I24" i="127" s="1"/>
  <c r="AC94" i="105"/>
  <c r="AC97" i="105"/>
  <c r="V57" i="78" l="1"/>
  <c r="U57" i="78"/>
  <c r="D48" i="112" l="1"/>
  <c r="U74" i="99" l="1"/>
  <c r="B13" i="111"/>
  <c r="B14" i="111" s="1"/>
  <c r="AA74" i="99"/>
  <c r="I48" i="112"/>
  <c r="N48" i="112" s="1"/>
  <c r="AB74" i="99" l="1"/>
  <c r="D49" i="108" l="1"/>
  <c r="E49" i="108"/>
  <c r="D48" i="108"/>
  <c r="E41" i="108"/>
  <c r="D41" i="108"/>
  <c r="E47" i="108" l="1"/>
  <c r="D47" i="108"/>
  <c r="Z69" i="99" l="1"/>
  <c r="H57" i="145"/>
  <c r="W69" i="99"/>
  <c r="AD69" i="99"/>
  <c r="J43" i="112"/>
  <c r="O43" i="112" s="1"/>
  <c r="M43" i="112"/>
  <c r="R43" i="112" s="1"/>
  <c r="AC69" i="99"/>
  <c r="G54" i="136"/>
  <c r="D54" i="136"/>
  <c r="G54" i="142" l="1"/>
  <c r="G54" i="137"/>
  <c r="D54" i="142"/>
  <c r="D54" i="137"/>
  <c r="W69" i="105"/>
  <c r="Z69" i="105"/>
  <c r="AD69" i="105"/>
  <c r="AC69" i="105" l="1"/>
  <c r="Q8" i="149" l="1"/>
  <c r="Q12" i="149" s="1"/>
  <c r="S12" i="149" s="1"/>
  <c r="Q40" i="149" l="1"/>
  <c r="Q46" i="149" s="1"/>
  <c r="S46" i="149" s="1"/>
  <c r="Q11" i="149"/>
  <c r="S11" i="149" s="1"/>
  <c r="Q24" i="149"/>
  <c r="Q13" i="149"/>
  <c r="S13" i="149" s="1"/>
  <c r="Q14" i="149"/>
  <c r="S14" i="149" s="1"/>
  <c r="Q9" i="149"/>
  <c r="Q10" i="149"/>
  <c r="S10" i="149" s="1"/>
  <c r="Q45" i="149" l="1"/>
  <c r="S45" i="149" s="1"/>
  <c r="Q41" i="149"/>
  <c r="S41" i="149" s="1"/>
  <c r="Q43" i="149"/>
  <c r="S43" i="149" s="1"/>
  <c r="Q44" i="149"/>
  <c r="S44" i="149" s="1"/>
  <c r="Q42" i="149"/>
  <c r="S42" i="149" s="1"/>
  <c r="Q27" i="149"/>
  <c r="S27" i="149" s="1"/>
  <c r="Q25" i="149"/>
  <c r="Q29" i="149"/>
  <c r="S29" i="149" s="1"/>
  <c r="Q26" i="149"/>
  <c r="S26" i="149" s="1"/>
  <c r="Q30" i="149"/>
  <c r="S30" i="149" s="1"/>
  <c r="Q28" i="149"/>
  <c r="S28" i="149" s="1"/>
  <c r="Q21" i="149"/>
  <c r="S21" i="149" s="1"/>
  <c r="S9" i="149"/>
  <c r="Q53" i="149" l="1"/>
  <c r="S53" i="149"/>
  <c r="Q37" i="149"/>
  <c r="S25" i="149"/>
  <c r="S37" i="149" s="1"/>
  <c r="E37" i="92" l="1"/>
  <c r="E45" i="92" s="1"/>
  <c r="E46" i="92" s="1"/>
  <c r="E12" i="61"/>
  <c r="E11" i="61" s="1"/>
  <c r="E37" i="61" s="1"/>
  <c r="E45" i="61" s="1"/>
  <c r="E46" i="61" s="1"/>
  <c r="D15" i="127" l="1"/>
  <c r="C15" i="127"/>
  <c r="G15" i="127" l="1"/>
  <c r="I15" i="127" s="1"/>
  <c r="F15" i="127"/>
  <c r="H15" i="127" s="1"/>
  <c r="F17" i="127" l="1"/>
  <c r="C17" i="127"/>
  <c r="H17" i="127" l="1"/>
  <c r="C16" i="127"/>
  <c r="D17" i="127"/>
  <c r="G17" i="127"/>
  <c r="D16" i="127"/>
  <c r="C27" i="110" l="1"/>
  <c r="F16" i="127"/>
  <c r="H16" i="127" s="1"/>
  <c r="G16" i="127"/>
  <c r="I16" i="127" s="1"/>
  <c r="I17" i="127"/>
  <c r="L114" i="99" l="1"/>
  <c r="L204" i="99" s="1"/>
  <c r="G63" i="54"/>
  <c r="W63" i="54" s="1"/>
  <c r="G54" i="54"/>
  <c r="G53" i="54"/>
  <c r="K31" i="54"/>
  <c r="G52" i="54"/>
  <c r="D110" i="49"/>
  <c r="D153" i="49" s="1"/>
  <c r="D152" i="49" s="1"/>
  <c r="D200" i="54" l="1"/>
  <c r="G200" i="54" s="1"/>
  <c r="W52" i="54"/>
  <c r="D202" i="54"/>
  <c r="G202" i="54" s="1"/>
  <c r="W54" i="54"/>
  <c r="D201" i="54"/>
  <c r="G201" i="54" s="1"/>
  <c r="W53" i="54"/>
  <c r="F157" i="54"/>
  <c r="D109" i="49"/>
  <c r="D108" i="49" s="1"/>
  <c r="D146" i="49" s="1"/>
  <c r="D147" i="49" s="1"/>
  <c r="C110" i="49"/>
  <c r="K41" i="54"/>
  <c r="K58" i="54"/>
  <c r="K50" i="54"/>
  <c r="D148" i="49"/>
  <c r="G6" i="129"/>
  <c r="G7" i="129"/>
  <c r="L7" i="129" s="1"/>
  <c r="E6" i="129"/>
  <c r="E7" i="129"/>
  <c r="K40" i="54"/>
  <c r="K37" i="54"/>
  <c r="K30" i="54"/>
  <c r="F6" i="129"/>
  <c r="F7" i="129"/>
  <c r="K7" i="129" s="1"/>
  <c r="G31" i="54"/>
  <c r="K34" i="54"/>
  <c r="W31" i="54" l="1"/>
  <c r="F13" i="58"/>
  <c r="F12" i="58"/>
  <c r="F24" i="58" s="1"/>
  <c r="G7" i="189" s="1"/>
  <c r="F11" i="58"/>
  <c r="K23" i="54"/>
  <c r="G23" i="54" s="1"/>
  <c r="W23" i="54" s="1"/>
  <c r="D196" i="54"/>
  <c r="D195" i="54"/>
  <c r="D197" i="54"/>
  <c r="K22" i="54"/>
  <c r="C153" i="49"/>
  <c r="C152" i="49" s="1"/>
  <c r="L152" i="49" s="1"/>
  <c r="C109" i="49"/>
  <c r="D159" i="54"/>
  <c r="K31" i="105" s="1"/>
  <c r="L31" i="105" s="1"/>
  <c r="E9" i="164"/>
  <c r="F198" i="54"/>
  <c r="H29" i="21"/>
  <c r="G41" i="54"/>
  <c r="K48" i="54"/>
  <c r="G58" i="54"/>
  <c r="L163" i="54" s="1"/>
  <c r="L164" i="54" s="1"/>
  <c r="K33" i="54"/>
  <c r="G34" i="54"/>
  <c r="W34" i="54" s="1"/>
  <c r="K39" i="54"/>
  <c r="G40" i="54"/>
  <c r="F43" i="58"/>
  <c r="F21" i="58"/>
  <c r="F44" i="58"/>
  <c r="F41" i="58"/>
  <c r="I48" i="61"/>
  <c r="F42" i="58"/>
  <c r="F38" i="58"/>
  <c r="F19" i="58"/>
  <c r="G30" i="54"/>
  <c r="K36" i="54"/>
  <c r="G37" i="54"/>
  <c r="W37" i="54" s="1"/>
  <c r="C108" i="49" l="1"/>
  <c r="L108" i="49" s="1"/>
  <c r="L109" i="49"/>
  <c r="F18" i="58"/>
  <c r="F64" i="58"/>
  <c r="D4" i="158"/>
  <c r="F23" i="58"/>
  <c r="G6" i="189" s="1"/>
  <c r="F25" i="58"/>
  <c r="G8" i="189" s="1"/>
  <c r="F10" i="58"/>
  <c r="F65" i="58"/>
  <c r="K18" i="54"/>
  <c r="G18" i="54" s="1"/>
  <c r="W18" i="54" s="1"/>
  <c r="G48" i="92"/>
  <c r="G47" i="92" s="1"/>
  <c r="W41" i="54"/>
  <c r="L171" i="54"/>
  <c r="W58" i="54"/>
  <c r="F158" i="54"/>
  <c r="F159" i="54" s="1"/>
  <c r="W40" i="54"/>
  <c r="K17" i="54"/>
  <c r="K21" i="54"/>
  <c r="W30" i="54"/>
  <c r="K8" i="165"/>
  <c r="K31" i="165" s="1"/>
  <c r="K8" i="166"/>
  <c r="K31" i="166" s="1"/>
  <c r="C2" i="163"/>
  <c r="K7" i="132"/>
  <c r="D154" i="54"/>
  <c r="K31" i="99"/>
  <c r="L31" i="99" s="1"/>
  <c r="L80" i="99" s="1"/>
  <c r="D161" i="54"/>
  <c r="Q31" i="105" s="1"/>
  <c r="R31" i="105" s="1"/>
  <c r="G9" i="164"/>
  <c r="D160" i="54"/>
  <c r="N31" i="105" s="1"/>
  <c r="O31" i="105" s="1"/>
  <c r="F9" i="164"/>
  <c r="K47" i="54"/>
  <c r="K26" i="54" s="1"/>
  <c r="G51" i="92"/>
  <c r="G50" i="92" s="1"/>
  <c r="F28" i="58"/>
  <c r="G38" i="58"/>
  <c r="G37" i="58" s="1"/>
  <c r="J48" i="61"/>
  <c r="G33" i="54"/>
  <c r="I51" i="61"/>
  <c r="I50" i="61" s="1"/>
  <c r="I47" i="61"/>
  <c r="K48" i="61"/>
  <c r="G36" i="54"/>
  <c r="H38" i="58"/>
  <c r="H37" i="58" s="1"/>
  <c r="F37" i="58"/>
  <c r="F29" i="58"/>
  <c r="F33" i="58" s="1"/>
  <c r="G39" i="54"/>
  <c r="K77" i="99"/>
  <c r="F27" i="58"/>
  <c r="W39" i="54" l="1"/>
  <c r="L177" i="54"/>
  <c r="D21" i="158"/>
  <c r="D22" i="158" s="1"/>
  <c r="D8" i="158"/>
  <c r="F22" i="58"/>
  <c r="G5" i="189" s="1"/>
  <c r="G23" i="189" s="1"/>
  <c r="F63" i="58"/>
  <c r="C1" i="163"/>
  <c r="K179" i="54"/>
  <c r="K16" i="54"/>
  <c r="W33" i="54"/>
  <c r="W36" i="54"/>
  <c r="K24" i="54"/>
  <c r="H11" i="21" s="1"/>
  <c r="H28" i="21" s="1"/>
  <c r="H69" i="21" s="1"/>
  <c r="H70" i="21" s="1"/>
  <c r="K19" i="54"/>
  <c r="P58" i="55"/>
  <c r="F12" i="93" s="1"/>
  <c r="M8" i="166"/>
  <c r="M8" i="165"/>
  <c r="L8" i="165"/>
  <c r="L8" i="166"/>
  <c r="D155" i="54"/>
  <c r="D156" i="54"/>
  <c r="Q31" i="99"/>
  <c r="R31" i="99" s="1"/>
  <c r="N31" i="99"/>
  <c r="O31" i="99" s="1"/>
  <c r="D2" i="163"/>
  <c r="L7" i="132"/>
  <c r="E2" i="163"/>
  <c r="M7" i="132"/>
  <c r="F32" i="58"/>
  <c r="E24" i="98"/>
  <c r="K14" i="54"/>
  <c r="F26" i="58"/>
  <c r="F31" i="58"/>
  <c r="J47" i="61"/>
  <c r="J51" i="61"/>
  <c r="J50" i="61" s="1"/>
  <c r="K47" i="61"/>
  <c r="K51" i="61"/>
  <c r="K50" i="61" s="1"/>
  <c r="E45" i="130"/>
  <c r="E45" i="150"/>
  <c r="K30" i="132"/>
  <c r="F54" i="93" l="1"/>
  <c r="F67" i="58"/>
  <c r="T58" i="55"/>
  <c r="K180" i="54"/>
  <c r="X58" i="55"/>
  <c r="K181" i="54"/>
  <c r="AD44" i="55"/>
  <c r="L30" i="105"/>
  <c r="K30" i="105" s="1"/>
  <c r="H12" i="21"/>
  <c r="D1" i="163"/>
  <c r="F57" i="112"/>
  <c r="B47" i="115"/>
  <c r="AD58" i="55"/>
  <c r="E1" i="163"/>
  <c r="AD19" i="55"/>
  <c r="F43" i="112"/>
  <c r="L30" i="99"/>
  <c r="E12" i="167" s="1"/>
  <c r="F53" i="58"/>
  <c r="F54" i="58" s="1"/>
  <c r="F24" i="93"/>
  <c r="AD20" i="55"/>
  <c r="L69" i="99"/>
  <c r="L203" i="99" s="1"/>
  <c r="K203" i="99" s="1"/>
  <c r="AD21" i="55"/>
  <c r="M31" i="165"/>
  <c r="L31" i="165"/>
  <c r="L31" i="166"/>
  <c r="M31" i="166"/>
  <c r="O30" i="99"/>
  <c r="F12" i="167" s="1"/>
  <c r="O69" i="99"/>
  <c r="O203" i="99" s="1"/>
  <c r="N203" i="99" s="1"/>
  <c r="E54" i="140"/>
  <c r="X69" i="99"/>
  <c r="K57" i="145"/>
  <c r="G69" i="99"/>
  <c r="G203" i="99" s="1"/>
  <c r="G43" i="112"/>
  <c r="X69" i="105"/>
  <c r="E54" i="136"/>
  <c r="E54" i="137"/>
  <c r="E54" i="142"/>
  <c r="H44" i="55"/>
  <c r="F51" i="58"/>
  <c r="B97" i="115"/>
  <c r="H33" i="21"/>
  <c r="H252" i="21"/>
  <c r="H54" i="21"/>
  <c r="H253" i="21" s="1"/>
  <c r="H40" i="21"/>
  <c r="H251" i="21" s="1"/>
  <c r="H61" i="21"/>
  <c r="H254" i="21" s="1"/>
  <c r="H32" i="21"/>
  <c r="H53" i="21"/>
  <c r="H248" i="21" s="1"/>
  <c r="H60" i="21"/>
  <c r="H249" i="21" s="1"/>
  <c r="H247" i="21"/>
  <c r="H39" i="21"/>
  <c r="H246" i="21" s="1"/>
  <c r="G10" i="160"/>
  <c r="F5" i="159"/>
  <c r="F10" i="159"/>
  <c r="H10" i="160"/>
  <c r="F30" i="58"/>
  <c r="G45" i="130"/>
  <c r="G45" i="150"/>
  <c r="M30" i="132"/>
  <c r="AE58" i="55"/>
  <c r="G57" i="112"/>
  <c r="AE39" i="55"/>
  <c r="AE40" i="55"/>
  <c r="AE19" i="55"/>
  <c r="AG19" i="55" s="1"/>
  <c r="AE37" i="55"/>
  <c r="G53" i="58"/>
  <c r="G54" i="58" s="1"/>
  <c r="B48" i="115"/>
  <c r="AE21" i="55"/>
  <c r="AG21" i="55" s="1"/>
  <c r="AE38" i="55"/>
  <c r="AE44" i="55"/>
  <c r="AG44" i="55" s="1"/>
  <c r="AE20" i="55"/>
  <c r="AF39" i="55"/>
  <c r="AF58" i="55"/>
  <c r="AF44" i="55"/>
  <c r="AF38" i="55"/>
  <c r="H53" i="58"/>
  <c r="H54" i="58" s="1"/>
  <c r="AF41" i="55"/>
  <c r="AF40" i="55"/>
  <c r="AF19" i="55"/>
  <c r="H57" i="112"/>
  <c r="AF37" i="55"/>
  <c r="B49" i="115"/>
  <c r="AF21" i="55"/>
  <c r="AF20" i="55"/>
  <c r="F45" i="130"/>
  <c r="F45" i="150"/>
  <c r="L30" i="132"/>
  <c r="AG20" i="55" l="1"/>
  <c r="F37" i="171"/>
  <c r="D37" i="171" s="1"/>
  <c r="T37" i="171" s="1"/>
  <c r="N36" i="188"/>
  <c r="E203" i="99"/>
  <c r="O41" i="109" s="1"/>
  <c r="Q41" i="109" s="1"/>
  <c r="H12" i="58"/>
  <c r="H24" i="58" s="1"/>
  <c r="H12" i="93"/>
  <c r="G12" i="93"/>
  <c r="G12" i="58"/>
  <c r="G24" i="58" s="1"/>
  <c r="O30" i="105"/>
  <c r="N30" i="105" s="1"/>
  <c r="R30" i="99"/>
  <c r="G12" i="167" s="1"/>
  <c r="G26" i="167" s="1"/>
  <c r="R30" i="105"/>
  <c r="Q30" i="105" s="1"/>
  <c r="K69" i="99"/>
  <c r="F11" i="159"/>
  <c r="F11" i="160" s="1"/>
  <c r="H245" i="21"/>
  <c r="H250" i="21"/>
  <c r="H31" i="21"/>
  <c r="H187" i="21"/>
  <c r="H184" i="21" s="1"/>
  <c r="E26" i="167"/>
  <c r="F28" i="93"/>
  <c r="F32" i="93" s="1"/>
  <c r="F26" i="167"/>
  <c r="F69" i="99"/>
  <c r="F203" i="99" s="1"/>
  <c r="B46" i="146"/>
  <c r="F46" i="146" s="1"/>
  <c r="M46" i="146" s="1"/>
  <c r="E57" i="145"/>
  <c r="T69" i="99"/>
  <c r="D43" i="112"/>
  <c r="T69" i="105"/>
  <c r="Y44" i="55"/>
  <c r="N69" i="99"/>
  <c r="F54" i="140"/>
  <c r="Y69" i="99"/>
  <c r="N57" i="145"/>
  <c r="F54" i="136"/>
  <c r="F54" i="142"/>
  <c r="Y69" i="105"/>
  <c r="F54" i="137"/>
  <c r="H46" i="21"/>
  <c r="H47" i="21"/>
  <c r="H64" i="21"/>
  <c r="H242" i="21"/>
  <c r="H232" i="21" s="1"/>
  <c r="H38" i="21"/>
  <c r="H241" i="21" s="1"/>
  <c r="H231" i="21" s="1"/>
  <c r="H52" i="21"/>
  <c r="H243" i="21" s="1"/>
  <c r="H233" i="21" s="1"/>
  <c r="H59" i="21"/>
  <c r="H244" i="21" s="1"/>
  <c r="H234" i="21" s="1"/>
  <c r="H63" i="21"/>
  <c r="E252" i="21"/>
  <c r="E61" i="21"/>
  <c r="E254" i="21" s="1"/>
  <c r="E54" i="21"/>
  <c r="E253" i="21" s="1"/>
  <c r="E190" i="21"/>
  <c r="E40" i="21"/>
  <c r="H32" i="160"/>
  <c r="H11" i="160"/>
  <c r="H64" i="159"/>
  <c r="G15" i="92"/>
  <c r="H43" i="159"/>
  <c r="L43" i="159" s="1"/>
  <c r="H74" i="159"/>
  <c r="H50" i="159"/>
  <c r="H49" i="160" s="1"/>
  <c r="H61" i="159"/>
  <c r="H68" i="159"/>
  <c r="H47" i="160"/>
  <c r="H52" i="160"/>
  <c r="H65" i="159"/>
  <c r="H55" i="159"/>
  <c r="H62" i="159"/>
  <c r="H35" i="160"/>
  <c r="H52" i="159"/>
  <c r="H72" i="159"/>
  <c r="H63" i="159"/>
  <c r="H39" i="159"/>
  <c r="L39" i="159" s="1"/>
  <c r="H40" i="160"/>
  <c r="H43" i="160"/>
  <c r="H38" i="159"/>
  <c r="H60" i="159"/>
  <c r="H25" i="160"/>
  <c r="H46" i="159"/>
  <c r="L46" i="159" s="1"/>
  <c r="H51" i="159"/>
  <c r="H50" i="160" s="1"/>
  <c r="H73" i="159"/>
  <c r="H72" i="160" s="1"/>
  <c r="H39" i="160"/>
  <c r="G5" i="159"/>
  <c r="F10" i="160"/>
  <c r="E188" i="21"/>
  <c r="E60" i="21"/>
  <c r="E249" i="21" s="1"/>
  <c r="E53" i="21"/>
  <c r="E248" i="21" s="1"/>
  <c r="E247" i="21"/>
  <c r="E39" i="21"/>
  <c r="E246" i="21" s="1"/>
  <c r="H24" i="93"/>
  <c r="H28" i="93"/>
  <c r="H32" i="93" s="1"/>
  <c r="L39" i="21"/>
  <c r="L246" i="21" s="1"/>
  <c r="L188" i="21"/>
  <c r="L247" i="21"/>
  <c r="L60" i="21"/>
  <c r="L249" i="21" s="1"/>
  <c r="L53" i="21"/>
  <c r="L248" i="21" s="1"/>
  <c r="H28" i="58"/>
  <c r="H32" i="58" s="1"/>
  <c r="G24" i="93"/>
  <c r="G28" i="93"/>
  <c r="G32" i="93" s="1"/>
  <c r="M247" i="21"/>
  <c r="M39" i="21"/>
  <c r="M246" i="21" s="1"/>
  <c r="M188" i="21"/>
  <c r="M60" i="21"/>
  <c r="M249" i="21" s="1"/>
  <c r="M53" i="21"/>
  <c r="M248" i="21" s="1"/>
  <c r="G28" i="58" l="1"/>
  <c r="J13" i="109"/>
  <c r="D8" i="188"/>
  <c r="H37" i="160"/>
  <c r="L38" i="159"/>
  <c r="K13" i="109"/>
  <c r="C47" i="166"/>
  <c r="U47" i="166" s="1"/>
  <c r="K15" i="92"/>
  <c r="G90" i="105"/>
  <c r="H15" i="92"/>
  <c r="I15" i="92"/>
  <c r="J15" i="92"/>
  <c r="E69" i="99"/>
  <c r="K43" i="112"/>
  <c r="P43" i="112" s="1"/>
  <c r="E245" i="21"/>
  <c r="M245" i="21"/>
  <c r="H240" i="21"/>
  <c r="H230" i="21" s="1"/>
  <c r="E47" i="21"/>
  <c r="E251" i="21"/>
  <c r="E250" i="21" s="1"/>
  <c r="L245" i="21"/>
  <c r="H55" i="160"/>
  <c r="H71" i="160"/>
  <c r="H21" i="160"/>
  <c r="H69" i="160"/>
  <c r="H19" i="160"/>
  <c r="H59" i="160"/>
  <c r="H67" i="160"/>
  <c r="H54" i="160"/>
  <c r="H53" i="160"/>
  <c r="H46" i="160"/>
  <c r="H65" i="160"/>
  <c r="H45" i="160"/>
  <c r="H38" i="160"/>
  <c r="H42" i="160"/>
  <c r="AB69" i="105"/>
  <c r="AF69" i="105" s="1"/>
  <c r="AB69" i="99"/>
  <c r="AF69" i="99" s="1"/>
  <c r="D57" i="145"/>
  <c r="H22" i="160"/>
  <c r="H62" i="160"/>
  <c r="H63" i="160"/>
  <c r="H58" i="160"/>
  <c r="H64" i="160"/>
  <c r="H48" i="160"/>
  <c r="H68" i="160"/>
  <c r="L43" i="112"/>
  <c r="Q43" i="112" s="1"/>
  <c r="U69" i="99"/>
  <c r="AA69" i="99"/>
  <c r="AE69" i="99" s="1"/>
  <c r="H20" i="160"/>
  <c r="H61" i="160"/>
  <c r="H18" i="160"/>
  <c r="H67" i="21"/>
  <c r="E64" i="21"/>
  <c r="H66" i="21"/>
  <c r="H41" i="160"/>
  <c r="H34" i="160"/>
  <c r="H56" i="160"/>
  <c r="H17" i="160"/>
  <c r="H24" i="160"/>
  <c r="H36" i="160"/>
  <c r="H66" i="160"/>
  <c r="H51" i="160"/>
  <c r="H57" i="160"/>
  <c r="H73" i="160"/>
  <c r="H45" i="21"/>
  <c r="H62" i="21"/>
  <c r="H44" i="160"/>
  <c r="H60" i="160"/>
  <c r="H23" i="160"/>
  <c r="H15" i="160"/>
  <c r="H16" i="160"/>
  <c r="M252" i="21"/>
  <c r="M40" i="21"/>
  <c r="M251" i="21" s="1"/>
  <c r="M61" i="21"/>
  <c r="M254" i="21" s="1"/>
  <c r="M190" i="21"/>
  <c r="M54" i="21"/>
  <c r="M253" i="21" s="1"/>
  <c r="M187" i="21"/>
  <c r="M184" i="21" s="1"/>
  <c r="L61" i="21"/>
  <c r="L254" i="21" s="1"/>
  <c r="L190" i="21"/>
  <c r="L59" i="21"/>
  <c r="L244" i="21" s="1"/>
  <c r="L234" i="21" s="1"/>
  <c r="L252" i="21"/>
  <c r="L54" i="21"/>
  <c r="L253" i="21" s="1"/>
  <c r="L40" i="21"/>
  <c r="L251" i="21" s="1"/>
  <c r="H33" i="160"/>
  <c r="G60" i="159"/>
  <c r="L60" i="159" s="1"/>
  <c r="G11" i="160"/>
  <c r="G72" i="159"/>
  <c r="L72" i="159" s="1"/>
  <c r="G61" i="159"/>
  <c r="L61" i="159" s="1"/>
  <c r="G51" i="159"/>
  <c r="L51" i="159" s="1"/>
  <c r="G55" i="159"/>
  <c r="L55" i="159" s="1"/>
  <c r="G74" i="159"/>
  <c r="L74" i="159" s="1"/>
  <c r="G50" i="159"/>
  <c r="L50" i="159" s="1"/>
  <c r="G30" i="159"/>
  <c r="G64" i="159"/>
  <c r="L64" i="159" s="1"/>
  <c r="G62" i="159"/>
  <c r="L62" i="159" s="1"/>
  <c r="H28" i="159"/>
  <c r="H30" i="159"/>
  <c r="G20" i="92" s="1"/>
  <c r="G28" i="159"/>
  <c r="G68" i="159"/>
  <c r="L68" i="159" s="1"/>
  <c r="G65" i="159"/>
  <c r="L65" i="159" s="1"/>
  <c r="G63" i="159"/>
  <c r="L63" i="159" s="1"/>
  <c r="G73" i="159"/>
  <c r="L73" i="159" s="1"/>
  <c r="G52" i="159"/>
  <c r="L52" i="159" s="1"/>
  <c r="H27" i="159"/>
  <c r="G18" i="92" s="1"/>
  <c r="G27" i="159"/>
  <c r="L27" i="159" s="1"/>
  <c r="C12" i="133"/>
  <c r="T90" i="105"/>
  <c r="E46" i="21"/>
  <c r="E38" i="21"/>
  <c r="E241" i="21" s="1"/>
  <c r="E231" i="21" s="1"/>
  <c r="E59" i="21"/>
  <c r="E244" i="21" s="1"/>
  <c r="E234" i="21" s="1"/>
  <c r="E242" i="21"/>
  <c r="E232" i="21" s="1"/>
  <c r="E52" i="21"/>
  <c r="E243" i="21" s="1"/>
  <c r="E233" i="21" s="1"/>
  <c r="E187" i="21"/>
  <c r="E184" i="21" s="1"/>
  <c r="E63" i="21"/>
  <c r="F9" i="100"/>
  <c r="M63" i="21"/>
  <c r="M46" i="21"/>
  <c r="L63" i="21"/>
  <c r="L46" i="21"/>
  <c r="G32" i="58"/>
  <c r="L28" i="159" l="1"/>
  <c r="J18" i="109"/>
  <c r="D13" i="188"/>
  <c r="J16" i="109"/>
  <c r="K16" i="109" s="1"/>
  <c r="D11" i="188"/>
  <c r="O36" i="188"/>
  <c r="K18" i="109"/>
  <c r="L30" i="159"/>
  <c r="C50" i="166"/>
  <c r="K18" i="92"/>
  <c r="H18" i="92"/>
  <c r="G93" i="105"/>
  <c r="I18" i="92"/>
  <c r="J18" i="92"/>
  <c r="C52" i="166"/>
  <c r="K20" i="92"/>
  <c r="G95" i="105"/>
  <c r="H20" i="92"/>
  <c r="I20" i="92"/>
  <c r="J20" i="92"/>
  <c r="E90" i="105"/>
  <c r="E8" i="188" s="1"/>
  <c r="F8" i="188" s="1"/>
  <c r="J90" i="105"/>
  <c r="H90" i="105" s="1"/>
  <c r="S90" i="105"/>
  <c r="Q90" i="105" s="1"/>
  <c r="M90" i="105"/>
  <c r="M180" i="105" s="1"/>
  <c r="P90" i="105"/>
  <c r="N90" i="105" s="1"/>
  <c r="C35" i="166"/>
  <c r="C114" i="166" s="1"/>
  <c r="C57" i="145"/>
  <c r="C35" i="165"/>
  <c r="C114" i="165" s="1"/>
  <c r="C15" i="107"/>
  <c r="I43" i="112"/>
  <c r="N43" i="112" s="1"/>
  <c r="C33" i="132"/>
  <c r="C75" i="150" s="1"/>
  <c r="L64" i="21"/>
  <c r="N15" i="92"/>
  <c r="D47" i="166" s="1"/>
  <c r="V47" i="166" s="1"/>
  <c r="Q15" i="92"/>
  <c r="G47" i="166" s="1"/>
  <c r="E67" i="21"/>
  <c r="L250" i="21"/>
  <c r="E240" i="21"/>
  <c r="E230" i="21" s="1"/>
  <c r="M250" i="21"/>
  <c r="G33" i="160"/>
  <c r="F34" i="159"/>
  <c r="L34" i="159" s="1"/>
  <c r="U50" i="166"/>
  <c r="S50" i="166"/>
  <c r="U52" i="166"/>
  <c r="U69" i="105"/>
  <c r="AA69" i="105"/>
  <c r="AE69" i="105" s="1"/>
  <c r="M64" i="21"/>
  <c r="H16" i="108"/>
  <c r="I16" i="108" s="1"/>
  <c r="G15" i="107"/>
  <c r="J7" i="107" s="1"/>
  <c r="P15" i="92"/>
  <c r="F47" i="166" s="1"/>
  <c r="O15" i="92"/>
  <c r="E47" i="166" s="1"/>
  <c r="M59" i="21"/>
  <c r="M244" i="21" s="1"/>
  <c r="M234" i="21" s="1"/>
  <c r="M52" i="21"/>
  <c r="M243" i="21" s="1"/>
  <c r="M233" i="21" s="1"/>
  <c r="M38" i="21"/>
  <c r="M241" i="21" s="1"/>
  <c r="M231" i="21" s="1"/>
  <c r="M47" i="21"/>
  <c r="L187" i="21"/>
  <c r="L184" i="21" s="1"/>
  <c r="L52" i="21"/>
  <c r="L38" i="21"/>
  <c r="L241" i="21" s="1"/>
  <c r="L231" i="21" s="1"/>
  <c r="L242" i="21"/>
  <c r="L232" i="21" s="1"/>
  <c r="L47" i="21"/>
  <c r="M242" i="21"/>
  <c r="M232" i="21" s="1"/>
  <c r="H65" i="21"/>
  <c r="U90" i="105"/>
  <c r="E66" i="21"/>
  <c r="G32" i="160"/>
  <c r="E12" i="133"/>
  <c r="D12" i="133"/>
  <c r="G12" i="133"/>
  <c r="F12" i="133"/>
  <c r="G72" i="160"/>
  <c r="G44" i="160"/>
  <c r="G58" i="160"/>
  <c r="G47" i="160"/>
  <c r="G55" i="160"/>
  <c r="G28" i="160"/>
  <c r="G61" i="160"/>
  <c r="G66" i="160"/>
  <c r="G48" i="160"/>
  <c r="G49" i="160"/>
  <c r="G57" i="160"/>
  <c r="G60" i="160"/>
  <c r="I8" i="90"/>
  <c r="H27" i="160"/>
  <c r="G18" i="160"/>
  <c r="G53" i="160"/>
  <c r="G35" i="160"/>
  <c r="G16" i="160"/>
  <c r="G52" i="160"/>
  <c r="G34" i="160"/>
  <c r="G24" i="160"/>
  <c r="G36" i="160"/>
  <c r="G38" i="160"/>
  <c r="G69" i="160"/>
  <c r="G25" i="160"/>
  <c r="G73" i="160"/>
  <c r="G50" i="160"/>
  <c r="G71" i="160"/>
  <c r="G27" i="160"/>
  <c r="H8" i="90"/>
  <c r="G18" i="61"/>
  <c r="G51" i="160"/>
  <c r="G19" i="160"/>
  <c r="G64" i="160"/>
  <c r="G23" i="160"/>
  <c r="G15" i="61"/>
  <c r="G15" i="160"/>
  <c r="G67" i="160"/>
  <c r="H28" i="160"/>
  <c r="G20" i="160"/>
  <c r="G65" i="160"/>
  <c r="G63" i="160"/>
  <c r="G30" i="160"/>
  <c r="G20" i="61"/>
  <c r="G41" i="160"/>
  <c r="G54" i="160"/>
  <c r="G46" i="160"/>
  <c r="G45" i="160"/>
  <c r="G62" i="160"/>
  <c r="G21" i="160"/>
  <c r="G68" i="160"/>
  <c r="G40" i="160"/>
  <c r="G17" i="160"/>
  <c r="H30" i="160"/>
  <c r="G43" i="160"/>
  <c r="G22" i="160"/>
  <c r="G42" i="160"/>
  <c r="G56" i="160"/>
  <c r="G39" i="160"/>
  <c r="G37" i="160"/>
  <c r="G59" i="160"/>
  <c r="E45" i="21"/>
  <c r="E62" i="21"/>
  <c r="M66" i="21"/>
  <c r="L66" i="21"/>
  <c r="K180" i="105" l="1"/>
  <c r="H16" i="109"/>
  <c r="I16" i="109" s="1"/>
  <c r="H11" i="188"/>
  <c r="H18" i="109"/>
  <c r="I18" i="109" s="1"/>
  <c r="H13" i="188"/>
  <c r="H13" i="109"/>
  <c r="D13" i="109" s="1"/>
  <c r="H8" i="188"/>
  <c r="D16" i="109"/>
  <c r="S95" i="105"/>
  <c r="Q95" i="105" s="1"/>
  <c r="P95" i="105"/>
  <c r="N95" i="105" s="1"/>
  <c r="J95" i="105"/>
  <c r="H95" i="105" s="1"/>
  <c r="E95" i="105"/>
  <c r="E13" i="188" s="1"/>
  <c r="F13" i="188" s="1"/>
  <c r="M95" i="105"/>
  <c r="K95" i="105" s="1"/>
  <c r="K18" i="61"/>
  <c r="H18" i="61"/>
  <c r="J18" i="61"/>
  <c r="G93" i="99"/>
  <c r="I18" i="61"/>
  <c r="I20" i="61"/>
  <c r="K20" i="61"/>
  <c r="H20" i="61"/>
  <c r="G95" i="99"/>
  <c r="E95" i="99" s="1"/>
  <c r="I13" i="188" s="1"/>
  <c r="J20" i="61"/>
  <c r="G90" i="99"/>
  <c r="K15" i="61"/>
  <c r="H15" i="61"/>
  <c r="J15" i="61"/>
  <c r="I15" i="61"/>
  <c r="K90" i="105"/>
  <c r="E93" i="105"/>
  <c r="E11" i="188" s="1"/>
  <c r="F11" i="188" s="1"/>
  <c r="J93" i="105"/>
  <c r="H93" i="105" s="1"/>
  <c r="P93" i="105"/>
  <c r="N93" i="105" s="1"/>
  <c r="S93" i="105"/>
  <c r="Q93" i="105" s="1"/>
  <c r="M93" i="105"/>
  <c r="K93" i="105" s="1"/>
  <c r="I8" i="186"/>
  <c r="H8" i="186"/>
  <c r="G69" i="168"/>
  <c r="L67" i="21"/>
  <c r="M240" i="21"/>
  <c r="M230" i="21" s="1"/>
  <c r="L62" i="21"/>
  <c r="L243" i="21"/>
  <c r="L233" i="21" s="1"/>
  <c r="F33" i="160"/>
  <c r="F35" i="110" s="1"/>
  <c r="D96" i="159"/>
  <c r="H96" i="159" s="1"/>
  <c r="M62" i="21"/>
  <c r="M67" i="21"/>
  <c r="F71" i="137"/>
  <c r="W47" i="166"/>
  <c r="D71" i="137"/>
  <c r="D69" i="168"/>
  <c r="C52" i="165"/>
  <c r="H19" i="171"/>
  <c r="I19" i="171" s="1"/>
  <c r="C47" i="165"/>
  <c r="U47" i="165" s="1"/>
  <c r="H14" i="171"/>
  <c r="I14" i="171" s="1"/>
  <c r="C50" i="165"/>
  <c r="H17" i="171"/>
  <c r="I17" i="171" s="1"/>
  <c r="E71" i="142"/>
  <c r="E69" i="168"/>
  <c r="S15" i="92"/>
  <c r="X15" i="92" s="1"/>
  <c r="T95" i="99"/>
  <c r="C17" i="134"/>
  <c r="C91" i="150" s="1"/>
  <c r="T93" i="99"/>
  <c r="C15" i="134"/>
  <c r="C89" i="150" s="1"/>
  <c r="T90" i="99"/>
  <c r="C12" i="134"/>
  <c r="C87" i="150" s="1"/>
  <c r="E71" i="137"/>
  <c r="G8" i="90"/>
  <c r="E8" i="90" s="1"/>
  <c r="D71" i="142"/>
  <c r="M45" i="21"/>
  <c r="L45" i="21"/>
  <c r="I8" i="101"/>
  <c r="Q8" i="90" s="1"/>
  <c r="T15" i="92"/>
  <c r="Y15" i="92" s="1"/>
  <c r="H8" i="101"/>
  <c r="P8" i="90" s="1"/>
  <c r="O20" i="92"/>
  <c r="E52" i="166" s="1"/>
  <c r="Q20" i="92"/>
  <c r="G52" i="166" s="1"/>
  <c r="Q20" i="61"/>
  <c r="N18" i="92"/>
  <c r="D50" i="166" s="1"/>
  <c r="P18" i="92"/>
  <c r="F50" i="166" s="1"/>
  <c r="N20" i="92"/>
  <c r="D52" i="166" s="1"/>
  <c r="P20" i="61"/>
  <c r="Q15" i="61"/>
  <c r="P18" i="61"/>
  <c r="T93" i="105"/>
  <c r="C14" i="133"/>
  <c r="P20" i="92"/>
  <c r="F52" i="166" s="1"/>
  <c r="C31" i="146"/>
  <c r="E90" i="99"/>
  <c r="I8" i="188" s="1"/>
  <c r="Q18" i="61"/>
  <c r="Q18" i="92"/>
  <c r="G50" i="166" s="1"/>
  <c r="T95" i="105"/>
  <c r="C16" i="133"/>
  <c r="P15" i="61"/>
  <c r="O18" i="92"/>
  <c r="E50" i="166" s="1"/>
  <c r="E65" i="21"/>
  <c r="E16" i="140"/>
  <c r="E16" i="136"/>
  <c r="J18" i="145"/>
  <c r="J30" i="145" s="1"/>
  <c r="E12" i="168"/>
  <c r="K30" i="99"/>
  <c r="C33" i="146" l="1"/>
  <c r="D18" i="109"/>
  <c r="D71" i="109"/>
  <c r="H71" i="109" s="1"/>
  <c r="I13" i="109"/>
  <c r="J13" i="188"/>
  <c r="J8" i="188"/>
  <c r="P93" i="99"/>
  <c r="M93" i="99"/>
  <c r="E72" i="167" s="1"/>
  <c r="J93" i="99"/>
  <c r="S93" i="99"/>
  <c r="S95" i="99"/>
  <c r="J95" i="99"/>
  <c r="P95" i="99"/>
  <c r="M95" i="99"/>
  <c r="E74" i="167" s="1"/>
  <c r="D8" i="90"/>
  <c r="E9" i="90" s="1"/>
  <c r="P90" i="99"/>
  <c r="F69" i="167" s="1"/>
  <c r="M90" i="99"/>
  <c r="S90" i="99"/>
  <c r="G69" i="167" s="1"/>
  <c r="J90" i="99"/>
  <c r="D69" i="167" s="1"/>
  <c r="G8" i="186"/>
  <c r="E8" i="186" s="1"/>
  <c r="M65" i="21"/>
  <c r="G71" i="142"/>
  <c r="G71" i="137"/>
  <c r="L65" i="21"/>
  <c r="L240" i="21"/>
  <c r="L230" i="21" s="1"/>
  <c r="U15" i="92"/>
  <c r="Z15" i="92" s="1"/>
  <c r="F71" i="142"/>
  <c r="AA90" i="105"/>
  <c r="F69" i="168"/>
  <c r="D72" i="168"/>
  <c r="E72" i="168"/>
  <c r="U50" i="165"/>
  <c r="S50" i="165"/>
  <c r="U52" i="165"/>
  <c r="W52" i="166"/>
  <c r="V52" i="166"/>
  <c r="W50" i="166"/>
  <c r="V50" i="166"/>
  <c r="G72" i="167"/>
  <c r="G8" i="101"/>
  <c r="E8" i="101" s="1"/>
  <c r="D8" i="101" s="1"/>
  <c r="E9" i="101" s="1"/>
  <c r="E26" i="168"/>
  <c r="G15" i="134"/>
  <c r="G89" i="150" s="1"/>
  <c r="G50" i="165"/>
  <c r="F15" i="134"/>
  <c r="F89" i="150" s="1"/>
  <c r="F50" i="165"/>
  <c r="G17" i="134"/>
  <c r="G91" i="150" s="1"/>
  <c r="G52" i="165"/>
  <c r="F12" i="134"/>
  <c r="F87" i="150" s="1"/>
  <c r="F47" i="165"/>
  <c r="G12" i="134"/>
  <c r="G87" i="150" s="1"/>
  <c r="G47" i="165"/>
  <c r="F17" i="134"/>
  <c r="F91" i="150" s="1"/>
  <c r="F52" i="165"/>
  <c r="E41" i="165"/>
  <c r="E41" i="166"/>
  <c r="U95" i="99"/>
  <c r="U95" i="105"/>
  <c r="E74" i="168"/>
  <c r="D76" i="142"/>
  <c r="U93" i="105"/>
  <c r="K95" i="99"/>
  <c r="E76" i="140"/>
  <c r="E76" i="136"/>
  <c r="E74" i="136"/>
  <c r="E76" i="142"/>
  <c r="C83" i="145"/>
  <c r="F76" i="136"/>
  <c r="Q95" i="99"/>
  <c r="E93" i="99"/>
  <c r="I11" i="188" s="1"/>
  <c r="J11" i="188" s="1"/>
  <c r="C32" i="146"/>
  <c r="E71" i="136"/>
  <c r="E71" i="140"/>
  <c r="K90" i="99"/>
  <c r="F16" i="133"/>
  <c r="D16" i="133"/>
  <c r="E16" i="133"/>
  <c r="G16" i="133"/>
  <c r="M9" i="90"/>
  <c r="D9" i="90"/>
  <c r="L9" i="90"/>
  <c r="O8" i="90"/>
  <c r="K9" i="90"/>
  <c r="C78" i="145"/>
  <c r="G71" i="136"/>
  <c r="Q90" i="99"/>
  <c r="G71" i="140"/>
  <c r="D71" i="136"/>
  <c r="H90" i="99"/>
  <c r="D71" i="140"/>
  <c r="U90" i="99"/>
  <c r="E14" i="133"/>
  <c r="D14" i="133"/>
  <c r="F14" i="133"/>
  <c r="G14" i="133"/>
  <c r="E16" i="137"/>
  <c r="E16" i="142"/>
  <c r="C47" i="115"/>
  <c r="G9" i="127"/>
  <c r="AJ41" i="55"/>
  <c r="AJ21" i="55"/>
  <c r="AP21" i="55" s="1"/>
  <c r="AJ20" i="55"/>
  <c r="AP20" i="55" s="1"/>
  <c r="AJ37" i="55"/>
  <c r="AJ44" i="55"/>
  <c r="AP44" i="55" s="1"/>
  <c r="E40" i="132"/>
  <c r="E82" i="150" s="1"/>
  <c r="D8" i="111"/>
  <c r="AJ38" i="55"/>
  <c r="AJ22" i="55"/>
  <c r="AJ40" i="55"/>
  <c r="AJ42" i="55"/>
  <c r="F56" i="58"/>
  <c r="AJ39" i="55"/>
  <c r="I18" i="145"/>
  <c r="AJ19" i="55"/>
  <c r="AP19" i="55" s="1"/>
  <c r="G16" i="136"/>
  <c r="Q30" i="99"/>
  <c r="G16" i="140"/>
  <c r="P18" i="145"/>
  <c r="P30" i="145" s="1"/>
  <c r="G12" i="168"/>
  <c r="F16" i="136"/>
  <c r="F16" i="140"/>
  <c r="M18" i="145"/>
  <c r="M30" i="145" s="1"/>
  <c r="N30" i="99"/>
  <c r="F12" i="168"/>
  <c r="D9" i="127"/>
  <c r="N90" i="99" l="1"/>
  <c r="F71" i="140"/>
  <c r="K93" i="99"/>
  <c r="J71" i="109"/>
  <c r="F71" i="136"/>
  <c r="E74" i="140"/>
  <c r="E69" i="167"/>
  <c r="M180" i="99"/>
  <c r="Q93" i="99"/>
  <c r="D8" i="186"/>
  <c r="E9" i="186" s="1"/>
  <c r="V15" i="92"/>
  <c r="AA15" i="92" s="1"/>
  <c r="G74" i="140"/>
  <c r="V90" i="105"/>
  <c r="D74" i="137"/>
  <c r="D74" i="142"/>
  <c r="E74" i="142"/>
  <c r="F74" i="140"/>
  <c r="F74" i="136"/>
  <c r="F72" i="167"/>
  <c r="N93" i="99"/>
  <c r="G74" i="136"/>
  <c r="E74" i="137"/>
  <c r="E76" i="137"/>
  <c r="T18" i="92"/>
  <c r="Y18" i="92" s="1"/>
  <c r="G26" i="168"/>
  <c r="G76" i="136"/>
  <c r="G74" i="167"/>
  <c r="F76" i="140"/>
  <c r="F74" i="167"/>
  <c r="F76" i="137"/>
  <c r="F74" i="168"/>
  <c r="G72" i="168"/>
  <c r="F74" i="137"/>
  <c r="F72" i="168"/>
  <c r="G74" i="168"/>
  <c r="F26" i="168"/>
  <c r="D74" i="168"/>
  <c r="E35" i="165"/>
  <c r="E35" i="166"/>
  <c r="G41" i="165"/>
  <c r="G41" i="166"/>
  <c r="F41" i="165"/>
  <c r="F41" i="166"/>
  <c r="D76" i="137"/>
  <c r="V18" i="92"/>
  <c r="AA18" i="92" s="1"/>
  <c r="G76" i="140"/>
  <c r="N95" i="99"/>
  <c r="F74" i="142"/>
  <c r="G74" i="142"/>
  <c r="G76" i="137"/>
  <c r="F76" i="142"/>
  <c r="G74" i="137"/>
  <c r="G76" i="142"/>
  <c r="U18" i="92"/>
  <c r="Z18" i="92" s="1"/>
  <c r="U20" i="92"/>
  <c r="Z20" i="92" s="1"/>
  <c r="S20" i="92"/>
  <c r="X20" i="92" s="1"/>
  <c r="AA95" i="105"/>
  <c r="V90" i="99"/>
  <c r="C81" i="145"/>
  <c r="U93" i="99"/>
  <c r="AA90" i="99"/>
  <c r="M9" i="101"/>
  <c r="K9" i="101"/>
  <c r="D9" i="101"/>
  <c r="L9" i="101"/>
  <c r="O8" i="101"/>
  <c r="AC88" i="105"/>
  <c r="I9" i="127"/>
  <c r="C9" i="127"/>
  <c r="AC88" i="99"/>
  <c r="F9" i="127"/>
  <c r="AK41" i="55"/>
  <c r="L18" i="145"/>
  <c r="AK20" i="55"/>
  <c r="AQ20" i="55" s="1"/>
  <c r="AK42" i="55"/>
  <c r="AK44" i="55"/>
  <c r="AQ44" i="55" s="1"/>
  <c r="AK37" i="55"/>
  <c r="AQ37" i="55" s="1"/>
  <c r="AK38" i="55"/>
  <c r="AQ38" i="55" s="1"/>
  <c r="AK40" i="55"/>
  <c r="AQ40" i="55" s="1"/>
  <c r="AK19" i="55"/>
  <c r="AQ19" i="55" s="1"/>
  <c r="E8" i="111"/>
  <c r="AK21" i="55"/>
  <c r="AQ21" i="55" s="1"/>
  <c r="AK39" i="55"/>
  <c r="AQ39" i="55" s="1"/>
  <c r="G56" i="58"/>
  <c r="F40" i="132"/>
  <c r="F82" i="150" s="1"/>
  <c r="H56" i="58"/>
  <c r="AL44" i="55"/>
  <c r="AR44" i="55" s="1"/>
  <c r="AL41" i="55"/>
  <c r="AR41" i="55" s="1"/>
  <c r="O18" i="145"/>
  <c r="AL19" i="55"/>
  <c r="AR19" i="55" s="1"/>
  <c r="AL21" i="55"/>
  <c r="AR21" i="55" s="1"/>
  <c r="AL20" i="55"/>
  <c r="AR20" i="55" s="1"/>
  <c r="AL42" i="55"/>
  <c r="AL40" i="55"/>
  <c r="AR40" i="55" s="1"/>
  <c r="G40" i="132"/>
  <c r="G82" i="150" s="1"/>
  <c r="F8" i="111"/>
  <c r="AL39" i="55"/>
  <c r="AR39" i="55" s="1"/>
  <c r="AL38" i="55"/>
  <c r="AR38" i="55" s="1"/>
  <c r="AL37" i="55"/>
  <c r="AR37" i="55" s="1"/>
  <c r="F16" i="142"/>
  <c r="F16" i="137"/>
  <c r="C48" i="115"/>
  <c r="G16" i="142"/>
  <c r="G16" i="137"/>
  <c r="C49" i="115"/>
  <c r="D47" i="115"/>
  <c r="K180" i="99" l="1"/>
  <c r="T20" i="92"/>
  <c r="Y20" i="92" s="1"/>
  <c r="AA93" i="105"/>
  <c r="D9" i="186"/>
  <c r="L9" i="186"/>
  <c r="M9" i="186"/>
  <c r="K9" i="186"/>
  <c r="O8" i="186"/>
  <c r="S18" i="92"/>
  <c r="X18" i="92" s="1"/>
  <c r="V95" i="105"/>
  <c r="V20" i="92"/>
  <c r="AA20" i="92" s="1"/>
  <c r="F35" i="165"/>
  <c r="F35" i="166"/>
  <c r="K35" i="165"/>
  <c r="P35" i="165"/>
  <c r="K35" i="166"/>
  <c r="P35" i="166"/>
  <c r="G35" i="166"/>
  <c r="G35" i="165"/>
  <c r="V93" i="105"/>
  <c r="H9" i="127"/>
  <c r="D49" i="115"/>
  <c r="G42" i="108"/>
  <c r="C42" i="108"/>
  <c r="H7" i="108" s="1"/>
  <c r="D48" i="115"/>
  <c r="Q35" i="165" l="1"/>
  <c r="L35" i="165"/>
  <c r="Q35" i="166"/>
  <c r="L35" i="166"/>
  <c r="R35" i="166"/>
  <c r="M35" i="166"/>
  <c r="R35" i="165"/>
  <c r="M35" i="165"/>
  <c r="J7" i="108"/>
  <c r="I7" i="108"/>
  <c r="I1" i="100" l="1"/>
  <c r="J1" i="100"/>
  <c r="G1" i="100" l="1"/>
  <c r="L42" i="55"/>
  <c r="P38" i="55"/>
  <c r="P37" i="55"/>
  <c r="P39" i="55"/>
  <c r="H1" i="100"/>
  <c r="P41" i="55"/>
  <c r="P40" i="55"/>
  <c r="P42" i="55"/>
  <c r="Q34" i="188" l="1"/>
  <c r="J67" i="105"/>
  <c r="J201" i="105" s="1"/>
  <c r="J67" i="99"/>
  <c r="J201" i="99" s="1"/>
  <c r="AD40" i="55"/>
  <c r="F39" i="112"/>
  <c r="P39" i="112" s="1"/>
  <c r="F41" i="112"/>
  <c r="P41" i="112" s="1"/>
  <c r="AD42" i="55"/>
  <c r="AP42" i="55" s="1"/>
  <c r="AD39" i="55"/>
  <c r="F38" i="112"/>
  <c r="P38" i="112" s="1"/>
  <c r="AD38" i="55"/>
  <c r="F37" i="112"/>
  <c r="P37" i="112" s="1"/>
  <c r="F40" i="112"/>
  <c r="P40" i="112" s="1"/>
  <c r="AD41" i="55"/>
  <c r="AP41" i="55" s="1"/>
  <c r="AD37" i="55"/>
  <c r="F36" i="112"/>
  <c r="P36" i="112" s="1"/>
  <c r="E41" i="112"/>
  <c r="G201" i="99" l="1"/>
  <c r="H201" i="99"/>
  <c r="E201" i="99" s="1"/>
  <c r="H201" i="105"/>
  <c r="E201" i="105" s="1"/>
  <c r="P39" i="109" s="1"/>
  <c r="G201" i="105"/>
  <c r="AP38" i="55"/>
  <c r="AG38" i="55"/>
  <c r="H67" i="105"/>
  <c r="AP37" i="55"/>
  <c r="AG37" i="55"/>
  <c r="AP39" i="55"/>
  <c r="AG39" i="55"/>
  <c r="AP40" i="55"/>
  <c r="AG40" i="55"/>
  <c r="D48" i="167"/>
  <c r="D48" i="168"/>
  <c r="H55" i="145"/>
  <c r="D51" i="140"/>
  <c r="W67" i="99"/>
  <c r="H67" i="99"/>
  <c r="O39" i="109" l="1"/>
  <c r="Q39" i="109" s="1"/>
  <c r="AD67" i="99"/>
  <c r="AF67" i="99" s="1"/>
  <c r="R34" i="188"/>
  <c r="S34" i="188"/>
  <c r="J41" i="112"/>
  <c r="O41" i="112" s="1"/>
  <c r="AC67" i="99"/>
  <c r="AE67" i="99" s="1"/>
  <c r="D51" i="136"/>
  <c r="D51" i="142"/>
  <c r="D51" i="137"/>
  <c r="W67" i="105"/>
  <c r="AD67" i="105"/>
  <c r="AF67" i="105" s="1"/>
  <c r="U34" i="188" l="1"/>
  <c r="T34" i="188"/>
  <c r="AC67" i="105"/>
  <c r="AE67" i="105" s="1"/>
  <c r="J68" i="145" l="1"/>
  <c r="L83" i="99"/>
  <c r="K80" i="99"/>
  <c r="G14" i="189" s="1"/>
  <c r="E17" i="129" l="1"/>
  <c r="E20" i="129" s="1"/>
  <c r="E33" i="129" s="1"/>
  <c r="K250" i="99"/>
  <c r="K83" i="99"/>
  <c r="H74" i="115"/>
  <c r="B74" i="115" s="1"/>
  <c r="C8" i="127" l="1"/>
  <c r="C7" i="127" l="1"/>
  <c r="G8" i="127" l="1"/>
  <c r="AC87" i="105"/>
  <c r="F8" i="127"/>
  <c r="H8" i="127" s="1"/>
  <c r="AC87" i="99"/>
  <c r="D8" i="127"/>
  <c r="I8" i="127" l="1"/>
  <c r="D7" i="127"/>
  <c r="G7" i="127"/>
  <c r="AC86" i="105"/>
  <c r="AC86" i="99"/>
  <c r="F7" i="127"/>
  <c r="H7" i="127" l="1"/>
  <c r="I7" i="127"/>
  <c r="C49" i="108"/>
  <c r="G49" i="108"/>
  <c r="B42" i="108" l="1"/>
  <c r="F42" i="108"/>
  <c r="B44" i="108"/>
  <c r="F44" i="108"/>
  <c r="F48" i="108"/>
  <c r="B48" i="108"/>
  <c r="F39" i="108"/>
  <c r="B39" i="108"/>
  <c r="B45" i="108"/>
  <c r="F45" i="108"/>
  <c r="F46" i="108"/>
  <c r="B46" i="108"/>
  <c r="F40" i="108"/>
  <c r="B40" i="108"/>
  <c r="F43" i="108"/>
  <c r="B43" i="108"/>
  <c r="L29" i="115" l="1"/>
  <c r="N29" i="115" s="1"/>
  <c r="D21" i="127" l="1"/>
  <c r="G21" i="127"/>
  <c r="K7" i="127" s="1"/>
  <c r="AC91" i="105"/>
  <c r="AC92" i="105"/>
  <c r="C35" i="146"/>
  <c r="F35" i="146" s="1"/>
  <c r="M35" i="146" s="1"/>
  <c r="I21" i="127" l="1"/>
  <c r="AC91" i="99"/>
  <c r="AC92" i="99"/>
  <c r="F21" i="127"/>
  <c r="J7" i="127" s="1"/>
  <c r="C21" i="127"/>
  <c r="H21" i="127" l="1"/>
  <c r="C41" i="108" l="1"/>
  <c r="H9" i="108" s="1"/>
  <c r="G41" i="108"/>
  <c r="J9" i="108" l="1"/>
  <c r="I9" i="108"/>
  <c r="B41" i="108" l="1"/>
  <c r="F41" i="108"/>
  <c r="U56" i="102" l="1"/>
  <c r="V56" i="102" l="1"/>
  <c r="M84" i="99" l="1"/>
  <c r="K69" i="145"/>
  <c r="D72" i="167" l="1"/>
  <c r="D74" i="136" l="1"/>
  <c r="H93" i="99"/>
  <c r="D74" i="140"/>
  <c r="D74" i="167"/>
  <c r="N20" i="61"/>
  <c r="N18" i="61"/>
  <c r="N15" i="61"/>
  <c r="D12" i="134" l="1"/>
  <c r="D87" i="150" s="1"/>
  <c r="D47" i="165"/>
  <c r="D17" i="134"/>
  <c r="D91" i="150" s="1"/>
  <c r="D52" i="165"/>
  <c r="D15" i="134"/>
  <c r="D89" i="150" s="1"/>
  <c r="D50" i="165"/>
  <c r="D76" i="136"/>
  <c r="H95" i="99"/>
  <c r="D76" i="140"/>
  <c r="AA93" i="99"/>
  <c r="V93" i="99"/>
  <c r="V52" i="165" l="1"/>
  <c r="W52" i="165"/>
  <c r="W50" i="165"/>
  <c r="V50" i="165"/>
  <c r="W47" i="165"/>
  <c r="V47" i="165"/>
  <c r="AA95" i="99"/>
  <c r="V95" i="99"/>
  <c r="H17" i="54" l="1"/>
  <c r="H16" i="54" s="1"/>
  <c r="H21" i="54" l="1"/>
  <c r="H14" i="54"/>
  <c r="J109" i="49"/>
  <c r="J108" i="49" s="1"/>
  <c r="J146" i="49" s="1"/>
  <c r="J147" i="49" s="1"/>
  <c r="N51" i="54"/>
  <c r="N50" i="54" s="1"/>
  <c r="H19" i="54" l="1"/>
  <c r="N28" i="54"/>
  <c r="N22" i="54" s="1"/>
  <c r="N17" i="54" s="1"/>
  <c r="G50" i="54"/>
  <c r="N48" i="54"/>
  <c r="N47" i="54" s="1"/>
  <c r="N26" i="54" s="1"/>
  <c r="J148" i="49"/>
  <c r="G51" i="54"/>
  <c r="W51" i="54" s="1"/>
  <c r="W50" i="54" l="1"/>
  <c r="K163" i="54"/>
  <c r="N21" i="54"/>
  <c r="G21" i="54" s="1"/>
  <c r="G22" i="54"/>
  <c r="N24" i="54"/>
  <c r="K11" i="21" s="1"/>
  <c r="K28" i="21" s="1"/>
  <c r="K69" i="21" s="1"/>
  <c r="K70" i="21" s="1"/>
  <c r="N27" i="54"/>
  <c r="K29" i="21"/>
  <c r="N16" i="54"/>
  <c r="N14" i="54" s="1"/>
  <c r="G28" i="54"/>
  <c r="D6" i="129"/>
  <c r="C6" i="129" s="1"/>
  <c r="D199" i="54"/>
  <c r="G199" i="54" s="1"/>
  <c r="D7" i="129"/>
  <c r="I7" i="129" s="1"/>
  <c r="K171" i="54"/>
  <c r="G51" i="61"/>
  <c r="G50" i="61" s="1"/>
  <c r="G48" i="54"/>
  <c r="W48" i="54" s="1"/>
  <c r="K164" i="54" l="1"/>
  <c r="J163" i="54"/>
  <c r="W28" i="54"/>
  <c r="G27" i="54"/>
  <c r="N19" i="54"/>
  <c r="K12" i="21"/>
  <c r="G17" i="54"/>
  <c r="D9" i="164"/>
  <c r="C9" i="164"/>
  <c r="D193" i="54"/>
  <c r="D158" i="54"/>
  <c r="H48" i="61"/>
  <c r="G48" i="61" s="1"/>
  <c r="G47" i="61" s="1"/>
  <c r="E38" i="58"/>
  <c r="E37" i="58" s="1"/>
  <c r="D29" i="21"/>
  <c r="E21" i="98"/>
  <c r="G34" i="22"/>
  <c r="G47" i="54"/>
  <c r="D194" i="54"/>
  <c r="D198" i="54"/>
  <c r="C7" i="129"/>
  <c r="H31" i="99" l="1"/>
  <c r="I31" i="99" s="1"/>
  <c r="H31" i="105"/>
  <c r="I31" i="105" s="1"/>
  <c r="Q163" i="54"/>
  <c r="L168" i="54"/>
  <c r="J164" i="54"/>
  <c r="L169" i="54" s="1"/>
  <c r="K168" i="54"/>
  <c r="G26" i="54"/>
  <c r="C9" i="20" s="1"/>
  <c r="G49" i="54"/>
  <c r="W27" i="54"/>
  <c r="W22" i="54"/>
  <c r="W17" i="54"/>
  <c r="W47" i="54"/>
  <c r="G16" i="54"/>
  <c r="W16" i="54" s="1"/>
  <c r="D38" i="58"/>
  <c r="D37" i="58" s="1"/>
  <c r="H47" i="61"/>
  <c r="F193" i="54"/>
  <c r="D153" i="54"/>
  <c r="J8" i="166"/>
  <c r="J8" i="165"/>
  <c r="D157" i="54"/>
  <c r="H53" i="109" s="1"/>
  <c r="B2" i="163"/>
  <c r="J7" i="132"/>
  <c r="H51" i="61"/>
  <c r="H50" i="61" s="1"/>
  <c r="D208" i="54"/>
  <c r="E208" i="54" s="1"/>
  <c r="G198" i="54"/>
  <c r="E200" i="54"/>
  <c r="E202" i="54"/>
  <c r="E198" i="54"/>
  <c r="G31" i="159" s="1"/>
  <c r="L31" i="159" s="1"/>
  <c r="E201" i="54"/>
  <c r="P163" i="54"/>
  <c r="E195" i="54"/>
  <c r="N154" i="54" s="1"/>
  <c r="E197" i="54"/>
  <c r="N156" i="54" s="1"/>
  <c r="E196" i="54"/>
  <c r="N155" i="54" s="1"/>
  <c r="E203" i="54"/>
  <c r="H31" i="159" s="1"/>
  <c r="E199" i="54"/>
  <c r="G24" i="54"/>
  <c r="W24" i="54" s="1"/>
  <c r="E23" i="98"/>
  <c r="G14" i="54"/>
  <c r="G36" i="22"/>
  <c r="E194" i="54"/>
  <c r="C27" i="20" l="1"/>
  <c r="C47" i="20" s="1"/>
  <c r="C15" i="20"/>
  <c r="W26" i="54"/>
  <c r="E159" i="54"/>
  <c r="E31" i="105"/>
  <c r="F31" i="105" s="1"/>
  <c r="L58" i="55"/>
  <c r="K178" i="54"/>
  <c r="K169" i="54"/>
  <c r="W14" i="54"/>
  <c r="G19" i="22"/>
  <c r="G19" i="54"/>
  <c r="G20" i="22" s="1"/>
  <c r="H49" i="54"/>
  <c r="I49" i="54" s="1"/>
  <c r="J49" i="54" s="1"/>
  <c r="K49" i="54" s="1"/>
  <c r="L49" i="54" s="1"/>
  <c r="M49" i="54" s="1"/>
  <c r="N49" i="54" s="1"/>
  <c r="O49" i="54" s="1"/>
  <c r="P49" i="54" s="1"/>
  <c r="Q49" i="54" s="1"/>
  <c r="R49" i="54" s="1"/>
  <c r="S49" i="54" s="1"/>
  <c r="W49" i="54"/>
  <c r="D152" i="54"/>
  <c r="E153" i="54" s="1"/>
  <c r="E31" i="99"/>
  <c r="F31" i="99" s="1"/>
  <c r="E161" i="54"/>
  <c r="E158" i="54"/>
  <c r="I7" i="132"/>
  <c r="C45" i="130" s="1"/>
  <c r="E160" i="54"/>
  <c r="B1" i="163"/>
  <c r="AC44" i="55"/>
  <c r="E57" i="112"/>
  <c r="H58" i="55"/>
  <c r="AC21" i="55"/>
  <c r="AC39" i="55"/>
  <c r="AC42" i="55"/>
  <c r="AC58" i="55"/>
  <c r="AC40" i="55"/>
  <c r="E53" i="58"/>
  <c r="E54" i="58" s="1"/>
  <c r="D54" i="58" s="1"/>
  <c r="J31" i="166"/>
  <c r="I31" i="166" s="1"/>
  <c r="H31" i="166" s="1"/>
  <c r="J31" i="165"/>
  <c r="I31" i="165" s="1"/>
  <c r="H31" i="165" s="1"/>
  <c r="I8" i="166"/>
  <c r="H8" i="166" s="1"/>
  <c r="I8" i="165"/>
  <c r="H8" i="165" s="1"/>
  <c r="I30" i="99"/>
  <c r="D12" i="167" s="1"/>
  <c r="B46" i="115"/>
  <c r="AC19" i="55"/>
  <c r="AC20" i="55"/>
  <c r="AC38" i="55"/>
  <c r="AC37" i="55"/>
  <c r="D45" i="150"/>
  <c r="D45" i="130"/>
  <c r="J30" i="132"/>
  <c r="I30" i="132" s="1"/>
  <c r="H30" i="132" s="1"/>
  <c r="G21" i="92"/>
  <c r="H31" i="160"/>
  <c r="G21" i="61"/>
  <c r="G31" i="160"/>
  <c r="J26" i="98"/>
  <c r="J23" i="98"/>
  <c r="K23" i="98" s="1"/>
  <c r="G33" i="22"/>
  <c r="G37" i="22" s="1"/>
  <c r="J24" i="98"/>
  <c r="E26" i="98"/>
  <c r="E193" i="54"/>
  <c r="N153" i="54"/>
  <c r="C53" i="166" l="1"/>
  <c r="D14" i="188"/>
  <c r="J19" i="109"/>
  <c r="G96" i="105"/>
  <c r="C29" i="146" s="1"/>
  <c r="H21" i="92"/>
  <c r="I21" i="92"/>
  <c r="K21" i="92"/>
  <c r="J21" i="92"/>
  <c r="F179" i="54"/>
  <c r="G179" i="54" s="1"/>
  <c r="G22" i="20"/>
  <c r="I22" i="20" s="1"/>
  <c r="G15" i="84" s="1"/>
  <c r="E12" i="58"/>
  <c r="E12" i="93"/>
  <c r="E24" i="93" s="1"/>
  <c r="H14" i="188"/>
  <c r="H19" i="109"/>
  <c r="I19" i="109" s="1"/>
  <c r="G96" i="99"/>
  <c r="E96" i="99" s="1"/>
  <c r="I14" i="188" s="1"/>
  <c r="H21" i="61"/>
  <c r="J21" i="61"/>
  <c r="K21" i="61"/>
  <c r="I21" i="61"/>
  <c r="D12" i="93"/>
  <c r="D24" i="93" s="1"/>
  <c r="D12" i="58"/>
  <c r="D24" i="58" s="1"/>
  <c r="F47" i="171"/>
  <c r="P60" i="55"/>
  <c r="X60" i="55"/>
  <c r="T60" i="55"/>
  <c r="I30" i="105"/>
  <c r="H30" i="105" s="1"/>
  <c r="E30" i="105" s="1"/>
  <c r="L60" i="55"/>
  <c r="K177" i="54"/>
  <c r="M177" i="54" s="1"/>
  <c r="C19" i="145"/>
  <c r="G15" i="100"/>
  <c r="E156" i="54"/>
  <c r="G21" i="22"/>
  <c r="D53" i="58"/>
  <c r="E157" i="54"/>
  <c r="W21" i="54"/>
  <c r="W19" i="54"/>
  <c r="K153" i="54"/>
  <c r="L41" i="55"/>
  <c r="L49" i="55"/>
  <c r="E48" i="112" s="1"/>
  <c r="T49" i="55"/>
  <c r="AB49" i="55"/>
  <c r="AB20" i="55"/>
  <c r="AB58" i="55"/>
  <c r="AG58" i="55" s="1"/>
  <c r="P164" i="54"/>
  <c r="T42" i="55"/>
  <c r="AE42" i="55" s="1"/>
  <c r="D57" i="112"/>
  <c r="E154" i="54"/>
  <c r="D11" i="21"/>
  <c r="D28" i="21" s="1"/>
  <c r="D69" i="21" s="1"/>
  <c r="F153" i="54"/>
  <c r="P49" i="55"/>
  <c r="AB37" i="55"/>
  <c r="AB48" i="55"/>
  <c r="T48" i="55"/>
  <c r="AB39" i="55"/>
  <c r="P48" i="55"/>
  <c r="AD48" i="55" s="1"/>
  <c r="G8" i="100"/>
  <c r="G16" i="100" s="1"/>
  <c r="X42" i="55"/>
  <c r="H41" i="112" s="1"/>
  <c r="R41" i="112" s="1"/>
  <c r="AB21" i="55"/>
  <c r="J90" i="85"/>
  <c r="K90" i="85" s="1"/>
  <c r="K89" i="85" s="1"/>
  <c r="I89" i="85" s="1"/>
  <c r="X48" i="55"/>
  <c r="AB42" i="55"/>
  <c r="AB40" i="55"/>
  <c r="L48" i="55"/>
  <c r="Q40" i="188" s="1"/>
  <c r="E162" i="54"/>
  <c r="F152" i="54"/>
  <c r="E155" i="54"/>
  <c r="E152" i="54"/>
  <c r="F178" i="54" s="1"/>
  <c r="G178" i="54" s="1"/>
  <c r="G9" i="84"/>
  <c r="G35" i="84" s="1"/>
  <c r="P35" i="100" s="1"/>
  <c r="X49" i="55"/>
  <c r="T41" i="55"/>
  <c r="AE41" i="55" s="1"/>
  <c r="AB44" i="55"/>
  <c r="AB41" i="55"/>
  <c r="AB38" i="55"/>
  <c r="B45" i="115"/>
  <c r="AB19" i="55"/>
  <c r="D209" i="54"/>
  <c r="D16" i="140"/>
  <c r="C45" i="150"/>
  <c r="H7" i="132"/>
  <c r="U53" i="166"/>
  <c r="F30" i="99"/>
  <c r="D18" i="145" s="1"/>
  <c r="D30" i="145" s="1"/>
  <c r="G18" i="145"/>
  <c r="G30" i="145" s="1"/>
  <c r="H30" i="99"/>
  <c r="D41" i="165" s="1"/>
  <c r="D16" i="136"/>
  <c r="H20" i="171"/>
  <c r="I20" i="171" s="1"/>
  <c r="D26" i="167"/>
  <c r="D47" i="171"/>
  <c r="T47" i="171" s="1"/>
  <c r="U47" i="171" s="1"/>
  <c r="G37" i="171"/>
  <c r="E37" i="171" s="1"/>
  <c r="G34" i="171"/>
  <c r="E34" i="171" s="1"/>
  <c r="G32" i="171"/>
  <c r="E32" i="171" s="1"/>
  <c r="G16" i="171"/>
  <c r="G30" i="171"/>
  <c r="E30" i="171" s="1"/>
  <c r="G41" i="171"/>
  <c r="E41" i="171" s="1"/>
  <c r="G35" i="171"/>
  <c r="E35" i="171" s="1"/>
  <c r="G33" i="171"/>
  <c r="E33" i="171" s="1"/>
  <c r="G42" i="171"/>
  <c r="E42" i="171" s="1"/>
  <c r="G31" i="171"/>
  <c r="E31" i="171" s="1"/>
  <c r="C18" i="134"/>
  <c r="C92" i="150" s="1"/>
  <c r="C53" i="165"/>
  <c r="C17" i="133"/>
  <c r="T96" i="105"/>
  <c r="Q21" i="61"/>
  <c r="P21" i="61"/>
  <c r="T96" i="99"/>
  <c r="P15" i="100"/>
  <c r="G36" i="84"/>
  <c r="P36" i="100" s="1"/>
  <c r="L17" i="55"/>
  <c r="G41" i="22"/>
  <c r="G40" i="22" s="1"/>
  <c r="G38" i="22"/>
  <c r="G35" i="22"/>
  <c r="F154" i="54"/>
  <c r="F37" i="132"/>
  <c r="AC41" i="55"/>
  <c r="E33" i="98"/>
  <c r="K26" i="98"/>
  <c r="K155" i="54"/>
  <c r="G24" i="84"/>
  <c r="P24" i="100" s="1"/>
  <c r="K61" i="21"/>
  <c r="K254" i="21" s="1"/>
  <c r="K190" i="21"/>
  <c r="K54" i="21"/>
  <c r="K33" i="21"/>
  <c r="K40" i="21"/>
  <c r="K251" i="21" s="1"/>
  <c r="K252" i="21"/>
  <c r="D36" i="21"/>
  <c r="K32" i="21"/>
  <c r="K188" i="21"/>
  <c r="K53" i="21"/>
  <c r="K247" i="21"/>
  <c r="K39" i="21"/>
  <c r="K246" i="21" s="1"/>
  <c r="K60" i="21"/>
  <c r="K249" i="21" s="1"/>
  <c r="D35" i="21"/>
  <c r="AC49" i="55"/>
  <c r="H48" i="112"/>
  <c r="F8" i="114" l="1"/>
  <c r="J89" i="85"/>
  <c r="H89" i="85" s="1"/>
  <c r="H74" i="99"/>
  <c r="R41" i="188" s="1"/>
  <c r="E56" i="58"/>
  <c r="E28" i="93"/>
  <c r="D28" i="93" s="1"/>
  <c r="D32" i="93" s="1"/>
  <c r="D12" i="168"/>
  <c r="D26" i="168" s="1"/>
  <c r="D16" i="142"/>
  <c r="J14" i="188"/>
  <c r="AQ42" i="55"/>
  <c r="AG42" i="55"/>
  <c r="E40" i="112"/>
  <c r="O40" i="112" s="1"/>
  <c r="Q33" i="188"/>
  <c r="T33" i="188" s="1"/>
  <c r="P96" i="99"/>
  <c r="J96" i="99"/>
  <c r="S96" i="99"/>
  <c r="M96" i="99"/>
  <c r="E75" i="167" s="1"/>
  <c r="E24" i="58"/>
  <c r="E28" i="58"/>
  <c r="D19" i="109"/>
  <c r="K19" i="109"/>
  <c r="AQ41" i="55"/>
  <c r="AG41" i="55"/>
  <c r="F181" i="54"/>
  <c r="G181" i="54" s="1"/>
  <c r="G24" i="20"/>
  <c r="I24" i="20" s="1"/>
  <c r="F180" i="54"/>
  <c r="G180" i="54" s="1"/>
  <c r="G23" i="20"/>
  <c r="I23" i="20" s="1"/>
  <c r="H74" i="105"/>
  <c r="S41" i="188" s="1"/>
  <c r="U41" i="188" s="1"/>
  <c r="Q41" i="188"/>
  <c r="T41" i="188" s="1"/>
  <c r="F182" i="54"/>
  <c r="G182" i="54" s="1"/>
  <c r="G25" i="20"/>
  <c r="I25" i="20" s="1"/>
  <c r="S96" i="105"/>
  <c r="Q96" i="105" s="1"/>
  <c r="J96" i="105"/>
  <c r="H96" i="105" s="1"/>
  <c r="E96" i="105"/>
  <c r="E14" i="188" s="1"/>
  <c r="F14" i="188" s="1"/>
  <c r="P96" i="105"/>
  <c r="N96" i="105" s="1"/>
  <c r="M96" i="105"/>
  <c r="K96" i="105" s="1"/>
  <c r="F30" i="105"/>
  <c r="K112" i="115"/>
  <c r="K120" i="115" s="1"/>
  <c r="Q9" i="188"/>
  <c r="AI37" i="55"/>
  <c r="AO37" i="55" s="1"/>
  <c r="B50" i="115"/>
  <c r="F7" i="114"/>
  <c r="H73" i="105"/>
  <c r="S40" i="188" s="1"/>
  <c r="G39" i="165"/>
  <c r="M39" i="165" s="1"/>
  <c r="Q73" i="105"/>
  <c r="N74" i="99"/>
  <c r="N74" i="105"/>
  <c r="G79" i="84"/>
  <c r="P79" i="100" s="1"/>
  <c r="F39" i="165"/>
  <c r="Q39" i="165" s="1"/>
  <c r="N73" i="105"/>
  <c r="Q74" i="105"/>
  <c r="G8" i="114"/>
  <c r="K74" i="105"/>
  <c r="G15" i="114" s="1"/>
  <c r="G29" i="114" s="1"/>
  <c r="L179" i="54"/>
  <c r="M179" i="54" s="1"/>
  <c r="C11" i="20" s="1"/>
  <c r="L180" i="54"/>
  <c r="M180" i="54" s="1"/>
  <c r="C12" i="20" s="1"/>
  <c r="L181" i="54"/>
  <c r="M181" i="54" s="1"/>
  <c r="C13" i="20" s="1"/>
  <c r="G70" i="84"/>
  <c r="P70" i="100" s="1"/>
  <c r="E39" i="166"/>
  <c r="K73" i="105"/>
  <c r="G14" i="114" s="1"/>
  <c r="L178" i="54"/>
  <c r="M178" i="54" s="1"/>
  <c r="C10" i="20" s="1"/>
  <c r="D16" i="137"/>
  <c r="I12" i="168"/>
  <c r="J8" i="100"/>
  <c r="J16" i="100" s="1"/>
  <c r="D53" i="21"/>
  <c r="D248" i="21" s="1"/>
  <c r="K248" i="21"/>
  <c r="K245" i="21" s="1"/>
  <c r="D54" i="21"/>
  <c r="D253" i="21" s="1"/>
  <c r="K253" i="21"/>
  <c r="K250" i="21" s="1"/>
  <c r="H8" i="114"/>
  <c r="H47" i="112"/>
  <c r="B12" i="128"/>
  <c r="K12" i="128" s="1"/>
  <c r="AF48" i="55"/>
  <c r="E32" i="93"/>
  <c r="G48" i="112"/>
  <c r="F156" i="54"/>
  <c r="D12" i="21"/>
  <c r="D39" i="165"/>
  <c r="J39" i="165" s="1"/>
  <c r="D37" i="132"/>
  <c r="O37" i="132" s="1"/>
  <c r="AE49" i="55"/>
  <c r="J9" i="84"/>
  <c r="J45" i="84" s="1"/>
  <c r="S45" i="100" s="1"/>
  <c r="G37" i="132"/>
  <c r="G42" i="150" s="1"/>
  <c r="E47" i="112"/>
  <c r="K156" i="54"/>
  <c r="G39" i="166"/>
  <c r="M39" i="166" s="1"/>
  <c r="Q74" i="99"/>
  <c r="M48" i="112" s="1"/>
  <c r="R48" i="112" s="1"/>
  <c r="F48" i="112"/>
  <c r="G18" i="84"/>
  <c r="P18" i="100" s="1"/>
  <c r="G48" i="84"/>
  <c r="P48" i="100" s="1"/>
  <c r="G56" i="84"/>
  <c r="P56" i="100" s="1"/>
  <c r="G33" i="84"/>
  <c r="P33" i="100" s="1"/>
  <c r="G43" i="84"/>
  <c r="P43" i="100" s="1"/>
  <c r="G32" i="84"/>
  <c r="P32" i="100" s="1"/>
  <c r="AF42" i="55"/>
  <c r="AR42" i="55" s="1"/>
  <c r="G72" i="84"/>
  <c r="P72" i="100" s="1"/>
  <c r="G69" i="84"/>
  <c r="P69" i="100" s="1"/>
  <c r="G75" i="84"/>
  <c r="P75" i="100" s="1"/>
  <c r="G27" i="84"/>
  <c r="P27" i="100" s="1"/>
  <c r="G47" i="84"/>
  <c r="P47" i="100" s="1"/>
  <c r="G45" i="84"/>
  <c r="P45" i="100" s="1"/>
  <c r="G54" i="84"/>
  <c r="P54" i="100" s="1"/>
  <c r="AF49" i="55"/>
  <c r="I7" i="114"/>
  <c r="AD49" i="55"/>
  <c r="AC48" i="55"/>
  <c r="K74" i="99"/>
  <c r="AJ49" i="55" s="1"/>
  <c r="H73" i="99"/>
  <c r="D39" i="166"/>
  <c r="O39" i="166" s="1"/>
  <c r="I8" i="114"/>
  <c r="E8" i="114" s="1"/>
  <c r="D8" i="114" s="1"/>
  <c r="Q73" i="99"/>
  <c r="AL48" i="55" s="1"/>
  <c r="G29" i="84"/>
  <c r="P29" i="100" s="1"/>
  <c r="G30" i="84"/>
  <c r="P30" i="100" s="1"/>
  <c r="G21" i="84"/>
  <c r="P21" i="100" s="1"/>
  <c r="G19" i="84"/>
  <c r="P19" i="100" s="1"/>
  <c r="G47" i="112"/>
  <c r="G34" i="84"/>
  <c r="P34" i="100" s="1"/>
  <c r="G55" i="84"/>
  <c r="P55" i="100" s="1"/>
  <c r="G76" i="84"/>
  <c r="P76" i="100" s="1"/>
  <c r="G60" i="84"/>
  <c r="P60" i="100" s="1"/>
  <c r="G40" i="84"/>
  <c r="P40" i="100" s="1"/>
  <c r="G53" i="84"/>
  <c r="P53" i="100" s="1"/>
  <c r="G77" i="84"/>
  <c r="P77" i="100" s="1"/>
  <c r="G41" i="84"/>
  <c r="P41" i="100" s="1"/>
  <c r="G74" i="84"/>
  <c r="P74" i="100" s="1"/>
  <c r="G58" i="84"/>
  <c r="P58" i="100" s="1"/>
  <c r="G38" i="84"/>
  <c r="P38" i="100" s="1"/>
  <c r="G51" i="84"/>
  <c r="P51" i="100" s="1"/>
  <c r="N73" i="99"/>
  <c r="AK48" i="55" s="1"/>
  <c r="G16" i="84"/>
  <c r="L18" i="55" s="1"/>
  <c r="Q10" i="188" s="1"/>
  <c r="G28" i="84"/>
  <c r="P28" i="100" s="1"/>
  <c r="G26" i="84"/>
  <c r="P26" i="100" s="1"/>
  <c r="G25" i="84"/>
  <c r="P25" i="100" s="1"/>
  <c r="AE48" i="55"/>
  <c r="G41" i="112"/>
  <c r="Q41" i="112" s="1"/>
  <c r="G50" i="84"/>
  <c r="P50" i="100" s="1"/>
  <c r="G63" i="84"/>
  <c r="P63" i="100" s="1"/>
  <c r="G80" i="84"/>
  <c r="P80" i="100" s="1"/>
  <c r="G64" i="84"/>
  <c r="P64" i="100" s="1"/>
  <c r="G44" i="84"/>
  <c r="P44" i="100" s="1"/>
  <c r="G65" i="84"/>
  <c r="P65" i="100" s="1"/>
  <c r="G81" i="84"/>
  <c r="P81" i="100" s="1"/>
  <c r="G57" i="84"/>
  <c r="P57" i="100" s="1"/>
  <c r="G78" i="84"/>
  <c r="P78" i="100" s="1"/>
  <c r="G62" i="84"/>
  <c r="P62" i="100" s="1"/>
  <c r="G42" i="84"/>
  <c r="P42" i="100" s="1"/>
  <c r="G59" i="84"/>
  <c r="P59" i="100" s="1"/>
  <c r="F39" i="166"/>
  <c r="L39" i="166" s="1"/>
  <c r="G17" i="84"/>
  <c r="P17" i="100" s="1"/>
  <c r="G22" i="84"/>
  <c r="P22" i="100" s="1"/>
  <c r="G20" i="84"/>
  <c r="P20" i="100" s="1"/>
  <c r="G23" i="84"/>
  <c r="P23" i="100" s="1"/>
  <c r="H7" i="114"/>
  <c r="G49" i="84"/>
  <c r="P49" i="100" s="1"/>
  <c r="G71" i="84"/>
  <c r="P71" i="100" s="1"/>
  <c r="G39" i="84"/>
  <c r="P39" i="100" s="1"/>
  <c r="G68" i="84"/>
  <c r="P68" i="100" s="1"/>
  <c r="G52" i="84"/>
  <c r="P52" i="100" s="1"/>
  <c r="G73" i="84"/>
  <c r="P73" i="100" s="1"/>
  <c r="G37" i="84"/>
  <c r="P37" i="100" s="1"/>
  <c r="G61" i="84"/>
  <c r="P61" i="100" s="1"/>
  <c r="G82" i="84"/>
  <c r="G66" i="84"/>
  <c r="P66" i="100" s="1"/>
  <c r="G46" i="84"/>
  <c r="P46" i="100" s="1"/>
  <c r="G67" i="84"/>
  <c r="P67" i="100" s="1"/>
  <c r="G40" i="112"/>
  <c r="Q40" i="112" s="1"/>
  <c r="F155" i="54"/>
  <c r="F18" i="145"/>
  <c r="G7" i="114"/>
  <c r="K154" i="54"/>
  <c r="I9" i="84"/>
  <c r="I60" i="84" s="1"/>
  <c r="R60" i="100" s="1"/>
  <c r="AI44" i="55"/>
  <c r="AO44" i="55" s="1"/>
  <c r="E37" i="132"/>
  <c r="E42" i="151" s="1"/>
  <c r="H8" i="100"/>
  <c r="H16" i="100" s="1"/>
  <c r="E39" i="165"/>
  <c r="K39" i="165" s="1"/>
  <c r="I8" i="100"/>
  <c r="I16" i="100" s="1"/>
  <c r="F47" i="112"/>
  <c r="H9" i="84"/>
  <c r="H55" i="84" s="1"/>
  <c r="Q55" i="100" s="1"/>
  <c r="K73" i="99"/>
  <c r="U53" i="165"/>
  <c r="AI21" i="55"/>
  <c r="AO21" i="55" s="1"/>
  <c r="AI20" i="55"/>
  <c r="AO20" i="55" s="1"/>
  <c r="C8" i="111"/>
  <c r="E30" i="99"/>
  <c r="I12" i="167" s="1"/>
  <c r="AI38" i="55"/>
  <c r="AO38" i="55" s="1"/>
  <c r="AI41" i="55"/>
  <c r="AO41" i="55" s="1"/>
  <c r="D41" i="166"/>
  <c r="AI19" i="55"/>
  <c r="AO19" i="55" s="1"/>
  <c r="AI40" i="55"/>
  <c r="AO40" i="55" s="1"/>
  <c r="D40" i="132"/>
  <c r="D82" i="150" s="1"/>
  <c r="AI39" i="55"/>
  <c r="AO39" i="55" s="1"/>
  <c r="AI42" i="55"/>
  <c r="AO42" i="55" s="1"/>
  <c r="D32" i="168"/>
  <c r="D32" i="167"/>
  <c r="F32" i="167"/>
  <c r="F32" i="168"/>
  <c r="G32" i="167"/>
  <c r="G32" i="168"/>
  <c r="E32" i="168"/>
  <c r="E32" i="167"/>
  <c r="R18" i="145"/>
  <c r="G18" i="134"/>
  <c r="G92" i="150" s="1"/>
  <c r="G53" i="165"/>
  <c r="K39" i="166"/>
  <c r="P39" i="166"/>
  <c r="D35" i="166"/>
  <c r="D35" i="165"/>
  <c r="F18" i="134"/>
  <c r="F92" i="150" s="1"/>
  <c r="F53" i="165"/>
  <c r="N21" i="61"/>
  <c r="D17" i="133"/>
  <c r="G17" i="133"/>
  <c r="E17" i="133"/>
  <c r="F17" i="133"/>
  <c r="F75" i="167"/>
  <c r="D75" i="167"/>
  <c r="U96" i="99"/>
  <c r="U96" i="105"/>
  <c r="D75" i="168"/>
  <c r="P21" i="92"/>
  <c r="F53" i="166" s="1"/>
  <c r="O21" i="92"/>
  <c r="E53" i="166" s="1"/>
  <c r="N21" i="92"/>
  <c r="D53" i="166" s="1"/>
  <c r="F75" i="168"/>
  <c r="G75" i="167"/>
  <c r="Q21" i="92"/>
  <c r="G53" i="166" s="1"/>
  <c r="J41" i="84"/>
  <c r="S41" i="100" s="1"/>
  <c r="J53" i="84"/>
  <c r="S53" i="100" s="1"/>
  <c r="J61" i="84"/>
  <c r="S61" i="100" s="1"/>
  <c r="J73" i="84"/>
  <c r="S73" i="100" s="1"/>
  <c r="J81" i="84"/>
  <c r="S81" i="100" s="1"/>
  <c r="J36" i="84"/>
  <c r="S36" i="100" s="1"/>
  <c r="J44" i="84"/>
  <c r="S44" i="100" s="1"/>
  <c r="J56" i="84"/>
  <c r="S56" i="100" s="1"/>
  <c r="J64" i="84"/>
  <c r="S64" i="100" s="1"/>
  <c r="J72" i="84"/>
  <c r="S72" i="100" s="1"/>
  <c r="J80" i="84"/>
  <c r="S80" i="100" s="1"/>
  <c r="J35" i="84"/>
  <c r="S35" i="100" s="1"/>
  <c r="J43" i="84"/>
  <c r="S43" i="100" s="1"/>
  <c r="J55" i="84"/>
  <c r="S55" i="100" s="1"/>
  <c r="J63" i="84"/>
  <c r="S63" i="100" s="1"/>
  <c r="J71" i="84"/>
  <c r="S71" i="100" s="1"/>
  <c r="J79" i="84"/>
  <c r="S79" i="100" s="1"/>
  <c r="J38" i="84"/>
  <c r="S38" i="100" s="1"/>
  <c r="J46" i="84"/>
  <c r="S46" i="100" s="1"/>
  <c r="J58" i="84"/>
  <c r="S58" i="100" s="1"/>
  <c r="J66" i="84"/>
  <c r="S66" i="100" s="1"/>
  <c r="J74" i="84"/>
  <c r="S74" i="100" s="1"/>
  <c r="J82" i="84"/>
  <c r="J49" i="84"/>
  <c r="S49" i="100" s="1"/>
  <c r="J48" i="84"/>
  <c r="S48" i="100" s="1"/>
  <c r="H62" i="84"/>
  <c r="Q62" i="100" s="1"/>
  <c r="I38" i="84"/>
  <c r="R38" i="100" s="1"/>
  <c r="R83" i="21"/>
  <c r="D70" i="21"/>
  <c r="K46" i="21"/>
  <c r="K63" i="21"/>
  <c r="K64" i="21"/>
  <c r="D44" i="21"/>
  <c r="D252" i="21" s="1"/>
  <c r="Q224" i="21" s="1"/>
  <c r="D61" i="21"/>
  <c r="D254" i="21" s="1"/>
  <c r="Q226" i="21" s="1"/>
  <c r="D33" i="21"/>
  <c r="D190" i="21"/>
  <c r="S36" i="21"/>
  <c r="D40" i="21"/>
  <c r="D251" i="21" s="1"/>
  <c r="Q223" i="21" s="1"/>
  <c r="K30" i="145"/>
  <c r="X42" i="99"/>
  <c r="E35" i="140"/>
  <c r="K42" i="99"/>
  <c r="L113" i="115" s="1"/>
  <c r="M39" i="99"/>
  <c r="G35" i="142"/>
  <c r="G35" i="137"/>
  <c r="Z42" i="105"/>
  <c r="G35" i="136"/>
  <c r="F35" i="136"/>
  <c r="F35" i="142"/>
  <c r="Y42" i="105"/>
  <c r="F35" i="137"/>
  <c r="D32" i="21"/>
  <c r="D60" i="21"/>
  <c r="D249" i="21" s="1"/>
  <c r="Q221" i="21" s="1"/>
  <c r="D188" i="21"/>
  <c r="S35" i="21"/>
  <c r="D43" i="21"/>
  <c r="D247" i="21" s="1"/>
  <c r="Q219" i="21" s="1"/>
  <c r="D39" i="21"/>
  <c r="D246" i="21" s="1"/>
  <c r="Q218" i="21" s="1"/>
  <c r="D34" i="21"/>
  <c r="J48" i="112"/>
  <c r="O48" i="112" s="1"/>
  <c r="AC74" i="99"/>
  <c r="AE74" i="99" s="1"/>
  <c r="C13" i="111"/>
  <c r="C14" i="111" s="1"/>
  <c r="J74" i="99"/>
  <c r="J208" i="99" s="1"/>
  <c r="AI49" i="55"/>
  <c r="AO49" i="55" s="1"/>
  <c r="I30" i="84"/>
  <c r="R30" i="100" s="1"/>
  <c r="R37" i="132"/>
  <c r="E32" i="98"/>
  <c r="F33" i="98"/>
  <c r="E35" i="136"/>
  <c r="X42" i="105"/>
  <c r="E35" i="142"/>
  <c r="E35" i="137"/>
  <c r="L47" i="112"/>
  <c r="F42" i="150"/>
  <c r="F79" i="150"/>
  <c r="F42" i="131"/>
  <c r="F42" i="130"/>
  <c r="F42" i="151"/>
  <c r="L37" i="132"/>
  <c r="Q37" i="132"/>
  <c r="K48" i="112"/>
  <c r="Q30" i="145"/>
  <c r="Q42" i="99"/>
  <c r="L115" i="115" s="1"/>
  <c r="Z42" i="99"/>
  <c r="G35" i="140"/>
  <c r="S39" i="99"/>
  <c r="D31" i="145"/>
  <c r="E43" i="99"/>
  <c r="B25" i="146"/>
  <c r="J47" i="112"/>
  <c r="O47" i="112" s="1"/>
  <c r="L48" i="112"/>
  <c r="P74" i="99"/>
  <c r="P208" i="99" s="1"/>
  <c r="N208" i="99" s="1"/>
  <c r="AK49" i="55"/>
  <c r="E13" i="111"/>
  <c r="E14" i="111" s="1"/>
  <c r="E16" i="112"/>
  <c r="AC17" i="55"/>
  <c r="K47" i="21"/>
  <c r="K242" i="21"/>
  <c r="K232" i="21" s="1"/>
  <c r="K59" i="21"/>
  <c r="K244" i="21" s="1"/>
  <c r="K234" i="21" s="1"/>
  <c r="K52" i="21"/>
  <c r="K187" i="21"/>
  <c r="K38" i="21"/>
  <c r="K31" i="21"/>
  <c r="U18" i="145"/>
  <c r="M73" i="99"/>
  <c r="M207" i="99" s="1"/>
  <c r="K207" i="99" s="1"/>
  <c r="D42" i="151"/>
  <c r="Y42" i="99"/>
  <c r="N30" i="145"/>
  <c r="F35" i="140"/>
  <c r="N42" i="99"/>
  <c r="L114" i="115" s="1"/>
  <c r="P39" i="99"/>
  <c r="J26" i="84"/>
  <c r="S26" i="100" s="1"/>
  <c r="J24" i="84"/>
  <c r="S24" i="100" s="1"/>
  <c r="J20" i="84"/>
  <c r="S20" i="100" s="1"/>
  <c r="J19" i="84"/>
  <c r="S19" i="100" s="1"/>
  <c r="J30" i="84"/>
  <c r="S30" i="100" s="1"/>
  <c r="J21" i="84"/>
  <c r="S21" i="100" s="1"/>
  <c r="J17" i="84"/>
  <c r="J16" i="84"/>
  <c r="E77" i="140" l="1"/>
  <c r="L39" i="165"/>
  <c r="E77" i="136"/>
  <c r="D42" i="130"/>
  <c r="H208" i="99"/>
  <c r="K96" i="99"/>
  <c r="AC74" i="105"/>
  <c r="AE74" i="105" s="1"/>
  <c r="E75" i="168"/>
  <c r="G75" i="168"/>
  <c r="C84" i="145"/>
  <c r="J74" i="105"/>
  <c r="C31" i="20"/>
  <c r="C51" i="20" s="1"/>
  <c r="C19" i="20"/>
  <c r="E13" i="20"/>
  <c r="J15" i="100"/>
  <c r="J15" i="84"/>
  <c r="H15" i="100"/>
  <c r="H15" i="84"/>
  <c r="D28" i="58"/>
  <c r="D32" i="58" s="1"/>
  <c r="E32" i="58"/>
  <c r="J73" i="99"/>
  <c r="J207" i="99" s="1"/>
  <c r="R40" i="188"/>
  <c r="C28" i="20"/>
  <c r="C48" i="20" s="1"/>
  <c r="E10" i="20"/>
  <c r="C16" i="20"/>
  <c r="C29" i="20"/>
  <c r="C49" i="20" s="1"/>
  <c r="C17" i="20"/>
  <c r="E11" i="20"/>
  <c r="I15" i="84"/>
  <c r="T17" i="55" s="1"/>
  <c r="I15" i="100"/>
  <c r="R15" i="100" s="1"/>
  <c r="C18" i="20"/>
  <c r="E12" i="20"/>
  <c r="C30" i="20"/>
  <c r="C50" i="20" s="1"/>
  <c r="R39" i="165"/>
  <c r="AA43" i="99"/>
  <c r="O10" i="188"/>
  <c r="L122" i="115"/>
  <c r="L121" i="115"/>
  <c r="L123" i="115"/>
  <c r="D12" i="132"/>
  <c r="I43" i="105"/>
  <c r="M74" i="105"/>
  <c r="M208" i="105" s="1"/>
  <c r="K208" i="105" s="1"/>
  <c r="P73" i="105"/>
  <c r="P207" i="105" s="1"/>
  <c r="N207" i="105" s="1"/>
  <c r="G23" i="98"/>
  <c r="P74" i="105"/>
  <c r="P208" i="105" s="1"/>
  <c r="N208" i="105" s="1"/>
  <c r="J73" i="105"/>
  <c r="AD73" i="105" s="1"/>
  <c r="AF73" i="105" s="1"/>
  <c r="H23" i="98"/>
  <c r="S74" i="105"/>
  <c r="S208" i="105" s="1"/>
  <c r="Q208" i="105" s="1"/>
  <c r="F23" i="98"/>
  <c r="M73" i="105"/>
  <c r="M207" i="105" s="1"/>
  <c r="K207" i="105" s="1"/>
  <c r="I23" i="98"/>
  <c r="S73" i="105"/>
  <c r="S207" i="105" s="1"/>
  <c r="Q207" i="105" s="1"/>
  <c r="C46" i="115"/>
  <c r="D46" i="115" s="1"/>
  <c r="J32" i="84"/>
  <c r="S32" i="100" s="1"/>
  <c r="J22" i="84"/>
  <c r="S22" i="100" s="1"/>
  <c r="J27" i="84"/>
  <c r="S27" i="100" s="1"/>
  <c r="J18" i="84"/>
  <c r="S18" i="100" s="1"/>
  <c r="J50" i="84"/>
  <c r="S50" i="100" s="1"/>
  <c r="J78" i="84"/>
  <c r="S78" i="100" s="1"/>
  <c r="J62" i="84"/>
  <c r="S62" i="100" s="1"/>
  <c r="J42" i="84"/>
  <c r="S42" i="100" s="1"/>
  <c r="J75" i="84"/>
  <c r="S75" i="100" s="1"/>
  <c r="J59" i="84"/>
  <c r="S59" i="100" s="1"/>
  <c r="J39" i="84"/>
  <c r="S39" i="100" s="1"/>
  <c r="J76" i="84"/>
  <c r="S76" i="100" s="1"/>
  <c r="J60" i="84"/>
  <c r="S60" i="100" s="1"/>
  <c r="J40" i="84"/>
  <c r="S40" i="100" s="1"/>
  <c r="J77" i="84"/>
  <c r="S77" i="100" s="1"/>
  <c r="J57" i="84"/>
  <c r="S57" i="100" s="1"/>
  <c r="J37" i="84"/>
  <c r="S37" i="100" s="1"/>
  <c r="J29" i="84"/>
  <c r="S29" i="100" s="1"/>
  <c r="J25" i="84"/>
  <c r="S25" i="100" s="1"/>
  <c r="J28" i="84"/>
  <c r="S28" i="100" s="1"/>
  <c r="J23" i="84"/>
  <c r="S23" i="100" s="1"/>
  <c r="J65" i="84"/>
  <c r="S65" i="100" s="1"/>
  <c r="J70" i="84"/>
  <c r="S70" i="100" s="1"/>
  <c r="J54" i="84"/>
  <c r="S54" i="100" s="1"/>
  <c r="J34" i="84"/>
  <c r="S34" i="100" s="1"/>
  <c r="J67" i="84"/>
  <c r="S67" i="100" s="1"/>
  <c r="J51" i="84"/>
  <c r="S51" i="100" s="1"/>
  <c r="J47" i="84"/>
  <c r="S47" i="100" s="1"/>
  <c r="J68" i="84"/>
  <c r="S68" i="100" s="1"/>
  <c r="J52" i="84"/>
  <c r="S52" i="100" s="1"/>
  <c r="J33" i="84"/>
  <c r="S33" i="100" s="1"/>
  <c r="J69" i="84"/>
  <c r="S69" i="100" s="1"/>
  <c r="I16" i="136"/>
  <c r="F12" i="128"/>
  <c r="G28" i="114"/>
  <c r="AH20" i="55"/>
  <c r="AN20" i="55" s="1"/>
  <c r="M47" i="112"/>
  <c r="R47" i="112" s="1"/>
  <c r="O39" i="165"/>
  <c r="P37" i="132"/>
  <c r="N37" i="132" s="1"/>
  <c r="C42" i="151" s="1"/>
  <c r="AC73" i="105"/>
  <c r="AE73" i="105" s="1"/>
  <c r="G55" i="168"/>
  <c r="J12" i="128"/>
  <c r="AH49" i="55"/>
  <c r="AN49" i="55" s="1"/>
  <c r="B8" i="111"/>
  <c r="E42" i="131"/>
  <c r="K37" i="132"/>
  <c r="S73" i="99"/>
  <c r="S207" i="99" s="1"/>
  <c r="Q207" i="99" s="1"/>
  <c r="Q48" i="112"/>
  <c r="G22" i="114"/>
  <c r="L22" i="55"/>
  <c r="E21" i="112" s="1"/>
  <c r="E7" i="114"/>
  <c r="D7" i="114" s="1"/>
  <c r="G12" i="128"/>
  <c r="M74" i="99"/>
  <c r="AH41" i="55"/>
  <c r="AN41" i="55" s="1"/>
  <c r="E79" i="150"/>
  <c r="D13" i="111"/>
  <c r="D14" i="111" s="1"/>
  <c r="Q220" i="21"/>
  <c r="Q225" i="21"/>
  <c r="D250" i="21"/>
  <c r="D245" i="21"/>
  <c r="P16" i="100"/>
  <c r="K45" i="21"/>
  <c r="K241" i="21"/>
  <c r="K231" i="21" s="1"/>
  <c r="D52" i="21"/>
  <c r="D243" i="21" s="1"/>
  <c r="K243" i="21"/>
  <c r="K233" i="21" s="1"/>
  <c r="D42" i="131"/>
  <c r="D79" i="150"/>
  <c r="AC73" i="99"/>
  <c r="AE73" i="99" s="1"/>
  <c r="G42" i="130"/>
  <c r="G42" i="151"/>
  <c r="S74" i="99"/>
  <c r="S208" i="99" s="1"/>
  <c r="Q208" i="99" s="1"/>
  <c r="R39" i="166"/>
  <c r="J37" i="132"/>
  <c r="D42" i="150"/>
  <c r="AI48" i="55"/>
  <c r="G79" i="150"/>
  <c r="M37" i="132"/>
  <c r="AL49" i="55"/>
  <c r="AR49" i="55" s="1"/>
  <c r="F13" i="111"/>
  <c r="F14" i="111" s="1"/>
  <c r="G42" i="131"/>
  <c r="L26" i="55"/>
  <c r="P48" i="112"/>
  <c r="I77" i="84"/>
  <c r="R77" i="100" s="1"/>
  <c r="H77" i="84"/>
  <c r="Q77" i="100" s="1"/>
  <c r="J39" i="166"/>
  <c r="I39" i="166" s="1"/>
  <c r="AQ48" i="55"/>
  <c r="H59" i="84"/>
  <c r="Q59" i="100" s="1"/>
  <c r="P39" i="165"/>
  <c r="AR48" i="55"/>
  <c r="AQ49" i="55"/>
  <c r="H18" i="84"/>
  <c r="Q18" i="100" s="1"/>
  <c r="I39" i="84"/>
  <c r="R39" i="100" s="1"/>
  <c r="Q47" i="112"/>
  <c r="I16" i="84"/>
  <c r="T18" i="55" s="1"/>
  <c r="H29" i="84"/>
  <c r="Q29" i="100" s="1"/>
  <c r="I56" i="84"/>
  <c r="R56" i="100" s="1"/>
  <c r="I70" i="84"/>
  <c r="R70" i="100" s="1"/>
  <c r="I55" i="84"/>
  <c r="R55" i="100" s="1"/>
  <c r="H49" i="84"/>
  <c r="Q49" i="100" s="1"/>
  <c r="H44" i="84"/>
  <c r="Q44" i="100" s="1"/>
  <c r="H78" i="84"/>
  <c r="Q78" i="100" s="1"/>
  <c r="W39" i="166"/>
  <c r="AP49" i="55"/>
  <c r="I18" i="84"/>
  <c r="R18" i="100" s="1"/>
  <c r="H28" i="84"/>
  <c r="Q28" i="100" s="1"/>
  <c r="I50" i="84"/>
  <c r="R50" i="100" s="1"/>
  <c r="I41" i="84"/>
  <c r="R41" i="100" s="1"/>
  <c r="I71" i="84"/>
  <c r="R71" i="100" s="1"/>
  <c r="I36" i="84"/>
  <c r="R36" i="100" s="1"/>
  <c r="H64" i="84"/>
  <c r="Q64" i="100" s="1"/>
  <c r="H53" i="84"/>
  <c r="Q53" i="100" s="1"/>
  <c r="H63" i="84"/>
  <c r="Q63" i="100" s="1"/>
  <c r="I23" i="84"/>
  <c r="R23" i="100" s="1"/>
  <c r="H22" i="84"/>
  <c r="Q22" i="100" s="1"/>
  <c r="G90" i="84"/>
  <c r="I61" i="84"/>
  <c r="R61" i="100" s="1"/>
  <c r="I58" i="84"/>
  <c r="R58" i="100" s="1"/>
  <c r="I64" i="84"/>
  <c r="R64" i="100" s="1"/>
  <c r="H80" i="84"/>
  <c r="Q80" i="100" s="1"/>
  <c r="H81" i="84"/>
  <c r="Q81" i="100" s="1"/>
  <c r="H42" i="84"/>
  <c r="Q42" i="100" s="1"/>
  <c r="AJ48" i="55"/>
  <c r="AP48" i="55" s="1"/>
  <c r="L27" i="55"/>
  <c r="G21" i="114"/>
  <c r="K47" i="112"/>
  <c r="P47" i="112" s="1"/>
  <c r="AO48" i="55"/>
  <c r="P73" i="99"/>
  <c r="Q39" i="166"/>
  <c r="I17" i="84"/>
  <c r="R17" i="100" s="1"/>
  <c r="I20" i="84"/>
  <c r="R20" i="100" s="1"/>
  <c r="I27" i="84"/>
  <c r="R27" i="100" s="1"/>
  <c r="I21" i="84"/>
  <c r="R21" i="100" s="1"/>
  <c r="H32" i="84"/>
  <c r="Q32" i="100" s="1"/>
  <c r="H27" i="84"/>
  <c r="Q27" i="100" s="1"/>
  <c r="H25" i="84"/>
  <c r="Q25" i="100" s="1"/>
  <c r="H24" i="84"/>
  <c r="Q24" i="100" s="1"/>
  <c r="L24" i="55"/>
  <c r="I48" i="84"/>
  <c r="R48" i="100" s="1"/>
  <c r="I68" i="84"/>
  <c r="R68" i="100" s="1"/>
  <c r="I81" i="84"/>
  <c r="R81" i="100" s="1"/>
  <c r="I65" i="84"/>
  <c r="R65" i="100" s="1"/>
  <c r="I45" i="84"/>
  <c r="R45" i="100" s="1"/>
  <c r="I74" i="84"/>
  <c r="R74" i="100" s="1"/>
  <c r="I42" i="84"/>
  <c r="R42" i="100" s="1"/>
  <c r="I66" i="84"/>
  <c r="R66" i="100" s="1"/>
  <c r="I75" i="84"/>
  <c r="R75" i="100" s="1"/>
  <c r="I59" i="84"/>
  <c r="R59" i="100" s="1"/>
  <c r="I43" i="84"/>
  <c r="R43" i="100" s="1"/>
  <c r="I72" i="84"/>
  <c r="R72" i="100" s="1"/>
  <c r="I40" i="84"/>
  <c r="R40" i="100" s="1"/>
  <c r="H50" i="84"/>
  <c r="Q50" i="100" s="1"/>
  <c r="H67" i="84"/>
  <c r="Q67" i="100" s="1"/>
  <c r="H35" i="84"/>
  <c r="Q35" i="100" s="1"/>
  <c r="H68" i="84"/>
  <c r="Q68" i="100" s="1"/>
  <c r="H52" i="84"/>
  <c r="Q52" i="100" s="1"/>
  <c r="H33" i="84"/>
  <c r="Q33" i="100" s="1"/>
  <c r="H41" i="84"/>
  <c r="Q41" i="100" s="1"/>
  <c r="H61" i="84"/>
  <c r="Q61" i="100" s="1"/>
  <c r="H82" i="84"/>
  <c r="H66" i="84"/>
  <c r="Q66" i="100" s="1"/>
  <c r="H46" i="84"/>
  <c r="Q46" i="100" s="1"/>
  <c r="H71" i="84"/>
  <c r="Q71" i="100" s="1"/>
  <c r="H39" i="84"/>
  <c r="Q39" i="100" s="1"/>
  <c r="F55" i="167"/>
  <c r="H17" i="84"/>
  <c r="Q17" i="100" s="1"/>
  <c r="H23" i="84"/>
  <c r="Q23" i="100" s="1"/>
  <c r="H21" i="84"/>
  <c r="Q21" i="100" s="1"/>
  <c r="H20" i="84"/>
  <c r="Q20" i="100" s="1"/>
  <c r="I76" i="84"/>
  <c r="R76" i="100" s="1"/>
  <c r="I33" i="84"/>
  <c r="R33" i="100" s="1"/>
  <c r="I69" i="84"/>
  <c r="R69" i="100" s="1"/>
  <c r="I53" i="84"/>
  <c r="R53" i="100" s="1"/>
  <c r="I82" i="84"/>
  <c r="I54" i="84"/>
  <c r="R54" i="100" s="1"/>
  <c r="I78" i="84"/>
  <c r="R78" i="100" s="1"/>
  <c r="I79" i="84"/>
  <c r="R79" i="100" s="1"/>
  <c r="I63" i="84"/>
  <c r="R63" i="100" s="1"/>
  <c r="I47" i="84"/>
  <c r="R47" i="100" s="1"/>
  <c r="I80" i="84"/>
  <c r="R80" i="100" s="1"/>
  <c r="I52" i="84"/>
  <c r="R52" i="100" s="1"/>
  <c r="H48" i="84"/>
  <c r="Q48" i="100" s="1"/>
  <c r="H75" i="84"/>
  <c r="Q75" i="100" s="1"/>
  <c r="H43" i="84"/>
  <c r="Q43" i="100" s="1"/>
  <c r="H72" i="84"/>
  <c r="Q72" i="100" s="1"/>
  <c r="H56" i="84"/>
  <c r="Q56" i="100" s="1"/>
  <c r="H36" i="84"/>
  <c r="Q36" i="100" s="1"/>
  <c r="H57" i="84"/>
  <c r="Q57" i="100" s="1"/>
  <c r="H69" i="84"/>
  <c r="Q69" i="100" s="1"/>
  <c r="H37" i="84"/>
  <c r="Q37" i="100" s="1"/>
  <c r="H70" i="84"/>
  <c r="Q70" i="100" s="1"/>
  <c r="H54" i="84"/>
  <c r="Q54" i="100" s="1"/>
  <c r="H34" i="84"/>
  <c r="Q34" i="100" s="1"/>
  <c r="H47" i="84"/>
  <c r="Q47" i="100" s="1"/>
  <c r="W39" i="165"/>
  <c r="I32" i="84"/>
  <c r="R32" i="100" s="1"/>
  <c r="I19" i="84"/>
  <c r="R19" i="100" s="1"/>
  <c r="I25" i="84"/>
  <c r="R25" i="100" s="1"/>
  <c r="I24" i="84"/>
  <c r="R24" i="100" s="1"/>
  <c r="G31" i="84"/>
  <c r="L28" i="55" s="1"/>
  <c r="Q20" i="188" s="1"/>
  <c r="I29" i="84"/>
  <c r="R29" i="100" s="1"/>
  <c r="I26" i="84"/>
  <c r="R26" i="100" s="1"/>
  <c r="I28" i="84"/>
  <c r="R28" i="100" s="1"/>
  <c r="I22" i="84"/>
  <c r="R22" i="100" s="1"/>
  <c r="H16" i="84"/>
  <c r="Q16" i="100" s="1"/>
  <c r="H19" i="84"/>
  <c r="Q19" i="100" s="1"/>
  <c r="H26" i="84"/>
  <c r="Q26" i="100" s="1"/>
  <c r="H30" i="84"/>
  <c r="Q30" i="100" s="1"/>
  <c r="I49" i="84"/>
  <c r="R49" i="100" s="1"/>
  <c r="I44" i="84"/>
  <c r="R44" i="100" s="1"/>
  <c r="I73" i="84"/>
  <c r="R73" i="100" s="1"/>
  <c r="I57" i="84"/>
  <c r="R57" i="100" s="1"/>
  <c r="I37" i="84"/>
  <c r="R37" i="100" s="1"/>
  <c r="I62" i="84"/>
  <c r="R62" i="100" s="1"/>
  <c r="I34" i="84"/>
  <c r="R34" i="100" s="1"/>
  <c r="I46" i="84"/>
  <c r="R46" i="100" s="1"/>
  <c r="I67" i="84"/>
  <c r="R67" i="100" s="1"/>
  <c r="I51" i="84"/>
  <c r="R51" i="100" s="1"/>
  <c r="I35" i="84"/>
  <c r="R35" i="100" s="1"/>
  <c r="F9" i="84"/>
  <c r="H79" i="84"/>
  <c r="Q79" i="100" s="1"/>
  <c r="H51" i="84"/>
  <c r="Q51" i="100" s="1"/>
  <c r="H76" i="84"/>
  <c r="Q76" i="100" s="1"/>
  <c r="H60" i="84"/>
  <c r="Q60" i="100" s="1"/>
  <c r="H40" i="84"/>
  <c r="Q40" i="100" s="1"/>
  <c r="H65" i="84"/>
  <c r="Q65" i="100" s="1"/>
  <c r="H73" i="84"/>
  <c r="Q73" i="100" s="1"/>
  <c r="H45" i="84"/>
  <c r="Q45" i="100" s="1"/>
  <c r="H74" i="84"/>
  <c r="Q74" i="100" s="1"/>
  <c r="H58" i="84"/>
  <c r="Q58" i="100" s="1"/>
  <c r="H38" i="84"/>
  <c r="Q38" i="100" s="1"/>
  <c r="N16" i="100"/>
  <c r="F8" i="100"/>
  <c r="D53" i="109"/>
  <c r="C18" i="145"/>
  <c r="AH39" i="55"/>
  <c r="AN39" i="55" s="1"/>
  <c r="AH19" i="55"/>
  <c r="AN19" i="55" s="1"/>
  <c r="AH37" i="55"/>
  <c r="AN37" i="55" s="1"/>
  <c r="C45" i="115"/>
  <c r="N49" i="115" s="1"/>
  <c r="AH17" i="55"/>
  <c r="I16" i="140"/>
  <c r="D56" i="58"/>
  <c r="AH48" i="55"/>
  <c r="AN48" i="55" s="1"/>
  <c r="C41" i="165"/>
  <c r="C40" i="132"/>
  <c r="E32" i="132" s="1"/>
  <c r="AH38" i="55"/>
  <c r="AN38" i="55" s="1"/>
  <c r="AH40" i="55"/>
  <c r="AN40" i="55" s="1"/>
  <c r="AH44" i="55"/>
  <c r="AN44" i="55" s="1"/>
  <c r="AH21" i="55"/>
  <c r="AN21" i="55" s="1"/>
  <c r="AH42" i="55"/>
  <c r="AN42" i="55" s="1"/>
  <c r="C41" i="166"/>
  <c r="U34" i="166" s="1"/>
  <c r="W53" i="166"/>
  <c r="V53" i="166"/>
  <c r="W35" i="166"/>
  <c r="W35" i="165"/>
  <c r="F31" i="168"/>
  <c r="F31" i="167"/>
  <c r="D31" i="168"/>
  <c r="D31" i="167"/>
  <c r="G31" i="167"/>
  <c r="G31" i="168"/>
  <c r="E31" i="167"/>
  <c r="E31" i="168"/>
  <c r="E17" i="112"/>
  <c r="D13" i="165"/>
  <c r="D13" i="166"/>
  <c r="D18" i="134"/>
  <c r="D92" i="150" s="1"/>
  <c r="D53" i="165"/>
  <c r="O35" i="165"/>
  <c r="N35" i="165" s="1"/>
  <c r="J35" i="165"/>
  <c r="I35" i="165" s="1"/>
  <c r="I39" i="165"/>
  <c r="O35" i="166"/>
  <c r="N35" i="166" s="1"/>
  <c r="J35" i="166"/>
  <c r="I35" i="166" s="1"/>
  <c r="AC18" i="55"/>
  <c r="D77" i="142"/>
  <c r="D77" i="137"/>
  <c r="F77" i="142"/>
  <c r="F77" i="137"/>
  <c r="E77" i="142"/>
  <c r="E77" i="137"/>
  <c r="F77" i="140"/>
  <c r="F77" i="136"/>
  <c r="N96" i="99"/>
  <c r="Q96" i="99"/>
  <c r="G77" i="136"/>
  <c r="G77" i="140"/>
  <c r="G77" i="137"/>
  <c r="G77" i="142"/>
  <c r="D77" i="136"/>
  <c r="H96" i="99"/>
  <c r="D77" i="140"/>
  <c r="I43" i="99"/>
  <c r="X22" i="55"/>
  <c r="S17" i="100"/>
  <c r="X18" i="55"/>
  <c r="R43" i="105" s="1"/>
  <c r="S16" i="100"/>
  <c r="K67" i="21"/>
  <c r="X27" i="55"/>
  <c r="G18" i="132" s="1"/>
  <c r="K66" i="21"/>
  <c r="D63" i="21"/>
  <c r="D46" i="21"/>
  <c r="X24" i="55"/>
  <c r="AK17" i="55"/>
  <c r="L16" i="112"/>
  <c r="L30" i="145"/>
  <c r="K61" i="145"/>
  <c r="E58" i="140"/>
  <c r="X73" i="99"/>
  <c r="G59" i="136"/>
  <c r="Z74" i="105"/>
  <c r="I15" i="114"/>
  <c r="I29" i="114" s="1"/>
  <c r="G59" i="142"/>
  <c r="G59" i="137"/>
  <c r="D35" i="140"/>
  <c r="H30" i="145"/>
  <c r="A43" i="99"/>
  <c r="W42" i="99"/>
  <c r="H42" i="99"/>
  <c r="J39" i="99"/>
  <c r="F32" i="98"/>
  <c r="G33" i="98"/>
  <c r="T26" i="55"/>
  <c r="I16" i="142"/>
  <c r="I16" i="137"/>
  <c r="F34" i="136"/>
  <c r="F34" i="142"/>
  <c r="F34" i="137"/>
  <c r="Y39" i="105"/>
  <c r="I30" i="145"/>
  <c r="AJ17" i="55"/>
  <c r="K16" i="112"/>
  <c r="Z73" i="105"/>
  <c r="G58" i="137"/>
  <c r="I14" i="114"/>
  <c r="I28" i="114" s="1"/>
  <c r="G58" i="136"/>
  <c r="G58" i="142"/>
  <c r="K62" i="21"/>
  <c r="E58" i="137"/>
  <c r="E58" i="136"/>
  <c r="K184" i="21"/>
  <c r="F58" i="137"/>
  <c r="F58" i="136"/>
  <c r="Y73" i="105"/>
  <c r="F58" i="142"/>
  <c r="H14" i="114"/>
  <c r="H28" i="114" s="1"/>
  <c r="A43" i="105"/>
  <c r="D35" i="142"/>
  <c r="W42" i="105"/>
  <c r="D35" i="136"/>
  <c r="D35" i="137"/>
  <c r="AD42" i="105"/>
  <c r="AF42" i="105" s="1"/>
  <c r="N62" i="145"/>
  <c r="H22" i="114"/>
  <c r="F59" i="140"/>
  <c r="Y74" i="99"/>
  <c r="Y74" i="105"/>
  <c r="F59" i="142"/>
  <c r="H15" i="114"/>
  <c r="H29" i="114" s="1"/>
  <c r="F59" i="136"/>
  <c r="F59" i="137"/>
  <c r="K27" i="145"/>
  <c r="E34" i="140"/>
  <c r="X39" i="99"/>
  <c r="N27" i="145"/>
  <c r="F34" i="140"/>
  <c r="Y39" i="99"/>
  <c r="X26" i="55"/>
  <c r="N48" i="115"/>
  <c r="G58" i="140"/>
  <c r="Z73" i="99"/>
  <c r="Q61" i="145"/>
  <c r="I21" i="114"/>
  <c r="D59" i="142"/>
  <c r="W74" i="105"/>
  <c r="F15" i="114"/>
  <c r="AD74" i="105"/>
  <c r="AF74" i="105" s="1"/>
  <c r="D59" i="136"/>
  <c r="D59" i="137"/>
  <c r="W73" i="99"/>
  <c r="F21" i="114"/>
  <c r="H61" i="145"/>
  <c r="AD73" i="99"/>
  <c r="AF73" i="99" s="1"/>
  <c r="D58" i="140"/>
  <c r="Z39" i="99"/>
  <c r="Q27" i="145"/>
  <c r="G34" i="140"/>
  <c r="AL17" i="55"/>
  <c r="O30" i="145"/>
  <c r="M16" i="112"/>
  <c r="E34" i="137"/>
  <c r="E34" i="136"/>
  <c r="E34" i="142"/>
  <c r="X39" i="105"/>
  <c r="D54" i="150"/>
  <c r="J12" i="132"/>
  <c r="O12" i="132"/>
  <c r="H62" i="145"/>
  <c r="F22" i="114"/>
  <c r="AD74" i="99"/>
  <c r="AF74" i="99" s="1"/>
  <c r="W74" i="99"/>
  <c r="D59" i="140"/>
  <c r="D59" i="21"/>
  <c r="D244" i="21" s="1"/>
  <c r="D38" i="21"/>
  <c r="D241" i="21" s="1"/>
  <c r="D187" i="21"/>
  <c r="D31" i="21"/>
  <c r="E35" i="98"/>
  <c r="E36" i="98" s="1"/>
  <c r="D42" i="21"/>
  <c r="D242" i="21" s="1"/>
  <c r="S34" i="21"/>
  <c r="G34" i="142"/>
  <c r="G34" i="137"/>
  <c r="G34" i="136"/>
  <c r="Z39" i="105"/>
  <c r="E59" i="137"/>
  <c r="X74" i="105"/>
  <c r="D47" i="21"/>
  <c r="D33" i="132"/>
  <c r="AB43" i="99"/>
  <c r="C31" i="145"/>
  <c r="I17" i="112"/>
  <c r="AH18" i="55"/>
  <c r="E59" i="140"/>
  <c r="Q62" i="145"/>
  <c r="Z74" i="99"/>
  <c r="I22" i="114"/>
  <c r="G59" i="140"/>
  <c r="W73" i="105"/>
  <c r="D58" i="136"/>
  <c r="D58" i="142"/>
  <c r="H90" i="84"/>
  <c r="D64" i="21"/>
  <c r="K62" i="145" l="1"/>
  <c r="M208" i="99"/>
  <c r="D58" i="137"/>
  <c r="E59" i="136"/>
  <c r="X73" i="105"/>
  <c r="H207" i="99"/>
  <c r="E207" i="99" s="1"/>
  <c r="O45" i="109" s="1"/>
  <c r="G207" i="99"/>
  <c r="F14" i="114"/>
  <c r="E14" i="114" s="1"/>
  <c r="D14" i="114" s="1"/>
  <c r="E59" i="142"/>
  <c r="E58" i="142"/>
  <c r="Y73" i="99"/>
  <c r="P207" i="99"/>
  <c r="N207" i="99" s="1"/>
  <c r="J208" i="105"/>
  <c r="H208" i="105" s="1"/>
  <c r="E208" i="105" s="1"/>
  <c r="P46" i="109" s="1"/>
  <c r="D56" i="167"/>
  <c r="D56" i="168"/>
  <c r="D29" i="137"/>
  <c r="E25" i="112"/>
  <c r="Q18" i="188"/>
  <c r="E30" i="20"/>
  <c r="E50" i="20" s="1"/>
  <c r="D50" i="20" s="1"/>
  <c r="E18" i="20"/>
  <c r="G12" i="20"/>
  <c r="E29" i="20"/>
  <c r="E49" i="20" s="1"/>
  <c r="D49" i="20" s="1"/>
  <c r="E17" i="20"/>
  <c r="G11" i="20"/>
  <c r="G28" i="98" s="1"/>
  <c r="E28" i="20"/>
  <c r="E48" i="20" s="1"/>
  <c r="D48" i="20" s="1"/>
  <c r="G10" i="20"/>
  <c r="E16" i="20"/>
  <c r="E9" i="20"/>
  <c r="S15" i="100"/>
  <c r="X17" i="55"/>
  <c r="AC24" i="55"/>
  <c r="Q16" i="188"/>
  <c r="K114" i="115"/>
  <c r="G16" i="112"/>
  <c r="AE17" i="55"/>
  <c r="AQ17" i="55"/>
  <c r="U40" i="188"/>
  <c r="T40" i="188"/>
  <c r="Q15" i="100"/>
  <c r="P17" i="55"/>
  <c r="F15" i="84"/>
  <c r="E31" i="20"/>
  <c r="E51" i="20" s="1"/>
  <c r="D51" i="20" s="1"/>
  <c r="E19" i="20"/>
  <c r="G13" i="20"/>
  <c r="Q16" i="112"/>
  <c r="U41" i="165"/>
  <c r="V41" i="165" s="1"/>
  <c r="D18" i="132"/>
  <c r="D22" i="130" s="1"/>
  <c r="Q19" i="188"/>
  <c r="D13" i="132"/>
  <c r="O13" i="132" s="1"/>
  <c r="Q14" i="188"/>
  <c r="F32" i="165"/>
  <c r="Q32" i="165" s="1"/>
  <c r="L112" i="115"/>
  <c r="L120" i="115" s="1"/>
  <c r="R9" i="188"/>
  <c r="N46" i="115"/>
  <c r="D45" i="115"/>
  <c r="D50" i="115" s="1"/>
  <c r="C50" i="115"/>
  <c r="G32" i="165"/>
  <c r="M32" i="165" s="1"/>
  <c r="L111" i="115"/>
  <c r="L119" i="115" s="1"/>
  <c r="E43" i="109"/>
  <c r="E29" i="109"/>
  <c r="E30" i="109"/>
  <c r="E31" i="109"/>
  <c r="E33" i="109"/>
  <c r="E32" i="109"/>
  <c r="E13" i="109"/>
  <c r="E16" i="109"/>
  <c r="E18" i="109"/>
  <c r="E19" i="109"/>
  <c r="E34" i="109"/>
  <c r="E44" i="109"/>
  <c r="E55" i="168"/>
  <c r="E55" i="167"/>
  <c r="J207" i="105"/>
  <c r="D55" i="168"/>
  <c r="D55" i="167"/>
  <c r="F55" i="168"/>
  <c r="Q43" i="105"/>
  <c r="I26" i="98"/>
  <c r="I21" i="98"/>
  <c r="G26" i="98"/>
  <c r="G21" i="98"/>
  <c r="H43" i="105"/>
  <c r="S10" i="188" s="1"/>
  <c r="AE18" i="55"/>
  <c r="O43" i="105"/>
  <c r="G55" i="167"/>
  <c r="I28" i="98"/>
  <c r="G56" i="168"/>
  <c r="G56" i="167"/>
  <c r="H28" i="98"/>
  <c r="F56" i="167"/>
  <c r="F56" i="168"/>
  <c r="E56" i="168"/>
  <c r="E56" i="167"/>
  <c r="G34" i="165"/>
  <c r="R34" i="165" s="1"/>
  <c r="F21" i="98"/>
  <c r="F26" i="98"/>
  <c r="H26" i="98"/>
  <c r="H21" i="98"/>
  <c r="F34" i="165"/>
  <c r="U34" i="165"/>
  <c r="N47" i="115"/>
  <c r="D32" i="165"/>
  <c r="E34" i="165"/>
  <c r="E32" i="165"/>
  <c r="K32" i="165" s="1"/>
  <c r="D34" i="165"/>
  <c r="J34" i="165" s="1"/>
  <c r="N39" i="165"/>
  <c r="H39" i="165" s="1"/>
  <c r="Q222" i="21"/>
  <c r="AL15" i="174"/>
  <c r="Q217" i="21"/>
  <c r="AJ15" i="174"/>
  <c r="D17" i="131"/>
  <c r="P24" i="55"/>
  <c r="E16" i="165" s="1"/>
  <c r="AC26" i="55"/>
  <c r="D55" i="150"/>
  <c r="J90" i="84"/>
  <c r="D14" i="166"/>
  <c r="J14" i="166" s="1"/>
  <c r="D15" i="132"/>
  <c r="J31" i="84"/>
  <c r="S31" i="100" s="1"/>
  <c r="AC22" i="55"/>
  <c r="D14" i="165"/>
  <c r="O14" i="165" s="1"/>
  <c r="Q213" i="21"/>
  <c r="K65" i="21"/>
  <c r="P27" i="55"/>
  <c r="E19" i="165" s="1"/>
  <c r="P19" i="165" s="1"/>
  <c r="U32" i="165"/>
  <c r="X74" i="99"/>
  <c r="U35" i="165"/>
  <c r="V35" i="165" s="1"/>
  <c r="T24" i="55"/>
  <c r="F16" i="166" s="1"/>
  <c r="P22" i="55"/>
  <c r="E14" i="166" s="1"/>
  <c r="N39" i="166"/>
  <c r="H39" i="166" s="1"/>
  <c r="I37" i="132"/>
  <c r="C42" i="150" s="1"/>
  <c r="F58" i="140"/>
  <c r="D16" i="165"/>
  <c r="J16" i="165" s="1"/>
  <c r="D19" i="165"/>
  <c r="O19" i="165" s="1"/>
  <c r="N61" i="145"/>
  <c r="Q216" i="21"/>
  <c r="D234" i="21"/>
  <c r="Q206" i="21" s="1"/>
  <c r="Q215" i="21"/>
  <c r="D233" i="21"/>
  <c r="Q205" i="21" s="1"/>
  <c r="Q214" i="21"/>
  <c r="D232" i="21"/>
  <c r="Q204" i="21" s="1"/>
  <c r="K240" i="21"/>
  <c r="K230" i="21" s="1"/>
  <c r="D240" i="21"/>
  <c r="R16" i="100"/>
  <c r="F12" i="132"/>
  <c r="L12" i="132" s="1"/>
  <c r="U39" i="165"/>
  <c r="V39" i="165" s="1"/>
  <c r="U14" i="165"/>
  <c r="P31" i="100"/>
  <c r="G32" i="132"/>
  <c r="R32" i="132" s="1"/>
  <c r="E23" i="112"/>
  <c r="H21" i="114"/>
  <c r="E21" i="114" s="1"/>
  <c r="D21" i="114" s="1"/>
  <c r="D17" i="132"/>
  <c r="J17" i="132" s="1"/>
  <c r="D16" i="166"/>
  <c r="J16" i="166" s="1"/>
  <c r="D18" i="165"/>
  <c r="O18" i="165" s="1"/>
  <c r="P26" i="55"/>
  <c r="H26" i="55" s="1"/>
  <c r="N18" i="188" s="1"/>
  <c r="L25" i="55"/>
  <c r="P18" i="55"/>
  <c r="T22" i="55"/>
  <c r="D18" i="166"/>
  <c r="O18" i="166" s="1"/>
  <c r="F32" i="132"/>
  <c r="Q32" i="132" s="1"/>
  <c r="F33" i="132"/>
  <c r="Q33" i="132" s="1"/>
  <c r="I90" i="84"/>
  <c r="D19" i="166"/>
  <c r="O19" i="166" s="1"/>
  <c r="E27" i="112"/>
  <c r="D19" i="132"/>
  <c r="E34" i="166"/>
  <c r="P34" i="166" s="1"/>
  <c r="U17" i="165"/>
  <c r="U20" i="165"/>
  <c r="U31" i="165"/>
  <c r="V31" i="165" s="1"/>
  <c r="D34" i="166"/>
  <c r="J34" i="166" s="1"/>
  <c r="F53" i="109"/>
  <c r="G30" i="109" s="1"/>
  <c r="U19" i="165"/>
  <c r="U18" i="165"/>
  <c r="U13" i="165"/>
  <c r="V13" i="165" s="1"/>
  <c r="U16" i="165"/>
  <c r="W41" i="165"/>
  <c r="U39" i="166"/>
  <c r="V39" i="166" s="1"/>
  <c r="D22" i="150"/>
  <c r="H31" i="84"/>
  <c r="Q31" i="100" s="1"/>
  <c r="F32" i="166"/>
  <c r="Q32" i="166" s="1"/>
  <c r="F34" i="166"/>
  <c r="Q34" i="166" s="1"/>
  <c r="U35" i="166"/>
  <c r="V35" i="166" s="1"/>
  <c r="AC27" i="55"/>
  <c r="E26" i="112"/>
  <c r="L53" i="109"/>
  <c r="T27" i="55"/>
  <c r="AE27" i="55" s="1"/>
  <c r="E32" i="166"/>
  <c r="K32" i="166" s="1"/>
  <c r="G34" i="166"/>
  <c r="M34" i="166" s="1"/>
  <c r="G32" i="166"/>
  <c r="M32" i="166" s="1"/>
  <c r="D32" i="166"/>
  <c r="O32" i="166" s="1"/>
  <c r="U19" i="166"/>
  <c r="U32" i="166"/>
  <c r="U17" i="166"/>
  <c r="U18" i="166"/>
  <c r="U20" i="166"/>
  <c r="U14" i="166"/>
  <c r="V14" i="166" s="1"/>
  <c r="U31" i="166"/>
  <c r="V31" i="166" s="1"/>
  <c r="I31" i="84"/>
  <c r="T28" i="55" s="1"/>
  <c r="C42" i="131"/>
  <c r="U13" i="166"/>
  <c r="V13" i="166" s="1"/>
  <c r="U16" i="166"/>
  <c r="G33" i="132"/>
  <c r="R33" i="132" s="1"/>
  <c r="C82" i="150"/>
  <c r="E33" i="132"/>
  <c r="E38" i="131" s="1"/>
  <c r="E31" i="132"/>
  <c r="E36" i="151" s="1"/>
  <c r="D32" i="132"/>
  <c r="O32" i="132" s="1"/>
  <c r="G31" i="132"/>
  <c r="R31" i="132" s="1"/>
  <c r="D31" i="132"/>
  <c r="D36" i="151" s="1"/>
  <c r="F31" i="132"/>
  <c r="F36" i="131" s="1"/>
  <c r="U41" i="166"/>
  <c r="W41" i="166"/>
  <c r="H35" i="166"/>
  <c r="H35" i="165"/>
  <c r="W34" i="165"/>
  <c r="W53" i="165"/>
  <c r="V53" i="165"/>
  <c r="G17" i="112"/>
  <c r="AC28" i="55"/>
  <c r="G31" i="145"/>
  <c r="D25" i="167"/>
  <c r="D29" i="142"/>
  <c r="D25" i="168"/>
  <c r="F13" i="166"/>
  <c r="F13" i="165"/>
  <c r="AF18" i="55"/>
  <c r="G13" i="165"/>
  <c r="G13" i="166"/>
  <c r="H21" i="112"/>
  <c r="G14" i="165"/>
  <c r="G14" i="166"/>
  <c r="M34" i="165"/>
  <c r="O13" i="166"/>
  <c r="J13" i="166"/>
  <c r="G16" i="166"/>
  <c r="G16" i="165"/>
  <c r="K34" i="166"/>
  <c r="R32" i="165"/>
  <c r="Q34" i="165"/>
  <c r="L34" i="165"/>
  <c r="F18" i="166"/>
  <c r="F18" i="165"/>
  <c r="D20" i="166"/>
  <c r="D20" i="165"/>
  <c r="P34" i="165"/>
  <c r="K34" i="165"/>
  <c r="G18" i="165"/>
  <c r="G18" i="166"/>
  <c r="E18" i="166"/>
  <c r="AF27" i="55"/>
  <c r="G19" i="165"/>
  <c r="G19" i="166"/>
  <c r="J14" i="165"/>
  <c r="O13" i="165"/>
  <c r="J13" i="165"/>
  <c r="AA96" i="99"/>
  <c r="V96" i="99"/>
  <c r="U21" i="92"/>
  <c r="Z21" i="92" s="1"/>
  <c r="G13" i="132"/>
  <c r="G17" i="131" s="1"/>
  <c r="V21" i="92"/>
  <c r="AA21" i="92" s="1"/>
  <c r="T21" i="92"/>
  <c r="Y21" i="92" s="1"/>
  <c r="S21" i="92"/>
  <c r="X21" i="92" s="1"/>
  <c r="AA96" i="105"/>
  <c r="V96" i="105"/>
  <c r="AF22" i="55"/>
  <c r="D29" i="136"/>
  <c r="H17" i="112"/>
  <c r="D29" i="140"/>
  <c r="O43" i="99"/>
  <c r="R43" i="99"/>
  <c r="H43" i="99"/>
  <c r="G12" i="132"/>
  <c r="R12" i="132" s="1"/>
  <c r="H26" i="112"/>
  <c r="D67" i="21"/>
  <c r="H14" i="159" s="1"/>
  <c r="D66" i="21"/>
  <c r="F28" i="114"/>
  <c r="E28" i="114" s="1"/>
  <c r="D28" i="114" s="1"/>
  <c r="D62" i="21"/>
  <c r="E15" i="114"/>
  <c r="D15" i="114" s="1"/>
  <c r="F29" i="114"/>
  <c r="E29" i="114" s="1"/>
  <c r="D29" i="114" s="1"/>
  <c r="AF26" i="55"/>
  <c r="G17" i="132"/>
  <c r="H25" i="112"/>
  <c r="AC42" i="105"/>
  <c r="AE42" i="105" s="1"/>
  <c r="G25" i="112"/>
  <c r="AE26" i="55"/>
  <c r="F17" i="132"/>
  <c r="D19" i="131"/>
  <c r="D19" i="151"/>
  <c r="D19" i="130"/>
  <c r="D19" i="150"/>
  <c r="D57" i="150"/>
  <c r="O15" i="132"/>
  <c r="J15" i="132"/>
  <c r="D21" i="151"/>
  <c r="J16" i="112"/>
  <c r="O16" i="112" s="1"/>
  <c r="AI17" i="55"/>
  <c r="AO17" i="55" s="1"/>
  <c r="AC42" i="99"/>
  <c r="AE42" i="99" s="1"/>
  <c r="E22" i="114"/>
  <c r="D22" i="114" s="1"/>
  <c r="P32" i="132"/>
  <c r="K32" i="132"/>
  <c r="G22" i="131"/>
  <c r="G22" i="151"/>
  <c r="G60" i="150"/>
  <c r="G22" i="150"/>
  <c r="G22" i="130"/>
  <c r="R18" i="132"/>
  <c r="M18" i="132"/>
  <c r="E17" i="132"/>
  <c r="D34" i="136"/>
  <c r="D34" i="142"/>
  <c r="W39" i="105"/>
  <c r="D34" i="137"/>
  <c r="H33" i="98"/>
  <c r="G32" i="98"/>
  <c r="AF24" i="55"/>
  <c r="G15" i="132"/>
  <c r="H23" i="112"/>
  <c r="D45" i="21"/>
  <c r="AD42" i="99"/>
  <c r="AF42" i="99" s="1"/>
  <c r="D38" i="150"/>
  <c r="D38" i="131"/>
  <c r="D38" i="130"/>
  <c r="D38" i="151"/>
  <c r="O33" i="132"/>
  <c r="J33" i="132"/>
  <c r="D184" i="21"/>
  <c r="H27" i="145"/>
  <c r="D34" i="140"/>
  <c r="W39" i="99"/>
  <c r="H24" i="55"/>
  <c r="N16" i="188" s="1"/>
  <c r="L32" i="132" l="1"/>
  <c r="G29" i="136"/>
  <c r="E14" i="165"/>
  <c r="K14" i="165" s="1"/>
  <c r="D22" i="131"/>
  <c r="V16" i="165"/>
  <c r="Q45" i="109"/>
  <c r="J18" i="166"/>
  <c r="D22" i="151"/>
  <c r="O18" i="132"/>
  <c r="D60" i="150"/>
  <c r="H22" i="55"/>
  <c r="N14" i="188" s="1"/>
  <c r="F21" i="112"/>
  <c r="P21" i="112" s="1"/>
  <c r="V14" i="165"/>
  <c r="G208" i="105"/>
  <c r="K208" i="99"/>
  <c r="E208" i="99" s="1"/>
  <c r="O46" i="109" s="1"/>
  <c r="Q46" i="109" s="1"/>
  <c r="G208" i="99"/>
  <c r="F25" i="112"/>
  <c r="AE24" i="55"/>
  <c r="P32" i="165"/>
  <c r="J19" i="166"/>
  <c r="O16" i="165"/>
  <c r="E16" i="166"/>
  <c r="K16" i="166" s="1"/>
  <c r="J18" i="132"/>
  <c r="J13" i="132"/>
  <c r="F29" i="142"/>
  <c r="G207" i="105"/>
  <c r="H207" i="105"/>
  <c r="E207" i="105" s="1"/>
  <c r="P45" i="109" s="1"/>
  <c r="I12" i="20"/>
  <c r="G18" i="20"/>
  <c r="I18" i="20" s="1"/>
  <c r="O12" i="20"/>
  <c r="N12" i="20"/>
  <c r="K122" i="115"/>
  <c r="M114" i="115"/>
  <c r="H16" i="112"/>
  <c r="R16" i="112" s="1"/>
  <c r="K115" i="115"/>
  <c r="AF17" i="55"/>
  <c r="AR17" i="55" s="1"/>
  <c r="I10" i="20"/>
  <c r="G16" i="20"/>
  <c r="I16" i="20" s="1"/>
  <c r="N10" i="20"/>
  <c r="O10" i="20"/>
  <c r="E24" i="112"/>
  <c r="Q17" i="188"/>
  <c r="D17" i="130"/>
  <c r="D17" i="150"/>
  <c r="D17" i="151"/>
  <c r="G9" i="20"/>
  <c r="I13" i="20"/>
  <c r="G19" i="20"/>
  <c r="I19" i="20" s="1"/>
  <c r="N13" i="20"/>
  <c r="O13" i="20"/>
  <c r="P13" i="20" s="1"/>
  <c r="Q13" i="20"/>
  <c r="S13" i="20" s="1"/>
  <c r="K113" i="115"/>
  <c r="F16" i="112"/>
  <c r="P16" i="112" s="1"/>
  <c r="AD17" i="55"/>
  <c r="AP17" i="55" s="1"/>
  <c r="H17" i="55"/>
  <c r="M15" i="100"/>
  <c r="F15" i="100"/>
  <c r="E27" i="20"/>
  <c r="E47" i="20" s="1"/>
  <c r="D47" i="20" s="1"/>
  <c r="E15" i="20"/>
  <c r="I11" i="20"/>
  <c r="G17" i="20"/>
  <c r="I17" i="20" s="1"/>
  <c r="O17" i="20"/>
  <c r="N11" i="20"/>
  <c r="O11" i="20"/>
  <c r="V34" i="165"/>
  <c r="L32" i="165"/>
  <c r="AC43" i="99"/>
  <c r="AE43" i="99" s="1"/>
  <c r="R10" i="188"/>
  <c r="M112" i="115"/>
  <c r="U9" i="188"/>
  <c r="T9" i="188"/>
  <c r="N45" i="115"/>
  <c r="G16" i="109"/>
  <c r="G47" i="99"/>
  <c r="G47" i="105"/>
  <c r="J14" i="84"/>
  <c r="R41" i="99"/>
  <c r="R173" i="99" s="1"/>
  <c r="Q173" i="99" s="1"/>
  <c r="J14" i="100"/>
  <c r="N43" i="105"/>
  <c r="G51" i="105"/>
  <c r="G51" i="99"/>
  <c r="L41" i="99"/>
  <c r="L173" i="99" s="1"/>
  <c r="K173" i="99" s="1"/>
  <c r="H14" i="100"/>
  <c r="H14" i="84"/>
  <c r="O41" i="99"/>
  <c r="O173" i="99" s="1"/>
  <c r="N173" i="99" s="1"/>
  <c r="I14" i="100"/>
  <c r="I14" i="84"/>
  <c r="J21" i="98"/>
  <c r="G49" i="99"/>
  <c r="G49" i="105"/>
  <c r="E12" i="132"/>
  <c r="E54" i="150" s="1"/>
  <c r="L43" i="105"/>
  <c r="R40" i="99"/>
  <c r="R172" i="99" s="1"/>
  <c r="J13" i="84"/>
  <c r="J13" i="100"/>
  <c r="W32" i="165"/>
  <c r="F23" i="112"/>
  <c r="J31" i="132"/>
  <c r="AD24" i="55"/>
  <c r="F15" i="132"/>
  <c r="O32" i="165"/>
  <c r="N32" i="165" s="1"/>
  <c r="O14" i="166"/>
  <c r="V32" i="165"/>
  <c r="V18" i="166"/>
  <c r="O34" i="165"/>
  <c r="N34" i="165" s="1"/>
  <c r="AD26" i="55"/>
  <c r="AG26" i="55" s="1"/>
  <c r="E15" i="132"/>
  <c r="G23" i="112"/>
  <c r="J32" i="165"/>
  <c r="I32" i="165" s="1"/>
  <c r="F16" i="165"/>
  <c r="AE15" i="174"/>
  <c r="D59" i="150"/>
  <c r="X28" i="55"/>
  <c r="X25" i="55" s="1"/>
  <c r="G16" i="132" s="1"/>
  <c r="H17" i="115"/>
  <c r="D16" i="132"/>
  <c r="O16" i="132" s="1"/>
  <c r="R31" i="100"/>
  <c r="K19" i="165"/>
  <c r="AD27" i="55"/>
  <c r="AG27" i="55" s="1"/>
  <c r="F26" i="112"/>
  <c r="E18" i="132"/>
  <c r="E60" i="150" s="1"/>
  <c r="E19" i="166"/>
  <c r="P19" i="166" s="1"/>
  <c r="F38" i="150"/>
  <c r="L33" i="132"/>
  <c r="G38" i="151"/>
  <c r="J19" i="132"/>
  <c r="G32" i="109"/>
  <c r="J19" i="165"/>
  <c r="O16" i="166"/>
  <c r="G12" i="109"/>
  <c r="G18" i="109"/>
  <c r="H27" i="55"/>
  <c r="N19" i="188" s="1"/>
  <c r="J32" i="166"/>
  <c r="AB26" i="55"/>
  <c r="T51" i="105"/>
  <c r="D25" i="112"/>
  <c r="Q31" i="132"/>
  <c r="G36" i="151"/>
  <c r="L34" i="166"/>
  <c r="V19" i="165"/>
  <c r="E18" i="165"/>
  <c r="K18" i="165" s="1"/>
  <c r="V18" i="165"/>
  <c r="F14" i="171"/>
  <c r="D14" i="171" s="1"/>
  <c r="T14" i="171" s="1"/>
  <c r="U14" i="171" s="1"/>
  <c r="AB22" i="55"/>
  <c r="F38" i="151"/>
  <c r="F38" i="131"/>
  <c r="O31" i="132"/>
  <c r="O19" i="132"/>
  <c r="L32" i="166"/>
  <c r="J18" i="165"/>
  <c r="H37" i="132"/>
  <c r="AD22" i="55"/>
  <c r="AP22" i="55" s="1"/>
  <c r="E13" i="132"/>
  <c r="F38" i="130"/>
  <c r="F14" i="165"/>
  <c r="Q14" i="165" s="1"/>
  <c r="D36" i="131"/>
  <c r="D61" i="150"/>
  <c r="P32" i="166"/>
  <c r="F14" i="166"/>
  <c r="L14" i="166" s="1"/>
  <c r="C42" i="130"/>
  <c r="Q212" i="21"/>
  <c r="F54" i="150"/>
  <c r="Q12" i="132"/>
  <c r="F17" i="112"/>
  <c r="E13" i="165"/>
  <c r="K13" i="165" s="1"/>
  <c r="M31" i="132"/>
  <c r="G33" i="109"/>
  <c r="G44" i="109"/>
  <c r="G20" i="109"/>
  <c r="G13" i="109"/>
  <c r="H18" i="55"/>
  <c r="N10" i="188" s="1"/>
  <c r="AD18" i="55"/>
  <c r="AG18" i="55" s="1"/>
  <c r="L43" i="99"/>
  <c r="E13" i="166"/>
  <c r="F19" i="165"/>
  <c r="L19" i="165" s="1"/>
  <c r="V32" i="166"/>
  <c r="G36" i="131"/>
  <c r="G34" i="109"/>
  <c r="G29" i="109"/>
  <c r="G31" i="109"/>
  <c r="G19" i="109"/>
  <c r="E29" i="137"/>
  <c r="F19" i="166"/>
  <c r="L19" i="166" s="1"/>
  <c r="V16" i="166"/>
  <c r="G15" i="109"/>
  <c r="G17" i="109"/>
  <c r="G43" i="109"/>
  <c r="P28" i="55"/>
  <c r="E20" i="165" s="1"/>
  <c r="D21" i="150"/>
  <c r="D21" i="131"/>
  <c r="J32" i="132"/>
  <c r="G17" i="130"/>
  <c r="M33" i="132"/>
  <c r="D17" i="165"/>
  <c r="J17" i="165" s="1"/>
  <c r="R32" i="166"/>
  <c r="V34" i="166"/>
  <c r="G21" i="112"/>
  <c r="AE22" i="55"/>
  <c r="AG22" i="55" s="1"/>
  <c r="F13" i="132"/>
  <c r="AC25" i="55"/>
  <c r="M32" i="132"/>
  <c r="O17" i="132"/>
  <c r="D21" i="130"/>
  <c r="K31" i="132"/>
  <c r="D17" i="166"/>
  <c r="V17" i="166" s="1"/>
  <c r="O34" i="166"/>
  <c r="V19" i="166"/>
  <c r="D21" i="112"/>
  <c r="T47" i="105"/>
  <c r="T47" i="99"/>
  <c r="R34" i="166"/>
  <c r="W34" i="166"/>
  <c r="L31" i="132"/>
  <c r="W32" i="166"/>
  <c r="F19" i="132"/>
  <c r="F61" i="150" s="1"/>
  <c r="T25" i="55"/>
  <c r="F16" i="132" s="1"/>
  <c r="AE28" i="55"/>
  <c r="G27" i="112"/>
  <c r="F18" i="132"/>
  <c r="G26" i="112"/>
  <c r="F36" i="151"/>
  <c r="P12" i="132"/>
  <c r="E38" i="151"/>
  <c r="P33" i="132"/>
  <c r="N33" i="132" s="1"/>
  <c r="C38" i="151" s="1"/>
  <c r="K33" i="132"/>
  <c r="E36" i="131"/>
  <c r="R13" i="132"/>
  <c r="G38" i="130"/>
  <c r="G38" i="150"/>
  <c r="P31" i="132"/>
  <c r="G17" i="150"/>
  <c r="G38" i="131"/>
  <c r="M13" i="132"/>
  <c r="W18" i="166"/>
  <c r="W16" i="165"/>
  <c r="V20" i="166"/>
  <c r="V20" i="165"/>
  <c r="G25" i="167"/>
  <c r="T51" i="99"/>
  <c r="F19" i="171"/>
  <c r="G17" i="151"/>
  <c r="G55" i="150"/>
  <c r="T49" i="99"/>
  <c r="F17" i="171"/>
  <c r="G29" i="142"/>
  <c r="G25" i="168"/>
  <c r="M31" i="145"/>
  <c r="F25" i="167"/>
  <c r="G29" i="137"/>
  <c r="I34" i="165"/>
  <c r="F29" i="137"/>
  <c r="F25" i="168"/>
  <c r="R19" i="165"/>
  <c r="M19" i="165"/>
  <c r="R18" i="166"/>
  <c r="M18" i="166"/>
  <c r="Q14" i="166"/>
  <c r="Q18" i="166"/>
  <c r="L18" i="166"/>
  <c r="R13" i="166"/>
  <c r="M13" i="166"/>
  <c r="Q13" i="166"/>
  <c r="L13" i="166"/>
  <c r="K16" i="165"/>
  <c r="P16" i="165"/>
  <c r="F20" i="165"/>
  <c r="F20" i="166"/>
  <c r="R19" i="166"/>
  <c r="M19" i="166"/>
  <c r="K18" i="166"/>
  <c r="P18" i="166"/>
  <c r="Q18" i="165"/>
  <c r="L18" i="165"/>
  <c r="R14" i="165"/>
  <c r="M14" i="165"/>
  <c r="Q13" i="165"/>
  <c r="L13" i="165"/>
  <c r="O20" i="166"/>
  <c r="J20" i="166"/>
  <c r="Q16" i="165"/>
  <c r="L16" i="165"/>
  <c r="R16" i="166"/>
  <c r="M16" i="166"/>
  <c r="R14" i="166"/>
  <c r="M14" i="166"/>
  <c r="K14" i="166"/>
  <c r="P14" i="166"/>
  <c r="I32" i="166"/>
  <c r="R18" i="165"/>
  <c r="M18" i="165"/>
  <c r="O20" i="165"/>
  <c r="J20" i="165"/>
  <c r="Q16" i="166"/>
  <c r="L16" i="166"/>
  <c r="R16" i="165"/>
  <c r="M16" i="165"/>
  <c r="P14" i="165"/>
  <c r="R13" i="165"/>
  <c r="M13" i="165"/>
  <c r="I34" i="166"/>
  <c r="N32" i="132"/>
  <c r="G54" i="150"/>
  <c r="M12" i="132"/>
  <c r="N43" i="99"/>
  <c r="L17" i="112" s="1"/>
  <c r="Q17" i="112" s="1"/>
  <c r="AI18" i="55"/>
  <c r="AO18" i="55" s="1"/>
  <c r="F29" i="140"/>
  <c r="J17" i="112"/>
  <c r="O17" i="112" s="1"/>
  <c r="F29" i="136"/>
  <c r="AD43" i="99"/>
  <c r="AF43" i="99" s="1"/>
  <c r="AC43" i="105"/>
  <c r="G29" i="140"/>
  <c r="AD43" i="105"/>
  <c r="Q43" i="99"/>
  <c r="P31" i="145"/>
  <c r="R66" i="21"/>
  <c r="G14" i="159"/>
  <c r="S67" i="21"/>
  <c r="R67" i="21"/>
  <c r="S66" i="21"/>
  <c r="I33" i="98"/>
  <c r="I32" i="98" s="1"/>
  <c r="H32" i="98"/>
  <c r="P17" i="132"/>
  <c r="E21" i="131"/>
  <c r="K17" i="132"/>
  <c r="E21" i="151"/>
  <c r="E59" i="150"/>
  <c r="F19" i="151"/>
  <c r="F19" i="131"/>
  <c r="L15" i="132"/>
  <c r="Q15" i="132"/>
  <c r="F57" i="150"/>
  <c r="F19" i="150"/>
  <c r="F19" i="130"/>
  <c r="L17" i="132"/>
  <c r="F21" i="131"/>
  <c r="Q17" i="132"/>
  <c r="F59" i="150"/>
  <c r="F21" i="150"/>
  <c r="F21" i="130"/>
  <c r="F21" i="151"/>
  <c r="D65" i="21"/>
  <c r="E63" i="98"/>
  <c r="S45" i="21"/>
  <c r="R15" i="132"/>
  <c r="G19" i="130"/>
  <c r="G19" i="151"/>
  <c r="G19" i="131"/>
  <c r="M15" i="132"/>
  <c r="G19" i="150"/>
  <c r="G57" i="150"/>
  <c r="E57" i="150"/>
  <c r="E19" i="151"/>
  <c r="P15" i="132"/>
  <c r="K15" i="132"/>
  <c r="E19" i="131"/>
  <c r="H14" i="160"/>
  <c r="G13" i="92"/>
  <c r="AB24" i="55"/>
  <c r="T49" i="105"/>
  <c r="D23" i="112"/>
  <c r="G59" i="150"/>
  <c r="R17" i="132"/>
  <c r="M17" i="132"/>
  <c r="G21" i="131"/>
  <c r="G21" i="130"/>
  <c r="G21" i="150"/>
  <c r="G21" i="151"/>
  <c r="R171" i="99" l="1"/>
  <c r="Q172" i="99"/>
  <c r="J31" i="145"/>
  <c r="AG17" i="55"/>
  <c r="P16" i="166"/>
  <c r="W16" i="166"/>
  <c r="AG24" i="55"/>
  <c r="N32" i="166"/>
  <c r="N9" i="188"/>
  <c r="T42" i="99"/>
  <c r="AB17" i="55"/>
  <c r="AN17" i="55" s="1"/>
  <c r="T42" i="105"/>
  <c r="U42" i="105" s="1"/>
  <c r="D16" i="112"/>
  <c r="N16" i="112" s="1"/>
  <c r="F12" i="171"/>
  <c r="H6" i="108"/>
  <c r="J13" i="20"/>
  <c r="I31" i="20"/>
  <c r="R40" i="105"/>
  <c r="R172" i="105" s="1"/>
  <c r="I28" i="20"/>
  <c r="J10" i="20"/>
  <c r="I9" i="20"/>
  <c r="J12" i="20"/>
  <c r="I30" i="20"/>
  <c r="O40" i="105"/>
  <c r="O172" i="105" s="1"/>
  <c r="P11" i="20"/>
  <c r="R11" i="20" s="1"/>
  <c r="Q11" i="20"/>
  <c r="J11" i="20"/>
  <c r="I29" i="20"/>
  <c r="L40" i="105"/>
  <c r="L172" i="105" s="1"/>
  <c r="K121" i="115"/>
  <c r="M113" i="115"/>
  <c r="K111" i="115"/>
  <c r="K119" i="115" s="1"/>
  <c r="J19" i="20"/>
  <c r="R41" i="105"/>
  <c r="J16" i="20"/>
  <c r="I15" i="20"/>
  <c r="J18" i="20"/>
  <c r="O41" i="105"/>
  <c r="W13" i="166"/>
  <c r="J17" i="20"/>
  <c r="L41" i="105"/>
  <c r="N15" i="100"/>
  <c r="O15" i="100"/>
  <c r="F11" i="109"/>
  <c r="K123" i="115"/>
  <c r="M115" i="115"/>
  <c r="P12" i="20"/>
  <c r="R12" i="20" s="1"/>
  <c r="Q12" i="20"/>
  <c r="Q18" i="20"/>
  <c r="P17" i="20"/>
  <c r="Q17" i="20" s="1"/>
  <c r="G15" i="20"/>
  <c r="N9" i="20"/>
  <c r="P10" i="20"/>
  <c r="Q10" i="20"/>
  <c r="O9" i="20"/>
  <c r="W18" i="165"/>
  <c r="J12" i="109"/>
  <c r="K12" i="109" s="1"/>
  <c r="D6" i="188"/>
  <c r="K12" i="132"/>
  <c r="I12" i="132" s="1"/>
  <c r="U10" i="188"/>
  <c r="T10" i="188"/>
  <c r="K43" i="105"/>
  <c r="Q14" i="100"/>
  <c r="P16" i="55"/>
  <c r="H113" i="115" s="1"/>
  <c r="J51" i="105"/>
  <c r="J185" i="105" s="1"/>
  <c r="E51" i="105"/>
  <c r="P18" i="188" s="1"/>
  <c r="P51" i="105"/>
  <c r="P185" i="105" s="1"/>
  <c r="N185" i="105" s="1"/>
  <c r="S51" i="105"/>
  <c r="S185" i="105" s="1"/>
  <c r="Q185" i="105" s="1"/>
  <c r="M51" i="105"/>
  <c r="M185" i="105" s="1"/>
  <c r="K185" i="105" s="1"/>
  <c r="P47" i="99"/>
  <c r="P180" i="99" s="1"/>
  <c r="J47" i="99"/>
  <c r="J180" i="99" s="1"/>
  <c r="S47" i="99"/>
  <c r="S180" i="99" s="1"/>
  <c r="B31" i="146"/>
  <c r="F31" i="146" s="1"/>
  <c r="M31" i="146" s="1"/>
  <c r="E35" i="145"/>
  <c r="E47" i="99"/>
  <c r="U47" i="99" s="1"/>
  <c r="U51" i="105"/>
  <c r="C46" i="166"/>
  <c r="U46" i="166" s="1"/>
  <c r="K13" i="92"/>
  <c r="H13" i="92"/>
  <c r="I13" i="92"/>
  <c r="F88" i="105"/>
  <c r="J13" i="92"/>
  <c r="T43" i="105"/>
  <c r="F43" i="105"/>
  <c r="F20" i="171"/>
  <c r="G52" i="105"/>
  <c r="G52" i="99"/>
  <c r="G27" i="140"/>
  <c r="R39" i="99"/>
  <c r="P28" i="145"/>
  <c r="Q40" i="99"/>
  <c r="F115" i="115" s="1"/>
  <c r="F123" i="115" s="1"/>
  <c r="G23" i="167"/>
  <c r="Z40" i="99"/>
  <c r="G27" i="136"/>
  <c r="P49" i="99"/>
  <c r="P183" i="99" s="1"/>
  <c r="N183" i="99" s="1"/>
  <c r="J49" i="99"/>
  <c r="J183" i="99" s="1"/>
  <c r="S49" i="99"/>
  <c r="S183" i="99" s="1"/>
  <c r="Q183" i="99" s="1"/>
  <c r="M49" i="99"/>
  <c r="M183" i="99" s="1"/>
  <c r="K183" i="99" s="1"/>
  <c r="E37" i="145"/>
  <c r="B32" i="146"/>
  <c r="F32" i="146" s="1"/>
  <c r="M32" i="146" s="1"/>
  <c r="E49" i="99"/>
  <c r="O16" i="188" s="1"/>
  <c r="F24" i="167"/>
  <c r="Y41" i="99"/>
  <c r="N41" i="99"/>
  <c r="I114" i="115" s="1"/>
  <c r="I122" i="115" s="1"/>
  <c r="M29" i="145"/>
  <c r="F28" i="136"/>
  <c r="F28" i="140"/>
  <c r="P51" i="99"/>
  <c r="P185" i="99" s="1"/>
  <c r="N185" i="99" s="1"/>
  <c r="J51" i="99"/>
  <c r="J185" i="99" s="1"/>
  <c r="S51" i="99"/>
  <c r="S185" i="99" s="1"/>
  <c r="Q185" i="99" s="1"/>
  <c r="M51" i="99"/>
  <c r="M185" i="99" s="1"/>
  <c r="K185" i="99" s="1"/>
  <c r="B33" i="146"/>
  <c r="F33" i="146" s="1"/>
  <c r="M33" i="146" s="1"/>
  <c r="E39" i="145"/>
  <c r="E51" i="99"/>
  <c r="O18" i="188" s="1"/>
  <c r="E47" i="105"/>
  <c r="U47" i="105" s="1"/>
  <c r="J47" i="105"/>
  <c r="J180" i="105" s="1"/>
  <c r="P47" i="105"/>
  <c r="P180" i="105" s="1"/>
  <c r="S47" i="105"/>
  <c r="S180" i="105" s="1"/>
  <c r="U49" i="99"/>
  <c r="U51" i="99"/>
  <c r="S13" i="100"/>
  <c r="X15" i="55"/>
  <c r="E115" i="115" s="1"/>
  <c r="J49" i="105"/>
  <c r="J183" i="105" s="1"/>
  <c r="E49" i="105"/>
  <c r="P16" i="188" s="1"/>
  <c r="P49" i="105"/>
  <c r="P183" i="105" s="1"/>
  <c r="N183" i="105" s="1"/>
  <c r="S49" i="105"/>
  <c r="S183" i="105" s="1"/>
  <c r="Q183" i="105" s="1"/>
  <c r="M49" i="105"/>
  <c r="M183" i="105" s="1"/>
  <c r="K183" i="105" s="1"/>
  <c r="AB49" i="105"/>
  <c r="K41" i="99"/>
  <c r="I113" i="115" s="1"/>
  <c r="I121" i="115" s="1"/>
  <c r="E24" i="167"/>
  <c r="E28" i="140"/>
  <c r="X41" i="99"/>
  <c r="J29" i="145"/>
  <c r="E28" i="136"/>
  <c r="X16" i="55"/>
  <c r="H115" i="115" s="1"/>
  <c r="S14" i="100"/>
  <c r="T16" i="55"/>
  <c r="H114" i="115" s="1"/>
  <c r="R14" i="100"/>
  <c r="Z41" i="99"/>
  <c r="P29" i="145"/>
  <c r="G24" i="167"/>
  <c r="G28" i="140"/>
  <c r="G28" i="136"/>
  <c r="Q41" i="99"/>
  <c r="I115" i="115" s="1"/>
  <c r="I123" i="115" s="1"/>
  <c r="F14" i="159"/>
  <c r="P18" i="165"/>
  <c r="N18" i="165" s="1"/>
  <c r="W19" i="165"/>
  <c r="E22" i="151"/>
  <c r="H24" i="112"/>
  <c r="G17" i="166"/>
  <c r="M17" i="166" s="1"/>
  <c r="G20" i="165"/>
  <c r="W20" i="165" s="1"/>
  <c r="AF28" i="55"/>
  <c r="AF25" i="55"/>
  <c r="G17" i="165"/>
  <c r="M17" i="165" s="1"/>
  <c r="H27" i="112"/>
  <c r="G20" i="166"/>
  <c r="M20" i="166" s="1"/>
  <c r="G19" i="132"/>
  <c r="G61" i="150" s="1"/>
  <c r="W14" i="166"/>
  <c r="K19" i="166"/>
  <c r="I19" i="166" s="1"/>
  <c r="L14" i="165"/>
  <c r="I14" i="165" s="1"/>
  <c r="D58" i="150"/>
  <c r="T52" i="105"/>
  <c r="E22" i="131"/>
  <c r="J16" i="132"/>
  <c r="N34" i="166"/>
  <c r="D17" i="112"/>
  <c r="N17" i="112" s="1"/>
  <c r="K18" i="132"/>
  <c r="P18" i="132"/>
  <c r="T52" i="99"/>
  <c r="Q19" i="165"/>
  <c r="N19" i="165" s="1"/>
  <c r="D26" i="112"/>
  <c r="AB27" i="55"/>
  <c r="N31" i="132"/>
  <c r="C36" i="151" s="1"/>
  <c r="E17" i="151"/>
  <c r="E55" i="150"/>
  <c r="E17" i="131"/>
  <c r="P13" i="132"/>
  <c r="K13" i="132"/>
  <c r="G14" i="171"/>
  <c r="E14" i="171" s="1"/>
  <c r="W14" i="165"/>
  <c r="W19" i="166"/>
  <c r="Q19" i="166"/>
  <c r="N19" i="166" s="1"/>
  <c r="I19" i="165"/>
  <c r="O17" i="166"/>
  <c r="AE25" i="55"/>
  <c r="E29" i="136"/>
  <c r="K43" i="99"/>
  <c r="K17" i="112" s="1"/>
  <c r="P17" i="112" s="1"/>
  <c r="AK18" i="55"/>
  <c r="AQ18" i="55" s="1"/>
  <c r="E29" i="140"/>
  <c r="P13" i="165"/>
  <c r="N13" i="165" s="1"/>
  <c r="N12" i="132"/>
  <c r="AB18" i="55"/>
  <c r="AN18" i="55" s="1"/>
  <c r="E29" i="142"/>
  <c r="T43" i="99"/>
  <c r="U43" i="99" s="1"/>
  <c r="V43" i="99"/>
  <c r="E25" i="168"/>
  <c r="F13" i="171"/>
  <c r="G13" i="171" s="1"/>
  <c r="W13" i="165"/>
  <c r="E25" i="167"/>
  <c r="K13" i="166"/>
  <c r="I13" i="166" s="1"/>
  <c r="P13" i="166"/>
  <c r="N13" i="166" s="1"/>
  <c r="I32" i="132"/>
  <c r="N18" i="166"/>
  <c r="I31" i="132"/>
  <c r="H28" i="55"/>
  <c r="N20" i="188" s="1"/>
  <c r="Q19" i="132"/>
  <c r="E20" i="166"/>
  <c r="P20" i="166" s="1"/>
  <c r="O17" i="165"/>
  <c r="L19" i="132"/>
  <c r="V17" i="165"/>
  <c r="P25" i="55"/>
  <c r="E19" i="132"/>
  <c r="F27" i="112"/>
  <c r="AD28" i="55"/>
  <c r="AG28" i="55" s="1"/>
  <c r="G24" i="112"/>
  <c r="J17" i="166"/>
  <c r="F17" i="166"/>
  <c r="L17" i="166" s="1"/>
  <c r="L13" i="132"/>
  <c r="F17" i="151"/>
  <c r="Q13" i="132"/>
  <c r="F17" i="131"/>
  <c r="F55" i="150"/>
  <c r="F17" i="150"/>
  <c r="F17" i="130"/>
  <c r="F17" i="165"/>
  <c r="L17" i="165" s="1"/>
  <c r="I33" i="132"/>
  <c r="H33" i="132" s="1"/>
  <c r="I18" i="166"/>
  <c r="F22" i="150"/>
  <c r="F22" i="151"/>
  <c r="F60" i="150"/>
  <c r="F22" i="131"/>
  <c r="Q18" i="132"/>
  <c r="N18" i="132" s="1"/>
  <c r="F22" i="130"/>
  <c r="L18" i="132"/>
  <c r="H32" i="165"/>
  <c r="I16" i="166"/>
  <c r="H32" i="166"/>
  <c r="N16" i="166"/>
  <c r="N14" i="166"/>
  <c r="H34" i="165"/>
  <c r="D17" i="171"/>
  <c r="G17" i="171"/>
  <c r="E17" i="171" s="1"/>
  <c r="N16" i="165"/>
  <c r="I16" i="165"/>
  <c r="I13" i="165"/>
  <c r="D20" i="171"/>
  <c r="T20" i="171" s="1"/>
  <c r="U20" i="171" s="1"/>
  <c r="G20" i="171"/>
  <c r="E20" i="171" s="1"/>
  <c r="I14" i="166"/>
  <c r="I18" i="165"/>
  <c r="G19" i="171"/>
  <c r="E19" i="171" s="1"/>
  <c r="D19" i="171"/>
  <c r="N14" i="165"/>
  <c r="H34" i="166"/>
  <c r="Q20" i="165"/>
  <c r="L20" i="165"/>
  <c r="K20" i="165"/>
  <c r="P20" i="165"/>
  <c r="Q20" i="166"/>
  <c r="L20" i="166"/>
  <c r="R20" i="166"/>
  <c r="C38" i="131"/>
  <c r="H32" i="132"/>
  <c r="N17" i="132"/>
  <c r="C21" i="151" s="1"/>
  <c r="N15" i="132"/>
  <c r="C19" i="151" s="1"/>
  <c r="I17" i="132"/>
  <c r="C21" i="150" s="1"/>
  <c r="I15" i="132"/>
  <c r="C19" i="150" s="1"/>
  <c r="AL18" i="55"/>
  <c r="AR18" i="55" s="1"/>
  <c r="M17" i="112"/>
  <c r="R17" i="112" s="1"/>
  <c r="O31" i="145"/>
  <c r="L31" i="145"/>
  <c r="G14" i="160"/>
  <c r="G13" i="61"/>
  <c r="R16" i="132"/>
  <c r="G58" i="150"/>
  <c r="M16" i="132"/>
  <c r="T88" i="105"/>
  <c r="L13" i="92"/>
  <c r="C11" i="133"/>
  <c r="R65" i="21"/>
  <c r="S65" i="21"/>
  <c r="Q16" i="132"/>
  <c r="F58" i="150"/>
  <c r="L16" i="132"/>
  <c r="N13" i="132" l="1"/>
  <c r="N180" i="99"/>
  <c r="G185" i="99"/>
  <c r="H185" i="99"/>
  <c r="E185" i="99" s="1"/>
  <c r="O23" i="109" s="1"/>
  <c r="G180" i="99"/>
  <c r="H180" i="99"/>
  <c r="I18" i="132"/>
  <c r="H183" i="99"/>
  <c r="E183" i="99" s="1"/>
  <c r="O21" i="109" s="1"/>
  <c r="G183" i="99"/>
  <c r="Q180" i="99"/>
  <c r="Q171" i="99"/>
  <c r="G180" i="105"/>
  <c r="H180" i="105"/>
  <c r="N172" i="105"/>
  <c r="N180" i="105"/>
  <c r="G185" i="105"/>
  <c r="H185" i="105"/>
  <c r="E185" i="105" s="1"/>
  <c r="P23" i="109" s="1"/>
  <c r="K41" i="105"/>
  <c r="L173" i="105"/>
  <c r="K173" i="105" s="1"/>
  <c r="K172" i="105"/>
  <c r="Q180" i="105"/>
  <c r="N41" i="105"/>
  <c r="O173" i="105"/>
  <c r="N173" i="105" s="1"/>
  <c r="Q41" i="105"/>
  <c r="R173" i="105"/>
  <c r="Q173" i="105" s="1"/>
  <c r="Q172" i="105"/>
  <c r="H183" i="105"/>
  <c r="E183" i="105" s="1"/>
  <c r="P21" i="109" s="1"/>
  <c r="G183" i="105"/>
  <c r="L39" i="105"/>
  <c r="L38" i="105" s="1"/>
  <c r="L37" i="105" s="1"/>
  <c r="K40" i="105"/>
  <c r="K39" i="105" s="1"/>
  <c r="H9" i="20"/>
  <c r="J9" i="20"/>
  <c r="I27" i="20"/>
  <c r="C62" i="20"/>
  <c r="I51" i="20"/>
  <c r="J31" i="20"/>
  <c r="AB47" i="99"/>
  <c r="O14" i="188"/>
  <c r="D11" i="109"/>
  <c r="G11" i="109"/>
  <c r="R39" i="105"/>
  <c r="R38" i="105" s="1"/>
  <c r="R37" i="105" s="1"/>
  <c r="Q40" i="105"/>
  <c r="D12" i="171"/>
  <c r="T12" i="171" s="1"/>
  <c r="U12" i="171" s="1"/>
  <c r="G12" i="171"/>
  <c r="E12" i="171" s="1"/>
  <c r="U42" i="99"/>
  <c r="V42" i="99"/>
  <c r="S12" i="20"/>
  <c r="S11" i="20"/>
  <c r="AB47" i="105"/>
  <c r="P14" i="188"/>
  <c r="R10" i="20"/>
  <c r="R9" i="20" s="1"/>
  <c r="P9" i="20"/>
  <c r="I50" i="20"/>
  <c r="J50" i="20" s="1"/>
  <c r="J30" i="20"/>
  <c r="J28" i="20"/>
  <c r="I48" i="20"/>
  <c r="J48" i="20" s="1"/>
  <c r="J6" i="108"/>
  <c r="I6" i="108"/>
  <c r="M111" i="115"/>
  <c r="Q9" i="20"/>
  <c r="S9" i="20" s="1"/>
  <c r="J15" i="20"/>
  <c r="C63" i="20"/>
  <c r="J29" i="20"/>
  <c r="I49" i="20"/>
  <c r="J49" i="20" s="1"/>
  <c r="O39" i="105"/>
  <c r="O38" i="105" s="1"/>
  <c r="O37" i="105" s="1"/>
  <c r="N40" i="105"/>
  <c r="N39" i="105" s="1"/>
  <c r="H12" i="109"/>
  <c r="D12" i="109" s="1"/>
  <c r="E12" i="109" s="1"/>
  <c r="H6" i="188"/>
  <c r="J37" i="109"/>
  <c r="J47" i="109" s="1"/>
  <c r="J50" i="109" s="1"/>
  <c r="H122" i="115"/>
  <c r="J122" i="115" s="1"/>
  <c r="J114" i="115"/>
  <c r="H121" i="115"/>
  <c r="J121" i="115" s="1"/>
  <c r="J113" i="115"/>
  <c r="H123" i="115"/>
  <c r="J123" i="115" s="1"/>
  <c r="J115" i="115"/>
  <c r="E123" i="115"/>
  <c r="G123" i="115" s="1"/>
  <c r="G115" i="115"/>
  <c r="L14" i="159"/>
  <c r="K14" i="159"/>
  <c r="G17" i="115"/>
  <c r="G23" i="115" s="1"/>
  <c r="H13" i="171"/>
  <c r="D13" i="171" s="1"/>
  <c r="T13" i="171" s="1"/>
  <c r="U13" i="171" s="1"/>
  <c r="J13" i="61"/>
  <c r="I13" i="61"/>
  <c r="K13" i="61"/>
  <c r="H13" i="61"/>
  <c r="M15" i="112"/>
  <c r="AL16" i="55"/>
  <c r="AE16" i="55"/>
  <c r="G15" i="112"/>
  <c r="E7" i="157"/>
  <c r="O7" i="157" s="1"/>
  <c r="H15" i="112"/>
  <c r="AF16" i="55"/>
  <c r="AA49" i="105"/>
  <c r="AF15" i="55"/>
  <c r="F6" i="157"/>
  <c r="P6" i="157" s="1"/>
  <c r="X14" i="55"/>
  <c r="F5" i="158" s="1"/>
  <c r="H14" i="112"/>
  <c r="H47" i="105"/>
  <c r="S14" i="188" s="1"/>
  <c r="D33" i="167"/>
  <c r="D33" i="168"/>
  <c r="D36" i="136"/>
  <c r="D36" i="137"/>
  <c r="D36" i="142"/>
  <c r="W47" i="105"/>
  <c r="AD47" i="105"/>
  <c r="AF47" i="105" s="1"/>
  <c r="AA51" i="99"/>
  <c r="C39" i="145"/>
  <c r="I25" i="112"/>
  <c r="N25" i="112" s="1"/>
  <c r="T185" i="99"/>
  <c r="AH26" i="55"/>
  <c r="AN26" i="55" s="1"/>
  <c r="G40" i="140"/>
  <c r="Z51" i="99"/>
  <c r="Q39" i="145"/>
  <c r="Q51" i="99"/>
  <c r="W49" i="99"/>
  <c r="D38" i="140"/>
  <c r="H37" i="145"/>
  <c r="H49" i="99"/>
  <c r="R16" i="188" s="1"/>
  <c r="G22" i="167"/>
  <c r="G26" i="136"/>
  <c r="G26" i="140"/>
  <c r="P27" i="145"/>
  <c r="R38" i="99"/>
  <c r="E88" i="105"/>
  <c r="E6" i="188" s="1"/>
  <c r="F6" i="188" s="1"/>
  <c r="O88" i="105"/>
  <c r="O175" i="105" s="1"/>
  <c r="N175" i="105" s="1"/>
  <c r="R88" i="105"/>
  <c r="I88" i="105"/>
  <c r="L88" i="105"/>
  <c r="L175" i="105" s="1"/>
  <c r="K175" i="105" s="1"/>
  <c r="F87" i="105"/>
  <c r="F86" i="105" s="1"/>
  <c r="F112" i="105" s="1"/>
  <c r="F120" i="105" s="1"/>
  <c r="Z47" i="99"/>
  <c r="G36" i="140"/>
  <c r="Q47" i="99"/>
  <c r="Q35" i="145"/>
  <c r="AA51" i="105"/>
  <c r="K15" i="112"/>
  <c r="AJ16" i="55"/>
  <c r="N49" i="105"/>
  <c r="F35" i="167"/>
  <c r="F35" i="168"/>
  <c r="F38" i="142"/>
  <c r="F38" i="137"/>
  <c r="Y49" i="105"/>
  <c r="F38" i="136"/>
  <c r="N47" i="105"/>
  <c r="F33" i="168"/>
  <c r="F33" i="167"/>
  <c r="F36" i="136"/>
  <c r="F36" i="137"/>
  <c r="Y47" i="105"/>
  <c r="F36" i="142"/>
  <c r="K51" i="99"/>
  <c r="E40" i="140"/>
  <c r="K39" i="145"/>
  <c r="X51" i="99"/>
  <c r="AB49" i="99"/>
  <c r="C37" i="145"/>
  <c r="I23" i="112"/>
  <c r="N23" i="112" s="1"/>
  <c r="AA49" i="99"/>
  <c r="T183" i="99"/>
  <c r="AH24" i="55"/>
  <c r="AN24" i="55" s="1"/>
  <c r="G38" i="140"/>
  <c r="Q49" i="99"/>
  <c r="Q37" i="145"/>
  <c r="Z49" i="99"/>
  <c r="S52" i="105"/>
  <c r="S186" i="105" s="1"/>
  <c r="Q186" i="105" s="1"/>
  <c r="J52" i="105"/>
  <c r="J186" i="105" s="1"/>
  <c r="M52" i="105"/>
  <c r="M186" i="105" s="1"/>
  <c r="K186" i="105" s="1"/>
  <c r="E52" i="105"/>
  <c r="P19" i="188" s="1"/>
  <c r="P52" i="105"/>
  <c r="P186" i="105" s="1"/>
  <c r="N186" i="105" s="1"/>
  <c r="N51" i="105"/>
  <c r="F37" i="168"/>
  <c r="F37" i="167"/>
  <c r="F40" i="137"/>
  <c r="Y51" i="105"/>
  <c r="F40" i="136"/>
  <c r="F40" i="142"/>
  <c r="AB51" i="99"/>
  <c r="AB51" i="105"/>
  <c r="F21" i="171"/>
  <c r="G53" i="99"/>
  <c r="G53" i="105"/>
  <c r="Q49" i="105"/>
  <c r="G35" i="168"/>
  <c r="G35" i="167"/>
  <c r="G38" i="136"/>
  <c r="G38" i="137"/>
  <c r="G38" i="142"/>
  <c r="Z49" i="105"/>
  <c r="Q47" i="105"/>
  <c r="G33" i="168"/>
  <c r="G33" i="167"/>
  <c r="G36" i="136"/>
  <c r="Z47" i="105"/>
  <c r="G36" i="142"/>
  <c r="G36" i="137"/>
  <c r="Y51" i="99"/>
  <c r="F40" i="140"/>
  <c r="N39" i="145"/>
  <c r="N51" i="99"/>
  <c r="L15" i="112"/>
  <c r="AK16" i="55"/>
  <c r="E38" i="140"/>
  <c r="X49" i="99"/>
  <c r="K37" i="145"/>
  <c r="K49" i="99"/>
  <c r="Q39" i="99"/>
  <c r="C115" i="115" s="1"/>
  <c r="M14" i="112"/>
  <c r="AL15" i="55"/>
  <c r="S52" i="99"/>
  <c r="S186" i="99" s="1"/>
  <c r="Q186" i="99" s="1"/>
  <c r="M52" i="99"/>
  <c r="M186" i="99" s="1"/>
  <c r="K186" i="99" s="1"/>
  <c r="P52" i="99"/>
  <c r="P186" i="99" s="1"/>
  <c r="N186" i="99" s="1"/>
  <c r="J52" i="99"/>
  <c r="J186" i="99" s="1"/>
  <c r="E40" i="145"/>
  <c r="E52" i="99"/>
  <c r="O19" i="188" s="1"/>
  <c r="B29" i="146"/>
  <c r="F29" i="146" s="1"/>
  <c r="M29" i="146" s="1"/>
  <c r="AB52" i="99"/>
  <c r="Y47" i="99"/>
  <c r="F36" i="140"/>
  <c r="N47" i="99"/>
  <c r="N35" i="145"/>
  <c r="Q51" i="105"/>
  <c r="G37" i="168"/>
  <c r="G37" i="167"/>
  <c r="G40" i="137"/>
  <c r="G40" i="136"/>
  <c r="G40" i="142"/>
  <c r="Z51" i="105"/>
  <c r="AD16" i="55"/>
  <c r="F15" i="112"/>
  <c r="D7" i="157"/>
  <c r="N7" i="157" s="1"/>
  <c r="K49" i="105"/>
  <c r="E35" i="168"/>
  <c r="E35" i="167"/>
  <c r="E38" i="136"/>
  <c r="X49" i="105"/>
  <c r="E38" i="137"/>
  <c r="E38" i="142"/>
  <c r="H49" i="105"/>
  <c r="D35" i="167"/>
  <c r="D35" i="168"/>
  <c r="D38" i="136"/>
  <c r="D38" i="142"/>
  <c r="W49" i="105"/>
  <c r="D38" i="137"/>
  <c r="AA47" i="105"/>
  <c r="W51" i="99"/>
  <c r="H51" i="99"/>
  <c r="H39" i="145"/>
  <c r="D40" i="140"/>
  <c r="F38" i="140"/>
  <c r="N49" i="99"/>
  <c r="Y49" i="99"/>
  <c r="N37" i="145"/>
  <c r="E43" i="105"/>
  <c r="I21" i="112"/>
  <c r="N21" i="112" s="1"/>
  <c r="C35" i="145"/>
  <c r="AA47" i="99"/>
  <c r="T180" i="99"/>
  <c r="AH22" i="55"/>
  <c r="AN22" i="55" s="1"/>
  <c r="W47" i="99"/>
  <c r="D36" i="140"/>
  <c r="H35" i="145"/>
  <c r="H47" i="99"/>
  <c r="R14" i="188" s="1"/>
  <c r="K51" i="105"/>
  <c r="E37" i="168"/>
  <c r="E37" i="167"/>
  <c r="X51" i="105"/>
  <c r="E40" i="136"/>
  <c r="E40" i="137"/>
  <c r="E40" i="142"/>
  <c r="H51" i="105"/>
  <c r="S18" i="188" s="1"/>
  <c r="D37" i="168"/>
  <c r="D37" i="167"/>
  <c r="D40" i="136"/>
  <c r="D40" i="142"/>
  <c r="D40" i="137"/>
  <c r="W51" i="105"/>
  <c r="U49" i="105"/>
  <c r="D92" i="159"/>
  <c r="H92" i="159" s="1"/>
  <c r="F14" i="160"/>
  <c r="R17" i="166"/>
  <c r="R20" i="165"/>
  <c r="N20" i="165" s="1"/>
  <c r="M20" i="165"/>
  <c r="R17" i="165"/>
  <c r="R19" i="132"/>
  <c r="M19" i="132"/>
  <c r="AJ18" i="55"/>
  <c r="AP18" i="55" s="1"/>
  <c r="H19" i="165"/>
  <c r="C38" i="150"/>
  <c r="H31" i="132"/>
  <c r="C36" i="131"/>
  <c r="C38" i="130"/>
  <c r="I13" i="132"/>
  <c r="C17" i="130" s="1"/>
  <c r="W20" i="166"/>
  <c r="C21" i="130"/>
  <c r="I31" i="145"/>
  <c r="H18" i="166"/>
  <c r="K20" i="166"/>
  <c r="I20" i="166" s="1"/>
  <c r="Q17" i="166"/>
  <c r="G21" i="171"/>
  <c r="T53" i="99"/>
  <c r="H25" i="55"/>
  <c r="N17" i="188" s="1"/>
  <c r="T53" i="105"/>
  <c r="D27" i="112"/>
  <c r="AB28" i="55"/>
  <c r="C21" i="131"/>
  <c r="H18" i="165"/>
  <c r="Q17" i="165"/>
  <c r="K19" i="132"/>
  <c r="P19" i="132"/>
  <c r="E61" i="150"/>
  <c r="F24" i="112"/>
  <c r="AD25" i="55"/>
  <c r="AG25" i="55" s="1"/>
  <c r="E17" i="166"/>
  <c r="E17" i="165"/>
  <c r="E16" i="132"/>
  <c r="C17" i="151"/>
  <c r="C17" i="131"/>
  <c r="H13" i="166"/>
  <c r="H19" i="166"/>
  <c r="C22" i="131"/>
  <c r="C22" i="151"/>
  <c r="C22" i="130"/>
  <c r="H18" i="132"/>
  <c r="C22" i="150"/>
  <c r="H14" i="166"/>
  <c r="H16" i="166"/>
  <c r="T17" i="171"/>
  <c r="U17" i="171" s="1"/>
  <c r="T19" i="171"/>
  <c r="U19" i="171" s="1"/>
  <c r="H16" i="165"/>
  <c r="H13" i="165"/>
  <c r="I20" i="165"/>
  <c r="H14" i="165"/>
  <c r="N20" i="166"/>
  <c r="C11" i="134"/>
  <c r="C16" i="130" s="1"/>
  <c r="C46" i="165"/>
  <c r="H15" i="132"/>
  <c r="C19" i="131"/>
  <c r="H17" i="132"/>
  <c r="H12" i="132"/>
  <c r="C19" i="130"/>
  <c r="F88" i="99"/>
  <c r="M13" i="92"/>
  <c r="T88" i="99"/>
  <c r="E64" i="137"/>
  <c r="O13" i="92"/>
  <c r="E46" i="166" s="1"/>
  <c r="D14" i="158" s="1"/>
  <c r="D13" i="157"/>
  <c r="F11" i="133"/>
  <c r="G11" i="133"/>
  <c r="E11" i="133"/>
  <c r="D11" i="133"/>
  <c r="C16" i="151"/>
  <c r="C16" i="131"/>
  <c r="Q13" i="92"/>
  <c r="G46" i="166" s="1"/>
  <c r="F14" i="158" s="1"/>
  <c r="F306" i="105"/>
  <c r="F64" i="137"/>
  <c r="F64" i="142"/>
  <c r="N13" i="92"/>
  <c r="D46" i="166" s="1"/>
  <c r="C14" i="158" s="1"/>
  <c r="P13" i="92"/>
  <c r="F46" i="166" s="1"/>
  <c r="E14" i="158" s="1"/>
  <c r="H186" i="99" l="1"/>
  <c r="G186" i="99"/>
  <c r="E64" i="142"/>
  <c r="AD51" i="105"/>
  <c r="AF51" i="105" s="1"/>
  <c r="U52" i="105"/>
  <c r="E11" i="109"/>
  <c r="R12" i="109"/>
  <c r="E180" i="99"/>
  <c r="O18" i="109" s="1"/>
  <c r="Q18" i="109" s="1"/>
  <c r="R18" i="109" s="1"/>
  <c r="U88" i="105"/>
  <c r="E186" i="99"/>
  <c r="O24" i="109" s="1"/>
  <c r="Q39" i="105"/>
  <c r="Q21" i="109"/>
  <c r="R21" i="109" s="1"/>
  <c r="AQ16" i="55"/>
  <c r="F124" i="105"/>
  <c r="F239" i="105"/>
  <c r="Q23" i="109"/>
  <c r="R23" i="109" s="1"/>
  <c r="H186" i="105"/>
  <c r="E186" i="105" s="1"/>
  <c r="P24" i="109" s="1"/>
  <c r="G186" i="105"/>
  <c r="G64" i="142"/>
  <c r="R175" i="105"/>
  <c r="Q175" i="105" s="1"/>
  <c r="D64" i="142"/>
  <c r="I175" i="105"/>
  <c r="E180" i="105"/>
  <c r="P18" i="109" s="1"/>
  <c r="R171" i="105"/>
  <c r="L171" i="105"/>
  <c r="O171" i="105"/>
  <c r="U46" i="165"/>
  <c r="B6" i="158"/>
  <c r="AD49" i="105"/>
  <c r="AF49" i="105" s="1"/>
  <c r="S16" i="188"/>
  <c r="U16" i="188" s="1"/>
  <c r="J27" i="20"/>
  <c r="I47" i="20"/>
  <c r="J47" i="20" s="1"/>
  <c r="T16" i="188"/>
  <c r="C61" i="20"/>
  <c r="J51" i="20"/>
  <c r="B115" i="115"/>
  <c r="B123" i="115" s="1"/>
  <c r="J12" i="100"/>
  <c r="J11" i="100" s="1"/>
  <c r="J10" i="100" s="1"/>
  <c r="J12" i="84"/>
  <c r="U14" i="188"/>
  <c r="T14" i="188"/>
  <c r="AD51" i="99"/>
  <c r="AF51" i="99" s="1"/>
  <c r="R18" i="188"/>
  <c r="AR16" i="55"/>
  <c r="K37" i="109"/>
  <c r="S10" i="20"/>
  <c r="AA43" i="105"/>
  <c r="AE43" i="105" s="1"/>
  <c r="P10" i="188"/>
  <c r="D64" i="137"/>
  <c r="I13" i="171"/>
  <c r="E13" i="171" s="1"/>
  <c r="I12" i="109"/>
  <c r="D70" i="109"/>
  <c r="J70" i="109" s="1"/>
  <c r="H37" i="109"/>
  <c r="H47" i="109" s="1"/>
  <c r="H50" i="109" s="1"/>
  <c r="AR15" i="55"/>
  <c r="P15" i="112"/>
  <c r="AG16" i="55"/>
  <c r="AP16" i="55"/>
  <c r="F31" i="110"/>
  <c r="C123" i="115"/>
  <c r="H70" i="109"/>
  <c r="J57" i="109"/>
  <c r="K50" i="109"/>
  <c r="I37" i="109"/>
  <c r="G64" i="137"/>
  <c r="I17" i="115"/>
  <c r="F18" i="171"/>
  <c r="G50" i="99"/>
  <c r="G50" i="105"/>
  <c r="L21" i="112"/>
  <c r="Q21" i="112" s="1"/>
  <c r="L35" i="145"/>
  <c r="AK22" i="55"/>
  <c r="AQ22" i="55" s="1"/>
  <c r="W52" i="99"/>
  <c r="H40" i="145"/>
  <c r="H52" i="99"/>
  <c r="R19" i="188" s="1"/>
  <c r="D41" i="140"/>
  <c r="AD52" i="99"/>
  <c r="AF52" i="99" s="1"/>
  <c r="AL14" i="55"/>
  <c r="M13" i="112"/>
  <c r="J53" i="105"/>
  <c r="E53" i="105"/>
  <c r="P20" i="188" s="1"/>
  <c r="S53" i="105"/>
  <c r="M53" i="105"/>
  <c r="P53" i="105"/>
  <c r="AB53" i="105"/>
  <c r="AA52" i="105"/>
  <c r="M23" i="112"/>
  <c r="R23" i="112" s="1"/>
  <c r="O37" i="145"/>
  <c r="AL24" i="55"/>
  <c r="AR24" i="55" s="1"/>
  <c r="M21" i="112"/>
  <c r="R21" i="112" s="1"/>
  <c r="O35" i="145"/>
  <c r="AL22" i="55"/>
  <c r="AR22" i="55" s="1"/>
  <c r="L87" i="105"/>
  <c r="K88" i="105"/>
  <c r="E61" i="168"/>
  <c r="J23" i="112"/>
  <c r="O23" i="112" s="1"/>
  <c r="AC49" i="99"/>
  <c r="AE49" i="99" s="1"/>
  <c r="AI24" i="55"/>
  <c r="AO24" i="55" s="1"/>
  <c r="U52" i="99"/>
  <c r="AC51" i="105"/>
  <c r="AE51" i="105" s="1"/>
  <c r="AC47" i="99"/>
  <c r="AE47" i="99" s="1"/>
  <c r="J21" i="112"/>
  <c r="O21" i="112" s="1"/>
  <c r="AI22" i="55"/>
  <c r="AO22" i="55" s="1"/>
  <c r="AB43" i="105"/>
  <c r="AF43" i="105" s="1"/>
  <c r="L23" i="112"/>
  <c r="Q23" i="112" s="1"/>
  <c r="L37" i="145"/>
  <c r="AK24" i="55"/>
  <c r="AQ24" i="55" s="1"/>
  <c r="E28" i="142"/>
  <c r="E24" i="168"/>
  <c r="E28" i="137"/>
  <c r="G41" i="140"/>
  <c r="Q40" i="145"/>
  <c r="Q52" i="99"/>
  <c r="Z52" i="99"/>
  <c r="L25" i="112"/>
  <c r="Q25" i="112" s="1"/>
  <c r="L39" i="145"/>
  <c r="AK26" i="55"/>
  <c r="AQ26" i="55" s="1"/>
  <c r="N52" i="105"/>
  <c r="F38" i="168"/>
  <c r="F38" i="167"/>
  <c r="F41" i="136"/>
  <c r="F41" i="137"/>
  <c r="F41" i="142"/>
  <c r="Y52" i="105"/>
  <c r="Q52" i="105"/>
  <c r="G38" i="167"/>
  <c r="G38" i="168"/>
  <c r="G41" i="136"/>
  <c r="G41" i="137"/>
  <c r="G41" i="142"/>
  <c r="Z52" i="105"/>
  <c r="E124" i="105"/>
  <c r="F127" i="105"/>
  <c r="O87" i="105"/>
  <c r="F63" i="137" s="1"/>
  <c r="N88" i="105"/>
  <c r="F61" i="168"/>
  <c r="X53" i="55"/>
  <c r="G11" i="132"/>
  <c r="G12" i="165"/>
  <c r="F5" i="157"/>
  <c r="P5" i="157" s="1"/>
  <c r="AF14" i="55"/>
  <c r="AR14" i="55" s="1"/>
  <c r="G12" i="166"/>
  <c r="H13" i="112"/>
  <c r="U53" i="105"/>
  <c r="E50" i="105"/>
  <c r="P17" i="188" s="1"/>
  <c r="AD49" i="99"/>
  <c r="AF49" i="99" s="1"/>
  <c r="R15" i="112"/>
  <c r="I26" i="112"/>
  <c r="N26" i="112" s="1"/>
  <c r="C40" i="145"/>
  <c r="AA52" i="99"/>
  <c r="T186" i="99"/>
  <c r="AH27" i="55"/>
  <c r="AN27" i="55" s="1"/>
  <c r="X52" i="99"/>
  <c r="K52" i="99"/>
  <c r="K40" i="145"/>
  <c r="E41" i="140"/>
  <c r="K23" i="112"/>
  <c r="P23" i="112" s="1"/>
  <c r="I37" i="145"/>
  <c r="AJ24" i="55"/>
  <c r="AP24" i="55" s="1"/>
  <c r="H52" i="105"/>
  <c r="S19" i="188" s="1"/>
  <c r="D38" i="167"/>
  <c r="D38" i="168"/>
  <c r="D41" i="136"/>
  <c r="D41" i="142"/>
  <c r="W52" i="105"/>
  <c r="D41" i="137"/>
  <c r="R87" i="105"/>
  <c r="G63" i="142" s="1"/>
  <c r="Q88" i="105"/>
  <c r="G61" i="168"/>
  <c r="G28" i="137"/>
  <c r="G24" i="168"/>
  <c r="G28" i="142"/>
  <c r="F24" i="168"/>
  <c r="F28" i="142"/>
  <c r="F28" i="137"/>
  <c r="AD47" i="99"/>
  <c r="AF47" i="99" s="1"/>
  <c r="U43" i="105"/>
  <c r="AB52" i="105"/>
  <c r="R14" i="112"/>
  <c r="AC51" i="99"/>
  <c r="AE51" i="99" s="1"/>
  <c r="J25" i="112"/>
  <c r="O25" i="112" s="1"/>
  <c r="AI26" i="55"/>
  <c r="AO26" i="55" s="1"/>
  <c r="AC49" i="105"/>
  <c r="AE49" i="105" s="1"/>
  <c r="N40" i="145"/>
  <c r="N52" i="99"/>
  <c r="F41" i="140"/>
  <c r="Y52" i="99"/>
  <c r="P53" i="99"/>
  <c r="J53" i="99"/>
  <c r="S53" i="99"/>
  <c r="M53" i="99"/>
  <c r="E41" i="145"/>
  <c r="E53" i="99"/>
  <c r="B36" i="146"/>
  <c r="K52" i="105"/>
  <c r="E38" i="168"/>
  <c r="E38" i="167"/>
  <c r="E41" i="136"/>
  <c r="X52" i="105"/>
  <c r="E41" i="142"/>
  <c r="E41" i="137"/>
  <c r="K25" i="112"/>
  <c r="P25" i="112" s="1"/>
  <c r="I39" i="145"/>
  <c r="AJ26" i="55"/>
  <c r="AP26" i="55" s="1"/>
  <c r="H88" i="105"/>
  <c r="I87" i="105"/>
  <c r="D63" i="137" s="1"/>
  <c r="D61" i="168"/>
  <c r="R37" i="99"/>
  <c r="G21" i="167"/>
  <c r="G25" i="140"/>
  <c r="G25" i="136"/>
  <c r="P26" i="145"/>
  <c r="M25" i="112"/>
  <c r="R25" i="112" s="1"/>
  <c r="O39" i="145"/>
  <c r="AL26" i="55"/>
  <c r="AR26" i="55" s="1"/>
  <c r="AC47" i="105"/>
  <c r="AE47" i="105" s="1"/>
  <c r="G27" i="137"/>
  <c r="G23" i="168"/>
  <c r="G27" i="142"/>
  <c r="U53" i="99"/>
  <c r="Q15" i="112"/>
  <c r="I19" i="132"/>
  <c r="N19" i="132"/>
  <c r="C17" i="150"/>
  <c r="H13" i="132"/>
  <c r="D24" i="112"/>
  <c r="G18" i="171"/>
  <c r="T50" i="99"/>
  <c r="AB25" i="55"/>
  <c r="T50" i="105"/>
  <c r="U50" i="105" s="1"/>
  <c r="W17" i="166"/>
  <c r="K17" i="166"/>
  <c r="I17" i="166" s="1"/>
  <c r="P17" i="166"/>
  <c r="N17" i="166" s="1"/>
  <c r="K16" i="132"/>
  <c r="I16" i="132" s="1"/>
  <c r="P16" i="132"/>
  <c r="N16" i="132" s="1"/>
  <c r="E58" i="150"/>
  <c r="P17" i="165"/>
  <c r="N17" i="165" s="1"/>
  <c r="K17" i="165"/>
  <c r="I17" i="165" s="1"/>
  <c r="W17" i="165"/>
  <c r="C16" i="150"/>
  <c r="H20" i="166"/>
  <c r="H20" i="165"/>
  <c r="W46" i="166"/>
  <c r="V46" i="166"/>
  <c r="C86" i="150"/>
  <c r="Q13" i="61"/>
  <c r="P13" i="61"/>
  <c r="C25" i="146"/>
  <c r="F25" i="146" s="1"/>
  <c r="M25" i="146" s="1"/>
  <c r="F87" i="99"/>
  <c r="O88" i="99"/>
  <c r="I88" i="99"/>
  <c r="L88" i="99"/>
  <c r="E88" i="99"/>
  <c r="I6" i="188" s="1"/>
  <c r="J6" i="188" s="1"/>
  <c r="N13" i="61"/>
  <c r="D16" i="131"/>
  <c r="D16" i="151"/>
  <c r="T13" i="92"/>
  <c r="Y13" i="92" s="1"/>
  <c r="D8" i="146"/>
  <c r="F16" i="131"/>
  <c r="F16" i="151"/>
  <c r="G16" i="131"/>
  <c r="G16" i="151"/>
  <c r="AA88" i="105"/>
  <c r="S13" i="92"/>
  <c r="X13" i="92" s="1"/>
  <c r="E16" i="151"/>
  <c r="E16" i="131"/>
  <c r="E63" i="142"/>
  <c r="E63" i="137"/>
  <c r="F61" i="167" l="1"/>
  <c r="O175" i="99"/>
  <c r="N175" i="99" s="1"/>
  <c r="AD52" i="105"/>
  <c r="AF52" i="105" s="1"/>
  <c r="D123" i="115"/>
  <c r="D61" i="167"/>
  <c r="I175" i="99"/>
  <c r="D115" i="115"/>
  <c r="Q24" i="109"/>
  <c r="R24" i="109" s="1"/>
  <c r="G63" i="137"/>
  <c r="E61" i="167"/>
  <c r="L175" i="99"/>
  <c r="K175" i="99" s="1"/>
  <c r="R170" i="105"/>
  <c r="Q171" i="105"/>
  <c r="L170" i="105"/>
  <c r="K171" i="105"/>
  <c r="H175" i="105"/>
  <c r="E175" i="105" s="1"/>
  <c r="P13" i="109" s="1"/>
  <c r="F175" i="105"/>
  <c r="O170" i="105"/>
  <c r="N171" i="105"/>
  <c r="J11" i="84"/>
  <c r="S12" i="100"/>
  <c r="D62" i="20"/>
  <c r="D64" i="20"/>
  <c r="D65" i="20"/>
  <c r="U18" i="188"/>
  <c r="T18" i="188"/>
  <c r="D63" i="20"/>
  <c r="AB53" i="99"/>
  <c r="O20" i="188"/>
  <c r="U19" i="188"/>
  <c r="T19" i="188"/>
  <c r="E254" i="105"/>
  <c r="C19" i="189"/>
  <c r="H52" i="112"/>
  <c r="V13" i="92"/>
  <c r="AA13" i="92" s="1"/>
  <c r="D63" i="142"/>
  <c r="V88" i="105"/>
  <c r="F63" i="142"/>
  <c r="U13" i="92"/>
  <c r="Z13" i="92" s="1"/>
  <c r="R13" i="112"/>
  <c r="H57" i="109"/>
  <c r="I50" i="109"/>
  <c r="G22" i="168"/>
  <c r="G26" i="142"/>
  <c r="G26" i="137"/>
  <c r="G24" i="136"/>
  <c r="G24" i="140"/>
  <c r="P25" i="145"/>
  <c r="R68" i="99"/>
  <c r="R76" i="99" s="1"/>
  <c r="R80" i="99" s="1"/>
  <c r="Q41" i="145"/>
  <c r="Z53" i="99"/>
  <c r="Q53" i="99"/>
  <c r="G42" i="140"/>
  <c r="L29" i="145"/>
  <c r="R12" i="165"/>
  <c r="M12" i="165"/>
  <c r="E127" i="105"/>
  <c r="M26" i="112"/>
  <c r="R26" i="112" s="1"/>
  <c r="O40" i="145"/>
  <c r="AL27" i="55"/>
  <c r="AR27" i="55" s="1"/>
  <c r="H53" i="105"/>
  <c r="S20" i="188" s="1"/>
  <c r="D39" i="168"/>
  <c r="D39" i="167"/>
  <c r="D42" i="136"/>
  <c r="D42" i="142"/>
  <c r="W53" i="105"/>
  <c r="D42" i="137"/>
  <c r="J26" i="112"/>
  <c r="O26" i="112" s="1"/>
  <c r="AC52" i="99"/>
  <c r="AE52" i="99" s="1"/>
  <c r="AI27" i="55"/>
  <c r="AO27" i="55" s="1"/>
  <c r="E50" i="99"/>
  <c r="O17" i="188" s="1"/>
  <c r="O28" i="145"/>
  <c r="I86" i="105"/>
  <c r="I112" i="105" s="1"/>
  <c r="I120" i="105" s="1"/>
  <c r="D60" i="168"/>
  <c r="E42" i="140"/>
  <c r="X53" i="99"/>
  <c r="K41" i="145"/>
  <c r="K53" i="99"/>
  <c r="AC52" i="105"/>
  <c r="AE52" i="105" s="1"/>
  <c r="K26" i="112"/>
  <c r="P26" i="112" s="1"/>
  <c r="I40" i="145"/>
  <c r="AJ27" i="55"/>
  <c r="AP27" i="55" s="1"/>
  <c r="L86" i="105"/>
  <c r="L112" i="105" s="1"/>
  <c r="L120" i="105" s="1"/>
  <c r="E60" i="168"/>
  <c r="N53" i="105"/>
  <c r="F39" i="168"/>
  <c r="F39" i="167"/>
  <c r="F42" i="137"/>
  <c r="F42" i="142"/>
  <c r="Y53" i="105"/>
  <c r="F42" i="136"/>
  <c r="AA53" i="105"/>
  <c r="N53" i="99"/>
  <c r="Y53" i="99"/>
  <c r="F42" i="140"/>
  <c r="N41" i="145"/>
  <c r="L26" i="112"/>
  <c r="Q26" i="112" s="1"/>
  <c r="L40" i="145"/>
  <c r="AK27" i="55"/>
  <c r="AQ27" i="55" s="1"/>
  <c r="O29" i="145"/>
  <c r="R86" i="105"/>
  <c r="R112" i="105" s="1"/>
  <c r="R120" i="105" s="1"/>
  <c r="G60" i="168"/>
  <c r="O86" i="105"/>
  <c r="O112" i="105" s="1"/>
  <c r="O120" i="105" s="1"/>
  <c r="F60" i="168"/>
  <c r="I29" i="145"/>
  <c r="Q53" i="105"/>
  <c r="G39" i="168"/>
  <c r="G39" i="167"/>
  <c r="G42" i="136"/>
  <c r="G42" i="142"/>
  <c r="G42" i="137"/>
  <c r="Z53" i="105"/>
  <c r="P50" i="99"/>
  <c r="J50" i="99"/>
  <c r="S50" i="99"/>
  <c r="M50" i="99"/>
  <c r="E38" i="145"/>
  <c r="AB50" i="99"/>
  <c r="I27" i="112"/>
  <c r="N27" i="112" s="1"/>
  <c r="C41" i="145"/>
  <c r="AA53" i="99"/>
  <c r="AH28" i="55"/>
  <c r="AN28" i="55" s="1"/>
  <c r="D42" i="140"/>
  <c r="H41" i="145"/>
  <c r="H53" i="99"/>
  <c r="W53" i="99"/>
  <c r="AA50" i="105"/>
  <c r="M12" i="166"/>
  <c r="R12" i="166"/>
  <c r="G15" i="130"/>
  <c r="M11" i="132"/>
  <c r="R11" i="132"/>
  <c r="G15" i="151"/>
  <c r="G53" i="150"/>
  <c r="G15" i="131"/>
  <c r="F13" i="158" s="1"/>
  <c r="G15" i="150"/>
  <c r="K53" i="105"/>
  <c r="E39" i="167"/>
  <c r="E39" i="168"/>
  <c r="E42" i="142"/>
  <c r="X53" i="105"/>
  <c r="E42" i="137"/>
  <c r="E42" i="136"/>
  <c r="P50" i="105"/>
  <c r="M50" i="105"/>
  <c r="J50" i="105"/>
  <c r="S50" i="105"/>
  <c r="AB50" i="105"/>
  <c r="U50" i="99"/>
  <c r="H50" i="105"/>
  <c r="S17" i="188" s="1"/>
  <c r="H19" i="132"/>
  <c r="AB15" i="174"/>
  <c r="H17" i="165"/>
  <c r="H16" i="132"/>
  <c r="H17" i="166"/>
  <c r="F11" i="134"/>
  <c r="F16" i="150" s="1"/>
  <c r="F46" i="165"/>
  <c r="E6" i="158" s="1"/>
  <c r="D11" i="134"/>
  <c r="D86" i="150" s="1"/>
  <c r="D46" i="165"/>
  <c r="C6" i="158" s="1"/>
  <c r="G11" i="134"/>
  <c r="G16" i="150" s="1"/>
  <c r="G46" i="165"/>
  <c r="F6" i="158" s="1"/>
  <c r="T175" i="99"/>
  <c r="C76" i="145"/>
  <c r="U88" i="99"/>
  <c r="N88" i="99"/>
  <c r="O87" i="99"/>
  <c r="F60" i="167" s="1"/>
  <c r="F64" i="136"/>
  <c r="F64" i="140"/>
  <c r="D64" i="140"/>
  <c r="D64" i="136"/>
  <c r="H88" i="99"/>
  <c r="I87" i="99"/>
  <c r="D60" i="167" s="1"/>
  <c r="K88" i="99"/>
  <c r="L87" i="99"/>
  <c r="E60" i="167" s="1"/>
  <c r="E64" i="136"/>
  <c r="E64" i="140"/>
  <c r="F86" i="99"/>
  <c r="F112" i="99" s="1"/>
  <c r="R88" i="99"/>
  <c r="G62" i="142"/>
  <c r="G62" i="137"/>
  <c r="O72" i="115"/>
  <c r="O88" i="115" s="1"/>
  <c r="D62" i="137"/>
  <c r="D62" i="142"/>
  <c r="E62" i="137"/>
  <c r="E62" i="142"/>
  <c r="G61" i="167" l="1"/>
  <c r="R175" i="99"/>
  <c r="L124" i="105"/>
  <c r="K124" i="105" s="1"/>
  <c r="L239" i="105"/>
  <c r="H175" i="99"/>
  <c r="F175" i="99"/>
  <c r="R124" i="105"/>
  <c r="R239" i="105"/>
  <c r="O124" i="105"/>
  <c r="N124" i="105" s="1"/>
  <c r="O239" i="105"/>
  <c r="I124" i="105"/>
  <c r="I239" i="105"/>
  <c r="L169" i="105"/>
  <c r="AD53" i="105"/>
  <c r="AF53" i="105" s="1"/>
  <c r="R169" i="105"/>
  <c r="O169" i="105"/>
  <c r="X23" i="55"/>
  <c r="J10" i="84"/>
  <c r="S10" i="100" s="1"/>
  <c r="S11" i="100"/>
  <c r="AD53" i="99"/>
  <c r="AF53" i="99" s="1"/>
  <c r="R20" i="188"/>
  <c r="D61" i="20"/>
  <c r="F15" i="158"/>
  <c r="F62" i="137"/>
  <c r="F62" i="142"/>
  <c r="D16" i="130"/>
  <c r="AC50" i="105"/>
  <c r="AE50" i="105" s="1"/>
  <c r="G36" i="168"/>
  <c r="G36" i="167"/>
  <c r="G39" i="136"/>
  <c r="G39" i="142"/>
  <c r="G39" i="137"/>
  <c r="Z50" i="105"/>
  <c r="F39" i="140"/>
  <c r="Y50" i="99"/>
  <c r="N38" i="145"/>
  <c r="R127" i="105"/>
  <c r="Q124" i="105"/>
  <c r="O27" i="145"/>
  <c r="G21" i="168"/>
  <c r="G25" i="142"/>
  <c r="G25" i="137"/>
  <c r="K50" i="105"/>
  <c r="F36" i="167"/>
  <c r="F36" i="168"/>
  <c r="F39" i="136"/>
  <c r="Y50" i="105"/>
  <c r="F39" i="137"/>
  <c r="F39" i="142"/>
  <c r="AC53" i="99"/>
  <c r="AE53" i="99" s="1"/>
  <c r="J27" i="112"/>
  <c r="O27" i="112" s="1"/>
  <c r="AI28" i="55"/>
  <c r="AO28" i="55" s="1"/>
  <c r="H50" i="99"/>
  <c r="R17" i="188" s="1"/>
  <c r="D39" i="140"/>
  <c r="W50" i="99"/>
  <c r="H38" i="145"/>
  <c r="AD50" i="99"/>
  <c r="AF50" i="99" s="1"/>
  <c r="AC53" i="105"/>
  <c r="AE53" i="105" s="1"/>
  <c r="Q50" i="105"/>
  <c r="E36" i="168"/>
  <c r="E36" i="167"/>
  <c r="E39" i="136"/>
  <c r="X50" i="105"/>
  <c r="E39" i="142"/>
  <c r="E39" i="137"/>
  <c r="Z50" i="99"/>
  <c r="G39" i="140"/>
  <c r="Q38" i="145"/>
  <c r="O127" i="105"/>
  <c r="N50" i="99"/>
  <c r="L27" i="112"/>
  <c r="Q27" i="112" s="1"/>
  <c r="L41" i="145"/>
  <c r="AK28" i="55"/>
  <c r="AQ28" i="55" s="1"/>
  <c r="I127" i="105"/>
  <c r="H124" i="105"/>
  <c r="I24" i="112"/>
  <c r="N24" i="112" s="1"/>
  <c r="AA50" i="99"/>
  <c r="C38" i="145"/>
  <c r="AH25" i="55"/>
  <c r="AN25" i="55" s="1"/>
  <c r="Q50" i="99"/>
  <c r="M27" i="112"/>
  <c r="R27" i="112" s="1"/>
  <c r="O41" i="145"/>
  <c r="AL28" i="55"/>
  <c r="AR28" i="55" s="1"/>
  <c r="D36" i="167"/>
  <c r="D36" i="168"/>
  <c r="D39" i="136"/>
  <c r="D39" i="142"/>
  <c r="W50" i="105"/>
  <c r="D39" i="137"/>
  <c r="AD50" i="105"/>
  <c r="AF50" i="105" s="1"/>
  <c r="E39" i="140"/>
  <c r="K38" i="145"/>
  <c r="X50" i="99"/>
  <c r="N50" i="105"/>
  <c r="K50" i="99"/>
  <c r="K27" i="112"/>
  <c r="P27" i="112" s="1"/>
  <c r="I41" i="145"/>
  <c r="AJ28" i="55"/>
  <c r="AP28" i="55" s="1"/>
  <c r="R83" i="99"/>
  <c r="Q80" i="99"/>
  <c r="P68" i="145"/>
  <c r="AA15" i="174"/>
  <c r="D16" i="150"/>
  <c r="F16" i="130"/>
  <c r="G16" i="130"/>
  <c r="F7" i="158" s="1"/>
  <c r="G86" i="150"/>
  <c r="F86" i="150"/>
  <c r="W46" i="165"/>
  <c r="V46" i="165"/>
  <c r="D63" i="140"/>
  <c r="I86" i="99"/>
  <c r="D63" i="136"/>
  <c r="F63" i="140"/>
  <c r="F63" i="136"/>
  <c r="O86" i="99"/>
  <c r="F120" i="99"/>
  <c r="E63" i="140"/>
  <c r="E63" i="136"/>
  <c r="L86" i="99"/>
  <c r="E59" i="167" s="1"/>
  <c r="J15" i="167" s="1"/>
  <c r="G64" i="140"/>
  <c r="R87" i="99"/>
  <c r="G60" i="167" s="1"/>
  <c r="G64" i="136"/>
  <c r="Q88" i="99"/>
  <c r="AA88" i="99"/>
  <c r="R306" i="105"/>
  <c r="G59" i="168"/>
  <c r="I306" i="105"/>
  <c r="D59" i="168"/>
  <c r="L306" i="105"/>
  <c r="E59" i="168"/>
  <c r="J15" i="168" s="1"/>
  <c r="O306" i="105"/>
  <c r="F59" i="168"/>
  <c r="K15" i="168" s="1"/>
  <c r="C32" i="107"/>
  <c r="F124" i="99" l="1"/>
  <c r="F238" i="105"/>
  <c r="L127" i="105"/>
  <c r="E175" i="99"/>
  <c r="O13" i="109" s="1"/>
  <c r="Q13" i="109" s="1"/>
  <c r="R13" i="109" s="1"/>
  <c r="Q175" i="99"/>
  <c r="R170" i="99"/>
  <c r="O202" i="105"/>
  <c r="R202" i="105"/>
  <c r="L202" i="105"/>
  <c r="U20" i="188"/>
  <c r="T20" i="188"/>
  <c r="G15" i="166"/>
  <c r="AF23" i="55"/>
  <c r="X13" i="55"/>
  <c r="G15" i="165"/>
  <c r="H22" i="112"/>
  <c r="G14" i="132"/>
  <c r="U17" i="188"/>
  <c r="T17" i="188"/>
  <c r="Q254" i="105"/>
  <c r="K19" i="189"/>
  <c r="N254" i="105"/>
  <c r="I19" i="189"/>
  <c r="K254" i="105"/>
  <c r="G19" i="189"/>
  <c r="H254" i="105"/>
  <c r="E19" i="189"/>
  <c r="Q250" i="99"/>
  <c r="K14" i="189"/>
  <c r="E28" i="153"/>
  <c r="H76" i="115"/>
  <c r="H92" i="115" s="1"/>
  <c r="D31" i="138"/>
  <c r="G17" i="129"/>
  <c r="G20" i="129" s="1"/>
  <c r="S92" i="99" s="1"/>
  <c r="S182" i="99" s="1"/>
  <c r="Q182" i="99" s="1"/>
  <c r="Q83" i="99"/>
  <c r="H127" i="105"/>
  <c r="K127" i="105"/>
  <c r="M24" i="112"/>
  <c r="R24" i="112" s="1"/>
  <c r="O38" i="145"/>
  <c r="AL25" i="55"/>
  <c r="AR25" i="55" s="1"/>
  <c r="N127" i="105"/>
  <c r="R68" i="105"/>
  <c r="G24" i="137"/>
  <c r="G139" i="137" s="1"/>
  <c r="G24" i="142"/>
  <c r="Q127" i="105"/>
  <c r="I38" i="145"/>
  <c r="K24" i="112"/>
  <c r="P24" i="112" s="1"/>
  <c r="AJ25" i="55"/>
  <c r="AP25" i="55" s="1"/>
  <c r="L24" i="112"/>
  <c r="Q24" i="112" s="1"/>
  <c r="L38" i="145"/>
  <c r="AK25" i="55"/>
  <c r="AQ25" i="55" s="1"/>
  <c r="J24" i="112"/>
  <c r="O24" i="112" s="1"/>
  <c r="AC50" i="99"/>
  <c r="AE50" i="99" s="1"/>
  <c r="AI25" i="55"/>
  <c r="AO25" i="55" s="1"/>
  <c r="L15" i="168"/>
  <c r="I15" i="168"/>
  <c r="V88" i="99"/>
  <c r="G63" i="140"/>
  <c r="G63" i="136"/>
  <c r="R86" i="99"/>
  <c r="F62" i="136"/>
  <c r="O112" i="99"/>
  <c r="F62" i="140"/>
  <c r="I112" i="99"/>
  <c r="D62" i="140"/>
  <c r="D62" i="136"/>
  <c r="L112" i="99"/>
  <c r="L120" i="99" s="1"/>
  <c r="L238" i="105" s="1"/>
  <c r="E62" i="140"/>
  <c r="E62" i="136"/>
  <c r="C8" i="146"/>
  <c r="B8" i="146" s="1"/>
  <c r="C61" i="107"/>
  <c r="J61" i="107" s="1"/>
  <c r="K61" i="107" s="1"/>
  <c r="C89" i="107"/>
  <c r="C118" i="107" s="1"/>
  <c r="R169" i="99" l="1"/>
  <c r="O210" i="105"/>
  <c r="O242" i="105" s="1"/>
  <c r="L210" i="105"/>
  <c r="L242" i="105" s="1"/>
  <c r="R210" i="105"/>
  <c r="R242" i="105" s="1"/>
  <c r="AF13" i="55"/>
  <c r="H12" i="112"/>
  <c r="F4" i="157"/>
  <c r="P4" i="157" s="1"/>
  <c r="G11" i="165"/>
  <c r="R15" i="165"/>
  <c r="R11" i="165" s="1"/>
  <c r="M15" i="165"/>
  <c r="M11" i="165" s="1"/>
  <c r="M15" i="166"/>
  <c r="M11" i="166" s="1"/>
  <c r="R15" i="166"/>
  <c r="R11" i="166" s="1"/>
  <c r="G11" i="166"/>
  <c r="G56" i="150"/>
  <c r="G52" i="150" s="1"/>
  <c r="G10" i="132"/>
  <c r="R14" i="132"/>
  <c r="R10" i="132" s="1"/>
  <c r="M14" i="132"/>
  <c r="M10" i="132" s="1"/>
  <c r="E31" i="138"/>
  <c r="G31" i="138" s="1"/>
  <c r="F28" i="153"/>
  <c r="H28" i="153" s="1"/>
  <c r="R76" i="105"/>
  <c r="R305" i="105"/>
  <c r="R308" i="105" s="1"/>
  <c r="E24" i="139"/>
  <c r="O73" i="115"/>
  <c r="O89" i="115" s="1"/>
  <c r="B30" i="163"/>
  <c r="O76" i="115"/>
  <c r="O92" i="115" s="1"/>
  <c r="E30" i="163"/>
  <c r="O75" i="115"/>
  <c r="O91" i="115" s="1"/>
  <c r="D30" i="163"/>
  <c r="E124" i="99"/>
  <c r="C15" i="189" s="1"/>
  <c r="F127" i="99"/>
  <c r="O120" i="99"/>
  <c r="O238" i="105" s="1"/>
  <c r="C23" i="146"/>
  <c r="K8" i="146"/>
  <c r="I120" i="99"/>
  <c r="I238" i="105" s="1"/>
  <c r="R112" i="99"/>
  <c r="G62" i="136"/>
  <c r="G62" i="140"/>
  <c r="E37" i="154"/>
  <c r="E42" i="139"/>
  <c r="G32" i="107"/>
  <c r="E15" i="139"/>
  <c r="D32" i="107"/>
  <c r="E10" i="154"/>
  <c r="E28" i="154"/>
  <c r="E33" i="139"/>
  <c r="F32" i="107"/>
  <c r="R80" i="105" l="1"/>
  <c r="R237" i="105"/>
  <c r="R202" i="99"/>
  <c r="D59" i="167"/>
  <c r="I124" i="99"/>
  <c r="F59" i="167"/>
  <c r="K15" i="167" s="1"/>
  <c r="O124" i="99"/>
  <c r="N72" i="115"/>
  <c r="P72" i="115" s="1"/>
  <c r="E252" i="99"/>
  <c r="G20" i="167"/>
  <c r="L14" i="167" s="1"/>
  <c r="G20" i="168"/>
  <c r="E19" i="154"/>
  <c r="O74" i="115"/>
  <c r="O90" i="115" s="1"/>
  <c r="F19" i="154"/>
  <c r="C30" i="163"/>
  <c r="E32" i="107"/>
  <c r="C156" i="107" s="1"/>
  <c r="C214" i="107" s="1"/>
  <c r="I15" i="167"/>
  <c r="H124" i="99"/>
  <c r="O127" i="99"/>
  <c r="C28" i="107"/>
  <c r="C112" i="145"/>
  <c r="E127" i="99"/>
  <c r="C115" i="145" s="1"/>
  <c r="R120" i="99"/>
  <c r="R238" i="105" s="1"/>
  <c r="F89" i="107"/>
  <c r="F61" i="107"/>
  <c r="C157" i="107"/>
  <c r="C194" i="107" s="1"/>
  <c r="D61" i="107"/>
  <c r="D89" i="107"/>
  <c r="C155" i="107"/>
  <c r="C181" i="107" s="1"/>
  <c r="F28" i="154"/>
  <c r="F33" i="139"/>
  <c r="F42" i="139"/>
  <c r="F37" i="154"/>
  <c r="F10" i="154"/>
  <c r="F15" i="139"/>
  <c r="G61" i="107"/>
  <c r="C158" i="107"/>
  <c r="C207" i="107" s="1"/>
  <c r="G89" i="107"/>
  <c r="R210" i="99" l="1"/>
  <c r="G59" i="167"/>
  <c r="G137" i="167" s="1"/>
  <c r="R124" i="99"/>
  <c r="R214" i="99" s="1"/>
  <c r="G9" i="167" s="1"/>
  <c r="H252" i="99"/>
  <c r="E15" i="189"/>
  <c r="N88" i="115"/>
  <c r="Q80" i="105"/>
  <c r="R83" i="105"/>
  <c r="R214" i="105"/>
  <c r="L14" i="168"/>
  <c r="G137" i="168"/>
  <c r="E61" i="107"/>
  <c r="E89" i="107"/>
  <c r="E118" i="107" s="1"/>
  <c r="F24" i="139"/>
  <c r="H24" i="139" s="1"/>
  <c r="N124" i="99"/>
  <c r="I15" i="189" s="1"/>
  <c r="I127" i="99"/>
  <c r="L15" i="167"/>
  <c r="N73" i="115"/>
  <c r="P73" i="115" s="1"/>
  <c r="B23" i="163"/>
  <c r="H19" i="154"/>
  <c r="H28" i="154"/>
  <c r="H33" i="139"/>
  <c r="H42" i="139"/>
  <c r="H15" i="139"/>
  <c r="C85" i="107"/>
  <c r="C57" i="107"/>
  <c r="D28" i="107"/>
  <c r="D15" i="138"/>
  <c r="H127" i="99"/>
  <c r="E12" i="153"/>
  <c r="H37" i="154"/>
  <c r="H10" i="154"/>
  <c r="F118" i="107"/>
  <c r="G118" i="107"/>
  <c r="D118" i="107"/>
  <c r="R241" i="105" l="1"/>
  <c r="R243" i="105" s="1"/>
  <c r="Q252" i="105"/>
  <c r="K18" i="189"/>
  <c r="N75" i="115"/>
  <c r="N91" i="115" s="1"/>
  <c r="N252" i="99"/>
  <c r="Q83" i="105"/>
  <c r="E16" i="163"/>
  <c r="E50" i="163" s="1"/>
  <c r="I76" i="115"/>
  <c r="E35" i="154"/>
  <c r="E33" i="154" s="1"/>
  <c r="G18" i="129"/>
  <c r="G24" i="107"/>
  <c r="E40" i="139"/>
  <c r="E38" i="139" s="1"/>
  <c r="R217" i="105"/>
  <c r="R226" i="105" s="1"/>
  <c r="R223" i="105"/>
  <c r="Q214" i="105"/>
  <c r="K17" i="189" s="1"/>
  <c r="K26" i="189" s="1"/>
  <c r="G9" i="168"/>
  <c r="G140" i="168" s="1"/>
  <c r="R309" i="105"/>
  <c r="G13" i="142"/>
  <c r="G13" i="137"/>
  <c r="D24" i="138"/>
  <c r="F28" i="107"/>
  <c r="F85" i="107" s="1"/>
  <c r="N127" i="99"/>
  <c r="F21" i="153" s="1"/>
  <c r="E21" i="153"/>
  <c r="D23" i="163"/>
  <c r="N89" i="115"/>
  <c r="Q124" i="99"/>
  <c r="K15" i="189" s="1"/>
  <c r="R127" i="99"/>
  <c r="L9" i="167"/>
  <c r="L16" i="167"/>
  <c r="G140" i="167"/>
  <c r="E15" i="138"/>
  <c r="F12" i="153"/>
  <c r="C114" i="107"/>
  <c r="J57" i="107"/>
  <c r="K57" i="107" s="1"/>
  <c r="C146" i="107"/>
  <c r="C175" i="107" s="1"/>
  <c r="D57" i="107"/>
  <c r="D85" i="107"/>
  <c r="R223" i="99"/>
  <c r="G13" i="140"/>
  <c r="Q214" i="99"/>
  <c r="G13" i="136"/>
  <c r="L13" i="136" s="1"/>
  <c r="R217" i="99"/>
  <c r="R226" i="99" s="1"/>
  <c r="D103" i="150"/>
  <c r="G103" i="150"/>
  <c r="C103" i="150"/>
  <c r="F103" i="150"/>
  <c r="F98" i="150"/>
  <c r="C98" i="150"/>
  <c r="D98" i="150"/>
  <c r="G98" i="150"/>
  <c r="R245" i="105" l="1"/>
  <c r="K13" i="189"/>
  <c r="K25" i="189" s="1"/>
  <c r="F57" i="107"/>
  <c r="P75" i="115"/>
  <c r="E30" i="153"/>
  <c r="E26" i="153" s="1"/>
  <c r="Q252" i="99"/>
  <c r="R310" i="105"/>
  <c r="R311" i="105"/>
  <c r="F35" i="154"/>
  <c r="F40" i="139"/>
  <c r="L13" i="137"/>
  <c r="G142" i="137"/>
  <c r="Q217" i="105"/>
  <c r="Q226" i="105" s="1"/>
  <c r="F20" i="169" s="1"/>
  <c r="Q223" i="105"/>
  <c r="Q249" i="105" s="1"/>
  <c r="C140" i="107"/>
  <c r="G53" i="107"/>
  <c r="G73" i="107" s="1"/>
  <c r="G81" i="107"/>
  <c r="G44" i="107"/>
  <c r="G22" i="164" s="1"/>
  <c r="G31" i="164" s="1"/>
  <c r="L9" i="168"/>
  <c r="L16" i="168"/>
  <c r="I92" i="115"/>
  <c r="J76" i="115"/>
  <c r="C76" i="115"/>
  <c r="C92" i="115" s="1"/>
  <c r="E24" i="138"/>
  <c r="G24" i="138" s="1"/>
  <c r="C148" i="107"/>
  <c r="C188" i="107" s="1"/>
  <c r="G28" i="107"/>
  <c r="G57" i="107" s="1"/>
  <c r="E23" i="163"/>
  <c r="E44" i="163" s="1"/>
  <c r="D33" i="138"/>
  <c r="D29" i="138" s="1"/>
  <c r="Q127" i="99"/>
  <c r="F30" i="153" s="1"/>
  <c r="N76" i="115"/>
  <c r="P76" i="115" s="1"/>
  <c r="H21" i="153"/>
  <c r="G15" i="138"/>
  <c r="H12" i="153"/>
  <c r="Q223" i="99"/>
  <c r="Q247" i="99" s="1"/>
  <c r="Q217" i="99"/>
  <c r="Q226" i="99" s="1"/>
  <c r="F18" i="169" s="1"/>
  <c r="F114" i="107"/>
  <c r="D114" i="107"/>
  <c r="R236" i="105" l="1"/>
  <c r="G69" i="107"/>
  <c r="K26" i="153" s="1"/>
  <c r="G110" i="107"/>
  <c r="G130" i="107" s="1"/>
  <c r="G101" i="107"/>
  <c r="E20" i="169"/>
  <c r="E20" i="172" s="1"/>
  <c r="F20" i="172" s="1"/>
  <c r="E18" i="169"/>
  <c r="E18" i="172" s="1"/>
  <c r="F18" i="172" s="1"/>
  <c r="C206" i="107"/>
  <c r="C200" i="107"/>
  <c r="H35" i="154"/>
  <c r="F33" i="154"/>
  <c r="H33" i="154" s="1"/>
  <c r="H40" i="139"/>
  <c r="F38" i="139"/>
  <c r="H38" i="139" s="1"/>
  <c r="C149" i="107"/>
  <c r="C201" i="107" s="1"/>
  <c r="G85" i="107"/>
  <c r="G114" i="107" s="1"/>
  <c r="G40" i="107"/>
  <c r="G6" i="164" s="1"/>
  <c r="G15" i="164" s="1"/>
  <c r="E33" i="138"/>
  <c r="G33" i="138" s="1"/>
  <c r="N92" i="115"/>
  <c r="B76" i="115"/>
  <c r="F26" i="153"/>
  <c r="H26" i="153" s="1"/>
  <c r="H30" i="153"/>
  <c r="J29" i="138" l="1"/>
  <c r="G126" i="107"/>
  <c r="C203" i="107"/>
  <c r="C204" i="107" s="1"/>
  <c r="C24" i="147" s="1"/>
  <c r="C209" i="107"/>
  <c r="C210" i="107" s="1"/>
  <c r="C26" i="147" s="1"/>
  <c r="E29" i="138"/>
  <c r="G29" i="138" s="1"/>
  <c r="I29" i="138"/>
  <c r="J26" i="153"/>
  <c r="G97" i="107"/>
  <c r="D76" i="115"/>
  <c r="B92" i="115"/>
  <c r="K161" i="99" l="1"/>
  <c r="K167" i="99"/>
  <c r="M167" i="99" l="1"/>
  <c r="D106" i="150" l="1"/>
  <c r="D35" i="130"/>
  <c r="D35" i="150"/>
  <c r="G106" i="150"/>
  <c r="G35" i="130"/>
  <c r="G35" i="150"/>
  <c r="F35" i="130" l="1"/>
  <c r="F35" i="150"/>
  <c r="F106" i="150"/>
  <c r="C35" i="150" l="1"/>
  <c r="C35" i="130"/>
  <c r="I35" i="130" s="1"/>
  <c r="C106" i="150"/>
  <c r="C52" i="131" l="1"/>
  <c r="C148" i="49" l="1"/>
  <c r="C146" i="49" l="1"/>
  <c r="L146" i="49" s="1"/>
  <c r="C147" i="49" l="1"/>
  <c r="H13" i="100" l="1"/>
  <c r="L40" i="99"/>
  <c r="L172" i="99" s="1"/>
  <c r="H13" i="84"/>
  <c r="L171" i="99" l="1"/>
  <c r="K172" i="99"/>
  <c r="I13" i="100"/>
  <c r="O40" i="99"/>
  <c r="B114" i="115"/>
  <c r="B122" i="115" s="1"/>
  <c r="I13" i="84"/>
  <c r="J28" i="145"/>
  <c r="E23" i="167"/>
  <c r="E27" i="136"/>
  <c r="K40" i="99"/>
  <c r="F113" i="115" s="1"/>
  <c r="F121" i="115" s="1"/>
  <c r="X40" i="99"/>
  <c r="E27" i="140"/>
  <c r="L39" i="99"/>
  <c r="P15" i="55"/>
  <c r="Q13" i="100"/>
  <c r="Y40" i="99" l="1"/>
  <c r="O172" i="99"/>
  <c r="L170" i="99"/>
  <c r="K171" i="99"/>
  <c r="E113" i="115"/>
  <c r="G113" i="115" s="1"/>
  <c r="P14" i="55"/>
  <c r="B113" i="115"/>
  <c r="B121" i="115" s="1"/>
  <c r="F23" i="167"/>
  <c r="F27" i="140"/>
  <c r="F27" i="136"/>
  <c r="M28" i="145"/>
  <c r="N40" i="99"/>
  <c r="O39" i="99"/>
  <c r="F26" i="140" s="1"/>
  <c r="R13" i="100"/>
  <c r="T15" i="55"/>
  <c r="E114" i="115" s="1"/>
  <c r="E22" i="167"/>
  <c r="E26" i="136"/>
  <c r="J27" i="145"/>
  <c r="E26" i="140"/>
  <c r="L38" i="99"/>
  <c r="I12" i="84"/>
  <c r="I12" i="100"/>
  <c r="I11" i="100" s="1"/>
  <c r="I10" i="100" s="1"/>
  <c r="AJ15" i="55"/>
  <c r="K14" i="112"/>
  <c r="K39" i="99"/>
  <c r="C113" i="115" s="1"/>
  <c r="H12" i="100"/>
  <c r="H11" i="100" s="1"/>
  <c r="H10" i="100" s="1"/>
  <c r="H12" i="84"/>
  <c r="F14" i="112"/>
  <c r="AD15" i="55"/>
  <c r="L169" i="99" l="1"/>
  <c r="O171" i="99"/>
  <c r="N172" i="99"/>
  <c r="E121" i="115"/>
  <c r="G121" i="115" s="1"/>
  <c r="D113" i="115"/>
  <c r="C121" i="115"/>
  <c r="D121" i="115" s="1"/>
  <c r="E122" i="115"/>
  <c r="AK15" i="55"/>
  <c r="F114" i="115"/>
  <c r="F122" i="115" s="1"/>
  <c r="E23" i="168"/>
  <c r="E27" i="142"/>
  <c r="E27" i="137"/>
  <c r="T14" i="55"/>
  <c r="F26" i="136"/>
  <c r="L14" i="112"/>
  <c r="O38" i="99"/>
  <c r="O37" i="99" s="1"/>
  <c r="M27" i="145"/>
  <c r="F22" i="167"/>
  <c r="N39" i="99"/>
  <c r="G14" i="112"/>
  <c r="AE15" i="55"/>
  <c r="AG15" i="55" s="1"/>
  <c r="AP15" i="55"/>
  <c r="Q12" i="100"/>
  <c r="H11" i="84"/>
  <c r="P14" i="112"/>
  <c r="J26" i="145"/>
  <c r="E25" i="136"/>
  <c r="L37" i="99"/>
  <c r="E21" i="167"/>
  <c r="E25" i="140"/>
  <c r="E12" i="165"/>
  <c r="E11" i="132"/>
  <c r="P53" i="55"/>
  <c r="AD14" i="55"/>
  <c r="E12" i="166"/>
  <c r="F13" i="112"/>
  <c r="K13" i="112"/>
  <c r="AJ14" i="55"/>
  <c r="I11" i="84"/>
  <c r="R12" i="100"/>
  <c r="O170" i="99" l="1"/>
  <c r="N171" i="99"/>
  <c r="L202" i="99"/>
  <c r="F52" i="112"/>
  <c r="F11" i="132"/>
  <c r="E5" i="158"/>
  <c r="AQ15" i="55"/>
  <c r="AE14" i="55"/>
  <c r="AG14" i="55" s="1"/>
  <c r="G13" i="112"/>
  <c r="F25" i="140"/>
  <c r="G122" i="115"/>
  <c r="G114" i="115"/>
  <c r="L13" i="112"/>
  <c r="C114" i="115"/>
  <c r="E22" i="168"/>
  <c r="E26" i="142"/>
  <c r="E26" i="137"/>
  <c r="T53" i="55"/>
  <c r="F12" i="166"/>
  <c r="Q12" i="166" s="1"/>
  <c r="I28" i="145"/>
  <c r="F12" i="165"/>
  <c r="Q12" i="165" s="1"/>
  <c r="F27" i="137"/>
  <c r="F27" i="142"/>
  <c r="F23" i="168"/>
  <c r="E5" i="157"/>
  <c r="O5" i="157" s="1"/>
  <c r="M26" i="145"/>
  <c r="AK14" i="55"/>
  <c r="F25" i="136"/>
  <c r="F21" i="167"/>
  <c r="Q14" i="112"/>
  <c r="P13" i="112"/>
  <c r="AP14" i="55"/>
  <c r="Q13" i="112"/>
  <c r="Q11" i="100"/>
  <c r="H10" i="84"/>
  <c r="Q10" i="100" s="1"/>
  <c r="P23" i="55"/>
  <c r="P12" i="166"/>
  <c r="K12" i="166"/>
  <c r="I10" i="84"/>
  <c r="R10" i="100" s="1"/>
  <c r="R11" i="100"/>
  <c r="T23" i="55"/>
  <c r="P12" i="165"/>
  <c r="K12" i="165"/>
  <c r="O68" i="99"/>
  <c r="F24" i="140"/>
  <c r="F24" i="136"/>
  <c r="M25" i="145"/>
  <c r="K11" i="132"/>
  <c r="E15" i="151"/>
  <c r="E53" i="150"/>
  <c r="E15" i="131"/>
  <c r="P11" i="132"/>
  <c r="E24" i="140"/>
  <c r="J25" i="145"/>
  <c r="L68" i="99"/>
  <c r="L76" i="99" s="1"/>
  <c r="E24" i="136"/>
  <c r="F15" i="151"/>
  <c r="F15" i="131"/>
  <c r="Q11" i="132"/>
  <c r="F15" i="150"/>
  <c r="F53" i="150"/>
  <c r="L11" i="132"/>
  <c r="F15" i="130"/>
  <c r="E7" i="158" s="1"/>
  <c r="L210" i="99" l="1"/>
  <c r="L12" i="166"/>
  <c r="O169" i="99"/>
  <c r="E13" i="158"/>
  <c r="E15" i="158" s="1"/>
  <c r="D13" i="158"/>
  <c r="D15" i="158" s="1"/>
  <c r="G52" i="112"/>
  <c r="L12" i="165"/>
  <c r="AQ14" i="55"/>
  <c r="D114" i="115"/>
  <c r="C122" i="115"/>
  <c r="D122" i="115" s="1"/>
  <c r="L28" i="145"/>
  <c r="F22" i="168"/>
  <c r="F26" i="137"/>
  <c r="F26" i="142"/>
  <c r="E25" i="137"/>
  <c r="E21" i="168"/>
  <c r="E25" i="142"/>
  <c r="I27" i="145"/>
  <c r="AE23" i="55"/>
  <c r="F14" i="132"/>
  <c r="F15" i="166"/>
  <c r="F15" i="165"/>
  <c r="T13" i="55"/>
  <c r="G22" i="112"/>
  <c r="O76" i="99"/>
  <c r="O80" i="99" s="1"/>
  <c r="F22" i="112"/>
  <c r="E14" i="132"/>
  <c r="E15" i="166"/>
  <c r="AD23" i="55"/>
  <c r="E15" i="165"/>
  <c r="P13" i="55"/>
  <c r="L241" i="105" l="1"/>
  <c r="L243" i="105" s="1"/>
  <c r="O202" i="99"/>
  <c r="AG23" i="55"/>
  <c r="L27" i="145"/>
  <c r="L68" i="105"/>
  <c r="L76" i="105" s="1"/>
  <c r="E24" i="142"/>
  <c r="E24" i="137"/>
  <c r="E139" i="137" s="1"/>
  <c r="F21" i="168"/>
  <c r="F25" i="142"/>
  <c r="F25" i="137"/>
  <c r="G47" i="108"/>
  <c r="C47" i="108"/>
  <c r="Q14" i="132"/>
  <c r="Q10" i="132" s="1"/>
  <c r="L14" i="132"/>
  <c r="L10" i="132" s="1"/>
  <c r="F56" i="150"/>
  <c r="F52" i="150" s="1"/>
  <c r="F10" i="132"/>
  <c r="P15" i="165"/>
  <c r="K15" i="165"/>
  <c r="E11" i="165"/>
  <c r="F11" i="166"/>
  <c r="Q15" i="166"/>
  <c r="Q11" i="166" s="1"/>
  <c r="L15" i="166"/>
  <c r="L11" i="166" s="1"/>
  <c r="F12" i="112"/>
  <c r="AD13" i="55"/>
  <c r="D4" i="157"/>
  <c r="K14" i="132"/>
  <c r="E56" i="150"/>
  <c r="E52" i="150" s="1"/>
  <c r="P14" i="132"/>
  <c r="E10" i="132"/>
  <c r="F11" i="165"/>
  <c r="Q15" i="165"/>
  <c r="Q11" i="165" s="1"/>
  <c r="L15" i="165"/>
  <c r="L11" i="165" s="1"/>
  <c r="P15" i="166"/>
  <c r="K15" i="166"/>
  <c r="E11" i="166"/>
  <c r="G12" i="112"/>
  <c r="E4" i="157"/>
  <c r="O4" i="157" s="1"/>
  <c r="AE13" i="55"/>
  <c r="L80" i="105" l="1"/>
  <c r="L237" i="105"/>
  <c r="O210" i="99"/>
  <c r="AG13" i="55"/>
  <c r="O68" i="105"/>
  <c r="O76" i="105" s="1"/>
  <c r="F24" i="137"/>
  <c r="F139" i="137" s="1"/>
  <c r="F24" i="142"/>
  <c r="L305" i="105"/>
  <c r="L308" i="105" s="1"/>
  <c r="B49" i="108"/>
  <c r="F49" i="108"/>
  <c r="F47" i="108"/>
  <c r="B47" i="108"/>
  <c r="N4" i="157"/>
  <c r="P11" i="166"/>
  <c r="K10" i="132"/>
  <c r="K11" i="166"/>
  <c r="P11" i="165"/>
  <c r="P10" i="132"/>
  <c r="K11" i="165"/>
  <c r="O83" i="99"/>
  <c r="O214" i="99"/>
  <c r="M68" i="145"/>
  <c r="N80" i="99"/>
  <c r="O241" i="105" l="1"/>
  <c r="O243" i="105" s="1"/>
  <c r="O80" i="105"/>
  <c r="O214" i="105" s="1"/>
  <c r="O237" i="105"/>
  <c r="N250" i="99"/>
  <c r="I14" i="189"/>
  <c r="E20" i="167"/>
  <c r="E20" i="168"/>
  <c r="O305" i="105"/>
  <c r="O308" i="105" s="1"/>
  <c r="L214" i="105"/>
  <c r="N83" i="99"/>
  <c r="D22" i="138"/>
  <c r="D20" i="138" s="1"/>
  <c r="H75" i="115"/>
  <c r="E19" i="153"/>
  <c r="E17" i="153" s="1"/>
  <c r="F17" i="129"/>
  <c r="F20" i="129" s="1"/>
  <c r="P92" i="99" s="1"/>
  <c r="P182" i="99" s="1"/>
  <c r="N182" i="99" s="1"/>
  <c r="O223" i="99"/>
  <c r="F13" i="136"/>
  <c r="K13" i="136" s="1"/>
  <c r="N214" i="99"/>
  <c r="O217" i="99"/>
  <c r="O226" i="99" s="1"/>
  <c r="F13" i="140"/>
  <c r="F9" i="167"/>
  <c r="K16" i="167" s="1"/>
  <c r="I13" i="189" l="1"/>
  <c r="I25" i="189" s="1"/>
  <c r="K214" i="105"/>
  <c r="L83" i="105"/>
  <c r="K80" i="105"/>
  <c r="K252" i="105" s="1"/>
  <c r="J14" i="167"/>
  <c r="E137" i="167"/>
  <c r="E140" i="167" s="1"/>
  <c r="J14" i="168"/>
  <c r="E137" i="168"/>
  <c r="F20" i="168"/>
  <c r="F20" i="167"/>
  <c r="K9" i="167"/>
  <c r="F19" i="153"/>
  <c r="E22" i="138"/>
  <c r="N217" i="99"/>
  <c r="N226" i="99" s="1"/>
  <c r="F13" i="169" s="1"/>
  <c r="N223" i="99"/>
  <c r="N247" i="99" s="1"/>
  <c r="H91" i="115"/>
  <c r="B75" i="115"/>
  <c r="K217" i="105" l="1"/>
  <c r="G17" i="189"/>
  <c r="G26" i="189" s="1"/>
  <c r="N80" i="105"/>
  <c r="O83" i="105"/>
  <c r="F137" i="168"/>
  <c r="K14" i="168"/>
  <c r="L217" i="105"/>
  <c r="L226" i="105" s="1"/>
  <c r="K226" i="105" s="1"/>
  <c r="F23" i="169" s="1"/>
  <c r="L223" i="105"/>
  <c r="L245" i="105" s="1"/>
  <c r="E13" i="142"/>
  <c r="E13" i="137"/>
  <c r="L309" i="105"/>
  <c r="E9" i="168"/>
  <c r="E13" i="169"/>
  <c r="E13" i="172" s="1"/>
  <c r="F13" i="172" s="1"/>
  <c r="H13" i="172" s="1"/>
  <c r="K14" i="167"/>
  <c r="F137" i="167"/>
  <c r="F140" i="167" s="1"/>
  <c r="K83" i="105"/>
  <c r="E22" i="139"/>
  <c r="E20" i="139" s="1"/>
  <c r="C16" i="163"/>
  <c r="C50" i="163" s="1"/>
  <c r="E24" i="107"/>
  <c r="E17" i="154"/>
  <c r="E15" i="154" s="1"/>
  <c r="E18" i="129"/>
  <c r="I74" i="115"/>
  <c r="B91" i="115"/>
  <c r="F17" i="153"/>
  <c r="H17" i="153" s="1"/>
  <c r="H19" i="153"/>
  <c r="E20" i="138"/>
  <c r="G20" i="138" s="1"/>
  <c r="G22" i="138"/>
  <c r="H13" i="169" l="1"/>
  <c r="N252" i="105"/>
  <c r="I18" i="189"/>
  <c r="E142" i="137"/>
  <c r="J13" i="137"/>
  <c r="O217" i="105"/>
  <c r="O226" i="105" s="1"/>
  <c r="O223" i="105"/>
  <c r="N214" i="105"/>
  <c r="I17" i="189" s="1"/>
  <c r="I26" i="189" s="1"/>
  <c r="O309" i="105"/>
  <c r="F13" i="142"/>
  <c r="F9" i="168"/>
  <c r="F13" i="137"/>
  <c r="L310" i="105"/>
  <c r="L311" i="105"/>
  <c r="N83" i="105"/>
  <c r="E31" i="139"/>
  <c r="E29" i="139" s="1"/>
  <c r="E26" i="154"/>
  <c r="E24" i="154" s="1"/>
  <c r="D16" i="163"/>
  <c r="F18" i="129"/>
  <c r="I20" i="129" s="1"/>
  <c r="I75" i="115"/>
  <c r="F24" i="107"/>
  <c r="C74" i="115"/>
  <c r="C90" i="115" s="1"/>
  <c r="I90" i="115"/>
  <c r="J16" i="168"/>
  <c r="E140" i="168"/>
  <c r="J9" i="168"/>
  <c r="L236" i="105"/>
  <c r="K223" i="105"/>
  <c r="K249" i="105" s="1"/>
  <c r="C138" i="107"/>
  <c r="E53" i="107"/>
  <c r="E73" i="107" s="1"/>
  <c r="E81" i="107"/>
  <c r="E44" i="107"/>
  <c r="E22" i="164" s="1"/>
  <c r="E31" i="164" s="1"/>
  <c r="F17" i="154"/>
  <c r="F22" i="139"/>
  <c r="O236" i="105" l="1"/>
  <c r="O245" i="105"/>
  <c r="C213" i="107"/>
  <c r="C216" i="107" s="1"/>
  <c r="C217" i="107" s="1"/>
  <c r="C30" i="147" s="1"/>
  <c r="E101" i="107"/>
  <c r="E110" i="107"/>
  <c r="E130" i="107" s="1"/>
  <c r="E21" i="129"/>
  <c r="F21" i="129"/>
  <c r="G21" i="129"/>
  <c r="F142" i="137"/>
  <c r="K13" i="137"/>
  <c r="N217" i="105"/>
  <c r="N226" i="105" s="1"/>
  <c r="F15" i="169" s="1"/>
  <c r="N223" i="105"/>
  <c r="E23" i="169"/>
  <c r="I91" i="115"/>
  <c r="J75" i="115"/>
  <c r="C75" i="115"/>
  <c r="O310" i="105"/>
  <c r="O311" i="105"/>
  <c r="F15" i="154"/>
  <c r="H15" i="154" s="1"/>
  <c r="H17" i="154"/>
  <c r="C139" i="107"/>
  <c r="F44" i="107"/>
  <c r="F22" i="164" s="1"/>
  <c r="F31" i="164" s="1"/>
  <c r="F40" i="107"/>
  <c r="F6" i="164" s="1"/>
  <c r="F15" i="164" s="1"/>
  <c r="F53" i="107"/>
  <c r="F81" i="107"/>
  <c r="F20" i="139"/>
  <c r="H20" i="139" s="1"/>
  <c r="H22" i="139"/>
  <c r="D44" i="163"/>
  <c r="D50" i="163"/>
  <c r="F26" i="154"/>
  <c r="F31" i="139"/>
  <c r="K16" i="168"/>
  <c r="F140" i="168"/>
  <c r="K9" i="168"/>
  <c r="E15" i="169" l="1"/>
  <c r="E15" i="172" s="1"/>
  <c r="F15" i="172" s="1"/>
  <c r="H15" i="172" s="1"/>
  <c r="N249" i="105"/>
  <c r="H23" i="169"/>
  <c r="E23" i="172"/>
  <c r="F23" i="172" s="1"/>
  <c r="H23" i="172" s="1"/>
  <c r="F24" i="154"/>
  <c r="H24" i="154" s="1"/>
  <c r="H26" i="154"/>
  <c r="P92" i="105"/>
  <c r="P182" i="105" s="1"/>
  <c r="N182" i="105" s="1"/>
  <c r="F19" i="129"/>
  <c r="F29" i="139"/>
  <c r="H29" i="139" s="1"/>
  <c r="H31" i="139"/>
  <c r="S92" i="105"/>
  <c r="S182" i="105" s="1"/>
  <c r="Q182" i="105" s="1"/>
  <c r="G19" i="129"/>
  <c r="F73" i="107"/>
  <c r="F69" i="107"/>
  <c r="C91" i="115"/>
  <c r="D75" i="115"/>
  <c r="J20" i="129"/>
  <c r="F97" i="107"/>
  <c r="F101" i="107"/>
  <c r="F110" i="107"/>
  <c r="C187" i="107"/>
  <c r="C193" i="107"/>
  <c r="M92" i="105"/>
  <c r="M182" i="105" s="1"/>
  <c r="K182" i="105" s="1"/>
  <c r="E19" i="129"/>
  <c r="G47" i="55"/>
  <c r="G48" i="55"/>
  <c r="O45" i="55"/>
  <c r="O51" i="55" s="1"/>
  <c r="O52" i="55" s="1"/>
  <c r="G49" i="55"/>
  <c r="G46" i="55"/>
  <c r="H15" i="169" l="1"/>
  <c r="C190" i="107"/>
  <c r="C191" i="107" s="1"/>
  <c r="C18" i="147" s="1"/>
  <c r="C196" i="107"/>
  <c r="C197" i="107" s="1"/>
  <c r="C20" i="147" s="1"/>
  <c r="F126" i="107"/>
  <c r="F130" i="107"/>
  <c r="G45" i="55"/>
  <c r="G51" i="55" s="1"/>
  <c r="G74" i="55" s="1"/>
  <c r="D16" i="106"/>
  <c r="D10" i="106" s="1"/>
  <c r="D10" i="83"/>
  <c r="D9" i="83" s="1"/>
  <c r="F16" i="83"/>
  <c r="I16" i="83" l="1"/>
  <c r="T16" i="106" s="1"/>
  <c r="AN24" i="174"/>
  <c r="F10" i="83"/>
  <c r="Q10" i="106" s="1"/>
  <c r="I10" i="83"/>
  <c r="H16" i="83"/>
  <c r="Q16" i="106"/>
  <c r="J16" i="83"/>
  <c r="G16" i="83"/>
  <c r="F16" i="106"/>
  <c r="N2" i="83"/>
  <c r="D8" i="115"/>
  <c r="D9" i="106"/>
  <c r="D84" i="106"/>
  <c r="E12" i="57"/>
  <c r="E11" i="57" s="1"/>
  <c r="E32" i="57" s="1"/>
  <c r="E40" i="57" s="1"/>
  <c r="E41" i="57" s="1"/>
  <c r="E54" i="57" s="1"/>
  <c r="AN2" i="174" l="1"/>
  <c r="AE24" i="174"/>
  <c r="AB24" i="174" s="1"/>
  <c r="G12" i="57"/>
  <c r="E32" i="157"/>
  <c r="E11" i="157" s="1"/>
  <c r="F9" i="83"/>
  <c r="L9" i="83" s="1"/>
  <c r="C10" i="135"/>
  <c r="C118" i="150" s="1"/>
  <c r="C48" i="110"/>
  <c r="D85" i="106"/>
  <c r="D75" i="106"/>
  <c r="E8" i="115"/>
  <c r="N2" i="106"/>
  <c r="G10" i="135"/>
  <c r="U16" i="106"/>
  <c r="J10" i="83"/>
  <c r="T10" i="106"/>
  <c r="I9" i="83"/>
  <c r="T9" i="106" s="1"/>
  <c r="R16" i="106"/>
  <c r="G10" i="83"/>
  <c r="O16" i="83"/>
  <c r="H12" i="57"/>
  <c r="C79" i="166"/>
  <c r="I16" i="106"/>
  <c r="I10" i="106" s="1"/>
  <c r="I9" i="106" s="1"/>
  <c r="H16" i="106"/>
  <c r="H10" i="106" s="1"/>
  <c r="H9" i="106" s="1"/>
  <c r="G16" i="106"/>
  <c r="G10" i="106" s="1"/>
  <c r="G9" i="106" s="1"/>
  <c r="J16" i="106"/>
  <c r="J10" i="106" s="1"/>
  <c r="J9" i="106" s="1"/>
  <c r="F10" i="106"/>
  <c r="S16" i="106"/>
  <c r="H10" i="83"/>
  <c r="I12" i="57" l="1"/>
  <c r="L14" i="109"/>
  <c r="E131" i="105"/>
  <c r="D84" i="83"/>
  <c r="C81" i="83" s="1"/>
  <c r="J10" i="186"/>
  <c r="E10" i="135"/>
  <c r="E118" i="150" s="1"/>
  <c r="J10" i="90"/>
  <c r="Q9" i="106"/>
  <c r="J15" i="171"/>
  <c r="J8" i="171" s="1"/>
  <c r="J12" i="57"/>
  <c r="C79" i="165"/>
  <c r="E79" i="165" s="1"/>
  <c r="K12" i="57"/>
  <c r="E131" i="99"/>
  <c r="G131" i="99" s="1"/>
  <c r="J10" i="101"/>
  <c r="P2" i="83"/>
  <c r="H8" i="115"/>
  <c r="N8" i="115" s="1"/>
  <c r="F10" i="135"/>
  <c r="Q10" i="135" s="1"/>
  <c r="D10" i="135"/>
  <c r="D118" i="150" s="1"/>
  <c r="O16" i="106"/>
  <c r="H9" i="83"/>
  <c r="S9" i="106" s="1"/>
  <c r="S10" i="106"/>
  <c r="U79" i="166"/>
  <c r="F79" i="166"/>
  <c r="D79" i="166"/>
  <c r="G79" i="166"/>
  <c r="E79" i="166"/>
  <c r="J9" i="83"/>
  <c r="U9" i="106" s="1"/>
  <c r="U10" i="106"/>
  <c r="C39" i="110"/>
  <c r="U79" i="165"/>
  <c r="G79" i="165"/>
  <c r="F79" i="165"/>
  <c r="G9" i="83"/>
  <c r="R10" i="106"/>
  <c r="O10" i="83"/>
  <c r="O10" i="106"/>
  <c r="F84" i="106"/>
  <c r="F9" i="106"/>
  <c r="AN3" i="174" s="1"/>
  <c r="R10" i="135"/>
  <c r="G118" i="150"/>
  <c r="M10" i="135"/>
  <c r="D86" i="106"/>
  <c r="K10" i="135"/>
  <c r="G131" i="105" l="1"/>
  <c r="H131" i="105"/>
  <c r="J131" i="105" s="1"/>
  <c r="Q131" i="105"/>
  <c r="S131" i="105" s="1"/>
  <c r="N131" i="105"/>
  <c r="P131" i="105" s="1"/>
  <c r="K131" i="105"/>
  <c r="M131" i="105" s="1"/>
  <c r="H84" i="83"/>
  <c r="G64" i="108" s="1"/>
  <c r="N131" i="99"/>
  <c r="C76" i="83"/>
  <c r="G76" i="83" s="1"/>
  <c r="F56" i="108" s="1"/>
  <c r="C64" i="108"/>
  <c r="C77" i="83"/>
  <c r="B57" i="108" s="1"/>
  <c r="C83" i="83"/>
  <c r="B63" i="108" s="1"/>
  <c r="C79" i="83"/>
  <c r="G79" i="83" s="1"/>
  <c r="F59" i="108" s="1"/>
  <c r="D82" i="83"/>
  <c r="C80" i="83"/>
  <c r="G80" i="83" s="1"/>
  <c r="F60" i="108" s="1"/>
  <c r="C75" i="83"/>
  <c r="C74" i="83"/>
  <c r="B54" i="108" s="1"/>
  <c r="C78" i="83"/>
  <c r="P10" i="135"/>
  <c r="J10" i="135"/>
  <c r="D79" i="165"/>
  <c r="W79" i="165" s="1"/>
  <c r="F118" i="150"/>
  <c r="C119" i="145"/>
  <c r="H131" i="99"/>
  <c r="Q131" i="99"/>
  <c r="S131" i="99" s="1"/>
  <c r="K15" i="171"/>
  <c r="K131" i="99"/>
  <c r="L10" i="135"/>
  <c r="I10" i="135" s="1"/>
  <c r="O10" i="135"/>
  <c r="O9" i="106"/>
  <c r="F75" i="106"/>
  <c r="F7" i="107"/>
  <c r="I8" i="115"/>
  <c r="V79" i="166"/>
  <c r="J79" i="166"/>
  <c r="W79" i="166"/>
  <c r="O79" i="166"/>
  <c r="J131" i="99"/>
  <c r="D30" i="146"/>
  <c r="L79" i="165"/>
  <c r="Q79" i="165"/>
  <c r="K79" i="165"/>
  <c r="P79" i="165"/>
  <c r="B55" i="108"/>
  <c r="G75" i="83"/>
  <c r="F55" i="108" s="1"/>
  <c r="M79" i="166"/>
  <c r="R79" i="166"/>
  <c r="K8" i="171"/>
  <c r="F85" i="106"/>
  <c r="F48" i="110"/>
  <c r="R9" i="106"/>
  <c r="O9" i="83"/>
  <c r="H82" i="83"/>
  <c r="G62" i="108" s="1"/>
  <c r="C62" i="108"/>
  <c r="C82" i="83"/>
  <c r="B60" i="108"/>
  <c r="B61" i="108"/>
  <c r="G81" i="83"/>
  <c r="F61" i="108" s="1"/>
  <c r="K79" i="166"/>
  <c r="P79" i="166"/>
  <c r="P131" i="99"/>
  <c r="M131" i="99"/>
  <c r="M14" i="109"/>
  <c r="L8" i="109"/>
  <c r="R79" i="165"/>
  <c r="M79" i="165"/>
  <c r="B58" i="108"/>
  <c r="G78" i="83"/>
  <c r="F58" i="108" s="1"/>
  <c r="Q79" i="166"/>
  <c r="L79" i="166"/>
  <c r="G74" i="83" l="1"/>
  <c r="F54" i="108" s="1"/>
  <c r="G83" i="83"/>
  <c r="F63" i="108" s="1"/>
  <c r="O79" i="165"/>
  <c r="J79" i="165"/>
  <c r="I79" i="165" s="1"/>
  <c r="B56" i="108"/>
  <c r="B59" i="108"/>
  <c r="G77" i="83"/>
  <c r="F57" i="108" s="1"/>
  <c r="V79" i="165"/>
  <c r="N10" i="135"/>
  <c r="H10" i="135" s="1"/>
  <c r="F104" i="137"/>
  <c r="F104" i="142"/>
  <c r="F102" i="168"/>
  <c r="B62" i="108"/>
  <c r="G82" i="83"/>
  <c r="F62" i="108" s="1"/>
  <c r="D102" i="168"/>
  <c r="D104" i="137"/>
  <c r="D104" i="142"/>
  <c r="G104" i="136"/>
  <c r="G102" i="167"/>
  <c r="G104" i="140"/>
  <c r="D104" i="136"/>
  <c r="D102" i="167"/>
  <c r="D104" i="140"/>
  <c r="M8" i="109"/>
  <c r="N79" i="166"/>
  <c r="O8" i="115"/>
  <c r="J8" i="115"/>
  <c r="F104" i="140"/>
  <c r="F104" i="136"/>
  <c r="F102" i="167"/>
  <c r="F39" i="110"/>
  <c r="E104" i="137"/>
  <c r="E104" i="142"/>
  <c r="E102" i="168"/>
  <c r="I79" i="166"/>
  <c r="G104" i="137"/>
  <c r="G104" i="142"/>
  <c r="G102" i="168"/>
  <c r="C84" i="83"/>
  <c r="E104" i="140"/>
  <c r="E104" i="136"/>
  <c r="E102" i="167"/>
  <c r="N79" i="165"/>
  <c r="G75" i="106"/>
  <c r="F86" i="106"/>
  <c r="B64" i="108" l="1"/>
  <c r="G84" i="83"/>
  <c r="F64" i="108" s="1"/>
  <c r="H79" i="165"/>
  <c r="P8" i="115"/>
  <c r="H79" i="166"/>
  <c r="D17" i="102"/>
  <c r="D13" i="102"/>
  <c r="D14" i="102"/>
  <c r="D15" i="102"/>
  <c r="D11" i="102"/>
  <c r="D16" i="102"/>
  <c r="D12" i="102"/>
  <c r="D9" i="78"/>
  <c r="D8" i="78" s="1"/>
  <c r="D10" i="102"/>
  <c r="F14" i="78"/>
  <c r="AC23" i="174" s="1"/>
  <c r="AA23" i="174" s="1"/>
  <c r="F16" i="78"/>
  <c r="AC25" i="174" s="1"/>
  <c r="AA25" i="174" s="1"/>
  <c r="F17" i="78"/>
  <c r="F15" i="78"/>
  <c r="AC24" i="174" s="1"/>
  <c r="AA24" i="174" s="1"/>
  <c r="F12" i="78"/>
  <c r="AC21" i="174" s="1"/>
  <c r="AA21" i="174" s="1"/>
  <c r="F13" i="78"/>
  <c r="AC22" i="174" s="1"/>
  <c r="AA22" i="174" s="1"/>
  <c r="F11" i="78"/>
  <c r="AC20" i="174" s="1"/>
  <c r="AA20" i="174" s="1"/>
  <c r="F17" i="102" l="1"/>
  <c r="AC26" i="174"/>
  <c r="AA26" i="174" s="1"/>
  <c r="D9" i="102"/>
  <c r="D8" i="102" s="1"/>
  <c r="X11" i="102"/>
  <c r="F9" i="78"/>
  <c r="F11" i="102"/>
  <c r="F13" i="102"/>
  <c r="F12" i="102"/>
  <c r="X14" i="102"/>
  <c r="X15" i="102"/>
  <c r="F15" i="102"/>
  <c r="X17" i="102"/>
  <c r="F14" i="102"/>
  <c r="X13" i="102"/>
  <c r="X12" i="102"/>
  <c r="X16" i="102"/>
  <c r="F16" i="102"/>
  <c r="P2" i="78"/>
  <c r="D9" i="115"/>
  <c r="D12" i="115" s="1"/>
  <c r="Y17" i="102" l="1"/>
  <c r="D84" i="102"/>
  <c r="C60" i="110" s="1"/>
  <c r="Y13" i="102"/>
  <c r="Y15" i="102"/>
  <c r="Y12" i="102"/>
  <c r="Y16" i="102"/>
  <c r="X9" i="102"/>
  <c r="G32" i="157"/>
  <c r="Y14" i="102"/>
  <c r="Y11" i="102"/>
  <c r="P2" i="102"/>
  <c r="E9" i="115"/>
  <c r="E12" i="115" s="1"/>
  <c r="F9" i="102"/>
  <c r="D75" i="102" l="1"/>
  <c r="D85" i="102" s="1"/>
  <c r="C51" i="110"/>
  <c r="C11" i="110"/>
  <c r="Y9" i="102"/>
  <c r="C2" i="110" l="1"/>
  <c r="K11" i="110" s="1"/>
  <c r="K9" i="110" l="1"/>
  <c r="K5" i="110"/>
  <c r="K3" i="110"/>
  <c r="K7" i="110"/>
  <c r="K12" i="110"/>
  <c r="K10" i="110"/>
  <c r="K6" i="110"/>
  <c r="K4" i="110"/>
  <c r="K8" i="110"/>
  <c r="N19" i="186" l="1"/>
  <c r="E7" i="110" l="1"/>
  <c r="E9" i="110"/>
  <c r="E8" i="110"/>
  <c r="E6" i="110"/>
  <c r="E10" i="110"/>
  <c r="E11" i="110" l="1"/>
  <c r="E51" i="110" l="1"/>
  <c r="D231" i="21" l="1"/>
  <c r="Q203" i="21" s="1"/>
  <c r="D260" i="21"/>
  <c r="AC39" i="174" s="1"/>
  <c r="G13" i="157" l="1"/>
  <c r="Q232" i="21"/>
  <c r="H21" i="115"/>
  <c r="D230" i="21"/>
  <c r="Q202" i="21" s="1"/>
  <c r="B13" i="157" l="1"/>
  <c r="AA39" i="174"/>
  <c r="BM15" i="174" s="1"/>
  <c r="J23" i="115"/>
  <c r="K23" i="115" s="1"/>
  <c r="J13" i="157"/>
  <c r="H23" i="115"/>
  <c r="I23" i="115" s="1"/>
  <c r="I21" i="115"/>
  <c r="I13" i="157" l="1"/>
  <c r="AS79" i="174" l="1"/>
  <c r="N81" i="174" l="1"/>
  <c r="Z81" i="174" s="1"/>
  <c r="AS81" i="174" s="1"/>
  <c r="N80" i="174"/>
  <c r="Z80" i="174" s="1"/>
  <c r="AS80" i="174" s="1"/>
  <c r="N82" i="174" l="1"/>
  <c r="Z82" i="174" s="1"/>
  <c r="AS82" i="174" s="1"/>
  <c r="N83" i="174" l="1"/>
  <c r="Z83" i="174" s="1"/>
  <c r="AS83" i="174" s="1"/>
  <c r="N84" i="174" l="1"/>
  <c r="Z84" i="174" s="1"/>
  <c r="AS84" i="174" s="1"/>
  <c r="N85" i="174" l="1"/>
  <c r="Z85" i="174" s="1"/>
  <c r="AS85" i="174" s="1"/>
  <c r="N86" i="174" l="1"/>
  <c r="Z86" i="174" s="1"/>
  <c r="AS86" i="174" s="1"/>
  <c r="N87" i="174" l="1"/>
  <c r="Z87" i="174" s="1"/>
  <c r="AS87" i="174" s="1"/>
  <c r="N88" i="174" l="1"/>
  <c r="Z88" i="174" s="1"/>
  <c r="AS88" i="174" s="1"/>
  <c r="N89" i="174" l="1"/>
  <c r="Z89" i="174" s="1"/>
  <c r="AS89" i="174" s="1"/>
  <c r="N90" i="174" l="1"/>
  <c r="Z90" i="174" s="1"/>
  <c r="AS90" i="174" s="1"/>
  <c r="N91" i="174" l="1"/>
  <c r="Z91" i="174" s="1"/>
  <c r="AS91" i="174" s="1"/>
  <c r="N92" i="174" l="1"/>
  <c r="Z92" i="174" s="1"/>
  <c r="AS92" i="174" s="1"/>
  <c r="N93" i="174" l="1"/>
  <c r="Z93" i="174" s="1"/>
  <c r="AS93" i="174" s="1"/>
  <c r="N94" i="174" l="1"/>
  <c r="Z94" i="174" s="1"/>
  <c r="AS94" i="174" s="1"/>
  <c r="N95" i="174" l="1"/>
  <c r="Z95" i="174" s="1"/>
  <c r="AS95" i="174" s="1"/>
  <c r="N96" i="174" l="1"/>
  <c r="Z96" i="174" s="1"/>
  <c r="AS96" i="174" s="1"/>
  <c r="N97" i="174" l="1"/>
  <c r="Z97" i="174" s="1"/>
  <c r="AS97" i="174" s="1"/>
  <c r="N98" i="174" l="1"/>
  <c r="Z98" i="174" s="1"/>
  <c r="AS98" i="174" s="1"/>
  <c r="N99" i="174" l="1"/>
  <c r="Z99" i="174" s="1"/>
  <c r="AS99" i="174" s="1"/>
  <c r="N100" i="174" l="1"/>
  <c r="Z100" i="174" s="1"/>
  <c r="AS100" i="174" s="1"/>
  <c r="N101" i="174" l="1"/>
  <c r="Z101" i="174" s="1"/>
  <c r="AS101" i="174" s="1"/>
  <c r="N102" i="174" l="1"/>
  <c r="Z102" i="174" s="1"/>
  <c r="AS102" i="174" s="1"/>
  <c r="N103" i="174" l="1"/>
  <c r="Z103" i="174" s="1"/>
  <c r="AS103" i="174" s="1"/>
  <c r="N104" i="174" l="1"/>
  <c r="Z104" i="174" s="1"/>
  <c r="AS104" i="174" s="1"/>
  <c r="N105" i="174" l="1"/>
  <c r="Z105" i="174" s="1"/>
  <c r="AS105" i="174" s="1"/>
  <c r="N106" i="174" l="1"/>
  <c r="Z106" i="174" s="1"/>
  <c r="AS106" i="174" s="1"/>
  <c r="N107" i="174" l="1"/>
  <c r="Z107" i="174" s="1"/>
  <c r="AS107" i="174" s="1"/>
  <c r="N108" i="174" l="1"/>
  <c r="Z108" i="174" s="1"/>
  <c r="AS108" i="174" s="1"/>
  <c r="N109" i="174" l="1"/>
  <c r="Z109" i="174" s="1"/>
  <c r="AS109" i="174" s="1"/>
  <c r="N110" i="174" l="1"/>
  <c r="Z110" i="174" s="1"/>
  <c r="AS110" i="174" s="1"/>
  <c r="N111" i="174" l="1"/>
  <c r="Z111" i="174" s="1"/>
  <c r="AS111" i="174" s="1"/>
  <c r="N112" i="174" l="1"/>
  <c r="Z112" i="174" s="1"/>
  <c r="AS112" i="174" s="1"/>
  <c r="N113" i="174" l="1"/>
  <c r="Z113" i="174" s="1"/>
  <c r="AS113" i="174" s="1"/>
  <c r="N114" i="174" l="1"/>
  <c r="Z114" i="174" s="1"/>
  <c r="AS114" i="174" s="1"/>
  <c r="N115" i="174" l="1"/>
  <c r="Z115" i="174" s="1"/>
  <c r="AS115" i="174" s="1"/>
  <c r="N116" i="174" l="1"/>
  <c r="Z116" i="174" s="1"/>
  <c r="AS116" i="174" s="1"/>
  <c r="N117" i="174" l="1"/>
  <c r="Z117" i="174" s="1"/>
  <c r="AS117" i="174" s="1"/>
  <c r="N118" i="174" l="1"/>
  <c r="Z118" i="174" s="1"/>
  <c r="AS118" i="174" s="1"/>
  <c r="N119" i="174" l="1"/>
  <c r="Z119" i="174" s="1"/>
  <c r="AS119" i="174" s="1"/>
  <c r="N120" i="174" l="1"/>
  <c r="Z120" i="174" s="1"/>
  <c r="AS120" i="174" s="1"/>
  <c r="N121" i="174" l="1"/>
  <c r="Z121" i="174" s="1"/>
  <c r="AS121" i="174" s="1"/>
  <c r="N122" i="174" l="1"/>
  <c r="Z122" i="174" s="1"/>
  <c r="AS122" i="174" s="1"/>
  <c r="N123" i="174" l="1"/>
  <c r="Z123" i="174" s="1"/>
  <c r="AS123" i="174" s="1"/>
  <c r="N124" i="174" l="1"/>
  <c r="Z124" i="174" s="1"/>
  <c r="AS124" i="174" s="1"/>
  <c r="N125" i="174" l="1"/>
  <c r="Z125" i="174" s="1"/>
  <c r="AS125" i="174" s="1"/>
  <c r="N126" i="174" l="1"/>
  <c r="Z126" i="174" s="1"/>
  <c r="AS126" i="174" s="1"/>
  <c r="N127" i="174" l="1"/>
  <c r="Z127" i="174" s="1"/>
  <c r="AS127" i="174" s="1"/>
  <c r="N128" i="174" l="1"/>
  <c r="Z128" i="174" s="1"/>
  <c r="AS128" i="174" s="1"/>
  <c r="N129" i="174" l="1"/>
  <c r="Z129" i="174" s="1"/>
  <c r="AS129" i="174" s="1"/>
  <c r="N130" i="174" l="1"/>
  <c r="Z130" i="174" s="1"/>
  <c r="AS130" i="174" s="1"/>
  <c r="AS140" i="174" l="1"/>
  <c r="AS141" i="174" l="1"/>
  <c r="Z142" i="174" l="1"/>
  <c r="AS142" i="174" s="1"/>
  <c r="N143" i="174" l="1"/>
  <c r="Z143" i="174" s="1"/>
  <c r="AS143" i="174" s="1"/>
  <c r="N144" i="174" l="1"/>
  <c r="Z144" i="174" s="1"/>
  <c r="AS144" i="174" s="1"/>
  <c r="N145" i="174" l="1"/>
  <c r="Z145" i="174" s="1"/>
  <c r="AS145" i="174" s="1"/>
  <c r="N146" i="174" l="1"/>
  <c r="Z146" i="174" s="1"/>
  <c r="AS146" i="174" s="1"/>
  <c r="N147" i="174" l="1"/>
  <c r="Z147" i="174" s="1"/>
  <c r="AS147" i="174" s="1"/>
  <c r="N148" i="174" l="1"/>
  <c r="Z148" i="174" s="1"/>
  <c r="AS148" i="174" s="1"/>
  <c r="N149" i="174" l="1"/>
  <c r="Z149" i="174" s="1"/>
  <c r="AS149" i="174" s="1"/>
  <c r="N150" i="174" l="1"/>
  <c r="Z150" i="174" s="1"/>
  <c r="AS150" i="174" s="1"/>
  <c r="N151" i="174" l="1"/>
  <c r="Z151" i="174" s="1"/>
  <c r="AS151" i="174" s="1"/>
  <c r="N152" i="174" l="1"/>
  <c r="Z152" i="174" s="1"/>
  <c r="AS152" i="174" s="1"/>
  <c r="N153" i="174" l="1"/>
  <c r="Z153" i="174" s="1"/>
  <c r="AS153" i="174" s="1"/>
  <c r="N154" i="174" l="1"/>
  <c r="Z154" i="174" s="1"/>
  <c r="AS154" i="174" s="1"/>
  <c r="N155" i="174" l="1"/>
  <c r="Z155" i="174" s="1"/>
  <c r="AS155" i="174" s="1"/>
  <c r="N156" i="174" l="1"/>
  <c r="Z156" i="174" s="1"/>
  <c r="AS156" i="174" s="1"/>
  <c r="N157" i="174" l="1"/>
  <c r="Z157" i="174" s="1"/>
  <c r="AS157" i="174" s="1"/>
  <c r="N158" i="174" l="1"/>
  <c r="Z158" i="174" s="1"/>
  <c r="AS158" i="174" s="1"/>
  <c r="N159" i="174" l="1"/>
  <c r="Z159" i="174" s="1"/>
  <c r="AS159" i="174" s="1"/>
  <c r="N160" i="174" l="1"/>
  <c r="Z160" i="174" s="1"/>
  <c r="AS160" i="174" s="1"/>
  <c r="N161" i="174" l="1"/>
  <c r="Z161" i="174" s="1"/>
  <c r="AS161" i="174" s="1"/>
  <c r="N162" i="174" l="1"/>
  <c r="Z162" i="174" s="1"/>
  <c r="AS162" i="174" s="1"/>
  <c r="N163" i="174" l="1"/>
  <c r="Z163" i="174" s="1"/>
  <c r="AS163" i="174" s="1"/>
  <c r="N164" i="174" l="1"/>
  <c r="Z164" i="174" s="1"/>
  <c r="AS164" i="174" s="1"/>
  <c r="N165" i="174" l="1"/>
  <c r="Z165" i="174" s="1"/>
  <c r="AS165" i="174" s="1"/>
  <c r="N166" i="174" l="1"/>
  <c r="Z166" i="174" s="1"/>
  <c r="AS166" i="174" s="1"/>
  <c r="N167" i="174" l="1"/>
  <c r="Z167" i="174" s="1"/>
  <c r="AS167" i="174" s="1"/>
  <c r="N168" i="174" l="1"/>
  <c r="Z168" i="174" s="1"/>
  <c r="AS168" i="174" s="1"/>
  <c r="N169" i="174" l="1"/>
  <c r="Z169" i="174" s="1"/>
  <c r="AS169" i="174" s="1"/>
  <c r="N170" i="174" l="1"/>
  <c r="Z170" i="174" s="1"/>
  <c r="AS170" i="174" s="1"/>
  <c r="N171" i="174" l="1"/>
  <c r="Z171" i="174" s="1"/>
  <c r="AS171" i="174" s="1"/>
  <c r="N172" i="174" l="1"/>
  <c r="Z172" i="174" s="1"/>
  <c r="AS172" i="174" s="1"/>
  <c r="N173" i="174" l="1"/>
  <c r="Z173" i="174" s="1"/>
  <c r="AS173" i="174" s="1"/>
  <c r="N174" i="174" l="1"/>
  <c r="Z174" i="174" s="1"/>
  <c r="AS174" i="174" s="1"/>
  <c r="N175" i="174" l="1"/>
  <c r="Z175" i="174" s="1"/>
  <c r="AS175" i="174" s="1"/>
  <c r="N176" i="174" l="1"/>
  <c r="Z176" i="174" s="1"/>
  <c r="AS176" i="174" s="1"/>
  <c r="N177" i="174" l="1"/>
  <c r="Z177" i="174" s="1"/>
  <c r="AS177" i="174" s="1"/>
  <c r="N178" i="174" l="1"/>
  <c r="Z178" i="174" s="1"/>
  <c r="AS178" i="174" s="1"/>
  <c r="N179" i="174" l="1"/>
  <c r="Z179" i="174" s="1"/>
  <c r="AS179" i="174" s="1"/>
  <c r="N180" i="174" l="1"/>
  <c r="Z180" i="174" s="1"/>
  <c r="AS180" i="174" s="1"/>
  <c r="N181" i="174" l="1"/>
  <c r="Z181" i="174" s="1"/>
  <c r="AS181" i="174" s="1"/>
  <c r="N182" i="174" l="1"/>
  <c r="Z182" i="174" s="1"/>
  <c r="AS182" i="174" s="1"/>
  <c r="N183" i="174" l="1"/>
  <c r="Z183" i="174" s="1"/>
  <c r="AS183" i="174" s="1"/>
  <c r="N184" i="174" l="1"/>
  <c r="Z184" i="174" s="1"/>
  <c r="AS184" i="174" s="1"/>
  <c r="N185" i="174" l="1"/>
  <c r="Z185" i="174" s="1"/>
  <c r="AS185" i="174" s="1"/>
  <c r="N186" i="174" l="1"/>
  <c r="Z186" i="174" s="1"/>
  <c r="AS186" i="174" s="1"/>
  <c r="N187" i="174" l="1"/>
  <c r="Z187" i="174" s="1"/>
  <c r="AS187" i="174" s="1"/>
  <c r="N188" i="174" l="1"/>
  <c r="Z188" i="174" s="1"/>
  <c r="AS188" i="174" s="1"/>
  <c r="N189" i="174" l="1"/>
  <c r="Z189" i="174" s="1"/>
  <c r="AS189" i="174" s="1"/>
  <c r="N190" i="174" l="1"/>
  <c r="Z190" i="174" s="1"/>
  <c r="AS190" i="174" s="1"/>
  <c r="N191" i="174" l="1"/>
  <c r="Z191" i="174" s="1"/>
  <c r="AS191" i="174" s="1"/>
  <c r="N192" i="174" l="1"/>
  <c r="Z192" i="174" s="1"/>
  <c r="AS192" i="174" s="1"/>
  <c r="N193" i="174" l="1"/>
  <c r="Z193" i="174" s="1"/>
  <c r="AS193" i="174" s="1"/>
  <c r="N194" i="174" l="1"/>
  <c r="Z194" i="174" s="1"/>
  <c r="AS194" i="174" s="1"/>
  <c r="N195" i="174" l="1"/>
  <c r="Z195" i="174" s="1"/>
  <c r="AS195" i="174" s="1"/>
  <c r="N196" i="174" l="1"/>
  <c r="Z196" i="174" s="1"/>
  <c r="AS196" i="174" s="1"/>
  <c r="N197" i="174" l="1"/>
  <c r="Z197" i="174" s="1"/>
  <c r="AS197" i="174" s="1"/>
  <c r="N198" i="174" l="1"/>
  <c r="Z198" i="174" s="1"/>
  <c r="AS198" i="174" s="1"/>
  <c r="N199" i="174" l="1"/>
  <c r="Z199" i="174" s="1"/>
  <c r="AS199" i="174" s="1"/>
  <c r="N200" i="174" l="1"/>
  <c r="Z200" i="174" s="1"/>
  <c r="AS200" i="174" s="1"/>
  <c r="N201" i="174" l="1"/>
  <c r="Z201" i="174" s="1"/>
  <c r="AS201" i="174" s="1"/>
  <c r="N202" i="174" l="1"/>
  <c r="Z202" i="174" s="1"/>
  <c r="AS202" i="174" s="1"/>
  <c r="N203" i="174" l="1"/>
  <c r="Z203" i="174" s="1"/>
  <c r="AS203" i="174" s="1"/>
  <c r="N204" i="174" l="1"/>
  <c r="Z204" i="174" s="1"/>
  <c r="AS204" i="174" s="1"/>
  <c r="N205" i="174" l="1"/>
  <c r="Z205" i="174" s="1"/>
  <c r="AS205" i="174" s="1"/>
  <c r="N206" i="174" l="1"/>
  <c r="Z206" i="174" s="1"/>
  <c r="AS206" i="174" s="1"/>
  <c r="N207" i="174" l="1"/>
  <c r="Z207" i="174" s="1"/>
  <c r="AS207" i="174" s="1"/>
  <c r="N208" i="174" l="1"/>
  <c r="Z208" i="174" s="1"/>
  <c r="AS208" i="174" s="1"/>
  <c r="N209" i="174" l="1"/>
  <c r="Z209" i="174" s="1"/>
  <c r="AS209" i="174" s="1"/>
  <c r="N210" i="174" l="1"/>
  <c r="Z210" i="174" s="1"/>
  <c r="AS210" i="174" s="1"/>
  <c r="N211" i="174" l="1"/>
  <c r="Z211" i="174" s="1"/>
  <c r="AS211" i="174" s="1"/>
  <c r="N212" i="174" l="1"/>
  <c r="Z212" i="174" s="1"/>
  <c r="AS212" i="174" s="1"/>
  <c r="N213" i="174" l="1"/>
  <c r="Z213" i="174" s="1"/>
  <c r="AS213" i="174" s="1"/>
  <c r="N214" i="174" l="1"/>
  <c r="Z214" i="174" s="1"/>
  <c r="AS214" i="174" s="1"/>
  <c r="N215" i="174" l="1"/>
  <c r="Z215" i="174" s="1"/>
  <c r="AS215" i="174" s="1"/>
  <c r="N216" i="174" l="1"/>
  <c r="Z216" i="174" s="1"/>
  <c r="AS216" i="174" s="1"/>
  <c r="N218" i="174" l="1"/>
  <c r="Z218" i="174" s="1"/>
  <c r="AS218" i="174" s="1"/>
  <c r="N217" i="174"/>
  <c r="Z217" i="174" s="1"/>
  <c r="AS217" i="174" s="1"/>
  <c r="E3" i="110"/>
  <c r="E4" i="110"/>
  <c r="L6" i="123"/>
  <c r="H6" i="123" s="1"/>
  <c r="L10" i="123"/>
  <c r="H10" i="123" s="1"/>
  <c r="L3" i="123"/>
  <c r="L8" i="123"/>
  <c r="H8" i="123" s="1"/>
  <c r="L17" i="123"/>
  <c r="G17" i="123" s="1"/>
  <c r="L13" i="123"/>
  <c r="G13" i="123" s="1"/>
  <c r="L5" i="123"/>
  <c r="H5" i="123" s="1"/>
  <c r="L9" i="123"/>
  <c r="H9" i="123" s="1"/>
  <c r="L16" i="123"/>
  <c r="H16" i="123" s="1"/>
  <c r="L14" i="123"/>
  <c r="H14" i="123" s="1"/>
  <c r="L7" i="123"/>
  <c r="H7" i="123" s="1"/>
  <c r="L15" i="123"/>
  <c r="C15" i="123" s="1"/>
  <c r="C3" i="123" s="1"/>
  <c r="L4" i="123"/>
  <c r="H4" i="123" s="1"/>
  <c r="L11" i="123"/>
  <c r="G11" i="123" s="1"/>
  <c r="E2" i="110" l="1"/>
  <c r="M3" i="110" s="1"/>
  <c r="D8" i="173" s="1"/>
  <c r="G3" i="123"/>
  <c r="F63" i="78" s="1"/>
  <c r="H3" i="123"/>
  <c r="H30" i="157" s="1"/>
  <c r="H11" i="157" s="1"/>
  <c r="D30" i="157"/>
  <c r="B30" i="157" s="1"/>
  <c r="I30" i="157" s="1"/>
  <c r="AH115" i="174"/>
  <c r="F71" i="159"/>
  <c r="H71" i="159" l="1"/>
  <c r="G71" i="159"/>
  <c r="L71" i="159" s="1"/>
  <c r="M11" i="110"/>
  <c r="D13" i="173" s="1"/>
  <c r="M10" i="110"/>
  <c r="D12" i="173" s="1"/>
  <c r="M5" i="110"/>
  <c r="D5" i="173" s="1"/>
  <c r="M12" i="110"/>
  <c r="M8" i="110"/>
  <c r="D10" i="173" s="1"/>
  <c r="M9" i="110"/>
  <c r="D11" i="173" s="1"/>
  <c r="M7" i="110"/>
  <c r="D7" i="173" s="1"/>
  <c r="M6" i="110"/>
  <c r="D6" i="173" s="1"/>
  <c r="M4" i="110"/>
  <c r="D9" i="173" s="1"/>
  <c r="G30" i="157"/>
  <c r="G11" i="157" s="1"/>
  <c r="AC115" i="174"/>
  <c r="AC2" i="174" s="1"/>
  <c r="AD115" i="174"/>
  <c r="AD2" i="174" s="1"/>
  <c r="M3" i="123"/>
  <c r="F56" i="66"/>
  <c r="V55" i="103" s="1"/>
  <c r="X62" i="102"/>
  <c r="F62" i="102"/>
  <c r="F40" i="78"/>
  <c r="AH2" i="174"/>
  <c r="AE115" i="174"/>
  <c r="F70" i="160"/>
  <c r="F29" i="159"/>
  <c r="F29" i="160" l="1"/>
  <c r="F39" i="66"/>
  <c r="V38" i="103" s="1"/>
  <c r="F55" i="103"/>
  <c r="W55" i="103" s="1"/>
  <c r="N56" i="66"/>
  <c r="N55" i="103" s="1"/>
  <c r="Y62" i="102"/>
  <c r="H70" i="160"/>
  <c r="H29" i="159"/>
  <c r="AB115" i="174"/>
  <c r="G70" i="160"/>
  <c r="G29" i="159"/>
  <c r="F39" i="102"/>
  <c r="X39" i="102"/>
  <c r="F8" i="78"/>
  <c r="O8" i="78" s="1"/>
  <c r="L29" i="159" l="1"/>
  <c r="N39" i="66"/>
  <c r="N38" i="103" s="1"/>
  <c r="N8" i="103" s="1"/>
  <c r="F38" i="103"/>
  <c r="W38" i="103" s="1"/>
  <c r="F8" i="66"/>
  <c r="F8" i="102"/>
  <c r="AC3" i="174" s="1"/>
  <c r="AA115" i="174"/>
  <c r="Y39" i="102"/>
  <c r="H9" i="115"/>
  <c r="R2" i="78"/>
  <c r="X8" i="102"/>
  <c r="D12" i="186"/>
  <c r="D12" i="101"/>
  <c r="D12" i="90"/>
  <c r="G22" i="61"/>
  <c r="H10" i="90"/>
  <c r="G29" i="160"/>
  <c r="G22" i="92"/>
  <c r="I10" i="90"/>
  <c r="H29" i="160"/>
  <c r="F8" i="103" l="1"/>
  <c r="AD3" i="174" s="1"/>
  <c r="J20" i="109"/>
  <c r="K20" i="109" s="1"/>
  <c r="D15" i="188"/>
  <c r="H20" i="109"/>
  <c r="I20" i="109" s="1"/>
  <c r="H15" i="188"/>
  <c r="H10" i="115"/>
  <c r="O8" i="66"/>
  <c r="J17" i="109"/>
  <c r="K22" i="92"/>
  <c r="H22" i="92"/>
  <c r="I22" i="92"/>
  <c r="G97" i="105"/>
  <c r="J22" i="92"/>
  <c r="K22" i="61"/>
  <c r="H22" i="61"/>
  <c r="G97" i="99"/>
  <c r="J22" i="61"/>
  <c r="I22" i="61"/>
  <c r="V8" i="103"/>
  <c r="W8" i="103" s="1"/>
  <c r="N8" i="66"/>
  <c r="D19" i="90"/>
  <c r="L19" i="90" s="1"/>
  <c r="L21" i="90" s="1"/>
  <c r="S2" i="66"/>
  <c r="F104" i="103"/>
  <c r="F95" i="103" s="1"/>
  <c r="Y8" i="102"/>
  <c r="D23" i="186"/>
  <c r="L23" i="186" s="1"/>
  <c r="L25" i="186" s="1"/>
  <c r="P7" i="66"/>
  <c r="D19" i="101"/>
  <c r="K19" i="101" s="1"/>
  <c r="K21" i="101" s="1"/>
  <c r="G10" i="90"/>
  <c r="T97" i="105"/>
  <c r="C18" i="133"/>
  <c r="C54" i="166"/>
  <c r="G19" i="92"/>
  <c r="D12" i="188" s="1"/>
  <c r="H10" i="186"/>
  <c r="H10" i="101"/>
  <c r="D14" i="101"/>
  <c r="D15" i="101" s="1"/>
  <c r="M12" i="101"/>
  <c r="M14" i="101" s="1"/>
  <c r="L12" i="101"/>
  <c r="L14" i="101" s="1"/>
  <c r="K12" i="101"/>
  <c r="K14" i="101" s="1"/>
  <c r="E12" i="101"/>
  <c r="D14" i="90"/>
  <c r="D15" i="90" s="1"/>
  <c r="M12" i="90"/>
  <c r="M14" i="90" s="1"/>
  <c r="L12" i="90"/>
  <c r="L14" i="90" s="1"/>
  <c r="K12" i="90"/>
  <c r="K14" i="90" s="1"/>
  <c r="E12" i="90"/>
  <c r="I10" i="186"/>
  <c r="I10" i="101"/>
  <c r="H21" i="171"/>
  <c r="T97" i="99"/>
  <c r="C54" i="165"/>
  <c r="G19" i="61"/>
  <c r="C19" i="134"/>
  <c r="D16" i="186"/>
  <c r="D14" i="186"/>
  <c r="BM115" i="174"/>
  <c r="R2" i="102"/>
  <c r="I9" i="115"/>
  <c r="J9" i="115" s="1"/>
  <c r="I10" i="115"/>
  <c r="S2" i="103"/>
  <c r="L15" i="90" l="1"/>
  <c r="H17" i="109"/>
  <c r="I17" i="109" s="1"/>
  <c r="H12" i="188"/>
  <c r="D20" i="109"/>
  <c r="K17" i="109"/>
  <c r="D21" i="90"/>
  <c r="D22" i="90" s="1"/>
  <c r="D34" i="101" s="1"/>
  <c r="J19" i="61"/>
  <c r="P19" i="61" s="1"/>
  <c r="G94" i="99"/>
  <c r="I19" i="61"/>
  <c r="K19" i="61"/>
  <c r="H19" i="61"/>
  <c r="N19" i="61" s="1"/>
  <c r="K19" i="92"/>
  <c r="Q19" i="92" s="1"/>
  <c r="H19" i="92"/>
  <c r="G94" i="105"/>
  <c r="I19" i="92"/>
  <c r="O19" i="92" s="1"/>
  <c r="J19" i="92"/>
  <c r="P19" i="92" s="1"/>
  <c r="J97" i="99"/>
  <c r="J187" i="99" s="1"/>
  <c r="P97" i="99"/>
  <c r="P187" i="99" s="1"/>
  <c r="N187" i="99" s="1"/>
  <c r="M97" i="99"/>
  <c r="M187" i="99" s="1"/>
  <c r="K187" i="99" s="1"/>
  <c r="S97" i="99"/>
  <c r="S187" i="99" s="1"/>
  <c r="Q187" i="99" s="1"/>
  <c r="S97" i="105"/>
  <c r="S187" i="105" s="1"/>
  <c r="P97" i="105"/>
  <c r="P187" i="105" s="1"/>
  <c r="N187" i="105" s="1"/>
  <c r="M97" i="105"/>
  <c r="M187" i="105" s="1"/>
  <c r="K187" i="105" s="1"/>
  <c r="E97" i="105"/>
  <c r="E15" i="188" s="1"/>
  <c r="F15" i="188" s="1"/>
  <c r="J97" i="105"/>
  <c r="J187" i="105" s="1"/>
  <c r="H187" i="105" s="1"/>
  <c r="L19" i="101"/>
  <c r="L21" i="101" s="1"/>
  <c r="D21" i="101"/>
  <c r="D22" i="101" s="1"/>
  <c r="M19" i="101"/>
  <c r="M21" i="101" s="1"/>
  <c r="E19" i="101"/>
  <c r="E20" i="101" s="1"/>
  <c r="M19" i="90"/>
  <c r="M21" i="90" s="1"/>
  <c r="K19" i="90"/>
  <c r="K21" i="90" s="1"/>
  <c r="E19" i="90"/>
  <c r="E20" i="90" s="1"/>
  <c r="M23" i="186"/>
  <c r="M25" i="186" s="1"/>
  <c r="M15" i="90"/>
  <c r="M36" i="186" s="1"/>
  <c r="D25" i="186"/>
  <c r="D26" i="186" s="1"/>
  <c r="K23" i="186"/>
  <c r="K25" i="186" s="1"/>
  <c r="E23" i="186"/>
  <c r="E24" i="186" s="1"/>
  <c r="K15" i="90"/>
  <c r="N19" i="179" s="1"/>
  <c r="M15" i="101"/>
  <c r="L15" i="101"/>
  <c r="K15" i="101"/>
  <c r="T94" i="99"/>
  <c r="C51" i="165"/>
  <c r="U51" i="165" s="1"/>
  <c r="H18" i="171"/>
  <c r="C16" i="134"/>
  <c r="C90" i="150" s="1"/>
  <c r="E14" i="90"/>
  <c r="E15" i="90" s="1"/>
  <c r="E13" i="90"/>
  <c r="D36" i="186"/>
  <c r="D32" i="101"/>
  <c r="E14" i="101"/>
  <c r="E15" i="101" s="1"/>
  <c r="O9" i="115" s="1"/>
  <c r="E13" i="101"/>
  <c r="G10" i="186"/>
  <c r="Q22" i="92"/>
  <c r="C23" i="130"/>
  <c r="C20" i="130" s="1"/>
  <c r="C93" i="150"/>
  <c r="C23" i="150"/>
  <c r="C20" i="150" s="1"/>
  <c r="I21" i="171"/>
  <c r="E21" i="171" s="1"/>
  <c r="D21" i="171"/>
  <c r="T21" i="171" s="1"/>
  <c r="U21" i="171" s="1"/>
  <c r="E21" i="90"/>
  <c r="E22" i="90" s="1"/>
  <c r="P10" i="90"/>
  <c r="G10" i="101"/>
  <c r="C23" i="131"/>
  <c r="C20" i="131" s="1"/>
  <c r="C23" i="151"/>
  <c r="C20" i="151" s="1"/>
  <c r="D18" i="133"/>
  <c r="G18" i="133"/>
  <c r="F18" i="133"/>
  <c r="E18" i="133"/>
  <c r="D17" i="186"/>
  <c r="M17" i="186"/>
  <c r="L17" i="186"/>
  <c r="Q10" i="90"/>
  <c r="L36" i="186"/>
  <c r="L32" i="101"/>
  <c r="M5" i="78"/>
  <c r="M5" i="66"/>
  <c r="P22" i="92"/>
  <c r="D38" i="186"/>
  <c r="E97" i="99"/>
  <c r="I15" i="188" s="1"/>
  <c r="J15" i="188" s="1"/>
  <c r="C36" i="146"/>
  <c r="U54" i="166"/>
  <c r="S51" i="166"/>
  <c r="N22" i="61"/>
  <c r="J10" i="115"/>
  <c r="K14" i="186"/>
  <c r="E14" i="186"/>
  <c r="U54" i="165"/>
  <c r="S51" i="165"/>
  <c r="N22" i="92"/>
  <c r="N19" i="92"/>
  <c r="P22" i="61"/>
  <c r="O22" i="92"/>
  <c r="Q19" i="61"/>
  <c r="Q22" i="61"/>
  <c r="T94" i="105"/>
  <c r="C15" i="133"/>
  <c r="C51" i="166"/>
  <c r="U51" i="166" s="1"/>
  <c r="M22" i="101" l="1"/>
  <c r="E20" i="109"/>
  <c r="G187" i="99"/>
  <c r="H187" i="99"/>
  <c r="E187" i="99" s="1"/>
  <c r="O25" i="109" s="1"/>
  <c r="D17" i="109"/>
  <c r="G187" i="105"/>
  <c r="Q187" i="105"/>
  <c r="E187" i="105" s="1"/>
  <c r="P25" i="109" s="1"/>
  <c r="L22" i="90"/>
  <c r="L34" i="101" s="1"/>
  <c r="M22" i="90"/>
  <c r="K22" i="90"/>
  <c r="E21" i="101"/>
  <c r="E22" i="101" s="1"/>
  <c r="O10" i="115" s="1"/>
  <c r="K97" i="105"/>
  <c r="E94" i="105"/>
  <c r="J94" i="99"/>
  <c r="J184" i="99" s="1"/>
  <c r="P94" i="99"/>
  <c r="P184" i="99" s="1"/>
  <c r="N184" i="99" s="1"/>
  <c r="M94" i="99"/>
  <c r="M184" i="99" s="1"/>
  <c r="K184" i="99" s="1"/>
  <c r="S94" i="99"/>
  <c r="S184" i="99" s="1"/>
  <c r="Q184" i="99" s="1"/>
  <c r="H97" i="105"/>
  <c r="Q97" i="105"/>
  <c r="N97" i="105"/>
  <c r="J94" i="105"/>
  <c r="J184" i="105" s="1"/>
  <c r="M94" i="105"/>
  <c r="M184" i="105" s="1"/>
  <c r="K184" i="105" s="1"/>
  <c r="S94" i="105"/>
  <c r="S184" i="105" s="1"/>
  <c r="Q184" i="105" s="1"/>
  <c r="P94" i="105"/>
  <c r="P184" i="105" s="1"/>
  <c r="N184" i="105" s="1"/>
  <c r="M19" i="179"/>
  <c r="L19" i="179" s="1"/>
  <c r="K22" i="101"/>
  <c r="L22" i="101"/>
  <c r="M5" i="103" s="1"/>
  <c r="E25" i="186"/>
  <c r="E26" i="186" s="1"/>
  <c r="M38" i="186"/>
  <c r="M34" i="101"/>
  <c r="M32" i="101"/>
  <c r="N5" i="78"/>
  <c r="N29" i="78" s="1"/>
  <c r="N29" i="102" s="1"/>
  <c r="M26" i="186"/>
  <c r="K26" i="186"/>
  <c r="L26" i="186"/>
  <c r="K18" i="179"/>
  <c r="L5" i="66"/>
  <c r="L13" i="66" s="1"/>
  <c r="L13" i="103" s="1"/>
  <c r="L5" i="78"/>
  <c r="L56" i="78" s="1"/>
  <c r="L55" i="102" s="1"/>
  <c r="K36" i="186"/>
  <c r="K32" i="101"/>
  <c r="F54" i="165"/>
  <c r="F19" i="134"/>
  <c r="E54" i="166"/>
  <c r="D16" i="134"/>
  <c r="D90" i="150" s="1"/>
  <c r="D51" i="165"/>
  <c r="G78" i="136"/>
  <c r="G76" i="167"/>
  <c r="G78" i="140"/>
  <c r="Q97" i="99"/>
  <c r="E78" i="136"/>
  <c r="E76" i="167"/>
  <c r="E78" i="140"/>
  <c r="K97" i="99"/>
  <c r="F23" i="151"/>
  <c r="F20" i="151" s="1"/>
  <c r="F23" i="131"/>
  <c r="F20" i="131" s="1"/>
  <c r="N5" i="102"/>
  <c r="N5" i="103"/>
  <c r="E76" i="168"/>
  <c r="E78" i="137"/>
  <c r="E78" i="142"/>
  <c r="G15" i="133"/>
  <c r="E15" i="133"/>
  <c r="F15" i="133"/>
  <c r="D15" i="133"/>
  <c r="E51" i="166"/>
  <c r="L28" i="78"/>
  <c r="L28" i="102" s="1"/>
  <c r="L61" i="78"/>
  <c r="L60" i="102" s="1"/>
  <c r="L34" i="78"/>
  <c r="L34" i="102" s="1"/>
  <c r="L59" i="78"/>
  <c r="L58" i="102" s="1"/>
  <c r="L36" i="78"/>
  <c r="L36" i="102" s="1"/>
  <c r="L45" i="78"/>
  <c r="L44" i="102" s="1"/>
  <c r="L18" i="78"/>
  <c r="L18" i="102" s="1"/>
  <c r="L31" i="78"/>
  <c r="L31" i="102" s="1"/>
  <c r="L62" i="78"/>
  <c r="L61" i="102" s="1"/>
  <c r="L60" i="78"/>
  <c r="L59" i="102" s="1"/>
  <c r="L64" i="78"/>
  <c r="L63" i="102" s="1"/>
  <c r="L41" i="78"/>
  <c r="D54" i="166"/>
  <c r="D19" i="134"/>
  <c r="D54" i="165"/>
  <c r="D78" i="136"/>
  <c r="D78" i="140"/>
  <c r="D76" i="167"/>
  <c r="H97" i="99"/>
  <c r="C85" i="145"/>
  <c r="U97" i="99"/>
  <c r="T187" i="99"/>
  <c r="E94" i="99"/>
  <c r="I12" i="188" s="1"/>
  <c r="J12" i="188" s="1"/>
  <c r="E23" i="151"/>
  <c r="E20" i="151" s="1"/>
  <c r="E23" i="131"/>
  <c r="E20" i="131" s="1"/>
  <c r="N36" i="78"/>
  <c r="N36" i="102" s="1"/>
  <c r="N35" i="78"/>
  <c r="N35" i="102" s="1"/>
  <c r="N49" i="78"/>
  <c r="N48" i="102" s="1"/>
  <c r="N51" i="78"/>
  <c r="N50" i="102" s="1"/>
  <c r="N61" i="78"/>
  <c r="N60" i="102" s="1"/>
  <c r="N25" i="78"/>
  <c r="N28" i="78"/>
  <c r="N28" i="102" s="1"/>
  <c r="N44" i="78"/>
  <c r="N43" i="102" s="1"/>
  <c r="N62" i="78"/>
  <c r="N61" i="102" s="1"/>
  <c r="N47" i="78"/>
  <c r="N46" i="102" s="1"/>
  <c r="N16" i="78"/>
  <c r="N16" i="102" s="1"/>
  <c r="N48" i="78"/>
  <c r="N47" i="102" s="1"/>
  <c r="G54" i="166"/>
  <c r="E32" i="101"/>
  <c r="E36" i="186"/>
  <c r="N9" i="115"/>
  <c r="P9" i="115" s="1"/>
  <c r="D76" i="168"/>
  <c r="D78" i="142"/>
  <c r="D78" i="137"/>
  <c r="G51" i="165"/>
  <c r="G16" i="134"/>
  <c r="G90" i="150" s="1"/>
  <c r="D51" i="166"/>
  <c r="K12" i="186"/>
  <c r="K16" i="186"/>
  <c r="F36" i="146"/>
  <c r="F54" i="166"/>
  <c r="M61" i="78"/>
  <c r="M60" i="102" s="1"/>
  <c r="M34" i="78"/>
  <c r="M34" i="102" s="1"/>
  <c r="M26" i="78"/>
  <c r="M26" i="102" s="1"/>
  <c r="M50" i="78"/>
  <c r="M49" i="102" s="1"/>
  <c r="M35" i="78"/>
  <c r="M35" i="102" s="1"/>
  <c r="M53" i="78"/>
  <c r="M52" i="102" s="1"/>
  <c r="M23" i="78"/>
  <c r="M54" i="78"/>
  <c r="M53" i="102" s="1"/>
  <c r="M46" i="78"/>
  <c r="M45" i="102" s="1"/>
  <c r="M11" i="78"/>
  <c r="M11" i="102" s="1"/>
  <c r="M51" i="78"/>
  <c r="M50" i="102" s="1"/>
  <c r="M52" i="78"/>
  <c r="M51" i="102" s="1"/>
  <c r="M41" i="78"/>
  <c r="M56" i="78"/>
  <c r="M55" i="102" s="1"/>
  <c r="M44" i="78"/>
  <c r="M43" i="102" s="1"/>
  <c r="M18" i="78"/>
  <c r="M18" i="102" s="1"/>
  <c r="M31" i="78"/>
  <c r="M31" i="102" s="1"/>
  <c r="M33" i="78"/>
  <c r="M33" i="102" s="1"/>
  <c r="M58" i="78"/>
  <c r="M57" i="102" s="1"/>
  <c r="M15" i="78"/>
  <c r="M15" i="102" s="1"/>
  <c r="M39" i="78"/>
  <c r="M38" i="102" s="1"/>
  <c r="M43" i="78"/>
  <c r="M42" i="102" s="1"/>
  <c r="M29" i="78"/>
  <c r="M29" i="102" s="1"/>
  <c r="M19" i="78"/>
  <c r="M19" i="102" s="1"/>
  <c r="M30" i="78"/>
  <c r="M30" i="102" s="1"/>
  <c r="M49" i="78"/>
  <c r="M48" i="102" s="1"/>
  <c r="M22" i="78"/>
  <c r="M22" i="102" s="1"/>
  <c r="M27" i="78"/>
  <c r="M27" i="102" s="1"/>
  <c r="M16" i="78"/>
  <c r="M16" i="102" s="1"/>
  <c r="M64" i="78"/>
  <c r="M63" i="102" s="1"/>
  <c r="M17" i="78"/>
  <c r="M17" i="102" s="1"/>
  <c r="M28" i="78"/>
  <c r="M28" i="102" s="1"/>
  <c r="M59" i="78"/>
  <c r="M58" i="102" s="1"/>
  <c r="M62" i="78"/>
  <c r="M61" i="102" s="1"/>
  <c r="M12" i="78"/>
  <c r="M12" i="102" s="1"/>
  <c r="M60" i="78"/>
  <c r="M59" i="102" s="1"/>
  <c r="M32" i="78"/>
  <c r="M32" i="102" s="1"/>
  <c r="M13" i="78"/>
  <c r="M13" i="102" s="1"/>
  <c r="M47" i="78"/>
  <c r="M46" i="102" s="1"/>
  <c r="M42" i="78"/>
  <c r="M41" i="102" s="1"/>
  <c r="M48" i="78"/>
  <c r="M47" i="102" s="1"/>
  <c r="M37" i="78"/>
  <c r="M37" i="102" s="1"/>
  <c r="M36" i="78"/>
  <c r="M36" i="102" s="1"/>
  <c r="M55" i="78"/>
  <c r="M54" i="102" s="1"/>
  <c r="M14" i="78"/>
  <c r="M14" i="102" s="1"/>
  <c r="M45" i="78"/>
  <c r="M44" i="102" s="1"/>
  <c r="M25" i="78"/>
  <c r="M10" i="78"/>
  <c r="M21" i="78"/>
  <c r="M63" i="78"/>
  <c r="M62" i="102" s="1"/>
  <c r="D23" i="131"/>
  <c r="D20" i="131" s="1"/>
  <c r="D23" i="151"/>
  <c r="D20" i="151" s="1"/>
  <c r="E38" i="186"/>
  <c r="E34" i="101"/>
  <c r="N10" i="115"/>
  <c r="P10" i="115" s="1"/>
  <c r="N20" i="179"/>
  <c r="N17" i="179" s="1"/>
  <c r="K34" i="101"/>
  <c r="K38" i="186"/>
  <c r="M20" i="179"/>
  <c r="G51" i="166"/>
  <c r="G78" i="142"/>
  <c r="G78" i="137"/>
  <c r="G76" i="168"/>
  <c r="U97" i="105"/>
  <c r="I18" i="171"/>
  <c r="E18" i="171" s="1"/>
  <c r="D18" i="171"/>
  <c r="T18" i="171" s="1"/>
  <c r="U18" i="171" s="1"/>
  <c r="N5" i="101"/>
  <c r="F16" i="134"/>
  <c r="F90" i="150" s="1"/>
  <c r="F51" i="165"/>
  <c r="G54" i="165"/>
  <c r="G19" i="134"/>
  <c r="E12" i="186"/>
  <c r="E16" i="186" s="1"/>
  <c r="E17" i="186" s="1"/>
  <c r="E15" i="186"/>
  <c r="F78" i="140"/>
  <c r="F78" i="136"/>
  <c r="F76" i="167"/>
  <c r="N97" i="99"/>
  <c r="F51" i="166"/>
  <c r="M41" i="66"/>
  <c r="M40" i="103" s="1"/>
  <c r="M52" i="66"/>
  <c r="M51" i="103" s="1"/>
  <c r="M38" i="66"/>
  <c r="M37" i="103" s="1"/>
  <c r="M30" i="66"/>
  <c r="M30" i="103" s="1"/>
  <c r="M29" i="66"/>
  <c r="M29" i="103" s="1"/>
  <c r="M47" i="66"/>
  <c r="M46" i="103" s="1"/>
  <c r="M34" i="66"/>
  <c r="M34" i="103" s="1"/>
  <c r="M53" i="66"/>
  <c r="M52" i="103" s="1"/>
  <c r="M35" i="66"/>
  <c r="M35" i="103" s="1"/>
  <c r="M19" i="66"/>
  <c r="M19" i="103" s="1"/>
  <c r="M43" i="66"/>
  <c r="M42" i="103" s="1"/>
  <c r="M14" i="66"/>
  <c r="M14" i="103" s="1"/>
  <c r="M12" i="66"/>
  <c r="M12" i="103" s="1"/>
  <c r="M27" i="66"/>
  <c r="M27" i="103" s="1"/>
  <c r="M28" i="66"/>
  <c r="M28" i="103" s="1"/>
  <c r="M32" i="66"/>
  <c r="M32" i="103" s="1"/>
  <c r="M50" i="66"/>
  <c r="M49" i="103" s="1"/>
  <c r="M55" i="66"/>
  <c r="M54" i="103" s="1"/>
  <c r="M45" i="66"/>
  <c r="M44" i="103" s="1"/>
  <c r="M42" i="66"/>
  <c r="M41" i="103" s="1"/>
  <c r="M59" i="66"/>
  <c r="M22" i="66"/>
  <c r="M22" i="103" s="1"/>
  <c r="M57" i="66"/>
  <c r="M56" i="103" s="1"/>
  <c r="M17" i="66"/>
  <c r="M17" i="103" s="1"/>
  <c r="M36" i="66"/>
  <c r="M36" i="103" s="1"/>
  <c r="M49" i="66"/>
  <c r="M48" i="103" s="1"/>
  <c r="M44" i="66"/>
  <c r="M43" i="103" s="1"/>
  <c r="M26" i="66"/>
  <c r="M26" i="103" s="1"/>
  <c r="M48" i="66"/>
  <c r="M47" i="103" s="1"/>
  <c r="M40" i="66"/>
  <c r="M39" i="103" s="1"/>
  <c r="M16" i="66"/>
  <c r="M16" i="103" s="1"/>
  <c r="M60" i="66"/>
  <c r="M58" i="103" s="1"/>
  <c r="M11" i="66"/>
  <c r="M11" i="103" s="1"/>
  <c r="M15" i="66"/>
  <c r="M15" i="103" s="1"/>
  <c r="M13" i="66"/>
  <c r="M13" i="103" s="1"/>
  <c r="M18" i="66"/>
  <c r="M18" i="103" s="1"/>
  <c r="M23" i="66"/>
  <c r="M23" i="103" s="1"/>
  <c r="M33" i="66"/>
  <c r="M33" i="103" s="1"/>
  <c r="M46" i="66"/>
  <c r="M45" i="103" s="1"/>
  <c r="M31" i="66"/>
  <c r="M31" i="103" s="1"/>
  <c r="M51" i="66"/>
  <c r="M50" i="103" s="1"/>
  <c r="M54" i="66"/>
  <c r="M53" i="103" s="1"/>
  <c r="M58" i="66"/>
  <c r="M57" i="103" s="1"/>
  <c r="M21" i="66"/>
  <c r="M10" i="66"/>
  <c r="M25" i="66"/>
  <c r="M56" i="66"/>
  <c r="M55" i="103" s="1"/>
  <c r="M39" i="66"/>
  <c r="M38" i="103" s="1"/>
  <c r="G23" i="151"/>
  <c r="G20" i="151" s="1"/>
  <c r="G23" i="131"/>
  <c r="G20" i="131" s="1"/>
  <c r="F78" i="142"/>
  <c r="F76" i="168"/>
  <c r="F78" i="137"/>
  <c r="G184" i="99" l="1"/>
  <c r="H184" i="99"/>
  <c r="E184" i="99" s="1"/>
  <c r="O22" i="109" s="1"/>
  <c r="E17" i="109"/>
  <c r="Q25" i="109"/>
  <c r="R25" i="109" s="1"/>
  <c r="H184" i="105"/>
  <c r="E184" i="105" s="1"/>
  <c r="P22" i="109" s="1"/>
  <c r="G184" i="105"/>
  <c r="E12" i="188"/>
  <c r="F12" i="188" s="1"/>
  <c r="L10" i="78"/>
  <c r="L25" i="78"/>
  <c r="L42" i="78"/>
  <c r="L41" i="102" s="1"/>
  <c r="L32" i="78"/>
  <c r="L32" i="102" s="1"/>
  <c r="L49" i="78"/>
  <c r="L48" i="102" s="1"/>
  <c r="L55" i="78"/>
  <c r="L54" i="102" s="1"/>
  <c r="L11" i="78"/>
  <c r="L11" i="102" s="1"/>
  <c r="L48" i="78"/>
  <c r="L47" i="102" s="1"/>
  <c r="L14" i="78"/>
  <c r="L14" i="102" s="1"/>
  <c r="L12" i="78"/>
  <c r="L12" i="102" s="1"/>
  <c r="L50" i="78"/>
  <c r="L49" i="102" s="1"/>
  <c r="L15" i="78"/>
  <c r="L15" i="102" s="1"/>
  <c r="L37" i="78"/>
  <c r="L23" i="78"/>
  <c r="L52" i="78"/>
  <c r="L51" i="102" s="1"/>
  <c r="L22" i="78"/>
  <c r="L22" i="102" s="1"/>
  <c r="L58" i="78"/>
  <c r="L57" i="102" s="1"/>
  <c r="L53" i="78"/>
  <c r="L52" i="102" s="1"/>
  <c r="L39" i="78"/>
  <c r="L38" i="102" s="1"/>
  <c r="L33" i="78"/>
  <c r="L33" i="102" s="1"/>
  <c r="L51" i="78"/>
  <c r="L50" i="102" s="1"/>
  <c r="L29" i="78"/>
  <c r="L29" i="102" s="1"/>
  <c r="L47" i="78"/>
  <c r="L46" i="102" s="1"/>
  <c r="L27" i="78"/>
  <c r="L27" i="102" s="1"/>
  <c r="L19" i="78"/>
  <c r="L19" i="102" s="1"/>
  <c r="L38" i="186"/>
  <c r="L63" i="78"/>
  <c r="L62" i="102" s="1"/>
  <c r="L21" i="78"/>
  <c r="L21" i="102" s="1"/>
  <c r="L16" i="78"/>
  <c r="L16" i="102" s="1"/>
  <c r="L54" i="78"/>
  <c r="L53" i="102" s="1"/>
  <c r="L46" i="78"/>
  <c r="L45" i="102" s="1"/>
  <c r="L35" i="78"/>
  <c r="L35" i="102" s="1"/>
  <c r="L26" i="78"/>
  <c r="L26" i="102" s="1"/>
  <c r="L30" i="78"/>
  <c r="L30" i="102" s="1"/>
  <c r="L44" i="78"/>
  <c r="L43" i="102" s="1"/>
  <c r="L43" i="78"/>
  <c r="L42" i="102" s="1"/>
  <c r="L13" i="78"/>
  <c r="L13" i="102" s="1"/>
  <c r="L17" i="78"/>
  <c r="L17" i="102" s="1"/>
  <c r="N94" i="105"/>
  <c r="H94" i="105"/>
  <c r="K94" i="105"/>
  <c r="Q94" i="105"/>
  <c r="N5" i="186"/>
  <c r="L55" i="66"/>
  <c r="L54" i="103" s="1"/>
  <c r="L10" i="66"/>
  <c r="L10" i="103" s="1"/>
  <c r="L27" i="66"/>
  <c r="L27" i="103" s="1"/>
  <c r="L43" i="66"/>
  <c r="L42" i="103" s="1"/>
  <c r="M17" i="179"/>
  <c r="R18" i="179" s="1"/>
  <c r="L26" i="66"/>
  <c r="L26" i="103" s="1"/>
  <c r="L42" i="66"/>
  <c r="L41" i="103" s="1"/>
  <c r="L23" i="66"/>
  <c r="L50" i="66"/>
  <c r="L49" i="103" s="1"/>
  <c r="M5" i="102"/>
  <c r="L5" i="102"/>
  <c r="L5" i="103"/>
  <c r="L56" i="66"/>
  <c r="L55" i="103" s="1"/>
  <c r="L36" i="66"/>
  <c r="L22" i="66"/>
  <c r="L22" i="103" s="1"/>
  <c r="L35" i="66"/>
  <c r="L35" i="103" s="1"/>
  <c r="L41" i="66"/>
  <c r="L40" i="103" s="1"/>
  <c r="L49" i="66"/>
  <c r="L48" i="103" s="1"/>
  <c r="L45" i="66"/>
  <c r="L44" i="103" s="1"/>
  <c r="L19" i="66"/>
  <c r="L19" i="103" s="1"/>
  <c r="L33" i="66"/>
  <c r="L33" i="103" s="1"/>
  <c r="L39" i="66"/>
  <c r="L38" i="103" s="1"/>
  <c r="L25" i="66"/>
  <c r="L58" i="66"/>
  <c r="L57" i="103" s="1"/>
  <c r="L14" i="66"/>
  <c r="L14" i="103" s="1"/>
  <c r="L47" i="66"/>
  <c r="L46" i="103" s="1"/>
  <c r="L34" i="66"/>
  <c r="L34" i="103" s="1"/>
  <c r="L29" i="66"/>
  <c r="L29" i="103" s="1"/>
  <c r="L60" i="66"/>
  <c r="L58" i="103" s="1"/>
  <c r="L11" i="66"/>
  <c r="L11" i="103" s="1"/>
  <c r="L21" i="66"/>
  <c r="L59" i="66"/>
  <c r="L30" i="66"/>
  <c r="L30" i="103" s="1"/>
  <c r="L40" i="66"/>
  <c r="L39" i="103" s="1"/>
  <c r="L15" i="66"/>
  <c r="L15" i="103" s="1"/>
  <c r="L52" i="66"/>
  <c r="L51" i="103" s="1"/>
  <c r="L54" i="66"/>
  <c r="L53" i="103" s="1"/>
  <c r="L12" i="66"/>
  <c r="L12" i="103" s="1"/>
  <c r="L57" i="66"/>
  <c r="L56" i="103" s="1"/>
  <c r="L51" i="66"/>
  <c r="L50" i="103" s="1"/>
  <c r="L28" i="66"/>
  <c r="L28" i="103" s="1"/>
  <c r="L17" i="66"/>
  <c r="L17" i="103" s="1"/>
  <c r="L48" i="66"/>
  <c r="L47" i="103" s="1"/>
  <c r="L38" i="66"/>
  <c r="L37" i="103" s="1"/>
  <c r="N41" i="78"/>
  <c r="N40" i="102" s="1"/>
  <c r="N53" i="78"/>
  <c r="N52" i="102" s="1"/>
  <c r="N15" i="78"/>
  <c r="N15" i="102" s="1"/>
  <c r="N21" i="78"/>
  <c r="N55" i="78"/>
  <c r="N54" i="102" s="1"/>
  <c r="N39" i="78"/>
  <c r="N38" i="102" s="1"/>
  <c r="N18" i="78"/>
  <c r="N18" i="102" s="1"/>
  <c r="N27" i="78"/>
  <c r="N27" i="102" s="1"/>
  <c r="N32" i="78"/>
  <c r="N32" i="102" s="1"/>
  <c r="N45" i="78"/>
  <c r="N44" i="102" s="1"/>
  <c r="N13" i="78"/>
  <c r="N13" i="102" s="1"/>
  <c r="N14" i="78"/>
  <c r="N14" i="102" s="1"/>
  <c r="N10" i="78"/>
  <c r="N10" i="102" s="1"/>
  <c r="N54" i="78"/>
  <c r="N53" i="102" s="1"/>
  <c r="N23" i="78"/>
  <c r="N23" i="102" s="1"/>
  <c r="N59" i="78"/>
  <c r="N58" i="102" s="1"/>
  <c r="N46" i="78"/>
  <c r="N45" i="102" s="1"/>
  <c r="N11" i="78"/>
  <c r="N11" i="102" s="1"/>
  <c r="N34" i="78"/>
  <c r="N34" i="102" s="1"/>
  <c r="N19" i="78"/>
  <c r="N19" i="102" s="1"/>
  <c r="N22" i="78"/>
  <c r="N22" i="102" s="1"/>
  <c r="N17" i="78"/>
  <c r="N17" i="102" s="1"/>
  <c r="N26" i="78"/>
  <c r="N26" i="102" s="1"/>
  <c r="N52" i="78"/>
  <c r="N51" i="102" s="1"/>
  <c r="N50" i="78"/>
  <c r="N49" i="102" s="1"/>
  <c r="N63" i="78"/>
  <c r="N62" i="102" s="1"/>
  <c r="N64" i="78"/>
  <c r="N63" i="102" s="1"/>
  <c r="N58" i="78"/>
  <c r="N57" i="102" s="1"/>
  <c r="N42" i="78"/>
  <c r="N41" i="102" s="1"/>
  <c r="N31" i="78"/>
  <c r="N31" i="102" s="1"/>
  <c r="N33" i="78"/>
  <c r="N33" i="102" s="1"/>
  <c r="N56" i="78"/>
  <c r="N55" i="102" s="1"/>
  <c r="N37" i="78"/>
  <c r="N37" i="102" s="1"/>
  <c r="N60" i="78"/>
  <c r="N59" i="102" s="1"/>
  <c r="N43" i="78"/>
  <c r="N42" i="102" s="1"/>
  <c r="N12" i="78"/>
  <c r="N12" i="102" s="1"/>
  <c r="N30" i="78"/>
  <c r="N30" i="102" s="1"/>
  <c r="L32" i="66"/>
  <c r="L32" i="103" s="1"/>
  <c r="L44" i="66"/>
  <c r="L43" i="103" s="1"/>
  <c r="L18" i="66"/>
  <c r="L18" i="103" s="1"/>
  <c r="L46" i="66"/>
  <c r="L45" i="103" s="1"/>
  <c r="L53" i="66"/>
  <c r="L52" i="103" s="1"/>
  <c r="L16" i="66"/>
  <c r="L16" i="103" s="1"/>
  <c r="L31" i="66"/>
  <c r="L31" i="103" s="1"/>
  <c r="M20" i="66"/>
  <c r="M20" i="103" s="1"/>
  <c r="M21" i="103"/>
  <c r="G75" i="140"/>
  <c r="G73" i="167"/>
  <c r="G75" i="136"/>
  <c r="G23" i="130"/>
  <c r="G20" i="130" s="1"/>
  <c r="G93" i="150"/>
  <c r="G23" i="150"/>
  <c r="G20" i="150" s="1"/>
  <c r="U94" i="105"/>
  <c r="V22" i="92"/>
  <c r="AA22" i="92" s="1"/>
  <c r="M9" i="78"/>
  <c r="M10" i="102"/>
  <c r="M9" i="102" s="1"/>
  <c r="W51" i="166"/>
  <c r="V51" i="166"/>
  <c r="N21" i="102"/>
  <c r="AA97" i="99"/>
  <c r="H94" i="99"/>
  <c r="L40" i="102"/>
  <c r="Q94" i="99"/>
  <c r="L20" i="179"/>
  <c r="M25" i="103"/>
  <c r="M24" i="66"/>
  <c r="M24" i="103" s="1"/>
  <c r="F73" i="168"/>
  <c r="F75" i="142"/>
  <c r="F75" i="137"/>
  <c r="U22" i="92"/>
  <c r="Z22" i="92" s="1"/>
  <c r="M9" i="66"/>
  <c r="M10" i="103"/>
  <c r="M9" i="103" s="1"/>
  <c r="F75" i="136"/>
  <c r="F75" i="140"/>
  <c r="F73" i="167"/>
  <c r="M20" i="78"/>
  <c r="M20" i="102" s="1"/>
  <c r="M21" i="102"/>
  <c r="H16" i="176" s="1"/>
  <c r="M40" i="78"/>
  <c r="M39" i="102" s="1"/>
  <c r="M40" i="102"/>
  <c r="V54" i="166"/>
  <c r="W54" i="166"/>
  <c r="L25" i="102"/>
  <c r="E73" i="168"/>
  <c r="E75" i="137"/>
  <c r="E75" i="142"/>
  <c r="E75" i="140"/>
  <c r="E75" i="136"/>
  <c r="E73" i="167"/>
  <c r="I21" i="124"/>
  <c r="J21" i="124" s="1"/>
  <c r="L23" i="103"/>
  <c r="D101" i="66"/>
  <c r="F23" i="130"/>
  <c r="F20" i="130" s="1"/>
  <c r="F23" i="150"/>
  <c r="F20" i="150" s="1"/>
  <c r="F93" i="150"/>
  <c r="V97" i="99"/>
  <c r="N94" i="99"/>
  <c r="M36" i="146"/>
  <c r="D73" i="168"/>
  <c r="D75" i="137"/>
  <c r="D75" i="142"/>
  <c r="T184" i="99"/>
  <c r="C82" i="145"/>
  <c r="U94" i="99"/>
  <c r="D93" i="150"/>
  <c r="D23" i="150"/>
  <c r="D20" i="150" s="1"/>
  <c r="D23" i="130"/>
  <c r="D20" i="130" s="1"/>
  <c r="D72" i="109"/>
  <c r="H72" i="109" s="1"/>
  <c r="L23" i="102"/>
  <c r="D76" i="78"/>
  <c r="T22" i="92"/>
  <c r="Y22" i="92" s="1"/>
  <c r="K94" i="99"/>
  <c r="D73" i="167"/>
  <c r="D75" i="136"/>
  <c r="D75" i="140"/>
  <c r="G75" i="142"/>
  <c r="G73" i="168"/>
  <c r="G75" i="137"/>
  <c r="M24" i="78"/>
  <c r="M24" i="102" s="1"/>
  <c r="M25" i="102"/>
  <c r="M23" i="102"/>
  <c r="H17" i="176" s="1"/>
  <c r="I17" i="124"/>
  <c r="J17" i="124" s="1"/>
  <c r="K17" i="186"/>
  <c r="K19" i="186"/>
  <c r="S22" i="92"/>
  <c r="X22" i="92" s="1"/>
  <c r="AA97" i="105"/>
  <c r="N25" i="102"/>
  <c r="W54" i="165"/>
  <c r="V54" i="165"/>
  <c r="I16" i="124"/>
  <c r="W51" i="165"/>
  <c r="V51" i="165"/>
  <c r="V97" i="105"/>
  <c r="L20" i="78" l="1"/>
  <c r="L20" i="102" s="1"/>
  <c r="D75" i="78"/>
  <c r="L24" i="78"/>
  <c r="L24" i="102" s="1"/>
  <c r="Q22" i="109"/>
  <c r="R22" i="109" s="1"/>
  <c r="D80" i="78"/>
  <c r="D105" i="66"/>
  <c r="L9" i="78"/>
  <c r="D82" i="78"/>
  <c r="H82" i="78" s="1"/>
  <c r="G76" i="108" s="1"/>
  <c r="L10" i="102"/>
  <c r="L9" i="102" s="1"/>
  <c r="L37" i="102"/>
  <c r="L40" i="78"/>
  <c r="L39" i="102" s="1"/>
  <c r="L36" i="103"/>
  <c r="L17" i="179"/>
  <c r="L20" i="66"/>
  <c r="L20" i="103" s="1"/>
  <c r="D107" i="66"/>
  <c r="L25" i="103"/>
  <c r="D100" i="66"/>
  <c r="C84" i="108" s="1"/>
  <c r="I20" i="124"/>
  <c r="J20" i="124" s="1"/>
  <c r="L21" i="103"/>
  <c r="V94" i="105"/>
  <c r="V94" i="99"/>
  <c r="L9" i="66"/>
  <c r="L9" i="103"/>
  <c r="N40" i="78"/>
  <c r="N39" i="102" s="1"/>
  <c r="N9" i="102"/>
  <c r="N24" i="78"/>
  <c r="N24" i="102" s="1"/>
  <c r="N20" i="78"/>
  <c r="N20" i="102" s="1"/>
  <c r="N9" i="78"/>
  <c r="L24" i="66"/>
  <c r="L24" i="103" s="1"/>
  <c r="H75" i="78"/>
  <c r="G69" i="108" s="1"/>
  <c r="C69" i="108"/>
  <c r="J72" i="109"/>
  <c r="U19" i="92"/>
  <c r="Z19" i="92" s="1"/>
  <c r="M8" i="102"/>
  <c r="H18" i="176" s="1"/>
  <c r="H15" i="176" s="1"/>
  <c r="H8" i="176" s="1"/>
  <c r="H25" i="176" s="1"/>
  <c r="C89" i="108"/>
  <c r="H105" i="66"/>
  <c r="G89" i="108" s="1"/>
  <c r="T19" i="92"/>
  <c r="Y19" i="92" s="1"/>
  <c r="H101" i="66"/>
  <c r="G85" i="108" s="1"/>
  <c r="C85" i="108"/>
  <c r="AA94" i="99"/>
  <c r="M8" i="66"/>
  <c r="C91" i="108"/>
  <c r="H107" i="66"/>
  <c r="G91" i="108" s="1"/>
  <c r="J16" i="124"/>
  <c r="S19" i="92"/>
  <c r="X19" i="92" s="1"/>
  <c r="AA94" i="105"/>
  <c r="H76" i="78"/>
  <c r="G70" i="108" s="1"/>
  <c r="C70" i="108"/>
  <c r="L8" i="102"/>
  <c r="M8" i="103"/>
  <c r="H80" i="78"/>
  <c r="G74" i="108" s="1"/>
  <c r="C74" i="108"/>
  <c r="H13" i="108" s="1"/>
  <c r="V19" i="92"/>
  <c r="AA19" i="92" s="1"/>
  <c r="L8" i="78"/>
  <c r="M8" i="78"/>
  <c r="C76" i="108" l="1"/>
  <c r="H10" i="108" s="1"/>
  <c r="L8" i="103"/>
  <c r="H100" i="66"/>
  <c r="G84" i="108" s="1"/>
  <c r="N8" i="102"/>
  <c r="L8" i="66"/>
  <c r="D110" i="66" s="1"/>
  <c r="N8" i="78"/>
  <c r="H12" i="108"/>
  <c r="I12" i="108" s="1"/>
  <c r="H11" i="108"/>
  <c r="I11" i="108" s="1"/>
  <c r="H30" i="176"/>
  <c r="I13" i="108"/>
  <c r="J13" i="108"/>
  <c r="I18" i="124"/>
  <c r="D85" i="78"/>
  <c r="J10" i="108"/>
  <c r="I10" i="108"/>
  <c r="I22" i="124"/>
  <c r="J11" i="108" l="1"/>
  <c r="J12" i="108"/>
  <c r="C106" i="66"/>
  <c r="C109" i="66"/>
  <c r="C94" i="108"/>
  <c r="H110" i="66"/>
  <c r="G94" i="108" s="1"/>
  <c r="C103" i="66"/>
  <c r="C104" i="66"/>
  <c r="C102" i="66"/>
  <c r="D108" i="66"/>
  <c r="C105" i="66"/>
  <c r="C107" i="66"/>
  <c r="C101" i="66"/>
  <c r="C100" i="66"/>
  <c r="J18" i="124"/>
  <c r="J15" i="124" s="1"/>
  <c r="J8" i="124" s="1"/>
  <c r="I15" i="124"/>
  <c r="I8" i="124" s="1"/>
  <c r="H85" i="78"/>
  <c r="G79" i="108" s="1"/>
  <c r="C79" i="78"/>
  <c r="C84" i="78"/>
  <c r="D83" i="78"/>
  <c r="C81" i="78"/>
  <c r="C79" i="108"/>
  <c r="C77" i="78"/>
  <c r="C78" i="78"/>
  <c r="C76" i="78"/>
  <c r="C82" i="78"/>
  <c r="C80" i="78"/>
  <c r="C75" i="78"/>
  <c r="J22" i="124"/>
  <c r="J19" i="124" s="1"/>
  <c r="I19" i="124"/>
  <c r="H28" i="176"/>
  <c r="H27" i="176" s="1"/>
  <c r="H26" i="176" s="1"/>
  <c r="H32" i="176" s="1"/>
  <c r="H34" i="176" s="1"/>
  <c r="H35" i="176" s="1"/>
  <c r="H83" i="78" l="1"/>
  <c r="G77" i="108" s="1"/>
  <c r="C77" i="108"/>
  <c r="C83" i="78"/>
  <c r="C85" i="78" s="1"/>
  <c r="G100" i="66"/>
  <c r="F84" i="108" s="1"/>
  <c r="B84" i="108"/>
  <c r="H108" i="66"/>
  <c r="G92" i="108" s="1"/>
  <c r="C92" i="108"/>
  <c r="C108" i="66"/>
  <c r="B70" i="108"/>
  <c r="G76" i="78"/>
  <c r="F70" i="108" s="1"/>
  <c r="G81" i="78"/>
  <c r="F75" i="108" s="1"/>
  <c r="B75" i="108"/>
  <c r="B89" i="108"/>
  <c r="G105" i="66"/>
  <c r="F89" i="108" s="1"/>
  <c r="G103" i="66"/>
  <c r="F87" i="108" s="1"/>
  <c r="B87" i="108"/>
  <c r="B90" i="108"/>
  <c r="G106" i="66"/>
  <c r="F90" i="108" s="1"/>
  <c r="J25" i="124"/>
  <c r="J32" i="124" s="1"/>
  <c r="G75" i="78"/>
  <c r="F69" i="108" s="1"/>
  <c r="B69" i="108"/>
  <c r="G78" i="78"/>
  <c r="F72" i="108" s="1"/>
  <c r="B72" i="108"/>
  <c r="B76" i="108"/>
  <c r="G82" i="78"/>
  <c r="F76" i="108" s="1"/>
  <c r="B73" i="108"/>
  <c r="G79" i="78"/>
  <c r="F73" i="108" s="1"/>
  <c r="B91" i="108"/>
  <c r="G107" i="66"/>
  <c r="F91" i="108" s="1"/>
  <c r="G104" i="66"/>
  <c r="F88" i="108" s="1"/>
  <c r="B88" i="108"/>
  <c r="B93" i="108"/>
  <c r="G109" i="66"/>
  <c r="F93" i="108" s="1"/>
  <c r="I25" i="124"/>
  <c r="I32" i="124" s="1"/>
  <c r="I34" i="124" s="1"/>
  <c r="I35" i="124" s="1"/>
  <c r="G80" i="78"/>
  <c r="F74" i="108" s="1"/>
  <c r="B74" i="108"/>
  <c r="G77" i="78"/>
  <c r="F71" i="108" s="1"/>
  <c r="B71" i="108"/>
  <c r="G84" i="78"/>
  <c r="F78" i="108" s="1"/>
  <c r="B78" i="108"/>
  <c r="B85" i="108"/>
  <c r="G101" i="66"/>
  <c r="F85" i="108" s="1"/>
  <c r="B86" i="108"/>
  <c r="G102" i="66"/>
  <c r="F86" i="108" s="1"/>
  <c r="G108" i="66" l="1"/>
  <c r="F92" i="108" s="1"/>
  <c r="B92" i="108"/>
  <c r="B77" i="108"/>
  <c r="G83" i="78"/>
  <c r="F77" i="108" s="1"/>
  <c r="C110" i="66"/>
  <c r="L37" i="124"/>
  <c r="L36" i="124" s="1"/>
  <c r="M37" i="124"/>
  <c r="B79" i="108"/>
  <c r="G85" i="78"/>
  <c r="F79" i="108" s="1"/>
  <c r="G110" i="66" l="1"/>
  <c r="F94" i="108" s="1"/>
  <c r="B94" i="108"/>
  <c r="E55" i="98"/>
  <c r="I40" i="105" l="1"/>
  <c r="I172" i="105" s="1"/>
  <c r="I41" i="105"/>
  <c r="I173" i="105" s="1"/>
  <c r="F28" i="98"/>
  <c r="E28" i="98" s="1"/>
  <c r="H172" i="105" l="1"/>
  <c r="E172" i="105" s="1"/>
  <c r="P10" i="109" s="1"/>
  <c r="F172" i="105"/>
  <c r="H173" i="105"/>
  <c r="E173" i="105" s="1"/>
  <c r="P11" i="109" s="1"/>
  <c r="F173" i="105"/>
  <c r="F40" i="105"/>
  <c r="I39" i="105"/>
  <c r="I38" i="105" s="1"/>
  <c r="I37" i="105" s="1"/>
  <c r="H40" i="105"/>
  <c r="S7" i="188" s="1"/>
  <c r="H41" i="105"/>
  <c r="S8" i="188" s="1"/>
  <c r="F41" i="105"/>
  <c r="E41" i="105" s="1"/>
  <c r="P8" i="188" s="1"/>
  <c r="G13" i="100"/>
  <c r="G13" i="84"/>
  <c r="I40" i="99"/>
  <c r="I172" i="99" s="1"/>
  <c r="I41" i="99"/>
  <c r="I173" i="99" s="1"/>
  <c r="G14" i="100"/>
  <c r="G14" i="84"/>
  <c r="F172" i="99" l="1"/>
  <c r="I171" i="99"/>
  <c r="H172" i="99"/>
  <c r="E172" i="99" s="1"/>
  <c r="O10" i="109" s="1"/>
  <c r="Q10" i="109" s="1"/>
  <c r="H173" i="99"/>
  <c r="E173" i="99" s="1"/>
  <c r="O11" i="109" s="1"/>
  <c r="Q11" i="109" s="1"/>
  <c r="F173" i="99"/>
  <c r="H39" i="105"/>
  <c r="S6" i="188" s="1"/>
  <c r="E40" i="105"/>
  <c r="F39" i="105"/>
  <c r="F38" i="105" s="1"/>
  <c r="F37" i="105" s="1"/>
  <c r="P13" i="100"/>
  <c r="F13" i="84"/>
  <c r="L15" i="55"/>
  <c r="AF13" i="174"/>
  <c r="AE13" i="174" s="1"/>
  <c r="AB13" i="174" s="1"/>
  <c r="AA13" i="174" s="1"/>
  <c r="B112" i="115"/>
  <c r="E60" i="98"/>
  <c r="AF12" i="174"/>
  <c r="F14" i="84"/>
  <c r="L16" i="55"/>
  <c r="P14" i="100"/>
  <c r="D28" i="136"/>
  <c r="G29" i="145"/>
  <c r="H41" i="99"/>
  <c r="R8" i="188" s="1"/>
  <c r="U8" i="188" s="1"/>
  <c r="F41" i="99"/>
  <c r="D24" i="167"/>
  <c r="D28" i="140"/>
  <c r="W41" i="99"/>
  <c r="W40" i="99"/>
  <c r="D27" i="140"/>
  <c r="D27" i="136"/>
  <c r="D23" i="167"/>
  <c r="G28" i="145"/>
  <c r="F40" i="99"/>
  <c r="H40" i="99"/>
  <c r="I39" i="99"/>
  <c r="D23" i="168"/>
  <c r="D27" i="142"/>
  <c r="D27" i="137"/>
  <c r="F171" i="99" l="1"/>
  <c r="H171" i="99"/>
  <c r="E171" i="99" s="1"/>
  <c r="O9" i="109" s="1"/>
  <c r="I170" i="99"/>
  <c r="H112" i="115"/>
  <c r="H120" i="115" s="1"/>
  <c r="Q8" i="188"/>
  <c r="T8" i="188" s="1"/>
  <c r="F112" i="115"/>
  <c r="F120" i="115" s="1"/>
  <c r="R7" i="188"/>
  <c r="U7" i="188" s="1"/>
  <c r="E39" i="105"/>
  <c r="P6" i="188" s="1"/>
  <c r="P7" i="188"/>
  <c r="E112" i="115"/>
  <c r="E120" i="115" s="1"/>
  <c r="Q7" i="188"/>
  <c r="T7" i="188" s="1"/>
  <c r="F111" i="115"/>
  <c r="F119" i="115" s="1"/>
  <c r="AC41" i="99"/>
  <c r="I112" i="115"/>
  <c r="E111" i="115"/>
  <c r="E119" i="115" s="1"/>
  <c r="G112" i="115"/>
  <c r="G111" i="115" s="1"/>
  <c r="B111" i="115"/>
  <c r="B119" i="115" s="1"/>
  <c r="B120" i="115"/>
  <c r="D28" i="137"/>
  <c r="D24" i="168"/>
  <c r="I68" i="105"/>
  <c r="I76" i="105" s="1"/>
  <c r="I237" i="105" s="1"/>
  <c r="D28" i="142"/>
  <c r="J14" i="112"/>
  <c r="AI15" i="55"/>
  <c r="H39" i="99"/>
  <c r="AD40" i="99"/>
  <c r="AI16" i="55"/>
  <c r="AD41" i="99"/>
  <c r="J15" i="112"/>
  <c r="AF2" i="174"/>
  <c r="AE12" i="174"/>
  <c r="D29" i="145"/>
  <c r="E41" i="99"/>
  <c r="M14" i="100"/>
  <c r="F14" i="100"/>
  <c r="M13" i="100"/>
  <c r="F13" i="100"/>
  <c r="C7" i="157"/>
  <c r="H16" i="55"/>
  <c r="E15" i="112"/>
  <c r="AC16" i="55"/>
  <c r="AO16" i="55" s="1"/>
  <c r="AD41" i="105"/>
  <c r="AC15" i="55"/>
  <c r="H15" i="55"/>
  <c r="N7" i="188" s="1"/>
  <c r="E14" i="112"/>
  <c r="C6" i="157"/>
  <c r="L14" i="55"/>
  <c r="A42" i="99"/>
  <c r="D22" i="167"/>
  <c r="G27" i="145"/>
  <c r="D26" i="140"/>
  <c r="D26" i="136"/>
  <c r="I38" i="99"/>
  <c r="D26" i="137"/>
  <c r="D26" i="142"/>
  <c r="D22" i="168"/>
  <c r="D28" i="145"/>
  <c r="F39" i="99"/>
  <c r="E40" i="99"/>
  <c r="C12" i="157"/>
  <c r="G12" i="100"/>
  <c r="G11" i="100" s="1"/>
  <c r="G10" i="100" s="1"/>
  <c r="G12" i="84"/>
  <c r="AC40" i="105"/>
  <c r="AC40" i="99"/>
  <c r="I169" i="99" l="1"/>
  <c r="F170" i="99"/>
  <c r="I80" i="105"/>
  <c r="G18" i="189" s="1"/>
  <c r="H111" i="115"/>
  <c r="H119" i="115" s="1"/>
  <c r="J112" i="115"/>
  <c r="J111" i="115" s="1"/>
  <c r="Q6" i="188"/>
  <c r="C5" i="158"/>
  <c r="C13" i="158" s="1"/>
  <c r="C112" i="115"/>
  <c r="C120" i="115" s="1"/>
  <c r="R6" i="188"/>
  <c r="U6" i="188" s="1"/>
  <c r="A42" i="105"/>
  <c r="N8" i="188"/>
  <c r="AA40" i="99"/>
  <c r="O7" i="188"/>
  <c r="AA41" i="99"/>
  <c r="AE41" i="99" s="1"/>
  <c r="O8" i="188"/>
  <c r="D120" i="115"/>
  <c r="D119" i="115" s="1"/>
  <c r="I120" i="115"/>
  <c r="J120" i="115" s="1"/>
  <c r="J119" i="115" s="1"/>
  <c r="I111" i="115"/>
  <c r="I119" i="115" s="1"/>
  <c r="G120" i="115"/>
  <c r="G119" i="115" s="1"/>
  <c r="I171" i="105"/>
  <c r="C111" i="115"/>
  <c r="C119" i="115" s="1"/>
  <c r="D112" i="115"/>
  <c r="D111" i="115" s="1"/>
  <c r="AC41" i="105"/>
  <c r="AD40" i="105"/>
  <c r="O15" i="112"/>
  <c r="AO15" i="55"/>
  <c r="B12" i="157"/>
  <c r="G26" i="145"/>
  <c r="D21" i="167"/>
  <c r="D25" i="140"/>
  <c r="D25" i="136"/>
  <c r="I37" i="99"/>
  <c r="M6" i="157"/>
  <c r="P12" i="100"/>
  <c r="G11" i="84"/>
  <c r="F12" i="84"/>
  <c r="D27" i="145"/>
  <c r="B24" i="146"/>
  <c r="F24" i="146" s="1"/>
  <c r="M24" i="146" s="1"/>
  <c r="F38" i="99"/>
  <c r="D25" i="142"/>
  <c r="D21" i="168"/>
  <c r="D25" i="137"/>
  <c r="AC14" i="55"/>
  <c r="E13" i="112"/>
  <c r="D12" i="165"/>
  <c r="L53" i="55"/>
  <c r="D11" i="132"/>
  <c r="H14" i="55"/>
  <c r="D12" i="166"/>
  <c r="AB41" i="105"/>
  <c r="AF41" i="105" s="1"/>
  <c r="O14" i="100"/>
  <c r="N14" i="100"/>
  <c r="C28" i="145"/>
  <c r="I14" i="112"/>
  <c r="AB40" i="99"/>
  <c r="AF40" i="99" s="1"/>
  <c r="E39" i="99"/>
  <c r="O6" i="188" s="1"/>
  <c r="AH15" i="55"/>
  <c r="T40" i="99"/>
  <c r="U40" i="99" s="1"/>
  <c r="T40" i="105"/>
  <c r="U40" i="105" s="1"/>
  <c r="F10" i="171"/>
  <c r="AB15" i="55"/>
  <c r="D14" i="112"/>
  <c r="H4" i="108"/>
  <c r="M7" i="157"/>
  <c r="C29" i="145"/>
  <c r="AB41" i="99"/>
  <c r="AF41" i="99" s="1"/>
  <c r="AH16" i="55"/>
  <c r="I15" i="112"/>
  <c r="AB12" i="174"/>
  <c r="J13" i="112"/>
  <c r="AD39" i="99"/>
  <c r="AI14" i="55"/>
  <c r="AD39" i="105"/>
  <c r="T41" i="99"/>
  <c r="U41" i="99" s="1"/>
  <c r="F11" i="171"/>
  <c r="T41" i="105"/>
  <c r="U41" i="105" s="1"/>
  <c r="AB16" i="55"/>
  <c r="D15" i="112"/>
  <c r="H5" i="108"/>
  <c r="O13" i="100"/>
  <c r="N13" i="100"/>
  <c r="F10" i="109"/>
  <c r="D10" i="109" s="1"/>
  <c r="R10" i="109" s="1"/>
  <c r="F9" i="109"/>
  <c r="D9" i="109" s="1"/>
  <c r="AB40" i="105"/>
  <c r="AF40" i="105" s="1"/>
  <c r="AA41" i="105"/>
  <c r="AE41" i="105" s="1"/>
  <c r="AE40" i="99"/>
  <c r="AC39" i="105"/>
  <c r="AC39" i="99"/>
  <c r="O14" i="112"/>
  <c r="F169" i="99" l="1"/>
  <c r="F202" i="99" s="1"/>
  <c r="F210" i="99" s="1"/>
  <c r="F241" i="105" s="1"/>
  <c r="I202" i="99"/>
  <c r="I210" i="99" s="1"/>
  <c r="H80" i="105"/>
  <c r="E18" i="189" s="1"/>
  <c r="I83" i="105"/>
  <c r="I170" i="105"/>
  <c r="F171" i="105"/>
  <c r="H171" i="105"/>
  <c r="E171" i="105" s="1"/>
  <c r="P9" i="109" s="1"/>
  <c r="Q9" i="109" s="1"/>
  <c r="R9" i="109" s="1"/>
  <c r="I214" i="105"/>
  <c r="AN16" i="55"/>
  <c r="N15" i="112"/>
  <c r="N6" i="188"/>
  <c r="B5" i="158"/>
  <c r="B7" i="158" s="1"/>
  <c r="H252" i="105"/>
  <c r="T6" i="188"/>
  <c r="F37" i="109"/>
  <c r="D37" i="109" s="1"/>
  <c r="G9" i="109"/>
  <c r="H83" i="105"/>
  <c r="AA40" i="105"/>
  <c r="AE40" i="105" s="1"/>
  <c r="F68" i="105"/>
  <c r="F76" i="105" s="1"/>
  <c r="I223" i="105"/>
  <c r="H214" i="105"/>
  <c r="E17" i="189" s="1"/>
  <c r="E26" i="189" s="1"/>
  <c r="I217" i="105"/>
  <c r="I226" i="105" s="1"/>
  <c r="AN15" i="55"/>
  <c r="N14" i="112"/>
  <c r="E10" i="109"/>
  <c r="G10" i="109"/>
  <c r="AA12" i="174"/>
  <c r="G10" i="171"/>
  <c r="E10" i="171" s="1"/>
  <c r="D10" i="171"/>
  <c r="T10" i="171" s="1"/>
  <c r="U10" i="171" s="1"/>
  <c r="AB14" i="55"/>
  <c r="T39" i="105"/>
  <c r="U39" i="105" s="1"/>
  <c r="D13" i="112"/>
  <c r="T39" i="99"/>
  <c r="F9" i="171"/>
  <c r="H53" i="55"/>
  <c r="D26" i="145"/>
  <c r="F37" i="99"/>
  <c r="D103" i="84"/>
  <c r="M12" i="100"/>
  <c r="F12" i="100"/>
  <c r="C12" i="166"/>
  <c r="C12" i="165"/>
  <c r="C11" i="132"/>
  <c r="F11" i="84"/>
  <c r="J5" i="108"/>
  <c r="I5" i="108"/>
  <c r="W12" i="166"/>
  <c r="O12" i="166"/>
  <c r="J12" i="166"/>
  <c r="W12" i="165"/>
  <c r="J12" i="165"/>
  <c r="O12" i="165"/>
  <c r="D24" i="137"/>
  <c r="D139" i="137" s="1"/>
  <c r="D24" i="142"/>
  <c r="D24" i="140"/>
  <c r="D24" i="136"/>
  <c r="G25" i="145"/>
  <c r="I68" i="99"/>
  <c r="G11" i="171"/>
  <c r="E11" i="171" s="1"/>
  <c r="D11" i="171"/>
  <c r="T11" i="171" s="1"/>
  <c r="U11" i="171" s="1"/>
  <c r="AB39" i="105"/>
  <c r="AF39" i="105" s="1"/>
  <c r="AB39" i="99"/>
  <c r="AF39" i="99" s="1"/>
  <c r="C27" i="145"/>
  <c r="U39" i="99"/>
  <c r="I13" i="112"/>
  <c r="T170" i="99"/>
  <c r="AH14" i="55"/>
  <c r="E52" i="112"/>
  <c r="C7" i="158"/>
  <c r="AO14" i="55"/>
  <c r="J4" i="108"/>
  <c r="I4" i="108"/>
  <c r="D53" i="150"/>
  <c r="D15" i="131"/>
  <c r="D15" i="151"/>
  <c r="D15" i="150"/>
  <c r="J11" i="132"/>
  <c r="D15" i="130"/>
  <c r="O11" i="132"/>
  <c r="P11" i="100"/>
  <c r="G10" i="84"/>
  <c r="P10" i="100" s="1"/>
  <c r="L23" i="55"/>
  <c r="Q15" i="188" s="1"/>
  <c r="O13" i="112"/>
  <c r="AA39" i="99"/>
  <c r="AE39" i="99" s="1"/>
  <c r="I241" i="105" l="1"/>
  <c r="F80" i="105"/>
  <c r="E80" i="105" s="1"/>
  <c r="F237" i="105"/>
  <c r="I169" i="105"/>
  <c r="F170" i="105"/>
  <c r="E9" i="109"/>
  <c r="H217" i="105"/>
  <c r="H226" i="105" s="1"/>
  <c r="H223" i="105"/>
  <c r="H249" i="105" s="1"/>
  <c r="AA39" i="105"/>
  <c r="AE39" i="105" s="1"/>
  <c r="AC23" i="55"/>
  <c r="E22" i="112"/>
  <c r="D15" i="166"/>
  <c r="D15" i="165"/>
  <c r="D14" i="132"/>
  <c r="H23" i="55"/>
  <c r="N15" i="188" s="1"/>
  <c r="L13" i="55"/>
  <c r="Q5" i="188" s="1"/>
  <c r="U12" i="166"/>
  <c r="V12" i="166" s="1"/>
  <c r="D25" i="145"/>
  <c r="F68" i="99"/>
  <c r="D52" i="112"/>
  <c r="N13" i="112"/>
  <c r="I76" i="99"/>
  <c r="I80" i="99" s="1"/>
  <c r="I305" i="105"/>
  <c r="I308" i="105" s="1"/>
  <c r="I316" i="105" s="1"/>
  <c r="N12" i="166"/>
  <c r="U12" i="165"/>
  <c r="V12" i="165" s="1"/>
  <c r="C25" i="108"/>
  <c r="H3" i="108" s="1"/>
  <c r="H103" i="84"/>
  <c r="G25" i="108" s="1"/>
  <c r="C15" i="158"/>
  <c r="D69" i="109"/>
  <c r="H69" i="109" s="1"/>
  <c r="I12" i="165"/>
  <c r="I12" i="166"/>
  <c r="C53" i="150"/>
  <c r="AN14" i="55"/>
  <c r="I11" i="132"/>
  <c r="N11" i="132"/>
  <c r="G37" i="109"/>
  <c r="F47" i="109"/>
  <c r="D47" i="109" s="1"/>
  <c r="N12" i="165"/>
  <c r="C14" i="132"/>
  <c r="C56" i="150" s="1"/>
  <c r="C15" i="166"/>
  <c r="U15" i="166" s="1"/>
  <c r="C32" i="157"/>
  <c r="M11" i="100"/>
  <c r="C15" i="165"/>
  <c r="U15" i="165" s="1"/>
  <c r="F11" i="100"/>
  <c r="F10" i="84"/>
  <c r="N12" i="100"/>
  <c r="F98" i="100"/>
  <c r="O12" i="100"/>
  <c r="G9" i="171"/>
  <c r="E9" i="171" s="1"/>
  <c r="D9" i="171"/>
  <c r="F83" i="105" l="1"/>
  <c r="F214" i="105"/>
  <c r="I202" i="105"/>
  <c r="I210" i="105" s="1"/>
  <c r="I242" i="105" s="1"/>
  <c r="I243" i="105" s="1"/>
  <c r="F169" i="105"/>
  <c r="F202" i="105" s="1"/>
  <c r="F210" i="105" s="1"/>
  <c r="F242" i="105" s="1"/>
  <c r="F243" i="105" s="1"/>
  <c r="E252" i="105"/>
  <c r="C18" i="189"/>
  <c r="F50" i="109"/>
  <c r="E37" i="109"/>
  <c r="D50" i="109"/>
  <c r="E83" i="105"/>
  <c r="G48" i="105"/>
  <c r="G38" i="105" s="1"/>
  <c r="G48" i="99"/>
  <c r="E214" i="105"/>
  <c r="C17" i="189" s="1"/>
  <c r="C26" i="189" s="1"/>
  <c r="F223" i="105"/>
  <c r="F217" i="105"/>
  <c r="F226" i="105" s="1"/>
  <c r="D56" i="145"/>
  <c r="F76" i="99"/>
  <c r="F80" i="99" s="1"/>
  <c r="J14" i="132"/>
  <c r="D56" i="150"/>
  <c r="D52" i="150" s="1"/>
  <c r="O14" i="132"/>
  <c r="D10" i="132"/>
  <c r="C10" i="132"/>
  <c r="C11" i="165"/>
  <c r="S11" i="166"/>
  <c r="F18" i="110"/>
  <c r="N11" i="100"/>
  <c r="O11" i="100"/>
  <c r="F14" i="109"/>
  <c r="F104" i="100"/>
  <c r="F24" i="110" s="1"/>
  <c r="F305" i="105"/>
  <c r="F308" i="105" s="1"/>
  <c r="C15" i="131"/>
  <c r="C15" i="151"/>
  <c r="H12" i="166"/>
  <c r="J69" i="109"/>
  <c r="T48" i="99"/>
  <c r="T48" i="105"/>
  <c r="AB23" i="55"/>
  <c r="D22" i="112"/>
  <c r="F15" i="171"/>
  <c r="H13" i="55"/>
  <c r="N5" i="188" s="1"/>
  <c r="C11" i="166"/>
  <c r="F10" i="186"/>
  <c r="M10" i="100"/>
  <c r="D111" i="84"/>
  <c r="F10" i="101"/>
  <c r="F10" i="100"/>
  <c r="H4" i="115"/>
  <c r="F10" i="90"/>
  <c r="AF3" i="174"/>
  <c r="C11" i="157"/>
  <c r="I3" i="108"/>
  <c r="J3" i="108"/>
  <c r="E12" i="112"/>
  <c r="C4" i="157"/>
  <c r="AC13" i="55"/>
  <c r="W15" i="166"/>
  <c r="J15" i="166"/>
  <c r="O15" i="166"/>
  <c r="V15" i="166"/>
  <c r="D11" i="166"/>
  <c r="T9" i="171"/>
  <c r="U9" i="171" s="1"/>
  <c r="H11" i="132"/>
  <c r="C15" i="130"/>
  <c r="C15" i="150"/>
  <c r="H12" i="165"/>
  <c r="O15" i="165"/>
  <c r="W15" i="165"/>
  <c r="J15" i="165"/>
  <c r="V15" i="165"/>
  <c r="D11" i="165"/>
  <c r="C52" i="150"/>
  <c r="S11" i="165"/>
  <c r="S48" i="99" l="1"/>
  <c r="M48" i="99"/>
  <c r="P48" i="99"/>
  <c r="J48" i="99"/>
  <c r="B30" i="146"/>
  <c r="E36" i="145"/>
  <c r="E48" i="99"/>
  <c r="G38" i="99"/>
  <c r="E217" i="105"/>
  <c r="E226" i="105" s="1"/>
  <c r="E223" i="105"/>
  <c r="E249" i="105" s="1"/>
  <c r="P48" i="105"/>
  <c r="J48" i="105"/>
  <c r="M48" i="105"/>
  <c r="E48" i="105"/>
  <c r="S48" i="105"/>
  <c r="F57" i="109"/>
  <c r="D57" i="109" s="1"/>
  <c r="G50" i="109"/>
  <c r="N15" i="166"/>
  <c r="N11" i="166" s="1"/>
  <c r="O11" i="166"/>
  <c r="G15" i="171"/>
  <c r="W11" i="165"/>
  <c r="N15" i="165"/>
  <c r="N11" i="165" s="1"/>
  <c r="O11" i="165"/>
  <c r="N10" i="100"/>
  <c r="F95" i="100"/>
  <c r="O10" i="100"/>
  <c r="I4" i="115"/>
  <c r="J4" i="115" s="1"/>
  <c r="C7" i="107"/>
  <c r="H111" i="84"/>
  <c r="G33" i="108" s="1"/>
  <c r="C105" i="84"/>
  <c r="C110" i="84"/>
  <c r="C108" i="84"/>
  <c r="C104" i="84"/>
  <c r="C101" i="84"/>
  <c r="C33" i="108"/>
  <c r="H17" i="108" s="1"/>
  <c r="D109" i="84"/>
  <c r="C107" i="84"/>
  <c r="C106" i="84"/>
  <c r="C102" i="84"/>
  <c r="C103" i="84"/>
  <c r="AB13" i="55"/>
  <c r="D12" i="112"/>
  <c r="T38" i="99"/>
  <c r="T38" i="105"/>
  <c r="F8" i="171"/>
  <c r="G8" i="171" s="1"/>
  <c r="G14" i="109"/>
  <c r="F8" i="109"/>
  <c r="F5" i="110"/>
  <c r="F15" i="110"/>
  <c r="I14" i="132"/>
  <c r="J10" i="132"/>
  <c r="W11" i="166"/>
  <c r="N4" i="115"/>
  <c r="U11" i="166"/>
  <c r="V11" i="166" s="1"/>
  <c r="B5" i="146"/>
  <c r="U11" i="165"/>
  <c r="V11" i="165" s="1"/>
  <c r="N14" i="132"/>
  <c r="O10" i="132"/>
  <c r="D20" i="167"/>
  <c r="D20" i="168"/>
  <c r="F105" i="100"/>
  <c r="I15" i="165"/>
  <c r="J11" i="165"/>
  <c r="I15" i="166"/>
  <c r="J11" i="166"/>
  <c r="B4" i="157"/>
  <c r="L4" i="157" s="1"/>
  <c r="M4" i="157"/>
  <c r="N10" i="90"/>
  <c r="E10" i="90"/>
  <c r="E10" i="101"/>
  <c r="F11" i="101" s="1"/>
  <c r="F13" i="101" s="1"/>
  <c r="E10" i="186"/>
  <c r="D64" i="145"/>
  <c r="I83" i="99"/>
  <c r="G68" i="145"/>
  <c r="I214" i="99"/>
  <c r="H80" i="99"/>
  <c r="J38" i="105" l="1"/>
  <c r="M38" i="105"/>
  <c r="S38" i="105"/>
  <c r="P38" i="105"/>
  <c r="H250" i="99"/>
  <c r="E14" i="189"/>
  <c r="E38" i="105"/>
  <c r="P5" i="188" s="1"/>
  <c r="P15" i="188"/>
  <c r="AB48" i="99"/>
  <c r="O15" i="188"/>
  <c r="AB48" i="105"/>
  <c r="U48" i="99"/>
  <c r="H48" i="105"/>
  <c r="D37" i="136"/>
  <c r="D34" i="167"/>
  <c r="D34" i="168"/>
  <c r="D37" i="137"/>
  <c r="D37" i="142"/>
  <c r="W48" i="105"/>
  <c r="E26" i="145"/>
  <c r="Q36" i="145"/>
  <c r="Z48" i="99"/>
  <c r="Q48" i="99"/>
  <c r="G37" i="140"/>
  <c r="S38" i="99"/>
  <c r="K48" i="105"/>
  <c r="K38" i="105" s="1"/>
  <c r="E34" i="168"/>
  <c r="E34" i="167"/>
  <c r="E37" i="136"/>
  <c r="X48" i="105"/>
  <c r="E37" i="137"/>
  <c r="E37" i="142"/>
  <c r="E37" i="140"/>
  <c r="K36" i="145"/>
  <c r="K48" i="99"/>
  <c r="X48" i="99"/>
  <c r="M38" i="99"/>
  <c r="AA48" i="105"/>
  <c r="AA38" i="105"/>
  <c r="AA48" i="99"/>
  <c r="I22" i="112"/>
  <c r="N22" i="112" s="1"/>
  <c r="C36" i="145"/>
  <c r="AH23" i="55"/>
  <c r="AN23" i="55" s="1"/>
  <c r="E38" i="99"/>
  <c r="O5" i="188" s="1"/>
  <c r="F37" i="140"/>
  <c r="N36" i="145"/>
  <c r="Y48" i="99"/>
  <c r="N48" i="99"/>
  <c r="P38" i="99"/>
  <c r="U38" i="105"/>
  <c r="U48" i="105"/>
  <c r="Q48" i="105"/>
  <c r="Q38" i="105" s="1"/>
  <c r="G34" i="167"/>
  <c r="G37" i="136"/>
  <c r="G34" i="168"/>
  <c r="G37" i="142"/>
  <c r="Z48" i="105"/>
  <c r="G37" i="137"/>
  <c r="N48" i="105"/>
  <c r="N38" i="105" s="1"/>
  <c r="F34" i="168"/>
  <c r="F37" i="136"/>
  <c r="F34" i="167"/>
  <c r="F37" i="142"/>
  <c r="Y48" i="105"/>
  <c r="F37" i="137"/>
  <c r="D37" i="140"/>
  <c r="H36" i="145"/>
  <c r="W48" i="99"/>
  <c r="H48" i="99"/>
  <c r="J38" i="99"/>
  <c r="F14" i="101"/>
  <c r="C8" i="107"/>
  <c r="F17" i="101"/>
  <c r="E17" i="90"/>
  <c r="E18" i="90" s="1"/>
  <c r="E11" i="90"/>
  <c r="J11" i="90"/>
  <c r="J13" i="90" s="1"/>
  <c r="I11" i="90"/>
  <c r="I13" i="90" s="1"/>
  <c r="G11" i="90"/>
  <c r="G13" i="90" s="1"/>
  <c r="H11" i="90"/>
  <c r="H13" i="90" s="1"/>
  <c r="H73" i="115"/>
  <c r="H83" i="99"/>
  <c r="D13" i="138"/>
  <c r="E10" i="153"/>
  <c r="D17" i="129"/>
  <c r="N10" i="132"/>
  <c r="G8" i="109"/>
  <c r="G107" i="84"/>
  <c r="F29" i="108" s="1"/>
  <c r="B29" i="108"/>
  <c r="G104" i="84"/>
  <c r="F26" i="108" s="1"/>
  <c r="B26" i="108"/>
  <c r="F106" i="100"/>
  <c r="H15" i="165"/>
  <c r="I11" i="165"/>
  <c r="B5" i="173"/>
  <c r="G106" i="84"/>
  <c r="F28" i="108" s="1"/>
  <c r="B28" i="108"/>
  <c r="G101" i="84"/>
  <c r="F23" i="108" s="1"/>
  <c r="B23" i="108"/>
  <c r="B27" i="108"/>
  <c r="G105" i="84"/>
  <c r="F27" i="108" s="1"/>
  <c r="E11" i="101"/>
  <c r="E17" i="101"/>
  <c r="E18" i="101" s="1"/>
  <c r="G11" i="101"/>
  <c r="G13" i="101" s="1"/>
  <c r="H11" i="101"/>
  <c r="I11" i="101"/>
  <c r="J11" i="101"/>
  <c r="J13" i="101" s="1"/>
  <c r="B24" i="108"/>
  <c r="G102" i="84"/>
  <c r="F24" i="108" s="1"/>
  <c r="I17" i="108"/>
  <c r="C14" i="108"/>
  <c r="D14" i="108" s="1"/>
  <c r="C11" i="108"/>
  <c r="D11" i="108" s="1"/>
  <c r="C13" i="108"/>
  <c r="D13" i="108" s="1"/>
  <c r="C9" i="108"/>
  <c r="D9" i="108" s="1"/>
  <c r="C10" i="108"/>
  <c r="D10" i="108" s="1"/>
  <c r="H15" i="108"/>
  <c r="C17" i="108"/>
  <c r="C6" i="108"/>
  <c r="D6" i="108" s="1"/>
  <c r="J17" i="108"/>
  <c r="C16" i="108"/>
  <c r="D16" i="108" s="1"/>
  <c r="C8" i="108"/>
  <c r="D8" i="108" s="1"/>
  <c r="C12" i="108"/>
  <c r="D12" i="108" s="1"/>
  <c r="C7" i="108"/>
  <c r="D7" i="108" s="1"/>
  <c r="C4" i="108"/>
  <c r="D4" i="108" s="1"/>
  <c r="C5" i="108"/>
  <c r="D5" i="108" s="1"/>
  <c r="C3" i="108"/>
  <c r="D3" i="108" s="1"/>
  <c r="B32" i="108"/>
  <c r="G110" i="84"/>
  <c r="F32" i="108" s="1"/>
  <c r="O4" i="115"/>
  <c r="F11" i="90"/>
  <c r="F13" i="90" s="1"/>
  <c r="E11" i="186"/>
  <c r="G11" i="186"/>
  <c r="G15" i="186" s="1"/>
  <c r="G16" i="186" s="1"/>
  <c r="E21" i="186"/>
  <c r="E19" i="186"/>
  <c r="I11" i="186"/>
  <c r="I15" i="186" s="1"/>
  <c r="I16" i="186" s="1"/>
  <c r="H11" i="186"/>
  <c r="H15" i="186" s="1"/>
  <c r="H16" i="186" s="1"/>
  <c r="J11" i="186"/>
  <c r="J15" i="186" s="1"/>
  <c r="J16" i="186" s="1"/>
  <c r="I14" i="167"/>
  <c r="D137" i="167"/>
  <c r="D13" i="140"/>
  <c r="D9" i="167"/>
  <c r="D13" i="136"/>
  <c r="I13" i="136" s="1"/>
  <c r="I217" i="99"/>
  <c r="I226" i="99" s="1"/>
  <c r="H214" i="99"/>
  <c r="I223" i="99"/>
  <c r="I245" i="105" s="1"/>
  <c r="F83" i="99"/>
  <c r="F214" i="99"/>
  <c r="E80" i="99"/>
  <c r="H15" i="166"/>
  <c r="I11" i="166"/>
  <c r="I14" i="168"/>
  <c r="D137" i="168"/>
  <c r="B14" i="146"/>
  <c r="K5" i="146"/>
  <c r="B23" i="146"/>
  <c r="F23" i="146" s="1"/>
  <c r="M23" i="146" s="1"/>
  <c r="H14" i="132"/>
  <c r="I10" i="132"/>
  <c r="B25" i="108"/>
  <c r="G103" i="84"/>
  <c r="F25" i="108" s="1"/>
  <c r="H109" i="84"/>
  <c r="G31" i="108" s="1"/>
  <c r="C109" i="84"/>
  <c r="C31" i="108"/>
  <c r="B30" i="108"/>
  <c r="G108" i="84"/>
  <c r="F30" i="108" s="1"/>
  <c r="F11" i="186"/>
  <c r="F15" i="186" s="1"/>
  <c r="F16" i="186" s="1"/>
  <c r="E250" i="99" l="1"/>
  <c r="C14" i="189"/>
  <c r="I236" i="105"/>
  <c r="E13" i="189"/>
  <c r="E25" i="189" s="1"/>
  <c r="AD48" i="99"/>
  <c r="AF48" i="99" s="1"/>
  <c r="R15" i="188"/>
  <c r="H38" i="105"/>
  <c r="S5" i="188" s="1"/>
  <c r="S15" i="188"/>
  <c r="D140" i="167"/>
  <c r="E33" i="140"/>
  <c r="X38" i="99"/>
  <c r="K26" i="145"/>
  <c r="D30" i="167"/>
  <c r="D30" i="168"/>
  <c r="W38" i="105"/>
  <c r="D33" i="142"/>
  <c r="D33" i="136"/>
  <c r="D33" i="137"/>
  <c r="AC48" i="105"/>
  <c r="AE48" i="105" s="1"/>
  <c r="AC48" i="99"/>
  <c r="AE48" i="99" s="1"/>
  <c r="J22" i="112"/>
  <c r="O22" i="112" s="1"/>
  <c r="AI23" i="55"/>
  <c r="AO23" i="55" s="1"/>
  <c r="H38" i="99"/>
  <c r="F33" i="137"/>
  <c r="F33" i="142"/>
  <c r="F30" i="168"/>
  <c r="F33" i="136"/>
  <c r="F30" i="167"/>
  <c r="Y38" i="105"/>
  <c r="G30" i="167"/>
  <c r="G33" i="142"/>
  <c r="G30" i="168"/>
  <c r="Z38" i="105"/>
  <c r="G33" i="136"/>
  <c r="G33" i="137"/>
  <c r="L22" i="112"/>
  <c r="Q22" i="112" s="1"/>
  <c r="L36" i="145"/>
  <c r="AK23" i="55"/>
  <c r="AQ23" i="55" s="1"/>
  <c r="N38" i="99"/>
  <c r="C26" i="145"/>
  <c r="AH13" i="55"/>
  <c r="AN13" i="55" s="1"/>
  <c r="AA38" i="99"/>
  <c r="I12" i="112"/>
  <c r="N12" i="112" s="1"/>
  <c r="E30" i="168"/>
  <c r="E33" i="136"/>
  <c r="E30" i="167"/>
  <c r="E33" i="137"/>
  <c r="E33" i="142"/>
  <c r="X38" i="105"/>
  <c r="M22" i="112"/>
  <c r="R22" i="112" s="1"/>
  <c r="O36" i="145"/>
  <c r="AL23" i="55"/>
  <c r="AR23" i="55" s="1"/>
  <c r="Q38" i="99"/>
  <c r="D20" i="129"/>
  <c r="C20" i="129" s="1"/>
  <c r="G92" i="99" s="1"/>
  <c r="F33" i="140"/>
  <c r="Y38" i="99"/>
  <c r="N26" i="145"/>
  <c r="I36" i="145"/>
  <c r="K22" i="112"/>
  <c r="P22" i="112" s="1"/>
  <c r="AJ23" i="55"/>
  <c r="AP23" i="55" s="1"/>
  <c r="K38" i="99"/>
  <c r="U38" i="99"/>
  <c r="AB38" i="99"/>
  <c r="H26" i="145"/>
  <c r="W38" i="99"/>
  <c r="D33" i="140"/>
  <c r="G33" i="140"/>
  <c r="Z38" i="99"/>
  <c r="Q26" i="145"/>
  <c r="AB38" i="105"/>
  <c r="AD48" i="105"/>
  <c r="AF48" i="105" s="1"/>
  <c r="B31" i="108"/>
  <c r="G109" i="84"/>
  <c r="F31" i="108" s="1"/>
  <c r="H10" i="132"/>
  <c r="F217" i="99"/>
  <c r="F226" i="99" s="1"/>
  <c r="E214" i="99"/>
  <c r="F223" i="99"/>
  <c r="F245" i="105" s="1"/>
  <c r="I21" i="186"/>
  <c r="I22" i="186" s="1"/>
  <c r="I24" i="186" s="1"/>
  <c r="I25" i="186" s="1"/>
  <c r="I26" i="186" s="1"/>
  <c r="I17" i="186"/>
  <c r="F14" i="90"/>
  <c r="F15" i="90" s="1"/>
  <c r="F17" i="90"/>
  <c r="F18" i="90" s="1"/>
  <c r="F20" i="90" s="1"/>
  <c r="F21" i="90" s="1"/>
  <c r="F22" i="90" s="1"/>
  <c r="P11" i="90"/>
  <c r="H13" i="101"/>
  <c r="H11" i="165"/>
  <c r="E8" i="153"/>
  <c r="H17" i="90"/>
  <c r="H18" i="90" s="1"/>
  <c r="H20" i="90" s="1"/>
  <c r="H21" i="90" s="1"/>
  <c r="H22" i="90" s="1"/>
  <c r="Q10" i="115" s="1"/>
  <c r="H14" i="90"/>
  <c r="H15" i="90" s="1"/>
  <c r="Q9" i="115" s="1"/>
  <c r="F15" i="101"/>
  <c r="C68" i="145"/>
  <c r="E83" i="99"/>
  <c r="H72" i="115"/>
  <c r="H223" i="99"/>
  <c r="H247" i="99" s="1"/>
  <c r="H217" i="99"/>
  <c r="H226" i="99" s="1"/>
  <c r="F8" i="169" s="1"/>
  <c r="H17" i="186"/>
  <c r="H21" i="186"/>
  <c r="H22" i="186" s="1"/>
  <c r="H24" i="186" s="1"/>
  <c r="H25" i="186" s="1"/>
  <c r="H26" i="186" s="1"/>
  <c r="G17" i="186"/>
  <c r="G21" i="186"/>
  <c r="G22" i="186" s="1"/>
  <c r="G24" i="186" s="1"/>
  <c r="G25" i="186" s="1"/>
  <c r="G26" i="186" s="1"/>
  <c r="I15" i="108"/>
  <c r="C15" i="108"/>
  <c r="D15" i="108" s="1"/>
  <c r="J15" i="108"/>
  <c r="Q11" i="90"/>
  <c r="I13" i="101"/>
  <c r="H89" i="115"/>
  <c r="B73" i="115"/>
  <c r="J17" i="90"/>
  <c r="J18" i="90" s="1"/>
  <c r="J20" i="90" s="1"/>
  <c r="J21" i="90" s="1"/>
  <c r="J22" i="90" s="1"/>
  <c r="J14" i="90"/>
  <c r="J15" i="90" s="1"/>
  <c r="C111" i="84"/>
  <c r="F17" i="186"/>
  <c r="F21" i="186"/>
  <c r="K14" i="146"/>
  <c r="I9" i="167"/>
  <c r="I16" i="167"/>
  <c r="J17" i="186"/>
  <c r="J21" i="186"/>
  <c r="J22" i="186" s="1"/>
  <c r="J24" i="186" s="1"/>
  <c r="J25" i="186" s="1"/>
  <c r="J26" i="186" s="1"/>
  <c r="J14" i="101"/>
  <c r="J15" i="101" s="1"/>
  <c r="J17" i="101"/>
  <c r="J18" i="101" s="1"/>
  <c r="J20" i="101" s="1"/>
  <c r="F8" i="107"/>
  <c r="D13" i="142"/>
  <c r="D13" i="137"/>
  <c r="I309" i="105"/>
  <c r="D9" i="168"/>
  <c r="D140" i="168" s="1"/>
  <c r="F309" i="105"/>
  <c r="F310" i="105" s="1"/>
  <c r="F311" i="105" s="1"/>
  <c r="F10" i="153"/>
  <c r="F8" i="153" s="1"/>
  <c r="E13" i="138"/>
  <c r="E11" i="138" s="1"/>
  <c r="I17" i="90"/>
  <c r="I18" i="90" s="1"/>
  <c r="I20" i="90" s="1"/>
  <c r="I21" i="90" s="1"/>
  <c r="I22" i="90" s="1"/>
  <c r="I14" i="90"/>
  <c r="I15" i="90" s="1"/>
  <c r="F18" i="101"/>
  <c r="F20" i="101" s="1"/>
  <c r="H11" i="166"/>
  <c r="D19" i="186"/>
  <c r="K20" i="186" s="1"/>
  <c r="E22" i="186"/>
  <c r="G17" i="101"/>
  <c r="G18" i="101" s="1"/>
  <c r="G20" i="101" s="1"/>
  <c r="G21" i="101" s="1"/>
  <c r="G22" i="101" s="1"/>
  <c r="G14" i="101"/>
  <c r="G15" i="101" s="1"/>
  <c r="E8" i="154"/>
  <c r="I73" i="115"/>
  <c r="E13" i="139"/>
  <c r="D18" i="129"/>
  <c r="D21" i="129" s="1"/>
  <c r="J92" i="105" s="1"/>
  <c r="J182" i="105" s="1"/>
  <c r="D24" i="107"/>
  <c r="B16" i="163"/>
  <c r="I72" i="115"/>
  <c r="C24" i="107"/>
  <c r="D11" i="138"/>
  <c r="G17" i="90"/>
  <c r="G18" i="90" s="1"/>
  <c r="G20" i="90" s="1"/>
  <c r="G21" i="90" s="1"/>
  <c r="G22" i="90" s="1"/>
  <c r="G14" i="90"/>
  <c r="G15" i="90" s="1"/>
  <c r="P4" i="115"/>
  <c r="G182" i="105" l="1"/>
  <c r="H182" i="105"/>
  <c r="E182" i="105" s="1"/>
  <c r="P20" i="109" s="1"/>
  <c r="G44" i="22"/>
  <c r="G45" i="22" s="1"/>
  <c r="G13" i="138"/>
  <c r="C13" i="189"/>
  <c r="C25" i="189" s="1"/>
  <c r="AC38" i="105"/>
  <c r="U15" i="188"/>
  <c r="T15" i="188"/>
  <c r="J92" i="99"/>
  <c r="J182" i="99" s="1"/>
  <c r="D19" i="129"/>
  <c r="AD38" i="99"/>
  <c r="R5" i="188"/>
  <c r="G46" i="22"/>
  <c r="I26" i="145"/>
  <c r="K12" i="112"/>
  <c r="P12" i="112" s="1"/>
  <c r="AJ13" i="55"/>
  <c r="AP13" i="55" s="1"/>
  <c r="AI13" i="55"/>
  <c r="AO13" i="55" s="1"/>
  <c r="AC38" i="99"/>
  <c r="J12" i="112"/>
  <c r="O12" i="112" s="1"/>
  <c r="E8" i="169"/>
  <c r="H8" i="169" s="1"/>
  <c r="O26" i="145"/>
  <c r="M12" i="112"/>
  <c r="R12" i="112" s="1"/>
  <c r="AL13" i="55"/>
  <c r="AR13" i="55" s="1"/>
  <c r="L12" i="112"/>
  <c r="Q12" i="112" s="1"/>
  <c r="AK13" i="55"/>
  <c r="AQ13" i="55" s="1"/>
  <c r="L26" i="145"/>
  <c r="AD38" i="105"/>
  <c r="H92" i="105"/>
  <c r="G11" i="138"/>
  <c r="E20" i="186"/>
  <c r="D20" i="186" s="1"/>
  <c r="B50" i="163"/>
  <c r="B44" i="163"/>
  <c r="I89" i="115"/>
  <c r="C73" i="115"/>
  <c r="C89" i="115" s="1"/>
  <c r="I88" i="115"/>
  <c r="C72" i="115"/>
  <c r="C88" i="115" s="1"/>
  <c r="E11" i="139"/>
  <c r="I32" i="101"/>
  <c r="I36" i="186"/>
  <c r="J5" i="78"/>
  <c r="J5" i="66"/>
  <c r="I311" i="105"/>
  <c r="I310" i="105"/>
  <c r="F9" i="107"/>
  <c r="F10" i="107" s="1"/>
  <c r="J21" i="101"/>
  <c r="J22" i="101" s="1"/>
  <c r="G79" i="22"/>
  <c r="J36" i="186"/>
  <c r="N15" i="179"/>
  <c r="G75" i="22"/>
  <c r="J32" i="101"/>
  <c r="G60" i="22"/>
  <c r="G78" i="22"/>
  <c r="K14" i="179"/>
  <c r="G76" i="22"/>
  <c r="G77" i="22" s="1"/>
  <c r="M15" i="179"/>
  <c r="K5" i="78"/>
  <c r="K5" i="66"/>
  <c r="Q13" i="90"/>
  <c r="E8" i="107"/>
  <c r="I14" i="101"/>
  <c r="I17" i="101"/>
  <c r="D8" i="107"/>
  <c r="P13" i="90"/>
  <c r="H14" i="101"/>
  <c r="H17" i="101"/>
  <c r="J73" i="115"/>
  <c r="C71" i="145"/>
  <c r="H10" i="153"/>
  <c r="C21" i="129"/>
  <c r="E6" i="154"/>
  <c r="C9" i="107"/>
  <c r="F21" i="101"/>
  <c r="F22" i="101" s="1"/>
  <c r="F22" i="186"/>
  <c r="F24" i="186" s="1"/>
  <c r="F25" i="186" s="1"/>
  <c r="F26" i="186" s="1"/>
  <c r="N21" i="186"/>
  <c r="J72" i="115"/>
  <c r="H88" i="115"/>
  <c r="B72" i="115"/>
  <c r="H34" i="101"/>
  <c r="H38" i="186"/>
  <c r="G28" i="22"/>
  <c r="G22" i="22"/>
  <c r="F32" i="101"/>
  <c r="F36" i="186"/>
  <c r="G27" i="22"/>
  <c r="G24" i="22"/>
  <c r="G23" i="22" s="1"/>
  <c r="G25" i="22"/>
  <c r="G26" i="22" s="1"/>
  <c r="K6" i="179"/>
  <c r="N7" i="179"/>
  <c r="M7" i="179"/>
  <c r="G5" i="78"/>
  <c r="G5" i="66"/>
  <c r="E223" i="99"/>
  <c r="E217" i="99"/>
  <c r="E226" i="99" s="1"/>
  <c r="N12" i="179"/>
  <c r="G34" i="101"/>
  <c r="G38" i="186"/>
  <c r="M12" i="179"/>
  <c r="G36" i="186"/>
  <c r="G31" i="22"/>
  <c r="G43" i="22"/>
  <c r="K10" i="179"/>
  <c r="N11" i="179"/>
  <c r="G32" i="101"/>
  <c r="M11" i="179"/>
  <c r="H5" i="66"/>
  <c r="H5" i="78"/>
  <c r="C53" i="107"/>
  <c r="C81" i="107"/>
  <c r="C40" i="107"/>
  <c r="C6" i="164" s="1"/>
  <c r="C15" i="164" s="1"/>
  <c r="C44" i="107"/>
  <c r="C22" i="164" s="1"/>
  <c r="C31" i="164" s="1"/>
  <c r="D81" i="107"/>
  <c r="D53" i="107"/>
  <c r="D40" i="107"/>
  <c r="D6" i="164" s="1"/>
  <c r="D15" i="164" s="1"/>
  <c r="C137" i="107"/>
  <c r="C174" i="107" s="1"/>
  <c r="C177" i="107" s="1"/>
  <c r="D44" i="107"/>
  <c r="D22" i="164" s="1"/>
  <c r="D31" i="164" s="1"/>
  <c r="F8" i="154"/>
  <c r="F6" i="154" s="1"/>
  <c r="F13" i="139"/>
  <c r="F11" i="139" s="1"/>
  <c r="I9" i="168"/>
  <c r="I16" i="168"/>
  <c r="G111" i="84"/>
  <c r="F33" i="108" s="1"/>
  <c r="B33" i="108"/>
  <c r="B89" i="115"/>
  <c r="H32" i="101"/>
  <c r="H36" i="186"/>
  <c r="I5" i="78"/>
  <c r="I5" i="66"/>
  <c r="F38" i="186"/>
  <c r="F34" i="101"/>
  <c r="N8" i="179"/>
  <c r="M8" i="179"/>
  <c r="H5" i="102"/>
  <c r="H5" i="103"/>
  <c r="I38" i="186"/>
  <c r="I34" i="101"/>
  <c r="F10" i="169"/>
  <c r="E10" i="169"/>
  <c r="I13" i="137"/>
  <c r="D142" i="137"/>
  <c r="N16" i="179"/>
  <c r="J34" i="101"/>
  <c r="J38" i="186"/>
  <c r="M16" i="179"/>
  <c r="G26" i="160"/>
  <c r="H8" i="153"/>
  <c r="H182" i="99" l="1"/>
  <c r="E247" i="99"/>
  <c r="F236" i="105"/>
  <c r="C19" i="129"/>
  <c r="L5" i="115" s="1"/>
  <c r="G92" i="105"/>
  <c r="U5" i="188"/>
  <c r="T5" i="188"/>
  <c r="D73" i="115"/>
  <c r="H26" i="160"/>
  <c r="F26" i="160" s="1"/>
  <c r="T92" i="105"/>
  <c r="N31" i="179"/>
  <c r="L16" i="179"/>
  <c r="G32" i="22"/>
  <c r="G61" i="22"/>
  <c r="H10" i="169"/>
  <c r="G8" i="107"/>
  <c r="M51" i="110" s="1"/>
  <c r="G13" i="160"/>
  <c r="G12" i="160" s="1"/>
  <c r="M31" i="179"/>
  <c r="L8" i="179"/>
  <c r="I30" i="66"/>
  <c r="I30" i="103" s="1"/>
  <c r="I22" i="66"/>
  <c r="I22" i="103" s="1"/>
  <c r="I15" i="66"/>
  <c r="I15" i="103" s="1"/>
  <c r="I48" i="66"/>
  <c r="I47" i="103" s="1"/>
  <c r="I29" i="66"/>
  <c r="I29" i="103" s="1"/>
  <c r="I18" i="66"/>
  <c r="I18" i="103" s="1"/>
  <c r="I12" i="66"/>
  <c r="I12" i="103" s="1"/>
  <c r="I58" i="66"/>
  <c r="I57" i="103" s="1"/>
  <c r="I41" i="66"/>
  <c r="I40" i="103" s="1"/>
  <c r="I26" i="66"/>
  <c r="I26" i="103" s="1"/>
  <c r="I54" i="66"/>
  <c r="I53" i="103" s="1"/>
  <c r="I52" i="66"/>
  <c r="I51" i="103" s="1"/>
  <c r="I57" i="66"/>
  <c r="I56" i="103" s="1"/>
  <c r="I38" i="66"/>
  <c r="I37" i="103" s="1"/>
  <c r="I59" i="66"/>
  <c r="I17" i="66"/>
  <c r="I17" i="103" s="1"/>
  <c r="I14" i="66"/>
  <c r="I14" i="103" s="1"/>
  <c r="I32" i="66"/>
  <c r="I32" i="103" s="1"/>
  <c r="I11" i="66"/>
  <c r="I11" i="103" s="1"/>
  <c r="I13" i="66"/>
  <c r="I13" i="103" s="1"/>
  <c r="I34" i="66"/>
  <c r="I34" i="103" s="1"/>
  <c r="I43" i="66"/>
  <c r="I42" i="103" s="1"/>
  <c r="I16" i="66"/>
  <c r="I16" i="103" s="1"/>
  <c r="I33" i="66"/>
  <c r="I33" i="103" s="1"/>
  <c r="I51" i="66"/>
  <c r="I50" i="103" s="1"/>
  <c r="I46" i="66"/>
  <c r="I45" i="103" s="1"/>
  <c r="I47" i="66"/>
  <c r="I46" i="103" s="1"/>
  <c r="I55" i="66"/>
  <c r="I54" i="103" s="1"/>
  <c r="I102" i="103" s="1"/>
  <c r="I70" i="110" s="1"/>
  <c r="I25" i="66"/>
  <c r="I42" i="66"/>
  <c r="I41" i="103" s="1"/>
  <c r="I44" i="66"/>
  <c r="I43" i="103" s="1"/>
  <c r="I27" i="66"/>
  <c r="I27" i="103" s="1"/>
  <c r="I100" i="103" s="1"/>
  <c r="I68" i="110" s="1"/>
  <c r="I39" i="66"/>
  <c r="I38" i="103" s="1"/>
  <c r="I60" i="66"/>
  <c r="I58" i="103" s="1"/>
  <c r="I49" i="66"/>
  <c r="I48" i="103" s="1"/>
  <c r="I31" i="66"/>
  <c r="I31" i="103" s="1"/>
  <c r="I19" i="66"/>
  <c r="I19" i="103" s="1"/>
  <c r="I45" i="66"/>
  <c r="I44" i="103" s="1"/>
  <c r="I56" i="66"/>
  <c r="I55" i="103" s="1"/>
  <c r="I40" i="66"/>
  <c r="I39" i="103" s="1"/>
  <c r="I50" i="66"/>
  <c r="I49" i="103" s="1"/>
  <c r="I28" i="66"/>
  <c r="I28" i="103" s="1"/>
  <c r="I99" i="103" s="1"/>
  <c r="I67" i="110" s="1"/>
  <c r="I35" i="66"/>
  <c r="I35" i="103" s="1"/>
  <c r="I53" i="66"/>
  <c r="I52" i="103" s="1"/>
  <c r="I23" i="66"/>
  <c r="I36" i="66"/>
  <c r="I36" i="103" s="1"/>
  <c r="I21" i="66"/>
  <c r="I10" i="66"/>
  <c r="D69" i="107"/>
  <c r="D73" i="107"/>
  <c r="C97" i="107"/>
  <c r="C101" i="107"/>
  <c r="C110" i="107"/>
  <c r="L11" i="179"/>
  <c r="M9" i="179"/>
  <c r="M30" i="179"/>
  <c r="L7" i="179"/>
  <c r="M5" i="179"/>
  <c r="D72" i="115"/>
  <c r="B88" i="115"/>
  <c r="L15" i="179"/>
  <c r="M13" i="179"/>
  <c r="N9" i="179"/>
  <c r="H6" i="154"/>
  <c r="H41" i="66"/>
  <c r="H31" i="66"/>
  <c r="H18" i="66"/>
  <c r="H58" i="66"/>
  <c r="H59" i="66"/>
  <c r="H47" i="66"/>
  <c r="H50" i="66"/>
  <c r="H34" i="66"/>
  <c r="H42" i="66"/>
  <c r="H11" i="66"/>
  <c r="H32" i="66"/>
  <c r="H54" i="66"/>
  <c r="H49" i="66"/>
  <c r="H16" i="66"/>
  <c r="H48" i="66"/>
  <c r="H52" i="66"/>
  <c r="H46" i="66"/>
  <c r="H17" i="66"/>
  <c r="H33" i="66"/>
  <c r="H51" i="66"/>
  <c r="H22" i="66"/>
  <c r="H30" i="66"/>
  <c r="H57" i="66"/>
  <c r="H36" i="66"/>
  <c r="H19" i="66"/>
  <c r="H38" i="66"/>
  <c r="H43" i="66"/>
  <c r="H56" i="66"/>
  <c r="H29" i="66"/>
  <c r="H35" i="66"/>
  <c r="H26" i="66"/>
  <c r="H53" i="66"/>
  <c r="H14" i="66"/>
  <c r="H13" i="66"/>
  <c r="H27" i="66"/>
  <c r="H12" i="66"/>
  <c r="H40" i="66"/>
  <c r="H15" i="66"/>
  <c r="H60" i="66"/>
  <c r="H55" i="66"/>
  <c r="H44" i="66"/>
  <c r="H45" i="66"/>
  <c r="H28" i="66"/>
  <c r="H25" i="66"/>
  <c r="H23" i="66"/>
  <c r="H39" i="66"/>
  <c r="H21" i="66"/>
  <c r="H10" i="66"/>
  <c r="G54" i="78"/>
  <c r="G59" i="78"/>
  <c r="G49" i="78"/>
  <c r="G34" i="78"/>
  <c r="G53" i="78"/>
  <c r="G18" i="78"/>
  <c r="G29" i="78"/>
  <c r="G12" i="78"/>
  <c r="F5" i="78"/>
  <c r="G19" i="78"/>
  <c r="G32" i="78"/>
  <c r="G47" i="78"/>
  <c r="G26" i="78"/>
  <c r="G39" i="78"/>
  <c r="G60" i="78"/>
  <c r="G56" i="78"/>
  <c r="G13" i="78"/>
  <c r="G55" i="78"/>
  <c r="G48" i="78"/>
  <c r="G50" i="78"/>
  <c r="G52" i="78"/>
  <c r="G58" i="78"/>
  <c r="G36" i="78"/>
  <c r="G51" i="78"/>
  <c r="G64" i="78"/>
  <c r="G45" i="78"/>
  <c r="G43" i="78"/>
  <c r="G63" i="78"/>
  <c r="G35" i="78"/>
  <c r="G17" i="78"/>
  <c r="G14" i="78"/>
  <c r="G42" i="78"/>
  <c r="G16" i="78"/>
  <c r="G46" i="78"/>
  <c r="G33" i="78"/>
  <c r="G31" i="78"/>
  <c r="G30" i="78"/>
  <c r="G11" i="78"/>
  <c r="G62" i="78"/>
  <c r="G44" i="78"/>
  <c r="G15" i="78"/>
  <c r="G22" i="78"/>
  <c r="G41" i="78"/>
  <c r="G28" i="78"/>
  <c r="G27" i="78"/>
  <c r="G61" i="78"/>
  <c r="G10" i="78"/>
  <c r="G25" i="78"/>
  <c r="G37" i="78"/>
  <c r="G23" i="78"/>
  <c r="G21" i="78"/>
  <c r="P14" i="90"/>
  <c r="H15" i="101"/>
  <c r="T188" i="99"/>
  <c r="Q14" i="90"/>
  <c r="I15" i="101"/>
  <c r="Q15" i="90" s="1"/>
  <c r="K26" i="78"/>
  <c r="K26" i="102" s="1"/>
  <c r="K58" i="78"/>
  <c r="K57" i="102" s="1"/>
  <c r="K34" i="78"/>
  <c r="K34" i="102" s="1"/>
  <c r="K13" i="78"/>
  <c r="K13" i="102" s="1"/>
  <c r="K30" i="78"/>
  <c r="K30" i="102" s="1"/>
  <c r="K29" i="78"/>
  <c r="K29" i="102" s="1"/>
  <c r="K50" i="78"/>
  <c r="K49" i="102" s="1"/>
  <c r="K53" i="78"/>
  <c r="K52" i="102" s="1"/>
  <c r="K18" i="78"/>
  <c r="K18" i="102" s="1"/>
  <c r="K22" i="78"/>
  <c r="K22" i="102" s="1"/>
  <c r="K64" i="78"/>
  <c r="K63" i="102" s="1"/>
  <c r="K55" i="78"/>
  <c r="K54" i="102" s="1"/>
  <c r="K62" i="78"/>
  <c r="K61" i="102" s="1"/>
  <c r="K51" i="78"/>
  <c r="K50" i="102" s="1"/>
  <c r="K59" i="78"/>
  <c r="K58" i="102" s="1"/>
  <c r="K49" i="78"/>
  <c r="K48" i="102" s="1"/>
  <c r="K48" i="78"/>
  <c r="K47" i="102" s="1"/>
  <c r="K43" i="78"/>
  <c r="K42" i="102" s="1"/>
  <c r="K35" i="78"/>
  <c r="K35" i="102" s="1"/>
  <c r="K16" i="78"/>
  <c r="K16" i="102" s="1"/>
  <c r="K31" i="78"/>
  <c r="K31" i="102" s="1"/>
  <c r="K56" i="78"/>
  <c r="K55" i="102" s="1"/>
  <c r="K14" i="78"/>
  <c r="K14" i="102" s="1"/>
  <c r="K63" i="78"/>
  <c r="K62" i="102" s="1"/>
  <c r="K15" i="78"/>
  <c r="K15" i="102" s="1"/>
  <c r="K33" i="78"/>
  <c r="K33" i="102" s="1"/>
  <c r="K42" i="78"/>
  <c r="K41" i="102" s="1"/>
  <c r="K17" i="78"/>
  <c r="K17" i="102" s="1"/>
  <c r="K39" i="78"/>
  <c r="K38" i="102" s="1"/>
  <c r="K47" i="78"/>
  <c r="K46" i="102" s="1"/>
  <c r="K27" i="78"/>
  <c r="K27" i="102" s="1"/>
  <c r="K80" i="102" s="1"/>
  <c r="K56" i="110" s="1"/>
  <c r="K44" i="78"/>
  <c r="K43" i="102" s="1"/>
  <c r="K28" i="78"/>
  <c r="K28" i="102" s="1"/>
  <c r="K79" i="102" s="1"/>
  <c r="K55" i="110" s="1"/>
  <c r="K19" i="78"/>
  <c r="K19" i="102" s="1"/>
  <c r="K61" i="78"/>
  <c r="K60" i="102" s="1"/>
  <c r="K82" i="102" s="1"/>
  <c r="K58" i="110" s="1"/>
  <c r="K46" i="78"/>
  <c r="K45" i="102" s="1"/>
  <c r="K45" i="78"/>
  <c r="K44" i="102" s="1"/>
  <c r="K11" i="78"/>
  <c r="K11" i="102" s="1"/>
  <c r="K52" i="78"/>
  <c r="K51" i="102" s="1"/>
  <c r="K54" i="78"/>
  <c r="K53" i="102" s="1"/>
  <c r="K60" i="78"/>
  <c r="K59" i="102" s="1"/>
  <c r="K36" i="78"/>
  <c r="K36" i="102" s="1"/>
  <c r="K32" i="78"/>
  <c r="K32" i="102" s="1"/>
  <c r="K12" i="78"/>
  <c r="K12" i="102" s="1"/>
  <c r="K41" i="78"/>
  <c r="K25" i="78"/>
  <c r="K37" i="78"/>
  <c r="K23" i="78"/>
  <c r="K10" i="78"/>
  <c r="K21" i="78"/>
  <c r="H8" i="154"/>
  <c r="N13" i="179"/>
  <c r="I44" i="107"/>
  <c r="C178" i="107"/>
  <c r="C11" i="147" s="1"/>
  <c r="I5" i="149" s="1"/>
  <c r="H8" i="149" s="1"/>
  <c r="C180" i="107"/>
  <c r="C183" i="107" s="1"/>
  <c r="H49" i="78"/>
  <c r="H50" i="78"/>
  <c r="H58" i="78"/>
  <c r="H45" i="78"/>
  <c r="H26" i="78"/>
  <c r="H56" i="78"/>
  <c r="H47" i="78"/>
  <c r="H13" i="78"/>
  <c r="H43" i="78"/>
  <c r="H36" i="78"/>
  <c r="H53" i="78"/>
  <c r="H30" i="78"/>
  <c r="H12" i="78"/>
  <c r="H34" i="78"/>
  <c r="H16" i="78"/>
  <c r="H33" i="78"/>
  <c r="H18" i="78"/>
  <c r="H39" i="78"/>
  <c r="H11" i="78"/>
  <c r="H60" i="78"/>
  <c r="H19" i="78"/>
  <c r="H52" i="78"/>
  <c r="H51" i="78"/>
  <c r="H29" i="78"/>
  <c r="H37" i="78"/>
  <c r="H62" i="78"/>
  <c r="H23" i="78"/>
  <c r="H15" i="78"/>
  <c r="H31" i="78"/>
  <c r="H17" i="78"/>
  <c r="H64" i="78"/>
  <c r="H22" i="78"/>
  <c r="H63" i="78"/>
  <c r="H14" i="78"/>
  <c r="H42" i="78"/>
  <c r="H48" i="78"/>
  <c r="H55" i="78"/>
  <c r="H44" i="78"/>
  <c r="H59" i="78"/>
  <c r="H61" i="78"/>
  <c r="H35" i="78"/>
  <c r="H54" i="78"/>
  <c r="H28" i="78"/>
  <c r="H25" i="78"/>
  <c r="H27" i="78"/>
  <c r="H32" i="78"/>
  <c r="H46" i="78"/>
  <c r="H41" i="78"/>
  <c r="H10" i="78"/>
  <c r="H21" i="78"/>
  <c r="F5" i="66"/>
  <c r="G59" i="66"/>
  <c r="G44" i="66"/>
  <c r="G45" i="66"/>
  <c r="G30" i="66"/>
  <c r="G32" i="66"/>
  <c r="G57" i="66"/>
  <c r="G34" i="66"/>
  <c r="G52" i="66"/>
  <c r="G39" i="66"/>
  <c r="G18" i="66"/>
  <c r="G58" i="66"/>
  <c r="G33" i="66"/>
  <c r="G29" i="66"/>
  <c r="G15" i="66"/>
  <c r="G13" i="66"/>
  <c r="G27" i="66"/>
  <c r="G41" i="66"/>
  <c r="G54" i="66"/>
  <c r="G42" i="66"/>
  <c r="G48" i="66"/>
  <c r="G31" i="66"/>
  <c r="G35" i="66"/>
  <c r="G22" i="66"/>
  <c r="G53" i="66"/>
  <c r="G46" i="66"/>
  <c r="G47" i="66"/>
  <c r="G28" i="66"/>
  <c r="G12" i="66"/>
  <c r="G43" i="66"/>
  <c r="G49" i="66"/>
  <c r="G17" i="66"/>
  <c r="G38" i="66"/>
  <c r="G55" i="66"/>
  <c r="G56" i="66"/>
  <c r="G11" i="66"/>
  <c r="G60" i="66"/>
  <c r="G40" i="66"/>
  <c r="G19" i="66"/>
  <c r="G51" i="66"/>
  <c r="G14" i="66"/>
  <c r="G26" i="66"/>
  <c r="G16" i="66"/>
  <c r="G50" i="66"/>
  <c r="G25" i="66"/>
  <c r="G36" i="66"/>
  <c r="G23" i="66"/>
  <c r="G10" i="66"/>
  <c r="G21" i="66"/>
  <c r="C10" i="107"/>
  <c r="P17" i="90"/>
  <c r="H18" i="101"/>
  <c r="Q17" i="90"/>
  <c r="I18" i="101"/>
  <c r="K46" i="66"/>
  <c r="K45" i="103" s="1"/>
  <c r="K11" i="66"/>
  <c r="K11" i="103" s="1"/>
  <c r="K58" i="66"/>
  <c r="K57" i="103" s="1"/>
  <c r="K59" i="66"/>
  <c r="K41" i="66"/>
  <c r="K40" i="103" s="1"/>
  <c r="K42" i="66"/>
  <c r="K41" i="103" s="1"/>
  <c r="K53" i="66"/>
  <c r="K52" i="103" s="1"/>
  <c r="K29" i="66"/>
  <c r="K29" i="103" s="1"/>
  <c r="K40" i="66"/>
  <c r="K39" i="103" s="1"/>
  <c r="K60" i="66"/>
  <c r="K58" i="103" s="1"/>
  <c r="K13" i="66"/>
  <c r="K13" i="103" s="1"/>
  <c r="K54" i="66"/>
  <c r="K53" i="103" s="1"/>
  <c r="K26" i="66"/>
  <c r="K26" i="103" s="1"/>
  <c r="K31" i="66"/>
  <c r="K31" i="103" s="1"/>
  <c r="K19" i="66"/>
  <c r="K19" i="103" s="1"/>
  <c r="K30" i="66"/>
  <c r="K30" i="103" s="1"/>
  <c r="K47" i="66"/>
  <c r="K46" i="103" s="1"/>
  <c r="K57" i="66"/>
  <c r="K56" i="103" s="1"/>
  <c r="K44" i="66"/>
  <c r="K43" i="103" s="1"/>
  <c r="K16" i="66"/>
  <c r="K16" i="103" s="1"/>
  <c r="K48" i="66"/>
  <c r="K47" i="103" s="1"/>
  <c r="K33" i="66"/>
  <c r="K33" i="103" s="1"/>
  <c r="K52" i="66"/>
  <c r="K51" i="103" s="1"/>
  <c r="K12" i="66"/>
  <c r="K12" i="103" s="1"/>
  <c r="K39" i="66"/>
  <c r="K38" i="103" s="1"/>
  <c r="K18" i="66"/>
  <c r="K18" i="103" s="1"/>
  <c r="K35" i="66"/>
  <c r="K35" i="103" s="1"/>
  <c r="K45" i="66"/>
  <c r="K44" i="103" s="1"/>
  <c r="K43" i="66"/>
  <c r="K42" i="103" s="1"/>
  <c r="K22" i="66"/>
  <c r="K22" i="103" s="1"/>
  <c r="K25" i="66"/>
  <c r="K14" i="66"/>
  <c r="K14" i="103" s="1"/>
  <c r="K55" i="66"/>
  <c r="K54" i="103" s="1"/>
  <c r="K102" i="103" s="1"/>
  <c r="K70" i="110" s="1"/>
  <c r="K17" i="66"/>
  <c r="K17" i="103" s="1"/>
  <c r="K34" i="66"/>
  <c r="K34" i="103" s="1"/>
  <c r="K38" i="66"/>
  <c r="K37" i="103" s="1"/>
  <c r="K50" i="66"/>
  <c r="K49" i="103" s="1"/>
  <c r="K51" i="66"/>
  <c r="K50" i="103" s="1"/>
  <c r="K56" i="66"/>
  <c r="K55" i="103" s="1"/>
  <c r="K32" i="66"/>
  <c r="K32" i="103" s="1"/>
  <c r="K15" i="66"/>
  <c r="K15" i="103" s="1"/>
  <c r="K49" i="66"/>
  <c r="K48" i="103" s="1"/>
  <c r="K27" i="66"/>
  <c r="K27" i="103" s="1"/>
  <c r="K100" i="103" s="1"/>
  <c r="K68" i="110" s="1"/>
  <c r="K28" i="66"/>
  <c r="K28" i="103" s="1"/>
  <c r="K99" i="103" s="1"/>
  <c r="K67" i="110" s="1"/>
  <c r="K23" i="66"/>
  <c r="K36" i="66"/>
  <c r="K10" i="66"/>
  <c r="K21" i="66"/>
  <c r="J15" i="78"/>
  <c r="J15" i="102" s="1"/>
  <c r="J43" i="78"/>
  <c r="J42" i="102" s="1"/>
  <c r="J11" i="78"/>
  <c r="J11" i="102" s="1"/>
  <c r="J12" i="78"/>
  <c r="J12" i="102" s="1"/>
  <c r="J62" i="78"/>
  <c r="J61" i="102" s="1"/>
  <c r="J53" i="78"/>
  <c r="J52" i="102" s="1"/>
  <c r="J19" i="78"/>
  <c r="J19" i="102" s="1"/>
  <c r="J33" i="78"/>
  <c r="J33" i="102" s="1"/>
  <c r="J17" i="78"/>
  <c r="J17" i="102" s="1"/>
  <c r="J60" i="78"/>
  <c r="J59" i="102" s="1"/>
  <c r="J34" i="78"/>
  <c r="J34" i="102" s="1"/>
  <c r="J47" i="78"/>
  <c r="J46" i="102" s="1"/>
  <c r="J29" i="78"/>
  <c r="J29" i="102" s="1"/>
  <c r="J50" i="78"/>
  <c r="J49" i="102" s="1"/>
  <c r="J64" i="78"/>
  <c r="J63" i="102" s="1"/>
  <c r="J31" i="78"/>
  <c r="J31" i="102" s="1"/>
  <c r="J48" i="78"/>
  <c r="J47" i="102" s="1"/>
  <c r="J35" i="78"/>
  <c r="J35" i="102" s="1"/>
  <c r="J39" i="78"/>
  <c r="J38" i="102" s="1"/>
  <c r="J32" i="78"/>
  <c r="J32" i="102" s="1"/>
  <c r="J59" i="78"/>
  <c r="J58" i="102" s="1"/>
  <c r="J61" i="78"/>
  <c r="J60" i="102" s="1"/>
  <c r="J82" i="102" s="1"/>
  <c r="J58" i="110" s="1"/>
  <c r="J25" i="78"/>
  <c r="J51" i="78"/>
  <c r="J50" i="102" s="1"/>
  <c r="J42" i="78"/>
  <c r="J41" i="102" s="1"/>
  <c r="J27" i="78"/>
  <c r="J27" i="102" s="1"/>
  <c r="J80" i="102" s="1"/>
  <c r="J56" i="110" s="1"/>
  <c r="J58" i="78"/>
  <c r="J57" i="102" s="1"/>
  <c r="J49" i="78"/>
  <c r="J48" i="102" s="1"/>
  <c r="J16" i="78"/>
  <c r="J16" i="102" s="1"/>
  <c r="J26" i="78"/>
  <c r="J26" i="102" s="1"/>
  <c r="J44" i="78"/>
  <c r="J43" i="102" s="1"/>
  <c r="J63" i="78"/>
  <c r="J62" i="102" s="1"/>
  <c r="J22" i="78"/>
  <c r="J22" i="102" s="1"/>
  <c r="J13" i="78"/>
  <c r="J13" i="102" s="1"/>
  <c r="J14" i="78"/>
  <c r="J14" i="102" s="1"/>
  <c r="J46" i="78"/>
  <c r="J45" i="102" s="1"/>
  <c r="J54" i="78"/>
  <c r="J53" i="102" s="1"/>
  <c r="J30" i="78"/>
  <c r="J30" i="102" s="1"/>
  <c r="J55" i="78"/>
  <c r="J54" i="102" s="1"/>
  <c r="J18" i="78"/>
  <c r="J18" i="102" s="1"/>
  <c r="J52" i="78"/>
  <c r="J51" i="102" s="1"/>
  <c r="J56" i="78"/>
  <c r="J55" i="102" s="1"/>
  <c r="J45" i="78"/>
  <c r="J44" i="102" s="1"/>
  <c r="J36" i="78"/>
  <c r="J36" i="102" s="1"/>
  <c r="J41" i="78"/>
  <c r="J28" i="78"/>
  <c r="J28" i="102" s="1"/>
  <c r="J79" i="102" s="1"/>
  <c r="J55" i="110" s="1"/>
  <c r="J37" i="78"/>
  <c r="J23" i="78"/>
  <c r="J21" i="78"/>
  <c r="J10" i="78"/>
  <c r="L12" i="179"/>
  <c r="K27" i="179"/>
  <c r="H13" i="139"/>
  <c r="I62" i="78"/>
  <c r="I61" i="102" s="1"/>
  <c r="I46" i="78"/>
  <c r="I45" i="102" s="1"/>
  <c r="I60" i="78"/>
  <c r="I59" i="102" s="1"/>
  <c r="I54" i="78"/>
  <c r="I53" i="102" s="1"/>
  <c r="I48" i="78"/>
  <c r="I47" i="102" s="1"/>
  <c r="I33" i="78"/>
  <c r="I33" i="102" s="1"/>
  <c r="I14" i="78"/>
  <c r="I14" i="102" s="1"/>
  <c r="I11" i="78"/>
  <c r="I11" i="102" s="1"/>
  <c r="I64" i="78"/>
  <c r="I63" i="102" s="1"/>
  <c r="I26" i="78"/>
  <c r="I26" i="102" s="1"/>
  <c r="I13" i="78"/>
  <c r="I13" i="102" s="1"/>
  <c r="I49" i="78"/>
  <c r="I48" i="102" s="1"/>
  <c r="I43" i="78"/>
  <c r="I42" i="102" s="1"/>
  <c r="I15" i="78"/>
  <c r="I15" i="102" s="1"/>
  <c r="I56" i="78"/>
  <c r="I55" i="102" s="1"/>
  <c r="I51" i="78"/>
  <c r="I50" i="102" s="1"/>
  <c r="I35" i="78"/>
  <c r="I35" i="102" s="1"/>
  <c r="I30" i="78"/>
  <c r="I30" i="102" s="1"/>
  <c r="I47" i="78"/>
  <c r="I46" i="102" s="1"/>
  <c r="I29" i="78"/>
  <c r="I29" i="102" s="1"/>
  <c r="I16" i="78"/>
  <c r="I16" i="102" s="1"/>
  <c r="I61" i="78"/>
  <c r="I60" i="102" s="1"/>
  <c r="I82" i="102" s="1"/>
  <c r="I58" i="110" s="1"/>
  <c r="I58" i="78"/>
  <c r="I57" i="102" s="1"/>
  <c r="I34" i="78"/>
  <c r="I34" i="102" s="1"/>
  <c r="I39" i="78"/>
  <c r="I38" i="102" s="1"/>
  <c r="I19" i="78"/>
  <c r="I19" i="102" s="1"/>
  <c r="I32" i="78"/>
  <c r="I32" i="102" s="1"/>
  <c r="I18" i="78"/>
  <c r="I18" i="102" s="1"/>
  <c r="I44" i="78"/>
  <c r="I43" i="102" s="1"/>
  <c r="I27" i="78"/>
  <c r="I27" i="102" s="1"/>
  <c r="I80" i="102" s="1"/>
  <c r="I56" i="110" s="1"/>
  <c r="I45" i="78"/>
  <c r="I44" i="102" s="1"/>
  <c r="I12" i="78"/>
  <c r="I12" i="102" s="1"/>
  <c r="I63" i="78"/>
  <c r="I62" i="102" s="1"/>
  <c r="I17" i="78"/>
  <c r="I17" i="102" s="1"/>
  <c r="I59" i="78"/>
  <c r="I58" i="102" s="1"/>
  <c r="I31" i="78"/>
  <c r="I31" i="102" s="1"/>
  <c r="I42" i="78"/>
  <c r="I41" i="102" s="1"/>
  <c r="I28" i="78"/>
  <c r="I28" i="102" s="1"/>
  <c r="I79" i="102" s="1"/>
  <c r="I55" i="110" s="1"/>
  <c r="I52" i="78"/>
  <c r="I51" i="102" s="1"/>
  <c r="I22" i="78"/>
  <c r="I22" i="102" s="1"/>
  <c r="I50" i="78"/>
  <c r="I49" i="102" s="1"/>
  <c r="I55" i="78"/>
  <c r="I54" i="102" s="1"/>
  <c r="I36" i="78"/>
  <c r="I36" i="102" s="1"/>
  <c r="I53" i="78"/>
  <c r="I52" i="102" s="1"/>
  <c r="I41" i="78"/>
  <c r="I25" i="78"/>
  <c r="I37" i="78"/>
  <c r="I37" i="102" s="1"/>
  <c r="I23" i="78"/>
  <c r="I21" i="78"/>
  <c r="I10" i="78"/>
  <c r="D110" i="107"/>
  <c r="D97" i="107"/>
  <c r="D101" i="107"/>
  <c r="C73" i="107"/>
  <c r="J73" i="107" s="1"/>
  <c r="K73" i="107" s="1"/>
  <c r="J53" i="107"/>
  <c r="K53" i="107" s="1"/>
  <c r="C69" i="107"/>
  <c r="J69" i="107" s="1"/>
  <c r="K69" i="107" s="1"/>
  <c r="N30" i="179"/>
  <c r="N5" i="179"/>
  <c r="G5" i="103"/>
  <c r="G5" i="102"/>
  <c r="H13" i="160"/>
  <c r="H12" i="160" s="1"/>
  <c r="K5" i="103"/>
  <c r="K5" i="102"/>
  <c r="J42" i="66"/>
  <c r="J41" i="103" s="1"/>
  <c r="J45" i="66"/>
  <c r="J44" i="103" s="1"/>
  <c r="J13" i="66"/>
  <c r="J13" i="103" s="1"/>
  <c r="J22" i="66"/>
  <c r="J22" i="103" s="1"/>
  <c r="J54" i="66"/>
  <c r="J53" i="103" s="1"/>
  <c r="J34" i="66"/>
  <c r="J34" i="103" s="1"/>
  <c r="J55" i="66"/>
  <c r="J54" i="103" s="1"/>
  <c r="J102" i="103" s="1"/>
  <c r="J70" i="110" s="1"/>
  <c r="J16" i="66"/>
  <c r="J16" i="103" s="1"/>
  <c r="J29" i="66"/>
  <c r="J29" i="103" s="1"/>
  <c r="J12" i="66"/>
  <c r="J12" i="103" s="1"/>
  <c r="J33" i="66"/>
  <c r="J33" i="103" s="1"/>
  <c r="J18" i="66"/>
  <c r="J18" i="103" s="1"/>
  <c r="J46" i="66"/>
  <c r="J45" i="103" s="1"/>
  <c r="J26" i="66"/>
  <c r="J26" i="103" s="1"/>
  <c r="J40" i="66"/>
  <c r="J39" i="103" s="1"/>
  <c r="J38" i="66"/>
  <c r="J37" i="103" s="1"/>
  <c r="J58" i="66"/>
  <c r="J57" i="103" s="1"/>
  <c r="J15" i="66"/>
  <c r="J15" i="103" s="1"/>
  <c r="J32" i="66"/>
  <c r="J32" i="103" s="1"/>
  <c r="J57" i="66"/>
  <c r="J56" i="103" s="1"/>
  <c r="J19" i="66"/>
  <c r="J19" i="103" s="1"/>
  <c r="J50" i="66"/>
  <c r="J49" i="103" s="1"/>
  <c r="J17" i="66"/>
  <c r="J17" i="103" s="1"/>
  <c r="J59" i="66"/>
  <c r="J52" i="66"/>
  <c r="J51" i="103" s="1"/>
  <c r="J11" i="66"/>
  <c r="J11" i="103" s="1"/>
  <c r="J31" i="66"/>
  <c r="J31" i="103" s="1"/>
  <c r="J56" i="66"/>
  <c r="J55" i="103" s="1"/>
  <c r="J35" i="66"/>
  <c r="J35" i="103" s="1"/>
  <c r="J14" i="66"/>
  <c r="J14" i="103" s="1"/>
  <c r="J39" i="66"/>
  <c r="J38" i="103" s="1"/>
  <c r="J41" i="66"/>
  <c r="J40" i="103" s="1"/>
  <c r="J44" i="66"/>
  <c r="J43" i="103" s="1"/>
  <c r="J48" i="66"/>
  <c r="J47" i="103" s="1"/>
  <c r="J49" i="66"/>
  <c r="J48" i="103" s="1"/>
  <c r="J60" i="66"/>
  <c r="J58" i="103" s="1"/>
  <c r="J25" i="66"/>
  <c r="J43" i="66"/>
  <c r="J42" i="103" s="1"/>
  <c r="J47" i="66"/>
  <c r="J46" i="103" s="1"/>
  <c r="J30" i="66"/>
  <c r="J30" i="103" s="1"/>
  <c r="J27" i="66"/>
  <c r="J27" i="103" s="1"/>
  <c r="J100" i="103" s="1"/>
  <c r="J68" i="110" s="1"/>
  <c r="J53" i="66"/>
  <c r="J52" i="103" s="1"/>
  <c r="J28" i="66"/>
  <c r="J28" i="103" s="1"/>
  <c r="J99" i="103" s="1"/>
  <c r="J67" i="110" s="1"/>
  <c r="J51" i="66"/>
  <c r="J50" i="103" s="1"/>
  <c r="J36" i="66"/>
  <c r="J23" i="66"/>
  <c r="J10" i="66"/>
  <c r="J21" i="66"/>
  <c r="I40" i="107"/>
  <c r="H11" i="139"/>
  <c r="P15" i="90" l="1"/>
  <c r="R9" i="115"/>
  <c r="S9" i="115" s="1"/>
  <c r="D74" i="109"/>
  <c r="H74" i="109" s="1"/>
  <c r="G47" i="22"/>
  <c r="T85" i="105"/>
  <c r="E92" i="105"/>
  <c r="N27" i="179"/>
  <c r="F5" i="102"/>
  <c r="J24" i="66"/>
  <c r="J24" i="103" s="1"/>
  <c r="J25" i="103"/>
  <c r="J103" i="103" s="1"/>
  <c r="J71" i="110" s="1"/>
  <c r="I7" i="115"/>
  <c r="O7" i="115"/>
  <c r="I20" i="78"/>
  <c r="I20" i="102" s="1"/>
  <c r="G24" i="61"/>
  <c r="I21" i="102"/>
  <c r="I40" i="102"/>
  <c r="I40" i="78"/>
  <c r="I39" i="102" s="1"/>
  <c r="J20" i="78"/>
  <c r="J20" i="102" s="1"/>
  <c r="J21" i="102"/>
  <c r="G24" i="92"/>
  <c r="J40" i="78"/>
  <c r="J39" i="102" s="1"/>
  <c r="J40" i="102"/>
  <c r="K10" i="103"/>
  <c r="K9" i="103" s="1"/>
  <c r="K9" i="66"/>
  <c r="K24" i="66"/>
  <c r="K24" i="103" s="1"/>
  <c r="K25" i="103"/>
  <c r="K103" i="103" s="1"/>
  <c r="K71" i="110" s="1"/>
  <c r="D73" i="142"/>
  <c r="D71" i="168"/>
  <c r="D73" i="137"/>
  <c r="J10" i="107"/>
  <c r="C28" i="165"/>
  <c r="U28" i="165" s="1"/>
  <c r="C27" i="132"/>
  <c r="C69" i="150" s="1"/>
  <c r="S23" i="66"/>
  <c r="C28" i="166"/>
  <c r="U28" i="166" s="1"/>
  <c r="H35" i="55"/>
  <c r="N27" i="188" s="1"/>
  <c r="G23" i="103"/>
  <c r="S16" i="66"/>
  <c r="G16" i="103"/>
  <c r="S19" i="66"/>
  <c r="G19" i="103"/>
  <c r="S56" i="66"/>
  <c r="G55" i="103"/>
  <c r="S49" i="66"/>
  <c r="G48" i="103"/>
  <c r="S47" i="66"/>
  <c r="G46" i="103"/>
  <c r="S35" i="66"/>
  <c r="G35" i="103"/>
  <c r="S54" i="66"/>
  <c r="G53" i="103"/>
  <c r="S15" i="66"/>
  <c r="G15" i="103"/>
  <c r="S18" i="66"/>
  <c r="G18" i="103"/>
  <c r="G56" i="103"/>
  <c r="S57" i="66"/>
  <c r="G43" i="103"/>
  <c r="S44" i="66"/>
  <c r="V10" i="78"/>
  <c r="H9" i="78"/>
  <c r="H10" i="102"/>
  <c r="V27" i="78"/>
  <c r="H27" i="102"/>
  <c r="V35" i="78"/>
  <c r="H35" i="102"/>
  <c r="V35" i="102" s="1"/>
  <c r="H54" i="102"/>
  <c r="V54" i="102" s="1"/>
  <c r="V55" i="78"/>
  <c r="V63" i="78"/>
  <c r="H62" i="102"/>
  <c r="V62" i="102" s="1"/>
  <c r="V31" i="78"/>
  <c r="H31" i="102"/>
  <c r="V31" i="102" s="1"/>
  <c r="V37" i="78"/>
  <c r="H37" i="102"/>
  <c r="V19" i="78"/>
  <c r="H19" i="102"/>
  <c r="V19" i="102" s="1"/>
  <c r="V18" i="78"/>
  <c r="H18" i="102"/>
  <c r="V18" i="102" s="1"/>
  <c r="H12" i="102"/>
  <c r="V12" i="102" s="1"/>
  <c r="V12" i="78"/>
  <c r="H42" i="102"/>
  <c r="V42" i="102" s="1"/>
  <c r="V43" i="78"/>
  <c r="H26" i="102"/>
  <c r="V26" i="102" s="1"/>
  <c r="V26" i="78"/>
  <c r="V49" i="78"/>
  <c r="H48" i="102"/>
  <c r="V48" i="102" s="1"/>
  <c r="K10" i="102"/>
  <c r="K9" i="102" s="1"/>
  <c r="K9" i="78"/>
  <c r="K40" i="102"/>
  <c r="K40" i="78"/>
  <c r="K39" i="102" s="1"/>
  <c r="U37" i="78"/>
  <c r="C24" i="165"/>
  <c r="C23" i="132"/>
  <c r="C24" i="166"/>
  <c r="G37" i="102"/>
  <c r="U27" i="78"/>
  <c r="G27" i="102"/>
  <c r="U15" i="78"/>
  <c r="G15" i="102"/>
  <c r="U30" i="78"/>
  <c r="G30" i="102"/>
  <c r="U16" i="78"/>
  <c r="G16" i="102"/>
  <c r="U35" i="78"/>
  <c r="G35" i="102"/>
  <c r="U64" i="78"/>
  <c r="G63" i="102"/>
  <c r="U52" i="78"/>
  <c r="G51" i="102"/>
  <c r="U13" i="78"/>
  <c r="G13" i="102"/>
  <c r="G26" i="102"/>
  <c r="U26" i="78"/>
  <c r="U53" i="78"/>
  <c r="G52" i="102"/>
  <c r="U54" i="78"/>
  <c r="G53" i="102"/>
  <c r="T23" i="66"/>
  <c r="H23" i="103"/>
  <c r="T44" i="66"/>
  <c r="H43" i="103"/>
  <c r="T43" i="103" s="1"/>
  <c r="T40" i="66"/>
  <c r="H39" i="103"/>
  <c r="T39" i="103" s="1"/>
  <c r="T14" i="66"/>
  <c r="H14" i="103"/>
  <c r="T14" i="103" s="1"/>
  <c r="H29" i="103"/>
  <c r="T29" i="103" s="1"/>
  <c r="T29" i="66"/>
  <c r="T19" i="66"/>
  <c r="H19" i="103"/>
  <c r="T19" i="103" s="1"/>
  <c r="T22" i="66"/>
  <c r="H22" i="103"/>
  <c r="T22" i="103" s="1"/>
  <c r="T46" i="66"/>
  <c r="H45" i="103"/>
  <c r="T45" i="103" s="1"/>
  <c r="T49" i="66"/>
  <c r="H48" i="103"/>
  <c r="T48" i="103" s="1"/>
  <c r="H41" i="103"/>
  <c r="T41" i="103" s="1"/>
  <c r="T42" i="66"/>
  <c r="T41" i="66"/>
  <c r="H40" i="103"/>
  <c r="T40" i="103" s="1"/>
  <c r="I20" i="66"/>
  <c r="I20" i="103" s="1"/>
  <c r="G28" i="61"/>
  <c r="I21" i="103"/>
  <c r="J10" i="103"/>
  <c r="J9" i="103" s="1"/>
  <c r="J9" i="66"/>
  <c r="J20" i="66"/>
  <c r="J20" i="103" s="1"/>
  <c r="G28" i="92"/>
  <c r="J21" i="103"/>
  <c r="D126" i="107"/>
  <c r="D130" i="107"/>
  <c r="I9" i="78"/>
  <c r="I10" i="102"/>
  <c r="I9" i="102" s="1"/>
  <c r="I25" i="102"/>
  <c r="I83" i="102" s="1"/>
  <c r="I59" i="110" s="1"/>
  <c r="I24" i="78"/>
  <c r="I24" i="102" s="1"/>
  <c r="J10" i="102"/>
  <c r="J9" i="102" s="1"/>
  <c r="J9" i="78"/>
  <c r="K20" i="66"/>
  <c r="K20" i="103" s="1"/>
  <c r="K21" i="103"/>
  <c r="C22" i="135"/>
  <c r="G23" i="57"/>
  <c r="Q18" i="90"/>
  <c r="I20" i="101"/>
  <c r="S10" i="66"/>
  <c r="G10" i="103"/>
  <c r="G9" i="66"/>
  <c r="S50" i="66"/>
  <c r="G49" i="103"/>
  <c r="S51" i="66"/>
  <c r="G50" i="103"/>
  <c r="S11" i="66"/>
  <c r="G11" i="103"/>
  <c r="S17" i="66"/>
  <c r="G17" i="103"/>
  <c r="S28" i="66"/>
  <c r="G28" i="103"/>
  <c r="G22" i="103"/>
  <c r="S22" i="103" s="1"/>
  <c r="S22" i="66"/>
  <c r="S42" i="66"/>
  <c r="G41" i="103"/>
  <c r="S13" i="66"/>
  <c r="G13" i="103"/>
  <c r="S58" i="66"/>
  <c r="G57" i="103"/>
  <c r="G34" i="103"/>
  <c r="S34" i="66"/>
  <c r="G44" i="103"/>
  <c r="S45" i="66"/>
  <c r="V21" i="78"/>
  <c r="H20" i="78"/>
  <c r="H21" i="102"/>
  <c r="V32" i="78"/>
  <c r="H32" i="102"/>
  <c r="V32" i="102" s="1"/>
  <c r="V54" i="78"/>
  <c r="H53" i="102"/>
  <c r="V53" i="102" s="1"/>
  <c r="H43" i="102"/>
  <c r="V43" i="102" s="1"/>
  <c r="V44" i="78"/>
  <c r="V14" i="78"/>
  <c r="H14" i="102"/>
  <c r="V14" i="102" s="1"/>
  <c r="V17" i="78"/>
  <c r="H17" i="102"/>
  <c r="V17" i="102" s="1"/>
  <c r="V62" i="78"/>
  <c r="H61" i="102"/>
  <c r="V61" i="102" s="1"/>
  <c r="V52" i="78"/>
  <c r="H51" i="102"/>
  <c r="V51" i="102" s="1"/>
  <c r="V39" i="78"/>
  <c r="H38" i="102"/>
  <c r="V38" i="102" s="1"/>
  <c r="H34" i="102"/>
  <c r="V34" i="102" s="1"/>
  <c r="V34" i="78"/>
  <c r="H36" i="102"/>
  <c r="V36" i="102" s="1"/>
  <c r="V36" i="78"/>
  <c r="H55" i="102"/>
  <c r="V55" i="102" s="1"/>
  <c r="V56" i="78"/>
  <c r="V50" i="78"/>
  <c r="H49" i="102"/>
  <c r="V49" i="102" s="1"/>
  <c r="K20" i="78"/>
  <c r="K20" i="102" s="1"/>
  <c r="G19" i="57"/>
  <c r="K21" i="102"/>
  <c r="C17" i="135"/>
  <c r="K25" i="102"/>
  <c r="K83" i="102" s="1"/>
  <c r="K59" i="110" s="1"/>
  <c r="K24" i="78"/>
  <c r="C23" i="165"/>
  <c r="U23" i="165" s="1"/>
  <c r="C23" i="166"/>
  <c r="U23" i="166" s="1"/>
  <c r="U23" i="78"/>
  <c r="C22" i="132"/>
  <c r="C64" i="150" s="1"/>
  <c r="G23" i="102"/>
  <c r="H31" i="55"/>
  <c r="N23" i="188" s="1"/>
  <c r="U61" i="78"/>
  <c r="G60" i="102"/>
  <c r="U22" i="78"/>
  <c r="G22" i="102"/>
  <c r="U11" i="78"/>
  <c r="G11" i="102"/>
  <c r="U46" i="78"/>
  <c r="G45" i="102"/>
  <c r="U17" i="78"/>
  <c r="G17" i="102"/>
  <c r="U17" i="102" s="1"/>
  <c r="U45" i="78"/>
  <c r="G44" i="102"/>
  <c r="U58" i="78"/>
  <c r="G57" i="102"/>
  <c r="G54" i="102"/>
  <c r="U54" i="102" s="1"/>
  <c r="U55" i="78"/>
  <c r="G38" i="102"/>
  <c r="U39" i="78"/>
  <c r="G19" i="102"/>
  <c r="U19" i="102" s="1"/>
  <c r="U19" i="78"/>
  <c r="U18" i="78"/>
  <c r="G18" i="102"/>
  <c r="U59" i="78"/>
  <c r="G58" i="102"/>
  <c r="T39" i="66"/>
  <c r="H38" i="103"/>
  <c r="T45" i="66"/>
  <c r="H44" i="103"/>
  <c r="T44" i="103" s="1"/>
  <c r="T15" i="66"/>
  <c r="H15" i="103"/>
  <c r="T15" i="103" s="1"/>
  <c r="T13" i="66"/>
  <c r="H13" i="103"/>
  <c r="T13" i="103" s="1"/>
  <c r="T35" i="66"/>
  <c r="H35" i="103"/>
  <c r="T35" i="103" s="1"/>
  <c r="T38" i="66"/>
  <c r="H37" i="103"/>
  <c r="T37" i="103" s="1"/>
  <c r="T30" i="66"/>
  <c r="H30" i="103"/>
  <c r="T30" i="103" s="1"/>
  <c r="T17" i="66"/>
  <c r="H17" i="103"/>
  <c r="T17" i="103" s="1"/>
  <c r="T16" i="66"/>
  <c r="H16" i="103"/>
  <c r="T16" i="103" s="1"/>
  <c r="H11" i="103"/>
  <c r="T11" i="103" s="1"/>
  <c r="T11" i="66"/>
  <c r="H46" i="103"/>
  <c r="T46" i="103" s="1"/>
  <c r="T47" i="66"/>
  <c r="T31" i="66"/>
  <c r="H31" i="103"/>
  <c r="T31" i="103" s="1"/>
  <c r="C130" i="107"/>
  <c r="C126" i="107"/>
  <c r="I10" i="103"/>
  <c r="I9" i="103" s="1"/>
  <c r="I9" i="66"/>
  <c r="O6" i="115"/>
  <c r="I6" i="115"/>
  <c r="F5" i="103"/>
  <c r="L25" i="179"/>
  <c r="L26" i="179"/>
  <c r="I81" i="102"/>
  <c r="I57" i="110" s="1"/>
  <c r="M47" i="61"/>
  <c r="C22" i="133"/>
  <c r="J37" i="102"/>
  <c r="J24" i="78"/>
  <c r="J24" i="102" s="1"/>
  <c r="J25" i="102"/>
  <c r="J83" i="102" s="1"/>
  <c r="J59" i="110" s="1"/>
  <c r="K23" i="103"/>
  <c r="G24" i="57"/>
  <c r="C23" i="135"/>
  <c r="S21" i="66"/>
  <c r="C27" i="166"/>
  <c r="C26" i="132"/>
  <c r="G20" i="66"/>
  <c r="C27" i="165"/>
  <c r="G21" i="103"/>
  <c r="H34" i="55"/>
  <c r="N26" i="188" s="1"/>
  <c r="G24" i="66"/>
  <c r="S25" i="66"/>
  <c r="G25" i="103"/>
  <c r="S14" i="66"/>
  <c r="G14" i="103"/>
  <c r="S60" i="66"/>
  <c r="G58" i="103"/>
  <c r="G37" i="103"/>
  <c r="S38" i="66"/>
  <c r="S12" i="66"/>
  <c r="G12" i="103"/>
  <c r="S53" i="66"/>
  <c r="G52" i="103"/>
  <c r="S48" i="66"/>
  <c r="G47" i="103"/>
  <c r="S27" i="66"/>
  <c r="G27" i="103"/>
  <c r="S33" i="66"/>
  <c r="G33" i="103"/>
  <c r="G51" i="103"/>
  <c r="S52" i="66"/>
  <c r="G30" i="103"/>
  <c r="S30" i="66"/>
  <c r="V46" i="78"/>
  <c r="H45" i="102"/>
  <c r="V45" i="102" s="1"/>
  <c r="H28" i="102"/>
  <c r="V28" i="78"/>
  <c r="V59" i="78"/>
  <c r="H58" i="102"/>
  <c r="V58" i="102" s="1"/>
  <c r="V42" i="78"/>
  <c r="H41" i="102"/>
  <c r="V41" i="102" s="1"/>
  <c r="H63" i="102"/>
  <c r="V63" i="102" s="1"/>
  <c r="V64" i="78"/>
  <c r="V23" i="78"/>
  <c r="H23" i="102"/>
  <c r="V51" i="78"/>
  <c r="H50" i="102"/>
  <c r="V50" i="102" s="1"/>
  <c r="V11" i="78"/>
  <c r="H11" i="102"/>
  <c r="V11" i="102" s="1"/>
  <c r="H16" i="102"/>
  <c r="V16" i="102" s="1"/>
  <c r="V16" i="78"/>
  <c r="H52" i="102"/>
  <c r="V52" i="102" s="1"/>
  <c r="V53" i="78"/>
  <c r="H46" i="102"/>
  <c r="V46" i="102" s="1"/>
  <c r="V47" i="78"/>
  <c r="V58" i="78"/>
  <c r="H57" i="102"/>
  <c r="V57" i="102" s="1"/>
  <c r="H9" i="149"/>
  <c r="H24" i="149"/>
  <c r="H40" i="149"/>
  <c r="H10" i="149"/>
  <c r="H12" i="149"/>
  <c r="H11" i="149"/>
  <c r="H13" i="149"/>
  <c r="H14" i="149"/>
  <c r="C19" i="135"/>
  <c r="K37" i="102"/>
  <c r="U21" i="78"/>
  <c r="G20" i="78"/>
  <c r="C21" i="132"/>
  <c r="C22" i="165"/>
  <c r="C22" i="166"/>
  <c r="H30" i="55"/>
  <c r="N22" i="188" s="1"/>
  <c r="G21" i="102"/>
  <c r="U10" i="78"/>
  <c r="G10" i="102"/>
  <c r="G9" i="78"/>
  <c r="U41" i="78"/>
  <c r="G40" i="102"/>
  <c r="G40" i="78"/>
  <c r="U62" i="78"/>
  <c r="G61" i="102"/>
  <c r="U33" i="78"/>
  <c r="G33" i="102"/>
  <c r="U14" i="78"/>
  <c r="G14" i="102"/>
  <c r="U43" i="78"/>
  <c r="G42" i="102"/>
  <c r="U36" i="78"/>
  <c r="G36" i="102"/>
  <c r="G47" i="102"/>
  <c r="U48" i="78"/>
  <c r="G59" i="102"/>
  <c r="U60" i="78"/>
  <c r="G32" i="102"/>
  <c r="U32" i="102" s="1"/>
  <c r="U32" i="78"/>
  <c r="U29" i="78"/>
  <c r="G29" i="102"/>
  <c r="U49" i="78"/>
  <c r="G48" i="102"/>
  <c r="U48" i="102" s="1"/>
  <c r="T21" i="66"/>
  <c r="H20" i="66"/>
  <c r="H21" i="103"/>
  <c r="T28" i="66"/>
  <c r="H28" i="103"/>
  <c r="T60" i="66"/>
  <c r="H58" i="103"/>
  <c r="T58" i="103" s="1"/>
  <c r="T27" i="66"/>
  <c r="H27" i="103"/>
  <c r="T26" i="66"/>
  <c r="H26" i="103"/>
  <c r="T26" i="103" s="1"/>
  <c r="T43" i="66"/>
  <c r="H42" i="103"/>
  <c r="T42" i="103" s="1"/>
  <c r="T57" i="66"/>
  <c r="H56" i="103"/>
  <c r="T56" i="103" s="1"/>
  <c r="T33" i="66"/>
  <c r="H33" i="103"/>
  <c r="T33" i="103" s="1"/>
  <c r="T48" i="66"/>
  <c r="H47" i="103"/>
  <c r="T47" i="103" s="1"/>
  <c r="H32" i="103"/>
  <c r="T32" i="103" s="1"/>
  <c r="T32" i="66"/>
  <c r="H49" i="103"/>
  <c r="T49" i="103" s="1"/>
  <c r="T50" i="66"/>
  <c r="T18" i="66"/>
  <c r="H18" i="103"/>
  <c r="T18" i="103" s="1"/>
  <c r="L13" i="179"/>
  <c r="R14" i="179"/>
  <c r="R6" i="179"/>
  <c r="L5" i="179"/>
  <c r="M27" i="179"/>
  <c r="R27" i="179" s="1"/>
  <c r="G29" i="61"/>
  <c r="I23" i="103"/>
  <c r="I25" i="103"/>
  <c r="I103" i="103" s="1"/>
  <c r="I71" i="110" s="1"/>
  <c r="I24" i="66"/>
  <c r="I24" i="103" s="1"/>
  <c r="F13" i="160"/>
  <c r="F12" i="160" s="1"/>
  <c r="F37" i="110"/>
  <c r="F12" i="110" s="1"/>
  <c r="C27" i="133"/>
  <c r="J36" i="103"/>
  <c r="G29" i="92"/>
  <c r="J23" i="103"/>
  <c r="I23" i="102"/>
  <c r="G25" i="61"/>
  <c r="J23" i="102"/>
  <c r="G25" i="92"/>
  <c r="C24" i="135"/>
  <c r="K36" i="103"/>
  <c r="P18" i="90"/>
  <c r="H20" i="101"/>
  <c r="S36" i="66"/>
  <c r="C29" i="166"/>
  <c r="C29" i="165"/>
  <c r="G36" i="103"/>
  <c r="C28" i="132"/>
  <c r="S26" i="66"/>
  <c r="G26" i="103"/>
  <c r="S26" i="103" s="1"/>
  <c r="S40" i="66"/>
  <c r="G39" i="103"/>
  <c r="S39" i="103" s="1"/>
  <c r="S55" i="66"/>
  <c r="G54" i="103"/>
  <c r="S43" i="66"/>
  <c r="G42" i="103"/>
  <c r="G45" i="103"/>
  <c r="S46" i="66"/>
  <c r="G31" i="103"/>
  <c r="S31" i="66"/>
  <c r="S41" i="66"/>
  <c r="G40" i="103"/>
  <c r="S40" i="103" s="1"/>
  <c r="S29" i="66"/>
  <c r="G29" i="103"/>
  <c r="S39" i="66"/>
  <c r="G38" i="103"/>
  <c r="G32" i="103"/>
  <c r="S32" i="103" s="1"/>
  <c r="S32" i="66"/>
  <c r="H40" i="102"/>
  <c r="V41" i="78"/>
  <c r="H40" i="78"/>
  <c r="V25" i="78"/>
  <c r="H25" i="102"/>
  <c r="H24" i="78"/>
  <c r="V61" i="78"/>
  <c r="H60" i="102"/>
  <c r="V48" i="78"/>
  <c r="H47" i="102"/>
  <c r="V47" i="102" s="1"/>
  <c r="V22" i="78"/>
  <c r="H22" i="102"/>
  <c r="V22" i="102" s="1"/>
  <c r="V15" i="78"/>
  <c r="H15" i="102"/>
  <c r="V15" i="102" s="1"/>
  <c r="V29" i="78"/>
  <c r="H29" i="102"/>
  <c r="V29" i="102" s="1"/>
  <c r="V60" i="78"/>
  <c r="H59" i="102"/>
  <c r="V59" i="102" s="1"/>
  <c r="H33" i="102"/>
  <c r="V33" i="102" s="1"/>
  <c r="V33" i="78"/>
  <c r="H30" i="102"/>
  <c r="V30" i="102" s="1"/>
  <c r="V30" i="78"/>
  <c r="H13" i="102"/>
  <c r="V13" i="102" s="1"/>
  <c r="V13" i="78"/>
  <c r="V45" i="78"/>
  <c r="H44" i="102"/>
  <c r="V44" i="102" s="1"/>
  <c r="C184" i="107"/>
  <c r="C13" i="147" s="1"/>
  <c r="U5" i="149" s="1"/>
  <c r="T8" i="149" s="1"/>
  <c r="K23" i="102"/>
  <c r="C18" i="135"/>
  <c r="G20" i="57"/>
  <c r="G24" i="78"/>
  <c r="U25" i="78"/>
  <c r="G25" i="102"/>
  <c r="U28" i="78"/>
  <c r="G28" i="102"/>
  <c r="U44" i="78"/>
  <c r="G43" i="102"/>
  <c r="U43" i="102" s="1"/>
  <c r="U31" i="78"/>
  <c r="G31" i="102"/>
  <c r="U31" i="102" s="1"/>
  <c r="G41" i="102"/>
  <c r="U42" i="78"/>
  <c r="U63" i="78"/>
  <c r="G62" i="102"/>
  <c r="U62" i="102" s="1"/>
  <c r="U51" i="78"/>
  <c r="G50" i="102"/>
  <c r="G49" i="102"/>
  <c r="U50" i="78"/>
  <c r="U56" i="78"/>
  <c r="G55" i="102"/>
  <c r="U55" i="102" s="1"/>
  <c r="G46" i="102"/>
  <c r="U47" i="78"/>
  <c r="U12" i="78"/>
  <c r="G12" i="102"/>
  <c r="U12" i="102" s="1"/>
  <c r="U34" i="78"/>
  <c r="G34" i="102"/>
  <c r="T10" i="66"/>
  <c r="H9" i="66"/>
  <c r="H10" i="103"/>
  <c r="T25" i="66"/>
  <c r="H25" i="103"/>
  <c r="H24" i="66"/>
  <c r="T55" i="66"/>
  <c r="H54" i="103"/>
  <c r="T12" i="66"/>
  <c r="H12" i="103"/>
  <c r="T12" i="103" s="1"/>
  <c r="T53" i="66"/>
  <c r="H52" i="103"/>
  <c r="T52" i="103" s="1"/>
  <c r="T56" i="66"/>
  <c r="H55" i="103"/>
  <c r="T55" i="103" s="1"/>
  <c r="T36" i="66"/>
  <c r="H36" i="103"/>
  <c r="T51" i="66"/>
  <c r="H50" i="103"/>
  <c r="T50" i="103" s="1"/>
  <c r="T52" i="66"/>
  <c r="H51" i="103"/>
  <c r="T51" i="103" s="1"/>
  <c r="T54" i="66"/>
  <c r="H53" i="103"/>
  <c r="T53" i="103" s="1"/>
  <c r="H34" i="103"/>
  <c r="T34" i="103" s="1"/>
  <c r="T34" i="66"/>
  <c r="H57" i="103"/>
  <c r="T57" i="103" s="1"/>
  <c r="T58" i="66"/>
  <c r="L9" i="179"/>
  <c r="R10" i="179"/>
  <c r="I101" i="103"/>
  <c r="I69" i="110" s="1"/>
  <c r="M48" i="61"/>
  <c r="U50" i="102" l="1"/>
  <c r="U26" i="102"/>
  <c r="H26" i="109"/>
  <c r="H21" i="188"/>
  <c r="J22" i="109"/>
  <c r="D17" i="188"/>
  <c r="U35" i="102"/>
  <c r="H23" i="109"/>
  <c r="I23" i="109" s="1"/>
  <c r="H18" i="188"/>
  <c r="J26" i="109"/>
  <c r="D21" i="188"/>
  <c r="J27" i="109"/>
  <c r="K27" i="109" s="1"/>
  <c r="D22" i="188"/>
  <c r="H27" i="109"/>
  <c r="I27" i="109" s="1"/>
  <c r="H22" i="188"/>
  <c r="H22" i="109"/>
  <c r="I22" i="109" s="1"/>
  <c r="H17" i="188"/>
  <c r="E10" i="188"/>
  <c r="U46" i="102"/>
  <c r="U18" i="102"/>
  <c r="J23" i="109"/>
  <c r="D18" i="188"/>
  <c r="I26" i="109"/>
  <c r="E143" i="105"/>
  <c r="G143" i="105" s="1"/>
  <c r="L27" i="109"/>
  <c r="E139" i="105"/>
  <c r="Q139" i="105" s="1"/>
  <c r="S139" i="105" s="1"/>
  <c r="L23" i="109"/>
  <c r="E138" i="105"/>
  <c r="Q138" i="105" s="1"/>
  <c r="L22" i="109"/>
  <c r="E142" i="105"/>
  <c r="H142" i="105" s="1"/>
  <c r="L26" i="109"/>
  <c r="V40" i="102"/>
  <c r="U36" i="102"/>
  <c r="H139" i="105"/>
  <c r="J139" i="105" s="1"/>
  <c r="K29" i="92"/>
  <c r="Q29" i="92" s="1"/>
  <c r="H29" i="92"/>
  <c r="N29" i="92" s="1"/>
  <c r="I29" i="92"/>
  <c r="G104" i="105"/>
  <c r="J29" i="92"/>
  <c r="P29" i="92" s="1"/>
  <c r="G104" i="99"/>
  <c r="I29" i="61"/>
  <c r="J29" i="61"/>
  <c r="K29" i="61"/>
  <c r="Q29" i="61" s="1"/>
  <c r="H29" i="61"/>
  <c r="N29" i="61" s="1"/>
  <c r="I28" i="61"/>
  <c r="J28" i="61"/>
  <c r="P28" i="61" s="1"/>
  <c r="K28" i="61"/>
  <c r="Q28" i="61" s="1"/>
  <c r="G103" i="99"/>
  <c r="H28" i="61"/>
  <c r="G60" i="105"/>
  <c r="G60" i="99"/>
  <c r="G100" i="105"/>
  <c r="K25" i="92"/>
  <c r="H25" i="92"/>
  <c r="N25" i="92" s="1"/>
  <c r="I25" i="92"/>
  <c r="O25" i="92" s="1"/>
  <c r="J25" i="92"/>
  <c r="P25" i="92" s="1"/>
  <c r="K24" i="92"/>
  <c r="H24" i="92"/>
  <c r="N24" i="92" s="1"/>
  <c r="I24" i="92"/>
  <c r="O24" i="92" s="1"/>
  <c r="G99" i="105"/>
  <c r="J24" i="92"/>
  <c r="G55" i="105"/>
  <c r="G55" i="99"/>
  <c r="G56" i="105"/>
  <c r="G56" i="99"/>
  <c r="I25" i="61"/>
  <c r="G100" i="99"/>
  <c r="J25" i="61"/>
  <c r="K25" i="61"/>
  <c r="H25" i="61"/>
  <c r="N25" i="61" s="1"/>
  <c r="G59" i="105"/>
  <c r="G59" i="99"/>
  <c r="K28" i="92"/>
  <c r="Q28" i="92" s="1"/>
  <c r="H28" i="92"/>
  <c r="G103" i="105"/>
  <c r="I28" i="92"/>
  <c r="O28" i="92" s="1"/>
  <c r="J28" i="92"/>
  <c r="P28" i="92" s="1"/>
  <c r="G99" i="99"/>
  <c r="I24" i="61"/>
  <c r="J24" i="61"/>
  <c r="P24" i="61" s="1"/>
  <c r="K24" i="61"/>
  <c r="Q24" i="61" s="1"/>
  <c r="H24" i="61"/>
  <c r="N24" i="61" s="1"/>
  <c r="O5" i="115"/>
  <c r="O12" i="115" s="1"/>
  <c r="N92" i="105"/>
  <c r="F73" i="137"/>
  <c r="F71" i="168"/>
  <c r="F73" i="142"/>
  <c r="Q92" i="105"/>
  <c r="G71" i="168"/>
  <c r="G73" i="142"/>
  <c r="G73" i="137"/>
  <c r="S7" i="105"/>
  <c r="K92" i="105"/>
  <c r="E73" i="137"/>
  <c r="E73" i="142"/>
  <c r="E71" i="168"/>
  <c r="W92" i="105"/>
  <c r="S41" i="103"/>
  <c r="S30" i="103"/>
  <c r="U14" i="102"/>
  <c r="U61" i="102"/>
  <c r="U38" i="102"/>
  <c r="U49" i="102"/>
  <c r="S42" i="103"/>
  <c r="S29" i="103"/>
  <c r="K104" i="103"/>
  <c r="K72" i="110" s="1"/>
  <c r="S45" i="103"/>
  <c r="S37" i="103"/>
  <c r="U34" i="102"/>
  <c r="S14" i="103"/>
  <c r="U41" i="102"/>
  <c r="S31" i="103"/>
  <c r="U42" i="102"/>
  <c r="I8" i="78"/>
  <c r="G23" i="61" s="1"/>
  <c r="H16" i="188" s="1"/>
  <c r="T24" i="66"/>
  <c r="H24" i="103"/>
  <c r="T24" i="103" s="1"/>
  <c r="T10" i="103"/>
  <c r="H9" i="103"/>
  <c r="U28" i="102"/>
  <c r="G79" i="102"/>
  <c r="G24" i="102"/>
  <c r="U24" i="78"/>
  <c r="K77" i="102"/>
  <c r="K53" i="110" s="1"/>
  <c r="M23" i="109"/>
  <c r="V25" i="102"/>
  <c r="H83" i="102"/>
  <c r="H59" i="110" s="1"/>
  <c r="E29" i="166"/>
  <c r="G29" i="166"/>
  <c r="F29" i="166"/>
  <c r="U29" i="166"/>
  <c r="D29" i="166"/>
  <c r="K101" i="103"/>
  <c r="K69" i="110" s="1"/>
  <c r="C93" i="165"/>
  <c r="C93" i="166"/>
  <c r="T100" i="99"/>
  <c r="C22" i="134"/>
  <c r="C96" i="150" s="1"/>
  <c r="C57" i="165"/>
  <c r="U57" i="165" s="1"/>
  <c r="H24" i="171"/>
  <c r="I24" i="171" s="1"/>
  <c r="Q25" i="61"/>
  <c r="P25" i="61"/>
  <c r="J101" i="103"/>
  <c r="J69" i="110" s="1"/>
  <c r="M48" i="92"/>
  <c r="I97" i="103"/>
  <c r="I65" i="110" s="1"/>
  <c r="U40" i="78"/>
  <c r="G39" i="102"/>
  <c r="U10" i="102"/>
  <c r="G9" i="102"/>
  <c r="U22" i="166"/>
  <c r="H42" i="149"/>
  <c r="H43" i="149"/>
  <c r="H46" i="149"/>
  <c r="H44" i="149"/>
  <c r="H45" i="149"/>
  <c r="H41" i="149"/>
  <c r="H79" i="102"/>
  <c r="H55" i="110" s="1"/>
  <c r="V28" i="102"/>
  <c r="U27" i="165"/>
  <c r="O49" i="61"/>
  <c r="C23" i="134"/>
  <c r="C58" i="165"/>
  <c r="U58" i="165" s="1"/>
  <c r="P49" i="61"/>
  <c r="P47" i="61" s="1"/>
  <c r="N49" i="61"/>
  <c r="Q49" i="61"/>
  <c r="Q47" i="61" s="1"/>
  <c r="U23" i="102"/>
  <c r="G77" i="102"/>
  <c r="F23" i="109"/>
  <c r="K76" i="102"/>
  <c r="S28" i="103"/>
  <c r="G99" i="103"/>
  <c r="G67" i="110" s="1"/>
  <c r="H23" i="57"/>
  <c r="I23" i="57"/>
  <c r="K23" i="57"/>
  <c r="J23" i="57"/>
  <c r="J27" i="171"/>
  <c r="K27" i="171" s="1"/>
  <c r="C91" i="165"/>
  <c r="C91" i="166"/>
  <c r="E142" i="99"/>
  <c r="T103" i="105"/>
  <c r="N28" i="92"/>
  <c r="C61" i="166"/>
  <c r="C25" i="133"/>
  <c r="T23" i="103"/>
  <c r="H97" i="103"/>
  <c r="H65" i="110" s="1"/>
  <c r="Q6" i="102"/>
  <c r="U37" i="102"/>
  <c r="G81" i="102"/>
  <c r="U24" i="165"/>
  <c r="G24" i="165"/>
  <c r="D24" i="165"/>
  <c r="E24" i="165"/>
  <c r="F24" i="165"/>
  <c r="V27" i="102"/>
  <c r="H80" i="102"/>
  <c r="H56" i="110" s="1"/>
  <c r="T60" i="99"/>
  <c r="T60" i="105"/>
  <c r="AB35" i="55"/>
  <c r="D34" i="112"/>
  <c r="F28" i="171"/>
  <c r="L35" i="55"/>
  <c r="Q27" i="188" s="1"/>
  <c r="X35" i="55"/>
  <c r="P35" i="55"/>
  <c r="T35" i="55"/>
  <c r="S17" i="92"/>
  <c r="AA92" i="105"/>
  <c r="D31" i="133"/>
  <c r="C25" i="135"/>
  <c r="C21" i="135" s="1"/>
  <c r="K8" i="66"/>
  <c r="G22" i="57" s="1"/>
  <c r="T99" i="105"/>
  <c r="C56" i="166"/>
  <c r="P24" i="92"/>
  <c r="Q24" i="92"/>
  <c r="C20" i="133"/>
  <c r="U33" i="102"/>
  <c r="I8" i="103"/>
  <c r="G102" i="99" s="1"/>
  <c r="M102" i="99" s="1"/>
  <c r="S57" i="103"/>
  <c r="S11" i="103"/>
  <c r="S49" i="103"/>
  <c r="J8" i="78"/>
  <c r="I8" i="102"/>
  <c r="U52" i="102"/>
  <c r="U13" i="102"/>
  <c r="U63" i="102"/>
  <c r="U16" i="102"/>
  <c r="U15" i="102"/>
  <c r="K8" i="78"/>
  <c r="S56" i="103"/>
  <c r="G18" i="135"/>
  <c r="C126" i="150"/>
  <c r="F18" i="135"/>
  <c r="E18" i="135"/>
  <c r="D18" i="135"/>
  <c r="H24" i="102"/>
  <c r="V24" i="102" s="1"/>
  <c r="V24" i="78"/>
  <c r="S38" i="103"/>
  <c r="S54" i="103"/>
  <c r="G102" i="103"/>
  <c r="G70" i="110" s="1"/>
  <c r="U29" i="165"/>
  <c r="F29" i="165"/>
  <c r="G29" i="165"/>
  <c r="E29" i="165"/>
  <c r="D29" i="165"/>
  <c r="J77" i="102"/>
  <c r="J53" i="110" s="1"/>
  <c r="C62" i="166"/>
  <c r="U62" i="166" s="1"/>
  <c r="T104" i="105"/>
  <c r="C26" i="133"/>
  <c r="O29" i="92"/>
  <c r="H100" i="103"/>
  <c r="H68" i="110" s="1"/>
  <c r="T27" i="103"/>
  <c r="T28" i="103"/>
  <c r="H99" i="103"/>
  <c r="H67" i="110" s="1"/>
  <c r="U9" i="78"/>
  <c r="C25" i="166"/>
  <c r="C25" i="165"/>
  <c r="S21" i="165" s="1"/>
  <c r="C24" i="132"/>
  <c r="C20" i="132" s="1"/>
  <c r="C9" i="132" s="1"/>
  <c r="G8" i="78"/>
  <c r="T55" i="105"/>
  <c r="T55" i="99"/>
  <c r="AB30" i="55"/>
  <c r="F23" i="171"/>
  <c r="D29" i="112"/>
  <c r="L30" i="55"/>
  <c r="Q22" i="188" s="1"/>
  <c r="P30" i="55"/>
  <c r="T30" i="55"/>
  <c r="X30" i="55"/>
  <c r="U20" i="78"/>
  <c r="G20" i="102"/>
  <c r="K23" i="109"/>
  <c r="V23" i="102"/>
  <c r="H77" i="102"/>
  <c r="H53" i="110" s="1"/>
  <c r="S25" i="103"/>
  <c r="G103" i="103"/>
  <c r="G71" i="110" s="1"/>
  <c r="S21" i="103"/>
  <c r="G96" i="103"/>
  <c r="F26" i="109"/>
  <c r="D26" i="109" s="1"/>
  <c r="U27" i="166"/>
  <c r="M27" i="109"/>
  <c r="K97" i="103"/>
  <c r="K65" i="110" s="1"/>
  <c r="F22" i="133"/>
  <c r="D22" i="133"/>
  <c r="E22" i="133"/>
  <c r="G22" i="133"/>
  <c r="T56" i="99"/>
  <c r="T56" i="105"/>
  <c r="AB31" i="55"/>
  <c r="D30" i="112"/>
  <c r="F24" i="171"/>
  <c r="T31" i="55"/>
  <c r="P31" i="55"/>
  <c r="X31" i="55"/>
  <c r="L31" i="55"/>
  <c r="Q23" i="188" s="1"/>
  <c r="C125" i="150"/>
  <c r="F17" i="135"/>
  <c r="E17" i="135"/>
  <c r="D17" i="135"/>
  <c r="G17" i="135"/>
  <c r="S10" i="103"/>
  <c r="G9" i="103"/>
  <c r="J96" i="103"/>
  <c r="C65" i="150"/>
  <c r="G23" i="132"/>
  <c r="E23" i="132"/>
  <c r="F23" i="132"/>
  <c r="D23" i="132"/>
  <c r="V9" i="78"/>
  <c r="H8" i="78"/>
  <c r="S23" i="103"/>
  <c r="F27" i="109"/>
  <c r="G97" i="103"/>
  <c r="G65" i="110" s="1"/>
  <c r="L27" i="179"/>
  <c r="U59" i="102"/>
  <c r="S33" i="103"/>
  <c r="S47" i="103"/>
  <c r="S12" i="103"/>
  <c r="S58" i="103"/>
  <c r="I8" i="66"/>
  <c r="G27" i="61" s="1"/>
  <c r="H20" i="188" s="1"/>
  <c r="U58" i="102"/>
  <c r="U44" i="102"/>
  <c r="U45" i="102"/>
  <c r="U22" i="102"/>
  <c r="S34" i="103"/>
  <c r="J8" i="103"/>
  <c r="S15" i="103"/>
  <c r="S35" i="103"/>
  <c r="S48" i="103"/>
  <c r="S19" i="103"/>
  <c r="J84" i="102"/>
  <c r="J60" i="110" s="1"/>
  <c r="I84" i="102"/>
  <c r="I60" i="110" s="1"/>
  <c r="T36" i="103"/>
  <c r="H101" i="103"/>
  <c r="H69" i="110" s="1"/>
  <c r="T54" i="103"/>
  <c r="H102" i="103"/>
  <c r="H70" i="110" s="1"/>
  <c r="O50" i="61"/>
  <c r="C28" i="134"/>
  <c r="C63" i="165"/>
  <c r="U63" i="165" s="1"/>
  <c r="P50" i="61"/>
  <c r="P48" i="61" s="1"/>
  <c r="F63" i="165" s="1"/>
  <c r="Q50" i="61"/>
  <c r="Q48" i="61" s="1"/>
  <c r="G63" i="165" s="1"/>
  <c r="N50" i="61"/>
  <c r="H103" i="103"/>
  <c r="H71" i="110" s="1"/>
  <c r="T25" i="103"/>
  <c r="U25" i="102"/>
  <c r="G83" i="102"/>
  <c r="I20" i="57"/>
  <c r="K20" i="57"/>
  <c r="J20" i="57"/>
  <c r="H20" i="57"/>
  <c r="J24" i="171"/>
  <c r="K24" i="171" s="1"/>
  <c r="C87" i="166"/>
  <c r="E139" i="99"/>
  <c r="C87" i="165"/>
  <c r="V40" i="78"/>
  <c r="H39" i="102"/>
  <c r="P6" i="103"/>
  <c r="S36" i="103"/>
  <c r="G101" i="103"/>
  <c r="G69" i="110" s="1"/>
  <c r="D9" i="107"/>
  <c r="P20" i="90"/>
  <c r="H21" i="101"/>
  <c r="T100" i="105"/>
  <c r="C57" i="166"/>
  <c r="U57" i="166" s="1"/>
  <c r="C21" i="133"/>
  <c r="Q25" i="92"/>
  <c r="J97" i="103"/>
  <c r="J65" i="110" s="1"/>
  <c r="T20" i="66"/>
  <c r="H20" i="103"/>
  <c r="T20" i="103" s="1"/>
  <c r="U21" i="102"/>
  <c r="P21" i="102"/>
  <c r="G76" i="102"/>
  <c r="F22" i="109"/>
  <c r="C63" i="150"/>
  <c r="G19" i="135"/>
  <c r="F19" i="135"/>
  <c r="E19" i="135"/>
  <c r="C127" i="150"/>
  <c r="D19" i="135"/>
  <c r="H21" i="149"/>
  <c r="T59" i="105"/>
  <c r="T59" i="99"/>
  <c r="F27" i="171"/>
  <c r="AB34" i="55"/>
  <c r="D33" i="112"/>
  <c r="T34" i="55"/>
  <c r="X34" i="55"/>
  <c r="L34" i="55"/>
  <c r="Q26" i="188" s="1"/>
  <c r="P34" i="55"/>
  <c r="C68" i="150"/>
  <c r="J24" i="57"/>
  <c r="K24" i="57"/>
  <c r="H24" i="57"/>
  <c r="I24" i="57"/>
  <c r="J28" i="171"/>
  <c r="K28" i="171" s="1"/>
  <c r="C92" i="165"/>
  <c r="E143" i="99"/>
  <c r="C92" i="166"/>
  <c r="J81" i="102"/>
  <c r="J57" i="110" s="1"/>
  <c r="M47" i="92"/>
  <c r="V20" i="78"/>
  <c r="H20" i="102"/>
  <c r="V20" i="102" s="1"/>
  <c r="S9" i="66"/>
  <c r="C29" i="132"/>
  <c r="C30" i="165"/>
  <c r="S26" i="165" s="1"/>
  <c r="C30" i="166"/>
  <c r="S26" i="166" s="1"/>
  <c r="G8" i="66"/>
  <c r="E9" i="107"/>
  <c r="Q20" i="90"/>
  <c r="I21" i="101"/>
  <c r="K96" i="103"/>
  <c r="H27" i="171"/>
  <c r="I27" i="171" s="1"/>
  <c r="T103" i="99"/>
  <c r="C61" i="165"/>
  <c r="C26" i="134"/>
  <c r="N28" i="61"/>
  <c r="U27" i="102"/>
  <c r="G80" i="102"/>
  <c r="V37" i="102"/>
  <c r="H81" i="102"/>
  <c r="H57" i="110" s="1"/>
  <c r="V10" i="102"/>
  <c r="H9" i="102"/>
  <c r="H23" i="171"/>
  <c r="I23" i="171" s="1"/>
  <c r="T99" i="99"/>
  <c r="C21" i="134"/>
  <c r="C56" i="165"/>
  <c r="I104" i="103"/>
  <c r="I72" i="110" s="1"/>
  <c r="U29" i="102"/>
  <c r="S51" i="103"/>
  <c r="S13" i="103"/>
  <c r="S17" i="103"/>
  <c r="S50" i="103"/>
  <c r="J8" i="66"/>
  <c r="U53" i="102"/>
  <c r="U51" i="102"/>
  <c r="U30" i="102"/>
  <c r="S43" i="103"/>
  <c r="T9" i="66"/>
  <c r="H8" i="66"/>
  <c r="J74" i="109"/>
  <c r="T9" i="149"/>
  <c r="T40" i="149"/>
  <c r="T24" i="149"/>
  <c r="T10" i="149"/>
  <c r="T13" i="149"/>
  <c r="T12" i="149"/>
  <c r="T11" i="149"/>
  <c r="T14" i="149"/>
  <c r="V60" i="102"/>
  <c r="H82" i="102"/>
  <c r="H58" i="110" s="1"/>
  <c r="E28" i="132"/>
  <c r="C70" i="150"/>
  <c r="F28" i="132"/>
  <c r="G28" i="132"/>
  <c r="D28" i="132"/>
  <c r="C132" i="150"/>
  <c r="F24" i="135"/>
  <c r="G24" i="135"/>
  <c r="E24" i="135"/>
  <c r="D24" i="135"/>
  <c r="I77" i="102"/>
  <c r="I53" i="110" s="1"/>
  <c r="F27" i="133"/>
  <c r="D27" i="133"/>
  <c r="E27" i="133"/>
  <c r="G27" i="133"/>
  <c r="I5" i="115"/>
  <c r="I12" i="115" s="1"/>
  <c r="F36" i="110"/>
  <c r="C62" i="165"/>
  <c r="U62" i="165" s="1"/>
  <c r="T104" i="99"/>
  <c r="C27" i="134"/>
  <c r="C101" i="150" s="1"/>
  <c r="H28" i="171"/>
  <c r="I28" i="171" s="1"/>
  <c r="P29" i="61"/>
  <c r="T21" i="103"/>
  <c r="H96" i="103"/>
  <c r="U22" i="165"/>
  <c r="K81" i="102"/>
  <c r="K57" i="110" s="1"/>
  <c r="C88" i="166"/>
  <c r="C88" i="165"/>
  <c r="H28" i="149"/>
  <c r="H30" i="149"/>
  <c r="H27" i="149"/>
  <c r="H26" i="149"/>
  <c r="H29" i="149"/>
  <c r="H25" i="149"/>
  <c r="S27" i="103"/>
  <c r="G100" i="103"/>
  <c r="G68" i="110" s="1"/>
  <c r="G24" i="103"/>
  <c r="S24" i="66"/>
  <c r="S20" i="66"/>
  <c r="G20" i="103"/>
  <c r="C131" i="150"/>
  <c r="F23" i="135"/>
  <c r="G23" i="135"/>
  <c r="E23" i="135"/>
  <c r="D23" i="135"/>
  <c r="T38" i="103"/>
  <c r="U60" i="102"/>
  <c r="G82" i="102"/>
  <c r="K24" i="102"/>
  <c r="K84" i="102" s="1"/>
  <c r="K60" i="110" s="1"/>
  <c r="C20" i="135"/>
  <c r="C16" i="135" s="1"/>
  <c r="C9" i="135" s="1"/>
  <c r="K19" i="57"/>
  <c r="J19" i="57"/>
  <c r="I19" i="57"/>
  <c r="J23" i="171"/>
  <c r="K23" i="171" s="1"/>
  <c r="H19" i="57"/>
  <c r="C86" i="166"/>
  <c r="E138" i="99"/>
  <c r="C86" i="165"/>
  <c r="V21" i="102"/>
  <c r="H76" i="102"/>
  <c r="C130" i="150"/>
  <c r="E22" i="135"/>
  <c r="G22" i="135"/>
  <c r="D22" i="135"/>
  <c r="F22" i="135"/>
  <c r="I96" i="103"/>
  <c r="U24" i="166"/>
  <c r="G24" i="166"/>
  <c r="D24" i="166"/>
  <c r="E24" i="166"/>
  <c r="F24" i="166"/>
  <c r="J76" i="102"/>
  <c r="I76" i="102"/>
  <c r="U47" i="102"/>
  <c r="U40" i="102"/>
  <c r="S52" i="103"/>
  <c r="U57" i="102"/>
  <c r="U11" i="102"/>
  <c r="S44" i="103"/>
  <c r="J8" i="102"/>
  <c r="J104" i="103"/>
  <c r="J72" i="110" s="1"/>
  <c r="S18" i="103"/>
  <c r="S53" i="103"/>
  <c r="S46" i="103"/>
  <c r="S55" i="103"/>
  <c r="S16" i="103"/>
  <c r="K8" i="103"/>
  <c r="D23" i="109" l="1"/>
  <c r="E26" i="109"/>
  <c r="Q142" i="105"/>
  <c r="S20" i="103"/>
  <c r="K142" i="105"/>
  <c r="N143" i="105"/>
  <c r="P143" i="105" s="1"/>
  <c r="K138" i="105"/>
  <c r="C21" i="165"/>
  <c r="S10" i="165" s="1"/>
  <c r="S33" i="165" s="1"/>
  <c r="N139" i="105"/>
  <c r="P139" i="105" s="1"/>
  <c r="D22" i="109"/>
  <c r="H143" i="105"/>
  <c r="J143" i="105" s="1"/>
  <c r="K143" i="105"/>
  <c r="M143" i="105" s="1"/>
  <c r="G138" i="105"/>
  <c r="Q143" i="105"/>
  <c r="S143" i="105" s="1"/>
  <c r="H138" i="105"/>
  <c r="J138" i="105" s="1"/>
  <c r="N142" i="105"/>
  <c r="G142" i="105"/>
  <c r="N138" i="105"/>
  <c r="K139" i="105"/>
  <c r="M139" i="105" s="1"/>
  <c r="G139" i="105"/>
  <c r="G27" i="109"/>
  <c r="D27" i="109"/>
  <c r="F68" i="110"/>
  <c r="J55" i="105"/>
  <c r="E55" i="105"/>
  <c r="P22" i="188" s="1"/>
  <c r="S55" i="105"/>
  <c r="M55" i="105"/>
  <c r="P55" i="105"/>
  <c r="J60" i="105"/>
  <c r="M60" i="105"/>
  <c r="E60" i="105"/>
  <c r="P27" i="188" s="1"/>
  <c r="S60" i="105"/>
  <c r="P60" i="105"/>
  <c r="J142" i="105"/>
  <c r="M138" i="105"/>
  <c r="P138" i="105"/>
  <c r="J104" i="105"/>
  <c r="H104" i="105" s="1"/>
  <c r="E104" i="105"/>
  <c r="E22" i="188" s="1"/>
  <c r="F22" i="188" s="1"/>
  <c r="P104" i="105"/>
  <c r="N104" i="105" s="1"/>
  <c r="S104" i="105"/>
  <c r="Q104" i="105" s="1"/>
  <c r="M104" i="105"/>
  <c r="K104" i="105" s="1"/>
  <c r="J99" i="99"/>
  <c r="P99" i="99"/>
  <c r="S99" i="99"/>
  <c r="M99" i="99"/>
  <c r="E59" i="105"/>
  <c r="P26" i="188" s="1"/>
  <c r="J59" i="105"/>
  <c r="P59" i="105"/>
  <c r="S59" i="105"/>
  <c r="M59" i="105"/>
  <c r="S100" i="99"/>
  <c r="M100" i="99"/>
  <c r="J100" i="99"/>
  <c r="P100" i="99"/>
  <c r="P55" i="99"/>
  <c r="J55" i="99"/>
  <c r="S55" i="99"/>
  <c r="M55" i="99"/>
  <c r="P60" i="99"/>
  <c r="P194" i="99" s="1"/>
  <c r="N194" i="99" s="1"/>
  <c r="J60" i="99"/>
  <c r="S60" i="99"/>
  <c r="M60" i="99"/>
  <c r="S142" i="105"/>
  <c r="E103" i="105"/>
  <c r="E21" i="188" s="1"/>
  <c r="F21" i="188" s="1"/>
  <c r="P103" i="105"/>
  <c r="S103" i="105"/>
  <c r="J103" i="105"/>
  <c r="M103" i="105"/>
  <c r="K103" i="105" s="1"/>
  <c r="P59" i="99"/>
  <c r="J59" i="99"/>
  <c r="S59" i="99"/>
  <c r="M59" i="99"/>
  <c r="J56" i="105"/>
  <c r="S56" i="105"/>
  <c r="E56" i="105"/>
  <c r="M56" i="105"/>
  <c r="P56" i="105"/>
  <c r="E99" i="105"/>
  <c r="E17" i="188" s="1"/>
  <c r="F17" i="188" s="1"/>
  <c r="S99" i="105"/>
  <c r="P99" i="105"/>
  <c r="J99" i="105"/>
  <c r="M99" i="105"/>
  <c r="K99" i="105" s="1"/>
  <c r="M100" i="105"/>
  <c r="K100" i="105" s="1"/>
  <c r="J100" i="105"/>
  <c r="H100" i="105" s="1"/>
  <c r="S100" i="105"/>
  <c r="Q100" i="105" s="1"/>
  <c r="E100" i="105"/>
  <c r="E18" i="188" s="1"/>
  <c r="F18" i="188" s="1"/>
  <c r="P100" i="105"/>
  <c r="N100" i="105" s="1"/>
  <c r="J103" i="99"/>
  <c r="P103" i="99"/>
  <c r="S103" i="99"/>
  <c r="M103" i="99"/>
  <c r="P142" i="105"/>
  <c r="M104" i="99"/>
  <c r="J104" i="99"/>
  <c r="P104" i="99"/>
  <c r="S104" i="99"/>
  <c r="P56" i="99"/>
  <c r="J56" i="99"/>
  <c r="J190" i="99" s="1"/>
  <c r="S56" i="99"/>
  <c r="M56" i="99"/>
  <c r="M142" i="105"/>
  <c r="S138" i="105"/>
  <c r="V92" i="105"/>
  <c r="U17" i="92"/>
  <c r="F31" i="133"/>
  <c r="V17" i="92"/>
  <c r="G31" i="133"/>
  <c r="E31" i="133"/>
  <c r="T17" i="92"/>
  <c r="V8" i="78"/>
  <c r="T98" i="99"/>
  <c r="G26" i="61"/>
  <c r="H19" i="188" s="1"/>
  <c r="F69" i="110"/>
  <c r="S24" i="103"/>
  <c r="H104" i="103"/>
  <c r="H72" i="110" s="1"/>
  <c r="T8" i="66"/>
  <c r="K8" i="102"/>
  <c r="F65" i="110"/>
  <c r="U86" i="166"/>
  <c r="E86" i="166"/>
  <c r="F86" i="166"/>
  <c r="D86" i="166"/>
  <c r="G86" i="166"/>
  <c r="Q23" i="135"/>
  <c r="F131" i="150"/>
  <c r="L23" i="135"/>
  <c r="H37" i="149"/>
  <c r="H64" i="110"/>
  <c r="F27" i="134"/>
  <c r="F101" i="150" s="1"/>
  <c r="F62" i="165"/>
  <c r="E132" i="150"/>
  <c r="P24" i="135"/>
  <c r="K24" i="135"/>
  <c r="D32" i="131"/>
  <c r="D70" i="150"/>
  <c r="D32" i="151"/>
  <c r="O28" i="132"/>
  <c r="J28" i="132"/>
  <c r="E32" i="151"/>
  <c r="K28" i="132"/>
  <c r="E70" i="150"/>
  <c r="E32" i="131"/>
  <c r="P28" i="132"/>
  <c r="T30" i="149"/>
  <c r="T26" i="149"/>
  <c r="T27" i="149"/>
  <c r="T25" i="149"/>
  <c r="T28" i="149"/>
  <c r="T29" i="149"/>
  <c r="F56" i="165"/>
  <c r="F21" i="134"/>
  <c r="F95" i="150" s="1"/>
  <c r="D61" i="165"/>
  <c r="D26" i="134"/>
  <c r="D100" i="150" s="1"/>
  <c r="S8" i="66"/>
  <c r="H33" i="55"/>
  <c r="N25" i="188" s="1"/>
  <c r="U92" i="165"/>
  <c r="F92" i="165"/>
  <c r="E92" i="165"/>
  <c r="G92" i="165"/>
  <c r="D92" i="165"/>
  <c r="E27" i="165"/>
  <c r="AD34" i="55"/>
  <c r="E27" i="166"/>
  <c r="F33" i="112"/>
  <c r="E26" i="132"/>
  <c r="D57" i="166"/>
  <c r="E21" i="133"/>
  <c r="G21" i="133"/>
  <c r="D21" i="133"/>
  <c r="F21" i="133"/>
  <c r="C127" i="145"/>
  <c r="H139" i="99"/>
  <c r="J139" i="99" s="1"/>
  <c r="N139" i="99"/>
  <c r="P139" i="99" s="1"/>
  <c r="G139" i="99"/>
  <c r="D39" i="146" s="1"/>
  <c r="Q139" i="99"/>
  <c r="S139" i="99" s="1"/>
  <c r="K139" i="99"/>
  <c r="M139" i="99" s="1"/>
  <c r="F83" i="102"/>
  <c r="G59" i="110"/>
  <c r="F59" i="110" s="1"/>
  <c r="F28" i="134"/>
  <c r="M23" i="132"/>
  <c r="G27" i="151"/>
  <c r="G27" i="131"/>
  <c r="R23" i="132"/>
  <c r="G65" i="150"/>
  <c r="S9" i="103"/>
  <c r="G8" i="103"/>
  <c r="G58" i="105" s="1"/>
  <c r="D22" i="132"/>
  <c r="D23" i="166"/>
  <c r="D23" i="165"/>
  <c r="AC31" i="55"/>
  <c r="E30" i="112"/>
  <c r="D24" i="171"/>
  <c r="G24" i="171"/>
  <c r="E24" i="171" s="1"/>
  <c r="H29" i="112"/>
  <c r="AF30" i="55"/>
  <c r="G21" i="132"/>
  <c r="G22" i="166"/>
  <c r="G22" i="165"/>
  <c r="G25" i="166"/>
  <c r="U25" i="166"/>
  <c r="F25" i="166"/>
  <c r="E25" i="166"/>
  <c r="D25" i="166"/>
  <c r="E62" i="166"/>
  <c r="K29" i="165"/>
  <c r="P29" i="165"/>
  <c r="L18" i="135"/>
  <c r="Q18" i="135"/>
  <c r="F126" i="150"/>
  <c r="G98" i="99"/>
  <c r="M98" i="99" s="1"/>
  <c r="D56" i="166"/>
  <c r="F56" i="166"/>
  <c r="F25" i="135"/>
  <c r="F21" i="135" s="1"/>
  <c r="C133" i="150"/>
  <c r="C129" i="150" s="1"/>
  <c r="G25" i="135"/>
  <c r="E25" i="135"/>
  <c r="E21" i="135" s="1"/>
  <c r="D25" i="135"/>
  <c r="D21" i="135" s="1"/>
  <c r="D28" i="165"/>
  <c r="D28" i="166"/>
  <c r="AC35" i="55"/>
  <c r="D27" i="132"/>
  <c r="E34" i="112"/>
  <c r="L24" i="165"/>
  <c r="Q24" i="165"/>
  <c r="F25" i="133"/>
  <c r="G25" i="133"/>
  <c r="E25" i="133"/>
  <c r="D25" i="133"/>
  <c r="F61" i="166"/>
  <c r="U91" i="166"/>
  <c r="G91" i="166"/>
  <c r="F91" i="166"/>
  <c r="D91" i="166"/>
  <c r="E91" i="166"/>
  <c r="B39" i="146"/>
  <c r="E44" i="145"/>
  <c r="E56" i="99"/>
  <c r="O23" i="188" s="1"/>
  <c r="G23" i="134"/>
  <c r="G58" i="165"/>
  <c r="U9" i="102"/>
  <c r="G8" i="102"/>
  <c r="G54" i="105" s="1"/>
  <c r="G37" i="105" s="1"/>
  <c r="E37" i="105" s="1"/>
  <c r="P4" i="188" s="1"/>
  <c r="C43" i="146"/>
  <c r="E104" i="99"/>
  <c r="I22" i="188" s="1"/>
  <c r="J22" i="188" s="1"/>
  <c r="D22" i="134"/>
  <c r="D96" i="150" s="1"/>
  <c r="D57" i="165"/>
  <c r="F93" i="165"/>
  <c r="G93" i="165"/>
  <c r="U93" i="165"/>
  <c r="D93" i="165"/>
  <c r="E93" i="165"/>
  <c r="L29" i="166"/>
  <c r="Q29" i="166"/>
  <c r="C26" i="166"/>
  <c r="U26" i="166" s="1"/>
  <c r="F71" i="110"/>
  <c r="F70" i="110"/>
  <c r="U24" i="102"/>
  <c r="I75" i="102"/>
  <c r="I85" i="102" s="1"/>
  <c r="I52" i="110"/>
  <c r="I51" i="110" s="1"/>
  <c r="H52" i="110"/>
  <c r="C38" i="146"/>
  <c r="E99" i="99"/>
  <c r="I17" i="188" s="1"/>
  <c r="J17" i="188" s="1"/>
  <c r="Q24" i="166"/>
  <c r="L24" i="166"/>
  <c r="M22" i="135"/>
  <c r="R22" i="135"/>
  <c r="G130" i="150"/>
  <c r="G21" i="135"/>
  <c r="K22" i="109"/>
  <c r="C126" i="145"/>
  <c r="G138" i="99"/>
  <c r="Q138" i="99"/>
  <c r="N138" i="99"/>
  <c r="H138" i="99"/>
  <c r="K138" i="99"/>
  <c r="C128" i="150"/>
  <c r="C124" i="150" s="1"/>
  <c r="C117" i="150" s="1"/>
  <c r="G20" i="135"/>
  <c r="G16" i="135" s="1"/>
  <c r="F20" i="135"/>
  <c r="F16" i="135" s="1"/>
  <c r="E20" i="135"/>
  <c r="E16" i="135" s="1"/>
  <c r="D20" i="135"/>
  <c r="D16" i="135" s="1"/>
  <c r="R23" i="135"/>
  <c r="M23" i="135"/>
  <c r="G131" i="150"/>
  <c r="F88" i="166"/>
  <c r="U88" i="166"/>
  <c r="G88" i="166"/>
  <c r="D88" i="166"/>
  <c r="E88" i="166"/>
  <c r="D27" i="134"/>
  <c r="D101" i="150" s="1"/>
  <c r="D62" i="165"/>
  <c r="F27" i="110"/>
  <c r="D132" i="150"/>
  <c r="J24" i="135"/>
  <c r="O24" i="135"/>
  <c r="L27" i="92"/>
  <c r="G27" i="92"/>
  <c r="D56" i="165"/>
  <c r="D21" i="134"/>
  <c r="D95" i="150" s="1"/>
  <c r="C95" i="150"/>
  <c r="H8" i="102"/>
  <c r="V9" i="102"/>
  <c r="G61" i="165"/>
  <c r="G26" i="134"/>
  <c r="G100" i="150" s="1"/>
  <c r="U61" i="165"/>
  <c r="Q21" i="90"/>
  <c r="I22" i="101"/>
  <c r="C71" i="150"/>
  <c r="C67" i="150" s="1"/>
  <c r="F29" i="132"/>
  <c r="G29" i="132"/>
  <c r="E29" i="132"/>
  <c r="D29" i="132"/>
  <c r="Q49" i="92"/>
  <c r="Q47" i="92" s="1"/>
  <c r="G58" i="166" s="1"/>
  <c r="O49" i="92"/>
  <c r="O47" i="92" s="1"/>
  <c r="E58" i="166" s="1"/>
  <c r="C58" i="166"/>
  <c r="P49" i="92"/>
  <c r="P47" i="92" s="1"/>
  <c r="F58" i="166" s="1"/>
  <c r="N49" i="92"/>
  <c r="K143" i="99"/>
  <c r="M143" i="99" s="1"/>
  <c r="N143" i="99"/>
  <c r="P143" i="99" s="1"/>
  <c r="G143" i="99"/>
  <c r="D43" i="146" s="1"/>
  <c r="H143" i="99"/>
  <c r="J143" i="99" s="1"/>
  <c r="Q143" i="99"/>
  <c r="S143" i="99" s="1"/>
  <c r="AE34" i="55"/>
  <c r="F27" i="166"/>
  <c r="F27" i="165"/>
  <c r="F26" i="132"/>
  <c r="G33" i="112"/>
  <c r="D127" i="150"/>
  <c r="O19" i="135"/>
  <c r="J19" i="135"/>
  <c r="M19" i="135"/>
  <c r="R19" i="135"/>
  <c r="G127" i="150"/>
  <c r="E43" i="145"/>
  <c r="B38" i="146"/>
  <c r="E55" i="99"/>
  <c r="O22" i="188" s="1"/>
  <c r="F57" i="166"/>
  <c r="P21" i="90"/>
  <c r="H22" i="101"/>
  <c r="R10" i="115" s="1"/>
  <c r="S10" i="115" s="1"/>
  <c r="F87" i="165"/>
  <c r="U87" i="165"/>
  <c r="E87" i="165"/>
  <c r="G87" i="165"/>
  <c r="D87" i="165"/>
  <c r="G28" i="134"/>
  <c r="E65" i="150"/>
  <c r="E27" i="131"/>
  <c r="P23" i="132"/>
  <c r="E27" i="151"/>
  <c r="K23" i="132"/>
  <c r="J64" i="110"/>
  <c r="J63" i="110" s="1"/>
  <c r="J95" i="103"/>
  <c r="J17" i="135"/>
  <c r="D125" i="150"/>
  <c r="O17" i="135"/>
  <c r="F23" i="165"/>
  <c r="F23" i="166"/>
  <c r="F22" i="132"/>
  <c r="AE31" i="55"/>
  <c r="G30" i="112"/>
  <c r="B42" i="146"/>
  <c r="E47" i="145"/>
  <c r="E59" i="99"/>
  <c r="O26" i="188" s="1"/>
  <c r="E29" i="112"/>
  <c r="D21" i="132"/>
  <c r="D22" i="165"/>
  <c r="AC30" i="55"/>
  <c r="D22" i="166"/>
  <c r="G25" i="165"/>
  <c r="F25" i="165"/>
  <c r="U25" i="165"/>
  <c r="E25" i="165"/>
  <c r="D25" i="165"/>
  <c r="G62" i="166"/>
  <c r="W29" i="165"/>
  <c r="J29" i="165"/>
  <c r="V29" i="165"/>
  <c r="O29" i="165"/>
  <c r="E126" i="150"/>
  <c r="P18" i="135"/>
  <c r="K18" i="135"/>
  <c r="G56" i="166"/>
  <c r="K22" i="57"/>
  <c r="J26" i="171"/>
  <c r="K26" i="171" s="1"/>
  <c r="J22" i="57"/>
  <c r="H22" i="57"/>
  <c r="I22" i="57"/>
  <c r="G25" i="57"/>
  <c r="G28" i="165"/>
  <c r="G27" i="132"/>
  <c r="G28" i="166"/>
  <c r="H34" i="112"/>
  <c r="AF35" i="55"/>
  <c r="M24" i="165"/>
  <c r="R24" i="165"/>
  <c r="G61" i="166"/>
  <c r="D61" i="166"/>
  <c r="H53" i="149"/>
  <c r="F57" i="165"/>
  <c r="F22" i="134"/>
  <c r="F96" i="150" s="1"/>
  <c r="U93" i="166"/>
  <c r="F93" i="166"/>
  <c r="G93" i="166"/>
  <c r="E93" i="166"/>
  <c r="D93" i="166"/>
  <c r="T9" i="103"/>
  <c r="H8" i="103"/>
  <c r="C25" i="132"/>
  <c r="F67" i="110"/>
  <c r="S21" i="166"/>
  <c r="J75" i="102"/>
  <c r="J85" i="102" s="1"/>
  <c r="J52" i="110"/>
  <c r="J51" i="110" s="1"/>
  <c r="M24" i="166"/>
  <c r="R24" i="166"/>
  <c r="O22" i="135"/>
  <c r="J22" i="135"/>
  <c r="D130" i="150"/>
  <c r="U86" i="165"/>
  <c r="D86" i="165"/>
  <c r="G86" i="165"/>
  <c r="E86" i="165"/>
  <c r="F86" i="165"/>
  <c r="K23" i="135"/>
  <c r="P23" i="135"/>
  <c r="E131" i="150"/>
  <c r="G88" i="165"/>
  <c r="U88" i="165"/>
  <c r="E88" i="165"/>
  <c r="F88" i="165"/>
  <c r="D88" i="165"/>
  <c r="L24" i="135"/>
  <c r="F132" i="150"/>
  <c r="Q24" i="135"/>
  <c r="L28" i="132"/>
  <c r="F70" i="150"/>
  <c r="F32" i="151"/>
  <c r="Q28" i="132"/>
  <c r="F32" i="131"/>
  <c r="T21" i="149"/>
  <c r="U56" i="165"/>
  <c r="C100" i="150"/>
  <c r="M26" i="109"/>
  <c r="U30" i="165"/>
  <c r="F30" i="165"/>
  <c r="G30" i="165"/>
  <c r="E30" i="165"/>
  <c r="D30" i="165"/>
  <c r="F92" i="166"/>
  <c r="G92" i="166"/>
  <c r="U92" i="166"/>
  <c r="E92" i="166"/>
  <c r="D92" i="166"/>
  <c r="G27" i="165"/>
  <c r="G27" i="166"/>
  <c r="G26" i="132"/>
  <c r="AF34" i="55"/>
  <c r="H33" i="112"/>
  <c r="G27" i="171"/>
  <c r="E27" i="171" s="1"/>
  <c r="D27" i="171"/>
  <c r="T27" i="171" s="1"/>
  <c r="U27" i="171" s="1"/>
  <c r="Q19" i="135"/>
  <c r="L19" i="135"/>
  <c r="F127" i="150"/>
  <c r="G22" i="109"/>
  <c r="E57" i="166"/>
  <c r="U87" i="166"/>
  <c r="G87" i="166"/>
  <c r="E87" i="166"/>
  <c r="F87" i="166"/>
  <c r="D87" i="166"/>
  <c r="M50" i="61"/>
  <c r="N48" i="61"/>
  <c r="D63" i="165" s="1"/>
  <c r="E48" i="145"/>
  <c r="B43" i="146"/>
  <c r="E60" i="99"/>
  <c r="O27" i="188" s="1"/>
  <c r="Q23" i="132"/>
  <c r="F27" i="151"/>
  <c r="L23" i="132"/>
  <c r="F65" i="150"/>
  <c r="F27" i="131"/>
  <c r="R17" i="135"/>
  <c r="M17" i="135"/>
  <c r="G125" i="150"/>
  <c r="L17" i="135"/>
  <c r="Q17" i="135"/>
  <c r="F125" i="150"/>
  <c r="E22" i="132"/>
  <c r="E23" i="165"/>
  <c r="E23" i="166"/>
  <c r="F30" i="112"/>
  <c r="AD31" i="55"/>
  <c r="G64" i="110"/>
  <c r="F29" i="112"/>
  <c r="E22" i="165"/>
  <c r="AD30" i="55"/>
  <c r="E21" i="132"/>
  <c r="E22" i="166"/>
  <c r="G24" i="132"/>
  <c r="C66" i="150"/>
  <c r="C62" i="150" s="1"/>
  <c r="C51" i="150" s="1"/>
  <c r="F24" i="132"/>
  <c r="E24" i="132"/>
  <c r="D24" i="132"/>
  <c r="D62" i="166"/>
  <c r="G26" i="133"/>
  <c r="F26" i="133"/>
  <c r="D26" i="133"/>
  <c r="E26" i="133"/>
  <c r="Q29" i="165"/>
  <c r="L29" i="165"/>
  <c r="D126" i="150"/>
  <c r="J18" i="135"/>
  <c r="O18" i="135"/>
  <c r="M18" i="135"/>
  <c r="G126" i="150"/>
  <c r="R18" i="135"/>
  <c r="L32" i="57"/>
  <c r="G18" i="57"/>
  <c r="E56" i="166"/>
  <c r="E27" i="132"/>
  <c r="E28" i="166"/>
  <c r="E28" i="165"/>
  <c r="F34" i="112"/>
  <c r="AD35" i="55"/>
  <c r="V24" i="165"/>
  <c r="W24" i="165"/>
  <c r="J24" i="165"/>
  <c r="O24" i="165"/>
  <c r="U61" i="166"/>
  <c r="Q142" i="99"/>
  <c r="N142" i="99"/>
  <c r="H142" i="99"/>
  <c r="K142" i="99"/>
  <c r="G142" i="99"/>
  <c r="K52" i="110"/>
  <c r="K51" i="110" s="1"/>
  <c r="K75" i="102"/>
  <c r="K85" i="102" s="1"/>
  <c r="F77" i="102"/>
  <c r="G53" i="110"/>
  <c r="F53" i="110" s="1"/>
  <c r="F58" i="165"/>
  <c r="F23" i="134"/>
  <c r="U39" i="102"/>
  <c r="G84" i="102"/>
  <c r="G75" i="102" s="1"/>
  <c r="C63" i="166"/>
  <c r="U63" i="166" s="1"/>
  <c r="N50" i="92"/>
  <c r="P50" i="92"/>
  <c r="P48" i="92" s="1"/>
  <c r="F63" i="166" s="1"/>
  <c r="O50" i="92"/>
  <c r="O48" i="92" s="1"/>
  <c r="E63" i="166" s="1"/>
  <c r="Q50" i="92"/>
  <c r="Q48" i="92" s="1"/>
  <c r="G63" i="166" s="1"/>
  <c r="W29" i="166"/>
  <c r="J29" i="166"/>
  <c r="V29" i="166"/>
  <c r="O29" i="166"/>
  <c r="P29" i="166"/>
  <c r="K29" i="166"/>
  <c r="G104" i="103"/>
  <c r="G72" i="110" s="1"/>
  <c r="C26" i="165"/>
  <c r="U26" i="165" s="1"/>
  <c r="K24" i="166"/>
  <c r="P24" i="166"/>
  <c r="C42" i="146"/>
  <c r="E103" i="99"/>
  <c r="I21" i="188" s="1"/>
  <c r="J21" i="188" s="1"/>
  <c r="P22" i="135"/>
  <c r="K22" i="135"/>
  <c r="E130" i="150"/>
  <c r="J24" i="166"/>
  <c r="W24" i="166"/>
  <c r="V24" i="166"/>
  <c r="O24" i="166"/>
  <c r="I95" i="103"/>
  <c r="I64" i="110"/>
  <c r="I63" i="110" s="1"/>
  <c r="Q22" i="135"/>
  <c r="L22" i="135"/>
  <c r="F130" i="150"/>
  <c r="G58" i="110"/>
  <c r="F58" i="110" s="1"/>
  <c r="F9" i="110" s="1"/>
  <c r="F82" i="102"/>
  <c r="O23" i="135"/>
  <c r="D131" i="150"/>
  <c r="J23" i="135"/>
  <c r="K26" i="109"/>
  <c r="G27" i="134"/>
  <c r="G101" i="150" s="1"/>
  <c r="G62" i="165"/>
  <c r="C39" i="146"/>
  <c r="E100" i="99"/>
  <c r="I18" i="188" s="1"/>
  <c r="J18" i="188" s="1"/>
  <c r="M24" i="135"/>
  <c r="R24" i="135"/>
  <c r="G132" i="150"/>
  <c r="G32" i="131"/>
  <c r="M28" i="132"/>
  <c r="R28" i="132"/>
  <c r="G70" i="150"/>
  <c r="G32" i="151"/>
  <c r="T43" i="149"/>
  <c r="T44" i="149"/>
  <c r="T46" i="149"/>
  <c r="T45" i="149"/>
  <c r="T42" i="149"/>
  <c r="T41" i="149"/>
  <c r="G56" i="165"/>
  <c r="G21" i="134"/>
  <c r="G95" i="150" s="1"/>
  <c r="G56" i="110"/>
  <c r="F56" i="110" s="1"/>
  <c r="F80" i="102"/>
  <c r="F61" i="165"/>
  <c r="F26" i="134"/>
  <c r="F100" i="150" s="1"/>
  <c r="K95" i="103"/>
  <c r="K64" i="110"/>
  <c r="K63" i="110" s="1"/>
  <c r="U30" i="166"/>
  <c r="F30" i="166"/>
  <c r="G30" i="166"/>
  <c r="E30" i="166"/>
  <c r="D30" i="166"/>
  <c r="D27" i="165"/>
  <c r="D27" i="166"/>
  <c r="E33" i="112"/>
  <c r="D26" i="132"/>
  <c r="AC34" i="55"/>
  <c r="K19" i="135"/>
  <c r="P19" i="135"/>
  <c r="E127" i="150"/>
  <c r="F76" i="102"/>
  <c r="G52" i="110"/>
  <c r="G57" i="166"/>
  <c r="V39" i="102"/>
  <c r="H84" i="102"/>
  <c r="H60" i="110" s="1"/>
  <c r="T102" i="99"/>
  <c r="C60" i="165"/>
  <c r="U60" i="165" s="1"/>
  <c r="G30" i="61"/>
  <c r="D27" i="131"/>
  <c r="D27" i="151"/>
  <c r="D65" i="150"/>
  <c r="O23" i="132"/>
  <c r="J23" i="132"/>
  <c r="K17" i="135"/>
  <c r="P17" i="135"/>
  <c r="E125" i="150"/>
  <c r="G23" i="166"/>
  <c r="G22" i="132"/>
  <c r="G23" i="165"/>
  <c r="H30" i="112"/>
  <c r="AF31" i="55"/>
  <c r="G26" i="109"/>
  <c r="U20" i="102"/>
  <c r="P20" i="102"/>
  <c r="AE30" i="55"/>
  <c r="G29" i="112"/>
  <c r="F22" i="165"/>
  <c r="F21" i="132"/>
  <c r="F22" i="166"/>
  <c r="G23" i="171"/>
  <c r="E23" i="171" s="1"/>
  <c r="D23" i="171"/>
  <c r="U8" i="78"/>
  <c r="H29" i="55"/>
  <c r="N21" i="188" s="1"/>
  <c r="Y43" i="55"/>
  <c r="F62" i="166"/>
  <c r="M29" i="165"/>
  <c r="R29" i="165"/>
  <c r="L23" i="92"/>
  <c r="G23" i="92"/>
  <c r="D16" i="188" s="1"/>
  <c r="L37" i="92"/>
  <c r="E20" i="133"/>
  <c r="G20" i="133"/>
  <c r="D20" i="133"/>
  <c r="F20" i="133"/>
  <c r="U56" i="166"/>
  <c r="D35" i="151"/>
  <c r="D35" i="131"/>
  <c r="F28" i="166"/>
  <c r="F28" i="165"/>
  <c r="F27" i="132"/>
  <c r="G34" i="112"/>
  <c r="AE35" i="55"/>
  <c r="AG35" i="55" s="1"/>
  <c r="G28" i="171"/>
  <c r="E28" i="171" s="1"/>
  <c r="D28" i="171"/>
  <c r="T28" i="171" s="1"/>
  <c r="U28" i="171" s="1"/>
  <c r="K24" i="165"/>
  <c r="P24" i="165"/>
  <c r="F81" i="102"/>
  <c r="G57" i="110"/>
  <c r="F57" i="110" s="1"/>
  <c r="E61" i="166"/>
  <c r="U91" i="165"/>
  <c r="G91" i="165"/>
  <c r="E91" i="165"/>
  <c r="F91" i="165"/>
  <c r="D91" i="165"/>
  <c r="M22" i="109"/>
  <c r="G23" i="109"/>
  <c r="M49" i="61"/>
  <c r="N47" i="61"/>
  <c r="G57" i="165"/>
  <c r="G22" i="134"/>
  <c r="G96" i="150" s="1"/>
  <c r="M29" i="166"/>
  <c r="R29" i="166"/>
  <c r="F79" i="102"/>
  <c r="G55" i="110"/>
  <c r="F55" i="110" s="1"/>
  <c r="G9" i="107"/>
  <c r="M63" i="110" s="1"/>
  <c r="C21" i="166"/>
  <c r="P190" i="99" l="1"/>
  <c r="N190" i="99" s="1"/>
  <c r="M194" i="99"/>
  <c r="K194" i="99" s="1"/>
  <c r="E27" i="109"/>
  <c r="H190" i="99"/>
  <c r="M190" i="99"/>
  <c r="K190" i="99" s="1"/>
  <c r="P193" i="99"/>
  <c r="N193" i="99" s="1"/>
  <c r="S194" i="99"/>
  <c r="Q194" i="99" s="1"/>
  <c r="S190" i="99"/>
  <c r="Q190" i="99" s="1"/>
  <c r="J194" i="99"/>
  <c r="M190" i="105"/>
  <c r="K190" i="105" s="1"/>
  <c r="P194" i="105"/>
  <c r="N194" i="105" s="1"/>
  <c r="J193" i="105"/>
  <c r="M189" i="105"/>
  <c r="K189" i="105" s="1"/>
  <c r="P193" i="105"/>
  <c r="N193" i="105" s="1"/>
  <c r="S194" i="105"/>
  <c r="Q194" i="105" s="1"/>
  <c r="P189" i="105"/>
  <c r="N189" i="105" s="1"/>
  <c r="J189" i="105"/>
  <c r="P190" i="105"/>
  <c r="N190" i="105" s="1"/>
  <c r="J190" i="105"/>
  <c r="S193" i="105"/>
  <c r="Q193" i="105" s="1"/>
  <c r="J194" i="105"/>
  <c r="S190" i="105"/>
  <c r="Q190" i="105" s="1"/>
  <c r="M193" i="105"/>
  <c r="K193" i="105" s="1"/>
  <c r="M194" i="105"/>
  <c r="K194" i="105" s="1"/>
  <c r="S189" i="105"/>
  <c r="Q189" i="105" s="1"/>
  <c r="AG30" i="55"/>
  <c r="U21" i="165"/>
  <c r="C10" i="165"/>
  <c r="AG34" i="55"/>
  <c r="H28" i="109"/>
  <c r="H25" i="109" s="1"/>
  <c r="I25" i="109" s="1"/>
  <c r="H23" i="188"/>
  <c r="AG31" i="55"/>
  <c r="AB55" i="105"/>
  <c r="AB56" i="105"/>
  <c r="P23" i="188"/>
  <c r="H26" i="171"/>
  <c r="I26" i="171" s="1"/>
  <c r="D20" i="188"/>
  <c r="C24" i="134"/>
  <c r="C97" i="150" s="1"/>
  <c r="H24" i="109"/>
  <c r="E144" i="105"/>
  <c r="L28" i="109"/>
  <c r="D67" i="109"/>
  <c r="H67" i="109" s="1"/>
  <c r="E22" i="109"/>
  <c r="D68" i="109"/>
  <c r="H68" i="109" s="1"/>
  <c r="E23" i="109"/>
  <c r="F4" i="110"/>
  <c r="B9" i="173" s="1"/>
  <c r="F7" i="110"/>
  <c r="I26" i="61"/>
  <c r="I23" i="61" s="1"/>
  <c r="J26" i="61"/>
  <c r="J23" i="61" s="1"/>
  <c r="P23" i="61" s="1"/>
  <c r="G101" i="99"/>
  <c r="K26" i="61"/>
  <c r="K23" i="61" s="1"/>
  <c r="Q23" i="61" s="1"/>
  <c r="H26" i="61"/>
  <c r="H99" i="105"/>
  <c r="Q56" i="105"/>
  <c r="H103" i="105"/>
  <c r="Q59" i="105"/>
  <c r="K60" i="105"/>
  <c r="N55" i="105"/>
  <c r="H55" i="105"/>
  <c r="S22" i="188" s="1"/>
  <c r="I30" i="61"/>
  <c r="I27" i="61" s="1"/>
  <c r="G105" i="99"/>
  <c r="E105" i="99" s="1"/>
  <c r="J30" i="61"/>
  <c r="J27" i="61" s="1"/>
  <c r="P27" i="61" s="1"/>
  <c r="K30" i="61"/>
  <c r="K27" i="61" s="1"/>
  <c r="Q27" i="61" s="1"/>
  <c r="H30" i="61"/>
  <c r="H27" i="61" s="1"/>
  <c r="N27" i="61" s="1"/>
  <c r="Q99" i="105"/>
  <c r="K59" i="105"/>
  <c r="G144" i="105"/>
  <c r="G141" i="105" s="1"/>
  <c r="H144" i="105"/>
  <c r="Q144" i="105"/>
  <c r="N144" i="105"/>
  <c r="K144" i="105"/>
  <c r="E141" i="105"/>
  <c r="E54" i="105"/>
  <c r="P21" i="188" s="1"/>
  <c r="E58" i="105"/>
  <c r="P25" i="188" s="1"/>
  <c r="K56" i="105"/>
  <c r="N103" i="105"/>
  <c r="H59" i="105"/>
  <c r="S26" i="188" s="1"/>
  <c r="Q60" i="105"/>
  <c r="Q55" i="105"/>
  <c r="N99" i="105"/>
  <c r="N56" i="105"/>
  <c r="H56" i="105"/>
  <c r="Q103" i="105"/>
  <c r="N59" i="105"/>
  <c r="N60" i="105"/>
  <c r="H60" i="105"/>
  <c r="K55" i="105"/>
  <c r="I31" i="133"/>
  <c r="E35" i="151"/>
  <c r="E35" i="131"/>
  <c r="G35" i="151"/>
  <c r="G35" i="131"/>
  <c r="F35" i="131"/>
  <c r="F35" i="151"/>
  <c r="C59" i="165"/>
  <c r="S55" i="165" s="1"/>
  <c r="H63" i="110"/>
  <c r="F72" i="110"/>
  <c r="T101" i="99"/>
  <c r="H95" i="103"/>
  <c r="F43" i="146"/>
  <c r="M43" i="146" s="1"/>
  <c r="F8" i="110"/>
  <c r="B10" i="173" s="1"/>
  <c r="I23" i="132"/>
  <c r="N18" i="135"/>
  <c r="N23" i="135"/>
  <c r="N24" i="166"/>
  <c r="I18" i="135"/>
  <c r="F6" i="110"/>
  <c r="B6" i="173" s="1"/>
  <c r="N23" i="132"/>
  <c r="I23" i="135"/>
  <c r="J68" i="109"/>
  <c r="Q28" i="165"/>
  <c r="L28" i="165"/>
  <c r="V91" i="165"/>
  <c r="W91" i="165"/>
  <c r="O91" i="165"/>
  <c r="J91" i="165"/>
  <c r="F31" i="131"/>
  <c r="Q27" i="132"/>
  <c r="F31" i="151"/>
  <c r="L27" i="132"/>
  <c r="F31" i="150"/>
  <c r="F69" i="150"/>
  <c r="F31" i="130"/>
  <c r="E81" i="137"/>
  <c r="E81" i="142"/>
  <c r="E79" i="168"/>
  <c r="T25" i="92"/>
  <c r="Y25" i="92" s="1"/>
  <c r="T54" i="105"/>
  <c r="T54" i="99"/>
  <c r="D28" i="112"/>
  <c r="H32" i="55"/>
  <c r="N24" i="188" s="1"/>
  <c r="F22" i="171"/>
  <c r="AB29" i="55"/>
  <c r="H12" i="55"/>
  <c r="L22" i="166"/>
  <c r="Q22" i="166"/>
  <c r="F21" i="166"/>
  <c r="R23" i="165"/>
  <c r="M23" i="165"/>
  <c r="G110" i="168"/>
  <c r="G112" i="137"/>
  <c r="G112" i="142"/>
  <c r="F52" i="110"/>
  <c r="D30" i="130"/>
  <c r="D30" i="131"/>
  <c r="D30" i="151"/>
  <c r="D30" i="150"/>
  <c r="D68" i="150"/>
  <c r="D25" i="132"/>
  <c r="J26" i="132"/>
  <c r="O26" i="132"/>
  <c r="G116" i="142"/>
  <c r="G116" i="137"/>
  <c r="G114" i="168"/>
  <c r="Q30" i="166"/>
  <c r="L30" i="166"/>
  <c r="G79" i="167"/>
  <c r="G81" i="140"/>
  <c r="Q100" i="99"/>
  <c r="G81" i="136"/>
  <c r="B11" i="173"/>
  <c r="G80" i="142"/>
  <c r="G80" i="137"/>
  <c r="G78" i="168"/>
  <c r="F84" i="136"/>
  <c r="F82" i="167"/>
  <c r="F84" i="140"/>
  <c r="N103" i="99"/>
  <c r="U103" i="99"/>
  <c r="C91" i="145"/>
  <c r="D42" i="146"/>
  <c r="F42" i="146" s="1"/>
  <c r="M42" i="146" s="1"/>
  <c r="S142" i="99"/>
  <c r="S193" i="99" s="1"/>
  <c r="Q193" i="99" s="1"/>
  <c r="W62" i="166"/>
  <c r="V62" i="166"/>
  <c r="F66" i="150"/>
  <c r="L24" i="132"/>
  <c r="F28" i="130"/>
  <c r="F28" i="150"/>
  <c r="Q24" i="132"/>
  <c r="P21" i="132"/>
  <c r="E25" i="131"/>
  <c r="K21" i="132"/>
  <c r="E63" i="150"/>
  <c r="E25" i="151"/>
  <c r="E20" i="132"/>
  <c r="Q16" i="135"/>
  <c r="Q9" i="135" s="1"/>
  <c r="L16" i="135"/>
  <c r="L9" i="135" s="1"/>
  <c r="F9" i="135"/>
  <c r="R16" i="135"/>
  <c r="R9" i="135" s="1"/>
  <c r="M16" i="135"/>
  <c r="M9" i="135" s="1"/>
  <c r="G9" i="135"/>
  <c r="G82" i="168"/>
  <c r="G84" i="137"/>
  <c r="G84" i="142"/>
  <c r="U103" i="105"/>
  <c r="U60" i="99"/>
  <c r="I34" i="112"/>
  <c r="N34" i="112" s="1"/>
  <c r="C48" i="145"/>
  <c r="AH35" i="55"/>
  <c r="AN35" i="55" s="1"/>
  <c r="AA60" i="99"/>
  <c r="R87" i="166"/>
  <c r="M87" i="166"/>
  <c r="D85" i="137"/>
  <c r="D83" i="168"/>
  <c r="D85" i="142"/>
  <c r="U104" i="105"/>
  <c r="G30" i="131"/>
  <c r="R26" i="132"/>
  <c r="M26" i="132"/>
  <c r="G30" i="150"/>
  <c r="G30" i="130"/>
  <c r="G25" i="132"/>
  <c r="G30" i="151"/>
  <c r="G68" i="150"/>
  <c r="K92" i="166"/>
  <c r="P92" i="166"/>
  <c r="V30" i="165"/>
  <c r="W30" i="165"/>
  <c r="J30" i="165"/>
  <c r="O30" i="165"/>
  <c r="L88" i="165"/>
  <c r="Q88" i="165"/>
  <c r="K86" i="165"/>
  <c r="P86" i="165"/>
  <c r="Q93" i="166"/>
  <c r="L93" i="166"/>
  <c r="G31" i="151"/>
  <c r="G31" i="130"/>
  <c r="R27" i="132"/>
  <c r="G31" i="150"/>
  <c r="M27" i="132"/>
  <c r="G69" i="150"/>
  <c r="G31" i="131"/>
  <c r="K25" i="165"/>
  <c r="P25" i="165"/>
  <c r="D25" i="150"/>
  <c r="D25" i="130"/>
  <c r="D25" i="151"/>
  <c r="D25" i="131"/>
  <c r="D63" i="150"/>
  <c r="O21" i="132"/>
  <c r="J21" i="132"/>
  <c r="D20" i="132"/>
  <c r="AA59" i="99"/>
  <c r="AH34" i="55"/>
  <c r="AN34" i="55" s="1"/>
  <c r="U59" i="99"/>
  <c r="C47" i="145"/>
  <c r="I33" i="112"/>
  <c r="N33" i="112" s="1"/>
  <c r="D9" i="135"/>
  <c r="J16" i="135"/>
  <c r="O16" i="135"/>
  <c r="O87" i="165"/>
  <c r="W87" i="165"/>
  <c r="V87" i="165"/>
  <c r="J87" i="165"/>
  <c r="Q87" i="165"/>
  <c r="L87" i="165"/>
  <c r="F26" i="166"/>
  <c r="Q27" i="166"/>
  <c r="L27" i="166"/>
  <c r="D33" i="130"/>
  <c r="D33" i="150"/>
  <c r="D71" i="150"/>
  <c r="O29" i="132"/>
  <c r="J29" i="132"/>
  <c r="V8" i="102"/>
  <c r="V56" i="165"/>
  <c r="W56" i="165"/>
  <c r="W62" i="165"/>
  <c r="V62" i="165"/>
  <c r="R88" i="166"/>
  <c r="M88" i="166"/>
  <c r="Q20" i="135"/>
  <c r="F128" i="150"/>
  <c r="L20" i="135"/>
  <c r="J138" i="99"/>
  <c r="J189" i="99" s="1"/>
  <c r="D38" i="146"/>
  <c r="F38" i="146" s="1"/>
  <c r="M38" i="146" s="1"/>
  <c r="G80" i="136"/>
  <c r="G78" i="167"/>
  <c r="G80" i="140"/>
  <c r="Q99" i="99"/>
  <c r="K93" i="165"/>
  <c r="P93" i="165"/>
  <c r="Q93" i="165"/>
  <c r="L93" i="165"/>
  <c r="U104" i="99"/>
  <c r="C92" i="145"/>
  <c r="Q104" i="99"/>
  <c r="G85" i="140"/>
  <c r="G85" i="136"/>
  <c r="G83" i="167"/>
  <c r="Q91" i="166"/>
  <c r="L91" i="166"/>
  <c r="V28" i="166"/>
  <c r="W28" i="166"/>
  <c r="O28" i="166"/>
  <c r="J28" i="166"/>
  <c r="M25" i="135"/>
  <c r="R25" i="135"/>
  <c r="G133" i="150"/>
  <c r="G129" i="150" s="1"/>
  <c r="W25" i="166"/>
  <c r="V25" i="166"/>
  <c r="O25" i="166"/>
  <c r="J25" i="166"/>
  <c r="M25" i="166"/>
  <c r="R25" i="166"/>
  <c r="D26" i="130"/>
  <c r="D26" i="150"/>
  <c r="D26" i="151"/>
  <c r="D26" i="131"/>
  <c r="D64" i="150"/>
  <c r="O22" i="132"/>
  <c r="J22" i="132"/>
  <c r="K26" i="132"/>
  <c r="E30" i="151"/>
  <c r="P26" i="132"/>
  <c r="E30" i="131"/>
  <c r="E25" i="132"/>
  <c r="E68" i="150"/>
  <c r="K27" i="165"/>
  <c r="P27" i="165"/>
  <c r="E26" i="165"/>
  <c r="Q92" i="165"/>
  <c r="L92" i="165"/>
  <c r="I29" i="166"/>
  <c r="I24" i="165"/>
  <c r="AB60" i="99"/>
  <c r="N22" i="135"/>
  <c r="I24" i="135"/>
  <c r="H75" i="102"/>
  <c r="H85" i="102" s="1"/>
  <c r="F39" i="146"/>
  <c r="M39" i="146" s="1"/>
  <c r="F10" i="110"/>
  <c r="M91" i="165"/>
  <c r="R91" i="165"/>
  <c r="T98" i="105"/>
  <c r="J23" i="92"/>
  <c r="P23" i="92" s="1"/>
  <c r="I23" i="92"/>
  <c r="O23" i="92" s="1"/>
  <c r="G26" i="92"/>
  <c r="K23" i="92"/>
  <c r="Q23" i="92" s="1"/>
  <c r="H23" i="92"/>
  <c r="N23" i="92" s="1"/>
  <c r="H22" i="171"/>
  <c r="I22" i="171" s="1"/>
  <c r="D81" i="137"/>
  <c r="D79" i="168"/>
  <c r="D81" i="142"/>
  <c r="G81" i="137"/>
  <c r="V25" i="92"/>
  <c r="AA25" i="92" s="1"/>
  <c r="G81" i="142"/>
  <c r="G79" i="168"/>
  <c r="P16" i="135"/>
  <c r="P9" i="135" s="1"/>
  <c r="K16" i="135"/>
  <c r="K9" i="135" s="1"/>
  <c r="E9" i="135"/>
  <c r="C29" i="134"/>
  <c r="T105" i="99"/>
  <c r="C64" i="165"/>
  <c r="E110" i="168"/>
  <c r="E112" i="137"/>
  <c r="E112" i="142"/>
  <c r="V27" i="165"/>
  <c r="T26" i="165"/>
  <c r="W27" i="165"/>
  <c r="O27" i="165"/>
  <c r="D26" i="165"/>
  <c r="J27" i="165"/>
  <c r="E116" i="142"/>
  <c r="E116" i="137"/>
  <c r="E114" i="168"/>
  <c r="R30" i="166"/>
  <c r="M30" i="166"/>
  <c r="B7" i="173"/>
  <c r="H100" i="99"/>
  <c r="AA100" i="99" s="1"/>
  <c r="D81" i="140"/>
  <c r="D79" i="167"/>
  <c r="D81" i="136"/>
  <c r="F79" i="167"/>
  <c r="N100" i="99"/>
  <c r="F81" i="136"/>
  <c r="F81" i="140"/>
  <c r="L21" i="135"/>
  <c r="Q21" i="135"/>
  <c r="E80" i="142"/>
  <c r="E80" i="137"/>
  <c r="E78" i="168"/>
  <c r="D80" i="142"/>
  <c r="D78" i="168"/>
  <c r="D80" i="137"/>
  <c r="E84" i="136"/>
  <c r="E82" i="167"/>
  <c r="E84" i="140"/>
  <c r="K103" i="99"/>
  <c r="F84" i="102"/>
  <c r="F75" i="102" s="1"/>
  <c r="F85" i="102" s="1"/>
  <c r="G60" i="110"/>
  <c r="F60" i="110" s="1"/>
  <c r="P142" i="99"/>
  <c r="K27" i="132"/>
  <c r="E31" i="131"/>
  <c r="E31" i="151"/>
  <c r="P27" i="132"/>
  <c r="E69" i="150"/>
  <c r="E66" i="150"/>
  <c r="K24" i="132"/>
  <c r="P24" i="132"/>
  <c r="K22" i="166"/>
  <c r="P22" i="166"/>
  <c r="E21" i="166"/>
  <c r="K22" i="132"/>
  <c r="E26" i="131"/>
  <c r="E26" i="151"/>
  <c r="P22" i="132"/>
  <c r="E64" i="150"/>
  <c r="F84" i="142"/>
  <c r="F84" i="137"/>
  <c r="F82" i="168"/>
  <c r="D28" i="134"/>
  <c r="P87" i="166"/>
  <c r="K87" i="166"/>
  <c r="G85" i="142"/>
  <c r="V29" i="92"/>
  <c r="AA29" i="92" s="1"/>
  <c r="G85" i="137"/>
  <c r="G83" i="168"/>
  <c r="W92" i="166"/>
  <c r="V92" i="166"/>
  <c r="J92" i="166"/>
  <c r="O92" i="166"/>
  <c r="L92" i="166"/>
  <c r="Q92" i="166"/>
  <c r="Q30" i="165"/>
  <c r="L30" i="165"/>
  <c r="W88" i="165"/>
  <c r="V88" i="165"/>
  <c r="O88" i="165"/>
  <c r="J88" i="165"/>
  <c r="R88" i="165"/>
  <c r="M88" i="165"/>
  <c r="Q86" i="165"/>
  <c r="L86" i="165"/>
  <c r="T8" i="103"/>
  <c r="M93" i="166"/>
  <c r="R93" i="166"/>
  <c r="W61" i="166"/>
  <c r="V61" i="166"/>
  <c r="R28" i="166"/>
  <c r="M28" i="166"/>
  <c r="K25" i="57"/>
  <c r="H25" i="57"/>
  <c r="J25" i="57"/>
  <c r="I25" i="57"/>
  <c r="J29" i="171"/>
  <c r="K29" i="171" s="1"/>
  <c r="C94" i="165"/>
  <c r="E144" i="99"/>
  <c r="C94" i="166"/>
  <c r="W25" i="165"/>
  <c r="J25" i="165"/>
  <c r="V25" i="165"/>
  <c r="O25" i="165"/>
  <c r="M25" i="165"/>
  <c r="R25" i="165"/>
  <c r="W22" i="165"/>
  <c r="T21" i="165"/>
  <c r="V22" i="165"/>
  <c r="J22" i="165"/>
  <c r="O22" i="165"/>
  <c r="D21" i="165"/>
  <c r="L23" i="165"/>
  <c r="Q23" i="165"/>
  <c r="AA60" i="105"/>
  <c r="U60" i="105"/>
  <c r="L27" i="165"/>
  <c r="Q27" i="165"/>
  <c r="F26" i="165"/>
  <c r="D114" i="167"/>
  <c r="D116" i="136"/>
  <c r="D116" i="140"/>
  <c r="N47" i="92"/>
  <c r="D58" i="166" s="1"/>
  <c r="M49" i="92"/>
  <c r="F33" i="150"/>
  <c r="Q29" i="132"/>
  <c r="L29" i="132"/>
  <c r="F71" i="150"/>
  <c r="F33" i="130"/>
  <c r="V88" i="166"/>
  <c r="W88" i="166"/>
  <c r="O88" i="166"/>
  <c r="J88" i="166"/>
  <c r="K20" i="135"/>
  <c r="E128" i="150"/>
  <c r="E124" i="150" s="1"/>
  <c r="E117" i="150" s="1"/>
  <c r="P20" i="135"/>
  <c r="M138" i="99"/>
  <c r="M189" i="99" s="1"/>
  <c r="K189" i="99" s="1"/>
  <c r="M21" i="135"/>
  <c r="R21" i="135"/>
  <c r="F78" i="167"/>
  <c r="F80" i="136"/>
  <c r="F80" i="140"/>
  <c r="N99" i="99"/>
  <c r="C87" i="145"/>
  <c r="U99" i="99"/>
  <c r="M93" i="165"/>
  <c r="R93" i="165"/>
  <c r="D85" i="140"/>
  <c r="D83" i="167"/>
  <c r="D85" i="136"/>
  <c r="H104" i="99"/>
  <c r="AA104" i="99" s="1"/>
  <c r="N104" i="99"/>
  <c r="F83" i="167"/>
  <c r="F85" i="136"/>
  <c r="F85" i="140"/>
  <c r="V91" i="166"/>
  <c r="O91" i="166"/>
  <c r="W91" i="166"/>
  <c r="J91" i="166"/>
  <c r="P25" i="135"/>
  <c r="E133" i="150"/>
  <c r="E129" i="150" s="1"/>
  <c r="K25" i="135"/>
  <c r="G25" i="150"/>
  <c r="G25" i="131"/>
  <c r="M21" i="132"/>
  <c r="R21" i="132"/>
  <c r="G25" i="130"/>
  <c r="G63" i="150"/>
  <c r="G25" i="151"/>
  <c r="G20" i="132"/>
  <c r="U59" i="105"/>
  <c r="AA59" i="105"/>
  <c r="D67" i="171"/>
  <c r="T24" i="171"/>
  <c r="U24" i="171" s="1"/>
  <c r="W23" i="166"/>
  <c r="V23" i="166"/>
  <c r="J23" i="166"/>
  <c r="O23" i="166"/>
  <c r="G112" i="140"/>
  <c r="G110" i="167"/>
  <c r="G112" i="136"/>
  <c r="P92" i="165"/>
  <c r="K92" i="165"/>
  <c r="Q86" i="166"/>
  <c r="L86" i="166"/>
  <c r="N24" i="165"/>
  <c r="I22" i="135"/>
  <c r="I29" i="165"/>
  <c r="I17" i="135"/>
  <c r="N24" i="135"/>
  <c r="H51" i="110"/>
  <c r="N28" i="132"/>
  <c r="U21" i="166"/>
  <c r="S10" i="166"/>
  <c r="S33" i="166" s="1"/>
  <c r="C10" i="166"/>
  <c r="D58" i="165"/>
  <c r="D23" i="134"/>
  <c r="P91" i="165"/>
  <c r="K91" i="165"/>
  <c r="L28" i="166"/>
  <c r="Q28" i="166"/>
  <c r="U100" i="105"/>
  <c r="T23" i="171"/>
  <c r="U23" i="171" s="1"/>
  <c r="D66" i="171"/>
  <c r="L22" i="165"/>
  <c r="Q22" i="165"/>
  <c r="F21" i="165"/>
  <c r="M23" i="166"/>
  <c r="R23" i="166"/>
  <c r="D112" i="142"/>
  <c r="D112" i="137"/>
  <c r="D110" i="168"/>
  <c r="V27" i="166"/>
  <c r="T26" i="166"/>
  <c r="W27" i="166"/>
  <c r="J27" i="166"/>
  <c r="O27" i="166"/>
  <c r="D26" i="166"/>
  <c r="D116" i="142"/>
  <c r="D114" i="168"/>
  <c r="D116" i="137"/>
  <c r="P30" i="166"/>
  <c r="K30" i="166"/>
  <c r="T53" i="149"/>
  <c r="K100" i="99"/>
  <c r="E81" i="140"/>
  <c r="E79" i="167"/>
  <c r="E81" i="136"/>
  <c r="U99" i="105"/>
  <c r="D84" i="136"/>
  <c r="D82" i="167"/>
  <c r="D84" i="140"/>
  <c r="H103" i="99"/>
  <c r="J142" i="99"/>
  <c r="J193" i="99" s="1"/>
  <c r="K28" i="166"/>
  <c r="P28" i="166"/>
  <c r="I18" i="57"/>
  <c r="I11" i="57" s="1"/>
  <c r="G11" i="57"/>
  <c r="G32" i="57" s="1"/>
  <c r="H18" i="57"/>
  <c r="H11" i="57" s="1"/>
  <c r="K18" i="57"/>
  <c r="K11" i="57" s="1"/>
  <c r="J18" i="57"/>
  <c r="J11" i="57" s="1"/>
  <c r="G21" i="57"/>
  <c r="J22" i="171"/>
  <c r="D28" i="130"/>
  <c r="D28" i="150"/>
  <c r="D66" i="150"/>
  <c r="J24" i="132"/>
  <c r="O24" i="132"/>
  <c r="G28" i="150"/>
  <c r="G66" i="150"/>
  <c r="M24" i="132"/>
  <c r="G28" i="130"/>
  <c r="R24" i="132"/>
  <c r="P22" i="165"/>
  <c r="K22" i="165"/>
  <c r="E21" i="165"/>
  <c r="P23" i="165"/>
  <c r="K23" i="165"/>
  <c r="E82" i="168"/>
  <c r="E84" i="137"/>
  <c r="E84" i="142"/>
  <c r="L87" i="166"/>
  <c r="Q87" i="166"/>
  <c r="E83" i="168"/>
  <c r="T29" i="92"/>
  <c r="Y29" i="92" s="1"/>
  <c r="E85" i="142"/>
  <c r="E85" i="137"/>
  <c r="R27" i="165"/>
  <c r="M27" i="165"/>
  <c r="G26" i="165"/>
  <c r="M92" i="166"/>
  <c r="R92" i="166"/>
  <c r="M30" i="165"/>
  <c r="R30" i="165"/>
  <c r="J86" i="165"/>
  <c r="O86" i="165"/>
  <c r="W86" i="165"/>
  <c r="V86" i="165"/>
  <c r="K93" i="166"/>
  <c r="P93" i="166"/>
  <c r="U56" i="105"/>
  <c r="AA56" i="105"/>
  <c r="L25" i="165"/>
  <c r="Q25" i="165"/>
  <c r="L23" i="166"/>
  <c r="Q23" i="166"/>
  <c r="P87" i="165"/>
  <c r="K87" i="165"/>
  <c r="Q26" i="132"/>
  <c r="F30" i="150"/>
  <c r="F30" i="130"/>
  <c r="F30" i="151"/>
  <c r="L26" i="132"/>
  <c r="F68" i="150"/>
  <c r="F30" i="131"/>
  <c r="F25" i="132"/>
  <c r="G116" i="140"/>
  <c r="G114" i="167"/>
  <c r="G116" i="136"/>
  <c r="E116" i="140"/>
  <c r="E116" i="136"/>
  <c r="E114" i="167"/>
  <c r="R29" i="132"/>
  <c r="M29" i="132"/>
  <c r="G33" i="130"/>
  <c r="G71" i="150"/>
  <c r="G33" i="150"/>
  <c r="P88" i="166"/>
  <c r="K88" i="166"/>
  <c r="Q88" i="166"/>
  <c r="L88" i="166"/>
  <c r="J20" i="135"/>
  <c r="O20" i="135"/>
  <c r="D128" i="150"/>
  <c r="D124" i="150" s="1"/>
  <c r="D117" i="150" s="1"/>
  <c r="S138" i="99"/>
  <c r="S189" i="99" s="1"/>
  <c r="Q189" i="99" s="1"/>
  <c r="E78" i="167"/>
  <c r="E80" i="140"/>
  <c r="E80" i="136"/>
  <c r="K99" i="99"/>
  <c r="K91" i="166"/>
  <c r="P91" i="166"/>
  <c r="D31" i="151"/>
  <c r="D31" i="131"/>
  <c r="D69" i="150"/>
  <c r="D31" i="130"/>
  <c r="D31" i="150"/>
  <c r="J27" i="132"/>
  <c r="O27" i="132"/>
  <c r="O25" i="135"/>
  <c r="D133" i="150"/>
  <c r="D129" i="150" s="1"/>
  <c r="J25" i="135"/>
  <c r="Q25" i="135"/>
  <c r="F133" i="150"/>
  <c r="F129" i="150" s="1"/>
  <c r="L25" i="135"/>
  <c r="Q25" i="166"/>
  <c r="L25" i="166"/>
  <c r="R22" i="166"/>
  <c r="M22" i="166"/>
  <c r="G21" i="166"/>
  <c r="V23" i="165"/>
  <c r="O23" i="165"/>
  <c r="W23" i="165"/>
  <c r="J23" i="165"/>
  <c r="E112" i="140"/>
  <c r="E110" i="167"/>
  <c r="E112" i="136"/>
  <c r="D112" i="140"/>
  <c r="D110" i="167"/>
  <c r="D112" i="136"/>
  <c r="AA55" i="105"/>
  <c r="U55" i="105"/>
  <c r="K27" i="166"/>
  <c r="P27" i="166"/>
  <c r="E26" i="166"/>
  <c r="R92" i="165"/>
  <c r="M92" i="165"/>
  <c r="T58" i="99"/>
  <c r="T58" i="105"/>
  <c r="F26" i="171"/>
  <c r="H36" i="55"/>
  <c r="N28" i="188" s="1"/>
  <c r="AB33" i="55"/>
  <c r="D32" i="112"/>
  <c r="O86" i="166"/>
  <c r="W86" i="166"/>
  <c r="V86" i="166"/>
  <c r="J86" i="166"/>
  <c r="I24" i="166"/>
  <c r="N29" i="166"/>
  <c r="G95" i="103"/>
  <c r="AB59" i="99"/>
  <c r="N19" i="135"/>
  <c r="C20" i="134"/>
  <c r="I28" i="132"/>
  <c r="Q91" i="165"/>
  <c r="L91" i="165"/>
  <c r="F81" i="137"/>
  <c r="F81" i="142"/>
  <c r="F79" i="168"/>
  <c r="U25" i="92"/>
  <c r="Z25" i="92" s="1"/>
  <c r="L21" i="132"/>
  <c r="F25" i="130"/>
  <c r="Q21" i="132"/>
  <c r="F25" i="150"/>
  <c r="F25" i="131"/>
  <c r="F25" i="151"/>
  <c r="F63" i="150"/>
  <c r="F20" i="132"/>
  <c r="G26" i="151"/>
  <c r="R22" i="132"/>
  <c r="M22" i="132"/>
  <c r="G26" i="130"/>
  <c r="G64" i="150"/>
  <c r="G26" i="131"/>
  <c r="G26" i="150"/>
  <c r="F112" i="137"/>
  <c r="F112" i="142"/>
  <c r="F110" i="168"/>
  <c r="F114" i="168"/>
  <c r="F116" i="142"/>
  <c r="F116" i="137"/>
  <c r="V30" i="166"/>
  <c r="W30" i="166"/>
  <c r="O30" i="166"/>
  <c r="J30" i="166"/>
  <c r="C88" i="145"/>
  <c r="U100" i="99"/>
  <c r="F78" i="168"/>
  <c r="F80" i="137"/>
  <c r="F80" i="142"/>
  <c r="K21" i="135"/>
  <c r="P21" i="135"/>
  <c r="G84" i="140"/>
  <c r="G82" i="167"/>
  <c r="G84" i="136"/>
  <c r="Q103" i="99"/>
  <c r="M50" i="92"/>
  <c r="N48" i="92"/>
  <c r="D63" i="166" s="1"/>
  <c r="M142" i="99"/>
  <c r="M193" i="99" s="1"/>
  <c r="K193" i="99" s="1"/>
  <c r="P28" i="165"/>
  <c r="K28" i="165"/>
  <c r="F64" i="110"/>
  <c r="G63" i="110"/>
  <c r="K23" i="166"/>
  <c r="P23" i="166"/>
  <c r="D84" i="142"/>
  <c r="D82" i="168"/>
  <c r="D84" i="137"/>
  <c r="V87" i="166"/>
  <c r="W87" i="166"/>
  <c r="J87" i="166"/>
  <c r="O87" i="166"/>
  <c r="F85" i="142"/>
  <c r="F83" i="168"/>
  <c r="U29" i="92"/>
  <c r="Z29" i="92" s="1"/>
  <c r="F85" i="137"/>
  <c r="J67" i="109"/>
  <c r="R27" i="166"/>
  <c r="M27" i="166"/>
  <c r="G26" i="166"/>
  <c r="K30" i="165"/>
  <c r="P30" i="165"/>
  <c r="U10" i="165"/>
  <c r="C33" i="165"/>
  <c r="K88" i="165"/>
  <c r="P88" i="165"/>
  <c r="M86" i="165"/>
  <c r="R86" i="165"/>
  <c r="O21" i="135"/>
  <c r="J21" i="135"/>
  <c r="W93" i="166"/>
  <c r="V93" i="166"/>
  <c r="O93" i="166"/>
  <c r="J93" i="166"/>
  <c r="R28" i="165"/>
  <c r="M28" i="165"/>
  <c r="T21" i="166"/>
  <c r="J22" i="166"/>
  <c r="W22" i="166"/>
  <c r="V22" i="166"/>
  <c r="O22" i="166"/>
  <c r="D21" i="166"/>
  <c r="F26" i="150"/>
  <c r="Q22" i="132"/>
  <c r="F26" i="131"/>
  <c r="L22" i="132"/>
  <c r="F26" i="130"/>
  <c r="F26" i="151"/>
  <c r="F64" i="150"/>
  <c r="M87" i="165"/>
  <c r="R87" i="165"/>
  <c r="I5" i="103"/>
  <c r="I5" i="102"/>
  <c r="P22" i="90"/>
  <c r="I29" i="112"/>
  <c r="N29" i="112" s="1"/>
  <c r="C43" i="145"/>
  <c r="AA55" i="99"/>
  <c r="AH30" i="55"/>
  <c r="AN30" i="55" s="1"/>
  <c r="U55" i="99"/>
  <c r="F116" i="136"/>
  <c r="F114" i="167"/>
  <c r="F116" i="140"/>
  <c r="J58" i="166"/>
  <c r="U58" i="166"/>
  <c r="K29" i="132"/>
  <c r="P29" i="132"/>
  <c r="E71" i="150"/>
  <c r="J5" i="103"/>
  <c r="Q22" i="90"/>
  <c r="J5" i="102"/>
  <c r="T102" i="105"/>
  <c r="G30" i="92"/>
  <c r="I27" i="92"/>
  <c r="J27" i="92"/>
  <c r="K27" i="92"/>
  <c r="H27" i="92"/>
  <c r="R20" i="135"/>
  <c r="G128" i="150"/>
  <c r="M20" i="135"/>
  <c r="P138" i="99"/>
  <c r="P189" i="99" s="1"/>
  <c r="N189" i="99" s="1"/>
  <c r="D80" i="136"/>
  <c r="D80" i="140"/>
  <c r="D78" i="167"/>
  <c r="H99" i="99"/>
  <c r="W93" i="165"/>
  <c r="V93" i="165"/>
  <c r="O93" i="165"/>
  <c r="J93" i="165"/>
  <c r="W57" i="165"/>
  <c r="V57" i="165"/>
  <c r="E85" i="136"/>
  <c r="E83" i="167"/>
  <c r="K104" i="99"/>
  <c r="E85" i="140"/>
  <c r="U8" i="102"/>
  <c r="G85" i="102"/>
  <c r="F24" i="109"/>
  <c r="G54" i="99"/>
  <c r="AH31" i="55"/>
  <c r="AN31" i="55" s="1"/>
  <c r="I30" i="112"/>
  <c r="N30" i="112" s="1"/>
  <c r="AA56" i="99"/>
  <c r="U56" i="99"/>
  <c r="C44" i="145"/>
  <c r="M91" i="166"/>
  <c r="R91" i="166"/>
  <c r="W28" i="165"/>
  <c r="J28" i="165"/>
  <c r="V28" i="165"/>
  <c r="O28" i="165"/>
  <c r="W56" i="166"/>
  <c r="V56" i="166"/>
  <c r="P25" i="166"/>
  <c r="K25" i="166"/>
  <c r="M22" i="165"/>
  <c r="R22" i="165"/>
  <c r="G21" i="165"/>
  <c r="S8" i="103"/>
  <c r="G58" i="99"/>
  <c r="F28" i="109"/>
  <c r="F112" i="140"/>
  <c r="F112" i="136"/>
  <c r="F110" i="167"/>
  <c r="W57" i="166"/>
  <c r="V57" i="166"/>
  <c r="W92" i="165"/>
  <c r="V92" i="165"/>
  <c r="J92" i="165"/>
  <c r="O92" i="165"/>
  <c r="V61" i="165"/>
  <c r="W61" i="165"/>
  <c r="T37" i="149"/>
  <c r="R86" i="166"/>
  <c r="M86" i="166"/>
  <c r="P86" i="166"/>
  <c r="K86" i="166"/>
  <c r="F124" i="150"/>
  <c r="F117" i="150" s="1"/>
  <c r="G124" i="150"/>
  <c r="G117" i="150" s="1"/>
  <c r="N29" i="165"/>
  <c r="N17" i="135"/>
  <c r="AB60" i="105"/>
  <c r="AB55" i="99"/>
  <c r="I19" i="135"/>
  <c r="C94" i="150"/>
  <c r="AB56" i="99"/>
  <c r="AB59" i="105"/>
  <c r="G193" i="99" l="1"/>
  <c r="H193" i="99"/>
  <c r="E193" i="99" s="1"/>
  <c r="O31" i="109" s="1"/>
  <c r="G189" i="99"/>
  <c r="H189" i="99"/>
  <c r="E189" i="99" s="1"/>
  <c r="O27" i="109" s="1"/>
  <c r="Q27" i="109" s="1"/>
  <c r="R27" i="109" s="1"/>
  <c r="H194" i="99"/>
  <c r="E194" i="99" s="1"/>
  <c r="O32" i="109" s="1"/>
  <c r="G194" i="99"/>
  <c r="G190" i="99"/>
  <c r="E190" i="99"/>
  <c r="O28" i="109" s="1"/>
  <c r="Q28" i="109" s="1"/>
  <c r="R28" i="109" s="1"/>
  <c r="H193" i="105"/>
  <c r="E193" i="105" s="1"/>
  <c r="P31" i="109" s="1"/>
  <c r="G193" i="105"/>
  <c r="H194" i="105"/>
  <c r="E194" i="105" s="1"/>
  <c r="P32" i="109" s="1"/>
  <c r="G194" i="105"/>
  <c r="H189" i="105"/>
  <c r="E189" i="105" s="1"/>
  <c r="P27" i="109" s="1"/>
  <c r="G189" i="105"/>
  <c r="H190" i="105"/>
  <c r="E190" i="105" s="1"/>
  <c r="P28" i="109" s="1"/>
  <c r="G190" i="105"/>
  <c r="F63" i="110"/>
  <c r="N63" i="110" s="1"/>
  <c r="N30" i="61"/>
  <c r="D64" i="165" s="1"/>
  <c r="F11" i="110"/>
  <c r="P30" i="61"/>
  <c r="F64" i="165" s="1"/>
  <c r="I28" i="109"/>
  <c r="Q8" i="115"/>
  <c r="D19" i="93"/>
  <c r="D19" i="58"/>
  <c r="J28" i="109"/>
  <c r="D28" i="109" s="1"/>
  <c r="D23" i="188"/>
  <c r="S27" i="188"/>
  <c r="S23" i="188"/>
  <c r="J24" i="109"/>
  <c r="D19" i="188"/>
  <c r="H43" i="55"/>
  <c r="H59" i="55" s="1"/>
  <c r="D58" i="112" s="1"/>
  <c r="N4" i="188"/>
  <c r="E102" i="99"/>
  <c r="I20" i="188" s="1"/>
  <c r="J20" i="188" s="1"/>
  <c r="I23" i="188"/>
  <c r="J23" i="188" s="1"/>
  <c r="M28" i="109"/>
  <c r="L25" i="109"/>
  <c r="M25" i="109" s="1"/>
  <c r="I24" i="109"/>
  <c r="H21" i="109"/>
  <c r="I21" i="109" s="1"/>
  <c r="E140" i="105"/>
  <c r="K140" i="105" s="1"/>
  <c r="L24" i="109"/>
  <c r="V103" i="105"/>
  <c r="N87" i="166"/>
  <c r="I93" i="166"/>
  <c r="Q30" i="61"/>
  <c r="G64" i="165" s="1"/>
  <c r="P26" i="61"/>
  <c r="F24" i="134" s="1"/>
  <c r="F27" i="130" s="1"/>
  <c r="F24" i="130" s="1"/>
  <c r="H23" i="132"/>
  <c r="H24" i="166"/>
  <c r="I27" i="132"/>
  <c r="C31" i="130" s="1"/>
  <c r="H22" i="135"/>
  <c r="Q26" i="61"/>
  <c r="I92" i="165"/>
  <c r="I28" i="165"/>
  <c r="N22" i="166"/>
  <c r="C27" i="151"/>
  <c r="G68" i="105"/>
  <c r="G105" i="105"/>
  <c r="K30" i="92"/>
  <c r="Q30" i="92" s="1"/>
  <c r="H30" i="92"/>
  <c r="N30" i="92" s="1"/>
  <c r="I30" i="92"/>
  <c r="O30" i="92" s="1"/>
  <c r="J30" i="92"/>
  <c r="P30" i="92" s="1"/>
  <c r="S144" i="105"/>
  <c r="S141" i="105" s="1"/>
  <c r="Q141" i="105"/>
  <c r="S105" i="99"/>
  <c r="S102" i="99" s="1"/>
  <c r="G83" i="140" s="1"/>
  <c r="M105" i="99"/>
  <c r="E86" i="136" s="1"/>
  <c r="J105" i="99"/>
  <c r="J102" i="99" s="1"/>
  <c r="D81" i="167" s="1"/>
  <c r="P105" i="99"/>
  <c r="F86" i="136" s="1"/>
  <c r="H23" i="61"/>
  <c r="N23" i="61" s="1"/>
  <c r="N26" i="61"/>
  <c r="D59" i="165" s="1"/>
  <c r="N140" i="105"/>
  <c r="E57" i="105"/>
  <c r="P24" i="188" s="1"/>
  <c r="P144" i="105"/>
  <c r="P141" i="105" s="1"/>
  <c r="N141" i="105"/>
  <c r="F20" i="134"/>
  <c r="F55" i="165"/>
  <c r="H18" i="135"/>
  <c r="G57" i="99"/>
  <c r="G57" i="105"/>
  <c r="M144" i="105"/>
  <c r="K141" i="105"/>
  <c r="P101" i="99"/>
  <c r="S101" i="99"/>
  <c r="M101" i="99"/>
  <c r="J101" i="99"/>
  <c r="J98" i="99" s="1"/>
  <c r="E68" i="105"/>
  <c r="P35" i="188" s="1"/>
  <c r="G61" i="105"/>
  <c r="G61" i="99"/>
  <c r="K26" i="92"/>
  <c r="Q26" i="92" s="1"/>
  <c r="G101" i="105"/>
  <c r="C40" i="146" s="1"/>
  <c r="H26" i="92"/>
  <c r="N26" i="92" s="1"/>
  <c r="I26" i="92"/>
  <c r="J26" i="92"/>
  <c r="P26" i="92" s="1"/>
  <c r="E61" i="105"/>
  <c r="P28" i="188" s="1"/>
  <c r="J144" i="105"/>
  <c r="J141" i="105" s="1"/>
  <c r="H141" i="105"/>
  <c r="G20" i="134"/>
  <c r="G55" i="165"/>
  <c r="U59" i="165"/>
  <c r="C55" i="165"/>
  <c r="U55" i="165" s="1"/>
  <c r="V100" i="99"/>
  <c r="F59" i="165"/>
  <c r="I23" i="165"/>
  <c r="H19" i="135"/>
  <c r="N93" i="166"/>
  <c r="H93" i="166" s="1"/>
  <c r="I87" i="166"/>
  <c r="N23" i="165"/>
  <c r="H23" i="165" s="1"/>
  <c r="I21" i="135"/>
  <c r="I30" i="166"/>
  <c r="I25" i="135"/>
  <c r="N27" i="132"/>
  <c r="C31" i="151" s="1"/>
  <c r="V103" i="99"/>
  <c r="N28" i="165"/>
  <c r="N25" i="135"/>
  <c r="H23" i="135"/>
  <c r="N92" i="165"/>
  <c r="N93" i="165"/>
  <c r="I22" i="166"/>
  <c r="I93" i="165"/>
  <c r="N30" i="166"/>
  <c r="F67" i="150"/>
  <c r="I24" i="132"/>
  <c r="E81" i="167"/>
  <c r="E83" i="140"/>
  <c r="E83" i="136"/>
  <c r="U102" i="99"/>
  <c r="E46" i="145"/>
  <c r="B41" i="146"/>
  <c r="E58" i="99"/>
  <c r="O25" i="188" s="1"/>
  <c r="E45" i="140"/>
  <c r="X56" i="99"/>
  <c r="K44" i="145"/>
  <c r="K56" i="99"/>
  <c r="G24" i="109"/>
  <c r="F21" i="109"/>
  <c r="F111" i="136"/>
  <c r="F109" i="167"/>
  <c r="F111" i="140"/>
  <c r="Q43" i="145"/>
  <c r="G44" i="140"/>
  <c r="Z55" i="99"/>
  <c r="Q55" i="99"/>
  <c r="E115" i="140"/>
  <c r="E115" i="136"/>
  <c r="E113" i="167"/>
  <c r="E111" i="137"/>
  <c r="E109" i="168"/>
  <c r="E111" i="142"/>
  <c r="D25" i="134"/>
  <c r="D60" i="165"/>
  <c r="L20" i="132"/>
  <c r="L9" i="132" s="1"/>
  <c r="Q20" i="132"/>
  <c r="Q9" i="132" s="1"/>
  <c r="F9" i="132"/>
  <c r="G26" i="171"/>
  <c r="E26" i="171" s="1"/>
  <c r="D26" i="171"/>
  <c r="T26" i="171" s="1"/>
  <c r="U26" i="171" s="1"/>
  <c r="E44" i="142"/>
  <c r="E44" i="137"/>
  <c r="E41" i="168"/>
  <c r="X55" i="105"/>
  <c r="E41" i="167"/>
  <c r="E44" i="136"/>
  <c r="G45" i="136"/>
  <c r="G42" i="168"/>
  <c r="G45" i="142"/>
  <c r="G45" i="137"/>
  <c r="G42" i="167"/>
  <c r="Z56" i="105"/>
  <c r="H21" i="57"/>
  <c r="I21" i="57"/>
  <c r="K21" i="57"/>
  <c r="J21" i="57"/>
  <c r="J25" i="171"/>
  <c r="K25" i="171" s="1"/>
  <c r="C89" i="166"/>
  <c r="C89" i="165"/>
  <c r="E140" i="99"/>
  <c r="H32" i="57"/>
  <c r="K37" i="115" s="1"/>
  <c r="K32" i="57"/>
  <c r="K40" i="115" s="1"/>
  <c r="J32" i="57"/>
  <c r="K39" i="115" s="1"/>
  <c r="I32" i="57"/>
  <c r="K38" i="115" s="1"/>
  <c r="L31" i="57"/>
  <c r="M32" i="57"/>
  <c r="K36" i="115"/>
  <c r="G39" i="57"/>
  <c r="L45" i="109" s="1"/>
  <c r="T151" i="105"/>
  <c r="T151" i="99"/>
  <c r="Q21" i="165"/>
  <c r="Q10" i="165" s="1"/>
  <c r="L21" i="165"/>
  <c r="L10" i="165" s="1"/>
  <c r="F10" i="165"/>
  <c r="F33" i="165" s="1"/>
  <c r="U10" i="166"/>
  <c r="C33" i="166"/>
  <c r="G48" i="137"/>
  <c r="Z59" i="105"/>
  <c r="G48" i="142"/>
  <c r="G48" i="136"/>
  <c r="G45" i="168"/>
  <c r="G45" i="167"/>
  <c r="E101" i="99"/>
  <c r="I19" i="188" s="1"/>
  <c r="J19" i="188" s="1"/>
  <c r="W63" i="165"/>
  <c r="V63" i="165"/>
  <c r="P21" i="166"/>
  <c r="P10" i="166" s="1"/>
  <c r="K21" i="166"/>
  <c r="K10" i="166" s="1"/>
  <c r="E10" i="166"/>
  <c r="E33" i="166" s="1"/>
  <c r="AA99" i="105"/>
  <c r="S24" i="92"/>
  <c r="X24" i="92" s="1"/>
  <c r="F111" i="142"/>
  <c r="F109" i="168"/>
  <c r="F111" i="137"/>
  <c r="C102" i="150"/>
  <c r="C99" i="150" s="1"/>
  <c r="C25" i="134"/>
  <c r="AA100" i="105"/>
  <c r="S25" i="92"/>
  <c r="X25" i="92" s="1"/>
  <c r="E55" i="166"/>
  <c r="P26" i="165"/>
  <c r="K26" i="165"/>
  <c r="K25" i="132"/>
  <c r="P25" i="132"/>
  <c r="O9" i="135"/>
  <c r="N16" i="135"/>
  <c r="N9" i="135" s="1"/>
  <c r="Z59" i="99"/>
  <c r="Q47" i="145"/>
  <c r="G48" i="140"/>
  <c r="Q59" i="99"/>
  <c r="Q48" i="145"/>
  <c r="G49" i="140"/>
  <c r="Z60" i="99"/>
  <c r="Q60" i="99"/>
  <c r="G113" i="167"/>
  <c r="G115" i="140"/>
  <c r="G115" i="136"/>
  <c r="T57" i="99"/>
  <c r="T57" i="105"/>
  <c r="P32" i="55"/>
  <c r="F25" i="171"/>
  <c r="AB32" i="55"/>
  <c r="L32" i="55"/>
  <c r="Q24" i="188" s="1"/>
  <c r="D31" i="112"/>
  <c r="X32" i="55"/>
  <c r="T32" i="55"/>
  <c r="N21" i="135"/>
  <c r="I86" i="166"/>
  <c r="I86" i="165"/>
  <c r="N24" i="132"/>
  <c r="N27" i="166"/>
  <c r="H17" i="135"/>
  <c r="N91" i="166"/>
  <c r="I22" i="165"/>
  <c r="I25" i="165"/>
  <c r="H24" i="165"/>
  <c r="V104" i="99"/>
  <c r="I29" i="132"/>
  <c r="I87" i="165"/>
  <c r="D62" i="150"/>
  <c r="D51" i="150" s="1"/>
  <c r="I30" i="165"/>
  <c r="I26" i="132"/>
  <c r="G51" i="110"/>
  <c r="G37" i="99"/>
  <c r="E42" i="145"/>
  <c r="B37" i="146"/>
  <c r="E54" i="99"/>
  <c r="O21" i="188" s="1"/>
  <c r="AA99" i="99"/>
  <c r="P27" i="92"/>
  <c r="F44" i="140"/>
  <c r="Y55" i="99"/>
  <c r="N43" i="145"/>
  <c r="N55" i="99"/>
  <c r="W21" i="166"/>
  <c r="V21" i="166"/>
  <c r="J21" i="166"/>
  <c r="O21" i="166"/>
  <c r="D10" i="166"/>
  <c r="T10" i="166"/>
  <c r="F115" i="142"/>
  <c r="F115" i="137"/>
  <c r="F113" i="168"/>
  <c r="R26" i="166"/>
  <c r="M26" i="166"/>
  <c r="U24" i="92"/>
  <c r="Z24" i="92" s="1"/>
  <c r="H28" i="132"/>
  <c r="C32" i="150"/>
  <c r="C32" i="130"/>
  <c r="T61" i="99"/>
  <c r="T61" i="105"/>
  <c r="D35" i="112"/>
  <c r="T36" i="55"/>
  <c r="F29" i="171"/>
  <c r="AB36" i="55"/>
  <c r="L36" i="55"/>
  <c r="Q28" i="188" s="1"/>
  <c r="X36" i="55"/>
  <c r="P36" i="55"/>
  <c r="G44" i="137"/>
  <c r="Z55" i="105"/>
  <c r="G41" i="167"/>
  <c r="G44" i="142"/>
  <c r="G41" i="168"/>
  <c r="G44" i="136"/>
  <c r="G111" i="136"/>
  <c r="G111" i="140"/>
  <c r="G109" i="167"/>
  <c r="D115" i="137"/>
  <c r="D113" i="168"/>
  <c r="D115" i="142"/>
  <c r="D45" i="136"/>
  <c r="D45" i="137"/>
  <c r="D42" i="168"/>
  <c r="W56" i="105"/>
  <c r="D45" i="142"/>
  <c r="D42" i="167"/>
  <c r="AD56" i="105"/>
  <c r="AF56" i="105" s="1"/>
  <c r="F42" i="167"/>
  <c r="Y56" i="105"/>
  <c r="F45" i="136"/>
  <c r="F45" i="142"/>
  <c r="F42" i="168"/>
  <c r="F45" i="137"/>
  <c r="T28" i="92"/>
  <c r="Y28" i="92" s="1"/>
  <c r="K22" i="171"/>
  <c r="J7" i="171"/>
  <c r="D83" i="140"/>
  <c r="V26" i="166"/>
  <c r="W26" i="166"/>
  <c r="O26" i="166"/>
  <c r="J26" i="166"/>
  <c r="V58" i="165"/>
  <c r="W58" i="165"/>
  <c r="C32" i="131"/>
  <c r="C32" i="151"/>
  <c r="D48" i="137"/>
  <c r="D48" i="136"/>
  <c r="D45" i="168"/>
  <c r="D48" i="142"/>
  <c r="D45" i="167"/>
  <c r="W59" i="105"/>
  <c r="AD59" i="105"/>
  <c r="AF59" i="105" s="1"/>
  <c r="M20" i="132"/>
  <c r="M9" i="132" s="1"/>
  <c r="R20" i="132"/>
  <c r="R9" i="132" s="1"/>
  <c r="G9" i="132"/>
  <c r="E49" i="142"/>
  <c r="X60" i="105"/>
  <c r="E46" i="168"/>
  <c r="E49" i="136"/>
  <c r="E49" i="137"/>
  <c r="E46" i="167"/>
  <c r="U105" i="99"/>
  <c r="U94" i="165"/>
  <c r="F94" i="165"/>
  <c r="E94" i="165"/>
  <c r="G94" i="165"/>
  <c r="D94" i="165"/>
  <c r="C90" i="165"/>
  <c r="U90" i="165" s="1"/>
  <c r="D29" i="134"/>
  <c r="T101" i="105"/>
  <c r="C23" i="133"/>
  <c r="O26" i="92"/>
  <c r="C59" i="166"/>
  <c r="H25" i="171"/>
  <c r="I25" i="171" s="1"/>
  <c r="F48" i="140"/>
  <c r="Y59" i="99"/>
  <c r="N47" i="145"/>
  <c r="N59" i="99"/>
  <c r="R25" i="132"/>
  <c r="M25" i="132"/>
  <c r="AA104" i="105"/>
  <c r="S29" i="92"/>
  <c r="X29" i="92" s="1"/>
  <c r="X60" i="99"/>
  <c r="E49" i="140"/>
  <c r="K48" i="145"/>
  <c r="K60" i="99"/>
  <c r="F51" i="110"/>
  <c r="N51" i="110" s="1"/>
  <c r="F3" i="110"/>
  <c r="G22" i="171"/>
  <c r="D22" i="171"/>
  <c r="T22" i="171" s="1"/>
  <c r="U22" i="171" s="1"/>
  <c r="N86" i="166"/>
  <c r="I20" i="135"/>
  <c r="N86" i="165"/>
  <c r="H29" i="165"/>
  <c r="I23" i="166"/>
  <c r="N88" i="166"/>
  <c r="N22" i="165"/>
  <c r="N88" i="165"/>
  <c r="I92" i="166"/>
  <c r="N27" i="165"/>
  <c r="C27" i="150"/>
  <c r="E67" i="150"/>
  <c r="N25" i="166"/>
  <c r="N87" i="165"/>
  <c r="N21" i="132"/>
  <c r="N30" i="165"/>
  <c r="E62" i="150"/>
  <c r="E51" i="150" s="1"/>
  <c r="N26" i="132"/>
  <c r="C27" i="131"/>
  <c r="N91" i="165"/>
  <c r="G28" i="109"/>
  <c r="F25" i="109"/>
  <c r="Z56" i="99"/>
  <c r="Q44" i="145"/>
  <c r="G45" i="140"/>
  <c r="Q56" i="99"/>
  <c r="AB58" i="105"/>
  <c r="M21" i="165"/>
  <c r="M10" i="165" s="1"/>
  <c r="R21" i="165"/>
  <c r="R10" i="165" s="1"/>
  <c r="G10" i="165"/>
  <c r="G33" i="165" s="1"/>
  <c r="W56" i="99"/>
  <c r="D45" i="140"/>
  <c r="H44" i="145"/>
  <c r="H56" i="99"/>
  <c r="AB54" i="105"/>
  <c r="Q27" i="92"/>
  <c r="T105" i="105"/>
  <c r="C28" i="133"/>
  <c r="C64" i="166"/>
  <c r="E44" i="140"/>
  <c r="X55" i="99"/>
  <c r="K43" i="145"/>
  <c r="K55" i="99"/>
  <c r="U33" i="165"/>
  <c r="V63" i="166"/>
  <c r="W63" i="166"/>
  <c r="D44" i="142"/>
  <c r="D41" i="167"/>
  <c r="W55" i="105"/>
  <c r="D41" i="168"/>
  <c r="D44" i="136"/>
  <c r="D44" i="137"/>
  <c r="AD55" i="105"/>
  <c r="AF55" i="105" s="1"/>
  <c r="P21" i="165"/>
  <c r="P10" i="165" s="1"/>
  <c r="K21" i="165"/>
  <c r="K10" i="165" s="1"/>
  <c r="E10" i="165"/>
  <c r="E33" i="165" s="1"/>
  <c r="AA103" i="99"/>
  <c r="D111" i="142"/>
  <c r="D109" i="168"/>
  <c r="D111" i="137"/>
  <c r="F48" i="136"/>
  <c r="F45" i="167"/>
  <c r="F48" i="137"/>
  <c r="F48" i="142"/>
  <c r="Y59" i="105"/>
  <c r="F45" i="168"/>
  <c r="W58" i="166"/>
  <c r="V58" i="166"/>
  <c r="Q26" i="165"/>
  <c r="L26" i="165"/>
  <c r="Y60" i="105"/>
  <c r="F46" i="168"/>
  <c r="F49" i="136"/>
  <c r="F49" i="137"/>
  <c r="F49" i="142"/>
  <c r="F46" i="167"/>
  <c r="G49" i="137"/>
  <c r="G49" i="136"/>
  <c r="Z60" i="105"/>
  <c r="G49" i="142"/>
  <c r="G46" i="167"/>
  <c r="G46" i="168"/>
  <c r="V21" i="165"/>
  <c r="W21" i="165"/>
  <c r="O21" i="165"/>
  <c r="J21" i="165"/>
  <c r="T10" i="165"/>
  <c r="D10" i="165"/>
  <c r="E84" i="167"/>
  <c r="Q144" i="99"/>
  <c r="K144" i="99"/>
  <c r="H144" i="99"/>
  <c r="G144" i="99"/>
  <c r="N144" i="99"/>
  <c r="E141" i="99"/>
  <c r="U28" i="92"/>
  <c r="Z28" i="92" s="1"/>
  <c r="F113" i="167"/>
  <c r="F115" i="140"/>
  <c r="F115" i="136"/>
  <c r="T24" i="92"/>
  <c r="Y24" i="92" s="1"/>
  <c r="V26" i="165"/>
  <c r="W26" i="165"/>
  <c r="O26" i="165"/>
  <c r="J26" i="165"/>
  <c r="G29" i="134"/>
  <c r="G55" i="166"/>
  <c r="D111" i="136"/>
  <c r="D111" i="140"/>
  <c r="D109" i="167"/>
  <c r="E48" i="140"/>
  <c r="X59" i="99"/>
  <c r="K47" i="145"/>
  <c r="K59" i="99"/>
  <c r="N48" i="145"/>
  <c r="Y60" i="99"/>
  <c r="F49" i="140"/>
  <c r="N60" i="99"/>
  <c r="V28" i="92"/>
  <c r="AA28" i="92" s="1"/>
  <c r="G109" i="168"/>
  <c r="G111" i="137"/>
  <c r="G111" i="142"/>
  <c r="Q21" i="166"/>
  <c r="Q10" i="166" s="1"/>
  <c r="L21" i="166"/>
  <c r="L10" i="166" s="1"/>
  <c r="F10" i="166"/>
  <c r="F33" i="166" s="1"/>
  <c r="N20" i="135"/>
  <c r="V100" i="105"/>
  <c r="N23" i="166"/>
  <c r="I91" i="166"/>
  <c r="V99" i="99"/>
  <c r="I88" i="166"/>
  <c r="N25" i="165"/>
  <c r="I88" i="165"/>
  <c r="N92" i="166"/>
  <c r="H29" i="171"/>
  <c r="I29" i="171" s="1"/>
  <c r="C27" i="130"/>
  <c r="H29" i="166"/>
  <c r="N22" i="132"/>
  <c r="I25" i="166"/>
  <c r="N28" i="166"/>
  <c r="I21" i="132"/>
  <c r="D67" i="150"/>
  <c r="I91" i="165"/>
  <c r="Y56" i="99"/>
  <c r="F45" i="140"/>
  <c r="N44" i="145"/>
  <c r="N56" i="99"/>
  <c r="N27" i="92"/>
  <c r="O27" i="92"/>
  <c r="D44" i="140"/>
  <c r="W55" i="99"/>
  <c r="H43" i="145"/>
  <c r="H55" i="99"/>
  <c r="AA103" i="105"/>
  <c r="S28" i="92"/>
  <c r="X28" i="92" s="1"/>
  <c r="K26" i="166"/>
  <c r="P26" i="166"/>
  <c r="F41" i="168"/>
  <c r="F41" i="167"/>
  <c r="Y55" i="105"/>
  <c r="F44" i="142"/>
  <c r="F44" i="136"/>
  <c r="F44" i="137"/>
  <c r="M21" i="166"/>
  <c r="M10" i="166" s="1"/>
  <c r="R21" i="166"/>
  <c r="R10" i="166" s="1"/>
  <c r="G10" i="166"/>
  <c r="G33" i="166" s="1"/>
  <c r="L25" i="132"/>
  <c r="Q25" i="132"/>
  <c r="G113" i="168"/>
  <c r="G115" i="137"/>
  <c r="G115" i="142"/>
  <c r="E45" i="137"/>
  <c r="X56" i="105"/>
  <c r="E45" i="136"/>
  <c r="E42" i="168"/>
  <c r="E45" i="142"/>
  <c r="E42" i="167"/>
  <c r="R26" i="165"/>
  <c r="M26" i="165"/>
  <c r="D115" i="136"/>
  <c r="D113" i="167"/>
  <c r="D115" i="140"/>
  <c r="G25" i="134"/>
  <c r="G60" i="165"/>
  <c r="E48" i="136"/>
  <c r="E45" i="167"/>
  <c r="E48" i="142"/>
  <c r="E48" i="137"/>
  <c r="X59" i="105"/>
  <c r="E45" i="168"/>
  <c r="E111" i="140"/>
  <c r="E109" i="167"/>
  <c r="E111" i="136"/>
  <c r="W60" i="105"/>
  <c r="D49" i="137"/>
  <c r="D49" i="142"/>
  <c r="D49" i="136"/>
  <c r="D46" i="168"/>
  <c r="D46" i="167"/>
  <c r="AD60" i="105"/>
  <c r="AF60" i="105" s="1"/>
  <c r="D84" i="167"/>
  <c r="U94" i="166"/>
  <c r="E94" i="166"/>
  <c r="G94" i="166"/>
  <c r="F94" i="166"/>
  <c r="D94" i="166"/>
  <c r="C90" i="166"/>
  <c r="E115" i="142"/>
  <c r="E113" i="168"/>
  <c r="E115" i="137"/>
  <c r="J25" i="109"/>
  <c r="K25" i="109" s="1"/>
  <c r="B13" i="173"/>
  <c r="U64" i="165"/>
  <c r="S60" i="165"/>
  <c r="D55" i="166"/>
  <c r="F55" i="166"/>
  <c r="B12" i="173"/>
  <c r="K24" i="109"/>
  <c r="J21" i="109"/>
  <c r="Q26" i="166"/>
  <c r="L26" i="166"/>
  <c r="J9" i="135"/>
  <c r="I16" i="135"/>
  <c r="D48" i="140"/>
  <c r="H47" i="145"/>
  <c r="W59" i="99"/>
  <c r="H59" i="99"/>
  <c r="J20" i="132"/>
  <c r="O20" i="132"/>
  <c r="D9" i="132"/>
  <c r="D49" i="140"/>
  <c r="H48" i="145"/>
  <c r="W60" i="99"/>
  <c r="H60" i="99"/>
  <c r="K20" i="132"/>
  <c r="K9" i="132" s="1"/>
  <c r="P20" i="132"/>
  <c r="P9" i="132" s="1"/>
  <c r="E9" i="132"/>
  <c r="V24" i="92"/>
  <c r="AA24" i="92" s="1"/>
  <c r="O25" i="132"/>
  <c r="J25" i="132"/>
  <c r="F60" i="165"/>
  <c r="F25" i="134"/>
  <c r="T37" i="99"/>
  <c r="T37" i="105"/>
  <c r="D11" i="112"/>
  <c r="AB12" i="55"/>
  <c r="F7" i="171"/>
  <c r="G7" i="171" s="1"/>
  <c r="F62" i="150"/>
  <c r="F51" i="150" s="1"/>
  <c r="V99" i="105"/>
  <c r="I27" i="166"/>
  <c r="G62" i="150"/>
  <c r="G51" i="150" s="1"/>
  <c r="I27" i="165"/>
  <c r="H24" i="135"/>
  <c r="I22" i="132"/>
  <c r="I28" i="166"/>
  <c r="N29" i="132"/>
  <c r="G67" i="150"/>
  <c r="V104" i="105"/>
  <c r="D24" i="134" l="1"/>
  <c r="D27" i="150" s="1"/>
  <c r="D24" i="150" s="1"/>
  <c r="Q31" i="109"/>
  <c r="R31" i="109" s="1"/>
  <c r="E28" i="109"/>
  <c r="Q32" i="109"/>
  <c r="R32" i="109" s="1"/>
  <c r="Q140" i="105"/>
  <c r="H140" i="105"/>
  <c r="E137" i="105"/>
  <c r="E130" i="105" s="1"/>
  <c r="E151" i="105" s="1"/>
  <c r="N151" i="105" s="1"/>
  <c r="D42" i="112"/>
  <c r="F36" i="171"/>
  <c r="G86" i="140"/>
  <c r="F29" i="134"/>
  <c r="F32" i="150" s="1"/>
  <c r="F29" i="150" s="1"/>
  <c r="C31" i="150"/>
  <c r="F97" i="150"/>
  <c r="F94" i="150" s="1"/>
  <c r="P102" i="99"/>
  <c r="F27" i="150"/>
  <c r="F24" i="150" s="1"/>
  <c r="N105" i="99"/>
  <c r="N102" i="99" s="1"/>
  <c r="H28" i="165"/>
  <c r="K28" i="109"/>
  <c r="C31" i="131"/>
  <c r="B36" i="115"/>
  <c r="T68" i="99"/>
  <c r="H27" i="132"/>
  <c r="Z43" i="55"/>
  <c r="AB43" i="55"/>
  <c r="T68" i="105"/>
  <c r="H54" i="55"/>
  <c r="D11" i="58" s="1"/>
  <c r="U90" i="166"/>
  <c r="AD55" i="99"/>
  <c r="AF55" i="99" s="1"/>
  <c r="R22" i="188"/>
  <c r="AD56" i="99"/>
  <c r="AF56" i="99" s="1"/>
  <c r="R23" i="188"/>
  <c r="AD60" i="99"/>
  <c r="AF60" i="99" s="1"/>
  <c r="R27" i="188"/>
  <c r="AD59" i="99"/>
  <c r="AF59" i="99" s="1"/>
  <c r="R26" i="188"/>
  <c r="N35" i="188"/>
  <c r="Q4" i="115"/>
  <c r="G140" i="105"/>
  <c r="G137" i="105" s="1"/>
  <c r="G130" i="105" s="1"/>
  <c r="M24" i="109"/>
  <c r="L21" i="109"/>
  <c r="L42" i="109"/>
  <c r="L41" i="109" s="1"/>
  <c r="L46" i="109" s="1"/>
  <c r="D24" i="109"/>
  <c r="D25" i="109"/>
  <c r="F86" i="140"/>
  <c r="F84" i="167"/>
  <c r="H88" i="165"/>
  <c r="G81" i="167"/>
  <c r="H87" i="166"/>
  <c r="K105" i="99"/>
  <c r="K102" i="99" s="1"/>
  <c r="D97" i="150"/>
  <c r="D94" i="150" s="1"/>
  <c r="E86" i="140"/>
  <c r="D27" i="130"/>
  <c r="D24" i="130" s="1"/>
  <c r="G83" i="136"/>
  <c r="G84" i="167"/>
  <c r="G86" i="136"/>
  <c r="H22" i="166"/>
  <c r="H92" i="165"/>
  <c r="H27" i="166"/>
  <c r="H21" i="135"/>
  <c r="Q105" i="99"/>
  <c r="Q102" i="99" s="1"/>
  <c r="D86" i="140"/>
  <c r="D86" i="136"/>
  <c r="D83" i="136"/>
  <c r="G59" i="165"/>
  <c r="W59" i="165" s="1"/>
  <c r="G24" i="134"/>
  <c r="H105" i="99"/>
  <c r="AA105" i="99" s="1"/>
  <c r="J61" i="105"/>
  <c r="S61" i="105"/>
  <c r="P61" i="105"/>
  <c r="M61" i="105"/>
  <c r="S57" i="99"/>
  <c r="M57" i="99"/>
  <c r="P57" i="99"/>
  <c r="J57" i="99"/>
  <c r="P140" i="105"/>
  <c r="N137" i="105"/>
  <c r="N130" i="105" s="1"/>
  <c r="E105" i="105"/>
  <c r="P105" i="105"/>
  <c r="M105" i="105"/>
  <c r="S105" i="105"/>
  <c r="J105" i="105"/>
  <c r="G102" i="105"/>
  <c r="C44" i="146"/>
  <c r="H151" i="105"/>
  <c r="P61" i="99"/>
  <c r="J61" i="99"/>
  <c r="J195" i="99" s="1"/>
  <c r="S61" i="99"/>
  <c r="M61" i="99"/>
  <c r="J57" i="105"/>
  <c r="S57" i="105"/>
  <c r="P57" i="105"/>
  <c r="M57" i="105"/>
  <c r="J140" i="105"/>
  <c r="J137" i="105" s="1"/>
  <c r="H137" i="105"/>
  <c r="H130" i="105" s="1"/>
  <c r="M141" i="105"/>
  <c r="S140" i="105"/>
  <c r="S137" i="105" s="1"/>
  <c r="Q137" i="105"/>
  <c r="Q130" i="105" s="1"/>
  <c r="E101" i="105"/>
  <c r="C89" i="145" s="1"/>
  <c r="P101" i="105"/>
  <c r="M101" i="105"/>
  <c r="K101" i="105" s="1"/>
  <c r="K98" i="105" s="1"/>
  <c r="S101" i="105"/>
  <c r="G80" i="168" s="1"/>
  <c r="J101" i="105"/>
  <c r="D80" i="168" s="1"/>
  <c r="G98" i="105"/>
  <c r="M140" i="105"/>
  <c r="M137" i="105" s="1"/>
  <c r="K137" i="105"/>
  <c r="K130" i="105" s="1"/>
  <c r="D55" i="165"/>
  <c r="W55" i="165" s="1"/>
  <c r="D20" i="134"/>
  <c r="H27" i="165"/>
  <c r="H91" i="166"/>
  <c r="H28" i="166"/>
  <c r="H88" i="166"/>
  <c r="H30" i="166"/>
  <c r="C28" i="150"/>
  <c r="C28" i="130"/>
  <c r="H91" i="165"/>
  <c r="H25" i="166"/>
  <c r="H24" i="132"/>
  <c r="H25" i="135"/>
  <c r="N25" i="132"/>
  <c r="E22" i="171"/>
  <c r="I25" i="132"/>
  <c r="H93" i="165"/>
  <c r="N20" i="132"/>
  <c r="N9" i="132" s="1"/>
  <c r="O9" i="132"/>
  <c r="W55" i="166"/>
  <c r="O94" i="166"/>
  <c r="W94" i="166"/>
  <c r="V94" i="166"/>
  <c r="J94" i="166"/>
  <c r="D90" i="166"/>
  <c r="H21" i="132"/>
  <c r="C25" i="150"/>
  <c r="C25" i="130"/>
  <c r="C26" i="131"/>
  <c r="C26" i="151"/>
  <c r="C129" i="145"/>
  <c r="M144" i="99"/>
  <c r="K141" i="99"/>
  <c r="I21" i="165"/>
  <c r="J10" i="165"/>
  <c r="AC55" i="105"/>
  <c r="AE55" i="105" s="1"/>
  <c r="F64" i="166"/>
  <c r="U64" i="166"/>
  <c r="C60" i="166"/>
  <c r="U60" i="166" s="1"/>
  <c r="S60" i="166"/>
  <c r="G60" i="166"/>
  <c r="J30" i="112"/>
  <c r="O30" i="112" s="1"/>
  <c r="AI31" i="55"/>
  <c r="AO31" i="55" s="1"/>
  <c r="AC56" i="99"/>
  <c r="AE56" i="99" s="1"/>
  <c r="C30" i="151"/>
  <c r="C30" i="131"/>
  <c r="U59" i="166"/>
  <c r="C55" i="166"/>
  <c r="U55" i="166" s="1"/>
  <c r="V55" i="166" s="1"/>
  <c r="S55" i="166"/>
  <c r="D102" i="150"/>
  <c r="D99" i="150" s="1"/>
  <c r="D32" i="150"/>
  <c r="D29" i="150" s="1"/>
  <c r="D32" i="130"/>
  <c r="D29" i="130" s="1"/>
  <c r="R94" i="165"/>
  <c r="M94" i="165"/>
  <c r="G90" i="165"/>
  <c r="J36" i="171"/>
  <c r="K7" i="171"/>
  <c r="AC56" i="105"/>
  <c r="AE56" i="105" s="1"/>
  <c r="AC36" i="55"/>
  <c r="E35" i="112"/>
  <c r="L33" i="55"/>
  <c r="Q25" i="188" s="1"/>
  <c r="N21" i="166"/>
  <c r="N10" i="166" s="1"/>
  <c r="O10" i="166"/>
  <c r="L29" i="112"/>
  <c r="Q29" i="112" s="1"/>
  <c r="L43" i="145"/>
  <c r="AK30" i="55"/>
  <c r="AQ30" i="55" s="1"/>
  <c r="B40" i="146"/>
  <c r="E45" i="145"/>
  <c r="E25" i="145"/>
  <c r="E37" i="99"/>
  <c r="G31" i="112"/>
  <c r="AE32" i="55"/>
  <c r="T29" i="55"/>
  <c r="U101" i="99"/>
  <c r="E98" i="99"/>
  <c r="I16" i="188" s="1"/>
  <c r="J16" i="188" s="1"/>
  <c r="H19" i="93"/>
  <c r="E19" i="93"/>
  <c r="F19" i="93"/>
  <c r="G19" i="93"/>
  <c r="E11" i="128"/>
  <c r="U89" i="165"/>
  <c r="E89" i="165"/>
  <c r="F89" i="165"/>
  <c r="G89" i="165"/>
  <c r="D89" i="165"/>
  <c r="C85" i="165"/>
  <c r="V60" i="165"/>
  <c r="W60" i="165"/>
  <c r="G21" i="109"/>
  <c r="F7" i="109"/>
  <c r="I26" i="165"/>
  <c r="H23" i="166"/>
  <c r="I26" i="166"/>
  <c r="H86" i="166"/>
  <c r="G68" i="99"/>
  <c r="J33" i="112"/>
  <c r="O33" i="112" s="1"/>
  <c r="AI34" i="55"/>
  <c r="AO34" i="55" s="1"/>
  <c r="AC59" i="99"/>
  <c r="AE59" i="99" s="1"/>
  <c r="P94" i="166"/>
  <c r="K94" i="166"/>
  <c r="E90" i="166"/>
  <c r="D60" i="166"/>
  <c r="AJ34" i="55"/>
  <c r="AP34" i="55" s="1"/>
  <c r="I47" i="145"/>
  <c r="K33" i="112"/>
  <c r="P33" i="112" s="1"/>
  <c r="G102" i="150"/>
  <c r="G99" i="150" s="1"/>
  <c r="G32" i="150"/>
  <c r="G29" i="150" s="1"/>
  <c r="G32" i="130"/>
  <c r="G29" i="130" s="1"/>
  <c r="J144" i="99"/>
  <c r="H141" i="99"/>
  <c r="AJ30" i="55"/>
  <c r="AP30" i="55" s="1"/>
  <c r="K29" i="112"/>
  <c r="P29" i="112" s="1"/>
  <c r="I43" i="145"/>
  <c r="G64" i="166"/>
  <c r="AA54" i="105"/>
  <c r="U54" i="105"/>
  <c r="F2" i="110"/>
  <c r="N3" i="110" s="1"/>
  <c r="B8" i="173"/>
  <c r="B4" i="173" s="1"/>
  <c r="L33" i="112"/>
  <c r="Q33" i="112" s="1"/>
  <c r="AK34" i="55"/>
  <c r="AQ34" i="55" s="1"/>
  <c r="L47" i="145"/>
  <c r="G59" i="166"/>
  <c r="W94" i="165"/>
  <c r="V94" i="165"/>
  <c r="J94" i="165"/>
  <c r="O94" i="165"/>
  <c r="D90" i="165"/>
  <c r="AC59" i="105"/>
  <c r="AE59" i="105" s="1"/>
  <c r="H35" i="112"/>
  <c r="AF36" i="55"/>
  <c r="X33" i="55"/>
  <c r="AE36" i="55"/>
  <c r="G35" i="112"/>
  <c r="T33" i="55"/>
  <c r="T33" i="166"/>
  <c r="V10" i="166"/>
  <c r="W10" i="166"/>
  <c r="D33" i="166"/>
  <c r="F60" i="166"/>
  <c r="B54" i="146"/>
  <c r="H26" i="132"/>
  <c r="C30" i="130"/>
  <c r="C30" i="150"/>
  <c r="C33" i="150"/>
  <c r="H29" i="132"/>
  <c r="C33" i="130"/>
  <c r="AC32" i="55"/>
  <c r="E31" i="112"/>
  <c r="L29" i="55"/>
  <c r="Q21" i="188" s="1"/>
  <c r="D80" i="167"/>
  <c r="D82" i="140"/>
  <c r="D82" i="136"/>
  <c r="H101" i="99"/>
  <c r="E82" i="140"/>
  <c r="E80" i="167"/>
  <c r="K101" i="99"/>
  <c r="K98" i="99" s="1"/>
  <c r="E82" i="136"/>
  <c r="H39" i="57"/>
  <c r="U9" i="114"/>
  <c r="K39" i="57"/>
  <c r="J39" i="57"/>
  <c r="I39" i="57"/>
  <c r="C104" i="166"/>
  <c r="C104" i="165"/>
  <c r="J43" i="171"/>
  <c r="K43" i="171" s="1"/>
  <c r="G36" i="57"/>
  <c r="K41" i="115"/>
  <c r="C128" i="145"/>
  <c r="G140" i="99"/>
  <c r="Q140" i="99"/>
  <c r="N140" i="99"/>
  <c r="K140" i="99"/>
  <c r="H140" i="99"/>
  <c r="E137" i="99"/>
  <c r="AL30" i="55"/>
  <c r="AR30" i="55" s="1"/>
  <c r="O43" i="145"/>
  <c r="M29" i="112"/>
  <c r="R29" i="112" s="1"/>
  <c r="I44" i="145"/>
  <c r="K30" i="112"/>
  <c r="P30" i="112" s="1"/>
  <c r="AJ31" i="55"/>
  <c r="AP31" i="55" s="1"/>
  <c r="H92" i="166"/>
  <c r="H30" i="165"/>
  <c r="H22" i="165"/>
  <c r="H86" i="165"/>
  <c r="F83" i="136"/>
  <c r="F83" i="140"/>
  <c r="F81" i="167"/>
  <c r="C33" i="131"/>
  <c r="C33" i="151"/>
  <c r="R94" i="166"/>
  <c r="M94" i="166"/>
  <c r="G90" i="166"/>
  <c r="AK31" i="55"/>
  <c r="AQ31" i="55" s="1"/>
  <c r="L44" i="145"/>
  <c r="L30" i="112"/>
  <c r="Q30" i="112" s="1"/>
  <c r="D44" i="146"/>
  <c r="G141" i="99"/>
  <c r="W10" i="165"/>
  <c r="T33" i="165"/>
  <c r="V10" i="165"/>
  <c r="D33" i="165"/>
  <c r="D64" i="166"/>
  <c r="U101" i="105"/>
  <c r="G25" i="109"/>
  <c r="F59" i="166"/>
  <c r="D23" i="133"/>
  <c r="F23" i="133"/>
  <c r="G23" i="133"/>
  <c r="E23" i="133"/>
  <c r="C19" i="133"/>
  <c r="Q94" i="165"/>
  <c r="L94" i="165"/>
  <c r="F90" i="165"/>
  <c r="F35" i="112"/>
  <c r="AD36" i="55"/>
  <c r="P33" i="55"/>
  <c r="D29" i="171"/>
  <c r="T29" i="171" s="1"/>
  <c r="U29" i="171" s="1"/>
  <c r="G29" i="171"/>
  <c r="E29" i="171" s="1"/>
  <c r="C42" i="145"/>
  <c r="I28" i="112"/>
  <c r="N28" i="112" s="1"/>
  <c r="U54" i="99"/>
  <c r="AH29" i="55"/>
  <c r="AN29" i="55" s="1"/>
  <c r="AA54" i="99"/>
  <c r="E57" i="99"/>
  <c r="AD32" i="55"/>
  <c r="F31" i="112"/>
  <c r="P29" i="55"/>
  <c r="M33" i="112"/>
  <c r="R33" i="112" s="1"/>
  <c r="O47" i="145"/>
  <c r="AL34" i="55"/>
  <c r="AR34" i="55" s="1"/>
  <c r="G82" i="136"/>
  <c r="G82" i="140"/>
  <c r="Q101" i="99"/>
  <c r="Q98" i="99" s="1"/>
  <c r="G80" i="167"/>
  <c r="S98" i="99"/>
  <c r="U33" i="166"/>
  <c r="D53" i="112"/>
  <c r="AH33" i="55"/>
  <c r="AN33" i="55" s="1"/>
  <c r="AA58" i="99"/>
  <c r="I32" i="112"/>
  <c r="N32" i="112" s="1"/>
  <c r="U58" i="99"/>
  <c r="C46" i="145"/>
  <c r="E61" i="99"/>
  <c r="AB54" i="99"/>
  <c r="H87" i="165"/>
  <c r="H25" i="165"/>
  <c r="C26" i="150"/>
  <c r="C26" i="130"/>
  <c r="H22" i="132"/>
  <c r="J34" i="112"/>
  <c r="O34" i="112" s="1"/>
  <c r="AC60" i="99"/>
  <c r="AE60" i="99" s="1"/>
  <c r="AI35" i="55"/>
  <c r="AO35" i="55" s="1"/>
  <c r="I20" i="132"/>
  <c r="J9" i="132"/>
  <c r="H16" i="135"/>
  <c r="I9" i="135"/>
  <c r="K21" i="109"/>
  <c r="Q94" i="166"/>
  <c r="L94" i="166"/>
  <c r="F90" i="166"/>
  <c r="AC60" i="105"/>
  <c r="AE60" i="105" s="1"/>
  <c r="AI30" i="55"/>
  <c r="AO30" i="55" s="1"/>
  <c r="J29" i="112"/>
  <c r="O29" i="112" s="1"/>
  <c r="AC55" i="99"/>
  <c r="AE55" i="99" s="1"/>
  <c r="E60" i="166"/>
  <c r="AK35" i="55"/>
  <c r="AQ35" i="55" s="1"/>
  <c r="L48" i="145"/>
  <c r="L34" i="112"/>
  <c r="Q34" i="112" s="1"/>
  <c r="P144" i="99"/>
  <c r="N141" i="99"/>
  <c r="S144" i="99"/>
  <c r="Q141" i="99"/>
  <c r="N21" i="165"/>
  <c r="N10" i="165" s="1"/>
  <c r="O10" i="165"/>
  <c r="E64" i="166"/>
  <c r="G28" i="133"/>
  <c r="E28" i="133"/>
  <c r="F28" i="133"/>
  <c r="D28" i="133"/>
  <c r="C24" i="133"/>
  <c r="F82" i="137"/>
  <c r="F80" i="168"/>
  <c r="F82" i="142"/>
  <c r="AA58" i="105"/>
  <c r="AB61" i="105"/>
  <c r="U58" i="105"/>
  <c r="M30" i="112"/>
  <c r="R30" i="112" s="1"/>
  <c r="AL31" i="55"/>
  <c r="AR31" i="55" s="1"/>
  <c r="O44" i="145"/>
  <c r="C25" i="151"/>
  <c r="C25" i="131"/>
  <c r="V59" i="165"/>
  <c r="K34" i="112"/>
  <c r="P34" i="112" s="1"/>
  <c r="AJ35" i="55"/>
  <c r="AP35" i="55" s="1"/>
  <c r="I48" i="145"/>
  <c r="D59" i="166"/>
  <c r="E59" i="166"/>
  <c r="W64" i="165"/>
  <c r="V64" i="165"/>
  <c r="P94" i="165"/>
  <c r="K94" i="165"/>
  <c r="E90" i="165"/>
  <c r="I21" i="166"/>
  <c r="J10" i="166"/>
  <c r="C28" i="151"/>
  <c r="C28" i="131"/>
  <c r="AF32" i="55"/>
  <c r="H31" i="112"/>
  <c r="X29" i="55"/>
  <c r="G25" i="171"/>
  <c r="E25" i="171" s="1"/>
  <c r="D25" i="171"/>
  <c r="T25" i="171" s="1"/>
  <c r="U25" i="171" s="1"/>
  <c r="M34" i="112"/>
  <c r="R34" i="112" s="1"/>
  <c r="AL35" i="55"/>
  <c r="AR35" i="55" s="1"/>
  <c r="O48" i="145"/>
  <c r="F80" i="167"/>
  <c r="N101" i="99"/>
  <c r="N98" i="99" s="1"/>
  <c r="F82" i="136"/>
  <c r="F82" i="140"/>
  <c r="P98" i="99"/>
  <c r="E19" i="58"/>
  <c r="H19" i="58"/>
  <c r="G19" i="58"/>
  <c r="U89" i="166"/>
  <c r="G89" i="166"/>
  <c r="D89" i="166"/>
  <c r="E89" i="166"/>
  <c r="F89" i="166"/>
  <c r="C85" i="166"/>
  <c r="G36" i="171"/>
  <c r="E49" i="145"/>
  <c r="B44" i="146"/>
  <c r="N26" i="165"/>
  <c r="H102" i="99"/>
  <c r="H20" i="135"/>
  <c r="N26" i="166"/>
  <c r="AB58" i="99"/>
  <c r="P195" i="99" l="1"/>
  <c r="N195" i="99" s="1"/>
  <c r="G151" i="105"/>
  <c r="E24" i="109"/>
  <c r="E25" i="109"/>
  <c r="F32" i="130"/>
  <c r="F29" i="130" s="1"/>
  <c r="M195" i="99"/>
  <c r="K195" i="99" s="1"/>
  <c r="Q151" i="105"/>
  <c r="K151" i="105"/>
  <c r="M151" i="105" s="1"/>
  <c r="H195" i="99"/>
  <c r="S195" i="99"/>
  <c r="Q195" i="99" s="1"/>
  <c r="G158" i="105"/>
  <c r="E158" i="105" s="1"/>
  <c r="S191" i="105"/>
  <c r="Q191" i="105" s="1"/>
  <c r="J195" i="105"/>
  <c r="H195" i="105" s="1"/>
  <c r="J191" i="105"/>
  <c r="M195" i="105"/>
  <c r="K195" i="105" s="1"/>
  <c r="P54" i="105"/>
  <c r="P191" i="105"/>
  <c r="N191" i="105" s="1"/>
  <c r="S195" i="105"/>
  <c r="M191" i="105"/>
  <c r="K191" i="105" s="1"/>
  <c r="P195" i="105"/>
  <c r="N195" i="105" s="1"/>
  <c r="F102" i="150"/>
  <c r="F99" i="150" s="1"/>
  <c r="D11" i="93"/>
  <c r="U27" i="188"/>
  <c r="T27" i="188"/>
  <c r="AG36" i="55"/>
  <c r="AB61" i="99"/>
  <c r="O28" i="188"/>
  <c r="AB37" i="99"/>
  <c r="O4" i="188"/>
  <c r="U23" i="188"/>
  <c r="T23" i="188"/>
  <c r="U22" i="188"/>
  <c r="T22" i="188"/>
  <c r="E98" i="105"/>
  <c r="C86" i="145" s="1"/>
  <c r="E19" i="188"/>
  <c r="F19" i="188" s="1"/>
  <c r="U26" i="188"/>
  <c r="T26" i="188"/>
  <c r="AB57" i="99"/>
  <c r="O24" i="188"/>
  <c r="E23" i="188"/>
  <c r="F23" i="188" s="1"/>
  <c r="AG32" i="55"/>
  <c r="D82" i="142"/>
  <c r="D82" i="137"/>
  <c r="L7" i="109"/>
  <c r="M21" i="109"/>
  <c r="D21" i="109"/>
  <c r="E82" i="142"/>
  <c r="E80" i="168"/>
  <c r="E82" i="137"/>
  <c r="V105" i="99"/>
  <c r="G82" i="142"/>
  <c r="G82" i="137"/>
  <c r="G27" i="150"/>
  <c r="G24" i="150" s="1"/>
  <c r="G27" i="130"/>
  <c r="G24" i="130" s="1"/>
  <c r="G97" i="150"/>
  <c r="G94" i="150" s="1"/>
  <c r="E68" i="99"/>
  <c r="Q101" i="105"/>
  <c r="Q98" i="105" s="1"/>
  <c r="S98" i="105"/>
  <c r="G77" i="168" s="1"/>
  <c r="N54" i="105"/>
  <c r="S151" i="105"/>
  <c r="S158" i="105"/>
  <c r="M102" i="105"/>
  <c r="C41" i="146"/>
  <c r="N105" i="105"/>
  <c r="P102" i="105"/>
  <c r="F84" i="168"/>
  <c r="F86" i="137"/>
  <c r="F86" i="142"/>
  <c r="K61" i="105"/>
  <c r="M58" i="105"/>
  <c r="M192" i="105" s="1"/>
  <c r="K192" i="105" s="1"/>
  <c r="H101" i="105"/>
  <c r="H98" i="105" s="1"/>
  <c r="J98" i="105"/>
  <c r="D79" i="142" s="1"/>
  <c r="S130" i="105"/>
  <c r="K57" i="105"/>
  <c r="M54" i="105"/>
  <c r="K105" i="105"/>
  <c r="E84" i="168"/>
  <c r="E86" i="142"/>
  <c r="E86" i="137"/>
  <c r="P137" i="105"/>
  <c r="J58" i="105"/>
  <c r="M98" i="105"/>
  <c r="E79" i="142" s="1"/>
  <c r="C37" i="146"/>
  <c r="N101" i="105"/>
  <c r="N98" i="105" s="1"/>
  <c r="P98" i="105"/>
  <c r="F77" i="168" s="1"/>
  <c r="J54" i="105"/>
  <c r="J158" i="105"/>
  <c r="J151" i="105"/>
  <c r="Q105" i="105"/>
  <c r="S102" i="105"/>
  <c r="G86" i="142"/>
  <c r="G84" i="168"/>
  <c r="G86" i="137"/>
  <c r="S58" i="105"/>
  <c r="S192" i="105" s="1"/>
  <c r="Q192" i="105" s="1"/>
  <c r="M130" i="105"/>
  <c r="J130" i="105"/>
  <c r="S54" i="105"/>
  <c r="S188" i="105" s="1"/>
  <c r="Q188" i="105" s="1"/>
  <c r="E155" i="105"/>
  <c r="P151" i="105"/>
  <c r="P158" i="105"/>
  <c r="H105" i="105"/>
  <c r="J102" i="105"/>
  <c r="D84" i="168"/>
  <c r="D86" i="137"/>
  <c r="D86" i="142"/>
  <c r="E102" i="105"/>
  <c r="E20" i="188" s="1"/>
  <c r="F20" i="188" s="1"/>
  <c r="C93" i="145"/>
  <c r="U105" i="105"/>
  <c r="P58" i="105"/>
  <c r="P192" i="105" s="1"/>
  <c r="V55" i="165"/>
  <c r="H25" i="132"/>
  <c r="F44" i="146"/>
  <c r="M44" i="146" s="1"/>
  <c r="C24" i="151"/>
  <c r="V101" i="99"/>
  <c r="F77" i="167"/>
  <c r="F79" i="140"/>
  <c r="F79" i="136"/>
  <c r="P90" i="165"/>
  <c r="K90" i="165"/>
  <c r="G24" i="133"/>
  <c r="G33" i="131"/>
  <c r="G29" i="131" s="1"/>
  <c r="G33" i="151"/>
  <c r="G29" i="151" s="1"/>
  <c r="F115" i="167"/>
  <c r="F117" i="136"/>
  <c r="F117" i="140"/>
  <c r="P141" i="99"/>
  <c r="AB68" i="105"/>
  <c r="G305" i="105"/>
  <c r="G79" i="136"/>
  <c r="G77" i="167"/>
  <c r="G79" i="140"/>
  <c r="Q90" i="165"/>
  <c r="L90" i="165"/>
  <c r="E19" i="133"/>
  <c r="E28" i="131"/>
  <c r="E24" i="131" s="1"/>
  <c r="E28" i="151"/>
  <c r="E24" i="151" s="1"/>
  <c r="U37" i="105"/>
  <c r="AA37" i="105"/>
  <c r="M140" i="99"/>
  <c r="M191" i="99" s="1"/>
  <c r="K191" i="99" s="1"/>
  <c r="K137" i="99"/>
  <c r="K130" i="99" s="1"/>
  <c r="E79" i="140"/>
  <c r="E77" i="167"/>
  <c r="E79" i="136"/>
  <c r="H32" i="112"/>
  <c r="AF33" i="55"/>
  <c r="N5" i="110"/>
  <c r="C5" i="173" s="1"/>
  <c r="N12" i="110"/>
  <c r="N9" i="110"/>
  <c r="C11" i="173" s="1"/>
  <c r="N6" i="110"/>
  <c r="C6" i="173" s="1"/>
  <c r="N7" i="110"/>
  <c r="C7" i="173" s="1"/>
  <c r="N4" i="110"/>
  <c r="C9" i="173" s="1"/>
  <c r="N8" i="110"/>
  <c r="C10" i="173" s="1"/>
  <c r="N11" i="110"/>
  <c r="C13" i="173" s="1"/>
  <c r="N10" i="110"/>
  <c r="C12" i="173" s="1"/>
  <c r="T26" i="92"/>
  <c r="Y26" i="92" s="1"/>
  <c r="M89" i="165"/>
  <c r="R89" i="165"/>
  <c r="G85" i="165"/>
  <c r="D117" i="142"/>
  <c r="D117" i="137"/>
  <c r="D115" i="168"/>
  <c r="C25" i="145"/>
  <c r="U37" i="99"/>
  <c r="AH12" i="55"/>
  <c r="AN12" i="55" s="1"/>
  <c r="I11" i="112"/>
  <c r="N11" i="112" s="1"/>
  <c r="AA37" i="99"/>
  <c r="R90" i="165"/>
  <c r="M90" i="165"/>
  <c r="H21" i="165"/>
  <c r="I10" i="165"/>
  <c r="H10" i="165" s="1"/>
  <c r="N94" i="165"/>
  <c r="H26" i="166"/>
  <c r="C24" i="150"/>
  <c r="P89" i="166"/>
  <c r="K89" i="166"/>
  <c r="E85" i="166"/>
  <c r="L89" i="166"/>
  <c r="Q89" i="166"/>
  <c r="F85" i="166"/>
  <c r="H21" i="166"/>
  <c r="I10" i="166"/>
  <c r="H10" i="166" s="1"/>
  <c r="W59" i="166"/>
  <c r="V59" i="166"/>
  <c r="U68" i="105"/>
  <c r="E305" i="105"/>
  <c r="AA68" i="105"/>
  <c r="U26" i="92"/>
  <c r="Z26" i="92" s="1"/>
  <c r="E33" i="151"/>
  <c r="E29" i="151" s="1"/>
  <c r="E24" i="133"/>
  <c r="E33" i="131"/>
  <c r="E29" i="131" s="1"/>
  <c r="AA61" i="99"/>
  <c r="C49" i="145"/>
  <c r="AH36" i="55"/>
  <c r="AN36" i="55" s="1"/>
  <c r="I35" i="112"/>
  <c r="N35" i="112" s="1"/>
  <c r="U61" i="99"/>
  <c r="F28" i="112"/>
  <c r="P12" i="55"/>
  <c r="P43" i="55" s="1"/>
  <c r="P50" i="55" s="1"/>
  <c r="AD29" i="55"/>
  <c r="D5" i="157"/>
  <c r="N5" i="157" s="1"/>
  <c r="D6" i="157"/>
  <c r="AD33" i="55"/>
  <c r="F32" i="112"/>
  <c r="D19" i="133"/>
  <c r="D28" i="131"/>
  <c r="D24" i="131" s="1"/>
  <c r="D28" i="151"/>
  <c r="D24" i="151" s="1"/>
  <c r="W33" i="165"/>
  <c r="V33" i="165"/>
  <c r="D41" i="146"/>
  <c r="M90" i="166"/>
  <c r="R90" i="166"/>
  <c r="J140" i="99"/>
  <c r="J191" i="99" s="1"/>
  <c r="H137" i="99"/>
  <c r="H130" i="99" s="1"/>
  <c r="D40" i="146"/>
  <c r="F40" i="146" s="1"/>
  <c r="M40" i="146" s="1"/>
  <c r="G137" i="99"/>
  <c r="U6" i="114"/>
  <c r="K36" i="57"/>
  <c r="H36" i="57"/>
  <c r="J36" i="57"/>
  <c r="I36" i="57"/>
  <c r="G35" i="57"/>
  <c r="C102" i="166"/>
  <c r="C102" i="165"/>
  <c r="J40" i="171"/>
  <c r="K40" i="171" s="1"/>
  <c r="G115" i="168"/>
  <c r="G117" i="142"/>
  <c r="G117" i="137"/>
  <c r="E28" i="112"/>
  <c r="AC29" i="55"/>
  <c r="C5" i="157"/>
  <c r="L12" i="55"/>
  <c r="V90" i="165"/>
  <c r="W90" i="165"/>
  <c r="O90" i="165"/>
  <c r="J90" i="165"/>
  <c r="C8" i="173"/>
  <c r="E56" i="145"/>
  <c r="V89" i="165"/>
  <c r="W89" i="165"/>
  <c r="J89" i="165"/>
  <c r="O89" i="165"/>
  <c r="D85" i="165"/>
  <c r="U98" i="99"/>
  <c r="K36" i="171"/>
  <c r="C24" i="131"/>
  <c r="H26" i="165"/>
  <c r="C24" i="130"/>
  <c r="I94" i="166"/>
  <c r="R89" i="166"/>
  <c r="M89" i="166"/>
  <c r="G85" i="166"/>
  <c r="F117" i="142"/>
  <c r="F117" i="137"/>
  <c r="F115" i="168"/>
  <c r="AA61" i="105"/>
  <c r="U61" i="105"/>
  <c r="F33" i="151"/>
  <c r="F29" i="151" s="1"/>
  <c r="F33" i="131"/>
  <c r="F29" i="131" s="1"/>
  <c r="F24" i="133"/>
  <c r="G115" i="167"/>
  <c r="G117" i="136"/>
  <c r="G117" i="140"/>
  <c r="S141" i="99"/>
  <c r="H9" i="135"/>
  <c r="C36" i="115"/>
  <c r="E117" i="137"/>
  <c r="E117" i="142"/>
  <c r="E115" i="168"/>
  <c r="I31" i="112"/>
  <c r="N31" i="112" s="1"/>
  <c r="U57" i="99"/>
  <c r="AH32" i="55"/>
  <c r="AN32" i="55" s="1"/>
  <c r="C45" i="145"/>
  <c r="AA57" i="99"/>
  <c r="F19" i="133"/>
  <c r="F28" i="131"/>
  <c r="F24" i="131" s="1"/>
  <c r="F28" i="151"/>
  <c r="F24" i="151" s="1"/>
  <c r="C125" i="145"/>
  <c r="E130" i="99"/>
  <c r="S140" i="99"/>
  <c r="S191" i="99" s="1"/>
  <c r="Q191" i="99" s="1"/>
  <c r="Q137" i="99"/>
  <c r="Q130" i="99" s="1"/>
  <c r="U104" i="166"/>
  <c r="E104" i="166"/>
  <c r="D104" i="166"/>
  <c r="G104" i="166"/>
  <c r="F104" i="166"/>
  <c r="AA101" i="99"/>
  <c r="H98" i="99"/>
  <c r="V98" i="99" s="1"/>
  <c r="AA57" i="105"/>
  <c r="U57" i="105"/>
  <c r="K90" i="166"/>
  <c r="P90" i="166"/>
  <c r="G7" i="109"/>
  <c r="F35" i="109"/>
  <c r="C78" i="165"/>
  <c r="C97" i="165" s="1"/>
  <c r="U85" i="165"/>
  <c r="P89" i="165"/>
  <c r="K89" i="165"/>
  <c r="E85" i="165"/>
  <c r="M45" i="109"/>
  <c r="E115" i="167"/>
  <c r="E117" i="140"/>
  <c r="E117" i="136"/>
  <c r="M141" i="99"/>
  <c r="O90" i="166"/>
  <c r="W90" i="166"/>
  <c r="V90" i="166"/>
  <c r="J90" i="166"/>
  <c r="C29" i="130"/>
  <c r="C29" i="151"/>
  <c r="AB57" i="105"/>
  <c r="N94" i="166"/>
  <c r="AA102" i="99"/>
  <c r="V102" i="99"/>
  <c r="U85" i="166"/>
  <c r="C78" i="166"/>
  <c r="C97" i="166" s="1"/>
  <c r="L36" i="115"/>
  <c r="E307" i="105"/>
  <c r="V89" i="166"/>
  <c r="W89" i="166"/>
  <c r="O89" i="166"/>
  <c r="J89" i="166"/>
  <c r="D85" i="166"/>
  <c r="F7" i="157"/>
  <c r="X12" i="55"/>
  <c r="AF29" i="55"/>
  <c r="H28" i="112"/>
  <c r="D33" i="131"/>
  <c r="D29" i="131" s="1"/>
  <c r="D33" i="151"/>
  <c r="D29" i="151" s="1"/>
  <c r="D24" i="133"/>
  <c r="L90" i="166"/>
  <c r="Q90" i="166"/>
  <c r="H20" i="132"/>
  <c r="I9" i="132"/>
  <c r="H9" i="132" s="1"/>
  <c r="B11" i="128"/>
  <c r="G28" i="151"/>
  <c r="G24" i="151" s="1"/>
  <c r="G28" i="131"/>
  <c r="G24" i="131" s="1"/>
  <c r="G19" i="133"/>
  <c r="W64" i="166"/>
  <c r="V64" i="166"/>
  <c r="P140" i="99"/>
  <c r="P191" i="99" s="1"/>
  <c r="N191" i="99" s="1"/>
  <c r="N137" i="99"/>
  <c r="N130" i="99" s="1"/>
  <c r="G104" i="165"/>
  <c r="D104" i="165"/>
  <c r="F104" i="165"/>
  <c r="U104" i="165"/>
  <c r="E104" i="165"/>
  <c r="D79" i="140"/>
  <c r="D79" i="136"/>
  <c r="D77" i="167"/>
  <c r="V33" i="166"/>
  <c r="W33" i="166"/>
  <c r="G32" i="112"/>
  <c r="AE33" i="55"/>
  <c r="D115" i="167"/>
  <c r="D117" i="140"/>
  <c r="D117" i="136"/>
  <c r="J141" i="99"/>
  <c r="W60" i="166"/>
  <c r="V60" i="166"/>
  <c r="Q89" i="165"/>
  <c r="L89" i="165"/>
  <c r="F85" i="165"/>
  <c r="E22" i="128"/>
  <c r="T12" i="55"/>
  <c r="T43" i="55" s="1"/>
  <c r="T50" i="55" s="1"/>
  <c r="E6" i="157"/>
  <c r="O6" i="157" s="1"/>
  <c r="G28" i="112"/>
  <c r="AE29" i="55"/>
  <c r="E32" i="112"/>
  <c r="AC33" i="55"/>
  <c r="AB37" i="105"/>
  <c r="C29" i="150"/>
  <c r="I94" i="165"/>
  <c r="C29" i="131"/>
  <c r="H191" i="99" l="1"/>
  <c r="E191" i="99" s="1"/>
  <c r="O29" i="109" s="1"/>
  <c r="G191" i="99"/>
  <c r="E195" i="99"/>
  <c r="O33" i="109" s="1"/>
  <c r="M158" i="105"/>
  <c r="G195" i="99"/>
  <c r="E21" i="109"/>
  <c r="M37" i="105"/>
  <c r="K37" i="105" s="1"/>
  <c r="M188" i="105"/>
  <c r="K188" i="105" s="1"/>
  <c r="H191" i="105"/>
  <c r="E191" i="105" s="1"/>
  <c r="P29" i="109" s="1"/>
  <c r="G191" i="105"/>
  <c r="G195" i="105"/>
  <c r="Q195" i="105"/>
  <c r="E195" i="105" s="1"/>
  <c r="P33" i="109" s="1"/>
  <c r="N192" i="105"/>
  <c r="J192" i="105"/>
  <c r="J37" i="105"/>
  <c r="H37" i="105" s="1"/>
  <c r="S4" i="188" s="1"/>
  <c r="J188" i="105"/>
  <c r="P37" i="105"/>
  <c r="N37" i="105" s="1"/>
  <c r="P188" i="105"/>
  <c r="N188" i="105" s="1"/>
  <c r="AG33" i="55"/>
  <c r="D79" i="137"/>
  <c r="U68" i="99"/>
  <c r="O35" i="188"/>
  <c r="R4" i="115"/>
  <c r="S4" i="115" s="1"/>
  <c r="L43" i="55"/>
  <c r="AC43" i="55" s="1"/>
  <c r="Q4" i="188"/>
  <c r="I42" i="112"/>
  <c r="N42" i="112" s="1"/>
  <c r="AA101" i="105"/>
  <c r="E16" i="188"/>
  <c r="F16" i="188" s="1"/>
  <c r="AG29" i="55"/>
  <c r="U98" i="105"/>
  <c r="L35" i="109"/>
  <c r="M7" i="109"/>
  <c r="S37" i="105"/>
  <c r="Q37" i="105" s="1"/>
  <c r="S26" i="92"/>
  <c r="X26" i="92" s="1"/>
  <c r="F79" i="142"/>
  <c r="V26" i="92"/>
  <c r="AA26" i="92" s="1"/>
  <c r="F79" i="137"/>
  <c r="I90" i="165"/>
  <c r="E77" i="168"/>
  <c r="E79" i="137"/>
  <c r="V101" i="105"/>
  <c r="F41" i="146"/>
  <c r="M41" i="146" s="1"/>
  <c r="G79" i="137"/>
  <c r="G79" i="142"/>
  <c r="V98" i="105"/>
  <c r="B29" i="111"/>
  <c r="AH43" i="55"/>
  <c r="AN43" i="55" s="1"/>
  <c r="D77" i="168"/>
  <c r="B19" i="111"/>
  <c r="C56" i="145"/>
  <c r="AB68" i="99"/>
  <c r="AA68" i="99"/>
  <c r="E154" i="105"/>
  <c r="G155" i="105"/>
  <c r="Q58" i="105"/>
  <c r="K158" i="105"/>
  <c r="H102" i="105"/>
  <c r="V105" i="105"/>
  <c r="S30" i="92"/>
  <c r="X30" i="92" s="1"/>
  <c r="AA105" i="105"/>
  <c r="H58" i="105"/>
  <c r="S25" i="188" s="1"/>
  <c r="K54" i="105"/>
  <c r="U30" i="92"/>
  <c r="Z30" i="92" s="1"/>
  <c r="N102" i="105"/>
  <c r="U27" i="92" s="1"/>
  <c r="Z27" i="92" s="1"/>
  <c r="Q158" i="105"/>
  <c r="N58" i="105"/>
  <c r="P68" i="105"/>
  <c r="U102" i="105"/>
  <c r="C90" i="145"/>
  <c r="D83" i="137"/>
  <c r="D81" i="168"/>
  <c r="D83" i="142"/>
  <c r="Q102" i="105"/>
  <c r="V27" i="92" s="1"/>
  <c r="AA27" i="92" s="1"/>
  <c r="V30" i="92"/>
  <c r="AA30" i="92" s="1"/>
  <c r="H54" i="105"/>
  <c r="S21" i="188" s="1"/>
  <c r="K102" i="105"/>
  <c r="T27" i="92" s="1"/>
  <c r="Y27" i="92" s="1"/>
  <c r="T30" i="92"/>
  <c r="Y30" i="92" s="1"/>
  <c r="F83" i="142"/>
  <c r="F83" i="137"/>
  <c r="F81" i="168"/>
  <c r="E83" i="142"/>
  <c r="E81" i="168"/>
  <c r="E83" i="137"/>
  <c r="N57" i="105"/>
  <c r="N158" i="105"/>
  <c r="Q54" i="105"/>
  <c r="G81" i="168"/>
  <c r="G83" i="142"/>
  <c r="G83" i="137"/>
  <c r="H158" i="105"/>
  <c r="P130" i="105"/>
  <c r="K58" i="105"/>
  <c r="N90" i="165"/>
  <c r="N89" i="166"/>
  <c r="I89" i="166"/>
  <c r="H94" i="165"/>
  <c r="N2" i="110"/>
  <c r="C4" i="173" s="1"/>
  <c r="K104" i="165"/>
  <c r="P104" i="165"/>
  <c r="R104" i="165"/>
  <c r="M104" i="165"/>
  <c r="W85" i="166"/>
  <c r="V85" i="166"/>
  <c r="J85" i="166"/>
  <c r="D78" i="166"/>
  <c r="D97" i="166" s="1"/>
  <c r="O85" i="166"/>
  <c r="G307" i="105"/>
  <c r="M42" i="109"/>
  <c r="M41" i="109"/>
  <c r="G43" i="167"/>
  <c r="G43" i="168"/>
  <c r="Z57" i="105"/>
  <c r="G46" i="142"/>
  <c r="G46" i="137"/>
  <c r="G46" i="136"/>
  <c r="L104" i="166"/>
  <c r="Q104" i="166"/>
  <c r="D50" i="137"/>
  <c r="D50" i="136"/>
  <c r="D47" i="167"/>
  <c r="D50" i="142"/>
  <c r="D47" i="168"/>
  <c r="W61" i="105"/>
  <c r="M5" i="157"/>
  <c r="B5" i="157"/>
  <c r="L5" i="157" s="1"/>
  <c r="U102" i="165"/>
  <c r="D102" i="165"/>
  <c r="F102" i="165"/>
  <c r="E102" i="165"/>
  <c r="G102" i="165"/>
  <c r="G130" i="99"/>
  <c r="D37" i="146"/>
  <c r="AD12" i="55"/>
  <c r="F11" i="112"/>
  <c r="D3" i="157"/>
  <c r="D50" i="140"/>
  <c r="W61" i="99"/>
  <c r="H49" i="145"/>
  <c r="J58" i="99"/>
  <c r="J192" i="99" s="1"/>
  <c r="Q49" i="145"/>
  <c r="Z61" i="99"/>
  <c r="G50" i="140"/>
  <c r="S58" i="99"/>
  <c r="S192" i="99" s="1"/>
  <c r="Q192" i="99" s="1"/>
  <c r="F78" i="166"/>
  <c r="F97" i="166" s="1"/>
  <c r="Q85" i="166"/>
  <c r="Q78" i="166" s="1"/>
  <c r="L85" i="166"/>
  <c r="L78" i="166" s="1"/>
  <c r="F112" i="167"/>
  <c r="F114" i="136"/>
  <c r="F114" i="140"/>
  <c r="G11" i="112"/>
  <c r="AE12" i="55"/>
  <c r="E3" i="157"/>
  <c r="W104" i="165"/>
  <c r="V104" i="165"/>
  <c r="O104" i="165"/>
  <c r="J104" i="165"/>
  <c r="P7" i="157"/>
  <c r="B7" i="157"/>
  <c r="L7" i="157" s="1"/>
  <c r="H307" i="105"/>
  <c r="K307" i="105"/>
  <c r="U78" i="166"/>
  <c r="E114" i="136"/>
  <c r="E112" i="167"/>
  <c r="E114" i="140"/>
  <c r="G35" i="109"/>
  <c r="F36" i="109"/>
  <c r="F39" i="109"/>
  <c r="E43" i="167"/>
  <c r="E46" i="137"/>
  <c r="E46" i="142"/>
  <c r="E46" i="136"/>
  <c r="X57" i="105"/>
  <c r="E43" i="168"/>
  <c r="P104" i="166"/>
  <c r="K104" i="166"/>
  <c r="C118" i="145"/>
  <c r="E151" i="99"/>
  <c r="R8" i="115" s="1"/>
  <c r="S8" i="115" s="1"/>
  <c r="D46" i="140"/>
  <c r="H45" i="145"/>
  <c r="W57" i="99"/>
  <c r="J54" i="99"/>
  <c r="E50" i="137"/>
  <c r="E47" i="168"/>
  <c r="E50" i="136"/>
  <c r="E50" i="142"/>
  <c r="X61" i="105"/>
  <c r="E47" i="167"/>
  <c r="F114" i="142"/>
  <c r="F112" i="168"/>
  <c r="F114" i="137"/>
  <c r="M85" i="166"/>
  <c r="M78" i="166" s="1"/>
  <c r="R85" i="166"/>
  <c r="R78" i="166" s="1"/>
  <c r="G78" i="166"/>
  <c r="G97" i="166" s="1"/>
  <c r="E11" i="112"/>
  <c r="C3" i="157"/>
  <c r="AC12" i="55"/>
  <c r="G114" i="137"/>
  <c r="G112" i="168"/>
  <c r="G114" i="142"/>
  <c r="D113" i="140"/>
  <c r="D113" i="136"/>
  <c r="D111" i="167"/>
  <c r="J137" i="99"/>
  <c r="E113" i="137"/>
  <c r="E113" i="142"/>
  <c r="E111" i="168"/>
  <c r="N49" i="145"/>
  <c r="F50" i="140"/>
  <c r="Y61" i="99"/>
  <c r="P58" i="99"/>
  <c r="P192" i="99" s="1"/>
  <c r="K85" i="166"/>
  <c r="K78" i="166" s="1"/>
  <c r="P85" i="166"/>
  <c r="P78" i="166" s="1"/>
  <c r="E78" i="166"/>
  <c r="E97" i="166" s="1"/>
  <c r="D114" i="142"/>
  <c r="D112" i="168"/>
  <c r="D114" i="137"/>
  <c r="R85" i="165"/>
  <c r="R78" i="165" s="1"/>
  <c r="M85" i="165"/>
  <c r="M78" i="165" s="1"/>
  <c r="G78" i="165"/>
  <c r="G97" i="165" s="1"/>
  <c r="V23" i="92"/>
  <c r="AA23" i="92" s="1"/>
  <c r="I90" i="166"/>
  <c r="I89" i="165"/>
  <c r="D114" i="140"/>
  <c r="D114" i="136"/>
  <c r="D112" i="167"/>
  <c r="AE43" i="55"/>
  <c r="G42" i="112"/>
  <c r="B39" i="115"/>
  <c r="T59" i="55"/>
  <c r="T54" i="55"/>
  <c r="Q104" i="165"/>
  <c r="L104" i="165"/>
  <c r="F113" i="140"/>
  <c r="F113" i="136"/>
  <c r="F111" i="167"/>
  <c r="P137" i="99"/>
  <c r="B22" i="128"/>
  <c r="H11" i="112"/>
  <c r="F3" i="157"/>
  <c r="AF12" i="55"/>
  <c r="N307" i="105"/>
  <c r="E33" i="111"/>
  <c r="E34" i="111" s="1"/>
  <c r="P85" i="165"/>
  <c r="P78" i="165" s="1"/>
  <c r="E78" i="165"/>
  <c r="E97" i="165" s="1"/>
  <c r="E112" i="165" s="1"/>
  <c r="K85" i="165"/>
  <c r="K78" i="165" s="1"/>
  <c r="U78" i="165"/>
  <c r="W57" i="105"/>
  <c r="D43" i="167"/>
  <c r="D46" i="142"/>
  <c r="D46" i="137"/>
  <c r="D43" i="168"/>
  <c r="D46" i="136"/>
  <c r="AA98" i="99"/>
  <c r="O104" i="166"/>
  <c r="V104" i="166"/>
  <c r="W104" i="166"/>
  <c r="J104" i="166"/>
  <c r="G113" i="136"/>
  <c r="G113" i="140"/>
  <c r="G111" i="167"/>
  <c r="S137" i="99"/>
  <c r="K45" i="145"/>
  <c r="X57" i="99"/>
  <c r="E46" i="140"/>
  <c r="M54" i="99"/>
  <c r="D113" i="137"/>
  <c r="D111" i="168"/>
  <c r="D113" i="142"/>
  <c r="D36" i="115"/>
  <c r="B42" i="115"/>
  <c r="G47" i="167"/>
  <c r="Z61" i="105"/>
  <c r="G50" i="136"/>
  <c r="G47" i="168"/>
  <c r="G50" i="137"/>
  <c r="G50" i="142"/>
  <c r="K35" i="57"/>
  <c r="H35" i="57"/>
  <c r="J35" i="57"/>
  <c r="U5" i="114"/>
  <c r="I35" i="57"/>
  <c r="G34" i="57"/>
  <c r="D21" i="58" s="1"/>
  <c r="D18" i="58" s="1"/>
  <c r="C8" i="189" s="1"/>
  <c r="C101" i="165"/>
  <c r="J39" i="171"/>
  <c r="K39" i="171" s="1"/>
  <c r="C101" i="166"/>
  <c r="P59" i="55"/>
  <c r="F42" i="112"/>
  <c r="AD43" i="55"/>
  <c r="B38" i="115"/>
  <c r="P54" i="55"/>
  <c r="F11" i="93" s="1"/>
  <c r="T23" i="92"/>
  <c r="Y23" i="92" s="1"/>
  <c r="G113" i="142"/>
  <c r="G113" i="137"/>
  <c r="G111" i="168"/>
  <c r="N90" i="166"/>
  <c r="H94" i="166"/>
  <c r="N89" i="165"/>
  <c r="L59" i="55"/>
  <c r="F78" i="165"/>
  <c r="F97" i="165" s="1"/>
  <c r="Q85" i="165"/>
  <c r="Q78" i="165" s="1"/>
  <c r="L85" i="165"/>
  <c r="L78" i="165" s="1"/>
  <c r="F113" i="142"/>
  <c r="F113" i="137"/>
  <c r="F111" i="168"/>
  <c r="Q307" i="105"/>
  <c r="F46" i="142"/>
  <c r="F46" i="137"/>
  <c r="F46" i="136"/>
  <c r="F43" i="167"/>
  <c r="Y57" i="105"/>
  <c r="F43" i="168"/>
  <c r="R104" i="166"/>
  <c r="M104" i="166"/>
  <c r="N45" i="145"/>
  <c r="F46" i="140"/>
  <c r="Y57" i="99"/>
  <c r="P54" i="99"/>
  <c r="P188" i="99" s="1"/>
  <c r="N188" i="99" s="1"/>
  <c r="Z57" i="99"/>
  <c r="G46" i="140"/>
  <c r="Q45" i="145"/>
  <c r="S54" i="99"/>
  <c r="S188" i="99" s="1"/>
  <c r="Q188" i="99" s="1"/>
  <c r="E112" i="168"/>
  <c r="E114" i="142"/>
  <c r="E114" i="137"/>
  <c r="G114" i="136"/>
  <c r="G112" i="167"/>
  <c r="G114" i="140"/>
  <c r="Y61" i="105"/>
  <c r="F50" i="136"/>
  <c r="F50" i="142"/>
  <c r="F47" i="167"/>
  <c r="F50" i="137"/>
  <c r="F47" i="168"/>
  <c r="V85" i="165"/>
  <c r="O85" i="165"/>
  <c r="D78" i="165"/>
  <c r="D97" i="165" s="1"/>
  <c r="W85" i="165"/>
  <c r="J85" i="165"/>
  <c r="E102" i="166"/>
  <c r="D102" i="166"/>
  <c r="F102" i="166"/>
  <c r="U102" i="166"/>
  <c r="G102" i="166"/>
  <c r="N6" i="157"/>
  <c r="B6" i="157"/>
  <c r="L6" i="157" s="1"/>
  <c r="X61" i="99"/>
  <c r="E50" i="140"/>
  <c r="K49" i="145"/>
  <c r="M58" i="99"/>
  <c r="M192" i="99" s="1"/>
  <c r="U23" i="92"/>
  <c r="Z23" i="92" s="1"/>
  <c r="S23" i="92"/>
  <c r="X23" i="92" s="1"/>
  <c r="AA98" i="105"/>
  <c r="E113" i="140"/>
  <c r="E113" i="136"/>
  <c r="E111" i="167"/>
  <c r="M137" i="99"/>
  <c r="X43" i="55"/>
  <c r="X50" i="55" s="1"/>
  <c r="K192" i="99" l="1"/>
  <c r="M188" i="99"/>
  <c r="K188" i="99" s="1"/>
  <c r="J188" i="99"/>
  <c r="H90" i="165"/>
  <c r="Q33" i="109"/>
  <c r="R33" i="109" s="1"/>
  <c r="N192" i="99"/>
  <c r="G192" i="99"/>
  <c r="H192" i="99"/>
  <c r="Q29" i="109"/>
  <c r="R29" i="109" s="1"/>
  <c r="G192" i="105"/>
  <c r="H192" i="105"/>
  <c r="E192" i="105" s="1"/>
  <c r="P30" i="109" s="1"/>
  <c r="H188" i="105"/>
  <c r="E188" i="105" s="1"/>
  <c r="P26" i="109" s="1"/>
  <c r="G188" i="105"/>
  <c r="AG43" i="55"/>
  <c r="E42" i="112"/>
  <c r="L54" i="55"/>
  <c r="B37" i="115"/>
  <c r="G11" i="58"/>
  <c r="G11" i="93"/>
  <c r="B20" i="111"/>
  <c r="B30" i="111"/>
  <c r="E58" i="112"/>
  <c r="D11" i="129"/>
  <c r="D13" i="129" s="1"/>
  <c r="F58" i="112"/>
  <c r="E11" i="129"/>
  <c r="L42" i="57"/>
  <c r="L38" i="57"/>
  <c r="L50" i="55"/>
  <c r="Q42" i="188" s="1"/>
  <c r="Q35" i="188"/>
  <c r="G58" i="112"/>
  <c r="F11" i="129"/>
  <c r="AG12" i="55"/>
  <c r="H50" i="55"/>
  <c r="M35" i="109"/>
  <c r="L36" i="109"/>
  <c r="L39" i="109"/>
  <c r="M68" i="105"/>
  <c r="H155" i="105"/>
  <c r="H61" i="105"/>
  <c r="H68" i="105"/>
  <c r="S35" i="188" s="1"/>
  <c r="Q68" i="105"/>
  <c r="Q61" i="105"/>
  <c r="E153" i="105"/>
  <c r="N155" i="105"/>
  <c r="Q155" i="105"/>
  <c r="G154" i="105"/>
  <c r="V102" i="105"/>
  <c r="S27" i="92"/>
  <c r="X27" i="92" s="1"/>
  <c r="AA102" i="105"/>
  <c r="K155" i="105"/>
  <c r="K68" i="105"/>
  <c r="J68" i="105"/>
  <c r="Q57" i="105"/>
  <c r="H57" i="105"/>
  <c r="N68" i="105"/>
  <c r="N61" i="105"/>
  <c r="S68" i="105"/>
  <c r="H89" i="166"/>
  <c r="L40" i="109"/>
  <c r="L48" i="109" s="1"/>
  <c r="Q102" i="166"/>
  <c r="L102" i="166"/>
  <c r="X58" i="99"/>
  <c r="E47" i="140"/>
  <c r="K46" i="145"/>
  <c r="K58" i="99"/>
  <c r="J78" i="165"/>
  <c r="I85" i="165"/>
  <c r="S37" i="99"/>
  <c r="S68" i="99" s="1"/>
  <c r="Q54" i="99"/>
  <c r="G43" i="140"/>
  <c r="Q42" i="145"/>
  <c r="Z54" i="99"/>
  <c r="F40" i="167"/>
  <c r="F43" i="137"/>
  <c r="F43" i="142"/>
  <c r="F43" i="136"/>
  <c r="F40" i="168"/>
  <c r="Y54" i="105"/>
  <c r="D40" i="165"/>
  <c r="E49" i="112"/>
  <c r="D38" i="132"/>
  <c r="L47" i="55"/>
  <c r="F53" i="112"/>
  <c r="D101" i="165"/>
  <c r="U101" i="165"/>
  <c r="F101" i="165"/>
  <c r="G101" i="165"/>
  <c r="E101" i="165"/>
  <c r="C100" i="165"/>
  <c r="F131" i="142"/>
  <c r="F131" i="137"/>
  <c r="F129" i="168"/>
  <c r="G53" i="112"/>
  <c r="B33" i="111"/>
  <c r="B34" i="111" s="1"/>
  <c r="B23" i="111"/>
  <c r="B24" i="111" s="1"/>
  <c r="K151" i="99"/>
  <c r="L38" i="115" s="1"/>
  <c r="G158" i="99"/>
  <c r="H151" i="99"/>
  <c r="L37" i="115" s="1"/>
  <c r="Q151" i="99"/>
  <c r="L40" i="115" s="1"/>
  <c r="G151" i="99"/>
  <c r="N151" i="99"/>
  <c r="L39" i="115" s="1"/>
  <c r="E43" i="142"/>
  <c r="X54" i="105"/>
  <c r="E43" i="137"/>
  <c r="E43" i="136"/>
  <c r="E40" i="167"/>
  <c r="E40" i="168"/>
  <c r="E122" i="168"/>
  <c r="E124" i="142"/>
  <c r="M307" i="105"/>
  <c r="E124" i="137"/>
  <c r="O3" i="157"/>
  <c r="E8" i="157"/>
  <c r="O8" i="157" s="1"/>
  <c r="Q46" i="145"/>
  <c r="G47" i="140"/>
  <c r="Z58" i="99"/>
  <c r="Q58" i="99"/>
  <c r="J102" i="165"/>
  <c r="V102" i="165"/>
  <c r="O102" i="165"/>
  <c r="W102" i="165"/>
  <c r="W58" i="105"/>
  <c r="D47" i="142"/>
  <c r="D47" i="136"/>
  <c r="D44" i="167"/>
  <c r="D47" i="137"/>
  <c r="D44" i="168"/>
  <c r="AD58" i="105"/>
  <c r="AF58" i="105" s="1"/>
  <c r="N85" i="166"/>
  <c r="N78" i="166" s="1"/>
  <c r="O78" i="166"/>
  <c r="I104" i="165"/>
  <c r="P102" i="166"/>
  <c r="K102" i="166"/>
  <c r="F14" i="107"/>
  <c r="G47" i="142"/>
  <c r="G47" i="137"/>
  <c r="G44" i="167"/>
  <c r="Z58" i="105"/>
  <c r="G47" i="136"/>
  <c r="G44" i="168"/>
  <c r="G108" i="167"/>
  <c r="G110" i="140"/>
  <c r="G110" i="136"/>
  <c r="S130" i="99"/>
  <c r="F122" i="168"/>
  <c r="P307" i="105"/>
  <c r="F124" i="137"/>
  <c r="F124" i="142"/>
  <c r="D8" i="157"/>
  <c r="N8" i="157" s="1"/>
  <c r="N3" i="157"/>
  <c r="D54" i="146"/>
  <c r="F37" i="146"/>
  <c r="L102" i="165"/>
  <c r="Q102" i="165"/>
  <c r="G40" i="167"/>
  <c r="G43" i="142"/>
  <c r="G43" i="136"/>
  <c r="Z54" i="105"/>
  <c r="G43" i="137"/>
  <c r="G40" i="168"/>
  <c r="I104" i="166"/>
  <c r="H89" i="165"/>
  <c r="E108" i="167"/>
  <c r="M130" i="99"/>
  <c r="E110" i="136"/>
  <c r="E110" i="140"/>
  <c r="R102" i="166"/>
  <c r="M102" i="166"/>
  <c r="O78" i="165"/>
  <c r="N85" i="165"/>
  <c r="N78" i="165" s="1"/>
  <c r="X59" i="55"/>
  <c r="H42" i="112"/>
  <c r="B40" i="115"/>
  <c r="AF43" i="55"/>
  <c r="X54" i="55"/>
  <c r="W102" i="166"/>
  <c r="O102" i="166"/>
  <c r="J102" i="166"/>
  <c r="V102" i="166"/>
  <c r="W78" i="165"/>
  <c r="V78" i="165"/>
  <c r="F47" i="137"/>
  <c r="F44" i="168"/>
  <c r="F47" i="136"/>
  <c r="Y58" i="105"/>
  <c r="F44" i="167"/>
  <c r="F47" i="142"/>
  <c r="G124" i="142"/>
  <c r="S307" i="105"/>
  <c r="G124" i="137"/>
  <c r="G122" i="168"/>
  <c r="U101" i="166"/>
  <c r="G101" i="166"/>
  <c r="E101" i="166"/>
  <c r="F101" i="166"/>
  <c r="C100" i="166"/>
  <c r="D101" i="166"/>
  <c r="D110" i="137"/>
  <c r="D110" i="142"/>
  <c r="D108" i="168"/>
  <c r="X54" i="99"/>
  <c r="E43" i="140"/>
  <c r="K42" i="145"/>
  <c r="M37" i="99"/>
  <c r="K54" i="99"/>
  <c r="P3" i="157"/>
  <c r="F8" i="157"/>
  <c r="P8" i="157" s="1"/>
  <c r="F110" i="136"/>
  <c r="F108" i="167"/>
  <c r="P130" i="99"/>
  <c r="F110" i="140"/>
  <c r="F38" i="132"/>
  <c r="H9" i="114"/>
  <c r="F40" i="166"/>
  <c r="F40" i="165"/>
  <c r="G49" i="112"/>
  <c r="AE50" i="55"/>
  <c r="T47" i="55"/>
  <c r="N72" i="105" s="1"/>
  <c r="E110" i="142"/>
  <c r="E110" i="137"/>
  <c r="E108" i="168"/>
  <c r="D110" i="140"/>
  <c r="J130" i="99"/>
  <c r="D108" i="167"/>
  <c r="D110" i="136"/>
  <c r="B3" i="157"/>
  <c r="L3" i="157" s="1"/>
  <c r="C8" i="157"/>
  <c r="M3" i="157"/>
  <c r="X58" i="105"/>
  <c r="E47" i="142"/>
  <c r="E47" i="136"/>
  <c r="E44" i="167"/>
  <c r="E47" i="137"/>
  <c r="E44" i="168"/>
  <c r="D43" i="140"/>
  <c r="W54" i="99"/>
  <c r="H42" i="145"/>
  <c r="H54" i="99"/>
  <c r="J37" i="99"/>
  <c r="J68" i="99" s="1"/>
  <c r="J307" i="105"/>
  <c r="D124" i="142"/>
  <c r="D124" i="137"/>
  <c r="D122" i="168"/>
  <c r="J315" i="105"/>
  <c r="H315" i="105" s="1"/>
  <c r="K102" i="165"/>
  <c r="P102" i="165"/>
  <c r="I85" i="166"/>
  <c r="J78" i="166"/>
  <c r="N104" i="166"/>
  <c r="P37" i="99"/>
  <c r="P68" i="99" s="1"/>
  <c r="N42" i="145"/>
  <c r="F43" i="140"/>
  <c r="Y54" i="99"/>
  <c r="N54" i="99"/>
  <c r="G131" i="142"/>
  <c r="G129" i="168"/>
  <c r="G131" i="137"/>
  <c r="F108" i="168"/>
  <c r="F110" i="142"/>
  <c r="F110" i="137"/>
  <c r="E53" i="112"/>
  <c r="G108" i="168"/>
  <c r="G110" i="137"/>
  <c r="G110" i="142"/>
  <c r="E40" i="166"/>
  <c r="E40" i="165"/>
  <c r="E119" i="165" s="1"/>
  <c r="E120" i="165" s="1"/>
  <c r="G9" i="114"/>
  <c r="E38" i="132"/>
  <c r="F49" i="112"/>
  <c r="AD50" i="55"/>
  <c r="P47" i="55"/>
  <c r="K72" i="105" s="1"/>
  <c r="M72" i="105" s="1"/>
  <c r="K34" i="57"/>
  <c r="P42" i="57" s="1"/>
  <c r="H34" i="57"/>
  <c r="M42" i="57" s="1"/>
  <c r="I34" i="57"/>
  <c r="N42" i="57" s="1"/>
  <c r="L34" i="57"/>
  <c r="J38" i="171"/>
  <c r="U4" i="114"/>
  <c r="N63" i="115"/>
  <c r="N103" i="115" s="1"/>
  <c r="J34" i="57"/>
  <c r="O42" i="57" s="1"/>
  <c r="D21" i="93"/>
  <c r="G40" i="57"/>
  <c r="L2" i="109" s="1"/>
  <c r="W54" i="105"/>
  <c r="D43" i="136"/>
  <c r="D43" i="142"/>
  <c r="D43" i="137"/>
  <c r="D40" i="168"/>
  <c r="D40" i="167"/>
  <c r="AD54" i="105"/>
  <c r="AF54" i="105" s="1"/>
  <c r="N46" i="145"/>
  <c r="F47" i="140"/>
  <c r="Y58" i="99"/>
  <c r="N58" i="99"/>
  <c r="G36" i="109"/>
  <c r="F38" i="109"/>
  <c r="E129" i="168"/>
  <c r="E131" i="137"/>
  <c r="E131" i="142"/>
  <c r="D131" i="142"/>
  <c r="D131" i="137"/>
  <c r="D129" i="168"/>
  <c r="D47" i="140"/>
  <c r="H46" i="145"/>
  <c r="W58" i="99"/>
  <c r="H58" i="99"/>
  <c r="R102" i="165"/>
  <c r="M102" i="165"/>
  <c r="W78" i="166"/>
  <c r="V78" i="166"/>
  <c r="H90" i="166"/>
  <c r="N104" i="165"/>
  <c r="G188" i="99" l="1"/>
  <c r="H188" i="99"/>
  <c r="E188" i="99" s="1"/>
  <c r="O26" i="109" s="1"/>
  <c r="Q26" i="109" s="1"/>
  <c r="R26" i="109" s="1"/>
  <c r="F9" i="114"/>
  <c r="AC50" i="55"/>
  <c r="E192" i="99"/>
  <c r="D40" i="166"/>
  <c r="E11" i="93"/>
  <c r="E11" i="58"/>
  <c r="H11" i="93"/>
  <c r="H11" i="58"/>
  <c r="H72" i="105"/>
  <c r="Q39" i="188"/>
  <c r="T75" i="99"/>
  <c r="N42" i="188"/>
  <c r="H58" i="112"/>
  <c r="G11" i="129"/>
  <c r="S24" i="188"/>
  <c r="AD58" i="99"/>
  <c r="AF58" i="99" s="1"/>
  <c r="R25" i="188"/>
  <c r="AD54" i="99"/>
  <c r="AF54" i="99" s="1"/>
  <c r="R21" i="188"/>
  <c r="S28" i="188"/>
  <c r="L49" i="109"/>
  <c r="L38" i="109"/>
  <c r="M36" i="109"/>
  <c r="L41" i="115"/>
  <c r="N66" i="115"/>
  <c r="N106" i="115" s="1"/>
  <c r="N64" i="115"/>
  <c r="N65" i="115"/>
  <c r="N105" i="115" s="1"/>
  <c r="N67" i="115"/>
  <c r="N107" i="115" s="1"/>
  <c r="M55" i="109"/>
  <c r="M54" i="109"/>
  <c r="P72" i="105"/>
  <c r="G153" i="105"/>
  <c r="P155" i="105"/>
  <c r="N154" i="105"/>
  <c r="E159" i="105"/>
  <c r="H154" i="105"/>
  <c r="J155" i="105"/>
  <c r="K154" i="105"/>
  <c r="M155" i="105"/>
  <c r="Q154" i="105"/>
  <c r="S155" i="105"/>
  <c r="M40" i="109"/>
  <c r="I102" i="166"/>
  <c r="W68" i="99"/>
  <c r="D52" i="140"/>
  <c r="H56" i="145"/>
  <c r="V23" i="114"/>
  <c r="L46" i="145"/>
  <c r="N61" i="99"/>
  <c r="L32" i="112"/>
  <c r="Q32" i="112" s="1"/>
  <c r="AK33" i="55"/>
  <c r="AQ33" i="55" s="1"/>
  <c r="D29" i="168"/>
  <c r="D32" i="136"/>
  <c r="D32" i="142"/>
  <c r="W37" i="105"/>
  <c r="D29" i="167"/>
  <c r="D32" i="137"/>
  <c r="AC37" i="105"/>
  <c r="K38" i="171"/>
  <c r="J44" i="171"/>
  <c r="K44" i="171" s="1"/>
  <c r="K48" i="171" s="1"/>
  <c r="K38" i="132"/>
  <c r="E80" i="150"/>
  <c r="P38" i="132"/>
  <c r="L42" i="145"/>
  <c r="N57" i="99"/>
  <c r="AK29" i="55"/>
  <c r="AQ29" i="55" s="1"/>
  <c r="L28" i="112"/>
  <c r="Q28" i="112" s="1"/>
  <c r="N25" i="145"/>
  <c r="F32" i="140"/>
  <c r="Y37" i="99"/>
  <c r="N37" i="99"/>
  <c r="N68" i="99" s="1"/>
  <c r="D32" i="140"/>
  <c r="H25" i="145"/>
  <c r="W37" i="99"/>
  <c r="H37" i="99"/>
  <c r="X68" i="105"/>
  <c r="E52" i="142"/>
  <c r="E49" i="168"/>
  <c r="E52" i="136"/>
  <c r="E52" i="137"/>
  <c r="E49" i="167"/>
  <c r="M305" i="105"/>
  <c r="Q40" i="165"/>
  <c r="L40" i="165"/>
  <c r="X37" i="99"/>
  <c r="K25" i="145"/>
  <c r="K37" i="99"/>
  <c r="K68" i="99" s="1"/>
  <c r="E32" i="140"/>
  <c r="E100" i="166"/>
  <c r="K101" i="166"/>
  <c r="P101" i="166"/>
  <c r="M48" i="109"/>
  <c r="F13" i="107"/>
  <c r="AC58" i="105"/>
  <c r="AE58" i="105" s="1"/>
  <c r="F23" i="111"/>
  <c r="F24" i="111" s="1"/>
  <c r="F33" i="111"/>
  <c r="F34" i="111" s="1"/>
  <c r="S151" i="99"/>
  <c r="S158" i="99"/>
  <c r="G100" i="165"/>
  <c r="M101" i="165"/>
  <c r="R101" i="165"/>
  <c r="AC47" i="55"/>
  <c r="D38" i="166"/>
  <c r="E46" i="112"/>
  <c r="D36" i="132"/>
  <c r="F6" i="114"/>
  <c r="D38" i="165"/>
  <c r="L46" i="55"/>
  <c r="Q38" i="188" s="1"/>
  <c r="H72" i="99"/>
  <c r="R39" i="188" s="1"/>
  <c r="O40" i="166"/>
  <c r="J40" i="166"/>
  <c r="N102" i="166"/>
  <c r="I102" i="165"/>
  <c r="F21" i="93"/>
  <c r="D43" i="93"/>
  <c r="E13" i="128"/>
  <c r="E21" i="93"/>
  <c r="H21" i="93"/>
  <c r="G21" i="93"/>
  <c r="D18" i="93"/>
  <c r="K40" i="166"/>
  <c r="P40" i="166"/>
  <c r="Q38" i="132"/>
  <c r="F80" i="150"/>
  <c r="L38" i="132"/>
  <c r="K28" i="112"/>
  <c r="P28" i="112" s="1"/>
  <c r="AJ29" i="55"/>
  <c r="AP29" i="55" s="1"/>
  <c r="K57" i="99"/>
  <c r="Q101" i="166"/>
  <c r="L101" i="166"/>
  <c r="F100" i="166"/>
  <c r="F52" i="137"/>
  <c r="F49" i="167"/>
  <c r="F49" i="168"/>
  <c r="I55" i="168" s="1"/>
  <c r="F52" i="142"/>
  <c r="F52" i="136"/>
  <c r="Y68" i="105"/>
  <c r="P305" i="105"/>
  <c r="G38" i="132"/>
  <c r="G40" i="166"/>
  <c r="H49" i="112"/>
  <c r="G40" i="165"/>
  <c r="W40" i="165" s="1"/>
  <c r="AF50" i="55"/>
  <c r="I9" i="114"/>
  <c r="E9" i="114" s="1"/>
  <c r="X47" i="55"/>
  <c r="Q72" i="105" s="1"/>
  <c r="S72" i="105" s="1"/>
  <c r="E101" i="167"/>
  <c r="E103" i="136"/>
  <c r="E103" i="140"/>
  <c r="G32" i="136"/>
  <c r="G32" i="142"/>
  <c r="G29" i="168"/>
  <c r="G29" i="167"/>
  <c r="Z37" i="105"/>
  <c r="G32" i="137"/>
  <c r="D33" i="111"/>
  <c r="D34" i="111" s="1"/>
  <c r="M158" i="99"/>
  <c r="M151" i="99"/>
  <c r="K101" i="165"/>
  <c r="E100" i="165"/>
  <c r="P101" i="165"/>
  <c r="V101" i="165"/>
  <c r="J101" i="165"/>
  <c r="W101" i="165"/>
  <c r="O101" i="165"/>
  <c r="D100" i="165"/>
  <c r="F32" i="136"/>
  <c r="F32" i="137"/>
  <c r="F29" i="167"/>
  <c r="F29" i="168"/>
  <c r="Y37" i="105"/>
  <c r="F32" i="142"/>
  <c r="H85" i="165"/>
  <c r="I78" i="165"/>
  <c r="H78" i="165" s="1"/>
  <c r="H104" i="166"/>
  <c r="AI33" i="55"/>
  <c r="AO33" i="55" s="1"/>
  <c r="J32" i="112"/>
  <c r="O32" i="112" s="1"/>
  <c r="H61" i="99"/>
  <c r="R28" i="188" s="1"/>
  <c r="AC58" i="99"/>
  <c r="AE58" i="99" s="1"/>
  <c r="W23" i="114"/>
  <c r="F52" i="140"/>
  <c r="N56" i="145"/>
  <c r="Y68" i="99"/>
  <c r="M40" i="57"/>
  <c r="H40" i="57"/>
  <c r="I40" i="57"/>
  <c r="G41" i="57"/>
  <c r="J40" i="57"/>
  <c r="K40" i="57"/>
  <c r="K40" i="165"/>
  <c r="P40" i="165"/>
  <c r="G103" i="142"/>
  <c r="G101" i="168"/>
  <c r="G103" i="137"/>
  <c r="F103" i="137"/>
  <c r="F103" i="142"/>
  <c r="F101" i="168"/>
  <c r="H85" i="166"/>
  <c r="I78" i="166"/>
  <c r="H78" i="166" s="1"/>
  <c r="U100" i="166"/>
  <c r="C76" i="166"/>
  <c r="U76" i="166" s="1"/>
  <c r="M37" i="146"/>
  <c r="M32" i="112"/>
  <c r="R32" i="112" s="1"/>
  <c r="Q61" i="99"/>
  <c r="O46" i="145"/>
  <c r="AL33" i="55"/>
  <c r="AR33" i="55" s="1"/>
  <c r="E23" i="111"/>
  <c r="E24" i="111" s="1"/>
  <c r="P158" i="99"/>
  <c r="P151" i="99"/>
  <c r="D51" i="146"/>
  <c r="E158" i="99"/>
  <c r="U100" i="165"/>
  <c r="C76" i="165"/>
  <c r="U76" i="165" s="1"/>
  <c r="D80" i="150"/>
  <c r="J38" i="132"/>
  <c r="O38" i="132"/>
  <c r="O40" i="165"/>
  <c r="J40" i="165"/>
  <c r="Q25" i="145"/>
  <c r="Z37" i="99"/>
  <c r="Q37" i="99"/>
  <c r="Q68" i="99" s="1"/>
  <c r="G32" i="140"/>
  <c r="AJ33" i="55"/>
  <c r="AP33" i="55" s="1"/>
  <c r="K32" i="112"/>
  <c r="P32" i="112" s="1"/>
  <c r="I46" i="145"/>
  <c r="K61" i="99"/>
  <c r="H104" i="165"/>
  <c r="N102" i="165"/>
  <c r="B41" i="115"/>
  <c r="AC54" i="105"/>
  <c r="AE54" i="105" s="1"/>
  <c r="E21" i="58"/>
  <c r="E18" i="58" s="1"/>
  <c r="E8" i="189" s="1"/>
  <c r="G21" i="58"/>
  <c r="G18" i="58" s="1"/>
  <c r="I8" i="189" s="1"/>
  <c r="H21" i="58"/>
  <c r="H18" i="58" s="1"/>
  <c r="K8" i="189" s="1"/>
  <c r="D43" i="58"/>
  <c r="E36" i="132"/>
  <c r="AD47" i="55"/>
  <c r="E38" i="165"/>
  <c r="F46" i="112"/>
  <c r="G6" i="114"/>
  <c r="E38" i="166"/>
  <c r="P46" i="55"/>
  <c r="K72" i="99"/>
  <c r="Y23" i="114"/>
  <c r="J28" i="112"/>
  <c r="O28" i="112" s="1"/>
  <c r="AI29" i="55"/>
  <c r="AO29" i="55" s="1"/>
  <c r="AC54" i="99"/>
  <c r="AE54" i="99" s="1"/>
  <c r="H57" i="99"/>
  <c r="R24" i="188" s="1"/>
  <c r="B8" i="157"/>
  <c r="L8" i="157" s="1"/>
  <c r="M8" i="157"/>
  <c r="D101" i="167"/>
  <c r="D103" i="140"/>
  <c r="D103" i="136"/>
  <c r="E103" i="142"/>
  <c r="E101" i="168"/>
  <c r="E103" i="137"/>
  <c r="F38" i="165"/>
  <c r="F36" i="132"/>
  <c r="AE47" i="55"/>
  <c r="G46" i="112"/>
  <c r="F38" i="166"/>
  <c r="H6" i="114"/>
  <c r="T46" i="55"/>
  <c r="N72" i="99"/>
  <c r="Q40" i="166"/>
  <c r="L40" i="166"/>
  <c r="F103" i="140"/>
  <c r="F103" i="136"/>
  <c r="F101" i="167"/>
  <c r="D103" i="142"/>
  <c r="D101" i="168"/>
  <c r="D103" i="137"/>
  <c r="V101" i="166"/>
  <c r="W101" i="166"/>
  <c r="J101" i="166"/>
  <c r="D100" i="166"/>
  <c r="O101" i="166"/>
  <c r="G100" i="166"/>
  <c r="M101" i="166"/>
  <c r="R101" i="166"/>
  <c r="H53" i="112"/>
  <c r="G103" i="140"/>
  <c r="G101" i="167"/>
  <c r="G103" i="136"/>
  <c r="Q56" i="145"/>
  <c r="G52" i="140"/>
  <c r="Z68" i="99"/>
  <c r="E29" i="167"/>
  <c r="X37" i="105"/>
  <c r="E32" i="136"/>
  <c r="E32" i="137"/>
  <c r="E29" i="168"/>
  <c r="E32" i="142"/>
  <c r="C23" i="111"/>
  <c r="C24" i="111" s="1"/>
  <c r="C33" i="111"/>
  <c r="C34" i="111" s="1"/>
  <c r="J158" i="99"/>
  <c r="J151" i="99"/>
  <c r="X23" i="114"/>
  <c r="L101" i="165"/>
  <c r="Q101" i="165"/>
  <c r="F100" i="165"/>
  <c r="AL29" i="55"/>
  <c r="AR29" i="55" s="1"/>
  <c r="O42" i="145"/>
  <c r="M28" i="112"/>
  <c r="R28" i="112" s="1"/>
  <c r="Q57" i="99"/>
  <c r="M68" i="99"/>
  <c r="V68" i="99" s="1"/>
  <c r="O30" i="109" l="1"/>
  <c r="Q30" i="109" s="1"/>
  <c r="R30" i="109" s="1"/>
  <c r="E164" i="105"/>
  <c r="D20" i="189" s="1"/>
  <c r="H102" i="166"/>
  <c r="C35" i="107"/>
  <c r="C64" i="107" s="1"/>
  <c r="J64" i="107" s="1"/>
  <c r="K64" i="107" s="1"/>
  <c r="C12" i="189"/>
  <c r="E257" i="105"/>
  <c r="J72" i="105"/>
  <c r="S39" i="188"/>
  <c r="U39" i="188" s="1"/>
  <c r="U24" i="188"/>
  <c r="T24" i="188"/>
  <c r="U25" i="188"/>
  <c r="T25" i="188"/>
  <c r="AG47" i="55"/>
  <c r="T39" i="188"/>
  <c r="U28" i="188"/>
  <c r="T28" i="188"/>
  <c r="H68" i="99"/>
  <c r="C29" i="111" s="1"/>
  <c r="R4" i="188"/>
  <c r="U21" i="188"/>
  <c r="T21" i="188"/>
  <c r="N68" i="115"/>
  <c r="N104" i="115"/>
  <c r="G75" i="99"/>
  <c r="P154" i="105"/>
  <c r="Q153" i="105"/>
  <c r="H153" i="105"/>
  <c r="S154" i="105"/>
  <c r="K153" i="105"/>
  <c r="J154" i="105"/>
  <c r="N153" i="105"/>
  <c r="G159" i="105"/>
  <c r="M154" i="105"/>
  <c r="E240" i="105"/>
  <c r="E160" i="105"/>
  <c r="E161" i="105" s="1"/>
  <c r="M46" i="109"/>
  <c r="N101" i="166"/>
  <c r="E29" i="111"/>
  <c r="N305" i="105"/>
  <c r="AK43" i="55"/>
  <c r="AQ43" i="55" s="1"/>
  <c r="L42" i="112"/>
  <c r="Q42" i="112" s="1"/>
  <c r="C39" i="115"/>
  <c r="D39" i="115" s="1"/>
  <c r="E19" i="111"/>
  <c r="K305" i="105"/>
  <c r="Q100" i="165"/>
  <c r="L100" i="165"/>
  <c r="F76" i="165"/>
  <c r="D129" i="167"/>
  <c r="D131" i="140"/>
  <c r="D131" i="136"/>
  <c r="H158" i="99"/>
  <c r="T75" i="105"/>
  <c r="D49" i="112"/>
  <c r="AB50" i="55"/>
  <c r="H47" i="55"/>
  <c r="F43" i="171"/>
  <c r="M31" i="112"/>
  <c r="R31" i="112" s="1"/>
  <c r="AL32" i="55"/>
  <c r="AR32" i="55" s="1"/>
  <c r="O45" i="145"/>
  <c r="X20" i="114"/>
  <c r="L56" i="109"/>
  <c r="M49" i="109"/>
  <c r="R100" i="166"/>
  <c r="M100" i="166"/>
  <c r="G76" i="166"/>
  <c r="F37" i="166"/>
  <c r="H5" i="114"/>
  <c r="F35" i="132"/>
  <c r="F37" i="165"/>
  <c r="AE46" i="55"/>
  <c r="G45" i="112"/>
  <c r="T45" i="55"/>
  <c r="K46" i="112"/>
  <c r="P46" i="112" s="1"/>
  <c r="AJ47" i="55"/>
  <c r="AP47" i="55" s="1"/>
  <c r="G20" i="114"/>
  <c r="M72" i="99"/>
  <c r="P36" i="132"/>
  <c r="E78" i="150"/>
  <c r="K36" i="132"/>
  <c r="G43" i="58"/>
  <c r="K42" i="112"/>
  <c r="P42" i="112" s="1"/>
  <c r="C38" i="115"/>
  <c r="D38" i="115" s="1"/>
  <c r="AJ43" i="55"/>
  <c r="AP43" i="55" s="1"/>
  <c r="D29" i="111"/>
  <c r="F124" i="136"/>
  <c r="F122" i="167"/>
  <c r="F124" i="140"/>
  <c r="C33" i="163"/>
  <c r="I41" i="57"/>
  <c r="E129" i="167"/>
  <c r="E131" i="140"/>
  <c r="E131" i="136"/>
  <c r="K158" i="99"/>
  <c r="R40" i="166"/>
  <c r="N40" i="166" s="1"/>
  <c r="M40" i="166"/>
  <c r="I40" i="166" s="1"/>
  <c r="E24" i="128"/>
  <c r="E25" i="128" s="1"/>
  <c r="E14" i="128"/>
  <c r="AC72" i="99"/>
  <c r="J46" i="112"/>
  <c r="AI47" i="55"/>
  <c r="AO47" i="55" s="1"/>
  <c r="J72" i="99"/>
  <c r="AC61" i="105"/>
  <c r="AE61" i="105" s="1"/>
  <c r="AD61" i="105"/>
  <c r="AF61" i="105" s="1"/>
  <c r="P100" i="166"/>
  <c r="K100" i="166"/>
  <c r="E76" i="166"/>
  <c r="AK32" i="55"/>
  <c r="AQ32" i="55" s="1"/>
  <c r="L45" i="145"/>
  <c r="L31" i="112"/>
  <c r="Q31" i="112" s="1"/>
  <c r="N101" i="165"/>
  <c r="AD37" i="105"/>
  <c r="Q305" i="105"/>
  <c r="Y20" i="114"/>
  <c r="H43" i="58"/>
  <c r="Z68" i="105"/>
  <c r="G52" i="137"/>
  <c r="G49" i="167"/>
  <c r="G49" i="168"/>
  <c r="G52" i="142"/>
  <c r="G52" i="136"/>
  <c r="S305" i="105"/>
  <c r="AL43" i="55"/>
  <c r="AR43" i="55" s="1"/>
  <c r="M42" i="112"/>
  <c r="R42" i="112" s="1"/>
  <c r="C40" i="115"/>
  <c r="D40" i="115" s="1"/>
  <c r="F19" i="111"/>
  <c r="F29" i="111"/>
  <c r="M35" i="112"/>
  <c r="R35" i="112" s="1"/>
  <c r="O49" i="145"/>
  <c r="AL36" i="55"/>
  <c r="AR36" i="55" s="1"/>
  <c r="R30" i="115"/>
  <c r="L41" i="57"/>
  <c r="L35" i="57"/>
  <c r="R29" i="115"/>
  <c r="R27" i="115"/>
  <c r="G54" i="57"/>
  <c r="R28" i="115"/>
  <c r="R31" i="115"/>
  <c r="W20" i="114"/>
  <c r="AI43" i="55"/>
  <c r="AO43" i="55" s="1"/>
  <c r="J100" i="165"/>
  <c r="W100" i="165"/>
  <c r="O100" i="165"/>
  <c r="V100" i="165"/>
  <c r="D76" i="165"/>
  <c r="E124" i="140"/>
  <c r="E122" i="167"/>
  <c r="E124" i="136"/>
  <c r="G38" i="165"/>
  <c r="W38" i="165" s="1"/>
  <c r="AF47" i="55"/>
  <c r="G38" i="166"/>
  <c r="W38" i="166" s="1"/>
  <c r="I6" i="114"/>
  <c r="G36" i="132"/>
  <c r="H46" i="112"/>
  <c r="Q72" i="99"/>
  <c r="X46" i="55"/>
  <c r="E43" i="93"/>
  <c r="E18" i="93"/>
  <c r="O38" i="165"/>
  <c r="J38" i="165"/>
  <c r="O38" i="166"/>
  <c r="J38" i="166"/>
  <c r="G131" i="136"/>
  <c r="G131" i="140"/>
  <c r="G129" i="167"/>
  <c r="Q158" i="99"/>
  <c r="F12" i="107"/>
  <c r="AI12" i="55"/>
  <c r="AO12" i="55" s="1"/>
  <c r="J11" i="112"/>
  <c r="O11" i="112" s="1"/>
  <c r="AC37" i="99"/>
  <c r="L35" i="112"/>
  <c r="Q35" i="112" s="1"/>
  <c r="L49" i="145"/>
  <c r="AK36" i="55"/>
  <c r="AQ36" i="55" s="1"/>
  <c r="I101" i="166"/>
  <c r="H101" i="166" s="1"/>
  <c r="H102" i="165"/>
  <c r="W40" i="166"/>
  <c r="U23" i="114"/>
  <c r="D124" i="140"/>
  <c r="D122" i="167"/>
  <c r="D124" i="136"/>
  <c r="X68" i="99"/>
  <c r="K56" i="145"/>
  <c r="E52" i="140"/>
  <c r="O100" i="166"/>
  <c r="W100" i="166"/>
  <c r="J100" i="166"/>
  <c r="V100" i="166"/>
  <c r="D76" i="166"/>
  <c r="AK47" i="55"/>
  <c r="AQ47" i="55" s="1"/>
  <c r="L46" i="112"/>
  <c r="Q46" i="112" s="1"/>
  <c r="P72" i="99"/>
  <c r="L38" i="166"/>
  <c r="Q38" i="166"/>
  <c r="L38" i="165"/>
  <c r="Q38" i="165"/>
  <c r="AC57" i="99"/>
  <c r="AE57" i="99" s="1"/>
  <c r="AI32" i="55"/>
  <c r="AO32" i="55" s="1"/>
  <c r="J31" i="112"/>
  <c r="O31" i="112" s="1"/>
  <c r="AD57" i="99"/>
  <c r="AF57" i="99" s="1"/>
  <c r="K38" i="166"/>
  <c r="P38" i="166"/>
  <c r="P38" i="165"/>
  <c r="K38" i="165"/>
  <c r="AC57" i="105"/>
  <c r="AE57" i="105" s="1"/>
  <c r="AD57" i="105"/>
  <c r="AF57" i="105" s="1"/>
  <c r="O25" i="145"/>
  <c r="M11" i="112"/>
  <c r="R11" i="112" s="1"/>
  <c r="AL12" i="55"/>
  <c r="AR12" i="55" s="1"/>
  <c r="D33" i="163"/>
  <c r="J41" i="57"/>
  <c r="R40" i="165"/>
  <c r="N40" i="165" s="1"/>
  <c r="M40" i="165"/>
  <c r="I40" i="165" s="1"/>
  <c r="L100" i="166"/>
  <c r="Q100" i="166"/>
  <c r="F76" i="166"/>
  <c r="H43" i="93"/>
  <c r="H18" i="93"/>
  <c r="F43" i="93"/>
  <c r="F18" i="93"/>
  <c r="E45" i="112"/>
  <c r="AC46" i="55"/>
  <c r="D35" i="132"/>
  <c r="F5" i="114"/>
  <c r="L45" i="55"/>
  <c r="Q37" i="188" s="1"/>
  <c r="D37" i="166"/>
  <c r="D37" i="165"/>
  <c r="M100" i="165"/>
  <c r="R100" i="165"/>
  <c r="G76" i="165"/>
  <c r="AC68" i="105"/>
  <c r="AE68" i="105" s="1"/>
  <c r="I25" i="145"/>
  <c r="AJ12" i="55"/>
  <c r="AP12" i="55" s="1"/>
  <c r="K11" i="112"/>
  <c r="P11" i="112" s="1"/>
  <c r="AK12" i="55"/>
  <c r="AQ12" i="55" s="1"/>
  <c r="L11" i="112"/>
  <c r="Q11" i="112" s="1"/>
  <c r="L25" i="145"/>
  <c r="I101" i="165"/>
  <c r="O46" i="112"/>
  <c r="F78" i="150"/>
  <c r="L36" i="132"/>
  <c r="Q36" i="132"/>
  <c r="E37" i="165"/>
  <c r="E37" i="166"/>
  <c r="AD46" i="55"/>
  <c r="E35" i="132"/>
  <c r="G5" i="114"/>
  <c r="F45" i="112"/>
  <c r="P45" i="55"/>
  <c r="G13" i="114"/>
  <c r="G27" i="114" s="1"/>
  <c r="E43" i="58"/>
  <c r="D49" i="168"/>
  <c r="D52" i="136"/>
  <c r="W68" i="105"/>
  <c r="D52" i="137"/>
  <c r="D52" i="142"/>
  <c r="D49" i="167"/>
  <c r="J313" i="105"/>
  <c r="J305" i="105"/>
  <c r="AJ36" i="55"/>
  <c r="AP36" i="55" s="1"/>
  <c r="K35" i="112"/>
  <c r="P35" i="112" s="1"/>
  <c r="I49" i="145"/>
  <c r="C34" i="135"/>
  <c r="E155" i="99"/>
  <c r="F129" i="167"/>
  <c r="F131" i="140"/>
  <c r="F131" i="136"/>
  <c r="N158" i="99"/>
  <c r="E33" i="163"/>
  <c r="K41" i="57"/>
  <c r="H41" i="57"/>
  <c r="B33" i="163"/>
  <c r="AI36" i="55"/>
  <c r="AO36" i="55" s="1"/>
  <c r="J35" i="112"/>
  <c r="O35" i="112" s="1"/>
  <c r="AC61" i="99"/>
  <c r="AE61" i="99" s="1"/>
  <c r="AD61" i="99"/>
  <c r="AF61" i="99" s="1"/>
  <c r="P100" i="165"/>
  <c r="K100" i="165"/>
  <c r="M38" i="132"/>
  <c r="I38" i="132" s="1"/>
  <c r="R38" i="132"/>
  <c r="N38" i="132" s="1"/>
  <c r="G80" i="150"/>
  <c r="K31" i="112"/>
  <c r="P31" i="112" s="1"/>
  <c r="AJ32" i="55"/>
  <c r="AP32" i="55" s="1"/>
  <c r="G43" i="93"/>
  <c r="G18" i="93"/>
  <c r="AC72" i="105"/>
  <c r="D78" i="150"/>
  <c r="J36" i="132"/>
  <c r="O36" i="132"/>
  <c r="G124" i="140"/>
  <c r="G124" i="136"/>
  <c r="G122" i="167"/>
  <c r="K54" i="171"/>
  <c r="K55" i="171" s="1"/>
  <c r="K56" i="171" s="1"/>
  <c r="K57" i="171" s="1"/>
  <c r="K58" i="171" s="1"/>
  <c r="K49" i="171"/>
  <c r="V20" i="114"/>
  <c r="AD37" i="99"/>
  <c r="G164" i="105" l="1"/>
  <c r="G240" i="105"/>
  <c r="C37" i="107"/>
  <c r="AG46" i="55"/>
  <c r="C37" i="115"/>
  <c r="C19" i="111"/>
  <c r="C20" i="111" s="1"/>
  <c r="AD68" i="99"/>
  <c r="AF68" i="99" s="1"/>
  <c r="G35" i="107"/>
  <c r="G64" i="107" s="1"/>
  <c r="K12" i="189"/>
  <c r="C92" i="107"/>
  <c r="C121" i="107" s="1"/>
  <c r="F35" i="107"/>
  <c r="I12" i="189"/>
  <c r="D35" i="107"/>
  <c r="E12" i="189"/>
  <c r="E35" i="107"/>
  <c r="G12" i="189"/>
  <c r="F20" i="111"/>
  <c r="E20" i="111"/>
  <c r="D30" i="111"/>
  <c r="E30" i="111"/>
  <c r="C30" i="111"/>
  <c r="F30" i="111"/>
  <c r="E72" i="105"/>
  <c r="N39" i="188"/>
  <c r="T72" i="99"/>
  <c r="U4" i="188"/>
  <c r="T4" i="188"/>
  <c r="AC68" i="99"/>
  <c r="AE68" i="99" s="1"/>
  <c r="J42" i="112"/>
  <c r="O42" i="112" s="1"/>
  <c r="G75" i="105"/>
  <c r="E75" i="105" s="1"/>
  <c r="J75" i="99"/>
  <c r="J75" i="105" s="1"/>
  <c r="D60" i="136" s="1"/>
  <c r="R35" i="188"/>
  <c r="H159" i="105"/>
  <c r="E63" i="145"/>
  <c r="E75" i="99"/>
  <c r="B51" i="146"/>
  <c r="E167" i="105"/>
  <c r="M153" i="105"/>
  <c r="S153" i="105"/>
  <c r="J153" i="105"/>
  <c r="Q159" i="105"/>
  <c r="P153" i="105"/>
  <c r="N159" i="105"/>
  <c r="K159" i="105"/>
  <c r="AD68" i="105"/>
  <c r="AF68" i="105" s="1"/>
  <c r="H101" i="165"/>
  <c r="H305" i="105"/>
  <c r="H313" i="105" s="1"/>
  <c r="U20" i="114"/>
  <c r="D128" i="137"/>
  <c r="D128" i="142"/>
  <c r="D126" i="168"/>
  <c r="K52" i="171"/>
  <c r="K53" i="171"/>
  <c r="K50" i="171"/>
  <c r="F92" i="107"/>
  <c r="F121" i="107" s="1"/>
  <c r="B166" i="107"/>
  <c r="F64" i="107"/>
  <c r="E34" i="163"/>
  <c r="K35" i="132"/>
  <c r="P35" i="132"/>
  <c r="E77" i="150"/>
  <c r="E76" i="150" s="1"/>
  <c r="AC45" i="55"/>
  <c r="E44" i="112"/>
  <c r="B64" i="115"/>
  <c r="B104" i="115" s="1"/>
  <c r="D36" i="166"/>
  <c r="D36" i="165"/>
  <c r="D34" i="132"/>
  <c r="F4" i="114"/>
  <c r="L51" i="55"/>
  <c r="Q43" i="188" s="1"/>
  <c r="Y72" i="99"/>
  <c r="N60" i="145"/>
  <c r="F57" i="140"/>
  <c r="H20" i="114"/>
  <c r="Y16" i="114"/>
  <c r="Y30" i="114" s="1"/>
  <c r="Q155" i="99"/>
  <c r="G37" i="166"/>
  <c r="G35" i="132"/>
  <c r="H45" i="112"/>
  <c r="G37" i="165"/>
  <c r="W37" i="165" s="1"/>
  <c r="I5" i="114"/>
  <c r="E5" i="114" s="1"/>
  <c r="AF46" i="55"/>
  <c r="X45" i="55"/>
  <c r="W76" i="165"/>
  <c r="V76" i="165"/>
  <c r="C41" i="115"/>
  <c r="D37" i="115"/>
  <c r="D41" i="115" s="1"/>
  <c r="Y19" i="114"/>
  <c r="D57" i="140"/>
  <c r="AD72" i="99"/>
  <c r="H60" i="145"/>
  <c r="F20" i="114"/>
  <c r="W72" i="99"/>
  <c r="G44" i="112"/>
  <c r="H4" i="114"/>
  <c r="F36" i="165"/>
  <c r="B66" i="115"/>
  <c r="B106" i="115" s="1"/>
  <c r="F36" i="166"/>
  <c r="AE45" i="55"/>
  <c r="F34" i="132"/>
  <c r="T51" i="55"/>
  <c r="F77" i="150"/>
  <c r="F76" i="150" s="1"/>
  <c r="L35" i="132"/>
  <c r="Q35" i="132"/>
  <c r="V16" i="114"/>
  <c r="H155" i="99"/>
  <c r="I100" i="165"/>
  <c r="G155" i="99"/>
  <c r="E154" i="99"/>
  <c r="C32" i="135"/>
  <c r="E57" i="142"/>
  <c r="X72" i="105"/>
  <c r="E57" i="137"/>
  <c r="E54" i="167"/>
  <c r="E57" i="136"/>
  <c r="E54" i="168"/>
  <c r="K37" i="165"/>
  <c r="P37" i="165"/>
  <c r="O37" i="166"/>
  <c r="J37" i="166"/>
  <c r="D34" i="163"/>
  <c r="W76" i="166"/>
  <c r="V76" i="166"/>
  <c r="M36" i="132"/>
  <c r="I36" i="132" s="1"/>
  <c r="G78" i="150"/>
  <c r="R36" i="132"/>
  <c r="M38" i="165"/>
  <c r="I38" i="165" s="1"/>
  <c r="R38" i="165"/>
  <c r="N38" i="165" s="1"/>
  <c r="F57" i="136"/>
  <c r="F57" i="137"/>
  <c r="H13" i="114"/>
  <c r="H27" i="114" s="1"/>
  <c r="F57" i="142"/>
  <c r="F54" i="168"/>
  <c r="Y72" i="105"/>
  <c r="F54" i="167"/>
  <c r="W16" i="114"/>
  <c r="W30" i="114" s="1"/>
  <c r="K155" i="99"/>
  <c r="K60" i="145"/>
  <c r="E57" i="140"/>
  <c r="X72" i="99"/>
  <c r="L37" i="165"/>
  <c r="Q37" i="165"/>
  <c r="X19" i="114"/>
  <c r="D46" i="112"/>
  <c r="T72" i="105"/>
  <c r="AB47" i="55"/>
  <c r="E72" i="99"/>
  <c r="O39" i="188" s="1"/>
  <c r="H46" i="55"/>
  <c r="N38" i="188" s="1"/>
  <c r="F40" i="171"/>
  <c r="N100" i="166"/>
  <c r="E6" i="114"/>
  <c r="V19" i="114"/>
  <c r="D57" i="142"/>
  <c r="D57" i="136"/>
  <c r="D57" i="137"/>
  <c r="D54" i="167"/>
  <c r="D54" i="168"/>
  <c r="W72" i="105"/>
  <c r="AD72" i="105"/>
  <c r="F13" i="114"/>
  <c r="X16" i="114"/>
  <c r="X30" i="114" s="1"/>
  <c r="N155" i="99"/>
  <c r="P37" i="166"/>
  <c r="K37" i="166"/>
  <c r="O37" i="165"/>
  <c r="J37" i="165"/>
  <c r="D77" i="150"/>
  <c r="D76" i="150" s="1"/>
  <c r="J35" i="132"/>
  <c r="O35" i="132"/>
  <c r="F11" i="107"/>
  <c r="W19" i="114"/>
  <c r="G126" i="168"/>
  <c r="G128" i="137"/>
  <c r="G128" i="142"/>
  <c r="E26" i="128"/>
  <c r="E27" i="128" s="1"/>
  <c r="E29" i="128" s="1"/>
  <c r="L37" i="166"/>
  <c r="Q37" i="166"/>
  <c r="F128" i="142"/>
  <c r="F126" i="168"/>
  <c r="F128" i="137"/>
  <c r="G43" i="171"/>
  <c r="N36" i="132"/>
  <c r="N100" i="165"/>
  <c r="B34" i="163"/>
  <c r="C142" i="150"/>
  <c r="G34" i="135"/>
  <c r="E34" i="135"/>
  <c r="F34" i="135"/>
  <c r="D34" i="135"/>
  <c r="E34" i="132"/>
  <c r="E36" i="165"/>
  <c r="E115" i="165" s="1"/>
  <c r="E121" i="165" s="1"/>
  <c r="AD45" i="55"/>
  <c r="E36" i="166"/>
  <c r="G4" i="114"/>
  <c r="F44" i="112"/>
  <c r="B65" i="115"/>
  <c r="B105" i="115" s="1"/>
  <c r="P51" i="55"/>
  <c r="B165" i="107"/>
  <c r="B215" i="107" s="1"/>
  <c r="E92" i="107"/>
  <c r="E121" i="107" s="1"/>
  <c r="E64" i="107"/>
  <c r="D64" i="107"/>
  <c r="B164" i="107"/>
  <c r="D92" i="107"/>
  <c r="D121" i="107" s="1"/>
  <c r="M46" i="112"/>
  <c r="R46" i="112" s="1"/>
  <c r="AL47" i="55"/>
  <c r="AR47" i="55" s="1"/>
  <c r="S72" i="99"/>
  <c r="M38" i="166"/>
  <c r="I38" i="166" s="1"/>
  <c r="R38" i="166"/>
  <c r="N38" i="166" s="1"/>
  <c r="E128" i="137"/>
  <c r="E126" i="168"/>
  <c r="E128" i="142"/>
  <c r="E15" i="128"/>
  <c r="E16" i="128" s="1"/>
  <c r="E18" i="128" s="1"/>
  <c r="C34" i="163"/>
  <c r="I100" i="166"/>
  <c r="K164" i="105" l="1"/>
  <c r="H20" i="189" s="1"/>
  <c r="Q164" i="105"/>
  <c r="L20" i="189" s="1"/>
  <c r="H164" i="105"/>
  <c r="H257" i="105" s="1"/>
  <c r="N164" i="105"/>
  <c r="J20" i="189" s="1"/>
  <c r="AG45" i="55"/>
  <c r="G92" i="107"/>
  <c r="G121" i="107" s="1"/>
  <c r="W37" i="166"/>
  <c r="B167" i="107"/>
  <c r="B202" i="107" s="1"/>
  <c r="Q257" i="105"/>
  <c r="G37" i="107"/>
  <c r="E37" i="107"/>
  <c r="D37" i="107"/>
  <c r="G167" i="105"/>
  <c r="U72" i="115"/>
  <c r="F45" i="109"/>
  <c r="F42" i="109" s="1"/>
  <c r="O42" i="188"/>
  <c r="G72" i="105"/>
  <c r="G71" i="105" s="1"/>
  <c r="P39" i="188"/>
  <c r="U35" i="188"/>
  <c r="T35" i="188"/>
  <c r="W75" i="99"/>
  <c r="AB75" i="105"/>
  <c r="P42" i="188"/>
  <c r="D60" i="137"/>
  <c r="W75" i="105"/>
  <c r="H100" i="166"/>
  <c r="F16" i="114"/>
  <c r="D57" i="168"/>
  <c r="D60" i="142"/>
  <c r="D57" i="167"/>
  <c r="H75" i="99"/>
  <c r="U75" i="99"/>
  <c r="J71" i="99"/>
  <c r="J70" i="99" s="1"/>
  <c r="D60" i="140"/>
  <c r="F23" i="114"/>
  <c r="H63" i="145"/>
  <c r="S159" i="105"/>
  <c r="N240" i="105"/>
  <c r="N160" i="105"/>
  <c r="N161" i="105" s="1"/>
  <c r="Q240" i="105"/>
  <c r="Q160" i="105"/>
  <c r="Q161" i="105" s="1"/>
  <c r="H75" i="105"/>
  <c r="J71" i="105"/>
  <c r="J70" i="105" s="1"/>
  <c r="J76" i="105" s="1"/>
  <c r="H240" i="105"/>
  <c r="H160" i="105"/>
  <c r="H161" i="105" s="1"/>
  <c r="K160" i="105"/>
  <c r="K161" i="105" s="1"/>
  <c r="K240" i="105"/>
  <c r="P159" i="105"/>
  <c r="J159" i="105"/>
  <c r="E71" i="105"/>
  <c r="P38" i="188" s="1"/>
  <c r="AA75" i="105"/>
  <c r="M159" i="105"/>
  <c r="U75" i="105"/>
  <c r="AB75" i="99"/>
  <c r="C14" i="107"/>
  <c r="I49" i="112"/>
  <c r="N49" i="112" s="1"/>
  <c r="C38" i="132"/>
  <c r="C40" i="166"/>
  <c r="C63" i="145"/>
  <c r="AH50" i="55"/>
  <c r="AN50" i="55" s="1"/>
  <c r="AA75" i="99"/>
  <c r="C40" i="165"/>
  <c r="G142" i="150"/>
  <c r="M34" i="135"/>
  <c r="R34" i="135"/>
  <c r="W18" i="114"/>
  <c r="C13" i="107"/>
  <c r="AH47" i="55"/>
  <c r="AN47" i="55" s="1"/>
  <c r="C60" i="145"/>
  <c r="I46" i="112"/>
  <c r="N46" i="112" s="1"/>
  <c r="AA72" i="99"/>
  <c r="AE72" i="99" s="1"/>
  <c r="U72" i="99"/>
  <c r="C36" i="132"/>
  <c r="C78" i="150" s="1"/>
  <c r="C38" i="166"/>
  <c r="U38" i="166" s="1"/>
  <c r="V38" i="166" s="1"/>
  <c r="C38" i="165"/>
  <c r="E71" i="99"/>
  <c r="O38" i="188" s="1"/>
  <c r="G72" i="99"/>
  <c r="G57" i="137"/>
  <c r="G57" i="142"/>
  <c r="I13" i="114"/>
  <c r="I27" i="114" s="1"/>
  <c r="Z72" i="105"/>
  <c r="G54" i="168"/>
  <c r="G54" i="167"/>
  <c r="G57" i="136"/>
  <c r="Q34" i="132"/>
  <c r="L34" i="132"/>
  <c r="F39" i="132"/>
  <c r="F43" i="132"/>
  <c r="L36" i="165"/>
  <c r="Q36" i="165"/>
  <c r="F8" i="165"/>
  <c r="G36" i="166"/>
  <c r="AF45" i="55"/>
  <c r="G36" i="165"/>
  <c r="I4" i="114"/>
  <c r="E4" i="114" s="1"/>
  <c r="H44" i="112"/>
  <c r="G34" i="132"/>
  <c r="B67" i="115"/>
  <c r="B107" i="115" s="1"/>
  <c r="X51" i="55"/>
  <c r="O36" i="165"/>
  <c r="J36" i="165"/>
  <c r="D8" i="165"/>
  <c r="F30" i="114"/>
  <c r="U19" i="114"/>
  <c r="E127" i="137"/>
  <c r="E125" i="168"/>
  <c r="E127" i="142"/>
  <c r="H165" i="107"/>
  <c r="F50" i="112"/>
  <c r="AD51" i="55"/>
  <c r="C12" i="163"/>
  <c r="P52" i="55"/>
  <c r="F13" i="93" s="1"/>
  <c r="K36" i="166"/>
  <c r="P36" i="166"/>
  <c r="E8" i="166"/>
  <c r="P34" i="135"/>
  <c r="K34" i="135"/>
  <c r="E142" i="150"/>
  <c r="F4" i="107"/>
  <c r="F16" i="107"/>
  <c r="B21" i="146" s="1"/>
  <c r="T71" i="99"/>
  <c r="T71" i="105"/>
  <c r="AB46" i="55"/>
  <c r="F39" i="171"/>
  <c r="H45" i="55"/>
  <c r="N37" i="188" s="1"/>
  <c r="D45" i="112"/>
  <c r="X18" i="114"/>
  <c r="W13" i="114"/>
  <c r="W27" i="114" s="1"/>
  <c r="M155" i="99"/>
  <c r="K154" i="99"/>
  <c r="D49" i="146"/>
  <c r="G154" i="99"/>
  <c r="G50" i="112"/>
  <c r="T52" i="55"/>
  <c r="AE51" i="55"/>
  <c r="D12" i="163"/>
  <c r="D56" i="140"/>
  <c r="M37" i="165"/>
  <c r="I37" i="165" s="1"/>
  <c r="R37" i="165"/>
  <c r="N37" i="165" s="1"/>
  <c r="Y13" i="114"/>
  <c r="Y27" i="114" s="1"/>
  <c r="S155" i="99"/>
  <c r="Q154" i="99"/>
  <c r="O34" i="132"/>
  <c r="J34" i="132"/>
  <c r="D39" i="132"/>
  <c r="D43" i="132"/>
  <c r="D127" i="142"/>
  <c r="D127" i="137"/>
  <c r="D125" i="168"/>
  <c r="H38" i="166"/>
  <c r="P34" i="132"/>
  <c r="K34" i="132"/>
  <c r="E39" i="132"/>
  <c r="E43" i="132"/>
  <c r="Q34" i="135"/>
  <c r="L34" i="135"/>
  <c r="F142" i="150"/>
  <c r="V18" i="114"/>
  <c r="G40" i="171"/>
  <c r="C31" i="135"/>
  <c r="E153" i="99"/>
  <c r="V30" i="114"/>
  <c r="U30" i="114" s="1"/>
  <c r="U16" i="114"/>
  <c r="Q36" i="166"/>
  <c r="L36" i="166"/>
  <c r="F8" i="166"/>
  <c r="Y18" i="114"/>
  <c r="R37" i="166"/>
  <c r="N37" i="166" s="1"/>
  <c r="M37" i="166"/>
  <c r="I37" i="166" s="1"/>
  <c r="H166" i="107"/>
  <c r="B189" i="107"/>
  <c r="B195" i="107"/>
  <c r="H100" i="165"/>
  <c r="Z72" i="99"/>
  <c r="I20" i="114"/>
  <c r="E20" i="114" s="1"/>
  <c r="Q60" i="145"/>
  <c r="G57" i="140"/>
  <c r="B176" i="107"/>
  <c r="B182" i="107" s="1"/>
  <c r="H164" i="107"/>
  <c r="K36" i="165"/>
  <c r="P36" i="165"/>
  <c r="E8" i="165"/>
  <c r="O34" i="135"/>
  <c r="D142" i="150"/>
  <c r="J34" i="135"/>
  <c r="F127" i="137"/>
  <c r="F125" i="168"/>
  <c r="F127" i="142"/>
  <c r="G127" i="137"/>
  <c r="G125" i="168"/>
  <c r="G127" i="142"/>
  <c r="X13" i="114"/>
  <c r="X27" i="114" s="1"/>
  <c r="P155" i="99"/>
  <c r="N154" i="99"/>
  <c r="F27" i="114"/>
  <c r="U72" i="105"/>
  <c r="AA72" i="105"/>
  <c r="AE72" i="105" s="1"/>
  <c r="C140" i="150"/>
  <c r="F32" i="135"/>
  <c r="E32" i="135"/>
  <c r="G32" i="135"/>
  <c r="D32" i="135"/>
  <c r="H154" i="99"/>
  <c r="J155" i="99"/>
  <c r="V13" i="114"/>
  <c r="G77" i="150"/>
  <c r="G76" i="150" s="1"/>
  <c r="M35" i="132"/>
  <c r="I35" i="132" s="1"/>
  <c r="R35" i="132"/>
  <c r="N35" i="132" s="1"/>
  <c r="AC51" i="55"/>
  <c r="L52" i="55"/>
  <c r="E50" i="112"/>
  <c r="B12" i="163"/>
  <c r="O36" i="166"/>
  <c r="J36" i="166"/>
  <c r="D8" i="166"/>
  <c r="F37" i="107" l="1"/>
  <c r="J164" i="105"/>
  <c r="J240" i="105"/>
  <c r="S164" i="105"/>
  <c r="S240" i="105"/>
  <c r="J81" i="105"/>
  <c r="H81" i="105" s="1"/>
  <c r="J237" i="105"/>
  <c r="M164" i="105"/>
  <c r="M240" i="105"/>
  <c r="P164" i="105"/>
  <c r="P240" i="105"/>
  <c r="K257" i="105"/>
  <c r="F20" i="189"/>
  <c r="N257" i="105"/>
  <c r="G45" i="109"/>
  <c r="E13" i="93"/>
  <c r="E13" i="58"/>
  <c r="U38" i="165"/>
  <c r="V38" i="165" s="1"/>
  <c r="W36" i="166"/>
  <c r="G13" i="58"/>
  <c r="G13" i="93"/>
  <c r="D56" i="142"/>
  <c r="H167" i="107"/>
  <c r="B208" i="107"/>
  <c r="J49" i="112"/>
  <c r="O49" i="112" s="1"/>
  <c r="U30" i="99"/>
  <c r="AD52" i="55"/>
  <c r="AC75" i="99"/>
  <c r="AE75" i="99" s="1"/>
  <c r="R42" i="188"/>
  <c r="T42" i="188" s="1"/>
  <c r="H71" i="105"/>
  <c r="AC71" i="105" s="1"/>
  <c r="S42" i="188"/>
  <c r="AD75" i="105"/>
  <c r="AF75" i="105" s="1"/>
  <c r="AC75" i="105"/>
  <c r="AE75" i="105" s="1"/>
  <c r="F19" i="114"/>
  <c r="F12" i="114"/>
  <c r="F26" i="114" s="1"/>
  <c r="G42" i="109"/>
  <c r="W71" i="105"/>
  <c r="AI50" i="55"/>
  <c r="AO50" i="55" s="1"/>
  <c r="D53" i="167"/>
  <c r="D56" i="137"/>
  <c r="AD75" i="99"/>
  <c r="AF75" i="99" s="1"/>
  <c r="H59" i="145"/>
  <c r="H71" i="99"/>
  <c r="H70" i="99" s="1"/>
  <c r="W71" i="99"/>
  <c r="D56" i="136"/>
  <c r="D53" i="168"/>
  <c r="F41" i="109"/>
  <c r="E13" i="114"/>
  <c r="H36" i="132"/>
  <c r="E27" i="114"/>
  <c r="U40" i="165"/>
  <c r="V40" i="165" s="1"/>
  <c r="H40" i="165"/>
  <c r="U40" i="166"/>
  <c r="V40" i="166" s="1"/>
  <c r="H40" i="166"/>
  <c r="J84" i="105"/>
  <c r="E70" i="105"/>
  <c r="G70" i="105"/>
  <c r="G76" i="105" s="1"/>
  <c r="K167" i="105"/>
  <c r="H167" i="105"/>
  <c r="Q167" i="105"/>
  <c r="N167" i="105"/>
  <c r="C80" i="150"/>
  <c r="H38" i="132"/>
  <c r="N34" i="135"/>
  <c r="H38" i="165"/>
  <c r="I34" i="135"/>
  <c r="U13" i="114"/>
  <c r="V27" i="114"/>
  <c r="U27" i="114" s="1"/>
  <c r="D42" i="132"/>
  <c r="D45" i="132" s="1"/>
  <c r="G50" i="171"/>
  <c r="E51" i="112"/>
  <c r="H28" i="115"/>
  <c r="Q32" i="135"/>
  <c r="F140" i="150"/>
  <c r="L32" i="135"/>
  <c r="AB71" i="105"/>
  <c r="AB72" i="105"/>
  <c r="AF72" i="105" s="1"/>
  <c r="O63" i="115"/>
  <c r="O103" i="115" s="1"/>
  <c r="E159" i="99"/>
  <c r="E164" i="99" s="1"/>
  <c r="Y12" i="114"/>
  <c r="Y26" i="114" s="1"/>
  <c r="Q153" i="99"/>
  <c r="F42" i="132"/>
  <c r="H30" i="115"/>
  <c r="G51" i="112"/>
  <c r="G52" i="171"/>
  <c r="W12" i="114"/>
  <c r="W26" i="114" s="1"/>
  <c r="K153" i="99"/>
  <c r="T70" i="99"/>
  <c r="T70" i="105"/>
  <c r="D44" i="112"/>
  <c r="AB45" i="55"/>
  <c r="F38" i="171"/>
  <c r="B63" i="115"/>
  <c r="B103" i="115" s="1"/>
  <c r="H51" i="55"/>
  <c r="C13" i="163"/>
  <c r="R34" i="132"/>
  <c r="N34" i="132" s="1"/>
  <c r="M34" i="132"/>
  <c r="I34" i="132" s="1"/>
  <c r="G39" i="132"/>
  <c r="G43" i="132"/>
  <c r="H153" i="99"/>
  <c r="V12" i="114"/>
  <c r="P32" i="135"/>
  <c r="E140" i="150"/>
  <c r="K32" i="135"/>
  <c r="X12" i="114"/>
  <c r="X26" i="114" s="1"/>
  <c r="N153" i="99"/>
  <c r="U88" i="115"/>
  <c r="D55" i="137"/>
  <c r="W70" i="105"/>
  <c r="D55" i="142"/>
  <c r="D52" i="168"/>
  <c r="D52" i="167"/>
  <c r="D55" i="136"/>
  <c r="F11" i="114"/>
  <c r="D126" i="142"/>
  <c r="D126" i="137"/>
  <c r="D124" i="168"/>
  <c r="D55" i="140"/>
  <c r="W70" i="99"/>
  <c r="W11" i="105" s="1"/>
  <c r="H58" i="145"/>
  <c r="F18" i="114"/>
  <c r="C64" i="115"/>
  <c r="C104" i="115" s="1"/>
  <c r="D104" i="115" s="1"/>
  <c r="J76" i="99"/>
  <c r="J81" i="99" s="1"/>
  <c r="E42" i="132"/>
  <c r="E45" i="132" s="1"/>
  <c r="H29" i="115"/>
  <c r="H13" i="129"/>
  <c r="F51" i="112"/>
  <c r="M36" i="165"/>
  <c r="I36" i="165" s="1"/>
  <c r="R36" i="165"/>
  <c r="N36" i="165" s="1"/>
  <c r="G8" i="165"/>
  <c r="B13" i="163"/>
  <c r="D128" i="140"/>
  <c r="D126" i="167"/>
  <c r="D128" i="136"/>
  <c r="J154" i="99"/>
  <c r="M32" i="135"/>
  <c r="G140" i="150"/>
  <c r="R32" i="135"/>
  <c r="U71" i="105"/>
  <c r="AA71" i="105"/>
  <c r="G126" i="137"/>
  <c r="G126" i="142"/>
  <c r="G124" i="168"/>
  <c r="D13" i="163"/>
  <c r="D48" i="146"/>
  <c r="G153" i="99"/>
  <c r="E126" i="142"/>
  <c r="E124" i="168"/>
  <c r="E126" i="137"/>
  <c r="E12" i="163"/>
  <c r="X52" i="55"/>
  <c r="H50" i="112"/>
  <c r="AF51" i="55"/>
  <c r="F45" i="132"/>
  <c r="Q39" i="132"/>
  <c r="L39" i="132"/>
  <c r="F81" i="150"/>
  <c r="F7" i="132"/>
  <c r="C59" i="145"/>
  <c r="I45" i="112"/>
  <c r="N45" i="112" s="1"/>
  <c r="AA71" i="99"/>
  <c r="U71" i="99"/>
  <c r="AH46" i="55"/>
  <c r="AN46" i="55" s="1"/>
  <c r="C12" i="107"/>
  <c r="C11" i="107" s="1"/>
  <c r="C35" i="132"/>
  <c r="G70" i="99"/>
  <c r="C37" i="166"/>
  <c r="C37" i="165"/>
  <c r="E70" i="99"/>
  <c r="O37" i="188" s="1"/>
  <c r="U18" i="114"/>
  <c r="O32" i="135"/>
  <c r="D140" i="150"/>
  <c r="J32" i="135"/>
  <c r="F126" i="167"/>
  <c r="F128" i="140"/>
  <c r="F128" i="136"/>
  <c r="P154" i="99"/>
  <c r="F126" i="142"/>
  <c r="F126" i="137"/>
  <c r="F124" i="168"/>
  <c r="C30" i="135"/>
  <c r="F31" i="135"/>
  <c r="C139" i="150"/>
  <c r="C138" i="150" s="1"/>
  <c r="D31" i="135"/>
  <c r="G31" i="135"/>
  <c r="E31" i="135"/>
  <c r="K39" i="132"/>
  <c r="P39" i="132"/>
  <c r="E81" i="150"/>
  <c r="E7" i="132"/>
  <c r="D81" i="150"/>
  <c r="O39" i="132"/>
  <c r="D7" i="132"/>
  <c r="J39" i="132"/>
  <c r="G126" i="167"/>
  <c r="G128" i="140"/>
  <c r="G128" i="136"/>
  <c r="S154" i="99"/>
  <c r="E126" i="167"/>
  <c r="E128" i="140"/>
  <c r="E128" i="136"/>
  <c r="M154" i="99"/>
  <c r="G39" i="171"/>
  <c r="S29" i="115"/>
  <c r="S27" i="115"/>
  <c r="S28" i="115"/>
  <c r="S30" i="115"/>
  <c r="S31" i="115"/>
  <c r="M36" i="166"/>
  <c r="I36" i="166" s="1"/>
  <c r="R36" i="166"/>
  <c r="N36" i="166" s="1"/>
  <c r="G8" i="166"/>
  <c r="AB72" i="99"/>
  <c r="AF72" i="99" s="1"/>
  <c r="E60" i="145"/>
  <c r="B49" i="146"/>
  <c r="G71" i="99"/>
  <c r="W36" i="165"/>
  <c r="G81" i="105" l="1"/>
  <c r="G237" i="105"/>
  <c r="D25" i="107"/>
  <c r="F18" i="189"/>
  <c r="H37" i="165"/>
  <c r="H37" i="166"/>
  <c r="H13" i="93"/>
  <c r="H13" i="58"/>
  <c r="E255" i="99"/>
  <c r="D16" i="189"/>
  <c r="G10" i="58"/>
  <c r="N77" i="105" s="1"/>
  <c r="N78" i="105" s="1"/>
  <c r="E10" i="58"/>
  <c r="J167" i="105"/>
  <c r="U73" i="115"/>
  <c r="S167" i="105"/>
  <c r="U76" i="115"/>
  <c r="V30" i="99"/>
  <c r="S18" i="145"/>
  <c r="M167" i="105"/>
  <c r="U74" i="115"/>
  <c r="F2" i="109"/>
  <c r="N43" i="188"/>
  <c r="P167" i="105"/>
  <c r="U75" i="115"/>
  <c r="AD71" i="105"/>
  <c r="AF71" i="105" s="1"/>
  <c r="R37" i="188"/>
  <c r="T37" i="188" s="1"/>
  <c r="H76" i="99"/>
  <c r="R43" i="188" s="1"/>
  <c r="T43" i="188" s="1"/>
  <c r="AC71" i="99"/>
  <c r="AE71" i="99" s="1"/>
  <c r="AD71" i="99"/>
  <c r="R38" i="188"/>
  <c r="T38" i="188" s="1"/>
  <c r="L73" i="115"/>
  <c r="H253" i="105"/>
  <c r="U42" i="188"/>
  <c r="E76" i="105"/>
  <c r="P37" i="188"/>
  <c r="H70" i="105"/>
  <c r="AC70" i="105" s="1"/>
  <c r="S38" i="188"/>
  <c r="J45" i="112"/>
  <c r="O45" i="112" s="1"/>
  <c r="AI46" i="55"/>
  <c r="AO46" i="55" s="1"/>
  <c r="O66" i="115"/>
  <c r="O106" i="115" s="1"/>
  <c r="O64" i="115"/>
  <c r="O67" i="115"/>
  <c r="O107" i="115" s="1"/>
  <c r="O65" i="115"/>
  <c r="O105" i="115" s="1"/>
  <c r="F46" i="109"/>
  <c r="G41" i="109"/>
  <c r="I32" i="135"/>
  <c r="G84" i="105"/>
  <c r="E81" i="105"/>
  <c r="F14" i="129"/>
  <c r="J17" i="92" s="1"/>
  <c r="G14" i="129"/>
  <c r="K17" i="92" s="1"/>
  <c r="E14" i="129"/>
  <c r="I17" i="92" s="1"/>
  <c r="H84" i="105"/>
  <c r="AE71" i="105"/>
  <c r="H34" i="135"/>
  <c r="N32" i="135"/>
  <c r="D9" i="150"/>
  <c r="D9" i="151"/>
  <c r="D9" i="131"/>
  <c r="D9" i="130"/>
  <c r="AB71" i="99"/>
  <c r="B48" i="146"/>
  <c r="E59" i="145"/>
  <c r="J31" i="135"/>
  <c r="O31" i="135"/>
  <c r="D139" i="150"/>
  <c r="D138" i="150" s="1"/>
  <c r="D30" i="135"/>
  <c r="AI45" i="55"/>
  <c r="AO45" i="55" s="1"/>
  <c r="J44" i="112"/>
  <c r="O44" i="112" s="1"/>
  <c r="AC70" i="99"/>
  <c r="AH45" i="55"/>
  <c r="F40" i="109"/>
  <c r="U70" i="99"/>
  <c r="C58" i="145"/>
  <c r="AA70" i="99"/>
  <c r="E76" i="99"/>
  <c r="O43" i="188" s="1"/>
  <c r="I44" i="112"/>
  <c r="N44" i="112" s="1"/>
  <c r="C63" i="115"/>
  <c r="C34" i="132"/>
  <c r="C77" i="150"/>
  <c r="C76" i="150" s="1"/>
  <c r="E102" i="142"/>
  <c r="E102" i="137"/>
  <c r="E100" i="168"/>
  <c r="AA70" i="105"/>
  <c r="U70" i="105"/>
  <c r="E13" i="129"/>
  <c r="I17" i="61" s="1"/>
  <c r="M92" i="99" s="1"/>
  <c r="M182" i="99" s="1"/>
  <c r="D64" i="115"/>
  <c r="V26" i="114"/>
  <c r="U26" i="114" s="1"/>
  <c r="U12" i="114"/>
  <c r="C66" i="107"/>
  <c r="J66" i="107" s="1"/>
  <c r="K66" i="107" s="1"/>
  <c r="C94" i="107"/>
  <c r="C123" i="107" s="1"/>
  <c r="B68" i="115"/>
  <c r="E36" i="139"/>
  <c r="D38" i="163"/>
  <c r="E31" i="154"/>
  <c r="F13" i="129"/>
  <c r="J17" i="61" s="1"/>
  <c r="G41" i="58"/>
  <c r="G55" i="171"/>
  <c r="G127" i="140"/>
  <c r="G127" i="136"/>
  <c r="G125" i="167"/>
  <c r="S153" i="99"/>
  <c r="R31" i="135"/>
  <c r="M31" i="135"/>
  <c r="G139" i="150"/>
  <c r="G138" i="150" s="1"/>
  <c r="G30" i="135"/>
  <c r="C7" i="135"/>
  <c r="C37" i="135"/>
  <c r="F127" i="136"/>
  <c r="F127" i="140"/>
  <c r="F125" i="167"/>
  <c r="P153" i="99"/>
  <c r="E58" i="145"/>
  <c r="G76" i="99"/>
  <c r="G81" i="99" s="1"/>
  <c r="AB70" i="99"/>
  <c r="B47" i="146"/>
  <c r="F9" i="130"/>
  <c r="F9" i="151"/>
  <c r="F9" i="150"/>
  <c r="F9" i="131"/>
  <c r="E13" i="163"/>
  <c r="AB70" i="105"/>
  <c r="F25" i="114"/>
  <c r="E38" i="163"/>
  <c r="E40" i="154"/>
  <c r="E45" i="139"/>
  <c r="X11" i="114"/>
  <c r="X25" i="114" s="1"/>
  <c r="N159" i="99"/>
  <c r="N164" i="99" s="1"/>
  <c r="T76" i="105"/>
  <c r="Z52" i="55"/>
  <c r="D50" i="112"/>
  <c r="T76" i="99"/>
  <c r="H52" i="55"/>
  <c r="AB51" i="55"/>
  <c r="G57" i="171"/>
  <c r="C38" i="135"/>
  <c r="E167" i="99"/>
  <c r="E160" i="99"/>
  <c r="E41" i="58"/>
  <c r="AD70" i="99"/>
  <c r="E127" i="140"/>
  <c r="E125" i="167"/>
  <c r="E127" i="136"/>
  <c r="M153" i="99"/>
  <c r="K31" i="135"/>
  <c r="P31" i="135"/>
  <c r="E30" i="135"/>
  <c r="E139" i="150"/>
  <c r="E138" i="150" s="1"/>
  <c r="F30" i="135"/>
  <c r="L31" i="135"/>
  <c r="Q31" i="135"/>
  <c r="F139" i="150"/>
  <c r="F138" i="150" s="1"/>
  <c r="F102" i="142"/>
  <c r="F102" i="137"/>
  <c r="F100" i="168"/>
  <c r="U37" i="166"/>
  <c r="V37" i="166" s="1"/>
  <c r="C36" i="166"/>
  <c r="H51" i="112"/>
  <c r="G42" i="132"/>
  <c r="G45" i="132" s="1"/>
  <c r="H31" i="115"/>
  <c r="G53" i="171"/>
  <c r="G102" i="142"/>
  <c r="G100" i="168"/>
  <c r="G102" i="137"/>
  <c r="D127" i="140"/>
  <c r="D127" i="136"/>
  <c r="D125" i="167"/>
  <c r="J153" i="99"/>
  <c r="F41" i="93"/>
  <c r="F10" i="93"/>
  <c r="G10" i="189" s="1"/>
  <c r="W76" i="99"/>
  <c r="H64" i="145"/>
  <c r="D31" i="140"/>
  <c r="D102" i="137"/>
  <c r="D102" i="142"/>
  <c r="D100" i="168"/>
  <c r="E27" i="139"/>
  <c r="C38" i="163"/>
  <c r="E22" i="154"/>
  <c r="W11" i="114"/>
  <c r="W25" i="114" s="1"/>
  <c r="K159" i="99"/>
  <c r="Y11" i="114"/>
  <c r="Y25" i="114" s="1"/>
  <c r="Q159" i="99"/>
  <c r="Q164" i="99" s="1"/>
  <c r="E41" i="93"/>
  <c r="E10" i="93"/>
  <c r="E10" i="189" s="1"/>
  <c r="H34" i="132"/>
  <c r="AN45" i="55"/>
  <c r="H35" i="132"/>
  <c r="E9" i="131"/>
  <c r="E9" i="151"/>
  <c r="C36" i="165"/>
  <c r="U37" i="165"/>
  <c r="V37" i="165" s="1"/>
  <c r="C4" i="107"/>
  <c r="J11" i="107"/>
  <c r="C18" i="107"/>
  <c r="C16" i="107"/>
  <c r="D47" i="146"/>
  <c r="D52" i="146" s="1"/>
  <c r="G159" i="99"/>
  <c r="V11" i="114"/>
  <c r="H159" i="99"/>
  <c r="G81" i="150"/>
  <c r="R39" i="132"/>
  <c r="N39" i="132" s="1"/>
  <c r="M39" i="132"/>
  <c r="I39" i="132" s="1"/>
  <c r="G7" i="132"/>
  <c r="G38" i="171"/>
  <c r="F44" i="171"/>
  <c r="G41" i="93"/>
  <c r="G10" i="93"/>
  <c r="I10" i="189" s="1"/>
  <c r="E18" i="139"/>
  <c r="E13" i="154"/>
  <c r="H17" i="61"/>
  <c r="D14" i="129"/>
  <c r="H17" i="92" s="1"/>
  <c r="D124" i="167" l="1"/>
  <c r="F124" i="167"/>
  <c r="G124" i="167"/>
  <c r="K182" i="99"/>
  <c r="E182" i="99" s="1"/>
  <c r="O20" i="109" s="1"/>
  <c r="Q20" i="109" s="1"/>
  <c r="G182" i="99"/>
  <c r="H164" i="99"/>
  <c r="F16" i="189" s="1"/>
  <c r="G164" i="99"/>
  <c r="T72" i="115" s="1"/>
  <c r="H36" i="166"/>
  <c r="D13" i="93"/>
  <c r="D13" i="58"/>
  <c r="N255" i="99"/>
  <c r="J16" i="189"/>
  <c r="Q255" i="99"/>
  <c r="L16" i="189"/>
  <c r="C25" i="107"/>
  <c r="D18" i="189"/>
  <c r="AF71" i="99"/>
  <c r="H10" i="58"/>
  <c r="K6" i="189" s="1"/>
  <c r="I6" i="189"/>
  <c r="H77" i="105"/>
  <c r="H78" i="105" s="1"/>
  <c r="E6" i="189"/>
  <c r="U38" i="188"/>
  <c r="L72" i="115"/>
  <c r="E253" i="105"/>
  <c r="M75" i="99"/>
  <c r="P75" i="99"/>
  <c r="S75" i="99"/>
  <c r="T18" i="145"/>
  <c r="H255" i="99"/>
  <c r="AD76" i="99"/>
  <c r="E237" i="105"/>
  <c r="P43" i="188"/>
  <c r="S37" i="188"/>
  <c r="U37" i="188" s="1"/>
  <c r="H76" i="105"/>
  <c r="S43" i="188" s="1"/>
  <c r="U43" i="188" s="1"/>
  <c r="AD70" i="105"/>
  <c r="AF70" i="105" s="1"/>
  <c r="O68" i="115"/>
  <c r="O104" i="115"/>
  <c r="D63" i="115"/>
  <c r="C103" i="115"/>
  <c r="D103" i="115" s="1"/>
  <c r="F49" i="109"/>
  <c r="H32" i="135"/>
  <c r="E23" i="107"/>
  <c r="B138" i="107" s="1"/>
  <c r="B213" i="107" s="1"/>
  <c r="K77" i="105"/>
  <c r="K78" i="105" s="1"/>
  <c r="D73" i="140"/>
  <c r="D73" i="136"/>
  <c r="D71" i="167"/>
  <c r="H92" i="99"/>
  <c r="E71" i="167"/>
  <c r="K92" i="99"/>
  <c r="E73" i="136"/>
  <c r="E73" i="140"/>
  <c r="E84" i="105"/>
  <c r="AF70" i="99"/>
  <c r="D23" i="107"/>
  <c r="B137" i="107" s="1"/>
  <c r="H77" i="99"/>
  <c r="F23" i="107"/>
  <c r="F52" i="107" s="1"/>
  <c r="N77" i="99"/>
  <c r="AE70" i="105"/>
  <c r="D23" i="129"/>
  <c r="D12" i="129"/>
  <c r="D66" i="107"/>
  <c r="D164" i="107"/>
  <c r="D176" i="107" s="1"/>
  <c r="D182" i="107" s="1"/>
  <c r="D94" i="107"/>
  <c r="D123" i="107" s="1"/>
  <c r="D24" i="129"/>
  <c r="F13" i="154"/>
  <c r="H13" i="154" s="1"/>
  <c r="F18" i="139"/>
  <c r="H18" i="139" s="1"/>
  <c r="C35" i="163"/>
  <c r="E94" i="107"/>
  <c r="E123" i="107" s="1"/>
  <c r="E66" i="107"/>
  <c r="D165" i="107"/>
  <c r="D215" i="107" s="1"/>
  <c r="F27" i="139"/>
  <c r="H27" i="139" s="1"/>
  <c r="F22" i="154"/>
  <c r="H41" i="93"/>
  <c r="H10" i="93"/>
  <c r="K10" i="189" s="1"/>
  <c r="T77" i="105"/>
  <c r="D51" i="112"/>
  <c r="H27" i="115"/>
  <c r="T77" i="99"/>
  <c r="F12" i="129"/>
  <c r="F23" i="129"/>
  <c r="C39" i="132"/>
  <c r="C42" i="132"/>
  <c r="G40" i="109"/>
  <c r="F48" i="109"/>
  <c r="O30" i="135"/>
  <c r="J30" i="135"/>
  <c r="D7" i="135"/>
  <c r="AE70" i="99"/>
  <c r="U11" i="114"/>
  <c r="V25" i="114"/>
  <c r="U25" i="114" s="1"/>
  <c r="B10" i="146"/>
  <c r="U36" i="165"/>
  <c r="V36" i="165" s="1"/>
  <c r="U8" i="165"/>
  <c r="C8" i="165"/>
  <c r="U89" i="115"/>
  <c r="J84" i="99"/>
  <c r="H69" i="145"/>
  <c r="H81" i="99"/>
  <c r="F14" i="189" s="1"/>
  <c r="U92" i="115"/>
  <c r="G13" i="129"/>
  <c r="K17" i="61" s="1"/>
  <c r="C14" i="129"/>
  <c r="H26" i="159" s="1"/>
  <c r="H41" i="58"/>
  <c r="Q77" i="105"/>
  <c r="Q78" i="105" s="1"/>
  <c r="K30" i="135"/>
  <c r="P30" i="135"/>
  <c r="E7" i="135"/>
  <c r="E161" i="99"/>
  <c r="D35" i="163"/>
  <c r="N160" i="99"/>
  <c r="N161" i="99" s="1"/>
  <c r="G66" i="107"/>
  <c r="G94" i="107"/>
  <c r="G123" i="107" s="1"/>
  <c r="D167" i="107"/>
  <c r="B52" i="146"/>
  <c r="M30" i="135"/>
  <c r="R30" i="135"/>
  <c r="G7" i="135"/>
  <c r="G126" i="136"/>
  <c r="G126" i="140"/>
  <c r="S159" i="99"/>
  <c r="S164" i="99" s="1"/>
  <c r="F24" i="129"/>
  <c r="F66" i="107"/>
  <c r="F94" i="107"/>
  <c r="F123" i="107" s="1"/>
  <c r="D166" i="107"/>
  <c r="U90" i="115"/>
  <c r="I16" i="107"/>
  <c r="J16" i="107" s="1"/>
  <c r="C64" i="145"/>
  <c r="C43" i="132"/>
  <c r="I50" i="112"/>
  <c r="N50" i="112" s="1"/>
  <c r="U76" i="99"/>
  <c r="AH51" i="55"/>
  <c r="AN51" i="55" s="1"/>
  <c r="AA76" i="99"/>
  <c r="H36" i="165"/>
  <c r="I31" i="135"/>
  <c r="G44" i="171"/>
  <c r="H160" i="99"/>
  <c r="H161" i="99" s="1"/>
  <c r="B35" i="163"/>
  <c r="D126" i="136"/>
  <c r="D126" i="140"/>
  <c r="J159" i="99"/>
  <c r="U36" i="166"/>
  <c r="V36" i="166" s="1"/>
  <c r="C8" i="166"/>
  <c r="U91" i="115"/>
  <c r="E126" i="140"/>
  <c r="E126" i="136"/>
  <c r="E124" i="167"/>
  <c r="M159" i="99"/>
  <c r="F45" i="139"/>
  <c r="H45" i="139" s="1"/>
  <c r="F40" i="154"/>
  <c r="H40" i="154" s="1"/>
  <c r="E64" i="145"/>
  <c r="AB76" i="99"/>
  <c r="E23" i="129"/>
  <c r="E37" i="129"/>
  <c r="E12" i="129"/>
  <c r="U76" i="105"/>
  <c r="AA76" i="105"/>
  <c r="J50" i="112"/>
  <c r="O50" i="112" s="1"/>
  <c r="AI51" i="55"/>
  <c r="AO51" i="55" s="1"/>
  <c r="AD76" i="105"/>
  <c r="B14" i="163"/>
  <c r="AC76" i="99"/>
  <c r="N31" i="135"/>
  <c r="G9" i="150"/>
  <c r="G9" i="130"/>
  <c r="G9" i="151"/>
  <c r="G9" i="131"/>
  <c r="C19" i="107"/>
  <c r="B18" i="146"/>
  <c r="Q160" i="99"/>
  <c r="Q161" i="99" s="1"/>
  <c r="E35" i="163"/>
  <c r="D31" i="136"/>
  <c r="W76" i="105"/>
  <c r="D28" i="167"/>
  <c r="D31" i="142"/>
  <c r="D31" i="137"/>
  <c r="D28" i="168"/>
  <c r="G58" i="171"/>
  <c r="L30" i="135"/>
  <c r="Q30" i="135"/>
  <c r="F7" i="135"/>
  <c r="AB76" i="105"/>
  <c r="B4" i="146"/>
  <c r="F126" i="136"/>
  <c r="F126" i="140"/>
  <c r="P159" i="99"/>
  <c r="F36" i="139"/>
  <c r="H36" i="139" s="1"/>
  <c r="F31" i="154"/>
  <c r="H31" i="154" s="1"/>
  <c r="E24" i="129"/>
  <c r="H22" i="154"/>
  <c r="B38" i="163" l="1"/>
  <c r="P164" i="99"/>
  <c r="T75" i="115" s="1"/>
  <c r="J164" i="99"/>
  <c r="T73" i="115" s="1"/>
  <c r="D10" i="58"/>
  <c r="E77" i="105" s="1"/>
  <c r="E78" i="105" s="1"/>
  <c r="F80" i="107"/>
  <c r="F109" i="107" s="1"/>
  <c r="T76" i="115"/>
  <c r="T164" i="99"/>
  <c r="M75" i="105"/>
  <c r="M71" i="99"/>
  <c r="K75" i="99"/>
  <c r="E60" i="140"/>
  <c r="K63" i="145"/>
  <c r="X75" i="99"/>
  <c r="B139" i="107"/>
  <c r="P75" i="105"/>
  <c r="P71" i="99"/>
  <c r="H23" i="114"/>
  <c r="F60" i="140"/>
  <c r="N75" i="99"/>
  <c r="N63" i="145"/>
  <c r="Y75" i="99"/>
  <c r="S75" i="105"/>
  <c r="V19" i="99"/>
  <c r="Z75" i="99"/>
  <c r="Q63" i="145"/>
  <c r="Q75" i="99"/>
  <c r="G60" i="140"/>
  <c r="I23" i="114"/>
  <c r="S71" i="99"/>
  <c r="AF76" i="99"/>
  <c r="H237" i="105"/>
  <c r="K73" i="115"/>
  <c r="H251" i="99"/>
  <c r="G54" i="109"/>
  <c r="G55" i="109" s="1"/>
  <c r="D80" i="107"/>
  <c r="D109" i="107" s="1"/>
  <c r="E52" i="107"/>
  <c r="E80" i="107"/>
  <c r="D52" i="107"/>
  <c r="E43" i="164"/>
  <c r="D43" i="164"/>
  <c r="G23" i="107"/>
  <c r="G52" i="107" s="1"/>
  <c r="Q77" i="99"/>
  <c r="AE76" i="99"/>
  <c r="C24" i="129"/>
  <c r="J29" i="115"/>
  <c r="E36" i="163"/>
  <c r="E32" i="163"/>
  <c r="AC76" i="105"/>
  <c r="AE76" i="105" s="1"/>
  <c r="G84" i="99"/>
  <c r="E81" i="99"/>
  <c r="D14" i="189" s="1"/>
  <c r="D18" i="138"/>
  <c r="E15" i="153"/>
  <c r="H167" i="99"/>
  <c r="D195" i="107"/>
  <c r="D189" i="107"/>
  <c r="N167" i="99"/>
  <c r="D27" i="138"/>
  <c r="E24" i="153"/>
  <c r="G46" i="109"/>
  <c r="C81" i="150"/>
  <c r="C46" i="132"/>
  <c r="D41" i="93"/>
  <c r="D10" i="93"/>
  <c r="C10" i="189" s="1"/>
  <c r="N17" i="92"/>
  <c r="N17" i="61"/>
  <c r="AF76" i="105"/>
  <c r="N30" i="135"/>
  <c r="N37" i="135" s="1"/>
  <c r="K78" i="99"/>
  <c r="I29" i="115"/>
  <c r="K51" i="112"/>
  <c r="P51" i="112" s="1"/>
  <c r="F102" i="140"/>
  <c r="F102" i="136"/>
  <c r="F100" i="167"/>
  <c r="B15" i="163"/>
  <c r="B11" i="163"/>
  <c r="E102" i="140"/>
  <c r="E102" i="136"/>
  <c r="E100" i="167"/>
  <c r="D102" i="140"/>
  <c r="D102" i="136"/>
  <c r="D100" i="167"/>
  <c r="B36" i="163"/>
  <c r="B32" i="163"/>
  <c r="G48" i="171"/>
  <c r="P17" i="92"/>
  <c r="D36" i="163"/>
  <c r="D32" i="163"/>
  <c r="H137" i="107"/>
  <c r="B174" i="107"/>
  <c r="E11" i="151"/>
  <c r="E11" i="131"/>
  <c r="G23" i="129"/>
  <c r="G12" i="129"/>
  <c r="H84" i="99"/>
  <c r="D14" i="138"/>
  <c r="E11" i="153"/>
  <c r="D26" i="129"/>
  <c r="D29" i="129" s="1"/>
  <c r="G48" i="109"/>
  <c r="P17" i="61"/>
  <c r="E109" i="107"/>
  <c r="I30" i="135"/>
  <c r="C44" i="132"/>
  <c r="H39" i="132"/>
  <c r="B27" i="146"/>
  <c r="B53" i="146" s="1"/>
  <c r="K4" i="146"/>
  <c r="B3" i="146"/>
  <c r="D36" i="138"/>
  <c r="Q167" i="99"/>
  <c r="E33" i="153"/>
  <c r="I28" i="115"/>
  <c r="J51" i="112"/>
  <c r="O51" i="112" s="1"/>
  <c r="H78" i="99"/>
  <c r="H139" i="107"/>
  <c r="B187" i="107"/>
  <c r="B193" i="107"/>
  <c r="G11" i="130"/>
  <c r="G11" i="150"/>
  <c r="G11" i="131"/>
  <c r="G11" i="151"/>
  <c r="G24" i="129"/>
  <c r="K10" i="146"/>
  <c r="D27" i="146"/>
  <c r="D53" i="146" s="1"/>
  <c r="B9" i="146"/>
  <c r="D11" i="151"/>
  <c r="D11" i="150"/>
  <c r="D11" i="131"/>
  <c r="D11" i="130"/>
  <c r="F22" i="129"/>
  <c r="H138" i="107"/>
  <c r="D22" i="129"/>
  <c r="H31" i="135"/>
  <c r="O17" i="92"/>
  <c r="F11" i="130"/>
  <c r="F11" i="150"/>
  <c r="F11" i="151"/>
  <c r="F11" i="131"/>
  <c r="E22" i="129"/>
  <c r="N78" i="99"/>
  <c r="L51" i="112"/>
  <c r="Q51" i="112" s="1"/>
  <c r="J30" i="115"/>
  <c r="I30" i="115"/>
  <c r="G102" i="140"/>
  <c r="G102" i="136"/>
  <c r="G100" i="167"/>
  <c r="D202" i="107"/>
  <c r="D208" i="107"/>
  <c r="G167" i="99"/>
  <c r="B13" i="128"/>
  <c r="D41" i="58"/>
  <c r="C36" i="163"/>
  <c r="C32" i="163"/>
  <c r="C13" i="129"/>
  <c r="C6" i="189" l="1"/>
  <c r="Q59" i="145"/>
  <c r="S70" i="99"/>
  <c r="G56" i="140"/>
  <c r="Z71" i="99"/>
  <c r="I19" i="114"/>
  <c r="M70" i="99"/>
  <c r="E56" i="140"/>
  <c r="X71" i="99"/>
  <c r="K59" i="145"/>
  <c r="Q71" i="99"/>
  <c r="AL50" i="55"/>
  <c r="AR50" i="55" s="1"/>
  <c r="M49" i="112"/>
  <c r="R49" i="112" s="1"/>
  <c r="Z75" i="105"/>
  <c r="G57" i="167"/>
  <c r="G57" i="168"/>
  <c r="S71" i="105"/>
  <c r="Q75" i="105"/>
  <c r="Q71" i="105" s="1"/>
  <c r="Q70" i="105" s="1"/>
  <c r="G60" i="137"/>
  <c r="I16" i="114"/>
  <c r="I30" i="114" s="1"/>
  <c r="G60" i="136"/>
  <c r="G60" i="142"/>
  <c r="G23" i="114"/>
  <c r="E23" i="114" s="1"/>
  <c r="AJ50" i="55"/>
  <c r="AP50" i="55" s="1"/>
  <c r="K49" i="112"/>
  <c r="P49" i="112" s="1"/>
  <c r="K71" i="99"/>
  <c r="L49" i="112"/>
  <c r="Q49" i="112" s="1"/>
  <c r="AK50" i="55"/>
  <c r="AQ50" i="55" s="1"/>
  <c r="N71" i="99"/>
  <c r="F60" i="142"/>
  <c r="F60" i="137"/>
  <c r="F57" i="167"/>
  <c r="H16" i="114"/>
  <c r="H30" i="114" s="1"/>
  <c r="F57" i="168"/>
  <c r="Y75" i="105"/>
  <c r="F60" i="136"/>
  <c r="N75" i="105"/>
  <c r="N71" i="105" s="1"/>
  <c r="N70" i="105" s="1"/>
  <c r="N76" i="105" s="1"/>
  <c r="N237" i="105" s="1"/>
  <c r="P71" i="105"/>
  <c r="Y71" i="99"/>
  <c r="N59" i="145"/>
  <c r="H19" i="114"/>
  <c r="F56" i="140"/>
  <c r="P70" i="99"/>
  <c r="E60" i="136"/>
  <c r="E60" i="142"/>
  <c r="E57" i="168"/>
  <c r="E57" i="167"/>
  <c r="X75" i="105"/>
  <c r="E60" i="137"/>
  <c r="M71" i="105"/>
  <c r="K75" i="105"/>
  <c r="G26" i="159"/>
  <c r="G17" i="61"/>
  <c r="K72" i="115"/>
  <c r="E251" i="99"/>
  <c r="U77" i="105"/>
  <c r="J27" i="115"/>
  <c r="B140" i="107"/>
  <c r="H140" i="107" s="1"/>
  <c r="G80" i="107"/>
  <c r="G109" i="107" s="1"/>
  <c r="I31" i="115"/>
  <c r="K31" i="115" s="1"/>
  <c r="M51" i="112"/>
  <c r="R51" i="112" s="1"/>
  <c r="J31" i="115"/>
  <c r="Q78" i="99"/>
  <c r="C23" i="107"/>
  <c r="C52" i="107" s="1"/>
  <c r="E77" i="99"/>
  <c r="E36" i="138"/>
  <c r="F33" i="153"/>
  <c r="H33" i="153" s="1"/>
  <c r="B180" i="107"/>
  <c r="J167" i="99"/>
  <c r="M73" i="115"/>
  <c r="E14" i="139"/>
  <c r="E9" i="154"/>
  <c r="D27" i="129"/>
  <c r="D30" i="129" s="1"/>
  <c r="D28" i="129" s="1"/>
  <c r="B17" i="163"/>
  <c r="P167" i="99"/>
  <c r="D14" i="134"/>
  <c r="D49" i="165"/>
  <c r="E84" i="99"/>
  <c r="E69" i="145"/>
  <c r="C69" i="145"/>
  <c r="J28" i="115"/>
  <c r="K29" i="115"/>
  <c r="B24" i="128"/>
  <c r="B14" i="128"/>
  <c r="T88" i="115"/>
  <c r="V72" i="115"/>
  <c r="K28" i="115"/>
  <c r="K89" i="115"/>
  <c r="G22" i="129"/>
  <c r="AL29" i="174"/>
  <c r="AL2" i="174" s="1"/>
  <c r="H13" i="159"/>
  <c r="G17" i="92"/>
  <c r="C23" i="129"/>
  <c r="C12" i="129"/>
  <c r="F26" i="159" s="1"/>
  <c r="S167" i="99"/>
  <c r="T167" i="99" s="1"/>
  <c r="K30" i="115"/>
  <c r="C21" i="146"/>
  <c r="K9" i="146"/>
  <c r="H30" i="135"/>
  <c r="I37" i="135"/>
  <c r="H37" i="135" s="1"/>
  <c r="Q17" i="61"/>
  <c r="F49" i="166"/>
  <c r="Z17" i="92"/>
  <c r="X17" i="92"/>
  <c r="D49" i="166"/>
  <c r="E18" i="138"/>
  <c r="G18" i="138" s="1"/>
  <c r="F15" i="153"/>
  <c r="H15" i="153" s="1"/>
  <c r="Y17" i="92"/>
  <c r="E49" i="166"/>
  <c r="Q17" i="92"/>
  <c r="C18" i="146"/>
  <c r="K3" i="146"/>
  <c r="F49" i="165"/>
  <c r="F14" i="134"/>
  <c r="D33" i="129"/>
  <c r="E14" i="138"/>
  <c r="F11" i="153"/>
  <c r="H11" i="153" s="1"/>
  <c r="G49" i="171"/>
  <c r="G54" i="171"/>
  <c r="G49" i="109"/>
  <c r="F56" i="109"/>
  <c r="F24" i="153"/>
  <c r="H24" i="153" s="1"/>
  <c r="E27" i="138"/>
  <c r="G27" i="138" s="1"/>
  <c r="G36" i="138"/>
  <c r="L26" i="159" l="1"/>
  <c r="B206" i="107"/>
  <c r="B200" i="107"/>
  <c r="Q237" i="105"/>
  <c r="Q76" i="105"/>
  <c r="N70" i="99"/>
  <c r="L45" i="112"/>
  <c r="Q45" i="112" s="1"/>
  <c r="AK46" i="55"/>
  <c r="AQ46" i="55" s="1"/>
  <c r="S70" i="105"/>
  <c r="I12" i="114"/>
  <c r="I26" i="114" s="1"/>
  <c r="G56" i="142"/>
  <c r="Z71" i="105"/>
  <c r="G53" i="168"/>
  <c r="G53" i="167"/>
  <c r="G56" i="137"/>
  <c r="G56" i="136"/>
  <c r="M70" i="105"/>
  <c r="E56" i="136"/>
  <c r="E56" i="137"/>
  <c r="E56" i="142"/>
  <c r="E53" i="168"/>
  <c r="E53" i="167"/>
  <c r="X71" i="105"/>
  <c r="P70" i="105"/>
  <c r="F56" i="142"/>
  <c r="H12" i="114"/>
  <c r="H26" i="114" s="1"/>
  <c r="F56" i="137"/>
  <c r="F56" i="136"/>
  <c r="F53" i="167"/>
  <c r="F53" i="168"/>
  <c r="Y71" i="105"/>
  <c r="G19" i="114"/>
  <c r="E19" i="114" s="1"/>
  <c r="K45" i="112"/>
  <c r="P45" i="112" s="1"/>
  <c r="AJ46" i="55"/>
  <c r="AP46" i="55" s="1"/>
  <c r="K70" i="99"/>
  <c r="K71" i="105"/>
  <c r="G16" i="114"/>
  <c r="N58" i="145"/>
  <c r="Y70" i="99"/>
  <c r="Y11" i="105" s="1"/>
  <c r="H18" i="114"/>
  <c r="F55" i="140"/>
  <c r="P76" i="99"/>
  <c r="P81" i="99" s="1"/>
  <c r="AL46" i="55"/>
  <c r="AR46" i="55" s="1"/>
  <c r="Q70" i="99"/>
  <c r="M45" i="112"/>
  <c r="R45" i="112" s="1"/>
  <c r="X70" i="99"/>
  <c r="X11" i="105" s="1"/>
  <c r="E55" i="140"/>
  <c r="K58" i="145"/>
  <c r="M76" i="99"/>
  <c r="I18" i="114"/>
  <c r="Z70" i="99"/>
  <c r="Z11" i="105" s="1"/>
  <c r="Q58" i="145"/>
  <c r="G55" i="140"/>
  <c r="S76" i="99"/>
  <c r="S81" i="99" s="1"/>
  <c r="J15" i="109"/>
  <c r="D10" i="188"/>
  <c r="F10" i="188" s="1"/>
  <c r="H10" i="188"/>
  <c r="T92" i="99"/>
  <c r="K15" i="109"/>
  <c r="F13" i="159"/>
  <c r="K15" i="159"/>
  <c r="C80" i="107"/>
  <c r="C109" i="107" s="1"/>
  <c r="C65" i="145"/>
  <c r="I27" i="115"/>
  <c r="K27" i="115" s="1"/>
  <c r="I51" i="112"/>
  <c r="N51" i="112" s="1"/>
  <c r="E78" i="99"/>
  <c r="C66" i="145" s="1"/>
  <c r="U77" i="99"/>
  <c r="T91" i="115"/>
  <c r="V75" i="115"/>
  <c r="D34" i="129"/>
  <c r="D32" i="129" s="1"/>
  <c r="C82" i="107"/>
  <c r="C54" i="107"/>
  <c r="D37" i="129"/>
  <c r="G14" i="134"/>
  <c r="G49" i="165"/>
  <c r="W49" i="165" s="1"/>
  <c r="T92" i="115"/>
  <c r="V76" i="115"/>
  <c r="H12" i="159"/>
  <c r="G16" i="92"/>
  <c r="B25" i="128"/>
  <c r="F9" i="154"/>
  <c r="H9" i="154" s="1"/>
  <c r="F14" i="139"/>
  <c r="H14" i="139" s="1"/>
  <c r="L89" i="115"/>
  <c r="AJ29" i="174"/>
  <c r="H15" i="109"/>
  <c r="I15" i="109" s="1"/>
  <c r="G13" i="159"/>
  <c r="C22" i="129"/>
  <c r="K5" i="115"/>
  <c r="U92" i="105"/>
  <c r="C31" i="133"/>
  <c r="C49" i="166"/>
  <c r="U49" i="166" s="1"/>
  <c r="V49" i="166" s="1"/>
  <c r="B15" i="128"/>
  <c r="K88" i="115"/>
  <c r="M72" i="115"/>
  <c r="V73" i="115"/>
  <c r="T89" i="115"/>
  <c r="J52" i="107"/>
  <c r="K52" i="107" s="1"/>
  <c r="G14" i="138"/>
  <c r="AA17" i="92"/>
  <c r="G49" i="166"/>
  <c r="W49" i="166" s="1"/>
  <c r="E72" i="145"/>
  <c r="C72" i="145"/>
  <c r="D137" i="107"/>
  <c r="D174" i="107" s="1"/>
  <c r="D82" i="107"/>
  <c r="D54" i="107"/>
  <c r="L88" i="115"/>
  <c r="L4" i="188" l="1"/>
  <c r="T12" i="115"/>
  <c r="E31" i="140"/>
  <c r="K64" i="145"/>
  <c r="X76" i="99"/>
  <c r="G30" i="114"/>
  <c r="E30" i="114" s="1"/>
  <c r="E16" i="114"/>
  <c r="M76" i="105"/>
  <c r="E52" i="168"/>
  <c r="E52" i="167"/>
  <c r="X70" i="105"/>
  <c r="E55" i="137"/>
  <c r="E55" i="136"/>
  <c r="E55" i="142"/>
  <c r="S76" i="105"/>
  <c r="G52" i="167"/>
  <c r="G55" i="136"/>
  <c r="Z70" i="105"/>
  <c r="G55" i="142"/>
  <c r="I11" i="114"/>
  <c r="I25" i="114" s="1"/>
  <c r="G52" i="168"/>
  <c r="G55" i="137"/>
  <c r="Z76" i="99"/>
  <c r="Q64" i="145"/>
  <c r="G31" i="140"/>
  <c r="Y76" i="99"/>
  <c r="F31" i="140"/>
  <c r="N64" i="145"/>
  <c r="AK45" i="55"/>
  <c r="AQ45" i="55" s="1"/>
  <c r="C66" i="115"/>
  <c r="L44" i="112"/>
  <c r="Q44" i="112" s="1"/>
  <c r="N76" i="99"/>
  <c r="D9" i="188"/>
  <c r="T91" i="105"/>
  <c r="K76" i="99"/>
  <c r="AJ45" i="55"/>
  <c r="AP45" i="55" s="1"/>
  <c r="G18" i="114"/>
  <c r="E18" i="114" s="1"/>
  <c r="C65" i="115"/>
  <c r="K44" i="112"/>
  <c r="P44" i="112" s="1"/>
  <c r="Q76" i="99"/>
  <c r="AL45" i="55"/>
  <c r="AR45" i="55" s="1"/>
  <c r="C67" i="115"/>
  <c r="M44" i="112"/>
  <c r="R44" i="112" s="1"/>
  <c r="K70" i="105"/>
  <c r="G12" i="114"/>
  <c r="P76" i="105"/>
  <c r="F55" i="142"/>
  <c r="F52" i="168"/>
  <c r="F55" i="137"/>
  <c r="F55" i="136"/>
  <c r="H11" i="114"/>
  <c r="H25" i="114" s="1"/>
  <c r="Y70" i="105"/>
  <c r="F52" i="167"/>
  <c r="D15" i="109"/>
  <c r="G91" i="105"/>
  <c r="P91" i="105" s="1"/>
  <c r="P181" i="105" s="1"/>
  <c r="J14" i="109"/>
  <c r="L17" i="92"/>
  <c r="J16" i="92"/>
  <c r="K16" i="92"/>
  <c r="K12" i="92" s="1"/>
  <c r="H16" i="92"/>
  <c r="I16" i="92"/>
  <c r="D111" i="107"/>
  <c r="G16" i="61"/>
  <c r="G12" i="159"/>
  <c r="E7" i="107"/>
  <c r="E10" i="107" s="1"/>
  <c r="N7" i="115"/>
  <c r="P7" i="115" s="1"/>
  <c r="H7" i="115"/>
  <c r="J7" i="115" s="1"/>
  <c r="J54" i="107"/>
  <c r="K54" i="107" s="1"/>
  <c r="AE29" i="174"/>
  <c r="AJ2" i="174"/>
  <c r="C48" i="166"/>
  <c r="G12" i="92"/>
  <c r="D5" i="188" s="1"/>
  <c r="C13" i="133"/>
  <c r="D36" i="129"/>
  <c r="C35" i="151"/>
  <c r="C35" i="131"/>
  <c r="D91" i="159"/>
  <c r="D15" i="157"/>
  <c r="B26" i="128"/>
  <c r="B27" i="128" s="1"/>
  <c r="B29" i="128" s="1"/>
  <c r="C111" i="107"/>
  <c r="D180" i="107"/>
  <c r="C14" i="134"/>
  <c r="H16" i="171"/>
  <c r="C49" i="165"/>
  <c r="U49" i="165" s="1"/>
  <c r="V49" i="165" s="1"/>
  <c r="D38" i="129"/>
  <c r="B16" i="128"/>
  <c r="B18" i="128" s="1"/>
  <c r="M81" i="105" l="1"/>
  <c r="M237" i="105"/>
  <c r="S81" i="105"/>
  <c r="S237" i="105"/>
  <c r="E15" i="109"/>
  <c r="R20" i="109"/>
  <c r="P81" i="105"/>
  <c r="P237" i="105"/>
  <c r="N181" i="105"/>
  <c r="P170" i="105"/>
  <c r="F28" i="168"/>
  <c r="F31" i="142"/>
  <c r="F31" i="136"/>
  <c r="Y76" i="105"/>
  <c r="F28" i="167"/>
  <c r="F31" i="137"/>
  <c r="C107" i="115"/>
  <c r="D107" i="115" s="1"/>
  <c r="D67" i="115"/>
  <c r="C105" i="115"/>
  <c r="D105" i="115" s="1"/>
  <c r="C68" i="115"/>
  <c r="D65" i="115"/>
  <c r="K50" i="112"/>
  <c r="P50" i="112" s="1"/>
  <c r="AJ51" i="55"/>
  <c r="AP51" i="55" s="1"/>
  <c r="C14" i="163"/>
  <c r="D14" i="163"/>
  <c r="L50" i="112"/>
  <c r="Q50" i="112" s="1"/>
  <c r="AK51" i="55"/>
  <c r="AQ51" i="55" s="1"/>
  <c r="K76" i="105"/>
  <c r="K237" i="105" s="1"/>
  <c r="G11" i="114"/>
  <c r="E14" i="163"/>
  <c r="M50" i="112"/>
  <c r="R50" i="112" s="1"/>
  <c r="AL51" i="55"/>
  <c r="AR51" i="55" s="1"/>
  <c r="N81" i="99"/>
  <c r="J14" i="189" s="1"/>
  <c r="P84" i="99"/>
  <c r="N69" i="145"/>
  <c r="Q81" i="99"/>
  <c r="L14" i="189" s="1"/>
  <c r="S84" i="99"/>
  <c r="Q69" i="145"/>
  <c r="G31" i="137"/>
  <c r="G28" i="168"/>
  <c r="G28" i="167"/>
  <c r="G31" i="136"/>
  <c r="G31" i="142"/>
  <c r="Z76" i="105"/>
  <c r="G26" i="114"/>
  <c r="E26" i="114" s="1"/>
  <c r="E12" i="114"/>
  <c r="C106" i="115"/>
  <c r="D106" i="115" s="1"/>
  <c r="D66" i="115"/>
  <c r="E31" i="137"/>
  <c r="E28" i="167"/>
  <c r="E31" i="136"/>
  <c r="E28" i="168"/>
  <c r="X76" i="105"/>
  <c r="E31" i="142"/>
  <c r="H14" i="109"/>
  <c r="I14" i="109" s="1"/>
  <c r="G91" i="99"/>
  <c r="H9" i="188"/>
  <c r="E91" i="105"/>
  <c r="E9" i="188" s="1"/>
  <c r="F9" i="188" s="1"/>
  <c r="M91" i="105"/>
  <c r="M181" i="105" s="1"/>
  <c r="S91" i="105"/>
  <c r="G87" i="105"/>
  <c r="G86" i="105" s="1"/>
  <c r="G112" i="105" s="1"/>
  <c r="G306" i="105" s="1"/>
  <c r="G308" i="105" s="1"/>
  <c r="J8" i="109"/>
  <c r="K14" i="109"/>
  <c r="J91" i="105"/>
  <c r="Q16" i="92"/>
  <c r="G48" i="166" s="1"/>
  <c r="G45" i="166" s="1"/>
  <c r="G44" i="166" s="1"/>
  <c r="G67" i="166" s="1"/>
  <c r="G112" i="166" s="1"/>
  <c r="P87" i="105"/>
  <c r="F70" i="168"/>
  <c r="N91" i="105"/>
  <c r="F72" i="142"/>
  <c r="F72" i="137"/>
  <c r="J16" i="61"/>
  <c r="I16" i="61"/>
  <c r="I12" i="61" s="1"/>
  <c r="I11" i="61" s="1"/>
  <c r="I37" i="61" s="1"/>
  <c r="H16" i="61"/>
  <c r="K16" i="61"/>
  <c r="E92" i="99"/>
  <c r="O16" i="92"/>
  <c r="I12" i="92"/>
  <c r="J12" i="92"/>
  <c r="P16" i="92"/>
  <c r="E13" i="133"/>
  <c r="C10" i="133"/>
  <c r="C9" i="133" s="1"/>
  <c r="G13" i="133"/>
  <c r="F13" i="133"/>
  <c r="D13" i="133"/>
  <c r="C18" i="151"/>
  <c r="C14" i="151" s="1"/>
  <c r="C13" i="151" s="1"/>
  <c r="C18" i="131"/>
  <c r="C14" i="131" s="1"/>
  <c r="C13" i="131" s="1"/>
  <c r="U48" i="166"/>
  <c r="C45" i="166"/>
  <c r="T91" i="99"/>
  <c r="H15" i="171"/>
  <c r="G12" i="61"/>
  <c r="H5" i="188" s="1"/>
  <c r="C13" i="134"/>
  <c r="C48" i="165"/>
  <c r="B15" i="157"/>
  <c r="I15" i="157" s="1"/>
  <c r="I11" i="157" s="1"/>
  <c r="D32" i="157"/>
  <c r="B32" i="157" s="1"/>
  <c r="F12" i="159"/>
  <c r="H6" i="115"/>
  <c r="J6" i="115" s="1"/>
  <c r="D7" i="107"/>
  <c r="N6" i="115"/>
  <c r="Q12" i="92"/>
  <c r="K11" i="92"/>
  <c r="D16" i="171"/>
  <c r="T16" i="171" s="1"/>
  <c r="U16" i="171" s="1"/>
  <c r="I16" i="171"/>
  <c r="E16" i="171" s="1"/>
  <c r="H91" i="159"/>
  <c r="T87" i="105"/>
  <c r="G11" i="92"/>
  <c r="D4" i="188" s="1"/>
  <c r="AB29" i="174"/>
  <c r="AE2" i="174"/>
  <c r="P169" i="105" l="1"/>
  <c r="N170" i="105"/>
  <c r="K181" i="105"/>
  <c r="M170" i="105"/>
  <c r="J87" i="105"/>
  <c r="J86" i="105" s="1"/>
  <c r="J112" i="105" s="1"/>
  <c r="J181" i="105"/>
  <c r="G70" i="168"/>
  <c r="S181" i="105"/>
  <c r="U91" i="105"/>
  <c r="E87" i="105"/>
  <c r="G72" i="142"/>
  <c r="G72" i="137"/>
  <c r="S87" i="105"/>
  <c r="S86" i="105" s="1"/>
  <c r="M87" i="105"/>
  <c r="E66" i="168" s="1"/>
  <c r="D14" i="109"/>
  <c r="D8" i="109" s="1"/>
  <c r="Q91" i="105"/>
  <c r="V16" i="92" s="1"/>
  <c r="AA16" i="92" s="1"/>
  <c r="Q84" i="99"/>
  <c r="K76" i="115"/>
  <c r="D32" i="138"/>
  <c r="Q251" i="99"/>
  <c r="E29" i="153"/>
  <c r="G26" i="129"/>
  <c r="G29" i="129" s="1"/>
  <c r="I25" i="107"/>
  <c r="N84" i="99"/>
  <c r="K75" i="115"/>
  <c r="E20" i="153"/>
  <c r="N251" i="99"/>
  <c r="D23" i="138"/>
  <c r="F26" i="129"/>
  <c r="F29" i="129" s="1"/>
  <c r="E11" i="163"/>
  <c r="E15" i="163"/>
  <c r="N81" i="105"/>
  <c r="P84" i="105"/>
  <c r="U92" i="99"/>
  <c r="I10" i="188"/>
  <c r="J10" i="188" s="1"/>
  <c r="E38" i="115"/>
  <c r="I44" i="61"/>
  <c r="M84" i="105"/>
  <c r="K81" i="105"/>
  <c r="C11" i="163"/>
  <c r="C15" i="163"/>
  <c r="Q81" i="105"/>
  <c r="S84" i="105"/>
  <c r="G25" i="114"/>
  <c r="E25" i="114" s="1"/>
  <c r="E11" i="114"/>
  <c r="D11" i="163"/>
  <c r="D15" i="163"/>
  <c r="D68" i="115"/>
  <c r="H8" i="109"/>
  <c r="H7" i="109" s="1"/>
  <c r="E86" i="105"/>
  <c r="E4" i="188" s="1"/>
  <c r="F4" i="188" s="1"/>
  <c r="E5" i="188"/>
  <c r="F5" i="188" s="1"/>
  <c r="E72" i="142"/>
  <c r="E70" i="168"/>
  <c r="K91" i="105"/>
  <c r="T16" i="92" s="1"/>
  <c r="Y16" i="92" s="1"/>
  <c r="E72" i="137"/>
  <c r="H91" i="105"/>
  <c r="E14" i="109"/>
  <c r="K8" i="109"/>
  <c r="J7" i="109"/>
  <c r="I8" i="109"/>
  <c r="U87" i="105"/>
  <c r="AH3" i="174"/>
  <c r="K12" i="159"/>
  <c r="L12" i="159" s="1"/>
  <c r="N92" i="99"/>
  <c r="F73" i="140"/>
  <c r="F73" i="136"/>
  <c r="F71" i="167"/>
  <c r="K87" i="105"/>
  <c r="AA92" i="99"/>
  <c r="C43" i="164"/>
  <c r="C80" i="145"/>
  <c r="Q16" i="61"/>
  <c r="K12" i="61"/>
  <c r="J91" i="99"/>
  <c r="J181" i="99" s="1"/>
  <c r="M91" i="99"/>
  <c r="M181" i="99" s="1"/>
  <c r="P91" i="99"/>
  <c r="P181" i="99" s="1"/>
  <c r="G87" i="99"/>
  <c r="G86" i="99" s="1"/>
  <c r="G112" i="99" s="1"/>
  <c r="C30" i="146"/>
  <c r="E91" i="99"/>
  <c r="I9" i="188" s="1"/>
  <c r="J9" i="188" s="1"/>
  <c r="J12" i="61"/>
  <c r="P16" i="61"/>
  <c r="U16" i="92"/>
  <c r="Z16" i="92" s="1"/>
  <c r="N87" i="105"/>
  <c r="S91" i="99"/>
  <c r="S181" i="99" s="1"/>
  <c r="G71" i="167"/>
  <c r="G73" i="140"/>
  <c r="Q92" i="99"/>
  <c r="V92" i="99" s="1"/>
  <c r="G73" i="136"/>
  <c r="X92" i="99"/>
  <c r="E68" i="142"/>
  <c r="P86" i="105"/>
  <c r="F68" i="142"/>
  <c r="F68" i="137"/>
  <c r="F66" i="168"/>
  <c r="U91" i="99"/>
  <c r="E48" i="166"/>
  <c r="E45" i="166" s="1"/>
  <c r="E44" i="166" s="1"/>
  <c r="E67" i="166" s="1"/>
  <c r="E112" i="166" s="1"/>
  <c r="I11" i="92"/>
  <c r="O12" i="92"/>
  <c r="P12" i="92"/>
  <c r="J11" i="92"/>
  <c r="F48" i="166"/>
  <c r="F45" i="166" s="1"/>
  <c r="F44" i="166" s="1"/>
  <c r="F67" i="166" s="1"/>
  <c r="F112" i="166" s="1"/>
  <c r="D10" i="107"/>
  <c r="G7" i="107"/>
  <c r="G11" i="61"/>
  <c r="H4" i="188" s="1"/>
  <c r="T87" i="99"/>
  <c r="F18" i="151"/>
  <c r="F14" i="151" s="1"/>
  <c r="F13" i="151" s="1"/>
  <c r="F10" i="133"/>
  <c r="F9" i="133" s="1"/>
  <c r="F30" i="133" s="1"/>
  <c r="F18" i="131"/>
  <c r="F14" i="131" s="1"/>
  <c r="F13" i="131" s="1"/>
  <c r="T86" i="105"/>
  <c r="G37" i="92"/>
  <c r="T169" i="105"/>
  <c r="M5" i="115"/>
  <c r="P6" i="115"/>
  <c r="N5" i="115"/>
  <c r="C10" i="134"/>
  <c r="C9" i="134" s="1"/>
  <c r="C32" i="134" s="1"/>
  <c r="C88" i="150"/>
  <c r="C85" i="150" s="1"/>
  <c r="C84" i="150" s="1"/>
  <c r="C105" i="150" s="1"/>
  <c r="C18" i="150"/>
  <c r="C14" i="150" s="1"/>
  <c r="C13" i="150" s="1"/>
  <c r="C18" i="130"/>
  <c r="C14" i="130" s="1"/>
  <c r="C13" i="130" s="1"/>
  <c r="D10" i="133"/>
  <c r="D9" i="133" s="1"/>
  <c r="D30" i="133" s="1"/>
  <c r="D18" i="131"/>
  <c r="D14" i="131" s="1"/>
  <c r="D13" i="131" s="1"/>
  <c r="D18" i="151"/>
  <c r="D14" i="151" s="1"/>
  <c r="D13" i="151" s="1"/>
  <c r="E18" i="131"/>
  <c r="E14" i="131" s="1"/>
  <c r="E13" i="131" s="1"/>
  <c r="E10" i="133"/>
  <c r="E9" i="133" s="1"/>
  <c r="E30" i="133" s="1"/>
  <c r="E18" i="151"/>
  <c r="E14" i="151" s="1"/>
  <c r="E13" i="151" s="1"/>
  <c r="AA29" i="174"/>
  <c r="AA2" i="174" s="1"/>
  <c r="AB2" i="174"/>
  <c r="Q11" i="92"/>
  <c r="K37" i="92"/>
  <c r="C45" i="165"/>
  <c r="U48" i="165"/>
  <c r="C30" i="133"/>
  <c r="D97" i="159"/>
  <c r="D99" i="159"/>
  <c r="H5" i="115"/>
  <c r="I15" i="171"/>
  <c r="E15" i="171" s="1"/>
  <c r="H8" i="171"/>
  <c r="D15" i="171"/>
  <c r="S44" i="166"/>
  <c r="S67" i="166" s="1"/>
  <c r="U45" i="166"/>
  <c r="C44" i="166"/>
  <c r="G18" i="131"/>
  <c r="G14" i="131" s="1"/>
  <c r="G13" i="131" s="1"/>
  <c r="G18" i="151"/>
  <c r="G14" i="151" s="1"/>
  <c r="G13" i="151" s="1"/>
  <c r="G10" i="133"/>
  <c r="G9" i="133" s="1"/>
  <c r="G30" i="133" s="1"/>
  <c r="D11" i="157"/>
  <c r="B11" i="157" s="1"/>
  <c r="G181" i="99" l="1"/>
  <c r="H181" i="99"/>
  <c r="J170" i="99"/>
  <c r="K181" i="99"/>
  <c r="M170" i="99"/>
  <c r="Q181" i="99"/>
  <c r="S170" i="99"/>
  <c r="N181" i="99"/>
  <c r="P170" i="99"/>
  <c r="Q87" i="105"/>
  <c r="N169" i="105"/>
  <c r="P202" i="105"/>
  <c r="H181" i="105"/>
  <c r="G181" i="105"/>
  <c r="J170" i="105"/>
  <c r="Q181" i="105"/>
  <c r="S170" i="105"/>
  <c r="M169" i="105"/>
  <c r="K170" i="105"/>
  <c r="G68" i="137"/>
  <c r="G68" i="142"/>
  <c r="G66" i="168"/>
  <c r="H87" i="105"/>
  <c r="H86" i="105" s="1"/>
  <c r="H112" i="105" s="1"/>
  <c r="I37" i="115" s="1"/>
  <c r="U86" i="105"/>
  <c r="E68" i="137"/>
  <c r="M86" i="105"/>
  <c r="E112" i="105"/>
  <c r="I36" i="115" s="1"/>
  <c r="AD86" i="105"/>
  <c r="G25" i="107"/>
  <c r="L18" i="189"/>
  <c r="D15" i="93"/>
  <c r="H36" i="115"/>
  <c r="E25" i="107"/>
  <c r="H18" i="189"/>
  <c r="F25" i="107"/>
  <c r="J18" i="189"/>
  <c r="H15" i="93"/>
  <c r="F12" i="158" s="1"/>
  <c r="F28" i="158" s="1"/>
  <c r="H40" i="115"/>
  <c r="Q7" i="115"/>
  <c r="G44" i="92"/>
  <c r="J45" i="109" s="1"/>
  <c r="L76" i="115"/>
  <c r="L92" i="115" s="1"/>
  <c r="Q84" i="105"/>
  <c r="Q253" i="105"/>
  <c r="E36" i="154"/>
  <c r="E41" i="139"/>
  <c r="G27" i="129"/>
  <c r="G30" i="129" s="1"/>
  <c r="G34" i="129" s="1"/>
  <c r="G38" i="129" s="1"/>
  <c r="E17" i="163"/>
  <c r="K84" i="105"/>
  <c r="K253" i="105"/>
  <c r="L74" i="115"/>
  <c r="L90" i="115" s="1"/>
  <c r="C17" i="163"/>
  <c r="E27" i="129"/>
  <c r="E30" i="129" s="1"/>
  <c r="E23" i="139"/>
  <c r="E18" i="154"/>
  <c r="N253" i="105"/>
  <c r="L75" i="115"/>
  <c r="L91" i="115" s="1"/>
  <c r="N84" i="105"/>
  <c r="E32" i="139"/>
  <c r="D17" i="163"/>
  <c r="F27" i="129"/>
  <c r="F30" i="129" s="1"/>
  <c r="F34" i="129" s="1"/>
  <c r="F38" i="129" s="1"/>
  <c r="E27" i="154"/>
  <c r="F33" i="129"/>
  <c r="K91" i="115"/>
  <c r="E32" i="138"/>
  <c r="G32" i="138" s="1"/>
  <c r="F29" i="153"/>
  <c r="H29" i="153" s="1"/>
  <c r="C29" i="129"/>
  <c r="G33" i="129"/>
  <c r="M76" i="115"/>
  <c r="K92" i="115"/>
  <c r="E23" i="138"/>
  <c r="G23" i="138" s="1"/>
  <c r="F20" i="153"/>
  <c r="H20" i="153" s="1"/>
  <c r="D30" i="188"/>
  <c r="I7" i="109"/>
  <c r="H35" i="109"/>
  <c r="E8" i="109"/>
  <c r="D7" i="109"/>
  <c r="E7" i="109" s="1"/>
  <c r="J35" i="109"/>
  <c r="K7" i="109"/>
  <c r="E306" i="105"/>
  <c r="E308" i="105" s="1"/>
  <c r="S112" i="105"/>
  <c r="G67" i="137"/>
  <c r="G67" i="142"/>
  <c r="G65" i="168"/>
  <c r="N86" i="105"/>
  <c r="U12" i="92"/>
  <c r="Z12" i="92" s="1"/>
  <c r="F30" i="146"/>
  <c r="C54" i="146"/>
  <c r="E70" i="167"/>
  <c r="E72" i="136"/>
  <c r="K91" i="99"/>
  <c r="E72" i="140"/>
  <c r="M87" i="99"/>
  <c r="K86" i="105"/>
  <c r="T12" i="92"/>
  <c r="Y12" i="92" s="1"/>
  <c r="Q86" i="105"/>
  <c r="V12" i="92"/>
  <c r="AA12" i="92" s="1"/>
  <c r="P112" i="105"/>
  <c r="F65" i="168"/>
  <c r="F67" i="142"/>
  <c r="F67" i="137"/>
  <c r="M112" i="105"/>
  <c r="E67" i="137"/>
  <c r="E67" i="142"/>
  <c r="E65" i="168"/>
  <c r="G43" i="164"/>
  <c r="J11" i="61"/>
  <c r="P12" i="61"/>
  <c r="E87" i="99"/>
  <c r="I5" i="188" s="1"/>
  <c r="J5" i="188" s="1"/>
  <c r="T181" i="99"/>
  <c r="U187" i="99" s="1"/>
  <c r="C79" i="145"/>
  <c r="F72" i="140"/>
  <c r="F70" i="167"/>
  <c r="N91" i="99"/>
  <c r="F72" i="136"/>
  <c r="P87" i="99"/>
  <c r="G48" i="165"/>
  <c r="G45" i="165" s="1"/>
  <c r="G44" i="165" s="1"/>
  <c r="G67" i="165" s="1"/>
  <c r="G112" i="165" s="1"/>
  <c r="G13" i="134"/>
  <c r="G70" i="167"/>
  <c r="G72" i="140"/>
  <c r="G72" i="136"/>
  <c r="Q91" i="99"/>
  <c r="S87" i="99"/>
  <c r="F13" i="134"/>
  <c r="F48" i="165"/>
  <c r="F45" i="165" s="1"/>
  <c r="F44" i="165" s="1"/>
  <c r="F67" i="165" s="1"/>
  <c r="F112" i="165" s="1"/>
  <c r="K11" i="61"/>
  <c r="Q12" i="61"/>
  <c r="F43" i="164"/>
  <c r="U87" i="99"/>
  <c r="J37" i="92"/>
  <c r="P11" i="92"/>
  <c r="I37" i="92"/>
  <c r="O11" i="92"/>
  <c r="C36" i="130"/>
  <c r="C36" i="150"/>
  <c r="C107" i="150"/>
  <c r="T86" i="99"/>
  <c r="G37" i="61"/>
  <c r="D15" i="58" s="1"/>
  <c r="T169" i="99"/>
  <c r="Q37" i="92"/>
  <c r="F16" i="158"/>
  <c r="U44" i="166"/>
  <c r="C67" i="166"/>
  <c r="I8" i="171"/>
  <c r="E8" i="171" s="1"/>
  <c r="H7" i="171"/>
  <c r="I7" i="171" s="1"/>
  <c r="E7" i="171" s="1"/>
  <c r="C97" i="159"/>
  <c r="G97" i="159" s="1"/>
  <c r="H97" i="159"/>
  <c r="U45" i="165"/>
  <c r="S44" i="165"/>
  <c r="S67" i="165" s="1"/>
  <c r="C44" i="165"/>
  <c r="M37" i="92"/>
  <c r="T112" i="105"/>
  <c r="J5" i="115"/>
  <c r="H12" i="115"/>
  <c r="J12" i="115" s="1"/>
  <c r="T15" i="171"/>
  <c r="U15" i="171" s="1"/>
  <c r="D8" i="171"/>
  <c r="H99" i="159"/>
  <c r="C98" i="159"/>
  <c r="G98" i="159" s="1"/>
  <c r="C93" i="159"/>
  <c r="G93" i="159" s="1"/>
  <c r="C90" i="159"/>
  <c r="G90" i="159" s="1"/>
  <c r="C92" i="159"/>
  <c r="G92" i="159" s="1"/>
  <c r="C95" i="159"/>
  <c r="G95" i="159" s="1"/>
  <c r="C96" i="159"/>
  <c r="G96" i="159" s="1"/>
  <c r="C94" i="159"/>
  <c r="G94" i="159" s="1"/>
  <c r="C89" i="159"/>
  <c r="C91" i="159"/>
  <c r="G91" i="159" s="1"/>
  <c r="I35" i="133"/>
  <c r="P5" i="115"/>
  <c r="N12" i="115"/>
  <c r="G10" i="107"/>
  <c r="S169" i="99" l="1"/>
  <c r="Q170" i="99"/>
  <c r="J169" i="99"/>
  <c r="G170" i="99"/>
  <c r="H170" i="99"/>
  <c r="E181" i="99"/>
  <c r="O19" i="109" s="1"/>
  <c r="P169" i="99"/>
  <c r="N170" i="99"/>
  <c r="M169" i="99"/>
  <c r="K170" i="99"/>
  <c r="J169" i="105"/>
  <c r="G170" i="105"/>
  <c r="H170" i="105"/>
  <c r="N202" i="105"/>
  <c r="S169" i="105"/>
  <c r="Q170" i="105"/>
  <c r="E181" i="105"/>
  <c r="P19" i="109" s="1"/>
  <c r="M202" i="105"/>
  <c r="K169" i="105"/>
  <c r="E30" i="188"/>
  <c r="F30" i="188" s="1"/>
  <c r="R7" i="115"/>
  <c r="S7" i="115" s="1"/>
  <c r="J119" i="105"/>
  <c r="J209" i="105" s="1"/>
  <c r="B31" i="111"/>
  <c r="G119" i="105"/>
  <c r="U30" i="105" s="1"/>
  <c r="V30" i="105" s="1"/>
  <c r="G28" i="129"/>
  <c r="D23" i="58"/>
  <c r="D64" i="58"/>
  <c r="G15" i="93"/>
  <c r="E12" i="158" s="1"/>
  <c r="H39" i="115"/>
  <c r="U67" i="166"/>
  <c r="C112" i="166"/>
  <c r="F15" i="93"/>
  <c r="D12" i="158" s="1"/>
  <c r="H38" i="115"/>
  <c r="B32" i="111"/>
  <c r="B36" i="111" s="1"/>
  <c r="B35" i="111"/>
  <c r="F28" i="129"/>
  <c r="C33" i="129"/>
  <c r="G37" i="129"/>
  <c r="G32" i="129"/>
  <c r="G36" i="129" s="1"/>
  <c r="F37" i="129"/>
  <c r="F32" i="129"/>
  <c r="F36" i="129" s="1"/>
  <c r="E34" i="129"/>
  <c r="E28" i="129"/>
  <c r="C30" i="129"/>
  <c r="C28" i="129" s="1"/>
  <c r="F18" i="154"/>
  <c r="H18" i="154" s="1"/>
  <c r="F23" i="139"/>
  <c r="H23" i="139" s="1"/>
  <c r="D140" i="107"/>
  <c r="G54" i="107"/>
  <c r="G82" i="107"/>
  <c r="G111" i="107" s="1"/>
  <c r="Q6" i="115"/>
  <c r="G44" i="61"/>
  <c r="H45" i="109" s="1"/>
  <c r="Q12" i="115"/>
  <c r="D139" i="107"/>
  <c r="F54" i="107"/>
  <c r="F82" i="107"/>
  <c r="F111" i="107" s="1"/>
  <c r="F41" i="139"/>
  <c r="H41" i="139" s="1"/>
  <c r="F36" i="154"/>
  <c r="H36" i="154" s="1"/>
  <c r="F27" i="154"/>
  <c r="H27" i="154" s="1"/>
  <c r="F32" i="139"/>
  <c r="H32" i="139" s="1"/>
  <c r="D138" i="107"/>
  <c r="D213" i="107" s="1"/>
  <c r="E54" i="107"/>
  <c r="E82" i="107"/>
  <c r="E111" i="107" s="1"/>
  <c r="M75" i="115"/>
  <c r="J42" i="109"/>
  <c r="K42" i="109" s="1"/>
  <c r="K45" i="109"/>
  <c r="H30" i="188"/>
  <c r="M36" i="115"/>
  <c r="J36" i="115"/>
  <c r="D35" i="109"/>
  <c r="D75" i="109"/>
  <c r="K35" i="109"/>
  <c r="J36" i="109"/>
  <c r="J39" i="109"/>
  <c r="I35" i="109"/>
  <c r="H39" i="109"/>
  <c r="H36" i="109"/>
  <c r="Q87" i="99"/>
  <c r="Q86" i="99" s="1"/>
  <c r="Q112" i="99" s="1"/>
  <c r="F40" i="115" s="1"/>
  <c r="G93" i="137"/>
  <c r="S306" i="105"/>
  <c r="S308" i="105" s="1"/>
  <c r="G93" i="142"/>
  <c r="G91" i="168"/>
  <c r="K37" i="61"/>
  <c r="Q11" i="61"/>
  <c r="G66" i="167"/>
  <c r="G68" i="136"/>
  <c r="G68" i="140"/>
  <c r="S86" i="99"/>
  <c r="N87" i="99"/>
  <c r="N86" i="99" s="1"/>
  <c r="N112" i="99" s="1"/>
  <c r="F39" i="115" s="1"/>
  <c r="J37" i="61"/>
  <c r="P11" i="61"/>
  <c r="K112" i="105"/>
  <c r="I38" i="115" s="1"/>
  <c r="T11" i="92"/>
  <c r="Y11" i="92" s="1"/>
  <c r="K87" i="99"/>
  <c r="K86" i="99" s="1"/>
  <c r="K112" i="99" s="1"/>
  <c r="M119" i="99" s="1"/>
  <c r="M209" i="99" s="1"/>
  <c r="K209" i="99" s="1"/>
  <c r="M30" i="146"/>
  <c r="F54" i="146"/>
  <c r="G18" i="130"/>
  <c r="G14" i="130" s="1"/>
  <c r="G13" i="130" s="1"/>
  <c r="G18" i="150"/>
  <c r="G14" i="150" s="1"/>
  <c r="G13" i="150" s="1"/>
  <c r="G88" i="150"/>
  <c r="G85" i="150" s="1"/>
  <c r="G84" i="150" s="1"/>
  <c r="G105" i="150" s="1"/>
  <c r="G10" i="134"/>
  <c r="G9" i="134" s="1"/>
  <c r="G32" i="134" s="1"/>
  <c r="F18" i="130"/>
  <c r="F14" i="130" s="1"/>
  <c r="F13" i="130" s="1"/>
  <c r="F18" i="150"/>
  <c r="F14" i="150" s="1"/>
  <c r="F13" i="150" s="1"/>
  <c r="F10" i="134"/>
  <c r="F9" i="134" s="1"/>
  <c r="F32" i="134" s="1"/>
  <c r="F88" i="150"/>
  <c r="F85" i="150" s="1"/>
  <c r="F84" i="150" s="1"/>
  <c r="F105" i="150" s="1"/>
  <c r="F66" i="167"/>
  <c r="F68" i="136"/>
  <c r="F68" i="140"/>
  <c r="P86" i="99"/>
  <c r="C75" i="145"/>
  <c r="E86" i="99"/>
  <c r="E91" i="168"/>
  <c r="M306" i="105"/>
  <c r="M308" i="105" s="1"/>
  <c r="E93" i="137"/>
  <c r="E93" i="142"/>
  <c r="F93" i="142"/>
  <c r="F91" i="168"/>
  <c r="F93" i="137"/>
  <c r="U122" i="105"/>
  <c r="P306" i="105"/>
  <c r="P308" i="105" s="1"/>
  <c r="Q112" i="105"/>
  <c r="I40" i="115" s="1"/>
  <c r="V11" i="92"/>
  <c r="AA11" i="92" s="1"/>
  <c r="E66" i="167"/>
  <c r="E68" i="136"/>
  <c r="E68" i="140"/>
  <c r="M86" i="99"/>
  <c r="N112" i="105"/>
  <c r="I39" i="115" s="1"/>
  <c r="U11" i="92"/>
  <c r="Z11" i="92" s="1"/>
  <c r="P37" i="92"/>
  <c r="O37" i="92"/>
  <c r="J3" i="107"/>
  <c r="H10" i="107"/>
  <c r="P12" i="115"/>
  <c r="D11" i="128"/>
  <c r="D23" i="93"/>
  <c r="E36" i="115"/>
  <c r="H36" i="171"/>
  <c r="T112" i="99"/>
  <c r="T8" i="171"/>
  <c r="U8" i="171" s="1"/>
  <c r="D7" i="171"/>
  <c r="T7" i="171" s="1"/>
  <c r="U7" i="171" s="1"/>
  <c r="T202" i="105"/>
  <c r="U112" i="105"/>
  <c r="C67" i="165"/>
  <c r="U44" i="165"/>
  <c r="H23" i="93"/>
  <c r="H27" i="93"/>
  <c r="G89" i="159"/>
  <c r="C99" i="159"/>
  <c r="G99" i="159" s="1"/>
  <c r="N169" i="99" l="1"/>
  <c r="P202" i="99"/>
  <c r="G169" i="99"/>
  <c r="H169" i="99"/>
  <c r="E169" i="99" s="1"/>
  <c r="J202" i="99"/>
  <c r="Q19" i="109"/>
  <c r="R19" i="109" s="1"/>
  <c r="K169" i="99"/>
  <c r="M202" i="99"/>
  <c r="E170" i="99"/>
  <c r="O8" i="109" s="1"/>
  <c r="S202" i="99"/>
  <c r="Q169" i="99"/>
  <c r="D98" i="168"/>
  <c r="K202" i="105"/>
  <c r="G169" i="105"/>
  <c r="H169" i="105"/>
  <c r="J202" i="105"/>
  <c r="S202" i="105"/>
  <c r="Q169" i="105"/>
  <c r="E170" i="105"/>
  <c r="P8" i="109" s="1"/>
  <c r="M119" i="105"/>
  <c r="S119" i="105"/>
  <c r="S209" i="105" s="1"/>
  <c r="Q209" i="105" s="1"/>
  <c r="P119" i="105"/>
  <c r="P209" i="105" s="1"/>
  <c r="N209" i="105" s="1"/>
  <c r="E119" i="105"/>
  <c r="C39" i="133" s="1"/>
  <c r="J41" i="109"/>
  <c r="J46" i="109" s="1"/>
  <c r="U67" i="165"/>
  <c r="C112" i="165"/>
  <c r="J44" i="61"/>
  <c r="J41" i="61" s="1"/>
  <c r="G15" i="58"/>
  <c r="K44" i="61"/>
  <c r="K41" i="61" s="1"/>
  <c r="H15" i="58"/>
  <c r="D28" i="158"/>
  <c r="D16" i="158"/>
  <c r="E28" i="158"/>
  <c r="E16" i="158"/>
  <c r="C37" i="129"/>
  <c r="Q5" i="115"/>
  <c r="C34" i="129"/>
  <c r="C38" i="129" s="1"/>
  <c r="E32" i="129"/>
  <c r="E36" i="129" s="1"/>
  <c r="E38" i="129"/>
  <c r="D200" i="107"/>
  <c r="D206" i="107"/>
  <c r="D187" i="107"/>
  <c r="D193" i="107"/>
  <c r="I45" i="109"/>
  <c r="H42" i="109"/>
  <c r="I42" i="109" s="1"/>
  <c r="D45" i="109"/>
  <c r="U86" i="99"/>
  <c r="I4" i="188"/>
  <c r="J4" i="188" s="1"/>
  <c r="K4" i="188" s="1"/>
  <c r="N38" i="115"/>
  <c r="N36" i="115"/>
  <c r="H75" i="109"/>
  <c r="J75" i="109"/>
  <c r="H38" i="109"/>
  <c r="I36" i="109"/>
  <c r="D36" i="109"/>
  <c r="J38" i="109"/>
  <c r="K36" i="109"/>
  <c r="E35" i="109"/>
  <c r="D39" i="109"/>
  <c r="E39" i="109" s="1"/>
  <c r="E65" i="167"/>
  <c r="E67" i="140"/>
  <c r="E67" i="136"/>
  <c r="M112" i="99"/>
  <c r="E112" i="99"/>
  <c r="F36" i="115" s="1"/>
  <c r="C74" i="145"/>
  <c r="N119" i="105"/>
  <c r="F100" i="137"/>
  <c r="K100" i="137" s="1"/>
  <c r="F98" i="168"/>
  <c r="K98" i="168" s="1"/>
  <c r="F100" i="142"/>
  <c r="P37" i="61"/>
  <c r="E39" i="115"/>
  <c r="Q37" i="61"/>
  <c r="E40" i="115"/>
  <c r="Q44" i="61"/>
  <c r="E31" i="111"/>
  <c r="U37" i="92"/>
  <c r="Z37" i="92" s="1"/>
  <c r="N306" i="105"/>
  <c r="N308" i="105" s="1"/>
  <c r="M39" i="115"/>
  <c r="F107" i="150"/>
  <c r="F36" i="130"/>
  <c r="F36" i="150"/>
  <c r="F38" i="115"/>
  <c r="G38" i="115" s="1"/>
  <c r="Q119" i="105"/>
  <c r="G100" i="137"/>
  <c r="L100" i="137" s="1"/>
  <c r="G98" i="168"/>
  <c r="L98" i="168" s="1"/>
  <c r="G100" i="142"/>
  <c r="S112" i="99"/>
  <c r="G65" i="167"/>
  <c r="G67" i="136"/>
  <c r="G67" i="140"/>
  <c r="F21" i="111"/>
  <c r="M9" i="114"/>
  <c r="I41" i="61"/>
  <c r="P112" i="99"/>
  <c r="F67" i="136"/>
  <c r="F65" i="167"/>
  <c r="F67" i="140"/>
  <c r="G36" i="150"/>
  <c r="G36" i="130"/>
  <c r="G107" i="150"/>
  <c r="H119" i="105"/>
  <c r="E21" i="111"/>
  <c r="F31" i="111"/>
  <c r="V37" i="92"/>
  <c r="AA37" i="92" s="1"/>
  <c r="Q306" i="105"/>
  <c r="Q308" i="105" s="1"/>
  <c r="K306" i="105"/>
  <c r="K308" i="105" s="1"/>
  <c r="T37" i="92"/>
  <c r="Y37" i="92" s="1"/>
  <c r="J38" i="115"/>
  <c r="D31" i="111"/>
  <c r="N9" i="114"/>
  <c r="F27" i="93"/>
  <c r="F31" i="93" s="1"/>
  <c r="F23" i="93"/>
  <c r="G27" i="93"/>
  <c r="G31" i="93" s="1"/>
  <c r="G23" i="93"/>
  <c r="C11" i="128"/>
  <c r="D22" i="128"/>
  <c r="K11" i="128"/>
  <c r="G11" i="128"/>
  <c r="H31" i="93"/>
  <c r="I36" i="171"/>
  <c r="E36" i="171" s="1"/>
  <c r="D36" i="171"/>
  <c r="T36" i="171" s="1"/>
  <c r="U36" i="171" s="1"/>
  <c r="T202" i="99"/>
  <c r="U112" i="99"/>
  <c r="K202" i="99" l="1"/>
  <c r="O7" i="109"/>
  <c r="E202" i="99"/>
  <c r="O40" i="109" s="1"/>
  <c r="H41" i="109"/>
  <c r="H40" i="109" s="1"/>
  <c r="E45" i="109"/>
  <c r="E169" i="105"/>
  <c r="Q202" i="99"/>
  <c r="N202" i="99"/>
  <c r="P44" i="61"/>
  <c r="Q8" i="109"/>
  <c r="H202" i="99"/>
  <c r="G202" i="99"/>
  <c r="H209" i="105"/>
  <c r="H202" i="105"/>
  <c r="G202" i="105"/>
  <c r="K119" i="105"/>
  <c r="M209" i="105"/>
  <c r="K209" i="105" s="1"/>
  <c r="Q202" i="105"/>
  <c r="E100" i="137"/>
  <c r="J100" i="137" s="1"/>
  <c r="E14" i="107"/>
  <c r="E98" i="168"/>
  <c r="J98" i="168" s="1"/>
  <c r="E100" i="142"/>
  <c r="K41" i="109"/>
  <c r="J40" i="109"/>
  <c r="D40" i="109" s="1"/>
  <c r="O9" i="114"/>
  <c r="G23" i="58"/>
  <c r="E4" i="158"/>
  <c r="E21" i="158" s="1"/>
  <c r="G64" i="58"/>
  <c r="F4" i="158"/>
  <c r="F21" i="158" s="1"/>
  <c r="H23" i="58"/>
  <c r="H64" i="58"/>
  <c r="F22" i="111"/>
  <c r="F26" i="111" s="1"/>
  <c r="F25" i="111"/>
  <c r="E22" i="111"/>
  <c r="E26" i="111" s="1"/>
  <c r="E25" i="111"/>
  <c r="E32" i="111"/>
  <c r="E36" i="111" s="1"/>
  <c r="E35" i="111"/>
  <c r="F32" i="111"/>
  <c r="F36" i="111" s="1"/>
  <c r="F35" i="111"/>
  <c r="D32" i="111"/>
  <c r="D36" i="111" s="1"/>
  <c r="D35" i="111"/>
  <c r="G119" i="99"/>
  <c r="R6" i="115"/>
  <c r="R12" i="115"/>
  <c r="S12" i="115" s="1"/>
  <c r="C32" i="129"/>
  <c r="C36" i="129" s="1"/>
  <c r="G40" i="115"/>
  <c r="G39" i="115"/>
  <c r="J39" i="115"/>
  <c r="M40" i="115"/>
  <c r="J40" i="115"/>
  <c r="D42" i="109"/>
  <c r="E42" i="109" s="1"/>
  <c r="G36" i="115"/>
  <c r="I30" i="188"/>
  <c r="J30" i="188" s="1"/>
  <c r="O39" i="115"/>
  <c r="O40" i="115"/>
  <c r="M38" i="115"/>
  <c r="N40" i="115"/>
  <c r="N39" i="115"/>
  <c r="O38" i="115"/>
  <c r="P38" i="115" s="1"/>
  <c r="I40" i="109"/>
  <c r="H48" i="109"/>
  <c r="J49" i="109"/>
  <c r="K46" i="109"/>
  <c r="E46" i="109" s="1"/>
  <c r="H46" i="109"/>
  <c r="D46" i="109" s="1"/>
  <c r="D49" i="109" s="1"/>
  <c r="I41" i="109"/>
  <c r="E36" i="109"/>
  <c r="D38" i="109"/>
  <c r="E38" i="109" s="1"/>
  <c r="D41" i="109"/>
  <c r="D76" i="109"/>
  <c r="G91" i="167"/>
  <c r="G93" i="140"/>
  <c r="G93" i="136"/>
  <c r="G27" i="58"/>
  <c r="C100" i="145"/>
  <c r="B21" i="111"/>
  <c r="H116" i="105"/>
  <c r="P116" i="105"/>
  <c r="P206" i="105" s="1"/>
  <c r="N206" i="105" s="1"/>
  <c r="N6" i="114"/>
  <c r="P116" i="99"/>
  <c r="P206" i="99" s="1"/>
  <c r="N206" i="99" s="1"/>
  <c r="J40" i="61"/>
  <c r="P41" i="61"/>
  <c r="F93" i="140"/>
  <c r="F93" i="136"/>
  <c r="F91" i="167"/>
  <c r="K119" i="99"/>
  <c r="E98" i="167"/>
  <c r="E100" i="140"/>
  <c r="E100" i="136"/>
  <c r="O6" i="114"/>
  <c r="S116" i="105"/>
  <c r="S206" i="105" s="1"/>
  <c r="Q206" i="105" s="1"/>
  <c r="K40" i="61"/>
  <c r="S116" i="99"/>
  <c r="S206" i="99" s="1"/>
  <c r="Q206" i="99" s="1"/>
  <c r="Q41" i="61"/>
  <c r="H27" i="58"/>
  <c r="N116" i="105"/>
  <c r="S23" i="114"/>
  <c r="U44" i="92"/>
  <c r="F74" i="165"/>
  <c r="F119" i="165" s="1"/>
  <c r="F120" i="165" s="1"/>
  <c r="F39" i="134"/>
  <c r="C43" i="151"/>
  <c r="C43" i="131"/>
  <c r="K116" i="105"/>
  <c r="T44" i="92"/>
  <c r="R23" i="114"/>
  <c r="F8" i="158"/>
  <c r="M6" i="114"/>
  <c r="M116" i="105"/>
  <c r="M206" i="105" s="1"/>
  <c r="K206" i="105" s="1"/>
  <c r="M116" i="99"/>
  <c r="M206" i="99" s="1"/>
  <c r="K206" i="99" s="1"/>
  <c r="I40" i="61"/>
  <c r="Q116" i="105"/>
  <c r="T23" i="114"/>
  <c r="V44" i="92"/>
  <c r="G74" i="165"/>
  <c r="G119" i="165" s="1"/>
  <c r="G120" i="165" s="1"/>
  <c r="G39" i="134"/>
  <c r="E93" i="136"/>
  <c r="E93" i="140"/>
  <c r="E91" i="167"/>
  <c r="K22" i="128"/>
  <c r="G22" i="128"/>
  <c r="C22" i="128"/>
  <c r="F11" i="128"/>
  <c r="J11" i="128"/>
  <c r="E41" i="109" l="1"/>
  <c r="E202" i="105"/>
  <c r="P7" i="109"/>
  <c r="Q7" i="109" s="1"/>
  <c r="U202" i="99"/>
  <c r="E209" i="105"/>
  <c r="P47" i="109" s="1"/>
  <c r="G209" i="105"/>
  <c r="J48" i="109"/>
  <c r="K48" i="109" s="1"/>
  <c r="K40" i="109"/>
  <c r="E8" i="158"/>
  <c r="B22" i="111"/>
  <c r="B26" i="111" s="1"/>
  <c r="B25" i="111"/>
  <c r="E119" i="99"/>
  <c r="C51" i="146"/>
  <c r="F51" i="146" s="1"/>
  <c r="M51" i="146" s="1"/>
  <c r="R5" i="115"/>
  <c r="S5" i="115" s="1"/>
  <c r="S6" i="115"/>
  <c r="P39" i="115"/>
  <c r="P40" i="115"/>
  <c r="O36" i="115"/>
  <c r="C80" i="109"/>
  <c r="E40" i="109"/>
  <c r="H76" i="109"/>
  <c r="J76" i="109"/>
  <c r="D77" i="109"/>
  <c r="C76" i="109" s="1"/>
  <c r="G76" i="109" s="1"/>
  <c r="H49" i="109"/>
  <c r="I46" i="109"/>
  <c r="I55" i="109"/>
  <c r="E55" i="109" s="1"/>
  <c r="D83" i="109" s="1"/>
  <c r="I48" i="109"/>
  <c r="K49" i="109"/>
  <c r="J56" i="109"/>
  <c r="D56" i="109" s="1"/>
  <c r="G114" i="150"/>
  <c r="G43" i="150"/>
  <c r="G43" i="130"/>
  <c r="M115" i="105"/>
  <c r="M205" i="105" s="1"/>
  <c r="K205" i="105" s="1"/>
  <c r="S115" i="105"/>
  <c r="S205" i="105" s="1"/>
  <c r="Q205" i="105" s="1"/>
  <c r="F97" i="136"/>
  <c r="F97" i="140"/>
  <c r="F95" i="167"/>
  <c r="H115" i="105"/>
  <c r="E42" i="115"/>
  <c r="E97" i="136"/>
  <c r="E97" i="140"/>
  <c r="M115" i="99"/>
  <c r="M205" i="99" s="1"/>
  <c r="K205" i="99" s="1"/>
  <c r="E95" i="167"/>
  <c r="K115" i="105"/>
  <c r="R20" i="114"/>
  <c r="T41" i="92"/>
  <c r="F114" i="150"/>
  <c r="F43" i="150"/>
  <c r="F43" i="130"/>
  <c r="O5" i="114"/>
  <c r="K39" i="61"/>
  <c r="H17" i="58" s="1"/>
  <c r="Q40" i="61"/>
  <c r="N5" i="114"/>
  <c r="P40" i="61"/>
  <c r="F71" i="165" s="1"/>
  <c r="J39" i="61"/>
  <c r="G17" i="58" s="1"/>
  <c r="G31" i="58"/>
  <c r="I39" i="61"/>
  <c r="M5" i="114"/>
  <c r="H31" i="58"/>
  <c r="G97" i="136"/>
  <c r="G97" i="140"/>
  <c r="G95" i="167"/>
  <c r="K116" i="99"/>
  <c r="M16" i="114"/>
  <c r="F37" i="134"/>
  <c r="F72" i="165"/>
  <c r="P115" i="105"/>
  <c r="P205" i="105" s="1"/>
  <c r="N205" i="105" s="1"/>
  <c r="Q115" i="105"/>
  <c r="V41" i="92"/>
  <c r="T20" i="114"/>
  <c r="N115" i="105"/>
  <c r="S20" i="114"/>
  <c r="U41" i="92"/>
  <c r="G37" i="134"/>
  <c r="G72" i="165"/>
  <c r="F22" i="128"/>
  <c r="J22" i="128"/>
  <c r="P40" i="109" l="1"/>
  <c r="Q40" i="109" s="1"/>
  <c r="R40" i="109" s="1"/>
  <c r="U202" i="105"/>
  <c r="D48" i="109"/>
  <c r="E48" i="109" s="1"/>
  <c r="K54" i="109"/>
  <c r="E54" i="109" s="1"/>
  <c r="D82" i="109" s="1"/>
  <c r="D84" i="109" s="1"/>
  <c r="H65" i="58"/>
  <c r="H25" i="58"/>
  <c r="H14" i="58"/>
  <c r="K7" i="189" s="1"/>
  <c r="G65" i="58"/>
  <c r="G25" i="58"/>
  <c r="G14" i="58"/>
  <c r="C107" i="145"/>
  <c r="D14" i="107"/>
  <c r="G14" i="107" s="1"/>
  <c r="J4" i="107" s="1"/>
  <c r="P36" i="115"/>
  <c r="D78" i="109"/>
  <c r="H77" i="109"/>
  <c r="J77" i="109"/>
  <c r="C69" i="109"/>
  <c r="G69" i="109" s="1"/>
  <c r="C74" i="109"/>
  <c r="G74" i="109" s="1"/>
  <c r="C71" i="109"/>
  <c r="G71" i="109" s="1"/>
  <c r="C70" i="109"/>
  <c r="G70" i="109" s="1"/>
  <c r="C67" i="109"/>
  <c r="C72" i="109"/>
  <c r="G72" i="109" s="1"/>
  <c r="C73" i="109"/>
  <c r="G73" i="109" s="1"/>
  <c r="C68" i="109"/>
  <c r="G68" i="109" s="1"/>
  <c r="C75" i="109"/>
  <c r="G75" i="109" s="1"/>
  <c r="I49" i="109"/>
  <c r="H56" i="109"/>
  <c r="N114" i="105"/>
  <c r="U40" i="92"/>
  <c r="S19" i="114"/>
  <c r="F36" i="134"/>
  <c r="E96" i="136"/>
  <c r="E96" i="140"/>
  <c r="E94" i="167"/>
  <c r="M114" i="99"/>
  <c r="M204" i="99" s="1"/>
  <c r="S114" i="105"/>
  <c r="S204" i="105" s="1"/>
  <c r="M13" i="114"/>
  <c r="K115" i="99"/>
  <c r="N4" i="114"/>
  <c r="P39" i="61"/>
  <c r="E66" i="115"/>
  <c r="E106" i="115" s="1"/>
  <c r="J45" i="61"/>
  <c r="Q114" i="105"/>
  <c r="T19" i="114"/>
  <c r="V40" i="92"/>
  <c r="F112" i="150"/>
  <c r="F41" i="150"/>
  <c r="F41" i="130"/>
  <c r="M4" i="114"/>
  <c r="I45" i="61"/>
  <c r="C19" i="163" s="1"/>
  <c r="E65" i="115"/>
  <c r="P114" i="105"/>
  <c r="P204" i="105" s="1"/>
  <c r="O4" i="114"/>
  <c r="E67" i="115"/>
  <c r="E107" i="115" s="1"/>
  <c r="Q39" i="61"/>
  <c r="K45" i="61"/>
  <c r="K114" i="105"/>
  <c r="R19" i="114"/>
  <c r="T40" i="92"/>
  <c r="G112" i="150"/>
  <c r="G41" i="150"/>
  <c r="G41" i="130"/>
  <c r="G36" i="134"/>
  <c r="G71" i="165"/>
  <c r="H114" i="105"/>
  <c r="M114" i="105"/>
  <c r="M204" i="105" s="1"/>
  <c r="K204" i="99" l="1"/>
  <c r="M210" i="99"/>
  <c r="N204" i="105"/>
  <c r="P210" i="105"/>
  <c r="Q204" i="105"/>
  <c r="S210" i="105"/>
  <c r="K204" i="105"/>
  <c r="M210" i="105"/>
  <c r="D85" i="109"/>
  <c r="I7" i="189"/>
  <c r="G63" i="58"/>
  <c r="G22" i="58"/>
  <c r="I5" i="189" s="1"/>
  <c r="I23" i="189" s="1"/>
  <c r="H22" i="58"/>
  <c r="K5" i="189" s="1"/>
  <c r="K23" i="189" s="1"/>
  <c r="H63" i="58"/>
  <c r="C77" i="109"/>
  <c r="G77" i="109" s="1"/>
  <c r="G67" i="109"/>
  <c r="Q45" i="61"/>
  <c r="E19" i="163"/>
  <c r="K46" i="61"/>
  <c r="K120" i="105"/>
  <c r="R18" i="114"/>
  <c r="T39" i="92"/>
  <c r="T18" i="114"/>
  <c r="V39" i="92"/>
  <c r="Q120" i="105"/>
  <c r="J46" i="61"/>
  <c r="D19" i="163"/>
  <c r="P45" i="61"/>
  <c r="S120" i="105"/>
  <c r="S18" i="114"/>
  <c r="U39" i="92"/>
  <c r="N120" i="105"/>
  <c r="G35" i="134"/>
  <c r="G70" i="165"/>
  <c r="G115" i="165" s="1"/>
  <c r="G121" i="165" s="1"/>
  <c r="P120" i="105"/>
  <c r="F35" i="134"/>
  <c r="F70" i="165"/>
  <c r="F115" i="165" s="1"/>
  <c r="F121" i="165" s="1"/>
  <c r="F111" i="150"/>
  <c r="F110" i="150" s="1"/>
  <c r="F40" i="150"/>
  <c r="F39" i="150" s="1"/>
  <c r="F44" i="150" s="1"/>
  <c r="F40" i="130"/>
  <c r="F39" i="130" s="1"/>
  <c r="F44" i="130" s="1"/>
  <c r="G111" i="150"/>
  <c r="G110" i="150" s="1"/>
  <c r="G40" i="150"/>
  <c r="G39" i="150" s="1"/>
  <c r="G44" i="150" s="1"/>
  <c r="G40" i="130"/>
  <c r="G39" i="130" s="1"/>
  <c r="G44" i="130" s="1"/>
  <c r="M120" i="105"/>
  <c r="H120" i="105"/>
  <c r="H239" i="105" s="1"/>
  <c r="H29" i="58"/>
  <c r="H42" i="58"/>
  <c r="G27" i="107"/>
  <c r="G29" i="58"/>
  <c r="G42" i="58"/>
  <c r="F27" i="107"/>
  <c r="M12" i="114"/>
  <c r="K114" i="99"/>
  <c r="M120" i="99"/>
  <c r="M238" i="105" s="1"/>
  <c r="E93" i="167"/>
  <c r="E95" i="136"/>
  <c r="E95" i="140"/>
  <c r="D72" i="137"/>
  <c r="D72" i="142"/>
  <c r="D70" i="168"/>
  <c r="V91" i="105"/>
  <c r="AA91" i="105"/>
  <c r="S16" i="92"/>
  <c r="M125" i="105" l="1"/>
  <c r="M239" i="105"/>
  <c r="P125" i="105"/>
  <c r="P239" i="105"/>
  <c r="M241" i="105"/>
  <c r="K210" i="99"/>
  <c r="K241" i="105" s="1"/>
  <c r="S125" i="105"/>
  <c r="S239" i="105"/>
  <c r="K210" i="105"/>
  <c r="K242" i="105" s="1"/>
  <c r="M242" i="105"/>
  <c r="N210" i="105"/>
  <c r="N242" i="105" s="1"/>
  <c r="P242" i="105"/>
  <c r="Q210" i="105"/>
  <c r="Q242" i="105" s="1"/>
  <c r="S242" i="105"/>
  <c r="R74" i="115"/>
  <c r="M215" i="105"/>
  <c r="R76" i="115"/>
  <c r="S215" i="105"/>
  <c r="R75" i="115"/>
  <c r="P215" i="105"/>
  <c r="F42" i="165"/>
  <c r="I52" i="171"/>
  <c r="E52" i="171" s="1"/>
  <c r="T52" i="171" s="1"/>
  <c r="U52" i="171" s="1"/>
  <c r="N121" i="99"/>
  <c r="F7" i="134"/>
  <c r="L30" i="115"/>
  <c r="K239" i="105"/>
  <c r="C28" i="163"/>
  <c r="C29" i="163" s="1"/>
  <c r="C49" i="163" s="1"/>
  <c r="T45" i="92"/>
  <c r="G33" i="58"/>
  <c r="G30" i="58" s="1"/>
  <c r="G26" i="58"/>
  <c r="B149" i="107"/>
  <c r="G84" i="107"/>
  <c r="G56" i="107"/>
  <c r="G68" i="107" s="1"/>
  <c r="D13" i="182" s="1"/>
  <c r="E13" i="182" s="1"/>
  <c r="G39" i="107"/>
  <c r="G5" i="164" s="1"/>
  <c r="G14" i="164" s="1"/>
  <c r="D20" i="163"/>
  <c r="D41" i="163" s="1"/>
  <c r="E20" i="163"/>
  <c r="E41" i="163" s="1"/>
  <c r="F65" i="115"/>
  <c r="M11" i="114"/>
  <c r="K120" i="99"/>
  <c r="H44" i="58"/>
  <c r="M128" i="105"/>
  <c r="K125" i="105"/>
  <c r="H19" i="189" s="1"/>
  <c r="N239" i="105"/>
  <c r="U45" i="92"/>
  <c r="D28" i="163"/>
  <c r="D29" i="163" s="1"/>
  <c r="D49" i="163" s="1"/>
  <c r="S128" i="105"/>
  <c r="Q125" i="105"/>
  <c r="L19" i="189" s="1"/>
  <c r="G7" i="134"/>
  <c r="Q121" i="99"/>
  <c r="G42" i="165"/>
  <c r="L31" i="115"/>
  <c r="I53" i="171"/>
  <c r="E53" i="171" s="1"/>
  <c r="T53" i="171" s="1"/>
  <c r="U53" i="171" s="1"/>
  <c r="G44" i="58"/>
  <c r="E66" i="140"/>
  <c r="E64" i="167"/>
  <c r="E66" i="136"/>
  <c r="B148" i="107"/>
  <c r="F56" i="107"/>
  <c r="F68" i="107" s="1"/>
  <c r="D12" i="182" s="1"/>
  <c r="E12" i="182" s="1"/>
  <c r="F84" i="107"/>
  <c r="F39" i="107"/>
  <c r="F5" i="164" s="1"/>
  <c r="F14" i="164" s="1"/>
  <c r="H33" i="58"/>
  <c r="H30" i="58" s="1"/>
  <c r="H26" i="58"/>
  <c r="N125" i="105"/>
  <c r="J19" i="189" s="1"/>
  <c r="P128" i="105"/>
  <c r="Q239" i="105"/>
  <c r="V45" i="92"/>
  <c r="E28" i="163"/>
  <c r="E29" i="163" s="1"/>
  <c r="E49" i="163" s="1"/>
  <c r="AA87" i="105"/>
  <c r="V87" i="105"/>
  <c r="S12" i="92"/>
  <c r="D68" i="137"/>
  <c r="D66" i="168"/>
  <c r="D68" i="142"/>
  <c r="N16" i="92"/>
  <c r="H12" i="92"/>
  <c r="K243" i="105" l="1"/>
  <c r="M243" i="105"/>
  <c r="H54" i="93"/>
  <c r="H67" i="58"/>
  <c r="G54" i="93"/>
  <c r="G67" i="58"/>
  <c r="K255" i="105"/>
  <c r="E33" i="107"/>
  <c r="Q255" i="105"/>
  <c r="G33" i="107"/>
  <c r="N255" i="105"/>
  <c r="F33" i="107"/>
  <c r="B30" i="115"/>
  <c r="B31" i="115"/>
  <c r="G65" i="115"/>
  <c r="S218" i="105"/>
  <c r="S227" i="105" s="1"/>
  <c r="S224" i="105"/>
  <c r="Q215" i="105"/>
  <c r="L17" i="189" s="1"/>
  <c r="L26" i="189" s="1"/>
  <c r="K215" i="105"/>
  <c r="M224" i="105"/>
  <c r="M218" i="105"/>
  <c r="M227" i="105" s="1"/>
  <c r="K227" i="105" s="1"/>
  <c r="F24" i="169" s="1"/>
  <c r="K238" i="105"/>
  <c r="K236" i="105" s="1"/>
  <c r="C21" i="163"/>
  <c r="E41" i="164"/>
  <c r="E40" i="163"/>
  <c r="H148" i="107"/>
  <c r="B188" i="107"/>
  <c r="G7" i="165"/>
  <c r="G110" i="165"/>
  <c r="Q128" i="105"/>
  <c r="Q211" i="99"/>
  <c r="B99" i="115"/>
  <c r="D99" i="115" s="1"/>
  <c r="H51" i="58"/>
  <c r="F7" i="165"/>
  <c r="E20" i="158" s="1"/>
  <c r="E22" i="158" s="1"/>
  <c r="E23" i="158" s="1"/>
  <c r="F110" i="165"/>
  <c r="N128" i="105"/>
  <c r="F96" i="107"/>
  <c r="F113" i="107"/>
  <c r="F125" i="107" s="1"/>
  <c r="E138" i="167"/>
  <c r="E141" i="167" s="1"/>
  <c r="J13" i="167"/>
  <c r="G10" i="150"/>
  <c r="G8" i="150" s="1"/>
  <c r="G45" i="134"/>
  <c r="G10" i="130"/>
  <c r="G8" i="130" s="1"/>
  <c r="D40" i="163"/>
  <c r="H149" i="107"/>
  <c r="B201" i="107"/>
  <c r="M30" i="115"/>
  <c r="C30" i="115" s="1"/>
  <c r="N122" i="99"/>
  <c r="P218" i="105"/>
  <c r="P227" i="105" s="1"/>
  <c r="P224" i="105"/>
  <c r="N215" i="105"/>
  <c r="J17" i="189" s="1"/>
  <c r="J26" i="189" s="1"/>
  <c r="N211" i="99"/>
  <c r="B98" i="115"/>
  <c r="D98" i="115" s="1"/>
  <c r="G51" i="58"/>
  <c r="M31" i="115"/>
  <c r="C31" i="115" s="1"/>
  <c r="Q122" i="99"/>
  <c r="K128" i="105"/>
  <c r="G113" i="107"/>
  <c r="G125" i="107" s="1"/>
  <c r="G96" i="107"/>
  <c r="F45" i="134"/>
  <c r="F10" i="130"/>
  <c r="F8" i="130" s="1"/>
  <c r="F10" i="150"/>
  <c r="F8" i="150" s="1"/>
  <c r="D67" i="142"/>
  <c r="D67" i="137"/>
  <c r="D65" i="168"/>
  <c r="N12" i="92"/>
  <c r="X12" i="92" s="1"/>
  <c r="H11" i="92"/>
  <c r="S11" i="92"/>
  <c r="V86" i="105"/>
  <c r="AA86" i="105"/>
  <c r="X16" i="92"/>
  <c r="D48" i="166"/>
  <c r="K235" i="105" l="1"/>
  <c r="E10" i="168"/>
  <c r="M245" i="105"/>
  <c r="K245" i="105" s="1"/>
  <c r="D31" i="115"/>
  <c r="D30" i="115"/>
  <c r="K218" i="105"/>
  <c r="H17" i="189"/>
  <c r="H26" i="189" s="1"/>
  <c r="AB7" i="165"/>
  <c r="F20" i="158"/>
  <c r="F22" i="158" s="1"/>
  <c r="F23" i="158" s="1"/>
  <c r="AA7" i="165"/>
  <c r="V7" i="165"/>
  <c r="G10" i="168"/>
  <c r="F10" i="168"/>
  <c r="N30" i="115"/>
  <c r="N31" i="115"/>
  <c r="B203" i="107"/>
  <c r="B204" i="107" s="1"/>
  <c r="B190" i="107"/>
  <c r="B191" i="107" s="1"/>
  <c r="N212" i="99"/>
  <c r="N221" i="99" s="1"/>
  <c r="N220" i="99"/>
  <c r="Q218" i="105"/>
  <c r="Q227" i="105" s="1"/>
  <c r="F21" i="169" s="1"/>
  <c r="Q224" i="105"/>
  <c r="Q250" i="105" s="1"/>
  <c r="Q251" i="105" s="1"/>
  <c r="C55" i="163"/>
  <c r="C18" i="163"/>
  <c r="Q212" i="99"/>
  <c r="Q221" i="99" s="1"/>
  <c r="Q220" i="99"/>
  <c r="K224" i="105"/>
  <c r="M236" i="105"/>
  <c r="L235" i="105" s="1"/>
  <c r="N224" i="105"/>
  <c r="N250" i="105" s="1"/>
  <c r="N251" i="105" s="1"/>
  <c r="N218" i="105"/>
  <c r="N227" i="105" s="1"/>
  <c r="F16" i="169" s="1"/>
  <c r="D45" i="166"/>
  <c r="W48" i="166"/>
  <c r="V48" i="166"/>
  <c r="V112" i="105"/>
  <c r="I41" i="115"/>
  <c r="C31" i="111"/>
  <c r="AA112" i="105"/>
  <c r="H306" i="105"/>
  <c r="H308" i="105" s="1"/>
  <c r="S37" i="92"/>
  <c r="N11" i="92"/>
  <c r="X11" i="92" s="1"/>
  <c r="H37" i="92"/>
  <c r="D91" i="168"/>
  <c r="D93" i="142"/>
  <c r="J314" i="105"/>
  <c r="J306" i="105"/>
  <c r="J308" i="105" s="1"/>
  <c r="D93" i="137"/>
  <c r="H44" i="92" l="1"/>
  <c r="I44" i="92" s="1"/>
  <c r="E15" i="93"/>
  <c r="C12" i="158" s="1"/>
  <c r="H37" i="115"/>
  <c r="C32" i="111"/>
  <c r="C36" i="111" s="1"/>
  <c r="C35" i="111"/>
  <c r="K250" i="105"/>
  <c r="K251" i="105" s="1"/>
  <c r="E24" i="169"/>
  <c r="E24" i="172" s="1"/>
  <c r="F24" i="172" s="1"/>
  <c r="H24" i="172" s="1"/>
  <c r="E21" i="169"/>
  <c r="E21" i="172" s="1"/>
  <c r="F21" i="172" s="1"/>
  <c r="E16" i="169"/>
  <c r="E16" i="172" s="1"/>
  <c r="F16" i="172" s="1"/>
  <c r="H16" i="172" s="1"/>
  <c r="B18" i="147"/>
  <c r="H18" i="147" s="1"/>
  <c r="H191" i="107"/>
  <c r="H204" i="107"/>
  <c r="B24" i="147"/>
  <c r="H24" i="147" s="1"/>
  <c r="N37" i="92"/>
  <c r="X37" i="92" s="1"/>
  <c r="J37" i="115"/>
  <c r="E27" i="93"/>
  <c r="W45" i="166"/>
  <c r="V45" i="166"/>
  <c r="D44" i="166"/>
  <c r="J316" i="105"/>
  <c r="H314" i="105"/>
  <c r="D100" i="142"/>
  <c r="D100" i="137"/>
  <c r="I100" i="137" s="1"/>
  <c r="I98" i="168"/>
  <c r="K44" i="92" l="1"/>
  <c r="J44" i="92"/>
  <c r="C28" i="158"/>
  <c r="C16" i="158"/>
  <c r="H41" i="115"/>
  <c r="M37" i="115"/>
  <c r="M41" i="115" s="1"/>
  <c r="W44" i="166"/>
  <c r="D67" i="166"/>
  <c r="D112" i="166" s="1"/>
  <c r="D123" i="166" s="1"/>
  <c r="V44" i="166"/>
  <c r="H316" i="105"/>
  <c r="I317" i="105" s="1"/>
  <c r="E23" i="93"/>
  <c r="AA119" i="105"/>
  <c r="Q23" i="114"/>
  <c r="P23" i="114" s="1"/>
  <c r="J23" i="114" s="1"/>
  <c r="D23" i="114" s="1"/>
  <c r="S44" i="92"/>
  <c r="V119" i="105"/>
  <c r="W67" i="166" l="1"/>
  <c r="V67" i="166"/>
  <c r="Q20" i="114"/>
  <c r="P20" i="114" s="1"/>
  <c r="J20" i="114" s="1"/>
  <c r="D20" i="114" s="1"/>
  <c r="S41" i="92"/>
  <c r="E31" i="93"/>
  <c r="D27" i="93"/>
  <c r="J317" i="105"/>
  <c r="Q19" i="114" l="1"/>
  <c r="P19" i="114" s="1"/>
  <c r="J19" i="114" s="1"/>
  <c r="D19" i="114" s="1"/>
  <c r="S40" i="92"/>
  <c r="D31" i="93"/>
  <c r="Q18" i="114" l="1"/>
  <c r="P18" i="114" s="1"/>
  <c r="J18" i="114" s="1"/>
  <c r="D18" i="114" s="1"/>
  <c r="S39" i="92"/>
  <c r="B28" i="163" l="1"/>
  <c r="B29" i="163" s="1"/>
  <c r="B49" i="163" s="1"/>
  <c r="S45" i="92"/>
  <c r="N16" i="61" l="1"/>
  <c r="H12" i="61"/>
  <c r="D70" i="167" l="1"/>
  <c r="D72" i="136"/>
  <c r="D72" i="140"/>
  <c r="J87" i="99"/>
  <c r="X91" i="99"/>
  <c r="H91" i="99"/>
  <c r="H11" i="61"/>
  <c r="N12" i="61"/>
  <c r="D13" i="134"/>
  <c r="D48" i="165"/>
  <c r="D18" i="150" l="1"/>
  <c r="D14" i="150" s="1"/>
  <c r="D13" i="150" s="1"/>
  <c r="D18" i="130"/>
  <c r="D14" i="130" s="1"/>
  <c r="D13" i="130" s="1"/>
  <c r="D88" i="150"/>
  <c r="D85" i="150" s="1"/>
  <c r="D84" i="150" s="1"/>
  <c r="D105" i="150" s="1"/>
  <c r="D10" i="134"/>
  <c r="D9" i="134" s="1"/>
  <c r="D32" i="134" s="1"/>
  <c r="V48" i="165"/>
  <c r="W48" i="165"/>
  <c r="D45" i="165"/>
  <c r="S46" i="165" s="1"/>
  <c r="V91" i="99"/>
  <c r="H87" i="99"/>
  <c r="AA91" i="99"/>
  <c r="H37" i="61"/>
  <c r="N11" i="61"/>
  <c r="J86" i="99"/>
  <c r="D68" i="136"/>
  <c r="D66" i="167"/>
  <c r="D68" i="140"/>
  <c r="H44" i="61" l="1"/>
  <c r="L9" i="114" s="1"/>
  <c r="E15" i="58"/>
  <c r="E37" i="115"/>
  <c r="N37" i="61"/>
  <c r="W45" i="165"/>
  <c r="V45" i="165"/>
  <c r="D44" i="165"/>
  <c r="D107" i="150"/>
  <c r="D36" i="130"/>
  <c r="D36" i="150"/>
  <c r="J112" i="99"/>
  <c r="D67" i="140"/>
  <c r="D67" i="136"/>
  <c r="D65" i="167"/>
  <c r="V87" i="99"/>
  <c r="H86" i="99"/>
  <c r="AA87" i="99"/>
  <c r="E23" i="58" l="1"/>
  <c r="C4" i="158"/>
  <c r="C21" i="158" s="1"/>
  <c r="E64" i="58"/>
  <c r="N37" i="115"/>
  <c r="E27" i="58"/>
  <c r="E41" i="115"/>
  <c r="D93" i="140"/>
  <c r="D93" i="136"/>
  <c r="D91" i="167"/>
  <c r="W44" i="165"/>
  <c r="D67" i="165"/>
  <c r="V44" i="165"/>
  <c r="W86" i="99"/>
  <c r="H112" i="99"/>
  <c r="V86" i="99"/>
  <c r="AA86" i="99"/>
  <c r="C8" i="158" l="1"/>
  <c r="D112" i="165"/>
  <c r="J119" i="99"/>
  <c r="J209" i="99" s="1"/>
  <c r="F37" i="115"/>
  <c r="G37" i="115" s="1"/>
  <c r="N41" i="115"/>
  <c r="V67" i="165"/>
  <c r="W67" i="165"/>
  <c r="V112" i="99"/>
  <c r="C21" i="111"/>
  <c r="AA112" i="99"/>
  <c r="D27" i="58"/>
  <c r="E31" i="58"/>
  <c r="H209" i="99" l="1"/>
  <c r="C22" i="111"/>
  <c r="C26" i="111" s="1"/>
  <c r="C25" i="111"/>
  <c r="O37" i="115"/>
  <c r="G41" i="115"/>
  <c r="D100" i="140"/>
  <c r="D100" i="136"/>
  <c r="H119" i="99"/>
  <c r="U31" i="99" s="1"/>
  <c r="V31" i="99" s="1"/>
  <c r="D98" i="167"/>
  <c r="F41" i="115"/>
  <c r="J41" i="115"/>
  <c r="D31" i="58"/>
  <c r="P119" i="99" l="1"/>
  <c r="P209" i="99" s="1"/>
  <c r="S119" i="99"/>
  <c r="S209" i="99" s="1"/>
  <c r="Q209" i="99" s="1"/>
  <c r="O41" i="115"/>
  <c r="P37" i="115"/>
  <c r="P41" i="115" s="1"/>
  <c r="L16" i="114"/>
  <c r="H116" i="99"/>
  <c r="AA119" i="99"/>
  <c r="N209" i="99" l="1"/>
  <c r="E209" i="99" s="1"/>
  <c r="O47" i="109" s="1"/>
  <c r="Q47" i="109" s="1"/>
  <c r="R47" i="109" s="1"/>
  <c r="G209" i="99"/>
  <c r="F98" i="167"/>
  <c r="F100" i="136"/>
  <c r="F100" i="140"/>
  <c r="N119" i="99"/>
  <c r="P115" i="99"/>
  <c r="P205" i="99" s="1"/>
  <c r="N205" i="99" s="1"/>
  <c r="G100" i="136"/>
  <c r="G100" i="140"/>
  <c r="Q119" i="99"/>
  <c r="G98" i="167"/>
  <c r="S115" i="99"/>
  <c r="S205" i="99" s="1"/>
  <c r="Q205" i="99" s="1"/>
  <c r="N44" i="61"/>
  <c r="H41" i="61"/>
  <c r="H115" i="99"/>
  <c r="L13" i="114"/>
  <c r="G96" i="140" l="1"/>
  <c r="G94" i="167"/>
  <c r="G96" i="136"/>
  <c r="S114" i="99"/>
  <c r="S204" i="99" s="1"/>
  <c r="N16" i="114"/>
  <c r="N116" i="99"/>
  <c r="V119" i="99"/>
  <c r="O16" i="114"/>
  <c r="Q116" i="99"/>
  <c r="F96" i="140"/>
  <c r="F96" i="136"/>
  <c r="P114" i="99"/>
  <c r="P204" i="99" s="1"/>
  <c r="F94" i="167"/>
  <c r="J116" i="105"/>
  <c r="L6" i="114"/>
  <c r="D74" i="165"/>
  <c r="D119" i="165" s="1"/>
  <c r="D120" i="165" s="1"/>
  <c r="D39" i="134"/>
  <c r="N41" i="61"/>
  <c r="H40" i="61"/>
  <c r="L5" i="114" s="1"/>
  <c r="J116" i="99"/>
  <c r="J206" i="99" s="1"/>
  <c r="H114" i="99"/>
  <c r="L12" i="114"/>
  <c r="C74" i="165"/>
  <c r="K9" i="114"/>
  <c r="C39" i="134"/>
  <c r="T119" i="99"/>
  <c r="U119" i="99" s="1"/>
  <c r="G41" i="61"/>
  <c r="E116" i="105" s="1"/>
  <c r="G206" i="99" l="1"/>
  <c r="H206" i="99"/>
  <c r="E206" i="99" s="1"/>
  <c r="O44" i="109" s="1"/>
  <c r="N204" i="99"/>
  <c r="P210" i="99"/>
  <c r="Q204" i="99"/>
  <c r="S210" i="99"/>
  <c r="U74" i="165"/>
  <c r="V74" i="165" s="1"/>
  <c r="C119" i="165"/>
  <c r="C120" i="165" s="1"/>
  <c r="F95" i="140"/>
  <c r="P120" i="99"/>
  <c r="F95" i="136"/>
  <c r="F93" i="167"/>
  <c r="K16" i="114"/>
  <c r="J16" i="114" s="1"/>
  <c r="D16" i="114" s="1"/>
  <c r="Q115" i="99"/>
  <c r="O13" i="114"/>
  <c r="N13" i="114"/>
  <c r="N115" i="99"/>
  <c r="G95" i="136"/>
  <c r="G95" i="140"/>
  <c r="S120" i="99"/>
  <c r="G93" i="167"/>
  <c r="J115" i="105"/>
  <c r="J205" i="105" s="1"/>
  <c r="J206" i="105"/>
  <c r="G116" i="105"/>
  <c r="E115" i="105"/>
  <c r="D43" i="130"/>
  <c r="D114" i="150"/>
  <c r="D43" i="150"/>
  <c r="H120" i="99"/>
  <c r="H238" i="105" s="1"/>
  <c r="H236" i="105" s="1"/>
  <c r="L11" i="114"/>
  <c r="F64" i="115"/>
  <c r="F104" i="115" s="1"/>
  <c r="D37" i="134"/>
  <c r="D72" i="165"/>
  <c r="D95" i="167"/>
  <c r="D97" i="140"/>
  <c r="J115" i="99"/>
  <c r="J205" i="99" s="1"/>
  <c r="D97" i="136"/>
  <c r="W74" i="165"/>
  <c r="K6" i="114"/>
  <c r="C72" i="165"/>
  <c r="E116" i="99"/>
  <c r="C37" i="134"/>
  <c r="G40" i="61"/>
  <c r="T116" i="99"/>
  <c r="K30" i="114"/>
  <c r="C43" i="150"/>
  <c r="C43" i="130"/>
  <c r="C114" i="150"/>
  <c r="H39" i="61"/>
  <c r="N40" i="61"/>
  <c r="H205" i="99" l="1"/>
  <c r="E205" i="99" s="1"/>
  <c r="O43" i="109" s="1"/>
  <c r="G205" i="99"/>
  <c r="S125" i="99"/>
  <c r="S238" i="105"/>
  <c r="P241" i="105"/>
  <c r="P243" i="105" s="1"/>
  <c r="N210" i="99"/>
  <c r="N241" i="105" s="1"/>
  <c r="N243" i="105" s="1"/>
  <c r="P125" i="99"/>
  <c r="P238" i="105"/>
  <c r="S241" i="105"/>
  <c r="S243" i="105" s="1"/>
  <c r="Q210" i="99"/>
  <c r="Q241" i="105" s="1"/>
  <c r="Q243" i="105" s="1"/>
  <c r="Q44" i="109"/>
  <c r="G206" i="105"/>
  <c r="H206" i="105"/>
  <c r="E206" i="105" s="1"/>
  <c r="P44" i="109" s="1"/>
  <c r="H205" i="105"/>
  <c r="E205" i="105" s="1"/>
  <c r="P43" i="109" s="1"/>
  <c r="G205" i="105"/>
  <c r="K13" i="114"/>
  <c r="J13" i="114" s="1"/>
  <c r="D13" i="114" s="1"/>
  <c r="U72" i="165"/>
  <c r="C117" i="165"/>
  <c r="L4" i="114"/>
  <c r="E17" i="58"/>
  <c r="O12" i="114"/>
  <c r="Q114" i="99"/>
  <c r="G66" i="136"/>
  <c r="G64" i="167"/>
  <c r="G66" i="140"/>
  <c r="N114" i="99"/>
  <c r="N12" i="114"/>
  <c r="F64" i="167"/>
  <c r="F66" i="136"/>
  <c r="F66" i="140"/>
  <c r="J114" i="105"/>
  <c r="J204" i="105" s="1"/>
  <c r="G115" i="105"/>
  <c r="E114" i="105"/>
  <c r="U116" i="99"/>
  <c r="D13" i="107"/>
  <c r="G116" i="99"/>
  <c r="E115" i="99"/>
  <c r="V116" i="99"/>
  <c r="AA116" i="99"/>
  <c r="D41" i="164"/>
  <c r="B21" i="163"/>
  <c r="D71" i="165"/>
  <c r="D36" i="134"/>
  <c r="C41" i="150"/>
  <c r="C41" i="130"/>
  <c r="C112" i="150"/>
  <c r="D96" i="140"/>
  <c r="J114" i="99"/>
  <c r="J204" i="99" s="1"/>
  <c r="D94" i="167"/>
  <c r="D96" i="136"/>
  <c r="D112" i="150"/>
  <c r="D41" i="130"/>
  <c r="D41" i="150"/>
  <c r="N39" i="61"/>
  <c r="E64" i="115"/>
  <c r="E104" i="115" s="1"/>
  <c r="H45" i="61"/>
  <c r="T115" i="99"/>
  <c r="C71" i="165"/>
  <c r="C116" i="165" s="1"/>
  <c r="G39" i="61"/>
  <c r="K5" i="114"/>
  <c r="C36" i="134"/>
  <c r="W72" i="165"/>
  <c r="V72" i="165"/>
  <c r="H204" i="99" l="1"/>
  <c r="E204" i="99" s="1"/>
  <c r="G204" i="99"/>
  <c r="G210" i="99" s="1"/>
  <c r="G241" i="105" s="1"/>
  <c r="J210" i="99"/>
  <c r="Q43" i="109"/>
  <c r="R43" i="109" s="1"/>
  <c r="H204" i="105"/>
  <c r="E204" i="105" s="1"/>
  <c r="P42" i="109" s="1"/>
  <c r="G204" i="105"/>
  <c r="J210" i="105"/>
  <c r="J242" i="105" s="1"/>
  <c r="K12" i="114"/>
  <c r="J12" i="114" s="1"/>
  <c r="D12" i="114" s="1"/>
  <c r="K27" i="114"/>
  <c r="L39" i="61"/>
  <c r="D17" i="58"/>
  <c r="E65" i="58"/>
  <c r="E25" i="58"/>
  <c r="E14" i="58"/>
  <c r="F66" i="115"/>
  <c r="F106" i="115" s="1"/>
  <c r="N11" i="114"/>
  <c r="N120" i="99"/>
  <c r="G138" i="167"/>
  <c r="L13" i="167"/>
  <c r="Q75" i="115"/>
  <c r="P215" i="99"/>
  <c r="P128" i="99"/>
  <c r="N125" i="99"/>
  <c r="F67" i="115"/>
  <c r="F107" i="115" s="1"/>
  <c r="Q120" i="99"/>
  <c r="O11" i="114"/>
  <c r="F138" i="167"/>
  <c r="K13" i="167"/>
  <c r="S215" i="99"/>
  <c r="T125" i="99"/>
  <c r="Q76" i="115"/>
  <c r="Q125" i="99"/>
  <c r="S128" i="99"/>
  <c r="T128" i="99" s="1"/>
  <c r="G104" i="115"/>
  <c r="H210" i="105"/>
  <c r="H242" i="105" s="1"/>
  <c r="J120" i="105"/>
  <c r="E210" i="105"/>
  <c r="E120" i="105"/>
  <c r="E239" i="105" s="1"/>
  <c r="G114" i="105"/>
  <c r="C70" i="165"/>
  <c r="U71" i="165"/>
  <c r="V71" i="165" s="1"/>
  <c r="T114" i="99"/>
  <c r="K4" i="114"/>
  <c r="E63" i="115"/>
  <c r="E103" i="115" s="1"/>
  <c r="G45" i="61"/>
  <c r="H2" i="109" s="1"/>
  <c r="D70" i="165"/>
  <c r="D115" i="165" s="1"/>
  <c r="D121" i="165" s="1"/>
  <c r="D35" i="134"/>
  <c r="B22" i="163"/>
  <c r="B43" i="163" s="1"/>
  <c r="B55" i="163"/>
  <c r="W71" i="165"/>
  <c r="G115" i="99"/>
  <c r="H46" i="61"/>
  <c r="N45" i="61"/>
  <c r="B19" i="163"/>
  <c r="U115" i="99"/>
  <c r="E114" i="99"/>
  <c r="D12" i="107"/>
  <c r="V115" i="99"/>
  <c r="AA115" i="99"/>
  <c r="K26" i="114"/>
  <c r="E29" i="58"/>
  <c r="E42" i="58"/>
  <c r="D95" i="140"/>
  <c r="D95" i="136"/>
  <c r="D93" i="167"/>
  <c r="J120" i="99"/>
  <c r="C35" i="134"/>
  <c r="C40" i="150"/>
  <c r="C111" i="150"/>
  <c r="C110" i="150" s="1"/>
  <c r="C40" i="130"/>
  <c r="C39" i="130" s="1"/>
  <c r="G64" i="115"/>
  <c r="D40" i="130"/>
  <c r="D39" i="130" s="1"/>
  <c r="D44" i="130" s="1"/>
  <c r="D111" i="150"/>
  <c r="D110" i="150" s="1"/>
  <c r="D40" i="150"/>
  <c r="D39" i="150" s="1"/>
  <c r="D44" i="150" s="1"/>
  <c r="E242" i="105" l="1"/>
  <c r="P48" i="109"/>
  <c r="J241" i="105"/>
  <c r="J243" i="105" s="1"/>
  <c r="H210" i="99"/>
  <c r="H241" i="105" s="1"/>
  <c r="H243" i="105" s="1"/>
  <c r="H235" i="105" s="1"/>
  <c r="J125" i="105"/>
  <c r="J239" i="105"/>
  <c r="J125" i="99"/>
  <c r="Q73" i="115" s="1"/>
  <c r="J238" i="105"/>
  <c r="O42" i="109"/>
  <c r="Q42" i="109" s="1"/>
  <c r="R42" i="109" s="1"/>
  <c r="E210" i="99"/>
  <c r="G29" i="107"/>
  <c r="L15" i="189"/>
  <c r="E7" i="189"/>
  <c r="E22" i="58"/>
  <c r="E63" i="58"/>
  <c r="U70" i="165"/>
  <c r="V70" i="165" s="1"/>
  <c r="C115" i="165"/>
  <c r="C121" i="165" s="1"/>
  <c r="D65" i="58"/>
  <c r="D25" i="58"/>
  <c r="D14" i="58"/>
  <c r="F29" i="107"/>
  <c r="J15" i="189"/>
  <c r="K11" i="114"/>
  <c r="J11" i="114" s="1"/>
  <c r="D11" i="114" s="1"/>
  <c r="S236" i="105"/>
  <c r="R235" i="105" s="1"/>
  <c r="Q215" i="99"/>
  <c r="L13" i="189" s="1"/>
  <c r="L25" i="189" s="1"/>
  <c r="S224" i="99"/>
  <c r="S245" i="105" s="1"/>
  <c r="Q245" i="105" s="1"/>
  <c r="S218" i="99"/>
  <c r="S227" i="99" s="1"/>
  <c r="G106" i="115"/>
  <c r="G66" i="115"/>
  <c r="N253" i="99"/>
  <c r="E22" i="153"/>
  <c r="D25" i="138"/>
  <c r="D24" i="163"/>
  <c r="D45" i="163" s="1"/>
  <c r="D42" i="163" s="1"/>
  <c r="N128" i="99"/>
  <c r="Q92" i="115"/>
  <c r="E76" i="115"/>
  <c r="E92" i="115" s="1"/>
  <c r="G107" i="115"/>
  <c r="G67" i="115"/>
  <c r="E75" i="115"/>
  <c r="E91" i="115" s="1"/>
  <c r="Q91" i="115"/>
  <c r="R73" i="115"/>
  <c r="J215" i="105"/>
  <c r="Q253" i="99"/>
  <c r="E24" i="163"/>
  <c r="E45" i="163" s="1"/>
  <c r="E42" i="163" s="1"/>
  <c r="D34" i="138"/>
  <c r="Q128" i="99"/>
  <c r="E31" i="153"/>
  <c r="Q238" i="105"/>
  <c r="Q236" i="105" s="1"/>
  <c r="Q235" i="105" s="1"/>
  <c r="G41" i="164"/>
  <c r="E21" i="163"/>
  <c r="P218" i="99"/>
  <c r="P227" i="99" s="1"/>
  <c r="P224" i="99"/>
  <c r="P245" i="105" s="1"/>
  <c r="N245" i="105" s="1"/>
  <c r="N215" i="99"/>
  <c r="J13" i="189" s="1"/>
  <c r="J25" i="189" s="1"/>
  <c r="P236" i="105"/>
  <c r="O235" i="105" s="1"/>
  <c r="N238" i="105"/>
  <c r="N236" i="105" s="1"/>
  <c r="N235" i="105" s="1"/>
  <c r="F41" i="164"/>
  <c r="D21" i="163"/>
  <c r="G210" i="105"/>
  <c r="G242" i="105" s="1"/>
  <c r="G243" i="105" s="1"/>
  <c r="G120" i="105"/>
  <c r="J128" i="105"/>
  <c r="H125" i="105"/>
  <c r="F19" i="189" s="1"/>
  <c r="C13" i="128"/>
  <c r="D42" i="58"/>
  <c r="D27" i="107"/>
  <c r="H121" i="99"/>
  <c r="G114" i="99"/>
  <c r="E75" i="150"/>
  <c r="D74" i="150"/>
  <c r="E74" i="150"/>
  <c r="C39" i="150"/>
  <c r="F73" i="150"/>
  <c r="D73" i="150"/>
  <c r="G73" i="150"/>
  <c r="F75" i="150"/>
  <c r="G74" i="150"/>
  <c r="D75" i="150"/>
  <c r="E73" i="150"/>
  <c r="G75" i="150"/>
  <c r="F74" i="150"/>
  <c r="B18" i="163"/>
  <c r="B20" i="163"/>
  <c r="B41" i="163" s="1"/>
  <c r="C47" i="130"/>
  <c r="C44" i="130"/>
  <c r="E33" i="58"/>
  <c r="E30" i="58" s="1"/>
  <c r="D29" i="58"/>
  <c r="E26" i="58"/>
  <c r="V114" i="99"/>
  <c r="F63" i="115"/>
  <c r="F103" i="115" s="1"/>
  <c r="U114" i="99"/>
  <c r="E120" i="99"/>
  <c r="E238" i="105" s="1"/>
  <c r="E236" i="105" s="1"/>
  <c r="AA114" i="99"/>
  <c r="L28" i="115"/>
  <c r="D7" i="134"/>
  <c r="I50" i="171"/>
  <c r="E50" i="171" s="1"/>
  <c r="T50" i="171" s="1"/>
  <c r="U50" i="171" s="1"/>
  <c r="D42" i="165"/>
  <c r="D7" i="165" s="1"/>
  <c r="T210" i="99"/>
  <c r="C42" i="165"/>
  <c r="G46" i="61"/>
  <c r="T120" i="99"/>
  <c r="C7" i="134"/>
  <c r="C45" i="134" s="1"/>
  <c r="E44" i="58"/>
  <c r="E5" i="189"/>
  <c r="E23" i="189" s="1"/>
  <c r="D64" i="167"/>
  <c r="D66" i="140"/>
  <c r="D66" i="136"/>
  <c r="D11" i="107"/>
  <c r="W70" i="165"/>
  <c r="E68" i="115"/>
  <c r="G125" i="105" l="1"/>
  <c r="T125" i="105" s="1"/>
  <c r="G239" i="105"/>
  <c r="O48" i="109"/>
  <c r="Q48" i="109" s="1"/>
  <c r="R48" i="109" s="1"/>
  <c r="E241" i="105"/>
  <c r="E243" i="105" s="1"/>
  <c r="E235" i="105" s="1"/>
  <c r="J215" i="99"/>
  <c r="H125" i="99"/>
  <c r="F15" i="189" s="1"/>
  <c r="K25" i="114"/>
  <c r="C7" i="189"/>
  <c r="D22" i="58"/>
  <c r="C5" i="189" s="1"/>
  <c r="C23" i="189" s="1"/>
  <c r="D63" i="58"/>
  <c r="E54" i="93"/>
  <c r="E67" i="58"/>
  <c r="H255" i="105"/>
  <c r="D33" i="107"/>
  <c r="D29" i="107"/>
  <c r="E55" i="163"/>
  <c r="E22" i="163"/>
  <c r="E43" i="163" s="1"/>
  <c r="E59" i="163" s="1"/>
  <c r="E18" i="163"/>
  <c r="E34" i="138"/>
  <c r="E30" i="138" s="1"/>
  <c r="F31" i="153"/>
  <c r="F27" i="153" s="1"/>
  <c r="G10" i="167"/>
  <c r="G14" i="140"/>
  <c r="G14" i="136"/>
  <c r="L14" i="136" s="1"/>
  <c r="E27" i="153"/>
  <c r="F22" i="153"/>
  <c r="F18" i="153" s="1"/>
  <c r="E25" i="138"/>
  <c r="E21" i="138" s="1"/>
  <c r="R72" i="115"/>
  <c r="G215" i="105"/>
  <c r="F10" i="167"/>
  <c r="F14" i="140"/>
  <c r="F14" i="136"/>
  <c r="K14" i="136" s="1"/>
  <c r="D30" i="138"/>
  <c r="D148" i="107"/>
  <c r="D188" i="107" s="1"/>
  <c r="D190" i="107" s="1"/>
  <c r="D191" i="107" s="1"/>
  <c r="D18" i="147" s="1"/>
  <c r="F41" i="107"/>
  <c r="F7" i="164" s="1"/>
  <c r="F16" i="164" s="1"/>
  <c r="F58" i="107"/>
  <c r="F70" i="107" s="1"/>
  <c r="F86" i="107"/>
  <c r="E18" i="153"/>
  <c r="H18" i="153" s="1"/>
  <c r="D18" i="163"/>
  <c r="D55" i="163"/>
  <c r="D22" i="163"/>
  <c r="D43" i="163" s="1"/>
  <c r="D59" i="163" s="1"/>
  <c r="N218" i="99"/>
  <c r="N227" i="99" s="1"/>
  <c r="F14" i="169" s="1"/>
  <c r="N224" i="99"/>
  <c r="D149" i="107"/>
  <c r="D201" i="107" s="1"/>
  <c r="D203" i="107" s="1"/>
  <c r="D204" i="107" s="1"/>
  <c r="D24" i="147" s="1"/>
  <c r="G86" i="107"/>
  <c r="G58" i="107"/>
  <c r="G70" i="107" s="1"/>
  <c r="G41" i="107"/>
  <c r="D21" i="138"/>
  <c r="Q224" i="99"/>
  <c r="Q218" i="99"/>
  <c r="Q227" i="99" s="1"/>
  <c r="F19" i="169" s="1"/>
  <c r="B28" i="115"/>
  <c r="G63" i="115"/>
  <c r="G68" i="115" s="1"/>
  <c r="G103" i="115"/>
  <c r="J218" i="105"/>
  <c r="J227" i="105" s="1"/>
  <c r="J224" i="105"/>
  <c r="H215" i="105"/>
  <c r="F17" i="189" s="1"/>
  <c r="F26" i="189" s="1"/>
  <c r="E125" i="105"/>
  <c r="D19" i="189" s="1"/>
  <c r="G128" i="105"/>
  <c r="H128" i="105"/>
  <c r="D138" i="167"/>
  <c r="I13" i="167"/>
  <c r="I49" i="171"/>
  <c r="E49" i="171" s="1"/>
  <c r="T49" i="171" s="1"/>
  <c r="U49" i="171" s="1"/>
  <c r="T121" i="99"/>
  <c r="L27" i="115"/>
  <c r="M28" i="115"/>
  <c r="C28" i="115" s="1"/>
  <c r="H122" i="99"/>
  <c r="J13" i="128"/>
  <c r="C24" i="128"/>
  <c r="C14" i="128"/>
  <c r="F13" i="128"/>
  <c r="F14" i="128" s="1"/>
  <c r="D110" i="165"/>
  <c r="W42" i="165"/>
  <c r="C20" i="158"/>
  <c r="C22" i="158" s="1"/>
  <c r="C23" i="158" s="1"/>
  <c r="F68" i="115"/>
  <c r="D33" i="58"/>
  <c r="D30" i="58" s="1"/>
  <c r="D26" i="58"/>
  <c r="B40" i="163"/>
  <c r="B59" i="163"/>
  <c r="G120" i="99"/>
  <c r="E121" i="99"/>
  <c r="C27" i="107"/>
  <c r="U210" i="99"/>
  <c r="V120" i="99"/>
  <c r="C108" i="166"/>
  <c r="C43" i="134"/>
  <c r="U120" i="99"/>
  <c r="C108" i="165"/>
  <c r="J128" i="99"/>
  <c r="D16" i="107"/>
  <c r="D4" i="107"/>
  <c r="B96" i="115"/>
  <c r="D96" i="115" s="1"/>
  <c r="H211" i="99"/>
  <c r="E51" i="58"/>
  <c r="U42" i="165"/>
  <c r="V42" i="165" s="1"/>
  <c r="C110" i="165"/>
  <c r="D10" i="150"/>
  <c r="D8" i="150" s="1"/>
  <c r="D45" i="134"/>
  <c r="D10" i="130"/>
  <c r="D8" i="130" s="1"/>
  <c r="C44" i="150"/>
  <c r="C47" i="150"/>
  <c r="D84" i="107"/>
  <c r="D56" i="107"/>
  <c r="D68" i="107" s="1"/>
  <c r="D10" i="182" s="1"/>
  <c r="E10" i="182" s="1"/>
  <c r="D39" i="107"/>
  <c r="D5" i="164" s="1"/>
  <c r="D14" i="164" s="1"/>
  <c r="B146" i="107"/>
  <c r="D44" i="58"/>
  <c r="G125" i="99" l="1"/>
  <c r="G238" i="105"/>
  <c r="H253" i="99"/>
  <c r="G30" i="138"/>
  <c r="G25" i="138"/>
  <c r="H31" i="153"/>
  <c r="H22" i="153"/>
  <c r="D54" i="93"/>
  <c r="D67" i="58"/>
  <c r="Y7" i="165"/>
  <c r="T7" i="165"/>
  <c r="E255" i="105"/>
  <c r="C33" i="107"/>
  <c r="D28" i="115"/>
  <c r="G21" i="138"/>
  <c r="Q72" i="115"/>
  <c r="G215" i="99"/>
  <c r="Q248" i="99"/>
  <c r="Q249" i="99" s="1"/>
  <c r="E19" i="169"/>
  <c r="E19" i="172" s="1"/>
  <c r="F19" i="172" s="1"/>
  <c r="J30" i="138"/>
  <c r="K27" i="153"/>
  <c r="F18" i="164"/>
  <c r="F17" i="164"/>
  <c r="H27" i="153"/>
  <c r="G7" i="164"/>
  <c r="G16" i="164" s="1"/>
  <c r="J27" i="153"/>
  <c r="I30" i="138"/>
  <c r="N248" i="99"/>
  <c r="N249" i="99" s="1"/>
  <c r="E14" i="169"/>
  <c r="L10" i="167"/>
  <c r="G141" i="167"/>
  <c r="F115" i="107"/>
  <c r="F127" i="107" s="1"/>
  <c r="F98" i="107"/>
  <c r="K10" i="167"/>
  <c r="F141" i="167"/>
  <c r="G34" i="138"/>
  <c r="G98" i="107"/>
  <c r="G115" i="107"/>
  <c r="G127" i="107" s="1"/>
  <c r="J236" i="105"/>
  <c r="I235" i="105" s="1"/>
  <c r="D10" i="168"/>
  <c r="B27" i="115"/>
  <c r="N28" i="115"/>
  <c r="E125" i="99"/>
  <c r="D15" i="189" s="1"/>
  <c r="E128" i="105"/>
  <c r="G218" i="105"/>
  <c r="G227" i="105" s="1"/>
  <c r="G224" i="105"/>
  <c r="E215" i="105"/>
  <c r="D17" i="189" s="1"/>
  <c r="D26" i="189" s="1"/>
  <c r="H218" i="105"/>
  <c r="H227" i="105" s="1"/>
  <c r="F11" i="169" s="1"/>
  <c r="H224" i="105"/>
  <c r="H250" i="105" s="1"/>
  <c r="H251" i="105" s="1"/>
  <c r="D48" i="151"/>
  <c r="J224" i="99"/>
  <c r="D10" i="167" s="1"/>
  <c r="J218" i="99"/>
  <c r="J227" i="99" s="1"/>
  <c r="H215" i="99"/>
  <c r="F13" i="189" s="1"/>
  <c r="F25" i="189" s="1"/>
  <c r="F24" i="128"/>
  <c r="F25" i="128" s="1"/>
  <c r="C25" i="128"/>
  <c r="J24" i="128"/>
  <c r="D96" i="107"/>
  <c r="D113" i="107"/>
  <c r="D125" i="107" s="1"/>
  <c r="D16" i="138"/>
  <c r="H128" i="99"/>
  <c r="E13" i="153"/>
  <c r="B24" i="163"/>
  <c r="B45" i="163" s="1"/>
  <c r="B42" i="163" s="1"/>
  <c r="M27" i="115"/>
  <c r="C27" i="115" s="1"/>
  <c r="E122" i="99"/>
  <c r="U121" i="99"/>
  <c r="C15" i="128"/>
  <c r="J15" i="128" s="1"/>
  <c r="J14" i="128"/>
  <c r="H146" i="107"/>
  <c r="B175" i="107"/>
  <c r="B177" i="107" s="1"/>
  <c r="C48" i="130"/>
  <c r="C48" i="150"/>
  <c r="D49" i="151" s="1"/>
  <c r="C39" i="107"/>
  <c r="C5" i="164" s="1"/>
  <c r="C14" i="164" s="1"/>
  <c r="C56" i="107"/>
  <c r="C84" i="107"/>
  <c r="F15" i="128"/>
  <c r="F16" i="128" s="1"/>
  <c r="F18" i="128" s="1"/>
  <c r="H212" i="99"/>
  <c r="H221" i="99" s="1"/>
  <c r="H220" i="99"/>
  <c r="B19" i="146"/>
  <c r="T211" i="99"/>
  <c r="E211" i="99"/>
  <c r="H39" i="107"/>
  <c r="D51" i="58"/>
  <c r="B95" i="115"/>
  <c r="D95" i="115" s="1"/>
  <c r="Q89" i="115"/>
  <c r="E73" i="115"/>
  <c r="C7" i="146"/>
  <c r="J245" i="105" l="1"/>
  <c r="H245" i="105" s="1"/>
  <c r="D27" i="115"/>
  <c r="E253" i="99"/>
  <c r="C29" i="107"/>
  <c r="E14" i="172"/>
  <c r="F14" i="172" s="1"/>
  <c r="H14" i="172" s="1"/>
  <c r="H14" i="169"/>
  <c r="G18" i="164"/>
  <c r="G17" i="164"/>
  <c r="N27" i="115"/>
  <c r="E11" i="169"/>
  <c r="E218" i="105"/>
  <c r="E227" i="105" s="1"/>
  <c r="E224" i="105"/>
  <c r="E250" i="105" s="1"/>
  <c r="E251" i="105" s="1"/>
  <c r="E89" i="115"/>
  <c r="F13" i="153"/>
  <c r="F9" i="153" s="1"/>
  <c r="E16" i="138"/>
  <c r="E12" i="138" s="1"/>
  <c r="J16" i="128"/>
  <c r="J18" i="128" s="1"/>
  <c r="J19" i="128" s="1"/>
  <c r="C49" i="150"/>
  <c r="D50" i="151" s="1"/>
  <c r="C68" i="107"/>
  <c r="J56" i="107"/>
  <c r="K56" i="107" s="1"/>
  <c r="B178" i="107"/>
  <c r="E9" i="153"/>
  <c r="D14" i="136"/>
  <c r="I14" i="136" s="1"/>
  <c r="D14" i="140"/>
  <c r="C16" i="128"/>
  <c r="C18" i="128" s="1"/>
  <c r="C6" i="146"/>
  <c r="C19" i="146" s="1"/>
  <c r="D58" i="107"/>
  <c r="D70" i="107" s="1"/>
  <c r="D146" i="107"/>
  <c r="D175" i="107" s="1"/>
  <c r="D177" i="107" s="1"/>
  <c r="D86" i="107"/>
  <c r="D41" i="107"/>
  <c r="D7" i="164" s="1"/>
  <c r="D16" i="164" s="1"/>
  <c r="J25" i="128"/>
  <c r="C26" i="128"/>
  <c r="J26" i="128" s="1"/>
  <c r="H224" i="99"/>
  <c r="H248" i="99" s="1"/>
  <c r="H249" i="99" s="1"/>
  <c r="H218" i="99"/>
  <c r="H227" i="99" s="1"/>
  <c r="F9" i="169" s="1"/>
  <c r="G236" i="105"/>
  <c r="F235" i="105" s="1"/>
  <c r="G128" i="99"/>
  <c r="W125" i="99"/>
  <c r="E220" i="99"/>
  <c r="I39" i="107" s="1"/>
  <c r="E212" i="99"/>
  <c r="E221" i="99" s="1"/>
  <c r="C96" i="107"/>
  <c r="C113" i="107"/>
  <c r="C125" i="107" s="1"/>
  <c r="C49" i="130"/>
  <c r="D12" i="138"/>
  <c r="F26" i="128"/>
  <c r="F27" i="128" s="1"/>
  <c r="F29" i="128" s="1"/>
  <c r="E9" i="169" l="1"/>
  <c r="H9" i="169" s="1"/>
  <c r="H9" i="153"/>
  <c r="H13" i="153"/>
  <c r="J27" i="128"/>
  <c r="J29" i="128" s="1"/>
  <c r="J30" i="128" s="1"/>
  <c r="C27" i="128"/>
  <c r="C29" i="128" s="1"/>
  <c r="D17" i="164"/>
  <c r="D18" i="164"/>
  <c r="H178" i="107"/>
  <c r="H11" i="147" s="1"/>
  <c r="B11" i="147"/>
  <c r="G16" i="138"/>
  <c r="I10" i="167"/>
  <c r="D141" i="167"/>
  <c r="E128" i="99"/>
  <c r="J68" i="107"/>
  <c r="K68" i="107" s="1"/>
  <c r="D9" i="182"/>
  <c r="E9" i="182" s="1"/>
  <c r="J9" i="182" s="1"/>
  <c r="E14" i="182" s="1"/>
  <c r="Q88" i="115"/>
  <c r="E72" i="115"/>
  <c r="D178" i="107"/>
  <c r="D11" i="147" s="1"/>
  <c r="G218" i="99"/>
  <c r="G227" i="99" s="1"/>
  <c r="G224" i="99"/>
  <c r="G245" i="105" s="1"/>
  <c r="E245" i="105" s="1"/>
  <c r="E215" i="99"/>
  <c r="D13" i="189" s="1"/>
  <c r="D25" i="189" s="1"/>
  <c r="D98" i="107"/>
  <c r="D115" i="107"/>
  <c r="D127" i="107" s="1"/>
  <c r="G12" i="138"/>
  <c r="E88" i="115" l="1"/>
  <c r="C86" i="107"/>
  <c r="C41" i="107"/>
  <c r="C7" i="164" s="1"/>
  <c r="C16" i="164" s="1"/>
  <c r="C58" i="107"/>
  <c r="E218" i="99"/>
  <c r="E227" i="99" s="1"/>
  <c r="E224" i="99"/>
  <c r="E248" i="99" s="1"/>
  <c r="I4" i="149"/>
  <c r="I8" i="149"/>
  <c r="I41" i="107" l="1"/>
  <c r="C70" i="107"/>
  <c r="J70" i="107" s="1"/>
  <c r="K70" i="107" s="1"/>
  <c r="J58" i="107"/>
  <c r="K58" i="107" s="1"/>
  <c r="I13" i="149"/>
  <c r="J13" i="149" s="1"/>
  <c r="I15" i="149"/>
  <c r="J15" i="149" s="1"/>
  <c r="I12" i="149"/>
  <c r="J12" i="149" s="1"/>
  <c r="I11" i="149"/>
  <c r="J11" i="149" s="1"/>
  <c r="I24" i="149"/>
  <c r="I17" i="149"/>
  <c r="J17" i="149" s="1"/>
  <c r="I9" i="149"/>
  <c r="I40" i="149"/>
  <c r="I18" i="149"/>
  <c r="J18" i="149" s="1"/>
  <c r="I20" i="149"/>
  <c r="J20" i="149" s="1"/>
  <c r="I14" i="149"/>
  <c r="J14" i="149" s="1"/>
  <c r="I16" i="149"/>
  <c r="J16" i="149" s="1"/>
  <c r="I10" i="149"/>
  <c r="J10" i="149" s="1"/>
  <c r="I19" i="149"/>
  <c r="J19" i="149" s="1"/>
  <c r="C98" i="107"/>
  <c r="C115" i="107"/>
  <c r="C127" i="107" s="1"/>
  <c r="C17" i="164"/>
  <c r="C18" i="164"/>
  <c r="I21" i="149" l="1"/>
  <c r="J21" i="149" s="1"/>
  <c r="K21" i="149" s="1"/>
  <c r="J9" i="149"/>
  <c r="I27" i="149"/>
  <c r="J27" i="149" s="1"/>
  <c r="I26" i="149"/>
  <c r="J26" i="149" s="1"/>
  <c r="I25" i="149"/>
  <c r="I36" i="149"/>
  <c r="J36" i="149" s="1"/>
  <c r="I34" i="149"/>
  <c r="J34" i="149" s="1"/>
  <c r="I32" i="149"/>
  <c r="J32" i="149" s="1"/>
  <c r="I28" i="149"/>
  <c r="J28" i="149" s="1"/>
  <c r="I30" i="149"/>
  <c r="J30" i="149" s="1"/>
  <c r="I31" i="149"/>
  <c r="J31" i="149" s="1"/>
  <c r="I29" i="149"/>
  <c r="J29" i="149" s="1"/>
  <c r="I35" i="149"/>
  <c r="J35" i="149" s="1"/>
  <c r="I33" i="149"/>
  <c r="J33" i="149" s="1"/>
  <c r="I49" i="149"/>
  <c r="J49" i="149" s="1"/>
  <c r="I44" i="149"/>
  <c r="J44" i="149" s="1"/>
  <c r="I47" i="149"/>
  <c r="J47" i="149" s="1"/>
  <c r="I46" i="149"/>
  <c r="J46" i="149" s="1"/>
  <c r="I42" i="149"/>
  <c r="J42" i="149" s="1"/>
  <c r="I51" i="149"/>
  <c r="J51" i="149" s="1"/>
  <c r="I41" i="149"/>
  <c r="I50" i="149"/>
  <c r="J50" i="149" s="1"/>
  <c r="I43" i="149"/>
  <c r="J43" i="149" s="1"/>
  <c r="I45" i="149"/>
  <c r="J45" i="149" s="1"/>
  <c r="I48" i="149"/>
  <c r="J48" i="149" s="1"/>
  <c r="I52" i="149"/>
  <c r="J52" i="149" s="1"/>
  <c r="I53" i="149" l="1"/>
  <c r="J41" i="149"/>
  <c r="J53" i="149" s="1"/>
  <c r="K53" i="149" s="1"/>
  <c r="I37" i="149"/>
  <c r="J25" i="149"/>
  <c r="J37" i="149" s="1"/>
  <c r="K37" i="149" s="1"/>
  <c r="P9" i="114"/>
  <c r="T119" i="105"/>
  <c r="U119" i="105" s="1"/>
  <c r="C74" i="166"/>
  <c r="H43" i="171"/>
  <c r="I43" i="171" s="1"/>
  <c r="E43" i="171" s="1"/>
  <c r="G41" i="92"/>
  <c r="H40" i="171" s="1"/>
  <c r="U74" i="166" l="1"/>
  <c r="C119" i="166"/>
  <c r="C120" i="166" s="1"/>
  <c r="Q44" i="92"/>
  <c r="AA44" i="92" s="1"/>
  <c r="T9" i="114"/>
  <c r="D39" i="133"/>
  <c r="D43" i="131" s="1"/>
  <c r="Q9" i="114"/>
  <c r="P44" i="92"/>
  <c r="Z44" i="92" s="1"/>
  <c r="S9" i="114"/>
  <c r="O44" i="92"/>
  <c r="E74" i="166" s="1"/>
  <c r="E119" i="166" s="1"/>
  <c r="E120" i="166" s="1"/>
  <c r="R9" i="114"/>
  <c r="N44" i="92"/>
  <c r="D74" i="166" s="1"/>
  <c r="D119" i="166" s="1"/>
  <c r="D120" i="166" s="1"/>
  <c r="H41" i="92"/>
  <c r="I41" i="92"/>
  <c r="E37" i="133" s="1"/>
  <c r="I40" i="171"/>
  <c r="E40" i="171" s="1"/>
  <c r="D40" i="171"/>
  <c r="T40" i="171" s="1"/>
  <c r="U40" i="171" s="1"/>
  <c r="P6" i="114"/>
  <c r="J41" i="92"/>
  <c r="S6" i="114" s="1"/>
  <c r="K41" i="92"/>
  <c r="T6" i="114" s="1"/>
  <c r="G39" i="133"/>
  <c r="T116" i="105"/>
  <c r="C72" i="166"/>
  <c r="U72" i="166" s="1"/>
  <c r="P30" i="114"/>
  <c r="J9" i="114"/>
  <c r="G40" i="92"/>
  <c r="E39" i="133"/>
  <c r="D43" i="171"/>
  <c r="T43" i="171" s="1"/>
  <c r="U43" i="171" s="1"/>
  <c r="F39" i="133"/>
  <c r="D43" i="151" l="1"/>
  <c r="O41" i="92"/>
  <c r="Y41" i="92" s="1"/>
  <c r="F74" i="166"/>
  <c r="F119" i="166" s="1"/>
  <c r="F120" i="166" s="1"/>
  <c r="G74" i="166"/>
  <c r="G119" i="166" s="1"/>
  <c r="G120" i="166" s="1"/>
  <c r="H40" i="92"/>
  <c r="D36" i="133" s="1"/>
  <c r="D40" i="151" s="1"/>
  <c r="Q6" i="114"/>
  <c r="I40" i="92"/>
  <c r="I39" i="92" s="1"/>
  <c r="F17" i="93" s="1"/>
  <c r="R6" i="114"/>
  <c r="Y44" i="92"/>
  <c r="X44" i="92"/>
  <c r="D37" i="133"/>
  <c r="D41" i="151" s="1"/>
  <c r="D97" i="142"/>
  <c r="N41" i="92"/>
  <c r="D72" i="166" s="1"/>
  <c r="J6" i="114"/>
  <c r="P27" i="114"/>
  <c r="E43" i="131"/>
  <c r="E43" i="151"/>
  <c r="F37" i="133"/>
  <c r="P41" i="92"/>
  <c r="J40" i="92"/>
  <c r="S5" i="114" s="1"/>
  <c r="F43" i="131"/>
  <c r="F43" i="151"/>
  <c r="G37" i="133"/>
  <c r="K40" i="92"/>
  <c r="T5" i="114" s="1"/>
  <c r="Q41" i="92"/>
  <c r="T115" i="105"/>
  <c r="C71" i="166"/>
  <c r="C116" i="166" s="1"/>
  <c r="C117" i="166" s="1"/>
  <c r="C121" i="166" s="1"/>
  <c r="H39" i="171"/>
  <c r="P5" i="114"/>
  <c r="G39" i="92"/>
  <c r="V74" i="166"/>
  <c r="E41" i="151"/>
  <c r="E41" i="131"/>
  <c r="J30" i="114"/>
  <c r="D30" i="114" s="1"/>
  <c r="D9" i="114"/>
  <c r="G43" i="131"/>
  <c r="G43" i="151"/>
  <c r="AA116" i="105"/>
  <c r="C37" i="133"/>
  <c r="U116" i="105"/>
  <c r="E13" i="107"/>
  <c r="G13" i="107" s="1"/>
  <c r="C104" i="145"/>
  <c r="V116" i="105"/>
  <c r="E97" i="137"/>
  <c r="E95" i="168"/>
  <c r="E97" i="142"/>
  <c r="L40" i="92" l="1"/>
  <c r="D17" i="93"/>
  <c r="H39" i="92"/>
  <c r="E72" i="166"/>
  <c r="W74" i="166"/>
  <c r="D41" i="131"/>
  <c r="X41" i="92"/>
  <c r="N40" i="92"/>
  <c r="Q5" i="114"/>
  <c r="H65" i="115"/>
  <c r="H105" i="115" s="1"/>
  <c r="R4" i="114"/>
  <c r="O40" i="92"/>
  <c r="R5" i="114"/>
  <c r="E36" i="133"/>
  <c r="H64" i="115"/>
  <c r="H104" i="115" s="1"/>
  <c r="I45" i="92"/>
  <c r="I46" i="92" s="1"/>
  <c r="K121" i="105" s="1"/>
  <c r="K122" i="105" s="1"/>
  <c r="F25" i="93"/>
  <c r="O39" i="92"/>
  <c r="Y39" i="92" s="1"/>
  <c r="D95" i="168"/>
  <c r="D40" i="131"/>
  <c r="D35" i="133"/>
  <c r="D7" i="133" s="1"/>
  <c r="D10" i="131" s="1"/>
  <c r="D8" i="131" s="1"/>
  <c r="D97" i="137"/>
  <c r="D39" i="151"/>
  <c r="D44" i="151" s="1"/>
  <c r="P26" i="114"/>
  <c r="J5" i="114"/>
  <c r="V72" i="166"/>
  <c r="L39" i="92"/>
  <c r="H63" i="115"/>
  <c r="H103" i="115" s="1"/>
  <c r="H38" i="171"/>
  <c r="T114" i="105"/>
  <c r="P4" i="114"/>
  <c r="G45" i="92"/>
  <c r="J2" i="109" s="1"/>
  <c r="AA41" i="92"/>
  <c r="G72" i="166"/>
  <c r="F97" i="137"/>
  <c r="F97" i="142"/>
  <c r="F95" i="168"/>
  <c r="E94" i="168"/>
  <c r="E96" i="142"/>
  <c r="E96" i="137"/>
  <c r="Q40" i="92"/>
  <c r="G36" i="133"/>
  <c r="K39" i="92"/>
  <c r="C103" i="145"/>
  <c r="V115" i="105"/>
  <c r="E12" i="107"/>
  <c r="AA115" i="105"/>
  <c r="U115" i="105"/>
  <c r="C36" i="133"/>
  <c r="C70" i="166"/>
  <c r="U71" i="166"/>
  <c r="G41" i="151"/>
  <c r="G41" i="131"/>
  <c r="P40" i="92"/>
  <c r="F36" i="133"/>
  <c r="J39" i="92"/>
  <c r="J27" i="114"/>
  <c r="D27" i="114" s="1"/>
  <c r="D6" i="114"/>
  <c r="Z41" i="92"/>
  <c r="F72" i="166"/>
  <c r="C41" i="151"/>
  <c r="C41" i="131"/>
  <c r="C49" i="146"/>
  <c r="F49" i="146" s="1"/>
  <c r="M49" i="146" s="1"/>
  <c r="D39" i="171"/>
  <c r="T39" i="171" s="1"/>
  <c r="U39" i="171" s="1"/>
  <c r="I39" i="171"/>
  <c r="E39" i="171" s="1"/>
  <c r="G97" i="142"/>
  <c r="G95" i="168"/>
  <c r="G97" i="137"/>
  <c r="F41" i="131"/>
  <c r="F41" i="151"/>
  <c r="T4" i="114" l="1"/>
  <c r="H17" i="93"/>
  <c r="S4" i="114"/>
  <c r="G17" i="93"/>
  <c r="U70" i="166"/>
  <c r="C115" i="166"/>
  <c r="H45" i="92"/>
  <c r="B26" i="163" s="1"/>
  <c r="E17" i="93"/>
  <c r="K64" i="115"/>
  <c r="P64" i="115" s="1"/>
  <c r="P104" i="115" s="1"/>
  <c r="K65" i="115"/>
  <c r="P65" i="115" s="1"/>
  <c r="P105" i="115" s="1"/>
  <c r="N39" i="92"/>
  <c r="X39" i="92" s="1"/>
  <c r="E25" i="93"/>
  <c r="E22" i="93" s="1"/>
  <c r="Q4" i="114"/>
  <c r="D10" i="151"/>
  <c r="D8" i="151" s="1"/>
  <c r="F42" i="93"/>
  <c r="F29" i="93"/>
  <c r="F33" i="93" s="1"/>
  <c r="F30" i="93" s="1"/>
  <c r="F68" i="58" s="1"/>
  <c r="F69" i="58" s="1"/>
  <c r="F14" i="93"/>
  <c r="O45" i="92"/>
  <c r="Y45" i="92" s="1"/>
  <c r="H46" i="92"/>
  <c r="H121" i="105" s="1"/>
  <c r="H122" i="105" s="1"/>
  <c r="C26" i="163"/>
  <c r="C27" i="163" s="1"/>
  <c r="C47" i="163" s="1"/>
  <c r="C46" i="163" s="1"/>
  <c r="C52" i="163" s="1"/>
  <c r="D39" i="131"/>
  <c r="D44" i="131" s="1"/>
  <c r="E40" i="151"/>
  <c r="E39" i="151" s="1"/>
  <c r="E44" i="151" s="1"/>
  <c r="E40" i="131"/>
  <c r="E39" i="131" s="1"/>
  <c r="E44" i="131" s="1"/>
  <c r="E35" i="133"/>
  <c r="E7" i="133" s="1"/>
  <c r="X40" i="92"/>
  <c r="D71" i="166"/>
  <c r="Y40" i="92"/>
  <c r="E71" i="166"/>
  <c r="E116" i="166" s="1"/>
  <c r="E117" i="166" s="1"/>
  <c r="E121" i="166" s="1"/>
  <c r="E70" i="166"/>
  <c r="E115" i="166" s="1"/>
  <c r="D96" i="142"/>
  <c r="D95" i="142"/>
  <c r="D96" i="137"/>
  <c r="W72" i="166"/>
  <c r="D94" i="168"/>
  <c r="C35" i="133"/>
  <c r="C40" i="151"/>
  <c r="C39" i="151" s="1"/>
  <c r="C40" i="131"/>
  <c r="C39" i="131" s="1"/>
  <c r="E95" i="142"/>
  <c r="E93" i="168"/>
  <c r="E95" i="137"/>
  <c r="I65" i="115"/>
  <c r="I105" i="115" s="1"/>
  <c r="D5" i="114"/>
  <c r="J26" i="114"/>
  <c r="D26" i="114" s="1"/>
  <c r="F71" i="166"/>
  <c r="F116" i="166" s="1"/>
  <c r="F117" i="166" s="1"/>
  <c r="F121" i="166" s="1"/>
  <c r="Z40" i="92"/>
  <c r="F96" i="142"/>
  <c r="F96" i="137"/>
  <c r="F94" i="168"/>
  <c r="E42" i="166"/>
  <c r="E7" i="166" s="1"/>
  <c r="O29" i="115"/>
  <c r="I56" i="171"/>
  <c r="G56" i="171" s="1"/>
  <c r="E56" i="171" s="1"/>
  <c r="T56" i="171" s="1"/>
  <c r="U56" i="171" s="1"/>
  <c r="P25" i="114"/>
  <c r="J4" i="114"/>
  <c r="O28" i="115"/>
  <c r="G94" i="168"/>
  <c r="G96" i="142"/>
  <c r="G96" i="137"/>
  <c r="G71" i="166"/>
  <c r="G116" i="166" s="1"/>
  <c r="G117" i="166" s="1"/>
  <c r="G121" i="166" s="1"/>
  <c r="AA40" i="92"/>
  <c r="L45" i="92"/>
  <c r="T210" i="105"/>
  <c r="C42" i="166"/>
  <c r="G46" i="92"/>
  <c r="E121" i="105" s="1"/>
  <c r="E122" i="105" s="1"/>
  <c r="T120" i="105"/>
  <c r="K63" i="115"/>
  <c r="H67" i="115"/>
  <c r="H107" i="115" s="1"/>
  <c r="K45" i="92"/>
  <c r="Q39" i="92"/>
  <c r="C48" i="146"/>
  <c r="F48" i="146" s="1"/>
  <c r="M48" i="146" s="1"/>
  <c r="F40" i="151"/>
  <c r="F39" i="151" s="1"/>
  <c r="F44" i="151" s="1"/>
  <c r="F40" i="131"/>
  <c r="F39" i="131" s="1"/>
  <c r="F44" i="131" s="1"/>
  <c r="F35" i="133"/>
  <c r="F7" i="133" s="1"/>
  <c r="F44" i="93"/>
  <c r="F22" i="93"/>
  <c r="U114" i="105"/>
  <c r="C102" i="145"/>
  <c r="AA114" i="105"/>
  <c r="V114" i="105"/>
  <c r="H66" i="115"/>
  <c r="H106" i="115" s="1"/>
  <c r="J45" i="92"/>
  <c r="P39" i="92"/>
  <c r="G12" i="107"/>
  <c r="J5" i="107" s="1"/>
  <c r="E11" i="107"/>
  <c r="G40" i="131"/>
  <c r="G39" i="131" s="1"/>
  <c r="G44" i="131" s="1"/>
  <c r="G40" i="151"/>
  <c r="G39" i="151" s="1"/>
  <c r="G44" i="151" s="1"/>
  <c r="G35" i="133"/>
  <c r="G7" i="133" s="1"/>
  <c r="D42" i="93"/>
  <c r="D25" i="93"/>
  <c r="D14" i="93"/>
  <c r="D13" i="128"/>
  <c r="H44" i="171"/>
  <c r="D38" i="171"/>
  <c r="T38" i="171" s="1"/>
  <c r="U38" i="171" s="1"/>
  <c r="I38" i="171"/>
  <c r="E38" i="171" s="1"/>
  <c r="B53" i="163"/>
  <c r="B25" i="163"/>
  <c r="B27" i="163"/>
  <c r="B47" i="163" s="1"/>
  <c r="B46" i="163" s="1"/>
  <c r="B52" i="163" s="1"/>
  <c r="F26" i="93" l="1"/>
  <c r="F53" i="93" s="1"/>
  <c r="F55" i="93" s="1"/>
  <c r="K244" i="105" s="1"/>
  <c r="N45" i="92"/>
  <c r="X45" i="92" s="1"/>
  <c r="K246" i="105"/>
  <c r="V71" i="166"/>
  <c r="D116" i="166"/>
  <c r="D117" i="166" s="1"/>
  <c r="D121" i="166" s="1"/>
  <c r="E31" i="107"/>
  <c r="B156" i="107" s="1"/>
  <c r="B214" i="107" s="1"/>
  <c r="B216" i="107" s="1"/>
  <c r="G11" i="189"/>
  <c r="K211" i="105"/>
  <c r="K220" i="105" s="1"/>
  <c r="K221" i="105" s="1"/>
  <c r="G9" i="189"/>
  <c r="G24" i="189" s="1"/>
  <c r="H211" i="105"/>
  <c r="H212" i="105" s="1"/>
  <c r="H221" i="105" s="1"/>
  <c r="E9" i="189"/>
  <c r="E24" i="189" s="1"/>
  <c r="C31" i="107"/>
  <c r="C88" i="107" s="1"/>
  <c r="C11" i="189"/>
  <c r="E28" i="115"/>
  <c r="E29" i="115"/>
  <c r="E14" i="93"/>
  <c r="C53" i="163"/>
  <c r="J105" i="115"/>
  <c r="D70" i="166"/>
  <c r="E42" i="93"/>
  <c r="E29" i="93"/>
  <c r="I55" i="171"/>
  <c r="E55" i="171" s="1"/>
  <c r="T55" i="171" s="1"/>
  <c r="U55" i="171" s="1"/>
  <c r="D42" i="166"/>
  <c r="C25" i="163"/>
  <c r="E10" i="151"/>
  <c r="E8" i="151" s="1"/>
  <c r="E10" i="131"/>
  <c r="E8" i="131" s="1"/>
  <c r="D66" i="137"/>
  <c r="D140" i="137" s="1"/>
  <c r="I64" i="115"/>
  <c r="I104" i="115" s="1"/>
  <c r="E44" i="93"/>
  <c r="D93" i="168"/>
  <c r="D95" i="137"/>
  <c r="H68" i="115"/>
  <c r="W71" i="166"/>
  <c r="Z39" i="92"/>
  <c r="F70" i="166"/>
  <c r="F115" i="166" s="1"/>
  <c r="V120" i="105"/>
  <c r="C43" i="133"/>
  <c r="C108" i="145"/>
  <c r="C41" i="164"/>
  <c r="U120" i="105"/>
  <c r="G42" i="93"/>
  <c r="G29" i="93"/>
  <c r="G14" i="93"/>
  <c r="G25" i="93"/>
  <c r="G70" i="166"/>
  <c r="G115" i="166" s="1"/>
  <c r="AA39" i="92"/>
  <c r="O27" i="115"/>
  <c r="E27" i="115" s="1"/>
  <c r="T121" i="105"/>
  <c r="I54" i="171"/>
  <c r="E54" i="171" s="1"/>
  <c r="T54" i="171" s="1"/>
  <c r="U54" i="171" s="1"/>
  <c r="G95" i="137"/>
  <c r="G93" i="168"/>
  <c r="I67" i="115"/>
  <c r="I107" i="115" s="1"/>
  <c r="G95" i="142"/>
  <c r="P29" i="115"/>
  <c r="F29" i="115" s="1"/>
  <c r="L65" i="115"/>
  <c r="J65" i="115"/>
  <c r="C42" i="133"/>
  <c r="C7" i="133"/>
  <c r="K66" i="115"/>
  <c r="E51" i="93"/>
  <c r="E96" i="115"/>
  <c r="G96" i="115" s="1"/>
  <c r="K67" i="115"/>
  <c r="F95" i="137"/>
  <c r="I66" i="115"/>
  <c r="I106" i="115" s="1"/>
  <c r="F93" i="168"/>
  <c r="F95" i="142"/>
  <c r="E66" i="137"/>
  <c r="E140" i="137" s="1"/>
  <c r="E66" i="142"/>
  <c r="E64" i="168"/>
  <c r="C44" i="151"/>
  <c r="C48" i="151"/>
  <c r="E16" i="107"/>
  <c r="G11" i="107"/>
  <c r="E4" i="107"/>
  <c r="I63" i="115"/>
  <c r="I103" i="115" s="1"/>
  <c r="C47" i="146"/>
  <c r="D4" i="114"/>
  <c r="J25" i="114"/>
  <c r="D25" i="114" s="1"/>
  <c r="D22" i="93"/>
  <c r="D44" i="93"/>
  <c r="F51" i="93"/>
  <c r="E97" i="115"/>
  <c r="G97" i="115" s="1"/>
  <c r="D14" i="128"/>
  <c r="K13" i="128"/>
  <c r="G13" i="128"/>
  <c r="G14" i="128" s="1"/>
  <c r="D24" i="128"/>
  <c r="G10" i="131"/>
  <c r="G8" i="131" s="1"/>
  <c r="G10" i="151"/>
  <c r="G8" i="151" s="1"/>
  <c r="P45" i="92"/>
  <c r="Z45" i="92" s="1"/>
  <c r="D26" i="163"/>
  <c r="J46" i="92"/>
  <c r="N121" i="105" s="1"/>
  <c r="N122" i="105" s="1"/>
  <c r="F10" i="131"/>
  <c r="F8" i="131" s="1"/>
  <c r="F10" i="151"/>
  <c r="F8" i="151" s="1"/>
  <c r="H42" i="93"/>
  <c r="H29" i="93"/>
  <c r="H25" i="93"/>
  <c r="H14" i="93"/>
  <c r="P63" i="115"/>
  <c r="P103" i="115" s="1"/>
  <c r="E110" i="166"/>
  <c r="D27" i="158"/>
  <c r="D29" i="158" s="1"/>
  <c r="D30" i="158" s="1"/>
  <c r="C44" i="131"/>
  <c r="C48" i="131"/>
  <c r="U210" i="105"/>
  <c r="D44" i="171"/>
  <c r="T44" i="171" s="1"/>
  <c r="U44" i="171" s="1"/>
  <c r="I44" i="171"/>
  <c r="Q45" i="92"/>
  <c r="AA45" i="92" s="1"/>
  <c r="E26" i="163"/>
  <c r="K46" i="92"/>
  <c r="Q121" i="105" s="1"/>
  <c r="Q122" i="105" s="1"/>
  <c r="U42" i="166"/>
  <c r="V42" i="166" s="1"/>
  <c r="C110" i="166"/>
  <c r="P28" i="115"/>
  <c r="F28" i="115" s="1"/>
  <c r="D7" i="166" l="1"/>
  <c r="C27" i="158" s="1"/>
  <c r="C29" i="158" s="1"/>
  <c r="C30" i="158" s="1"/>
  <c r="J64" i="115"/>
  <c r="V70" i="166"/>
  <c r="D115" i="166"/>
  <c r="D110" i="166"/>
  <c r="G31" i="107"/>
  <c r="B158" i="107" s="1"/>
  <c r="K11" i="189"/>
  <c r="F31" i="107"/>
  <c r="F43" i="107" s="1"/>
  <c r="F21" i="164" s="1"/>
  <c r="F30" i="164" s="1"/>
  <c r="I11" i="189"/>
  <c r="K212" i="105"/>
  <c r="H156" i="107"/>
  <c r="E43" i="107"/>
  <c r="E21" i="164" s="1"/>
  <c r="E30" i="164" s="1"/>
  <c r="E37" i="164" s="1"/>
  <c r="E88" i="107"/>
  <c r="E100" i="107" s="1"/>
  <c r="E60" i="107"/>
  <c r="E72" i="107" s="1"/>
  <c r="H11" i="182" s="1"/>
  <c r="I11" i="182" s="1"/>
  <c r="D31" i="107"/>
  <c r="D60" i="107" s="1"/>
  <c r="D72" i="107" s="1"/>
  <c r="H10" i="182" s="1"/>
  <c r="I10" i="182" s="1"/>
  <c r="E11" i="189"/>
  <c r="H220" i="105"/>
  <c r="C43" i="107"/>
  <c r="C21" i="164" s="1"/>
  <c r="C30" i="164" s="1"/>
  <c r="C37" i="164" s="1"/>
  <c r="C60" i="107"/>
  <c r="C72" i="107" s="1"/>
  <c r="E211" i="105"/>
  <c r="E220" i="105" s="1"/>
  <c r="C9" i="189"/>
  <c r="C24" i="189" s="1"/>
  <c r="I6" i="166"/>
  <c r="Y7" i="166"/>
  <c r="J6" i="166"/>
  <c r="Z7" i="166"/>
  <c r="E117" i="107"/>
  <c r="E129" i="107" s="1"/>
  <c r="G28" i="115"/>
  <c r="G29" i="115"/>
  <c r="Q28" i="115"/>
  <c r="Q29" i="115"/>
  <c r="D88" i="107"/>
  <c r="J103" i="115"/>
  <c r="L66" i="115"/>
  <c r="Q66" i="115" s="1"/>
  <c r="Q106" i="115" s="1"/>
  <c r="J106" i="115"/>
  <c r="L67" i="115"/>
  <c r="Q67" i="115" s="1"/>
  <c r="Q107" i="115" s="1"/>
  <c r="J107" i="115"/>
  <c r="L64" i="115"/>
  <c r="M64" i="115" s="1"/>
  <c r="J104" i="115"/>
  <c r="M105" i="115"/>
  <c r="M104" i="115"/>
  <c r="E33" i="93"/>
  <c r="E30" i="93" s="1"/>
  <c r="E68" i="58" s="1"/>
  <c r="E69" i="58" s="1"/>
  <c r="E26" i="93"/>
  <c r="E53" i="93" s="1"/>
  <c r="E55" i="93" s="1"/>
  <c r="H244" i="105" s="1"/>
  <c r="J67" i="115"/>
  <c r="D66" i="142"/>
  <c r="D64" i="168"/>
  <c r="D138" i="168" s="1"/>
  <c r="K68" i="115"/>
  <c r="C117" i="107"/>
  <c r="C129" i="107" s="1"/>
  <c r="C100" i="107"/>
  <c r="H309" i="105"/>
  <c r="I48" i="171"/>
  <c r="E44" i="171"/>
  <c r="E48" i="171" s="1"/>
  <c r="T48" i="171" s="1"/>
  <c r="U48" i="171" s="1"/>
  <c r="H44" i="93"/>
  <c r="H22" i="93"/>
  <c r="J6" i="107"/>
  <c r="H16" i="107"/>
  <c r="G4" i="107"/>
  <c r="K309" i="105"/>
  <c r="W70" i="166"/>
  <c r="H33" i="93"/>
  <c r="H30" i="93" s="1"/>
  <c r="H68" i="58" s="1"/>
  <c r="H69" i="58" s="1"/>
  <c r="H26" i="93"/>
  <c r="H53" i="93" s="1"/>
  <c r="H55" i="93" s="1"/>
  <c r="Q244" i="105" s="1"/>
  <c r="F64" i="168"/>
  <c r="F66" i="137"/>
  <c r="F140" i="137" s="1"/>
  <c r="F66" i="142"/>
  <c r="G15" i="128"/>
  <c r="G16" i="128" s="1"/>
  <c r="G18" i="128" s="1"/>
  <c r="F47" i="146"/>
  <c r="C52" i="146"/>
  <c r="E48" i="151"/>
  <c r="P66" i="115"/>
  <c r="U121" i="105"/>
  <c r="C109" i="145"/>
  <c r="C110" i="145"/>
  <c r="P27" i="115"/>
  <c r="G26" i="93"/>
  <c r="G53" i="93" s="1"/>
  <c r="G55" i="93" s="1"/>
  <c r="N244" i="105" s="1"/>
  <c r="G33" i="93"/>
  <c r="G30" i="93" s="1"/>
  <c r="G68" i="58" s="1"/>
  <c r="G69" i="58" s="1"/>
  <c r="D29" i="93"/>
  <c r="O31" i="115"/>
  <c r="G42" i="166"/>
  <c r="G7" i="166" s="1"/>
  <c r="I58" i="171"/>
  <c r="E58" i="171" s="1"/>
  <c r="T58" i="171" s="1"/>
  <c r="U58" i="171" s="1"/>
  <c r="F42" i="166"/>
  <c r="F7" i="166" s="1"/>
  <c r="I57" i="171"/>
  <c r="E57" i="171" s="1"/>
  <c r="T57" i="171" s="1"/>
  <c r="U57" i="171" s="1"/>
  <c r="O30" i="115"/>
  <c r="K14" i="128"/>
  <c r="D15" i="128"/>
  <c r="K15" i="128" s="1"/>
  <c r="B20" i="146"/>
  <c r="G16" i="107"/>
  <c r="G44" i="93"/>
  <c r="G22" i="93"/>
  <c r="E95" i="115"/>
  <c r="G95" i="115" s="1"/>
  <c r="D51" i="93"/>
  <c r="T211" i="105"/>
  <c r="E25" i="163"/>
  <c r="E53" i="163"/>
  <c r="E27" i="163"/>
  <c r="E47" i="163" s="1"/>
  <c r="E46" i="163" s="1"/>
  <c r="E52" i="163" s="1"/>
  <c r="B217" i="107"/>
  <c r="D25" i="163"/>
  <c r="D27" i="163"/>
  <c r="D47" i="163" s="1"/>
  <c r="D46" i="163" s="1"/>
  <c r="D52" i="163" s="1"/>
  <c r="D53" i="163"/>
  <c r="K24" i="128"/>
  <c r="D25" i="128"/>
  <c r="G24" i="128"/>
  <c r="G25" i="128" s="1"/>
  <c r="D7" i="146"/>
  <c r="I68" i="115"/>
  <c r="L63" i="115"/>
  <c r="J63" i="115"/>
  <c r="J13" i="168"/>
  <c r="E138" i="168"/>
  <c r="P67" i="115"/>
  <c r="Q65" i="115"/>
  <c r="M65" i="115"/>
  <c r="G66" i="142"/>
  <c r="G64" i="168"/>
  <c r="G66" i="137"/>
  <c r="G140" i="137" s="1"/>
  <c r="C49" i="131"/>
  <c r="C51" i="131" s="1"/>
  <c r="C49" i="151"/>
  <c r="E49" i="151" s="1"/>
  <c r="J66" i="115"/>
  <c r="H246" i="105" l="1"/>
  <c r="Q246" i="105"/>
  <c r="N246" i="105"/>
  <c r="M67" i="115"/>
  <c r="G88" i="107"/>
  <c r="G117" i="107" s="1"/>
  <c r="G129" i="107" s="1"/>
  <c r="G60" i="107"/>
  <c r="G72" i="107" s="1"/>
  <c r="H13" i="182" s="1"/>
  <c r="I13" i="182" s="1"/>
  <c r="G43" i="107"/>
  <c r="G21" i="164" s="1"/>
  <c r="G30" i="164" s="1"/>
  <c r="B157" i="107"/>
  <c r="B194" i="107" s="1"/>
  <c r="B196" i="107" s="1"/>
  <c r="F88" i="107"/>
  <c r="F117" i="107" s="1"/>
  <c r="F129" i="107" s="1"/>
  <c r="F60" i="107"/>
  <c r="F72" i="107" s="1"/>
  <c r="H12" i="182" s="1"/>
  <c r="I12" i="182" s="1"/>
  <c r="D43" i="107"/>
  <c r="D21" i="164" s="1"/>
  <c r="D30" i="164" s="1"/>
  <c r="D37" i="164" s="1"/>
  <c r="B155" i="107"/>
  <c r="B181" i="107" s="1"/>
  <c r="N211" i="105"/>
  <c r="N220" i="105" s="1"/>
  <c r="I9" i="189"/>
  <c r="I24" i="189" s="1"/>
  <c r="Q211" i="105"/>
  <c r="Q220" i="105" s="1"/>
  <c r="K9" i="189"/>
  <c r="K24" i="189" s="1"/>
  <c r="J60" i="107"/>
  <c r="K60" i="107" s="1"/>
  <c r="E212" i="105"/>
  <c r="E221" i="105" s="1"/>
  <c r="E31" i="115"/>
  <c r="E30" i="115"/>
  <c r="F27" i="115"/>
  <c r="G27" i="115" s="1"/>
  <c r="Q27" i="115"/>
  <c r="M66" i="115"/>
  <c r="Q64" i="115"/>
  <c r="R64" i="115" s="1"/>
  <c r="D117" i="107"/>
  <c r="D129" i="107" s="1"/>
  <c r="D100" i="107"/>
  <c r="H155" i="107"/>
  <c r="R65" i="115"/>
  <c r="Q105" i="115"/>
  <c r="R105" i="115" s="1"/>
  <c r="R67" i="115"/>
  <c r="P107" i="115"/>
  <c r="R107" i="115" s="1"/>
  <c r="R66" i="115"/>
  <c r="P106" i="115"/>
  <c r="R106" i="115" s="1"/>
  <c r="M103" i="115"/>
  <c r="M107" i="115"/>
  <c r="M106" i="115"/>
  <c r="I13" i="168"/>
  <c r="K16" i="128"/>
  <c r="K18" i="128" s="1"/>
  <c r="K19" i="128" s="1"/>
  <c r="B30" i="147"/>
  <c r="H30" i="147" s="1"/>
  <c r="H217" i="107"/>
  <c r="U125" i="105"/>
  <c r="F110" i="166"/>
  <c r="W42" i="166"/>
  <c r="E99" i="115"/>
  <c r="G99" i="115" s="1"/>
  <c r="H51" i="93"/>
  <c r="R90" i="115"/>
  <c r="F74" i="115"/>
  <c r="F90" i="115" s="1"/>
  <c r="R89" i="115"/>
  <c r="S73" i="115"/>
  <c r="F73" i="115"/>
  <c r="F37" i="164"/>
  <c r="L13" i="168"/>
  <c r="G138" i="168"/>
  <c r="J72" i="107"/>
  <c r="K72" i="107" s="1"/>
  <c r="H9" i="182"/>
  <c r="I9" i="182" s="1"/>
  <c r="K9" i="182" s="1"/>
  <c r="I14" i="182" s="1"/>
  <c r="K25" i="128"/>
  <c r="D26" i="128"/>
  <c r="K26" i="128" s="1"/>
  <c r="G51" i="93"/>
  <c r="E98" i="115"/>
  <c r="G98" i="115" s="1"/>
  <c r="G110" i="166"/>
  <c r="D33" i="93"/>
  <c r="D30" i="93" s="1"/>
  <c r="D68" i="58" s="1"/>
  <c r="D69" i="58" s="1"/>
  <c r="D26" i="93"/>
  <c r="D53" i="93" s="1"/>
  <c r="D55" i="93" s="1"/>
  <c r="E244" i="105" s="1"/>
  <c r="P68" i="115"/>
  <c r="G26" i="128"/>
  <c r="G27" i="128" s="1"/>
  <c r="G29" i="128" s="1"/>
  <c r="G37" i="164"/>
  <c r="E309" i="105"/>
  <c r="E310" i="105" s="1"/>
  <c r="E311" i="105" s="1"/>
  <c r="K311" i="105"/>
  <c r="K310" i="105"/>
  <c r="H310" i="105"/>
  <c r="H311" i="105"/>
  <c r="C31" i="163"/>
  <c r="C51" i="163" s="1"/>
  <c r="C48" i="163" s="1"/>
  <c r="C54" i="163" s="1"/>
  <c r="C57" i="163" s="1"/>
  <c r="E20" i="154"/>
  <c r="E25" i="139"/>
  <c r="C50" i="151"/>
  <c r="E50" i="151" s="1"/>
  <c r="E11" i="154"/>
  <c r="B31" i="163"/>
  <c r="B51" i="163" s="1"/>
  <c r="B48" i="163" s="1"/>
  <c r="B54" i="163" s="1"/>
  <c r="B57" i="163" s="1"/>
  <c r="E16" i="139"/>
  <c r="Q63" i="115"/>
  <c r="Q103" i="115" s="1"/>
  <c r="R103" i="115" s="1"/>
  <c r="L68" i="115"/>
  <c r="M63" i="115"/>
  <c r="B7" i="146"/>
  <c r="D6" i="146"/>
  <c r="C20" i="146" s="1"/>
  <c r="B207" i="107"/>
  <c r="B209" i="107" s="1"/>
  <c r="H158" i="107"/>
  <c r="J8" i="107"/>
  <c r="K6" i="107" s="1"/>
  <c r="B17" i="146"/>
  <c r="C53" i="131"/>
  <c r="P30" i="115"/>
  <c r="F30" i="115" s="1"/>
  <c r="P31" i="115"/>
  <c r="F31" i="115" s="1"/>
  <c r="F52" i="146"/>
  <c r="M47" i="146"/>
  <c r="K13" i="168"/>
  <c r="F138" i="168"/>
  <c r="C50" i="131"/>
  <c r="J68" i="115"/>
  <c r="D16" i="128"/>
  <c r="D18" i="128" s="1"/>
  <c r="H157" i="107" l="1"/>
  <c r="E246" i="105"/>
  <c r="AB7" i="166"/>
  <c r="F27" i="158"/>
  <c r="F29" i="158" s="1"/>
  <c r="F30" i="158" s="1"/>
  <c r="AA7" i="166"/>
  <c r="E27" i="158"/>
  <c r="E29" i="158" s="1"/>
  <c r="E30" i="158" s="1"/>
  <c r="Q212" i="105"/>
  <c r="Q221" i="105" s="1"/>
  <c r="G100" i="107"/>
  <c r="N212" i="105"/>
  <c r="N221" i="105" s="1"/>
  <c r="F100" i="107"/>
  <c r="G30" i="115"/>
  <c r="G31" i="115"/>
  <c r="M68" i="115"/>
  <c r="Q31" i="115"/>
  <c r="Q30" i="115"/>
  <c r="Q104" i="115"/>
  <c r="R104" i="115" s="1"/>
  <c r="B183" i="107"/>
  <c r="B184" i="107" s="1"/>
  <c r="E12" i="139"/>
  <c r="E16" i="154"/>
  <c r="F89" i="115"/>
  <c r="G73" i="115"/>
  <c r="R88" i="115"/>
  <c r="F72" i="115"/>
  <c r="S72" i="115"/>
  <c r="Q309" i="105"/>
  <c r="K8" i="107"/>
  <c r="K4" i="107"/>
  <c r="K7" i="107"/>
  <c r="K3" i="107"/>
  <c r="K5" i="107"/>
  <c r="K7" i="146"/>
  <c r="B6" i="146"/>
  <c r="K6" i="146" s="1"/>
  <c r="B13" i="146"/>
  <c r="C27" i="146"/>
  <c r="C53" i="146" s="1"/>
  <c r="D14" i="142"/>
  <c r="D14" i="137"/>
  <c r="J309" i="105"/>
  <c r="Q68" i="115"/>
  <c r="R63" i="115"/>
  <c r="R68" i="115" s="1"/>
  <c r="F16" i="139"/>
  <c r="F12" i="139" s="1"/>
  <c r="F11" i="154"/>
  <c r="F7" i="154" s="1"/>
  <c r="E21" i="139"/>
  <c r="D27" i="128"/>
  <c r="D29" i="128" s="1"/>
  <c r="M309" i="105"/>
  <c r="E14" i="142"/>
  <c r="E14" i="137"/>
  <c r="B197" i="107"/>
  <c r="R92" i="115"/>
  <c r="S76" i="115"/>
  <c r="F76" i="115"/>
  <c r="D90" i="107"/>
  <c r="D62" i="107"/>
  <c r="D74" i="107" s="1"/>
  <c r="D155" i="107"/>
  <c r="D181" i="107" s="1"/>
  <c r="D183" i="107" s="1"/>
  <c r="D45" i="107"/>
  <c r="D23" i="164" s="1"/>
  <c r="D32" i="164" s="1"/>
  <c r="E7" i="154"/>
  <c r="E62" i="107"/>
  <c r="E74" i="107" s="1"/>
  <c r="E45" i="107"/>
  <c r="E23" i="164" s="1"/>
  <c r="E32" i="164" s="1"/>
  <c r="D156" i="107"/>
  <c r="D214" i="107" s="1"/>
  <c r="D216" i="107" s="1"/>
  <c r="E90" i="107"/>
  <c r="I43" i="107"/>
  <c r="E29" i="154"/>
  <c r="D31" i="163"/>
  <c r="D51" i="163" s="1"/>
  <c r="D48" i="163" s="1"/>
  <c r="D54" i="163" s="1"/>
  <c r="D57" i="163" s="1"/>
  <c r="E34" i="139"/>
  <c r="E38" i="154"/>
  <c r="E31" i="163"/>
  <c r="E51" i="163" s="1"/>
  <c r="E48" i="163" s="1"/>
  <c r="E54" i="163" s="1"/>
  <c r="E57" i="163" s="1"/>
  <c r="E43" i="139"/>
  <c r="N309" i="105"/>
  <c r="B210" i="107"/>
  <c r="F25" i="139"/>
  <c r="F21" i="139" s="1"/>
  <c r="F20" i="154"/>
  <c r="F16" i="154" s="1"/>
  <c r="S75" i="115"/>
  <c r="F75" i="115"/>
  <c r="R91" i="115"/>
  <c r="C113" i="145"/>
  <c r="C116" i="145"/>
  <c r="K27" i="128"/>
  <c r="K29" i="128" s="1"/>
  <c r="K30" i="128" s="1"/>
  <c r="H184" i="107" l="1"/>
  <c r="H13" i="147" s="1"/>
  <c r="B13" i="147"/>
  <c r="H11" i="154"/>
  <c r="H24" i="169"/>
  <c r="H16" i="154"/>
  <c r="H11" i="169"/>
  <c r="H210" i="107"/>
  <c r="B26" i="147"/>
  <c r="H26" i="147" s="1"/>
  <c r="D158" i="107"/>
  <c r="D207" i="107" s="1"/>
  <c r="D209" i="107" s="1"/>
  <c r="D210" i="107" s="1"/>
  <c r="G90" i="107"/>
  <c r="G62" i="107"/>
  <c r="G74" i="107" s="1"/>
  <c r="G45" i="107"/>
  <c r="G23" i="164" s="1"/>
  <c r="G32" i="164" s="1"/>
  <c r="D217" i="107"/>
  <c r="D30" i="147" s="1"/>
  <c r="D119" i="107"/>
  <c r="D131" i="107" s="1"/>
  <c r="D102" i="107"/>
  <c r="H197" i="107"/>
  <c r="B20" i="147"/>
  <c r="H20" i="147" s="1"/>
  <c r="G72" i="115"/>
  <c r="F88" i="115"/>
  <c r="C62" i="107"/>
  <c r="C45" i="107"/>
  <c r="C23" i="164" s="1"/>
  <c r="C32" i="164" s="1"/>
  <c r="C90" i="107"/>
  <c r="F14" i="142"/>
  <c r="P309" i="105"/>
  <c r="F14" i="137"/>
  <c r="F38" i="154"/>
  <c r="F34" i="154" s="1"/>
  <c r="F43" i="139"/>
  <c r="F39" i="139" s="1"/>
  <c r="E25" i="154"/>
  <c r="E102" i="107"/>
  <c r="E119" i="107"/>
  <c r="E131" i="107" s="1"/>
  <c r="J10" i="168"/>
  <c r="E141" i="168"/>
  <c r="I10" i="168"/>
  <c r="D141" i="168"/>
  <c r="B12" i="146"/>
  <c r="F27" i="146"/>
  <c r="K13" i="146"/>
  <c r="H7" i="154"/>
  <c r="H21" i="139"/>
  <c r="H16" i="139"/>
  <c r="F90" i="107"/>
  <c r="F62" i="107"/>
  <c r="F74" i="107" s="1"/>
  <c r="F45" i="107"/>
  <c r="F23" i="164" s="1"/>
  <c r="F32" i="164" s="1"/>
  <c r="D157" i="107"/>
  <c r="D194" i="107" s="1"/>
  <c r="D196" i="107" s="1"/>
  <c r="D184" i="107"/>
  <c r="D13" i="147" s="1"/>
  <c r="J14" i="137"/>
  <c r="E143" i="137"/>
  <c r="M311" i="105"/>
  <c r="M310" i="105"/>
  <c r="I14" i="137"/>
  <c r="D143" i="137"/>
  <c r="H25" i="139"/>
  <c r="H12" i="139"/>
  <c r="F34" i="139"/>
  <c r="F30" i="139" s="1"/>
  <c r="F29" i="154"/>
  <c r="F25" i="154" s="1"/>
  <c r="E39" i="139"/>
  <c r="E34" i="154"/>
  <c r="F91" i="115"/>
  <c r="G75" i="115"/>
  <c r="G14" i="142"/>
  <c r="S309" i="105"/>
  <c r="G14" i="137"/>
  <c r="N310" i="105"/>
  <c r="N311" i="105"/>
  <c r="E30" i="139"/>
  <c r="E33" i="164"/>
  <c r="E38" i="164" s="1"/>
  <c r="E34" i="164"/>
  <c r="D33" i="164"/>
  <c r="D38" i="164" s="1"/>
  <c r="D34" i="164"/>
  <c r="F92" i="115"/>
  <c r="G76" i="115"/>
  <c r="J310" i="105"/>
  <c r="J311" i="105"/>
  <c r="Q311" i="105"/>
  <c r="Q310" i="105"/>
  <c r="G309" i="105"/>
  <c r="G310" i="105" s="1"/>
  <c r="G311" i="105" s="1"/>
  <c r="H20" i="154"/>
  <c r="H43" i="139" l="1"/>
  <c r="H39" i="139"/>
  <c r="H34" i="139"/>
  <c r="H30" i="139"/>
  <c r="H34" i="154"/>
  <c r="H38" i="154"/>
  <c r="H25" i="154"/>
  <c r="C119" i="107"/>
  <c r="C131" i="107" s="1"/>
  <c r="C102" i="107"/>
  <c r="L10" i="168"/>
  <c r="G141" i="168"/>
  <c r="F33" i="164"/>
  <c r="F38" i="164" s="1"/>
  <c r="F34" i="164"/>
  <c r="F53" i="146"/>
  <c r="M27" i="146"/>
  <c r="K14" i="137"/>
  <c r="F143" i="137"/>
  <c r="G33" i="164"/>
  <c r="G38" i="164" s="1"/>
  <c r="G34" i="164"/>
  <c r="H29" i="154"/>
  <c r="L14" i="137"/>
  <c r="G143" i="137"/>
  <c r="K12" i="146"/>
  <c r="K15" i="146" s="1"/>
  <c r="M14" i="146"/>
  <c r="C17" i="146"/>
  <c r="U4" i="149"/>
  <c r="U8" i="149"/>
  <c r="D197" i="107"/>
  <c r="D20" i="147" s="1"/>
  <c r="K10" i="168"/>
  <c r="F141" i="168"/>
  <c r="J62" i="107"/>
  <c r="K62" i="107" s="1"/>
  <c r="C74" i="107"/>
  <c r="J74" i="107" s="1"/>
  <c r="K74" i="107" s="1"/>
  <c r="D26" i="147"/>
  <c r="M13" i="146"/>
  <c r="D42" i="164"/>
  <c r="D44" i="164" s="1"/>
  <c r="D39" i="164"/>
  <c r="P311" i="105"/>
  <c r="P310" i="105"/>
  <c r="E42" i="164"/>
  <c r="E44" i="164" s="1"/>
  <c r="E39" i="164"/>
  <c r="S311" i="105"/>
  <c r="S310" i="105"/>
  <c r="F119" i="107"/>
  <c r="F131" i="107" s="1"/>
  <c r="F102" i="107"/>
  <c r="C33" i="164"/>
  <c r="C38" i="164" s="1"/>
  <c r="C34" i="164"/>
  <c r="G119" i="107"/>
  <c r="G131" i="107" s="1"/>
  <c r="G102" i="107"/>
  <c r="H16" i="169"/>
  <c r="I45" i="107"/>
  <c r="G42" i="164" l="1"/>
  <c r="G44" i="164" s="1"/>
  <c r="G39" i="164"/>
  <c r="F42" i="164"/>
  <c r="F44" i="164" s="1"/>
  <c r="F39" i="164"/>
  <c r="U16" i="149"/>
  <c r="V16" i="149" s="1"/>
  <c r="U17" i="149"/>
  <c r="V17" i="149" s="1"/>
  <c r="U10" i="149"/>
  <c r="V10" i="149" s="1"/>
  <c r="U11" i="149"/>
  <c r="V11" i="149" s="1"/>
  <c r="U15" i="149"/>
  <c r="V15" i="149" s="1"/>
  <c r="U13" i="149"/>
  <c r="V13" i="149" s="1"/>
  <c r="U20" i="149"/>
  <c r="V20" i="149" s="1"/>
  <c r="U19" i="149"/>
  <c r="V19" i="149" s="1"/>
  <c r="U18" i="149"/>
  <c r="V18" i="149" s="1"/>
  <c r="U24" i="149"/>
  <c r="U14" i="149"/>
  <c r="V14" i="149" s="1"/>
  <c r="U12" i="149"/>
  <c r="V12" i="149" s="1"/>
  <c r="U40" i="149"/>
  <c r="U9" i="149"/>
  <c r="C42" i="164"/>
  <c r="C44" i="164" s="1"/>
  <c r="C39" i="164"/>
  <c r="U21" i="149" l="1"/>
  <c r="V21" i="149" s="1"/>
  <c r="W21" i="149" s="1"/>
  <c r="V9" i="149"/>
  <c r="U27" i="149"/>
  <c r="V27" i="149" s="1"/>
  <c r="U33" i="149"/>
  <c r="V33" i="149" s="1"/>
  <c r="U30" i="149"/>
  <c r="V30" i="149" s="1"/>
  <c r="U26" i="149"/>
  <c r="V26" i="149" s="1"/>
  <c r="U28" i="149"/>
  <c r="V28" i="149" s="1"/>
  <c r="U36" i="149"/>
  <c r="V36" i="149" s="1"/>
  <c r="U25" i="149"/>
  <c r="U34" i="149"/>
  <c r="V34" i="149" s="1"/>
  <c r="U31" i="149"/>
  <c r="V31" i="149" s="1"/>
  <c r="U29" i="149"/>
  <c r="V29" i="149" s="1"/>
  <c r="U32" i="149"/>
  <c r="V32" i="149" s="1"/>
  <c r="U35" i="149"/>
  <c r="V35" i="149" s="1"/>
  <c r="U43" i="149"/>
  <c r="V43" i="149" s="1"/>
  <c r="U48" i="149"/>
  <c r="V48" i="149" s="1"/>
  <c r="U49" i="149"/>
  <c r="V49" i="149" s="1"/>
  <c r="U42" i="149"/>
  <c r="V42" i="149" s="1"/>
  <c r="U51" i="149"/>
  <c r="V51" i="149" s="1"/>
  <c r="U44" i="149"/>
  <c r="V44" i="149" s="1"/>
  <c r="U46" i="149"/>
  <c r="V46" i="149" s="1"/>
  <c r="U50" i="149"/>
  <c r="V50" i="149" s="1"/>
  <c r="U47" i="149"/>
  <c r="V47" i="149" s="1"/>
  <c r="U45" i="149"/>
  <c r="V45" i="149" s="1"/>
  <c r="U41" i="149"/>
  <c r="U52" i="149"/>
  <c r="V52" i="149" s="1"/>
  <c r="U53" i="149" l="1"/>
  <c r="V41" i="149"/>
  <c r="V53" i="149" s="1"/>
  <c r="W53" i="149" s="1"/>
  <c r="V25" i="149"/>
  <c r="V37" i="149" s="1"/>
  <c r="W37" i="149" s="1"/>
  <c r="U37" i="149"/>
  <c r="I42" i="145"/>
  <c r="I45" i="145" l="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59" authorId="0" shapeId="0" xr:uid="{00000000-0006-0000-1200-000001000000}">
      <text>
        <r>
          <rPr>
            <b/>
            <sz val="9"/>
            <color indexed="81"/>
            <rFont val="Tahoma"/>
            <family val="2"/>
            <charset val="204"/>
          </rPr>
          <t>Автор:</t>
        </r>
        <r>
          <rPr>
            <sz val="9"/>
            <color indexed="81"/>
            <rFont val="Tahoma"/>
            <family val="2"/>
            <charset val="204"/>
          </rPr>
          <t xml:space="preserve">
в червні 2022 року
</t>
        </r>
      </text>
    </comment>
    <comment ref="B67" authorId="0" shapeId="0" xr:uid="{00000000-0006-0000-1200-000002000000}">
      <text>
        <r>
          <rPr>
            <b/>
            <sz val="9"/>
            <color indexed="81"/>
            <rFont val="Tahoma"/>
            <family val="2"/>
            <charset val="204"/>
          </rPr>
          <t>Автор:</t>
        </r>
        <r>
          <rPr>
            <sz val="9"/>
            <color indexed="81"/>
            <rFont val="Tahoma"/>
            <family val="2"/>
            <charset val="204"/>
          </rPr>
          <t xml:space="preserve">
для отримання дозволу
дозвіл діє до кінця воєнного стану </t>
        </r>
      </text>
    </comment>
    <comment ref="B70" authorId="0" shapeId="0" xr:uid="{00000000-0006-0000-1200-000003000000}">
      <text>
        <r>
          <rPr>
            <b/>
            <sz val="9"/>
            <color indexed="81"/>
            <rFont val="Tahoma"/>
            <family val="2"/>
            <charset val="204"/>
          </rPr>
          <t>Lavrova-N
1 раз в 5 лет</t>
        </r>
      </text>
    </comment>
    <comment ref="B79" authorId="0" shapeId="0" xr:uid="{00000000-0006-0000-1200-000004000000}">
      <text>
        <r>
          <rPr>
            <b/>
            <sz val="9"/>
            <color indexed="81"/>
            <rFont val="Tahoma"/>
            <family val="2"/>
            <charset val="204"/>
          </rPr>
          <t>Автор:</t>
        </r>
        <r>
          <rPr>
            <sz val="9"/>
            <color indexed="81"/>
            <rFont val="Tahoma"/>
            <family val="2"/>
            <charset val="204"/>
          </rPr>
          <t xml:space="preserve">
на котельной</t>
        </r>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12" authorId="0" shapeId="0" xr:uid="{00000000-0006-0000-5000-000001000000}">
      <text>
        <r>
          <rPr>
            <b/>
            <sz val="9"/>
            <color indexed="81"/>
            <rFont val="Tahoma"/>
            <family val="2"/>
            <charset val="204"/>
          </rPr>
          <t>Автор:</t>
        </r>
        <r>
          <rPr>
            <sz val="9"/>
            <color indexed="81"/>
            <rFont val="Tahoma"/>
            <family val="2"/>
            <charset val="204"/>
          </rPr>
          <t xml:space="preserve">
тов кс одесса 07/06/2023</t>
        </r>
      </text>
    </comment>
  </commentList>
</comments>
</file>

<file path=xl/comments11.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7" authorId="0" shapeId="0" xr:uid="{00000000-0006-0000-6000-000001000000}">
      <text>
        <r>
          <rPr>
            <b/>
            <sz val="9"/>
            <color indexed="81"/>
            <rFont val="Tahoma"/>
            <family val="2"/>
            <charset val="204"/>
          </rPr>
          <t>Автор:</t>
        </r>
        <r>
          <rPr>
            <sz val="9"/>
            <color indexed="81"/>
            <rFont val="Tahoma"/>
            <family val="2"/>
            <charset val="204"/>
          </rPr>
          <t xml:space="preserve">
климат
дог 21/23 27/04/2023
</t>
        </r>
      </text>
    </comment>
    <comment ref="B8" authorId="0" shapeId="0" xr:uid="{00000000-0006-0000-6000-000002000000}">
      <text>
        <r>
          <rPr>
            <b/>
            <sz val="9"/>
            <color indexed="81"/>
            <rFont val="Tahoma"/>
            <family val="2"/>
            <charset val="204"/>
          </rPr>
          <t>Автор:</t>
        </r>
        <r>
          <rPr>
            <sz val="9"/>
            <color indexed="81"/>
            <rFont val="Tahoma"/>
            <family val="2"/>
            <charset val="204"/>
          </rPr>
          <t xml:space="preserve">
климат
дог 20/23 27/04/2023
</t>
        </r>
      </text>
    </comment>
    <comment ref="E9" authorId="0" shapeId="0" xr:uid="{00000000-0006-0000-6000-000003000000}">
      <text>
        <r>
          <rPr>
            <b/>
            <sz val="9"/>
            <color indexed="81"/>
            <rFont val="Tahoma"/>
            <family val="2"/>
            <charset val="204"/>
          </rPr>
          <t>Автор:</t>
        </r>
        <r>
          <rPr>
            <sz val="9"/>
            <color indexed="81"/>
            <rFont val="Tahoma"/>
            <family val="2"/>
            <charset val="204"/>
          </rPr>
          <t xml:space="preserve">
дог 89 03/04/2023</t>
        </r>
      </text>
    </comment>
  </commentList>
</comments>
</file>

<file path=xl/comments1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A4" authorId="0" shapeId="0" xr:uid="{00000000-0006-0000-7B00-000001000000}">
      <text>
        <r>
          <rPr>
            <b/>
            <sz val="9"/>
            <color indexed="81"/>
            <rFont val="Tahoma"/>
            <family val="2"/>
            <charset val="204"/>
          </rPr>
          <t xml:space="preserve">Автор: </t>
        </r>
        <r>
          <rPr>
            <sz val="9"/>
            <color indexed="81"/>
            <rFont val="Tahoma"/>
            <family val="2"/>
            <charset val="204"/>
          </rPr>
          <t>До розрахунку тарифів на теплову енергію, її виробництво, транспортування та постачання, послуги з постачання теплової енергії і постачання гарячої води включаються витрати, які згідно з Податковим кодексом України враховуються під час визначення об'єкта оподаткування податком на прибуток підприємств.</t>
        </r>
      </text>
    </comment>
    <comment ref="A29" authorId="0" shapeId="0" xr:uid="{00000000-0006-0000-7B00-000002000000}">
      <text>
        <r>
          <rPr>
            <b/>
            <sz val="9"/>
            <color indexed="81"/>
            <rFont val="Tahoma"/>
            <family val="2"/>
            <charset val="204"/>
          </rPr>
          <t>Автор:</t>
        </r>
        <r>
          <rPr>
            <sz val="9"/>
            <color indexed="81"/>
            <rFont val="Tahoma"/>
            <family val="2"/>
            <charset val="204"/>
          </rPr>
          <t xml:space="preserve">
Перелік і склад змінних і постійних загальновиробничих витрат установлюються підприємством</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A59" authorId="0" shapeId="0" xr:uid="{00000000-0006-0000-1B00-000001000000}">
      <text>
        <r>
          <rPr>
            <b/>
            <sz val="9"/>
            <color indexed="81"/>
            <rFont val="Tahoma"/>
            <family val="2"/>
            <charset val="204"/>
          </rPr>
          <t>Автор:</t>
        </r>
        <r>
          <rPr>
            <sz val="9"/>
            <color indexed="81"/>
            <rFont val="Tahoma"/>
            <family val="2"/>
            <charset val="204"/>
          </rPr>
          <t xml:space="preserve">
в червні 2022 року
</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O7" authorId="0" shapeId="0" xr:uid="{00000000-0006-0000-2300-000001000000}">
      <text>
        <r>
          <rPr>
            <b/>
            <sz val="9"/>
            <color indexed="81"/>
            <rFont val="Tahoma"/>
            <family val="2"/>
            <charset val="204"/>
          </rPr>
          <t>Автор:</t>
        </r>
        <r>
          <rPr>
            <sz val="9"/>
            <color indexed="81"/>
            <rFont val="Tahoma"/>
            <family val="2"/>
            <charset val="204"/>
          </rPr>
          <t xml:space="preserve">
нет договора по среднему!!!!!!!!!!!!!!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S94" authorId="0" shapeId="0" xr:uid="{00000000-0006-0000-2700-000001000000}">
      <text>
        <r>
          <rPr>
            <b/>
            <sz val="9"/>
            <color indexed="81"/>
            <rFont val="Tahoma"/>
            <family val="2"/>
            <charset val="204"/>
          </rPr>
          <t>Автор:</t>
        </r>
        <r>
          <rPr>
            <sz val="9"/>
            <color indexed="81"/>
            <rFont val="Tahoma"/>
            <family val="2"/>
            <charset val="204"/>
          </rPr>
          <t xml:space="preserve">
400</t>
        </r>
      </text>
    </comment>
    <comment ref="U94" authorId="0" shapeId="0" xr:uid="{00000000-0006-0000-2700-000002000000}">
      <text>
        <r>
          <rPr>
            <b/>
            <sz val="9"/>
            <color indexed="81"/>
            <rFont val="Tahoma"/>
            <family val="2"/>
            <charset val="204"/>
          </rPr>
          <t>Автор:</t>
        </r>
        <r>
          <rPr>
            <sz val="9"/>
            <color indexed="81"/>
            <rFont val="Tahoma"/>
            <family val="2"/>
            <charset val="204"/>
          </rPr>
          <t xml:space="preserve">
0,039576</t>
        </r>
      </text>
    </comment>
    <comment ref="W94" authorId="0" shapeId="0" xr:uid="{00000000-0006-0000-2700-000003000000}">
      <text>
        <r>
          <rPr>
            <b/>
            <sz val="9"/>
            <color indexed="81"/>
            <rFont val="Tahoma"/>
            <family val="2"/>
            <charset val="204"/>
          </rPr>
          <t>Автор:</t>
        </r>
        <r>
          <rPr>
            <sz val="9"/>
            <color indexed="81"/>
            <rFont val="Tahoma"/>
            <family val="2"/>
            <charset val="204"/>
          </rPr>
          <t xml:space="preserve">
0,039576</t>
        </r>
      </text>
    </comment>
    <comment ref="S108" authorId="0" shapeId="0" xr:uid="{00000000-0006-0000-2700-000004000000}">
      <text>
        <r>
          <rPr>
            <b/>
            <sz val="9"/>
            <color indexed="81"/>
            <rFont val="Tahoma"/>
            <family val="2"/>
            <charset val="204"/>
          </rPr>
          <t>Автор:</t>
        </r>
        <r>
          <rPr>
            <sz val="9"/>
            <color indexed="81"/>
            <rFont val="Tahoma"/>
            <family val="2"/>
            <charset val="204"/>
          </rPr>
          <t xml:space="preserve">
25,0</t>
        </r>
      </text>
    </comment>
    <comment ref="U108" authorId="0" shapeId="0" xr:uid="{00000000-0006-0000-2700-000005000000}">
      <text>
        <r>
          <rPr>
            <b/>
            <sz val="9"/>
            <color indexed="81"/>
            <rFont val="Tahoma"/>
            <family val="2"/>
            <charset val="204"/>
          </rPr>
          <t>Автор:</t>
        </r>
        <r>
          <rPr>
            <sz val="9"/>
            <color indexed="81"/>
            <rFont val="Tahoma"/>
            <family val="2"/>
            <charset val="204"/>
          </rPr>
          <t xml:space="preserve">
0,002</t>
        </r>
      </text>
    </comment>
    <comment ref="W108" authorId="0" shapeId="0" xr:uid="{00000000-0006-0000-2700-000006000000}">
      <text>
        <r>
          <rPr>
            <b/>
            <sz val="9"/>
            <color indexed="81"/>
            <rFont val="Tahoma"/>
            <family val="2"/>
            <charset val="204"/>
          </rPr>
          <t>Автор:</t>
        </r>
        <r>
          <rPr>
            <sz val="9"/>
            <color indexed="81"/>
            <rFont val="Tahoma"/>
            <family val="2"/>
            <charset val="204"/>
          </rPr>
          <t xml:space="preserve">
0,002</t>
        </r>
      </text>
    </comment>
    <comment ref="S135" authorId="0" shapeId="0" xr:uid="{00000000-0006-0000-2700-000007000000}">
      <text>
        <r>
          <rPr>
            <b/>
            <sz val="9"/>
            <color indexed="81"/>
            <rFont val="Tahoma"/>
            <family val="2"/>
            <charset val="204"/>
          </rPr>
          <t>Автор:</t>
        </r>
        <r>
          <rPr>
            <sz val="9"/>
            <color indexed="81"/>
            <rFont val="Tahoma"/>
            <family val="2"/>
            <charset val="204"/>
          </rPr>
          <t xml:space="preserve">
21,5</t>
        </r>
      </text>
    </comment>
    <comment ref="U135" authorId="0" shapeId="0" xr:uid="{00000000-0006-0000-2700-000008000000}">
      <text>
        <r>
          <rPr>
            <b/>
            <sz val="9"/>
            <color indexed="81"/>
            <rFont val="Tahoma"/>
            <family val="2"/>
            <charset val="204"/>
          </rPr>
          <t>Автор:</t>
        </r>
        <r>
          <rPr>
            <sz val="9"/>
            <color indexed="81"/>
            <rFont val="Tahoma"/>
            <family val="2"/>
            <charset val="204"/>
          </rPr>
          <t xml:space="preserve">
0,003313</t>
        </r>
      </text>
    </comment>
    <comment ref="W135" authorId="0" shapeId="0" xr:uid="{00000000-0006-0000-2700-000009000000}">
      <text>
        <r>
          <rPr>
            <b/>
            <sz val="9"/>
            <color indexed="81"/>
            <rFont val="Tahoma"/>
            <family val="2"/>
            <charset val="204"/>
          </rPr>
          <t>Автор:</t>
        </r>
        <r>
          <rPr>
            <sz val="9"/>
            <color indexed="81"/>
            <rFont val="Tahoma"/>
            <family val="2"/>
            <charset val="204"/>
          </rPr>
          <t xml:space="preserve">
0,003313</t>
        </r>
      </text>
    </comment>
    <comment ref="S217" authorId="0" shapeId="0" xr:uid="{00000000-0006-0000-2700-00000A000000}">
      <text>
        <r>
          <rPr>
            <b/>
            <sz val="9"/>
            <color indexed="81"/>
            <rFont val="Tahoma"/>
            <family val="2"/>
            <charset val="204"/>
          </rPr>
          <t>Автор:</t>
        </r>
        <r>
          <rPr>
            <sz val="9"/>
            <color indexed="81"/>
            <rFont val="Tahoma"/>
            <family val="2"/>
            <charset val="204"/>
          </rPr>
          <t xml:space="preserve">
52,8</t>
        </r>
      </text>
    </comment>
    <comment ref="U217" authorId="0" shapeId="0" xr:uid="{00000000-0006-0000-2700-00000B000000}">
      <text>
        <r>
          <rPr>
            <b/>
            <sz val="9"/>
            <color indexed="81"/>
            <rFont val="Tahoma"/>
            <family val="2"/>
            <charset val="204"/>
          </rPr>
          <t>Автор:</t>
        </r>
        <r>
          <rPr>
            <sz val="9"/>
            <color indexed="81"/>
            <rFont val="Tahoma"/>
            <family val="2"/>
            <charset val="204"/>
          </rPr>
          <t xml:space="preserve">
0,005332</t>
        </r>
      </text>
    </comment>
    <comment ref="W217" authorId="0" shapeId="0" xr:uid="{00000000-0006-0000-2700-00000C000000}">
      <text>
        <r>
          <rPr>
            <b/>
            <sz val="9"/>
            <color indexed="81"/>
            <rFont val="Tahoma"/>
            <family val="2"/>
            <charset val="204"/>
          </rPr>
          <t>Автор:</t>
        </r>
        <r>
          <rPr>
            <sz val="9"/>
            <color indexed="81"/>
            <rFont val="Tahoma"/>
            <family val="2"/>
            <charset val="204"/>
          </rPr>
          <t xml:space="preserve">
0,005332</t>
        </r>
      </text>
    </comment>
    <comment ref="S235" authorId="0" shapeId="0" xr:uid="{00000000-0006-0000-2700-00000D000000}">
      <text>
        <r>
          <rPr>
            <b/>
            <sz val="9"/>
            <color indexed="81"/>
            <rFont val="Tahoma"/>
            <family val="2"/>
            <charset val="204"/>
          </rPr>
          <t>Автор:</t>
        </r>
        <r>
          <rPr>
            <sz val="9"/>
            <color indexed="81"/>
            <rFont val="Tahoma"/>
            <family val="2"/>
            <charset val="204"/>
          </rPr>
          <t xml:space="preserve">
3179,9</t>
        </r>
      </text>
    </comment>
    <comment ref="U235" authorId="0" shapeId="0" xr:uid="{00000000-0006-0000-2700-00000E000000}">
      <text>
        <r>
          <rPr>
            <b/>
            <sz val="9"/>
            <color indexed="81"/>
            <rFont val="Tahoma"/>
            <family val="2"/>
            <charset val="204"/>
          </rPr>
          <t>Автор:</t>
        </r>
        <r>
          <rPr>
            <sz val="9"/>
            <color indexed="81"/>
            <rFont val="Tahoma"/>
            <family val="2"/>
            <charset val="204"/>
          </rPr>
          <t xml:space="preserve">
0,2809
</t>
        </r>
      </text>
    </comment>
    <comment ref="W235" authorId="0" shapeId="0" xr:uid="{00000000-0006-0000-2700-00000F000000}">
      <text>
        <r>
          <rPr>
            <b/>
            <sz val="9"/>
            <color indexed="81"/>
            <rFont val="Tahoma"/>
            <family val="2"/>
            <charset val="204"/>
          </rPr>
          <t>Автор:</t>
        </r>
        <r>
          <rPr>
            <sz val="9"/>
            <color indexed="81"/>
            <rFont val="Tahoma"/>
            <family val="2"/>
            <charset val="204"/>
          </rPr>
          <t xml:space="preserve">
0,2809</t>
        </r>
      </text>
    </comment>
    <comment ref="I256" authorId="0" shapeId="0" xr:uid="{00000000-0006-0000-2700-000010000000}">
      <text>
        <r>
          <rPr>
            <b/>
            <sz val="9"/>
            <color indexed="81"/>
            <rFont val="Tahoma"/>
            <family val="2"/>
            <charset val="204"/>
          </rPr>
          <t>Автор:</t>
        </r>
        <r>
          <rPr>
            <sz val="9"/>
            <color indexed="81"/>
            <rFont val="Tahoma"/>
            <family val="2"/>
            <charset val="204"/>
          </rPr>
          <t xml:space="preserve">
1 было</t>
        </r>
      </text>
    </comment>
    <comment ref="M256" authorId="0" shapeId="0" xr:uid="{00000000-0006-0000-2700-000011000000}">
      <text>
        <r>
          <rPr>
            <b/>
            <sz val="9"/>
            <color indexed="81"/>
            <rFont val="Tahoma"/>
            <family val="2"/>
            <charset val="204"/>
          </rPr>
          <t>Автор:</t>
        </r>
        <r>
          <rPr>
            <sz val="9"/>
            <color indexed="81"/>
            <rFont val="Tahoma"/>
            <family val="2"/>
            <charset val="204"/>
          </rPr>
          <t xml:space="preserve">
4288,1 было</t>
        </r>
      </text>
    </comment>
    <comment ref="O256" authorId="0" shapeId="0" xr:uid="{00000000-0006-0000-2700-000012000000}">
      <text>
        <r>
          <rPr>
            <b/>
            <sz val="9"/>
            <color indexed="81"/>
            <rFont val="Tahoma"/>
            <family val="2"/>
            <charset val="204"/>
          </rPr>
          <t>Автор:</t>
        </r>
        <r>
          <rPr>
            <sz val="9"/>
            <color indexed="81"/>
            <rFont val="Tahoma"/>
            <family val="2"/>
            <charset val="204"/>
          </rPr>
          <t xml:space="preserve">
4060,9 было</t>
        </r>
      </text>
    </comment>
    <comment ref="Q257" authorId="0" shapeId="0" xr:uid="{00000000-0006-0000-2700-000013000000}">
      <text>
        <r>
          <rPr>
            <b/>
            <sz val="9"/>
            <color indexed="81"/>
            <rFont val="Tahoma"/>
            <family val="2"/>
            <charset val="204"/>
          </rPr>
          <t>Автор:</t>
        </r>
        <r>
          <rPr>
            <sz val="9"/>
            <color indexed="81"/>
            <rFont val="Tahoma"/>
            <family val="2"/>
            <charset val="204"/>
          </rPr>
          <t xml:space="preserve">
173,6 было</t>
        </r>
      </text>
    </comment>
    <comment ref="S317" authorId="0" shapeId="0" xr:uid="{00000000-0006-0000-2700-000014000000}">
      <text>
        <r>
          <rPr>
            <b/>
            <sz val="9"/>
            <color indexed="81"/>
            <rFont val="Tahoma"/>
            <family val="2"/>
            <charset val="204"/>
          </rPr>
          <t>Автор:</t>
        </r>
        <r>
          <rPr>
            <sz val="9"/>
            <color indexed="81"/>
            <rFont val="Tahoma"/>
            <family val="2"/>
            <charset val="204"/>
          </rPr>
          <t xml:space="preserve">
было 178,5</t>
        </r>
      </text>
    </comment>
    <comment ref="U317" authorId="0" shapeId="0" xr:uid="{00000000-0006-0000-2700-000015000000}">
      <text>
        <r>
          <rPr>
            <b/>
            <sz val="9"/>
            <color indexed="81"/>
            <rFont val="Tahoma"/>
            <family val="2"/>
            <charset val="204"/>
          </rPr>
          <t>Автор:</t>
        </r>
        <r>
          <rPr>
            <sz val="9"/>
            <color indexed="81"/>
            <rFont val="Tahoma"/>
            <family val="2"/>
            <charset val="204"/>
          </rPr>
          <t xml:space="preserve">
было 0,00911
</t>
        </r>
      </text>
    </comment>
    <comment ref="W317" authorId="0" shapeId="0" xr:uid="{00000000-0006-0000-2700-000016000000}">
      <text>
        <r>
          <rPr>
            <b/>
            <sz val="9"/>
            <color indexed="81"/>
            <rFont val="Tahoma"/>
            <family val="2"/>
            <charset val="204"/>
          </rPr>
          <t>Автор:</t>
        </r>
        <r>
          <rPr>
            <sz val="9"/>
            <color indexed="81"/>
            <rFont val="Tahoma"/>
            <family val="2"/>
            <charset val="204"/>
          </rPr>
          <t xml:space="preserve">
0,00911 было</t>
        </r>
      </text>
    </comment>
    <comment ref="I366" authorId="0" shapeId="0" xr:uid="{00000000-0006-0000-2700-000017000000}">
      <text>
        <r>
          <rPr>
            <b/>
            <sz val="9"/>
            <color indexed="81"/>
            <rFont val="Tahoma"/>
            <family val="2"/>
            <charset val="204"/>
          </rPr>
          <t>Автор:</t>
        </r>
        <r>
          <rPr>
            <sz val="9"/>
            <color indexed="81"/>
            <rFont val="Tahoma"/>
            <family val="2"/>
            <charset val="204"/>
          </rPr>
          <t xml:space="preserve">
1</t>
        </r>
      </text>
    </comment>
    <comment ref="Q366" authorId="0" shapeId="0" xr:uid="{00000000-0006-0000-2700-000018000000}">
      <text>
        <r>
          <rPr>
            <b/>
            <sz val="9"/>
            <color indexed="81"/>
            <rFont val="Tahoma"/>
            <family val="2"/>
            <charset val="204"/>
          </rPr>
          <t>Автор:</t>
        </r>
        <r>
          <rPr>
            <sz val="9"/>
            <color indexed="81"/>
            <rFont val="Tahoma"/>
            <family val="2"/>
            <charset val="204"/>
          </rPr>
          <t xml:space="preserve">
188</t>
        </r>
      </text>
    </comment>
    <comment ref="U366" authorId="0" shapeId="0" xr:uid="{00000000-0006-0000-2700-000019000000}">
      <text>
        <r>
          <rPr>
            <b/>
            <sz val="9"/>
            <color indexed="81"/>
            <rFont val="Tahoma"/>
            <family val="2"/>
            <charset val="204"/>
          </rPr>
          <t>Автор:</t>
        </r>
        <r>
          <rPr>
            <sz val="9"/>
            <color indexed="81"/>
            <rFont val="Tahoma"/>
            <family val="2"/>
            <charset val="204"/>
          </rPr>
          <t xml:space="preserve">
0,011
</t>
        </r>
      </text>
    </comment>
    <comment ref="W366" authorId="0" shapeId="0" xr:uid="{00000000-0006-0000-2700-00001A000000}">
      <text>
        <r>
          <rPr>
            <b/>
            <sz val="9"/>
            <color indexed="81"/>
            <rFont val="Tahoma"/>
            <family val="2"/>
            <charset val="204"/>
          </rPr>
          <t>Автор:</t>
        </r>
        <r>
          <rPr>
            <sz val="9"/>
            <color indexed="81"/>
            <rFont val="Tahoma"/>
            <family val="2"/>
            <charset val="204"/>
          </rPr>
          <t xml:space="preserve">
0,011</t>
        </r>
      </text>
    </comment>
    <comment ref="Q414" authorId="0" shapeId="0" xr:uid="{00000000-0006-0000-2700-00001B000000}">
      <text>
        <r>
          <rPr>
            <b/>
            <sz val="9"/>
            <color indexed="81"/>
            <rFont val="Tahoma"/>
            <family val="2"/>
            <charset val="204"/>
          </rPr>
          <t>Автор:</t>
        </r>
        <r>
          <rPr>
            <sz val="9"/>
            <color indexed="81"/>
            <rFont val="Tahoma"/>
            <family val="2"/>
            <charset val="204"/>
          </rPr>
          <t xml:space="preserve">
28,2</t>
        </r>
      </text>
    </comment>
    <comment ref="U414" authorId="0" shapeId="0" xr:uid="{00000000-0006-0000-2700-00001C000000}">
      <text>
        <r>
          <rPr>
            <b/>
            <sz val="9"/>
            <color indexed="81"/>
            <rFont val="Tahoma"/>
            <family val="2"/>
            <charset val="204"/>
          </rPr>
          <t>Автор:</t>
        </r>
        <r>
          <rPr>
            <sz val="9"/>
            <color indexed="81"/>
            <rFont val="Tahoma"/>
            <family val="2"/>
            <charset val="204"/>
          </rPr>
          <t xml:space="preserve">
0,00116</t>
        </r>
      </text>
    </comment>
    <comment ref="W414" authorId="0" shapeId="0" xr:uid="{00000000-0006-0000-2700-00001D000000}">
      <text>
        <r>
          <rPr>
            <b/>
            <sz val="9"/>
            <color indexed="81"/>
            <rFont val="Tahoma"/>
            <family val="2"/>
            <charset val="204"/>
          </rPr>
          <t>Автор:</t>
        </r>
        <r>
          <rPr>
            <sz val="9"/>
            <color indexed="81"/>
            <rFont val="Tahoma"/>
            <family val="2"/>
            <charset val="204"/>
          </rPr>
          <t xml:space="preserve">
0,00116
</t>
        </r>
      </text>
    </comment>
    <comment ref="U443" authorId="0" shapeId="0" xr:uid="{00000000-0006-0000-2700-00001E000000}">
      <text>
        <r>
          <rPr>
            <b/>
            <sz val="9"/>
            <color indexed="81"/>
            <rFont val="Tahoma"/>
            <family val="2"/>
            <charset val="204"/>
          </rPr>
          <t>Автор:</t>
        </r>
        <r>
          <rPr>
            <sz val="9"/>
            <color indexed="81"/>
            <rFont val="Tahoma"/>
            <family val="2"/>
            <charset val="204"/>
          </rPr>
          <t xml:space="preserve">
0,014352</t>
        </r>
      </text>
    </comment>
    <comment ref="W443" authorId="0" shapeId="0" xr:uid="{00000000-0006-0000-2700-00001F000000}">
      <text>
        <r>
          <rPr>
            <b/>
            <sz val="9"/>
            <color indexed="81"/>
            <rFont val="Tahoma"/>
            <family val="2"/>
            <charset val="204"/>
          </rPr>
          <t>Автор:</t>
        </r>
        <r>
          <rPr>
            <sz val="9"/>
            <color indexed="81"/>
            <rFont val="Tahoma"/>
            <family val="2"/>
            <charset val="204"/>
          </rPr>
          <t xml:space="preserve">
0,014352</t>
        </r>
      </text>
    </comment>
    <comment ref="U450" authorId="0" shapeId="0" xr:uid="{00000000-0006-0000-2700-000020000000}">
      <text>
        <r>
          <rPr>
            <b/>
            <sz val="9"/>
            <color indexed="81"/>
            <rFont val="Tahoma"/>
            <family val="2"/>
            <charset val="204"/>
          </rPr>
          <t>Автор:</t>
        </r>
        <r>
          <rPr>
            <sz val="9"/>
            <color indexed="81"/>
            <rFont val="Tahoma"/>
            <family val="2"/>
            <charset val="204"/>
          </rPr>
          <t xml:space="preserve">
0,001467</t>
        </r>
      </text>
    </comment>
    <comment ref="W450" authorId="0" shapeId="0" xr:uid="{00000000-0006-0000-2700-000021000000}">
      <text>
        <r>
          <rPr>
            <b/>
            <sz val="9"/>
            <color indexed="81"/>
            <rFont val="Tahoma"/>
            <family val="2"/>
            <charset val="204"/>
          </rPr>
          <t>Автор:</t>
        </r>
        <r>
          <rPr>
            <sz val="9"/>
            <color indexed="81"/>
            <rFont val="Tahoma"/>
            <family val="2"/>
            <charset val="204"/>
          </rPr>
          <t xml:space="preserve">
0,001467</t>
        </r>
      </text>
    </comment>
    <comment ref="S451" authorId="0" shapeId="0" xr:uid="{00000000-0006-0000-2700-000022000000}">
      <text>
        <r>
          <rPr>
            <b/>
            <sz val="9"/>
            <color indexed="81"/>
            <rFont val="Tahoma"/>
            <family val="2"/>
            <charset val="204"/>
          </rPr>
          <t>Автор:</t>
        </r>
        <r>
          <rPr>
            <sz val="9"/>
            <color indexed="81"/>
            <rFont val="Tahoma"/>
            <family val="2"/>
            <charset val="204"/>
          </rPr>
          <t xml:space="preserve">
23,5</t>
        </r>
      </text>
    </comment>
    <comment ref="U451" authorId="0" shapeId="0" xr:uid="{00000000-0006-0000-2700-000023000000}">
      <text>
        <r>
          <rPr>
            <b/>
            <sz val="9"/>
            <color indexed="81"/>
            <rFont val="Tahoma"/>
            <family val="2"/>
            <charset val="204"/>
          </rPr>
          <t>Автор:</t>
        </r>
        <r>
          <rPr>
            <sz val="9"/>
            <color indexed="81"/>
            <rFont val="Tahoma"/>
            <family val="2"/>
            <charset val="204"/>
          </rPr>
          <t xml:space="preserve">
0,002445</t>
        </r>
      </text>
    </comment>
    <comment ref="W451" authorId="0" shapeId="0" xr:uid="{00000000-0006-0000-2700-000024000000}">
      <text>
        <r>
          <rPr>
            <b/>
            <sz val="9"/>
            <color indexed="81"/>
            <rFont val="Tahoma"/>
            <family val="2"/>
            <charset val="204"/>
          </rPr>
          <t>Автор:</t>
        </r>
        <r>
          <rPr>
            <sz val="9"/>
            <color indexed="81"/>
            <rFont val="Tahoma"/>
            <family val="2"/>
            <charset val="204"/>
          </rPr>
          <t xml:space="preserve">
0,002445</t>
        </r>
      </text>
    </comment>
    <comment ref="Q467" authorId="0" shapeId="0" xr:uid="{00000000-0006-0000-2700-000025000000}">
      <text>
        <r>
          <rPr>
            <b/>
            <sz val="9"/>
            <color indexed="81"/>
            <rFont val="Tahoma"/>
            <family val="2"/>
            <charset val="204"/>
          </rPr>
          <t>Автор:</t>
        </r>
        <r>
          <rPr>
            <sz val="9"/>
            <color indexed="81"/>
            <rFont val="Tahoma"/>
            <family val="2"/>
            <charset val="204"/>
          </rPr>
          <t xml:space="preserve">
231,8</t>
        </r>
      </text>
    </comment>
    <comment ref="U467" authorId="0" shapeId="0" xr:uid="{00000000-0006-0000-2700-000026000000}">
      <text>
        <r>
          <rPr>
            <b/>
            <sz val="9"/>
            <color indexed="81"/>
            <rFont val="Tahoma"/>
            <family val="2"/>
            <charset val="204"/>
          </rPr>
          <t>Автор:</t>
        </r>
        <r>
          <rPr>
            <sz val="9"/>
            <color indexed="81"/>
            <rFont val="Tahoma"/>
            <family val="2"/>
            <charset val="204"/>
          </rPr>
          <t xml:space="preserve">
0,01751</t>
        </r>
      </text>
    </comment>
    <comment ref="W467" authorId="0" shapeId="0" xr:uid="{00000000-0006-0000-2700-000027000000}">
      <text>
        <r>
          <rPr>
            <b/>
            <sz val="9"/>
            <color indexed="81"/>
            <rFont val="Tahoma"/>
            <family val="2"/>
            <charset val="204"/>
          </rPr>
          <t>Автор:</t>
        </r>
        <r>
          <rPr>
            <sz val="9"/>
            <color indexed="81"/>
            <rFont val="Tahoma"/>
            <family val="2"/>
            <charset val="204"/>
          </rPr>
          <t xml:space="preserve">
0,01751</t>
        </r>
      </text>
    </comment>
    <comment ref="Q510" authorId="0" shapeId="0" xr:uid="{00000000-0006-0000-2700-000028000000}">
      <text>
        <r>
          <rPr>
            <b/>
            <sz val="9"/>
            <color indexed="81"/>
            <rFont val="Tahoma"/>
            <family val="2"/>
            <charset val="204"/>
          </rPr>
          <t>Автор:</t>
        </r>
        <r>
          <rPr>
            <sz val="9"/>
            <color indexed="81"/>
            <rFont val="Tahoma"/>
            <family val="2"/>
            <charset val="204"/>
          </rPr>
          <t xml:space="preserve">
39,8
</t>
        </r>
      </text>
    </comment>
    <comment ref="U510" authorId="0" shapeId="0" xr:uid="{00000000-0006-0000-2700-000029000000}">
      <text>
        <r>
          <rPr>
            <b/>
            <sz val="9"/>
            <color indexed="81"/>
            <rFont val="Tahoma"/>
            <family val="2"/>
            <charset val="204"/>
          </rPr>
          <t>Автор:</t>
        </r>
        <r>
          <rPr>
            <sz val="9"/>
            <color indexed="81"/>
            <rFont val="Tahoma"/>
            <family val="2"/>
            <charset val="204"/>
          </rPr>
          <t xml:space="preserve">
0,0061
</t>
        </r>
      </text>
    </comment>
    <comment ref="W510" authorId="0" shapeId="0" xr:uid="{00000000-0006-0000-2700-00002A000000}">
      <text>
        <r>
          <rPr>
            <b/>
            <sz val="9"/>
            <color indexed="81"/>
            <rFont val="Tahoma"/>
            <family val="2"/>
            <charset val="204"/>
          </rPr>
          <t>Автор:</t>
        </r>
        <r>
          <rPr>
            <sz val="9"/>
            <color indexed="81"/>
            <rFont val="Tahoma"/>
            <family val="2"/>
            <charset val="204"/>
          </rPr>
          <t xml:space="preserve">
0,0061
</t>
        </r>
      </text>
    </comment>
    <comment ref="U534" authorId="0" shapeId="0" xr:uid="{00000000-0006-0000-2700-00002B000000}">
      <text>
        <r>
          <rPr>
            <b/>
            <sz val="9"/>
            <color indexed="81"/>
            <rFont val="Tahoma"/>
            <family val="2"/>
            <charset val="204"/>
          </rPr>
          <t>Автор:</t>
        </r>
        <r>
          <rPr>
            <sz val="9"/>
            <color indexed="81"/>
            <rFont val="Tahoma"/>
            <family val="2"/>
            <charset val="204"/>
          </rPr>
          <t xml:space="preserve">
0,03</t>
        </r>
      </text>
    </comment>
    <comment ref="W534" authorId="0" shapeId="0" xr:uid="{00000000-0006-0000-2700-00002C000000}">
      <text>
        <r>
          <rPr>
            <b/>
            <sz val="9"/>
            <color indexed="81"/>
            <rFont val="Tahoma"/>
            <family val="2"/>
            <charset val="204"/>
          </rPr>
          <t>Автор:</t>
        </r>
        <r>
          <rPr>
            <sz val="9"/>
            <color indexed="81"/>
            <rFont val="Tahoma"/>
            <family val="2"/>
            <charset val="204"/>
          </rPr>
          <t xml:space="preserve">
0,03</t>
        </r>
      </text>
    </comment>
    <comment ref="S537" authorId="0" shapeId="0" xr:uid="{00000000-0006-0000-2700-00002D000000}">
      <text>
        <r>
          <rPr>
            <b/>
            <sz val="9"/>
            <color indexed="81"/>
            <rFont val="Tahoma"/>
            <family val="2"/>
            <charset val="204"/>
          </rPr>
          <t>Автор:</t>
        </r>
        <r>
          <rPr>
            <sz val="9"/>
            <color indexed="81"/>
            <rFont val="Tahoma"/>
            <family val="2"/>
            <charset val="204"/>
          </rPr>
          <t xml:space="preserve">
214,7</t>
        </r>
      </text>
    </comment>
    <comment ref="U537" authorId="0" shapeId="0" xr:uid="{00000000-0006-0000-2700-00002E000000}">
      <text>
        <r>
          <rPr>
            <b/>
            <sz val="9"/>
            <color indexed="81"/>
            <rFont val="Tahoma"/>
            <family val="2"/>
            <charset val="204"/>
          </rPr>
          <t>Автор:</t>
        </r>
        <r>
          <rPr>
            <sz val="9"/>
            <color indexed="81"/>
            <rFont val="Tahoma"/>
            <family val="2"/>
            <charset val="204"/>
          </rPr>
          <t xml:space="preserve">
0,016106</t>
        </r>
      </text>
    </comment>
    <comment ref="W537" authorId="0" shapeId="0" xr:uid="{00000000-0006-0000-2700-00002F000000}">
      <text>
        <r>
          <rPr>
            <b/>
            <sz val="9"/>
            <color indexed="81"/>
            <rFont val="Tahoma"/>
            <family val="2"/>
            <charset val="204"/>
          </rPr>
          <t>Автор:</t>
        </r>
        <r>
          <rPr>
            <sz val="9"/>
            <color indexed="81"/>
            <rFont val="Tahoma"/>
            <family val="2"/>
            <charset val="204"/>
          </rPr>
          <t xml:space="preserve">
0,016106</t>
        </r>
      </text>
    </comment>
    <comment ref="S540" authorId="0" shapeId="0" xr:uid="{00000000-0006-0000-2700-000030000000}">
      <text>
        <r>
          <rPr>
            <b/>
            <sz val="9"/>
            <color indexed="81"/>
            <rFont val="Tahoma"/>
            <family val="2"/>
            <charset val="204"/>
          </rPr>
          <t>Автор:</t>
        </r>
        <r>
          <rPr>
            <sz val="9"/>
            <color indexed="81"/>
            <rFont val="Tahoma"/>
            <family val="2"/>
            <charset val="204"/>
          </rPr>
          <t xml:space="preserve">
73,1</t>
        </r>
      </text>
    </comment>
    <comment ref="U540" authorId="0" shapeId="0" xr:uid="{00000000-0006-0000-2700-000031000000}">
      <text>
        <r>
          <rPr>
            <b/>
            <sz val="9"/>
            <color indexed="81"/>
            <rFont val="Tahoma"/>
            <family val="2"/>
            <charset val="204"/>
          </rPr>
          <t>Автор:</t>
        </r>
        <r>
          <rPr>
            <sz val="9"/>
            <color indexed="81"/>
            <rFont val="Tahoma"/>
            <family val="2"/>
            <charset val="204"/>
          </rPr>
          <t xml:space="preserve">
0,006171</t>
        </r>
      </text>
    </comment>
    <comment ref="W540" authorId="0" shapeId="0" xr:uid="{00000000-0006-0000-2700-000032000000}">
      <text>
        <r>
          <rPr>
            <b/>
            <sz val="9"/>
            <color indexed="81"/>
            <rFont val="Tahoma"/>
            <family val="2"/>
            <charset val="204"/>
          </rPr>
          <t>Автор:</t>
        </r>
        <r>
          <rPr>
            <sz val="9"/>
            <color indexed="81"/>
            <rFont val="Tahoma"/>
            <family val="2"/>
            <charset val="204"/>
          </rPr>
          <t xml:space="preserve">
0,006171</t>
        </r>
      </text>
    </comment>
    <comment ref="S545" authorId="0" shapeId="0" xr:uid="{00000000-0006-0000-2700-000033000000}">
      <text>
        <r>
          <rPr>
            <b/>
            <sz val="9"/>
            <color indexed="81"/>
            <rFont val="Tahoma"/>
            <family val="2"/>
            <charset val="204"/>
          </rPr>
          <t>Автор:</t>
        </r>
        <r>
          <rPr>
            <sz val="9"/>
            <color indexed="81"/>
            <rFont val="Tahoma"/>
            <family val="2"/>
            <charset val="204"/>
          </rPr>
          <t xml:space="preserve">
3075,7</t>
        </r>
      </text>
    </comment>
    <comment ref="U545" authorId="0" shapeId="0" xr:uid="{00000000-0006-0000-2700-000034000000}">
      <text>
        <r>
          <rPr>
            <b/>
            <sz val="9"/>
            <color indexed="81"/>
            <rFont val="Tahoma"/>
            <family val="2"/>
            <charset val="204"/>
          </rPr>
          <t>Автор:</t>
        </r>
        <r>
          <rPr>
            <sz val="9"/>
            <color indexed="81"/>
            <rFont val="Tahoma"/>
            <family val="2"/>
            <charset val="204"/>
          </rPr>
          <t xml:space="preserve">
0,347013</t>
        </r>
      </text>
    </comment>
    <comment ref="W545" authorId="0" shapeId="0" xr:uid="{00000000-0006-0000-2700-000035000000}">
      <text>
        <r>
          <rPr>
            <b/>
            <sz val="9"/>
            <color indexed="81"/>
            <rFont val="Tahoma"/>
            <family val="2"/>
            <charset val="204"/>
          </rPr>
          <t>Автор:</t>
        </r>
        <r>
          <rPr>
            <sz val="9"/>
            <color indexed="81"/>
            <rFont val="Tahoma"/>
            <family val="2"/>
            <charset val="204"/>
          </rPr>
          <t xml:space="preserve">
0,347013</t>
        </r>
      </text>
    </comment>
    <comment ref="S546" authorId="0" shapeId="0" xr:uid="{00000000-0006-0000-2700-000036000000}">
      <text>
        <r>
          <rPr>
            <b/>
            <sz val="9"/>
            <color indexed="81"/>
            <rFont val="Tahoma"/>
            <family val="2"/>
            <charset val="204"/>
          </rPr>
          <t>Автор:</t>
        </r>
        <r>
          <rPr>
            <sz val="9"/>
            <color indexed="81"/>
            <rFont val="Tahoma"/>
            <family val="2"/>
            <charset val="204"/>
          </rPr>
          <t xml:space="preserve">
15,7</t>
        </r>
      </text>
    </comment>
    <comment ref="U546" authorId="0" shapeId="0" xr:uid="{00000000-0006-0000-2700-000037000000}">
      <text>
        <r>
          <rPr>
            <b/>
            <sz val="9"/>
            <color indexed="81"/>
            <rFont val="Tahoma"/>
            <family val="2"/>
            <charset val="204"/>
          </rPr>
          <t>Автор:</t>
        </r>
        <r>
          <rPr>
            <sz val="9"/>
            <color indexed="81"/>
            <rFont val="Tahoma"/>
            <family val="2"/>
            <charset val="204"/>
          </rPr>
          <t xml:space="preserve">
0,0013254</t>
        </r>
      </text>
    </comment>
    <comment ref="W546" authorId="0" shapeId="0" xr:uid="{00000000-0006-0000-2700-000038000000}">
      <text>
        <r>
          <rPr>
            <b/>
            <sz val="9"/>
            <color indexed="81"/>
            <rFont val="Tahoma"/>
            <family val="2"/>
            <charset val="204"/>
          </rPr>
          <t>Автор:</t>
        </r>
        <r>
          <rPr>
            <sz val="9"/>
            <color indexed="81"/>
            <rFont val="Tahoma"/>
            <family val="2"/>
            <charset val="204"/>
          </rPr>
          <t xml:space="preserve">
0,0013254</t>
        </r>
      </text>
    </comment>
    <comment ref="S551" authorId="0" shapeId="0" xr:uid="{00000000-0006-0000-2700-000039000000}">
      <text>
        <r>
          <rPr>
            <b/>
            <sz val="9"/>
            <color indexed="81"/>
            <rFont val="Tahoma"/>
            <family val="2"/>
            <charset val="204"/>
          </rPr>
          <t>Автор:</t>
        </r>
        <r>
          <rPr>
            <sz val="9"/>
            <color indexed="81"/>
            <rFont val="Tahoma"/>
            <family val="2"/>
            <charset val="204"/>
          </rPr>
          <t xml:space="preserve">
8,7</t>
        </r>
      </text>
    </comment>
    <comment ref="U551" authorId="0" shapeId="0" xr:uid="{00000000-0006-0000-2700-00003A000000}">
      <text>
        <r>
          <rPr>
            <b/>
            <sz val="9"/>
            <color indexed="81"/>
            <rFont val="Tahoma"/>
            <family val="2"/>
            <charset val="204"/>
          </rPr>
          <t>Автор:</t>
        </r>
        <r>
          <rPr>
            <sz val="9"/>
            <color indexed="81"/>
            <rFont val="Tahoma"/>
            <family val="2"/>
            <charset val="204"/>
          </rPr>
          <t xml:space="preserve">
0,000734</t>
        </r>
      </text>
    </comment>
    <comment ref="W551" authorId="0" shapeId="0" xr:uid="{00000000-0006-0000-2700-00003B000000}">
      <text>
        <r>
          <rPr>
            <b/>
            <sz val="9"/>
            <color indexed="81"/>
            <rFont val="Tahoma"/>
            <family val="2"/>
            <charset val="204"/>
          </rPr>
          <t>Автор:</t>
        </r>
        <r>
          <rPr>
            <sz val="9"/>
            <color indexed="81"/>
            <rFont val="Tahoma"/>
            <family val="2"/>
            <charset val="204"/>
          </rPr>
          <t xml:space="preserve">
0,000734</t>
        </r>
      </text>
    </comment>
    <comment ref="S555" authorId="0" shapeId="0" xr:uid="{00000000-0006-0000-2700-00003C000000}">
      <text>
        <r>
          <rPr>
            <b/>
            <sz val="9"/>
            <color indexed="81"/>
            <rFont val="Tahoma"/>
            <family val="2"/>
            <charset val="204"/>
          </rPr>
          <t>Автор:</t>
        </r>
        <r>
          <rPr>
            <sz val="9"/>
            <color indexed="81"/>
            <rFont val="Tahoma"/>
            <family val="2"/>
            <charset val="204"/>
          </rPr>
          <t xml:space="preserve">
21,8</t>
        </r>
      </text>
    </comment>
    <comment ref="U555" authorId="0" shapeId="0" xr:uid="{00000000-0006-0000-2700-00003D000000}">
      <text>
        <r>
          <rPr>
            <b/>
            <sz val="9"/>
            <color indexed="81"/>
            <rFont val="Tahoma"/>
            <family val="2"/>
            <charset val="204"/>
          </rPr>
          <t>Автор:</t>
        </r>
        <r>
          <rPr>
            <sz val="9"/>
            <color indexed="81"/>
            <rFont val="Tahoma"/>
            <family val="2"/>
            <charset val="204"/>
          </rPr>
          <t xml:space="preserve">
0,001255</t>
        </r>
      </text>
    </comment>
    <comment ref="W555" authorId="0" shapeId="0" xr:uid="{00000000-0006-0000-2700-00003E000000}">
      <text>
        <r>
          <rPr>
            <b/>
            <sz val="9"/>
            <color indexed="81"/>
            <rFont val="Tahoma"/>
            <family val="2"/>
            <charset val="204"/>
          </rPr>
          <t>Автор:</t>
        </r>
        <r>
          <rPr>
            <sz val="9"/>
            <color indexed="81"/>
            <rFont val="Tahoma"/>
            <family val="2"/>
            <charset val="204"/>
          </rPr>
          <t xml:space="preserve">
0,001255</t>
        </r>
      </text>
    </comment>
    <comment ref="Q567" authorId="0" shapeId="0" xr:uid="{00000000-0006-0000-2700-00003F000000}">
      <text>
        <r>
          <rPr>
            <b/>
            <sz val="9"/>
            <color indexed="81"/>
            <rFont val="Tahoma"/>
            <family val="2"/>
            <charset val="204"/>
          </rPr>
          <t>Автор:</t>
        </r>
        <r>
          <rPr>
            <sz val="9"/>
            <color indexed="81"/>
            <rFont val="Tahoma"/>
            <family val="2"/>
            <charset val="204"/>
          </rPr>
          <t xml:space="preserve">
12,8</t>
        </r>
      </text>
    </comment>
    <comment ref="U567" authorId="0" shapeId="0" xr:uid="{00000000-0006-0000-2700-000040000000}">
      <text>
        <r>
          <rPr>
            <b/>
            <sz val="9"/>
            <color indexed="81"/>
            <rFont val="Tahoma"/>
            <family val="2"/>
            <charset val="204"/>
          </rPr>
          <t>Автор:</t>
        </r>
        <r>
          <rPr>
            <sz val="9"/>
            <color indexed="81"/>
            <rFont val="Tahoma"/>
            <family val="2"/>
            <charset val="204"/>
          </rPr>
          <t xml:space="preserve">
0,000892</t>
        </r>
      </text>
    </comment>
    <comment ref="W567" authorId="0" shapeId="0" xr:uid="{00000000-0006-0000-2700-000041000000}">
      <text>
        <r>
          <rPr>
            <b/>
            <sz val="9"/>
            <color indexed="81"/>
            <rFont val="Tahoma"/>
            <family val="2"/>
            <charset val="204"/>
          </rPr>
          <t>Автор:</t>
        </r>
        <r>
          <rPr>
            <sz val="9"/>
            <color indexed="81"/>
            <rFont val="Tahoma"/>
            <family val="2"/>
            <charset val="204"/>
          </rPr>
          <t xml:space="preserve">
0,000892</t>
        </r>
      </text>
    </comment>
    <comment ref="S639" authorId="0" shapeId="0" xr:uid="{00000000-0006-0000-2700-000042000000}">
      <text>
        <r>
          <rPr>
            <b/>
            <sz val="9"/>
            <color indexed="81"/>
            <rFont val="Tahoma"/>
            <family val="2"/>
            <charset val="204"/>
          </rPr>
          <t>Автор:</t>
        </r>
        <r>
          <rPr>
            <sz val="9"/>
            <color indexed="81"/>
            <rFont val="Tahoma"/>
            <family val="2"/>
            <charset val="204"/>
          </rPr>
          <t xml:space="preserve">
было 24 кв м , а нагрузка не увеличилась?</t>
        </r>
      </text>
    </comment>
    <comment ref="S656" authorId="0" shapeId="0" xr:uid="{00000000-0006-0000-2700-000043000000}">
      <text>
        <r>
          <rPr>
            <b/>
            <sz val="9"/>
            <color indexed="81"/>
            <rFont val="Tahoma"/>
            <family val="2"/>
            <charset val="204"/>
          </rPr>
          <t>Автор:</t>
        </r>
        <r>
          <rPr>
            <sz val="9"/>
            <color indexed="81"/>
            <rFont val="Tahoma"/>
            <family val="2"/>
            <charset val="204"/>
          </rPr>
          <t xml:space="preserve">
318,9</t>
        </r>
      </text>
    </comment>
    <comment ref="U656" authorId="0" shapeId="0" xr:uid="{00000000-0006-0000-2700-000044000000}">
      <text>
        <r>
          <rPr>
            <b/>
            <sz val="9"/>
            <color indexed="81"/>
            <rFont val="Tahoma"/>
            <family val="2"/>
            <charset val="204"/>
          </rPr>
          <t>Автор:</t>
        </r>
        <r>
          <rPr>
            <sz val="9"/>
            <color indexed="81"/>
            <rFont val="Tahoma"/>
            <family val="2"/>
            <charset val="204"/>
          </rPr>
          <t xml:space="preserve">
0,023258
</t>
        </r>
      </text>
    </comment>
    <comment ref="W656" authorId="0" shapeId="0" xr:uid="{00000000-0006-0000-2700-000045000000}">
      <text>
        <r>
          <rPr>
            <b/>
            <sz val="9"/>
            <color indexed="81"/>
            <rFont val="Tahoma"/>
            <family val="2"/>
            <charset val="204"/>
          </rPr>
          <t>Автор:</t>
        </r>
        <r>
          <rPr>
            <sz val="9"/>
            <color indexed="81"/>
            <rFont val="Tahoma"/>
            <family val="2"/>
            <charset val="204"/>
          </rPr>
          <t xml:space="preserve">
0,023258
</t>
        </r>
      </text>
    </comment>
    <comment ref="S663" authorId="0" shapeId="0" xr:uid="{00000000-0006-0000-2700-000046000000}">
      <text>
        <r>
          <rPr>
            <b/>
            <sz val="9"/>
            <color indexed="81"/>
            <rFont val="Tahoma"/>
            <family val="2"/>
            <charset val="204"/>
          </rPr>
          <t>Автор:</t>
        </r>
        <r>
          <rPr>
            <sz val="9"/>
            <color indexed="81"/>
            <rFont val="Tahoma"/>
            <family val="2"/>
            <charset val="204"/>
          </rPr>
          <t xml:space="preserve">
2766,8</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A3" authorId="0" shapeId="0" xr:uid="{00000000-0006-0000-4200-000001000000}">
      <text>
        <r>
          <rPr>
            <b/>
            <sz val="9"/>
            <color indexed="81"/>
            <rFont val="Tahoma"/>
            <family val="2"/>
            <charset val="204"/>
          </rPr>
          <t xml:space="preserve">Введіть назву ліцензіата
</t>
        </r>
      </text>
    </comment>
    <comment ref="B75" authorId="0" shapeId="0" xr:uid="{00000000-0006-0000-4200-000002000000}">
      <text>
        <r>
          <rPr>
            <b/>
            <sz val="9"/>
            <color indexed="81"/>
            <rFont val="Tahoma"/>
            <family val="2"/>
            <charset val="204"/>
          </rPr>
          <t>Автор:</t>
        </r>
        <r>
          <rPr>
            <sz val="9"/>
            <color indexed="81"/>
            <rFont val="Tahoma"/>
            <family val="2"/>
            <charset val="204"/>
          </rPr>
          <t xml:space="preserve">
на котельні</t>
        </r>
      </text>
    </comment>
    <comment ref="B85" authorId="0" shapeId="0" xr:uid="{00000000-0006-0000-4200-000003000000}">
      <text>
        <r>
          <rPr>
            <b/>
            <sz val="9"/>
            <color indexed="81"/>
            <rFont val="Tahoma"/>
            <family val="2"/>
            <charset val="204"/>
          </rPr>
          <t>Lavrova-N
1 раз в 5 лет</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19" authorId="0" shapeId="0" xr:uid="{00000000-0006-0000-4600-000001000000}">
      <text>
        <r>
          <rPr>
            <b/>
            <sz val="9"/>
            <color indexed="81"/>
            <rFont val="Tahoma"/>
            <family val="2"/>
            <charset val="204"/>
          </rPr>
          <t>Автор:</t>
        </r>
        <r>
          <rPr>
            <sz val="9"/>
            <color indexed="81"/>
            <rFont val="Tahoma"/>
            <family val="2"/>
            <charset val="204"/>
          </rPr>
          <t xml:space="preserve">
внести факт</t>
        </r>
      </text>
    </comment>
    <comment ref="C19" authorId="0" shapeId="0" xr:uid="{00000000-0006-0000-4600-000002000000}">
      <text>
        <r>
          <rPr>
            <b/>
            <sz val="9"/>
            <color indexed="81"/>
            <rFont val="Tahoma"/>
            <family val="2"/>
            <charset val="204"/>
          </rPr>
          <t>Автор:</t>
        </r>
        <r>
          <rPr>
            <sz val="9"/>
            <color indexed="81"/>
            <rFont val="Tahoma"/>
            <family val="2"/>
            <charset val="204"/>
          </rPr>
          <t xml:space="preserve">
внести факт</t>
        </r>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B6" authorId="0" shapeId="0" xr:uid="{00000000-0006-0000-4700-000001000000}">
      <text>
        <r>
          <rPr>
            <b/>
            <sz val="9"/>
            <color indexed="81"/>
            <rFont val="Tahoma"/>
            <family val="2"/>
            <charset val="204"/>
          </rPr>
          <t>Автор:</t>
        </r>
        <r>
          <rPr>
            <sz val="9"/>
            <color indexed="81"/>
            <rFont val="Tahoma"/>
            <family val="2"/>
            <charset val="204"/>
          </rPr>
          <t xml:space="preserve">
нашли бесплатную</t>
        </r>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G8" authorId="0" shapeId="0" xr:uid="{00000000-0006-0000-4800-000001000000}">
      <text>
        <r>
          <rPr>
            <b/>
            <sz val="9"/>
            <color indexed="81"/>
            <rFont val="Tahoma"/>
            <family val="2"/>
            <charset val="204"/>
          </rPr>
          <t>Автор:</t>
        </r>
        <r>
          <rPr>
            <sz val="9"/>
            <color indexed="81"/>
            <rFont val="Tahoma"/>
            <family val="2"/>
            <charset val="204"/>
          </rPr>
          <t xml:space="preserve">
мтз-90</t>
        </r>
      </text>
    </comment>
    <comment ref="O8" authorId="0" shapeId="0" xr:uid="{00000000-0006-0000-4800-000002000000}">
      <text>
        <r>
          <rPr>
            <b/>
            <sz val="9"/>
            <color indexed="81"/>
            <rFont val="Tahoma"/>
            <family val="2"/>
            <charset val="204"/>
          </rPr>
          <t>Автор:</t>
        </r>
        <r>
          <rPr>
            <sz val="9"/>
            <color indexed="81"/>
            <rFont val="Tahoma"/>
            <family val="2"/>
            <charset val="204"/>
          </rPr>
          <t xml:space="preserve">
21063
</t>
        </r>
      </text>
    </comment>
    <comment ref="G9" authorId="0" shapeId="0" xr:uid="{00000000-0006-0000-4800-000003000000}">
      <text>
        <r>
          <rPr>
            <b/>
            <sz val="9"/>
            <color indexed="81"/>
            <rFont val="Tahoma"/>
            <family val="2"/>
            <charset val="204"/>
          </rPr>
          <t>Автор:</t>
        </r>
        <r>
          <rPr>
            <sz val="9"/>
            <color indexed="81"/>
            <rFont val="Tahoma"/>
            <family val="2"/>
            <charset val="204"/>
          </rPr>
          <t xml:space="preserve">
газ33073</t>
        </r>
      </text>
    </comment>
    <comment ref="O9" authorId="0" shapeId="0" xr:uid="{00000000-0006-0000-4800-000004000000}">
      <text>
        <r>
          <rPr>
            <b/>
            <sz val="9"/>
            <color indexed="81"/>
            <rFont val="Tahoma"/>
            <family val="2"/>
            <charset val="204"/>
          </rPr>
          <t>Автор:</t>
        </r>
        <r>
          <rPr>
            <sz val="9"/>
            <color indexed="81"/>
            <rFont val="Tahoma"/>
            <family val="2"/>
            <charset val="204"/>
          </rPr>
          <t xml:space="preserve">
21200
</t>
        </r>
      </text>
    </comment>
    <comment ref="Q9" authorId="0" shapeId="0" xr:uid="{00000000-0006-0000-4800-000005000000}">
      <text>
        <r>
          <rPr>
            <b/>
            <sz val="9"/>
            <color indexed="81"/>
            <rFont val="Tahoma"/>
            <family val="2"/>
            <charset val="204"/>
          </rPr>
          <t>Автор:</t>
        </r>
        <r>
          <rPr>
            <sz val="9"/>
            <color indexed="81"/>
            <rFont val="Tahoma"/>
            <family val="2"/>
            <charset val="204"/>
          </rPr>
          <t xml:space="preserve">
субару</t>
        </r>
      </text>
    </comment>
    <comment ref="G10" authorId="0" shapeId="0" xr:uid="{00000000-0006-0000-4800-000006000000}">
      <text>
        <r>
          <rPr>
            <b/>
            <sz val="9"/>
            <color indexed="81"/>
            <rFont val="Tahoma"/>
            <family val="2"/>
            <charset val="204"/>
          </rPr>
          <t>Автор:</t>
        </r>
        <r>
          <rPr>
            <sz val="9"/>
            <color indexed="81"/>
            <rFont val="Tahoma"/>
            <family val="2"/>
            <charset val="204"/>
          </rPr>
          <t xml:space="preserve">
маз 555102-223</t>
        </r>
      </text>
    </comment>
    <comment ref="O10" authorId="0" shapeId="0" xr:uid="{00000000-0006-0000-4800-000007000000}">
      <text>
        <r>
          <rPr>
            <b/>
            <sz val="9"/>
            <color indexed="81"/>
            <rFont val="Tahoma"/>
            <family val="2"/>
            <charset val="204"/>
          </rPr>
          <t>Автор:</t>
        </r>
        <r>
          <rPr>
            <sz val="9"/>
            <color indexed="81"/>
            <rFont val="Tahoma"/>
            <family val="2"/>
            <charset val="204"/>
          </rPr>
          <t xml:space="preserve">
нубира</t>
        </r>
      </text>
    </comment>
    <comment ref="G11" authorId="0" shapeId="0" xr:uid="{00000000-0006-0000-4800-000008000000}">
      <text>
        <r>
          <rPr>
            <b/>
            <sz val="9"/>
            <color indexed="81"/>
            <rFont val="Tahoma"/>
            <family val="2"/>
            <charset val="204"/>
          </rPr>
          <t>Автор:</t>
        </r>
        <r>
          <rPr>
            <sz val="9"/>
            <color indexed="81"/>
            <rFont val="Tahoma"/>
            <family val="2"/>
            <charset val="204"/>
          </rPr>
          <t xml:space="preserve">
jcb-3cx sm
</t>
        </r>
      </text>
    </comment>
    <comment ref="G12" authorId="0" shapeId="0" xr:uid="{00000000-0006-0000-4800-000009000000}">
      <text>
        <r>
          <rPr>
            <b/>
            <sz val="9"/>
            <color indexed="81"/>
            <rFont val="Tahoma"/>
            <family val="2"/>
            <charset val="204"/>
          </rPr>
          <t>Автор:</t>
        </r>
        <r>
          <rPr>
            <sz val="9"/>
            <color indexed="81"/>
            <rFont val="Tahoma"/>
            <family val="2"/>
            <charset val="204"/>
          </rPr>
          <t xml:space="preserve">
ко 503 газ 53</t>
        </r>
      </text>
    </comment>
    <comment ref="G13" authorId="0" shapeId="0" xr:uid="{00000000-0006-0000-4800-00000A000000}">
      <text>
        <r>
          <rPr>
            <b/>
            <sz val="9"/>
            <color indexed="81"/>
            <rFont val="Tahoma"/>
            <family val="2"/>
            <charset val="204"/>
          </rPr>
          <t>Автор:</t>
        </r>
        <r>
          <rPr>
            <sz val="9"/>
            <color indexed="81"/>
            <rFont val="Tahoma"/>
            <family val="2"/>
            <charset val="204"/>
          </rPr>
          <t xml:space="preserve">
уаз 3303
</t>
        </r>
      </text>
    </comment>
    <comment ref="G15" authorId="0" shapeId="0" xr:uid="{00000000-0006-0000-4800-00000B000000}">
      <text>
        <r>
          <rPr>
            <b/>
            <sz val="9"/>
            <color indexed="81"/>
            <rFont val="Tahoma"/>
            <family val="2"/>
            <charset val="204"/>
          </rPr>
          <t>Автор:</t>
        </r>
        <r>
          <rPr>
            <sz val="9"/>
            <color indexed="81"/>
            <rFont val="Tahoma"/>
            <family val="2"/>
            <charset val="204"/>
          </rPr>
          <t xml:space="preserve">
форд
</t>
        </r>
      </text>
    </comment>
    <comment ref="G16" authorId="0" shapeId="0" xr:uid="{00000000-0006-0000-4800-00000C000000}">
      <text>
        <r>
          <rPr>
            <b/>
            <sz val="9"/>
            <color indexed="81"/>
            <rFont val="Tahoma"/>
            <family val="2"/>
            <charset val="204"/>
          </rPr>
          <t>Автор:</t>
        </r>
        <r>
          <rPr>
            <sz val="9"/>
            <color indexed="81"/>
            <rFont val="Tahoma"/>
            <family val="2"/>
            <charset val="204"/>
          </rPr>
          <t xml:space="preserve">
кс3577</t>
        </r>
      </text>
    </comment>
    <comment ref="E21" authorId="0" shapeId="0" xr:uid="{00000000-0006-0000-4800-00000D000000}">
      <text>
        <r>
          <rPr>
            <b/>
            <sz val="9"/>
            <color indexed="81"/>
            <rFont val="Tahoma"/>
            <family val="2"/>
            <charset val="204"/>
          </rPr>
          <t>Автор:</t>
        </r>
        <r>
          <rPr>
            <sz val="9"/>
            <color indexed="81"/>
            <rFont val="Tahoma"/>
            <family val="2"/>
            <charset val="204"/>
          </rPr>
          <t xml:space="preserve">
сварочн, хранен баллонов, в єлоектроустан, камерах и земляніе работі
</t>
        </r>
      </text>
    </comment>
    <comment ref="E23" authorId="0" shapeId="0" xr:uid="{00000000-0006-0000-4800-00000E000000}">
      <text>
        <r>
          <rPr>
            <b/>
            <sz val="9"/>
            <color indexed="81"/>
            <rFont val="Tahoma"/>
            <family val="2"/>
            <charset val="204"/>
          </rPr>
          <t>Автор:</t>
        </r>
        <r>
          <rPr>
            <sz val="9"/>
            <color indexed="81"/>
            <rFont val="Tahoma"/>
            <family val="2"/>
            <charset val="204"/>
          </rPr>
          <t xml:space="preserve">
кот сад 1 и кислор склад на год, не на человек, а на обїект</t>
        </r>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Автор</author>
  </authors>
  <commentList>
    <comment ref="C34" authorId="0" shapeId="0" xr:uid="{00000000-0006-0000-4900-000001000000}">
      <text>
        <r>
          <rPr>
            <b/>
            <sz val="9"/>
            <color indexed="81"/>
            <rFont val="Tahoma"/>
            <family val="2"/>
            <charset val="204"/>
          </rPr>
          <t>Автор:</t>
        </r>
        <r>
          <rPr>
            <sz val="9"/>
            <color indexed="81"/>
            <rFont val="Tahoma"/>
            <family val="2"/>
            <charset val="204"/>
          </rPr>
          <t xml:space="preserve">
входит в п2
</t>
        </r>
      </text>
    </comment>
  </commentList>
</comments>
</file>

<file path=xl/sharedStrings.xml><?xml version="1.0" encoding="utf-8"?>
<sst xmlns="http://schemas.openxmlformats.org/spreadsheetml/2006/main" count="26140" uniqueCount="4179">
  <si>
    <t>Виробництво теплової енергії</t>
  </si>
  <si>
    <t>Транспортування теплової енергії</t>
  </si>
  <si>
    <t>Постачання теплової енергії</t>
  </si>
  <si>
    <t>населення</t>
  </si>
  <si>
    <t>%</t>
  </si>
  <si>
    <t>Фінансові витрати</t>
  </si>
  <si>
    <t>ПОГОДЖЕНО</t>
  </si>
  <si>
    <t>№ з/п</t>
  </si>
  <si>
    <t>Показники</t>
  </si>
  <si>
    <t>Одиниці виміру</t>
  </si>
  <si>
    <t>січень</t>
  </si>
  <si>
    <t>лютий</t>
  </si>
  <si>
    <t>березень</t>
  </si>
  <si>
    <t>квітень</t>
  </si>
  <si>
    <t xml:space="preserve"> травень</t>
  </si>
  <si>
    <t>червень</t>
  </si>
  <si>
    <t>липень</t>
  </si>
  <si>
    <t>серпень</t>
  </si>
  <si>
    <t>вересень</t>
  </si>
  <si>
    <t>жовтень</t>
  </si>
  <si>
    <t>листопад</t>
  </si>
  <si>
    <t>грудень</t>
  </si>
  <si>
    <t>Гкал</t>
  </si>
  <si>
    <t>1.1</t>
  </si>
  <si>
    <t>1.2</t>
  </si>
  <si>
    <t>2.1</t>
  </si>
  <si>
    <t>2.2</t>
  </si>
  <si>
    <t>4.1</t>
  </si>
  <si>
    <t>5.1</t>
  </si>
  <si>
    <t>5.2</t>
  </si>
  <si>
    <t>5.3</t>
  </si>
  <si>
    <t>Гкал/год</t>
  </si>
  <si>
    <t>6.1</t>
  </si>
  <si>
    <t>6.2</t>
  </si>
  <si>
    <t>6.3</t>
  </si>
  <si>
    <t>Одиниця виміру</t>
  </si>
  <si>
    <t>Сумарні та середньозважені показники</t>
  </si>
  <si>
    <t>Виробництво теплової енергії для потреб населення</t>
  </si>
  <si>
    <t>Виробництво теплової енергії для  потреб бюджетних установ</t>
  </si>
  <si>
    <t>Виробництво теплової енергії для  потреб інших споживачів</t>
  </si>
  <si>
    <t>тис. грн</t>
  </si>
  <si>
    <t>1.1.1</t>
  </si>
  <si>
    <t>1.1.2</t>
  </si>
  <si>
    <t>електроенергія</t>
  </si>
  <si>
    <t>1.1.3</t>
  </si>
  <si>
    <t>1.1.4</t>
  </si>
  <si>
    <t>1.1.5</t>
  </si>
  <si>
    <t>прямі витрати на оплату праці</t>
  </si>
  <si>
    <t>1.3</t>
  </si>
  <si>
    <t>1.3.1</t>
  </si>
  <si>
    <t>1.3.2</t>
  </si>
  <si>
    <t>1.3.3</t>
  </si>
  <si>
    <t xml:space="preserve"> інші прямі витрати</t>
  </si>
  <si>
    <t>1.4</t>
  </si>
  <si>
    <t>1.4.1</t>
  </si>
  <si>
    <t>витрати на оплату праці</t>
  </si>
  <si>
    <t>1.4.2</t>
  </si>
  <si>
    <t>1.4.3</t>
  </si>
  <si>
    <t>інші витрати</t>
  </si>
  <si>
    <t>2.3</t>
  </si>
  <si>
    <t>3.1</t>
  </si>
  <si>
    <t>3.2</t>
  </si>
  <si>
    <t>3.3</t>
  </si>
  <si>
    <t>Повна собівартість*</t>
  </si>
  <si>
    <t>7.1</t>
  </si>
  <si>
    <t>податок на прибуток</t>
  </si>
  <si>
    <t>7.2</t>
  </si>
  <si>
    <t xml:space="preserve"> дивіденди</t>
  </si>
  <si>
    <t>7.3</t>
  </si>
  <si>
    <t xml:space="preserve"> резервний фонд (капітал)</t>
  </si>
  <si>
    <t>7.4</t>
  </si>
  <si>
    <t>на розвиток виробництва (виробничі інвестиції)</t>
  </si>
  <si>
    <t>7.5</t>
  </si>
  <si>
    <t>Вартість виробництва теплової енергії за відповідними тарифами</t>
  </si>
  <si>
    <t>грн/Гкал</t>
  </si>
  <si>
    <t>одиниць</t>
  </si>
  <si>
    <t>Обсяг покупної теплової енергії</t>
  </si>
  <si>
    <t>Ціна покупної теплової енергії</t>
  </si>
  <si>
    <t>кВт∙год/ Гкал</t>
  </si>
  <si>
    <t>* Без урахування списання безнадійної дебіторської заборгованості та нарахування резерву сумнівних боргів.</t>
  </si>
  <si>
    <t>Усього</t>
  </si>
  <si>
    <t>інші прямі витрати</t>
  </si>
  <si>
    <t xml:space="preserve">Інші операційні витрати * </t>
  </si>
  <si>
    <t xml:space="preserve">тис. грн </t>
  </si>
  <si>
    <t>дивіденди</t>
  </si>
  <si>
    <t>резервний фонд (капітал)</t>
  </si>
  <si>
    <t>інше використання  прибутку</t>
  </si>
  <si>
    <t>Середньозважений тариф на транспортування теплової енергії</t>
  </si>
  <si>
    <t>10.1</t>
  </si>
  <si>
    <t>власної теплової енергії</t>
  </si>
  <si>
    <t>10.2</t>
  </si>
  <si>
    <t>11.1</t>
  </si>
  <si>
    <t>11.2</t>
  </si>
  <si>
    <t>12.1</t>
  </si>
  <si>
    <t>12.2</t>
  </si>
  <si>
    <t>корисний відпуск теплової енергії інших власників</t>
  </si>
  <si>
    <t>12.3</t>
  </si>
  <si>
    <t>бюджетних установ</t>
  </si>
  <si>
    <t>інших споживачів</t>
  </si>
  <si>
    <t>__________________</t>
  </si>
  <si>
    <t xml:space="preserve"> (підпис)</t>
  </si>
  <si>
    <t xml:space="preserve">  (ініціали, прізвище)</t>
  </si>
  <si>
    <t>прямі матеріальні витрати</t>
  </si>
  <si>
    <r>
      <t>прямі витрати на оплату</t>
    </r>
    <r>
      <rPr>
        <sz val="8"/>
        <color theme="1"/>
        <rFont val="Times New Roman"/>
        <family val="1"/>
        <charset val="204"/>
      </rPr>
      <t xml:space="preserve"> </t>
    </r>
    <r>
      <rPr>
        <sz val="10"/>
        <color theme="1"/>
        <rFont val="Times New Roman"/>
        <family val="1"/>
        <charset val="204"/>
      </rPr>
      <t>праці</t>
    </r>
  </si>
  <si>
    <r>
      <t>витрати на оплату</t>
    </r>
    <r>
      <rPr>
        <sz val="8"/>
        <color theme="1"/>
        <rFont val="Times New Roman"/>
        <family val="1"/>
        <charset val="204"/>
      </rPr>
      <t xml:space="preserve"> </t>
    </r>
    <r>
      <rPr>
        <sz val="10"/>
        <color theme="1"/>
        <rFont val="Times New Roman"/>
        <family val="1"/>
        <charset val="204"/>
      </rPr>
      <t>праці</t>
    </r>
  </si>
  <si>
    <t xml:space="preserve">Інші  операційні витрати*  </t>
  </si>
  <si>
    <t>Вартість постачання теплової енергії за відповідними тарифами</t>
  </si>
  <si>
    <t xml:space="preserve">Середньозважений тариф на постачання теплової енергії  </t>
  </si>
  <si>
    <t>10.3</t>
  </si>
  <si>
    <t>інших  споживачів</t>
  </si>
  <si>
    <t>Найменування показника</t>
  </si>
  <si>
    <t>Сумарні та середньозва-жені показники</t>
  </si>
  <si>
    <t>4.2</t>
  </si>
  <si>
    <t xml:space="preserve">корисний відпуск теплової енергії власним споживачам </t>
  </si>
  <si>
    <t>Рівні рентабельності тарифів:</t>
  </si>
  <si>
    <t>8.1</t>
  </si>
  <si>
    <t>на виробництво теплової енергії</t>
  </si>
  <si>
    <t>8.2</t>
  </si>
  <si>
    <t>на транспортування теплової енергії</t>
  </si>
  <si>
    <t>8.3</t>
  </si>
  <si>
    <t>на постачання теплової енергії</t>
  </si>
  <si>
    <t>8.4</t>
  </si>
  <si>
    <t>на теплову енергію</t>
  </si>
  <si>
    <t>ел</t>
  </si>
  <si>
    <t>іп</t>
  </si>
  <si>
    <t>Вид палива</t>
  </si>
  <si>
    <t>Відпуск теплової енергії з колекторів, Гкал</t>
  </si>
  <si>
    <t>Витрати умовного палива, тонн</t>
  </si>
  <si>
    <t>Калорійність натурального палива, ккал/м3, ккал/кг</t>
  </si>
  <si>
    <t>Витрати натурального палива, тис.м3, тонн</t>
  </si>
  <si>
    <t>Ціна 1 тонни умовного палива, грн/тонну</t>
  </si>
  <si>
    <t>_____________________</t>
  </si>
  <si>
    <t>Плановий рік</t>
  </si>
  <si>
    <t>травень</t>
  </si>
  <si>
    <t>Норма питомих витрат електроенергії на виробництво теплової енергії</t>
  </si>
  <si>
    <t>Обсяг споживання активної електроенергії, усього</t>
  </si>
  <si>
    <t>тис. кВт∙год</t>
  </si>
  <si>
    <t>Вартість активної електроенергії, усього</t>
  </si>
  <si>
    <t>тис. кВАр∙год</t>
  </si>
  <si>
    <t>Теплове навантаження об’єктів теплоспоживання власних споживачів</t>
  </si>
  <si>
    <r>
      <t>м</t>
    </r>
    <r>
      <rPr>
        <vertAlign val="superscript"/>
        <sz val="10"/>
        <color theme="1"/>
        <rFont val="Times New Roman"/>
        <family val="1"/>
        <charset val="204"/>
      </rPr>
      <t>3</t>
    </r>
    <r>
      <rPr>
        <sz val="10"/>
        <color theme="1"/>
        <rFont val="Times New Roman"/>
        <family val="1"/>
        <charset val="204"/>
      </rPr>
      <t xml:space="preserve"> /Гкал</t>
    </r>
  </si>
  <si>
    <t>Фактичне питоме використання умовного палива на відпуск теплової енергії з колекторів генеруючих джерел</t>
  </si>
  <si>
    <t>кг у.п./Гкал</t>
  </si>
  <si>
    <t>Середньооблікова чисельність персоналу ліцензованої діяльності</t>
  </si>
  <si>
    <t>осіб</t>
  </si>
  <si>
    <t>Середньомісячна заробітна плата персоналу ліцензованої діяльності</t>
  </si>
  <si>
    <t>грн</t>
  </si>
  <si>
    <t>Витрати на оплату праці у повній собівартості, усього</t>
  </si>
  <si>
    <t>Витрати на електроенергію у повній собівартості, усього</t>
  </si>
  <si>
    <t>Загальна довжина теплових мереж у двотрубному виразі станом на кінець року</t>
  </si>
  <si>
    <t>км</t>
  </si>
  <si>
    <t xml:space="preserve"> грн</t>
  </si>
  <si>
    <t xml:space="preserve"> 7.2.1</t>
  </si>
  <si>
    <t xml:space="preserve"> 7.2.2</t>
  </si>
  <si>
    <t>9.1</t>
  </si>
  <si>
    <t>населення – фізичні особи</t>
  </si>
  <si>
    <t>інші споживачі</t>
  </si>
  <si>
    <t>населення – фізичних осіб</t>
  </si>
  <si>
    <t xml:space="preserve"> 4.1.1</t>
  </si>
  <si>
    <t xml:space="preserve"> 4.2.1</t>
  </si>
  <si>
    <t>4.3</t>
  </si>
  <si>
    <t xml:space="preserve"> 4.3.1</t>
  </si>
  <si>
    <t>4.4</t>
  </si>
  <si>
    <t>релігійні організації</t>
  </si>
  <si>
    <t>Виробництво теплової енергії для  потреб релігійних організацій</t>
  </si>
  <si>
    <t>12.4</t>
  </si>
  <si>
    <t>релігійних організацій</t>
  </si>
  <si>
    <t>4.5</t>
  </si>
  <si>
    <t xml:space="preserve"> 4.5.1</t>
  </si>
  <si>
    <t>5</t>
  </si>
  <si>
    <t>6</t>
  </si>
  <si>
    <t>7</t>
  </si>
  <si>
    <t>8</t>
  </si>
  <si>
    <t>3</t>
  </si>
  <si>
    <t>4</t>
  </si>
  <si>
    <t>Інші операційні витрати**</t>
  </si>
  <si>
    <t>Повна собівартість**</t>
  </si>
  <si>
    <t>** Без урахування списання безнадійної дебіторської заборгованості та нарахування резерву сумнівних боргів.</t>
  </si>
  <si>
    <t>Відпуск теплової енергії з колекторів котелень</t>
  </si>
  <si>
    <t>Обсяг споживання реактивної електроенергії</t>
  </si>
  <si>
    <t>Вартість активної та реактивної електроенергії на виробництво теплової енергії котельнями</t>
  </si>
  <si>
    <t>Транспортування теплової енергії власними тепловими мережами</t>
  </si>
  <si>
    <t>Гкал </t>
  </si>
  <si>
    <t>кВт·год /Гкал </t>
  </si>
  <si>
    <t>Обсяг споживання активної електроенергії, усього </t>
  </si>
  <si>
    <t>тис. кВт·год </t>
  </si>
  <si>
    <t>Виробництво теплової енергії котельнями</t>
  </si>
  <si>
    <t>9</t>
  </si>
  <si>
    <t>10</t>
  </si>
  <si>
    <t>11</t>
  </si>
  <si>
    <t>12</t>
  </si>
  <si>
    <t>13</t>
  </si>
  <si>
    <t>14</t>
  </si>
  <si>
    <t>15</t>
  </si>
  <si>
    <t>16.1</t>
  </si>
  <si>
    <t>16.2</t>
  </si>
  <si>
    <t xml:space="preserve">Базовий період </t>
  </si>
  <si>
    <t>Річний план</t>
  </si>
  <si>
    <t>(орган місцевого самоврядування)</t>
  </si>
  <si>
    <t>НА ВИРОБНИЦТВО, ТРАНСПОРТУВАННЯ ТА  ПОСТАЧАННЯ  ТЕПЛОВОЇ  ЕНЕРГІЇ/</t>
  </si>
  <si>
    <t xml:space="preserve">Базовий період (факт) </t>
  </si>
  <si>
    <t>план</t>
  </si>
  <si>
    <t>Втрати теплової енергії в теплових мережах суб’єкта господарювання, усього:</t>
  </si>
  <si>
    <t>господарські потреби ліцензованої діяльності суб’єкта господарювання</t>
  </si>
  <si>
    <t>9.2</t>
  </si>
  <si>
    <t>Відпуск теплової енергії суб’єкта господарювання на надання комунальних послуг споживачам, зокрема:</t>
  </si>
  <si>
    <t>постачання теплової енергії, зокрема на потреби:</t>
  </si>
  <si>
    <t>постачання гарячої води, зокрема на потреби:</t>
  </si>
  <si>
    <t>_______________________________________</t>
  </si>
  <si>
    <t>(підпис)</t>
  </si>
  <si>
    <t>(інвціали, прізвище)</t>
  </si>
  <si>
    <t>(без податку на додану вартість)</t>
  </si>
  <si>
    <t>період, що передує   базовому (факт)</t>
  </si>
  <si>
    <t>базовий період (факт)</t>
  </si>
  <si>
    <t>передбачено чинним тарифом</t>
  </si>
  <si>
    <t>Виробнича собівартість, зокрема:</t>
  </si>
  <si>
    <t>прямі матеріальні витрати, зокрема:</t>
  </si>
  <si>
    <t>інші прямі витрати, зокрема:</t>
  </si>
  <si>
    <t>загальновиробничі витрати, зокрема:</t>
  </si>
  <si>
    <t>Адміністративні витрати, зокрема:</t>
  </si>
  <si>
    <t>Витрати на збут, зокрема:</t>
  </si>
  <si>
    <t>Витрати на відшкодування втрат</t>
  </si>
  <si>
    <t>Розрахунковий прибуток, усього**, зокрема:</t>
  </si>
  <si>
    <t>8.5</t>
  </si>
  <si>
    <t>Х</t>
  </si>
  <si>
    <t>Тарифи на виробництво теплової енергії, зокрема:</t>
  </si>
  <si>
    <t>паливна складова</t>
  </si>
  <si>
    <t>решта витрат, крім паливної складової</t>
  </si>
  <si>
    <t>Собівартість виробництва  теплової енергії  власними  котельнями</t>
  </si>
  <si>
    <t>* Також заповнюється суб’єктами господарювання за  відсутності власного виробництва теплової енергії та відповідно до купівлі всього обсягу теплової енергії для подальшого її постачання власним споживачам.</t>
  </si>
  <si>
    <t>(ініціали, прізвище)</t>
  </si>
  <si>
    <t>_________________________________</t>
  </si>
  <si>
    <t>(керівник)</t>
  </si>
  <si>
    <t>інші витрати*</t>
  </si>
  <si>
    <t xml:space="preserve">Витрати на відшкодування втрат </t>
  </si>
  <si>
    <t>Розрахунковий прибуток*, усього,  зокрема:</t>
  </si>
  <si>
    <t>13.1</t>
  </si>
  <si>
    <t>13.2</t>
  </si>
  <si>
    <t xml:space="preserve">господарські потреби ліцензованої діяльності </t>
  </si>
  <si>
    <t>корисний відпуск теплової енергії власним споживачам, зокрема на потреби:</t>
  </si>
  <si>
    <t>_______</t>
  </si>
  <si>
    <t>період, що передує базовому (факт)</t>
  </si>
  <si>
    <t>Розрахунковий прибуток, усього, зокрема:</t>
  </si>
  <si>
    <t>11.3</t>
  </si>
  <si>
    <t>11.4</t>
  </si>
  <si>
    <t>На потреби споживачів</t>
  </si>
  <si>
    <t>Тариф на виробництво теплової енергії, зокрема:</t>
  </si>
  <si>
    <t>Тариф на  постачання  теплової енергії, зокрема:</t>
  </si>
  <si>
    <t>Тариф на теплову енергію, зокрема:</t>
  </si>
  <si>
    <t>зокрема:</t>
  </si>
  <si>
    <t>РАЗОМ</t>
  </si>
  <si>
    <t>Складові тарифу, вартість яких змінюється на загальнодержавному рівні</t>
  </si>
  <si>
    <t>Втрати всього, грн</t>
  </si>
  <si>
    <t xml:space="preserve">виробництво
теплової енергії
</t>
  </si>
  <si>
    <t xml:space="preserve">транспортування
теплової енергії
</t>
  </si>
  <si>
    <t xml:space="preserve">
постачання
теплової енергії
</t>
  </si>
  <si>
    <t>орган місцевого самоврядування</t>
  </si>
  <si>
    <t>ДОВІДКОВА ІНФОРМАЦІЯ:</t>
  </si>
  <si>
    <t>Вартість складової у відповідному тарифі на дату введення в дію тарифу (грн)</t>
  </si>
  <si>
    <t>Складова тарифу</t>
  </si>
  <si>
    <t>Вартість складової у відповідному тарифі на дату подання суб’єктом господарювання розрахунків до органу місцевого самоврядування (грн)</t>
  </si>
  <si>
    <t>Різниця                (п.3 - п.2)</t>
  </si>
  <si>
    <t>2. Обсяги виробництва/транспортування/постачання теплової енергії</t>
  </si>
  <si>
    <t xml:space="preserve"> 1. Зміна вартості складових тарифу:</t>
  </si>
  <si>
    <t>Обсяги виробництва/транспортування/постачання теплової енергії за відповідний період:</t>
  </si>
  <si>
    <t>Тривалість періоду розгляду розрахунків тарифів, встановлення та їх оприлюднення    (днів)</t>
  </si>
  <si>
    <t xml:space="preserve">       ___________</t>
  </si>
  <si>
    <t xml:space="preserve">        (підпис)</t>
  </si>
  <si>
    <t xml:space="preserve">   (ініціали, прізвище)</t>
  </si>
  <si>
    <t>Мазут, зокрема для потреб:</t>
  </si>
  <si>
    <t>Вугілля, зокрема для потреб:</t>
  </si>
  <si>
    <t>Інше технологічне паливо, зокрема для потреб:</t>
  </si>
  <si>
    <t>Сумарні та середньозважені показники, зокрема для потреб:</t>
  </si>
  <si>
    <t>вартості технологічних витрат електроенергії на виробництво, транспортування та постачання теплової енергії</t>
  </si>
  <si>
    <t xml:space="preserve">Постачання теплової енергії </t>
  </si>
  <si>
    <t>Норма питомих витрат електроенергії на постачання теплової енергії </t>
  </si>
  <si>
    <t>____________________</t>
  </si>
  <si>
    <t>______________________</t>
  </si>
  <si>
    <t xml:space="preserve">виробництво/транспортування/постачання теплової енергії, надає послуги </t>
  </si>
  <si>
    <t>з постачання теплової енергії та постачання гарячої води</t>
  </si>
  <si>
    <t>(загальна характеристика)</t>
  </si>
  <si>
    <t>Період, що передує базовому (факт)</t>
  </si>
  <si>
    <t>Передбачено чинними тарифами</t>
  </si>
  <si>
    <t>Встановлена потужність джерел теплопостачання (генерувальних джерел)</t>
  </si>
  <si>
    <t>інше паливо (зазначити)</t>
  </si>
  <si>
    <t>у відсотках</t>
  </si>
  <si>
    <t xml:space="preserve"> 12</t>
  </si>
  <si>
    <t>бюджетні установи та організації</t>
  </si>
  <si>
    <t>Річний обсяг постачання теплової енергії споживачам, зокрема на потреби:</t>
  </si>
  <si>
    <t>зокрема, що обліковується приладами обліку</t>
  </si>
  <si>
    <t>Надання послуги з постачання теплової енергії</t>
  </si>
  <si>
    <t>1.5</t>
  </si>
  <si>
    <t>Середньооблікова чисельність персоналу, що забезпечує надання послуги з  постачання теплової енергії (без персоналу за ліцензованими видами діяльності)</t>
  </si>
  <si>
    <t>Середньомісячна заробітна плата персоналу, що забезпечує надання послуги з  постачання теплової енергії (без персоналу за ліцензованими видами діяльності)</t>
  </si>
  <si>
    <t>Річний обсяг надання послуги з постачання теплової енергії споживачам, зокрема:</t>
  </si>
  <si>
    <t>Кількість споживачів (абонентів) виконавця послуг, яким надається послуга з постачання теплової енергії усього, зокрема:</t>
  </si>
  <si>
    <t>релігійним організаціям</t>
  </si>
  <si>
    <t>бюджетним установам та організаціям</t>
  </si>
  <si>
    <t xml:space="preserve"> 4.4.1</t>
  </si>
  <si>
    <t>4.4.1</t>
  </si>
  <si>
    <t>Надання послуги з постачання гарячої води</t>
  </si>
  <si>
    <t>Середньооблікова чисельність персоналу, що забезпечує надання послуги з  постачання гарячої води (без персоналу за ліцензованими видами діяльності)</t>
  </si>
  <si>
    <t>Середньомісячна заробітна плата персоналу, що забезпечує надання послуги з  постачання гарячої води (без персоналу за ліцензованими видами діяльності)</t>
  </si>
  <si>
    <t>Річний обсяг надання послуги з постачання гарячої води споживачам, зокрема:</t>
  </si>
  <si>
    <t>іншим споживачам</t>
  </si>
  <si>
    <t>* Заповнюється в разі встановлення двоставкових тарифів.</t>
  </si>
  <si>
    <t>Назва показника</t>
  </si>
  <si>
    <t xml:space="preserve">Послуга з постачання гарячої води </t>
  </si>
  <si>
    <t>Собівартість власної теплової енергії, врахована у встановлених тарифах на теплову енергію для потреб відповідної категорії споживачів</t>
  </si>
  <si>
    <t>зокрема паливна складова</t>
  </si>
  <si>
    <t>Витрати на утримання абонентської служби, зокрема:</t>
  </si>
  <si>
    <t>інші витрати абонентської служби</t>
  </si>
  <si>
    <t>Решта витрат, крім послуг банку та інших установ із приймання і перерахування коштів споживачів</t>
  </si>
  <si>
    <t>Собівартість послуг без урахування послуг банку та інших установ із приймання і перерахування коштів споживачів</t>
  </si>
  <si>
    <t>прибуток у тарифі на теплову енергію для потреб відповідної категорії споживачів</t>
  </si>
  <si>
    <t>Послуги банку та інших установ із приймання і перерахування коштів споживачів</t>
  </si>
  <si>
    <t>Повна планована собівартість послуг з урахуванням послуг банку та інших установ із приймання і перерахування коштів споживачів</t>
  </si>
  <si>
    <t>х</t>
  </si>
  <si>
    <t>Плановані тарифи на послуги з постачання гарячої води</t>
  </si>
  <si>
    <t>паливна складова з ПДВ</t>
  </si>
  <si>
    <t>решта витрат, крім паливної складової, з ПДВ</t>
  </si>
  <si>
    <t>Обсяг теплової енергії, врахований у розрахунку собівартості, Гкал</t>
  </si>
  <si>
    <t>Кількість абонентів, яким надаються послуги</t>
  </si>
  <si>
    <t>Середньорічна кількість штатних працівників, задіяних у наданні послуг, зокрема:</t>
  </si>
  <si>
    <t>абонентська служба</t>
  </si>
  <si>
    <t>решта працівників, задіяних у наданні послуг</t>
  </si>
  <si>
    <t>Середньорічна кількість позаштатних працівників за договором, задіяних у наданні послуг, зокрема:</t>
  </si>
  <si>
    <t>Середньомісячна заробітна плата, грн</t>
  </si>
  <si>
    <t>Відсоток послуг банку та інших установ із приймання і перерахування коштів споживачів, %</t>
  </si>
  <si>
    <r>
      <t>Обсяг споживання гарячої води відповідною категорією споживачів, тис. м</t>
    </r>
    <r>
      <rPr>
        <vertAlign val="superscript"/>
        <sz val="11"/>
        <color theme="1"/>
        <rFont val="Times New Roman"/>
        <family val="1"/>
        <charset val="204"/>
      </rPr>
      <t xml:space="preserve"> 3</t>
    </r>
  </si>
  <si>
    <r>
      <t>Обсяг холодної води для підігріву, тис. м</t>
    </r>
    <r>
      <rPr>
        <vertAlign val="superscript"/>
        <sz val="11"/>
        <color theme="1"/>
        <rFont val="Times New Roman"/>
        <family val="1"/>
        <charset val="204"/>
      </rPr>
      <t xml:space="preserve"> 3</t>
    </r>
  </si>
  <si>
    <r>
      <t>Вартість 1 м</t>
    </r>
    <r>
      <rPr>
        <vertAlign val="superscript"/>
        <sz val="11"/>
        <color theme="1"/>
        <rFont val="Times New Roman"/>
        <family val="1"/>
        <charset val="204"/>
      </rPr>
      <t xml:space="preserve"> 3</t>
    </r>
    <r>
      <rPr>
        <sz val="11"/>
        <color theme="1"/>
        <rFont val="Times New Roman"/>
        <family val="1"/>
        <charset val="204"/>
      </rPr>
      <t xml:space="preserve"> холодної води без ПДВ, грн</t>
    </r>
  </si>
  <si>
    <r>
      <t>Питомі норми, враховані у планованих тарифах на послуги з постачання гарячої води,  Гкал/м</t>
    </r>
    <r>
      <rPr>
        <vertAlign val="superscript"/>
        <sz val="11"/>
        <color theme="1"/>
        <rFont val="Times New Roman"/>
        <family val="1"/>
        <charset val="204"/>
      </rPr>
      <t xml:space="preserve"> 3</t>
    </r>
  </si>
  <si>
    <t>15.1</t>
  </si>
  <si>
    <t>15.2</t>
  </si>
  <si>
    <t>для відповідної категорії споживачів</t>
  </si>
  <si>
    <t>(найменування суб’єкта господарювання – виконавця послуг)</t>
  </si>
  <si>
    <t xml:space="preserve">Рядки, відмічені позначкою Х, суб’єктом господарювання - виконавцем послуг не заповнюються;
розрахунок тарифів за наведеною формою здійснюється окремо для кожної категорії споживачів.
</t>
  </si>
  <si>
    <t>_______________</t>
  </si>
  <si>
    <t>_____________</t>
  </si>
  <si>
    <t>Примітка.</t>
  </si>
  <si>
    <t>Кількість поверхів</t>
  </si>
  <si>
    <t>Рік введення в експлуатацію</t>
  </si>
  <si>
    <t>Кількість абонентів послуги з постачання теплової енергії</t>
  </si>
  <si>
    <t>Зокрема</t>
  </si>
  <si>
    <t>Усього, зокрема:</t>
  </si>
  <si>
    <t>5 і більше поверхів</t>
  </si>
  <si>
    <t>споруджених з 1930 по 1958 рр.</t>
  </si>
  <si>
    <t>споруджених з 1959 по 1970 рр.</t>
  </si>
  <si>
    <t>споруджених з 1971 по 1980 рр.</t>
  </si>
  <si>
    <t>споруджених з 1981 по 1985 рр.</t>
  </si>
  <si>
    <t>споруджених з 1986 по 1999 рр.</t>
  </si>
  <si>
    <t>споруджених з 2000 р.</t>
  </si>
  <si>
    <t>Адреса житлового та нежитлового приміщення (вулиця, будинок, корпус)</t>
  </si>
  <si>
    <t>Наявність будинкових приладів обліку теплової енергії на постачання теплової енергії (наявний/відсутній)</t>
  </si>
  <si>
    <t>Зокрема з квартирними засобами обліку теплової енергії</t>
  </si>
  <si>
    <t>9.3</t>
  </si>
  <si>
    <t>Показник</t>
  </si>
  <si>
    <t>з будинковими приладами обліку теплової енергії</t>
  </si>
  <si>
    <t>без будинкових приладів обліку теплової енергії</t>
  </si>
  <si>
    <t>Кількість абонентів, яким надається послуга з постачання теплової енергії</t>
  </si>
  <si>
    <t>Сума рядків 3 і 5, Гкал</t>
  </si>
  <si>
    <t>Дані, що плануються для розрахунку тарифів на послугу з постачання теплової енергії</t>
  </si>
  <si>
    <t>кількість діб опалювального періоду</t>
  </si>
  <si>
    <t>Дані згідно з додатком 1 до КТМ 204 України 244-94</t>
  </si>
  <si>
    <t>Дані згідно з додатком ДСТУ-Н Б В.1.1-27:2010 Будівельна кліматологія:</t>
  </si>
  <si>
    <r>
      <t>розрахункова температура для проектування системи опалення, </t>
    </r>
    <r>
      <rPr>
        <b/>
        <vertAlign val="superscript"/>
        <sz val="11"/>
        <color theme="1"/>
        <rFont val="Times New Roman"/>
        <family val="1"/>
        <charset val="204"/>
      </rPr>
      <t>°</t>
    </r>
    <r>
      <rPr>
        <sz val="11"/>
        <color theme="1"/>
        <rFont val="Times New Roman"/>
        <family val="1"/>
        <charset val="204"/>
      </rPr>
      <t>C</t>
    </r>
  </si>
  <si>
    <r>
      <t>середня температура зовнішнього повітря опалювального періоду, </t>
    </r>
    <r>
      <rPr>
        <b/>
        <vertAlign val="superscript"/>
        <sz val="11"/>
        <color theme="1"/>
        <rFont val="Times New Roman"/>
        <family val="1"/>
        <charset val="204"/>
      </rPr>
      <t>°</t>
    </r>
    <r>
      <rPr>
        <sz val="11"/>
        <color theme="1"/>
        <rFont val="Times New Roman"/>
        <family val="1"/>
        <charset val="204"/>
      </rPr>
      <t>C</t>
    </r>
  </si>
  <si>
    <t>на опалення будинків (будівель) у розрізі поверхів та кліматичних показників</t>
  </si>
  <si>
    <t>(найменування суб’єкта господарювання - виконавця послуг)</t>
  </si>
  <si>
    <t>________</t>
  </si>
  <si>
    <t>з квартирними засобами обліку гарячої води</t>
  </si>
  <si>
    <t>без квартирних засобів обліку гарячої води</t>
  </si>
  <si>
    <t>Кількість абонентів, яким надається послуга з постачання гарячої води</t>
  </si>
  <si>
    <t>Відповідна кількість мешканців, яким надається послуга з централізованого постачання гарячої води</t>
  </si>
  <si>
    <t>Кількість теплової енергії, потрібної для підігріву обсягу води (пункт 5), усього, Гкал на рік</t>
  </si>
  <si>
    <t>Фактична кількість днів надання послуги з постачання гарячої води за базовий період, діб</t>
  </si>
  <si>
    <t>Планована кількість днів надання послуги з постачання гарячої води протягом опалювального періоду, діб</t>
  </si>
  <si>
    <t>Планована кількість днів надання послуги з постачання гарячої води протягом міжопалювального періоду, діб</t>
  </si>
  <si>
    <t>Планована кількість годин надання послуги з постачання гарячої води на добу протягом опалювального періоду, годин</t>
  </si>
  <si>
    <t>Планована кількість годин надання послуги з постачання гарячої води на добу протягом міжопалювального періоду, годин</t>
  </si>
  <si>
    <r>
      <t>Середня температура холодної води протягом опалювального періоду, </t>
    </r>
    <r>
      <rPr>
        <b/>
        <vertAlign val="superscript"/>
        <sz val="11"/>
        <color rgb="FF000000"/>
        <rFont val="Times New Roman"/>
        <family val="1"/>
        <charset val="204"/>
      </rPr>
      <t>°</t>
    </r>
    <r>
      <rPr>
        <sz val="11"/>
        <color rgb="FF000000"/>
        <rFont val="Times New Roman"/>
        <family val="1"/>
        <charset val="204"/>
      </rPr>
      <t>C</t>
    </r>
  </si>
  <si>
    <r>
      <t>Середня температура холодної води протягом міжопалювального періоду, </t>
    </r>
    <r>
      <rPr>
        <b/>
        <vertAlign val="superscript"/>
        <sz val="11"/>
        <color rgb="FF000000"/>
        <rFont val="Times New Roman"/>
        <family val="1"/>
        <charset val="204"/>
      </rPr>
      <t>°</t>
    </r>
    <r>
      <rPr>
        <sz val="11"/>
        <color rgb="FF000000"/>
        <rFont val="Times New Roman"/>
        <family val="1"/>
        <charset val="204"/>
      </rPr>
      <t>C</t>
    </r>
  </si>
  <si>
    <t>Рядки, відмічені позначкою Х, виконавцем послуг не заповнюються; інформація  за наведеною формою заповнюється окремо для кожної категорії споживачів</t>
  </si>
  <si>
    <t>для надання послуг з постачання гарячої води</t>
  </si>
  <si>
    <t xml:space="preserve">для відповідної категорії споживачів </t>
  </si>
  <si>
    <t>Зміст</t>
  </si>
  <si>
    <t>Посилання на документ</t>
  </si>
  <si>
    <t>Заява за встановленою формою</t>
  </si>
  <si>
    <t>(стор. __ - __)</t>
  </si>
  <si>
    <t>Пояснювальна записка (обґрунтування потреби встановлення тарифів)</t>
  </si>
  <si>
    <t>Інформація про суб’єкта господарювання (заявника)</t>
  </si>
  <si>
    <t>Інформація про середньооблікову чисельність персоналу суб’єкта господарювання (заявника)</t>
  </si>
  <si>
    <t xml:space="preserve">Копія штатного розпису суб’єкта господарювання </t>
  </si>
  <si>
    <t>Копія колективного договору суб’єкта господарювання (за наявності)</t>
  </si>
  <si>
    <t>Інвестиційна програма суб’єкта господарювання (за наявності)</t>
  </si>
  <si>
    <t>Копії установчих документів (статуту, витягу з Єдиного державного реєстру юридичних осіб, фізичних осіб-підприємців та громадських формувань тощо)</t>
  </si>
  <si>
    <t>Копії розпорядчих документів про облікову політику підприємства з визначенням бази розподілу понесених витрат</t>
  </si>
  <si>
    <t>Копії договорів, укладених з організаціями, підприємствами та суб'єктами господарювання для забезпечення виробництва, транспортування та постачання теплової енергії, надання комунальних послуг</t>
  </si>
  <si>
    <t xml:space="preserve">Інформація щодо балансової вартості основних засобів, інших необоротних матеріальних і нематеріальних активів </t>
  </si>
  <si>
    <t xml:space="preserve">Розрахунки тарифів на теплову енергію (виробництво, транспортування, постачання)  </t>
  </si>
  <si>
    <t xml:space="preserve">Розрахунок втрат суб’єкта господарювання, які виникли протягом періоду розгляду розрахунків тарифів на теплову енергію, її виробництво, транспортування та постачання для відповідної категорії споживачів, встановлення та їх оприлюднення органом місцевого самоврядування, або копія рішення органу місцевого самоврядування про відшкодування таких втрат із місцевого бюджету </t>
  </si>
  <si>
    <r>
      <t>Річний план виробництва, транспортування та постачання теплової енергії, надання послуг із постачання теплової енергії та постачання гарячої води</t>
    </r>
    <r>
      <rPr>
        <sz val="14"/>
        <color theme="1"/>
        <rFont val="Times New Roman"/>
        <family val="1"/>
        <charset val="204"/>
      </rPr>
      <t xml:space="preserve"> </t>
    </r>
  </si>
  <si>
    <t>Розрахунки та документи, передбачені підпунктами 5-6 пункту 3 розділу ІІ Порядку</t>
  </si>
  <si>
    <t>Копія погоджених в установленому порядку норм питомих витрат паливно-енергетичних ресурсів</t>
  </si>
  <si>
    <t xml:space="preserve">Розрахунок палива, технологічних витрат електроенергії, води та відповідні підтвердні документи, передбачені підпунктом 8 пункту 3 розділу ІІ Порядку </t>
  </si>
  <si>
    <t>Копія графіка планово-запобіжних ремонтних робіт та дефектні акти</t>
  </si>
  <si>
    <t>Копія проектно-кошторисної документації на проведення ремонтних робіт</t>
  </si>
  <si>
    <t>Копії рішень власника щодо користування майном, що використовується під час виробництва, транспортування та постачання теплової енергії (користування, оренда тощо), та акти приймання-передавання зазначеного майна</t>
  </si>
  <si>
    <t>Копія наказу про встановлення норм витрат палива та мастильних матеріалів на автомобільному транспорті суб’єкта господарювання</t>
  </si>
  <si>
    <t>Довідка щодо сумарної встановленої потужності джерел теплової енергії, зокрема у розрізі джерел, та довідка щодо сумарної протяжності теплових мереж у розрізі діаметрів трубопроводів</t>
  </si>
  <si>
    <t xml:space="preserve">Розрахунок вартості технологічного палива на виробництво теплової енергії котельнями </t>
  </si>
  <si>
    <t xml:space="preserve">Розрахунок вартості технологічних витрат електроенергії на виробництво, транспортування та постачання теплової енергії </t>
  </si>
  <si>
    <t>Інформація про суб’єкта господарювання, що здійснює виробництво / транспортування / постачання теплової енергії, надає послуги з постачання теплової енергії та постачання гарячої води (загальна характеристика)</t>
  </si>
  <si>
    <t>Звітність, передбачена підпунктом 17 пункту 3 розділу ІІ Порядку</t>
  </si>
  <si>
    <t xml:space="preserve">Розрахунки тарифів на послуги з постачання теплової енергії та постачання гарячої води </t>
  </si>
  <si>
    <t xml:space="preserve">Перелік житлових та нежитлових приміщень, теплопостачання яких здійснює суб’єкт господарювання </t>
  </si>
  <si>
    <t>Розрахунок витрат на оплату праці персоналу, безпосередньо задіяного в наданні послуг із постачання гарячої води, передбачений підпунктом 3 пункту 4 розділу ІІ Порядку</t>
  </si>
  <si>
    <t xml:space="preserve">Інформація щодо планових обсягів теплової енергії на надання комунальних послуг: послуг із постачання теплової енергії, постачання гарячої води для відповідної категорії споживачів, щодо опалюваної площі та відповідних питомих норм на опалення будинків (будівель) </t>
  </si>
  <si>
    <t>Розрахунок інших витрат абонентської служби, розрахунок витрат на придбання води для надання послуги з постачання гарячої води, розрахунок витрат на послуги банку та інших установ з приймання і перерахування коштів споживачів, передбачений підпунктом 5 пункту 4 розділу ІІ Порядку</t>
  </si>
  <si>
    <t>ПЕРЕЛІК ДОКУМЕНТІВ</t>
  </si>
  <si>
    <t xml:space="preserve">що подаються для встановлення тарифів на  теплову енергію, </t>
  </si>
  <si>
    <t xml:space="preserve">її виробництво, транспортування та постачання, послуги з постачання теплової енергії, </t>
  </si>
  <si>
    <t>постачання гарячої води</t>
  </si>
  <si>
    <t>Директор</t>
  </si>
  <si>
    <t>ЗАЯВА</t>
  </si>
  <si>
    <t>(види діяльності)</t>
  </si>
  <si>
    <t>(найменування, місцезнаходження суб'єкта господарювання)</t>
  </si>
  <si>
    <t>(назва, серія, номер та дата видачі ліцензії суб'єкта господарювання (за наявності)</t>
  </si>
  <si>
    <t>(зазначити форму (спосіб) зміни тарифів)</t>
  </si>
  <si>
    <t>Заява та документи, що додаються до неї, містять достовірну інформацію.</t>
  </si>
  <si>
    <t>Дата вхідної  реєстрації_____________ №_______________</t>
  </si>
  <si>
    <t>Найменування суб'єкта господарювання</t>
  </si>
  <si>
    <t>Планований період</t>
  </si>
  <si>
    <t>Період, що передує базовому періоду</t>
  </si>
  <si>
    <t>Відповідальні особи</t>
  </si>
  <si>
    <t>Головний інженер</t>
  </si>
  <si>
    <t>Головний бухгалтер</t>
  </si>
  <si>
    <t>Ціна природного газу всього, у т.ч.:</t>
  </si>
  <si>
    <t>грн./тис.куб.м.</t>
  </si>
  <si>
    <t>природний газ</t>
  </si>
  <si>
    <t>Вартісні дані без ПДВ</t>
  </si>
  <si>
    <t>Значення у розрахунках</t>
  </si>
  <si>
    <t>Постачальник</t>
  </si>
  <si>
    <t>грн./куб.м.</t>
  </si>
  <si>
    <t>Єдиний соціальний внесок</t>
  </si>
  <si>
    <t>Єдиний соціальний внесок для працюючих інвалідів</t>
  </si>
  <si>
    <t>грн.</t>
  </si>
  <si>
    <t>Додаток 1</t>
  </si>
  <si>
    <t xml:space="preserve">Виконавчий комітет </t>
  </si>
  <si>
    <t>сільської/селищної/міської ради</t>
  </si>
  <si>
    <t>РОЗРАХУНОК</t>
  </si>
  <si>
    <t>єдиний внесок на загальнообов’язкове державне соціальне страхування працівників</t>
  </si>
  <si>
    <t xml:space="preserve"> амортизація</t>
  </si>
  <si>
    <t>паливо всього, у т.ч.:</t>
  </si>
  <si>
    <t>1.1.1.1</t>
  </si>
  <si>
    <t>1.1.1.2</t>
  </si>
  <si>
    <t>1.1.1.3</t>
  </si>
  <si>
    <t xml:space="preserve"> планований період</t>
  </si>
  <si>
    <t>планований  період</t>
  </si>
  <si>
    <t>амортизація</t>
  </si>
  <si>
    <t>на</t>
  </si>
  <si>
    <t>рік</t>
  </si>
  <si>
    <t>Інформація</t>
  </si>
  <si>
    <t>1 - 2-поверхових будинків (будівель)</t>
  </si>
  <si>
    <t>3 - 4-поверхових будинків (будівель)</t>
  </si>
  <si>
    <t>Річний обсяг теплової енергії для забезпечення послугою з постачання теплової енергії у будинках (будівлях) (пункт 2), Гкал, усього, зокрема:</t>
  </si>
  <si>
    <r>
      <t>Питоме споживання теплової енергії для забезпечення послугою з постачання теплової енергії у будинках (будівлях) (пункт 2),  Гкал/м</t>
    </r>
    <r>
      <rPr>
        <vertAlign val="superscript"/>
        <sz val="11"/>
        <color theme="1"/>
        <rFont val="Times New Roman"/>
        <family val="1"/>
        <charset val="204"/>
      </rPr>
      <t>2</t>
    </r>
    <r>
      <rPr>
        <sz val="11"/>
        <color theme="1"/>
        <rFont val="Times New Roman"/>
        <family val="1"/>
        <charset val="204"/>
      </rPr>
      <t xml:space="preserve"> на рік, усього, зокрема:</t>
    </r>
  </si>
  <si>
    <t>Максимальне теплове навантаження будинків (будівель) (пункт 2), Гкал/год</t>
  </si>
  <si>
    <t>діб</t>
  </si>
  <si>
    <t>°C</t>
  </si>
  <si>
    <t>З будинковими приладами обліку теплової енергії на послугу з постачання теплової енергії, зокрема:</t>
  </si>
  <si>
    <t>ІНФОРМАЦІЯ</t>
  </si>
  <si>
    <t xml:space="preserve">про суб’єкта господарювання, що здійснює
</t>
  </si>
  <si>
    <t>Витрати на ремонт основних засобів у повній собівартості, усього</t>
  </si>
  <si>
    <t>Амортизація у повній собівартості, усього</t>
  </si>
  <si>
    <t>Витрати на ремонт сновних засобів у повній собівартості, усього</t>
  </si>
  <si>
    <t>зокрема без витрат на оплату праці та єдиного внеску на загальнообов’язкове державне соціальне страхування працівників</t>
  </si>
  <si>
    <t>Що це?</t>
  </si>
  <si>
    <t>тут же додаткових витрат нема, то що це означає?</t>
  </si>
  <si>
    <t>Обсяг теплової енергії для надання послуги з постачання гарячої води, Гкал</t>
  </si>
  <si>
    <t>тобто це частина витрат, що включена до ТЕ та додаткові, що можуть бути?</t>
  </si>
  <si>
    <t xml:space="preserve">РІЧНИЙ ПЛАН </t>
  </si>
  <si>
    <t>Підтвердний документ (договір  + накладна, рахунок, інші документи)</t>
  </si>
  <si>
    <t>виробництва теплової енергії (Гкал)</t>
  </si>
  <si>
    <t>транспортування теплової енергії (Гкал)</t>
  </si>
  <si>
    <t>постачання теплової енергії (Гкал)</t>
  </si>
  <si>
    <t>1</t>
  </si>
  <si>
    <t>Виробництво теплової енергії власними генеруючими джерелами, усього, зокрема:</t>
  </si>
  <si>
    <t>новий рядок</t>
  </si>
  <si>
    <t>на установках з використанням альтернативних джерел енергії</t>
  </si>
  <si>
    <t>на котельнях</t>
  </si>
  <si>
    <t xml:space="preserve">tвн. </t>
  </si>
  <si>
    <t>tр.о.</t>
  </si>
  <si>
    <t>tср.о.</t>
  </si>
  <si>
    <t>Години роботи системи опалення за добу</t>
  </si>
  <si>
    <t>Тривалість опалювального періоду</t>
  </si>
  <si>
    <t>По</t>
  </si>
  <si>
    <t>Розрахункова температура зовнішнього повітря для проектування опалення</t>
  </si>
  <si>
    <t>Середня температура зовнішнього повітря за опалювальний період</t>
  </si>
  <si>
    <t>Дані для розрахунку Річного плану</t>
  </si>
  <si>
    <t>КТМ 204, формула 2.11</t>
  </si>
  <si>
    <t>березнь</t>
  </si>
  <si>
    <t>Всього, у т.ч.:</t>
  </si>
  <si>
    <t>Зокрема за місяць</t>
  </si>
  <si>
    <t>(найменування суб'єкта господарювання)</t>
  </si>
  <si>
    <t>2</t>
  </si>
  <si>
    <t>Витрати теплової енергії на власні потреби генеруючих джерел, усього, зокрема:</t>
  </si>
  <si>
    <t>теплова енергія, придбана в інших суб'єктів господарювання (розшифрувати за суб'єктами)</t>
  </si>
  <si>
    <t>Надходження в теплові мережі суб'єкта господарювання теплової енергії, яка вироблена іншими суб'єктами господарювання, усього, зокрема:</t>
  </si>
  <si>
    <t>Надходження теплової енергії в теплові мережі суб’єкта господарювання, усього 
(пункт 4 + пункт 3)</t>
  </si>
  <si>
    <t>Втрати теплової енергії суб’єкта господарювання в теплових мережах інших теплотранспортуючих організацій</t>
  </si>
  <si>
    <t>те саме у відсотках від пункту 7</t>
  </si>
  <si>
    <t>Корисний відпуск теплової енергії з теплових мереж суб’єкта господарювання, усього, зокрема:</t>
  </si>
  <si>
    <t>9.3.1</t>
  </si>
  <si>
    <t>9.3.2</t>
  </si>
  <si>
    <t>9.3.3</t>
  </si>
  <si>
    <t>9.3.4</t>
  </si>
  <si>
    <t>те саме у відсотках від пункту 9.3</t>
  </si>
  <si>
    <t>нумерація, пункт</t>
  </si>
  <si>
    <t>10.4</t>
  </si>
  <si>
    <t>11.1.1</t>
  </si>
  <si>
    <t>11.1.2</t>
  </si>
  <si>
    <t>11.1.3</t>
  </si>
  <si>
    <t>11.1.4</t>
  </si>
  <si>
    <t>11.2.1</t>
  </si>
  <si>
    <t>11.2.2</t>
  </si>
  <si>
    <t>11.2.3</t>
  </si>
  <si>
    <t>11.2.4</t>
  </si>
  <si>
    <t>Тривалість опалювального періоду, діб</t>
  </si>
  <si>
    <t>Приєднане теплове навантаження системи опалення всього, Гкал/год, у т.ч.:</t>
  </si>
  <si>
    <t>Витрати теплової енергії на власні потреби котелень</t>
  </si>
  <si>
    <t>Розрахункова температура внутрішнього повітря:</t>
  </si>
  <si>
    <t>Діючий тариф на активну електроенергію</t>
  </si>
  <si>
    <t>грн./кВт/год</t>
  </si>
  <si>
    <t>Додаток 14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t>
  </si>
  <si>
    <r>
      <t xml:space="preserve">      </t>
    </r>
    <r>
      <rPr>
        <u/>
        <sz val="11"/>
        <color theme="1"/>
        <rFont val="Times New Roman"/>
        <family val="1"/>
        <charset val="204"/>
      </rPr>
      <t>Директор</t>
    </r>
    <r>
      <rPr>
        <sz val="11"/>
        <color theme="1"/>
        <rFont val="Times New Roman"/>
        <family val="1"/>
        <charset val="204"/>
      </rPr>
      <t xml:space="preserve">                                       _______________</t>
    </r>
  </si>
  <si>
    <r>
      <t>* Розраховується за кожною затвердженою органом місцевого самоврядування нормою споживання гарячої води, м</t>
    </r>
    <r>
      <rPr>
        <vertAlign val="superscript"/>
        <sz val="11"/>
        <color rgb="FF000000"/>
        <rFont val="Times New Roman"/>
        <family val="1"/>
        <charset val="204"/>
      </rPr>
      <t>3</t>
    </r>
    <r>
      <rPr>
        <sz val="11"/>
        <color rgb="FF000000"/>
        <rFont val="Times New Roman"/>
        <family val="1"/>
        <charset val="204"/>
      </rPr>
      <t xml:space="preserve"> на місяць.</t>
    </r>
  </si>
  <si>
    <r>
      <t>Планований обсяг використання споживачами відповідної категорії гарячої води на розрахунковий період, м</t>
    </r>
    <r>
      <rPr>
        <b/>
        <vertAlign val="superscript"/>
        <sz val="11"/>
        <color rgb="FF000000"/>
        <rFont val="Times New Roman"/>
        <family val="1"/>
        <charset val="204"/>
      </rPr>
      <t>3</t>
    </r>
    <r>
      <rPr>
        <sz val="11"/>
        <color rgb="FF000000"/>
        <rFont val="Times New Roman"/>
        <family val="1"/>
        <charset val="204"/>
      </rPr>
      <t> на рік*:</t>
    </r>
  </si>
  <si>
    <r>
      <t>затверджена органом місцевого самоврядування норма споживання гарячої води, м</t>
    </r>
    <r>
      <rPr>
        <b/>
        <vertAlign val="superscript"/>
        <sz val="11"/>
        <color rgb="FF000000"/>
        <rFont val="Times New Roman"/>
        <family val="1"/>
        <charset val="204"/>
      </rPr>
      <t>3</t>
    </r>
    <r>
      <rPr>
        <sz val="11"/>
        <color rgb="FF000000"/>
        <rFont val="Times New Roman"/>
        <family val="1"/>
        <charset val="204"/>
      </rPr>
      <t> на місяць</t>
    </r>
  </si>
  <si>
    <r>
      <t>розрахунковий річний обсяг послуги з централізованого постачання гарячої води за нормою (підпункт 3.1), м</t>
    </r>
    <r>
      <rPr>
        <b/>
        <vertAlign val="superscript"/>
        <sz val="11"/>
        <color rgb="FF000000"/>
        <rFont val="Times New Roman"/>
        <family val="1"/>
        <charset val="204"/>
      </rPr>
      <t>3</t>
    </r>
  </si>
  <si>
    <r>
      <t>Планований обсяг використання споживачами гарячої води, м</t>
    </r>
    <r>
      <rPr>
        <vertAlign val="superscript"/>
        <sz val="11"/>
        <color rgb="FF000000"/>
        <rFont val="Times New Roman"/>
        <family val="1"/>
        <charset val="204"/>
      </rPr>
      <t>3</t>
    </r>
    <r>
      <rPr>
        <sz val="11"/>
        <color rgb="FF000000"/>
        <rFont val="Times New Roman"/>
        <family val="1"/>
        <charset val="204"/>
      </rPr>
      <t> на рік</t>
    </r>
  </si>
  <si>
    <r>
      <t>Обсяг закупівлі холодної води для підігріву, м</t>
    </r>
    <r>
      <rPr>
        <b/>
        <vertAlign val="superscript"/>
        <sz val="11"/>
        <color rgb="FF000000"/>
        <rFont val="Times New Roman"/>
        <family val="1"/>
        <charset val="204"/>
      </rPr>
      <t>3</t>
    </r>
    <r>
      <rPr>
        <sz val="11"/>
        <color rgb="FF000000"/>
        <rFont val="Times New Roman"/>
        <family val="1"/>
        <charset val="204"/>
      </rPr>
      <t> на рік</t>
    </r>
  </si>
  <si>
    <r>
      <t>Нормативна кількість теплової енергії, потрібної  для підігріву 1 м</t>
    </r>
    <r>
      <rPr>
        <vertAlign val="superscript"/>
        <sz val="11"/>
        <color rgb="FF000000"/>
        <rFont val="Times New Roman"/>
        <family val="1"/>
        <charset val="204"/>
      </rPr>
      <t>3</t>
    </r>
    <r>
      <rPr>
        <sz val="11"/>
        <color rgb="FF000000"/>
        <rFont val="Times New Roman"/>
        <family val="1"/>
        <charset val="204"/>
      </rPr>
      <t> холодної води, Гкал/м</t>
    </r>
    <r>
      <rPr>
        <vertAlign val="superscript"/>
        <sz val="11"/>
        <color rgb="FF000000"/>
        <rFont val="Times New Roman"/>
        <family val="1"/>
        <charset val="204"/>
      </rPr>
      <t>3</t>
    </r>
  </si>
  <si>
    <t>календарні</t>
  </si>
  <si>
    <t>щодо планованих обсягів теплової енергії та води</t>
  </si>
  <si>
    <t>Додаток 11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t>
  </si>
  <si>
    <r>
      <t>грн/м</t>
    </r>
    <r>
      <rPr>
        <vertAlign val="superscript"/>
        <sz val="11"/>
        <color theme="1"/>
        <rFont val="Times New Roman"/>
        <family val="1"/>
        <charset val="204"/>
      </rPr>
      <t>3</t>
    </r>
  </si>
  <si>
    <t>єдиний внесок на загальнообов’язкове державне соціальне страхування</t>
  </si>
  <si>
    <t>Вартість послуг</t>
  </si>
  <si>
    <t>Плановані тарифи на послуги з постачання гарячої води з ПДВ, усього, зокрема:</t>
  </si>
  <si>
    <t>Витрати на придбання холодної води для надання послуг з постачання гарячої води</t>
  </si>
  <si>
    <t xml:space="preserve">Розрахунок одноставкових тарифів на послуги з постачання гарячої води </t>
  </si>
  <si>
    <t>пізніше</t>
  </si>
  <si>
    <t>Встановлений норматив використання умовного палива на відпуск теплової енергії з колекторів генеруючих джерел</t>
  </si>
  <si>
    <t>Кількість споживачів (абонентів) виконавця послуг, яким надається послуга з постачання гарячої води усього, зокрема:</t>
  </si>
  <si>
    <t>Питоме використання палива (газу) до обсягу відпуску в мережу теплової енергії  з колекторів генеруючих джерел</t>
  </si>
  <si>
    <t>Обсяг використання теплової енергії на власні потреби джерел теплопостачання (генеруючих джерел)</t>
  </si>
  <si>
    <t>власними тепловими мережами суб'єкта господарювання всього, у тому числі:</t>
  </si>
  <si>
    <t>Теплове навантаження об’єктів теплоспоживання споживачів інших власників теплової енергії*, яка транспортується мережами суб'єкта господарювання, зокрема на потреби:</t>
  </si>
  <si>
    <t>чи просто бюджетних установ?</t>
  </si>
  <si>
    <t>Кількість споживачів (абонентів) суб'єкта господарювання всього, зокрема:</t>
  </si>
  <si>
    <t>додатковий до ТЕ?</t>
  </si>
  <si>
    <t>грн./кВАр</t>
  </si>
  <si>
    <t>Діючий тариф на централізоване водопостачання</t>
  </si>
  <si>
    <t>Діючий тариф на централізоване водовідведення</t>
  </si>
  <si>
    <t>ДСТУ Будівельна кліматологія</t>
  </si>
  <si>
    <t xml:space="preserve">     (керівник)                                                (підпис)</t>
  </si>
  <si>
    <t>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(пункт 1 розділу ІІ)</t>
  </si>
  <si>
    <t>на теплову енергію, її виробництво, транспортування та постачання, послуги з постачання теплової енергії</t>
  </si>
  <si>
    <t>1.1.3.1</t>
  </si>
  <si>
    <t>покупна теплова енергія</t>
  </si>
  <si>
    <t>1.1.3.2</t>
  </si>
  <si>
    <t>встановлена повна планована вартість теплової енергії, виробленої власними установками, що використовують НПДЕ</t>
  </si>
  <si>
    <t>Обсяг реалізації  теплової енергії власним споживачам</t>
  </si>
  <si>
    <t>тарифів на транспортування теплової енергії без урахування витрат на утримання та ремонт центральних теплових пунктів</t>
  </si>
  <si>
    <t>Вартість транспортування теплової енергії за відповідними тарифами</t>
  </si>
  <si>
    <t>Обсяг надходження теплової енергії до теплових мереж суб'єкта господарювання, зокрема:</t>
  </si>
  <si>
    <t>Втрати теплової енергії в теплових мережах суб'єкта господарювання, всього, зокрема:</t>
  </si>
  <si>
    <t>теплової енергії інших власників для транспортування тепловими мережами суб'єкта господарювання</t>
  </si>
  <si>
    <t>Корисний відпуск теплової енергії з теплових мереж суб'єкта господарювання, усього, зокрема:</t>
  </si>
  <si>
    <t>13.3</t>
  </si>
  <si>
    <t>13.3.1</t>
  </si>
  <si>
    <t>13.3.2</t>
  </si>
  <si>
    <t>13.3.3</t>
  </si>
  <si>
    <t>13.3.4</t>
  </si>
  <si>
    <t>Обсяг транспортування теплової енергії суб'єкта господарювання тепловими мережами іншого(их) суб’єкта(ів) господарювання</t>
  </si>
  <si>
    <t xml:space="preserve">Тариф(и) іншого(их) суб’єкта(ів) господарювання на транспортування теплової енергії </t>
  </si>
  <si>
    <t>Обсяг реалізації теплової енергії власним споживачам,  зокрема на потреби:</t>
  </si>
  <si>
    <t>http://www.nerc.gov.ua/index.php?id=20884</t>
  </si>
  <si>
    <t>http://www.nerc.gov.ua/index.php?id=20885</t>
  </si>
  <si>
    <t>http://www.nerc.gov.ua/index.php?id=20886</t>
  </si>
  <si>
    <t>Адреси житлових будинків із системами автономного опалення (САО)</t>
  </si>
  <si>
    <t>відсутні</t>
  </si>
  <si>
    <t>індекс не треба?</t>
  </si>
  <si>
    <t>повна планована собівартість виробництва теплової енергії</t>
  </si>
  <si>
    <t>планований прибуток</t>
  </si>
  <si>
    <t>Тариф на транспортування теплової енергії, зокрема:</t>
  </si>
  <si>
    <t>повна планована собівартість транспортування теплової енергії</t>
  </si>
  <si>
    <t>повна планована собівартість постачання теплової енергії</t>
  </si>
  <si>
    <t>повна планована собівартість теплової енергії</t>
  </si>
  <si>
    <t>повна планована собівартість виробництва, транспортування, постачання  теплової енергії</t>
  </si>
  <si>
    <t>планований прибуток від виробництва, транспортування, постачання  теплової енергії</t>
  </si>
  <si>
    <t>Річні плановані доходи від виробництва, транспортування, постачання теплової енергії, усього, зокрема:</t>
  </si>
  <si>
    <t>Річні плановані доходи від виробництва, транспортування, постачання теплової енергії без транспортування тепловими мережами суб'єкта господарювання теплової енергії інших власників, усього, зокрема:</t>
  </si>
  <si>
    <t xml:space="preserve">повна планована собівартість виробництва, транспортування, постачання  теплової енергії </t>
  </si>
  <si>
    <t xml:space="preserve">планований прибуток від виробництва, транспортування, постачання  теплової енергії </t>
  </si>
  <si>
    <t>Планований корисний відпуск з теплових мереж суб'єкта господарювання теплової енергії власним споживачам та теплової енергії інших власників, зокрема:</t>
  </si>
  <si>
    <t>транспортування теплової енергії іншими субєктами господарювання</t>
  </si>
  <si>
    <t>холодна вода для технологічних потреб  та водовідведення</t>
  </si>
  <si>
    <t>інші прямі матеріальні витрати</t>
  </si>
  <si>
    <t>теплоенергії інших власників для транспортування тепловими мережами суб'єкта господарювання</t>
  </si>
  <si>
    <t>тарифів на транспортування теплової енергії з урахуванням витрат на утримання та ремонт центральних теплових пунктів</t>
  </si>
  <si>
    <t>ЗАТВЕРДЖЕНО:</t>
  </si>
  <si>
    <t>Директор КП "ЧТЕ"</t>
  </si>
  <si>
    <t>Паншин А.В.</t>
  </si>
  <si>
    <t>ОДЕСА</t>
  </si>
  <si>
    <t>Таблиця  значень температури зовнішнього повітря та кількості днів опалювального періоду</t>
  </si>
  <si>
    <t xml:space="preserve">1. Значення підприємства прийняті до розрахунку </t>
  </si>
  <si>
    <t>кількість днів у місяці</t>
  </si>
  <si>
    <t>середньозважений показник</t>
  </si>
  <si>
    <t>опалювальний період</t>
  </si>
  <si>
    <t>річний</t>
  </si>
  <si>
    <t>Опалювальний сезон 2018 - 2019</t>
  </si>
  <si>
    <t>середня кількість днів за місяц в опалювальний період</t>
  </si>
  <si>
    <t>середня кількість днів за місяц в міжопалювальний період</t>
  </si>
  <si>
    <t>температура зовнішнього повітря</t>
  </si>
  <si>
    <t>сердньозважений показник температури за місяц в опалювальний період</t>
  </si>
  <si>
    <t>сердньозважений показник температури за місяц в міжопалювальний період</t>
  </si>
  <si>
    <t>2. Корисний, Втрати</t>
  </si>
  <si>
    <t>місяці</t>
  </si>
  <si>
    <t>Найменування показників</t>
  </si>
  <si>
    <t>кількість днів</t>
  </si>
  <si>
    <t>кількість діб роботи системи в опалювальний період</t>
  </si>
  <si>
    <t>=</t>
  </si>
  <si>
    <t>кількість діб роботи системи в міжопалювальний період***</t>
  </si>
  <si>
    <t>*** обов`язково виключити кількість діб планового ремонтного періоду в міжопалювальний період</t>
  </si>
  <si>
    <t>Головний інженер "КП ЧТЕ"</t>
  </si>
  <si>
    <t>Висоцький О.Г.</t>
  </si>
  <si>
    <t>Виконавець: Інженер ВТВ Мойсеєнко С.В.</t>
  </si>
  <si>
    <t>Бюджетні установи всього,у  т.ч.:</t>
  </si>
  <si>
    <t>Інші споживачі всього, у т.ч.:</t>
  </si>
  <si>
    <t xml:space="preserve">з ЦТП </t>
  </si>
  <si>
    <t>без ЦТП</t>
  </si>
  <si>
    <t>з ЦТП</t>
  </si>
  <si>
    <t>Релігійні організації всього, у т.ч.:</t>
  </si>
  <si>
    <t>з приладами обліку</t>
  </si>
  <si>
    <t>без приладів обліку</t>
  </si>
  <si>
    <t>Потреба в ТЕ на опалення</t>
  </si>
  <si>
    <t>Господарські потреби всього, у т.ч.:</t>
  </si>
  <si>
    <t>Населення (прямі договори) всього, у т.ч.:</t>
  </si>
  <si>
    <t>Населення (відомче житло) всього, у т.ч.:</t>
  </si>
  <si>
    <t xml:space="preserve">у т.ч. МЗК </t>
  </si>
  <si>
    <t>Додаток 6
до рішення виконавчого комітету міської ради від ___.___ 2020 р. №_____</t>
  </si>
  <si>
    <t>Орган місцевого самоврядування</t>
  </si>
  <si>
    <t xml:space="preserve"> втрат суб’єкта господарювання у сфері теплопостачання,</t>
  </si>
  <si>
    <t>(назва  суб’єкта господарювання )</t>
  </si>
  <si>
    <t>змінено</t>
  </si>
  <si>
    <t>додано</t>
  </si>
  <si>
    <t xml:space="preserve"> які виникли протягом періоду розгляду розрахунків тарифів на теплову енергію, її виробництво, </t>
  </si>
  <si>
    <t xml:space="preserve">встановлення та їх оприлюднення органом місцевого самоврядування* </t>
  </si>
  <si>
    <t>рр.</t>
  </si>
  <si>
    <t>НАДАННЯ ПОСЛУГ З ПОСТАЧАННЯ ТЕПЛОВОЇ ЕНЕРГІЇ НА</t>
  </si>
  <si>
    <t>Період, що передує базовому
(факт)</t>
  </si>
  <si>
    <t>змінено, було - генерувальних, стало - генеруючих, нумерація</t>
  </si>
  <si>
    <t>змінено, було - що використовують нетрадиційні або поновлювальні джерела енергії, стало - з використання альтернативних джерел енергії, нумерація</t>
  </si>
  <si>
    <t>змінено,було - котельні, стало - на котельнях, нумерація</t>
  </si>
  <si>
    <t>змінено, було - в мережу, виробниками, стало - в теплові мережі, іншими субєктами господарювання, нумерація</t>
  </si>
  <si>
    <t>змінено, було - покупна теплова енергія, стало - теплова енергія, придбана в інших субєктів господарювання, нумерація</t>
  </si>
  <si>
    <t>теплова енергія інших cуб'єктів  для транспортування тепловими мережами суб’єкта господарювання (розшифрувати за cуб'єктами господарювання)</t>
  </si>
  <si>
    <t>змінено, було - власників, мережами, за власниками, стало - іншими суб., нумерація</t>
  </si>
  <si>
    <t>змінено, було - в мережу, стало - в теплові мережі, нумерація</t>
  </si>
  <si>
    <t>те саме у відсотках від пункту 5</t>
  </si>
  <si>
    <t>змінено - номер пункту, нумерація</t>
  </si>
  <si>
    <t>зокрема втрати в теплових мережах суб’єкта господарювання теплової енергії інших суб'єктів господарювання (розшифрувати за суб'єктами господарювання)</t>
  </si>
  <si>
    <t>змінено, було власників, власниками, стало - суб'єктів господарювання, суб'єктами господарювання, нумерація</t>
  </si>
  <si>
    <t>Надходження теплової енергії суб’єкта господарювання  в  теплові мережі інших теплотранспортуючих організацій</t>
  </si>
  <si>
    <t>змінено,було - мережу, теплотранспортувальних, стало - теплові мережі, теплотранспортуючих, нумерація</t>
  </si>
  <si>
    <t>змінено, було теплотранспортувальних, стало - теплотранспортуючих, нумерація</t>
  </si>
  <si>
    <t>змінено, було - мереж, стало - теплових мереж, нумерація</t>
  </si>
  <si>
    <t>теплова енергія інших суб'єктів господарювання (розшифрувати за суб'єктами господарювання)</t>
  </si>
  <si>
    <t>змінено, було - власників, власниками, стало - суб'єктів господарювання, суб'єктами господарювання, нумерація</t>
  </si>
  <si>
    <t>змінено - нумерація</t>
  </si>
  <si>
    <t>змінено - нумерація, пункт</t>
  </si>
  <si>
    <t>змінено, було бюджетних установ та організацій, стало - бюджетних установ, нумерація</t>
  </si>
  <si>
    <t>Теплове навантаження об’єктів теплоспоживання власних споживачів суб'єкта господарювання, усього,  зокрема на потреби:</t>
  </si>
  <si>
    <t>змінено, було - бюджених установ та організацій, стало - бюджетних установ, нумерація</t>
  </si>
  <si>
    <t>2020-2021</t>
  </si>
  <si>
    <t>16</t>
  </si>
  <si>
    <t>17</t>
  </si>
  <si>
    <t>18</t>
  </si>
  <si>
    <t>11.2.1.1</t>
  </si>
  <si>
    <t>11.2.1.2</t>
  </si>
  <si>
    <t>11.2.2.1</t>
  </si>
  <si>
    <t>11.2.2.2</t>
  </si>
  <si>
    <t>11.2.3.1</t>
  </si>
  <si>
    <t>11.2.3.2</t>
  </si>
  <si>
    <t>11.2.4.1</t>
  </si>
  <si>
    <t>11.2.4.2</t>
  </si>
  <si>
    <t>11.1.4.1</t>
  </si>
  <si>
    <t>11.1.4.2</t>
  </si>
  <si>
    <t>11.1.3.1</t>
  </si>
  <si>
    <t>11.1.3.2</t>
  </si>
  <si>
    <t>11.1.2.1</t>
  </si>
  <si>
    <t>11.1.2.2</t>
  </si>
  <si>
    <t>11.1.1.1</t>
  </si>
  <si>
    <t>11.1.1.2</t>
  </si>
  <si>
    <t>11.1.1.1.1</t>
  </si>
  <si>
    <t>11.1.1.1.2</t>
  </si>
  <si>
    <t>11.1.1.2.1</t>
  </si>
  <si>
    <t>11.1.1.2.2</t>
  </si>
  <si>
    <t xml:space="preserve">МЗК </t>
  </si>
  <si>
    <t>МЗК споживачів з автономним опаленням</t>
  </si>
  <si>
    <t>власні споживачі</t>
  </si>
  <si>
    <t>10.5</t>
  </si>
  <si>
    <t>10.4.1</t>
  </si>
  <si>
    <t>10.4.2</t>
  </si>
  <si>
    <t>10.3.1</t>
  </si>
  <si>
    <t>10.3.2</t>
  </si>
  <si>
    <t>10.5.1</t>
  </si>
  <si>
    <t>10.5.2</t>
  </si>
  <si>
    <t>10.1.1</t>
  </si>
  <si>
    <t>10.1.2</t>
  </si>
  <si>
    <t>10.1.1.1</t>
  </si>
  <si>
    <t>10.1.1.2</t>
  </si>
  <si>
    <t>10.1.2.1</t>
  </si>
  <si>
    <t>10.1.2.2</t>
  </si>
  <si>
    <t>10.2.1</t>
  </si>
  <si>
    <t>10.2.2</t>
  </si>
  <si>
    <t>з приладами обліку без МЗК</t>
  </si>
  <si>
    <t>9.2.1</t>
  </si>
  <si>
    <t>9.2.2</t>
  </si>
  <si>
    <t>9.3.4.1</t>
  </si>
  <si>
    <t>9.3.4.2</t>
  </si>
  <si>
    <t>9.3.3.1</t>
  </si>
  <si>
    <t>9.3.3.2</t>
  </si>
  <si>
    <t>9.3.2.1</t>
  </si>
  <si>
    <t>9.3.2.2</t>
  </si>
  <si>
    <t>9.3.1.1</t>
  </si>
  <si>
    <t>9.3.1.2</t>
  </si>
  <si>
    <t>9.3.1.1.1</t>
  </si>
  <si>
    <t>9.3.1.1.2</t>
  </si>
  <si>
    <t>9.3.1.2.1</t>
  </si>
  <si>
    <t>9.3.1.2.2</t>
  </si>
  <si>
    <t>6.1.1</t>
  </si>
  <si>
    <t>6.2.1</t>
  </si>
  <si>
    <t>4.2.1</t>
  </si>
  <si>
    <t>4.2.2</t>
  </si>
  <si>
    <t>те ж у відсотках від  пункту 4.2.1</t>
  </si>
  <si>
    <t>те ж у відсотках від  пункту 4.2.2</t>
  </si>
  <si>
    <t>3.2.1</t>
  </si>
  <si>
    <t>3.2.2</t>
  </si>
  <si>
    <t>3.2.3</t>
  </si>
  <si>
    <t>3.2.1.1</t>
  </si>
  <si>
    <t>3.2.1.2</t>
  </si>
  <si>
    <t>3.2.2.1</t>
  </si>
  <si>
    <t>3.2.2.2</t>
  </si>
  <si>
    <t>3.2.3.1</t>
  </si>
  <si>
    <t>3.2.3.2</t>
  </si>
  <si>
    <t>3.2.4</t>
  </si>
  <si>
    <t>3.2.4.1</t>
  </si>
  <si>
    <t>3.2.4.2</t>
  </si>
  <si>
    <t>Втрати теплової енергії</t>
  </si>
  <si>
    <t>котельня по вул Садова</t>
  </si>
  <si>
    <t>котельня по вул Зелена</t>
  </si>
  <si>
    <t>у т.ч. кот. Зелена</t>
  </si>
  <si>
    <t>у т.ч. котельня Зелена</t>
  </si>
  <si>
    <t>у т.ч. населення</t>
  </si>
  <si>
    <t>у т.ч. бюджетні установи</t>
  </si>
  <si>
    <t>корисний відпуск ТЕ</t>
  </si>
  <si>
    <t>бюджетні установи</t>
  </si>
  <si>
    <t>господарські потреби</t>
  </si>
  <si>
    <t>6.1.2</t>
  </si>
  <si>
    <t>6.1.3</t>
  </si>
  <si>
    <t>6.1.4</t>
  </si>
  <si>
    <t>6.2.2</t>
  </si>
  <si>
    <t>6.2.3</t>
  </si>
  <si>
    <t>6.2.4</t>
  </si>
  <si>
    <t>Вартість електроенергії (постачання)</t>
  </si>
  <si>
    <t>грн/кВт ∙год</t>
  </si>
  <si>
    <t>Вартість електроенергії (розподіл)</t>
  </si>
  <si>
    <t>грн/кВАр∙год</t>
  </si>
  <si>
    <t>АТ "ОДЕСАОБЛЕНЕРГО" Чорноморський РЕМ</t>
  </si>
  <si>
    <t>Тариф на послуги з розподілу електричної енергії, 2 клас напруги, без ПДВ</t>
  </si>
  <si>
    <t>ТОВ "Одеська обласна енергопостачальна компанія" Чорноморський підрозділ</t>
  </si>
  <si>
    <t>Тариф на електричну енергію, без ПДВ</t>
  </si>
  <si>
    <t>Всього</t>
  </si>
  <si>
    <t xml:space="preserve">на  постачання  </t>
  </si>
  <si>
    <t xml:space="preserve"> на загально-виробничі витрати</t>
  </si>
  <si>
    <t>на адміністративні  витрати</t>
  </si>
  <si>
    <t>інше</t>
  </si>
  <si>
    <t>Тариф для розрахунку плати за перетікання реактивної електроенергії, без ПДВ</t>
  </si>
  <si>
    <t>Тариф для розрахунку плати за генерацію реактивної електроенергії, без ПДВ</t>
  </si>
  <si>
    <t>Обсяг генерації реактивної електроенергії</t>
  </si>
  <si>
    <t>Вартість споживання реактивної електроенергії (перетікання)</t>
  </si>
  <si>
    <t>Вартість споживання реактивної електроенергії (генерація)</t>
  </si>
  <si>
    <t>Обсяг відпуску з колекторів</t>
  </si>
  <si>
    <t>у т.ч. котельня САДОВА</t>
  </si>
  <si>
    <t>у т.ч. котельня ЗЕЛЕНА без ЦТП</t>
  </si>
  <si>
    <t>Обсяг споживання активної електроенергії, усього, зокрема:</t>
  </si>
  <si>
    <t>Норма питомих витрат електроенергії на транспортування теплової енергії, усього, зокрема:</t>
  </si>
  <si>
    <t>Вартість електроенергії (постачання) усього, зокрема:</t>
  </si>
  <si>
    <t>Вартість електроенергії (розподіл), усього, зокрема:</t>
  </si>
  <si>
    <t>2.2.1</t>
  </si>
  <si>
    <t>2.2.2</t>
  </si>
  <si>
    <t>1.2.1</t>
  </si>
  <si>
    <t>1.2.2</t>
  </si>
  <si>
    <t>6.1.5</t>
  </si>
  <si>
    <t>6.2.5</t>
  </si>
  <si>
    <t>3.2.5</t>
  </si>
  <si>
    <t>3.2.5.1</t>
  </si>
  <si>
    <t>3.2.5.2</t>
  </si>
  <si>
    <t>господарських потреб ліцензованої діяльності суб’єкта господарювання</t>
  </si>
  <si>
    <t>вартості технологічного палива на виробництво теплової енергії</t>
  </si>
  <si>
    <t>тариф на послуги розподілу природного газу</t>
  </si>
  <si>
    <t>тариф на транспортування природного газу</t>
  </si>
  <si>
    <t>Постачання природного газу</t>
  </si>
  <si>
    <t>Транспортування природного газу</t>
  </si>
  <si>
    <t>новий</t>
  </si>
  <si>
    <t>Розподіл природного газу</t>
  </si>
  <si>
    <t>Додаток ____</t>
  </si>
  <si>
    <t>Додаток ___</t>
  </si>
  <si>
    <t>Постанова НКРЕКП від 24.12.2019 № 3013</t>
  </si>
  <si>
    <t xml:space="preserve">новий </t>
  </si>
  <si>
    <t>Вартість активної електроенергії, усього, зокрема:</t>
  </si>
  <si>
    <t>Вартість споживання реактивної електроенергії (перетікання), усього, зокрема:</t>
  </si>
  <si>
    <t>Обсяг споживання реактивної електроенергії, усього, зокрема:</t>
  </si>
  <si>
    <t>Обсяг генерації реактивної електроенергії, усього, зокрема:</t>
  </si>
  <si>
    <t>Вартість споживання реактивної електроенергії (генерація), усього, зокрема:</t>
  </si>
  <si>
    <t>Вартість активної та реактивної електроенергії на транспортування теплової енергії, усього, зокрема:</t>
  </si>
  <si>
    <t>Вартість реактивної електроенергії, усього</t>
  </si>
  <si>
    <t>Вартість реактивної електроенергії, усього, зокрема:</t>
  </si>
  <si>
    <t>Додаток _____</t>
  </si>
  <si>
    <t xml:space="preserve">витрат електроенергії на загальновиробничі та загальногосподарські (адміністративні) потреби </t>
  </si>
  <si>
    <t>загальногосподарські потреби</t>
  </si>
  <si>
    <t>Додаток 12
до рішення виконавчого комітету міської ради від ___.___ 2020 р. №_____</t>
  </si>
  <si>
    <t>з постачання теплової енергії</t>
  </si>
  <si>
    <t xml:space="preserve">для споживачів, опалюваної площі та відповідних питомих норм </t>
  </si>
  <si>
    <t xml:space="preserve">   (керівник)                                          </t>
  </si>
  <si>
    <t xml:space="preserve">  (підпис)</t>
  </si>
  <si>
    <t>___________</t>
  </si>
  <si>
    <r>
      <t>Загальна опалювана площа будинків (будівель) без площі квартир (приміщень) з автономним опаленням станом на початок планованого періоду, м</t>
    </r>
    <r>
      <rPr>
        <vertAlign val="superscript"/>
        <sz val="11"/>
        <color theme="1"/>
        <rFont val="Times New Roman"/>
        <family val="1"/>
        <charset val="204"/>
      </rPr>
      <t>2</t>
    </r>
    <r>
      <rPr>
        <sz val="11"/>
        <color theme="1"/>
        <rFont val="Times New Roman"/>
        <family val="1"/>
        <charset val="204"/>
      </rPr>
      <t>, усього, зокрема:</t>
    </r>
  </si>
  <si>
    <t>Додаток 15 не примірна форма, його змінювати не можна</t>
  </si>
  <si>
    <t>Витрати на ремонт основних засобів у повній собівартості послуг, усього</t>
  </si>
  <si>
    <t>Амортизація у повній собівартості послуг, усього</t>
  </si>
  <si>
    <t>бюджетним установам</t>
  </si>
  <si>
    <t xml:space="preserve"> </t>
  </si>
  <si>
    <t>з МЗК</t>
  </si>
  <si>
    <t>виконавці комунальних послуг</t>
  </si>
  <si>
    <t>виконавець комунальної послуги - суб’єкт господарювання, що надає комунальну послугу споживачу відповідно до умов договору;</t>
  </si>
  <si>
    <t>Річний обсяг надходження теплової енергії в теплові мережі суб'єкта господарювання</t>
  </si>
  <si>
    <t>Д7</t>
  </si>
  <si>
    <t>Фактичні втрати теплової енергії у власних теплових мережах суб'єкта господарювання:</t>
  </si>
  <si>
    <t>Нормативні втрати теплової енергії у власних теплових мережах суб'єкта господарювання:</t>
  </si>
  <si>
    <t xml:space="preserve">змінено </t>
  </si>
  <si>
    <t>Річний обсяг транспортування теплової енергії тепловими мережами, зокрема:</t>
  </si>
  <si>
    <t>власної теплової енергії тепловими мережами інших суб'єктів господарювання</t>
  </si>
  <si>
    <t>теплової енергії інших суб’єктів господарювання</t>
  </si>
  <si>
    <t>Базовий період (факт)</t>
  </si>
  <si>
    <t>Обсяг виробництва теплової енергії</t>
  </si>
  <si>
    <t>Обсяг відпущеної в теплові мережі теплової енергії з колекторів генеруючих джерел</t>
  </si>
  <si>
    <t>факт 2017</t>
  </si>
  <si>
    <t>Структурній підрозділ</t>
  </si>
  <si>
    <t>Оператор зв’язку</t>
  </si>
  <si>
    <t>Договір</t>
  </si>
  <si>
    <t>од. виміру</t>
  </si>
  <si>
    <t xml:space="preserve"> Прямі витрати</t>
  </si>
  <si>
    <t>Загально-виробничі</t>
  </si>
  <si>
    <t>Адмініст-ративні</t>
  </si>
  <si>
    <t>Виробництво</t>
  </si>
  <si>
    <t>Транспор-тування</t>
  </si>
  <si>
    <t>Внески</t>
  </si>
  <si>
    <t>Абонентське обслуговуваня</t>
  </si>
  <si>
    <t>Сума</t>
  </si>
  <si>
    <t>Бухгалтерія</t>
  </si>
  <si>
    <t>ТОВ "Інтертелеком"</t>
  </si>
  <si>
    <t>шт.</t>
  </si>
  <si>
    <t>Товарознавець</t>
  </si>
  <si>
    <t>Кількість номерів</t>
  </si>
  <si>
    <t>Абонплата за рік</t>
  </si>
  <si>
    <t xml:space="preserve">Модемний зв'язок </t>
  </si>
  <si>
    <t>ТОВ "Лайфселл"</t>
  </si>
  <si>
    <t>Всього по договору №205115618</t>
  </si>
  <si>
    <t xml:space="preserve"> ПрАТ "ВФ Україна"</t>
  </si>
  <si>
    <t>1.10812556</t>
  </si>
  <si>
    <t>Всього по договору № 1.10812556</t>
  </si>
  <si>
    <t>Котельня</t>
  </si>
  <si>
    <t xml:space="preserve"> ПАТ "Укртелеком"</t>
  </si>
  <si>
    <t>Безпека праці</t>
  </si>
  <si>
    <t>Абонентський відділ</t>
  </si>
  <si>
    <t>Диспетчерська служба</t>
  </si>
  <si>
    <t>Виробнично-технічний відділ</t>
  </si>
  <si>
    <t>Група по ПО</t>
  </si>
  <si>
    <t xml:space="preserve">Заступники директора </t>
  </si>
  <si>
    <t>Приймальня</t>
  </si>
  <si>
    <t>Відділ кадрів</t>
  </si>
  <si>
    <t>Міжміські дзвінки</t>
  </si>
  <si>
    <t>Роздруківка дзвінків</t>
  </si>
  <si>
    <t>Всього по договору № 68210033</t>
  </si>
  <si>
    <t>Кількість пристроїв Інтернет</t>
  </si>
  <si>
    <t>ТОВ "Глобал-сіті-нет"</t>
  </si>
  <si>
    <t>Вик. Калмацуй К. Б.</t>
  </si>
  <si>
    <t>Постачання</t>
  </si>
  <si>
    <t>скорочено</t>
  </si>
  <si>
    <t>Заступник директора з економіки</t>
  </si>
  <si>
    <t>Начальник юридичного відділу</t>
  </si>
  <si>
    <t>база розподілу адміністративних витрат</t>
  </si>
  <si>
    <t xml:space="preserve">в тому числі </t>
  </si>
  <si>
    <t>виробництво ТЕ</t>
  </si>
  <si>
    <t>транспорту-вання ТЕ</t>
  </si>
  <si>
    <t>постачання ТЕ</t>
  </si>
  <si>
    <t>абонентське обслуговування</t>
  </si>
  <si>
    <t>Адміністративні витрати всього, у т.ч.:</t>
  </si>
  <si>
    <t>Матеріальні витрати всього, у т.ч.:</t>
  </si>
  <si>
    <t>розрахунок на листі ПММ</t>
  </si>
  <si>
    <t>запчастини</t>
  </si>
  <si>
    <t>Витрати на оплату праці з відрахуваннями всього, у т.ч.:</t>
  </si>
  <si>
    <t>працюючих інвалідів</t>
  </si>
  <si>
    <t>22% від ФОП, інваліди - 8,41%</t>
  </si>
  <si>
    <t>Витрати на утримання основних засобів, інших необоротних матеріальних активів загальногосподарського використання всього, у т.ч.:</t>
  </si>
  <si>
    <t>освітлення та робота оргтехніки</t>
  </si>
  <si>
    <t>опалення</t>
  </si>
  <si>
    <t>Інші витрати, у т.ч.:</t>
  </si>
  <si>
    <t>розрахунково-касове обслуговування</t>
  </si>
  <si>
    <t>витрати на періодичні видання</t>
  </si>
  <si>
    <t>Додаток___</t>
  </si>
  <si>
    <t>Податки, збори, платежі, тис. грн.</t>
  </si>
  <si>
    <t>Рентна плата за користування радіочастотним ресурсом </t>
  </si>
  <si>
    <t>Транспортування</t>
  </si>
  <si>
    <t>Адміністративні витрати</t>
  </si>
  <si>
    <t>внески</t>
  </si>
  <si>
    <t>інші види діяльності</t>
  </si>
  <si>
    <t>Факт</t>
  </si>
  <si>
    <t>План</t>
  </si>
  <si>
    <t>ПММ</t>
  </si>
  <si>
    <t>матеріали</t>
  </si>
  <si>
    <t>матеріали на техніку безпеки</t>
  </si>
  <si>
    <t>МШП</t>
  </si>
  <si>
    <t>МШП техніка безпеки</t>
  </si>
  <si>
    <t>канцтовари, бланки</t>
  </si>
  <si>
    <t>спецодяг та спецвзуття</t>
  </si>
  <si>
    <t>спецхарчування</t>
  </si>
  <si>
    <t>Тариф</t>
  </si>
  <si>
    <t>Всього витрат ПММ, грн</t>
  </si>
  <si>
    <t>Всього витрат, грн.</t>
  </si>
  <si>
    <t>Вид мастила</t>
  </si>
  <si>
    <t>Всього витрат, грн</t>
  </si>
  <si>
    <t>АІ-76</t>
  </si>
  <si>
    <t>АІ-80</t>
  </si>
  <si>
    <t>АІ-92</t>
  </si>
  <si>
    <t>АІ-95</t>
  </si>
  <si>
    <t>ДП</t>
  </si>
  <si>
    <t>Газ</t>
  </si>
  <si>
    <t>Ціна палива, грн/л (без ПДВ)</t>
  </si>
  <si>
    <t>Ціна мастила, грн/л (без ПДВ)</t>
  </si>
  <si>
    <t>Виробництво т/е</t>
  </si>
  <si>
    <t>Транспортування т/е</t>
  </si>
  <si>
    <t>Постачання т/е</t>
  </si>
  <si>
    <t>Послуги з абонентського обслуговування</t>
  </si>
  <si>
    <t>Інша неліцензована діяльність</t>
  </si>
  <si>
    <t>Загальновиробничого призначення</t>
  </si>
  <si>
    <t>Адміністративного призначення</t>
  </si>
  <si>
    <t>Всього:</t>
  </si>
  <si>
    <t xml:space="preserve">(П.І.Б.)               </t>
  </si>
  <si>
    <t>Індекс цін виробників промислової продукції (грудень до грудня попереднього року), відсотків</t>
  </si>
  <si>
    <t>факт на ІЦВ</t>
  </si>
  <si>
    <t>перенесено в ЗВВ</t>
  </si>
  <si>
    <t>без ПДВ</t>
  </si>
  <si>
    <t>№ п/п</t>
  </si>
  <si>
    <t>Медогляд</t>
  </si>
  <si>
    <t>Абон. Обслуг.</t>
  </si>
  <si>
    <t>ЗВВ</t>
  </si>
  <si>
    <t>Адміністративні</t>
  </si>
  <si>
    <t>Разом</t>
  </si>
  <si>
    <t>вартість</t>
  </si>
  <si>
    <t>№№</t>
  </si>
  <si>
    <t>ціна</t>
  </si>
  <si>
    <t>Всього сума, грн.</t>
  </si>
  <si>
    <t>РАЗОМ сума, грн.</t>
  </si>
  <si>
    <t>Додаток __</t>
  </si>
  <si>
    <t>Працівники</t>
  </si>
  <si>
    <t>Опалювальний період</t>
  </si>
  <si>
    <t>Міжопалювальний період</t>
  </si>
  <si>
    <t>Всього за рік</t>
  </si>
  <si>
    <t>Кількість працівників (осіб)</t>
  </si>
  <si>
    <t>ФОП (грн.)</t>
  </si>
  <si>
    <t>I</t>
  </si>
  <si>
    <t>Виробничий персонал задіяний у виробництві теплової енергії котельнями</t>
  </si>
  <si>
    <t>у т.ч. працюючих інвалідів</t>
  </si>
  <si>
    <t>Відрахування на соціальні заходи всього:</t>
  </si>
  <si>
    <t>ЄСВ 22%</t>
  </si>
  <si>
    <t>ЄСВ 8,41%</t>
  </si>
  <si>
    <t>II.А</t>
  </si>
  <si>
    <t>II.В</t>
  </si>
  <si>
    <t>III</t>
  </si>
  <si>
    <t xml:space="preserve">Виробничий персонал задіяний у постачанні  теплової енергії </t>
  </si>
  <si>
    <t>IV</t>
  </si>
  <si>
    <t>Виробничий персонал задіяний у наданні послуги з абонентського обслуговування</t>
  </si>
  <si>
    <t>V</t>
  </si>
  <si>
    <t>Виробничий персонал задіяний у наданні послуги з теплової енергії</t>
  </si>
  <si>
    <t>VI</t>
  </si>
  <si>
    <t>Виробничий персонал задіяний у встановленні, обслуговуванні та заміні вузлів обліку теплової енергії (внески)</t>
  </si>
  <si>
    <t>Загальновиробничий персонал</t>
  </si>
  <si>
    <t>Адміністративно-управлінський персонал</t>
  </si>
  <si>
    <t>Всього витрат на оплату праці</t>
  </si>
  <si>
    <t>Всього відрахування на соціальні заходи</t>
  </si>
  <si>
    <t>М.П.</t>
  </si>
  <si>
    <t>(посада)</t>
  </si>
  <si>
    <t>рзрахунок на листі ФОП</t>
  </si>
  <si>
    <t>Загальновиробничі</t>
  </si>
  <si>
    <t xml:space="preserve">Зведений розрахунок амортизації </t>
  </si>
  <si>
    <t>Додаток__</t>
  </si>
  <si>
    <t>Всього амортизація</t>
  </si>
  <si>
    <t>Постачання ТЕ</t>
  </si>
  <si>
    <t>Послуги з встановлення, обслуговування та заміни ВКО</t>
  </si>
  <si>
    <t>Активи:</t>
  </si>
  <si>
    <t>Зведений розрахунок планових витрат на паливно-мастильні матеріали</t>
  </si>
  <si>
    <t>Транспортні засоби</t>
  </si>
  <si>
    <t xml:space="preserve">Додаток 13
до Порядку розгляду органами місцевого самоврядування розрахунків тарифів на теплову енергію, її виробництво, транспортування та постачання, а також розрахунків тарифів на комунальні послуги, поданих для їх встановлення, затвердженого рішенням _____________________________
</t>
  </si>
  <si>
    <t>змінила номер на 13</t>
  </si>
  <si>
    <t>Затверджувати його не треба. Хіба що в рішенні написати - Додаток 15 Наказу 239 вважати Додатком 13</t>
  </si>
  <si>
    <t>НЕ ЗАПОВНЮЄМО /  НЕ ЗАТВЕРДЖУЄМО</t>
  </si>
  <si>
    <t>змінено номер з 13 на 12</t>
  </si>
  <si>
    <t xml:space="preserve"> щодо переліку житлових та нежитлових приміщень,</t>
  </si>
  <si>
    <t>(найменування територіальної громади)</t>
  </si>
  <si>
    <t>Наявність будинкових приладів обліку теплової енергії на постачання гарячої води (наявний/відсутній)</t>
  </si>
  <si>
    <t>Зокрема з квартирними  засобами обліку гарячої води</t>
  </si>
  <si>
    <t>бюджет</t>
  </si>
  <si>
    <t>прочие</t>
  </si>
  <si>
    <t>7.1.</t>
  </si>
  <si>
    <t>8.1.</t>
  </si>
  <si>
    <t>9.1.</t>
  </si>
  <si>
    <t>9.2.</t>
  </si>
  <si>
    <t>9.3.</t>
  </si>
  <si>
    <t>ВІТАЛІЯ ШУМА 11</t>
  </si>
  <si>
    <t>01.01.1985</t>
  </si>
  <si>
    <t>наявний</t>
  </si>
  <si>
    <t>ВІТАЛІЯ ШУМА 13</t>
  </si>
  <si>
    <t>01.01.1982</t>
  </si>
  <si>
    <t>ВІТАЛІЯ ШУМА 13-А</t>
  </si>
  <si>
    <t>01.01.1996</t>
  </si>
  <si>
    <t>ВІТАЛІЯ ШУМА 15</t>
  </si>
  <si>
    <t>01.01.1983</t>
  </si>
  <si>
    <t>ВІТАЛІЯ ШУМА 17</t>
  </si>
  <si>
    <t>01.01.1980</t>
  </si>
  <si>
    <t>ВІТАЛІЯ ШУМА 17-А</t>
  </si>
  <si>
    <t>01.01.1994</t>
  </si>
  <si>
    <t>ВІТАЛІЯ ШУМА 19</t>
  </si>
  <si>
    <t>01.01.1981</t>
  </si>
  <si>
    <t>ВІТАЛІЯ ШУМА 21</t>
  </si>
  <si>
    <t>01.01.1987</t>
  </si>
  <si>
    <t>ВІТАЛІЯ ШУМА 4</t>
  </si>
  <si>
    <t>ВІТАЛІЯ ШУМА 6</t>
  </si>
  <si>
    <t>ВІТАЛІЯ ШУМА 6-А</t>
  </si>
  <si>
    <t>01.01.1990</t>
  </si>
  <si>
    <t>01.01.1973</t>
  </si>
  <si>
    <t>ВІТАЛІЯ ШУМА 6-Ж</t>
  </si>
  <si>
    <t>ВІТАЛІЯ ШУМА 9</t>
  </si>
  <si>
    <t>ДАНЧЕНКА 1</t>
  </si>
  <si>
    <t>01.01.1977</t>
  </si>
  <si>
    <t>ДАНЧЕНКА 10</t>
  </si>
  <si>
    <t>01.01.1955</t>
  </si>
  <si>
    <t>ДАНЧЕНКА 11</t>
  </si>
  <si>
    <t>01.01.1966</t>
  </si>
  <si>
    <t>ДАНЧЕНКА 12</t>
  </si>
  <si>
    <t>01.01.1963</t>
  </si>
  <si>
    <t>ДАНЧЕНКА 13</t>
  </si>
  <si>
    <t>01.01.1964</t>
  </si>
  <si>
    <t>ДАНЧЕНКА 14</t>
  </si>
  <si>
    <t>01.01.1965</t>
  </si>
  <si>
    <t>ДАНЧЕНКА 15</t>
  </si>
  <si>
    <t>ДАНЧЕНКА 16</t>
  </si>
  <si>
    <t>01.01.1953</t>
  </si>
  <si>
    <t>ДАНЧЕНКА 17</t>
  </si>
  <si>
    <t>01.01.1968</t>
  </si>
  <si>
    <t>ДАНЧЕНКА 19</t>
  </si>
  <si>
    <t>ДАНЧЕНКА 1-А</t>
  </si>
  <si>
    <t>ДАНЧЕНКА 2</t>
  </si>
  <si>
    <t>01.01.1967</t>
  </si>
  <si>
    <t>ДАНЧЕНКА 20</t>
  </si>
  <si>
    <t>01.01.1950</t>
  </si>
  <si>
    <t>ДАНЧЕНКА 21</t>
  </si>
  <si>
    <t>ДАНЧЕНКА 22</t>
  </si>
  <si>
    <t>ДАНЧЕНКА 24</t>
  </si>
  <si>
    <t>ДАНЧЕНКА 26</t>
  </si>
  <si>
    <t>ДАНЧЕНКА 3</t>
  </si>
  <si>
    <t>01.01.1970</t>
  </si>
  <si>
    <t>ДАНЧЕНКА 3-А</t>
  </si>
  <si>
    <t>01.01.1969</t>
  </si>
  <si>
    <t>ДАНЧЕНКА 3-Б</t>
  </si>
  <si>
    <t>01.01.1984</t>
  </si>
  <si>
    <t>ДАНЧЕНКА 3-В</t>
  </si>
  <si>
    <t>ДАНЧЕНКА 4</t>
  </si>
  <si>
    <t>ДАНЧЕНКА 5</t>
  </si>
  <si>
    <t>ДАНЧЕНКА 5-А</t>
  </si>
  <si>
    <t>ДАНЧЕНКА 7</t>
  </si>
  <si>
    <t>ДАНЧЕНКА 8</t>
  </si>
  <si>
    <t>ДАНЧЕНКА 9</t>
  </si>
  <si>
    <t>01.07.2018</t>
  </si>
  <si>
    <t>ЗЕЛЕНА 2-Б</t>
  </si>
  <si>
    <t>01.01.2016</t>
  </si>
  <si>
    <t>КОРАБЕЛЬНА 1</t>
  </si>
  <si>
    <t>КОРАБЕЛЬНА 10</t>
  </si>
  <si>
    <t>01.01.1961</t>
  </si>
  <si>
    <t>КОРАБЕЛЬНА 12</t>
  </si>
  <si>
    <t>01.01.1956</t>
  </si>
  <si>
    <t>КОРАБЕЛЬНА 2</t>
  </si>
  <si>
    <t>КОРАБЕЛЬНА 2-А</t>
  </si>
  <si>
    <t>КОРАБЕЛЬНА 3</t>
  </si>
  <si>
    <t>КОРАБЕЛЬНА 4</t>
  </si>
  <si>
    <t>КОРАБЕЛЬНА 4-А</t>
  </si>
  <si>
    <t>01.01.1959</t>
  </si>
  <si>
    <t>КОРАБЕЛЬНА 4-Б</t>
  </si>
  <si>
    <t>КОРАБЕЛЬНА 5</t>
  </si>
  <si>
    <t>01.01.1962</t>
  </si>
  <si>
    <t>КОРАБЕЛЬНА 6</t>
  </si>
  <si>
    <t>КОРАБЕЛЬНА 6-А</t>
  </si>
  <si>
    <t>КОРАБЕЛЬНА 7</t>
  </si>
  <si>
    <t>КОРАБЕЛЬНА 7-А</t>
  </si>
  <si>
    <t>КОРАБЕЛЬНА 8</t>
  </si>
  <si>
    <t>КОРАБЕЛЬНА 9</t>
  </si>
  <si>
    <t>ЛАЗУРНА 1</t>
  </si>
  <si>
    <t>ЛАЗУРНА 3</t>
  </si>
  <si>
    <t>ЛАЗУРНА 5</t>
  </si>
  <si>
    <t>01.01.2001</t>
  </si>
  <si>
    <t>ЛАЗУРНА 7</t>
  </si>
  <si>
    <t>01.01.1992</t>
  </si>
  <si>
    <t>ОЛЕКСАНДРІЙСЬКА 1</t>
  </si>
  <si>
    <t>ОЛЕКСАНДРІЙСЬКА 10</t>
  </si>
  <si>
    <t>ОЛЕКСАНДРІЙСЬКА 11</t>
  </si>
  <si>
    <t>01.01.1971</t>
  </si>
  <si>
    <t>ОЛЕКСАНДРІЙСЬКА 12</t>
  </si>
  <si>
    <t>ОЛЕКСАНДРІЙСЬКА 12-Б</t>
  </si>
  <si>
    <t>01.10.2001</t>
  </si>
  <si>
    <t>ОЛЕКСАНДРІЙСЬКА 13</t>
  </si>
  <si>
    <t>01.01.1972</t>
  </si>
  <si>
    <t>ОЛЕКСАНДРІЙСЬКА 13-П</t>
  </si>
  <si>
    <t>01.01.2010</t>
  </si>
  <si>
    <t>ОЛЕКСАНДРІЙСЬКА 15</t>
  </si>
  <si>
    <t>ОЛЕКСАНДРІЙСЬКА 16</t>
  </si>
  <si>
    <t>01.01.1979</t>
  </si>
  <si>
    <t>ОЛЕКСАНДРІЙСЬКА 17</t>
  </si>
  <si>
    <t>ОЛЕКСАНДРІЙСЬКА 18</t>
  </si>
  <si>
    <t>ОЛЕКСАНДРІЙСЬКА 18-А</t>
  </si>
  <si>
    <t>ОЛЕКСАНДРІЙСЬКА 19</t>
  </si>
  <si>
    <t>ОЛЕКСАНДРІЙСЬКА 19-А</t>
  </si>
  <si>
    <t>ОЛЕКСАНДРІЙСЬКА 19-В</t>
  </si>
  <si>
    <t>03.12.2012</t>
  </si>
  <si>
    <t>ОЛЕКСАНДРІЙСЬКА 1-А</t>
  </si>
  <si>
    <t>01.01.2000</t>
  </si>
  <si>
    <t>ОЛЕКСАНДРІЙСЬКА 2</t>
  </si>
  <si>
    <t>ОЛЕКСАНДРІЙСЬКА 20</t>
  </si>
  <si>
    <t>01.01.1976</t>
  </si>
  <si>
    <t>ОЛЕКСАНДРІЙСЬКА 21</t>
  </si>
  <si>
    <t>01.01.1978</t>
  </si>
  <si>
    <t>ОЛЕКСАНДРІЙСЬКА 22</t>
  </si>
  <si>
    <t>ОЛЕКСАНДРІЙСЬКА 24</t>
  </si>
  <si>
    <t>ОЛЕКСАНДРІЙСЬКА 2-А</t>
  </si>
  <si>
    <t>ОЛЕКСАНДРІЙСЬКА 2-Б</t>
  </si>
  <si>
    <t>ОЛЕКСАНДРІЙСЬКА 3</t>
  </si>
  <si>
    <t>ОЛЕКСАНДРІЙСЬКА 4</t>
  </si>
  <si>
    <t>ОЛЕКСАНДРІЙСЬКА 4-А</t>
  </si>
  <si>
    <t>01.01.1993</t>
  </si>
  <si>
    <t>ОЛЕКСАНДРІЙСЬКА 5</t>
  </si>
  <si>
    <t>ОЛЕКСАНДРІЙСЬКА 6</t>
  </si>
  <si>
    <t>ОЛЕКСАНДРІЙСЬКА 7</t>
  </si>
  <si>
    <t>ОЛЕКСАНДРІЙСЬКА 9</t>
  </si>
  <si>
    <t>ПАРКОВА 10</t>
  </si>
  <si>
    <t>ПАРКОВА 10-А</t>
  </si>
  <si>
    <t>ПАРКОВА 12</t>
  </si>
  <si>
    <t>ПАРКОВА 14</t>
  </si>
  <si>
    <t>ПАРКОВА 14-А</t>
  </si>
  <si>
    <t>ПАРКОВА 16</t>
  </si>
  <si>
    <t>ПАРКОВА 18</t>
  </si>
  <si>
    <t>ПАРКОВА 18-А</t>
  </si>
  <si>
    <t>ПАРКОВА 2</t>
  </si>
  <si>
    <t>01.01.1974</t>
  </si>
  <si>
    <t>ПАРКОВА 20</t>
  </si>
  <si>
    <t>01.01.1975</t>
  </si>
  <si>
    <t>ПАРКОВА 20-А</t>
  </si>
  <si>
    <t>ПАРКОВА 22</t>
  </si>
  <si>
    <t>ПАРКОВА 24</t>
  </si>
  <si>
    <t>ПАРКОВА 26</t>
  </si>
  <si>
    <t>ПАРКОВА 2-А</t>
  </si>
  <si>
    <t>ПАРКОВА 34</t>
  </si>
  <si>
    <t>ПАРКОВА 34-А</t>
  </si>
  <si>
    <t>ПАРКОВА 34-Б</t>
  </si>
  <si>
    <t>01.01.2004</t>
  </si>
  <si>
    <t>ПАРКОВА 36</t>
  </si>
  <si>
    <t>ПАРКОВА 4</t>
  </si>
  <si>
    <t>ПАРКОВА 44</t>
  </si>
  <si>
    <t>01.01.2006</t>
  </si>
  <si>
    <t>ПАРКОВА 46-А</t>
  </si>
  <si>
    <t>01.01.2002</t>
  </si>
  <si>
    <t>ПАРКОВА 46-Б</t>
  </si>
  <si>
    <t>ПАРКОВА 6</t>
  </si>
  <si>
    <t>ПАРКОВА 6-А</t>
  </si>
  <si>
    <t>ПАРКОВА 8</t>
  </si>
  <si>
    <t>ПАРКОВА 8-А</t>
  </si>
  <si>
    <t>ПАРУСНА 10</t>
  </si>
  <si>
    <t>ПАРУСНА 10-Г</t>
  </si>
  <si>
    <t>ПАРУСНА 11</t>
  </si>
  <si>
    <t>01.01.1986</t>
  </si>
  <si>
    <t>ПАРУСНА 12</t>
  </si>
  <si>
    <t>ПАРУСНА 13</t>
  </si>
  <si>
    <t>ПАРУСНА 13/1</t>
  </si>
  <si>
    <t>ПАРУСНА 14</t>
  </si>
  <si>
    <t>ПАРУСНА 16</t>
  </si>
  <si>
    <t>ПАРУСНА 2</t>
  </si>
  <si>
    <t>ПАРУСНА 2-А</t>
  </si>
  <si>
    <t>ПАРУСНА 2-Г</t>
  </si>
  <si>
    <t>ПАРУСНА 2-Д</t>
  </si>
  <si>
    <t>ПАРУСНА 3</t>
  </si>
  <si>
    <t>ПАРУСНА 4</t>
  </si>
  <si>
    <t>ПАРУСНА 4-А</t>
  </si>
  <si>
    <t>ПАРУСНА 5</t>
  </si>
  <si>
    <t>ПАРУСНА 6</t>
  </si>
  <si>
    <t>ПАРУСНА 7</t>
  </si>
  <si>
    <t>ПАРУСНА 8</t>
  </si>
  <si>
    <t>ПАРУСНА 9</t>
  </si>
  <si>
    <t>ПЕРЕМОГИ 1</t>
  </si>
  <si>
    <t>01.01.1960</t>
  </si>
  <si>
    <t>ПЕРЕМОГИ 12</t>
  </si>
  <si>
    <t>ПЕРЕМОГИ 3</t>
  </si>
  <si>
    <t>01.01.2009</t>
  </si>
  <si>
    <t>ПЕРШОГО ТРАВНЯ 1</t>
  </si>
  <si>
    <t>ПЕРШОГО ТРАВНЯ 10</t>
  </si>
  <si>
    <t>ПЕРШОГО ТРАВНЯ 10-Б</t>
  </si>
  <si>
    <t>ПЕРШОГО ТРАВНЯ 11</t>
  </si>
  <si>
    <t>ПЕРШОГО ТРАВНЯ 11-А</t>
  </si>
  <si>
    <t>ПЕРШОГО ТРАВНЯ 13</t>
  </si>
  <si>
    <t>01.01.1988</t>
  </si>
  <si>
    <t>ПЕРШОГО ТРАВНЯ 15-А</t>
  </si>
  <si>
    <t>ПЕРШОГО ТРАВНЯ 15-В</t>
  </si>
  <si>
    <t>03.12.2007</t>
  </si>
  <si>
    <t>ПЕРШОГО ТРАВНЯ 17</t>
  </si>
  <si>
    <t>ПЕРШОГО ТРАВНЯ 2</t>
  </si>
  <si>
    <t>ПЕРШОГО ТРАВНЯ 2-А</t>
  </si>
  <si>
    <t>ПЕРШОГО ТРАВНЯ 3</t>
  </si>
  <si>
    <t>ПЕРШОГО ТРАВНЯ 4</t>
  </si>
  <si>
    <t>01.10.2016</t>
  </si>
  <si>
    <t>01.10.2017</t>
  </si>
  <si>
    <t>ПЕРШОГО ТРАВНЯ 4-А</t>
  </si>
  <si>
    <t>ПЕРШОГО ТРАВНЯ 4-Д</t>
  </si>
  <si>
    <t>ПЕРШОГО ТРАВНЯ 5</t>
  </si>
  <si>
    <t>ПЕРШОГО ТРАВНЯ 6</t>
  </si>
  <si>
    <t>01.01.1989</t>
  </si>
  <si>
    <t>ПЕРШОГО ТРАВНЯ 6-Б</t>
  </si>
  <si>
    <t>01.01.1999</t>
  </si>
  <si>
    <t>ПЕРШОГО ТРАВНЯ 7</t>
  </si>
  <si>
    <t>ПЕРШОГО ТРАВНЯ 7-А</t>
  </si>
  <si>
    <t>ПЕРШОГО ТРАВНЯ 8</t>
  </si>
  <si>
    <t>ПЕРШОГО ТРАВНЯ 8-А</t>
  </si>
  <si>
    <t>ПЕРШОГО ТРАВНЯ 8-Б</t>
  </si>
  <si>
    <t>ПЕРШОГО ТРАВНЯ 8-С</t>
  </si>
  <si>
    <t>ПЕРШОГО ТРАВНЯ 9</t>
  </si>
  <si>
    <t>ПЕРШОГО ТРАВНЯ 9-А</t>
  </si>
  <si>
    <t>ПЛЯЖНА 3</t>
  </si>
  <si>
    <t>ПРАЦІ 10</t>
  </si>
  <si>
    <t>ПРАЦІ 11</t>
  </si>
  <si>
    <t>ПРАЦІ 11-А</t>
  </si>
  <si>
    <t>ПРАЦІ 15</t>
  </si>
  <si>
    <t>ПРАЦІ 2</t>
  </si>
  <si>
    <t>ПРАЦІ 3</t>
  </si>
  <si>
    <t>ПРАЦІ 7-А</t>
  </si>
  <si>
    <t>ПРАЦІ 8</t>
  </si>
  <si>
    <t>ПРАЦІ 9</t>
  </si>
  <si>
    <t>01.01.1954</t>
  </si>
  <si>
    <t>ПРАЦІ 9-А</t>
  </si>
  <si>
    <t>01.01.1951</t>
  </si>
  <si>
    <t>ПРОВУЛОК ХАНТАДЗЕ 3</t>
  </si>
  <si>
    <t>03.12.2015</t>
  </si>
  <si>
    <t>ПРОСПЕКТ МИРУ 1</t>
  </si>
  <si>
    <t>ПРОСПЕКТ МИРУ 10</t>
  </si>
  <si>
    <t>ПРОСПЕКТ МИРУ 10-А</t>
  </si>
  <si>
    <t>ПРОСПЕКТ МИРУ 11</t>
  </si>
  <si>
    <t>ПРОСПЕКТ МИРУ 12</t>
  </si>
  <si>
    <t>ПРОСПЕКТ МИРУ 13-А</t>
  </si>
  <si>
    <t>ПРОСПЕКТ МИРУ 14-А</t>
  </si>
  <si>
    <t>ПРОСПЕКТ МИРУ 15-А</t>
  </si>
  <si>
    <t>ПРОСПЕКТ МИРУ 15-Б</t>
  </si>
  <si>
    <t>01.01.1991</t>
  </si>
  <si>
    <t>ПРОСПЕКТ МИРУ 16</t>
  </si>
  <si>
    <t>ПРОСПЕКТ МИРУ 17</t>
  </si>
  <si>
    <t>ПРОСПЕКТ МИРУ 17-А</t>
  </si>
  <si>
    <t>ПРОСПЕКТ МИРУ 18</t>
  </si>
  <si>
    <t>ПРОСПЕКТ МИРУ 18-А</t>
  </si>
  <si>
    <t>ПРОСПЕКТ МИРУ 18-П</t>
  </si>
  <si>
    <t>23.11.2005</t>
  </si>
  <si>
    <t>ПРОСПЕКТ МИРУ 19</t>
  </si>
  <si>
    <t>ПРОСПЕКТ МИРУ 2</t>
  </si>
  <si>
    <t>01.01.1957</t>
  </si>
  <si>
    <t>ПРОСПЕКТ МИРУ 20-А</t>
  </si>
  <si>
    <t>ПРОСПЕКТ МИРУ 21</t>
  </si>
  <si>
    <t>ПРОСПЕКТ МИРУ 22</t>
  </si>
  <si>
    <t>ПРОСПЕКТ МИРУ 23</t>
  </si>
  <si>
    <t>ПРОСПЕКТ МИРУ 24</t>
  </si>
  <si>
    <t>ПРОСПЕКТ МИРУ 24-С</t>
  </si>
  <si>
    <t>ПРОСПЕКТ МИРУ 25</t>
  </si>
  <si>
    <t>ПРОСПЕКТ МИРУ 26</t>
  </si>
  <si>
    <t>ПРОСПЕКТ МИРУ 27</t>
  </si>
  <si>
    <t>ПРОСПЕКТ МИРУ 28</t>
  </si>
  <si>
    <t>ПРОСПЕКТ МИРУ 29</t>
  </si>
  <si>
    <t>ПРОСПЕКТ МИРУ 3</t>
  </si>
  <si>
    <t>ПРОСПЕКТ МИРУ 30</t>
  </si>
  <si>
    <t>ПРОСПЕКТ МИРУ 32</t>
  </si>
  <si>
    <t>ПРОСПЕКТ МИРУ 33</t>
  </si>
  <si>
    <t>ПРОСПЕКТ МИРУ 35-А</t>
  </si>
  <si>
    <t>01.01.2005</t>
  </si>
  <si>
    <t>ПРОСПЕКТ МИРУ 35-Б</t>
  </si>
  <si>
    <t>01.01.1995</t>
  </si>
  <si>
    <t>ПРОСПЕКТ МИРУ 35-Г</t>
  </si>
  <si>
    <t>ПРОСПЕКТ МИРУ 39</t>
  </si>
  <si>
    <t>ПРОСПЕКТ МИРУ 3-А</t>
  </si>
  <si>
    <t>ПРОСПЕКТ МИРУ 4</t>
  </si>
  <si>
    <t>ПРОСПЕКТ МИРУ 41</t>
  </si>
  <si>
    <t>ПРОСПЕКТ МИРУ 41-А</t>
  </si>
  <si>
    <t>ПРОСПЕКТ МИРУ 43</t>
  </si>
  <si>
    <t>ПРОСПЕКТ МИРУ 43-А</t>
  </si>
  <si>
    <t>ПРОСПЕКТ МИРУ 4-А</t>
  </si>
  <si>
    <t>ПРОСПЕКТ МИРУ 4-Б</t>
  </si>
  <si>
    <t>ПРОСПЕКТ МИРУ 5-А</t>
  </si>
  <si>
    <t>ПРОСПЕКТ МИРУ 6</t>
  </si>
  <si>
    <t>ПРОСПЕКТ МИРУ 6-А</t>
  </si>
  <si>
    <t>ПРОСПЕКТ МИРУ 7</t>
  </si>
  <si>
    <t>ПРОСПЕКТ МИРУ 7-А</t>
  </si>
  <si>
    <t>ПРОСПЕКТ МИРУ 8</t>
  </si>
  <si>
    <t>ПРОСПЕКТ МИРУ 9</t>
  </si>
  <si>
    <t>САДОВА 69-М</t>
  </si>
  <si>
    <t>01.10.2010</t>
  </si>
  <si>
    <t>СПОРТИВНА 10</t>
  </si>
  <si>
    <t>СПОРТИВНА 12</t>
  </si>
  <si>
    <t>СПОРТИВНА 12-А</t>
  </si>
  <si>
    <t>СПОРТИВНА 14</t>
  </si>
  <si>
    <t>СПОРТИВНА 3</t>
  </si>
  <si>
    <t>СПОРТИВНА 3-А</t>
  </si>
  <si>
    <t>СПОРТИВНА 4</t>
  </si>
  <si>
    <t>СПОРТИВНА 5</t>
  </si>
  <si>
    <t>СПОРТИВНА 5-А</t>
  </si>
  <si>
    <t>СПОРТИВНА 6</t>
  </si>
  <si>
    <t>СПОРТИВНА 6-А</t>
  </si>
  <si>
    <t>СПОРТИВНА 8</t>
  </si>
  <si>
    <t>ТОРГОВА 1</t>
  </si>
  <si>
    <t>01.01.1952</t>
  </si>
  <si>
    <t>ТОРГОВА 2-А</t>
  </si>
  <si>
    <t>ТРАНСПОРТНА 3</t>
  </si>
  <si>
    <t>ТРАНСПОРТНА 6</t>
  </si>
  <si>
    <t>ХАНТАДЗЕ 10</t>
  </si>
  <si>
    <t>ХАНТАДЗЕ 12</t>
  </si>
  <si>
    <t>ХАНТАДЗЕ 12-А</t>
  </si>
  <si>
    <t>ХАНТАДЗЕ 13</t>
  </si>
  <si>
    <t>ХАНТАДЗЕ 14</t>
  </si>
  <si>
    <t>19.01.1965</t>
  </si>
  <si>
    <t>ХАНТАДЗЕ 15</t>
  </si>
  <si>
    <t>ХАНТАДЗЕ 16</t>
  </si>
  <si>
    <t>ХАНТАДЗЕ 19</t>
  </si>
  <si>
    <t>відсутній</t>
  </si>
  <si>
    <t>ХАНТАДЗЕ 2</t>
  </si>
  <si>
    <t>ХАНТАДЗЕ 4</t>
  </si>
  <si>
    <t>01.01.1958</t>
  </si>
  <si>
    <t>ХАНТАДЗЕ 8</t>
  </si>
  <si>
    <t>ХАНТАДЗЕ 8-А</t>
  </si>
  <si>
    <t>ШЕВЧЕНКА 1</t>
  </si>
  <si>
    <t>ШЕВЧЕНКА 10</t>
  </si>
  <si>
    <t>ШЕВЧЕНКА 11</t>
  </si>
  <si>
    <t>ШЕВЧЕНКА 13</t>
  </si>
  <si>
    <t>ШЕВЧЕНКА 2</t>
  </si>
  <si>
    <t>ШЕВЧЕНКА 2-А</t>
  </si>
  <si>
    <t>ШЕВЧЕНКА 5-А</t>
  </si>
  <si>
    <t>ШЕВЧЕНКА 6</t>
  </si>
  <si>
    <t>ШЕВЧЕНКА 7</t>
  </si>
  <si>
    <t>ШЕВЧЕНКА 8</t>
  </si>
  <si>
    <t>ШКІЛЬНИЙ ПРОВУЛОК 2</t>
  </si>
  <si>
    <t>ШКІЛЬНИЙ ПРОВУЛОК 4</t>
  </si>
  <si>
    <t>ШКІЛЬНИЙ ПРОВУЛОК 4-А</t>
  </si>
  <si>
    <t>ШКІЛЬНИЙ ПРОВУЛОК 4-Б</t>
  </si>
  <si>
    <t>ШКІЛЬНИЙ ПРОВУЛОК 6</t>
  </si>
  <si>
    <t>ШКІЛЬНИЙ ПРОВУЛОК 8</t>
  </si>
  <si>
    <t>X</t>
  </si>
  <si>
    <t>1 - 2-поверхових будинків</t>
  </si>
  <si>
    <t>3 - 4-поверхових будинків</t>
  </si>
  <si>
    <t>Без будинкових приладів обліку теплової енергії на послугу з постачання теплової енергії, усього, зокрема:</t>
  </si>
  <si>
    <t>1 - 2-поверхових будинків, зокрема:</t>
  </si>
  <si>
    <t>споруджених до 1930 р.</t>
  </si>
  <si>
    <t>3 - 4-поверхових будинків, зокрема:</t>
  </si>
  <si>
    <t>5 і більше поверхів, зокрема:</t>
  </si>
  <si>
    <t>______________________________</t>
  </si>
  <si>
    <t>Перенесено в ЗВВ</t>
  </si>
  <si>
    <t>на території Черноморської територіальної громади</t>
  </si>
  <si>
    <t>розразунок на листі ОП</t>
  </si>
  <si>
    <t>ремонт</t>
  </si>
  <si>
    <t>витрати на зв'язок та інтернет, у т.ч.:</t>
  </si>
  <si>
    <t>зв'язок</t>
  </si>
  <si>
    <t>інтернет</t>
  </si>
  <si>
    <t>централізоване водопостачання, централізоване водовідведення</t>
  </si>
  <si>
    <t>Показники втрат</t>
  </si>
  <si>
    <t>тарифів на теплову енергію без урахування витрат на утримання та ремонт центральних теплових пунктів</t>
  </si>
  <si>
    <t>тарифів на теплову енергію з урахуванням витрат на утримання та ремонт центральних теплових пунктів</t>
  </si>
  <si>
    <t>КП“Чорноморськводоканал” </t>
  </si>
  <si>
    <t>податки, збори, обов'язкові платежі</t>
  </si>
  <si>
    <t>______________</t>
  </si>
  <si>
    <t>вивезення сміття</t>
  </si>
  <si>
    <t>технічне обслуговування</t>
  </si>
  <si>
    <t>техобслуговування транспортних засобів</t>
  </si>
  <si>
    <t>технічний контроль транспортних засобів</t>
  </si>
  <si>
    <t>страхування</t>
  </si>
  <si>
    <t>приймання відходів</t>
  </si>
  <si>
    <t>виробництво/ЗВВ</t>
  </si>
  <si>
    <t>медогляд</t>
  </si>
  <si>
    <t>розрахунок на листі ОП</t>
  </si>
  <si>
    <t>підготовка та перепідготовка кадрів</t>
  </si>
  <si>
    <t>утилізація відходів, устаткування, обладнання</t>
  </si>
  <si>
    <t>Найменування</t>
  </si>
  <si>
    <t>Інв №</t>
  </si>
  <si>
    <t>Залиш. Вартість</t>
  </si>
  <si>
    <t>Примітка</t>
  </si>
  <si>
    <t>ИБП</t>
  </si>
  <si>
    <t>з підзвіту Бут В.І.</t>
  </si>
  <si>
    <t>ПТО</t>
  </si>
  <si>
    <t>ПЭО</t>
  </si>
  <si>
    <t>ОК</t>
  </si>
  <si>
    <t>Сбыт</t>
  </si>
  <si>
    <t>Компьютер</t>
  </si>
  <si>
    <t>Котельная</t>
  </si>
  <si>
    <t>Счетчики</t>
  </si>
  <si>
    <t>ВКО</t>
  </si>
  <si>
    <t>Программисты</t>
  </si>
  <si>
    <t>АО</t>
  </si>
  <si>
    <t>Додаток_____</t>
  </si>
  <si>
    <t>План з переробки та утилізації списаної побутової, комп'ютерної, організаційної техніки та обладнання</t>
  </si>
  <si>
    <t>Розташування</t>
  </si>
  <si>
    <t>Стаття витрат</t>
  </si>
  <si>
    <t>Вартість утилізації, грн</t>
  </si>
  <si>
    <t>в</t>
  </si>
  <si>
    <t>т</t>
  </si>
  <si>
    <t>п</t>
  </si>
  <si>
    <t>ао</t>
  </si>
  <si>
    <t>звв</t>
  </si>
  <si>
    <t>разом</t>
  </si>
  <si>
    <t>Рік</t>
  </si>
  <si>
    <t>Абон.обслуговування</t>
  </si>
  <si>
    <t>№</t>
  </si>
  <si>
    <t>ФИО</t>
  </si>
  <si>
    <t>Монитор</t>
  </si>
  <si>
    <t>Принтер</t>
  </si>
  <si>
    <t>факс</t>
  </si>
  <si>
    <t>ноутбук</t>
  </si>
  <si>
    <t>Козяр О.П.</t>
  </si>
  <si>
    <t>156/11</t>
  </si>
  <si>
    <t>а</t>
  </si>
  <si>
    <t>Высоцкий А.Г.</t>
  </si>
  <si>
    <t>199/2</t>
  </si>
  <si>
    <t>18/11</t>
  </si>
  <si>
    <t>Матвеева Л.П.</t>
  </si>
  <si>
    <t xml:space="preserve">3115, 3432 </t>
  </si>
  <si>
    <t>122/11</t>
  </si>
  <si>
    <t>83/11</t>
  </si>
  <si>
    <t>Яловчук С.И.</t>
  </si>
  <si>
    <t>39/11</t>
  </si>
  <si>
    <t>17/11</t>
  </si>
  <si>
    <t>Лукьянова И.А.</t>
  </si>
  <si>
    <t>217/1</t>
  </si>
  <si>
    <t>16/11</t>
  </si>
  <si>
    <t>Жданова Н.В.</t>
  </si>
  <si>
    <t>53/11</t>
  </si>
  <si>
    <t>Биленко Л.Н.</t>
  </si>
  <si>
    <t>205/1</t>
  </si>
  <si>
    <t>Калмацуй</t>
  </si>
  <si>
    <t>158/11</t>
  </si>
  <si>
    <t>171/11</t>
  </si>
  <si>
    <t>Седова В.Ю.</t>
  </si>
  <si>
    <t>8/11</t>
  </si>
  <si>
    <t>104</t>
  </si>
  <si>
    <t>Бут В.И.</t>
  </si>
  <si>
    <t>107/11</t>
  </si>
  <si>
    <t>3118, 3037</t>
  </si>
  <si>
    <t xml:space="preserve">Ахрамеев Д.И. </t>
  </si>
  <si>
    <t>3066, 182/11</t>
  </si>
  <si>
    <t>Чернат О.А.</t>
  </si>
  <si>
    <t>36/11</t>
  </si>
  <si>
    <t>Префак</t>
  </si>
  <si>
    <t>???</t>
  </si>
  <si>
    <t>Лаврова Е.А.</t>
  </si>
  <si>
    <t>109/11</t>
  </si>
  <si>
    <t>48/11</t>
  </si>
  <si>
    <t>187/11</t>
  </si>
  <si>
    <t>Павловский Г.А.</t>
  </si>
  <si>
    <t>137/11</t>
  </si>
  <si>
    <t>Сервер</t>
  </si>
  <si>
    <t>Жовнир</t>
  </si>
  <si>
    <t>40/11</t>
  </si>
  <si>
    <t xml:space="preserve">Мазур </t>
  </si>
  <si>
    <t xml:space="preserve">Емельянов </t>
  </si>
  <si>
    <t xml:space="preserve">Андриенко </t>
  </si>
  <si>
    <t>37/11</t>
  </si>
  <si>
    <t xml:space="preserve">Вдовиченко </t>
  </si>
  <si>
    <t xml:space="preserve">Кривенко </t>
  </si>
  <si>
    <t>136/11</t>
  </si>
  <si>
    <t>986</t>
  </si>
  <si>
    <t xml:space="preserve">Мойсеенко </t>
  </si>
  <si>
    <t>7/11</t>
  </si>
  <si>
    <t>985</t>
  </si>
  <si>
    <t xml:space="preserve">Шилинговская </t>
  </si>
  <si>
    <t xml:space="preserve">Глушко </t>
  </si>
  <si>
    <t>180/11</t>
  </si>
  <si>
    <t>вн</t>
  </si>
  <si>
    <t xml:space="preserve">Берчак </t>
  </si>
  <si>
    <t xml:space="preserve">Кацапова </t>
  </si>
  <si>
    <t>129/11</t>
  </si>
  <si>
    <t xml:space="preserve">Кашнова </t>
  </si>
  <si>
    <t>157/11</t>
  </si>
  <si>
    <t xml:space="preserve">Мирошниченко </t>
  </si>
  <si>
    <t>168/11</t>
  </si>
  <si>
    <t xml:space="preserve">Антонюк </t>
  </si>
  <si>
    <t>202/1</t>
  </si>
  <si>
    <t xml:space="preserve">Фарик </t>
  </si>
  <si>
    <t>140/11</t>
  </si>
  <si>
    <t>38/11</t>
  </si>
  <si>
    <t>98/11</t>
  </si>
  <si>
    <t xml:space="preserve">Кокойко </t>
  </si>
  <si>
    <t>35/11</t>
  </si>
  <si>
    <t xml:space="preserve">Мамедова </t>
  </si>
  <si>
    <t xml:space="preserve">Закора </t>
  </si>
  <si>
    <t>127/11</t>
  </si>
  <si>
    <t xml:space="preserve">Зелинский </t>
  </si>
  <si>
    <t xml:space="preserve">Макаренкова </t>
  </si>
  <si>
    <t>190/1</t>
  </si>
  <si>
    <t xml:space="preserve">Стоянова </t>
  </si>
  <si>
    <t xml:space="preserve">Злобарь </t>
  </si>
  <si>
    <t>47/11</t>
  </si>
  <si>
    <t xml:space="preserve">Кожевникова </t>
  </si>
  <si>
    <t>126/11</t>
  </si>
  <si>
    <t xml:space="preserve">Дмитрищук </t>
  </si>
  <si>
    <t>Бабенко</t>
  </si>
  <si>
    <t>Селиванова</t>
  </si>
  <si>
    <t>18 шт</t>
  </si>
  <si>
    <t>розрахунок на листі Картріджі</t>
  </si>
  <si>
    <t>ВСЬОГО</t>
  </si>
  <si>
    <t xml:space="preserve">оголошення в газету </t>
  </si>
  <si>
    <t>витрати на розв’язання спорів у судах</t>
  </si>
  <si>
    <t>службові відрядження</t>
  </si>
  <si>
    <t>поштові витрати</t>
  </si>
  <si>
    <t>ремонтні роботи (авто)</t>
  </si>
  <si>
    <t>транспортні послуги</t>
  </si>
  <si>
    <t>Вид послуг</t>
  </si>
  <si>
    <t>Надавач послуг</t>
  </si>
  <si>
    <t>ФОП Гонтар Л.В.</t>
  </si>
  <si>
    <t>ТОВ "Інститут місцевого розвитку"</t>
  </si>
  <si>
    <t>Науково-практична конференція</t>
  </si>
  <si>
    <t>ТОВ "Аналітично-виробничий центр "Укртеплоенерго"</t>
  </si>
  <si>
    <t>Аудит фінансової звітності</t>
  </si>
  <si>
    <t>ПП Аудиторська фірма "ГОЛВ-АУДИТ"</t>
  </si>
  <si>
    <t>Семінар-тренінг з публічних закупівель</t>
  </si>
  <si>
    <t>Будстандарт</t>
  </si>
  <si>
    <t>ВОТ "Computer Logik Group"</t>
  </si>
  <si>
    <t>Консультаційні послуги</t>
  </si>
  <si>
    <t>ФОП Арабаджи СА</t>
  </si>
  <si>
    <t>ТОВ "Смартіс"</t>
  </si>
  <si>
    <t>Ліга-Закон</t>
  </si>
  <si>
    <t>ТОВ "Ліга-Закон"</t>
  </si>
  <si>
    <t>Ліцензія Дт-Кт</t>
  </si>
  <si>
    <t>ТЗОВ ДК-Системи</t>
  </si>
  <si>
    <t>Оголошення в газету</t>
  </si>
  <si>
    <t>ТОВ "Редакція "Чорноморський маяк"</t>
  </si>
  <si>
    <t>Інформаційні послуги</t>
  </si>
  <si>
    <t>Український хостинг</t>
  </si>
  <si>
    <t>витрати на професійні послуги (у т.ч. послуги нотаріуса)</t>
  </si>
  <si>
    <t>Загальновиробничі витрати</t>
  </si>
  <si>
    <t>Загальновиробничі витрати всього, у т.ч.:</t>
  </si>
  <si>
    <t>Перенесено з адмін</t>
  </si>
  <si>
    <t>матеріали на технічне обслуговування</t>
  </si>
  <si>
    <t>Амінперсонал</t>
  </si>
  <si>
    <t>факт на ІЦВ з розподілом пропорційно кількості людей</t>
  </si>
  <si>
    <t>не плануємо тут, враховується через газ та ЕЕ в прямих витратах</t>
  </si>
  <si>
    <t>факт</t>
  </si>
  <si>
    <t>факт 2019 з урахуванням розбивки по людям</t>
  </si>
  <si>
    <t>розрахунок на листі Зв'язок</t>
  </si>
  <si>
    <t>кошторис на ремонт санвузлів</t>
  </si>
  <si>
    <t>факт адмін на ІЦВ з розподілом пропорційно кількості людей</t>
  </si>
  <si>
    <t>факт ЗВВ на ІЦВ + факт адмін на ІЦВ з розподілом пропорційно кількості людей</t>
  </si>
  <si>
    <t>шины, акамулятори</t>
  </si>
  <si>
    <t>обстеження технічного стану та паспортизація</t>
  </si>
  <si>
    <t>розробка декларації, планів локалізації аварій та їх експертиза</t>
  </si>
  <si>
    <t>витрати на професійні послуги</t>
  </si>
  <si>
    <t>вимірювання якості води</t>
  </si>
  <si>
    <t>адміністративні витрати</t>
  </si>
  <si>
    <t>загальновиробничі витрати</t>
  </si>
  <si>
    <t>перенесено в виробницво</t>
  </si>
  <si>
    <t>оголошення 10 тис. договір, аудит в адмін</t>
  </si>
  <si>
    <t>оцінка обсягів водокористування</t>
  </si>
  <si>
    <t>послуги дератизації</t>
  </si>
  <si>
    <t>вимірювання опору заземлення</t>
  </si>
  <si>
    <t>лабораторні випробування захисних засобів</t>
  </si>
  <si>
    <t>виготовлення проектної документації</t>
  </si>
  <si>
    <t>атестація робочих місць</t>
  </si>
  <si>
    <t>Витрати</t>
  </si>
  <si>
    <t>Страхування транспортних засобів</t>
  </si>
  <si>
    <t>раз в год 8 машин + 2 трактора</t>
  </si>
  <si>
    <t>котельные и кислород</t>
  </si>
  <si>
    <t>Страхування відповідності перед третіми особами (по роботам  підвищеної безпеки)</t>
  </si>
  <si>
    <t>Страхування цивільної відповідальністі за шкоду, яка може бути заподіяна пожежами та аваріями перед трет лицами</t>
  </si>
  <si>
    <t>розрахунок на листі страхування</t>
  </si>
  <si>
    <t>інв.№</t>
  </si>
  <si>
    <t>Марка та модель транспортного засобу</t>
  </si>
  <si>
    <t>Державний номер</t>
  </si>
  <si>
    <t>Рік вводу в експлуатацію</t>
  </si>
  <si>
    <t>Належність до виду діяльності</t>
  </si>
  <si>
    <t>Очікувана сума за послугу, грн</t>
  </si>
  <si>
    <t>ДЄУ-Нубіра</t>
  </si>
  <si>
    <t>ВН9239АІ</t>
  </si>
  <si>
    <t>ВАЗ 2120 (Ніва)</t>
  </si>
  <si>
    <t>ВН8135АА</t>
  </si>
  <si>
    <t>ВАЗ 21063</t>
  </si>
  <si>
    <t>42691ОА</t>
  </si>
  <si>
    <t>ГАЗ 3307</t>
  </si>
  <si>
    <t>38946 ОВ</t>
  </si>
  <si>
    <t>УАЗ 3303</t>
  </si>
  <si>
    <t>О5258ОВ</t>
  </si>
  <si>
    <t>МАЗ 555102</t>
  </si>
  <si>
    <t>ВР9164ВО</t>
  </si>
  <si>
    <t>13001ОВ</t>
  </si>
  <si>
    <t>Ford Nransit CKC Ftfed-01 БП</t>
  </si>
  <si>
    <t>ВН 8063 КВ</t>
  </si>
  <si>
    <t>Кусторіз 335 R</t>
  </si>
  <si>
    <t>б/н</t>
  </si>
  <si>
    <t>Кусторіз BC 2125</t>
  </si>
  <si>
    <t>Автокран КС3577-4</t>
  </si>
  <si>
    <t>51170ОВ</t>
  </si>
  <si>
    <t>Трактор МТЗ-90</t>
  </si>
  <si>
    <t>Трактор Т-150-К</t>
  </si>
  <si>
    <t>Трактор Т-16М</t>
  </si>
  <si>
    <t>Автонавантажувач JCB 3CX</t>
  </si>
  <si>
    <t>9151ОО</t>
  </si>
  <si>
    <t>СААГ с дизельним двигуном</t>
  </si>
  <si>
    <t>Компресор пересувний ПКСД-5,25 ДМ</t>
  </si>
  <si>
    <t>993/1</t>
  </si>
  <si>
    <t>Агрегат бензоелект. АНД-100У1</t>
  </si>
  <si>
    <t>219/1</t>
  </si>
  <si>
    <t>Генератор Хонда для вентиляції теплових камер</t>
  </si>
  <si>
    <t>Бензопила 435</t>
  </si>
  <si>
    <t>Екскаватор ЭО 2628</t>
  </si>
  <si>
    <t>Насос "Андижанец"</t>
  </si>
  <si>
    <t>Агрегат для вентиля-ції теплових камер</t>
  </si>
  <si>
    <t>Генератор бензиновий GBG 3500</t>
  </si>
  <si>
    <t>Мотопомпа SST-80HX</t>
  </si>
  <si>
    <t>Майстер з експлуатації та ремонту машин і механізмів Ііг.</t>
  </si>
  <si>
    <t xml:space="preserve">А.Є. Бабенко </t>
  </si>
  <si>
    <t>Рік проведення технічного контролю</t>
  </si>
  <si>
    <t>1 раз в 2 года</t>
  </si>
  <si>
    <t>по году віпуска четніе в четній, нечетній в нечетніе</t>
  </si>
  <si>
    <t>техосвід каждій год, техоглягляд грузовіе каждій</t>
  </si>
  <si>
    <t>розрахунок на листі ТО</t>
  </si>
  <si>
    <t>розрахунок на листі ТЗ</t>
  </si>
  <si>
    <t>випробування абразивних кругів</t>
  </si>
  <si>
    <t>перевіка захисних засобів</t>
  </si>
  <si>
    <t>кисневі балони</t>
  </si>
  <si>
    <t>Групи споживачів</t>
  </si>
  <si>
    <t>Прямі матеріальні витрати всього, у т.ч.:</t>
  </si>
  <si>
    <t>Прямі витрати на постачання теплової енергії всього, у т.ч.:</t>
  </si>
  <si>
    <t>Прямі витрати на оплату праці всього, у т.ч.:</t>
  </si>
  <si>
    <t>Інші прямі витрати:</t>
  </si>
  <si>
    <t>амортизація  основних засобів загальногосподарського призначення</t>
  </si>
  <si>
    <t>амортизація інших необоротних матеріальних активів загальногосподарського призначення призначення</t>
  </si>
  <si>
    <t>розрахунок на листі ФОП</t>
  </si>
  <si>
    <t>Прямі витрати на постачання теплової енергії</t>
  </si>
  <si>
    <t>Прямі витрати на транспортування теплової енергії</t>
  </si>
  <si>
    <t>Прямі витрати на виробництво теплової енергії</t>
  </si>
  <si>
    <t>хостинг</t>
  </si>
  <si>
    <t xml:space="preserve">тарифів на постачання теплової енергії </t>
  </si>
  <si>
    <t>без урахування витрат на утримання та ремонт індивідуальних теплових пунктів</t>
  </si>
  <si>
    <t>загальновиробничі потреби, крім ремонтів</t>
  </si>
  <si>
    <t>на ремонти</t>
  </si>
  <si>
    <t>договір+довідка</t>
  </si>
  <si>
    <t>договір, розподіл заг.суми</t>
  </si>
  <si>
    <t>Обсяг споживання реактивної електроенергії (на ремонти)</t>
  </si>
  <si>
    <t>Вартість активної та реактивної електроенергії на ремонти</t>
  </si>
  <si>
    <t>кошторис</t>
  </si>
  <si>
    <t>факт * ІЦВ</t>
  </si>
  <si>
    <t>Прямі витрати на транспортування теплової енергії всього, у т.ч.:</t>
  </si>
  <si>
    <t>Корисний відпуск всього, у т.ч.:</t>
  </si>
  <si>
    <t>радіочастоти</t>
  </si>
  <si>
    <t>розрахунок</t>
  </si>
  <si>
    <t>параметрування та техперевірка 3-х фазних лічильників</t>
  </si>
  <si>
    <t>1, а 2 на ТР</t>
  </si>
  <si>
    <t>експетне обстеження стану охорони праці</t>
  </si>
  <si>
    <t>державна повірка та юстування</t>
  </si>
  <si>
    <t>обслуговування теплових камер</t>
  </si>
  <si>
    <t>технічне освідоцтвування</t>
  </si>
  <si>
    <t>Прямі витрати на виробництво теплової енергії всього, у т.ч.:</t>
  </si>
  <si>
    <t>холодна вода для технологічних потреб та водовідведення</t>
  </si>
  <si>
    <t>Д8_Паливо</t>
  </si>
  <si>
    <t>Д9_ЕЕ</t>
  </si>
  <si>
    <t>сіль</t>
  </si>
  <si>
    <t>централізоване водопостачання, централізоване водовідведення (господарсько-питні потреби)</t>
  </si>
  <si>
    <t>амортизація основних засобів виробничого призначення, безпосередньо задіяних у процесі постачання теплової енергії</t>
  </si>
  <si>
    <t>амортизація інших необоротних матеріальних активів виробничого призначення, безпосередньо задіяних у процесі постачання теплової енергії</t>
  </si>
  <si>
    <t>перенесено у виробництво</t>
  </si>
  <si>
    <t>особи</t>
  </si>
  <si>
    <t>оплата праці працюючих інвалідів</t>
  </si>
  <si>
    <t>витрати на оплату праці апарату управління та іншого загальногосподарського персоналу всього, у т.ч.:</t>
  </si>
  <si>
    <t>єдиний внесок на загальнообов’язкове державне соціальне страхування апарату управління та іншого загальногосподарського персоналу</t>
  </si>
  <si>
    <t>розрахунок на листі Д9_ЕЕ</t>
  </si>
  <si>
    <t>розрахунок на листі картріджі</t>
  </si>
  <si>
    <t>договір на 50 тис, 10 тис. в ЗВВ</t>
  </si>
  <si>
    <t>1,655 и 2,9 -  лабораторні вимірювання, якість води по факту</t>
  </si>
  <si>
    <t>витрати на оплату праці загальновиробничого персоналу всього, у т.ч.:</t>
  </si>
  <si>
    <t>єдиний внесок на загальнообов’язкове державне соціальне страхування загальновиробничого персоналу</t>
  </si>
  <si>
    <t>Витрати на утримання основних засобів, інших необоротних матеріальних активів загальновиробничого використання всього, у т.ч.:</t>
  </si>
  <si>
    <t>вогнегасники</t>
  </si>
  <si>
    <t>перенесено з адмін</t>
  </si>
  <si>
    <t>Амортизація основних засобів загальновиробничого призначення</t>
  </si>
  <si>
    <t>факт 2020, включено у виробництво і транспорт</t>
  </si>
  <si>
    <t>технічне освідотствування</t>
  </si>
  <si>
    <t>розрахунок в окремому файлі ВОДА</t>
  </si>
  <si>
    <t>розрахунок на листі ТО ТЗ</t>
  </si>
  <si>
    <t>розрахунок на листі Котел-юст</t>
  </si>
  <si>
    <t>надання графіка навантаження</t>
  </si>
  <si>
    <t>договір, з розподілом суми</t>
  </si>
  <si>
    <t>послуги гідрометео</t>
  </si>
  <si>
    <t>заміна кінцевої муфти (прямолінійних ділянок газопроводу перед комерційними шайбами)</t>
  </si>
  <si>
    <t>обстеження димвентканалів</t>
  </si>
  <si>
    <t>припинення та відновлення газопостачання</t>
  </si>
  <si>
    <t>обслуговування кондиціонерів</t>
  </si>
  <si>
    <t>лабораторні вимірювання якості води</t>
  </si>
  <si>
    <t>перетворювачі частоти</t>
  </si>
  <si>
    <t>Планові витрати пального, грн.</t>
  </si>
  <si>
    <t>Планові витрати мастила, грн.</t>
  </si>
  <si>
    <t>розрахунок в окремому файлі АМОРТИЗАЦІЯ, зведена на листі Амортизація</t>
  </si>
  <si>
    <t>Співвідношення обсягів централізованого водопостачання та вдовідведення для технологічних потреб</t>
  </si>
  <si>
    <t>для МЗК</t>
  </si>
  <si>
    <t>для всіх інших споживачів</t>
  </si>
  <si>
    <t>"ЗАТВЕРДЖЕНО"</t>
  </si>
  <si>
    <t>"___"______________ 201_р</t>
  </si>
  <si>
    <t>(найменування ліцензіата)</t>
  </si>
  <si>
    <t>Без ПДВ</t>
  </si>
  <si>
    <t xml:space="preserve">№ </t>
  </si>
  <si>
    <t>одиниця виміру</t>
  </si>
  <si>
    <t>Всього на виробництво, транспортування, постачання т.е.</t>
  </si>
  <si>
    <t>Виробництво теплової енергії  (прямі витрати)</t>
  </si>
  <si>
    <t>Транспортування теплової енергії (прямі витрати)</t>
  </si>
  <si>
    <t>Послуга з абон. обслугов.</t>
  </si>
  <si>
    <t>Встан. Обслед, замін ВКО</t>
  </si>
  <si>
    <t>водопос- тачання</t>
  </si>
  <si>
    <t>водовід- ведення</t>
  </si>
  <si>
    <t>Розрахунок потреб водопостачання та водовідведення</t>
  </si>
  <si>
    <t>Загальний обсяг споживання води та водовідведення всього, у т.ч.:</t>
  </si>
  <si>
    <r>
      <t>м</t>
    </r>
    <r>
      <rPr>
        <b/>
        <i/>
        <vertAlign val="superscript"/>
        <sz val="8"/>
        <rFont val="Times New Roman"/>
        <family val="1"/>
        <charset val="204"/>
      </rPr>
      <t>3</t>
    </r>
  </si>
  <si>
    <t>1.</t>
  </si>
  <si>
    <t>Обсяги споживання води та водовідведення на технологічні потреби всього, у т.ч.:</t>
  </si>
  <si>
    <t>1.1.</t>
  </si>
  <si>
    <t>Обсяг споживання води на ХВП</t>
  </si>
  <si>
    <t>1.2.</t>
  </si>
  <si>
    <t>Обсяг води на заповнення системи</t>
  </si>
  <si>
    <t>1.3.</t>
  </si>
  <si>
    <t>Обсяг води на підживлення</t>
  </si>
  <si>
    <t>1.4.</t>
  </si>
  <si>
    <t>1.5.</t>
  </si>
  <si>
    <t>Обсяг води на гідравлічні випробування</t>
  </si>
  <si>
    <t>1.6.</t>
  </si>
  <si>
    <t>Обсяг води на охолодження підшипників</t>
  </si>
  <si>
    <t>1.7.</t>
  </si>
  <si>
    <t>Інше використання технологічної води (призначення розшифрувати)  обслуговування технологічних баков</t>
  </si>
  <si>
    <t>1.7.1.</t>
  </si>
  <si>
    <t>Заполнение котлів</t>
  </si>
  <si>
    <t>1.7.2.</t>
  </si>
  <si>
    <t>Промивка теплових мереж</t>
  </si>
  <si>
    <t>1.7.3.</t>
  </si>
  <si>
    <t>Продувка парових та водогрыйних котлів</t>
  </si>
  <si>
    <t>2.</t>
  </si>
  <si>
    <t>Обсяг води на інші потреби (господарські)  ліцензованої діяльності нетехнологічні</t>
  </si>
  <si>
    <t>3.</t>
  </si>
  <si>
    <r>
      <rPr>
        <b/>
        <sz val="9"/>
        <rFont val="Times New Roman"/>
        <family val="1"/>
        <charset val="204"/>
      </rPr>
      <t>Довідково:</t>
    </r>
    <r>
      <rPr>
        <sz val="9"/>
        <rFont val="Times New Roman"/>
        <family val="1"/>
        <charset val="204"/>
      </rPr>
      <t xml:space="preserve"> Обсяг хімічнопідготовленної води </t>
    </r>
    <r>
      <rPr>
        <b/>
        <sz val="9"/>
        <rFont val="Times New Roman"/>
        <family val="1"/>
        <charset val="204"/>
      </rPr>
      <t>(тільки для котелень на яких проводиться ХВО)</t>
    </r>
    <r>
      <rPr>
        <sz val="9"/>
        <rFont val="Times New Roman"/>
        <family val="1"/>
        <charset val="204"/>
      </rPr>
      <t xml:space="preserve"> </t>
    </r>
  </si>
  <si>
    <t>Розрахунок вартості послуг з водопостачання та водовідведення</t>
  </si>
  <si>
    <t>4.</t>
  </si>
  <si>
    <t>Обсяги покупної води та водовідведення всього</t>
  </si>
  <si>
    <t>4.1.</t>
  </si>
  <si>
    <t>Тариф на покупну воду   / водовідведення (без ПДВ)</t>
  </si>
  <si>
    <r>
      <t>грн/м</t>
    </r>
    <r>
      <rPr>
        <b/>
        <i/>
        <vertAlign val="superscript"/>
        <sz val="8"/>
        <rFont val="Times New Roman"/>
        <family val="1"/>
        <charset val="204"/>
      </rPr>
      <t>3</t>
    </r>
  </si>
  <si>
    <t>4.2.</t>
  </si>
  <si>
    <t>Вартість покупної води / водовідведення всього</t>
  </si>
  <si>
    <t>тис. грн.</t>
  </si>
  <si>
    <t>№1</t>
  </si>
  <si>
    <r>
      <t xml:space="preserve">Обсяги (об*єкт водопостачання </t>
    </r>
    <r>
      <rPr>
        <sz val="9"/>
        <color rgb="FFFF0000"/>
        <rFont val="Times New Roman"/>
        <family val="1"/>
        <charset val="204"/>
      </rPr>
      <t>№1</t>
    </r>
    <r>
      <rPr>
        <sz val="9"/>
        <rFont val="Times New Roman"/>
        <family val="1"/>
        <charset val="204"/>
      </rPr>
      <t>)</t>
    </r>
  </si>
  <si>
    <t>Тариф (об*єкт №1) на покупну воду   / водовідведення (без ПДВ)</t>
  </si>
  <si>
    <r>
      <rPr>
        <sz val="9"/>
        <rFont val="Times New Roman"/>
        <family val="1"/>
        <charset val="204"/>
      </rPr>
      <t>Вартість покупної води / водовідведення від об*єкта</t>
    </r>
    <r>
      <rPr>
        <sz val="9"/>
        <color rgb="FFFF0000"/>
        <rFont val="Times New Roman"/>
        <family val="1"/>
        <charset val="204"/>
      </rPr>
      <t xml:space="preserve"> №1</t>
    </r>
  </si>
  <si>
    <t>№2</t>
  </si>
  <si>
    <r>
      <t xml:space="preserve">Обсяги (об*єкт </t>
    </r>
    <r>
      <rPr>
        <b/>
        <sz val="9"/>
        <rFont val="Times New Roman"/>
        <family val="1"/>
        <charset val="204"/>
      </rPr>
      <t>водопостачання</t>
    </r>
    <r>
      <rPr>
        <sz val="9"/>
        <rFont val="Times New Roman"/>
        <family val="1"/>
        <charset val="204"/>
      </rPr>
      <t xml:space="preserve"> </t>
    </r>
    <r>
      <rPr>
        <sz val="9"/>
        <color rgb="FFFF0000"/>
        <rFont val="Times New Roman"/>
        <family val="1"/>
        <charset val="204"/>
      </rPr>
      <t>№2</t>
    </r>
    <r>
      <rPr>
        <sz val="9"/>
        <rFont val="Times New Roman"/>
        <family val="1"/>
        <charset val="204"/>
      </rPr>
      <t xml:space="preserve">) </t>
    </r>
  </si>
  <si>
    <t>Тариф (об*єкт №2) на покупну воду   / водовідведення (без ПДВ)</t>
  </si>
  <si>
    <r>
      <rPr>
        <sz val="9"/>
        <rFont val="Times New Roman"/>
        <family val="1"/>
        <charset val="204"/>
      </rPr>
      <t>Вартість покупної води / водовідведення від об*єкта</t>
    </r>
    <r>
      <rPr>
        <sz val="9"/>
        <color rgb="FFFF0000"/>
        <rFont val="Times New Roman"/>
        <family val="1"/>
        <charset val="204"/>
      </rPr>
      <t xml:space="preserve"> №2</t>
    </r>
  </si>
  <si>
    <t>№3</t>
  </si>
  <si>
    <t>Обсяги (об*єкт водопостачання №3)</t>
  </si>
  <si>
    <t>Тариф (об*єкт №3) на покупну воду   / водовідведення (без ПДВ)</t>
  </si>
  <si>
    <t>Вартість покупної води / водовідведення від об*єкта №3</t>
  </si>
  <si>
    <t>№4</t>
  </si>
  <si>
    <t>Обсяги (об*єкт водопостачання №4)</t>
  </si>
  <si>
    <t>Тариф (об*єкт №4) на покупну воду   / водовідведення (без ПДВ)</t>
  </si>
  <si>
    <t>Вартість покупної води / водовідведення від об*єкта №4</t>
  </si>
  <si>
    <t>№5</t>
  </si>
  <si>
    <t>Обсяги (об*єкт водопостачання №5)</t>
  </si>
  <si>
    <t>Тариф (об*єкт №5) на покупну воду   / водовідведення (без ПДВ)</t>
  </si>
  <si>
    <t>Вартість покупної води / водовідведення від об*єкта №5</t>
  </si>
  <si>
    <t>№6</t>
  </si>
  <si>
    <t>Обсяги (об*єкт водопостачання №6)</t>
  </si>
  <si>
    <t>Тариф (об*єкт №6) на покупну воду   / водовідведення (без ПДВ)</t>
  </si>
  <si>
    <t>Вартість покупної води / водовідведення від об*єкта №6</t>
  </si>
  <si>
    <t>№7</t>
  </si>
  <si>
    <t>Обсяги (об*єкт водопостачання №7)</t>
  </si>
  <si>
    <t>Тариф (об*єкт №7) на покупну воду   / водовідведення (без ПДВ)</t>
  </si>
  <si>
    <t>Вартість покупної води / водовідведення від об*єкта №7</t>
  </si>
  <si>
    <t>№8</t>
  </si>
  <si>
    <t>Обсяги (об*єкт водопостачання №8)</t>
  </si>
  <si>
    <t>Тариф (об*єкт №8) на покупну воду   / водовідведення (без ПДВ)</t>
  </si>
  <si>
    <t>Вартість покупної води / водовідведення від об*єкта №8</t>
  </si>
  <si>
    <t>№9</t>
  </si>
  <si>
    <t>Обсяги (об*єкт водопостачання №9)</t>
  </si>
  <si>
    <t>Тариф (об*єкт №9) на покупну воду   / водовідведення (без ПДВ)</t>
  </si>
  <si>
    <t>Вартість покупної води / водовідведення від об*єкта №9</t>
  </si>
  <si>
    <t>№10</t>
  </si>
  <si>
    <t>Обсяги (об*єкт водопостачання №10)</t>
  </si>
  <si>
    <t>Тариф (об*єкт №10) на покупну воду   / водовідведення (без ПДВ)</t>
  </si>
  <si>
    <t>Вартість покупної води / водовідведення від об*єкта №10</t>
  </si>
  <si>
    <t>№11</t>
  </si>
  <si>
    <t>Обсяги (об*єкт водопостачання №11)</t>
  </si>
  <si>
    <t>Тариф (об*єкт №11) на покупну воду   / водовідведення (без ПДВ)</t>
  </si>
  <si>
    <t>Вартість покупної води / водовідведення від об*єкта №11</t>
  </si>
  <si>
    <t>№12</t>
  </si>
  <si>
    <t>Обсяги (об*єкт водопостачання №12)</t>
  </si>
  <si>
    <t>Тариф (об*єкт №12) на покупну воду   / водовідведення (без ПДВ)</t>
  </si>
  <si>
    <t>Вартість покупної води / водовідведення від об*єкта №12</t>
  </si>
  <si>
    <t>№13</t>
  </si>
  <si>
    <t>Обсяги (об*єкт водопостачання №13)</t>
  </si>
  <si>
    <t>Тариф (об*єкт №13) на покупну воду   / водовідведення (без ПДВ)</t>
  </si>
  <si>
    <t>Вартість покупної води / водовідведення від об*єкта №13</t>
  </si>
  <si>
    <t>№14</t>
  </si>
  <si>
    <t>Обсяги (об*єкт водопостачання №14)</t>
  </si>
  <si>
    <t>Тариф (об*єкт №14) на покупну воду   / водовідведення (без ПДВ)</t>
  </si>
  <si>
    <t>Вартість покупної води / водовідведення від об*єкта №14</t>
  </si>
  <si>
    <t>№15</t>
  </si>
  <si>
    <t>Обсяги (об*єкт водопостачання №15)</t>
  </si>
  <si>
    <t>Тариф (об*єкт №15) на покупну воду   / водовідведення (без ПДВ)</t>
  </si>
  <si>
    <t>Вартість покупної води / водовідведення від об*єкта №15</t>
  </si>
  <si>
    <t>№16</t>
  </si>
  <si>
    <t>Обсяги (об*єкт водопостачання №16)</t>
  </si>
  <si>
    <t>Тариф (об*єкт №16) на покупну воду   / водовідведення (без ПДВ)</t>
  </si>
  <si>
    <t>Вартість покупної води / водовідведення від об*єкта №16</t>
  </si>
  <si>
    <t>5.</t>
  </si>
  <si>
    <t>Обсяги споживання води власного видобутку (поверхневий водозабір, артезіанські свердловини) всього</t>
  </si>
  <si>
    <t>5.1.</t>
  </si>
  <si>
    <t>Собівартість води власного видобутку      (без ПДВ)</t>
  </si>
  <si>
    <t>5.2.</t>
  </si>
  <si>
    <t>Вартість води  власного видобутку (поверхневий водозабір, артезіанські свердловини)  всього</t>
  </si>
  <si>
    <t>6.</t>
  </si>
  <si>
    <t>Обсяги споживання води власного виробництва всього</t>
  </si>
  <si>
    <t>6.1.</t>
  </si>
  <si>
    <t>Тариф на воду власного виробництва    (без ПДВ)</t>
  </si>
  <si>
    <t>6.2.</t>
  </si>
  <si>
    <t>Вартість води  власного виробництва всього</t>
  </si>
  <si>
    <t>7.</t>
  </si>
  <si>
    <t>Вартість водопостачання та водовідведення</t>
  </si>
  <si>
    <t>8.</t>
  </si>
  <si>
    <t>Рівень складової водопостачання та водовідведення у собівартості тарифу на теплову енергії</t>
  </si>
  <si>
    <t>9.</t>
  </si>
  <si>
    <t>Реалізація  теплової енергії власним споживачам</t>
  </si>
  <si>
    <t>тис.Гкал</t>
  </si>
  <si>
    <t>Інформаційно:</t>
  </si>
  <si>
    <t>10.</t>
  </si>
  <si>
    <t>Ємність мереж від котелень, що працюють тільки в опалювальний період (крім мереж ГВП)</t>
  </si>
  <si>
    <t>11.</t>
  </si>
  <si>
    <t>Кількість днів опалювального періоду</t>
  </si>
  <si>
    <t>12.</t>
  </si>
  <si>
    <t>Ємність мереж від котелень, що працюють в опалювальний та міжопалювальний період (крім мереж ГВП)</t>
  </si>
  <si>
    <t>13.</t>
  </si>
  <si>
    <t xml:space="preserve">Кількість  днів роботи в опалювальний та міжопалювальний період  </t>
  </si>
  <si>
    <t>14.</t>
  </si>
  <si>
    <t xml:space="preserve">Обсяг води виставлений до сплати споживачам, як втрати в мережах споживачів на підживлення мереж </t>
  </si>
  <si>
    <t>Головний інженер КП "ЧТЕ"</t>
  </si>
  <si>
    <t>Розрахунок вартості обсягів технологічної води та води на господарсько-побутові потреби з урахуванням водовідведення</t>
  </si>
  <si>
    <t>розрахунок в окремому файлі ВОДА, зведена на листі ВОДА</t>
  </si>
  <si>
    <t>ВСЬОГО, у т.ч.:</t>
  </si>
  <si>
    <t>розрахунок на листі Утилізація</t>
  </si>
  <si>
    <t>Абонентське обслуговування</t>
  </si>
  <si>
    <t>Статті витрат</t>
  </si>
  <si>
    <t>Кількість</t>
  </si>
  <si>
    <t>Ціна обслуговування картріджа, грн./од</t>
  </si>
  <si>
    <t>Витрати, грн в рік</t>
  </si>
  <si>
    <t>Розрахунок витрат на послуги (консультаційні, інформаційні, професійні, аудит та інші)</t>
  </si>
  <si>
    <t>Доступ до електронного документообороту</t>
  </si>
  <si>
    <t>Розшифровка фактичних витрат на відрядження для врахування при плануванні на</t>
  </si>
  <si>
    <t>рззрахунок на листі Профпослуги та 10 тис. окремо на нотаріуса</t>
  </si>
  <si>
    <t>база розподілу загальновиробничих витрат</t>
  </si>
  <si>
    <t>сума</t>
  </si>
  <si>
    <t>кількість</t>
  </si>
  <si>
    <t>Ціна на молоко</t>
  </si>
  <si>
    <t>Ціна, грн</t>
  </si>
  <si>
    <t>виробництво</t>
  </si>
  <si>
    <t>транспортування</t>
  </si>
  <si>
    <t>загальновиробничі</t>
  </si>
  <si>
    <t>адміністративні</t>
  </si>
  <si>
    <t>декларация на 6 видов работ , вроде добровольно, а без нее не регистрируют держпрацы</t>
  </si>
  <si>
    <t>виробництво/транспорт</t>
  </si>
  <si>
    <t>заправка картріджів</t>
  </si>
  <si>
    <t>Екологічний податок</t>
  </si>
  <si>
    <t>Розрахунки для Річного плану</t>
  </si>
  <si>
    <t>придбання палива (природний газ) на технологічні потреби всього, у т.ч.:</t>
  </si>
  <si>
    <t>транспортування природного газу</t>
  </si>
  <si>
    <t>розподіл природного газу</t>
  </si>
  <si>
    <t>розрахунок на листі утилізація</t>
  </si>
  <si>
    <t>Обстеження  та перевірка техстану димарних каналів та повітряпроводів</t>
  </si>
  <si>
    <t>Технічне освідоцтво котлів КВГМ-50</t>
  </si>
  <si>
    <t>Технічне освідоцтво автокрана</t>
  </si>
  <si>
    <t>Калібровка резервуара</t>
  </si>
  <si>
    <t>Технічне освідоцтво трубопроводів IV категорії</t>
  </si>
  <si>
    <t>Тех обстеження стану димових труб (Садова 1)</t>
  </si>
  <si>
    <t>Випробування образивних кругів</t>
  </si>
  <si>
    <t>випробування, освідотствування, фарбування кисневих балонів</t>
  </si>
  <si>
    <t>Обладнання, устткування</t>
  </si>
  <si>
    <t>Технічне обслуговування вогнегасників</t>
  </si>
  <si>
    <t>Послуга на зняття відключаючих засувок ГРУ з електроприводом, 2 од, та встановлення відключаючихз засувок ГРУ з електроприводом після ремонту газової котельні (Садова 1)</t>
  </si>
  <si>
    <t>Розрахунок  витрат на  технічне обслуговування обладнання, установок</t>
  </si>
  <si>
    <t>грн. без ПДВ</t>
  </si>
  <si>
    <t xml:space="preserve">З В Т </t>
  </si>
  <si>
    <t>Кільк. Штук</t>
  </si>
  <si>
    <t>Варт. Пов.</t>
  </si>
  <si>
    <t>Сума за пов.</t>
  </si>
  <si>
    <t>ТИП</t>
  </si>
  <si>
    <t>1р. на рік</t>
  </si>
  <si>
    <t>Напороміри, тягонапороміри</t>
  </si>
  <si>
    <t>Маном. електр. дістанціон.</t>
  </si>
  <si>
    <t>Діафрагми  станд.госпорахункові</t>
  </si>
  <si>
    <t>Перетворювач тиску РС-28</t>
  </si>
  <si>
    <t>1р.на рік</t>
  </si>
  <si>
    <t>Перетворювач тиску ППС3-РН</t>
  </si>
  <si>
    <t>Діафрагми стандартні,технічні</t>
  </si>
  <si>
    <t>Термоперетворювачі опору  ТСМ,ТСП</t>
  </si>
  <si>
    <t>Разом:</t>
  </si>
  <si>
    <t>Майстер з обслуговування електроавтоматики і засобів виміру</t>
  </si>
  <si>
    <t>Стоянова Л.П.</t>
  </si>
  <si>
    <t>розрахнок в оркемому файлі</t>
  </si>
  <si>
    <t>договір</t>
  </si>
  <si>
    <t>на В і Тр</t>
  </si>
  <si>
    <t>державна повірка, юстування</t>
  </si>
  <si>
    <t>Вид діяльності</t>
  </si>
  <si>
    <t>розразунок на листі СПЕЦХАРЧ</t>
  </si>
  <si>
    <t>виготовлення ключів</t>
  </si>
  <si>
    <t>факт 2020</t>
  </si>
  <si>
    <t>Персонал</t>
  </si>
  <si>
    <t>Сума, грн</t>
  </si>
  <si>
    <t>перенесено в транспортування</t>
  </si>
  <si>
    <t>факт з коригуванням</t>
  </si>
  <si>
    <t>факт 2020, раз на 5 років</t>
  </si>
  <si>
    <t>перенесено з адміністративних</t>
  </si>
  <si>
    <t>Ліцензована діяльність у сфері теплопостачання</t>
  </si>
  <si>
    <t>Всього ТЕ</t>
  </si>
  <si>
    <t>Інші види діяльності</t>
  </si>
  <si>
    <t>Прямі витрати на оплату праці</t>
  </si>
  <si>
    <t>у т.ч. з ЦТП</t>
  </si>
  <si>
    <t>Транспортування всього, у т.ч.:</t>
  </si>
  <si>
    <t>Розподіл загальновиробничих та адміністративних витрат між видами діяльності</t>
  </si>
  <si>
    <t>Прямі витрати всього, без урахування витрат на покриття втрат теплової енергії в теплових мережах</t>
  </si>
  <si>
    <t>Адміністративні витрати всього, розподілені між всіма видами діяльності по прямим витратам на опату праці</t>
  </si>
  <si>
    <t>Загальновиробничі витрати всього, розподілені між всіма видами діяльності по прямим витратам на оплату праці</t>
  </si>
  <si>
    <t>Загальновиробничі витрати всього, розподілені між ліцензованими видами діяльності по прямим витратам</t>
  </si>
  <si>
    <t>ЗАГАЛЬНОВИРОБНИЧІ ВИТРАТИ РОЗПОДІЛЕНІ ВСЬОГО</t>
  </si>
  <si>
    <t>ЗАГАЛЬНА БАЗА РОЗПОДІЛУ ЗАГАЛЬНОВИРОБНИЧИХ ВИТРАТ</t>
  </si>
  <si>
    <t>Виробнича собівартість всього, без урахування витрат на покриття втрат теплової енергії в теплових мережах</t>
  </si>
  <si>
    <t>Адміністративні витрати всього, розподілені між ліцензованими видами діяльності по виробничій собівартості</t>
  </si>
  <si>
    <t>у т.ч. без ЦТП</t>
  </si>
  <si>
    <t>АДМІНІСТРАТИВНІ ВИТРАТИ РОЗПОДІЛЕНІ ВСЬОГО</t>
  </si>
  <si>
    <t>Відсоток повної планованої собівартості теплової енергії (без урахування витрат на відшкодування втрат та вартості виробництва теплової енергії на власних ТЕЦ, ТЕС, АЕС, когенераційних установках, установках з використанням альтернативних джерел енергії)</t>
  </si>
  <si>
    <t>Ставка податку на прибуток</t>
  </si>
  <si>
    <t>Розшифровка  витрат  на страхування</t>
  </si>
  <si>
    <t>тарифів на виробництво теплової енергії</t>
  </si>
  <si>
    <t>покупна теплова енергія та/або встановлена повна планована собівартість теплової енергії, виробленої  власними ТЕЦ, ТЕС, АЕС, КГУ та/або встановлена повна планована вартість теплової енергії, виробленої власними установками, що використовують НПДЕ</t>
  </si>
  <si>
    <t>Відпуск теплової енергії з колекторів власних генеруючих джерел, усього, зокрема:</t>
  </si>
  <si>
    <t>Тариф на електричну енергію (діючий), без ПДВ</t>
  </si>
  <si>
    <t>Тариф для розрахунку плати за перетікання реактивної електроенергії (діючий), без ПДВ</t>
  </si>
  <si>
    <t>Примітка: В 2018-2019 рр  та в чинному тарифі тариф на виробництво теплової енергії та собівартість виробництва розраховано на обсяг реалізації теплової енергії, в планованому періоді - на обсяг відпуску теплової енергії</t>
  </si>
  <si>
    <t>Розрахунок витрат на повірку  та юстування</t>
  </si>
  <si>
    <t>Розрахунок  витрат на  технічне освідотство обладнання</t>
  </si>
  <si>
    <t>Розрахунок витрат на проведення обов'язкового техконтролю транспортних засобів</t>
  </si>
  <si>
    <t>Розрахунок витрат на обслуговування картріджів</t>
  </si>
  <si>
    <t>Витрати на утилізацію відходів (ганчіря, лампи, шини)</t>
  </si>
  <si>
    <t>Фонд оплати праці виробничого, загальновиробничого та адміністративного персоналу з відрахуваннями на соціальні заходи</t>
  </si>
  <si>
    <t xml:space="preserve">Витрати на зв’язок </t>
  </si>
  <si>
    <t>ЗАГАЛЬНА БАЗА РОЗПОДІЛУ АДМІНІСТРАТИВНИХ ВИТРАТ</t>
  </si>
  <si>
    <t xml:space="preserve">(ініціали, прізвище)               </t>
  </si>
  <si>
    <t>ВІТАЛІЯ ШУМА 6-Б</t>
  </si>
  <si>
    <t>ДАНЧЕНКА 6</t>
  </si>
  <si>
    <t>придбання електроенергії на технологічні потреби</t>
  </si>
  <si>
    <t>прямо+розподіл</t>
  </si>
  <si>
    <t>розподіл</t>
  </si>
  <si>
    <t>розподіл не співпадає по корисному</t>
  </si>
  <si>
    <t>лише ЦТП</t>
  </si>
  <si>
    <t>спільні з ЦТП та без ЦТП</t>
  </si>
  <si>
    <t>прямо</t>
  </si>
  <si>
    <t>обслуговування кондиціонерів та інші витрати</t>
  </si>
  <si>
    <t>прямо + розподіл</t>
  </si>
  <si>
    <t>1.1.4.1</t>
  </si>
  <si>
    <t>у т.ч. витрати на покриття втрат теплової енергії в телових мережах</t>
  </si>
  <si>
    <t>Примітка: В 2018-2019 рр та у чинному тарифі не вимагалося фомування тарифу на транспортування з ЦТП та без ЦТП</t>
  </si>
  <si>
    <t>Планований відпуск з теплових мереж суб'єкта господарювання теплової енергії власним споживачам та теплової енергії інших власників, зокрема:</t>
  </si>
  <si>
    <t xml:space="preserve">відпуск теплової енергії власним споживачам </t>
  </si>
  <si>
    <t>9.4</t>
  </si>
  <si>
    <t>ОСББ</t>
  </si>
  <si>
    <t>проверка</t>
  </si>
  <si>
    <t>прям</t>
  </si>
  <si>
    <t>А.В.Паншин</t>
  </si>
  <si>
    <t xml:space="preserve">        Лічильники електричної енергії (транспортування) на сумму</t>
  </si>
  <si>
    <t>Манометри (транспортування) 96 шт. на сумму</t>
  </si>
  <si>
    <t>ВСЬОГО ВИТРАТ НА ТРАНСПОРТУВАННЯ</t>
  </si>
  <si>
    <t>ВСЬОГО ВИТРАТ НА ВИРОБНИЦТВО</t>
  </si>
  <si>
    <t>у відсотках до нормативного обсягу надходження теплової енергії в теплові мережі</t>
  </si>
  <si>
    <t>Дивний показник)</t>
  </si>
  <si>
    <t>Бюджет</t>
  </si>
  <si>
    <t>Примітка. Рядки, відмічені позначкою X, суб'єктом господарювання - виконавцем послуг не заповнюються.</t>
  </si>
  <si>
    <t>9.4.</t>
  </si>
  <si>
    <t>Д12</t>
  </si>
  <si>
    <t>4.6</t>
  </si>
  <si>
    <t xml:space="preserve"> 4.6.1</t>
  </si>
  <si>
    <t>всі витрати включені до постачання ТЕ, додаткових витрат немає</t>
  </si>
  <si>
    <t>Додаток 7
до рішення виконавчого комітету міської ради від ___.___ 2020 р. №_____</t>
  </si>
  <si>
    <t>прилади для вимірювання витрат, рівня та тиску рідин</t>
  </si>
  <si>
    <t>у т.ч.  для плану</t>
  </si>
  <si>
    <t>з ПДВ</t>
  </si>
  <si>
    <t>Кількість абонентів послуги з постачання гарячої води</t>
  </si>
  <si>
    <t>на господарські потреби ліцензованої діяльності суб’єкта господарювання</t>
  </si>
  <si>
    <t>виконавців комунальних послуг</t>
  </si>
  <si>
    <t>Вартість активної та реактивної електроенергії на постачання теплової енергії</t>
  </si>
  <si>
    <t>відпуск за мінусом ГП</t>
  </si>
  <si>
    <t>Планований корисний відпуск теплової енергії власним споживачам та теплової енергії інших власників, зокрема:</t>
  </si>
  <si>
    <t>щодо планованих обсягів теплової енергії для надання послуг</t>
  </si>
  <si>
    <t>Обсяг відпуску теплової енергії з колекторів власних генеруючих джерел</t>
  </si>
  <si>
    <t>Вихідні дані та техніко-економічні показники</t>
  </si>
  <si>
    <t>для розрахунку двоставкових тарифів на теплову енергію, послуги з постачання теплової енергії</t>
  </si>
  <si>
    <t>Найменування показника </t>
  </si>
  <si>
    <t>Показник базового року</t>
  </si>
  <si>
    <t>Усього </t>
  </si>
  <si>
    <t>У тому числі </t>
  </si>
  <si>
    <t>населення </t>
  </si>
  <si>
    <t>релігійні
організації</t>
  </si>
  <si>
    <t>Теплове навантаження системи: </t>
  </si>
  <si>
    <t>Гкал/г </t>
  </si>
  <si>
    <t>опалення </t>
  </si>
  <si>
    <t>- " - </t>
  </si>
  <si>
    <t>вентиляції </t>
  </si>
  <si>
    <t>постачання технологічної пари </t>
  </si>
  <si>
    <t>Реалізація теплової енергії споживачам, усього </t>
  </si>
  <si>
    <t>тис. Гкал </t>
  </si>
  <si>
    <t>у тому числі: </t>
  </si>
  <si>
    <t>  </t>
  </si>
  <si>
    <t>вентиляція </t>
  </si>
  <si>
    <t>постачання гарячої води </t>
  </si>
  <si>
    <t>2.4</t>
  </si>
  <si>
    <t>х </t>
  </si>
  <si>
    <t>Втрати теплової енергії під час транспортування магістральними та розподільчими мережами та в обладнанні</t>
  </si>
  <si>
    <t>Покупна теплова енергія  </t>
  </si>
  <si>
    <t>Теплова енергія, відпущена з колекторів  </t>
  </si>
  <si>
    <t>Теплова енергія для власних господарських потреб</t>
  </si>
  <si>
    <t>Теплова енергія для надання послуги з постачання теплової енергії</t>
  </si>
  <si>
    <t>Власне виробництво теплової енергії </t>
  </si>
  <si>
    <t>Витрати палива на виробництво теплової енергії: </t>
  </si>
  <si>
    <t>газу </t>
  </si>
  <si>
    <t>млн. куб. метрів </t>
  </si>
  <si>
    <t>мазуту </t>
  </si>
  <si>
    <t>тис. тонн </t>
  </si>
  <si>
    <t>твердого палива </t>
  </si>
  <si>
    <t>іншого виду палива</t>
  </si>
  <si>
    <t>Витрати умовного палива на виробництво теплової енергії </t>
  </si>
  <si>
    <t>Питомі витрати умовного палива </t>
  </si>
  <si>
    <t>кг/Гкал </t>
  </si>
  <si>
    <t>Витрати умовного палива на компенсацію тепловтрат </t>
  </si>
  <si>
    <t>Витрати електроенергії на технологічні потреби </t>
  </si>
  <si>
    <r>
      <t>тис. кВт</t>
    </r>
    <r>
      <rPr>
        <b/>
        <sz val="12"/>
        <rFont val="Times New Roman"/>
        <family val="1"/>
        <charset val="204"/>
      </rPr>
      <t>·</t>
    </r>
    <r>
      <rPr>
        <sz val="12"/>
        <rFont val="Times New Roman"/>
        <family val="1"/>
        <charset val="204"/>
      </rPr>
      <t>г </t>
    </r>
  </si>
  <si>
    <t>Питомі витрати електроенергії на технологічні потреби </t>
  </si>
  <si>
    <r>
      <t>кВт</t>
    </r>
    <r>
      <rPr>
        <b/>
        <sz val="12"/>
        <rFont val="Times New Roman"/>
        <family val="1"/>
        <charset val="204"/>
      </rPr>
      <t>·</t>
    </r>
    <r>
      <rPr>
        <sz val="12"/>
        <rFont val="Times New Roman"/>
        <family val="1"/>
        <charset val="204"/>
      </rPr>
      <t>г/Гкал </t>
    </r>
  </si>
  <si>
    <t>15.</t>
  </si>
  <si>
    <t>Витрати води на технологічні потреби </t>
  </si>
  <si>
    <t>тис. куб. метрів </t>
  </si>
  <si>
    <t>16.</t>
  </si>
  <si>
    <t>Витрати електричної енергії на централізоване постачання гарячої води </t>
  </si>
  <si>
    <t>17.</t>
  </si>
  <si>
    <t>Тривалість опалювального періоду </t>
  </si>
  <si>
    <t>діб </t>
  </si>
  <si>
    <t>18.</t>
  </si>
  <si>
    <t>Тривалість міжопалювального періоду </t>
  </si>
  <si>
    <t>19.</t>
  </si>
  <si>
    <t>Середня розрахункова температура внутрішнього повітря опалюваних будівель</t>
  </si>
  <si>
    <t>°C </t>
  </si>
  <si>
    <t>20.</t>
  </si>
  <si>
    <t>Середня температура зовнішнього повітря за опалювальний період </t>
  </si>
  <si>
    <t>21.</t>
  </si>
  <si>
    <t>Розрахункова температура зовнішнього повітря для проектування системи опалення </t>
  </si>
  <si>
    <t>22.</t>
  </si>
  <si>
    <t>Розрахункова температура зовнішнього повітря для проектування систем вентиляції </t>
  </si>
  <si>
    <t>23.</t>
  </si>
  <si>
    <t>Робота систем гарячого водопостачання під час режимної подачі гарячої води: </t>
  </si>
  <si>
    <t>23.1</t>
  </si>
  <si>
    <t>годин за добу </t>
  </si>
  <si>
    <t>годин </t>
  </si>
  <si>
    <t>23.2</t>
  </si>
  <si>
    <t>діб за тиждень </t>
  </si>
  <si>
    <t>23.3</t>
  </si>
  <si>
    <t>місяців протягом року </t>
  </si>
  <si>
    <t>місяців </t>
  </si>
  <si>
    <t>24.</t>
  </si>
  <si>
    <t>Споживання холодної води для потреб постачання гарячої води </t>
  </si>
  <si>
    <t>куб. метрів/г </t>
  </si>
  <si>
    <t>25.</t>
  </si>
  <si>
    <t>Норма витрати холодної води на гаряче водопостачання </t>
  </si>
  <si>
    <t>літрів на добу </t>
  </si>
  <si>
    <t>26.</t>
  </si>
  <si>
    <t>Температура холодної (водопровідної) води: </t>
  </si>
  <si>
    <t>26.1</t>
  </si>
  <si>
    <t>в опалювальний період </t>
  </si>
  <si>
    <t>26.2</t>
  </si>
  <si>
    <t>в міжопалювальний період </t>
  </si>
  <si>
    <t>27.</t>
  </si>
  <si>
    <t>Нижня теплота згорання натурального палива: </t>
  </si>
  <si>
    <t>ккал/куб. метр (ккал/кг) </t>
  </si>
  <si>
    <t>28.</t>
  </si>
  <si>
    <t>Вартість палива (без урахування податку на додану вартість) </t>
  </si>
  <si>
    <t>29.</t>
  </si>
  <si>
    <t>Вартість електроенергії в середньому за рік </t>
  </si>
  <si>
    <t>гривень/кВт·г </t>
  </si>
  <si>
    <t>30.</t>
  </si>
  <si>
    <t>Вартість води на потреби гарячого водопостачання </t>
  </si>
  <si>
    <t>гривень/куб. метр </t>
  </si>
  <si>
    <t>31.</t>
  </si>
  <si>
    <t>Вартість покупної теплової енергії </t>
  </si>
  <si>
    <t>гривень/ Гкал </t>
  </si>
  <si>
    <t>32.</t>
  </si>
  <si>
    <t>гривень/  куб. метр </t>
  </si>
  <si>
    <t>33.</t>
  </si>
  <si>
    <t>Загальна опалювана площа будівель усіх категорій споживачів </t>
  </si>
  <si>
    <t>тис. кв. метрів </t>
  </si>
  <si>
    <t>34.</t>
  </si>
  <si>
    <t>Загальна опалювана площа будівель у яких встановлено вузли комерційного обліку теплової енергії</t>
  </si>
  <si>
    <t>Загальна опалювана площа будівель у яких не встановлено вузли комерційного обліку теплової енергії</t>
  </si>
  <si>
    <t>Розрахункова норма витрат теплової енергії для опалення будинків, в яких відсутні вузли комерційного обліку теплової енергії</t>
  </si>
  <si>
    <t>Гкал/ кв. метр/ рік </t>
  </si>
  <si>
    <t>Питоме теплове навантаження системи опалення </t>
  </si>
  <si>
    <t>Гкал/г/кв. метр</t>
  </si>
  <si>
    <t>Кількість квартир з централізованим постачанням теплової енергії</t>
  </si>
  <si>
    <t>тис. квартир </t>
  </si>
  <si>
    <t>Кількість квартир з централізованим постачанням гарячої води </t>
  </si>
  <si>
    <t>Кількість споживачів (абонентів), яким надається послуга з постачання теплової енергії</t>
  </si>
  <si>
    <t>один.</t>
  </si>
  <si>
    <t>___________________</t>
  </si>
  <si>
    <t xml:space="preserve">                                  (керівник)</t>
  </si>
  <si>
    <t xml:space="preserve">     (власне ім'я, прізвище)</t>
  </si>
  <si>
    <r>
      <t xml:space="preserve">Примітки: </t>
    </r>
    <r>
      <rPr>
        <sz val="10"/>
        <rFont val="Times New Roman"/>
        <family val="1"/>
        <charset val="204"/>
      </rPr>
      <t>Рядки, відмічені позначкою Х не заповнюються.</t>
    </r>
  </si>
  <si>
    <t xml:space="preserve">                  * Одиниця виміру  зазначається відповідно до  виду палива, що використовується суб'єктом господарювання. </t>
  </si>
  <si>
    <t>Одиниця виміру </t>
  </si>
  <si>
    <t>Сумарні та середньозважені показники </t>
  </si>
  <si>
    <t>Для потреб</t>
  </si>
  <si>
    <t>інших споживачів </t>
  </si>
  <si>
    <t>усього </t>
  </si>
  <si>
    <t>у тому числі </t>
  </si>
  <si>
    <t>умовно-змінна частина</t>
  </si>
  <si>
    <t>умовно- постійна частина </t>
  </si>
  <si>
    <t>тис. Гкал</t>
  </si>
  <si>
    <t>споживачів, які користуються централізованим опаленням</t>
  </si>
  <si>
    <t>місць загального користування</t>
  </si>
  <si>
    <t>системи постачання гарячої води</t>
  </si>
  <si>
    <t>споживачів, які відмовилися від централізованого опалення та постачання гарячої води  (довідково)</t>
  </si>
  <si>
    <t>Обсяг теплової енергії для надання послуги з постачання теплової енергії, усього</t>
  </si>
  <si>
    <t>у тому числі</t>
  </si>
  <si>
    <t>за показаннями вузлів комерційного обліку  </t>
  </si>
  <si>
    <t>Питоме теплове навантаження системи опалення  </t>
  </si>
  <si>
    <t>Гкал/г /  на 1 кв. метр </t>
  </si>
  <si>
    <t>Розрахункова норма витрат теплової енергії для опалення будинків, в яких не встановлені прилади обліку </t>
  </si>
  <si>
    <t>Теплова енергія (виробництво, транспортування, постачання) </t>
  </si>
  <si>
    <t>умовно-змінна частина  </t>
  </si>
  <si>
    <t>умовно-постійна частина (абонентська плата) </t>
  </si>
  <si>
    <t>20.1</t>
  </si>
  <si>
    <t>20.2</t>
  </si>
  <si>
    <t>Послуга з постачання теплової енергії</t>
  </si>
  <si>
    <r>
      <rPr>
        <b/>
        <sz val="10"/>
        <color theme="1"/>
        <rFont val="Times New Roman"/>
        <family val="1"/>
        <charset val="204"/>
      </rPr>
      <t>Примітки:</t>
    </r>
    <r>
      <rPr>
        <sz val="10"/>
        <color theme="1"/>
        <rFont val="Times New Roman"/>
        <family val="1"/>
        <charset val="204"/>
      </rPr>
      <t xml:space="preserve"> </t>
    </r>
  </si>
  <si>
    <t xml:space="preserve">Вартістю послуги з постачання теплової енергії є тариф на теплову енергію для споживача, який визначається як сума тарифів на виробництво, транспортування та постачання теплової енергії.                                                              </t>
  </si>
  <si>
    <t>Встановлення двоставкових тарифів на послуги з постачання теплової енергії здійснюється за умови встановлення двоставкових тарифів на теплову енергію.</t>
  </si>
  <si>
    <t xml:space="preserve">              </t>
  </si>
  <si>
    <t>Рядки, відмічені позначкою Х не заповнюються.</t>
  </si>
  <si>
    <t>*Без урахування списання безнадійної дебіторської заборгованості та нарахування резерву сумнівних боргів.</t>
  </si>
  <si>
    <t>(власне ім'я, прізвище)</t>
  </si>
  <si>
    <t>помінено місцями</t>
  </si>
  <si>
    <t xml:space="preserve">Кількість споживачів (абонентів), яким надається послуга з постачання гарячої води </t>
  </si>
  <si>
    <t>20.3</t>
  </si>
  <si>
    <t>20.4</t>
  </si>
  <si>
    <t>Розрахунок</t>
  </si>
  <si>
    <t xml:space="preserve">Приєднане теплове навантаження  </t>
  </si>
  <si>
    <t>грн/Гкал </t>
  </si>
  <si>
    <t>Одноставковий тариф на постачання теплової енергії без ПДВ</t>
  </si>
  <si>
    <t>Одноставковий тариф на постачання теплової енергії з ПДВ</t>
  </si>
  <si>
    <t>Двоставковий тариф на постачання теплової енергії без ПДВ</t>
  </si>
  <si>
    <t>грн/ Гкал/год</t>
  </si>
  <si>
    <t>Навантаження всього, у т.ч.:</t>
  </si>
  <si>
    <t>Одноставковий тариф на транспортування теплової енергії без ПДВ</t>
  </si>
  <si>
    <t>Одноставковий тариф на транспортування теплової енергії з ПДВ</t>
  </si>
  <si>
    <t>Двоставковий тариф на транспортування теплової енергії без ПДВ</t>
  </si>
  <si>
    <t>Обсяг реалізації теплової енергії споживачам всього, у т.ч.</t>
  </si>
  <si>
    <t>Одноставковий тариф на виробництво теплової енергії без ПДВ</t>
  </si>
  <si>
    <t>Одноставковий тариф на виробництво теплової енергії з ПДВ</t>
  </si>
  <si>
    <t>Двоставковий тариф на виробництво теплової енергії без ПДВ</t>
  </si>
  <si>
    <t>Обсяг відпуску теплової енергії з колекторів власних генеруючих джерел всього</t>
  </si>
  <si>
    <t>Вартість виробництва, транспортування, постачання теплової енергії за відповідними тарифами</t>
  </si>
  <si>
    <t>Одноставковий тариф на теплову енергію без ПДВ</t>
  </si>
  <si>
    <t>Одноставковий тариф на теплову енергії з ПДВ</t>
  </si>
  <si>
    <t>Двоставковий тариф на теплову енергії без ПДВ</t>
  </si>
  <si>
    <t>Двоставковий тариф на теплову енергію з ПДВ</t>
  </si>
  <si>
    <t>Двоставковий тариф на виробництво теплової енергії з ПДВ</t>
  </si>
  <si>
    <t>Двоставковий тариф на транспортування теплової енергії з ПДВ</t>
  </si>
  <si>
    <t>Двоставковий тариф на постачання теплової енергії з ПДВ</t>
  </si>
  <si>
    <t>Одноставковий тариф на послугу з постачання теплової енергії без ПДВ</t>
  </si>
  <si>
    <t>Одноставковий тариф на послугу з постачання теплової енергії з ПДВ</t>
  </si>
  <si>
    <t>Двоставковий тариф на послугу з постачання теплової енергії без ПДВ</t>
  </si>
  <si>
    <t>Двоставковий тариф на послугу з постачання теплової енергії з ПДВ</t>
  </si>
  <si>
    <t>умовно-змінної та умовно-постійної частин витрат на виробництво, транспортування та постачання теплової енергії, послуги з  постачання теплової енергії</t>
  </si>
  <si>
    <t>без урахування витрат на утримання та ремонт центральних теплових пунктів</t>
  </si>
  <si>
    <t>з урахуванням витрат на утримання та ремонт центральних теплових пунктів</t>
  </si>
  <si>
    <t>ТАРИФИ</t>
  </si>
  <si>
    <t>середній</t>
  </si>
  <si>
    <t xml:space="preserve">ПКМУ № 869 (зміни ПКМУ № 467) </t>
  </si>
  <si>
    <t>Договір з водоканалом</t>
  </si>
  <si>
    <t>всього</t>
  </si>
  <si>
    <t>прибуток</t>
  </si>
  <si>
    <t>база розподілу прямих витрат (навантаження) для двоставкового тарифу</t>
  </si>
  <si>
    <t>1.1.5.1</t>
  </si>
  <si>
    <t>17.1</t>
  </si>
  <si>
    <t>17.2</t>
  </si>
  <si>
    <t>база розподілу умовно-постійних витрат (корисний відпуск) для одноставкового тарифу</t>
  </si>
  <si>
    <t>база розподілу умовно-змінних витрат (відпуск з колекторів)</t>
  </si>
  <si>
    <t>база розподілу умовно-постійних витрат (навантаження)</t>
  </si>
  <si>
    <t>без ГП</t>
  </si>
  <si>
    <t>постачання</t>
  </si>
  <si>
    <t>21.1</t>
  </si>
  <si>
    <t>21.2</t>
  </si>
  <si>
    <t>21.3</t>
  </si>
  <si>
    <t>грн/ тис. куб. метрів* </t>
  </si>
  <si>
    <t>Вартість води та водовідведення для технологічних потреб</t>
  </si>
  <si>
    <r>
      <t xml:space="preserve">До заяви додаються документи згідно з переліком на </t>
    </r>
    <r>
      <rPr>
        <sz val="13"/>
        <color rgb="FFFF0000"/>
        <rFont val="Times New Roman"/>
        <family val="1"/>
        <charset val="204"/>
      </rPr>
      <t>________</t>
    </r>
    <r>
      <rPr>
        <sz val="13"/>
        <color theme="1"/>
        <rFont val="Times New Roman"/>
        <family val="1"/>
        <charset val="204"/>
      </rPr>
      <t xml:space="preserve"> арк.</t>
    </r>
  </si>
  <si>
    <t>Постачання теплової енергії - АВ № 597490 від 08.06.2012 р. № 224 (переоформлено постановою НКРЕКП від 26.07.2016 №1314)</t>
  </si>
  <si>
    <t>Транспортування теплової енергії магістральними та  місцевими (розподільчими) тепловими мережами - АВ № 597491 від 08.06.2012 р. № 224 (переоформлено постановою НКРЕКП від 26.07.2016 № 1314)</t>
  </si>
  <si>
    <t>Виробництво теплової енергії - АВ № 597490 від 08.06.2012 р. № 224 (переоформлено постановою НКРЕКП від 26.07.2016 № 1314)</t>
  </si>
  <si>
    <t xml:space="preserve">       (керівник)                            (підпис)                                           (ініціали, прізвище)</t>
  </si>
  <si>
    <t>Заступник міськго голови</t>
  </si>
  <si>
    <t>в місяць</t>
  </si>
  <si>
    <t>адм</t>
  </si>
  <si>
    <t>пр</t>
  </si>
  <si>
    <t>т1</t>
  </si>
  <si>
    <t>т2</t>
  </si>
  <si>
    <t>сумма</t>
  </si>
  <si>
    <t>УЗС</t>
  </si>
  <si>
    <t>УПС</t>
  </si>
  <si>
    <t>тариф</t>
  </si>
  <si>
    <t>середньовзважений</t>
  </si>
  <si>
    <t>Од. вим.</t>
  </si>
  <si>
    <t>Бюджетних установ</t>
  </si>
  <si>
    <t>транспортування без цтп</t>
  </si>
  <si>
    <t>теплова енергія з цтп</t>
  </si>
  <si>
    <t>теплова енергія без цтп</t>
  </si>
  <si>
    <t>без пдв</t>
  </si>
  <si>
    <t>з пдв</t>
  </si>
  <si>
    <t>фін витрати</t>
  </si>
  <si>
    <t>N з/п</t>
  </si>
  <si>
    <t>Од. виміру </t>
  </si>
  <si>
    <t xml:space="preserve">разом </t>
  </si>
  <si>
    <t>сума, 
тис. грн.</t>
  </si>
  <si>
    <t xml:space="preserve">на 1Гкал </t>
  </si>
  <si>
    <t xml:space="preserve"> грн. на 1Гкал </t>
  </si>
  <si>
    <t>Виробнича собівартість, у т. ч.:</t>
  </si>
  <si>
    <t>тис. грн </t>
  </si>
  <si>
    <t>прямі матеріальні витрати, у т. ч.:</t>
  </si>
  <si>
    <t>вода для технологічних потреб та водовідведення</t>
  </si>
  <si>
    <t>матеріали, запасні частини та інші матеріальні ресурси</t>
  </si>
  <si>
    <t>інші прямі витрати, у т. ч.:</t>
  </si>
  <si>
    <t>відрахування на соціальні заходи</t>
  </si>
  <si>
    <t>амортизаційні відрахування</t>
  </si>
  <si>
    <t>загальновиробничі витрати, у т. ч.:</t>
  </si>
  <si>
    <t>Адміністративні витрати, у т. ч.:</t>
  </si>
  <si>
    <t>Витрати на збут, у т. ч.:</t>
  </si>
  <si>
    <t>Інші операційні витрати*</t>
  </si>
  <si>
    <t xml:space="preserve">умовно-постійна частина </t>
  </si>
  <si>
    <t>Розрахунковий прибуток, усього *, у т. ч.:</t>
  </si>
  <si>
    <t>Вартість за відповідними тарифами всього, у т.ч.:</t>
  </si>
  <si>
    <t>Реалізація теплової енергії власним споживачам, Гкал</t>
  </si>
  <si>
    <t>Приєднане теплове навантаження, Гкал/год</t>
  </si>
  <si>
    <t>грн./Гкал</t>
  </si>
  <si>
    <t>умовно-постійна частина, грн. за 1 Гкал/год в місяць</t>
  </si>
  <si>
    <t>грн./Гкал/год в рік</t>
  </si>
  <si>
    <t>умовно-змінна частина, грн/1 Гкал</t>
  </si>
  <si>
    <t>Відпуск теплової енергії з колекторів власних котелень</t>
  </si>
  <si>
    <t>* Без урахування списання безнадійної дебіторської заборгованості та нарахування резерву сумнівних боргів</t>
  </si>
  <si>
    <t>М.П</t>
  </si>
  <si>
    <t>підпис</t>
  </si>
  <si>
    <t>Зарплата</t>
  </si>
  <si>
    <t>Відрахування</t>
  </si>
  <si>
    <t>газ</t>
  </si>
  <si>
    <t>водопостачання, водовідведення</t>
  </si>
  <si>
    <t>податки</t>
  </si>
  <si>
    <t>Ремонти</t>
  </si>
  <si>
    <t>інші</t>
  </si>
  <si>
    <t>рівень рентабельності</t>
  </si>
  <si>
    <t>паливо, у тому числі</t>
  </si>
  <si>
    <t>постачання та транспортування</t>
  </si>
  <si>
    <t>Прибуток</t>
  </si>
  <si>
    <t>Плановані тарифи</t>
  </si>
  <si>
    <t>Діючі тарифи</t>
  </si>
  <si>
    <t>д.тариф</t>
  </si>
  <si>
    <t>Різниця</t>
  </si>
  <si>
    <t>Відхилення</t>
  </si>
  <si>
    <t>чистий прибуток</t>
  </si>
  <si>
    <t>Собівартість в тарифі</t>
  </si>
  <si>
    <t>Середньовзваж</t>
  </si>
  <si>
    <t xml:space="preserve">прибуток </t>
  </si>
  <si>
    <t xml:space="preserve">тариф </t>
  </si>
  <si>
    <t xml:space="preserve">разом собівартість </t>
  </si>
  <si>
    <t>тариф з пдв</t>
  </si>
  <si>
    <t>В.о. директора</t>
  </si>
  <si>
    <t>придбання електроенергії на технологічні потреби (розподіл)</t>
  </si>
  <si>
    <t xml:space="preserve">транспортування та постачання для   споживачів категорії населення, </t>
  </si>
  <si>
    <t xml:space="preserve">транспортування та постачання для   споживачів категорії інші, </t>
  </si>
  <si>
    <t xml:space="preserve">транспортування та постачання для   споживачів категорії бюджетні установи, </t>
  </si>
  <si>
    <t xml:space="preserve">транспортування та постачання для   споживачів категорії релігійні організації, </t>
  </si>
  <si>
    <t xml:space="preserve">транспортування та постачання для   споживачів, </t>
  </si>
  <si>
    <t>станом на 01.10.2020 року</t>
  </si>
  <si>
    <t>умовно-постійна частина (абонентська плата) в місяць</t>
  </si>
  <si>
    <t>умовно-постійна частина (абонентська плата)</t>
  </si>
  <si>
    <t>станом на 01.10.2020 рооку</t>
  </si>
  <si>
    <t>діючі</t>
  </si>
  <si>
    <t>транспортування
 з цтп</t>
  </si>
  <si>
    <t>Діючий тариф на 2020-2021 рр</t>
  </si>
  <si>
    <t>Паливо, в т.ч.</t>
  </si>
  <si>
    <t>Витрати, %</t>
  </si>
  <si>
    <t>Електроенергія</t>
  </si>
  <si>
    <t>Вода й водовідведення</t>
  </si>
  <si>
    <t>Ремонти (господарським та підрядним способами)</t>
  </si>
  <si>
    <t>Нарахування на зарплату</t>
  </si>
  <si>
    <t>Амортизація</t>
  </si>
  <si>
    <t>Податки</t>
  </si>
  <si>
    <t>Інші витрати</t>
  </si>
  <si>
    <t>Відхилення, %
(гр.3-гр.2)</t>
  </si>
  <si>
    <t>Витрати на покриття втрат в мережах</t>
  </si>
  <si>
    <t>Витрати, тис. грн</t>
  </si>
  <si>
    <t>Відхилення
(гр.3-гр.2)</t>
  </si>
  <si>
    <t>з ЦТП/без ЦТП</t>
  </si>
  <si>
    <t>Населення</t>
  </si>
  <si>
    <t>Релігія</t>
  </si>
  <si>
    <t>Інші</t>
  </si>
  <si>
    <t>Навантаження Гкал/год</t>
  </si>
  <si>
    <t>Реалізація, тис. Гкал</t>
  </si>
  <si>
    <t>з цтп</t>
  </si>
  <si>
    <t>без цтп</t>
  </si>
  <si>
    <t>відпуск, тис Гкал</t>
  </si>
  <si>
    <t>на 1 Гкал</t>
  </si>
  <si>
    <t>Розвиток виробництва</t>
  </si>
  <si>
    <t>Собівартість</t>
  </si>
  <si>
    <t>Порівнянн структур одноставкових та двоставкових тарифів на виробництво теплової енергії КП "ЧТЕ"</t>
  </si>
  <si>
    <t>одноставкові тарифи</t>
  </si>
  <si>
    <t>двоставкові тарифи</t>
  </si>
  <si>
    <t>*відхилення одноставкових від двоставкових тарифів</t>
  </si>
  <si>
    <t>Виробництво теплової енергії для потреб</t>
  </si>
  <si>
    <t xml:space="preserve"> населення</t>
  </si>
  <si>
    <t xml:space="preserve"> релігійних організацій</t>
  </si>
  <si>
    <t xml:space="preserve"> бюджетних установ</t>
  </si>
  <si>
    <t xml:space="preserve"> інших споживачів</t>
  </si>
  <si>
    <t>Примітка: * Відхилення по групам споживачів пояснюється різною базою розподілу витрат - при одноставковому тарифі по Гкал всі витрати, а при двоставковому тарифі УПС по приєднаному навантаженню, УЗС по Гкал.</t>
  </si>
  <si>
    <t>одноставковий тариф</t>
  </si>
  <si>
    <t xml:space="preserve">всього </t>
  </si>
  <si>
    <t>насел</t>
  </si>
  <si>
    <t>реліг</t>
  </si>
  <si>
    <t>двоставковий тариф з цтп</t>
  </si>
  <si>
    <t>двоставковий тариф без цтп</t>
  </si>
  <si>
    <t>відхилення</t>
  </si>
  <si>
    <t>Прошу розглянути заяву про встановлення тарифів:</t>
  </si>
  <si>
    <t>Анатолій ПАНШИН</t>
  </si>
  <si>
    <t>Олександр ВИСОЦЬКИЙ</t>
  </si>
  <si>
    <t>Олена ЛАВРОВА</t>
  </si>
  <si>
    <t>Інна ЛУК'ЯНОВА</t>
  </si>
  <si>
    <t>Виконавчий комітет Чорноморської міської ради Одеського району Одеської області</t>
  </si>
  <si>
    <t>Комунальне підприємство «Чорноморськтеплоенерго» Чорноморської міської ради Одеського району Одеської області</t>
  </si>
  <si>
    <t>2021-2022</t>
  </si>
  <si>
    <t xml:space="preserve">та додані до неї матеріали і розрахунки </t>
  </si>
  <si>
    <t>Прямі витрати</t>
  </si>
  <si>
    <t xml:space="preserve">                                                                         С НДС = ______ грн.</t>
  </si>
  <si>
    <t>Факт 2020</t>
  </si>
  <si>
    <t>Факт 2020 року</t>
  </si>
  <si>
    <t>опалюв</t>
  </si>
  <si>
    <t>міжопалюв</t>
  </si>
  <si>
    <t>дн</t>
  </si>
  <si>
    <t>Фактичні витрати ПММ за 2020 рік, грн</t>
  </si>
  <si>
    <t>2-х  ставковий</t>
  </si>
  <si>
    <t>1-но ставковий</t>
  </si>
  <si>
    <t>витрати на покриття втрат теплової енергії в теплових мережах</t>
  </si>
  <si>
    <t>Аудиторські послуги</t>
  </si>
  <si>
    <t>Головне управлiння статистики в Одеськiй областi</t>
  </si>
  <si>
    <t>Семінар зі статистики праці</t>
  </si>
  <si>
    <t>ДержавтотрансНДІпроект, ДП</t>
  </si>
  <si>
    <t>Розробл.норми витрат палива на Ford Transit</t>
  </si>
  <si>
    <t>послуги у сфері інформатизації</t>
  </si>
  <si>
    <t>Расторгуєв Е. О., ФОП</t>
  </si>
  <si>
    <t>електронні ключі</t>
  </si>
  <si>
    <t>Центр сертифiкацiї ключiв"Україна"</t>
  </si>
  <si>
    <t>організація перевезень, відправлень</t>
  </si>
  <si>
    <t>пожежна автоматика</t>
  </si>
  <si>
    <t>Транспортування без ЦТП</t>
  </si>
  <si>
    <t>Транспортування з ЦТП</t>
  </si>
  <si>
    <t>Опалювальний сезон 2019 - 2020</t>
  </si>
  <si>
    <t>Опалювальний сезон 2020 - 2021</t>
  </si>
  <si>
    <r>
      <t xml:space="preserve">Таблиця </t>
    </r>
    <r>
      <rPr>
        <b/>
        <sz val="10"/>
        <color indexed="8"/>
        <rFont val="Calibri"/>
        <family val="2"/>
        <charset val="204"/>
        <scheme val="minor"/>
      </rPr>
      <t>для розрахунку корисного тепла та втрат теплової енергії в мережах</t>
    </r>
  </si>
  <si>
    <r>
      <t>Коефіцієнт для розрахунку потреби в теплоті на опалення для 18</t>
    </r>
    <r>
      <rPr>
        <sz val="11"/>
        <color theme="1"/>
        <rFont val="Calibri"/>
        <family val="2"/>
        <charset val="204"/>
      </rPr>
      <t>°</t>
    </r>
    <r>
      <rPr>
        <sz val="11"/>
        <color theme="1"/>
        <rFont val="Times New Roman"/>
        <family val="1"/>
        <charset val="204"/>
      </rPr>
      <t>С</t>
    </r>
  </si>
  <si>
    <r>
      <t xml:space="preserve">Розрахункова температура внутрішнього повітря, </t>
    </r>
    <r>
      <rPr>
        <sz val="11"/>
        <color theme="1"/>
        <rFont val="Calibri"/>
        <family val="2"/>
        <charset val="204"/>
      </rPr>
      <t>°</t>
    </r>
    <r>
      <rPr>
        <sz val="11"/>
        <color theme="1"/>
        <rFont val="Times New Roman"/>
        <family val="1"/>
        <charset val="204"/>
      </rPr>
      <t>С</t>
    </r>
  </si>
  <si>
    <r>
      <t xml:space="preserve">Розрахункова температура внутрішнього повітря, </t>
    </r>
    <r>
      <rPr>
        <sz val="11"/>
        <color theme="1"/>
        <rFont val="Calibri"/>
        <family val="2"/>
        <charset val="204"/>
      </rPr>
      <t>°</t>
    </r>
    <r>
      <rPr>
        <sz val="11"/>
        <color theme="1"/>
        <rFont val="Times New Roman"/>
        <family val="1"/>
        <charset val="204"/>
      </rPr>
      <t>С для МЗК</t>
    </r>
  </si>
  <si>
    <r>
      <t xml:space="preserve">Розрахункова температура зовнішнього повітря для проектування опалення, </t>
    </r>
    <r>
      <rPr>
        <sz val="11"/>
        <color theme="1"/>
        <rFont val="Calibri"/>
        <family val="2"/>
        <charset val="204"/>
      </rPr>
      <t>°</t>
    </r>
    <r>
      <rPr>
        <sz val="11"/>
        <color theme="1"/>
        <rFont val="Times New Roman"/>
        <family val="1"/>
        <charset val="204"/>
      </rPr>
      <t>С</t>
    </r>
  </si>
  <si>
    <r>
      <t xml:space="preserve">Середня температура зовнішнього повітря за опалювальний період, </t>
    </r>
    <r>
      <rPr>
        <sz val="11"/>
        <color theme="1"/>
        <rFont val="Calibri"/>
        <family val="2"/>
        <charset val="204"/>
      </rPr>
      <t>°</t>
    </r>
    <r>
      <rPr>
        <sz val="11"/>
        <color theme="1"/>
        <rFont val="Times New Roman"/>
        <family val="1"/>
        <charset val="204"/>
      </rPr>
      <t>С</t>
    </r>
  </si>
  <si>
    <r>
      <t>Коефіцієнт для розрахунку потреби в теплоті на опалення для 16</t>
    </r>
    <r>
      <rPr>
        <sz val="11"/>
        <color theme="1"/>
        <rFont val="Calibri"/>
        <family val="2"/>
        <charset val="204"/>
      </rPr>
      <t>°</t>
    </r>
    <r>
      <rPr>
        <sz val="11"/>
        <color theme="1"/>
        <rFont val="Times New Roman"/>
        <family val="1"/>
        <charset val="204"/>
      </rPr>
      <t>С</t>
    </r>
  </si>
  <si>
    <t>Захід</t>
  </si>
  <si>
    <t>Сума, грн без ПДВ</t>
  </si>
  <si>
    <t>АДМ</t>
  </si>
  <si>
    <t>у.т.ч.    З ЦТП</t>
  </si>
  <si>
    <t xml:space="preserve">             без цтп</t>
  </si>
  <si>
    <t>Всього е/е по підприємству</t>
  </si>
  <si>
    <t>грн.  без ПДВ</t>
  </si>
  <si>
    <t>Місяць</t>
  </si>
  <si>
    <t>Тариф на постачання електричної енергії, за кВт*год</t>
  </si>
  <si>
    <t xml:space="preserve">Тариф послуги з розподілу електричної енергії клас напруги 2, за кВт*год </t>
  </si>
  <si>
    <t>Тариф послуги генерації внаслідок перетікання реактивної електроенергії, кВАр*год</t>
  </si>
  <si>
    <t xml:space="preserve">Середня </t>
  </si>
  <si>
    <r>
      <t xml:space="preserve"> </t>
    </r>
    <r>
      <rPr>
        <u/>
        <sz val="13"/>
        <color theme="1"/>
        <rFont val="Times New Roman"/>
        <family val="1"/>
        <charset val="204"/>
      </rPr>
      <t>Директор підприємства</t>
    </r>
    <r>
      <rPr>
        <sz val="13"/>
        <color theme="1"/>
        <rFont val="Times New Roman"/>
        <family val="1"/>
        <charset val="204"/>
      </rPr>
      <t xml:space="preserve">    ________   </t>
    </r>
    <r>
      <rPr>
        <u/>
        <sz val="13"/>
        <color theme="1"/>
        <rFont val="Times New Roman"/>
        <family val="1"/>
        <charset val="204"/>
      </rPr>
      <t xml:space="preserve"> Анатолій ПАНШИН</t>
    </r>
  </si>
  <si>
    <t xml:space="preserve">на виробництво </t>
  </si>
  <si>
    <t>на транспортування</t>
  </si>
  <si>
    <t>на абонплату та внески</t>
  </si>
  <si>
    <t>витрати на ремонт</t>
  </si>
  <si>
    <t>Показники (виробництво ТЕ)</t>
  </si>
  <si>
    <t>Показники (транспортування ТЕ)</t>
  </si>
  <si>
    <t>У т.ч. нормативний обсяг води на підживлення (0,0025 кб.м/год від ємності мереж)</t>
  </si>
  <si>
    <t>Виробничий персонал задіяний у транспортуванні  теплової енергії тільки з ЦТП</t>
  </si>
  <si>
    <t>вода</t>
  </si>
  <si>
    <t>прямі</t>
  </si>
  <si>
    <t>Структура планованих витрат на  плату за абонентське обслуговування КП "ЧТЕ" 
станом на 01.08.2020 року.</t>
  </si>
  <si>
    <t>На 1 абонента в місяць, грн.</t>
  </si>
  <si>
    <r>
      <t>інші прямі витрати</t>
    </r>
    <r>
      <rPr>
        <sz val="12"/>
        <color rgb="FFFF0000"/>
        <rFont val="Times New Roman"/>
        <family val="1"/>
        <charset val="204"/>
      </rPr>
      <t>*</t>
    </r>
  </si>
  <si>
    <t>Інші операційні витрати</t>
  </si>
  <si>
    <t>Повна собівартість</t>
  </si>
  <si>
    <t>Розрахунковий прибуток, усього, у т. ч.:</t>
  </si>
  <si>
    <t>6.4</t>
  </si>
  <si>
    <t>6.5</t>
  </si>
  <si>
    <t>інше використання прибутку</t>
  </si>
  <si>
    <t>Кількість абонентів</t>
  </si>
  <si>
    <t>Плата в місяць  з 1 абонента, без ПДВ</t>
  </si>
  <si>
    <t xml:space="preserve">грн. </t>
  </si>
  <si>
    <t>Плата в місяць  з 1 абонента, з ПДВ</t>
  </si>
  <si>
    <t>Довідково:</t>
  </si>
  <si>
    <t xml:space="preserve">Граничний розмір плати за абонентське обслуговування </t>
  </si>
  <si>
    <t>грн. з 1 абонента</t>
  </si>
  <si>
    <t>*</t>
  </si>
  <si>
    <t>А.В. Паншин</t>
  </si>
  <si>
    <t>О.А. Лаврова</t>
  </si>
  <si>
    <t>Тариф 2020-2021 рр.</t>
  </si>
  <si>
    <t>План 2021-2022 рр.</t>
  </si>
  <si>
    <t>амортизація основних засобів виробничого призначення, безпосередньо задіяних у наданні послуг</t>
  </si>
  <si>
    <t>амортизація інших необоротних матеріальних активів виробничого призначення, безпосередньо задіяних у надані послуг</t>
  </si>
  <si>
    <t xml:space="preserve">ремонтні роботи </t>
  </si>
  <si>
    <t>послуги банків з приймання платежів</t>
  </si>
  <si>
    <t>перевірка захисних засобів</t>
  </si>
  <si>
    <t>Тариф 2020-2021</t>
  </si>
  <si>
    <t>на 1 аб</t>
  </si>
  <si>
    <t>Послуги з ремонту і технічного обслуговування вимірювальних, випробувальних і контрольних приладів</t>
  </si>
  <si>
    <t>Е-журнал Довідник з ОП</t>
  </si>
  <si>
    <t>Назва</t>
  </si>
  <si>
    <t>дог 52 15/02/21</t>
  </si>
  <si>
    <t>До техніки JCB</t>
  </si>
  <si>
    <t>дог 47 15/02/21</t>
  </si>
  <si>
    <t>дог 46 15/02/21</t>
  </si>
  <si>
    <t>Аудит ліцензіата</t>
  </si>
  <si>
    <t>Діловодство та архівна справа (вебінар)</t>
  </si>
  <si>
    <t>ТОВ "Центр освіти"Спектр знань"</t>
  </si>
  <si>
    <t>Послуги з ремонту і технічного обслуговування охолоджувальних установок (то кондиціонерів)</t>
  </si>
  <si>
    <t>Насоси та компресори (робоче колесо до насосу)</t>
  </si>
  <si>
    <t>дог 26 28/01/21</t>
  </si>
  <si>
    <t>загальне</t>
  </si>
  <si>
    <t>тільки ЦТП</t>
  </si>
  <si>
    <t>тільки ВКО</t>
  </si>
  <si>
    <t>Послуги з діагностування, ремонту, заміни комплектуючих, проведення метрологічної повірки ВО СВТУ</t>
  </si>
  <si>
    <t>Меблі та комплектуючі</t>
  </si>
  <si>
    <t>дог 23 25/01/21</t>
  </si>
  <si>
    <t xml:space="preserve">Кабелі та супутня продукція, мережеве обладнання </t>
  </si>
  <si>
    <t>ППЗ для захисту від вірусів</t>
  </si>
  <si>
    <t>розрах</t>
  </si>
  <si>
    <t>Майстер з експлуатації та ремонту машин і механізмів ІІг.</t>
  </si>
  <si>
    <t>Аркана</t>
  </si>
  <si>
    <t>механічні запасні частини, крім двигунів і частин двигунів</t>
  </si>
  <si>
    <t>Технічне і сервісне обслуговування 2-х КВО газу Садова 1</t>
  </si>
  <si>
    <t>Технічне обслуговування котельні Малодолинське</t>
  </si>
  <si>
    <t>Послуги (вебінар)</t>
  </si>
  <si>
    <t>Послуги з ремонту і технічного обслуговування турбинки</t>
  </si>
  <si>
    <t>Послуги з ремонту і технічного обслуговування газонокосарки</t>
  </si>
  <si>
    <t>Частини для с/г техніки</t>
  </si>
  <si>
    <t>дог 135 28/05/21</t>
  </si>
  <si>
    <t xml:space="preserve">дог </t>
  </si>
  <si>
    <t>компоектуючі для Семпал СВТУ</t>
  </si>
  <si>
    <t>дог 125 14/05/21</t>
  </si>
  <si>
    <t>дог 122 11/05/21</t>
  </si>
  <si>
    <t xml:space="preserve">підшипник </t>
  </si>
  <si>
    <t>дог 121 12/05/21</t>
  </si>
  <si>
    <t>електричні акумулятори</t>
  </si>
  <si>
    <t>дог 119 05/05/21</t>
  </si>
  <si>
    <t>Технічне обслуговування газорізальної аппаратури</t>
  </si>
  <si>
    <t>Моторні оливи</t>
  </si>
  <si>
    <t>Трансмісійні оливи</t>
  </si>
  <si>
    <t>Спеціальні масла</t>
  </si>
  <si>
    <t>Пластичні масла</t>
  </si>
  <si>
    <t>Паншин Анатолій Володимирович</t>
  </si>
  <si>
    <t>Дератизація і дезинсекція</t>
  </si>
  <si>
    <t>транспортировка - 2 года не делали; виробництво - когда візовут; адм - не біло</t>
  </si>
  <si>
    <t>договір 106, з розподілом суми 16/04/2020</t>
  </si>
  <si>
    <t>Агрегат для вентиляції теплових камер</t>
  </si>
  <si>
    <t>рено Аркана</t>
  </si>
  <si>
    <t>Асенізаційна машина
 КО 503 А (ГАЗ 53)</t>
  </si>
  <si>
    <t>Агентство "Консалт"</t>
  </si>
  <si>
    <t>ВИРОБНИЦТВО</t>
  </si>
  <si>
    <t>Вироб-тво</t>
  </si>
  <si>
    <t>Трансп-ння</t>
  </si>
  <si>
    <t>Адмін-вні</t>
  </si>
  <si>
    <t>Всього витрати:</t>
  </si>
  <si>
    <t>Вечірня Одеса</t>
  </si>
  <si>
    <t>Все про бухгалтерський облік</t>
  </si>
  <si>
    <t xml:space="preserve">Урядовий кур'єр </t>
  </si>
  <si>
    <t>На пенсії (Одеса)</t>
  </si>
  <si>
    <t>Кадровик</t>
  </si>
  <si>
    <t>Охорона праці</t>
  </si>
  <si>
    <t>Довідник спеціаліста з охорони праці</t>
  </si>
  <si>
    <t>Інформаційний бюлетень Міністерства регіонального розвитку, будівництва та ЖКГ України</t>
  </si>
  <si>
    <t>Журнал Головного інженера</t>
  </si>
  <si>
    <t>Журнал Головного енергетика</t>
  </si>
  <si>
    <t>Бюлетень законодавства і юридичної практики України</t>
  </si>
  <si>
    <t>Екологія підприемств</t>
  </si>
  <si>
    <t>ЗАГАЛЬНОВИРОБНИЧІ</t>
  </si>
  <si>
    <t>електронний</t>
  </si>
  <si>
    <t>паперовий</t>
  </si>
  <si>
    <t>6.3.</t>
  </si>
  <si>
    <t xml:space="preserve">Послуги у сфері інформатизації (БУХГАЛ)
</t>
  </si>
  <si>
    <t>технічне і сервісне обслуговування двох комерційних вузлів обліку газу Садова б.1</t>
  </si>
  <si>
    <t>1.приймання в експлуатацію після монтажу
2.дотримуватися правил безпеки
3.монтажі демонтаж для планової повірки</t>
  </si>
  <si>
    <t>дог 2021</t>
  </si>
  <si>
    <t>нет</t>
  </si>
  <si>
    <t>інше використання прибутку (забезпечення обігових коштів)</t>
  </si>
  <si>
    <t>розрахунок на листі ремонт</t>
  </si>
  <si>
    <t>розрахунок на листі зв'язок</t>
  </si>
  <si>
    <t>АКТУАЛЬНАЯ цена!!!!</t>
  </si>
  <si>
    <t>СК БРОКБІЗНЕС, ПрАТ</t>
  </si>
  <si>
    <t>коефіцієнт, який застосовується при замовлені потужності на квартальний період</t>
  </si>
  <si>
    <t>Електроенергія на технологію</t>
  </si>
  <si>
    <t>розрахунок на листі періодичні видання</t>
  </si>
  <si>
    <t>не планируется</t>
  </si>
  <si>
    <t>експертне обстеження та технічне опосвідчення електричного обладнання</t>
  </si>
  <si>
    <t>амортизація інших необоротних матеріальних активів загальногосподарського призначення</t>
  </si>
  <si>
    <t>по факту 2019 року, акт от 03-02-20</t>
  </si>
  <si>
    <t>договір основной на е/е (в його межах) ( 2 р на рік зима, літо)</t>
  </si>
  <si>
    <t>нотаріальні послуги</t>
  </si>
  <si>
    <t>Слаєва</t>
  </si>
  <si>
    <t>договір 129/20(189) 20.10.20 на ІЦВ</t>
  </si>
  <si>
    <t>в прямих</t>
  </si>
  <si>
    <t>по дог на е/е обов</t>
  </si>
  <si>
    <t>Послуги з реєстрації показів лічильників (обстеження комерційного ВОГ Зелена, 2-б)</t>
  </si>
  <si>
    <t>Послуги з реєстрації показів лічильників (обстеження комерційного ВОГ Садова, 1)</t>
  </si>
  <si>
    <t>Газоаналізатор ЩИТ-2</t>
  </si>
  <si>
    <r>
      <t xml:space="preserve">         </t>
    </r>
    <r>
      <rPr>
        <i/>
        <sz val="12"/>
        <color indexed="8"/>
        <rFont val="Arial"/>
        <family val="2"/>
        <charset val="204"/>
      </rPr>
      <t>Амперметри  та вольтметри  (виробництво) на сумму</t>
    </r>
  </si>
  <si>
    <r>
      <t>1.</t>
    </r>
    <r>
      <rPr>
        <sz val="7"/>
        <color indexed="8"/>
        <rFont val="Times New Roman"/>
        <family val="1"/>
        <charset val="204"/>
      </rPr>
      <t xml:space="preserve">     </t>
    </r>
    <r>
      <rPr>
        <sz val="12"/>
        <color indexed="8"/>
        <rFont val="Calibri"/>
        <family val="2"/>
        <charset val="204"/>
      </rPr>
      <t>Амперметр Э3777 1,5 кА №525895</t>
    </r>
  </si>
  <si>
    <r>
      <t>2.</t>
    </r>
    <r>
      <rPr>
        <sz val="7"/>
        <color indexed="8"/>
        <rFont val="Times New Roman"/>
        <family val="1"/>
        <charset val="204"/>
      </rPr>
      <t xml:space="preserve">     </t>
    </r>
    <r>
      <rPr>
        <sz val="12"/>
        <color indexed="8"/>
        <rFont val="Calibri"/>
        <family val="2"/>
        <charset val="204"/>
      </rPr>
      <t>Амперметр Э3777 1,5 кА №672323</t>
    </r>
  </si>
  <si>
    <r>
      <t>3.</t>
    </r>
    <r>
      <rPr>
        <sz val="7"/>
        <color indexed="8"/>
        <rFont val="Times New Roman"/>
        <family val="1"/>
        <charset val="204"/>
      </rPr>
      <t xml:space="preserve">     </t>
    </r>
    <r>
      <rPr>
        <sz val="12"/>
        <color indexed="8"/>
        <rFont val="Calibri"/>
        <family val="2"/>
        <charset val="204"/>
      </rPr>
      <t>Вольтметр Э365-1 500 В  №853870</t>
    </r>
  </si>
  <si>
    <r>
      <t>4.</t>
    </r>
    <r>
      <rPr>
        <sz val="7"/>
        <color indexed="8"/>
        <rFont val="Times New Roman"/>
        <family val="1"/>
        <charset val="204"/>
      </rPr>
      <t xml:space="preserve">     </t>
    </r>
    <r>
      <rPr>
        <sz val="12"/>
        <color indexed="8"/>
        <rFont val="Calibri"/>
        <family val="2"/>
        <charset val="204"/>
      </rPr>
      <t>Вольтметр Э78500 В  №192205</t>
    </r>
  </si>
  <si>
    <r>
      <t>5.</t>
    </r>
    <r>
      <rPr>
        <sz val="7"/>
        <color indexed="8"/>
        <rFont val="Times New Roman"/>
        <family val="1"/>
        <charset val="204"/>
      </rPr>
      <t xml:space="preserve">     </t>
    </r>
    <r>
      <rPr>
        <sz val="12"/>
        <color indexed="8"/>
        <rFont val="Calibri"/>
        <family val="2"/>
        <charset val="204"/>
      </rPr>
      <t>Вольтметр Э365-1 500 В  №89274284</t>
    </r>
  </si>
  <si>
    <r>
      <t>6.</t>
    </r>
    <r>
      <rPr>
        <sz val="7"/>
        <color indexed="8"/>
        <rFont val="Times New Roman"/>
        <family val="1"/>
        <charset val="204"/>
      </rPr>
      <t xml:space="preserve">     </t>
    </r>
    <r>
      <rPr>
        <sz val="12"/>
        <color indexed="8"/>
        <rFont val="Calibri"/>
        <family val="2"/>
        <charset val="204"/>
      </rPr>
      <t>Амперметр Э377  №8738550</t>
    </r>
  </si>
  <si>
    <r>
      <t>7.</t>
    </r>
    <r>
      <rPr>
        <sz val="7"/>
        <color indexed="8"/>
        <rFont val="Times New Roman"/>
        <family val="1"/>
        <charset val="204"/>
      </rPr>
      <t xml:space="preserve">     </t>
    </r>
    <r>
      <rPr>
        <sz val="12"/>
        <color indexed="8"/>
        <rFont val="Calibri"/>
        <family val="2"/>
        <charset val="204"/>
      </rPr>
      <t>Амперметр Э378 №925381</t>
    </r>
  </si>
  <si>
    <r>
      <t>8.</t>
    </r>
    <r>
      <rPr>
        <sz val="7"/>
        <color indexed="8"/>
        <rFont val="Times New Roman"/>
        <family val="1"/>
        <charset val="204"/>
      </rPr>
      <t xml:space="preserve">     </t>
    </r>
    <r>
      <rPr>
        <sz val="12"/>
        <color indexed="8"/>
        <rFont val="Calibri"/>
        <family val="2"/>
        <charset val="204"/>
      </rPr>
      <t>Амперметр Э365-1 №88127471</t>
    </r>
  </si>
  <si>
    <r>
      <t>9.</t>
    </r>
    <r>
      <rPr>
        <sz val="7"/>
        <color indexed="8"/>
        <rFont val="Times New Roman"/>
        <family val="1"/>
        <charset val="204"/>
      </rPr>
      <t xml:space="preserve">     </t>
    </r>
    <r>
      <rPr>
        <sz val="12"/>
        <color indexed="8"/>
        <rFont val="Calibri"/>
        <family val="2"/>
        <charset val="204"/>
      </rPr>
      <t>Вольтметр Э365-1  №05.93</t>
    </r>
  </si>
  <si>
    <r>
      <t>10.</t>
    </r>
    <r>
      <rPr>
        <sz val="7"/>
        <color indexed="8"/>
        <rFont val="Times New Roman"/>
        <family val="1"/>
        <charset val="204"/>
      </rPr>
      <t xml:space="preserve">  </t>
    </r>
    <r>
      <rPr>
        <sz val="12"/>
        <color indexed="8"/>
        <rFont val="Calibri"/>
        <family val="2"/>
        <charset val="204"/>
      </rPr>
      <t>Амперметр Э378  №889189</t>
    </r>
  </si>
  <si>
    <r>
      <t>11.</t>
    </r>
    <r>
      <rPr>
        <sz val="7"/>
        <color indexed="8"/>
        <rFont val="Times New Roman"/>
        <family val="1"/>
        <charset val="204"/>
      </rPr>
      <t xml:space="preserve">  </t>
    </r>
    <r>
      <rPr>
        <sz val="12"/>
        <color indexed="8"/>
        <rFont val="Calibri"/>
        <family val="2"/>
        <charset val="204"/>
      </rPr>
      <t>Амперметр Э365-1 №672247</t>
    </r>
  </si>
  <si>
    <r>
      <t>12.</t>
    </r>
    <r>
      <rPr>
        <sz val="7"/>
        <color indexed="8"/>
        <rFont val="Times New Roman"/>
        <family val="1"/>
        <charset val="204"/>
      </rPr>
      <t xml:space="preserve">  </t>
    </r>
    <r>
      <rPr>
        <sz val="12"/>
        <color indexed="8"/>
        <rFont val="Calibri"/>
        <family val="2"/>
        <charset val="204"/>
      </rPr>
      <t>Амперметр Э365-1 №738590</t>
    </r>
  </si>
  <si>
    <r>
      <t>13.</t>
    </r>
    <r>
      <rPr>
        <sz val="7"/>
        <color indexed="8"/>
        <rFont val="Times New Roman"/>
        <family val="1"/>
        <charset val="204"/>
      </rPr>
      <t xml:space="preserve">  </t>
    </r>
    <r>
      <rPr>
        <sz val="12"/>
        <color indexed="8"/>
        <rFont val="Calibri"/>
        <family val="2"/>
        <charset val="204"/>
      </rPr>
      <t>Амперметр Э365-1 №91758542</t>
    </r>
  </si>
  <si>
    <r>
      <t>14.</t>
    </r>
    <r>
      <rPr>
        <sz val="7"/>
        <color indexed="8"/>
        <rFont val="Times New Roman"/>
        <family val="1"/>
        <charset val="204"/>
      </rPr>
      <t xml:space="preserve">  </t>
    </r>
    <r>
      <rPr>
        <sz val="12"/>
        <color indexed="8"/>
        <rFont val="Calibri"/>
        <family val="2"/>
        <charset val="204"/>
      </rPr>
      <t>Вольтметр Э378 №148665</t>
    </r>
  </si>
  <si>
    <r>
      <t>15.</t>
    </r>
    <r>
      <rPr>
        <sz val="7"/>
        <color indexed="8"/>
        <rFont val="Times New Roman"/>
        <family val="1"/>
        <charset val="204"/>
      </rPr>
      <t xml:space="preserve">  </t>
    </r>
    <r>
      <rPr>
        <sz val="12"/>
        <color indexed="8"/>
        <rFont val="Calibri"/>
        <family val="2"/>
        <charset val="204"/>
      </rPr>
      <t>Амперметр Э378 №636639</t>
    </r>
  </si>
  <si>
    <r>
      <t>16.</t>
    </r>
    <r>
      <rPr>
        <sz val="7"/>
        <color indexed="8"/>
        <rFont val="Times New Roman"/>
        <family val="1"/>
        <charset val="204"/>
      </rPr>
      <t xml:space="preserve">  </t>
    </r>
    <r>
      <rPr>
        <sz val="12"/>
        <color indexed="8"/>
        <rFont val="Calibri"/>
        <family val="2"/>
        <charset val="204"/>
      </rPr>
      <t>Амперметр Э378 №636902</t>
    </r>
  </si>
  <si>
    <r>
      <t>17.</t>
    </r>
    <r>
      <rPr>
        <sz val="7"/>
        <color indexed="8"/>
        <rFont val="Times New Roman"/>
        <family val="1"/>
        <charset val="204"/>
      </rPr>
      <t xml:space="preserve">  </t>
    </r>
    <r>
      <rPr>
        <sz val="12"/>
        <color indexed="8"/>
        <rFont val="Calibri"/>
        <family val="2"/>
        <charset val="204"/>
      </rPr>
      <t>Амперметр Э378 №150854</t>
    </r>
  </si>
  <si>
    <r>
      <t>18.</t>
    </r>
    <r>
      <rPr>
        <sz val="7"/>
        <color indexed="8"/>
        <rFont val="Times New Roman"/>
        <family val="1"/>
        <charset val="204"/>
      </rPr>
      <t xml:space="preserve">  </t>
    </r>
    <r>
      <rPr>
        <sz val="12"/>
        <color indexed="8"/>
        <rFont val="Calibri"/>
        <family val="2"/>
        <charset val="204"/>
      </rPr>
      <t>Электроконтактный манометр ЭКМВ №481085</t>
    </r>
  </si>
  <si>
    <r>
      <t>19.</t>
    </r>
    <r>
      <rPr>
        <sz val="7"/>
        <color indexed="8"/>
        <rFont val="Times New Roman"/>
        <family val="1"/>
        <charset val="204"/>
      </rPr>
      <t xml:space="preserve">  </t>
    </r>
    <r>
      <rPr>
        <sz val="12"/>
        <color indexed="8"/>
        <rFont val="Calibri"/>
        <family val="2"/>
        <charset val="204"/>
      </rPr>
      <t>Электроконтактный манометр ЭКМВ №489398</t>
    </r>
  </si>
  <si>
    <r>
      <t>21.</t>
    </r>
    <r>
      <rPr>
        <sz val="7"/>
        <color indexed="8"/>
        <rFont val="Times New Roman"/>
        <family val="1"/>
        <charset val="204"/>
      </rPr>
      <t xml:space="preserve">  </t>
    </r>
    <r>
      <rPr>
        <sz val="12"/>
        <color indexed="8"/>
        <rFont val="Calibri"/>
        <family val="2"/>
        <charset val="204"/>
      </rPr>
      <t>Амперметр Э30 №862379</t>
    </r>
  </si>
  <si>
    <r>
      <t>22.</t>
    </r>
    <r>
      <rPr>
        <sz val="7"/>
        <color indexed="8"/>
        <rFont val="Times New Roman"/>
        <family val="1"/>
        <charset val="204"/>
      </rPr>
      <t xml:space="preserve">  </t>
    </r>
    <r>
      <rPr>
        <sz val="12"/>
        <color indexed="8"/>
        <rFont val="Calibri"/>
        <family val="2"/>
        <charset val="204"/>
      </rPr>
      <t>Амперметр Э378 №826733</t>
    </r>
  </si>
  <si>
    <r>
      <t>23.</t>
    </r>
    <r>
      <rPr>
        <sz val="7"/>
        <color indexed="8"/>
        <rFont val="Times New Roman"/>
        <family val="1"/>
        <charset val="204"/>
      </rPr>
      <t xml:space="preserve">  </t>
    </r>
    <r>
      <rPr>
        <sz val="12"/>
        <color indexed="8"/>
        <rFont val="Calibri"/>
        <family val="2"/>
        <charset val="204"/>
      </rPr>
      <t>Амперметр Э3777 1,5 кА №526048</t>
    </r>
  </si>
  <si>
    <r>
      <t>24.</t>
    </r>
    <r>
      <rPr>
        <sz val="7"/>
        <color indexed="8"/>
        <rFont val="Times New Roman"/>
        <family val="1"/>
        <charset val="204"/>
      </rPr>
      <t xml:space="preserve">  </t>
    </r>
    <r>
      <rPr>
        <sz val="12"/>
        <color indexed="8"/>
        <rFont val="Calibri"/>
        <family val="2"/>
        <charset val="204"/>
      </rPr>
      <t>Амперметр Э365-1 №90327050</t>
    </r>
  </si>
  <si>
    <r>
      <t>25.</t>
    </r>
    <r>
      <rPr>
        <sz val="7"/>
        <color indexed="8"/>
        <rFont val="Times New Roman"/>
        <family val="1"/>
        <charset val="204"/>
      </rPr>
      <t xml:space="preserve">  </t>
    </r>
    <r>
      <rPr>
        <sz val="12"/>
        <color indexed="8"/>
        <rFont val="Calibri"/>
        <family val="2"/>
        <charset val="204"/>
      </rPr>
      <t>Амперметр  600 №91791725</t>
    </r>
  </si>
  <si>
    <r>
      <t>26.</t>
    </r>
    <r>
      <rPr>
        <sz val="7"/>
        <color indexed="8"/>
        <rFont val="Times New Roman"/>
        <family val="1"/>
        <charset val="204"/>
      </rPr>
      <t xml:space="preserve">  </t>
    </r>
    <r>
      <rPr>
        <sz val="12"/>
        <color indexed="8"/>
        <rFont val="Calibri"/>
        <family val="2"/>
        <charset val="204"/>
      </rPr>
      <t>Вольтметр 600 №89580824</t>
    </r>
  </si>
  <si>
    <r>
      <t>27.</t>
    </r>
    <r>
      <rPr>
        <sz val="7"/>
        <color indexed="8"/>
        <rFont val="Times New Roman"/>
        <family val="1"/>
        <charset val="204"/>
      </rPr>
      <t xml:space="preserve">   </t>
    </r>
    <r>
      <rPr>
        <sz val="11"/>
        <color theme="1"/>
        <rFont val="Calibri"/>
        <family val="2"/>
        <scheme val="minor"/>
      </rPr>
      <t>Термометр показывающий ТСМ-100 №72356</t>
    </r>
  </si>
  <si>
    <r>
      <t>28.</t>
    </r>
    <r>
      <rPr>
        <sz val="7"/>
        <color indexed="8"/>
        <rFont val="Times New Roman"/>
        <family val="1"/>
        <charset val="204"/>
      </rPr>
      <t xml:space="preserve">   </t>
    </r>
    <r>
      <rPr>
        <sz val="11"/>
        <color theme="1"/>
        <rFont val="Calibri"/>
        <family val="2"/>
        <scheme val="minor"/>
      </rPr>
      <t>Термометр показывающий ТСМ-100 №64985</t>
    </r>
  </si>
  <si>
    <r>
      <t>1.</t>
    </r>
    <r>
      <rPr>
        <sz val="7"/>
        <color indexed="8"/>
        <rFont val="Times New Roman"/>
        <family val="1"/>
        <charset val="204"/>
      </rPr>
      <t xml:space="preserve">     </t>
    </r>
    <r>
      <rPr>
        <sz val="12"/>
        <color indexed="8"/>
        <rFont val="Times New Roman"/>
        <family val="1"/>
        <charset val="204"/>
      </rPr>
      <t>НІК 2303 АРП1 5-100 А  зав. №8046003</t>
    </r>
  </si>
  <si>
    <r>
      <t>2.</t>
    </r>
    <r>
      <rPr>
        <sz val="7"/>
        <color indexed="8"/>
        <rFont val="Times New Roman"/>
        <family val="1"/>
        <charset val="204"/>
      </rPr>
      <t xml:space="preserve">     </t>
    </r>
    <r>
      <rPr>
        <sz val="12"/>
        <color indexed="8"/>
        <rFont val="Times New Roman"/>
        <family val="1"/>
        <charset val="204"/>
      </rPr>
      <t>НІК 2303 АРП1 5-100 А    зав. №7702893</t>
    </r>
  </si>
  <si>
    <r>
      <t>3.</t>
    </r>
    <r>
      <rPr>
        <sz val="7"/>
        <color indexed="8"/>
        <rFont val="Times New Roman"/>
        <family val="1"/>
        <charset val="204"/>
      </rPr>
      <t xml:space="preserve">     </t>
    </r>
    <r>
      <rPr>
        <sz val="12"/>
        <color indexed="8"/>
        <rFont val="Times New Roman"/>
        <family val="1"/>
        <charset val="204"/>
      </rPr>
      <t>НІК 2303 АРК-1 5(10)А       зав. №336263</t>
    </r>
  </si>
  <si>
    <r>
      <t>4.</t>
    </r>
    <r>
      <rPr>
        <sz val="7"/>
        <color indexed="8"/>
        <rFont val="Times New Roman"/>
        <family val="1"/>
        <charset val="204"/>
      </rPr>
      <t xml:space="preserve">     </t>
    </r>
    <r>
      <rPr>
        <sz val="12"/>
        <color indexed="8"/>
        <rFont val="Times New Roman"/>
        <family val="1"/>
        <charset val="204"/>
      </rPr>
      <t>НІК 2303 АРП1 5-100 А  зав. №0201221</t>
    </r>
  </si>
  <si>
    <r>
      <t>5.</t>
    </r>
    <r>
      <rPr>
        <sz val="7"/>
        <color indexed="8"/>
        <rFont val="Times New Roman"/>
        <family val="1"/>
        <charset val="204"/>
      </rPr>
      <t xml:space="preserve">  </t>
    </r>
    <r>
      <rPr>
        <sz val="12"/>
        <color indexed="8"/>
        <rFont val="Times New Roman"/>
        <family val="1"/>
        <charset val="204"/>
      </rPr>
      <t xml:space="preserve">Трансформаторы тока Т-0,66  кл.т. 0,5S 150/5 </t>
    </r>
  </si>
  <si>
    <r>
      <t>6.</t>
    </r>
    <r>
      <rPr>
        <sz val="7"/>
        <color indexed="8"/>
        <rFont val="Times New Roman"/>
        <family val="1"/>
        <charset val="204"/>
      </rPr>
      <t xml:space="preserve">  </t>
    </r>
    <r>
      <rPr>
        <sz val="12"/>
        <color indexed="8"/>
        <rFont val="Times New Roman"/>
        <family val="1"/>
        <charset val="204"/>
      </rPr>
      <t xml:space="preserve">Трансформаторы тока Т-0,66  кл.т. 0,5S 150/5 </t>
    </r>
  </si>
  <si>
    <r>
      <t>7.</t>
    </r>
    <r>
      <rPr>
        <sz val="7"/>
        <color indexed="8"/>
        <rFont val="Times New Roman"/>
        <family val="1"/>
        <charset val="204"/>
      </rPr>
      <t xml:space="preserve">  </t>
    </r>
    <r>
      <rPr>
        <sz val="12"/>
        <color indexed="8"/>
        <rFont val="Times New Roman"/>
        <family val="1"/>
        <charset val="204"/>
      </rPr>
      <t xml:space="preserve"> Трансформаторы тока Т-0,66  кл.т. 0,5S 150/5 </t>
    </r>
  </si>
  <si>
    <t>Довідково за 2020 рік</t>
  </si>
  <si>
    <t>ТО Газового обладнання котельні Садова, 1</t>
  </si>
  <si>
    <t>ТО Газового обладнання котельні Зелена, 2-б</t>
  </si>
  <si>
    <t>Зняття та встановлення шайб для виміру витрат газу, прямолінійних ділянок газопроводу перед комер шайбами (Садова 1)</t>
  </si>
  <si>
    <t>Технічне обслуговування Зліт ТСРВ та витратоміра лічильника ЗлітМР (Садова 2)</t>
  </si>
  <si>
    <t>Технічне і сервісне обслуговування КВО газу Зелена 2-б</t>
  </si>
  <si>
    <t>Періодична метрологічна повірка приладу обліку газу на  котельні Зелена 2б</t>
  </si>
  <si>
    <t>Періодична метрологічна повірка  приладу обліку газу на  котельні Садова 1</t>
  </si>
  <si>
    <t>стандарт метрологія</t>
  </si>
  <si>
    <t>Технічне обслуговування Зліт ТСРВ та витратоміра лічильника ЗлітМР (Зелена, 2-б)</t>
  </si>
  <si>
    <t>913-У/19/ОД від 24.12.2019р.</t>
  </si>
  <si>
    <t>договір 2021</t>
  </si>
  <si>
    <t>Виконання планово-профілактичних робіт на котельні за адресою м. Чорноморськ вул. Зелена 2-б (міжопал період)</t>
  </si>
  <si>
    <t>Технічне обслуговування теплотехнічного обладнання котельні за адресою м. Чорноморськ вул. Зелена 2-б (опал період)</t>
  </si>
  <si>
    <t>Інша діяльність</t>
  </si>
  <si>
    <t>факт 2021</t>
  </si>
  <si>
    <t>розрахунок на листі профпослуги2</t>
  </si>
  <si>
    <t>факт 2020 р з звв</t>
  </si>
  <si>
    <t>план попереднього періоду</t>
  </si>
  <si>
    <t xml:space="preserve">Факт 2019 </t>
  </si>
  <si>
    <t>Діючий тариф</t>
  </si>
  <si>
    <t>загальновиробничі витрати, 
у т. ч.:</t>
  </si>
  <si>
    <r>
      <rPr>
        <b/>
        <u/>
        <sz val="18"/>
        <color theme="1"/>
        <rFont val="Times New Roman"/>
        <family val="1"/>
        <charset val="204"/>
      </rPr>
      <t>Розрахунок</t>
    </r>
    <r>
      <rPr>
        <sz val="12"/>
        <color theme="1"/>
        <rFont val="Times New Roman"/>
        <family val="1"/>
        <charset val="204"/>
      </rPr>
      <t xml:space="preserve">
</t>
    </r>
    <r>
      <rPr>
        <i/>
        <sz val="12"/>
        <color theme="1"/>
        <rFont val="Times New Roman"/>
        <family val="1"/>
        <charset val="204"/>
      </rPr>
      <t>граничного розміру плати за абонентське обслуговування станом на 01.08.2020 року.</t>
    </r>
  </si>
  <si>
    <t xml:space="preserve">             Під абонентом слід розуміти споживача відповідної комунальної послуги, з яким виконавець уклав індивідуальний договір про надання такої послуги у багатоквартирному будинку.</t>
  </si>
  <si>
    <r>
      <t>РП</t>
    </r>
    <r>
      <rPr>
        <vertAlign val="subscript"/>
        <sz val="12"/>
        <color rgb="FF000000"/>
        <rFont val="Times New Roman"/>
        <family val="1"/>
        <charset val="204"/>
      </rPr>
      <t>грн =</t>
    </r>
    <r>
      <rPr>
        <sz val="12"/>
        <color rgb="FF000000"/>
        <rFont val="Times New Roman"/>
        <family val="1"/>
        <charset val="204"/>
      </rPr>
      <t xml:space="preserve"> П</t>
    </r>
    <r>
      <rPr>
        <vertAlign val="subscript"/>
        <sz val="12"/>
        <color rgb="FF000000"/>
        <rFont val="Times New Roman"/>
        <family val="1"/>
        <charset val="204"/>
      </rPr>
      <t>мін</t>
    </r>
    <r>
      <rPr>
        <sz val="12"/>
        <color rgb="FF000000"/>
        <rFont val="Times New Roman"/>
        <family val="1"/>
        <charset val="204"/>
      </rPr>
      <t xml:space="preserve"> х СД</t>
    </r>
    <r>
      <rPr>
        <vertAlign val="subscript"/>
        <sz val="12"/>
        <color rgb="FF000000"/>
        <rFont val="Times New Roman"/>
        <family val="1"/>
        <charset val="204"/>
      </rPr>
      <t>сер</t>
    </r>
    <r>
      <rPr>
        <sz val="12"/>
        <color rgb="FF000000"/>
        <rFont val="Times New Roman"/>
        <family val="1"/>
        <charset val="204"/>
      </rPr>
      <t xml:space="preserve"> x К</t>
    </r>
    <r>
      <rPr>
        <vertAlign val="subscript"/>
        <sz val="12"/>
        <color rgb="FF000000"/>
        <rFont val="Times New Roman"/>
        <family val="1"/>
        <charset val="204"/>
      </rPr>
      <t>д</t>
    </r>
    <r>
      <rPr>
        <sz val="12"/>
        <color rgb="FF000000"/>
        <rFont val="Times New Roman"/>
        <family val="1"/>
        <charset val="204"/>
      </rPr>
      <t xml:space="preserve"> x К</t>
    </r>
    <r>
      <rPr>
        <vertAlign val="subscript"/>
        <sz val="12"/>
        <color rgb="FF000000"/>
        <rFont val="Times New Roman"/>
        <family val="1"/>
        <charset val="204"/>
      </rPr>
      <t>жкп</t>
    </r>
    <r>
      <rPr>
        <sz val="12"/>
        <color rgb="FF000000"/>
        <rFont val="Times New Roman"/>
        <family val="1"/>
        <charset val="204"/>
      </rPr>
      <t xml:space="preserve"> x К,</t>
    </r>
  </si>
  <si>
    <r>
      <t>де РП</t>
    </r>
    <r>
      <rPr>
        <vertAlign val="subscript"/>
        <sz val="12"/>
        <color rgb="FF000000"/>
        <rFont val="Times New Roman"/>
        <family val="1"/>
        <charset val="204"/>
      </rPr>
      <t>грн</t>
    </r>
    <r>
      <rPr>
        <sz val="12"/>
        <color rgb="FF000000"/>
        <rFont val="Times New Roman"/>
        <family val="1"/>
        <charset val="204"/>
      </rPr>
      <t xml:space="preserve"> - граничний розмір плати за абонентське обслуговування, гривень на місяць на одного абонента;</t>
    </r>
  </si>
  <si>
    <r>
      <t>П</t>
    </r>
    <r>
      <rPr>
        <vertAlign val="subscript"/>
        <sz val="12"/>
        <color rgb="FF000000"/>
        <rFont val="Times New Roman"/>
        <family val="1"/>
        <charset val="204"/>
      </rPr>
      <t>мін</t>
    </r>
    <r>
      <rPr>
        <sz val="12"/>
        <color rgb="FF000000"/>
        <rFont val="Times New Roman"/>
        <family val="1"/>
        <charset val="204"/>
      </rPr>
      <t xml:space="preserve"> - законодавчо встановлений на відповідну дату розмір прожиткового мінімуму на одну особу в розрахунку на місяць, гривень;</t>
    </r>
  </si>
  <si>
    <r>
      <t>СД</t>
    </r>
    <r>
      <rPr>
        <vertAlign val="subscript"/>
        <sz val="12"/>
        <color rgb="FF000000"/>
        <rFont val="Times New Roman"/>
        <family val="1"/>
        <charset val="204"/>
      </rPr>
      <t>сер</t>
    </r>
    <r>
      <rPr>
        <sz val="12"/>
        <color rgb="FF000000"/>
        <rFont val="Times New Roman"/>
        <family val="1"/>
        <charset val="204"/>
      </rPr>
      <t xml:space="preserve"> - середній кількісний склад домогосподарства, що становить 2,58 особи;</t>
    </r>
  </si>
  <si>
    <r>
      <t>К</t>
    </r>
    <r>
      <rPr>
        <vertAlign val="subscript"/>
        <sz val="12"/>
        <color rgb="FF000000"/>
        <rFont val="Times New Roman"/>
        <family val="1"/>
        <charset val="204"/>
      </rPr>
      <t>д</t>
    </r>
    <r>
      <rPr>
        <sz val="12"/>
        <color rgb="FF000000"/>
        <rFont val="Times New Roman"/>
        <family val="1"/>
        <charset val="204"/>
      </rPr>
      <t xml:space="preserve"> - коефіцієнт дохідності домогосподарства для розрахунку плати за абонентське обслуговування, що становить два прожиткових мінімуми на одну особу в розрахунку на місяць;</t>
    </r>
  </si>
  <si>
    <r>
      <t>К</t>
    </r>
    <r>
      <rPr>
        <vertAlign val="subscript"/>
        <sz val="12"/>
        <color rgb="FF000000"/>
        <rFont val="Times New Roman"/>
        <family val="1"/>
        <charset val="204"/>
      </rPr>
      <t>жкп</t>
    </r>
    <r>
      <rPr>
        <sz val="12"/>
        <color rgb="FF000000"/>
        <rFont val="Times New Roman"/>
        <family val="1"/>
        <charset val="204"/>
      </rPr>
      <t xml:space="preserve"> - коефіцієнт середнього по Україні розміру витрат домогосподарств на оплату житлово-комунальних послуг, що становить 0,15;</t>
    </r>
  </si>
  <si>
    <t>К - коефіцієнт відшкодування домогосподарством витрат, здійснених виконавцем комунальних послуг під час їх надання у багатоквартирних будинках за індивідуальними договорами та віднесених до плати за абонентське обслуговування, що становить:</t>
  </si>
  <si>
    <t>- 0,019 - для виконавців послуг з постачання теплової енергії та/або гарячої води, з централізованого водопостачання та/або централізованого водовідведення;</t>
  </si>
  <si>
    <t xml:space="preserve">рззрахунок на листі Профпослуги </t>
  </si>
  <si>
    <t>факт 2020 з урахуванням розбивки по людям</t>
  </si>
  <si>
    <t>аморт</t>
  </si>
  <si>
    <t>Перерахунок витрат</t>
  </si>
  <si>
    <t>на одну особу</t>
  </si>
  <si>
    <t>Період дії</t>
  </si>
  <si>
    <t>1 січня-30 червня</t>
  </si>
  <si>
    <t>1 липня - 30 листопада</t>
  </si>
  <si>
    <t>1 грудня - 31 грудня</t>
  </si>
  <si>
    <t>матеріали на ремонт</t>
  </si>
  <si>
    <t>відх</t>
  </si>
  <si>
    <t>технологія</t>
  </si>
  <si>
    <t>господарчі</t>
  </si>
  <si>
    <t>всього, у т.ч.</t>
  </si>
  <si>
    <t>відвед</t>
  </si>
  <si>
    <t>транспортування з цтп</t>
  </si>
  <si>
    <t>релігія</t>
  </si>
  <si>
    <t>без господарчих</t>
  </si>
  <si>
    <t>Комунальне підприємство «Чорноморськтеплоенерго» Чорноморської міської ради Одеської області, Одеська обл., м. Чорноморськ, вул. Торгова, б. 2-А</t>
  </si>
  <si>
    <t>про встановлення тарифів</t>
  </si>
  <si>
    <t>Чорноморської міської ради Одеського району Одеської області</t>
  </si>
  <si>
    <t>Коригування витрат</t>
  </si>
  <si>
    <t>Витрати на відшкодування втрат, коригування витрат</t>
  </si>
  <si>
    <t>витрати на відшкодування втрат, коригування витрат</t>
  </si>
  <si>
    <t>Голові Чорноморської міської ради
Василю ГУЛЯЄВУ</t>
  </si>
  <si>
    <t>Послуги з постачання теплової енергії</t>
  </si>
  <si>
    <t>Теплова енергія</t>
  </si>
  <si>
    <t>Загальногосподарські</t>
  </si>
  <si>
    <t>Прибуток, у т.ч.</t>
  </si>
  <si>
    <t>податок на прибуток 18%</t>
  </si>
  <si>
    <t>до бюджету ЧМР  15%</t>
  </si>
  <si>
    <t>Вартість теплової енергії</t>
  </si>
  <si>
    <t>ВІТАЛІЯ ШУМА 13-А/1</t>
  </si>
  <si>
    <t>ДАНЧЕНКА 3-Е</t>
  </si>
  <si>
    <t>ОЛЕКСАНДРІЙСЬКА 6/1</t>
  </si>
  <si>
    <t>ПАРКОВА 14-М</t>
  </si>
  <si>
    <t>ПЕРШОГО ТРАВНЯ 19</t>
  </si>
  <si>
    <t>ПЕРШЕ ТРАВНЯ 40</t>
  </si>
  <si>
    <t>ПЕРШЕ ТРАВНЯ 40-Б</t>
  </si>
  <si>
    <t>ПЕРШЕ ТРАВНЯ 42</t>
  </si>
  <si>
    <t>ПЕРШЕ ТРАВНЯ 42-А</t>
  </si>
  <si>
    <t>ПЕРШОГО ТРАВНЯ 7-Е</t>
  </si>
  <si>
    <t>ПРОСПЕКТ МИРУ 28-А</t>
  </si>
  <si>
    <t>ПРОСПЕКТ МИРУ 39/1</t>
  </si>
  <si>
    <t>0</t>
  </si>
  <si>
    <t>лист ремонт</t>
  </si>
  <si>
    <t>лист Техконтроль ТЗ</t>
  </si>
  <si>
    <t>лист ТО ТЗ</t>
  </si>
  <si>
    <t>лист Страхування</t>
  </si>
  <si>
    <t>Загальна опалювана площа окремо розміщуваних нежитлових приміщень,  м²</t>
  </si>
  <si>
    <t>загальна опалювана площа окремо розміщуваних житлових приміщень,  м²</t>
  </si>
  <si>
    <t>загальна опалювана площа вбудованих приміщень юридичних осіб, м²</t>
  </si>
  <si>
    <t>загальна опалювана площа квартир з автономним (індивідуальним) опаленням, м²</t>
  </si>
  <si>
    <t>загальна опалювана площа квартир, де надається послуга з постачання теплової енергії,  м²</t>
  </si>
  <si>
    <t>Загальна опалювана площа житлових будинків та окремих житлових приміщень, де надається послуга з постачання теплової енергії,  м²</t>
  </si>
  <si>
    <t>У т.ч. т/навантаження МЗК для автономних споживачів, Гкал/год</t>
  </si>
  <si>
    <t>У т.ч. навантаження місць загального користування,гкал/год</t>
  </si>
  <si>
    <t>Площа місць загального користування будинку з опаленням фактичнр, кв.м.</t>
  </si>
  <si>
    <t>А</t>
  </si>
  <si>
    <t>В</t>
  </si>
  <si>
    <t>С</t>
  </si>
  <si>
    <t>D</t>
  </si>
  <si>
    <r>
      <t>Теплове навантаження з МЗК автомного опалення, Гкал/год</t>
    </r>
    <r>
      <rPr>
        <b/>
        <sz val="10"/>
        <rFont val="Times New Roman"/>
        <family val="1"/>
        <charset val="204"/>
      </rPr>
      <t xml:space="preserve"> </t>
    </r>
  </si>
  <si>
    <r>
      <t xml:space="preserve">Теплове навантаження, </t>
    </r>
    <r>
      <rPr>
        <b/>
        <sz val="10"/>
        <rFont val="Times New Roman"/>
        <family val="1"/>
        <charset val="204"/>
      </rPr>
      <t>корисний</t>
    </r>
    <r>
      <rPr>
        <sz val="10"/>
        <rFont val="Times New Roman"/>
        <family val="1"/>
        <charset val="204"/>
      </rPr>
      <t>,  (без МЗК автономного опалення) Гкал/год</t>
    </r>
  </si>
  <si>
    <t>4% від повної с/в</t>
  </si>
  <si>
    <t>Порівняльна таблиця % планованих витрат на теплову енергію  в 2021-2022 роках КП "ЧТЕ" та урахованих в  діючих тарифах в 2020-2021 роках</t>
  </si>
  <si>
    <t>Планові тарифи на 2021-2022 рр</t>
  </si>
  <si>
    <t>Порівняльна таблиця % планованих прямих витрат на виробництво теплової енергії  в 2021-2022 роках КП "ЧТЕ" та урахованих в  діючих тарифах в 2020-2021 роках</t>
  </si>
  <si>
    <t>Порівняльна таблиця % планованих прямих витрат на транспортування теплової енергії  в 2021-2022 роках КП "ЧТЕ" та урахованих в  діючих тарифах в 2020-2021 роках</t>
  </si>
  <si>
    <t>Порівняльна таблиця % планованих прямих витрат на постачання теплової енергії  в 2021-2022 роках КП "ЧТЕ" та урахованих в  діючих тарифах в 2020-2021 роках</t>
  </si>
  <si>
    <t>Порівняльна таблиця % планованих загальновиробничих витрат на  теплову енергію  в 2021-2022 роках КП "ЧТЕ" та урахованих в  діючих тарифах в 2020-2021 роках</t>
  </si>
  <si>
    <t xml:space="preserve">договір 44 05.02.2021 </t>
  </si>
  <si>
    <t>послуги з проведення інструментально-лабораторних вимірів для здійснення контролю забруднюючих речовин в навколішному середовищу</t>
  </si>
  <si>
    <t>послуги з виконання комплексних робіт з впровадження моніторінгу, звітності і варифікації викидів парникових газів</t>
  </si>
  <si>
    <t>Порівняльна таблиця % планованих адміністративних витрат на тепловe енергі.  в 2021-2022 роках КП "ЧТЕ" та урахованих в  діючих тарифах в 2020-2021 роках</t>
  </si>
  <si>
    <t>ПДВ</t>
  </si>
  <si>
    <t>Разом з ПДВ</t>
  </si>
  <si>
    <t>ТЕ з ЦТП</t>
  </si>
  <si>
    <t>Структура тарифів на ТЕ (діючі 2020-2021 рр.)</t>
  </si>
  <si>
    <t>ТЕ без ЦТП</t>
  </si>
  <si>
    <t>Складові</t>
  </si>
  <si>
    <t>Структура тарифів на ТЕ (планові 2021-2022 рр.) подані в ОМС</t>
  </si>
  <si>
    <t>Структура тарифів на ТЕ (планові 2021-2022 рр.) без перерахунку витрат по ціні газу в ОП 2020-2021 рр.</t>
  </si>
  <si>
    <t>втрати в мережах</t>
  </si>
  <si>
    <t>інші споивачі</t>
  </si>
  <si>
    <t>грн. за 1 Гкал</t>
  </si>
  <si>
    <t>ціна виробництва теплової енергії</t>
  </si>
  <si>
    <t>УПС тарифу на виробництво ТЕ</t>
  </si>
  <si>
    <t xml:space="preserve">грн. за 1 Гкал в год </t>
  </si>
  <si>
    <t>приєднане теплове навантаження</t>
  </si>
  <si>
    <t>Розрахунок витрат на покриття втрат в мережах</t>
  </si>
  <si>
    <t>Витрати на покриття втрат:</t>
  </si>
  <si>
    <t>Гкал в год.</t>
  </si>
  <si>
    <t>за одноставковим тарифом</t>
  </si>
  <si>
    <t>собівартість</t>
  </si>
  <si>
    <t>Без ГП</t>
  </si>
  <si>
    <t>Гкал на год</t>
  </si>
  <si>
    <t>Kвироб</t>
  </si>
  <si>
    <t>у т.ч. витрати на покриття втрат теплової енергії в теплових мережах</t>
  </si>
  <si>
    <t>Додаток 1                                         до рішення виконавчого комітету Чорноморської міської ради Одеського району Одеської області                               від ________ № ____</t>
  </si>
  <si>
    <r>
      <t xml:space="preserve">Структура тарифів на теплову енергію  </t>
    </r>
    <r>
      <rPr>
        <b/>
        <u/>
        <sz val="11"/>
        <color theme="1"/>
        <rFont val="Times New Roman"/>
        <family val="1"/>
        <charset val="204"/>
      </rPr>
      <t>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</si>
  <si>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t>Сумарні тарифні витрати, тис. грн. на рік</t>
  </si>
  <si>
    <t>Тарифи, грн/Гкал:</t>
  </si>
  <si>
    <t>Для потреб населення</t>
  </si>
  <si>
    <t>Для потреб релігійних організацій</t>
  </si>
  <si>
    <t>Для потреб бюджетних організацій</t>
  </si>
  <si>
    <t>Для потреб інших споживачів (крім населення)</t>
  </si>
  <si>
    <t>Структура тарифів на теплову енергію, грн./Гкал</t>
  </si>
  <si>
    <t xml:space="preserve">І </t>
  </si>
  <si>
    <t xml:space="preserve">Тарифи на теплову енергію, у тому числі:                          </t>
  </si>
  <si>
    <t>тарифи на виробництво теплової енергії</t>
  </si>
  <si>
    <r>
      <t xml:space="preserve">тарифи на транспортування теплової енергії </t>
    </r>
    <r>
      <rPr>
        <b/>
        <u/>
        <sz val="11"/>
        <color theme="1"/>
        <rFont val="Times New Roman"/>
        <family val="1"/>
        <charset val="204"/>
      </rPr>
      <t>з  урахуванням витрат на утримання та ремонт центральних теплових пунктів</t>
    </r>
  </si>
  <si>
    <t>тарифи на постачання теплової енергії</t>
  </si>
  <si>
    <t>ІІ</t>
  </si>
  <si>
    <t>Структура витрат на теплову енергію, тис. грн. на рік</t>
  </si>
  <si>
    <t xml:space="preserve"> Виробнича собівартість, у тому числі:  </t>
  </si>
  <si>
    <t>прямі матеріальні витрати, у тому числі:</t>
  </si>
  <si>
    <t>1.1.1.</t>
  </si>
  <si>
    <t>витрати на паливо для виробництва теплової енергії</t>
  </si>
  <si>
    <t>1.1.2.</t>
  </si>
  <si>
    <t>витрати на електричну енергію для технологічних потреб</t>
  </si>
  <si>
    <t>1.1.3.</t>
  </si>
  <si>
    <t>витрати на воду для технологічних потреб та водовідведення</t>
  </si>
  <si>
    <t>1.1.4.</t>
  </si>
  <si>
    <t xml:space="preserve">прямі витрати на оплату праці </t>
  </si>
  <si>
    <t xml:space="preserve">інші прямі витрати, у тому числі: </t>
  </si>
  <si>
    <t>1.3.1.</t>
  </si>
  <si>
    <t xml:space="preserve"> відрахування на соціальні заходи </t>
  </si>
  <si>
    <t>1.3.2.</t>
  </si>
  <si>
    <t xml:space="preserve">амортизаційні відрахування </t>
  </si>
  <si>
    <t>1.3.3.</t>
  </si>
  <si>
    <t xml:space="preserve">загальновиробничі витрати, у тому числі: </t>
  </si>
  <si>
    <t>1.4.1.</t>
  </si>
  <si>
    <t xml:space="preserve">витрати на оплату праці </t>
  </si>
  <si>
    <t>1.4.2.</t>
  </si>
  <si>
    <t>1.4.3.</t>
  </si>
  <si>
    <t>1.4.4.</t>
  </si>
  <si>
    <t xml:space="preserve">Адміністративні витрати, у тому числі: </t>
  </si>
  <si>
    <t>2.1.</t>
  </si>
  <si>
    <t>2.2.</t>
  </si>
  <si>
    <t xml:space="preserve">відрахування на соціальні заходи </t>
  </si>
  <si>
    <t>2.3.</t>
  </si>
  <si>
    <t>2.4.</t>
  </si>
  <si>
    <t xml:space="preserve">інші витрати </t>
  </si>
  <si>
    <t xml:space="preserve">Інші операційні витрати </t>
  </si>
  <si>
    <t>Витрати на теплову енергію для компенсації втрат власної теплової енергії ліцензіата в теплових мережах</t>
  </si>
  <si>
    <t xml:space="preserve">Фінансові витрати </t>
  </si>
  <si>
    <t>Витрати на покриття втрат</t>
  </si>
  <si>
    <t xml:space="preserve">Коригування витрат </t>
  </si>
  <si>
    <t xml:space="preserve">Розрахунковий прибуток, усього, у тому числі: </t>
  </si>
  <si>
    <t>8.2.</t>
  </si>
  <si>
    <t>8.3.</t>
  </si>
  <si>
    <t>8.4.</t>
  </si>
  <si>
    <t>Загальна вартість теплової енергії</t>
  </si>
  <si>
    <t>Обсяг відпуску теплової енергії з колекторів власних генеруючих джерел, Гкал</t>
  </si>
  <si>
    <t>Обсяг реалізації теплової енергії власним споживачам, Гкал</t>
  </si>
  <si>
    <t>Додаток 2                                         до рішення виконавчого комітету Чорноморської міської ради Одеського району Одеської області                               від ________ № ____</t>
  </si>
  <si>
    <r>
      <t xml:space="preserve">Структура тарифів на теплову енергію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</si>
  <si>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r>
      <t xml:space="preserve">тарифи на транспортування теплової енергії  </t>
    </r>
    <r>
      <rPr>
        <b/>
        <u/>
        <sz val="11"/>
        <color theme="1"/>
        <rFont val="Times New Roman"/>
        <family val="1"/>
        <charset val="204"/>
      </rPr>
      <t xml:space="preserve">без  урахуванням витрат на утримання та ремонт центральних теплових пунктів </t>
    </r>
  </si>
  <si>
    <t xml:space="preserve"> Виробнича собівартість виробництва теплової енергії власними котельнами, у тому числі:  </t>
  </si>
  <si>
    <t>7.2.</t>
  </si>
  <si>
    <t>7.3.</t>
  </si>
  <si>
    <t>7.4.</t>
  </si>
  <si>
    <t>Вартість виробництва теплової енергії власними котельнами</t>
  </si>
  <si>
    <r>
      <t xml:space="preserve">Структура тарифів на виробництво теплової енергії </t>
    </r>
    <r>
      <rPr>
        <b/>
        <sz val="11"/>
        <color theme="1"/>
        <rFont val="Times New Roman"/>
        <family val="1"/>
        <charset val="204"/>
      </rPr>
      <t>Комунального підприємства "Чорноморськтеплоенерго" Чорноморської міської ради Одеського району Одеської області</t>
    </r>
  </si>
  <si>
    <t>Додаток 4                                         до рішення виконавчого комітету Чорноморської міської ради Одеського району Одеської області                               від ________ № ____</t>
  </si>
  <si>
    <r>
      <t xml:space="preserve">Структура тарифів на транспортування теплової енергії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</si>
  <si>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t>Тарифи на транспортування без  урахуванням витрат на утримання та ремонт центральних теплових пунктівтеплової енергії                                                                ((п. 4+п. 5+п. 6+п. 7+п. 9 )/п. 10)</t>
  </si>
  <si>
    <t xml:space="preserve">прямі матеріальні витрати </t>
  </si>
  <si>
    <t>Усього розподілені витрати на утримання, експлуатацію основних засобів</t>
  </si>
  <si>
    <t>Річний обсяг реалізації теплової енергії власним споживачам, Гкал</t>
  </si>
  <si>
    <t>Додаток 5                                         до рішення виконавчого комітету Чорноморської міської ради Одеського району Одеської області                               від ________ № ____</t>
  </si>
  <si>
    <r>
      <t>Структура тарифів на транспортування теплової енергії</t>
    </r>
    <r>
      <rPr>
        <b/>
        <u/>
        <sz val="11"/>
        <color theme="1"/>
        <rFont val="Times New Roman"/>
        <family val="1"/>
        <charset val="204"/>
      </rPr>
      <t xml:space="preserve"> з урахуванням витрат на утримання та ремонт центральних теплових пунктів </t>
    </r>
    <r>
      <rPr>
        <b/>
        <sz val="11"/>
        <color theme="1"/>
        <rFont val="Times New Roman"/>
        <family val="1"/>
        <charset val="204"/>
      </rPr>
      <t>Комунального підприємства</t>
    </r>
    <r>
      <rPr>
        <b/>
        <sz val="11"/>
        <color theme="1"/>
        <rFont val="Times New Roman"/>
        <family val="1"/>
        <charset val="204"/>
      </rPr>
      <t>"Чорноморськтеплоенерго" Чорноморської міської ради Одеського району Одеської області</t>
    </r>
  </si>
  <si>
    <t>Структура тарифів на транспортування  теплової енергії з урахуванням витрат на утримання та ремонт центральних теплових пунктів</t>
  </si>
  <si>
    <t>Структура тарифів на постачання теплової енергії Комунального підприємства "Чорноморськтеплоенерго" Чорноморської міської ради Одеського району Одеської області</t>
  </si>
  <si>
    <t>Тарифи на постачання теплової енергії                    ((п. 1+п. 2+п. 3+п. 4+п. 5+п. 6+п. 7)/п. 8)</t>
  </si>
  <si>
    <t>Структура тарифів на постачання теплової енергії</t>
  </si>
  <si>
    <t>Для потреб інших споживачів</t>
  </si>
  <si>
    <t>Питомі витрати умовного палива, кг у.п./Гкал</t>
  </si>
  <si>
    <t xml:space="preserve">до рішення виконавчого комітету </t>
  </si>
  <si>
    <t>Од. виміру</t>
  </si>
  <si>
    <t xml:space="preserve">  умовно -змінна</t>
  </si>
  <si>
    <t>грн./1 Гкал</t>
  </si>
  <si>
    <t xml:space="preserve">  умовно - постійна</t>
  </si>
  <si>
    <t>грн./Гкал/год. в місяць</t>
  </si>
  <si>
    <t>виробництво теплової енергії</t>
  </si>
  <si>
    <t>транспортування теплової енергії</t>
  </si>
  <si>
    <t>постачання теплової енергії</t>
  </si>
  <si>
    <t>Керуюча справами</t>
  </si>
  <si>
    <t>Наталя КУШНІРЕНКО</t>
  </si>
  <si>
    <t>від ______________2021 №________</t>
  </si>
  <si>
    <t>Тариф
 (без ПДВ)</t>
  </si>
  <si>
    <t>Тариф 
(з ПДВ)</t>
  </si>
  <si>
    <t>Теплова енергія, 
у т.ч.:</t>
  </si>
  <si>
    <t>Чорноморської міської ради  
Одеського району Одеської області</t>
  </si>
  <si>
    <t>Kтрансп</t>
  </si>
  <si>
    <t>теплова енергія</t>
  </si>
  <si>
    <t>вир</t>
  </si>
  <si>
    <t>трансп</t>
  </si>
  <si>
    <t>постач</t>
  </si>
  <si>
    <t>Т з ЦТП</t>
  </si>
  <si>
    <t>Т без ЦТП</t>
  </si>
  <si>
    <t>те</t>
  </si>
  <si>
    <t>фін витр</t>
  </si>
  <si>
    <t>Двоставковий тариф</t>
  </si>
  <si>
    <t>умовно-змінна складова</t>
  </si>
  <si>
    <t>умовно-постійна складова</t>
  </si>
  <si>
    <t>Одностав-ковий еквівалент</t>
  </si>
  <si>
    <t>грн/Гкал/год</t>
  </si>
  <si>
    <t>Тариф на виробництво теплової енергії,  без ПДВ</t>
  </si>
  <si>
    <t>Для потреб:</t>
  </si>
  <si>
    <t>Діючий тариф 2020-2021 рр.</t>
  </si>
  <si>
    <r>
      <t xml:space="preserve">Тариф на </t>
    </r>
    <r>
      <rPr>
        <b/>
        <sz val="11"/>
        <color theme="1"/>
        <rFont val="Times New Roman"/>
        <family val="1"/>
        <charset val="204"/>
      </rPr>
      <t>транспортування</t>
    </r>
    <r>
      <rPr>
        <sz val="11"/>
        <color theme="1"/>
        <rFont val="Times New Roman"/>
        <family val="1"/>
        <charset val="204"/>
      </rPr>
      <t xml:space="preserve"> теплової енергії з ЦТП,  без ПДВ</t>
    </r>
  </si>
  <si>
    <r>
      <t xml:space="preserve">Тариф на </t>
    </r>
    <r>
      <rPr>
        <b/>
        <sz val="11"/>
        <color theme="1"/>
        <rFont val="Times New Roman"/>
        <family val="1"/>
        <charset val="204"/>
      </rPr>
      <t>транспортування</t>
    </r>
    <r>
      <rPr>
        <sz val="11"/>
        <color theme="1"/>
        <rFont val="Times New Roman"/>
        <family val="1"/>
        <charset val="204"/>
      </rPr>
      <t xml:space="preserve"> теплової енергії без ЦТП,  без ПДВ</t>
    </r>
  </si>
  <si>
    <r>
      <t xml:space="preserve">Тариф на </t>
    </r>
    <r>
      <rPr>
        <b/>
        <sz val="11"/>
        <color theme="1"/>
        <rFont val="Times New Roman"/>
        <family val="1"/>
        <charset val="204"/>
      </rPr>
      <t>постачання</t>
    </r>
    <r>
      <rPr>
        <sz val="11"/>
        <color theme="1"/>
        <rFont val="Times New Roman"/>
        <family val="1"/>
        <charset val="204"/>
      </rPr>
      <t xml:space="preserve"> теплової енергії,  без ПДВ</t>
    </r>
  </si>
  <si>
    <t>Всього теплова енергія</t>
  </si>
  <si>
    <t>транспортування ТЕ</t>
  </si>
  <si>
    <t>Для потреб населення з ЦТП, за складовими:</t>
  </si>
  <si>
    <t>Для потреб населення без ЦТП, за складовими:</t>
  </si>
  <si>
    <t>Для потреб бюджетних організацій з ЦТП, за складовими:</t>
  </si>
  <si>
    <t>Для потреб бюджетних організацій без ЦТП, за складовими:</t>
  </si>
  <si>
    <t>Для потреб інших споживачів з ЦТП, за складовими:</t>
  </si>
  <si>
    <t>Для потреб інших споживачів без ЦТП, за складовими:</t>
  </si>
  <si>
    <t>Для потреб релігійних організацій без ЦТП, за складовими:</t>
  </si>
  <si>
    <t>теплова енергія, %</t>
  </si>
  <si>
    <t>Відрахування ЄСВ</t>
  </si>
  <si>
    <t>Для потреб бюджетних установ та організацій</t>
  </si>
  <si>
    <t>УЗС з цтп</t>
  </si>
  <si>
    <t>УЗС без цтп</t>
  </si>
  <si>
    <t>УПС з цтп</t>
  </si>
  <si>
    <t>УПС без цтп</t>
  </si>
  <si>
    <t>№ зп</t>
  </si>
  <si>
    <t>Тарифи, грн/Гкал (грн/Гкал/год)</t>
  </si>
  <si>
    <t>Для потреб бюджетних установ</t>
  </si>
  <si>
    <t>Двоставкові тарифи на теплову енергію</t>
  </si>
  <si>
    <t>Умовно-змінна частина двоставкового тарифу на теплову енергію на одиницю спожитої теплової енергії</t>
  </si>
  <si>
    <t>Умовно-постійна частина двоставкового тарифу на теплову енергію - місячна абонентська плата на одиницю теплового навантаження</t>
  </si>
  <si>
    <t>Технічні показники</t>
  </si>
  <si>
    <t>Додаток 3</t>
  </si>
  <si>
    <t>Загальний обсяг відпуску теплової енергії з колекторів, тис. Гкал, у тому числі:</t>
  </si>
  <si>
    <t>3.1.</t>
  </si>
  <si>
    <t>3.1.1.</t>
  </si>
  <si>
    <t>3.1.2.</t>
  </si>
  <si>
    <t>Обсяг реалізації теплової енергії власним споживачам всього, у тому числі</t>
  </si>
  <si>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витрати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</si>
  <si>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умовно-постійні витрати двоставкового тарифу</t>
    </r>
  </si>
  <si>
    <t>Kоригування витрат</t>
  </si>
  <si>
    <t>5.1.1.</t>
  </si>
  <si>
    <t>6.1.1.</t>
  </si>
  <si>
    <t>6.1.2.</t>
  </si>
  <si>
    <t>6.1.3.</t>
  </si>
  <si>
    <t>6.3.1.</t>
  </si>
  <si>
    <t>6.3.2.</t>
  </si>
  <si>
    <t>6.3.3.</t>
  </si>
  <si>
    <t>6.4.</t>
  </si>
  <si>
    <t>6.4.1.</t>
  </si>
  <si>
    <t>6.4.2.</t>
  </si>
  <si>
    <t>6.4.3.</t>
  </si>
  <si>
    <t>12.1.</t>
  </si>
  <si>
    <t>12.2.</t>
  </si>
  <si>
    <t>12.3.</t>
  </si>
  <si>
    <t>12.4.</t>
  </si>
  <si>
    <t>12.5.</t>
  </si>
  <si>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витрати двоставкового тарифу</t>
    </r>
  </si>
  <si>
    <t xml:space="preserve"> податок на прибуток</t>
  </si>
  <si>
    <t xml:space="preserve"> на розвиток виробництва (виробничі інвестиції)</t>
  </si>
  <si>
    <t xml:space="preserve"> інше використання  прибутку</t>
  </si>
  <si>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витрати двоставкового тарифу</t>
    </r>
  </si>
  <si>
    <t>13.1.</t>
  </si>
  <si>
    <t>13.1.1.</t>
  </si>
  <si>
    <r>
      <t>Постачання теплової енергії,</t>
    </r>
    <r>
      <rPr>
        <sz val="11"/>
        <color rgb="FF000000"/>
        <rFont val="Times New Roman"/>
        <family val="1"/>
        <charset val="204"/>
      </rPr>
      <t xml:space="preserve">  умовно-постійні витрати двоставкового тарифу</t>
    </r>
  </si>
  <si>
    <t>Додаток 4</t>
  </si>
  <si>
    <t>5.1.1.1.</t>
  </si>
  <si>
    <t>5.1.1.2.</t>
  </si>
  <si>
    <r>
      <t xml:space="preserve">на </t>
    </r>
    <r>
      <rPr>
        <b/>
        <u/>
        <sz val="12"/>
        <color rgb="FF333333"/>
        <rFont val="Times New Roman"/>
        <family val="1"/>
        <charset val="204"/>
      </rPr>
      <t xml:space="preserve">теплову енергію, її виробництво, транспортування </t>
    </r>
    <r>
      <rPr>
        <sz val="12"/>
        <color rgb="FF333333"/>
        <rFont val="Times New Roman"/>
        <family val="1"/>
        <charset val="204"/>
      </rPr>
      <t xml:space="preserve"> </t>
    </r>
    <r>
      <rPr>
        <b/>
        <u/>
        <sz val="12"/>
        <color rgb="FF333333"/>
        <rFont val="Times New Roman"/>
        <family val="1"/>
        <charset val="204"/>
      </rPr>
      <t>без урахуванням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</si>
  <si>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теплову енергію, її виробництво, транспортування з урахуванням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</si>
  <si>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з урахуванням витрат на обслуговування та ремонт центральних теплових пунктів</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</si>
  <si>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</si>
  <si>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t>15.1.1</t>
  </si>
  <si>
    <t>15.1.2</t>
  </si>
  <si>
    <t>15.1.3</t>
  </si>
  <si>
    <t>15.1.4</t>
  </si>
  <si>
    <t>15.1.4.1</t>
  </si>
  <si>
    <t>15.3</t>
  </si>
  <si>
    <t>15.3.1</t>
  </si>
  <si>
    <t>15.3.2</t>
  </si>
  <si>
    <t>15.3.3</t>
  </si>
  <si>
    <t>15.4</t>
  </si>
  <si>
    <t>15.4.1</t>
  </si>
  <si>
    <t>15.4.2</t>
  </si>
  <si>
    <t>15.4.3</t>
  </si>
  <si>
    <t>16.3</t>
  </si>
  <si>
    <t>17.3</t>
  </si>
  <si>
    <t>19</t>
  </si>
  <si>
    <t>20</t>
  </si>
  <si>
    <t>21</t>
  </si>
  <si>
    <t>22</t>
  </si>
  <si>
    <t>22.1</t>
  </si>
  <si>
    <t>22.2</t>
  </si>
  <si>
    <t>22.3</t>
  </si>
  <si>
    <t>22.4</t>
  </si>
  <si>
    <t>22.5</t>
  </si>
  <si>
    <t>23</t>
  </si>
  <si>
    <t>24</t>
  </si>
  <si>
    <t>24.1</t>
  </si>
  <si>
    <t>24.2</t>
  </si>
  <si>
    <t>24.3</t>
  </si>
  <si>
    <t>24.3.1</t>
  </si>
  <si>
    <t>24.3.2</t>
  </si>
  <si>
    <t>24.3.3</t>
  </si>
  <si>
    <t>24.4</t>
  </si>
  <si>
    <t>24.4.1</t>
  </si>
  <si>
    <t>24.4.2</t>
  </si>
  <si>
    <t>24.4.3</t>
  </si>
  <si>
    <t>25</t>
  </si>
  <si>
    <t>25.1</t>
  </si>
  <si>
    <t>25.2</t>
  </si>
  <si>
    <t>25.3</t>
  </si>
  <si>
    <t>26</t>
  </si>
  <si>
    <t>26.3</t>
  </si>
  <si>
    <t>27</t>
  </si>
  <si>
    <t>28</t>
  </si>
  <si>
    <t>29</t>
  </si>
  <si>
    <t>30</t>
  </si>
  <si>
    <t>31</t>
  </si>
  <si>
    <t>31.1</t>
  </si>
  <si>
    <t>31.2</t>
  </si>
  <si>
    <t>31.3</t>
  </si>
  <si>
    <t>31.4</t>
  </si>
  <si>
    <t>31.5</t>
  </si>
  <si>
    <t>Виробнича собівартість УЗС тарифу, зокрема:</t>
  </si>
  <si>
    <t>Вартість УПС тарифу виробництва теплової енергії за відповідними тарифами, у тому числі</t>
  </si>
  <si>
    <t>Вартість УПС тарифу транспортування теплової енергії за відповідними тарифами, у тому числі</t>
  </si>
  <si>
    <t>Вартість УПС тарифу постачання теплової енергії за відповідними тарифами, у тому числі</t>
  </si>
  <si>
    <t>Структура двоставкових тарифів</t>
  </si>
  <si>
    <t>За ціною газу 6408</t>
  </si>
  <si>
    <t>Вартість, т.гр. без ПДВ, у т.ч.</t>
  </si>
  <si>
    <t>З цтп</t>
  </si>
  <si>
    <t>Без цтп</t>
  </si>
  <si>
    <t>Виробництво, в т.ч.</t>
  </si>
  <si>
    <t>Транспортування, в т. ч.</t>
  </si>
  <si>
    <t>Постачання, в т.ч.</t>
  </si>
  <si>
    <t>Теплова енергія, в т.ч.</t>
  </si>
  <si>
    <t>Відхилення, т.грн. без ПДВ</t>
  </si>
  <si>
    <t>Заст. директора з економіки О. Лаврова</t>
  </si>
  <si>
    <t>TE</t>
  </si>
  <si>
    <t>B</t>
  </si>
  <si>
    <t>T1</t>
  </si>
  <si>
    <t>T2</t>
  </si>
  <si>
    <t>П</t>
  </si>
  <si>
    <t>УПС, в т.ч.</t>
  </si>
  <si>
    <t>матеріальні витрати</t>
  </si>
  <si>
    <t>зарплата</t>
  </si>
  <si>
    <t>ЄСВ (відрах з з/пл)</t>
  </si>
  <si>
    <t>ремонти</t>
  </si>
  <si>
    <t>загальновиробничі, у т.ч.</t>
  </si>
  <si>
    <t>адміністративні, у т.ч.</t>
  </si>
  <si>
    <t>вода, водовідведення</t>
  </si>
  <si>
    <t xml:space="preserve">проверка </t>
  </si>
  <si>
    <t>коригування витрат</t>
  </si>
  <si>
    <t>фінансові витрати</t>
  </si>
  <si>
    <t>УЗС, в т.ч.</t>
  </si>
  <si>
    <t>паливо</t>
  </si>
  <si>
    <t>тис. грн. без ПДВ</t>
  </si>
  <si>
    <t>виробнича собівартість</t>
  </si>
  <si>
    <t>Тариф 2021-2022</t>
  </si>
  <si>
    <t>Станом на 04.10.2021
Тариф на теплову енергію,  з ПДВ</t>
  </si>
  <si>
    <t>Заст. директора з економіки О.Лаврова
048-68-4-18-21</t>
  </si>
  <si>
    <t>Відхилення на</t>
  </si>
  <si>
    <t>Урахована вартість газу, грн за 1000 м³</t>
  </si>
  <si>
    <t xml:space="preserve">Для потреб населення </t>
  </si>
  <si>
    <t>з урахуванням витрат на утримання та ремонт ЦТП</t>
  </si>
  <si>
    <t>без урахування витрат на утримання та ремонт ЦТП</t>
  </si>
  <si>
    <t>Для потреб релігійних організацій без ЦТП</t>
  </si>
  <si>
    <t>Підприємство</t>
  </si>
  <si>
    <t>умовно-змінна, грн./Гкал</t>
  </si>
  <si>
    <t>умовно-постійна, грн./Гкал/год</t>
  </si>
  <si>
    <t>Довідково : в одноставковому еквіваленті, грн/Гкал</t>
  </si>
  <si>
    <t>КП ТМ "ЮТКЕ" м. Южне</t>
  </si>
  <si>
    <t>КП "Білдгород-Дністровськ-теплоенерго"</t>
  </si>
  <si>
    <t>КП "ТП Ізмаілтепло-комуненерго"</t>
  </si>
  <si>
    <t>КП "Чорноморськ-теплоенерго"</t>
  </si>
  <si>
    <t>з січня 2019 року</t>
  </si>
  <si>
    <t>з січня 2019 року до серпня 2020 року</t>
  </si>
  <si>
    <t xml:space="preserve"> серпень 2020 року (з коригуванням)</t>
  </si>
  <si>
    <t>урахування витрат на обслуговування та ремонт</t>
  </si>
  <si>
    <t>Планові тарифи на теплову енергію на 2021-2022 роки</t>
  </si>
  <si>
    <t>Тарифи на послуги з централізованого опалення для потреб населення (з урахуванням  вартості природного газу для теплопостачальних організацій на рівні 8361,85 грн за 1000 м³ з ПДВ)</t>
  </si>
  <si>
    <t>Ціна газу , врахована в тарифах на теплову енергію, грн./тис.м³ без ПДВ</t>
  </si>
  <si>
    <t>подані на розгляд</t>
  </si>
  <si>
    <t>Бровари</t>
  </si>
  <si>
    <t>ПРИКЛАД</t>
  </si>
  <si>
    <t>Нарахування за послуги з постачання теплової енергії</t>
  </si>
  <si>
    <t>Місяць/
площа</t>
  </si>
  <si>
    <t>Гкал/м²</t>
  </si>
  <si>
    <t>За тарифами без ЦТП: 
УПС=85317,31 грн/Гкал*год;
 УЗС=751,56 грн за 1 Гкал</t>
  </si>
  <si>
    <t>Одноставковий</t>
  </si>
  <si>
    <t>Умовно - змінна</t>
  </si>
  <si>
    <t>Умовно - постійна</t>
  </si>
  <si>
    <t>Всього послуга ТЕ</t>
  </si>
  <si>
    <t>Для однокімнатної квартири</t>
  </si>
  <si>
    <t>Жовтень</t>
  </si>
  <si>
    <t>Листопад</t>
  </si>
  <si>
    <t>Грудень</t>
  </si>
  <si>
    <t>Січень</t>
  </si>
  <si>
    <t>Лютий</t>
  </si>
  <si>
    <t>Березень</t>
  </si>
  <si>
    <t>Для двокімнатної квартири</t>
  </si>
  <si>
    <t>Для трикімнатної квартири</t>
  </si>
  <si>
    <t xml:space="preserve">Вхідні дані для розрахунку тарифів </t>
  </si>
  <si>
    <t xml:space="preserve"> УПС=</t>
  </si>
  <si>
    <t xml:space="preserve">За діючими тарифами з ЦТП:
</t>
  </si>
  <si>
    <t>УЗС=</t>
  </si>
  <si>
    <t>грн/Гкал*год</t>
  </si>
  <si>
    <t xml:space="preserve"> грн за Гкал
</t>
  </si>
  <si>
    <t xml:space="preserve">За плановими тарифами з ЦТП:
</t>
  </si>
  <si>
    <t xml:space="preserve">За діючими тарифами без ЦТП:
</t>
  </si>
  <si>
    <t xml:space="preserve">За плановими тарифами без ЦТП:
</t>
  </si>
  <si>
    <t>Структура витрат на виробництво теплової енергії</t>
  </si>
  <si>
    <t>Для потреб бюджетних організацій та установ</t>
  </si>
  <si>
    <t>Додаток 3  
 до рішення виконавчого комітету Чорноморської міської ради 
Одеського району Одеської області                               від ______________ № ________</t>
  </si>
  <si>
    <t>Структура витрат на транспортування  теплової енергії без урахуванням витрат на утримання та ремонт центральних теплових пунктів</t>
  </si>
  <si>
    <t>І</t>
  </si>
  <si>
    <t>ІІІ</t>
  </si>
  <si>
    <t>Структура витрат, урахованих в тарифах на теплову енергію</t>
  </si>
  <si>
    <t>грн./Гкал/год</t>
  </si>
  <si>
    <t>Загальний обсяг відпуску теплової енергії з колекторів,  у тому числі:</t>
  </si>
  <si>
    <t>ˮ-ˮ</t>
  </si>
  <si>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складові витрат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</si>
  <si>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умовно-постійні складові витрат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</si>
  <si>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складові витрат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</si>
  <si>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складові витрат двоставкового тарифу</t>
    </r>
  </si>
  <si>
    <r>
      <t>Постачання теплової енергії,</t>
    </r>
    <r>
      <rPr>
        <sz val="11"/>
        <color rgb="FF000000"/>
        <rFont val="Times New Roman"/>
        <family val="1"/>
        <charset val="204"/>
      </rPr>
      <t xml:space="preserve">  умовно-постійні складові витрат двоставкового тарифу</t>
    </r>
  </si>
  <si>
    <t xml:space="preserve">теплопостачання яких здійснює комунальне підприємство "Чорноморськтеплоенерго" </t>
  </si>
  <si>
    <t>на території Черноморської міської ради Одеської області</t>
  </si>
  <si>
    <t>З ЦТП/ без ЦТП</t>
  </si>
  <si>
    <t>Без ЦТП</t>
  </si>
  <si>
    <t>З ЦТП</t>
  </si>
  <si>
    <t>ПЕРШОГО ТРАВНЯ  19</t>
  </si>
  <si>
    <t>ПЕРШОГО ТРАВНЯ 40</t>
  </si>
  <si>
    <t>ПЕРШОГО ТРАВНЯ 40-Б</t>
  </si>
  <si>
    <t>ПЕРШОГО ТРАВНЯ 42</t>
  </si>
  <si>
    <t>ПЕРШОГО ТРАВНЯ 42-А</t>
  </si>
  <si>
    <t>Хантадзе 7,Б (перспектива)</t>
  </si>
  <si>
    <t>Хантадзе, 13 (перспектива)</t>
  </si>
  <si>
    <t>Керуюча справами             _________________            Н.В. Кушніренко</t>
  </si>
  <si>
    <t xml:space="preserve">до рішення виконавчого комітету 
Чорноморської міської ради 
від ______________2021 №_____
</t>
  </si>
  <si>
    <r>
      <t xml:space="preserve">Структура одноставкових тарифів на теплову енергію  </t>
    </r>
    <r>
      <rPr>
        <b/>
        <u/>
        <sz val="11"/>
        <color theme="1"/>
        <rFont val="Times New Roman"/>
        <family val="1"/>
        <charset val="204"/>
      </rPr>
      <t>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</si>
  <si>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r>
      <t xml:space="preserve">Структура одноставкових тарифів на теплову енергію  </t>
    </r>
    <r>
      <rPr>
        <b/>
        <u/>
        <sz val="11"/>
        <color theme="1"/>
        <rFont val="Times New Roman"/>
        <family val="1"/>
        <charset val="204"/>
      </rPr>
      <t>без урахуванням витрат на утримання та ремонт центральних теплових пунктів</t>
    </r>
    <r>
      <rPr>
        <b/>
        <sz val="11"/>
        <color theme="1"/>
        <rFont val="Times New Roman"/>
        <family val="1"/>
        <charset val="204"/>
      </rPr>
      <t xml:space="preserve">  Комунального підприємства "Чорноморськтеплоенерго" Чорноморської міської ради Одеського району Одеської області</t>
    </r>
  </si>
  <si>
    <t>Додаток 5</t>
  </si>
  <si>
    <t>Додаток 6</t>
  </si>
  <si>
    <t>Додаток 7</t>
  </si>
  <si>
    <t>Річний обсяг реалізації теплової енергії власним споживачам, тис. Гкал</t>
  </si>
  <si>
    <t>Обсяг відпуску теплової енергії з колекторів власних генеруючих джерел, тис. Гкал</t>
  </si>
  <si>
    <t>Додаток 8</t>
  </si>
  <si>
    <r>
      <t>Постачання теплової енергії,</t>
    </r>
    <r>
      <rPr>
        <sz val="11"/>
        <color rgb="FF000000"/>
        <rFont val="Times New Roman"/>
        <family val="1"/>
        <charset val="204"/>
      </rPr>
      <t xml:space="preserve">  умовно-постійні складові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</si>
  <si>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складові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</si>
  <si>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складові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</si>
  <si>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умовно-постійні складові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</si>
  <si>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складові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</si>
  <si>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умовно-постійні складові двоставкового тарифу</t>
    </r>
  </si>
  <si>
    <r>
      <rPr>
        <b/>
        <sz val="11"/>
        <color theme="1"/>
        <rFont val="Times New Roman"/>
        <family val="1"/>
        <charset val="204"/>
      </rPr>
      <t>Транспортування теплової енергії,</t>
    </r>
    <r>
      <rPr>
        <sz val="11"/>
        <color theme="1"/>
        <rFont val="Times New Roman"/>
        <family val="1"/>
        <charset val="204"/>
      </rPr>
      <t xml:space="preserve">  умовно-змінні складові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</si>
  <si>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умовно-змінні складові двоставкового тарифу</t>
    </r>
  </si>
  <si>
    <r>
      <t xml:space="preserve">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t>
    </r>
    <r>
      <rPr>
        <b/>
        <sz val="12"/>
        <color rgb="FF333333"/>
        <rFont val="Times New Roman"/>
        <family val="1"/>
        <charset val="204"/>
      </rPr>
      <t xml:space="preserve">
комунальному підприємству «Чорноморськтеплоенерго» Чорноморської міської ради Одеського району Одеської області </t>
    </r>
  </si>
  <si>
    <t>Додаток 6 
 до рішення виконавчого комітету Чорноморської міської ради Одеського району Одеської області                               від ________ № ____</t>
  </si>
  <si>
    <t>Сумарні тарифні витрати, 
тис. грн.
 на рік</t>
  </si>
  <si>
    <t>прийняті в вересні, ще не вступили в дію</t>
  </si>
  <si>
    <t xml:space="preserve">Додаток 9                                        до рішення виконавчого комітету Чорноморської міської ради Одеського району Одеської області                               від ________ № ____ 
</t>
  </si>
  <si>
    <t xml:space="preserve">Додаток 10                                        до рішення виконавчого комітету Чорноморської міської ради Одеського району Одеської області                               від ________ № ____ 
</t>
  </si>
  <si>
    <t xml:space="preserve">Додаток 11                                        до рішення виконавчого комітету Чорноморської міської ради Одеського району Одеської області                               від ________ № ____ 
</t>
  </si>
  <si>
    <t xml:space="preserve"> щодо переліку житлових та нежитлових будівель,</t>
  </si>
  <si>
    <t xml:space="preserve">теплопостачання яким здійснює комунальне підприємство "Чорноморськтеплоенерго" </t>
  </si>
  <si>
    <t>на території Черноморської міської ради Одеського району Одеської області</t>
  </si>
  <si>
    <t>Керуюча справами                                                                                Наталя КУШНІРЕНКО</t>
  </si>
  <si>
    <t>ІНШІ СПОЖИВАЧІ</t>
  </si>
  <si>
    <t>Місяць 2021 року</t>
  </si>
  <si>
    <t>Об'єм газу, тис. м куб.</t>
  </si>
  <si>
    <t>Фактична вартість, тис. грн</t>
  </si>
  <si>
    <t>Відшкод тарифами (4011,12) тис. грн</t>
  </si>
  <si>
    <t>Не відшкодовується тарифами, 
тис. грн</t>
  </si>
  <si>
    <t>За ціною газу 7420 та 16554 та 24993</t>
  </si>
  <si>
    <t>транс</t>
  </si>
  <si>
    <t>пост</t>
  </si>
  <si>
    <t>Усього на планований  період, у тому числі</t>
  </si>
  <si>
    <t xml:space="preserve">для  потреб </t>
  </si>
  <si>
    <t>x</t>
  </si>
  <si>
    <t>2-ct</t>
  </si>
  <si>
    <t>1-ct</t>
  </si>
  <si>
    <t>Структура витрат на теплову енергію</t>
  </si>
  <si>
    <t>прибуток 2020-2021</t>
  </si>
  <si>
    <t>різниця</t>
  </si>
  <si>
    <t xml:space="preserve">Додаток 5
до розрахунку тарифів на теплову енергію КП "ЧТЕ
</t>
  </si>
  <si>
    <t xml:space="preserve">Додаток 2
до розрахунку тарифів на теплову енергію КП "ЧТЕ
</t>
  </si>
  <si>
    <t>Додаток 3
до розрахунку тарифів на теплову енергію КП "ЧТЕ</t>
  </si>
  <si>
    <t>Додаток 4
до розрахунку тарифів на теплову енергію КП "ЧТЕ</t>
  </si>
  <si>
    <t xml:space="preserve">Додаток 5.1
до розрахунку тарифів на теплову енергію КП "ЧТЕ
</t>
  </si>
  <si>
    <t>Додаток 8
до розрахунку тарифів на теплову енергію КП "ЧТЕ</t>
  </si>
  <si>
    <t xml:space="preserve">Додаток 14
до розрахунку тарифів на теплову енергію КП "ЧТЕ
</t>
  </si>
  <si>
    <t>Додаток 14.1
до розрахунку тарифів на теплову енергію КП "ЧТЕ</t>
  </si>
  <si>
    <t xml:space="preserve">Додаток 3.1
до розрахунку тарифів на теплову енергію КП "ЧТЕ
</t>
  </si>
  <si>
    <t>Додаток 10
до розрахунку тарифів на теплову енергію КП "ЧТЕ</t>
  </si>
  <si>
    <t>1 ставковий</t>
  </si>
  <si>
    <t>Повна вартість</t>
  </si>
  <si>
    <t>7.1.1.</t>
  </si>
  <si>
    <t>7.1.2.</t>
  </si>
  <si>
    <t>7.1.3.</t>
  </si>
  <si>
    <t>7.3.1.</t>
  </si>
  <si>
    <t>7.3.2.</t>
  </si>
  <si>
    <t>7.3.3.</t>
  </si>
  <si>
    <t>7.4.1.</t>
  </si>
  <si>
    <t>7.4.2.</t>
  </si>
  <si>
    <t>7.4.3.</t>
  </si>
  <si>
    <t>13.2.</t>
  </si>
  <si>
    <t>13.3.</t>
  </si>
  <si>
    <t>13.4.</t>
  </si>
  <si>
    <t>13.5.</t>
  </si>
  <si>
    <t>14.1.</t>
  </si>
  <si>
    <t>14.1.1.</t>
  </si>
  <si>
    <t>16.1.1</t>
  </si>
  <si>
    <t>16.1.2</t>
  </si>
  <si>
    <t>16.1.3</t>
  </si>
  <si>
    <t>16.1.4</t>
  </si>
  <si>
    <t>16.1.4.1</t>
  </si>
  <si>
    <t>16.3.1</t>
  </si>
  <si>
    <t>16.3.2</t>
  </si>
  <si>
    <t>16.3.3</t>
  </si>
  <si>
    <t>16.4</t>
  </si>
  <si>
    <t>16.4.1</t>
  </si>
  <si>
    <t>16.4.2</t>
  </si>
  <si>
    <t>16.4.3</t>
  </si>
  <si>
    <t>18.1</t>
  </si>
  <si>
    <t>18.2</t>
  </si>
  <si>
    <t>18.3</t>
  </si>
  <si>
    <t>23.4</t>
  </si>
  <si>
    <t>23.5</t>
  </si>
  <si>
    <t>25.3.1</t>
  </si>
  <si>
    <t>25.3.2</t>
  </si>
  <si>
    <t>25.3.3</t>
  </si>
  <si>
    <t>25.4</t>
  </si>
  <si>
    <t>25.4.1</t>
  </si>
  <si>
    <t>25.4.2</t>
  </si>
  <si>
    <t>25.4.3</t>
  </si>
  <si>
    <t>27.1</t>
  </si>
  <si>
    <t>27.2</t>
  </si>
  <si>
    <t>27.3</t>
  </si>
  <si>
    <t>32</t>
  </si>
  <si>
    <t>32.1</t>
  </si>
  <si>
    <t>32.2</t>
  </si>
  <si>
    <t>32.3</t>
  </si>
  <si>
    <t>32.4</t>
  </si>
  <si>
    <t>32.5</t>
  </si>
  <si>
    <t>7.1.1.1</t>
  </si>
  <si>
    <t>ел ен</t>
  </si>
  <si>
    <t>% паливної склад.</t>
  </si>
  <si>
    <t>рел</t>
  </si>
  <si>
    <t>бюдж</t>
  </si>
  <si>
    <t>Складові прибутку:</t>
  </si>
  <si>
    <r>
      <t xml:space="preserve">на </t>
    </r>
    <r>
      <rPr>
        <b/>
        <u/>
        <sz val="12"/>
        <color rgb="FF333333"/>
        <rFont val="Times New Roman"/>
        <family val="1"/>
        <charset val="204"/>
      </rPr>
      <t xml:space="preserve">теплову енергію, її виробництво, транспортування </t>
    </r>
    <r>
      <rPr>
        <sz val="12"/>
        <color rgb="FF333333"/>
        <rFont val="Times New Roman"/>
        <family val="1"/>
        <charset val="204"/>
      </rPr>
      <t xml:space="preserve"> </t>
    </r>
    <r>
      <rPr>
        <b/>
        <u/>
        <sz val="12"/>
        <color rgb="FF333333"/>
        <rFont val="Times New Roman"/>
        <family val="1"/>
        <charset val="204"/>
      </rPr>
      <t>без урахування витрат на обслуговування та ремонт центральних теплових пунктів та постачання</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</si>
  <si>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t>2022-2023</t>
  </si>
  <si>
    <t>оцінка майна комунальної власності</t>
  </si>
  <si>
    <r>
      <t xml:space="preserve">всього, 
</t>
    </r>
    <r>
      <rPr>
        <b/>
        <sz val="10"/>
        <rFont val="Times New Roman"/>
        <family val="1"/>
        <charset val="204"/>
      </rPr>
      <t>у тому числі</t>
    </r>
  </si>
  <si>
    <t xml:space="preserve">    зв'язок</t>
  </si>
  <si>
    <t xml:space="preserve">    інтернет</t>
  </si>
  <si>
    <t>експертне обстеження стану охорони праці</t>
  </si>
  <si>
    <t>витрати на періодичні видання, оголошення в ЗМІ</t>
  </si>
  <si>
    <t>Факт 2021 року</t>
  </si>
  <si>
    <t>Опалювальний сезон 2021 - 2022</t>
  </si>
  <si>
    <t>обновлено 2022-2023</t>
  </si>
  <si>
    <t>сезон/місяць</t>
  </si>
  <si>
    <t>факт 5ти років - 2017-2022</t>
  </si>
  <si>
    <t>факт 5ти років - 2017-2022 із заокругленням</t>
  </si>
  <si>
    <t>ЗЕЛЕНА 1-А</t>
  </si>
  <si>
    <t>ПЕРШОГО ТРАВНЯ 42-Б</t>
  </si>
  <si>
    <t>Відпуск ТЕ в мережі</t>
  </si>
  <si>
    <t>Всього, у т.ч. для потреб:</t>
  </si>
  <si>
    <t>Всього по природному газу, у т.ч. для потреб:</t>
  </si>
  <si>
    <t>Природний газ, у тому числі</t>
  </si>
  <si>
    <t xml:space="preserve">Природний газ </t>
  </si>
  <si>
    <t>ГП розподілені на всіх споживачів</t>
  </si>
  <si>
    <t>база розподілу витрат (корисний відпуск)</t>
  </si>
  <si>
    <t>база розподілу витрат (відпуск з колекторів)</t>
  </si>
  <si>
    <t>корисн ГП</t>
  </si>
  <si>
    <t>потери в сетях ГП</t>
  </si>
  <si>
    <t>Втрати ТЕ в мережі</t>
  </si>
  <si>
    <t>ГП включены в инших - надо раскидать???</t>
  </si>
  <si>
    <t>Відсоток дивідендів (частина чистого доходу)</t>
  </si>
  <si>
    <t>Співвідношення обсягів централізованого водопостачання та водовідведення для господарсько-питних потреб</t>
  </si>
  <si>
    <t>Тариф на постачання та розподіл електричної енергії, за кВт*год</t>
  </si>
  <si>
    <t>Навчання персоналу</t>
  </si>
  <si>
    <t>Засоби інд захисту</t>
  </si>
  <si>
    <t>Атестація</t>
  </si>
  <si>
    <t>Спецхарчування</t>
  </si>
  <si>
    <t>договор 2021-2024</t>
  </si>
  <si>
    <t>старий по сост на 01.04.2022</t>
  </si>
  <si>
    <t>Відхилення план - договор</t>
  </si>
  <si>
    <t>Постанова КМУ від 31 травня 2021 р. № 586</t>
  </si>
  <si>
    <t>2 ставковий</t>
  </si>
  <si>
    <t xml:space="preserve">Паливо </t>
  </si>
  <si>
    <t>ЄСВ</t>
  </si>
  <si>
    <t>Адмін</t>
  </si>
  <si>
    <t>Разом, в тому числі</t>
  </si>
  <si>
    <t>Павлючен В. І.</t>
  </si>
  <si>
    <t>тракт МТЗ90</t>
  </si>
  <si>
    <t>Бондаренко сл тс 4 р</t>
  </si>
  <si>
    <t>Головчен О курьер</t>
  </si>
  <si>
    <t>Бабенко Л. контр</t>
  </si>
  <si>
    <t>Павлова Л. Контр</t>
  </si>
  <si>
    <t>Шатайл сл-сан</t>
  </si>
  <si>
    <t>Томнюк сл-сант</t>
  </si>
  <si>
    <t>Мошинск приб сп</t>
  </si>
  <si>
    <t>Факт 2022 з урахуванням ІЦВ (рах.№TV12505/0001 25.05.2022)</t>
  </si>
  <si>
    <t>Кількість номерів телефонів/ сума , грн</t>
  </si>
  <si>
    <t>Всього,  без ПДВ</t>
  </si>
  <si>
    <t>Абонплата за 1 номер</t>
  </si>
  <si>
    <t>грн/1 номер</t>
  </si>
  <si>
    <t>Всього по договорам №110800,110793</t>
  </si>
  <si>
    <t>Відділ сбуту</t>
  </si>
  <si>
    <t>Энергонагляд</t>
  </si>
  <si>
    <t>Підключення до Інтернету</t>
  </si>
  <si>
    <t xml:space="preserve"> 155907 
896831 
509266</t>
  </si>
  <si>
    <t>Абонплата за Інтернет</t>
  </si>
  <si>
    <t>грн. в місяць</t>
  </si>
  <si>
    <t>Технічне освідоцтво котлів ПТВМ-30</t>
  </si>
  <si>
    <t>22-23</t>
  </si>
  <si>
    <t>Факт 2021</t>
  </si>
  <si>
    <t>Украгротех ком пропозиція</t>
  </si>
  <si>
    <t xml:space="preserve">ком пропозиція </t>
  </si>
  <si>
    <t>дог 39/01/22 03-02-2022</t>
  </si>
  <si>
    <t>дератизація та дезінсекція</t>
  </si>
  <si>
    <t>Ремонт, діагностика, калібрування та метрологічна повірка багатопараметричного перетворювача ПМ-3В зав №359 (Садова 1)</t>
  </si>
  <si>
    <t>Технічне обслуговування зварювального аппарату №W00355005355</t>
  </si>
  <si>
    <t>високовольтні випробування трансформаторів</t>
  </si>
  <si>
    <t>техобслуговування засобів</t>
  </si>
  <si>
    <t xml:space="preserve">дог 27 </t>
  </si>
  <si>
    <t>Тех освідотство обладнання</t>
  </si>
  <si>
    <t>Тех обслуговування</t>
  </si>
  <si>
    <t>Зв'язок</t>
  </si>
  <si>
    <t>Фактичні витрати ПММ за 2021 рік, грн</t>
  </si>
  <si>
    <t>Утилізація</t>
  </si>
  <si>
    <t>Страхування</t>
  </si>
  <si>
    <t>Повірка та юстування</t>
  </si>
  <si>
    <t>Періодичні видання</t>
  </si>
  <si>
    <t>ТО ТЗ</t>
  </si>
  <si>
    <t>Картриджи</t>
  </si>
  <si>
    <t>договор</t>
  </si>
  <si>
    <t>Тезконтроль ТЗ</t>
  </si>
  <si>
    <t>Обсяг І</t>
  </si>
  <si>
    <t>Обсяг ІІ</t>
  </si>
  <si>
    <t>Обсяг ІІІ</t>
  </si>
  <si>
    <t>Розшифровка нарахувань за травень 2022</t>
  </si>
  <si>
    <t>Середня за півроку</t>
  </si>
  <si>
    <t>База розподілу спільних витрат на транспортування з цтп та без цтп</t>
  </si>
  <si>
    <t>корисний</t>
  </si>
  <si>
    <t xml:space="preserve">втрати в мережі </t>
  </si>
  <si>
    <t>відпуск в мережі</t>
  </si>
  <si>
    <t>тільки цтп</t>
  </si>
  <si>
    <t>тільки без цтп</t>
  </si>
  <si>
    <t xml:space="preserve">спільні </t>
  </si>
  <si>
    <t>найменування</t>
  </si>
  <si>
    <t>база розподілу витрат між групами (корисний відпуск)</t>
  </si>
  <si>
    <t>Сума спільна</t>
  </si>
  <si>
    <t>Сума тільки з ЦТП</t>
  </si>
  <si>
    <t>Сума тільки без ЦТП</t>
  </si>
  <si>
    <t>Погоджено__________ 
Директор Анатолій ПАНШИН</t>
  </si>
  <si>
    <t xml:space="preserve">Головний інженер </t>
  </si>
  <si>
    <t xml:space="preserve"> грн. без ПДВ:</t>
  </si>
  <si>
    <t>в період видання</t>
  </si>
  <si>
    <t>Експертне обстеження трансформаторних підстанцій без виконання електровимірювань</t>
  </si>
  <si>
    <t>дог ПраТ МЕТЦ</t>
  </si>
  <si>
    <t>Експертне обстеження з виконанням електровимірювань кабельних ліній, у звязку із закінченням нормативного терміну експлуатації</t>
  </si>
  <si>
    <t>Випробування, освідоствування, фарбування кисневих балонів</t>
  </si>
  <si>
    <r>
      <t>з ЦТП</t>
    </r>
    <r>
      <rPr>
        <b/>
        <sz val="8"/>
        <color rgb="FFFF0000"/>
        <rFont val="Times New Roman"/>
        <family val="1"/>
        <charset val="204"/>
      </rPr>
      <t xml:space="preserve"> (витрати на ЦТП + частина спільних витрат)</t>
    </r>
  </si>
  <si>
    <t>УЗС ціна на виробництво ТЕ</t>
  </si>
  <si>
    <t>Витрати на покриття втрат теплової енергії в мережах</t>
  </si>
  <si>
    <t>за двоставковим тарифом</t>
  </si>
  <si>
    <r>
      <t>без ЦТП</t>
    </r>
    <r>
      <rPr>
        <b/>
        <sz val="8"/>
        <color rgb="FFFF0000"/>
        <rFont val="Times New Roman"/>
        <family val="1"/>
        <charset val="204"/>
      </rPr>
      <t xml:space="preserve"> (тільки без ЦТП+частина спільних витрат)</t>
    </r>
  </si>
  <si>
    <t>факт2021/план 2022-2023</t>
  </si>
  <si>
    <t>План на</t>
  </si>
  <si>
    <t>Агенство "Консалт"</t>
  </si>
  <si>
    <t>Розрахунково кассове обслуговування</t>
  </si>
  <si>
    <t>Державний ощадний банк України</t>
  </si>
  <si>
    <t>МТБ Банк</t>
  </si>
  <si>
    <t>дог 2022</t>
  </si>
  <si>
    <t>вимірювання показників якості води</t>
  </si>
  <si>
    <t>Транспортування ТЕ (спільно)</t>
  </si>
  <si>
    <t>амортизація  основних засобів</t>
  </si>
  <si>
    <t>амортизація основних засобів</t>
  </si>
  <si>
    <t>амортизація інших необоротних матеріальних активів</t>
  </si>
  <si>
    <t>Прямі витрати на АО всього, у т.ч.:</t>
  </si>
  <si>
    <t>материали</t>
  </si>
  <si>
    <t>інвалідів</t>
  </si>
  <si>
    <t>договори ГПХ</t>
  </si>
  <si>
    <t>внески на соціальні заходи</t>
  </si>
  <si>
    <t>освітлення (електроенергія)</t>
  </si>
  <si>
    <t>водопостачання та водовідведення</t>
  </si>
  <si>
    <t>навчання персоналу</t>
  </si>
  <si>
    <t>утілізація відходів, устаткування, обладнання</t>
  </si>
  <si>
    <t>заправка картриджа</t>
  </si>
  <si>
    <t>витрати на професійні послуги (аудит) та інші інформаційно-консультаційні послуги</t>
  </si>
  <si>
    <t>витрати на відшкодування послуг банків за збір платежів від населення</t>
  </si>
  <si>
    <t>транспортні послуги (Нова Пошта)</t>
  </si>
  <si>
    <t>технічне обслуговування,ремонт</t>
  </si>
  <si>
    <t>амортизація інших необоротних матеріальних і нематеріальних активів</t>
  </si>
  <si>
    <t>Транспортування ТЕ (тільки з ЦТП)</t>
  </si>
  <si>
    <t>УЗ витрати на покриття втрат теплової енергії в мережах</t>
  </si>
  <si>
    <t>УП витрати на покриття втрат теплової енергії в мережах</t>
  </si>
  <si>
    <t>Витрати на покриття втрат теплової енергії в мережах УЗ+УП</t>
  </si>
  <si>
    <t>сбыт</t>
  </si>
  <si>
    <t>Постанова НКРЕКП від 22.12.2021 № 2763</t>
  </si>
  <si>
    <t>Постанова НКРЕКП від 17.12.2021 № 2603</t>
  </si>
  <si>
    <t>випробування нафтопродуктів (мазут)</t>
  </si>
  <si>
    <t>дог №60-224943</t>
  </si>
  <si>
    <t>господарські потреби*</t>
  </si>
  <si>
    <t>Обсяг надходження теплової енергії у власні теплові мережі, усього, зокрема:</t>
  </si>
  <si>
    <t>Відпуск теплової енергії</t>
  </si>
  <si>
    <t>расчет втрат в мережах</t>
  </si>
  <si>
    <t xml:space="preserve"> в том числе гп зелена</t>
  </si>
  <si>
    <t xml:space="preserve">втрати зелена </t>
  </si>
  <si>
    <t>розрахунки річного плану</t>
  </si>
  <si>
    <t>Теплова енергія з ЦТП</t>
  </si>
  <si>
    <t>Теплова енергія без ЦТП</t>
  </si>
  <si>
    <t>виробництво (відпуск)</t>
  </si>
  <si>
    <t>2-х  ставковий з ЦТП</t>
  </si>
  <si>
    <t>2-х  ставковий без ЦТП</t>
  </si>
  <si>
    <t>Садова+Зелена</t>
  </si>
  <si>
    <t>Тільки Садова</t>
  </si>
  <si>
    <t>розрахнок в окремому файлі</t>
  </si>
  <si>
    <t>собівартість без витрат на покриття втрат в мережах, ..</t>
  </si>
  <si>
    <t>транспорт всього</t>
  </si>
  <si>
    <t>свет</t>
  </si>
  <si>
    <t>з ЦТП                          теплова енергія                   без ЦТП</t>
  </si>
  <si>
    <t>відх, грн</t>
  </si>
  <si>
    <t>відх, %</t>
  </si>
  <si>
    <t>2-х ст тариф
2021-2022</t>
  </si>
  <si>
    <t>Рівень зміни тарифів</t>
  </si>
  <si>
    <t>нестача</t>
  </si>
  <si>
    <t>УПС витрати на покриття втрат в мережах</t>
  </si>
  <si>
    <t>религия</t>
  </si>
  <si>
    <t>1-ст</t>
  </si>
  <si>
    <t>2-ст</t>
  </si>
  <si>
    <t>в сети</t>
  </si>
  <si>
    <t>відпуск теплової енергії інших власників</t>
  </si>
  <si>
    <t>навантаження</t>
  </si>
  <si>
    <t xml:space="preserve">Постачання теплової енергії для потреб </t>
  </si>
  <si>
    <t>1-ст з цтп</t>
  </si>
  <si>
    <t>2-ст з цтп</t>
  </si>
  <si>
    <t>1-ст без цтп</t>
  </si>
  <si>
    <t>2-ст без цтп</t>
  </si>
  <si>
    <t>Слбівартість</t>
  </si>
  <si>
    <t>Проєкт тарифу 2022-2023 рр.</t>
  </si>
  <si>
    <t xml:space="preserve">Діючий тариф </t>
  </si>
  <si>
    <t/>
  </si>
  <si>
    <t>д.б.102060</t>
  </si>
  <si>
    <t>все со счетчиками</t>
  </si>
  <si>
    <t>сверить</t>
  </si>
  <si>
    <t>цена</t>
  </si>
  <si>
    <t>загальний</t>
  </si>
  <si>
    <t xml:space="preserve">на </t>
  </si>
  <si>
    <t>Тариф з ЦТП</t>
  </si>
  <si>
    <t>одноставковий</t>
  </si>
  <si>
    <t>грн за 1 Гкал</t>
  </si>
  <si>
    <t>грн за 1 Гкал/год в місяць</t>
  </si>
  <si>
    <t>Відпуск в мережу</t>
  </si>
  <si>
    <t>корисний відпуск</t>
  </si>
  <si>
    <t>Гкал/годину</t>
  </si>
  <si>
    <t>Доходи</t>
  </si>
  <si>
    <t>двоставковий</t>
  </si>
  <si>
    <t>Тариф без ЦТП</t>
  </si>
  <si>
    <t>Доходи разом</t>
  </si>
  <si>
    <t>Витрати разом</t>
  </si>
  <si>
    <t>ТОВ "ГК Нафтогаз Трейдинг"</t>
  </si>
  <si>
    <t>Постанова КМУ від 19.07.2022 №812 
Договір _-ПСО(ЕЛУ)-23</t>
  </si>
  <si>
    <t>природний газ обсяг І</t>
  </si>
  <si>
    <t>природний газ обсяг ІІІ</t>
  </si>
  <si>
    <t>природний газ обсягІІ</t>
  </si>
  <si>
    <t>закупка природного газу в тариф</t>
  </si>
  <si>
    <t>вартість закупівлі</t>
  </si>
  <si>
    <t>бюджетні організації</t>
  </si>
  <si>
    <t xml:space="preserve">Тарифи на транспортування з  урахуванням витрат на утримання та ремонт центральних теплових пунктівтеплової енергії </t>
  </si>
  <si>
    <t>Тарифи на виробництво теплової енергії</t>
  </si>
  <si>
    <t>Тарифи на транспортування з  урахуванням витрат на утримання та ремонт центральних теплових пунктівтеплової енергії</t>
  </si>
  <si>
    <t>Тарифи на постачання теплової енергії</t>
  </si>
  <si>
    <t>Структура тарифів на транспортування  теплової енергії без урахування витрат на утримання та ремонт центральних теплових пунктів</t>
  </si>
  <si>
    <t>Структура тарифів на виробництво теплової енергії</t>
  </si>
  <si>
    <t>Планований тариф 2022-2023 рр.</t>
  </si>
  <si>
    <t>Вик. Заст. директора з економіки О.Лаврова
048-68-4-18-21</t>
  </si>
  <si>
    <t>Станом на 01.09.2022
Тариф на теплову енергію,  з ПДВ</t>
  </si>
  <si>
    <t>прибуток 2021-2022</t>
  </si>
  <si>
    <t>прибуток 2022-2023</t>
  </si>
  <si>
    <t>Теплова енергія, без ПДВ</t>
  </si>
  <si>
    <t>14.2.</t>
  </si>
  <si>
    <t>5.3.</t>
  </si>
  <si>
    <t xml:space="preserve">   з урахуванням витрат на обслуговування та ремонт центральних теплових пунктів</t>
  </si>
  <si>
    <t xml:space="preserve">   без урахування витрат на обслуговування та ремонт центральних теплових пунктів</t>
  </si>
  <si>
    <t xml:space="preserve"> умовно -змінна</t>
  </si>
  <si>
    <t xml:space="preserve"> умовно - постійна</t>
  </si>
  <si>
    <t>Тарифи на теплову енергію з урахуванням витрат на утримання та ремонт центральних теплових пунктів, у тому числі</t>
  </si>
  <si>
    <t>Тарифи на теплову енергію без урахування витрат на утримання та ремонт центральних теплових пунктів, у тому числі</t>
  </si>
  <si>
    <t>Розрахунок закупівлі природного газу з урахуванням встановлених лімітів</t>
  </si>
  <si>
    <t xml:space="preserve"> обсяг</t>
  </si>
  <si>
    <t>закупка по ринковим цінам, тис.м³</t>
  </si>
  <si>
    <t>Закупка по договору Нафтотрейдинг, тис.грн.</t>
  </si>
  <si>
    <t>закупка по ринковим цінам, тис.грн.</t>
  </si>
  <si>
    <t>разом, тис.грн.</t>
  </si>
  <si>
    <t>договір 2022-2023</t>
  </si>
  <si>
    <t>Ціна натураль-ного палива (в межах ліміту за договором), грн/тис. м3</t>
  </si>
  <si>
    <t>Вартість пали-ва (з урахуван-ням позаліміт-ного спожива-ння), тис.грн</t>
  </si>
  <si>
    <t>Порівняння планованих витрат в структурі для тарифів на телову енергію 2022-2023 рр. зі структурою тарифів на теплову енергію встановлену на 2021-2022 рр.</t>
  </si>
  <si>
    <t>Сумарні та середньозважені показники 
2022-2023 рр</t>
  </si>
  <si>
    <t>Сумарні та середньозважені показники 
2021-2022 рр</t>
  </si>
  <si>
    <t>Відхилення 
(+ зростання,
 - зменшення)</t>
  </si>
  <si>
    <t>Тариф середньовзважений, зокрема:</t>
  </si>
  <si>
    <t>Тариф з ЦТП середньовзважений:</t>
  </si>
  <si>
    <t>13.1.1</t>
  </si>
  <si>
    <t>для потреб населення</t>
  </si>
  <si>
    <t>13.1.2</t>
  </si>
  <si>
    <t>для потреб релігійних організацій</t>
  </si>
  <si>
    <t>13.1.3</t>
  </si>
  <si>
    <t>для потреб бюджетних організацій</t>
  </si>
  <si>
    <t>13.1.4</t>
  </si>
  <si>
    <t>для потреб інших споживачів</t>
  </si>
  <si>
    <t>Тариф без ЦТП середньовзважений:</t>
  </si>
  <si>
    <t>13.2.1</t>
  </si>
  <si>
    <t>13.2.2</t>
  </si>
  <si>
    <t>13.2.3</t>
  </si>
  <si>
    <t>13.2.4</t>
  </si>
  <si>
    <t>_________________________</t>
  </si>
  <si>
    <t>Директор підприємства</t>
  </si>
  <si>
    <t>Розрахунковий прибуток, зокрема:</t>
  </si>
  <si>
    <t>Розрахунковий прибуток,  зокрема:</t>
  </si>
  <si>
    <t>Інші  операційні витрати</t>
  </si>
  <si>
    <r>
      <rPr>
        <b/>
        <sz val="11"/>
        <color theme="1"/>
        <rFont val="Times New Roman"/>
        <family val="1"/>
        <charset val="204"/>
      </rPr>
      <t>Транспортування теплової енергії без урахування витрат на обслуговування та ремонт центральних теплових пунктів,</t>
    </r>
    <r>
      <rPr>
        <sz val="11"/>
        <color theme="1"/>
        <rFont val="Times New Roman"/>
        <family val="1"/>
        <charset val="204"/>
      </rPr>
      <t xml:space="preserve">  умовно-змінні складові двоставкового тарифу</t>
    </r>
  </si>
  <si>
    <r>
      <rPr>
        <b/>
        <sz val="11"/>
        <color theme="1"/>
        <rFont val="Times New Roman"/>
        <family val="1"/>
        <charset val="204"/>
      </rPr>
      <t>Транспортування теплової енергії без урахування витрат на обслуговування та ремонт центральних теплових пунктів,</t>
    </r>
    <r>
      <rPr>
        <sz val="11"/>
        <color theme="1"/>
        <rFont val="Times New Roman"/>
        <family val="1"/>
        <charset val="204"/>
      </rPr>
      <t xml:space="preserve">  умовно-постійні складові двоставкового тарифу</t>
    </r>
  </si>
  <si>
    <t xml:space="preserve">Додаток 5                                        до рішення виконавчого комітету Чорноморської міської ради    
                                                    від ___________ №__ ____ 
</t>
  </si>
  <si>
    <t xml:space="preserve">Додаток 1                                        до рішення виконавчого комітету Чорноморської міської ради    
                                                    від ___________ №__ ____ 
</t>
  </si>
  <si>
    <t xml:space="preserve">Додаток 2                                        до рішення виконавчого комітету Чорноморської міської ради    
                                                    від ___________ №__ ____ 
</t>
  </si>
  <si>
    <t xml:space="preserve">Додаток 3                                        до рішення виконавчого комітету Чорноморської міської ради    
                                                    від ___________ №__ ____ 
</t>
  </si>
  <si>
    <t xml:space="preserve">Додаток 4
 до рішення виконавчого комітету Чорноморської міської ради    
 від ___________ №__ ____ 
</t>
  </si>
  <si>
    <t xml:space="preserve">Додаток 6                                        до рішення виконавчого комітету Чорноморської міської ради    
                                                від ___________ №__ ____ 
</t>
  </si>
  <si>
    <t>зрпл</t>
  </si>
  <si>
    <t>есв</t>
  </si>
  <si>
    <t>Витрати, тис. грн.</t>
  </si>
  <si>
    <t>Структура тарифів КП "ЧТЕ"</t>
  </si>
  <si>
    <t>Вик. Олена ЛАВРОВА</t>
  </si>
  <si>
    <t>4-18-21</t>
  </si>
  <si>
    <t>"30" червня 2023 року</t>
  </si>
  <si>
    <t>Ріш. №296 від 25.10.2022</t>
  </si>
  <si>
    <t>Встановлені тарифи</t>
  </si>
  <si>
    <t>2023-2024</t>
  </si>
  <si>
    <t>Корисний відпуск теплової енергії власним  споживачам суб’єкта господарювання, усього,  зокрема на потреби:</t>
  </si>
  <si>
    <t>Всього по елементу в собівартості ТЕ (в прямих, загальновиробничих та адміністративних витратах)</t>
  </si>
  <si>
    <t>в тому числі в розрізі видів ліцензованої діяльності:</t>
  </si>
  <si>
    <t>Розрахунок наведено в (том, сторінки):</t>
  </si>
  <si>
    <t>Примітки</t>
  </si>
  <si>
    <t>в т.ч.:</t>
  </si>
  <si>
    <t>Всього витрат</t>
  </si>
  <si>
    <t>грн./Гкал.</t>
  </si>
  <si>
    <t>питома вага у собівартості ТЕ, %</t>
  </si>
  <si>
    <t>прямих по ТЕ</t>
  </si>
  <si>
    <t>всього по підприємству</t>
  </si>
  <si>
    <t>К.п.</t>
  </si>
  <si>
    <t>пмв</t>
  </si>
  <si>
    <t>мат</t>
  </si>
  <si>
    <t>КП «КТЕ"</t>
  </si>
  <si>
    <t>В цілому по підприємству</t>
  </si>
  <si>
    <r>
      <t xml:space="preserve">Планові витрати </t>
    </r>
    <r>
      <rPr>
        <b/>
        <sz val="11"/>
        <color theme="1"/>
        <rFont val="Times New Roman"/>
        <family val="1"/>
        <charset val="204"/>
      </rPr>
      <t>на 2023-2024 роки</t>
    </r>
  </si>
  <si>
    <r>
      <t xml:space="preserve">Теплова енергія </t>
    </r>
    <r>
      <rPr>
        <b/>
        <sz val="9"/>
        <color theme="1"/>
        <rFont val="Times New Roman"/>
        <family val="1"/>
        <charset val="204"/>
      </rPr>
      <t>(прямі витрати)</t>
    </r>
  </si>
  <si>
    <r>
      <rPr>
        <b/>
        <sz val="9"/>
        <color theme="1"/>
        <rFont val="Times New Roman"/>
        <family val="1"/>
        <charset val="204"/>
      </rPr>
      <t>Прямі витрати</t>
    </r>
    <r>
      <rPr>
        <sz val="9"/>
        <color theme="1"/>
        <rFont val="Times New Roman"/>
        <family val="1"/>
        <charset val="204"/>
      </rPr>
      <t xml:space="preserve"> у відповідності до ПСБО №16</t>
    </r>
  </si>
  <si>
    <r>
      <rPr>
        <b/>
        <sz val="9"/>
        <color theme="1"/>
        <rFont val="Times New Roman"/>
        <family val="1"/>
        <charset val="204"/>
      </rPr>
      <t>*</t>
    </r>
    <r>
      <rPr>
        <sz val="9"/>
        <color theme="1"/>
        <rFont val="Times New Roman"/>
        <family val="1"/>
        <charset val="204"/>
      </rPr>
      <t xml:space="preserve">Інша діяльність 
</t>
    </r>
    <r>
      <rPr>
        <b/>
        <sz val="9"/>
        <color theme="1"/>
        <rFont val="Times New Roman"/>
        <family val="1"/>
        <charset val="204"/>
      </rPr>
      <t>(прямі витрати)</t>
    </r>
  </si>
  <si>
    <r>
      <t xml:space="preserve">Теплова енергія 
</t>
    </r>
    <r>
      <rPr>
        <b/>
        <sz val="9"/>
        <color theme="1"/>
        <rFont val="Times New Roman"/>
        <family val="1"/>
        <charset val="204"/>
      </rPr>
      <t>(прямі витрати)</t>
    </r>
  </si>
  <si>
    <t>Оплата праці</t>
  </si>
  <si>
    <t>постачання природного газу</t>
  </si>
  <si>
    <t>тестування засобів радіозв'язку</t>
  </si>
  <si>
    <t>оцінка майна</t>
  </si>
  <si>
    <t>оголошення в засоби масової інформації</t>
  </si>
  <si>
    <t>послуги нотаріуса</t>
  </si>
  <si>
    <t>судовий збір</t>
  </si>
  <si>
    <t>Придбання палива на технологічні потреби всього, у т.ч.:</t>
  </si>
  <si>
    <t>Придбання електроенергії на технологічні потреби</t>
  </si>
  <si>
    <t>Холодна вода для технологічних потреб та водовідведення</t>
  </si>
  <si>
    <t>Матеріальні витрати, у т.ч.</t>
  </si>
  <si>
    <t>відрядження</t>
  </si>
  <si>
    <t>амортизація інших нематеріальних активів загальногосподарського призначення призначення</t>
  </si>
  <si>
    <t>дератизація</t>
  </si>
  <si>
    <t>оренда дизельгенератора</t>
  </si>
  <si>
    <t>Амортизація інших необоротних матеріальних активів загальновиробничого призначення</t>
  </si>
  <si>
    <t>Амортизація інших нематеріальних активів загальновиробничого призначення</t>
  </si>
  <si>
    <t>2315+2316</t>
  </si>
  <si>
    <t>Тариф 2021</t>
  </si>
  <si>
    <t>План 2023</t>
  </si>
  <si>
    <t>Факт 2022 року</t>
  </si>
  <si>
    <t xml:space="preserve">Прямі витрати на  абонентське обслуговування КП "ЧТЕ" </t>
  </si>
  <si>
    <t>повірка приладів обліку</t>
  </si>
  <si>
    <t>Руслан САЇНЧУК ____________</t>
  </si>
  <si>
    <t xml:space="preserve">Додаток 12
</t>
  </si>
  <si>
    <t xml:space="preserve"> щодо переліку житлових та нежитлових приміщень, теплопостачання яких здійснює</t>
  </si>
  <si>
    <t>Опалювальний сезон 2022 - 2023</t>
  </si>
  <si>
    <t>ПРОСПЕКТ МИРУ 20</t>
  </si>
  <si>
    <t>на виробництво</t>
  </si>
  <si>
    <t xml:space="preserve"> на транспортування</t>
  </si>
  <si>
    <t>на постачання</t>
  </si>
  <si>
    <t>на АО</t>
  </si>
  <si>
    <t>на інші</t>
  </si>
  <si>
    <t>Витрати на ремонт основних засобів у повній собівартості КП "ЧТЕ"</t>
  </si>
  <si>
    <t>зокрема</t>
  </si>
  <si>
    <t>без витрат на оплату праці та єдиного внеску на загальнообовязкове соціальне страхування працівників</t>
  </si>
  <si>
    <t>витрати на оплату праці та єдиного внеску на загальнообовязкове соціальне страхування працівників</t>
  </si>
  <si>
    <t>абонобслуговування</t>
  </si>
  <si>
    <t>інша діяльність</t>
  </si>
  <si>
    <t>звв на виробництво</t>
  </si>
  <si>
    <t>адм на виробництво</t>
  </si>
  <si>
    <t>Виробництво разом, у т.ч.</t>
  </si>
  <si>
    <t>ЄСВ (грн.)</t>
  </si>
  <si>
    <t>Разом (грн.)</t>
  </si>
  <si>
    <t>Транспортування разом, у т.ч.</t>
  </si>
  <si>
    <t>звв на транспортування</t>
  </si>
  <si>
    <t>адм на транспортування</t>
  </si>
  <si>
    <t>Постачання разом, у т.ч.</t>
  </si>
  <si>
    <t>звв на постачання</t>
  </si>
  <si>
    <t>адм на постачання</t>
  </si>
  <si>
    <t>АО разом, у т.ч.</t>
  </si>
  <si>
    <t xml:space="preserve">Виробничий персонал задіяний у постачанні теплової енергії </t>
  </si>
  <si>
    <t>Виробничий персонал задіяний у транспортуванні теплової енергії мережами</t>
  </si>
  <si>
    <t>звв на АО</t>
  </si>
  <si>
    <t>адм на АО</t>
  </si>
  <si>
    <t>Інша діяльність разом, у т.ч.</t>
  </si>
  <si>
    <t>звв на іншу діяльність</t>
  </si>
  <si>
    <t>адм на іншу діяльність</t>
  </si>
  <si>
    <t>Всього по підприємству</t>
  </si>
  <si>
    <t>Фактичні витрати на оплату праці та єдиний соціальний внесок на загальнообовязкове
 державне соціальне страхування працівників КП "ЧТЕ"</t>
  </si>
  <si>
    <r>
      <t>Закупка по договору Нафтотрейдинг, тис.м</t>
    </r>
    <r>
      <rPr>
        <sz val="11"/>
        <color rgb="FFFF0000"/>
        <rFont val="Calibri"/>
        <family val="2"/>
        <charset val="204"/>
      </rPr>
      <t>³</t>
    </r>
  </si>
  <si>
    <t>Травень 2023р.</t>
  </si>
  <si>
    <t>Грудень 2022 р.</t>
  </si>
  <si>
    <t>Січень 2023 р.</t>
  </si>
  <si>
    <t>Лютий 2023 р.</t>
  </si>
  <si>
    <t>Березень 2023р.</t>
  </si>
  <si>
    <t>Квітень 2023р.</t>
  </si>
  <si>
    <t>Примітка: хозспосіб - тільки матеріальні витрати    Підрядник - всі витрати</t>
  </si>
  <si>
    <t>Тариф за розподіл природного газу, 
за 1000 м³</t>
  </si>
  <si>
    <t>Тариф за постачання природного газу, 
за 1000 м³</t>
  </si>
  <si>
    <t>Тариф за транспорту-вання природного газу, 
за 1000 м³</t>
  </si>
  <si>
    <t>Тариф за транспортування природного газу,
 за 1000 м³</t>
  </si>
  <si>
    <t>Тариф за транспортування природного газу, 
за 1000 м³</t>
  </si>
  <si>
    <t>устаткування, мережі, арматури на ділянці котельних</t>
  </si>
  <si>
    <t>магістральні мережі</t>
  </si>
  <si>
    <t>розподільчі мережі</t>
  </si>
  <si>
    <t>ЦТП:  устаткування, мережі, арматури</t>
  </si>
  <si>
    <t>_________________ 2023 року</t>
  </si>
  <si>
    <t>2023-2024 ПЛАН</t>
  </si>
  <si>
    <t>Вик. Злобар М.Л.</t>
  </si>
  <si>
    <t>Тариф послуги внаслідок перетікання реактивної електроенергії,  кВАр*год</t>
  </si>
  <si>
    <t>довідково:</t>
  </si>
  <si>
    <t>загальногосподарські</t>
  </si>
  <si>
    <t>Рік/вид діяльності</t>
  </si>
  <si>
    <t>-</t>
  </si>
  <si>
    <t xml:space="preserve">Додаток 13-А
</t>
  </si>
  <si>
    <t>ремонт авто</t>
  </si>
  <si>
    <t>Довідково за 2021 рік</t>
  </si>
  <si>
    <t>Довідково за 2022 рік</t>
  </si>
  <si>
    <t>Період. Пов</t>
  </si>
  <si>
    <t>Гаоаналізатор НОВА-2000</t>
  </si>
  <si>
    <t>Сигналізатор газів GS-500</t>
  </si>
  <si>
    <t>Газоаналізатор ДОЗОР</t>
  </si>
  <si>
    <t>1р. на 2р.</t>
  </si>
  <si>
    <t>Комплекс вимірювальний Флоутек</t>
  </si>
  <si>
    <t>Прилад МТМ-РЕ-160</t>
  </si>
  <si>
    <t>Сигналізатор Страж</t>
  </si>
  <si>
    <t>Манометр електроконтактний</t>
  </si>
  <si>
    <t>МанометриМТП,ОБМ</t>
  </si>
  <si>
    <t>Манометри ДМ05100</t>
  </si>
  <si>
    <t>Манометри ДН05100</t>
  </si>
  <si>
    <t>Лічильник ультразвуковий КУРС</t>
  </si>
  <si>
    <t>1р.на2р.</t>
  </si>
  <si>
    <t>Переносний газоаналізатор Дозор</t>
  </si>
  <si>
    <t>1р.нарік</t>
  </si>
  <si>
    <t>Претворювач тиску Метран-100ДД</t>
  </si>
  <si>
    <t>Перетворювач тиску Метран -100 ДИВ</t>
  </si>
  <si>
    <t>Датчики тиску WIKA</t>
  </si>
  <si>
    <t>Манометри МП-5</t>
  </si>
  <si>
    <t>ТСП з уніфіц. Сигналом</t>
  </si>
  <si>
    <t>Тепловодолічильник СВТУ-10М</t>
  </si>
  <si>
    <t>1р.на4р.</t>
  </si>
  <si>
    <t>ЗВТ</t>
  </si>
  <si>
    <t>Кільк. шт.</t>
  </si>
  <si>
    <t>Період. Пов.</t>
  </si>
  <si>
    <t>Вар.пов. 1шт.</t>
  </si>
  <si>
    <t>Сума пов.</t>
  </si>
  <si>
    <t>Тип</t>
  </si>
  <si>
    <t>УСЬОГО:</t>
  </si>
  <si>
    <t>продовження Додатку ______</t>
  </si>
  <si>
    <t>З В Т</t>
  </si>
  <si>
    <t>Кільк. Шт.</t>
  </si>
  <si>
    <t>Вар.пов. 1шт</t>
  </si>
  <si>
    <t>Лічильники ел. трифазніНІК2303АРП1</t>
  </si>
  <si>
    <t>1р. на 6р.</t>
  </si>
  <si>
    <t>Лічильники ел. трифазніНІК2303АRР3</t>
  </si>
  <si>
    <t>Трансформатори струму низковольтні</t>
  </si>
  <si>
    <t>Т-0,66 0,5 S 600/5А</t>
  </si>
  <si>
    <t>Т-0,66 0,5 S 100/5А</t>
  </si>
  <si>
    <t>1р.на 4р.</t>
  </si>
  <si>
    <t>Манометри до 60 МРА</t>
  </si>
  <si>
    <t>1р,на рік</t>
  </si>
  <si>
    <t>Факт 2022</t>
  </si>
  <si>
    <t>Вартість видання</t>
  </si>
  <si>
    <t>Вартість доставки</t>
  </si>
  <si>
    <t>Голос України (укр)</t>
  </si>
  <si>
    <t>Країна</t>
  </si>
  <si>
    <t>Вик. Золотарьова С.О.</t>
  </si>
  <si>
    <t>Юля</t>
  </si>
  <si>
    <t>Вадим</t>
  </si>
  <si>
    <t>дог 23/17-д-нд 07/06/2023</t>
  </si>
  <si>
    <r>
      <t xml:space="preserve">Фактичні витрати </t>
    </r>
    <r>
      <rPr>
        <b/>
        <u/>
        <sz val="11"/>
        <color theme="1"/>
        <rFont val="Times New Roman"/>
        <family val="1"/>
        <charset val="204"/>
      </rPr>
      <t>за 2021 рік</t>
    </r>
  </si>
  <si>
    <r>
      <t xml:space="preserve">Фактичні витрати </t>
    </r>
    <r>
      <rPr>
        <b/>
        <u/>
        <sz val="11"/>
        <color theme="1"/>
        <rFont val="Times New Roman"/>
        <family val="1"/>
        <charset val="204"/>
      </rPr>
      <t>за 2022 рік</t>
    </r>
  </si>
  <si>
    <t>ремонт (електроенергія)</t>
  </si>
  <si>
    <t>активна</t>
  </si>
  <si>
    <t>реактивна</t>
  </si>
  <si>
    <t>генерація</t>
  </si>
  <si>
    <t>активна розподіл</t>
  </si>
  <si>
    <t>Всього реактивна е/е по підприємству</t>
  </si>
  <si>
    <t>Всього реактивна генерація е/е по підприємству</t>
  </si>
  <si>
    <t>Норма питомих витрат електроенергії на постачання теплової енергії</t>
  </si>
  <si>
    <t>кВт·год /Гкал</t>
  </si>
  <si>
    <t>тис. кВт·год</t>
  </si>
  <si>
    <t>Споживання електроенергії (I клас напруги)</t>
  </si>
  <si>
    <t>Тариф без ПДВ (I клас напруги)</t>
  </si>
  <si>
    <t>коп/кВт·год</t>
  </si>
  <si>
    <t>Вартість електроенергії (I клас напруги)</t>
  </si>
  <si>
    <t>Споживання електроенергії (II клас напруги)</t>
  </si>
  <si>
    <t>Тариф без ПДВ (II клас напруги) постачання</t>
  </si>
  <si>
    <t>Вартість електроенергії (II клас напруги) постачання</t>
  </si>
  <si>
    <t>Тариф без ПДВ (II клас напруги) розподіл</t>
  </si>
  <si>
    <t>Вартість активноїелектроенергії (II клас напруги) розподіл</t>
  </si>
  <si>
    <t>тис. кВАр·год</t>
  </si>
  <si>
    <t>Тариф на споживання реактивної електроенергії без ПДВ</t>
  </si>
  <si>
    <t>Вартість споживання реактивної електроенергії</t>
  </si>
  <si>
    <t>Обсяг споживання генерації реактивної електроенергії (постачання</t>
  </si>
  <si>
    <t>Тариф на споживання генерації реактивної електроенергії без ПДВ</t>
  </si>
  <si>
    <t>Вартість споживання генерації реактивної електроенергії</t>
  </si>
  <si>
    <t>Всього реактивна електроенергія з генерацією (постачання)</t>
  </si>
  <si>
    <t>тис кВар</t>
  </si>
  <si>
    <t>Вартість споживання реактивної електроенергії з генерацією</t>
  </si>
  <si>
    <t>Тариф на споживання реактивної з генерацієюї електроенергії без ПДВ</t>
  </si>
  <si>
    <t>Вартість активної та реактивної електроенергії на вgjcnfxfyyz</t>
  </si>
  <si>
    <t>грн/кВАр·год</t>
  </si>
  <si>
    <t>грн/кВт·год</t>
  </si>
  <si>
    <t xml:space="preserve">Додаток 9
</t>
  </si>
  <si>
    <t>Обсяг споживання електроенергії (II клас напруги)</t>
  </si>
  <si>
    <t>Обсяг споживання генерації реактивної електроенергії</t>
  </si>
  <si>
    <t xml:space="preserve">Вартість активної та реактивної електроенергії </t>
  </si>
  <si>
    <t>кг</t>
  </si>
  <si>
    <t>Структура планових та фактичних витрат в розрізі статей, що входять до складу виробничої собівартості та адміністративних витрат</t>
  </si>
  <si>
    <t>Всего  по договорам</t>
  </si>
  <si>
    <t>Тендер,  товарознавець</t>
  </si>
  <si>
    <t>23-24</t>
  </si>
  <si>
    <t>Розрахунок у файлі "Охорона праці.xls"</t>
  </si>
  <si>
    <t>ВСУ</t>
  </si>
  <si>
    <t>Силко токар</t>
  </si>
  <si>
    <t>декрет</t>
  </si>
  <si>
    <t>дог червень 2023 270000грн з пдв за 30т</t>
  </si>
  <si>
    <t>договір червень 2023   27000 в т.ч. пдв  (30000 кг)</t>
  </si>
  <si>
    <t xml:space="preserve">тис.грн </t>
  </si>
  <si>
    <t>договір есл23-101-проект</t>
  </si>
  <si>
    <t>дог 018-000468/000вно 22/12/2022</t>
  </si>
  <si>
    <t>аудит охорони праці</t>
  </si>
  <si>
    <t>дог 51/06 01/07/2022</t>
  </si>
  <si>
    <t>если будем делать декларацию то обязательно страхование</t>
  </si>
  <si>
    <t>На воєний час ТО автотр юр осіб відмінено</t>
  </si>
  <si>
    <t>по факту</t>
  </si>
  <si>
    <t>Технічне освідоцтво кран-балки ручної ланцюгової, кран однобалковий ручний, таль ручна ланцюгова 2 шт.</t>
  </si>
  <si>
    <t>дог №08 01/06/2023</t>
  </si>
  <si>
    <t>дог №09 01/06/2023</t>
  </si>
  <si>
    <t>дог №07 01/06/2023</t>
  </si>
  <si>
    <t>дог№123 22/05/2023</t>
  </si>
  <si>
    <t>03/05/2023 дог 23/23</t>
  </si>
  <si>
    <t>03/05/2023 дог25/23</t>
  </si>
  <si>
    <t>27/04/2023 дог 22/23</t>
  </si>
  <si>
    <t>поточний ремонт газового обладнання Котельні Садова б.1</t>
  </si>
  <si>
    <t>поточний ремонт газового обладнання Котельні Малодолинське</t>
  </si>
  <si>
    <t>Обстеження димоходів Зелена</t>
  </si>
  <si>
    <t>дог 19/23 27/04/2023</t>
  </si>
  <si>
    <t>дог 18/23 27/04/2023</t>
  </si>
  <si>
    <t>27/04/2023 дог 17/23</t>
  </si>
  <si>
    <t>Довідково за 2023 рік</t>
  </si>
  <si>
    <t>довідково тариф 2022-2023</t>
  </si>
  <si>
    <r>
      <t xml:space="preserve">договір №91 від 11.04.2023 на </t>
    </r>
    <r>
      <rPr>
        <b/>
        <u/>
        <sz val="12"/>
        <color rgb="FFFF0000"/>
        <rFont val="Times New Roman"/>
        <family val="1"/>
        <charset val="204"/>
      </rPr>
      <t>302007,66</t>
    </r>
    <r>
      <rPr>
        <sz val="12"/>
        <color rgb="FFFF0000"/>
        <rFont val="Times New Roman"/>
        <family val="1"/>
        <charset val="204"/>
      </rPr>
      <t xml:space="preserve"> з ПДВ</t>
    </r>
  </si>
  <si>
    <t>дог 3003-11 17/03/2023</t>
  </si>
  <si>
    <t xml:space="preserve">Проведення налагодження та комплексного випробування котла ПТВМ-30М №1 </t>
  </si>
  <si>
    <t>дог 719ф 20/03/2023</t>
  </si>
  <si>
    <t>контр</t>
  </si>
  <si>
    <t>471-зп</t>
  </si>
  <si>
    <t>471-есв</t>
  </si>
  <si>
    <t>Виробничий персонал задіяний у абонентському обслуговуванню</t>
  </si>
  <si>
    <t>договір 18 17/03/2023</t>
  </si>
  <si>
    <t>дог 135-у/23/од 10/03/2023</t>
  </si>
  <si>
    <t>дог 64 10/03/2023</t>
  </si>
  <si>
    <t>дог 1/2 25/01/2023</t>
  </si>
  <si>
    <t>дог 230120 20/01/2023</t>
  </si>
  <si>
    <t>дог 03 16/01/2023</t>
  </si>
  <si>
    <t>дог 57 03/01/2023</t>
  </si>
  <si>
    <t>дог 95 18/04/2023</t>
  </si>
  <si>
    <t>дог 141 02/06/2023</t>
  </si>
  <si>
    <t>дог 125 24/05/2023</t>
  </si>
  <si>
    <t>то ремонт дог 1505/23-25 15/05/2023; дог 92 07/04/2023</t>
  </si>
  <si>
    <t>были договора</t>
  </si>
  <si>
    <t>План витрат на проведення технічного обслуговування та ремонту транспортних засобів</t>
  </si>
  <si>
    <t>Затверджую</t>
  </si>
  <si>
    <t xml:space="preserve">директор КП "ЧТЕ" </t>
  </si>
  <si>
    <t>______________Анатолій ПАНШИН</t>
  </si>
  <si>
    <t>Ріш. №270 від 29.10.2021</t>
  </si>
  <si>
    <t>тільки теплова енергія</t>
  </si>
  <si>
    <t>Кіль-кість</t>
  </si>
  <si>
    <t>Ціна за одиницю *</t>
  </si>
  <si>
    <t>(без ПДВ)</t>
  </si>
  <si>
    <t>Сума*</t>
  </si>
  <si>
    <t>SHARKY</t>
  </si>
  <si>
    <t>MULTICAL</t>
  </si>
  <si>
    <t>SONOMETR 2000</t>
  </si>
  <si>
    <t>Ultraheat-UH50</t>
  </si>
  <si>
    <t>Ultraheat-Т330/UH30</t>
  </si>
  <si>
    <t>Прилад МТМ РЕ-160</t>
  </si>
  <si>
    <t>Произв.</t>
  </si>
  <si>
    <t>Сигналізатор газа СТРАЖ</t>
  </si>
  <si>
    <t>Напоромери НМП, ТНМП</t>
  </si>
  <si>
    <t>Термометри опору</t>
  </si>
  <si>
    <t>ТСП з уніфіц.сігналом</t>
  </si>
  <si>
    <t>Датчики тиску ППС3-РН</t>
  </si>
  <si>
    <t>Датчики тиску РС-28</t>
  </si>
  <si>
    <t>Датчики тиску Метран -100</t>
  </si>
  <si>
    <t xml:space="preserve">Сигналізатор газів GS- 500, </t>
  </si>
  <si>
    <t xml:space="preserve">Газоаналізатор ЩІТ- 2. </t>
  </si>
  <si>
    <t>Діафрагми комерційні газові</t>
  </si>
  <si>
    <t>Діафрагми водяні</t>
  </si>
  <si>
    <t>Манометри МТП, ОБМ, МПУ</t>
  </si>
  <si>
    <t>150шт. тр-ка,146произв</t>
  </si>
  <si>
    <t>Прилад КСД-2-056</t>
  </si>
  <si>
    <t>датчик МЕД</t>
  </si>
  <si>
    <t>МанометрДМ05100</t>
  </si>
  <si>
    <t>Манометр ДН05100</t>
  </si>
  <si>
    <t>Проиизв.</t>
  </si>
  <si>
    <t>Манометры кислородные</t>
  </si>
  <si>
    <t>назарчук</t>
  </si>
  <si>
    <t>Манометры МП-5</t>
  </si>
  <si>
    <t>Термометр показуючий ТСМ-100 №72356</t>
  </si>
  <si>
    <t>Злобарь</t>
  </si>
  <si>
    <t>Термометр показуючий № 64985</t>
  </si>
  <si>
    <t>Манометр електроконтактний ЕКМ</t>
  </si>
  <si>
    <t>2 Злобарь,6 произв.</t>
  </si>
  <si>
    <t>Переносний газоанализатор ДОЗОР</t>
  </si>
  <si>
    <t>Назарчук, произв.</t>
  </si>
  <si>
    <t>Темометри наружного повітря</t>
  </si>
  <si>
    <t>Пірометр Німбус</t>
  </si>
  <si>
    <t>Кожевникова</t>
  </si>
  <si>
    <t>Лічильник електричної енергії НИК 2303</t>
  </si>
  <si>
    <r>
      <t xml:space="preserve"> Всього без ПДВ:                                                                                                                                </t>
    </r>
    <r>
      <rPr>
        <sz val="11"/>
        <color rgb="FF000000"/>
        <rFont val="Calibri"/>
        <family val="2"/>
        <charset val="204"/>
      </rPr>
      <t>251673,05</t>
    </r>
  </si>
  <si>
    <r>
      <t xml:space="preserve">ПДВ:                                                                                                                                                    </t>
    </r>
    <r>
      <rPr>
        <sz val="11"/>
        <color rgb="FF000000"/>
        <rFont val="Calibri"/>
        <family val="2"/>
        <charset val="204"/>
      </rPr>
      <t>50334,61</t>
    </r>
  </si>
  <si>
    <r>
      <t xml:space="preserve">Всього з ПДВ:                                                                                                                                   </t>
    </r>
    <r>
      <rPr>
        <sz val="11"/>
        <color rgb="FF000000"/>
        <rFont val="Calibri"/>
        <family val="2"/>
        <charset val="204"/>
      </rPr>
      <t>302007,66</t>
    </r>
  </si>
  <si>
    <t>пт</t>
  </si>
  <si>
    <t>дог 09/01/2023 дог №5</t>
  </si>
  <si>
    <t>повірка та юстування</t>
  </si>
  <si>
    <t>Діючий розмір</t>
  </si>
  <si>
    <t>плати</t>
  </si>
  <si>
    <t>Плата в місяць  за 1 абонента, без ПДВ</t>
  </si>
  <si>
    <t>Плата в місяць  за 1 абонента, з ПДВ</t>
  </si>
  <si>
    <t>Виробництво ТЕ</t>
  </si>
  <si>
    <t>Залишкова вартість о/з станом на 1.10.2023 року за даними податкового обліку, грн</t>
  </si>
  <si>
    <t>в тому числі, грн.</t>
  </si>
  <si>
    <t>Всього планова амортизація, грн.</t>
  </si>
  <si>
    <t>Залишкова вартість о/з станом на 1.10.2022 року, грн</t>
  </si>
  <si>
    <t>Транспортування ТЕ (тільки без ЦТП)</t>
  </si>
  <si>
    <t>Транспортування ТЕ (РАЗОМ)</t>
  </si>
  <si>
    <t>убрать</t>
  </si>
  <si>
    <t>Планований рік</t>
  </si>
  <si>
    <t xml:space="preserve">Жовтень </t>
  </si>
  <si>
    <t>Листопад моп</t>
  </si>
  <si>
    <t>Листопад оп</t>
  </si>
  <si>
    <t xml:space="preserve">Квітень </t>
  </si>
  <si>
    <t>Квітень</t>
  </si>
  <si>
    <t>Травень</t>
  </si>
  <si>
    <t>Червень</t>
  </si>
  <si>
    <t>Липень</t>
  </si>
  <si>
    <t>Серпень</t>
  </si>
  <si>
    <t>Вересень</t>
  </si>
  <si>
    <t>з файлу "расчет ее.xls"</t>
  </si>
  <si>
    <t>в т.ч. освітл. та робота оргтехніки</t>
  </si>
  <si>
    <t>Грн за 1 Гкал з ПДВ</t>
  </si>
  <si>
    <t>рішення  виконавчого комітету Чорноморської міської ради  від 27.01.2022 року   № 20</t>
  </si>
  <si>
    <t>5) розрахунки показників річного плану виробництва, транспортування та постачання теплової енергії та документи, що їх підтверджують та обґрунтовують, зокрема:</t>
  </si>
  <si>
    <t>пооб’єктний щомісячний розрахунок корисного відпуску теплової енергії власним споживачам та на господарські потреби суб’єкта господарювання у сфері теплопостачання на планований період у розрізі кожного джерела теплової енергії та категорій споживачів;</t>
  </si>
  <si>
    <t>реєстр приєднаного теплового навантаження власних споживачів згідно з укладеними договорами на постачання теплової енергії у розрізі категорій споживачів та об’єктів теплоспоживання суб’єкта господарювання;</t>
  </si>
  <si>
    <t>аналітична інформація щодо обсягів споживання теплової енергії споживачами, які мають лічильники, та щодо відповідності фактичної температури теплоносія за базовий період у подавальному і зворотному трубопроводах відповідним показникам затвердженого температурного графіка щодо кожного джерела теплової енергії;</t>
  </si>
  <si>
    <t>інформація щодо виконання суб’єктом господарювання перерахунків розміру плати за надання послуг із централізованого опалення та постачання гарячої води у попередніх періодах відповідно до Порядку проведення перерахунків розміру плати за надання послуг з централізованого опалення, постачання холодної та гарячої води і водовідведення в разі ненадання їх або надання не в повному обсязі, зниження якості, затвердженого постановою Кабінету Міністрів України від 17 лютого 2010 року № 151;</t>
  </si>
  <si>
    <t>6) щомісячний розрахунок технологічних втрат теплової енергії в теплових мережах на планований період у розрізі кожного джерела теплової енергії та документи, що підтверджують вихідні дані для розрахунку, зокрема:</t>
  </si>
  <si>
    <t>інформація щодо протяжності теплових мереж суб’єкта господарювання в розрізі джерел теплової енергії, способу прокладання, типу ізоляції, року введення в експлуатацію (проведення модернізації, реконструкції тощо);</t>
  </si>
  <si>
    <t>копія температурного графіка роботи тепломережі;</t>
  </si>
  <si>
    <t>інформація щодо фактичних витоків теплоносія з теплових мереж за останні три роки;</t>
  </si>
  <si>
    <t xml:space="preserve">Річний план виробництва, транспортування та постачання теплової енергії, надання послуг із постачання теплової енергії та постачання гарячої води </t>
  </si>
  <si>
    <t>копії паспортів котлів, насосного обладнання, вентиляторів, димососів, водопідготовчого обладнання, теплових мереж тощо</t>
  </si>
  <si>
    <t>копії експлуатаційної документації - ремонтні журнали котлів, копії режимних карт наладки котлів, водопідготовчого обладнання тощо</t>
  </si>
  <si>
    <t>копія плану організаційно-технічних заходів з економії паливно-енергетичних ресурсів, складеного відповідно до вимог пункту 7.10 глави 7 Основних положень з нормування питомих витрат паливно-енергетичних ресурсів у суспільному виробництві, затверджених наказом Державного комітету України з енергозбереження від 22 жовтня 2002 року № 112, зареєстрованих у Міністерстві юстиції України 07 листопада 2002 року за № 878/7166 (із змінами)</t>
  </si>
  <si>
    <t>інформація щодо фактичних витрат паливно-енергетичних ресурсів у розрізі кожного джерела теплової енергії, теплового пункту, насосної станції за базовий період і період, що передує базовому</t>
  </si>
  <si>
    <t>(стор. 1 - 1)</t>
  </si>
  <si>
    <t>(стор. 2 - 3)</t>
  </si>
  <si>
    <t>Інформаційна картка ліцензіата</t>
  </si>
  <si>
    <t>Узагальнений обсяг нормованих втрат та відпуску теплової енергії у власних мережах КП "ЧТЕ"</t>
  </si>
  <si>
    <t>Узагальнений обсяг нормованих втрат та відпуску теплової енергії у власних мережах КП "ЧТЕ", котельня №2 вул. Садова б.1</t>
  </si>
  <si>
    <t>Узагальнений обсяг нормованих втрат та відпуску теплової енергії у власних мережах КП "ЧТЕ", котельня  вул. Зелена</t>
  </si>
  <si>
    <t>Узагальнений обсяг нормативних втрат теплової енергії у власних мережах КП "ЧТЕ" на плановий період</t>
  </si>
  <si>
    <t>Розрахунок планових річних втрат теплової енергії при її транспортуванні</t>
  </si>
  <si>
    <t>4 екз</t>
  </si>
  <si>
    <t>Таблиця значень температур зовнішнього повітря та кількості днів опалювального періоду для річного плану КП "ЧТЕ"</t>
  </si>
  <si>
    <t>Узагальнений баланс теплової енергії КП "ЧТЕ" на плановий період</t>
  </si>
  <si>
    <t>Аналітична інформація щодо обсягів споживання теплової енергії споживачами за приладами обліку виробленою за базовий період  котельною вул. Зелена с. Малодолинське</t>
  </si>
  <si>
    <t>Порівняння планових і фактичних обсягів втрат теплової енергії в тепломережі КП "ЧТЕ" за попередній опалювальний період</t>
  </si>
  <si>
    <t>Порівняння планових і фактичних обсягів втрат теплової енергії в тепломережі КП "ЧТЕ" за попередній опалювальний період котельна вул Зелена</t>
  </si>
  <si>
    <t>Порівняння планових і фактичних обсягів втрат теплової енергії в тепломережі КП "ЧТЕ" за попередній опалювальний період котельна вул. Садова б.1</t>
  </si>
  <si>
    <t>Копія наказу "Про затверждення організаційно-технічних заходів з економії паливно-енергетичних ресурсів на 2023-2024"</t>
  </si>
  <si>
    <t>План організаційно-технічних заходів з економії паливно-енергетичних ресурсів на планований період</t>
  </si>
  <si>
    <t>звіт про постачання та використання енергії за 2022</t>
  </si>
  <si>
    <t>звіт про постачання та використання енергії за 2021</t>
  </si>
  <si>
    <t>звіт про використання води за 2022</t>
  </si>
  <si>
    <t>звіт про використання води за 2021</t>
  </si>
  <si>
    <t>Аналітична інформація щодо обсягів споживання теплової енергії споживачами за приладами обліку за базовий період</t>
  </si>
  <si>
    <t>Температурний графік до планованого періоду</t>
  </si>
  <si>
    <t>газ?</t>
  </si>
  <si>
    <t>форма № 1 «Баланс (Звіт про фінансовий стан)» (додаток 1 до Національного положення (стандарту) бухгалтерського обліку 1 «Загальні вимоги до фінансової звітності», затвердженого наказом Міністерства фінансів України від 07 лютого 2013 року № 73, зареєстрованого у Міністерстві юстиції України 28 лютого 2013 року за № 336/22868)</t>
  </si>
  <si>
    <t>форма № 2 «Звіт про фінансові результати (Звіт про сукупний дохід)» (додаток 1 до Національного положення (стандарту) бухгалтерського обліку 1 «Загальні вимоги до фінансової звітності», затвердженого наказом Міністерства фінансів України від 07 лютого 2013 року № 73, зареєстрованого у Міністерстві юстиції України 28 лютого 2013 року за № 336/22868);</t>
  </si>
  <si>
    <t>форма № 1-ПВ (квартальна) «Звіт із праці», затверджена наказом Державної служби статистики України від 10 червня 2016 року № 90;</t>
  </si>
  <si>
    <t>форма № 1-підприємництво (річна) «Структурне обстеження підприємства», затверджена наказом Державної служби статистики України від 26 липня 2018 року № 160;</t>
  </si>
  <si>
    <t>форма № 11-ОЗ (річна) «Звіт про наявність і рух основних засобів, амортизацію», затверджена наказом Державної служби статистики України від 24 жовтня 2013 року № 321 (зі змінами);</t>
  </si>
  <si>
    <t>форма № 11-МТП (річна) «Звіт про постачання та використання енергії», затверджена наказом Державної служби статистики України від 31 серпня 2016 року № 162;</t>
  </si>
  <si>
    <t>форма № 4-МТП (річна) «Звіт про використання та запаси палива», затверджена наказом Державної служби статистики України від 31 серпня 2016 року № 162;</t>
  </si>
  <si>
    <t>форма № 2ТП-водгосп (річна) «Звіт про використання води», затверджена наказом Міністерства екології та природних ресурсів України від 16 березня 2015 року № 78, зареєстрованим у Міністерстві юстиції України 03 квітня 2015 року за № 382/26827;</t>
  </si>
  <si>
    <t>форма № 2-інвестиції (річна) «Звіт про капітальні інвестиції, вибуття й амортизацію активів», затверджена наказом Державної служби статистики України від 21 липня 2017 року № 195;</t>
  </si>
  <si>
    <t>звіт про витрати на виробництво та фінансові показники діяльності підприємств за формою № 1С-теплопостачання, затвердженою наказом Держжитлокомунгоспу України від 16 грудня 2004 року № 224 «Про затвердження звітності за формами 1С (звіт про витрати на виробництво послуг)»;</t>
  </si>
  <si>
    <t>Податкова декларація з податку на прибуток підприємства, форма якої затверджена наказом Міністерства фінансів України від 20 жовтня 2015 року № 897, зареєстрованим у Міністерстві юстиції України 11 листопада 2015 року за № 1415/27860 (із змінами);</t>
  </si>
  <si>
    <t>Податкова декларація з плати за землю (земельний податок та/або орендна плата за земельні ділянки державної або комунальної власності), форма якої затверджена наказом Міністерства фінансів України від 16 червня 2015 року № 560, зареєстрованим у Міністерстві юстиції України 03 липня 2015 року за № 783/27228 (із змінами);</t>
  </si>
  <si>
    <t>Податкова декларація екологічного податку, форма якої затверджена наказом Міністерства фінансів України від 17 серпня 2015 року № 715, зареєстрованим у Міністерстві юстиції України 03 вересня 2015 року за № 1052/27497 (із змінами);</t>
  </si>
  <si>
    <t>додаток 5 «Розрахунок з рентної плати за спеціальне використання води» до Податкової декларації з рентної плати, форма якої затверджена наказом Міністерства фінансів України від 17 серпня 2015 року № 719, зареєстрованим у Міністерстві юстиції України 03 вересня 2015 року за № 1051/27496 (із змінами).</t>
  </si>
  <si>
    <t>Кошторис 8-ПВР</t>
  </si>
  <si>
    <t>Кошторис 8</t>
  </si>
  <si>
    <t>договір 22/22 19/12/22</t>
  </si>
  <si>
    <t>факт 2022</t>
  </si>
  <si>
    <t>база розподілу витрат з/без ЦТП (корисний відпуск)</t>
  </si>
  <si>
    <t>база розподілу спільних витрат на з/без ЦТП (корисний відпуск)</t>
  </si>
  <si>
    <t>Порівняння  діючих та планових тарифів:</t>
  </si>
  <si>
    <t>Рівень тарифів</t>
  </si>
  <si>
    <t>діючий</t>
  </si>
  <si>
    <t>встановлений</t>
  </si>
  <si>
    <t>плановий</t>
  </si>
  <si>
    <t>план-діючий</t>
  </si>
  <si>
    <t>Порівняння тарифів на послуги з постачання теплової енергії КП "ЧТЕ" в одноставковому еквіваленті</t>
  </si>
  <si>
    <t>зростання на</t>
  </si>
  <si>
    <t>Структура планованих витрат на  плату за абонентське обслуговування по Комунальному підприємству "Чорноморськтеплоенерго" Чорноморської міської ради Одеського району Одеської області 
станом на 01.07.2021 року.</t>
  </si>
  <si>
    <t>Виконавець: Світлана ЗОЛОТАРЬОВА</t>
  </si>
  <si>
    <t xml:space="preserve">населення </t>
  </si>
  <si>
    <t>2021-2022 (населення 2020)</t>
  </si>
  <si>
    <t>(в планових тарифах ціни на постачання природного газу враховані на рівні опалювального періоду 2022-2023)</t>
  </si>
  <si>
    <t>4-18-20</t>
  </si>
  <si>
    <t>Послуги експлуатації об'єкта (розподільні газаві мережі вул Зелена 2-б</t>
  </si>
  <si>
    <t>дог 251-Т(23) АТ "Одесагаз" (Лена Кривенко -копия договора мне должна)</t>
  </si>
  <si>
    <t>КП "Чорноморськтеплоенерго" м.Чорноморськ Одеської області</t>
  </si>
  <si>
    <t xml:space="preserve">Вид тарифу </t>
  </si>
  <si>
    <t xml:space="preserve">Од. вим. </t>
  </si>
  <si>
    <t>Населення*</t>
  </si>
  <si>
    <t>Бюджет**</t>
  </si>
  <si>
    <t>Інші**</t>
  </si>
  <si>
    <t>Релігія**</t>
  </si>
  <si>
    <t>в т.ч.</t>
  </si>
  <si>
    <t>Поточний ремонт</t>
  </si>
  <si>
    <t>Одноставковий без ЦТП</t>
  </si>
  <si>
    <t xml:space="preserve">   - виробництво</t>
  </si>
  <si>
    <t xml:space="preserve">   -транспортування</t>
  </si>
  <si>
    <t xml:space="preserve">   - постачання</t>
  </si>
  <si>
    <t>Одноставковий з ЦТП</t>
  </si>
  <si>
    <t>Одноставковий з ІТП</t>
  </si>
  <si>
    <t>Двоставковий без ЦТП</t>
  </si>
  <si>
    <t xml:space="preserve">   - умовно-постійна частина</t>
  </si>
  <si>
    <t>грн/Гкал-год в місяць</t>
  </si>
  <si>
    <t xml:space="preserve">   - умовно- змінна частина</t>
  </si>
  <si>
    <t>Двоставковий з ЦТП</t>
  </si>
  <si>
    <t>Діючі тарифи (станом 01.08.2023)</t>
  </si>
  <si>
    <t>Планові економічно обгрунтовані тарифи (з ПДВ) 2023-2024</t>
  </si>
  <si>
    <t>Інформація щодо тарифів Комунального підрприємства Вінницької міської ради "Вінницяміськтеплоенерго", м. Вінниця</t>
  </si>
  <si>
    <t xml:space="preserve">Одноставковий без ЦТП, з ІТП, без САТ </t>
  </si>
  <si>
    <t xml:space="preserve">Одноставковий  САТ вул. Стрілецька,1 </t>
  </si>
  <si>
    <t>Одноставковий  САТ вул. Стрілецька, 16а</t>
  </si>
  <si>
    <t>Одноставковий  САТ вул. Ватутіна (Л.Лук'яненка),  9а</t>
  </si>
  <si>
    <t>Одноставковий  САТ вул. Антонова, 27</t>
  </si>
  <si>
    <t>Двоставковий  без ЦТП, без ІТП, без САТ</t>
  </si>
  <si>
    <t>Двоставковий  з ЦТП, без ІТП, без САТ</t>
  </si>
  <si>
    <t>Двоставковий  без ЦТП, з ІТП, без САТ</t>
  </si>
  <si>
    <t xml:space="preserve">Двоставковий   САТ вул. Стрілецька,1 </t>
  </si>
  <si>
    <t>Двоставковий   САТ вул. Стрілецька, 16а</t>
  </si>
  <si>
    <t>Двоставковий   САТ вул. Ватутіна (Л.Лук'яненка),  9а</t>
  </si>
  <si>
    <t>Двоставковий   САТ вул. Антонова, 27</t>
  </si>
  <si>
    <t>КП "Вінницяоблтеплоенерго", м.Вінниця</t>
  </si>
  <si>
    <t xml:space="preserve"> -</t>
  </si>
  <si>
    <t xml:space="preserve">Двоставковий </t>
  </si>
  <si>
    <t>ТОВ "ЕНЕРГОПРОЕКТ-2", м.Київ</t>
  </si>
  <si>
    <t>КП “ЖОКВАТЕПЛОЕНЕРГО”,  м.Жовква Львівська оласть</t>
  </si>
  <si>
    <t>Комунальне підприємство "Жовтоводськтепломережа" Жовтоводської міської ради, місто Жовті Води Камя'нського району Дніпропетровської області</t>
  </si>
  <si>
    <t>КП "Міськтепловоденергія" м. Кам’янець -Подільський, Хмельницька обл.</t>
  </si>
  <si>
    <t>Одноставковий без ЦТП  без ПДВ</t>
  </si>
  <si>
    <t>Одноставковий з ЦТП без ПДВ</t>
  </si>
  <si>
    <t>Одноставковий з ІТП  без ПДВ</t>
  </si>
  <si>
    <t>на опрацюванні</t>
  </si>
  <si>
    <t>Населення - відомче житло</t>
  </si>
  <si>
    <t>Канівське комунальне підприємство теплових мереж       м.Канів. вул.Енергетиків, 36</t>
  </si>
  <si>
    <t>-виробництво</t>
  </si>
  <si>
    <t>-транспортування</t>
  </si>
  <si>
    <t>-постачання</t>
  </si>
  <si>
    <t>Двоставковий</t>
  </si>
  <si>
    <t>-умовно-постійна частина</t>
  </si>
  <si>
    <t>-умовно-змінна частина</t>
  </si>
  <si>
    <t>ОКВПТГ "Лубнитеплоенерго", м. Лубни, Полтавської області</t>
  </si>
  <si>
    <t>ДКП "ЛУЦЬКТЕПЛО"</t>
  </si>
  <si>
    <t>Двоставковий з ІТП</t>
  </si>
  <si>
    <t>Комунальне Підприємство "Теплопостачання міста Одеси"</t>
  </si>
  <si>
    <t>Подільськ</t>
  </si>
  <si>
    <t>ТОВ "Рівнетеплоенерго" м.Рівне</t>
  </si>
  <si>
    <t>На даний час підприємство проводить розрахунок тарифу на опалювальний період 2023-2024 років</t>
  </si>
  <si>
    <t>Уманське комунальне підприємство "Уманьтеплокомуненерго" м. Умань, вул.Тищика, 12 А</t>
  </si>
  <si>
    <t>МКП "Херсонтеплоенерго", Україна, 73003, Херсонська область, м. Херсон, Острівське шосе, буд. 1</t>
  </si>
  <si>
    <t>АКЦІОНЕРНЕ ТОВАРИСТВО "ОБЛТЕПЛОКОМУНЕНЕРГО"  по м.Чернігів</t>
  </si>
  <si>
    <t>Одноставковий без ЦТП (з ПДВ)</t>
  </si>
  <si>
    <t xml:space="preserve">   - виробництво (без ПДВ)</t>
  </si>
  <si>
    <t xml:space="preserve">   -транспортування (без ПДВ)</t>
  </si>
  <si>
    <t xml:space="preserve">   - постачання (без ПДВ)</t>
  </si>
  <si>
    <t>Одноставковий з ЦТП (з ПДВ)</t>
  </si>
  <si>
    <t>Одноставковий з ІТП (з ПДВ)</t>
  </si>
  <si>
    <t>КОМУНАЛЬНЕ ПІДПРИЄМСТВО ТЕПЛОВИХ МЕРЕЖ "ЮЖТЕПЛОКОМУНЕНЕРГО", м.Южне, Одеська обл.</t>
  </si>
  <si>
    <t>Розрахунок тарифів призупинено через відсутність договору на постачання природного газу на опалювальний період 2023/2024 рр.</t>
  </si>
  <si>
    <t>Економічно обгрунтований тариф 2022/2023</t>
  </si>
  <si>
    <t>Концерн "Міські теплові мережі" м. Запоріжжя</t>
  </si>
  <si>
    <t>Двоставковий  з ЦТП</t>
  </si>
  <si>
    <t>КП «Теплоенерго», м. Кременчук</t>
  </si>
  <si>
    <r>
      <t>КП "Харківські теплові мережі"</t>
    </r>
    <r>
      <rPr>
        <b/>
        <u/>
        <sz val="12"/>
        <color theme="1"/>
        <rFont val="Times New Roman"/>
        <family val="1"/>
        <charset val="204"/>
      </rPr>
      <t xml:space="preserve"> м. Харків</t>
    </r>
  </si>
  <si>
    <r>
      <t xml:space="preserve">КП "Харківські теплові мережі" </t>
    </r>
    <r>
      <rPr>
        <b/>
        <u/>
        <sz val="12"/>
        <color theme="1"/>
        <rFont val="Times New Roman"/>
        <family val="1"/>
        <charset val="204"/>
      </rPr>
      <t>смт Пісочин</t>
    </r>
  </si>
  <si>
    <r>
      <t xml:space="preserve">КП "Харківські теплові мережі" </t>
    </r>
    <r>
      <rPr>
        <b/>
        <u/>
        <sz val="12"/>
        <color theme="1"/>
        <rFont val="Times New Roman"/>
        <family val="1"/>
        <charset val="204"/>
      </rPr>
      <t>смт Солоницівка</t>
    </r>
  </si>
  <si>
    <t>Виробництво:</t>
  </si>
  <si>
    <t>Прямі матеріальні витрати</t>
  </si>
  <si>
    <t xml:space="preserve">електроенергія на технологічні потреби </t>
  </si>
  <si>
    <t xml:space="preserve">електроенергія </t>
  </si>
  <si>
    <r>
      <rPr>
        <b/>
        <sz val="10"/>
        <color theme="1"/>
        <rFont val="Times New Roman"/>
        <family val="1"/>
        <charset val="204"/>
      </rPr>
      <t>плата за абонентське обслуговування</t>
    </r>
    <r>
      <rPr>
        <sz val="10"/>
        <color theme="1"/>
        <rFont val="Times New Roman"/>
        <family val="1"/>
        <charset val="204"/>
      </rPr>
      <t xml:space="preserve"> (з урахуванням податку на додану вартість), визначена відповідно до планованих витрат виконавця (витрат, пов'язаних з укладенням договору про надання комунальної послуги, із здійсненням розподілу обсягу спожитих послуг між споживачами, нарахуванням та стягненням плати за спожиті комунальні послуги, обслуговуванням та заміною вузлів комерційного обліку води і теплової енергії (у разі їх наявності у будівлі споживача), а також за виконання інших функцій, пов'язаних з обслуговуванням виконавцем абонентів за індивідуальними договорами (крім обслуговування та поточного ремонту внутрішньобудинкових систем теплопостачання, водопостачання, водовідведення та постачання гарячої води), не повинна перевищувати граничного розміру плати за абонентське обслуговування, визначеного відповідно до цієї постанови.</t>
    </r>
  </si>
  <si>
    <t>Основна зарплата</t>
  </si>
  <si>
    <t>Додаткова зарплата</t>
  </si>
  <si>
    <t>Інші заохочувальні та компенсаційні виплати</t>
  </si>
  <si>
    <t>Оплата праці виробничого персоналу</t>
  </si>
  <si>
    <t xml:space="preserve">211. Планування витрат на придбання природного газу для виробництва теплової енергії з метою включення їх до тарифів здійснюється виходячи із:
планованих обсягів природного газу, необхідних для провадження ліцензованої діяльності та визначених виходячи з вимог цього Порядку;
середньої ціни природного газу, що склалася у ліцензіата протягом опалювального періоду, що передує планованому періоду (без урахування тарифів на послуги з транспортування та розподілу природного газу), або ціни природного газу, визначеної в довгостроковому контракті з постачальником природного газу (за наявності укладеного контракту).
Середня ціна природного газу визначається як середнє арифметичне значення, розраховане виходячи із ціни природного газу у відповідному місяці та кількості календарних місяців в опалювальному періоді, що передує планованому періоду.
Якщо ліцензіат не провадив раніше господарської діяльності з виробництва теплової енергії, планування витрат на придбання природного газу для виробництва теплової енергії з метою включення їх до тарифів здійснюється таким ліцензіатом виходячи із:
планованих обсягів природного газу, необхідних для провадження ліцензованої діяльності та визначених виходячи з вимог цього Порядку;
діючої ціни природного газу постачальника, з яким укладено договір постачання природного газу, або ціни природного газу, визначеної в довгостроковому контракті з постачальником природного газу (за наявності укладеного контракту).
У разі дії Положення про покладення спеціальних обов'язків на суб'єктів ринку природного газу для забезпечення загальносуспільних інтересів у процесі функціонування ринку природного газу щодо особливостей постачання природного газу виробникам теплової енергії та бюджетним установам планування витрат на придбання природного газу для виробництва теплової енергії для цілей формування тарифів здійснюється ліцензіатом згідно з умовами зазначеного Положення.
</t>
  </si>
  <si>
    <t xml:space="preserve">Планування витрат на придбання електричної енергії для технологічних потреб з метою включення їх до тарифів здійснюється виходячи із:
планованих обсягів електричної енергії, необхідних для провадження ліцензованої діяльності та визначених виходячи з вимог цього Порядку;
середньої ціни електричної енергії, що склалася у ліцензіата за шість календарних місяців, що передують місяцю подання розрахунків тарифів на планований період.
Середня ціна електричної енергії визначається як середнє арифметичне значення, розраховане виходячи із ціни електричної енергії, що діяла у кожному з шести календарних місяців, що передують місяцю подання розрахунків тарифів на планований період.
Якщо ліцензіат не провадив раніше господарської діяльності з виробництва, транспортування та постачання теплової енергії, планування витрат на придбання електричної енергії для технологічних потреб з метою включення їх до тарифів здійснюється таким ліцензіатом виходячи із:
планованих обсягів електричної енергії, необхідних для провадження ліцензованої діяльності та визначених виходячи з вимог цього Порядку;
діючої ціни електричної енергії постачальника, з яким укладено договір постачання електричної енергії.
</t>
  </si>
  <si>
    <t>природний газ - постачання</t>
  </si>
  <si>
    <t>природний газ -розподіл</t>
  </si>
  <si>
    <t>природний газ - транспортування</t>
  </si>
  <si>
    <t>на оплату послуги з транспортування природного газу, що визначаються згідно з тарифами, встановленими НКРЕКП</t>
  </si>
  <si>
    <t>на оплату послуги з розподілу природного газу, що визначаються ліцензіатом виходячи з величини річної замовленої потужності об'єкта (об'єктів) ліцензіата та тарифу на послугу з розподілу природного газу, встановленого НКРЕКП</t>
  </si>
  <si>
    <t>технологічна вода та водовідведення</t>
  </si>
  <si>
    <t>на холодну воду для технологічних потреб (підживлення та наповнення мереж, гідравлічні випробування теплових мереж і обладнання, промивання теплових мереж і систем, охолодження агрегатів, регенерація фільтрів тощо) та водовідведення (плануються ліцензіатом відповідно до укладених договорів виходячи з планованих обсягів, визначених згідно з державними і галузевими нормативами (нормами). Витрати на холодну воду для технологічних потреб та водовідведення визначаються відповідно до діючих цін (тарифів), установлених НКРЕКП або уповноваженим органом відповідно до вимог законодавства, або прогнозованих цін (тарифів)</t>
  </si>
  <si>
    <t>інші прямі матеріальні витрати, пов'язані з використанням сировини, основних і допоміжних матеріалів, запасних частин, купованих комплектувальних виробів, напівфабрикатів та інших матеріальних ресурсів, необхідних для забезпечення основного технологічного процесу, які можуть бути безпосередньо віднесені до конкретного об'єкта витрат (відповідного виду ліцензованої діяльності). Обсяг таких витрат визначається згідно з нормами використання відповідних ресурсів з урахуванням фактичних витрат за попередні періоди, цін (тарифів) на них у планованому періоді, за винятком вартості зворотних відходів</t>
  </si>
  <si>
    <t>Вода та водовідведення</t>
  </si>
  <si>
    <t xml:space="preserve">2) прямі витрати на оплату праці (заробітна плата та інші виплати для працівників (персоналу), що безпосередньо залучені (задіяні) до технологічного процесу виробництва, транспортування та постачання теплової енергії) відповідно до Закону України "Про оплату праці":
основна заробітна плата відповідно до встановлених норм праці (норм часу, виробітку, обслуговування), тарифних ставок (окладів), відрядних розцінок для робітників та посадових окладів для керівників, фахівців, технічних службовців;
додаткова заробітна плата за працю понад установлені норми, трудові досягнення, особливі умови праці у вигляді доплат і надбавок (за роботу у важких та шкідливих умовах, надурочний час, святкові, неробочі та вихідні дні, нічний час, класність, керівництво бригадами, інші виплати, встановлені законодавством), премій за виконання виробничих завдань і функцій та компенсаційних виплат (за невідпрацьований час, включаючи основні та додаткові відпустки, виконання державних і громадських обов'язків, інші виплати, встановлені законодавством);
інші заохочувальні та компенсаційні виплати (винагороди за підсумками роботи за рік, вислугу років у галузі, інші виплати, встановлені законодавством).
Планування витрат на оплату праці для включення до тарифів здійснюється в установленому порядку із забезпеченням мінімальної заробітної плати та інших гарантій з оплати праці, передбачених законодавством, з урахуванням положень генеральної, галузевої (міжгалузевої), територіальної угод, якщо ліцензіат перебуває у сфері дії сторін таких угод, та колективного договору ліцензіата.
Якщо рівень середньомісячної номінальної заробітної плати в розрахунку на одного штатного працівника адміністративно-територіальної одиниці (Автономна Республіка Крим, області, мм. Київ та Севастополь) або одного штатного працівника, зайнятого у промисловості адміністративно-територіальної одиниці, на території якої провадиться діяльність ліцензіата, перевищує розмір, розрахований в установленому порядку із забезпеченням мінімальної заробітної плати та інших гарантій з оплати праці, передбачених законодавством, з урахуванням положень генеральної, галузевої (міжгалузевої), територіальної угод, якщо ліцензіат перебуває у сфері дії сторін таких угод, колективного договору ліцензіата, допускається планування витрат на оплату праці для включення до тарифів із забезпеченням рівня середньомісячної номінальної заробітної плати в розрахунку на одного штатного працівника адміністративно-територіальної одиниці (Автономна Республіка Крим, області, мм. Київ та Севастополь) або одного штатного працівника, зайнятого у промисловості адміністративно-територіальної одиниці, на території якої провадиться діяльність ліцензіата, з урахуванням розміру фіксованої індексації витрат на оплату праці на планований період;
</t>
  </si>
  <si>
    <t>єдиний внесок на загальнообов'язкове державне соціальне страхування працівників</t>
  </si>
  <si>
    <t>амортизація основних засобів, інших необоротних матеріальних і нематеріальних активів виробничого призначення, безпосередньо задіяних у процесі  транспортування теплової енергії, розрахунок якої проводиться відповідно до вимог Податкового кодексу України</t>
  </si>
  <si>
    <t>амортизація основних засобів, інших необоротних матеріальних і нематеріальних активів виробничого призначення, безпосередньо задіяних у процесі виробництва теплової енергії, розрахунок якої проводиться відповідно до вимог Податкового кодексу України</t>
  </si>
  <si>
    <t>амортизація основних засобів, інших необоротних матеріальних і нематеріальних активів</t>
  </si>
  <si>
    <t>амортизація основних засобів, інших необоротних матеріальних і нематеріальних активів виробничого призначення, безпосередньо задіяних у процесі постачання теплової енергії, розрахунок якої проводиться відповідно до вимог Податкового кодексу України</t>
  </si>
  <si>
    <t>амортизація основних засобів, інших необоротних матеріальних і нематеріальних активів виробничого призначення, безпосередньо задіяних у процесі абонентського обслуговування, розрахунок якої проводиться відповідно до вимог Податкового кодексу України</t>
  </si>
  <si>
    <t xml:space="preserve">витрати на обслуговування засобів вимірювальної техніки </t>
  </si>
  <si>
    <t>витрати на обслуговування засобів вимірювальної техніки (огляд, опломбування/розпломбування, періодичну повірку та ремонт, у тому числі демонтаж, транспортування та монтаж), які є власністю ліцензіата та/або перебувають у нього в користуванні (крім вузлів комерційного та розподільного обліку води і теплової енергії) і використовуються у технологічному процесі транспортування теплової енергії</t>
  </si>
  <si>
    <t>витрати на обслуговування засобів вимірювальної техніки (огляд, опломбування/розпломбування, періодичну повірку та ремонт, у тому числі демонтаж, транспортування та монтаж), які є власністю ліцензіата та/або перебувають у нього в користуванні (крім вузлів комерційного та розподільного обліку води і теплової енергії) і використовуються у технологічному процесі постачання теплової енергії</t>
  </si>
  <si>
    <t>витрати на ремонт основних засобів</t>
  </si>
  <si>
    <t>витрати на ремонт основних засобів, безпосередньо задіяних у процесі виробництва теплової енергії, що плануються з урахуванням проектно-кошторисної документації, кошторисів та витрат на виконання планово-попереджувальних робіт</t>
  </si>
  <si>
    <t>витрати на ремонт основних засобів, безпосередньо задіяних у процесі  транспортування теплової енергії, що плануються з урахуванням проектно-кошторисної документації, кошторисів та витрат на виконання планово-попереджувальних робіт</t>
  </si>
  <si>
    <t>витрати на ремонт основних засобів, безпосередньо задіяних у процесі постачання теплової енергії, що плануються з урахуванням проектно-кошторисної документації, кошторисів та витрат на виконання планово-попереджувальних робіт</t>
  </si>
  <si>
    <t>Інші прямі витрати</t>
  </si>
  <si>
    <r>
      <t xml:space="preserve">витрати на обслуговування засобів вимірювальної техніки (огляд, опломбування/розпломбування, періодичну повірку та ремонт, у тому числі демонтаж, транспортування та монтаж), які є власністю ліцензіата та/або перебувають у нього в користуванні (крім вузлів </t>
    </r>
    <r>
      <rPr>
        <b/>
        <sz val="12"/>
        <color theme="1"/>
        <rFont val="Times New Roman"/>
        <family val="1"/>
        <charset val="204"/>
      </rPr>
      <t>комерційного</t>
    </r>
    <r>
      <rPr>
        <sz val="12"/>
        <color theme="1"/>
        <rFont val="Times New Roman"/>
        <family val="1"/>
        <charset val="204"/>
      </rPr>
      <t xml:space="preserve"> та </t>
    </r>
    <r>
      <rPr>
        <b/>
        <sz val="12"/>
        <color theme="1"/>
        <rFont val="Times New Roman"/>
        <family val="1"/>
        <charset val="204"/>
      </rPr>
      <t>розподільного</t>
    </r>
    <r>
      <rPr>
        <sz val="12"/>
        <color theme="1"/>
        <rFont val="Times New Roman"/>
        <family val="1"/>
        <charset val="204"/>
      </rPr>
      <t xml:space="preserve"> обліку води і теплової енергії) і використовуються у технологічному процесі виробництва теплової енергії</t>
    </r>
  </si>
  <si>
    <t>Змінні загальновиробничі та постійні розподілені загальновиробничі витрати</t>
  </si>
  <si>
    <t>на удосконалення технології та організацію виробництва</t>
  </si>
  <si>
    <t>на обслуговування виробничого процесу (витрати на оплату праці, розраховані відповідно до цього пункту, єдиний внесок на загальнообов'язкове державне соціальне страхування, оплата службових відряджень виробничого персоналу, крім апарату управління цехів, витрати на здійснення технологічного контролю за виробничими процесами та якістю послуг);</t>
  </si>
  <si>
    <t>на охорону праці, дотримання вимог техніки безпеки і охорону навколишнього природного середовища</t>
  </si>
  <si>
    <t>на пожежну і сторожову охорону об'єктів загальновиробничого призначення, утримання санітарних зон</t>
  </si>
  <si>
    <t>пов'язані із забезпеченням належного стану обладнання, виконанням ремонтно-налагоджувальних робіт, передбачених проектно-технічною документацією, освоєнням нових потужностей, що використовуються для виробництва, транспортування та постачання теплової енергії</t>
  </si>
  <si>
    <t>пов'язані із сплатою податків, зборів та інших передбачених законодавством обов'язкових платежів</t>
  </si>
  <si>
    <t>інші загальновиробничі витрати</t>
  </si>
  <si>
    <t xml:space="preserve">Змінні загальновиробничі та постійні розподілені загальновиробничі витрати розподіляються між видами діяльності та у розрізі територіальних громад, у межах яких ліцензіат провадить (має намір провадити) відповідний вид ліцензованої діяльності, пропорційно сумі прямих витрат (крім витрат на покриття втрат теплової енергії в теплових мережах (у тому числі понаднормативних втрат), передбачених пунктом 39 цього Порядку) та витрат на збут.
Обсяг витрат, що включаються до виробничої собівартості, визначається із застосуванням нормативного методу на підставі результатів аналізу витрат за попередні роки з урахуванням змін, які передбачаються у планованому періоді, та цін (тарифів) у такому періоді.
У разі провадження суб'єктом господарювання інших, крім ліцензованих видів діяльності, змінні загальновиробничі та постійні розподілені загальновиробничі витрати розподіляються між усіма видами діяльності з визначенням витрат, які в цілому будуть віднесені до ліцензованої діяльності, та витрат, які будуть віднесені до інших видів господарської діяльності. База розподілу визначається суб'єктом господарювання відповідно до положення (стандарту) бухгалтерського обліку, затвердженого Мінфіном.
Змінні загальновиробничі та постійні розподілені загальновиробничі витрати, які можуть бути безпосередньо віднесені до ліцензованої діяльності, яку ліцензіат провадить (має намір провадити) для окремої територіальної громади, включаються до тарифів для окремої територіальної громади.
Змінні загальновиробничі та постійні розподілені загальновиробничі витрати, які можуть бути безпосередньо віднесені до ліцензованої діяльності, яку ліцензіат провадить (має намір провадити) за допомогою окремої автономної системи опалення, включаються до тарифів, розрахованих для окремої автономної системи опалення.
Змінні загальновиробничі та постійні розподілені загальновиробничі витрати, які не можуть бути безпосередньо віднесені до ліцензованої діяльності, яку ліцензіат провадить (має намір провадити) для окремої територіальної громади, розподіляються між видами ліцензованої діяльності та у розрізі територіальних громад, у межах яких ліцензіат провадить (має намір провадити) відповідний вид ліцензованої діяльності, пропорційно сумі прямих витрат ліцензованої діяльності (крім витрат на покриття втрат теплової енергії в теплових мережах (у тому числі понаднормативних втрат), передбачених пунктом 39 цього Порядку).
</t>
  </si>
  <si>
    <t>оплата праці, розрахована згідно з вимогами цього пункту, та єдиний внесок на загальнообов'язкове державне соціальне страхування, оплата службових відряджень апарату управління цехами, дільницями тощо</t>
  </si>
  <si>
    <t>на управління виробництвом</t>
  </si>
  <si>
    <t>амортизація основних засобів, інших необоротних матеріальних і нематеріальних активів загальновиробничого призначення</t>
  </si>
  <si>
    <t xml:space="preserve"> розрахована відповідно до вимог Податкового кодексу України;</t>
  </si>
  <si>
    <r>
      <t xml:space="preserve">на утримання, експлуатацію, ремонт, страхування, операційну оренду основних засобів та інших необоротних активів </t>
    </r>
    <r>
      <rPr>
        <b/>
        <sz val="12"/>
        <color theme="1"/>
        <rFont val="Times New Roman"/>
        <family val="1"/>
        <charset val="204"/>
      </rPr>
      <t>загальновиробничого призначення</t>
    </r>
  </si>
  <si>
    <r>
      <t xml:space="preserve">на централізоване водопостачання, централізоване водовідведення, освітлення, дезінфекцію, дератизацію, вивезення побутових відходів та інші заходи, пов'язані з утриманням </t>
    </r>
    <r>
      <rPr>
        <b/>
        <sz val="12"/>
        <color theme="1"/>
        <rFont val="Times New Roman"/>
        <family val="1"/>
        <charset val="204"/>
      </rPr>
      <t>загальновиробничих приміщень</t>
    </r>
  </si>
  <si>
    <t>Службові відрядження</t>
  </si>
  <si>
    <t>лена кривенко</t>
  </si>
  <si>
    <t>лабораторні вимірювання показників якості води (26 показників)</t>
  </si>
  <si>
    <t>№ договору, дата</t>
  </si>
  <si>
    <t>31-В, 19/12/2022</t>
  </si>
  <si>
    <t>примітка</t>
  </si>
  <si>
    <t>Правила приймання стічних вод підприємств у систему водовідведення м.Чорноморська , рішення виконкому №173 від 28/05/2015</t>
  </si>
  <si>
    <t>165, 29/06/2023</t>
  </si>
  <si>
    <t>метеорологічні послуги</t>
  </si>
  <si>
    <t>22/22, 19/12/2022</t>
  </si>
  <si>
    <t>Лист Страхування</t>
  </si>
  <si>
    <t>лист ВОДА</t>
  </si>
  <si>
    <t>Назва підприємства:</t>
  </si>
  <si>
    <t>спільні</t>
  </si>
  <si>
    <t>ам</t>
  </si>
  <si>
    <t>% росту план 2023-2024 в порівнянні з фактом 2022</t>
  </si>
  <si>
    <t>лист ПММ</t>
  </si>
  <si>
    <t>оп</t>
  </si>
  <si>
    <t>єсв</t>
  </si>
  <si>
    <t xml:space="preserve">амортизація інших необоротних матеріальних активів </t>
  </si>
  <si>
    <t xml:space="preserve">амортизація  основних засобів </t>
  </si>
  <si>
    <t>лист ФОП</t>
  </si>
  <si>
    <t>технічне освідоцтво кран-балки ручної ланцюгової, кран однобалковий ручний, таль ручна ланцюгова 2 шт.</t>
  </si>
  <si>
    <t>лист ТО</t>
  </si>
  <si>
    <t>калібровка резервуара</t>
  </si>
  <si>
    <t>технічне освідоцтво трубопроводів IV категорії</t>
  </si>
  <si>
    <t>випробування, освідоствування, фарбування кисневих балонів</t>
  </si>
  <si>
    <t>випробування образивних кругів</t>
  </si>
  <si>
    <t>Загальновиробничі витрати, які  безпосередньо віднесені до видів діяльності</t>
  </si>
  <si>
    <t>Виробнича собівартість всього, без урахування витрат на покриття втрат теплової енергії в теплових мережах, всього</t>
  </si>
  <si>
    <t xml:space="preserve">Загальновиробничі витрати всього, розподілені між видами діяльності (ліцензованими та не ліцензованими), у тому числі </t>
  </si>
  <si>
    <t>Загальновиробничі витрати, які не  віднесені безпосередньо до видів діяльності, розподілені між видами діяльності (ліцензованими та не ліцензованими) по прямим витратам на оплату праці</t>
  </si>
  <si>
    <t>Загальновиробничі витрати, які не  віднесені безпосередньо до видів діяльності, розподілені між ліцензованими видами діяльності по прямим витратам</t>
  </si>
  <si>
    <t>Виробнича собівартість теплової енергії, без урахування витрат на покриття втрат теплової енергії в теплових мережах, всього</t>
  </si>
  <si>
    <t>Виробнича собівартість теплової енергії, без урахування витрат на покриття втрат теплової енергії в теплових мережах</t>
  </si>
  <si>
    <t>Адміністративні витрати всього, розподілені між видами діяльності (ліцензованими та не ліцензованими) по прямим витратам на опату праці</t>
  </si>
  <si>
    <t>розрахунково касове обслуговування</t>
  </si>
  <si>
    <t>лист РКО</t>
  </si>
  <si>
    <t>ЦТП, обсл ЦТП</t>
  </si>
  <si>
    <t>Мірошниченко Н інжен</t>
  </si>
  <si>
    <t>станом 19.09.23</t>
  </si>
  <si>
    <t>VII</t>
  </si>
  <si>
    <t>рентна плата за користування радіочастотним ресурсом </t>
  </si>
  <si>
    <t>земельний податок</t>
  </si>
  <si>
    <t>ОМС</t>
  </si>
  <si>
    <t>лист амортизація</t>
  </si>
  <si>
    <t>Виробничий персонал задіяний у транспор-туванні  теплової енергії тільки без ЦТП</t>
  </si>
  <si>
    <t>отримання дозволу</t>
  </si>
  <si>
    <t>лист ТК ТЗ</t>
  </si>
  <si>
    <t>на період воєнного стану нема</t>
  </si>
  <si>
    <t>технічне освідоцтво автокрана</t>
  </si>
  <si>
    <t>технічне освідоцтво котла КВГМ-50/2</t>
  </si>
  <si>
    <t>технічне освідоцтво котла КВГМ-50/1</t>
  </si>
  <si>
    <t>технічне освідоцтво котла ПТВМ-30/1</t>
  </si>
  <si>
    <t>технічне освідоцтво котла ПТВМ-30/2</t>
  </si>
  <si>
    <t>технічне обслуговування автотранспорту й механізмів</t>
  </si>
  <si>
    <t>обстеження  та перевірка техстану димарних каналів та повітряпроводів (Садова, 1)</t>
  </si>
  <si>
    <t>обстеження  та перевірка техстану димарних каналів та повітряпроводів, (Зелена)</t>
  </si>
  <si>
    <t>технічне і сервісне обслуговування 2-х КВО газу Садова 1</t>
  </si>
  <si>
    <t>технічне і сервісне обслуговування КВО газу Зелена 2-б</t>
  </si>
  <si>
    <t>послуги з реєстрації показів лічильників (обстеження комерційного ВОГ Зелена, 2-б)</t>
  </si>
  <si>
    <t>послуги з реєстрації показів лічильників (обстеження комерційного ВОГСадова, 1)</t>
  </si>
  <si>
    <t>періодична метрологічна повірка приладу обліку газу (Зелена 2б)</t>
  </si>
  <si>
    <t>періодична метрологічна повірка  приладу обліку газу (Садова 1)</t>
  </si>
  <si>
    <t>технічне обслуговування вузла технологічного обліку (Зелена, 2-б)</t>
  </si>
  <si>
    <t>технічне обслуговування вузла технологічного обліку ТЕ (Садова 2)</t>
  </si>
  <si>
    <t>технічне обслуговування газорізальної аппаратури</t>
  </si>
  <si>
    <t>ремонт, діагностика, калібрування та метрологічна повірка багатопараметричного перетворювача ПМ-3В зав №359 (Садова 1)</t>
  </si>
  <si>
    <t>технічне обслуговування зварювального аппарату №W00355005355</t>
  </si>
  <si>
    <t>експертне обстеження трансформаторних підстанцій без виконання електровимірювань</t>
  </si>
  <si>
    <t>технічне обслуговування вогнегасників</t>
  </si>
  <si>
    <t>послуга на зняття відключаючих засувок ГРУ з електроприводом, 2 од, та встановлення відключаючихз засувок ГРУ з електроприводом після ремонту газової котельні (Садова 1)</t>
  </si>
  <si>
    <t>послуги з ремонту і технічного обслуговування турбинки</t>
  </si>
  <si>
    <t>послуги з ремонту і технічного обслуговування газонокосарки</t>
  </si>
  <si>
    <t>випробування резервуарів</t>
  </si>
  <si>
    <t>лист Періодичні видання</t>
  </si>
  <si>
    <t>Земельний податок</t>
  </si>
  <si>
    <t>Вартість пtредплати</t>
  </si>
  <si>
    <t xml:space="preserve">М.П.  </t>
  </si>
  <si>
    <t xml:space="preserve"> (підпис)    </t>
  </si>
  <si>
    <t>радіочастоти </t>
  </si>
  <si>
    <t>ВОТ "Computer Logik Group" Будстандарт</t>
  </si>
  <si>
    <t>ВОТ "Computer Logik Group"Кошторис 8-ПВР</t>
  </si>
  <si>
    <t>ВОТ "Computer Logik Group" Кошторис 8</t>
  </si>
  <si>
    <t>Консультаційні послуги Агенство "Консалт"</t>
  </si>
  <si>
    <t>Послуги у сфері інформатизації (БУХГАЛ) Расторгуєв Е. О., ФОП</t>
  </si>
  <si>
    <t>технічне обслуговування котельні Зелена, 2-б</t>
  </si>
  <si>
    <t>налагодження та комплексне випробування котла</t>
  </si>
  <si>
    <t>налагодження та комплексне випробування котлаПТВМ-30/1</t>
  </si>
  <si>
    <t>послуги експлуатації об'єкта (розподільні газові мережі вул Зелена 2-б)</t>
  </si>
  <si>
    <t>Рахунок за серпень 2023</t>
  </si>
  <si>
    <t>теплова енергія 2023-2024</t>
  </si>
  <si>
    <t>Відпуск в мережі з розп господ</t>
  </si>
  <si>
    <r>
      <t>з ЦТП</t>
    </r>
    <r>
      <rPr>
        <b/>
        <sz val="8"/>
        <rFont val="Times New Roman"/>
        <family val="1"/>
        <charset val="204"/>
      </rPr>
      <t xml:space="preserve"> (витрати на ЦТП + частина спільних витрат)</t>
    </r>
  </si>
  <si>
    <r>
      <t>без ЦТП</t>
    </r>
    <r>
      <rPr>
        <b/>
        <sz val="8"/>
        <rFont val="Times New Roman"/>
        <family val="1"/>
        <charset val="204"/>
      </rPr>
      <t xml:space="preserve"> (витрати без ЦТП та частина спільних витрат)</t>
    </r>
  </si>
  <si>
    <t xml:space="preserve">(ініціали, прізвище) </t>
  </si>
  <si>
    <t>річні планові доходи 1 ст</t>
  </si>
  <si>
    <t>станом на 01.09.2023 року</t>
  </si>
  <si>
    <t>ФОП Щербина Ю.Ю.</t>
  </si>
  <si>
    <t>Флайдок</t>
  </si>
  <si>
    <t>ФОП Щербина Ю.Ю. Флайдок</t>
  </si>
  <si>
    <t xml:space="preserve">Структура планованих тарифів на теплову енергію КП "ЧТЕ" на 2023-2024 роки. </t>
  </si>
  <si>
    <t>Тариф :                                  без ЦТП</t>
  </si>
  <si>
    <t xml:space="preserve">                                                    з ЦТП</t>
  </si>
  <si>
    <t>умовно-постійна частина (прибуток)</t>
  </si>
  <si>
    <t>Прожитковий мінімум на 2024 рік</t>
  </si>
  <si>
    <t>Прибуток, %</t>
  </si>
  <si>
    <t>план 2023-2024</t>
  </si>
  <si>
    <t>Начальник управління економічного
розвитку та торгівлі</t>
  </si>
  <si>
    <t>Наталія ГЄНЧЕВА</t>
  </si>
  <si>
    <t>Паливо</t>
  </si>
  <si>
    <t>транспортування газу</t>
  </si>
  <si>
    <t>розподіл газу</t>
  </si>
  <si>
    <t>поставка газу</t>
  </si>
  <si>
    <t>поставка газуна 1Гкал</t>
  </si>
  <si>
    <t>транспортування газу на 1 Гкал</t>
  </si>
  <si>
    <t>розподіл газу на 1 Гкал/г</t>
  </si>
  <si>
    <t>Паливо на одиницю</t>
  </si>
  <si>
    <t>Для потреб населення*</t>
  </si>
  <si>
    <t>Для потреб інших споживачів**</t>
  </si>
  <si>
    <t>2-х ст тариф
2023-2024</t>
  </si>
  <si>
    <t>Тарифи на транспортування без  урахування витрат на утримання та ремонт центральних теплових пунктів</t>
  </si>
  <si>
    <t>дивіденди (розмір частки прибутку, яка підлягає зарахуванню до  бюджету)</t>
  </si>
  <si>
    <r>
      <rPr>
        <b/>
        <sz val="11"/>
        <color theme="1"/>
        <rFont val="Times New Roman"/>
        <family val="1"/>
        <charset val="204"/>
      </rPr>
      <t>Виробництво теплової енергії,</t>
    </r>
    <r>
      <rPr>
        <sz val="11"/>
        <color theme="1"/>
        <rFont val="Times New Roman"/>
        <family val="1"/>
        <charset val="204"/>
      </rPr>
      <t xml:space="preserve">  умовно-змінна частина  двоставкового тарифу</t>
    </r>
  </si>
  <si>
    <r>
      <rPr>
        <b/>
        <sz val="11"/>
        <color theme="1"/>
        <rFont val="Times New Roman"/>
        <family val="1"/>
        <charset val="204"/>
      </rPr>
      <t>Виробництво теплової енергії,</t>
    </r>
    <r>
      <rPr>
        <sz val="11"/>
        <color theme="1"/>
        <rFont val="Times New Roman"/>
        <family val="1"/>
        <charset val="204"/>
      </rPr>
      <t xml:space="preserve">  умовно-постійна частина двоставкового тарифу</t>
    </r>
  </si>
  <si>
    <r>
      <rPr>
        <b/>
        <sz val="11"/>
        <color theme="1"/>
        <rFont val="Times New Roman"/>
        <family val="1"/>
        <charset val="204"/>
      </rPr>
      <t>Транспортування теплової енергії з урахуванням витрат на обслуговування та ремонт центральних теплових пунктів,</t>
    </r>
    <r>
      <rPr>
        <sz val="11"/>
        <color theme="1"/>
        <rFont val="Times New Roman"/>
        <family val="1"/>
        <charset val="204"/>
      </rPr>
      <t xml:space="preserve">  умовно-змінна частина  двоставкового тарифу</t>
    </r>
  </si>
  <si>
    <r>
      <rPr>
        <b/>
        <sz val="11"/>
        <color theme="1"/>
        <rFont val="Times New Roman"/>
        <family val="1"/>
        <charset val="204"/>
      </rPr>
      <t>Транспортування теплової енергії з урахуванням витрат на обслуговування та ремонт центральних теплових пунктів,</t>
    </r>
    <r>
      <rPr>
        <sz val="11"/>
        <color theme="1"/>
        <rFont val="Times New Roman"/>
        <family val="1"/>
        <charset val="204"/>
      </rPr>
      <t xml:space="preserve">  умовно-постійна частина  двоставкового тарифу</t>
    </r>
  </si>
  <si>
    <r>
      <t>Постачання теплової енергії,</t>
    </r>
    <r>
      <rPr>
        <sz val="11"/>
        <color rgb="FF000000"/>
        <rFont val="Times New Roman"/>
        <family val="1"/>
        <charset val="204"/>
      </rPr>
      <t xml:space="preserve">  умовно-постійна частина  двоставкового тарифу</t>
    </r>
  </si>
  <si>
    <t>прийняті в жовтні, ще не вступили в дію</t>
  </si>
  <si>
    <t>Одноставковий з ЦТП, в т.ч.</t>
  </si>
  <si>
    <t>транспортування з ЦТП</t>
  </si>
  <si>
    <t>Одноставковий без ЦТП, в т.ч.</t>
  </si>
  <si>
    <t>транспортування без ЦТП</t>
  </si>
  <si>
    <t>Двоставковий з ЦТП, в т.ч.</t>
  </si>
  <si>
    <t>Двоставковий без ЦТП, в т.ч.</t>
  </si>
  <si>
    <t>Тарифи на теплову енергію, послуги з постачання теплової енергії споживачам, грн/Гкал:</t>
  </si>
  <si>
    <t>Середньовзважені</t>
  </si>
  <si>
    <t>(з податком на додану вартість)</t>
  </si>
  <si>
    <t>ВАРТІСТЬ</t>
  </si>
  <si>
    <t>% прибутку</t>
  </si>
  <si>
    <t>с/сть</t>
  </si>
  <si>
    <t>приб</t>
  </si>
  <si>
    <t>всего</t>
  </si>
  <si>
    <t>річні планові доходи 2 ст</t>
  </si>
  <si>
    <t>БЕЗ ЦТП</t>
  </si>
  <si>
    <r>
      <t xml:space="preserve">Одноставкові тарифи та їх структура на теплову енергію, її виробництво, транспортування та постачання 
</t>
    </r>
    <r>
      <rPr>
        <b/>
        <u/>
        <sz val="11"/>
        <color theme="1"/>
        <rFont val="Times New Roman"/>
        <family val="1"/>
        <charset val="204"/>
      </rPr>
      <t xml:space="preserve">з урахуванням витрат на утримання та ремонт центральних теплових пунктів </t>
    </r>
    <r>
      <rPr>
        <b/>
        <sz val="11"/>
        <color theme="1"/>
        <rFont val="Times New Roman"/>
        <family val="1"/>
        <charset val="204"/>
      </rPr>
      <t xml:space="preserve">Комунального підприємства"Чорноморськтеплоенерго" Чорноморської міської ради Одеського району Одеської області </t>
    </r>
  </si>
  <si>
    <r>
      <t xml:space="preserve">Одноставкові тарифи та їх структура на теплову енергію, її виробництво, транспортування та постачання </t>
    </r>
    <r>
      <rPr>
        <b/>
        <u/>
        <sz val="11"/>
        <color theme="1"/>
        <rFont val="Times New Roman"/>
        <family val="1"/>
        <charset val="204"/>
      </rPr>
      <t xml:space="preserve"> без урахування витрат на утримання та ремонт центральних теплових пунктів </t>
    </r>
    <r>
      <rPr>
        <b/>
        <sz val="11"/>
        <color theme="1"/>
        <rFont val="Times New Roman"/>
        <family val="1"/>
        <charset val="204"/>
      </rPr>
      <t>Комунального підприємства"Чорноморськтеплоенерго" Чорноморської міської ради Одеського району Одеської області</t>
    </r>
  </si>
  <si>
    <t>Двоставкові тарифи та їх структура</t>
  </si>
  <si>
    <r>
      <t xml:space="preserve">на </t>
    </r>
    <r>
      <rPr>
        <b/>
        <u/>
        <sz val="12"/>
        <color rgb="FF333333"/>
        <rFont val="Times New Roman"/>
        <family val="1"/>
        <charset val="204"/>
      </rPr>
      <t>теплову енергію, її виробництво, транспортування  та постачання з урахуванням витрат на обслуговування та ремонт центральних теплових пунктів</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t>
    </r>
  </si>
  <si>
    <r>
      <t xml:space="preserve">на </t>
    </r>
    <r>
      <rPr>
        <b/>
        <u/>
        <sz val="12"/>
        <color rgb="FF333333"/>
        <rFont val="Times New Roman"/>
        <family val="1"/>
        <charset val="204"/>
      </rPr>
      <t xml:space="preserve">теплову енергію, її виробництво, транспортування та постачання </t>
    </r>
    <r>
      <rPr>
        <sz val="12"/>
        <color rgb="FF333333"/>
        <rFont val="Times New Roman"/>
        <family val="1"/>
        <charset val="204"/>
      </rPr>
      <t xml:space="preserve"> </t>
    </r>
    <r>
      <rPr>
        <b/>
        <u/>
        <sz val="12"/>
        <color rgb="FF333333"/>
        <rFont val="Times New Roman"/>
        <family val="1"/>
        <charset val="204"/>
      </rPr>
      <t xml:space="preserve">без урахування витрат на обслуговування та ремонт центральних теплових пунктів </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</si>
  <si>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t>ДВОСТАВКОВІ ТАРИФИ</t>
  </si>
  <si>
    <r>
      <t xml:space="preserve"> на </t>
    </r>
    <r>
      <rPr>
        <b/>
        <u/>
        <sz val="12"/>
        <color rgb="FF333333"/>
        <rFont val="Times New Roman"/>
        <family val="1"/>
        <charset val="204"/>
      </rPr>
      <t>послуги з постачання теплової енергії</t>
    </r>
    <r>
      <rPr>
        <sz val="12"/>
        <color rgb="FF333333"/>
        <rFont val="Times New Roman"/>
        <family val="1"/>
        <charset val="204"/>
      </rPr>
      <t xml:space="preserve"> </t>
    </r>
    <r>
      <rPr>
        <b/>
        <sz val="12"/>
        <color rgb="FF333333"/>
        <rFont val="Times New Roman"/>
        <family val="1"/>
        <charset val="204"/>
      </rPr>
      <t xml:space="preserve">
для комунального підприємства «Чорноморськтеплоенерго» Чорноморської міської ради Одеського району Одеської області </t>
    </r>
  </si>
  <si>
    <t xml:space="preserve">Додаток 7                                          до рішення виконавчого комітету Чорноморської міської ради    
                                                            від ___________ №__ ____ 
</t>
  </si>
  <si>
    <t>Примітка: *- на рівні тарифів, що застосовувалися до споживачів станом на 24.02.2022 
                   ** - з урахуванням п.3 цього рішення</t>
  </si>
  <si>
    <t xml:space="preserve">ДВОСТАВКОВІ ТАРИФИ </t>
  </si>
  <si>
    <r>
      <t xml:space="preserve">на </t>
    </r>
    <r>
      <rPr>
        <b/>
        <u/>
        <sz val="12"/>
        <color rgb="FF333333"/>
        <rFont val="Times New Roman"/>
        <family val="1"/>
        <charset val="204"/>
      </rPr>
      <t xml:space="preserve">послуги з постачання теплової енергії, що застосовуються </t>
    </r>
    <r>
      <rPr>
        <sz val="12"/>
        <color rgb="FF333333"/>
        <rFont val="Times New Roman"/>
        <family val="1"/>
        <charset val="204"/>
      </rPr>
      <t xml:space="preserve"> </t>
    </r>
    <r>
      <rPr>
        <b/>
        <sz val="12"/>
        <color rgb="FF333333"/>
        <rFont val="Times New Roman"/>
        <family val="1"/>
        <charset val="204"/>
      </rPr>
      <t xml:space="preserve">комунальним підприємством «Чорноморськтеплоенерго» Чорноморської міської ради Одеського району Одеської області </t>
    </r>
  </si>
</sst>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8">
    <numFmt numFmtId="164" formatCode="_-* #,##0.00\ _₽_-;\-* #,##0.00\ _₽_-;_-* &quot;-&quot;??\ _₽_-;_-@_-"/>
    <numFmt numFmtId="165" formatCode="_-* #,##0.00_₴_-;\-* #,##0.00_₴_-;_-* &quot;-&quot;??_₴_-;_-@_-"/>
    <numFmt numFmtId="166" formatCode="_-* #,##0.00&quot;р.&quot;_-;\-* #,##0.00&quot;р.&quot;_-;_-* &quot;-&quot;??&quot;р.&quot;_-;_-@_-"/>
    <numFmt numFmtId="167" formatCode="_-* #,##0.00_р_._-;\-* #,##0.00_р_._-;_-* &quot;-&quot;??_р_._-;_-@_-"/>
    <numFmt numFmtId="168" formatCode="_-* #,##0.00\ _г_р_н_._-;\-* #,##0.00\ _г_р_н_._-;_-* &quot;-&quot;??\ _г_р_н_._-;_-@_-"/>
    <numFmt numFmtId="169" formatCode="_(* #,##0.00_);_(* \(#,##0.00\);_(* &quot;-&quot;??_);_(@_)"/>
    <numFmt numFmtId="170" formatCode="0.0"/>
    <numFmt numFmtId="171" formatCode="_-* #,##0\ _к_._-;\-* #,##0\ _к_._-;_-* &quot;-&quot;\ _к_._-;_-@_-"/>
    <numFmt numFmtId="172" formatCode="_-* #,##0.0\ _г_р_н_._-;\-* #,##0.0\ _г_р_н_._-;_-* &quot;-&quot;??\ _г_р_н_._-;_-@_-"/>
    <numFmt numFmtId="173" formatCode="_-* #,##0\ _р_._-;\-* #,##0\ _р_._-;_-* &quot;-&quot;\ _р_._-;_-@_-"/>
    <numFmt numFmtId="174" formatCode="_-* #,##0.00\ _р_._-;\-* #,##0.00\ _р_._-;_-* &quot;-&quot;??\ _р_._-;_-@_-"/>
    <numFmt numFmtId="175" formatCode="0.0000"/>
    <numFmt numFmtId="176" formatCode="0.0%"/>
    <numFmt numFmtId="177" formatCode="0.000"/>
    <numFmt numFmtId="178" formatCode="0.0000000"/>
    <numFmt numFmtId="179" formatCode="0.00000"/>
    <numFmt numFmtId="180" formatCode="#,##0.000"/>
    <numFmt numFmtId="181" formatCode="0.000000"/>
    <numFmt numFmtId="182" formatCode="0.000000000"/>
    <numFmt numFmtId="183" formatCode="#,##0.000000"/>
    <numFmt numFmtId="184" formatCode="0.0000%"/>
    <numFmt numFmtId="185" formatCode="[$-419]General"/>
    <numFmt numFmtId="186" formatCode="#,##0.00&quot; &quot;[$руб.-419];[Red]&quot;-&quot;#,##0.00&quot; &quot;[$руб.-419]"/>
    <numFmt numFmtId="187" formatCode="#,##0.000000000"/>
    <numFmt numFmtId="188" formatCode="0.000%"/>
    <numFmt numFmtId="189" formatCode="#,##0.000_ ;\-#,##0.000\ "/>
    <numFmt numFmtId="190" formatCode="#,##0.0000_ ;\-#,##0.0000\ "/>
    <numFmt numFmtId="191" formatCode="#,##0.00_ ;\-#,##0.00\ "/>
    <numFmt numFmtId="192" formatCode="#,##0.0000"/>
    <numFmt numFmtId="193" formatCode="0.00000%"/>
    <numFmt numFmtId="194" formatCode="#,##0.0"/>
    <numFmt numFmtId="195" formatCode="0.00000000"/>
    <numFmt numFmtId="196" formatCode="0.0000000%"/>
    <numFmt numFmtId="197" formatCode="#,##0.00000"/>
    <numFmt numFmtId="198" formatCode="#,##0.0000000"/>
    <numFmt numFmtId="199" formatCode="0.0000000000"/>
    <numFmt numFmtId="200" formatCode="#,##0.0_ ;\-#,##0.0\ "/>
    <numFmt numFmtId="201" formatCode="0E+00"/>
  </numFmts>
  <fonts count="372" x14ac:knownFonts="1">
    <font>
      <sz val="11"/>
      <color theme="1"/>
      <name val="Calibri"/>
      <family val="2"/>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sz val="11"/>
      <color theme="1"/>
      <name val="Calibri"/>
      <family val="2"/>
      <charset val="204"/>
      <scheme val="minor"/>
    </font>
    <font>
      <b/>
      <sz val="11"/>
      <color theme="1"/>
      <name val="Calibri"/>
      <family val="2"/>
      <charset val="204"/>
      <scheme val="minor"/>
    </font>
    <font>
      <sz val="10"/>
      <name val="Arial Cyr"/>
      <charset val="204"/>
    </font>
    <font>
      <b/>
      <sz val="9"/>
      <color indexed="81"/>
      <name val="Tahoma"/>
      <family val="2"/>
      <charset val="204"/>
    </font>
    <font>
      <sz val="10"/>
      <name val="Arial"/>
      <family val="2"/>
      <charset val="204"/>
    </font>
    <font>
      <sz val="10"/>
      <name val="Arial Cyr"/>
    </font>
    <font>
      <sz val="9"/>
      <color theme="1"/>
      <name val="Times New Roman"/>
      <family val="1"/>
      <charset val="204"/>
    </font>
    <font>
      <sz val="8"/>
      <color theme="1"/>
      <name val="Times New Roman"/>
      <family val="1"/>
      <charset val="204"/>
    </font>
    <font>
      <sz val="10"/>
      <color theme="1"/>
      <name val="Times New Roman"/>
      <family val="1"/>
      <charset val="204"/>
    </font>
    <font>
      <sz val="11"/>
      <color theme="1"/>
      <name val="Times New Roman"/>
      <family val="1"/>
      <charset val="204"/>
    </font>
    <font>
      <sz val="12"/>
      <color theme="1"/>
      <name val="Times New Roman"/>
      <family val="1"/>
      <charset val="204"/>
    </font>
    <font>
      <b/>
      <sz val="8"/>
      <color theme="1"/>
      <name val="Times New Roman"/>
      <family val="1"/>
      <charset val="204"/>
    </font>
    <font>
      <b/>
      <sz val="9"/>
      <color theme="1"/>
      <name val="Times New Roman"/>
      <family val="1"/>
      <charset val="204"/>
    </font>
    <font>
      <b/>
      <sz val="10"/>
      <color theme="1"/>
      <name val="Times New Roman"/>
      <family val="1"/>
      <charset val="204"/>
    </font>
    <font>
      <sz val="7"/>
      <color theme="1"/>
      <name val="Times New Roman"/>
      <family val="1"/>
      <charset val="204"/>
    </font>
    <font>
      <b/>
      <sz val="7"/>
      <color theme="1"/>
      <name val="Times New Roman"/>
      <family val="1"/>
      <charset val="204"/>
    </font>
    <font>
      <sz val="10"/>
      <color rgb="FF000000"/>
      <name val="Times New Roman"/>
      <family val="1"/>
      <charset val="204"/>
    </font>
    <font>
      <sz val="10"/>
      <name val="Times New Roman"/>
      <family val="1"/>
      <charset val="204"/>
    </font>
    <font>
      <b/>
      <sz val="11"/>
      <color theme="1"/>
      <name val="Times New Roman"/>
      <family val="1"/>
      <charset val="204"/>
    </font>
    <font>
      <vertAlign val="superscript"/>
      <sz val="10"/>
      <color theme="1"/>
      <name val="Times New Roman"/>
      <family val="1"/>
      <charset val="204"/>
    </font>
    <font>
      <sz val="8"/>
      <name val="Times New Roman"/>
      <family val="1"/>
      <charset val="204"/>
    </font>
    <font>
      <sz val="11"/>
      <color theme="1"/>
      <name val="Calibri"/>
      <family val="2"/>
      <scheme val="minor"/>
    </font>
    <font>
      <sz val="11"/>
      <color indexed="8"/>
      <name val="Calibri"/>
      <family val="2"/>
      <charset val="204"/>
    </font>
    <font>
      <sz val="11"/>
      <color indexed="8"/>
      <name val="Calibri"/>
      <family val="2"/>
    </font>
    <font>
      <sz val="11"/>
      <color indexed="9"/>
      <name val="Calibri"/>
      <family val="2"/>
    </font>
    <font>
      <sz val="11"/>
      <color indexed="9"/>
      <name val="Calibri"/>
      <family val="2"/>
      <charset val="204"/>
    </font>
    <font>
      <sz val="11"/>
      <color indexed="14"/>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62"/>
      <name val="Calibri"/>
      <family val="2"/>
    </font>
    <font>
      <b/>
      <sz val="13"/>
      <color indexed="62"/>
      <name val="Calibri"/>
      <family val="2"/>
    </font>
    <font>
      <b/>
      <sz val="11"/>
      <color indexed="62"/>
      <name val="Calibri"/>
      <family val="2"/>
    </font>
    <font>
      <sz val="11"/>
      <color indexed="62"/>
      <name val="Calibri"/>
      <family val="2"/>
    </font>
    <font>
      <sz val="11"/>
      <color indexed="52"/>
      <name val="Calibri"/>
      <family val="2"/>
    </font>
    <font>
      <sz val="11"/>
      <color indexed="60"/>
      <name val="Calibri"/>
      <family val="2"/>
    </font>
    <font>
      <b/>
      <sz val="11"/>
      <color indexed="63"/>
      <name val="Calibri"/>
      <family val="2"/>
    </font>
    <font>
      <b/>
      <sz val="18"/>
      <color indexed="62"/>
      <name val="Cambria"/>
      <family val="2"/>
    </font>
    <font>
      <b/>
      <sz val="11"/>
      <color indexed="8"/>
      <name val="Calibri"/>
      <family val="2"/>
    </font>
    <font>
      <sz val="11"/>
      <color indexed="10"/>
      <name val="Calibri"/>
      <family val="2"/>
    </font>
    <font>
      <sz val="11"/>
      <color indexed="62"/>
      <name val="Calibri"/>
      <family val="2"/>
      <charset val="204"/>
    </font>
    <font>
      <sz val="10"/>
      <name val="Arial Cyr"/>
      <family val="2"/>
      <charset val="204"/>
    </font>
    <font>
      <b/>
      <sz val="11"/>
      <color indexed="63"/>
      <name val="Calibri"/>
      <family val="2"/>
      <charset val="204"/>
    </font>
    <font>
      <b/>
      <sz val="11"/>
      <color indexed="52"/>
      <name val="Calibri"/>
      <family val="2"/>
      <charset val="204"/>
    </font>
    <font>
      <b/>
      <sz val="15"/>
      <color indexed="56"/>
      <name val="Calibri"/>
      <family val="2"/>
      <charset val="204"/>
    </font>
    <font>
      <b/>
      <sz val="13"/>
      <color indexed="56"/>
      <name val="Calibri"/>
      <family val="2"/>
      <charset val="204"/>
    </font>
    <font>
      <b/>
      <sz val="11"/>
      <color indexed="56"/>
      <name val="Calibri"/>
      <family val="2"/>
      <charset val="204"/>
    </font>
    <font>
      <b/>
      <sz val="11"/>
      <color indexed="8"/>
      <name val="Calibri"/>
      <family val="2"/>
      <charset val="204"/>
    </font>
    <font>
      <b/>
      <sz val="11"/>
      <color indexed="9"/>
      <name val="Calibri"/>
      <family val="2"/>
      <charset val="204"/>
    </font>
    <font>
      <b/>
      <sz val="18"/>
      <color indexed="56"/>
      <name val="Cambria"/>
      <family val="2"/>
      <charset val="204"/>
    </font>
    <font>
      <sz val="11"/>
      <color indexed="60"/>
      <name val="Calibri"/>
      <family val="2"/>
      <charset val="204"/>
    </font>
    <font>
      <sz val="12"/>
      <name val="Courier"/>
      <family val="1"/>
      <charset val="204"/>
    </font>
    <font>
      <sz val="11"/>
      <color indexed="20"/>
      <name val="Calibri"/>
      <family val="2"/>
      <charset val="204"/>
    </font>
    <font>
      <i/>
      <sz val="11"/>
      <color indexed="23"/>
      <name val="Calibri"/>
      <family val="2"/>
      <charset val="204"/>
    </font>
    <font>
      <sz val="11"/>
      <color indexed="52"/>
      <name val="Calibri"/>
      <family val="2"/>
      <charset val="204"/>
    </font>
    <font>
      <sz val="11"/>
      <color indexed="10"/>
      <name val="Calibri"/>
      <family val="2"/>
      <charset val="204"/>
    </font>
    <font>
      <sz val="11"/>
      <color indexed="17"/>
      <name val="Calibri"/>
      <family val="2"/>
      <charset val="204"/>
    </font>
    <font>
      <b/>
      <sz val="11"/>
      <color theme="1"/>
      <name val="Calibri"/>
      <family val="2"/>
      <scheme val="minor"/>
    </font>
    <font>
      <b/>
      <sz val="12"/>
      <color theme="1"/>
      <name val="Times New Roman"/>
      <family val="1"/>
      <charset val="204"/>
    </font>
    <font>
      <sz val="10"/>
      <color theme="1"/>
      <name val="Calibri"/>
      <family val="2"/>
      <scheme val="minor"/>
    </font>
    <font>
      <sz val="14"/>
      <color theme="1"/>
      <name val="Times New Roman"/>
      <family val="1"/>
      <charset val="204"/>
    </font>
    <font>
      <sz val="10"/>
      <color rgb="FFFF0000"/>
      <name val="Times New Roman"/>
      <family val="1"/>
      <charset val="204"/>
    </font>
    <font>
      <sz val="9"/>
      <color indexed="81"/>
      <name val="Tahoma"/>
      <family val="2"/>
      <charset val="204"/>
    </font>
    <font>
      <vertAlign val="superscript"/>
      <sz val="11"/>
      <color theme="1"/>
      <name val="Times New Roman"/>
      <family val="1"/>
      <charset val="204"/>
    </font>
    <font>
      <b/>
      <vertAlign val="superscript"/>
      <sz val="11"/>
      <color theme="1"/>
      <name val="Times New Roman"/>
      <family val="1"/>
      <charset val="204"/>
    </font>
    <font>
      <sz val="11"/>
      <color rgb="FF000000"/>
      <name val="Times New Roman"/>
      <family val="1"/>
      <charset val="204"/>
    </font>
    <font>
      <b/>
      <vertAlign val="superscript"/>
      <sz val="11"/>
      <color rgb="FF000000"/>
      <name val="Times New Roman"/>
      <family val="1"/>
      <charset val="204"/>
    </font>
    <font>
      <sz val="12"/>
      <name val="Times New Roman"/>
      <family val="1"/>
      <charset val="204"/>
    </font>
    <font>
      <sz val="11"/>
      <color rgb="FF000000"/>
      <name val="Calibri"/>
      <family val="2"/>
      <charset val="204"/>
    </font>
    <font>
      <u/>
      <sz val="11"/>
      <color theme="1"/>
      <name val="Times New Roman"/>
      <family val="1"/>
      <charset val="204"/>
    </font>
    <font>
      <u/>
      <sz val="12"/>
      <color theme="1"/>
      <name val="Times New Roman"/>
      <family val="1"/>
      <charset val="204"/>
    </font>
    <font>
      <sz val="12"/>
      <color rgb="FFFF0000"/>
      <name val="Times New Roman"/>
      <family val="1"/>
      <charset val="204"/>
    </font>
    <font>
      <sz val="8"/>
      <name val="Arial"/>
      <family val="2"/>
    </font>
    <font>
      <u/>
      <sz val="11"/>
      <color theme="10"/>
      <name val="Calibri"/>
      <family val="2"/>
      <scheme val="minor"/>
    </font>
    <font>
      <vertAlign val="superscript"/>
      <sz val="11"/>
      <color rgb="FF000000"/>
      <name val="Times New Roman"/>
      <family val="1"/>
      <charset val="204"/>
    </font>
    <font>
      <sz val="12"/>
      <color rgb="FF000000"/>
      <name val="Times New Roman"/>
      <family val="1"/>
      <charset val="204"/>
    </font>
    <font>
      <b/>
      <sz val="13"/>
      <color theme="1"/>
      <name val="Times New Roman"/>
      <family val="1"/>
      <charset val="204"/>
    </font>
    <font>
      <sz val="13"/>
      <color theme="1"/>
      <name val="Times New Roman"/>
      <family val="1"/>
      <charset val="204"/>
    </font>
    <font>
      <sz val="13"/>
      <color rgb="FFFF0000"/>
      <name val="Times New Roman"/>
      <family val="1"/>
      <charset val="204"/>
    </font>
    <font>
      <u/>
      <sz val="13"/>
      <color theme="1"/>
      <name val="Times New Roman"/>
      <family val="1"/>
      <charset val="204"/>
    </font>
    <font>
      <i/>
      <sz val="11"/>
      <color theme="1"/>
      <name val="Calibri"/>
      <family val="2"/>
      <charset val="204"/>
      <scheme val="minor"/>
    </font>
    <font>
      <i/>
      <sz val="11"/>
      <color theme="1"/>
      <name val="Times New Roman"/>
      <family val="1"/>
      <charset val="204"/>
    </font>
    <font>
      <sz val="11"/>
      <color rgb="FFFF0000"/>
      <name val="Calibri"/>
      <family val="2"/>
      <charset val="204"/>
      <scheme val="minor"/>
    </font>
    <font>
      <sz val="11"/>
      <color theme="0"/>
      <name val="Calibri"/>
      <family val="2"/>
      <charset val="204"/>
      <scheme val="minor"/>
    </font>
    <font>
      <b/>
      <sz val="10"/>
      <name val="Arial"/>
      <family val="2"/>
      <charset val="204"/>
    </font>
    <font>
      <b/>
      <sz val="10"/>
      <name val="Calibri"/>
      <family val="2"/>
      <charset val="204"/>
      <scheme val="minor"/>
    </font>
    <font>
      <sz val="10"/>
      <name val="Calibri"/>
      <family val="2"/>
      <charset val="204"/>
      <scheme val="minor"/>
    </font>
    <font>
      <sz val="11"/>
      <name val="Calibri"/>
      <family val="2"/>
      <charset val="204"/>
    </font>
    <font>
      <sz val="11"/>
      <name val="Arial"/>
      <family val="2"/>
      <charset val="204"/>
    </font>
    <font>
      <sz val="11"/>
      <color theme="0"/>
      <name val="Arial"/>
      <family val="2"/>
      <charset val="204"/>
    </font>
    <font>
      <b/>
      <sz val="11"/>
      <name val="Arial"/>
      <family val="2"/>
      <charset val="204"/>
    </font>
    <font>
      <sz val="11"/>
      <name val="Calibri"/>
      <family val="2"/>
      <charset val="204"/>
      <scheme val="minor"/>
    </font>
    <font>
      <sz val="11"/>
      <color indexed="8"/>
      <name val="Calibri"/>
      <family val="2"/>
      <charset val="204"/>
      <scheme val="minor"/>
    </font>
    <font>
      <sz val="8"/>
      <color indexed="8"/>
      <name val="Calibri"/>
      <family val="2"/>
      <charset val="204"/>
      <scheme val="minor"/>
    </font>
    <font>
      <b/>
      <sz val="10"/>
      <color indexed="8"/>
      <name val="Calibri"/>
      <family val="2"/>
      <charset val="204"/>
      <scheme val="minor"/>
    </font>
    <font>
      <sz val="8"/>
      <name val="Calibri"/>
      <family val="2"/>
      <charset val="204"/>
      <scheme val="minor"/>
    </font>
    <font>
      <sz val="11"/>
      <color rgb="FFFF0000"/>
      <name val="Arial"/>
      <family val="2"/>
      <charset val="204"/>
    </font>
    <font>
      <sz val="10"/>
      <color rgb="FFFF0000"/>
      <name val="Arial"/>
      <family val="2"/>
      <charset val="204"/>
    </font>
    <font>
      <i/>
      <sz val="10"/>
      <name val="Arial"/>
      <family val="2"/>
      <charset val="204"/>
    </font>
    <font>
      <sz val="14"/>
      <name val="Arial"/>
      <family val="2"/>
      <charset val="204"/>
    </font>
    <font>
      <b/>
      <i/>
      <sz val="10"/>
      <name val="Arial"/>
      <family val="2"/>
      <charset val="204"/>
    </font>
    <font>
      <sz val="9"/>
      <color indexed="8"/>
      <name val="Arial"/>
      <family val="2"/>
      <charset val="204"/>
    </font>
    <font>
      <sz val="8"/>
      <color indexed="8"/>
      <name val="Arial"/>
      <family val="2"/>
      <charset val="204"/>
    </font>
    <font>
      <b/>
      <sz val="11"/>
      <color indexed="10"/>
      <name val="Calibri"/>
      <family val="2"/>
      <charset val="204"/>
    </font>
    <font>
      <b/>
      <sz val="18"/>
      <color indexed="62"/>
      <name val="Cambria"/>
      <family val="2"/>
      <charset val="204"/>
    </font>
    <font>
      <sz val="11"/>
      <color indexed="19"/>
      <name val="Calibri"/>
      <family val="2"/>
      <charset val="204"/>
    </font>
    <font>
      <sz val="11"/>
      <color indexed="8"/>
      <name val="Arial Cyr"/>
      <family val="2"/>
      <charset val="204"/>
    </font>
    <font>
      <b/>
      <i/>
      <sz val="11"/>
      <color theme="1"/>
      <name val="Times New Roman"/>
      <family val="1"/>
      <charset val="204"/>
    </font>
    <font>
      <sz val="12"/>
      <color rgb="FF333333"/>
      <name val="Times New Roman"/>
      <family val="1"/>
      <charset val="204"/>
    </font>
    <font>
      <sz val="10"/>
      <color theme="1"/>
      <name val="Calibri"/>
      <family val="2"/>
      <charset val="204"/>
      <scheme val="minor"/>
    </font>
    <font>
      <sz val="11"/>
      <name val="Times New Roman"/>
      <family val="1"/>
      <charset val="204"/>
    </font>
    <font>
      <i/>
      <sz val="11"/>
      <name val="Times New Roman"/>
      <family val="1"/>
      <charset val="204"/>
    </font>
    <font>
      <b/>
      <sz val="8"/>
      <name val="Times New Roman"/>
      <family val="1"/>
      <charset val="204"/>
    </font>
    <font>
      <sz val="12"/>
      <color theme="1"/>
      <name val="Calibri"/>
      <family val="2"/>
      <charset val="204"/>
      <scheme val="minor"/>
    </font>
    <font>
      <b/>
      <sz val="12"/>
      <name val="Times New Roman"/>
      <family val="1"/>
      <charset val="204"/>
    </font>
    <font>
      <b/>
      <sz val="10"/>
      <name val="Times New Roman"/>
      <family val="1"/>
      <charset val="204"/>
    </font>
    <font>
      <b/>
      <sz val="9"/>
      <name val="Times New Roman"/>
      <family val="1"/>
      <charset val="204"/>
    </font>
    <font>
      <b/>
      <i/>
      <sz val="16"/>
      <color theme="1"/>
      <name val="Arial"/>
      <family val="2"/>
      <charset val="204"/>
    </font>
    <font>
      <b/>
      <i/>
      <sz val="16"/>
      <color rgb="FF000000"/>
      <name val="Arial"/>
      <family val="2"/>
      <charset val="204"/>
    </font>
    <font>
      <b/>
      <i/>
      <u/>
      <sz val="11"/>
      <color theme="1"/>
      <name val="Arial"/>
      <family val="2"/>
      <charset val="204"/>
    </font>
    <font>
      <b/>
      <i/>
      <u/>
      <sz val="11"/>
      <color rgb="FF000000"/>
      <name val="Arial"/>
      <family val="2"/>
      <charset val="204"/>
    </font>
    <font>
      <b/>
      <sz val="12"/>
      <name val="Arial CE"/>
      <family val="2"/>
      <charset val="238"/>
    </font>
    <font>
      <sz val="11"/>
      <color rgb="FF000000"/>
      <name val="Arial"/>
      <family val="2"/>
      <charset val="204"/>
    </font>
    <font>
      <b/>
      <sz val="11"/>
      <name val="Times New Roman"/>
      <family val="1"/>
      <charset val="204"/>
    </font>
    <font>
      <b/>
      <sz val="11"/>
      <color indexed="8"/>
      <name val="Times New Roman"/>
      <family val="1"/>
      <charset val="204"/>
    </font>
    <font>
      <b/>
      <sz val="8"/>
      <color indexed="8"/>
      <name val="Times New Roman"/>
      <family val="1"/>
      <charset val="204"/>
    </font>
    <font>
      <sz val="10"/>
      <color indexed="8"/>
      <name val="Times New Roman"/>
      <family val="1"/>
      <charset val="204"/>
    </font>
    <font>
      <sz val="8"/>
      <color indexed="8"/>
      <name val="Times New Roman"/>
      <family val="1"/>
      <charset val="204"/>
    </font>
    <font>
      <sz val="14"/>
      <color indexed="8"/>
      <name val="Times New Roman"/>
      <family val="1"/>
      <charset val="204"/>
    </font>
    <font>
      <sz val="9"/>
      <color indexed="8"/>
      <name val="Times New Roman"/>
      <family val="1"/>
      <charset val="204"/>
    </font>
    <font>
      <sz val="12"/>
      <color indexed="8"/>
      <name val="Times New Roman"/>
      <family val="1"/>
      <charset val="204"/>
    </font>
    <font>
      <sz val="11"/>
      <color indexed="8"/>
      <name val="Times New Roman"/>
      <family val="1"/>
      <charset val="204"/>
    </font>
    <font>
      <sz val="14"/>
      <name val="Times New Roman"/>
      <family val="1"/>
      <charset val="204"/>
    </font>
    <font>
      <u/>
      <sz val="14"/>
      <name val="Times New Roman"/>
      <family val="1"/>
      <charset val="204"/>
    </font>
    <font>
      <b/>
      <i/>
      <sz val="11"/>
      <color indexed="8"/>
      <name val="Times New Roman"/>
      <family val="1"/>
      <charset val="204"/>
    </font>
    <font>
      <b/>
      <sz val="9"/>
      <color indexed="8"/>
      <name val="Times New Roman"/>
      <family val="1"/>
      <charset val="204"/>
    </font>
    <font>
      <b/>
      <sz val="14"/>
      <name val="Times New Roman"/>
      <family val="1"/>
      <charset val="204"/>
    </font>
    <font>
      <sz val="13"/>
      <name val="Times New Roman"/>
      <family val="1"/>
      <charset val="204"/>
    </font>
    <font>
      <b/>
      <sz val="13"/>
      <name val="Times New Roman"/>
      <family val="1"/>
      <charset val="204"/>
    </font>
    <font>
      <sz val="9"/>
      <name val="Times New Roman"/>
      <family val="1"/>
      <charset val="204"/>
    </font>
    <font>
      <b/>
      <sz val="12"/>
      <color rgb="FF000000"/>
      <name val="Times New Roman"/>
      <family val="1"/>
      <charset val="204"/>
    </font>
    <font>
      <b/>
      <sz val="12"/>
      <color indexed="8"/>
      <name val="Times New Roman"/>
      <family val="1"/>
      <charset val="204"/>
    </font>
    <font>
      <sz val="12"/>
      <color theme="1"/>
      <name val="Calibri"/>
      <family val="2"/>
      <scheme val="minor"/>
    </font>
    <font>
      <sz val="28"/>
      <color theme="1"/>
      <name val="Times New Roman"/>
      <family val="1"/>
      <charset val="204"/>
    </font>
    <font>
      <b/>
      <sz val="15"/>
      <name val="Times New Roman"/>
      <family val="1"/>
      <charset val="204"/>
    </font>
    <font>
      <sz val="15"/>
      <name val="Times New Roman"/>
      <family val="1"/>
      <charset val="204"/>
    </font>
    <font>
      <b/>
      <i/>
      <sz val="12"/>
      <name val="Times New Roman"/>
      <family val="1"/>
      <charset val="204"/>
    </font>
    <font>
      <sz val="9"/>
      <color indexed="8"/>
      <name val="Times New Roman"/>
      <family val="2"/>
      <charset val="204"/>
    </font>
    <font>
      <b/>
      <i/>
      <sz val="8"/>
      <name val="Times New Roman"/>
      <family val="1"/>
      <charset val="204"/>
    </font>
    <font>
      <sz val="9"/>
      <color theme="1"/>
      <name val="Times New Roman"/>
      <family val="2"/>
      <charset val="204"/>
    </font>
    <font>
      <b/>
      <i/>
      <vertAlign val="superscript"/>
      <sz val="8"/>
      <name val="Times New Roman"/>
      <family val="1"/>
      <charset val="204"/>
    </font>
    <font>
      <sz val="9"/>
      <color rgb="FFFF0000"/>
      <name val="Times New Roman"/>
      <family val="1"/>
      <charset val="204"/>
    </font>
    <font>
      <sz val="10"/>
      <color indexed="10"/>
      <name val="Arial Cyr"/>
      <family val="2"/>
      <charset val="204"/>
    </font>
    <font>
      <sz val="12"/>
      <color theme="1"/>
      <name val="Arial"/>
      <family val="2"/>
      <charset val="204"/>
    </font>
    <font>
      <i/>
      <sz val="12"/>
      <color theme="1"/>
      <name val="Times New Roman"/>
      <family val="1"/>
      <charset val="204"/>
    </font>
    <font>
      <b/>
      <i/>
      <sz val="11"/>
      <color theme="1"/>
      <name val="Calibri"/>
      <family val="2"/>
      <charset val="204"/>
      <scheme val="minor"/>
    </font>
    <font>
      <i/>
      <sz val="11"/>
      <color theme="1"/>
      <name val="Calibri"/>
      <family val="2"/>
      <scheme val="minor"/>
    </font>
    <font>
      <i/>
      <sz val="9"/>
      <color theme="1"/>
      <name val="Times New Roman"/>
      <family val="1"/>
      <charset val="204"/>
    </font>
    <font>
      <sz val="10.5"/>
      <color theme="1"/>
      <name val="Times New Roman"/>
      <family val="1"/>
      <charset val="204"/>
    </font>
    <font>
      <b/>
      <sz val="11"/>
      <color rgb="FF000000"/>
      <name val="Times New Roman"/>
      <family val="1"/>
      <charset val="204"/>
    </font>
    <font>
      <b/>
      <sz val="14"/>
      <color rgb="FF000000"/>
      <name val="Times New Roman"/>
      <family val="1"/>
      <charset val="204"/>
    </font>
    <font>
      <b/>
      <sz val="12.5"/>
      <name val="Times New Roman"/>
      <family val="1"/>
      <charset val="204"/>
    </font>
    <font>
      <b/>
      <sz val="14"/>
      <color theme="1"/>
      <name val="Times New Roman"/>
      <family val="1"/>
      <charset val="204"/>
    </font>
    <font>
      <b/>
      <sz val="11.5"/>
      <name val="Times New Roman"/>
      <family val="1"/>
      <charset val="204"/>
    </font>
    <font>
      <sz val="9"/>
      <color theme="1"/>
      <name val="Calibri"/>
      <family val="2"/>
      <scheme val="minor"/>
    </font>
    <font>
      <i/>
      <sz val="10"/>
      <color theme="1"/>
      <name val="Times New Roman"/>
      <family val="1"/>
      <charset val="204"/>
    </font>
    <font>
      <b/>
      <sz val="11"/>
      <color rgb="FFFF0000"/>
      <name val="Times New Roman"/>
      <family val="1"/>
      <charset val="204"/>
    </font>
    <font>
      <sz val="9"/>
      <color theme="1"/>
      <name val="Calibri"/>
      <family val="2"/>
      <charset val="204"/>
      <scheme val="minor"/>
    </font>
    <font>
      <b/>
      <sz val="11"/>
      <color theme="5" tint="-0.249977111117893"/>
      <name val="Times New Roman"/>
      <family val="1"/>
      <charset val="204"/>
    </font>
    <font>
      <sz val="11"/>
      <color theme="5" tint="-0.249977111117893"/>
      <name val="Times New Roman"/>
      <family val="1"/>
      <charset val="204"/>
    </font>
    <font>
      <b/>
      <sz val="13.5"/>
      <name val="Times New Roman"/>
      <family val="1"/>
      <charset val="204"/>
    </font>
    <font>
      <u/>
      <sz val="12"/>
      <name val="Times New Roman"/>
      <family val="1"/>
      <charset val="204"/>
    </font>
    <font>
      <sz val="5"/>
      <name val="Times New Roman"/>
      <family val="1"/>
      <charset val="204"/>
    </font>
    <font>
      <sz val="13.5"/>
      <name val="Times New Roman"/>
      <family val="1"/>
      <charset val="204"/>
    </font>
    <font>
      <b/>
      <sz val="7"/>
      <name val="Times New Roman"/>
      <family val="1"/>
      <charset val="204"/>
    </font>
    <font>
      <b/>
      <sz val="11"/>
      <name val="Calibri"/>
      <family val="2"/>
      <charset val="204"/>
      <scheme val="minor"/>
    </font>
    <font>
      <sz val="11"/>
      <color rgb="FFFF0000"/>
      <name val="Times New Roman"/>
      <family val="1"/>
      <charset val="204"/>
    </font>
    <font>
      <i/>
      <sz val="12"/>
      <name val="Times New Roman"/>
      <family val="1"/>
      <charset val="204"/>
    </font>
    <font>
      <sz val="8"/>
      <color theme="1"/>
      <name val="Calibri"/>
      <family val="2"/>
      <scheme val="minor"/>
    </font>
    <font>
      <sz val="8"/>
      <color rgb="FFFF0000"/>
      <name val="Times New Roman"/>
      <family val="1"/>
      <charset val="204"/>
    </font>
    <font>
      <b/>
      <sz val="12"/>
      <color rgb="FFFF0000"/>
      <name val="Times New Roman"/>
      <family val="1"/>
      <charset val="204"/>
    </font>
    <font>
      <b/>
      <i/>
      <sz val="11"/>
      <color rgb="FFFF0000"/>
      <name val="Calibri"/>
      <family val="2"/>
      <charset val="204"/>
      <scheme val="minor"/>
    </font>
    <font>
      <sz val="11"/>
      <color theme="1"/>
      <name val="Calibri"/>
      <family val="2"/>
      <charset val="204"/>
    </font>
    <font>
      <sz val="11"/>
      <color rgb="FF0070C0"/>
      <name val="Times New Roman"/>
      <family val="1"/>
      <charset val="204"/>
    </font>
    <font>
      <sz val="10"/>
      <color rgb="FF0070C0"/>
      <name val="Times New Roman"/>
      <family val="1"/>
      <charset val="204"/>
    </font>
    <font>
      <sz val="11"/>
      <color rgb="FF0070C0"/>
      <name val="Calibri"/>
      <family val="2"/>
      <charset val="204"/>
      <scheme val="minor"/>
    </font>
    <font>
      <b/>
      <u/>
      <sz val="12"/>
      <color theme="1"/>
      <name val="Times New Roman"/>
      <family val="1"/>
      <charset val="204"/>
    </font>
    <font>
      <i/>
      <sz val="10"/>
      <color rgb="FFFF0000"/>
      <name val="Times New Roman"/>
      <family val="1"/>
      <charset val="204"/>
    </font>
    <font>
      <b/>
      <sz val="10"/>
      <color rgb="FFFF0000"/>
      <name val="Times New Roman"/>
      <family val="1"/>
      <charset val="204"/>
    </font>
    <font>
      <i/>
      <sz val="11"/>
      <color rgb="FFFF0000"/>
      <name val="Times New Roman"/>
      <family val="1"/>
      <charset val="204"/>
    </font>
    <font>
      <sz val="11"/>
      <color theme="6" tint="-0.499984740745262"/>
      <name val="Times New Roman"/>
      <family val="1"/>
      <charset val="204"/>
    </font>
    <font>
      <b/>
      <sz val="10"/>
      <color rgb="FF000000"/>
      <name val="Times New Roman"/>
      <family val="1"/>
      <charset val="204"/>
    </font>
    <font>
      <b/>
      <i/>
      <sz val="10"/>
      <color rgb="FF000000"/>
      <name val="Times New Roman"/>
      <family val="1"/>
      <charset val="204"/>
    </font>
    <font>
      <b/>
      <u/>
      <sz val="10"/>
      <color theme="1"/>
      <name val="Times New Roman"/>
      <family val="1"/>
      <charset val="204"/>
    </font>
    <font>
      <sz val="14"/>
      <color rgb="FFFF0000"/>
      <name val="Times New Roman"/>
      <family val="1"/>
      <charset val="204"/>
    </font>
    <font>
      <i/>
      <sz val="9"/>
      <name val="Times New Roman"/>
      <family val="1"/>
      <charset val="204"/>
    </font>
    <font>
      <b/>
      <i/>
      <sz val="9"/>
      <name val="Times New Roman"/>
      <family val="1"/>
      <charset val="204"/>
    </font>
    <font>
      <sz val="11"/>
      <color rgb="FFFF0000"/>
      <name val="Calibri"/>
      <family val="2"/>
      <scheme val="minor"/>
    </font>
    <font>
      <b/>
      <u/>
      <sz val="11"/>
      <color theme="1"/>
      <name val="Times New Roman"/>
      <family val="1"/>
      <charset val="204"/>
    </font>
    <font>
      <b/>
      <sz val="11"/>
      <color rgb="FFFF0000"/>
      <name val="Calibri"/>
      <family val="2"/>
      <charset val="204"/>
      <scheme val="minor"/>
    </font>
    <font>
      <i/>
      <sz val="8"/>
      <color theme="1"/>
      <name val="Times New Roman"/>
      <family val="1"/>
      <charset val="204"/>
    </font>
    <font>
      <sz val="12"/>
      <color indexed="10"/>
      <name val="Times New Roman"/>
      <family val="1"/>
      <charset val="204"/>
    </font>
    <font>
      <sz val="11"/>
      <color indexed="8"/>
      <name val="Arial"/>
      <family val="2"/>
      <charset val="204"/>
    </font>
    <font>
      <i/>
      <sz val="12"/>
      <color indexed="8"/>
      <name val="Arial"/>
      <family val="2"/>
      <charset val="204"/>
    </font>
    <font>
      <sz val="12"/>
      <color indexed="8"/>
      <name val="Calibri"/>
      <family val="2"/>
      <charset val="204"/>
    </font>
    <font>
      <sz val="7"/>
      <color indexed="8"/>
      <name val="Times New Roman"/>
      <family val="1"/>
      <charset val="204"/>
    </font>
    <font>
      <b/>
      <u/>
      <sz val="11"/>
      <color theme="1"/>
      <name val="Calibri"/>
      <family val="2"/>
      <charset val="204"/>
      <scheme val="minor"/>
    </font>
    <font>
      <i/>
      <sz val="10"/>
      <name val="Times New Roman"/>
      <family val="1"/>
      <charset val="204"/>
    </font>
    <font>
      <b/>
      <sz val="9"/>
      <color rgb="FFFF0000"/>
      <name val="Times New Roman"/>
      <family val="1"/>
      <charset val="204"/>
    </font>
    <font>
      <b/>
      <u/>
      <sz val="18"/>
      <color theme="1"/>
      <name val="Times New Roman"/>
      <family val="1"/>
      <charset val="204"/>
    </font>
    <font>
      <vertAlign val="subscript"/>
      <sz val="12"/>
      <color rgb="FF000000"/>
      <name val="Times New Roman"/>
      <family val="1"/>
      <charset val="204"/>
    </font>
    <font>
      <i/>
      <sz val="12"/>
      <color rgb="FF000000"/>
      <name val="Times New Roman"/>
      <family val="1"/>
      <charset val="204"/>
    </font>
    <font>
      <sz val="24"/>
      <name val="Times New Roman"/>
      <family val="1"/>
      <charset val="204"/>
    </font>
    <font>
      <sz val="11"/>
      <color theme="3" tint="-0.249977111117893"/>
      <name val="Times New Roman"/>
      <family val="1"/>
      <charset val="204"/>
    </font>
    <font>
      <b/>
      <sz val="11"/>
      <color theme="3" tint="-0.249977111117893"/>
      <name val="Times New Roman"/>
      <family val="1"/>
      <charset val="204"/>
    </font>
    <font>
      <b/>
      <u/>
      <sz val="9"/>
      <color rgb="FF000000"/>
      <name val="Times New Roman"/>
      <family val="1"/>
      <charset val="204"/>
    </font>
    <font>
      <sz val="11"/>
      <color theme="9" tint="-0.499984740745262"/>
      <name val="Times New Roman"/>
      <family val="1"/>
      <charset val="204"/>
    </font>
    <font>
      <b/>
      <u/>
      <sz val="12"/>
      <color rgb="FF333333"/>
      <name val="Times New Roman"/>
      <family val="1"/>
      <charset val="204"/>
    </font>
    <font>
      <b/>
      <sz val="12"/>
      <color rgb="FF333333"/>
      <name val="Times New Roman"/>
      <family val="1"/>
      <charset val="204"/>
    </font>
    <font>
      <b/>
      <sz val="10"/>
      <color rgb="FF333333"/>
      <name val="Times New Roman"/>
      <family val="1"/>
      <charset val="204"/>
    </font>
    <font>
      <sz val="10"/>
      <color rgb="FF333333"/>
      <name val="Times New Roman"/>
      <family val="1"/>
      <charset val="204"/>
    </font>
    <font>
      <b/>
      <u/>
      <sz val="12"/>
      <color rgb="FF000000"/>
      <name val="Times New Roman"/>
      <family val="1"/>
      <charset val="204"/>
    </font>
    <font>
      <b/>
      <u/>
      <sz val="10"/>
      <name val="Times New Roman"/>
      <family val="1"/>
      <charset val="204"/>
    </font>
    <font>
      <b/>
      <u/>
      <sz val="11"/>
      <color rgb="FFFF0000"/>
      <name val="Times New Roman"/>
      <family val="1"/>
      <charset val="204"/>
    </font>
    <font>
      <sz val="11"/>
      <color rgb="FF333333"/>
      <name val="Times New Roman"/>
      <family val="1"/>
      <charset val="204"/>
    </font>
    <font>
      <sz val="8"/>
      <color rgb="FF333333"/>
      <name val="Times New Roman"/>
      <family val="1"/>
      <charset val="204"/>
    </font>
    <font>
      <b/>
      <u/>
      <sz val="14"/>
      <color theme="1"/>
      <name val="Times New Roman"/>
      <family val="1"/>
      <charset val="204"/>
    </font>
    <font>
      <b/>
      <u/>
      <sz val="12"/>
      <color rgb="FF0070C0"/>
      <name val="Times New Roman"/>
      <family val="1"/>
      <charset val="204"/>
    </font>
    <font>
      <b/>
      <u/>
      <sz val="14"/>
      <color rgb="FF0070C0"/>
      <name val="Times New Roman"/>
      <family val="1"/>
      <charset val="204"/>
    </font>
    <font>
      <sz val="12"/>
      <color rgb="FF0070C0"/>
      <name val="Times New Roman"/>
      <family val="1"/>
      <charset val="204"/>
    </font>
    <font>
      <b/>
      <u/>
      <sz val="12"/>
      <color rgb="FFC00000"/>
      <name val="Times New Roman"/>
      <family val="1"/>
      <charset val="204"/>
    </font>
    <font>
      <b/>
      <i/>
      <u/>
      <sz val="12"/>
      <name val="Times New Roman"/>
      <family val="1"/>
      <charset val="204"/>
    </font>
    <font>
      <b/>
      <i/>
      <sz val="12"/>
      <color theme="1"/>
      <name val="Times New Roman"/>
      <family val="1"/>
      <charset val="204"/>
    </font>
    <font>
      <b/>
      <i/>
      <sz val="14"/>
      <color theme="1"/>
      <name val="Times New Roman"/>
      <family val="1"/>
      <charset val="204"/>
    </font>
    <font>
      <b/>
      <sz val="11"/>
      <color rgb="FF0000FF"/>
      <name val="Times New Roman"/>
      <family val="1"/>
      <charset val="204"/>
    </font>
    <font>
      <sz val="11"/>
      <color rgb="FF002060"/>
      <name val="Times New Roman"/>
      <family val="1"/>
      <charset val="204"/>
    </font>
    <font>
      <b/>
      <sz val="11"/>
      <color rgb="FF002060"/>
      <name val="Times New Roman"/>
      <family val="1"/>
      <charset val="204"/>
    </font>
    <font>
      <b/>
      <i/>
      <sz val="14"/>
      <color rgb="FF050505"/>
      <name val="Times New Roman"/>
      <family val="1"/>
      <charset val="204"/>
    </font>
    <font>
      <sz val="10"/>
      <color rgb="FF002060"/>
      <name val="Times New Roman"/>
      <family val="1"/>
      <charset val="204"/>
    </font>
    <font>
      <i/>
      <sz val="11"/>
      <color rgb="FF002060"/>
      <name val="Times New Roman"/>
      <family val="1"/>
      <charset val="204"/>
    </font>
    <font>
      <b/>
      <i/>
      <sz val="11"/>
      <color rgb="FF002060"/>
      <name val="Times New Roman"/>
      <family val="1"/>
      <charset val="204"/>
    </font>
    <font>
      <sz val="10"/>
      <color theme="1"/>
      <name val="Calibri"/>
      <family val="2"/>
      <charset val="204"/>
    </font>
    <font>
      <sz val="10"/>
      <color rgb="FF000000"/>
      <name val="Calibri"/>
      <family val="2"/>
      <charset val="204"/>
      <scheme val="minor"/>
    </font>
    <font>
      <sz val="16"/>
      <color theme="1"/>
      <name val="Times New Roman"/>
      <family val="1"/>
      <charset val="204"/>
    </font>
    <font>
      <sz val="11"/>
      <color theme="0"/>
      <name val="Times New Roman"/>
      <family val="1"/>
      <charset val="204"/>
    </font>
    <font>
      <b/>
      <sz val="8.75"/>
      <color theme="1"/>
      <name val="Times New Roman"/>
      <family val="1"/>
      <charset val="204"/>
    </font>
    <font>
      <b/>
      <sz val="8"/>
      <color rgb="FF000000"/>
      <name val="Times New Roman"/>
      <family val="1"/>
      <charset val="204"/>
    </font>
    <font>
      <sz val="8"/>
      <color rgb="FF000000"/>
      <name val="Times New Roman"/>
      <family val="1"/>
      <charset val="204"/>
    </font>
    <font>
      <b/>
      <i/>
      <sz val="14"/>
      <name val="Times New Roman"/>
      <family val="1"/>
      <charset val="204"/>
    </font>
    <font>
      <i/>
      <sz val="14"/>
      <name val="Times New Roman"/>
      <family val="1"/>
      <charset val="204"/>
    </font>
    <font>
      <b/>
      <sz val="14"/>
      <color theme="6" tint="-0.499984740745262"/>
      <name val="Times New Roman"/>
      <family val="1"/>
      <charset val="204"/>
    </font>
    <font>
      <sz val="14"/>
      <color theme="6" tint="-0.499984740745262"/>
      <name val="Times New Roman"/>
      <family val="1"/>
      <charset val="204"/>
    </font>
    <font>
      <b/>
      <sz val="14"/>
      <color rgb="FF002060"/>
      <name val="Times New Roman"/>
      <family val="1"/>
      <charset val="204"/>
    </font>
    <font>
      <sz val="14"/>
      <color rgb="FF002060"/>
      <name val="Times New Roman"/>
      <family val="1"/>
      <charset val="204"/>
    </font>
    <font>
      <b/>
      <i/>
      <sz val="11"/>
      <color rgb="FFFF0000"/>
      <name val="Times New Roman"/>
      <family val="1"/>
      <charset val="204"/>
    </font>
    <font>
      <sz val="6"/>
      <color theme="1"/>
      <name val="Times New Roman"/>
      <family val="1"/>
      <charset val="204"/>
    </font>
    <font>
      <b/>
      <i/>
      <sz val="9"/>
      <color theme="1"/>
      <name val="Times New Roman"/>
      <family val="1"/>
      <charset val="204"/>
    </font>
    <font>
      <i/>
      <sz val="9"/>
      <color theme="1"/>
      <name val="Calibri"/>
      <family val="2"/>
      <charset val="204"/>
      <scheme val="minor"/>
    </font>
    <font>
      <b/>
      <sz val="10"/>
      <name val="Arial Cyr"/>
      <family val="2"/>
      <charset val="204"/>
    </font>
    <font>
      <b/>
      <sz val="8"/>
      <name val="Arial Cyr"/>
      <family val="2"/>
      <charset val="204"/>
    </font>
    <font>
      <b/>
      <sz val="10"/>
      <color theme="9" tint="0.79998168889431442"/>
      <name val="Calibri"/>
      <family val="2"/>
      <charset val="204"/>
      <scheme val="minor"/>
    </font>
    <font>
      <sz val="10"/>
      <color theme="9" tint="-0.499984740745262"/>
      <name val="Calibri"/>
      <family val="2"/>
      <charset val="204"/>
      <scheme val="minor"/>
    </font>
    <font>
      <b/>
      <sz val="10"/>
      <color theme="1"/>
      <name val="Calibri"/>
      <family val="2"/>
      <charset val="204"/>
      <scheme val="minor"/>
    </font>
    <font>
      <i/>
      <sz val="6"/>
      <color theme="1"/>
      <name val="Times New Roman"/>
      <family val="1"/>
      <charset val="204"/>
    </font>
    <font>
      <sz val="6"/>
      <color theme="1"/>
      <name val="Calibri"/>
      <family val="2"/>
      <charset val="204"/>
      <scheme val="minor"/>
    </font>
    <font>
      <b/>
      <i/>
      <sz val="9"/>
      <color rgb="FFFF0000"/>
      <name val="Times New Roman"/>
      <family val="1"/>
      <charset val="204"/>
    </font>
    <font>
      <b/>
      <u/>
      <sz val="9"/>
      <color theme="1"/>
      <name val="Times New Roman"/>
      <family val="1"/>
      <charset val="204"/>
    </font>
    <font>
      <b/>
      <sz val="16"/>
      <color theme="1"/>
      <name val="Times New Roman"/>
      <family val="1"/>
      <charset val="204"/>
    </font>
    <font>
      <b/>
      <u/>
      <sz val="16"/>
      <color theme="1"/>
      <name val="Times New Roman"/>
      <family val="1"/>
      <charset val="204"/>
    </font>
    <font>
      <b/>
      <sz val="8"/>
      <color rgb="FFFF0000"/>
      <name val="Times New Roman"/>
      <family val="1"/>
      <charset val="204"/>
    </font>
    <font>
      <b/>
      <sz val="14"/>
      <color rgb="FF0070C0"/>
      <name val="Times New Roman"/>
      <family val="1"/>
      <charset val="204"/>
    </font>
    <font>
      <sz val="14"/>
      <color rgb="FF0070C0"/>
      <name val="Times New Roman"/>
      <family val="1"/>
      <charset val="204"/>
    </font>
    <font>
      <b/>
      <sz val="11"/>
      <color theme="8" tint="-0.499984740745262"/>
      <name val="Times New Roman"/>
      <family val="1"/>
      <charset val="204"/>
    </font>
    <font>
      <b/>
      <sz val="11"/>
      <color theme="4" tint="-0.249977111117893"/>
      <name val="Times New Roman"/>
      <family val="1"/>
      <charset val="204"/>
    </font>
    <font>
      <b/>
      <sz val="16"/>
      <color theme="0"/>
      <name val="Times New Roman"/>
      <family val="1"/>
      <charset val="204"/>
    </font>
    <font>
      <b/>
      <sz val="14"/>
      <color theme="8" tint="-0.499984740745262"/>
      <name val="Times New Roman"/>
      <family val="1"/>
      <charset val="204"/>
    </font>
    <font>
      <sz val="14"/>
      <color theme="7" tint="-0.499984740745262"/>
      <name val="Times New Roman"/>
      <family val="1"/>
      <charset val="204"/>
    </font>
    <font>
      <sz val="22"/>
      <color theme="1"/>
      <name val="Times New Roman"/>
      <family val="1"/>
      <charset val="204"/>
    </font>
    <font>
      <b/>
      <sz val="11"/>
      <color rgb="FF0070C0"/>
      <name val="Calibri"/>
      <family val="2"/>
      <charset val="204"/>
      <scheme val="minor"/>
    </font>
    <font>
      <i/>
      <sz val="12"/>
      <color rgb="FFFF0000"/>
      <name val="Times New Roman"/>
      <family val="1"/>
      <charset val="204"/>
    </font>
    <font>
      <b/>
      <u/>
      <sz val="10"/>
      <color rgb="FFFF0000"/>
      <name val="Times New Roman"/>
      <family val="1"/>
      <charset val="204"/>
    </font>
    <font>
      <sz val="9.5"/>
      <name val="Times New Roman"/>
      <family val="1"/>
      <charset val="204"/>
    </font>
    <font>
      <b/>
      <sz val="7"/>
      <color indexed="8"/>
      <name val="Times New Roman"/>
      <family val="1"/>
      <charset val="204"/>
    </font>
    <font>
      <sz val="7"/>
      <color theme="3" tint="0.39997558519241921"/>
      <name val="Times New Roman"/>
      <family val="1"/>
      <charset val="204"/>
    </font>
    <font>
      <sz val="7"/>
      <color indexed="62"/>
      <name val="Times New Roman"/>
      <family val="1"/>
      <charset val="204"/>
    </font>
    <font>
      <sz val="10"/>
      <color theme="7" tint="-0.499984740745262"/>
      <name val="Times New Roman"/>
      <family val="1"/>
      <charset val="204"/>
    </font>
    <font>
      <sz val="9.5"/>
      <color theme="1"/>
      <name val="Times New Roman"/>
      <family val="1"/>
      <charset val="204"/>
    </font>
    <font>
      <b/>
      <sz val="9.5"/>
      <color theme="1"/>
      <name val="Times New Roman"/>
      <family val="1"/>
      <charset val="204"/>
    </font>
    <font>
      <b/>
      <sz val="9.5"/>
      <name val="Times New Roman"/>
      <family val="1"/>
      <charset val="204"/>
    </font>
    <font>
      <b/>
      <i/>
      <sz val="9.5"/>
      <color theme="1"/>
      <name val="Times New Roman"/>
      <family val="1"/>
      <charset val="204"/>
    </font>
    <font>
      <b/>
      <sz val="10.5"/>
      <color theme="1"/>
      <name val="Times New Roman"/>
      <family val="1"/>
      <charset val="204"/>
    </font>
    <font>
      <b/>
      <sz val="10"/>
      <color indexed="8"/>
      <name val="Times New Roman"/>
      <family val="1"/>
      <charset val="204"/>
    </font>
    <font>
      <sz val="11"/>
      <color rgb="FFFF0000"/>
      <name val="Calibri"/>
      <family val="2"/>
      <charset val="204"/>
    </font>
    <font>
      <i/>
      <sz val="11"/>
      <color rgb="FFFF0000"/>
      <name val="Calibri"/>
      <family val="2"/>
      <charset val="204"/>
      <scheme val="minor"/>
    </font>
    <font>
      <sz val="18"/>
      <color theme="1"/>
      <name val="Times New Roman"/>
      <family val="1"/>
      <charset val="204"/>
    </font>
    <font>
      <sz val="8"/>
      <color indexed="8"/>
      <name val="Calibri"/>
      <family val="2"/>
      <charset val="204"/>
    </font>
    <font>
      <sz val="14"/>
      <color rgb="FF000000"/>
      <name val="Times New Roman"/>
      <family val="1"/>
      <charset val="204"/>
    </font>
    <font>
      <u/>
      <sz val="9"/>
      <name val="Times New Roman"/>
      <family val="1"/>
      <charset val="204"/>
    </font>
    <font>
      <i/>
      <u/>
      <sz val="11"/>
      <color rgb="FFFF0000"/>
      <name val="Times New Roman"/>
      <family val="1"/>
      <charset val="204"/>
    </font>
    <font>
      <u/>
      <sz val="10"/>
      <color rgb="FFFF0000"/>
      <name val="Times New Roman"/>
      <family val="1"/>
      <charset val="204"/>
    </font>
    <font>
      <u/>
      <sz val="11"/>
      <color rgb="FFFF0000"/>
      <name val="Times New Roman"/>
      <family val="1"/>
      <charset val="204"/>
    </font>
    <font>
      <sz val="11"/>
      <color rgb="FFEC20C5"/>
      <name val="Times New Roman"/>
      <family val="1"/>
      <charset val="204"/>
    </font>
    <font>
      <sz val="10"/>
      <color rgb="FF0000FF"/>
      <name val="Times New Roman"/>
      <family val="1"/>
      <charset val="204"/>
    </font>
    <font>
      <sz val="11"/>
      <color rgb="FF0000FF"/>
      <name val="Times New Roman"/>
      <family val="1"/>
      <charset val="204"/>
    </font>
    <font>
      <i/>
      <sz val="11"/>
      <color rgb="FF0000FF"/>
      <name val="Times New Roman"/>
      <family val="1"/>
      <charset val="204"/>
    </font>
    <font>
      <b/>
      <sz val="11"/>
      <color theme="6" tint="-0.499984740745262"/>
      <name val="Times New Roman"/>
      <family val="1"/>
      <charset val="204"/>
    </font>
    <font>
      <sz val="10"/>
      <color theme="6" tint="-0.499984740745262"/>
      <name val="Times New Roman"/>
      <family val="1"/>
      <charset val="204"/>
    </font>
    <font>
      <i/>
      <sz val="11"/>
      <color theme="6" tint="-0.499984740745262"/>
      <name val="Times New Roman"/>
      <family val="1"/>
      <charset val="204"/>
    </font>
    <font>
      <b/>
      <i/>
      <sz val="10"/>
      <color theme="1"/>
      <name val="Times New Roman"/>
      <family val="1"/>
      <charset val="204"/>
    </font>
    <font>
      <sz val="10"/>
      <color theme="8" tint="-0.499984740745262"/>
      <name val="Times New Roman"/>
      <family val="1"/>
      <charset val="204"/>
    </font>
    <font>
      <sz val="9"/>
      <color theme="8" tint="-0.499984740745262"/>
      <name val="Times New Roman"/>
      <family val="1"/>
      <charset val="204"/>
    </font>
    <font>
      <sz val="11"/>
      <color theme="8" tint="-0.499984740745262"/>
      <name val="Calibri"/>
      <family val="2"/>
      <charset val="204"/>
      <scheme val="minor"/>
    </font>
    <font>
      <b/>
      <sz val="10"/>
      <color theme="5" tint="0.59999389629810485"/>
      <name val="Arial Cyr"/>
      <charset val="204"/>
    </font>
    <font>
      <sz val="10"/>
      <color theme="5" tint="0.59999389629810485"/>
      <name val="Calibri"/>
      <family val="2"/>
      <charset val="204"/>
      <scheme val="minor"/>
    </font>
    <font>
      <sz val="12"/>
      <color rgb="FFFF0000"/>
      <name val="Times New Roman"/>
      <family val="2"/>
      <charset val="204"/>
    </font>
    <font>
      <b/>
      <u/>
      <sz val="12"/>
      <color indexed="8"/>
      <name val="Times New Roman"/>
      <family val="1"/>
      <charset val="204"/>
    </font>
    <font>
      <b/>
      <u/>
      <sz val="12"/>
      <color rgb="FFFF0000"/>
      <name val="Times New Roman"/>
      <family val="1"/>
      <charset val="204"/>
    </font>
    <font>
      <sz val="10"/>
      <color rgb="FF003F2F"/>
      <name val="Arial"/>
      <family val="2"/>
      <charset val="204"/>
    </font>
    <font>
      <sz val="10"/>
      <color indexed="21"/>
      <name val="Arial"/>
      <family val="2"/>
      <charset val="204"/>
    </font>
    <font>
      <b/>
      <sz val="11"/>
      <color rgb="FF000000"/>
      <name val="Calibri"/>
      <family val="2"/>
      <charset val="204"/>
    </font>
    <font>
      <b/>
      <u/>
      <sz val="11"/>
      <color rgb="FF0000FF"/>
      <name val="Times New Roman"/>
      <family val="1"/>
      <charset val="204"/>
    </font>
    <font>
      <i/>
      <u/>
      <sz val="11"/>
      <color rgb="FF0000FF"/>
      <name val="Times New Roman"/>
      <family val="1"/>
      <charset val="204"/>
    </font>
    <font>
      <sz val="22"/>
      <color rgb="FF0000FF"/>
      <name val="Times New Roman"/>
      <family val="1"/>
      <charset val="204"/>
    </font>
    <font>
      <sz val="11"/>
      <name val="Calibri"/>
      <family val="2"/>
      <scheme val="minor"/>
    </font>
    <font>
      <i/>
      <sz val="10"/>
      <color theme="9" tint="-0.499984740745262"/>
      <name val="Times New Roman"/>
      <family val="1"/>
      <charset val="204"/>
    </font>
    <font>
      <i/>
      <sz val="11"/>
      <color theme="9" tint="-0.499984740745262"/>
      <name val="Times New Roman"/>
      <family val="1"/>
      <charset val="204"/>
    </font>
    <font>
      <b/>
      <i/>
      <sz val="11"/>
      <color theme="9" tint="-0.499984740745262"/>
      <name val="Times New Roman"/>
      <family val="1"/>
      <charset val="204"/>
    </font>
    <font>
      <i/>
      <sz val="14"/>
      <color theme="9" tint="-0.499984740745262"/>
      <name val="Times New Roman"/>
      <family val="1"/>
      <charset val="204"/>
    </font>
    <font>
      <i/>
      <sz val="14"/>
      <color rgb="FF000000"/>
      <name val="Times New Roman"/>
      <family val="1"/>
      <charset val="204"/>
    </font>
    <font>
      <sz val="8"/>
      <color theme="8" tint="-0.499984740745262"/>
      <name val="Times New Roman"/>
      <family val="1"/>
      <charset val="204"/>
    </font>
    <font>
      <sz val="12"/>
      <color theme="8" tint="-0.499984740745262"/>
      <name val="Times New Roman"/>
      <family val="1"/>
      <charset val="204"/>
    </font>
    <font>
      <sz val="7"/>
      <color rgb="FFFF0000"/>
      <name val="Times New Roman"/>
      <family val="1"/>
      <charset val="204"/>
    </font>
    <font>
      <sz val="11"/>
      <color rgb="FF0000FF"/>
      <name val="Calibri"/>
      <family val="2"/>
      <charset val="204"/>
      <scheme val="minor"/>
    </font>
    <font>
      <sz val="7"/>
      <color theme="0"/>
      <name val="Times New Roman"/>
      <family val="1"/>
      <charset val="204"/>
    </font>
    <font>
      <sz val="12"/>
      <color theme="0"/>
      <name val="Times New Roman"/>
      <family val="1"/>
      <charset val="204"/>
    </font>
    <font>
      <sz val="10"/>
      <color theme="0"/>
      <name val="Times New Roman"/>
      <family val="1"/>
      <charset val="204"/>
    </font>
    <font>
      <sz val="11"/>
      <color theme="0"/>
      <name val="Calibri"/>
      <family val="2"/>
      <scheme val="minor"/>
    </font>
    <font>
      <b/>
      <sz val="11"/>
      <color rgb="FF0000FF"/>
      <name val="Calibri"/>
      <family val="2"/>
      <charset val="204"/>
      <scheme val="minor"/>
    </font>
    <font>
      <b/>
      <sz val="10"/>
      <color rgb="FF0000FF"/>
      <name val="Times New Roman"/>
      <family val="1"/>
      <charset val="204"/>
    </font>
    <font>
      <sz val="12"/>
      <name val="Calibri"/>
      <family val="2"/>
      <charset val="204"/>
      <scheme val="minor"/>
    </font>
    <font>
      <b/>
      <sz val="12"/>
      <color theme="0"/>
      <name val="Times New Roman"/>
      <family val="1"/>
      <charset val="204"/>
    </font>
  </fonts>
  <fills count="97">
    <fill>
      <patternFill patternType="none"/>
    </fill>
    <fill>
      <patternFill patternType="gray125"/>
    </fill>
    <fill>
      <patternFill patternType="solid">
        <fgColor rgb="FFFFFF00"/>
        <bgColor indexed="64"/>
      </patternFill>
    </fill>
    <fill>
      <patternFill patternType="solid">
        <fgColor theme="9"/>
        <bgColor indexed="64"/>
      </patternFill>
    </fill>
    <fill>
      <patternFill patternType="solid">
        <fgColor indexed="9"/>
      </patternFill>
    </fill>
    <fill>
      <patternFill patternType="solid">
        <fgColor indexed="47"/>
      </patternFill>
    </fill>
    <fill>
      <patternFill patternType="solid">
        <fgColor indexed="26"/>
      </patternFill>
    </fill>
    <fill>
      <patternFill patternType="solid">
        <fgColor indexed="27"/>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2"/>
      </patternFill>
    </fill>
    <fill>
      <patternFill patternType="solid">
        <fgColor indexed="29"/>
      </patternFill>
    </fill>
    <fill>
      <patternFill patternType="solid">
        <fgColor indexed="43"/>
      </patternFill>
    </fill>
    <fill>
      <patternFill patternType="solid">
        <fgColor indexed="44"/>
      </patternFill>
    </fill>
    <fill>
      <patternFill patternType="solid">
        <fgColor indexed="11"/>
      </patternFill>
    </fill>
    <fill>
      <patternFill patternType="solid">
        <fgColor indexed="51"/>
      </patternFill>
    </fill>
    <fill>
      <patternFill patternType="solid">
        <fgColor indexed="49"/>
      </patternFill>
    </fill>
    <fill>
      <patternFill patternType="solid">
        <fgColor indexed="30"/>
      </patternFill>
    </fill>
    <fill>
      <patternFill patternType="solid">
        <fgColor indexed="36"/>
      </patternFill>
    </fill>
    <fill>
      <patternFill patternType="solid">
        <fgColor indexed="52"/>
      </patternFill>
    </fill>
    <fill>
      <patternFill patternType="solid">
        <fgColor indexed="19"/>
      </patternFill>
    </fill>
    <fill>
      <patternFill patternType="solid">
        <fgColor indexed="54"/>
      </patternFill>
    </fill>
    <fill>
      <patternFill patternType="solid">
        <fgColor indexed="53"/>
      </patternFill>
    </fill>
    <fill>
      <patternFill patternType="solid">
        <fgColor indexed="55"/>
      </patternFill>
    </fill>
    <fill>
      <patternFill patternType="solid">
        <fgColor indexed="62"/>
      </patternFill>
    </fill>
    <fill>
      <patternFill patternType="solid">
        <fgColor indexed="10"/>
      </patternFill>
    </fill>
    <fill>
      <patternFill patternType="solid">
        <fgColor indexed="57"/>
      </patternFill>
    </fill>
    <fill>
      <patternFill patternType="solid">
        <fgColor rgb="FFFFFFFF"/>
        <bgColor indexed="64"/>
      </patternFill>
    </fill>
    <fill>
      <patternFill patternType="solid">
        <fgColor rgb="FFFF0000"/>
        <bgColor indexed="64"/>
      </patternFill>
    </fill>
    <fill>
      <patternFill patternType="solid">
        <fgColor theme="0" tint="-0.14999847407452621"/>
        <bgColor indexed="64"/>
      </patternFill>
    </fill>
    <fill>
      <patternFill patternType="solid">
        <fgColor theme="0" tint="-4.9989318521683403E-2"/>
        <bgColor indexed="64"/>
      </patternFill>
    </fill>
    <fill>
      <patternFill patternType="solid">
        <fgColor theme="6"/>
        <bgColor indexed="64"/>
      </patternFill>
    </fill>
    <fill>
      <patternFill patternType="solid">
        <fgColor theme="0"/>
        <bgColor indexed="64"/>
      </patternFill>
    </fill>
    <fill>
      <patternFill patternType="solid">
        <fgColor theme="5" tint="0.59999389629810485"/>
        <bgColor indexed="64"/>
      </patternFill>
    </fill>
    <fill>
      <patternFill patternType="solid">
        <fgColor indexed="31"/>
        <bgColor indexed="22"/>
      </patternFill>
    </fill>
    <fill>
      <patternFill patternType="solid">
        <fgColor indexed="45"/>
        <bgColor indexed="29"/>
      </patternFill>
    </fill>
    <fill>
      <patternFill patternType="solid">
        <fgColor indexed="42"/>
        <bgColor indexed="27"/>
      </patternFill>
    </fill>
    <fill>
      <patternFill patternType="solid">
        <fgColor indexed="46"/>
        <bgColor indexed="24"/>
      </patternFill>
    </fill>
    <fill>
      <patternFill patternType="solid">
        <fgColor indexed="27"/>
        <bgColor indexed="41"/>
      </patternFill>
    </fill>
    <fill>
      <patternFill patternType="solid">
        <fgColor indexed="47"/>
        <bgColor indexed="22"/>
      </patternFill>
    </fill>
    <fill>
      <patternFill patternType="solid">
        <fgColor indexed="44"/>
        <bgColor indexed="31"/>
      </patternFill>
    </fill>
    <fill>
      <patternFill patternType="solid">
        <fgColor indexed="29"/>
        <bgColor indexed="45"/>
      </patternFill>
    </fill>
    <fill>
      <patternFill patternType="solid">
        <fgColor indexed="11"/>
        <bgColor indexed="49"/>
      </patternFill>
    </fill>
    <fill>
      <patternFill patternType="solid">
        <fgColor indexed="51"/>
        <bgColor indexed="13"/>
      </patternFill>
    </fill>
    <fill>
      <patternFill patternType="solid">
        <fgColor indexed="30"/>
        <bgColor indexed="21"/>
      </patternFill>
    </fill>
    <fill>
      <patternFill patternType="solid">
        <fgColor indexed="20"/>
        <bgColor indexed="36"/>
      </patternFill>
    </fill>
    <fill>
      <patternFill patternType="solid">
        <fgColor indexed="49"/>
        <bgColor indexed="40"/>
      </patternFill>
    </fill>
    <fill>
      <patternFill patternType="solid">
        <fgColor indexed="52"/>
        <bgColor indexed="51"/>
      </patternFill>
    </fill>
    <fill>
      <patternFill patternType="solid">
        <fgColor indexed="62"/>
        <bgColor indexed="56"/>
      </patternFill>
    </fill>
    <fill>
      <patternFill patternType="solid">
        <fgColor indexed="56"/>
      </patternFill>
    </fill>
    <fill>
      <patternFill patternType="solid">
        <fgColor indexed="10"/>
        <bgColor indexed="60"/>
      </patternFill>
    </fill>
    <fill>
      <patternFill patternType="solid">
        <fgColor indexed="57"/>
        <bgColor indexed="21"/>
      </patternFill>
    </fill>
    <fill>
      <patternFill patternType="solid">
        <fgColor indexed="53"/>
        <bgColor indexed="52"/>
      </patternFill>
    </fill>
    <fill>
      <patternFill patternType="solid">
        <fgColor indexed="55"/>
        <bgColor indexed="23"/>
      </patternFill>
    </fill>
    <fill>
      <patternFill patternType="solid">
        <fgColor indexed="43"/>
        <bgColor indexed="26"/>
      </patternFill>
    </fill>
    <fill>
      <patternFill patternType="solid">
        <fgColor indexed="22"/>
        <bgColor indexed="31"/>
      </patternFill>
    </fill>
    <fill>
      <patternFill patternType="solid">
        <fgColor indexed="26"/>
        <bgColor indexed="9"/>
      </patternFill>
    </fill>
    <fill>
      <patternFill patternType="solid">
        <fgColor rgb="FFFFC000"/>
        <bgColor indexed="64"/>
      </patternFill>
    </fill>
    <fill>
      <patternFill patternType="solid">
        <fgColor rgb="FFD8D8D8"/>
        <bgColor rgb="FF000000"/>
      </patternFill>
    </fill>
    <fill>
      <patternFill patternType="solid">
        <fgColor theme="5"/>
        <bgColor indexed="64"/>
      </patternFill>
    </fill>
    <fill>
      <patternFill patternType="solid">
        <fgColor rgb="FFFFFFFF"/>
        <bgColor rgb="FF000000"/>
      </patternFill>
    </fill>
    <fill>
      <patternFill patternType="solid">
        <fgColor theme="9" tint="0.59999389629810485"/>
        <bgColor indexed="64"/>
      </patternFill>
    </fill>
    <fill>
      <patternFill patternType="solid">
        <fgColor indexed="9"/>
        <bgColor indexed="64"/>
      </patternFill>
    </fill>
    <fill>
      <patternFill patternType="solid">
        <fgColor theme="6" tint="0.79998168889431442"/>
        <bgColor indexed="64"/>
      </patternFill>
    </fill>
    <fill>
      <patternFill patternType="solid">
        <fgColor theme="2"/>
        <bgColor indexed="64"/>
      </patternFill>
    </fill>
    <fill>
      <patternFill patternType="solid">
        <fgColor indexed="13"/>
        <bgColor indexed="64"/>
      </patternFill>
    </fill>
    <fill>
      <patternFill patternType="solid">
        <fgColor theme="4" tint="0.59999389629810485"/>
        <bgColor indexed="64"/>
      </patternFill>
    </fill>
    <fill>
      <patternFill patternType="solid">
        <fgColor theme="2" tint="-9.9978637043366805E-2"/>
        <bgColor indexed="64"/>
      </patternFill>
    </fill>
    <fill>
      <patternFill patternType="solid">
        <fgColor theme="2" tint="-0.249977111117893"/>
        <bgColor indexed="64"/>
      </patternFill>
    </fill>
    <fill>
      <patternFill patternType="solid">
        <fgColor theme="4" tint="0.79998168889431442"/>
        <bgColor indexed="64"/>
      </patternFill>
    </fill>
    <fill>
      <patternFill patternType="solid">
        <fgColor theme="9"/>
        <bgColor rgb="FF000000"/>
      </patternFill>
    </fill>
    <fill>
      <patternFill patternType="solid">
        <fgColor theme="6" tint="0.59999389629810485"/>
        <bgColor indexed="64"/>
      </patternFill>
    </fill>
    <fill>
      <patternFill patternType="solid">
        <fgColor rgb="FF92D050"/>
        <bgColor indexed="64"/>
      </patternFill>
    </fill>
    <fill>
      <patternFill patternType="solid">
        <fgColor rgb="FF00B050"/>
        <bgColor indexed="64"/>
      </patternFill>
    </fill>
    <fill>
      <patternFill patternType="solid">
        <fgColor rgb="FFFFCC00"/>
        <bgColor indexed="64"/>
      </patternFill>
    </fill>
    <fill>
      <patternFill patternType="solid">
        <fgColor theme="3" tint="0.79998168889431442"/>
        <bgColor indexed="64"/>
      </patternFill>
    </fill>
    <fill>
      <patternFill patternType="solid">
        <fgColor theme="7" tint="0.59999389629810485"/>
        <bgColor indexed="64"/>
      </patternFill>
    </fill>
    <fill>
      <patternFill patternType="solid">
        <fgColor rgb="FF00B0F0"/>
        <bgColor indexed="64"/>
      </patternFill>
    </fill>
    <fill>
      <patternFill patternType="solid">
        <fgColor rgb="FF00FFFF"/>
        <bgColor indexed="64"/>
      </patternFill>
    </fill>
    <fill>
      <patternFill patternType="solid">
        <fgColor indexed="22"/>
        <bgColor indexed="64"/>
      </patternFill>
    </fill>
    <fill>
      <patternFill patternType="solid">
        <fgColor rgb="FF92D050"/>
        <bgColor rgb="FF000000"/>
      </patternFill>
    </fill>
    <fill>
      <patternFill patternType="solid">
        <fgColor theme="7" tint="0.79998168889431442"/>
        <bgColor indexed="64"/>
      </patternFill>
    </fill>
    <fill>
      <patternFill patternType="solid">
        <fgColor theme="8" tint="0.79998168889431442"/>
        <bgColor indexed="64"/>
      </patternFill>
    </fill>
    <fill>
      <patternFill patternType="solid">
        <fgColor theme="6" tint="0.39997558519241921"/>
        <bgColor indexed="64"/>
      </patternFill>
    </fill>
    <fill>
      <patternFill patternType="solid">
        <fgColor rgb="FFFF7C80"/>
        <bgColor indexed="64"/>
      </patternFill>
    </fill>
    <fill>
      <patternFill patternType="solid">
        <fgColor rgb="FFCCCC00"/>
        <bgColor indexed="64"/>
      </patternFill>
    </fill>
    <fill>
      <patternFill patternType="solid">
        <fgColor rgb="FFEC20C5"/>
        <bgColor indexed="64"/>
      </patternFill>
    </fill>
    <fill>
      <patternFill patternType="solid">
        <fgColor theme="9" tint="0.79998168889431442"/>
        <bgColor indexed="64"/>
      </patternFill>
    </fill>
    <fill>
      <patternFill patternType="solid">
        <fgColor theme="8" tint="0.59999389629810485"/>
        <bgColor indexed="64"/>
      </patternFill>
    </fill>
    <fill>
      <patternFill patternType="solid">
        <fgColor rgb="FFF2F2F2"/>
        <bgColor rgb="FF000000"/>
      </patternFill>
    </fill>
    <fill>
      <patternFill patternType="solid">
        <fgColor rgb="FFCCFF66"/>
        <bgColor indexed="64"/>
      </patternFill>
    </fill>
    <fill>
      <patternFill patternType="solid">
        <fgColor theme="0" tint="-0.34998626667073579"/>
        <bgColor indexed="64"/>
      </patternFill>
    </fill>
    <fill>
      <patternFill patternType="solid">
        <fgColor rgb="FFE4F0DD"/>
        <bgColor auto="1"/>
      </patternFill>
    </fill>
    <fill>
      <patternFill patternType="solid">
        <fgColor theme="9" tint="0.39997558519241921"/>
        <bgColor indexed="64"/>
      </patternFill>
    </fill>
    <fill>
      <patternFill patternType="solid">
        <fgColor theme="8" tint="0.39997558519241921"/>
        <bgColor indexed="64"/>
      </patternFill>
    </fill>
  </fills>
  <borders count="137">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right/>
      <top/>
      <bottom style="thin">
        <color indexed="64"/>
      </bottom>
      <diagonal/>
    </border>
    <border>
      <left style="medium">
        <color indexed="64"/>
      </left>
      <right style="medium">
        <color indexed="64"/>
      </right>
      <top style="medium">
        <color indexed="64"/>
      </top>
      <bottom style="medium">
        <color indexed="64"/>
      </bottom>
      <diagonal/>
    </border>
    <border>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style="thin">
        <color indexed="64"/>
      </left>
      <right/>
      <top/>
      <bottom style="thin">
        <color indexed="64"/>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49"/>
      </bottom>
      <diagonal/>
    </border>
    <border>
      <left/>
      <right/>
      <top/>
      <bottom style="thick">
        <color indexed="22"/>
      </bottom>
      <diagonal/>
    </border>
    <border>
      <left/>
      <right/>
      <top/>
      <bottom style="medium">
        <color indexed="49"/>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49"/>
      </top>
      <bottom style="double">
        <color indexed="49"/>
      </bottom>
      <diagonal/>
    </border>
    <border>
      <left/>
      <right/>
      <top/>
      <bottom style="thick">
        <color indexed="62"/>
      </bottom>
      <diagonal/>
    </border>
    <border>
      <left/>
      <right/>
      <top/>
      <bottom style="medium">
        <color indexed="30"/>
      </bottom>
      <diagonal/>
    </border>
    <border>
      <left/>
      <right/>
      <top style="thin">
        <color indexed="62"/>
      </top>
      <bottom style="double">
        <color indexed="62"/>
      </bottom>
      <diagonal/>
    </border>
    <border>
      <left style="medium">
        <color indexed="64"/>
      </left>
      <right style="medium">
        <color indexed="64"/>
      </right>
      <top/>
      <bottom style="medium">
        <color indexed="64"/>
      </bottom>
      <diagonal/>
    </border>
    <border>
      <left/>
      <right style="medium">
        <color indexed="64"/>
      </right>
      <top/>
      <bottom/>
      <diagonal/>
    </border>
    <border>
      <left style="thin">
        <color indexed="64"/>
      </left>
      <right/>
      <top/>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diagonal/>
    </border>
    <border>
      <left style="medium">
        <color indexed="64"/>
      </left>
      <right/>
      <top/>
      <bottom style="medium">
        <color indexed="64"/>
      </bottom>
      <diagonal/>
    </border>
    <border>
      <left style="medium">
        <color indexed="64"/>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style="medium">
        <color indexed="64"/>
      </left>
      <right style="medium">
        <color indexed="64"/>
      </right>
      <top style="medium">
        <color indexed="64"/>
      </top>
      <bottom/>
      <diagonal/>
    </border>
    <border>
      <left/>
      <right/>
      <top style="medium">
        <color indexed="64"/>
      </top>
      <bottom/>
      <diagonal/>
    </border>
    <border>
      <left/>
      <right/>
      <top/>
      <bottom style="medium">
        <color indexed="64"/>
      </bottom>
      <diagonal/>
    </border>
    <border>
      <left/>
      <right/>
      <top style="medium">
        <color indexed="64"/>
      </top>
      <bottom style="medium">
        <color indexed="64"/>
      </bottom>
      <diagonal/>
    </border>
    <border>
      <left style="medium">
        <color indexed="64"/>
      </left>
      <right/>
      <top/>
      <bottom style="thin">
        <color indexed="64"/>
      </bottom>
      <diagonal/>
    </border>
    <border>
      <left/>
      <right style="medium">
        <color indexed="64"/>
      </right>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thin">
        <color indexed="64"/>
      </left>
      <right style="medium">
        <color indexed="64"/>
      </right>
      <top style="thin">
        <color indexed="64"/>
      </top>
      <bottom/>
      <diagonal/>
    </border>
    <border>
      <left style="medium">
        <color indexed="64"/>
      </left>
      <right style="thin">
        <color indexed="64"/>
      </right>
      <top style="medium">
        <color indexed="64"/>
      </top>
      <bottom/>
      <diagonal/>
    </border>
    <border>
      <left style="thin">
        <color indexed="64"/>
      </left>
      <right style="thin">
        <color indexed="64"/>
      </right>
      <top style="medium">
        <color indexed="64"/>
      </top>
      <bottom/>
      <diagonal/>
    </border>
    <border>
      <left style="thin">
        <color indexed="64"/>
      </left>
      <right/>
      <top style="medium">
        <color indexed="64"/>
      </top>
      <bottom/>
      <diagonal/>
    </border>
    <border>
      <left style="medium">
        <color indexed="64"/>
      </left>
      <right style="thin">
        <color indexed="64"/>
      </right>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bottom style="medium">
        <color indexed="64"/>
      </bottom>
      <diagonal/>
    </border>
    <border>
      <left style="medium">
        <color indexed="64"/>
      </left>
      <right style="thin">
        <color indexed="64"/>
      </right>
      <top style="medium">
        <color indexed="64"/>
      </top>
      <bottom style="thin">
        <color indexed="64"/>
      </bottom>
      <diagonal/>
    </border>
    <border>
      <left style="thin">
        <color auto="1"/>
      </left>
      <right style="thin">
        <color auto="1"/>
      </right>
      <top style="medium">
        <color indexed="64"/>
      </top>
      <bottom style="thin">
        <color auto="1"/>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right style="thin">
        <color indexed="64"/>
      </right>
      <top style="medium">
        <color indexed="64"/>
      </top>
      <bottom style="medium">
        <color indexed="64"/>
      </bottom>
      <diagonal/>
    </border>
    <border>
      <left style="thin">
        <color auto="1"/>
      </left>
      <right/>
      <top style="medium">
        <color indexed="64"/>
      </top>
      <bottom style="thin">
        <color auto="1"/>
      </bottom>
      <diagonal/>
    </border>
    <border>
      <left/>
      <right style="thin">
        <color auto="1"/>
      </right>
      <top style="medium">
        <color indexed="64"/>
      </top>
      <bottom style="thin">
        <color auto="1"/>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style="medium">
        <color indexed="64"/>
      </left>
      <right style="medium">
        <color indexed="64"/>
      </right>
      <top style="thin">
        <color indexed="64"/>
      </top>
      <bottom style="medium">
        <color indexed="64"/>
      </bottom>
      <diagonal/>
    </border>
    <border>
      <left/>
      <right style="thin">
        <color indexed="64"/>
      </right>
      <top/>
      <bottom style="thin">
        <color indexed="64"/>
      </bottom>
      <diagonal/>
    </border>
    <border>
      <left style="thin">
        <color indexed="64"/>
      </left>
      <right style="medium">
        <color indexed="64"/>
      </right>
      <top/>
      <bottom/>
      <diagonal/>
    </border>
    <border>
      <left style="medium">
        <color indexed="64"/>
      </left>
      <right style="medium">
        <color indexed="64"/>
      </right>
      <top style="thin">
        <color indexed="64"/>
      </top>
      <bottom/>
      <diagonal/>
    </border>
    <border>
      <left/>
      <right style="medium">
        <color indexed="64"/>
      </right>
      <top style="thin">
        <color indexed="64"/>
      </top>
      <bottom style="medium">
        <color indexed="64"/>
      </bottom>
      <diagonal/>
    </border>
    <border>
      <left/>
      <right style="medium">
        <color indexed="64"/>
      </right>
      <top style="thin">
        <color indexed="64"/>
      </top>
      <bottom style="thin">
        <color indexed="64"/>
      </bottom>
      <diagonal/>
    </border>
    <border>
      <left style="thin">
        <color indexed="23"/>
      </left>
      <right style="thin">
        <color indexed="23"/>
      </right>
      <top style="thin">
        <color indexed="23"/>
      </top>
      <bottom style="thin">
        <color indexed="23"/>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
      <left/>
      <right/>
      <top style="thin">
        <color indexed="64"/>
      </top>
      <bottom/>
      <diagonal/>
    </border>
    <border>
      <left/>
      <right style="thin">
        <color indexed="64"/>
      </right>
      <top style="thin">
        <color indexed="64"/>
      </top>
      <bottom/>
      <diagonal/>
    </border>
    <border>
      <left style="thin">
        <color indexed="64"/>
      </left>
      <right style="thin">
        <color indexed="64"/>
      </right>
      <top style="thin">
        <color indexed="64"/>
      </top>
      <bottom/>
      <diagonal/>
    </border>
    <border>
      <left/>
      <right/>
      <top style="thin">
        <color indexed="64"/>
      </top>
      <bottom style="medium">
        <color indexed="64"/>
      </bottom>
      <diagonal/>
    </border>
    <border>
      <left style="thin">
        <color indexed="64"/>
      </left>
      <right style="hair">
        <color indexed="64"/>
      </right>
      <top style="hair">
        <color indexed="64"/>
      </top>
      <bottom style="hair">
        <color indexed="64"/>
      </bottom>
      <diagonal/>
    </border>
    <border>
      <left style="hair">
        <color indexed="64"/>
      </left>
      <right style="hair">
        <color indexed="64"/>
      </right>
      <top style="hair">
        <color indexed="64"/>
      </top>
      <bottom style="hair">
        <color indexed="64"/>
      </bottom>
      <diagonal/>
    </border>
    <border>
      <left style="hair">
        <color indexed="64"/>
      </left>
      <right style="thin">
        <color indexed="64"/>
      </right>
      <top style="hair">
        <color indexed="64"/>
      </top>
      <bottom style="hair">
        <color indexed="64"/>
      </bottom>
      <diagonal/>
    </border>
    <border>
      <left/>
      <right/>
      <top style="thin">
        <color indexed="56"/>
      </top>
      <bottom style="double">
        <color indexed="56"/>
      </bottom>
      <diagonal/>
    </border>
    <border>
      <left/>
      <right/>
      <top/>
      <bottom style="double">
        <color indexed="10"/>
      </bottom>
      <diagonal/>
    </border>
    <border>
      <left/>
      <right style="thin">
        <color indexed="64"/>
      </right>
      <top/>
      <bottom style="medium">
        <color indexed="64"/>
      </bottom>
      <diagonal/>
    </border>
    <border>
      <left/>
      <right style="thin">
        <color indexed="64"/>
      </right>
      <top/>
      <bottom/>
      <diagonal/>
    </border>
    <border>
      <left style="medium">
        <color indexed="64"/>
      </left>
      <right/>
      <top style="medium">
        <color indexed="64"/>
      </top>
      <bottom style="thin">
        <color indexed="64"/>
      </bottom>
      <diagonal/>
    </border>
    <border>
      <left style="medium">
        <color indexed="64"/>
      </left>
      <right style="medium">
        <color indexed="64"/>
      </right>
      <top/>
      <bottom style="thin">
        <color indexed="64"/>
      </bottom>
      <diagonal/>
    </border>
    <border>
      <left/>
      <right style="medium">
        <color indexed="64"/>
      </right>
      <top style="medium">
        <color indexed="64"/>
      </top>
      <bottom style="thin">
        <color auto="1"/>
      </bottom>
      <diagonal/>
    </border>
    <border>
      <left/>
      <right style="thin">
        <color indexed="64"/>
      </right>
      <top style="medium">
        <color indexed="64"/>
      </top>
      <bottom/>
      <diagonal/>
    </border>
    <border>
      <left style="medium">
        <color indexed="64"/>
      </left>
      <right/>
      <top style="thin">
        <color indexed="64"/>
      </top>
      <bottom/>
      <diagonal/>
    </border>
    <border>
      <left/>
      <right/>
      <top style="medium">
        <color indexed="64"/>
      </top>
      <bottom style="thin">
        <color indexed="64"/>
      </bottom>
      <diagonal/>
    </border>
    <border>
      <left style="thin">
        <color indexed="64"/>
      </left>
      <right style="thin">
        <color indexed="64"/>
      </right>
      <top/>
      <bottom style="medium">
        <color indexed="64"/>
      </bottom>
      <diagonal/>
    </border>
    <border>
      <left style="medium">
        <color indexed="64"/>
      </left>
      <right style="thin">
        <color indexed="64"/>
      </right>
      <top/>
      <bottom style="medium">
        <color indexed="64"/>
      </bottom>
      <diagonal/>
    </border>
    <border>
      <left style="thin">
        <color rgb="FF000000"/>
      </left>
      <right style="thin">
        <color rgb="FF000000"/>
      </right>
      <top style="thin">
        <color indexed="64"/>
      </top>
      <bottom style="thin">
        <color indexed="64"/>
      </bottom>
      <diagonal/>
    </border>
    <border>
      <left style="thin">
        <color indexed="64"/>
      </left>
      <right/>
      <top style="thin">
        <color indexed="64"/>
      </top>
      <bottom/>
      <diagonal/>
    </border>
    <border>
      <left style="thin">
        <color indexed="64"/>
      </left>
      <right/>
      <top style="medium">
        <color indexed="64"/>
      </top>
      <bottom style="medium">
        <color indexed="64"/>
      </bottom>
      <diagonal/>
    </border>
    <border>
      <left style="medium">
        <color indexed="64"/>
      </left>
      <right/>
      <top style="medium">
        <color indexed="64"/>
      </top>
      <bottom style="hair">
        <color indexed="64"/>
      </bottom>
      <diagonal/>
    </border>
    <border>
      <left style="medium">
        <color indexed="64"/>
      </left>
      <right style="medium">
        <color indexed="64"/>
      </right>
      <top style="medium">
        <color indexed="64"/>
      </top>
      <bottom style="hair">
        <color indexed="64"/>
      </bottom>
      <diagonal/>
    </border>
    <border>
      <left style="medium">
        <color indexed="64"/>
      </left>
      <right/>
      <top style="hair">
        <color indexed="64"/>
      </top>
      <bottom style="hair">
        <color indexed="64"/>
      </bottom>
      <diagonal/>
    </border>
    <border>
      <left style="medium">
        <color indexed="64"/>
      </left>
      <right style="medium">
        <color indexed="64"/>
      </right>
      <top style="hair">
        <color indexed="64"/>
      </top>
      <bottom style="hair">
        <color indexed="64"/>
      </bottom>
      <diagonal/>
    </border>
    <border>
      <left style="medium">
        <color indexed="64"/>
      </left>
      <right/>
      <top style="hair">
        <color indexed="64"/>
      </top>
      <bottom style="medium">
        <color indexed="64"/>
      </bottom>
      <diagonal/>
    </border>
    <border>
      <left style="medium">
        <color indexed="64"/>
      </left>
      <right style="medium">
        <color indexed="64"/>
      </right>
      <top style="hair">
        <color indexed="64"/>
      </top>
      <bottom style="medium">
        <color indexed="64"/>
      </bottom>
      <diagonal/>
    </border>
    <border>
      <left style="medium">
        <color indexed="64"/>
      </left>
      <right style="medium">
        <color indexed="64"/>
      </right>
      <top style="hair">
        <color indexed="64"/>
      </top>
      <bottom/>
      <diagonal/>
    </border>
    <border>
      <left style="thin">
        <color indexed="64"/>
      </left>
      <right/>
      <top/>
      <bottom style="medium">
        <color indexed="64"/>
      </bottom>
      <diagonal/>
    </border>
    <border>
      <left style="medium">
        <color indexed="64"/>
      </left>
      <right/>
      <top style="hair">
        <color indexed="64"/>
      </top>
      <bottom/>
      <diagonal/>
    </border>
    <border>
      <left/>
      <right/>
      <top style="hair">
        <color indexed="64"/>
      </top>
      <bottom style="hair">
        <color indexed="64"/>
      </bottom>
      <diagonal/>
    </border>
    <border>
      <left style="thin">
        <color indexed="64"/>
      </left>
      <right style="medium">
        <color indexed="64"/>
      </right>
      <top style="medium">
        <color indexed="64"/>
      </top>
      <bottom/>
      <diagonal/>
    </border>
    <border>
      <left style="thin">
        <color indexed="64"/>
      </left>
      <right style="medium">
        <color indexed="64"/>
      </right>
      <top/>
      <bottom style="medium">
        <color indexed="64"/>
      </bottom>
      <diagonal/>
    </border>
    <border>
      <left/>
      <right style="medium">
        <color indexed="64"/>
      </right>
      <top style="thin">
        <color indexed="64"/>
      </top>
      <bottom/>
      <diagonal/>
    </border>
    <border>
      <left style="medium">
        <color indexed="64"/>
      </left>
      <right/>
      <top/>
      <bottom style="hair">
        <color indexed="64"/>
      </bottom>
      <diagonal/>
    </border>
    <border>
      <left style="medium">
        <color indexed="64"/>
      </left>
      <right style="medium">
        <color indexed="64"/>
      </right>
      <top/>
      <bottom style="hair">
        <color indexed="64"/>
      </bottom>
      <diagonal/>
    </border>
    <border>
      <left/>
      <right style="medium">
        <color indexed="64"/>
      </right>
      <top style="medium">
        <color indexed="64"/>
      </top>
      <bottom style="hair">
        <color indexed="64"/>
      </bottom>
      <diagonal/>
    </border>
    <border>
      <left/>
      <right style="medium">
        <color indexed="64"/>
      </right>
      <top style="hair">
        <color indexed="64"/>
      </top>
      <bottom style="hair">
        <color indexed="64"/>
      </bottom>
      <diagonal/>
    </border>
    <border>
      <left/>
      <right style="medium">
        <color indexed="64"/>
      </right>
      <top style="hair">
        <color indexed="64"/>
      </top>
      <bottom style="medium">
        <color indexed="64"/>
      </bottom>
      <diagonal/>
    </border>
    <border>
      <left/>
      <right/>
      <top style="medium">
        <color indexed="64"/>
      </top>
      <bottom style="hair">
        <color indexed="64"/>
      </bottom>
      <diagonal/>
    </border>
    <border>
      <left/>
      <right/>
      <top style="hair">
        <color indexed="64"/>
      </top>
      <bottom style="medium">
        <color indexed="64"/>
      </bottom>
      <diagonal/>
    </border>
    <border>
      <left/>
      <right style="medium">
        <color rgb="FF000000"/>
      </right>
      <top/>
      <bottom style="medium">
        <color rgb="FF000000"/>
      </bottom>
      <diagonal/>
    </border>
    <border>
      <left style="thin">
        <color rgb="FF000000"/>
      </left>
      <right/>
      <top style="thin">
        <color rgb="FF000000"/>
      </top>
      <bottom style="thin">
        <color rgb="FF000000"/>
      </bottom>
      <diagonal/>
    </border>
    <border>
      <left style="thin">
        <color rgb="FF000000"/>
      </left>
      <right style="thin">
        <color rgb="FF000000"/>
      </right>
      <top style="thin">
        <color rgb="FF000000"/>
      </top>
      <bottom style="thin">
        <color rgb="FF000000"/>
      </bottom>
      <diagonal/>
    </border>
    <border>
      <left style="thin">
        <color indexed="64"/>
      </left>
      <right style="thin">
        <color indexed="64"/>
      </right>
      <top/>
      <bottom style="thin">
        <color rgb="FF000000"/>
      </bottom>
      <diagonal/>
    </border>
    <border>
      <left/>
      <right style="thin">
        <color rgb="FF000000"/>
      </right>
      <top style="thin">
        <color indexed="64"/>
      </top>
      <bottom style="thin">
        <color indexed="64"/>
      </bottom>
      <diagonal/>
    </border>
    <border>
      <left/>
      <right/>
      <top style="hair">
        <color indexed="64"/>
      </top>
      <bottom/>
      <diagonal/>
    </border>
    <border>
      <left/>
      <right/>
      <top/>
      <bottom style="hair">
        <color indexed="64"/>
      </bottom>
      <diagonal/>
    </border>
    <border>
      <left/>
      <right style="medium">
        <color indexed="64"/>
      </right>
      <top style="hair">
        <color indexed="64"/>
      </top>
      <bottom/>
      <diagonal/>
    </border>
    <border>
      <left style="medium">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top/>
      <bottom style="double">
        <color indexed="64"/>
      </bottom>
      <diagonal/>
    </border>
    <border>
      <left style="thin">
        <color indexed="64"/>
      </left>
      <right style="thin">
        <color indexed="64"/>
      </right>
      <top/>
      <bottom style="double">
        <color indexed="64"/>
      </bottom>
      <diagonal/>
    </border>
    <border>
      <left/>
      <right style="medium">
        <color indexed="64"/>
      </right>
      <top style="thin">
        <color indexed="64"/>
      </top>
      <bottom style="double">
        <color indexed="64"/>
      </bottom>
      <diagonal/>
    </border>
    <border>
      <left/>
      <right/>
      <top/>
      <bottom style="double">
        <color indexed="64"/>
      </bottom>
      <diagonal/>
    </border>
    <border>
      <left style="medium">
        <color indexed="64"/>
      </left>
      <right style="thin">
        <color indexed="64"/>
      </right>
      <top/>
      <bottom style="medium">
        <color rgb="FF000000"/>
      </bottom>
      <diagonal/>
    </border>
    <border>
      <left style="medium">
        <color indexed="64"/>
      </left>
      <right style="thin">
        <color indexed="64"/>
      </right>
      <top style="medium">
        <color rgb="FF000000"/>
      </top>
      <bottom/>
      <diagonal/>
    </border>
    <border>
      <left style="thin">
        <color rgb="FFACC8BD"/>
      </left>
      <right style="thin">
        <color rgb="FFACC8BD"/>
      </right>
      <top style="thin">
        <color rgb="FFACC8BD"/>
      </top>
      <bottom style="thin">
        <color rgb="FFACC8BD"/>
      </bottom>
      <diagonal/>
    </border>
    <border>
      <left/>
      <right style="medium">
        <color indexed="64"/>
      </right>
      <top/>
      <bottom style="hair">
        <color indexed="64"/>
      </bottom>
      <diagonal/>
    </border>
  </borders>
  <cellStyleXfs count="561">
    <xf numFmtId="0" fontId="0" fillId="0" borderId="0"/>
    <xf numFmtId="0" fontId="32" fillId="0" borderId="0"/>
    <xf numFmtId="168" fontId="35" fillId="0" borderId="0" applyFont="0" applyFill="0" applyBorder="0" applyAlignment="0" applyProtection="0"/>
    <xf numFmtId="169" fontId="34" fillId="0" borderId="0" applyFont="0" applyFill="0" applyBorder="0" applyAlignment="0" applyProtection="0"/>
    <xf numFmtId="168" fontId="32" fillId="0" borderId="0" applyFont="0" applyFill="0" applyBorder="0" applyAlignment="0" applyProtection="0"/>
    <xf numFmtId="0" fontId="30" fillId="0" borderId="0"/>
    <xf numFmtId="0" fontId="29" fillId="0" borderId="0"/>
    <xf numFmtId="0" fontId="34" fillId="0" borderId="0"/>
    <xf numFmtId="9" fontId="51" fillId="0" borderId="0" applyFont="0" applyFill="0" applyBorder="0" applyAlignment="0" applyProtection="0"/>
    <xf numFmtId="0" fontId="53" fillId="4" borderId="0" applyNumberFormat="0" applyBorder="0" applyAlignment="0" applyProtection="0"/>
    <xf numFmtId="0" fontId="53" fillId="5" borderId="0" applyNumberFormat="0" applyBorder="0" applyAlignment="0" applyProtection="0"/>
    <xf numFmtId="0" fontId="53" fillId="6" borderId="0" applyNumberFormat="0" applyBorder="0" applyAlignment="0" applyProtection="0"/>
    <xf numFmtId="0" fontId="53" fillId="4" borderId="0" applyNumberFormat="0" applyBorder="0" applyAlignment="0" applyProtection="0"/>
    <xf numFmtId="0" fontId="53" fillId="7" borderId="0" applyNumberFormat="0" applyBorder="0" applyAlignment="0" applyProtection="0"/>
    <xf numFmtId="0" fontId="53" fillId="5"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7" borderId="0" applyNumberFormat="0" applyBorder="0" applyAlignment="0" applyProtection="0"/>
    <xf numFmtId="0" fontId="52" fillId="5" borderId="0" applyNumberFormat="0" applyBorder="0" applyAlignment="0" applyProtection="0"/>
    <xf numFmtId="0" fontId="53" fillId="12" borderId="0" applyNumberFormat="0" applyBorder="0" applyAlignment="0" applyProtection="0"/>
    <xf numFmtId="0" fontId="53" fillId="13" borderId="0" applyNumberFormat="0" applyBorder="0" applyAlignment="0" applyProtection="0"/>
    <xf numFmtId="0" fontId="53" fillId="14" borderId="0" applyNumberFormat="0" applyBorder="0" applyAlignment="0" applyProtection="0"/>
    <xf numFmtId="0" fontId="53" fillId="12" borderId="0" applyNumberFormat="0" applyBorder="0" applyAlignment="0" applyProtection="0"/>
    <xf numFmtId="0" fontId="53" fillId="15" borderId="0" applyNumberFormat="0" applyBorder="0" applyAlignment="0" applyProtection="0"/>
    <xf numFmtId="0" fontId="53" fillId="5" borderId="0" applyNumberFormat="0" applyBorder="0" applyAlignment="0" applyProtection="0"/>
    <xf numFmtId="0" fontId="52" fillId="15"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5" borderId="0" applyNumberFormat="0" applyBorder="0" applyAlignment="0" applyProtection="0"/>
    <xf numFmtId="0" fontId="52" fillId="17" borderId="0" applyNumberFormat="0" applyBorder="0" applyAlignment="0" applyProtection="0"/>
    <xf numFmtId="0" fontId="54" fillId="18" borderId="0" applyNumberFormat="0" applyBorder="0" applyAlignment="0" applyProtection="0"/>
    <xf numFmtId="0" fontId="54" fillId="13" borderId="0" applyNumberFormat="0" applyBorder="0" applyAlignment="0" applyProtection="0"/>
    <xf numFmtId="0" fontId="54" fillId="14" borderId="0" applyNumberFormat="0" applyBorder="0" applyAlignment="0" applyProtection="0"/>
    <xf numFmtId="0" fontId="54" fillId="12" borderId="0" applyNumberFormat="0" applyBorder="0" applyAlignment="0" applyProtection="0"/>
    <xf numFmtId="0" fontId="54" fillId="18" borderId="0" applyNumberFormat="0" applyBorder="0" applyAlignment="0" applyProtection="0"/>
    <xf numFmtId="0" fontId="54" fillId="5" borderId="0" applyNumberFormat="0" applyBorder="0" applyAlignment="0" applyProtection="0"/>
    <xf numFmtId="0" fontId="55" fillId="19" borderId="0" applyNumberFormat="0" applyBorder="0" applyAlignment="0" applyProtection="0"/>
    <xf numFmtId="0" fontId="55" fillId="13" borderId="0" applyNumberFormat="0" applyBorder="0" applyAlignment="0" applyProtection="0"/>
    <xf numFmtId="0" fontId="55" fillId="16" borderId="0" applyNumberFormat="0" applyBorder="0" applyAlignment="0" applyProtection="0"/>
    <xf numFmtId="0" fontId="55" fillId="20" borderId="0" applyNumberFormat="0" applyBorder="0" applyAlignment="0" applyProtection="0"/>
    <xf numFmtId="0" fontId="55" fillId="18" borderId="0" applyNumberFormat="0" applyBorder="0" applyAlignment="0" applyProtection="0"/>
    <xf numFmtId="0" fontId="55" fillId="21" borderId="0" applyNumberFormat="0" applyBorder="0" applyAlignment="0" applyProtection="0"/>
    <xf numFmtId="0" fontId="54" fillId="18" borderId="0" applyNumberFormat="0" applyBorder="0" applyAlignment="0" applyProtection="0"/>
    <xf numFmtId="0" fontId="54" fillId="22" borderId="0" applyNumberFormat="0" applyBorder="0" applyAlignment="0" applyProtection="0"/>
    <xf numFmtId="0" fontId="54" fillId="22" borderId="0" applyNumberFormat="0" applyBorder="0" applyAlignment="0" applyProtection="0"/>
    <xf numFmtId="0" fontId="54" fillId="23" borderId="0" applyNumberFormat="0" applyBorder="0" applyAlignment="0" applyProtection="0"/>
    <xf numFmtId="0" fontId="54" fillId="18" borderId="0" applyNumberFormat="0" applyBorder="0" applyAlignment="0" applyProtection="0"/>
    <xf numFmtId="0" fontId="54" fillId="24" borderId="0" applyNumberFormat="0" applyBorder="0" applyAlignment="0" applyProtection="0"/>
    <xf numFmtId="0" fontId="56" fillId="9" borderId="0" applyNumberFormat="0" applyBorder="0" applyAlignment="0" applyProtection="0"/>
    <xf numFmtId="0" fontId="57" fillId="4" borderId="11" applyNumberFormat="0" applyAlignment="0" applyProtection="0"/>
    <xf numFmtId="0" fontId="58" fillId="25" borderId="12" applyNumberFormat="0" applyAlignment="0" applyProtection="0"/>
    <xf numFmtId="0" fontId="52" fillId="0" borderId="0"/>
    <xf numFmtId="0" fontId="59" fillId="0" borderId="0" applyNumberFormat="0" applyFill="0" applyBorder="0" applyAlignment="0" applyProtection="0"/>
    <xf numFmtId="0" fontId="60" fillId="10" borderId="0" applyNumberFormat="0" applyBorder="0" applyAlignment="0" applyProtection="0"/>
    <xf numFmtId="0" fontId="61" fillId="0" borderId="13" applyNumberFormat="0" applyFill="0" applyAlignment="0" applyProtection="0"/>
    <xf numFmtId="0" fontId="62" fillId="0" borderId="14" applyNumberFormat="0" applyFill="0" applyAlignment="0" applyProtection="0"/>
    <xf numFmtId="0" fontId="63" fillId="0" borderId="15" applyNumberFormat="0" applyFill="0" applyAlignment="0" applyProtection="0"/>
    <xf numFmtId="0" fontId="63" fillId="0" borderId="0" applyNumberFormat="0" applyFill="0" applyBorder="0" applyAlignment="0" applyProtection="0"/>
    <xf numFmtId="0" fontId="64" fillId="5" borderId="11" applyNumberFormat="0" applyAlignment="0" applyProtection="0"/>
    <xf numFmtId="0" fontId="65" fillId="0" borderId="16" applyNumberFormat="0" applyFill="0" applyAlignment="0" applyProtection="0"/>
    <xf numFmtId="0" fontId="66" fillId="14" borderId="0" applyNumberFormat="0" applyBorder="0" applyAlignment="0" applyProtection="0"/>
    <xf numFmtId="0" fontId="35" fillId="6" borderId="17" applyNumberFormat="0" applyFont="0" applyAlignment="0" applyProtection="0"/>
    <xf numFmtId="0" fontId="67" fillId="4" borderId="18" applyNumberFormat="0" applyAlignment="0" applyProtection="0"/>
    <xf numFmtId="0" fontId="68" fillId="0" borderId="0" applyNumberFormat="0" applyFill="0" applyBorder="0" applyAlignment="0" applyProtection="0"/>
    <xf numFmtId="0" fontId="69" fillId="0" borderId="19" applyNumberFormat="0" applyFill="0" applyAlignment="0" applyProtection="0"/>
    <xf numFmtId="0" fontId="70" fillId="0" borderId="0" applyNumberFormat="0" applyFill="0" applyBorder="0" applyAlignment="0" applyProtection="0"/>
    <xf numFmtId="0" fontId="55" fillId="26" borderId="0" applyNumberFormat="0" applyBorder="0" applyAlignment="0" applyProtection="0"/>
    <xf numFmtId="0" fontId="55" fillId="27" borderId="0" applyNumberFormat="0" applyBorder="0" applyAlignment="0" applyProtection="0"/>
    <xf numFmtId="0" fontId="55" fillId="28" borderId="0" applyNumberFormat="0" applyBorder="0" applyAlignment="0" applyProtection="0"/>
    <xf numFmtId="0" fontId="55" fillId="20" borderId="0" applyNumberFormat="0" applyBorder="0" applyAlignment="0" applyProtection="0"/>
    <xf numFmtId="0" fontId="55" fillId="18" borderId="0" applyNumberFormat="0" applyBorder="0" applyAlignment="0" applyProtection="0"/>
    <xf numFmtId="0" fontId="55" fillId="24" borderId="0" applyNumberFormat="0" applyBorder="0" applyAlignment="0" applyProtection="0"/>
    <xf numFmtId="0" fontId="71" fillId="5" borderId="11" applyNumberFormat="0" applyAlignment="0" applyProtection="0"/>
    <xf numFmtId="9" fontId="72" fillId="0" borderId="0" applyFont="0" applyFill="0" applyBorder="0" applyAlignment="0" applyProtection="0"/>
    <xf numFmtId="0" fontId="73" fillId="12" borderId="18" applyNumberFormat="0" applyAlignment="0" applyProtection="0"/>
    <xf numFmtId="0" fontId="74" fillId="12" borderId="11" applyNumberFormat="0" applyAlignment="0" applyProtection="0"/>
    <xf numFmtId="166" fontId="32" fillId="0" borderId="0" applyFont="0" applyFill="0" applyBorder="0" applyAlignment="0" applyProtection="0"/>
    <xf numFmtId="166" fontId="32" fillId="0" borderId="0" applyFont="0" applyFill="0" applyBorder="0" applyAlignment="0" applyProtection="0"/>
    <xf numFmtId="170" fontId="72" fillId="0" borderId="0" applyFill="0" applyBorder="0" applyAlignment="0" applyProtection="0"/>
    <xf numFmtId="0" fontId="75" fillId="0" borderId="20" applyNumberFormat="0" applyFill="0" applyAlignment="0" applyProtection="0"/>
    <xf numFmtId="0" fontId="75" fillId="0" borderId="20" applyNumberFormat="0" applyFill="0" applyAlignment="0" applyProtection="0"/>
    <xf numFmtId="0" fontId="76" fillId="0" borderId="14" applyNumberFormat="0" applyFill="0" applyAlignment="0" applyProtection="0"/>
    <xf numFmtId="0" fontId="76" fillId="0" borderId="14" applyNumberFormat="0" applyFill="0" applyAlignment="0" applyProtection="0"/>
    <xf numFmtId="0" fontId="77" fillId="0" borderId="21" applyNumberFormat="0" applyFill="0" applyAlignment="0" applyProtection="0"/>
    <xf numFmtId="0" fontId="77" fillId="0" borderId="21" applyNumberFormat="0" applyFill="0" applyAlignment="0" applyProtection="0"/>
    <xf numFmtId="0" fontId="77" fillId="0" borderId="0" applyNumberFormat="0" applyFill="0" applyBorder="0" applyAlignment="0" applyProtection="0"/>
    <xf numFmtId="0" fontId="77" fillId="0" borderId="0" applyNumberFormat="0" applyFill="0" applyBorder="0" applyAlignment="0" applyProtection="0"/>
    <xf numFmtId="0" fontId="72" fillId="0" borderId="0"/>
    <xf numFmtId="0" fontId="34" fillId="0" borderId="0"/>
    <xf numFmtId="0" fontId="34" fillId="0" borderId="0"/>
    <xf numFmtId="0" fontId="51" fillId="0" borderId="0"/>
    <xf numFmtId="0" fontId="52" fillId="0" borderId="0"/>
    <xf numFmtId="0" fontId="32" fillId="0" borderId="0"/>
    <xf numFmtId="0" fontId="34" fillId="0" borderId="0"/>
    <xf numFmtId="0" fontId="34" fillId="0" borderId="0"/>
    <xf numFmtId="0" fontId="28" fillId="0" borderId="0"/>
    <xf numFmtId="0" fontId="28" fillId="0" borderId="0"/>
    <xf numFmtId="0" fontId="28" fillId="0" borderId="0"/>
    <xf numFmtId="0" fontId="28" fillId="0" borderId="0"/>
    <xf numFmtId="0" fontId="34" fillId="0" borderId="0"/>
    <xf numFmtId="0" fontId="53" fillId="0" borderId="0"/>
    <xf numFmtId="0" fontId="78" fillId="0" borderId="22" applyNumberFormat="0" applyFill="0" applyAlignment="0" applyProtection="0"/>
    <xf numFmtId="0" fontId="79" fillId="25" borderId="12" applyNumberFormat="0" applyAlignment="0" applyProtection="0"/>
    <xf numFmtId="0" fontId="80" fillId="0" borderId="0" applyNumberFormat="0" applyFill="0" applyBorder="0" applyAlignment="0" applyProtection="0"/>
    <xf numFmtId="0" fontId="81" fillId="14" borderId="0" applyNumberFormat="0" applyBorder="0" applyAlignment="0" applyProtection="0"/>
    <xf numFmtId="0" fontId="52" fillId="0" borderId="0"/>
    <xf numFmtId="0" fontId="82" fillId="0" borderId="0"/>
    <xf numFmtId="0" fontId="82" fillId="0" borderId="0"/>
    <xf numFmtId="0" fontId="82" fillId="0" borderId="0"/>
    <xf numFmtId="0" fontId="82" fillId="0" borderId="0"/>
    <xf numFmtId="0" fontId="47" fillId="0" borderId="0"/>
    <xf numFmtId="0" fontId="47" fillId="0" borderId="0"/>
    <xf numFmtId="0" fontId="47" fillId="0" borderId="0"/>
    <xf numFmtId="0" fontId="32" fillId="0" borderId="0"/>
    <xf numFmtId="0" fontId="51" fillId="0" borderId="0"/>
    <xf numFmtId="0" fontId="28" fillId="0" borderId="0"/>
    <xf numFmtId="0" fontId="28" fillId="0" borderId="0"/>
    <xf numFmtId="0" fontId="28" fillId="0" borderId="0"/>
    <xf numFmtId="0" fontId="28" fillId="0" borderId="0"/>
    <xf numFmtId="0" fontId="28" fillId="0" borderId="0"/>
    <xf numFmtId="0" fontId="32" fillId="0" borderId="0"/>
    <xf numFmtId="0" fontId="34" fillId="0" borderId="0"/>
    <xf numFmtId="0" fontId="32" fillId="0" borderId="0"/>
    <xf numFmtId="0" fontId="34" fillId="0" borderId="0"/>
    <xf numFmtId="0" fontId="34" fillId="0" borderId="0"/>
    <xf numFmtId="0" fontId="28" fillId="0" borderId="0"/>
    <xf numFmtId="0" fontId="28" fillId="0" borderId="0"/>
    <xf numFmtId="0" fontId="28" fillId="0" borderId="0"/>
    <xf numFmtId="0" fontId="28" fillId="0" borderId="0"/>
    <xf numFmtId="0" fontId="28" fillId="0" borderId="0"/>
    <xf numFmtId="0" fontId="28" fillId="0" borderId="0"/>
    <xf numFmtId="0" fontId="32" fillId="0" borderId="0"/>
    <xf numFmtId="0" fontId="51" fillId="0" borderId="0"/>
    <xf numFmtId="0" fontId="32" fillId="0" borderId="0"/>
    <xf numFmtId="0" fontId="32" fillId="0" borderId="0"/>
    <xf numFmtId="0" fontId="32" fillId="0" borderId="0"/>
    <xf numFmtId="0" fontId="32" fillId="0" borderId="0"/>
    <xf numFmtId="0" fontId="32" fillId="0" borderId="0"/>
    <xf numFmtId="0" fontId="28" fillId="0" borderId="0"/>
    <xf numFmtId="0" fontId="51" fillId="0" borderId="0"/>
    <xf numFmtId="0" fontId="35" fillId="0" borderId="0"/>
    <xf numFmtId="0" fontId="28" fillId="0" borderId="0"/>
    <xf numFmtId="0" fontId="32" fillId="0" borderId="0"/>
    <xf numFmtId="0" fontId="34" fillId="0" borderId="0"/>
    <xf numFmtId="0" fontId="32" fillId="0" borderId="0"/>
    <xf numFmtId="0" fontId="34" fillId="0" borderId="0"/>
    <xf numFmtId="0" fontId="72" fillId="0" borderId="0"/>
    <xf numFmtId="0" fontId="28" fillId="0" borderId="0"/>
    <xf numFmtId="0" fontId="28" fillId="0" borderId="0"/>
    <xf numFmtId="0" fontId="28" fillId="0" borderId="0"/>
    <xf numFmtId="0" fontId="28" fillId="0" borderId="0"/>
    <xf numFmtId="0" fontId="34" fillId="0" borderId="0"/>
    <xf numFmtId="0" fontId="34" fillId="0" borderId="0"/>
    <xf numFmtId="0" fontId="52" fillId="0" borderId="0"/>
    <xf numFmtId="0" fontId="34" fillId="0" borderId="0"/>
    <xf numFmtId="0" fontId="34" fillId="0" borderId="0"/>
    <xf numFmtId="0" fontId="52" fillId="0" borderId="0"/>
    <xf numFmtId="0" fontId="34" fillId="0" borderId="0"/>
    <xf numFmtId="0" fontId="34" fillId="0" borderId="0"/>
    <xf numFmtId="0" fontId="52" fillId="0" borderId="0"/>
    <xf numFmtId="0" fontId="34" fillId="0" borderId="0"/>
    <xf numFmtId="0" fontId="52" fillId="0" borderId="0"/>
    <xf numFmtId="0" fontId="52" fillId="0" borderId="0"/>
    <xf numFmtId="0" fontId="52" fillId="0" borderId="0"/>
    <xf numFmtId="0" fontId="34" fillId="0" borderId="0"/>
    <xf numFmtId="0" fontId="53" fillId="0" borderId="0"/>
    <xf numFmtId="0" fontId="32" fillId="0" borderId="0"/>
    <xf numFmtId="0" fontId="28" fillId="0" borderId="0"/>
    <xf numFmtId="0" fontId="28" fillId="0" borderId="0"/>
    <xf numFmtId="0" fontId="28" fillId="0" borderId="0"/>
    <xf numFmtId="0" fontId="28" fillId="0" borderId="0"/>
    <xf numFmtId="0" fontId="32" fillId="0" borderId="0"/>
    <xf numFmtId="0" fontId="28" fillId="0" borderId="0"/>
    <xf numFmtId="0" fontId="28" fillId="0" borderId="0"/>
    <xf numFmtId="0" fontId="53" fillId="0" borderId="0"/>
    <xf numFmtId="0" fontId="28" fillId="0" borderId="0"/>
    <xf numFmtId="0" fontId="35" fillId="0" borderId="0"/>
    <xf numFmtId="0" fontId="53" fillId="0" borderId="0"/>
    <xf numFmtId="0" fontId="82" fillId="0" borderId="0"/>
    <xf numFmtId="0" fontId="53" fillId="0" borderId="0"/>
    <xf numFmtId="0" fontId="51" fillId="0" borderId="0"/>
    <xf numFmtId="0" fontId="34" fillId="0" borderId="0"/>
    <xf numFmtId="0" fontId="34" fillId="0" borderId="0"/>
    <xf numFmtId="0" fontId="34" fillId="0" borderId="0"/>
    <xf numFmtId="0" fontId="53" fillId="0" borderId="0"/>
    <xf numFmtId="0" fontId="72" fillId="0" borderId="0"/>
    <xf numFmtId="0" fontId="83" fillId="9" borderId="0" applyNumberFormat="0" applyBorder="0" applyAlignment="0" applyProtection="0"/>
    <xf numFmtId="0" fontId="84" fillId="0" borderId="0" applyNumberFormat="0" applyFill="0" applyBorder="0" applyAlignment="0" applyProtection="0"/>
    <xf numFmtId="0" fontId="52" fillId="6" borderId="17" applyNumberFormat="0" applyFont="0" applyAlignment="0" applyProtection="0"/>
    <xf numFmtId="9" fontId="34" fillId="0" borderId="0" applyFont="0" applyFill="0" applyBorder="0" applyAlignment="0" applyProtection="0"/>
    <xf numFmtId="9" fontId="52" fillId="0" borderId="0" applyFont="0" applyFill="0" applyBorder="0" applyAlignment="0" applyProtection="0"/>
    <xf numFmtId="9" fontId="72" fillId="0" borderId="0" applyFill="0" applyBorder="0" applyAlignment="0" applyProtection="0"/>
    <xf numFmtId="9" fontId="35" fillId="0" borderId="0" applyFont="0" applyFill="0" applyBorder="0" applyAlignment="0" applyProtection="0"/>
    <xf numFmtId="9" fontId="52" fillId="0" borderId="0" applyFill="0" applyBorder="0" applyAlignment="0" applyProtection="0"/>
    <xf numFmtId="9" fontId="32" fillId="0" borderId="0" applyFont="0" applyFill="0" applyBorder="0" applyAlignment="0" applyProtection="0"/>
    <xf numFmtId="9" fontId="53" fillId="0" borderId="0" applyFont="0" applyFill="0" applyBorder="0" applyAlignment="0" applyProtection="0"/>
    <xf numFmtId="0" fontId="85" fillId="0" borderId="16" applyNumberFormat="0" applyFill="0" applyAlignment="0" applyProtection="0"/>
    <xf numFmtId="0" fontId="86" fillId="0" borderId="0" applyNumberFormat="0" applyFill="0" applyBorder="0" applyAlignment="0" applyProtection="0"/>
    <xf numFmtId="171" fontId="32"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7" fontId="52"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65" fontId="34" fillId="0" borderId="0" applyFont="0" applyFill="0" applyBorder="0" applyAlignment="0" applyProtection="0"/>
    <xf numFmtId="172" fontId="34" fillId="0" borderId="0" applyFont="0" applyFill="0" applyBorder="0" applyAlignment="0" applyProtection="0"/>
    <xf numFmtId="172" fontId="34" fillId="0" borderId="0" applyFont="0" applyFill="0" applyBorder="0" applyAlignment="0" applyProtection="0"/>
    <xf numFmtId="172" fontId="34" fillId="0" borderId="0" applyFont="0" applyFill="0" applyBorder="0" applyAlignment="0" applyProtection="0"/>
    <xf numFmtId="167" fontId="32" fillId="0" borderId="0" applyFont="0" applyFill="0" applyBorder="0" applyAlignment="0" applyProtection="0"/>
    <xf numFmtId="167" fontId="53" fillId="0" borderId="0" applyFont="0" applyFill="0" applyBorder="0" applyAlignment="0" applyProtection="0"/>
    <xf numFmtId="0" fontId="87" fillId="10" borderId="0" applyNumberFormat="0" applyBorder="0" applyAlignment="0" applyProtection="0"/>
    <xf numFmtId="0" fontId="53" fillId="0" borderId="0"/>
    <xf numFmtId="0" fontId="57" fillId="4" borderId="11" applyNumberFormat="0" applyAlignment="0" applyProtection="0"/>
    <xf numFmtId="0" fontId="64" fillId="5" borderId="11" applyNumberFormat="0" applyAlignment="0" applyProtection="0"/>
    <xf numFmtId="0" fontId="35" fillId="6" borderId="17" applyNumberFormat="0" applyFont="0" applyAlignment="0" applyProtection="0"/>
    <xf numFmtId="0" fontId="67" fillId="4" borderId="18" applyNumberFormat="0" applyAlignment="0" applyProtection="0"/>
    <xf numFmtId="0" fontId="69" fillId="0" borderId="19" applyNumberFormat="0" applyFill="0" applyAlignment="0" applyProtection="0"/>
    <xf numFmtId="0" fontId="28" fillId="0" borderId="0"/>
    <xf numFmtId="0" fontId="28" fillId="0" borderId="0"/>
    <xf numFmtId="0" fontId="51" fillId="0" borderId="0"/>
    <xf numFmtId="0" fontId="28" fillId="0" borderId="0"/>
    <xf numFmtId="0" fontId="51" fillId="0" borderId="0"/>
    <xf numFmtId="0" fontId="99" fillId="0" borderId="0"/>
    <xf numFmtId="0" fontId="72" fillId="0" borderId="0"/>
    <xf numFmtId="0" fontId="32" fillId="0" borderId="0"/>
    <xf numFmtId="0" fontId="71" fillId="5" borderId="74" applyNumberFormat="0" applyAlignment="0" applyProtection="0"/>
    <xf numFmtId="0" fontId="73" fillId="12" borderId="75" applyNumberFormat="0" applyAlignment="0" applyProtection="0"/>
    <xf numFmtId="0" fontId="74" fillId="12" borderId="74" applyNumberFormat="0" applyAlignment="0" applyProtection="0"/>
    <xf numFmtId="0" fontId="78" fillId="0" borderId="76" applyNumberFormat="0" applyFill="0" applyAlignment="0" applyProtection="0"/>
    <xf numFmtId="0" fontId="32" fillId="0" borderId="0"/>
    <xf numFmtId="0" fontId="52" fillId="0" borderId="0"/>
    <xf numFmtId="0" fontId="52" fillId="0" borderId="0"/>
    <xf numFmtId="0" fontId="32" fillId="6" borderId="17" applyNumberFormat="0" applyFont="0" applyAlignment="0" applyProtection="0"/>
    <xf numFmtId="9" fontId="99" fillId="0" borderId="0"/>
    <xf numFmtId="0" fontId="51" fillId="0" borderId="0"/>
    <xf numFmtId="0" fontId="103" fillId="0" borderId="0"/>
    <xf numFmtId="0" fontId="104" fillId="0" borderId="0" applyNumberFormat="0" applyFill="0" applyBorder="0" applyAlignment="0" applyProtection="0"/>
    <xf numFmtId="0" fontId="25" fillId="0" borderId="0"/>
    <xf numFmtId="0" fontId="24" fillId="0" borderId="0"/>
    <xf numFmtId="0" fontId="52" fillId="36" borderId="0" applyNumberFormat="0" applyBorder="0" applyAlignment="0" applyProtection="0"/>
    <xf numFmtId="0" fontId="52" fillId="8" borderId="0" applyNumberFormat="0" applyBorder="0" applyAlignment="0" applyProtection="0"/>
    <xf numFmtId="0" fontId="52" fillId="15" borderId="0" applyNumberFormat="0" applyBorder="0" applyAlignment="0" applyProtection="0"/>
    <xf numFmtId="0" fontId="52" fillId="37" borderId="0" applyNumberFormat="0" applyBorder="0" applyAlignment="0" applyProtection="0"/>
    <xf numFmtId="0" fontId="52" fillId="9" borderId="0" applyNumberFormat="0" applyBorder="0" applyAlignment="0" applyProtection="0"/>
    <xf numFmtId="0" fontId="52" fillId="13" borderId="0" applyNumberFormat="0" applyBorder="0" applyAlignment="0" applyProtection="0"/>
    <xf numFmtId="0" fontId="52" fillId="38" borderId="0" applyNumberFormat="0" applyBorder="0" applyAlignment="0" applyProtection="0"/>
    <xf numFmtId="0" fontId="52" fillId="10" borderId="0" applyNumberFormat="0" applyBorder="0" applyAlignment="0" applyProtection="0"/>
    <xf numFmtId="0" fontId="52" fillId="6" borderId="0" applyNumberFormat="0" applyBorder="0" applyAlignment="0" applyProtection="0"/>
    <xf numFmtId="0" fontId="52" fillId="39" borderId="0" applyNumberFormat="0" applyBorder="0" applyAlignment="0" applyProtection="0"/>
    <xf numFmtId="0" fontId="52" fillId="11" borderId="0" applyNumberFormat="0" applyBorder="0" applyAlignment="0" applyProtection="0"/>
    <xf numFmtId="0" fontId="52" fillId="5" borderId="0" applyNumberFormat="0" applyBorder="0" applyAlignment="0" applyProtection="0"/>
    <xf numFmtId="0" fontId="52" fillId="40"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41" borderId="0" applyNumberFormat="0" applyBorder="0" applyAlignment="0" applyProtection="0"/>
    <xf numFmtId="0" fontId="52" fillId="5" borderId="0" applyNumberFormat="0" applyBorder="0" applyAlignment="0" applyProtection="0"/>
    <xf numFmtId="0" fontId="52" fillId="6" borderId="0" applyNumberFormat="0" applyBorder="0" applyAlignment="0" applyProtection="0"/>
    <xf numFmtId="0" fontId="52" fillId="36" borderId="0" applyNumberFormat="0" applyBorder="0" applyAlignment="0" applyProtection="0"/>
    <xf numFmtId="0" fontId="52" fillId="37" borderId="0" applyNumberFormat="0" applyBorder="0" applyAlignment="0" applyProtection="0"/>
    <xf numFmtId="0" fontId="52" fillId="38" borderId="0" applyNumberFormat="0" applyBorder="0" applyAlignment="0" applyProtection="0"/>
    <xf numFmtId="0" fontId="52" fillId="39" borderId="0" applyNumberFormat="0" applyBorder="0" applyAlignment="0" applyProtection="0"/>
    <xf numFmtId="0" fontId="52" fillId="40" borderId="0" applyNumberFormat="0" applyBorder="0" applyAlignment="0" applyProtection="0"/>
    <xf numFmtId="0" fontId="52" fillId="41" borderId="0" applyNumberFormat="0" applyBorder="0" applyAlignment="0" applyProtection="0"/>
    <xf numFmtId="0" fontId="52" fillId="42" borderId="0" applyNumberFormat="0" applyBorder="0" applyAlignment="0" applyProtection="0"/>
    <xf numFmtId="0" fontId="52" fillId="15" borderId="0" applyNumberFormat="0" applyBorder="0" applyAlignment="0" applyProtection="0"/>
    <xf numFmtId="0" fontId="52" fillId="7" borderId="0" applyNumberFormat="0" applyBorder="0" applyAlignment="0" applyProtection="0"/>
    <xf numFmtId="0" fontId="52" fillId="43"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44" borderId="0" applyNumberFormat="0" applyBorder="0" applyAlignment="0" applyProtection="0"/>
    <xf numFmtId="0" fontId="52" fillId="16" borderId="0" applyNumberFormat="0" applyBorder="0" applyAlignment="0" applyProtection="0"/>
    <xf numFmtId="0" fontId="52" fillId="14" borderId="0" applyNumberFormat="0" applyBorder="0" applyAlignment="0" applyProtection="0"/>
    <xf numFmtId="0" fontId="52" fillId="39" borderId="0" applyNumberFormat="0" applyBorder="0" applyAlignment="0" applyProtection="0"/>
    <xf numFmtId="0" fontId="52" fillId="11" borderId="0" applyNumberFormat="0" applyBorder="0" applyAlignment="0" applyProtection="0"/>
    <xf numFmtId="0" fontId="52" fillId="9" borderId="0" applyNumberFormat="0" applyBorder="0" applyAlignment="0" applyProtection="0"/>
    <xf numFmtId="0" fontId="52" fillId="42" borderId="0" applyNumberFormat="0" applyBorder="0" applyAlignment="0" applyProtection="0"/>
    <xf numFmtId="0" fontId="52" fillId="15" borderId="0" applyNumberFormat="0" applyBorder="0" applyAlignment="0" applyProtection="0"/>
    <xf numFmtId="0" fontId="52" fillId="7" borderId="0" applyNumberFormat="0" applyBorder="0" applyAlignment="0" applyProtection="0"/>
    <xf numFmtId="0" fontId="52" fillId="45" borderId="0" applyNumberFormat="0" applyBorder="0" applyAlignment="0" applyProtection="0"/>
    <xf numFmtId="0" fontId="52" fillId="17" borderId="0" applyNumberFormat="0" applyBorder="0" applyAlignment="0" applyProtection="0"/>
    <xf numFmtId="0" fontId="52" fillId="6" borderId="0" applyNumberFormat="0" applyBorder="0" applyAlignment="0" applyProtection="0"/>
    <xf numFmtId="0" fontId="52" fillId="42" borderId="0" applyNumberFormat="0" applyBorder="0" applyAlignment="0" applyProtection="0"/>
    <xf numFmtId="0" fontId="52" fillId="43" borderId="0" applyNumberFormat="0" applyBorder="0" applyAlignment="0" applyProtection="0"/>
    <xf numFmtId="0" fontId="52" fillId="44" borderId="0" applyNumberFormat="0" applyBorder="0" applyAlignment="0" applyProtection="0"/>
    <xf numFmtId="0" fontId="52" fillId="39" borderId="0" applyNumberFormat="0" applyBorder="0" applyAlignment="0" applyProtection="0"/>
    <xf numFmtId="0" fontId="52" fillId="42" borderId="0" applyNumberFormat="0" applyBorder="0" applyAlignment="0" applyProtection="0"/>
    <xf numFmtId="0" fontId="52" fillId="45" borderId="0" applyNumberFormat="0" applyBorder="0" applyAlignment="0" applyProtection="0"/>
    <xf numFmtId="0" fontId="55" fillId="46" borderId="0" applyNumberFormat="0" applyBorder="0" applyAlignment="0" applyProtection="0"/>
    <xf numFmtId="0" fontId="55" fillId="19" borderId="0" applyNumberFormat="0" applyBorder="0" applyAlignment="0" applyProtection="0"/>
    <xf numFmtId="0" fontId="55" fillId="7" borderId="0" applyNumberFormat="0" applyBorder="0" applyAlignment="0" applyProtection="0"/>
    <xf numFmtId="0" fontId="55" fillId="43" borderId="0" applyNumberFormat="0" applyBorder="0" applyAlignment="0" applyProtection="0"/>
    <xf numFmtId="0" fontId="55" fillId="13" borderId="0" applyNumberFormat="0" applyBorder="0" applyAlignment="0" applyProtection="0"/>
    <xf numFmtId="0" fontId="55" fillId="24" borderId="0" applyNumberFormat="0" applyBorder="0" applyAlignment="0" applyProtection="0"/>
    <xf numFmtId="0" fontId="55" fillId="44" borderId="0" applyNumberFormat="0" applyBorder="0" applyAlignment="0" applyProtection="0"/>
    <xf numFmtId="0" fontId="55" fillId="16" borderId="0" applyNumberFormat="0" applyBorder="0" applyAlignment="0" applyProtection="0"/>
    <xf numFmtId="0" fontId="55" fillId="17" borderId="0" applyNumberFormat="0" applyBorder="0" applyAlignment="0" applyProtection="0"/>
    <xf numFmtId="0" fontId="55" fillId="47" borderId="0" applyNumberFormat="0" applyBorder="0" applyAlignment="0" applyProtection="0"/>
    <xf numFmtId="0" fontId="55" fillId="20" borderId="0" applyNumberFormat="0" applyBorder="0" applyAlignment="0" applyProtection="0"/>
    <xf numFmtId="0" fontId="55" fillId="9" borderId="0" applyNumberFormat="0" applyBorder="0" applyAlignment="0" applyProtection="0"/>
    <xf numFmtId="0" fontId="55" fillId="48" borderId="0" applyNumberFormat="0" applyBorder="0" applyAlignment="0" applyProtection="0"/>
    <xf numFmtId="0" fontId="55" fillId="18" borderId="0" applyNumberFormat="0" applyBorder="0" applyAlignment="0" applyProtection="0"/>
    <xf numFmtId="0" fontId="55" fillId="7" borderId="0" applyNumberFormat="0" applyBorder="0" applyAlignment="0" applyProtection="0"/>
    <xf numFmtId="0" fontId="55" fillId="49" borderId="0" applyNumberFormat="0" applyBorder="0" applyAlignment="0" applyProtection="0"/>
    <xf numFmtId="0" fontId="55" fillId="21" borderId="0" applyNumberFormat="0" applyBorder="0" applyAlignment="0" applyProtection="0"/>
    <xf numFmtId="0" fontId="55" fillId="13" borderId="0" applyNumberFormat="0" applyBorder="0" applyAlignment="0" applyProtection="0"/>
    <xf numFmtId="0" fontId="55" fillId="46" borderId="0" applyNumberFormat="0" applyBorder="0" applyAlignment="0" applyProtection="0"/>
    <xf numFmtId="0" fontId="55" fillId="43" borderId="0" applyNumberFormat="0" applyBorder="0" applyAlignment="0" applyProtection="0"/>
    <xf numFmtId="0" fontId="55" fillId="44" borderId="0" applyNumberFormat="0" applyBorder="0" applyAlignment="0" applyProtection="0"/>
    <xf numFmtId="0" fontId="55" fillId="47" borderId="0" applyNumberFormat="0" applyBorder="0" applyAlignment="0" applyProtection="0"/>
    <xf numFmtId="0" fontId="55" fillId="48" borderId="0" applyNumberFormat="0" applyBorder="0" applyAlignment="0" applyProtection="0"/>
    <xf numFmtId="0" fontId="55" fillId="49" borderId="0" applyNumberFormat="0" applyBorder="0" applyAlignment="0" applyProtection="0"/>
    <xf numFmtId="0" fontId="34" fillId="0" borderId="81" applyNumberFormat="0" applyFill="0" applyProtection="0">
      <alignment vertical="top" wrapText="1"/>
    </xf>
    <xf numFmtId="0" fontId="34" fillId="0" borderId="82" applyNumberFormat="0" applyFill="0" applyProtection="0">
      <alignment vertical="top" wrapText="1"/>
    </xf>
    <xf numFmtId="0" fontId="34" fillId="0" borderId="82" applyNumberFormat="0" applyFill="0" applyProtection="0">
      <alignment vertical="top" wrapText="1"/>
    </xf>
    <xf numFmtId="0" fontId="34" fillId="0" borderId="82" applyNumberFormat="0" applyFill="0" applyProtection="0">
      <alignment vertical="top" wrapText="1"/>
    </xf>
    <xf numFmtId="180" fontId="34" fillId="0" borderId="82" applyFill="0" applyProtection="0">
      <alignment vertical="top" wrapText="1"/>
    </xf>
    <xf numFmtId="0" fontId="34" fillId="0" borderId="82" applyNumberFormat="0" applyFill="0" applyProtection="0">
      <alignment vertical="top" wrapText="1"/>
    </xf>
    <xf numFmtId="0" fontId="34" fillId="0" borderId="82" applyNumberFormat="0" applyFill="0" applyProtection="0">
      <alignment vertical="top" wrapText="1"/>
    </xf>
    <xf numFmtId="0" fontId="34" fillId="0" borderId="82" applyNumberFormat="0" applyFill="0" applyProtection="0">
      <alignment vertical="top" wrapText="1"/>
    </xf>
    <xf numFmtId="0" fontId="34" fillId="0" borderId="82" applyNumberFormat="0" applyFill="0" applyProtection="0">
      <alignment vertical="top" wrapText="1"/>
    </xf>
    <xf numFmtId="0" fontId="34" fillId="0" borderId="82" applyNumberFormat="0" applyFill="0" applyProtection="0">
      <alignment vertical="top" wrapText="1"/>
    </xf>
    <xf numFmtId="180" fontId="34" fillId="0" borderId="82" applyFill="0" applyProtection="0">
      <alignment vertical="top" wrapText="1"/>
    </xf>
    <xf numFmtId="0" fontId="34" fillId="0" borderId="82" applyNumberFormat="0" applyFill="0" applyProtection="0">
      <alignment vertical="top" wrapText="1"/>
    </xf>
    <xf numFmtId="0" fontId="34" fillId="0" borderId="82" applyNumberFormat="0" applyFill="0" applyProtection="0">
      <alignment vertical="top" wrapText="1"/>
    </xf>
    <xf numFmtId="0" fontId="34" fillId="0" borderId="82" applyNumberFormat="0" applyFill="0" applyProtection="0">
      <alignment vertical="top" wrapText="1"/>
    </xf>
    <xf numFmtId="0" fontId="34" fillId="0" borderId="82" applyNumberFormat="0" applyFill="0" applyProtection="0">
      <alignment vertical="top"/>
    </xf>
    <xf numFmtId="0" fontId="34" fillId="0" borderId="83" applyNumberFormat="0" applyFill="0" applyProtection="0">
      <alignment vertical="top" wrapText="1"/>
    </xf>
    <xf numFmtId="0" fontId="34" fillId="0" borderId="82" applyNumberFormat="0" applyFill="0" applyProtection="0">
      <alignment vertical="top"/>
    </xf>
    <xf numFmtId="0" fontId="34" fillId="0" borderId="83" applyNumberFormat="0" applyFill="0" applyProtection="0">
      <alignment vertical="top" wrapText="1"/>
    </xf>
    <xf numFmtId="0" fontId="34" fillId="0" borderId="82" applyNumberFormat="0" applyFill="0" applyProtection="0">
      <alignment vertical="top" wrapText="1"/>
    </xf>
    <xf numFmtId="0" fontId="34" fillId="0" borderId="82" applyNumberFormat="0" applyFill="0" applyProtection="0">
      <alignment vertical="top" wrapText="1"/>
    </xf>
    <xf numFmtId="180" fontId="34" fillId="0" borderId="82" applyFill="0" applyProtection="0">
      <alignment vertical="top" wrapText="1"/>
    </xf>
    <xf numFmtId="0" fontId="34" fillId="0" borderId="82" applyNumberFormat="0" applyFill="0" applyProtection="0">
      <alignment vertical="top" wrapText="1"/>
    </xf>
    <xf numFmtId="0" fontId="34" fillId="0" borderId="82" applyNumberFormat="0" applyFill="0" applyProtection="0">
      <alignment vertical="top" wrapText="1"/>
    </xf>
    <xf numFmtId="0" fontId="34" fillId="0" borderId="82" applyNumberFormat="0" applyFill="0" applyProtection="0">
      <alignment vertical="top" wrapText="1"/>
    </xf>
    <xf numFmtId="180" fontId="34" fillId="0" borderId="82" applyFill="0" applyProtection="0">
      <alignment vertical="top" wrapText="1"/>
    </xf>
    <xf numFmtId="0" fontId="130" fillId="0" borderId="0" applyNumberFormat="0" applyFill="0" applyBorder="0" applyProtection="0">
      <alignment horizontal="center" vertical="top" wrapText="1"/>
    </xf>
    <xf numFmtId="0" fontId="131" fillId="0" borderId="77" applyNumberFormat="0" applyFill="0" applyProtection="0">
      <alignment wrapText="1"/>
    </xf>
    <xf numFmtId="0" fontId="131" fillId="0" borderId="77" applyNumberFormat="0" applyFill="0" applyProtection="0">
      <alignment wrapText="1"/>
    </xf>
    <xf numFmtId="0" fontId="131" fillId="0" borderId="77" applyNumberFormat="0" applyFill="0" applyProtection="0">
      <alignment wrapText="1"/>
    </xf>
    <xf numFmtId="0" fontId="131" fillId="0" borderId="77" applyNumberFormat="0" applyFill="0" applyProtection="0">
      <alignment wrapText="1"/>
    </xf>
    <xf numFmtId="180" fontId="131" fillId="0" borderId="77" applyFill="0" applyProtection="0">
      <alignment wrapText="1"/>
    </xf>
    <xf numFmtId="0" fontId="131" fillId="0" borderId="77" applyNumberFormat="0" applyFill="0" applyProtection="0">
      <alignment wrapText="1"/>
    </xf>
    <xf numFmtId="0" fontId="131" fillId="0" borderId="77" applyNumberFormat="0" applyFill="0" applyProtection="0">
      <alignment wrapText="1"/>
    </xf>
    <xf numFmtId="0" fontId="131" fillId="0" borderId="77" applyNumberFormat="0" applyFill="0" applyProtection="0">
      <alignment wrapText="1"/>
    </xf>
    <xf numFmtId="0" fontId="131" fillId="0" borderId="77" applyNumberFormat="0" applyFill="0" applyProtection="0">
      <alignment wrapText="1"/>
    </xf>
    <xf numFmtId="0" fontId="131" fillId="0" borderId="77" applyNumberFormat="0" applyFill="0" applyProtection="0">
      <alignment wrapText="1"/>
    </xf>
    <xf numFmtId="180" fontId="131" fillId="0" borderId="77" applyFill="0" applyProtection="0">
      <alignment wrapText="1"/>
    </xf>
    <xf numFmtId="0" fontId="131" fillId="0" borderId="77" applyNumberFormat="0" applyFill="0" applyProtection="0">
      <alignment wrapText="1"/>
    </xf>
    <xf numFmtId="0" fontId="131" fillId="0" borderId="77" applyNumberFormat="0" applyFill="0" applyProtection="0">
      <alignment wrapText="1"/>
    </xf>
    <xf numFmtId="0" fontId="131" fillId="0" borderId="77" applyNumberFormat="0" applyFill="0" applyProtection="0">
      <alignment wrapText="1"/>
    </xf>
    <xf numFmtId="0" fontId="131" fillId="0" borderId="77" applyNumberFormat="0" applyFill="0" applyProtection="0">
      <alignment wrapText="1"/>
    </xf>
    <xf numFmtId="0" fontId="131" fillId="0" borderId="77" applyNumberFormat="0" applyFill="0" applyProtection="0">
      <alignment wrapText="1"/>
    </xf>
    <xf numFmtId="0" fontId="131" fillId="0" borderId="77" applyNumberFormat="0" applyFill="0" applyProtection="0">
      <alignment wrapText="1"/>
    </xf>
    <xf numFmtId="0" fontId="131" fillId="0" borderId="77" applyNumberFormat="0" applyFill="0" applyProtection="0">
      <alignment wrapText="1"/>
    </xf>
    <xf numFmtId="0" fontId="131" fillId="0" borderId="77" applyNumberFormat="0" applyFill="0" applyProtection="0">
      <alignment wrapText="1"/>
    </xf>
    <xf numFmtId="0" fontId="131" fillId="0" borderId="77" applyNumberFormat="0" applyFill="0" applyProtection="0">
      <alignment wrapText="1"/>
    </xf>
    <xf numFmtId="180" fontId="131" fillId="0" borderId="77" applyFill="0" applyProtection="0">
      <alignment wrapText="1"/>
    </xf>
    <xf numFmtId="0" fontId="131" fillId="0" borderId="77" applyNumberFormat="0" applyFill="0" applyProtection="0">
      <alignment wrapText="1"/>
    </xf>
    <xf numFmtId="0" fontId="131" fillId="0" borderId="77" applyNumberFormat="0" applyFill="0" applyProtection="0">
      <alignment wrapText="1"/>
    </xf>
    <xf numFmtId="0" fontId="131" fillId="0" borderId="77" applyNumberFormat="0" applyFill="0" applyProtection="0">
      <alignment wrapText="1"/>
    </xf>
    <xf numFmtId="180" fontId="131" fillId="0" borderId="77" applyFill="0" applyProtection="0">
      <alignment wrapText="1"/>
    </xf>
    <xf numFmtId="0" fontId="115" fillId="0" borderId="1" applyNumberFormat="0" applyFill="0" applyProtection="0">
      <alignment horizontal="center" vertical="top" wrapText="1"/>
    </xf>
    <xf numFmtId="0" fontId="52" fillId="0" borderId="0"/>
    <xf numFmtId="0" fontId="52" fillId="0" borderId="0"/>
    <xf numFmtId="0" fontId="52" fillId="0" borderId="0"/>
    <xf numFmtId="0" fontId="52" fillId="0" borderId="0"/>
    <xf numFmtId="0" fontId="34" fillId="0" borderId="0"/>
    <xf numFmtId="0" fontId="32" fillId="0" borderId="0"/>
    <xf numFmtId="0" fontId="132" fillId="4" borderId="0">
      <alignment horizontal="center" vertical="center"/>
    </xf>
    <xf numFmtId="0" fontId="133" fillId="4" borderId="0">
      <alignment horizontal="left" vertical="center"/>
    </xf>
    <xf numFmtId="0" fontId="55" fillId="50" borderId="0" applyNumberFormat="0" applyBorder="0" applyAlignment="0" applyProtection="0"/>
    <xf numFmtId="0" fontId="55" fillId="26" borderId="0" applyNumberFormat="0" applyBorder="0" applyAlignment="0" applyProtection="0"/>
    <xf numFmtId="0" fontId="55" fillId="51" borderId="0" applyNumberFormat="0" applyBorder="0" applyAlignment="0" applyProtection="0"/>
    <xf numFmtId="0" fontId="55" fillId="52" borderId="0" applyNumberFormat="0" applyBorder="0" applyAlignment="0" applyProtection="0"/>
    <xf numFmtId="0" fontId="55" fillId="27" borderId="0" applyNumberFormat="0" applyBorder="0" applyAlignment="0" applyProtection="0"/>
    <xf numFmtId="0" fontId="55" fillId="24" borderId="0" applyNumberFormat="0" applyBorder="0" applyAlignment="0" applyProtection="0"/>
    <xf numFmtId="0" fontId="55" fillId="53" borderId="0" applyNumberFormat="0" applyBorder="0" applyAlignment="0" applyProtection="0"/>
    <xf numFmtId="0" fontId="55" fillId="28" borderId="0" applyNumberFormat="0" applyBorder="0" applyAlignment="0" applyProtection="0"/>
    <xf numFmtId="0" fontId="55" fillId="17" borderId="0" applyNumberFormat="0" applyBorder="0" applyAlignment="0" applyProtection="0"/>
    <xf numFmtId="0" fontId="55" fillId="47" borderId="0" applyNumberFormat="0" applyBorder="0" applyAlignment="0" applyProtection="0"/>
    <xf numFmtId="0" fontId="55" fillId="20" borderId="0" applyNumberFormat="0" applyBorder="0" applyAlignment="0" applyProtection="0"/>
    <xf numFmtId="0" fontId="55" fillId="23" borderId="0" applyNumberFormat="0" applyBorder="0" applyAlignment="0" applyProtection="0"/>
    <xf numFmtId="0" fontId="55" fillId="48" borderId="0" applyNumberFormat="0" applyBorder="0" applyAlignment="0" applyProtection="0"/>
    <xf numFmtId="0" fontId="55" fillId="18" borderId="0" applyNumberFormat="0" applyBorder="0" applyAlignment="0" applyProtection="0"/>
    <xf numFmtId="0" fontId="55" fillId="18" borderId="0" applyNumberFormat="0" applyBorder="0" applyAlignment="0" applyProtection="0"/>
    <xf numFmtId="0" fontId="55" fillId="54" borderId="0" applyNumberFormat="0" applyBorder="0" applyAlignment="0" applyProtection="0"/>
    <xf numFmtId="0" fontId="55" fillId="24" borderId="0" applyNumberFormat="0" applyBorder="0" applyAlignment="0" applyProtection="0"/>
    <xf numFmtId="0" fontId="55" fillId="27" borderId="0" applyNumberFormat="0" applyBorder="0" applyAlignment="0" applyProtection="0"/>
    <xf numFmtId="0" fontId="55" fillId="50" borderId="0" applyNumberFormat="0" applyBorder="0" applyAlignment="0" applyProtection="0"/>
    <xf numFmtId="0" fontId="55" fillId="52" borderId="0" applyNumberFormat="0" applyBorder="0" applyAlignment="0" applyProtection="0"/>
    <xf numFmtId="0" fontId="55" fillId="53" borderId="0" applyNumberFormat="0" applyBorder="0" applyAlignment="0" applyProtection="0"/>
    <xf numFmtId="0" fontId="55" fillId="47" borderId="0" applyNumberFormat="0" applyBorder="0" applyAlignment="0" applyProtection="0"/>
    <xf numFmtId="0" fontId="55" fillId="48" borderId="0" applyNumberFormat="0" applyBorder="0" applyAlignment="0" applyProtection="0"/>
    <xf numFmtId="0" fontId="55" fillId="54" borderId="0" applyNumberFormat="0" applyBorder="0" applyAlignment="0" applyProtection="0"/>
    <xf numFmtId="0" fontId="71" fillId="41" borderId="74" applyNumberFormat="0" applyAlignment="0" applyProtection="0"/>
    <xf numFmtId="0" fontId="71" fillId="5" borderId="74" applyNumberFormat="0" applyAlignment="0" applyProtection="0"/>
    <xf numFmtId="0" fontId="71" fillId="14" borderId="74" applyNumberFormat="0" applyAlignment="0" applyProtection="0"/>
    <xf numFmtId="0" fontId="73" fillId="12" borderId="75" applyNumberFormat="0" applyAlignment="0" applyProtection="0"/>
    <xf numFmtId="0" fontId="73" fillId="4" borderId="75" applyNumberFormat="0" applyAlignment="0" applyProtection="0"/>
    <xf numFmtId="0" fontId="74" fillId="12" borderId="74" applyNumberFormat="0" applyAlignment="0" applyProtection="0"/>
    <xf numFmtId="0" fontId="134" fillId="4" borderId="74" applyNumberFormat="0" applyAlignment="0" applyProtection="0"/>
    <xf numFmtId="168" fontId="34" fillId="0" borderId="0" applyFont="0" applyFill="0" applyBorder="0" applyAlignment="0" applyProtection="0"/>
    <xf numFmtId="166" fontId="32" fillId="0" borderId="0" applyFont="0" applyFill="0" applyBorder="0" applyAlignment="0" applyProtection="0"/>
    <xf numFmtId="0" fontId="87" fillId="38" borderId="0" applyNumberFormat="0" applyBorder="0" applyAlignment="0" applyProtection="0"/>
    <xf numFmtId="0" fontId="85" fillId="0" borderId="16" applyNumberFormat="0" applyFill="0" applyAlignment="0" applyProtection="0"/>
    <xf numFmtId="0" fontId="78" fillId="0" borderId="84" applyNumberFormat="0" applyFill="0" applyAlignment="0" applyProtection="0"/>
    <xf numFmtId="0" fontId="79" fillId="55" borderId="12" applyNumberFormat="0" applyAlignment="0" applyProtection="0"/>
    <xf numFmtId="0" fontId="79" fillId="55" borderId="12" applyNumberFormat="0" applyAlignment="0" applyProtection="0"/>
    <xf numFmtId="0" fontId="79" fillId="25" borderId="12" applyNumberFormat="0" applyAlignment="0" applyProtection="0"/>
    <xf numFmtId="0" fontId="79" fillId="25" borderId="12" applyNumberFormat="0" applyAlignment="0" applyProtection="0"/>
    <xf numFmtId="0" fontId="80" fillId="0" borderId="0" applyNumberFormat="0" applyFill="0" applyBorder="0" applyAlignment="0" applyProtection="0"/>
    <xf numFmtId="0" fontId="135" fillId="0" borderId="0" applyNumberFormat="0" applyFill="0" applyBorder="0" applyAlignment="0" applyProtection="0"/>
    <xf numFmtId="0" fontId="81" fillId="56" borderId="0" applyNumberFormat="0" applyBorder="0" applyAlignment="0" applyProtection="0"/>
    <xf numFmtId="0" fontId="81" fillId="14" borderId="0" applyNumberFormat="0" applyBorder="0" applyAlignment="0" applyProtection="0"/>
    <xf numFmtId="0" fontId="136" fillId="14" borderId="0" applyNumberFormat="0" applyBorder="0" applyAlignment="0" applyProtection="0"/>
    <xf numFmtId="0" fontId="74" fillId="57" borderId="74" applyNumberFormat="0" applyAlignment="0" applyProtection="0"/>
    <xf numFmtId="0" fontId="52" fillId="0" borderId="0"/>
    <xf numFmtId="0" fontId="52" fillId="0" borderId="0"/>
    <xf numFmtId="0" fontId="52" fillId="0" borderId="0"/>
    <xf numFmtId="0" fontId="53" fillId="0" borderId="0"/>
    <xf numFmtId="0" fontId="53" fillId="0" borderId="0"/>
    <xf numFmtId="0" fontId="51" fillId="0" borderId="0"/>
    <xf numFmtId="0" fontId="52" fillId="0" borderId="0"/>
    <xf numFmtId="0" fontId="78" fillId="0" borderId="76" applyNumberFormat="0" applyFill="0" applyAlignment="0" applyProtection="0"/>
    <xf numFmtId="0" fontId="83" fillId="37" borderId="0" applyNumberFormat="0" applyBorder="0" applyAlignment="0" applyProtection="0"/>
    <xf numFmtId="0" fontId="83" fillId="9" borderId="0" applyNumberFormat="0" applyBorder="0" applyAlignment="0" applyProtection="0"/>
    <xf numFmtId="0" fontId="83" fillId="11" borderId="0" applyNumberFormat="0" applyBorder="0" applyAlignment="0" applyProtection="0"/>
    <xf numFmtId="0" fontId="83" fillId="37" borderId="0" applyNumberFormat="0" applyBorder="0" applyAlignment="0" applyProtection="0"/>
    <xf numFmtId="0" fontId="52" fillId="6" borderId="17" applyNumberFormat="0" applyFont="0" applyAlignment="0" applyProtection="0"/>
    <xf numFmtId="0" fontId="32" fillId="6" borderId="17" applyNumberFormat="0" applyFont="0" applyAlignment="0" applyProtection="0"/>
    <xf numFmtId="0" fontId="53" fillId="58" borderId="17" applyNumberFormat="0" applyAlignment="0" applyProtection="0"/>
    <xf numFmtId="9" fontId="52" fillId="0" borderId="0" applyFont="0" applyFill="0" applyBorder="0" applyAlignment="0" applyProtection="0"/>
    <xf numFmtId="0" fontId="73" fillId="57" borderId="75" applyNumberFormat="0" applyAlignment="0" applyProtection="0"/>
    <xf numFmtId="0" fontId="86" fillId="0" borderId="85" applyNumberFormat="0" applyFill="0" applyAlignment="0" applyProtection="0"/>
    <xf numFmtId="0" fontId="81" fillId="56" borderId="0" applyNumberFormat="0" applyBorder="0" applyAlignment="0" applyProtection="0"/>
    <xf numFmtId="0" fontId="137" fillId="0" borderId="1"/>
    <xf numFmtId="0" fontId="86" fillId="0" borderId="0" applyNumberFormat="0" applyFill="0" applyBorder="0" applyAlignment="0" applyProtection="0"/>
    <xf numFmtId="0" fontId="84" fillId="0" borderId="0" applyNumberFormat="0" applyFill="0" applyBorder="0" applyAlignment="0" applyProtection="0"/>
    <xf numFmtId="173" fontId="35" fillId="0" borderId="0" applyFont="0" applyFill="0" applyBorder="0" applyAlignment="0" applyProtection="0"/>
    <xf numFmtId="174" fontId="35" fillId="0" borderId="0" applyFont="0" applyFill="0" applyBorder="0" applyAlignment="0" applyProtection="0"/>
    <xf numFmtId="167" fontId="52" fillId="0" borderId="0" applyFont="0" applyFill="0" applyBorder="0" applyAlignment="0" applyProtection="0"/>
    <xf numFmtId="0" fontId="87" fillId="38" borderId="0" applyNumberFormat="0" applyBorder="0" applyAlignment="0" applyProtection="0"/>
    <xf numFmtId="0" fontId="87" fillId="10" borderId="0" applyNumberFormat="0" applyBorder="0" applyAlignment="0" applyProtection="0"/>
    <xf numFmtId="0" fontId="87" fillId="7" borderId="0" applyNumberFormat="0" applyBorder="0" applyAlignment="0" applyProtection="0"/>
    <xf numFmtId="0" fontId="23" fillId="0" borderId="0"/>
    <xf numFmtId="0" fontId="34" fillId="0" borderId="0"/>
    <xf numFmtId="0" fontId="32" fillId="0" borderId="0"/>
    <xf numFmtId="0" fontId="52" fillId="8" borderId="0" applyNumberFormat="0" applyBorder="0" applyAlignment="0" applyProtection="0"/>
    <xf numFmtId="0" fontId="52" fillId="8" borderId="0" applyNumberFormat="0" applyBorder="0" applyAlignment="0" applyProtection="0"/>
    <xf numFmtId="0" fontId="52" fillId="9" borderId="0" applyNumberFormat="0" applyBorder="0" applyAlignment="0" applyProtection="0"/>
    <xf numFmtId="0" fontId="52" fillId="9" borderId="0" applyNumberFormat="0" applyBorder="0" applyAlignment="0" applyProtection="0"/>
    <xf numFmtId="0" fontId="52" fillId="10" borderId="0" applyNumberFormat="0" applyBorder="0" applyAlignment="0" applyProtection="0"/>
    <xf numFmtId="0" fontId="52" fillId="10"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7" borderId="0" applyNumberFormat="0" applyBorder="0" applyAlignment="0" applyProtection="0"/>
    <xf numFmtId="0" fontId="52" fillId="7" borderId="0" applyNumberFormat="0" applyBorder="0" applyAlignment="0" applyProtection="0"/>
    <xf numFmtId="0" fontId="52" fillId="5" borderId="0" applyNumberFormat="0" applyBorder="0" applyAlignment="0" applyProtection="0"/>
    <xf numFmtId="0" fontId="52" fillId="5"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3" borderId="0" applyNumberFormat="0" applyBorder="0" applyAlignment="0" applyProtection="0"/>
    <xf numFmtId="0" fontId="52" fillId="13" borderId="0" applyNumberFormat="0" applyBorder="0" applyAlignment="0" applyProtection="0"/>
    <xf numFmtId="0" fontId="52" fillId="16" borderId="0" applyNumberFormat="0" applyBorder="0" applyAlignment="0" applyProtection="0"/>
    <xf numFmtId="0" fontId="52" fillId="16" borderId="0" applyNumberFormat="0" applyBorder="0" applyAlignment="0" applyProtection="0"/>
    <xf numFmtId="0" fontId="52" fillId="11" borderId="0" applyNumberFormat="0" applyBorder="0" applyAlignment="0" applyProtection="0"/>
    <xf numFmtId="0" fontId="52" fillId="11" borderId="0" applyNumberFormat="0" applyBorder="0" applyAlignment="0" applyProtection="0"/>
    <xf numFmtId="0" fontId="52" fillId="15" borderId="0" applyNumberFormat="0" applyBorder="0" applyAlignment="0" applyProtection="0"/>
    <xf numFmtId="0" fontId="52" fillId="15" borderId="0" applyNumberFormat="0" applyBorder="0" applyAlignment="0" applyProtection="0"/>
    <xf numFmtId="0" fontId="52" fillId="17" borderId="0" applyNumberFormat="0" applyBorder="0" applyAlignment="0" applyProtection="0"/>
    <xf numFmtId="0" fontId="52" fillId="17" borderId="0" applyNumberFormat="0" applyBorder="0" applyAlignment="0" applyProtection="0"/>
    <xf numFmtId="0" fontId="99" fillId="0" borderId="0"/>
    <xf numFmtId="0" fontId="148" fillId="0" borderId="0">
      <alignment horizontal="center"/>
    </xf>
    <xf numFmtId="0" fontId="148" fillId="0" borderId="0">
      <alignment horizontal="center" textRotation="90"/>
    </xf>
    <xf numFmtId="185" fontId="149" fillId="0" borderId="0">
      <alignment horizontal="center" textRotation="90"/>
    </xf>
    <xf numFmtId="0" fontId="150" fillId="0" borderId="0"/>
    <xf numFmtId="185" fontId="151" fillId="0" borderId="0"/>
    <xf numFmtId="186" fontId="150" fillId="0" borderId="0"/>
    <xf numFmtId="186" fontId="151" fillId="0" borderId="0"/>
    <xf numFmtId="0" fontId="152" fillId="0" borderId="0">
      <alignment horizontal="centerContinuous"/>
    </xf>
    <xf numFmtId="0" fontId="71" fillId="5" borderId="74" applyNumberFormat="0" applyAlignment="0" applyProtection="0"/>
    <xf numFmtId="9" fontId="23" fillId="0" borderId="0" applyFont="0" applyFill="0" applyBorder="0" applyAlignment="0" applyProtection="0"/>
    <xf numFmtId="9" fontId="23" fillId="0" borderId="0" applyFont="0" applyFill="0" applyBorder="0" applyAlignment="0" applyProtection="0"/>
    <xf numFmtId="9" fontId="23" fillId="0" borderId="0" applyFont="0" applyFill="0" applyBorder="0" applyAlignment="0" applyProtection="0"/>
    <xf numFmtId="0" fontId="73" fillId="12" borderId="75" applyNumberFormat="0" applyAlignment="0" applyProtection="0"/>
    <xf numFmtId="0" fontId="74" fillId="12" borderId="74" applyNumberFormat="0" applyAlignment="0" applyProtection="0"/>
    <xf numFmtId="0" fontId="104" fillId="0" borderId="0" applyNumberFormat="0" applyFill="0" applyBorder="0" applyAlignment="0" applyProtection="0"/>
    <xf numFmtId="0" fontId="77" fillId="0" borderId="21" applyNumberFormat="0" applyFill="0" applyAlignment="0" applyProtection="0"/>
    <xf numFmtId="185" fontId="153" fillId="0" borderId="0" applyFont="0" applyBorder="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78" fillId="0" borderId="76" applyNumberFormat="0" applyFill="0" applyAlignment="0" applyProtection="0"/>
    <xf numFmtId="0" fontId="78" fillId="0" borderId="76" applyNumberFormat="0" applyFill="0" applyAlignment="0" applyProtection="0"/>
    <xf numFmtId="0" fontId="78" fillId="0" borderId="76" applyNumberFormat="0" applyFill="0" applyAlignment="0" applyProtection="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3" fillId="0" borderId="0"/>
    <xf numFmtId="0" fontId="23" fillId="0" borderId="0"/>
    <xf numFmtId="0" fontId="23" fillId="0" borderId="0"/>
    <xf numFmtId="0" fontId="34"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23" fillId="0" borderId="0"/>
    <xf numFmtId="0" fontId="52" fillId="0" borderId="0"/>
    <xf numFmtId="0" fontId="23" fillId="0" borderId="0"/>
    <xf numFmtId="0" fontId="23" fillId="0" borderId="0"/>
    <xf numFmtId="0" fontId="23" fillId="0" borderId="0"/>
    <xf numFmtId="0" fontId="52" fillId="0" borderId="0"/>
    <xf numFmtId="0" fontId="23" fillId="0" borderId="0"/>
    <xf numFmtId="0" fontId="52" fillId="0" borderId="0"/>
    <xf numFmtId="0" fontId="32" fillId="6" borderId="17" applyNumberFormat="0" applyFont="0" applyAlignment="0" applyProtection="0"/>
    <xf numFmtId="9" fontId="23" fillId="0" borderId="0" applyFont="0" applyFill="0" applyBorder="0" applyAlignment="0" applyProtection="0"/>
    <xf numFmtId="9" fontId="23" fillId="0" borderId="0" applyFont="0" applyFill="0" applyBorder="0" applyAlignment="0" applyProtection="0"/>
    <xf numFmtId="0" fontId="22" fillId="0" borderId="0"/>
    <xf numFmtId="0" fontId="21" fillId="0" borderId="0"/>
    <xf numFmtId="0" fontId="20" fillId="0" borderId="0"/>
    <xf numFmtId="9" fontId="178" fillId="0" borderId="0" applyFont="0" applyFill="0" applyBorder="0" applyAlignment="0" applyProtection="0"/>
    <xf numFmtId="0" fontId="180" fillId="0" borderId="0"/>
    <xf numFmtId="0" fontId="183" fillId="0" borderId="0"/>
    <xf numFmtId="0" fontId="19" fillId="0" borderId="0"/>
    <xf numFmtId="0" fontId="18" fillId="0" borderId="0"/>
    <xf numFmtId="0" fontId="17" fillId="0" borderId="0"/>
    <xf numFmtId="0" fontId="16" fillId="0" borderId="0"/>
    <xf numFmtId="0" fontId="15" fillId="0" borderId="0"/>
    <xf numFmtId="0" fontId="12" fillId="0" borderId="0"/>
    <xf numFmtId="0" fontId="12" fillId="0" borderId="0"/>
    <xf numFmtId="9" fontId="51" fillId="0" borderId="0" applyFont="0" applyFill="0" applyBorder="0" applyAlignment="0" applyProtection="0"/>
    <xf numFmtId="164" fontId="51" fillId="0" borderId="0" applyFont="0" applyFill="0" applyBorder="0" applyAlignment="0" applyProtection="0"/>
    <xf numFmtId="0" fontId="103" fillId="0" borderId="0"/>
  </cellStyleXfs>
  <cellXfs count="5973">
    <xf numFmtId="0" fontId="0" fillId="0" borderId="0" xfId="0"/>
    <xf numFmtId="0" fontId="38" fillId="0" borderId="1" xfId="6" applyFont="1" applyBorder="1" applyAlignment="1">
      <alignment vertical="center" wrapText="1"/>
    </xf>
    <xf numFmtId="0" fontId="38" fillId="0" borderId="0" xfId="5" applyFont="1" applyAlignment="1">
      <alignment horizontal="center" vertical="top" wrapText="1"/>
    </xf>
    <xf numFmtId="0" fontId="39" fillId="0" borderId="1" xfId="5" applyFont="1" applyBorder="1" applyAlignment="1">
      <alignment horizontal="center" vertical="center" wrapText="1"/>
    </xf>
    <xf numFmtId="0" fontId="36" fillId="0" borderId="0" xfId="0" applyFont="1"/>
    <xf numFmtId="0" fontId="37" fillId="0" borderId="1" xfId="0" applyFont="1" applyBorder="1" applyAlignment="1">
      <alignment vertical="center" wrapText="1"/>
    </xf>
    <xf numFmtId="0" fontId="37" fillId="0" borderId="1" xfId="0" applyFont="1" applyBorder="1" applyAlignment="1">
      <alignment horizontal="center" vertical="center" wrapText="1"/>
    </xf>
    <xf numFmtId="0" fontId="40" fillId="0" borderId="1" xfId="0" applyFont="1" applyBorder="1" applyAlignment="1">
      <alignment horizontal="center" vertical="center" wrapText="1"/>
    </xf>
    <xf numFmtId="0" fontId="40" fillId="0" borderId="1" xfId="0" applyFont="1" applyBorder="1" applyAlignment="1">
      <alignment vertical="center" wrapText="1"/>
    </xf>
    <xf numFmtId="0" fontId="39" fillId="0" borderId="1" xfId="0" applyFont="1" applyBorder="1" applyAlignment="1">
      <alignment horizontal="center" vertical="center" wrapText="1"/>
    </xf>
    <xf numFmtId="0" fontId="39" fillId="0" borderId="0" xfId="0" applyFont="1"/>
    <xf numFmtId="0" fontId="39" fillId="0" borderId="1" xfId="0" applyFont="1" applyBorder="1" applyAlignment="1">
      <alignment vertical="center" wrapText="1"/>
    </xf>
    <xf numFmtId="0" fontId="39" fillId="0" borderId="1" xfId="0" applyFont="1" applyBorder="1"/>
    <xf numFmtId="0" fontId="89" fillId="0" borderId="0" xfId="0" applyFont="1" applyAlignment="1">
      <alignment horizontal="left" vertical="center"/>
    </xf>
    <xf numFmtId="0" fontId="89" fillId="0" borderId="0" xfId="0" applyFont="1" applyAlignment="1">
      <alignment vertical="center"/>
    </xf>
    <xf numFmtId="0" fontId="48" fillId="0" borderId="0" xfId="0" applyFont="1"/>
    <xf numFmtId="0" fontId="39" fillId="0" borderId="5" xfId="0" applyFont="1" applyBorder="1"/>
    <xf numFmtId="49" fontId="0" fillId="0" borderId="0" xfId="0" applyNumberFormat="1"/>
    <xf numFmtId="49" fontId="39" fillId="0" borderId="0" xfId="0" applyNumberFormat="1" applyFont="1"/>
    <xf numFmtId="0" fontId="39" fillId="0" borderId="0" xfId="0" applyFont="1" applyAlignment="1">
      <alignment vertical="center" wrapText="1"/>
    </xf>
    <xf numFmtId="0" fontId="39" fillId="0" borderId="0" xfId="0" applyFont="1" applyAlignment="1">
      <alignment horizontal="center" vertical="center" wrapText="1"/>
    </xf>
    <xf numFmtId="49" fontId="40" fillId="0" borderId="1" xfId="0" applyNumberFormat="1" applyFont="1" applyBorder="1" applyAlignment="1">
      <alignment horizontal="center" vertical="center" wrapText="1"/>
    </xf>
    <xf numFmtId="49" fontId="0" fillId="0" borderId="1" xfId="0" applyNumberFormat="1" applyBorder="1"/>
    <xf numFmtId="0" fontId="39" fillId="0" borderId="1" xfId="0" applyFont="1" applyBorder="1" applyAlignment="1">
      <alignment wrapText="1"/>
    </xf>
    <xf numFmtId="0" fontId="0" fillId="0" borderId="1" xfId="0" applyBorder="1"/>
    <xf numFmtId="0" fontId="27" fillId="0" borderId="1" xfId="0" applyFont="1" applyBorder="1" applyAlignment="1">
      <alignment vertical="top" wrapText="1"/>
    </xf>
    <xf numFmtId="0" fontId="96" fillId="0" borderId="1" xfId="0" applyFont="1" applyBorder="1" applyAlignment="1">
      <alignment horizontal="center" vertical="center" wrapText="1"/>
    </xf>
    <xf numFmtId="0" fontId="96" fillId="0" borderId="1" xfId="0" applyFont="1" applyBorder="1" applyAlignment="1">
      <alignment vertical="center" wrapText="1"/>
    </xf>
    <xf numFmtId="0" fontId="96" fillId="0" borderId="0" xfId="0" applyFont="1" applyAlignment="1">
      <alignment vertical="center" wrapText="1"/>
    </xf>
    <xf numFmtId="0" fontId="96" fillId="0" borderId="0" xfId="0" applyFont="1" applyAlignment="1">
      <alignment vertical="top" wrapText="1"/>
    </xf>
    <xf numFmtId="0" fontId="48" fillId="0" borderId="0" xfId="0" applyFont="1" applyAlignment="1">
      <alignment horizontal="center"/>
    </xf>
    <xf numFmtId="0" fontId="40" fillId="29" borderId="1" xfId="0" applyFont="1" applyFill="1" applyBorder="1" applyAlignment="1">
      <alignment horizontal="center" vertical="center" wrapText="1"/>
    </xf>
    <xf numFmtId="0" fontId="40" fillId="29" borderId="1" xfId="0" applyFont="1" applyFill="1" applyBorder="1" applyAlignment="1">
      <alignment vertical="center" wrapText="1"/>
    </xf>
    <xf numFmtId="0" fontId="40" fillId="29" borderId="1" xfId="0" applyFont="1" applyFill="1" applyBorder="1" applyAlignment="1">
      <alignment horizontal="justify" vertical="center" wrapText="1"/>
    </xf>
    <xf numFmtId="0" fontId="0" fillId="0" borderId="0" xfId="0" applyAlignment="1">
      <alignment vertical="top"/>
    </xf>
    <xf numFmtId="0" fontId="40" fillId="29" borderId="1" xfId="0" applyFont="1" applyFill="1" applyBorder="1" applyAlignment="1">
      <alignment horizontal="center" vertical="top" wrapText="1"/>
    </xf>
    <xf numFmtId="49" fontId="96" fillId="0" borderId="1" xfId="0" applyNumberFormat="1" applyFont="1" applyBorder="1" applyAlignment="1">
      <alignment horizontal="center" vertical="top" wrapText="1"/>
    </xf>
    <xf numFmtId="49" fontId="39" fillId="0" borderId="1" xfId="0" applyNumberFormat="1" applyFont="1" applyBorder="1" applyAlignment="1">
      <alignment horizontal="center" vertical="top" wrapText="1"/>
    </xf>
    <xf numFmtId="0" fontId="39" fillId="0" borderId="0" xfId="0" applyFont="1" applyAlignment="1">
      <alignment vertical="top"/>
    </xf>
    <xf numFmtId="0" fontId="38" fillId="0" borderId="0" xfId="0" applyFont="1" applyAlignment="1">
      <alignment vertical="center"/>
    </xf>
    <xf numFmtId="0" fontId="40" fillId="0" borderId="0" xfId="0" applyFont="1" applyAlignment="1">
      <alignment horizontal="center" vertical="center"/>
    </xf>
    <xf numFmtId="0" fontId="91" fillId="0" borderId="0" xfId="0" applyFont="1" applyAlignment="1">
      <alignment vertical="center"/>
    </xf>
    <xf numFmtId="0" fontId="38" fillId="0" borderId="0" xfId="0" applyFont="1" applyAlignment="1">
      <alignment horizontal="center" vertical="center"/>
    </xf>
    <xf numFmtId="0" fontId="92" fillId="0" borderId="0" xfId="0" applyFont="1" applyAlignment="1">
      <alignment horizontal="justify" vertical="center"/>
    </xf>
    <xf numFmtId="0" fontId="89" fillId="0" borderId="0" xfId="0" applyFont="1"/>
    <xf numFmtId="0" fontId="40" fillId="0" borderId="0" xfId="0" applyFont="1"/>
    <xf numFmtId="0" fontId="89" fillId="0" borderId="6" xfId="0" applyFont="1" applyBorder="1" applyAlignment="1">
      <alignment wrapText="1"/>
    </xf>
    <xf numFmtId="0" fontId="40" fillId="0" borderId="32" xfId="0" applyFont="1" applyBorder="1" applyAlignment="1">
      <alignment horizontal="center"/>
    </xf>
    <xf numFmtId="0" fontId="40" fillId="0" borderId="32" xfId="0" applyFont="1" applyBorder="1"/>
    <xf numFmtId="0" fontId="40" fillId="0" borderId="0" xfId="0" applyFont="1" applyAlignment="1">
      <alignment horizontal="center" vertical="center" wrapText="1"/>
    </xf>
    <xf numFmtId="0" fontId="40" fillId="0" borderId="0" xfId="0" applyFont="1" applyAlignment="1">
      <alignment vertical="center" wrapText="1"/>
    </xf>
    <xf numFmtId="0" fontId="40" fillId="0" borderId="28" xfId="0" applyFont="1" applyBorder="1"/>
    <xf numFmtId="0" fontId="89" fillId="0" borderId="28" xfId="0" applyFont="1" applyBorder="1" applyAlignment="1">
      <alignment horizontal="left" wrapText="1"/>
    </xf>
    <xf numFmtId="0" fontId="41" fillId="0" borderId="5" xfId="0" applyFont="1" applyBorder="1" applyAlignment="1">
      <alignment vertical="center" wrapText="1"/>
    </xf>
    <xf numFmtId="0" fontId="39" fillId="32" borderId="0" xfId="0" applyFont="1" applyFill="1" applyAlignment="1">
      <alignment horizontal="left" vertical="top" wrapText="1"/>
    </xf>
    <xf numFmtId="0" fontId="48" fillId="0" borderId="0" xfId="0" applyFont="1" applyAlignment="1">
      <alignment horizontal="right" vertical="top"/>
    </xf>
    <xf numFmtId="0" fontId="39" fillId="30" borderId="0" xfId="0" applyFont="1" applyFill="1"/>
    <xf numFmtId="0" fontId="40" fillId="0" borderId="28" xfId="0" applyFont="1" applyBorder="1" applyAlignment="1">
      <alignment horizontal="left" indent="1"/>
    </xf>
    <xf numFmtId="0" fontId="40" fillId="0" borderId="24" xfId="0" applyFont="1" applyBorder="1" applyAlignment="1">
      <alignment horizontal="center"/>
    </xf>
    <xf numFmtId="0" fontId="40" fillId="0" borderId="24" xfId="0" applyFont="1" applyBorder="1"/>
    <xf numFmtId="0" fontId="98" fillId="0" borderId="31" xfId="0" applyFont="1" applyBorder="1" applyAlignment="1">
      <alignment horizontal="center" wrapText="1"/>
    </xf>
    <xf numFmtId="0" fontId="40" fillId="0" borderId="27" xfId="0" applyFont="1" applyBorder="1" applyAlignment="1">
      <alignment horizontal="center"/>
    </xf>
    <xf numFmtId="0" fontId="39" fillId="31" borderId="0" xfId="0" applyFont="1" applyFill="1"/>
    <xf numFmtId="0" fontId="36" fillId="31" borderId="1" xfId="0" applyFont="1" applyFill="1" applyBorder="1" applyAlignment="1">
      <alignment vertical="center" wrapText="1"/>
    </xf>
    <xf numFmtId="0" fontId="89" fillId="0" borderId="33" xfId="0" applyFont="1" applyBorder="1"/>
    <xf numFmtId="0" fontId="40" fillId="0" borderId="32" xfId="0" applyFont="1" applyBorder="1" applyAlignment="1">
      <alignment wrapText="1"/>
    </xf>
    <xf numFmtId="0" fontId="40" fillId="0" borderId="32" xfId="0" applyFont="1" applyBorder="1" applyAlignment="1">
      <alignment horizontal="left" wrapText="1" indent="1"/>
    </xf>
    <xf numFmtId="0" fontId="40" fillId="0" borderId="32" xfId="0" applyFont="1" applyBorder="1" applyAlignment="1">
      <alignment horizontal="left" wrapText="1"/>
    </xf>
    <xf numFmtId="2" fontId="0" fillId="0" borderId="0" xfId="0" applyNumberFormat="1"/>
    <xf numFmtId="49" fontId="39" fillId="0" borderId="0" xfId="5" applyNumberFormat="1" applyFont="1"/>
    <xf numFmtId="0" fontId="39" fillId="0" borderId="0" xfId="5" applyFont="1" applyProtection="1">
      <protection locked="0"/>
    </xf>
    <xf numFmtId="0" fontId="39" fillId="0" borderId="1" xfId="0" applyFont="1" applyBorder="1" applyAlignment="1">
      <alignment horizontal="center"/>
    </xf>
    <xf numFmtId="170" fontId="39" fillId="0" borderId="1" xfId="0" applyNumberFormat="1" applyFont="1" applyBorder="1" applyAlignment="1">
      <alignment horizontal="center"/>
    </xf>
    <xf numFmtId="2" fontId="39" fillId="0" borderId="1" xfId="0" applyNumberFormat="1" applyFont="1" applyBorder="1" applyAlignment="1">
      <alignment horizontal="center"/>
    </xf>
    <xf numFmtId="0" fontId="39" fillId="0" borderId="40" xfId="0" applyFont="1" applyBorder="1" applyAlignment="1">
      <alignment horizontal="center"/>
    </xf>
    <xf numFmtId="170" fontId="39" fillId="0" borderId="40" xfId="0" applyNumberFormat="1" applyFont="1" applyBorder="1" applyAlignment="1">
      <alignment horizontal="center"/>
    </xf>
    <xf numFmtId="0" fontId="39" fillId="0" borderId="61" xfId="0" applyFont="1" applyBorder="1" applyAlignment="1">
      <alignment wrapText="1"/>
    </xf>
    <xf numFmtId="0" fontId="39" fillId="0" borderId="67" xfId="0" applyFont="1" applyBorder="1" applyAlignment="1">
      <alignment horizontal="left" indent="1"/>
    </xf>
    <xf numFmtId="0" fontId="39" fillId="0" borderId="67" xfId="0" applyFont="1" applyBorder="1"/>
    <xf numFmtId="0" fontId="48" fillId="0" borderId="6" xfId="0" applyFont="1" applyBorder="1" applyAlignment="1">
      <alignment wrapText="1"/>
    </xf>
    <xf numFmtId="0" fontId="48" fillId="0" borderId="5" xfId="0" applyFont="1" applyBorder="1"/>
    <xf numFmtId="0" fontId="48" fillId="0" borderId="9" xfId="0" applyFont="1" applyBorder="1"/>
    <xf numFmtId="0" fontId="39" fillId="0" borderId="45" xfId="0" applyFont="1" applyBorder="1"/>
    <xf numFmtId="0" fontId="39" fillId="0" borderId="46" xfId="0" applyFont="1" applyBorder="1"/>
    <xf numFmtId="0" fontId="89" fillId="0" borderId="32" xfId="0" applyFont="1" applyBorder="1"/>
    <xf numFmtId="0" fontId="40" fillId="0" borderId="32" xfId="0" applyFont="1" applyBorder="1" applyAlignment="1">
      <alignment horizontal="center" wrapText="1"/>
    </xf>
    <xf numFmtId="0" fontId="40" fillId="0" borderId="32" xfId="0" applyFont="1" applyBorder="1" applyAlignment="1">
      <alignment horizontal="left" indent="1"/>
    </xf>
    <xf numFmtId="0" fontId="100" fillId="31" borderId="0" xfId="0" applyFont="1" applyFill="1" applyAlignment="1">
      <alignment horizontal="center"/>
    </xf>
    <xf numFmtId="0" fontId="89" fillId="0" borderId="32" xfId="0" applyFont="1" applyBorder="1" applyAlignment="1">
      <alignment wrapText="1"/>
    </xf>
    <xf numFmtId="2" fontId="40" fillId="0" borderId="32" xfId="0" applyNumberFormat="1" applyFont="1" applyBorder="1" applyAlignment="1">
      <alignment horizontal="center"/>
    </xf>
    <xf numFmtId="0" fontId="96" fillId="0" borderId="78" xfId="0" applyFont="1" applyBorder="1" applyAlignment="1">
      <alignment vertical="center" wrapText="1"/>
    </xf>
    <xf numFmtId="0" fontId="0" fillId="0" borderId="77" xfId="0" applyBorder="1"/>
    <xf numFmtId="0" fontId="40" fillId="0" borderId="1" xfId="0" applyFont="1" applyBorder="1" applyAlignment="1">
      <alignment horizontal="justify" vertical="center" wrapText="1"/>
    </xf>
    <xf numFmtId="0" fontId="48" fillId="0" borderId="0" xfId="0" applyFont="1" applyAlignment="1">
      <alignment horizontal="left" vertical="top" indent="1"/>
    </xf>
    <xf numFmtId="0" fontId="48" fillId="30" borderId="0" xfId="0" applyFont="1" applyFill="1"/>
    <xf numFmtId="0" fontId="48" fillId="0" borderId="33" xfId="0" applyFont="1" applyBorder="1" applyAlignment="1">
      <alignment vertical="center" wrapText="1"/>
    </xf>
    <xf numFmtId="0" fontId="100" fillId="31" borderId="0" xfId="0" applyFont="1" applyFill="1" applyAlignment="1">
      <alignment horizontal="left" vertical="center" wrapText="1"/>
    </xf>
    <xf numFmtId="0" fontId="39" fillId="31" borderId="1" xfId="0" applyFont="1" applyFill="1" applyBorder="1" applyAlignment="1">
      <alignment vertical="center" wrapText="1"/>
    </xf>
    <xf numFmtId="0" fontId="40" fillId="0" borderId="24" xfId="0" applyFont="1" applyBorder="1" applyAlignment="1">
      <alignment horizontal="center" wrapText="1"/>
    </xf>
    <xf numFmtId="0" fontId="38" fillId="0" borderId="1" xfId="6" applyFont="1" applyBorder="1" applyAlignment="1">
      <alignment horizontal="center" vertical="center" wrapText="1"/>
    </xf>
    <xf numFmtId="0" fontId="39" fillId="0" borderId="0" xfId="0" applyFont="1" applyAlignment="1">
      <alignment wrapText="1"/>
    </xf>
    <xf numFmtId="0" fontId="100" fillId="3" borderId="0" xfId="5" applyFont="1" applyFill="1" applyAlignment="1">
      <alignment horizontal="center" vertical="top" wrapText="1"/>
    </xf>
    <xf numFmtId="49" fontId="39" fillId="0" borderId="0" xfId="240" applyNumberFormat="1" applyFont="1"/>
    <xf numFmtId="0" fontId="39" fillId="0" borderId="0" xfId="240" applyFont="1" applyAlignment="1">
      <alignment horizontal="center" vertical="center" wrapText="1"/>
    </xf>
    <xf numFmtId="0" fontId="39" fillId="0" borderId="0" xfId="240" applyFont="1"/>
    <xf numFmtId="0" fontId="48" fillId="0" borderId="0" xfId="240" applyFont="1" applyAlignment="1">
      <alignment horizontal="center"/>
    </xf>
    <xf numFmtId="0" fontId="37" fillId="0" borderId="39" xfId="240" applyFont="1" applyBorder="1" applyAlignment="1">
      <alignment horizontal="center" vertical="center" textRotation="90" wrapText="1"/>
    </xf>
    <xf numFmtId="0" fontId="37" fillId="0" borderId="1" xfId="240" applyFont="1" applyBorder="1" applyAlignment="1">
      <alignment horizontal="center" vertical="center" textRotation="90" wrapText="1"/>
    </xf>
    <xf numFmtId="0" fontId="37" fillId="0" borderId="40" xfId="240" applyFont="1" applyBorder="1" applyAlignment="1">
      <alignment horizontal="center" vertical="center" textRotation="90" wrapText="1"/>
    </xf>
    <xf numFmtId="49" fontId="41" fillId="0" borderId="52" xfId="240" applyNumberFormat="1" applyFont="1" applyBorder="1" applyAlignment="1">
      <alignment horizontal="right" vertical="center" wrapText="1"/>
    </xf>
    <xf numFmtId="4" fontId="45" fillId="0" borderId="1" xfId="240" applyNumberFormat="1" applyFont="1" applyBorder="1" applyAlignment="1">
      <alignment horizontal="center" vertical="center" wrapText="1"/>
    </xf>
    <xf numFmtId="4" fontId="45" fillId="0" borderId="39" xfId="240" applyNumberFormat="1" applyFont="1" applyBorder="1" applyAlignment="1">
      <alignment horizontal="center" vertical="center" wrapText="1"/>
    </xf>
    <xf numFmtId="4" fontId="45" fillId="0" borderId="40" xfId="240" applyNumberFormat="1" applyFont="1" applyBorder="1" applyAlignment="1">
      <alignment horizontal="center" vertical="center" wrapText="1"/>
    </xf>
    <xf numFmtId="49" fontId="37" fillId="0" borderId="52" xfId="240" applyNumberFormat="1" applyFont="1" applyBorder="1" applyAlignment="1">
      <alignment horizontal="right" vertical="center" wrapText="1"/>
    </xf>
    <xf numFmtId="4" fontId="44" fillId="0" borderId="1" xfId="240" applyNumberFormat="1" applyFont="1" applyBorder="1" applyAlignment="1">
      <alignment horizontal="center" vertical="center" wrapText="1"/>
    </xf>
    <xf numFmtId="4" fontId="44" fillId="0" borderId="39" xfId="240" applyNumberFormat="1" applyFont="1" applyBorder="1" applyAlignment="1">
      <alignment horizontal="center" vertical="center" wrapText="1"/>
    </xf>
    <xf numFmtId="4" fontId="44" fillId="0" borderId="40" xfId="240" applyNumberFormat="1" applyFont="1" applyBorder="1" applyAlignment="1">
      <alignment horizontal="center" vertical="center" wrapText="1"/>
    </xf>
    <xf numFmtId="4" fontId="44" fillId="0" borderId="39" xfId="240" applyNumberFormat="1" applyFont="1" applyBorder="1" applyAlignment="1" applyProtection="1">
      <alignment horizontal="center" vertical="center" wrapText="1"/>
      <protection locked="0"/>
    </xf>
    <xf numFmtId="4" fontId="44" fillId="0" borderId="1" xfId="240" applyNumberFormat="1" applyFont="1" applyBorder="1" applyAlignment="1" applyProtection="1">
      <alignment horizontal="center" vertical="center" wrapText="1"/>
      <protection locked="0"/>
    </xf>
    <xf numFmtId="4" fontId="44" fillId="0" borderId="40" xfId="240" applyNumberFormat="1" applyFont="1" applyBorder="1" applyAlignment="1" applyProtection="1">
      <alignment horizontal="center" vertical="center" wrapText="1"/>
      <protection locked="0"/>
    </xf>
    <xf numFmtId="0" fontId="37" fillId="0" borderId="1" xfId="240" applyFont="1" applyBorder="1" applyAlignment="1">
      <alignment vertical="center" wrapText="1"/>
    </xf>
    <xf numFmtId="0" fontId="37" fillId="0" borderId="1" xfId="240" applyFont="1" applyBorder="1" applyAlignment="1">
      <alignment horizontal="center" vertical="center" wrapText="1"/>
    </xf>
    <xf numFmtId="0" fontId="41" fillId="0" borderId="1" xfId="240" applyFont="1" applyBorder="1" applyAlignment="1">
      <alignment vertical="center" wrapText="1"/>
    </xf>
    <xf numFmtId="0" fontId="41" fillId="0" borderId="1" xfId="240" applyFont="1" applyBorder="1" applyAlignment="1">
      <alignment horizontal="center" vertical="center" wrapText="1"/>
    </xf>
    <xf numFmtId="4" fontId="45" fillId="0" borderId="79" xfId="240" applyNumberFormat="1" applyFont="1" applyBorder="1" applyAlignment="1" applyProtection="1">
      <alignment horizontal="center" vertical="center" wrapText="1"/>
      <protection locked="0"/>
    </xf>
    <xf numFmtId="4" fontId="45" fillId="0" borderId="1" xfId="240" applyNumberFormat="1" applyFont="1" applyBorder="1" applyAlignment="1" applyProtection="1">
      <alignment horizontal="center" vertical="center" wrapText="1"/>
      <protection locked="0"/>
    </xf>
    <xf numFmtId="4" fontId="45" fillId="0" borderId="40" xfId="240" applyNumberFormat="1" applyFont="1" applyBorder="1" applyAlignment="1" applyProtection="1">
      <alignment horizontal="center" vertical="center" wrapText="1"/>
      <protection locked="0"/>
    </xf>
    <xf numFmtId="4" fontId="45" fillId="0" borderId="41" xfId="240" applyNumberFormat="1" applyFont="1" applyBorder="1" applyAlignment="1" applyProtection="1">
      <alignment horizontal="center" vertical="center" wrapText="1"/>
      <protection locked="0"/>
    </xf>
    <xf numFmtId="0" fontId="37" fillId="0" borderId="8" xfId="240" applyFont="1" applyBorder="1" applyAlignment="1">
      <alignment horizontal="center" vertical="center" wrapText="1"/>
    </xf>
    <xf numFmtId="0" fontId="37" fillId="0" borderId="39" xfId="0" applyFont="1" applyBorder="1" applyAlignment="1">
      <alignment horizontal="center" vertical="center" wrapText="1"/>
    </xf>
    <xf numFmtId="49" fontId="41" fillId="0" borderId="53" xfId="240" applyNumberFormat="1" applyFont="1" applyBorder="1" applyAlignment="1">
      <alignment horizontal="right" vertical="center" wrapText="1"/>
    </xf>
    <xf numFmtId="49" fontId="41" fillId="0" borderId="0" xfId="240" applyNumberFormat="1" applyFont="1" applyAlignment="1">
      <alignment horizontal="right" vertical="center" wrapText="1"/>
    </xf>
    <xf numFmtId="0" fontId="41" fillId="0" borderId="0" xfId="240" applyFont="1" applyAlignment="1">
      <alignment horizontal="center" vertical="center" wrapText="1"/>
    </xf>
    <xf numFmtId="4" fontId="45" fillId="0" borderId="0" xfId="240" applyNumberFormat="1" applyFont="1" applyAlignment="1" applyProtection="1">
      <alignment horizontal="center" vertical="center" wrapText="1"/>
      <protection locked="0"/>
    </xf>
    <xf numFmtId="49" fontId="37" fillId="0" borderId="0" xfId="240" applyNumberFormat="1" applyFont="1" applyAlignment="1">
      <alignment horizontal="right" vertical="center" wrapText="1"/>
    </xf>
    <xf numFmtId="49" fontId="40" fillId="0" borderId="0" xfId="240" applyNumberFormat="1" applyFont="1"/>
    <xf numFmtId="0" fontId="40" fillId="0" borderId="0" xfId="240" applyFont="1"/>
    <xf numFmtId="0" fontId="39" fillId="0" borderId="0" xfId="240" applyFont="1" applyAlignment="1">
      <alignment horizontal="left" vertical="top" wrapText="1"/>
    </xf>
    <xf numFmtId="49" fontId="42" fillId="0" borderId="1" xfId="240" applyNumberFormat="1" applyFont="1" applyBorder="1" applyAlignment="1">
      <alignment horizontal="right" vertical="center" wrapText="1"/>
    </xf>
    <xf numFmtId="49" fontId="36" fillId="0" borderId="1" xfId="240" applyNumberFormat="1" applyFont="1" applyBorder="1" applyAlignment="1">
      <alignment horizontal="right" vertical="center" wrapText="1"/>
    </xf>
    <xf numFmtId="49" fontId="42" fillId="0" borderId="8" xfId="240" applyNumberFormat="1" applyFont="1" applyBorder="1" applyAlignment="1">
      <alignment horizontal="right" vertical="center" wrapText="1"/>
    </xf>
    <xf numFmtId="0" fontId="36" fillId="0" borderId="8" xfId="240" applyFont="1" applyBorder="1" applyAlignment="1">
      <alignment horizontal="right" vertical="center" wrapText="1"/>
    </xf>
    <xf numFmtId="49" fontId="36" fillId="0" borderId="8" xfId="240" applyNumberFormat="1" applyFont="1" applyBorder="1" applyAlignment="1">
      <alignment horizontal="right" vertical="center" wrapText="1"/>
    </xf>
    <xf numFmtId="3" fontId="25" fillId="0" borderId="0" xfId="240" applyNumberFormat="1"/>
    <xf numFmtId="0" fontId="25" fillId="0" borderId="0" xfId="240"/>
    <xf numFmtId="0" fontId="39" fillId="0" borderId="0" xfId="240" applyFont="1" applyAlignment="1">
      <alignment wrapText="1"/>
    </xf>
    <xf numFmtId="49" fontId="38" fillId="0" borderId="1" xfId="240" applyNumberFormat="1" applyFont="1" applyBorder="1" applyAlignment="1">
      <alignment horizontal="right" vertical="center" wrapText="1"/>
    </xf>
    <xf numFmtId="0" fontId="38" fillId="0" borderId="1" xfId="240" applyFont="1" applyBorder="1" applyAlignment="1">
      <alignment vertical="center" wrapText="1"/>
    </xf>
    <xf numFmtId="0" fontId="38" fillId="0" borderId="1" xfId="240" applyFont="1" applyBorder="1" applyAlignment="1">
      <alignment horizontal="center" vertical="center" wrapText="1"/>
    </xf>
    <xf numFmtId="0" fontId="36" fillId="0" borderId="0" xfId="240" applyFont="1" applyAlignment="1">
      <alignment vertical="top"/>
    </xf>
    <xf numFmtId="0" fontId="36" fillId="0" borderId="0" xfId="240" applyFont="1"/>
    <xf numFmtId="0" fontId="101" fillId="3" borderId="0" xfId="240" applyFont="1" applyFill="1" applyAlignment="1" applyProtection="1">
      <alignment horizontal="center" vertical="center"/>
      <protection locked="0"/>
    </xf>
    <xf numFmtId="0" fontId="39" fillId="3" borderId="0" xfId="0" applyFont="1" applyFill="1"/>
    <xf numFmtId="0" fontId="104" fillId="0" borderId="0" xfId="239"/>
    <xf numFmtId="0" fontId="111" fillId="0" borderId="0" xfId="240" applyFont="1"/>
    <xf numFmtId="0" fontId="31" fillId="0" borderId="0" xfId="240" applyFont="1"/>
    <xf numFmtId="4" fontId="41" fillId="0" borderId="1" xfId="240" applyNumberFormat="1" applyFont="1" applyBorder="1" applyAlignment="1">
      <alignment horizontal="center" vertical="center" wrapText="1"/>
    </xf>
    <xf numFmtId="0" fontId="112" fillId="0" borderId="0" xfId="0" applyFont="1"/>
    <xf numFmtId="0" fontId="111" fillId="0" borderId="0" xfId="240" applyFont="1" applyAlignment="1">
      <alignment wrapText="1"/>
    </xf>
    <xf numFmtId="0" fontId="34" fillId="0" borderId="0" xfId="124"/>
    <xf numFmtId="0" fontId="116" fillId="0" borderId="0" xfId="124" applyFont="1"/>
    <xf numFmtId="0" fontId="117" fillId="0" borderId="0" xfId="124" applyFont="1"/>
    <xf numFmtId="0" fontId="118" fillId="0" borderId="0" xfId="124" applyFont="1" applyAlignment="1">
      <alignment horizontal="right"/>
    </xf>
    <xf numFmtId="0" fontId="119" fillId="0" borderId="0" xfId="124" applyFont="1"/>
    <xf numFmtId="0" fontId="120" fillId="0" borderId="0" xfId="124" applyFont="1"/>
    <xf numFmtId="0" fontId="31" fillId="0" borderId="0" xfId="124" applyFont="1"/>
    <xf numFmtId="0" fontId="121" fillId="0" borderId="0" xfId="124" applyFont="1"/>
    <xf numFmtId="0" fontId="119" fillId="34" borderId="0" xfId="124" applyFont="1" applyFill="1"/>
    <xf numFmtId="0" fontId="122" fillId="0" borderId="57" xfId="124" applyFont="1" applyBorder="1" applyAlignment="1">
      <alignment wrapText="1"/>
    </xf>
    <xf numFmtId="0" fontId="122" fillId="0" borderId="1" xfId="124" applyFont="1" applyBorder="1"/>
    <xf numFmtId="0" fontId="122" fillId="34" borderId="1" xfId="124" applyFont="1" applyFill="1" applyBorder="1" applyAlignment="1">
      <alignment horizontal="center"/>
    </xf>
    <xf numFmtId="0" fontId="122" fillId="35" borderId="1" xfId="124" applyFont="1" applyFill="1" applyBorder="1" applyAlignment="1">
      <alignment horizontal="center"/>
    </xf>
    <xf numFmtId="0" fontId="124" fillId="34" borderId="1" xfId="124" applyFont="1" applyFill="1" applyBorder="1" applyAlignment="1">
      <alignment wrapText="1"/>
    </xf>
    <xf numFmtId="0" fontId="122" fillId="34" borderId="1" xfId="124" applyFont="1" applyFill="1" applyBorder="1" applyProtection="1">
      <protection locked="0"/>
    </xf>
    <xf numFmtId="0" fontId="122" fillId="34" borderId="1" xfId="124" applyFont="1" applyFill="1" applyBorder="1"/>
    <xf numFmtId="177" fontId="122" fillId="34" borderId="1" xfId="124" applyNumberFormat="1" applyFont="1" applyFill="1" applyBorder="1"/>
    <xf numFmtId="1" fontId="122" fillId="34" borderId="1" xfId="124" applyNumberFormat="1" applyFont="1" applyFill="1" applyBorder="1"/>
    <xf numFmtId="170" fontId="122" fillId="34" borderId="1" xfId="124" applyNumberFormat="1" applyFont="1" applyFill="1" applyBorder="1"/>
    <xf numFmtId="0" fontId="122" fillId="34" borderId="1" xfId="124" applyFont="1" applyFill="1" applyBorder="1" applyAlignment="1">
      <alignment wrapText="1"/>
    </xf>
    <xf numFmtId="2" fontId="122" fillId="34" borderId="1" xfId="124" applyNumberFormat="1" applyFont="1" applyFill="1" applyBorder="1"/>
    <xf numFmtId="2" fontId="122" fillId="34" borderId="1" xfId="124" applyNumberFormat="1" applyFont="1" applyFill="1" applyBorder="1" applyAlignment="1">
      <alignment horizontal="right"/>
    </xf>
    <xf numFmtId="0" fontId="113" fillId="34" borderId="1" xfId="124" applyFont="1" applyFill="1" applyBorder="1"/>
    <xf numFmtId="2" fontId="114" fillId="34" borderId="1" xfId="124" applyNumberFormat="1" applyFont="1" applyFill="1" applyBorder="1"/>
    <xf numFmtId="177" fontId="119" fillId="0" borderId="0" xfId="124" applyNumberFormat="1" applyFont="1"/>
    <xf numFmtId="170" fontId="122" fillId="34" borderId="1" xfId="124" applyNumberFormat="1" applyFont="1" applyFill="1" applyBorder="1" applyProtection="1">
      <protection locked="0"/>
    </xf>
    <xf numFmtId="175" fontId="122" fillId="34" borderId="1" xfId="124" applyNumberFormat="1" applyFont="1" applyFill="1" applyBorder="1"/>
    <xf numFmtId="177" fontId="122" fillId="34" borderId="0" xfId="124" applyNumberFormat="1" applyFont="1" applyFill="1"/>
    <xf numFmtId="10" fontId="119" fillId="0" borderId="0" xfId="192" applyNumberFormat="1" applyFont="1"/>
    <xf numFmtId="0" fontId="122" fillId="34" borderId="57" xfId="124" applyFont="1" applyFill="1" applyBorder="1"/>
    <xf numFmtId="0" fontId="122" fillId="34" borderId="39" xfId="124" applyFont="1" applyFill="1" applyBorder="1"/>
    <xf numFmtId="0" fontId="124" fillId="34" borderId="40" xfId="124" applyFont="1" applyFill="1" applyBorder="1" applyAlignment="1">
      <alignment wrapText="1"/>
    </xf>
    <xf numFmtId="175" fontId="119" fillId="0" borderId="0" xfId="124" applyNumberFormat="1" applyFont="1"/>
    <xf numFmtId="0" fontId="123" fillId="34" borderId="39" xfId="124" applyFont="1" applyFill="1" applyBorder="1"/>
    <xf numFmtId="0" fontId="123" fillId="34" borderId="1" xfId="124" applyFont="1" applyFill="1" applyBorder="1" applyAlignment="1">
      <alignment wrapText="1"/>
    </xf>
    <xf numFmtId="0" fontId="127" fillId="0" borderId="0" xfId="124" applyFont="1"/>
    <xf numFmtId="2" fontId="127" fillId="0" borderId="0" xfId="124" applyNumberFormat="1" applyFont="1"/>
    <xf numFmtId="2" fontId="128" fillId="0" borderId="0" xfId="124" applyNumberFormat="1" applyFont="1"/>
    <xf numFmtId="0" fontId="122" fillId="0" borderId="0" xfId="124" applyFont="1"/>
    <xf numFmtId="0" fontId="129" fillId="0" borderId="0" xfId="124" applyFont="1"/>
    <xf numFmtId="0" fontId="39" fillId="0" borderId="45" xfId="0" applyFont="1" applyBorder="1" applyAlignment="1">
      <alignment horizontal="center"/>
    </xf>
    <xf numFmtId="0" fontId="39" fillId="0" borderId="67" xfId="0" applyFont="1" applyBorder="1" applyAlignment="1">
      <alignment horizontal="left" indent="2"/>
    </xf>
    <xf numFmtId="0" fontId="39" fillId="0" borderId="32" xfId="0" applyFont="1" applyBorder="1" applyAlignment="1">
      <alignment horizontal="left" indent="2"/>
    </xf>
    <xf numFmtId="0" fontId="48" fillId="0" borderId="29" xfId="0" applyFont="1" applyBorder="1"/>
    <xf numFmtId="0" fontId="39" fillId="0" borderId="67" xfId="0" applyFont="1" applyBorder="1" applyAlignment="1">
      <alignment horizontal="left" indent="3"/>
    </xf>
    <xf numFmtId="181" fontId="39" fillId="0" borderId="7" xfId="0" applyNumberFormat="1" applyFont="1" applyBorder="1" applyAlignment="1">
      <alignment horizontal="right"/>
    </xf>
    <xf numFmtId="0" fontId="112" fillId="0" borderId="67" xfId="0" applyFont="1" applyBorder="1" applyAlignment="1">
      <alignment horizontal="left" indent="2"/>
    </xf>
    <xf numFmtId="0" fontId="48" fillId="59" borderId="67" xfId="0" applyFont="1" applyFill="1" applyBorder="1" applyAlignment="1">
      <alignment horizontal="left" indent="1"/>
    </xf>
    <xf numFmtId="175" fontId="48" fillId="59" borderId="7" xfId="0" applyNumberFormat="1" applyFont="1" applyFill="1" applyBorder="1" applyAlignment="1">
      <alignment horizontal="right"/>
    </xf>
    <xf numFmtId="0" fontId="138" fillId="0" borderId="0" xfId="0" applyFont="1"/>
    <xf numFmtId="0" fontId="138" fillId="0" borderId="5" xfId="0" applyFont="1" applyBorder="1"/>
    <xf numFmtId="0" fontId="138" fillId="0" borderId="9" xfId="0" applyFont="1" applyBorder="1"/>
    <xf numFmtId="181" fontId="48" fillId="59" borderId="7" xfId="0" applyNumberFormat="1" applyFont="1" applyFill="1" applyBorder="1" applyAlignment="1">
      <alignment horizontal="right"/>
    </xf>
    <xf numFmtId="181" fontId="39" fillId="0" borderId="1" xfId="0" applyNumberFormat="1" applyFont="1" applyBorder="1" applyAlignment="1">
      <alignment horizontal="right"/>
    </xf>
    <xf numFmtId="181" fontId="112" fillId="0" borderId="7" xfId="0" applyNumberFormat="1" applyFont="1" applyBorder="1" applyAlignment="1">
      <alignment horizontal="right"/>
    </xf>
    <xf numFmtId="181" fontId="112" fillId="0" borderId="1" xfId="0" applyNumberFormat="1" applyFont="1" applyBorder="1"/>
    <xf numFmtId="0" fontId="112" fillId="0" borderId="89" xfId="0" applyFont="1" applyBorder="1" applyAlignment="1">
      <alignment horizontal="left" indent="2"/>
    </xf>
    <xf numFmtId="0" fontId="48" fillId="59" borderId="6" xfId="0" applyFont="1" applyFill="1" applyBorder="1" applyAlignment="1">
      <alignment horizontal="left" wrapText="1" indent="1"/>
    </xf>
    <xf numFmtId="0" fontId="48" fillId="59" borderId="66" xfId="0" applyFont="1" applyFill="1" applyBorder="1" applyAlignment="1">
      <alignment horizontal="left" wrapText="1" indent="1"/>
    </xf>
    <xf numFmtId="181" fontId="48" fillId="59" borderId="73" xfId="0" applyNumberFormat="1" applyFont="1" applyFill="1" applyBorder="1" applyAlignment="1">
      <alignment horizontal="right"/>
    </xf>
    <xf numFmtId="181" fontId="112" fillId="0" borderId="73" xfId="0" applyNumberFormat="1" applyFont="1" applyBorder="1" applyAlignment="1">
      <alignment horizontal="right"/>
    </xf>
    <xf numFmtId="181" fontId="39" fillId="0" borderId="73" xfId="0" applyNumberFormat="1" applyFont="1" applyBorder="1" applyAlignment="1">
      <alignment horizontal="right"/>
    </xf>
    <xf numFmtId="181" fontId="112" fillId="0" borderId="40" xfId="0" applyNumberFormat="1" applyFont="1" applyBorder="1"/>
    <xf numFmtId="181" fontId="39" fillId="0" borderId="40" xfId="0" applyNumberFormat="1" applyFont="1" applyBorder="1" applyAlignment="1">
      <alignment horizontal="right"/>
    </xf>
    <xf numFmtId="0" fontId="39" fillId="0" borderId="68" xfId="0" applyFont="1" applyBorder="1" applyAlignment="1">
      <alignment horizontal="left" indent="3"/>
    </xf>
    <xf numFmtId="181" fontId="39" fillId="0" borderId="54" xfId="0" applyNumberFormat="1" applyFont="1" applyBorder="1" applyAlignment="1">
      <alignment horizontal="right"/>
    </xf>
    <xf numFmtId="181" fontId="39" fillId="0" borderId="72" xfId="0" applyNumberFormat="1" applyFont="1" applyBorder="1" applyAlignment="1">
      <alignment horizontal="right"/>
    </xf>
    <xf numFmtId="2" fontId="48" fillId="59" borderId="63" xfId="0" applyNumberFormat="1" applyFont="1" applyFill="1" applyBorder="1" applyAlignment="1">
      <alignment wrapText="1"/>
    </xf>
    <xf numFmtId="2" fontId="48" fillId="59" borderId="31" xfId="0" applyNumberFormat="1" applyFont="1" applyFill="1" applyBorder="1" applyAlignment="1">
      <alignment wrapText="1"/>
    </xf>
    <xf numFmtId="2" fontId="112" fillId="0" borderId="69" xfId="0" applyNumberFormat="1" applyFont="1" applyBorder="1" applyAlignment="1">
      <alignment wrapText="1"/>
    </xf>
    <xf numFmtId="2" fontId="39" fillId="0" borderId="69" xfId="0" applyNumberFormat="1" applyFont="1" applyBorder="1" applyAlignment="1">
      <alignment wrapText="1"/>
    </xf>
    <xf numFmtId="2" fontId="48" fillId="59" borderId="7" xfId="0" applyNumberFormat="1" applyFont="1" applyFill="1" applyBorder="1" applyAlignment="1">
      <alignment horizontal="right"/>
    </xf>
    <xf numFmtId="2" fontId="48" fillId="59" borderId="73" xfId="0" applyNumberFormat="1" applyFont="1" applyFill="1" applyBorder="1" applyAlignment="1">
      <alignment horizontal="right"/>
    </xf>
    <xf numFmtId="2" fontId="39" fillId="0" borderId="38" xfId="0" applyNumberFormat="1" applyFont="1" applyBorder="1" applyAlignment="1">
      <alignment wrapText="1"/>
    </xf>
    <xf numFmtId="2" fontId="39" fillId="0" borderId="86" xfId="0" applyNumberFormat="1" applyFont="1" applyBorder="1" applyAlignment="1">
      <alignment wrapText="1"/>
    </xf>
    <xf numFmtId="2" fontId="39" fillId="0" borderId="56" xfId="0" applyNumberFormat="1" applyFont="1" applyBorder="1" applyAlignment="1">
      <alignment wrapText="1"/>
    </xf>
    <xf numFmtId="2" fontId="112" fillId="0" borderId="38" xfId="0" applyNumberFormat="1" applyFont="1" applyBorder="1" applyAlignment="1">
      <alignment wrapText="1"/>
    </xf>
    <xf numFmtId="2" fontId="48" fillId="59" borderId="65" xfId="0" applyNumberFormat="1" applyFont="1" applyFill="1" applyBorder="1" applyAlignment="1">
      <alignment wrapText="1"/>
    </xf>
    <xf numFmtId="2" fontId="48" fillId="59" borderId="90" xfId="0" applyNumberFormat="1" applyFont="1" applyFill="1" applyBorder="1" applyAlignment="1">
      <alignment wrapText="1"/>
    </xf>
    <xf numFmtId="2" fontId="39" fillId="0" borderId="7" xfId="0" applyNumberFormat="1" applyFont="1" applyBorder="1" applyAlignment="1">
      <alignment wrapText="1"/>
    </xf>
    <xf numFmtId="2" fontId="39" fillId="0" borderId="73" xfId="0" applyNumberFormat="1" applyFont="1" applyBorder="1" applyAlignment="1">
      <alignment wrapText="1"/>
    </xf>
    <xf numFmtId="2" fontId="39" fillId="0" borderId="54" xfId="0" applyNumberFormat="1" applyFont="1" applyBorder="1" applyAlignment="1">
      <alignment wrapText="1"/>
    </xf>
    <xf numFmtId="2" fontId="39" fillId="0" borderId="72" xfId="0" applyNumberFormat="1" applyFont="1" applyBorder="1" applyAlignment="1">
      <alignment wrapText="1"/>
    </xf>
    <xf numFmtId="0" fontId="40" fillId="0" borderId="31" xfId="0" applyFont="1" applyBorder="1" applyAlignment="1">
      <alignment horizontal="center" wrapText="1"/>
    </xf>
    <xf numFmtId="0" fontId="111" fillId="0" borderId="0" xfId="0" applyFont="1"/>
    <xf numFmtId="0" fontId="50" fillId="0" borderId="3" xfId="5" applyFont="1" applyBorder="1" applyAlignment="1">
      <alignment horizontal="center" vertical="center" wrapText="1"/>
    </xf>
    <xf numFmtId="0" fontId="88" fillId="0" borderId="0" xfId="0" applyFont="1"/>
    <xf numFmtId="0" fontId="39" fillId="0" borderId="67" xfId="0" applyFont="1" applyBorder="1" applyAlignment="1">
      <alignment horizontal="left" indent="4"/>
    </xf>
    <xf numFmtId="175" fontId="48" fillId="0" borderId="31" xfId="0" applyNumberFormat="1" applyFont="1" applyBorder="1" applyAlignment="1">
      <alignment wrapText="1"/>
    </xf>
    <xf numFmtId="0" fontId="48" fillId="0" borderId="28" xfId="0" applyFont="1" applyBorder="1"/>
    <xf numFmtId="0" fontId="48" fillId="0" borderId="30" xfId="0" applyFont="1" applyBorder="1"/>
    <xf numFmtId="0" fontId="39" fillId="0" borderId="60" xfId="0" applyFont="1" applyBorder="1" applyAlignment="1">
      <alignment horizontal="center"/>
    </xf>
    <xf numFmtId="0" fontId="39" fillId="0" borderId="39" xfId="0" applyFont="1" applyBorder="1" applyAlignment="1">
      <alignment horizontal="left" wrapText="1"/>
    </xf>
    <xf numFmtId="0" fontId="39" fillId="0" borderId="39" xfId="0" applyFont="1" applyBorder="1" applyAlignment="1">
      <alignment wrapText="1"/>
    </xf>
    <xf numFmtId="0" fontId="39" fillId="0" borderId="44" xfId="0" applyFont="1" applyBorder="1" applyAlignment="1">
      <alignment wrapText="1"/>
    </xf>
    <xf numFmtId="175" fontId="39" fillId="0" borderId="0" xfId="0" applyNumberFormat="1" applyFont="1"/>
    <xf numFmtId="0" fontId="48" fillId="0" borderId="67" xfId="0" applyFont="1" applyBorder="1"/>
    <xf numFmtId="175" fontId="48" fillId="0" borderId="67" xfId="0" applyNumberFormat="1" applyFont="1" applyBorder="1"/>
    <xf numFmtId="0" fontId="48" fillId="59" borderId="23" xfId="0" applyFont="1" applyFill="1" applyBorder="1" applyAlignment="1">
      <alignment wrapText="1"/>
    </xf>
    <xf numFmtId="0" fontId="48" fillId="0" borderId="66" xfId="0" applyFont="1" applyBorder="1" applyAlignment="1">
      <alignment wrapText="1"/>
    </xf>
    <xf numFmtId="179" fontId="48" fillId="0" borderId="65" xfId="0" applyNumberFormat="1" applyFont="1" applyBorder="1"/>
    <xf numFmtId="179" fontId="48" fillId="0" borderId="90" xfId="0" applyNumberFormat="1" applyFont="1" applyBorder="1"/>
    <xf numFmtId="0" fontId="48" fillId="59" borderId="67" xfId="0" applyFont="1" applyFill="1" applyBorder="1" applyAlignment="1">
      <alignment horizontal="left" wrapText="1" indent="1"/>
    </xf>
    <xf numFmtId="179" fontId="48" fillId="59" borderId="7" xfId="0" applyNumberFormat="1" applyFont="1" applyFill="1" applyBorder="1" applyAlignment="1">
      <alignment wrapText="1"/>
    </xf>
    <xf numFmtId="179" fontId="48" fillId="59" borderId="73" xfId="0" applyNumberFormat="1" applyFont="1" applyFill="1" applyBorder="1" applyAlignment="1">
      <alignment wrapText="1"/>
    </xf>
    <xf numFmtId="179" fontId="112" fillId="0" borderId="7" xfId="0" applyNumberFormat="1" applyFont="1" applyBorder="1" applyAlignment="1">
      <alignment wrapText="1"/>
    </xf>
    <xf numFmtId="179" fontId="112" fillId="0" borderId="73" xfId="0" applyNumberFormat="1" applyFont="1" applyBorder="1" applyAlignment="1">
      <alignment wrapText="1"/>
    </xf>
    <xf numFmtId="179" fontId="39" fillId="0" borderId="7" xfId="0" applyNumberFormat="1" applyFont="1" applyBorder="1" applyAlignment="1">
      <alignment wrapText="1"/>
    </xf>
    <xf numFmtId="179" fontId="39" fillId="0" borderId="1" xfId="0" applyNumberFormat="1" applyFont="1" applyBorder="1" applyAlignment="1">
      <alignment wrapText="1"/>
    </xf>
    <xf numFmtId="179" fontId="39" fillId="0" borderId="40" xfId="0" applyNumberFormat="1" applyFont="1" applyBorder="1" applyAlignment="1">
      <alignment wrapText="1"/>
    </xf>
    <xf numFmtId="179" fontId="112" fillId="0" borderId="40" xfId="0" applyNumberFormat="1" applyFont="1" applyBorder="1" applyAlignment="1">
      <alignment wrapText="1"/>
    </xf>
    <xf numFmtId="181" fontId="112" fillId="0" borderId="9" xfId="0" applyNumberFormat="1" applyFont="1" applyBorder="1"/>
    <xf numFmtId="179" fontId="48" fillId="0" borderId="0" xfId="0" applyNumberFormat="1" applyFont="1"/>
    <xf numFmtId="178" fontId="48" fillId="0" borderId="0" xfId="0" applyNumberFormat="1" applyFont="1"/>
    <xf numFmtId="181" fontId="48" fillId="0" borderId="0" xfId="0" applyNumberFormat="1" applyFont="1" applyAlignment="1">
      <alignment horizontal="center"/>
    </xf>
    <xf numFmtId="183" fontId="0" fillId="0" borderId="0" xfId="0" applyNumberFormat="1" applyAlignment="1">
      <alignment horizontal="center"/>
    </xf>
    <xf numFmtId="2" fontId="48" fillId="59" borderId="86" xfId="0" applyNumberFormat="1" applyFont="1" applyFill="1" applyBorder="1"/>
    <xf numFmtId="181" fontId="0" fillId="0" borderId="0" xfId="0" applyNumberFormat="1"/>
    <xf numFmtId="0" fontId="39" fillId="0" borderId="28" xfId="0" applyFont="1" applyBorder="1" applyAlignment="1">
      <alignment horizontal="left" indent="1"/>
    </xf>
    <xf numFmtId="0" fontId="48" fillId="0" borderId="33" xfId="0" applyFont="1" applyBorder="1"/>
    <xf numFmtId="0" fontId="39" fillId="0" borderId="32" xfId="0" applyFont="1" applyBorder="1" applyAlignment="1">
      <alignment horizontal="left" indent="1"/>
    </xf>
    <xf numFmtId="0" fontId="39" fillId="0" borderId="33" xfId="0" applyFont="1" applyBorder="1"/>
    <xf numFmtId="177" fontId="48" fillId="0" borderId="33" xfId="0" applyNumberFormat="1" applyFont="1" applyBorder="1" applyAlignment="1">
      <alignment horizontal="center"/>
    </xf>
    <xf numFmtId="177" fontId="48" fillId="0" borderId="32" xfId="0" applyNumberFormat="1" applyFont="1" applyBorder="1" applyAlignment="1">
      <alignment horizontal="center"/>
    </xf>
    <xf numFmtId="177" fontId="39" fillId="0" borderId="32" xfId="0" applyNumberFormat="1" applyFont="1" applyBorder="1" applyAlignment="1">
      <alignment horizontal="center"/>
    </xf>
    <xf numFmtId="177" fontId="39" fillId="0" borderId="23" xfId="0" applyNumberFormat="1" applyFont="1" applyBorder="1" applyAlignment="1">
      <alignment horizontal="center"/>
    </xf>
    <xf numFmtId="0" fontId="39" fillId="33" borderId="67" xfId="0" applyFont="1" applyFill="1" applyBorder="1" applyAlignment="1">
      <alignment horizontal="left" indent="4"/>
    </xf>
    <xf numFmtId="181" fontId="39" fillId="33" borderId="7" xfId="0" applyNumberFormat="1" applyFont="1" applyFill="1" applyBorder="1" applyAlignment="1">
      <alignment horizontal="right"/>
    </xf>
    <xf numFmtId="181" fontId="39" fillId="33" borderId="1" xfId="0" applyNumberFormat="1" applyFont="1" applyFill="1" applyBorder="1" applyAlignment="1">
      <alignment horizontal="right"/>
    </xf>
    <xf numFmtId="0" fontId="39" fillId="33" borderId="67" xfId="0" applyFont="1" applyFill="1" applyBorder="1" applyAlignment="1">
      <alignment horizontal="left" indent="3"/>
    </xf>
    <xf numFmtId="2" fontId="39" fillId="33" borderId="69" xfId="0" applyNumberFormat="1" applyFont="1" applyFill="1" applyBorder="1" applyAlignment="1">
      <alignment wrapText="1"/>
    </xf>
    <xf numFmtId="179" fontId="39" fillId="33" borderId="7" xfId="0" applyNumberFormat="1" applyFont="1" applyFill="1" applyBorder="1" applyAlignment="1">
      <alignment wrapText="1"/>
    </xf>
    <xf numFmtId="179" fontId="39" fillId="33" borderId="73" xfId="0" applyNumberFormat="1" applyFont="1" applyFill="1" applyBorder="1" applyAlignment="1">
      <alignment wrapText="1"/>
    </xf>
    <xf numFmtId="2" fontId="112" fillId="0" borderId="7" xfId="0" applyNumberFormat="1" applyFont="1" applyBorder="1" applyAlignment="1">
      <alignment wrapText="1"/>
    </xf>
    <xf numFmtId="2" fontId="112" fillId="0" borderId="73" xfId="0" applyNumberFormat="1" applyFont="1" applyBorder="1" applyAlignment="1">
      <alignment wrapText="1"/>
    </xf>
    <xf numFmtId="2" fontId="39" fillId="33" borderId="7" xfId="0" applyNumberFormat="1" applyFont="1" applyFill="1" applyBorder="1" applyAlignment="1">
      <alignment wrapText="1"/>
    </xf>
    <xf numFmtId="2" fontId="39" fillId="33" borderId="73" xfId="0" applyNumberFormat="1" applyFont="1" applyFill="1" applyBorder="1" applyAlignment="1">
      <alignment wrapText="1"/>
    </xf>
    <xf numFmtId="177" fontId="39" fillId="0" borderId="67" xfId="0" applyNumberFormat="1" applyFont="1" applyBorder="1" applyAlignment="1">
      <alignment horizontal="center"/>
    </xf>
    <xf numFmtId="0" fontId="39" fillId="0" borderId="68" xfId="0" applyFont="1" applyBorder="1" applyAlignment="1">
      <alignment horizontal="left" indent="2"/>
    </xf>
    <xf numFmtId="2" fontId="39" fillId="0" borderId="67" xfId="0" applyNumberFormat="1" applyFont="1" applyBorder="1" applyAlignment="1">
      <alignment horizontal="center"/>
    </xf>
    <xf numFmtId="2" fontId="39" fillId="0" borderId="68" xfId="0" applyNumberFormat="1" applyFont="1" applyBorder="1" applyAlignment="1">
      <alignment horizontal="center"/>
    </xf>
    <xf numFmtId="2" fontId="48" fillId="0" borderId="67" xfId="0" applyNumberFormat="1" applyFont="1" applyBorder="1" applyAlignment="1">
      <alignment horizontal="center"/>
    </xf>
    <xf numFmtId="0" fontId="48" fillId="0" borderId="32" xfId="0" applyFont="1" applyBorder="1" applyAlignment="1">
      <alignment horizontal="left" indent="1"/>
    </xf>
    <xf numFmtId="0" fontId="39" fillId="0" borderId="23" xfId="0" applyFont="1" applyBorder="1" applyAlignment="1">
      <alignment horizontal="left" indent="2"/>
    </xf>
    <xf numFmtId="0" fontId="138" fillId="0" borderId="32" xfId="0" applyFont="1" applyBorder="1" applyAlignment="1">
      <alignment horizontal="left" indent="1"/>
    </xf>
    <xf numFmtId="177" fontId="138" fillId="0" borderId="32" xfId="0" applyNumberFormat="1" applyFont="1" applyBorder="1" applyAlignment="1">
      <alignment horizontal="center"/>
    </xf>
    <xf numFmtId="177" fontId="39" fillId="0" borderId="0" xfId="0" applyNumberFormat="1" applyFont="1"/>
    <xf numFmtId="0" fontId="39" fillId="0" borderId="89" xfId="0" applyFont="1" applyBorder="1" applyAlignment="1">
      <alignment horizontal="left" indent="1"/>
    </xf>
    <xf numFmtId="177" fontId="39" fillId="0" borderId="89" xfId="0" applyNumberFormat="1" applyFont="1" applyBorder="1" applyAlignment="1">
      <alignment horizontal="center"/>
    </xf>
    <xf numFmtId="0" fontId="48" fillId="59" borderId="6" xfId="0" applyFont="1" applyFill="1" applyBorder="1"/>
    <xf numFmtId="177" fontId="48" fillId="59" borderId="6" xfId="0" applyNumberFormat="1" applyFont="1" applyFill="1" applyBorder="1" applyAlignment="1">
      <alignment horizontal="center"/>
    </xf>
    <xf numFmtId="0" fontId="39" fillId="59" borderId="6" xfId="0" applyFont="1" applyFill="1" applyBorder="1"/>
    <xf numFmtId="177" fontId="39" fillId="59" borderId="6" xfId="0" applyNumberFormat="1" applyFont="1" applyFill="1" applyBorder="1" applyAlignment="1">
      <alignment horizontal="center"/>
    </xf>
    <xf numFmtId="179" fontId="39" fillId="0" borderId="0" xfId="0" applyNumberFormat="1" applyFont="1"/>
    <xf numFmtId="179" fontId="39" fillId="0" borderId="39" xfId="0" applyNumberFormat="1" applyFont="1" applyBorder="1"/>
    <xf numFmtId="181" fontId="48" fillId="0" borderId="67" xfId="0" applyNumberFormat="1" applyFont="1" applyBorder="1"/>
    <xf numFmtId="0" fontId="48" fillId="0" borderId="89" xfId="0" applyFont="1" applyBorder="1"/>
    <xf numFmtId="177" fontId="39" fillId="0" borderId="36" xfId="0" applyNumberFormat="1" applyFont="1" applyBorder="1"/>
    <xf numFmtId="177" fontId="39" fillId="0" borderId="31" xfId="0" applyNumberFormat="1" applyFont="1" applyBorder="1"/>
    <xf numFmtId="177" fontId="39" fillId="0" borderId="6" xfId="0" applyNumberFormat="1" applyFont="1" applyBorder="1"/>
    <xf numFmtId="177" fontId="39" fillId="0" borderId="32" xfId="0" applyNumberFormat="1" applyFont="1" applyBorder="1"/>
    <xf numFmtId="177" fontId="48" fillId="0" borderId="32" xfId="0" applyNumberFormat="1" applyFont="1" applyBorder="1"/>
    <xf numFmtId="177" fontId="48" fillId="0" borderId="23" xfId="0" applyNumberFormat="1" applyFont="1" applyBorder="1"/>
    <xf numFmtId="177" fontId="48" fillId="0" borderId="35" xfId="0" applyNumberFormat="1" applyFont="1" applyBorder="1"/>
    <xf numFmtId="177" fontId="48" fillId="0" borderId="56" xfId="0" applyNumberFormat="1" applyFont="1" applyBorder="1"/>
    <xf numFmtId="0" fontId="50" fillId="0" borderId="43" xfId="5" applyFont="1" applyBorder="1" applyAlignment="1">
      <alignment horizontal="center" vertical="center" wrapText="1"/>
    </xf>
    <xf numFmtId="0" fontId="39" fillId="0" borderId="0" xfId="6" applyFont="1" applyAlignment="1">
      <alignment horizontal="center" vertical="center" wrapText="1"/>
    </xf>
    <xf numFmtId="2" fontId="112" fillId="0" borderId="0" xfId="0" applyNumberFormat="1" applyFont="1"/>
    <xf numFmtId="175" fontId="112" fillId="0" borderId="0" xfId="0" applyNumberFormat="1" applyFont="1"/>
    <xf numFmtId="0" fontId="38" fillId="0" borderId="39" xfId="6" applyFont="1" applyBorder="1" applyAlignment="1">
      <alignment vertical="center" wrapText="1"/>
    </xf>
    <xf numFmtId="0" fontId="38" fillId="0" borderId="39" xfId="6" applyFont="1" applyBorder="1" applyAlignment="1">
      <alignment horizontal="left" vertical="center" wrapText="1" indent="1"/>
    </xf>
    <xf numFmtId="0" fontId="38" fillId="0" borderId="39" xfId="6" applyFont="1" applyBorder="1" applyAlignment="1">
      <alignment horizontal="left" vertical="center" wrapText="1"/>
    </xf>
    <xf numFmtId="0" fontId="29" fillId="0" borderId="0" xfId="6"/>
    <xf numFmtId="0" fontId="39" fillId="0" borderId="0" xfId="0" applyFont="1" applyAlignment="1">
      <alignment horizontal="left" vertical="center" wrapText="1"/>
    </xf>
    <xf numFmtId="0" fontId="0" fillId="0" borderId="0" xfId="0" applyAlignment="1">
      <alignment horizontal="left"/>
    </xf>
    <xf numFmtId="179" fontId="0" fillId="0" borderId="0" xfId="0" applyNumberFormat="1"/>
    <xf numFmtId="0" fontId="48" fillId="3" borderId="0" xfId="0" applyFont="1" applyFill="1" applyAlignment="1">
      <alignment horizontal="center" vertical="top"/>
    </xf>
    <xf numFmtId="0" fontId="37" fillId="0" borderId="1" xfId="6" applyFont="1" applyBorder="1" applyAlignment="1" applyProtection="1">
      <alignment horizontal="center" vertical="center" wrapText="1"/>
      <protection locked="0"/>
    </xf>
    <xf numFmtId="0" fontId="38" fillId="0" borderId="1" xfId="0" applyFont="1" applyBorder="1" applyAlignment="1">
      <alignment vertical="center" wrapText="1"/>
    </xf>
    <xf numFmtId="1" fontId="37" fillId="0" borderId="1" xfId="6" applyNumberFormat="1" applyFont="1" applyBorder="1" applyAlignment="1" applyProtection="1">
      <alignment horizontal="center" vertical="center" wrapText="1"/>
      <protection locked="0"/>
    </xf>
    <xf numFmtId="2" fontId="37" fillId="0" borderId="1" xfId="6" applyNumberFormat="1" applyFont="1" applyBorder="1" applyAlignment="1" applyProtection="1">
      <alignment horizontal="center" vertical="center" wrapText="1"/>
      <protection locked="0"/>
    </xf>
    <xf numFmtId="0" fontId="112" fillId="0" borderId="0" xfId="6" applyFont="1" applyAlignment="1">
      <alignment horizontal="center"/>
    </xf>
    <xf numFmtId="2" fontId="37" fillId="0" borderId="1" xfId="6" applyNumberFormat="1" applyFont="1" applyBorder="1" applyAlignment="1">
      <alignment horizontal="center" vertical="center" wrapText="1"/>
    </xf>
    <xf numFmtId="0" fontId="37" fillId="0" borderId="1" xfId="6" applyFont="1" applyBorder="1" applyAlignment="1">
      <alignment horizontal="center" vertical="center" wrapText="1"/>
    </xf>
    <xf numFmtId="10" fontId="37" fillId="0" borderId="1" xfId="6" applyNumberFormat="1" applyFont="1" applyBorder="1" applyAlignment="1" applyProtection="1">
      <alignment horizontal="center" vertical="center" wrapText="1"/>
      <protection locked="0"/>
    </xf>
    <xf numFmtId="177" fontId="37" fillId="0" borderId="1" xfId="6" applyNumberFormat="1" applyFont="1" applyBorder="1" applyAlignment="1">
      <alignment horizontal="center" vertical="center" wrapText="1"/>
    </xf>
    <xf numFmtId="0" fontId="47" fillId="34" borderId="0" xfId="448" applyFont="1" applyFill="1"/>
    <xf numFmtId="0" fontId="47" fillId="31" borderId="0" xfId="448" applyFont="1" applyFill="1"/>
    <xf numFmtId="0" fontId="47" fillId="0" borderId="0" xfId="448" applyFont="1"/>
    <xf numFmtId="0" fontId="98" fillId="34" borderId="0" xfId="448" applyFont="1" applyFill="1" applyAlignment="1">
      <alignment vertical="center"/>
    </xf>
    <xf numFmtId="4" fontId="47" fillId="0" borderId="0" xfId="448" applyNumberFormat="1" applyFont="1"/>
    <xf numFmtId="0" fontId="146" fillId="0" borderId="0" xfId="448" applyFont="1" applyAlignment="1">
      <alignment horizontal="center"/>
    </xf>
    <xf numFmtId="2" fontId="146" fillId="0" borderId="0" xfId="448" applyNumberFormat="1" applyFont="1" applyAlignment="1">
      <alignment horizontal="center"/>
    </xf>
    <xf numFmtId="0" fontId="145" fillId="34" borderId="0" xfId="448" applyFont="1" applyFill="1"/>
    <xf numFmtId="0" fontId="145" fillId="3" borderId="0" xfId="448" applyFont="1" applyFill="1"/>
    <xf numFmtId="0" fontId="98" fillId="0" borderId="27" xfId="0" applyFont="1" applyBorder="1" applyAlignment="1">
      <alignment horizontal="center" wrapText="1"/>
    </xf>
    <xf numFmtId="0" fontId="98" fillId="3" borderId="0" xfId="448" applyFont="1" applyFill="1"/>
    <xf numFmtId="0" fontId="47" fillId="34" borderId="0" xfId="448" applyFont="1" applyFill="1" applyAlignment="1">
      <alignment horizontal="center"/>
    </xf>
    <xf numFmtId="0" fontId="145" fillId="34" borderId="0" xfId="448" applyFont="1" applyFill="1" applyAlignment="1">
      <alignment horizontal="center"/>
    </xf>
    <xf numFmtId="0" fontId="98" fillId="34" borderId="0" xfId="448" applyFont="1" applyFill="1" applyAlignment="1">
      <alignment horizontal="center" vertical="center"/>
    </xf>
    <xf numFmtId="0" fontId="47" fillId="0" borderId="0" xfId="448" applyFont="1" applyAlignment="1">
      <alignment horizontal="center"/>
    </xf>
    <xf numFmtId="0" fontId="154" fillId="31" borderId="6" xfId="448" applyFont="1" applyFill="1" applyBorder="1" applyAlignment="1">
      <alignment horizontal="center" vertical="center" wrapText="1"/>
    </xf>
    <xf numFmtId="0" fontId="154" fillId="31" borderId="31" xfId="448" applyFont="1" applyFill="1" applyBorder="1" applyAlignment="1">
      <alignment horizontal="center" vertical="center" wrapText="1"/>
    </xf>
    <xf numFmtId="0" fontId="39" fillId="0" borderId="0" xfId="506" applyFont="1" applyAlignment="1">
      <alignment horizontal="center" vertical="center" wrapText="1"/>
    </xf>
    <xf numFmtId="0" fontId="155" fillId="0" borderId="1" xfId="506" applyFont="1" applyBorder="1" applyAlignment="1">
      <alignment horizontal="center" vertical="center" wrapText="1"/>
    </xf>
    <xf numFmtId="0" fontId="155" fillId="32" borderId="1" xfId="506" applyFont="1" applyFill="1" applyBorder="1" applyAlignment="1">
      <alignment horizontal="center" vertical="center" wrapText="1"/>
    </xf>
    <xf numFmtId="0" fontId="155" fillId="0" borderId="0" xfId="506" applyFont="1" applyAlignment="1">
      <alignment horizontal="center" vertical="center" wrapText="1"/>
    </xf>
    <xf numFmtId="0" fontId="157" fillId="0" borderId="1" xfId="506" applyFont="1" applyBorder="1" applyAlignment="1">
      <alignment horizontal="center" vertical="center" wrapText="1"/>
    </xf>
    <xf numFmtId="2" fontId="160" fillId="0" borderId="0" xfId="506" applyNumberFormat="1" applyFont="1" applyAlignment="1" applyProtection="1">
      <alignment horizontal="center" vertical="center" wrapText="1"/>
      <protection hidden="1"/>
    </xf>
    <xf numFmtId="0" fontId="161" fillId="0" borderId="0" xfId="506" applyFont="1" applyAlignment="1">
      <alignment horizontal="center" vertical="center"/>
    </xf>
    <xf numFmtId="0" fontId="158" fillId="0" borderId="0" xfId="506" applyFont="1" applyAlignment="1">
      <alignment horizontal="left" vertical="top"/>
    </xf>
    <xf numFmtId="0" fontId="160" fillId="0" borderId="0" xfId="506" applyFont="1" applyAlignment="1" applyProtection="1">
      <alignment horizontal="center" vertical="center" wrapText="1"/>
      <protection hidden="1"/>
    </xf>
    <xf numFmtId="0" fontId="158" fillId="0" borderId="0" xfId="506" applyFont="1" applyAlignment="1">
      <alignment horizontal="center" vertical="top"/>
    </xf>
    <xf numFmtId="0" fontId="158" fillId="0" borderId="0" xfId="506" applyFont="1" applyAlignment="1">
      <alignment horizontal="right" vertical="top"/>
    </xf>
    <xf numFmtId="0" fontId="161" fillId="0" borderId="0" xfId="506" applyFont="1" applyAlignment="1" applyProtection="1">
      <alignment horizontal="left" vertical="top" wrapText="1"/>
      <protection hidden="1"/>
    </xf>
    <xf numFmtId="0" fontId="161" fillId="0" borderId="0" xfId="506" applyFont="1" applyAlignment="1">
      <alignment horizontal="left" vertical="center"/>
    </xf>
    <xf numFmtId="0" fontId="161" fillId="0" borderId="0" xfId="506" applyFont="1" applyAlignment="1" applyProtection="1">
      <alignment horizontal="center" vertical="center" wrapText="1"/>
      <protection hidden="1"/>
    </xf>
    <xf numFmtId="2" fontId="161" fillId="0" borderId="0" xfId="506" applyNumberFormat="1" applyFont="1" applyAlignment="1" applyProtection="1">
      <alignment horizontal="center" vertical="center" wrapText="1"/>
      <protection hidden="1"/>
    </xf>
    <xf numFmtId="0" fontId="159" fillId="0" borderId="0" xfId="506" applyFont="1" applyAlignment="1">
      <alignment horizontal="right"/>
    </xf>
    <xf numFmtId="0" fontId="155" fillId="31" borderId="1" xfId="506" applyFont="1" applyFill="1" applyBorder="1" applyAlignment="1">
      <alignment horizontal="center" vertical="center" wrapText="1"/>
    </xf>
    <xf numFmtId="0" fontId="40" fillId="0" borderId="0" xfId="506" applyFont="1" applyAlignment="1">
      <alignment horizontal="center" vertical="center" wrapText="1"/>
    </xf>
    <xf numFmtId="0" fontId="40" fillId="0" borderId="0" xfId="506" applyFont="1" applyAlignment="1">
      <alignment horizontal="center" vertical="center"/>
    </xf>
    <xf numFmtId="0" fontId="40" fillId="0" borderId="0" xfId="506" applyFont="1" applyAlignment="1">
      <alignment vertical="top" wrapText="1"/>
    </xf>
    <xf numFmtId="0" fontId="40" fillId="0" borderId="0" xfId="506" applyFont="1"/>
    <xf numFmtId="0" fontId="89" fillId="0" borderId="0" xfId="506" applyFont="1" applyAlignment="1">
      <alignment horizontal="left" vertical="center" wrapText="1"/>
    </xf>
    <xf numFmtId="0" fontId="89" fillId="0" borderId="0" xfId="506" applyFont="1"/>
    <xf numFmtId="0" fontId="47" fillId="0" borderId="0" xfId="533" applyFont="1" applyAlignment="1">
      <alignment horizontal="left" vertical="center"/>
    </xf>
    <xf numFmtId="0" fontId="40" fillId="3" borderId="0" xfId="0" applyFont="1" applyFill="1"/>
    <xf numFmtId="0" fontId="39" fillId="0" borderId="5" xfId="506" applyFont="1" applyBorder="1" applyAlignment="1" applyProtection="1">
      <alignment vertical="center" wrapText="1"/>
      <protection locked="0"/>
    </xf>
    <xf numFmtId="0" fontId="48" fillId="0" borderId="0" xfId="506" applyFont="1" applyAlignment="1" applyProtection="1">
      <alignment vertical="center" wrapText="1"/>
      <protection locked="0"/>
    </xf>
    <xf numFmtId="0" fontId="98" fillId="0" borderId="0" xfId="116" applyFont="1"/>
    <xf numFmtId="0" fontId="47" fillId="34" borderId="0" xfId="116" applyFont="1" applyFill="1"/>
    <xf numFmtId="0" fontId="47" fillId="0" borderId="0" xfId="116" applyFont="1"/>
    <xf numFmtId="0" fontId="167" fillId="0" borderId="0" xfId="116" applyFont="1"/>
    <xf numFmtId="0" fontId="141" fillId="0" borderId="0" xfId="116" applyFont="1"/>
    <xf numFmtId="0" fontId="167" fillId="0" borderId="0" xfId="116" applyFont="1" applyAlignment="1">
      <alignment horizontal="left"/>
    </xf>
    <xf numFmtId="4" fontId="167" fillId="0" borderId="0" xfId="116" applyNumberFormat="1" applyFont="1" applyAlignment="1">
      <alignment horizontal="left"/>
    </xf>
    <xf numFmtId="10" fontId="141" fillId="0" borderId="0" xfId="116" applyNumberFormat="1" applyFont="1"/>
    <xf numFmtId="0" fontId="167" fillId="0" borderId="31" xfId="116" applyFont="1" applyBorder="1" applyAlignment="1">
      <alignment vertical="center" wrapText="1"/>
    </xf>
    <xf numFmtId="0" fontId="167" fillId="0" borderId="31" xfId="116" applyFont="1" applyBorder="1" applyAlignment="1">
      <alignment horizontal="center" vertical="center" wrapText="1"/>
    </xf>
    <xf numFmtId="2" fontId="47" fillId="0" borderId="0" xfId="116" applyNumberFormat="1" applyFont="1"/>
    <xf numFmtId="0" fontId="167" fillId="0" borderId="100" xfId="116" applyFont="1" applyBorder="1" applyAlignment="1">
      <alignment vertical="justify" wrapText="1"/>
    </xf>
    <xf numFmtId="2" fontId="167" fillId="0" borderId="100" xfId="116" applyNumberFormat="1" applyFont="1" applyBorder="1"/>
    <xf numFmtId="2" fontId="167" fillId="34" borderId="100" xfId="116" applyNumberFormat="1" applyFont="1" applyFill="1" applyBorder="1"/>
    <xf numFmtId="4" fontId="141" fillId="0" borderId="0" xfId="116" applyNumberFormat="1" applyFont="1" applyAlignment="1">
      <alignment horizontal="right"/>
    </xf>
    <xf numFmtId="0" fontId="167" fillId="0" borderId="102" xfId="116" applyFont="1" applyBorder="1" applyAlignment="1">
      <alignment horizontal="left" vertical="justify" wrapText="1"/>
    </xf>
    <xf numFmtId="2" fontId="167" fillId="0" borderId="102" xfId="116" applyNumberFormat="1" applyFont="1" applyBorder="1" applyAlignment="1">
      <alignment horizontal="right"/>
    </xf>
    <xf numFmtId="0" fontId="163" fillId="0" borderId="102" xfId="116" applyFont="1" applyBorder="1" applyAlignment="1">
      <alignment horizontal="left" wrapText="1" indent="1"/>
    </xf>
    <xf numFmtId="2" fontId="163" fillId="0" borderId="102" xfId="116" applyNumberFormat="1" applyFont="1" applyBorder="1"/>
    <xf numFmtId="2" fontId="163" fillId="34" borderId="102" xfId="116" applyNumberFormat="1" applyFont="1" applyFill="1" applyBorder="1" applyAlignment="1">
      <alignment horizontal="right"/>
    </xf>
    <xf numFmtId="2" fontId="163" fillId="0" borderId="102" xfId="116" applyNumberFormat="1" applyFont="1" applyBorder="1" applyAlignment="1">
      <alignment horizontal="right"/>
    </xf>
    <xf numFmtId="0" fontId="167" fillId="0" borderId="102" xfId="116" applyFont="1" applyBorder="1" applyAlignment="1">
      <alignment horizontal="left" wrapText="1"/>
    </xf>
    <xf numFmtId="0" fontId="146" fillId="0" borderId="0" xfId="116" applyFont="1"/>
    <xf numFmtId="0" fontId="163" fillId="0" borderId="102" xfId="116" applyFont="1" applyBorder="1" applyAlignment="1">
      <alignment horizontal="left" vertical="justify" wrapText="1" indent="2"/>
    </xf>
    <xf numFmtId="2" fontId="167" fillId="0" borderId="102" xfId="116" applyNumberFormat="1" applyFont="1" applyBorder="1"/>
    <xf numFmtId="4" fontId="146" fillId="0" borderId="0" xfId="116" applyNumberFormat="1" applyFont="1"/>
    <xf numFmtId="0" fontId="163" fillId="0" borderId="102" xfId="116" applyFont="1" applyBorder="1" applyAlignment="1">
      <alignment horizontal="left" vertical="center" wrapText="1" indent="1"/>
    </xf>
    <xf numFmtId="0" fontId="163" fillId="0" borderId="102" xfId="116" applyFont="1" applyBorder="1" applyAlignment="1">
      <alignment horizontal="left" vertical="justify" indent="1"/>
    </xf>
    <xf numFmtId="2" fontId="163" fillId="0" borderId="104" xfId="116" applyNumberFormat="1" applyFont="1" applyBorder="1" applyAlignment="1">
      <alignment horizontal="right"/>
    </xf>
    <xf numFmtId="176" fontId="47" fillId="0" borderId="0" xfId="116" applyNumberFormat="1" applyFont="1"/>
    <xf numFmtId="0" fontId="163" fillId="0" borderId="0" xfId="116" applyFont="1"/>
    <xf numFmtId="177" fontId="0" fillId="0" borderId="0" xfId="0" applyNumberFormat="1"/>
    <xf numFmtId="0" fontId="39" fillId="0" borderId="0" xfId="506" applyFont="1"/>
    <xf numFmtId="4" fontId="39" fillId="0" borderId="0" xfId="506" applyNumberFormat="1" applyFont="1" applyAlignment="1">
      <alignment horizontal="center" vertical="center" wrapText="1"/>
    </xf>
    <xf numFmtId="2" fontId="146" fillId="0" borderId="0" xfId="116" applyNumberFormat="1" applyFont="1"/>
    <xf numFmtId="183" fontId="167" fillId="0" borderId="0" xfId="116" applyNumberFormat="1" applyFont="1" applyAlignment="1">
      <alignment horizontal="left"/>
    </xf>
    <xf numFmtId="187" fontId="167" fillId="0" borderId="0" xfId="116" applyNumberFormat="1" applyFont="1" applyAlignment="1">
      <alignment horizontal="left"/>
    </xf>
    <xf numFmtId="0" fontId="39" fillId="0" borderId="35" xfId="0" applyFont="1" applyBorder="1"/>
    <xf numFmtId="0" fontId="0" fillId="30" borderId="0" xfId="0" applyFill="1"/>
    <xf numFmtId="0" fontId="173" fillId="0" borderId="0" xfId="0" applyFont="1"/>
    <xf numFmtId="0" fontId="163" fillId="3" borderId="0" xfId="116" applyFont="1" applyFill="1"/>
    <xf numFmtId="2" fontId="47" fillId="0" borderId="0" xfId="116" applyNumberFormat="1" applyFont="1" applyAlignment="1">
      <alignment horizontal="left"/>
    </xf>
    <xf numFmtId="0" fontId="47" fillId="0" borderId="0" xfId="116" applyFont="1" applyAlignment="1">
      <alignment horizontal="left"/>
    </xf>
    <xf numFmtId="2" fontId="146" fillId="0" borderId="0" xfId="116" applyNumberFormat="1" applyFont="1" applyAlignment="1">
      <alignment horizontal="left"/>
    </xf>
    <xf numFmtId="0" fontId="40" fillId="0" borderId="0" xfId="546" applyFont="1"/>
    <xf numFmtId="0" fontId="40" fillId="0" borderId="0" xfId="546" applyFont="1" applyAlignment="1">
      <alignment horizontal="center" vertical="center"/>
    </xf>
    <xf numFmtId="0" fontId="40" fillId="0" borderId="1" xfId="546" applyFont="1" applyBorder="1"/>
    <xf numFmtId="0" fontId="40" fillId="0" borderId="3" xfId="546" applyFont="1" applyBorder="1"/>
    <xf numFmtId="0" fontId="89" fillId="0" borderId="61" xfId="546" applyFont="1" applyBorder="1" applyAlignment="1">
      <alignment horizontal="center" vertical="center" wrapText="1"/>
    </xf>
    <xf numFmtId="0" fontId="89" fillId="0" borderId="30" xfId="546" applyFont="1" applyBorder="1" applyAlignment="1">
      <alignment horizontal="center" vertical="center" wrapText="1"/>
    </xf>
    <xf numFmtId="0" fontId="40" fillId="0" borderId="37" xfId="546" applyFont="1" applyBorder="1"/>
    <xf numFmtId="0" fontId="40" fillId="0" borderId="52" xfId="546" applyFont="1" applyBorder="1"/>
    <xf numFmtId="0" fontId="89" fillId="0" borderId="63" xfId="546" applyFont="1" applyBorder="1" applyAlignment="1">
      <alignment horizontal="center" vertical="center" wrapText="1"/>
    </xf>
    <xf numFmtId="0" fontId="40" fillId="0" borderId="69" xfId="546" applyFont="1" applyBorder="1"/>
    <xf numFmtId="0" fontId="40" fillId="0" borderId="7" xfId="546" applyFont="1" applyBorder="1"/>
    <xf numFmtId="0" fontId="40" fillId="0" borderId="7" xfId="546" applyFont="1" applyBorder="1" applyAlignment="1">
      <alignment horizontal="right"/>
    </xf>
    <xf numFmtId="0" fontId="89" fillId="0" borderId="6" xfId="546" applyFont="1" applyBorder="1" applyAlignment="1">
      <alignment horizontal="center" vertical="center" wrapText="1"/>
    </xf>
    <xf numFmtId="0" fontId="40" fillId="0" borderId="89" xfId="546" applyFont="1" applyBorder="1"/>
    <xf numFmtId="0" fontId="40" fillId="0" borderId="67" xfId="546" applyFont="1" applyBorder="1"/>
    <xf numFmtId="0" fontId="40" fillId="0" borderId="68" xfId="546" applyFont="1" applyBorder="1"/>
    <xf numFmtId="0" fontId="40" fillId="0" borderId="8" xfId="546" applyFont="1" applyBorder="1"/>
    <xf numFmtId="0" fontId="89" fillId="0" borderId="6" xfId="546" applyFont="1" applyBorder="1" applyAlignment="1">
      <alignment horizontal="center" vertical="center"/>
    </xf>
    <xf numFmtId="2" fontId="40" fillId="0" borderId="68" xfId="546" applyNumberFormat="1" applyFont="1" applyBorder="1" applyAlignment="1">
      <alignment horizontal="center"/>
    </xf>
    <xf numFmtId="0" fontId="21" fillId="0" borderId="0" xfId="546"/>
    <xf numFmtId="0" fontId="21" fillId="33" borderId="0" xfId="546" applyFill="1"/>
    <xf numFmtId="0" fontId="21" fillId="61" borderId="0" xfId="546" applyFill="1"/>
    <xf numFmtId="0" fontId="48" fillId="31" borderId="57" xfId="546" applyFont="1" applyFill="1" applyBorder="1"/>
    <xf numFmtId="0" fontId="48" fillId="31" borderId="58" xfId="546" applyFont="1" applyFill="1" applyBorder="1"/>
    <xf numFmtId="0" fontId="48" fillId="31" borderId="59" xfId="546" applyFont="1" applyFill="1" applyBorder="1"/>
    <xf numFmtId="0" fontId="40" fillId="0" borderId="1" xfId="546" applyFont="1" applyBorder="1" applyAlignment="1">
      <alignment horizontal="left" vertical="top"/>
    </xf>
    <xf numFmtId="4" fontId="40" fillId="0" borderId="1" xfId="546" applyNumberFormat="1" applyFont="1" applyBorder="1" applyAlignment="1">
      <alignment horizontal="right" vertical="top"/>
    </xf>
    <xf numFmtId="0" fontId="40" fillId="0" borderId="1" xfId="546" applyFont="1" applyBorder="1" applyAlignment="1">
      <alignment horizontal="left" vertical="top" wrapText="1"/>
    </xf>
    <xf numFmtId="2" fontId="163" fillId="0" borderId="102" xfId="116" applyNumberFormat="1" applyFont="1" applyBorder="1" applyAlignment="1">
      <alignment horizontal="right" wrapText="1"/>
    </xf>
    <xf numFmtId="2" fontId="163" fillId="0" borderId="102" xfId="116" applyNumberFormat="1" applyFont="1" applyBorder="1" applyAlignment="1">
      <alignment wrapText="1"/>
    </xf>
    <xf numFmtId="0" fontId="163" fillId="0" borderId="102" xfId="116" applyFont="1" applyBorder="1" applyAlignment="1">
      <alignment horizontal="left" wrapText="1" indent="2"/>
    </xf>
    <xf numFmtId="0" fontId="163" fillId="0" borderId="102" xfId="116" applyFont="1" applyBorder="1" applyAlignment="1">
      <alignment horizontal="left" vertical="justify" wrapText="1" indent="1"/>
    </xf>
    <xf numFmtId="0" fontId="163" fillId="0" borderId="104" xfId="116" applyFont="1" applyBorder="1" applyAlignment="1">
      <alignment horizontal="left" wrapText="1" indent="1"/>
    </xf>
    <xf numFmtId="2" fontId="163" fillId="0" borderId="104" xfId="116" applyNumberFormat="1" applyFont="1" applyBorder="1"/>
    <xf numFmtId="0" fontId="0" fillId="0" borderId="0" xfId="0" applyAlignment="1">
      <alignment horizontal="center"/>
    </xf>
    <xf numFmtId="0" fontId="38" fillId="0" borderId="0" xfId="6" applyFont="1" applyAlignment="1">
      <alignment horizontal="justify" vertical="center" wrapText="1"/>
    </xf>
    <xf numFmtId="0" fontId="38" fillId="0" borderId="0" xfId="6" applyFont="1" applyAlignment="1">
      <alignment horizontal="left" vertical="center" wrapText="1"/>
    </xf>
    <xf numFmtId="0" fontId="39" fillId="0" borderId="0" xfId="6" applyFont="1" applyAlignment="1">
      <alignment vertical="top" wrapText="1"/>
    </xf>
    <xf numFmtId="0" fontId="36" fillId="0" borderId="1" xfId="5" applyFont="1" applyBorder="1" applyAlignment="1">
      <alignment vertical="center" wrapText="1"/>
    </xf>
    <xf numFmtId="0" fontId="36" fillId="0" borderId="1" xfId="5" applyFont="1" applyBorder="1" applyAlignment="1">
      <alignment horizontal="left" vertical="center" wrapText="1" indent="1"/>
    </xf>
    <xf numFmtId="0" fontId="36" fillId="0" borderId="45" xfId="5" applyFont="1" applyBorder="1" applyAlignment="1">
      <alignment vertical="center" wrapText="1"/>
    </xf>
    <xf numFmtId="0" fontId="36" fillId="0" borderId="58" xfId="5" applyFont="1" applyBorder="1" applyAlignment="1">
      <alignment vertical="center" wrapText="1"/>
    </xf>
    <xf numFmtId="0" fontId="122" fillId="0" borderId="1" xfId="124" applyFont="1" applyBorder="1" applyAlignment="1">
      <alignment horizontal="center"/>
    </xf>
    <xf numFmtId="4" fontId="141" fillId="0" borderId="28" xfId="116" applyNumberFormat="1" applyFont="1" applyBorder="1" applyAlignment="1">
      <alignment horizontal="left"/>
    </xf>
    <xf numFmtId="2" fontId="163" fillId="0" borderId="105" xfId="116" applyNumberFormat="1" applyFont="1" applyBorder="1" applyAlignment="1">
      <alignment horizontal="right"/>
    </xf>
    <xf numFmtId="0" fontId="40" fillId="0" borderId="0" xfId="547" applyFont="1"/>
    <xf numFmtId="0" fontId="40" fillId="0" borderId="1" xfId="547" applyFont="1" applyBorder="1"/>
    <xf numFmtId="0" fontId="38" fillId="0" borderId="1" xfId="547" applyFont="1" applyBorder="1" applyAlignment="1">
      <alignment horizontal="center" vertical="center" wrapText="1"/>
    </xf>
    <xf numFmtId="0" fontId="38" fillId="0" borderId="1" xfId="547" applyFont="1" applyBorder="1" applyAlignment="1">
      <alignment vertical="top" wrapText="1"/>
    </xf>
    <xf numFmtId="0" fontId="158" fillId="0" borderId="1" xfId="547" applyFont="1" applyBorder="1" applyAlignment="1">
      <alignment horizontal="center" vertical="center" wrapText="1"/>
    </xf>
    <xf numFmtId="0" fontId="158" fillId="0" borderId="8" xfId="547" applyFont="1" applyBorder="1" applyAlignment="1">
      <alignment horizontal="center" vertical="center" wrapText="1"/>
    </xf>
    <xf numFmtId="0" fontId="38" fillId="0" borderId="1" xfId="547" applyFont="1" applyBorder="1"/>
    <xf numFmtId="0" fontId="47" fillId="0" borderId="1" xfId="547" applyFont="1" applyBorder="1" applyAlignment="1">
      <alignment vertical="top" wrapText="1"/>
    </xf>
    <xf numFmtId="1" fontId="158" fillId="0" borderId="1" xfId="547" applyNumberFormat="1" applyFont="1" applyBorder="1" applyAlignment="1">
      <alignment horizontal="center" vertical="center" wrapText="1"/>
    </xf>
    <xf numFmtId="0" fontId="158" fillId="64" borderId="8" xfId="547" applyFont="1" applyFill="1" applyBorder="1" applyAlignment="1">
      <alignment horizontal="center" vertical="center" wrapText="1"/>
    </xf>
    <xf numFmtId="0" fontId="38" fillId="0" borderId="3" xfId="547" applyFont="1" applyBorder="1" applyAlignment="1">
      <alignment horizontal="center" vertical="center" wrapText="1"/>
    </xf>
    <xf numFmtId="0" fontId="38" fillId="0" borderId="3" xfId="547" applyFont="1" applyBorder="1" applyAlignment="1">
      <alignment vertical="top" wrapText="1"/>
    </xf>
    <xf numFmtId="0" fontId="158" fillId="0" borderId="3" xfId="547" applyFont="1" applyBorder="1" applyAlignment="1">
      <alignment horizontal="center" vertical="center" wrapText="1"/>
    </xf>
    <xf numFmtId="0" fontId="158" fillId="0" borderId="10" xfId="547" applyFont="1" applyBorder="1" applyAlignment="1">
      <alignment horizontal="center" vertical="center" wrapText="1"/>
    </xf>
    <xf numFmtId="0" fontId="38" fillId="0" borderId="0" xfId="547" applyFont="1"/>
    <xf numFmtId="0" fontId="40" fillId="0" borderId="0" xfId="547" applyFont="1" applyAlignment="1">
      <alignment horizontal="left" vertical="center"/>
    </xf>
    <xf numFmtId="0" fontId="167" fillId="65" borderId="6" xfId="116" applyFont="1" applyFill="1" applyBorder="1" applyAlignment="1">
      <alignment horizontal="center" vertical="center" wrapText="1"/>
    </xf>
    <xf numFmtId="0" fontId="169" fillId="65" borderId="6" xfId="116" applyFont="1" applyFill="1" applyBorder="1" applyAlignment="1">
      <alignment horizontal="center" vertical="center" wrapText="1"/>
    </xf>
    <xf numFmtId="0" fontId="168" fillId="65" borderId="6" xfId="116" applyFont="1" applyFill="1" applyBorder="1" applyAlignment="1">
      <alignment horizontal="center" vertical="center" wrapText="1"/>
    </xf>
    <xf numFmtId="188" fontId="163" fillId="0" borderId="0" xfId="116" applyNumberFormat="1" applyFont="1" applyAlignment="1">
      <alignment horizontal="right"/>
    </xf>
    <xf numFmtId="0" fontId="163" fillId="0" borderId="0" xfId="116" applyFont="1" applyAlignment="1">
      <alignment horizontal="center"/>
    </xf>
    <xf numFmtId="177" fontId="163" fillId="0" borderId="102" xfId="116" applyNumberFormat="1" applyFont="1" applyBorder="1"/>
    <xf numFmtId="2" fontId="163" fillId="0" borderId="105" xfId="116" applyNumberFormat="1" applyFont="1" applyBorder="1"/>
    <xf numFmtId="2" fontId="163" fillId="0" borderId="105" xfId="116" applyNumberFormat="1" applyFont="1" applyBorder="1" applyAlignment="1">
      <alignment horizontal="right" wrapText="1"/>
    </xf>
    <xf numFmtId="2" fontId="163" fillId="34" borderId="104" xfId="116" applyNumberFormat="1" applyFont="1" applyFill="1" applyBorder="1" applyAlignment="1">
      <alignment horizontal="right"/>
    </xf>
    <xf numFmtId="4" fontId="37" fillId="0" borderId="1" xfId="240" applyNumberFormat="1" applyFont="1" applyBorder="1" applyAlignment="1">
      <alignment horizontal="center" vertical="center" wrapText="1"/>
    </xf>
    <xf numFmtId="2" fontId="167" fillId="0" borderId="0" xfId="116" applyNumberFormat="1" applyFont="1"/>
    <xf numFmtId="2" fontId="167" fillId="0" borderId="0" xfId="116" applyNumberFormat="1" applyFont="1" applyAlignment="1">
      <alignment horizontal="right"/>
    </xf>
    <xf numFmtId="2" fontId="163" fillId="0" borderId="0" xfId="116" applyNumberFormat="1" applyFont="1" applyAlignment="1">
      <alignment horizontal="right"/>
    </xf>
    <xf numFmtId="0" fontId="167" fillId="0" borderId="0" xfId="116" applyFont="1" applyAlignment="1">
      <alignment horizontal="center" vertical="center" wrapText="1"/>
    </xf>
    <xf numFmtId="0" fontId="169" fillId="0" borderId="0" xfId="116" applyFont="1" applyAlignment="1">
      <alignment horizontal="center" vertical="center" wrapText="1"/>
    </xf>
    <xf numFmtId="0" fontId="175" fillId="0" borderId="0" xfId="116" applyFont="1" applyAlignment="1">
      <alignment horizontal="left"/>
    </xf>
    <xf numFmtId="4" fontId="175" fillId="0" borderId="0" xfId="116" applyNumberFormat="1" applyFont="1" applyAlignment="1">
      <alignment horizontal="left"/>
    </xf>
    <xf numFmtId="0" fontId="145" fillId="0" borderId="0" xfId="116" applyFont="1" applyAlignment="1">
      <alignment horizontal="left"/>
    </xf>
    <xf numFmtId="188" fontId="98" fillId="0" borderId="0" xfId="116" applyNumberFormat="1" applyFont="1" applyAlignment="1">
      <alignment horizontal="right"/>
    </xf>
    <xf numFmtId="0" fontId="145" fillId="0" borderId="0" xfId="116" applyFont="1" applyAlignment="1">
      <alignment horizontal="center" vertical="center" wrapText="1"/>
    </xf>
    <xf numFmtId="2" fontId="145" fillId="0" borderId="0" xfId="116" applyNumberFormat="1" applyFont="1"/>
    <xf numFmtId="2" fontId="145" fillId="0" borderId="0" xfId="116" applyNumberFormat="1" applyFont="1" applyAlignment="1">
      <alignment horizontal="right"/>
    </xf>
    <xf numFmtId="2" fontId="98" fillId="0" borderId="0" xfId="116" applyNumberFormat="1" applyFont="1" applyAlignment="1">
      <alignment horizontal="left"/>
    </xf>
    <xf numFmtId="2" fontId="98" fillId="0" borderId="0" xfId="116" applyNumberFormat="1" applyFont="1" applyAlignment="1">
      <alignment horizontal="right"/>
    </xf>
    <xf numFmtId="176" fontId="98" fillId="0" borderId="0" xfId="116" applyNumberFormat="1" applyFont="1"/>
    <xf numFmtId="2" fontId="47" fillId="66" borderId="0" xfId="116" applyNumberFormat="1" applyFont="1" applyFill="1"/>
    <xf numFmtId="2" fontId="47" fillId="31" borderId="0" xfId="116" applyNumberFormat="1" applyFont="1" applyFill="1"/>
    <xf numFmtId="4" fontId="141" fillId="31" borderId="0" xfId="116" applyNumberFormat="1" applyFont="1" applyFill="1" applyAlignment="1">
      <alignment horizontal="left"/>
    </xf>
    <xf numFmtId="0" fontId="167" fillId="32" borderId="6" xfId="116" applyFont="1" applyFill="1" applyBorder="1" applyAlignment="1">
      <alignment horizontal="center" vertical="center" wrapText="1"/>
    </xf>
    <xf numFmtId="0" fontId="167" fillId="32" borderId="33" xfId="116" applyFont="1" applyFill="1" applyBorder="1" applyAlignment="1">
      <alignment horizontal="center" vertical="center" wrapText="1"/>
    </xf>
    <xf numFmtId="0" fontId="168" fillId="32" borderId="33" xfId="116" applyFont="1" applyFill="1" applyBorder="1" applyAlignment="1">
      <alignment horizontal="center" vertical="center" wrapText="1"/>
    </xf>
    <xf numFmtId="0" fontId="169" fillId="32" borderId="6" xfId="116" applyFont="1" applyFill="1" applyBorder="1" applyAlignment="1">
      <alignment horizontal="center" vertical="center" wrapText="1"/>
    </xf>
    <xf numFmtId="0" fontId="167" fillId="32" borderId="31" xfId="116" applyFont="1" applyFill="1" applyBorder="1" applyAlignment="1">
      <alignment vertical="center" wrapText="1"/>
    </xf>
    <xf numFmtId="4" fontId="141" fillId="31" borderId="0" xfId="116" applyNumberFormat="1" applyFont="1" applyFill="1"/>
    <xf numFmtId="4" fontId="141" fillId="0" borderId="28" xfId="116" applyNumberFormat="1" applyFont="1" applyBorder="1"/>
    <xf numFmtId="4" fontId="141" fillId="0" borderId="0" xfId="116" applyNumberFormat="1" applyFont="1"/>
    <xf numFmtId="0" fontId="50" fillId="0" borderId="0" xfId="533" applyFont="1" applyAlignment="1">
      <alignment horizontal="center" vertical="top"/>
    </xf>
    <xf numFmtId="0" fontId="40" fillId="0" borderId="0" xfId="546" applyFont="1" applyAlignment="1">
      <alignment horizontal="center" vertical="center" wrapText="1"/>
    </xf>
    <xf numFmtId="0" fontId="40" fillId="0" borderId="0" xfId="547" applyFont="1" applyAlignment="1">
      <alignment horizontal="center" wrapText="1"/>
    </xf>
    <xf numFmtId="0" fontId="168" fillId="32" borderId="6" xfId="116" applyFont="1" applyFill="1" applyBorder="1" applyAlignment="1">
      <alignment horizontal="center" vertical="center" wrapText="1"/>
    </xf>
    <xf numFmtId="0" fontId="155" fillId="66" borderId="1" xfId="506" applyFont="1" applyFill="1" applyBorder="1" applyAlignment="1">
      <alignment horizontal="center" vertical="center" wrapText="1"/>
    </xf>
    <xf numFmtId="0" fontId="156" fillId="66" borderId="1" xfId="506" applyFont="1" applyFill="1" applyBorder="1" applyAlignment="1">
      <alignment horizontal="center" vertical="center" wrapText="1"/>
    </xf>
    <xf numFmtId="2" fontId="155" fillId="66" borderId="1" xfId="506" applyNumberFormat="1" applyFont="1" applyFill="1" applyBorder="1" applyAlignment="1" applyProtection="1">
      <alignment horizontal="center" vertical="center" wrapText="1"/>
      <protection locked="0"/>
    </xf>
    <xf numFmtId="4" fontId="160" fillId="0" borderId="1" xfId="506" applyNumberFormat="1" applyFont="1" applyBorder="1" applyAlignment="1">
      <alignment horizontal="center" vertical="center" wrapText="1"/>
    </xf>
    <xf numFmtId="4" fontId="166" fillId="0" borderId="1" xfId="506" applyNumberFormat="1" applyFont="1" applyBorder="1" applyAlignment="1">
      <alignment horizontal="center" vertical="center" wrapText="1"/>
    </xf>
    <xf numFmtId="4" fontId="166" fillId="32" borderId="1" xfId="506" applyNumberFormat="1" applyFont="1" applyFill="1" applyBorder="1" applyAlignment="1">
      <alignment horizontal="center" vertical="center" wrapText="1"/>
    </xf>
    <xf numFmtId="4" fontId="160" fillId="0" borderId="1" xfId="506" applyNumberFormat="1" applyFont="1" applyBorder="1" applyAlignment="1" applyProtection="1">
      <alignment horizontal="center" vertical="center" wrapText="1"/>
      <protection locked="0"/>
    </xf>
    <xf numFmtId="4" fontId="166" fillId="31" borderId="1" xfId="506" applyNumberFormat="1" applyFont="1" applyFill="1" applyBorder="1" applyAlignment="1">
      <alignment horizontal="center" vertical="center" wrapText="1"/>
    </xf>
    <xf numFmtId="4" fontId="166" fillId="31" borderId="1" xfId="506" applyNumberFormat="1" applyFont="1" applyFill="1" applyBorder="1" applyAlignment="1" applyProtection="1">
      <alignment horizontal="center" vertical="center" wrapText="1"/>
      <protection locked="0"/>
    </xf>
    <xf numFmtId="0" fontId="98" fillId="0" borderId="6" xfId="533" applyFont="1" applyBorder="1" applyAlignment="1">
      <alignment horizontal="center" vertical="center" wrapText="1"/>
    </xf>
    <xf numFmtId="0" fontId="177" fillId="0" borderId="33" xfId="533" applyFont="1" applyBorder="1" applyAlignment="1">
      <alignment horizontal="center" vertical="center" wrapText="1"/>
    </xf>
    <xf numFmtId="0" fontId="177" fillId="0" borderId="6" xfId="533" applyFont="1" applyBorder="1" applyAlignment="1">
      <alignment horizontal="center" vertical="center" wrapText="1"/>
    </xf>
    <xf numFmtId="0" fontId="177" fillId="0" borderId="23" xfId="533" applyFont="1" applyBorder="1" applyAlignment="1">
      <alignment horizontal="center" vertical="center" wrapText="1"/>
    </xf>
    <xf numFmtId="0" fontId="145" fillId="31" borderId="66" xfId="533" applyFont="1" applyFill="1" applyBorder="1" applyAlignment="1">
      <alignment horizontal="center" vertical="center" wrapText="1"/>
    </xf>
    <xf numFmtId="0" fontId="154" fillId="31" borderId="89" xfId="533" applyFont="1" applyFill="1" applyBorder="1" applyAlignment="1">
      <alignment horizontal="center" vertical="center" wrapText="1"/>
    </xf>
    <xf numFmtId="4" fontId="154" fillId="31" borderId="89" xfId="533" applyNumberFormat="1" applyFont="1" applyFill="1" applyBorder="1" applyAlignment="1">
      <alignment horizontal="center" vertical="center" wrapText="1"/>
    </xf>
    <xf numFmtId="0" fontId="146" fillId="0" borderId="0" xfId="506" applyFont="1"/>
    <xf numFmtId="0" fontId="145" fillId="0" borderId="89" xfId="533" applyFont="1" applyBorder="1" applyAlignment="1">
      <alignment horizontal="center" vertical="center" wrapText="1"/>
    </xf>
    <xf numFmtId="0" fontId="141" fillId="2" borderId="89" xfId="533" applyFont="1" applyFill="1" applyBorder="1" applyAlignment="1">
      <alignment horizontal="center" vertical="center" wrapText="1"/>
    </xf>
    <xf numFmtId="4" fontId="141" fillId="2" borderId="89" xfId="533" applyNumberFormat="1" applyFont="1" applyFill="1" applyBorder="1" applyAlignment="1">
      <alignment horizontal="center" vertical="center" wrapText="1"/>
    </xf>
    <xf numFmtId="0" fontId="154" fillId="0" borderId="89" xfId="533" applyFont="1" applyBorder="1" applyAlignment="1">
      <alignment horizontal="left" vertical="center" wrapText="1"/>
    </xf>
    <xf numFmtId="0" fontId="154" fillId="0" borderId="89" xfId="533" applyFont="1" applyBorder="1" applyAlignment="1">
      <alignment horizontal="center" vertical="center" wrapText="1"/>
    </xf>
    <xf numFmtId="4" fontId="154" fillId="0" borderId="89" xfId="533" applyNumberFormat="1" applyFont="1" applyBorder="1" applyAlignment="1">
      <alignment horizontal="center" vertical="center" wrapText="1"/>
    </xf>
    <xf numFmtId="0" fontId="141" fillId="0" borderId="89" xfId="533" applyFont="1" applyBorder="1" applyAlignment="1">
      <alignment horizontal="left" vertical="center" wrapText="1"/>
    </xf>
    <xf numFmtId="9" fontId="141" fillId="0" borderId="89" xfId="533" applyNumberFormat="1" applyFont="1" applyBorder="1" applyAlignment="1">
      <alignment horizontal="center" vertical="center" wrapText="1"/>
    </xf>
    <xf numFmtId="4" fontId="141" fillId="0" borderId="89" xfId="533" applyNumberFormat="1" applyFont="1" applyBorder="1" applyAlignment="1">
      <alignment horizontal="center" vertical="center" wrapText="1"/>
    </xf>
    <xf numFmtId="10" fontId="141" fillId="0" borderId="89" xfId="533" applyNumberFormat="1" applyFont="1" applyBorder="1" applyAlignment="1">
      <alignment horizontal="center" vertical="center" wrapText="1"/>
    </xf>
    <xf numFmtId="0" fontId="145" fillId="31" borderId="67" xfId="533" applyFont="1" applyFill="1" applyBorder="1" applyAlignment="1">
      <alignment horizontal="center" vertical="center"/>
    </xf>
    <xf numFmtId="0" fontId="154" fillId="31" borderId="67" xfId="533" applyFont="1" applyFill="1" applyBorder="1" applyAlignment="1">
      <alignment horizontal="center" vertical="center" wrapText="1"/>
    </xf>
    <xf numFmtId="0" fontId="154" fillId="31" borderId="67" xfId="533" applyFont="1" applyFill="1" applyBorder="1" applyAlignment="1">
      <alignment horizontal="center" vertical="center"/>
    </xf>
    <xf numFmtId="4" fontId="154" fillId="31" borderId="67" xfId="533" applyNumberFormat="1" applyFont="1" applyFill="1" applyBorder="1" applyAlignment="1">
      <alignment horizontal="center" vertical="center"/>
    </xf>
    <xf numFmtId="0" fontId="154" fillId="60" borderId="67" xfId="506" applyFont="1" applyFill="1" applyBorder="1" applyAlignment="1">
      <alignment horizontal="center" vertical="center" wrapText="1"/>
    </xf>
    <xf numFmtId="3" fontId="154" fillId="31" borderId="67" xfId="533" applyNumberFormat="1" applyFont="1" applyFill="1" applyBorder="1" applyAlignment="1">
      <alignment horizontal="center" vertical="center"/>
    </xf>
    <xf numFmtId="0" fontId="145" fillId="0" borderId="67" xfId="533" applyFont="1" applyBorder="1" applyAlignment="1">
      <alignment horizontal="center" vertical="center"/>
    </xf>
    <xf numFmtId="0" fontId="154" fillId="2" borderId="67" xfId="533" applyFont="1" applyFill="1" applyBorder="1" applyAlignment="1">
      <alignment horizontal="center" vertical="center"/>
    </xf>
    <xf numFmtId="4" fontId="154" fillId="2" borderId="67" xfId="533" applyNumberFormat="1" applyFont="1" applyFill="1" applyBorder="1" applyAlignment="1">
      <alignment horizontal="center" vertical="center"/>
    </xf>
    <xf numFmtId="0" fontId="154" fillId="0" borderId="67" xfId="533" applyFont="1" applyBorder="1" applyAlignment="1">
      <alignment horizontal="center" vertical="center"/>
    </xf>
    <xf numFmtId="4" fontId="154" fillId="0" borderId="67" xfId="533" applyNumberFormat="1" applyFont="1" applyBorder="1" applyAlignment="1">
      <alignment horizontal="center" vertical="center"/>
    </xf>
    <xf numFmtId="170" fontId="154" fillId="31" borderId="67" xfId="533" applyNumberFormat="1" applyFont="1" applyFill="1" applyBorder="1" applyAlignment="1">
      <alignment horizontal="center" vertical="center"/>
    </xf>
    <xf numFmtId="2" fontId="154" fillId="31" borderId="67" xfId="533" applyNumberFormat="1" applyFont="1" applyFill="1" applyBorder="1" applyAlignment="1">
      <alignment horizontal="center" vertical="center"/>
    </xf>
    <xf numFmtId="0" fontId="145" fillId="0" borderId="32" xfId="533" applyFont="1" applyBorder="1" applyAlignment="1">
      <alignment horizontal="center" vertical="center" wrapText="1"/>
    </xf>
    <xf numFmtId="0" fontId="141" fillId="0" borderId="32" xfId="533" applyFont="1" applyBorder="1" applyAlignment="1">
      <alignment horizontal="left" vertical="center" wrapText="1"/>
    </xf>
    <xf numFmtId="4" fontId="141" fillId="0" borderId="32" xfId="533" applyNumberFormat="1" applyFont="1" applyBorder="1" applyAlignment="1">
      <alignment horizontal="center" vertical="center" wrapText="1"/>
    </xf>
    <xf numFmtId="0" fontId="145" fillId="31" borderId="6" xfId="533" applyFont="1" applyFill="1" applyBorder="1" applyAlignment="1">
      <alignment horizontal="center" vertical="center" wrapText="1"/>
    </xf>
    <xf numFmtId="0" fontId="154" fillId="31" borderId="6" xfId="533" applyFont="1" applyFill="1" applyBorder="1" applyAlignment="1">
      <alignment horizontal="center" vertical="center"/>
    </xf>
    <xf numFmtId="4" fontId="154" fillId="31" borderId="6" xfId="533" applyNumberFormat="1" applyFont="1" applyFill="1" applyBorder="1" applyAlignment="1">
      <alignment horizontal="center" vertical="center" wrapText="1"/>
    </xf>
    <xf numFmtId="0" fontId="141" fillId="2" borderId="6" xfId="533" applyFont="1" applyFill="1" applyBorder="1" applyAlignment="1">
      <alignment horizontal="center" vertical="center" wrapText="1"/>
    </xf>
    <xf numFmtId="4" fontId="154" fillId="31" borderId="6" xfId="533" applyNumberFormat="1" applyFont="1" applyFill="1" applyBorder="1" applyAlignment="1">
      <alignment horizontal="center" vertical="center"/>
    </xf>
    <xf numFmtId="4" fontId="39" fillId="0" borderId="0" xfId="506" applyNumberFormat="1" applyFont="1"/>
    <xf numFmtId="0" fontId="141" fillId="0" borderId="0" xfId="533" applyFont="1"/>
    <xf numFmtId="0" fontId="145" fillId="31" borderId="89" xfId="533" applyFont="1" applyFill="1" applyBorder="1" applyAlignment="1">
      <alignment horizontal="center" vertical="center" wrapText="1"/>
    </xf>
    <xf numFmtId="0" fontId="141" fillId="0" borderId="6" xfId="506" applyFont="1" applyBorder="1"/>
    <xf numFmtId="4" fontId="170" fillId="34" borderId="1" xfId="134" applyNumberFormat="1" applyFont="1" applyFill="1" applyBorder="1" applyAlignment="1">
      <alignment horizontal="right" vertical="center"/>
    </xf>
    <xf numFmtId="4" fontId="170" fillId="34" borderId="1" xfId="134" applyNumberFormat="1" applyFont="1" applyFill="1" applyBorder="1" applyAlignment="1">
      <alignment horizontal="center" vertical="center"/>
    </xf>
    <xf numFmtId="0" fontId="170" fillId="0" borderId="1" xfId="134" applyFont="1" applyBorder="1" applyAlignment="1">
      <alignment horizontal="left" wrapText="1"/>
    </xf>
    <xf numFmtId="0" fontId="170" fillId="64" borderId="1" xfId="134" applyFont="1" applyFill="1" applyBorder="1" applyAlignment="1">
      <alignment wrapText="1"/>
    </xf>
    <xf numFmtId="0" fontId="170" fillId="64" borderId="58" xfId="134" applyFont="1" applyFill="1" applyBorder="1" applyAlignment="1">
      <alignment wrapText="1"/>
    </xf>
    <xf numFmtId="0" fontId="179" fillId="64" borderId="64" xfId="134" applyFont="1" applyFill="1" applyBorder="1" applyAlignment="1">
      <alignment horizontal="center" vertical="center" wrapText="1"/>
    </xf>
    <xf numFmtId="0" fontId="179" fillId="64" borderId="8" xfId="134" applyFont="1" applyFill="1" applyBorder="1" applyAlignment="1">
      <alignment horizontal="center" vertical="center" wrapText="1"/>
    </xf>
    <xf numFmtId="0" fontId="170" fillId="64" borderId="45" xfId="134" applyFont="1" applyFill="1" applyBorder="1" applyAlignment="1">
      <alignment wrapText="1"/>
    </xf>
    <xf numFmtId="0" fontId="179" fillId="64" borderId="55" xfId="134" applyFont="1" applyFill="1" applyBorder="1" applyAlignment="1">
      <alignment horizontal="center" vertical="center" wrapText="1"/>
    </xf>
    <xf numFmtId="4" fontId="170" fillId="34" borderId="40" xfId="134" applyNumberFormat="1" applyFont="1" applyFill="1" applyBorder="1" applyAlignment="1">
      <alignment horizontal="right" vertical="center"/>
    </xf>
    <xf numFmtId="0" fontId="89" fillId="0" borderId="98" xfId="546" applyFont="1" applyBorder="1" applyAlignment="1">
      <alignment horizontal="center" vertical="center" wrapText="1"/>
    </xf>
    <xf numFmtId="0" fontId="40" fillId="0" borderId="10" xfId="546" applyFont="1" applyBorder="1" applyAlignment="1">
      <alignment horizontal="right"/>
    </xf>
    <xf numFmtId="0" fontId="40" fillId="0" borderId="8" xfId="546" applyFont="1" applyBorder="1" applyAlignment="1">
      <alignment horizontal="right"/>
    </xf>
    <xf numFmtId="0" fontId="89" fillId="0" borderId="31" xfId="546" applyFont="1" applyBorder="1" applyAlignment="1">
      <alignment horizontal="center" vertical="center"/>
    </xf>
    <xf numFmtId="0" fontId="106" fillId="0" borderId="73" xfId="546" applyFont="1" applyBorder="1"/>
    <xf numFmtId="0" fontId="40" fillId="0" borderId="73" xfId="546" applyFont="1" applyBorder="1"/>
    <xf numFmtId="0" fontId="106" fillId="0" borderId="67" xfId="546" applyFont="1" applyBorder="1"/>
    <xf numFmtId="0" fontId="40" fillId="0" borderId="71" xfId="546" applyFont="1" applyBorder="1"/>
    <xf numFmtId="0" fontId="106" fillId="0" borderId="111" xfId="546" applyFont="1" applyBorder="1"/>
    <xf numFmtId="0" fontId="89" fillId="0" borderId="6" xfId="546" applyFont="1" applyBorder="1"/>
    <xf numFmtId="0" fontId="40" fillId="0" borderId="53" xfId="546" applyFont="1" applyBorder="1"/>
    <xf numFmtId="0" fontId="40" fillId="0" borderId="54" xfId="546" applyFont="1" applyBorder="1"/>
    <xf numFmtId="0" fontId="40" fillId="0" borderId="45" xfId="546" applyFont="1" applyBorder="1"/>
    <xf numFmtId="0" fontId="40" fillId="0" borderId="55" xfId="546" applyFont="1" applyBorder="1"/>
    <xf numFmtId="2" fontId="89" fillId="0" borderId="31" xfId="546" applyNumberFormat="1" applyFont="1" applyBorder="1"/>
    <xf numFmtId="2" fontId="40" fillId="0" borderId="38" xfId="546" applyNumberFormat="1" applyFont="1" applyBorder="1"/>
    <xf numFmtId="2" fontId="40" fillId="0" borderId="73" xfId="546" applyNumberFormat="1" applyFont="1" applyBorder="1"/>
    <xf numFmtId="2" fontId="40" fillId="0" borderId="3" xfId="546" applyNumberFormat="1" applyFont="1" applyBorder="1"/>
    <xf numFmtId="2" fontId="40" fillId="0" borderId="1" xfId="546" applyNumberFormat="1" applyFont="1" applyBorder="1"/>
    <xf numFmtId="0" fontId="21" fillId="0" borderId="39" xfId="546" applyBorder="1"/>
    <xf numFmtId="0" fontId="21" fillId="0" borderId="1" xfId="546" applyBorder="1"/>
    <xf numFmtId="0" fontId="21" fillId="0" borderId="1" xfId="546" applyBorder="1" applyAlignment="1">
      <alignment horizontal="right"/>
    </xf>
    <xf numFmtId="49" fontId="21" fillId="0" borderId="1" xfId="546" applyNumberFormat="1" applyBorder="1" applyAlignment="1">
      <alignment horizontal="right"/>
    </xf>
    <xf numFmtId="0" fontId="21" fillId="0" borderId="40" xfId="546" applyBorder="1"/>
    <xf numFmtId="0" fontId="21" fillId="31" borderId="39" xfId="546" applyFill="1" applyBorder="1"/>
    <xf numFmtId="0" fontId="21" fillId="31" borderId="1" xfId="546" applyFill="1" applyBorder="1"/>
    <xf numFmtId="0" fontId="21" fillId="31" borderId="1" xfId="546" applyFill="1" applyBorder="1" applyAlignment="1">
      <alignment horizontal="right"/>
    </xf>
    <xf numFmtId="0" fontId="122" fillId="31" borderId="1" xfId="546" applyFont="1" applyFill="1" applyBorder="1" applyAlignment="1">
      <alignment horizontal="right"/>
    </xf>
    <xf numFmtId="49" fontId="21" fillId="31" borderId="1" xfId="546" applyNumberFormat="1" applyFill="1" applyBorder="1" applyAlignment="1">
      <alignment horizontal="right"/>
    </xf>
    <xf numFmtId="0" fontId="21" fillId="31" borderId="40" xfId="546" applyFill="1" applyBorder="1"/>
    <xf numFmtId="0" fontId="21" fillId="2" borderId="1" xfId="546" applyFill="1" applyBorder="1"/>
    <xf numFmtId="49" fontId="122" fillId="31" borderId="1" xfId="546" applyNumberFormat="1" applyFont="1" applyFill="1" applyBorder="1" applyAlignment="1">
      <alignment horizontal="right"/>
    </xf>
    <xf numFmtId="0" fontId="21" fillId="0" borderId="44" xfId="546" applyBorder="1"/>
    <xf numFmtId="0" fontId="21" fillId="0" borderId="45" xfId="546" applyBorder="1"/>
    <xf numFmtId="0" fontId="31" fillId="0" borderId="45" xfId="546" applyFont="1" applyBorder="1"/>
    <xf numFmtId="0" fontId="21" fillId="0" borderId="46" xfId="546" applyBorder="1"/>
    <xf numFmtId="0" fontId="31" fillId="0" borderId="0" xfId="546" applyFont="1"/>
    <xf numFmtId="0" fontId="48" fillId="0" borderId="30" xfId="546" applyFont="1" applyBorder="1" applyAlignment="1">
      <alignment horizontal="center"/>
    </xf>
    <xf numFmtId="0" fontId="48" fillId="0" borderId="6" xfId="546" applyFont="1" applyBorder="1" applyAlignment="1">
      <alignment horizontal="center"/>
    </xf>
    <xf numFmtId="0" fontId="48" fillId="0" borderId="6" xfId="546" applyFont="1" applyBorder="1" applyAlignment="1">
      <alignment horizontal="center" wrapText="1"/>
    </xf>
    <xf numFmtId="0" fontId="39" fillId="0" borderId="0" xfId="546" applyFont="1"/>
    <xf numFmtId="0" fontId="39" fillId="0" borderId="99" xfId="546" applyFont="1" applyBorder="1"/>
    <xf numFmtId="0" fontId="39" fillId="0" borderId="100" xfId="546" applyFont="1" applyBorder="1"/>
    <xf numFmtId="0" fontId="48" fillId="0" borderId="100" xfId="546" applyFont="1" applyBorder="1"/>
    <xf numFmtId="0" fontId="39" fillId="0" borderId="101" xfId="546" applyFont="1" applyBorder="1"/>
    <xf numFmtId="2" fontId="39" fillId="0" borderId="102" xfId="546" applyNumberFormat="1" applyFont="1" applyBorder="1" applyAlignment="1">
      <alignment horizontal="center"/>
    </xf>
    <xf numFmtId="0" fontId="39" fillId="0" borderId="103" xfId="546" applyFont="1" applyBorder="1"/>
    <xf numFmtId="0" fontId="39" fillId="0" borderId="102" xfId="546" applyFont="1" applyBorder="1" applyAlignment="1">
      <alignment horizontal="center"/>
    </xf>
    <xf numFmtId="0" fontId="39" fillId="0" borderId="104" xfId="546" applyFont="1" applyBorder="1" applyAlignment="1">
      <alignment horizontal="center"/>
    </xf>
    <xf numFmtId="0" fontId="48" fillId="31" borderId="29" xfId="546" applyFont="1" applyFill="1" applyBorder="1"/>
    <xf numFmtId="0" fontId="48" fillId="31" borderId="23" xfId="546" applyFont="1" applyFill="1" applyBorder="1" applyAlignment="1">
      <alignment horizontal="center"/>
    </xf>
    <xf numFmtId="0" fontId="20" fillId="33" borderId="0" xfId="546" applyFont="1" applyFill="1"/>
    <xf numFmtId="2" fontId="184" fillId="0" borderId="102" xfId="0" applyNumberFormat="1" applyFont="1" applyBorder="1" applyAlignment="1">
      <alignment horizontal="right" wrapText="1"/>
    </xf>
    <xf numFmtId="0" fontId="98" fillId="0" borderId="100" xfId="116" applyFont="1" applyBorder="1"/>
    <xf numFmtId="2" fontId="98" fillId="0" borderId="102" xfId="116" applyNumberFormat="1" applyFont="1" applyBorder="1"/>
    <xf numFmtId="2" fontId="98" fillId="0" borderId="104" xfId="116" applyNumberFormat="1" applyFont="1" applyBorder="1"/>
    <xf numFmtId="2" fontId="145" fillId="0" borderId="104" xfId="116" applyNumberFormat="1" applyFont="1" applyBorder="1"/>
    <xf numFmtId="0" fontId="40" fillId="0" borderId="0" xfId="546" applyFont="1" applyAlignment="1">
      <alignment vertical="center" wrapText="1"/>
    </xf>
    <xf numFmtId="0" fontId="40" fillId="0" borderId="93" xfId="546" applyFont="1" applyBorder="1" applyAlignment="1">
      <alignment horizontal="center" vertical="center"/>
    </xf>
    <xf numFmtId="0" fontId="40" fillId="0" borderId="90" xfId="546" applyFont="1" applyBorder="1" applyAlignment="1">
      <alignment horizontal="center" vertical="center"/>
    </xf>
    <xf numFmtId="0" fontId="40" fillId="0" borderId="39" xfId="546" applyFont="1" applyBorder="1" applyAlignment="1">
      <alignment horizontal="center" vertical="top"/>
    </xf>
    <xf numFmtId="4" fontId="40" fillId="0" borderId="0" xfId="546" applyNumberFormat="1" applyFont="1" applyAlignment="1">
      <alignment horizontal="right" vertical="top"/>
    </xf>
    <xf numFmtId="0" fontId="89" fillId="0" borderId="44" xfId="546" applyFont="1" applyBorder="1" applyAlignment="1">
      <alignment horizontal="left" vertical="top"/>
    </xf>
    <xf numFmtId="0" fontId="89" fillId="0" borderId="45" xfId="546" applyFont="1" applyBorder="1" applyAlignment="1">
      <alignment horizontal="left" vertical="top"/>
    </xf>
    <xf numFmtId="0" fontId="40" fillId="0" borderId="42" xfId="546" applyFont="1" applyBorder="1" applyAlignment="1">
      <alignment horizontal="center" vertical="top"/>
    </xf>
    <xf numFmtId="0" fontId="40" fillId="0" borderId="3" xfId="546" applyFont="1" applyBorder="1" applyAlignment="1">
      <alignment horizontal="left" vertical="top"/>
    </xf>
    <xf numFmtId="4" fontId="40" fillId="0" borderId="43" xfId="546" applyNumberFormat="1" applyFont="1" applyBorder="1" applyAlignment="1">
      <alignment horizontal="right" vertical="top"/>
    </xf>
    <xf numFmtId="0" fontId="40" fillId="0" borderId="45" xfId="546" applyFont="1" applyBorder="1" applyAlignment="1">
      <alignment horizontal="center" vertical="center" wrapText="1"/>
    </xf>
    <xf numFmtId="0" fontId="40" fillId="0" borderId="46" xfId="546" applyFont="1" applyBorder="1" applyAlignment="1">
      <alignment horizontal="center" vertical="center"/>
    </xf>
    <xf numFmtId="0" fontId="98" fillId="0" borderId="0" xfId="116" applyFont="1" applyAlignment="1">
      <alignment wrapText="1"/>
    </xf>
    <xf numFmtId="0" fontId="98" fillId="0" borderId="0" xfId="116" applyFont="1" applyAlignment="1">
      <alignment horizontal="center" wrapText="1"/>
    </xf>
    <xf numFmtId="177" fontId="40" fillId="0" borderId="32" xfId="0" applyNumberFormat="1" applyFont="1" applyBorder="1" applyAlignment="1">
      <alignment horizontal="center"/>
    </xf>
    <xf numFmtId="0" fontId="163" fillId="0" borderId="102" xfId="116" applyFont="1" applyBorder="1" applyAlignment="1">
      <alignment horizontal="left" vertical="center" wrapText="1" indent="2"/>
    </xf>
    <xf numFmtId="0" fontId="39" fillId="0" borderId="39" xfId="547" applyFont="1" applyBorder="1" applyAlignment="1">
      <alignment horizontal="center" vertical="center" wrapText="1"/>
    </xf>
    <xf numFmtId="0" fontId="40" fillId="0" borderId="39" xfId="547" applyFont="1" applyBorder="1"/>
    <xf numFmtId="0" fontId="40" fillId="0" borderId="44" xfId="547" applyFont="1" applyBorder="1"/>
    <xf numFmtId="0" fontId="38" fillId="0" borderId="45" xfId="547" applyFont="1" applyBorder="1"/>
    <xf numFmtId="0" fontId="40" fillId="0" borderId="45" xfId="547" applyFont="1" applyBorder="1"/>
    <xf numFmtId="0" fontId="155" fillId="0" borderId="42" xfId="547" applyFont="1" applyBorder="1" applyAlignment="1">
      <alignment horizontal="center" vertical="center" wrapText="1"/>
    </xf>
    <xf numFmtId="0" fontId="155" fillId="0" borderId="3" xfId="547" applyFont="1" applyBorder="1" applyAlignment="1">
      <alignment horizontal="center" vertical="center" wrapText="1"/>
    </xf>
    <xf numFmtId="0" fontId="39" fillId="0" borderId="42" xfId="547" applyFont="1" applyBorder="1" applyAlignment="1">
      <alignment horizontal="center" vertical="center" wrapText="1"/>
    </xf>
    <xf numFmtId="0" fontId="155" fillId="0" borderId="60" xfId="547" applyFont="1" applyBorder="1" applyAlignment="1">
      <alignment horizontal="center" vertical="center" wrapText="1"/>
    </xf>
    <xf numFmtId="2" fontId="39" fillId="0" borderId="3" xfId="547" applyNumberFormat="1" applyFont="1" applyBorder="1" applyAlignment="1">
      <alignment horizontal="center"/>
    </xf>
    <xf numFmtId="2" fontId="39" fillId="0" borderId="1" xfId="547" applyNumberFormat="1" applyFont="1" applyBorder="1" applyAlignment="1">
      <alignment horizontal="center"/>
    </xf>
    <xf numFmtId="2" fontId="39" fillId="0" borderId="45" xfId="547" applyNumberFormat="1" applyFont="1" applyBorder="1" applyAlignment="1">
      <alignment horizontal="center"/>
    </xf>
    <xf numFmtId="0" fontId="40" fillId="0" borderId="3" xfId="551" applyFont="1" applyBorder="1" applyAlignment="1">
      <alignment horizontal="center" vertical="center"/>
    </xf>
    <xf numFmtId="0" fontId="40" fillId="0" borderId="10" xfId="551" applyFont="1" applyBorder="1" applyAlignment="1">
      <alignment horizontal="center" vertical="center"/>
    </xf>
    <xf numFmtId="0" fontId="40" fillId="0" borderId="3" xfId="551" applyFont="1" applyBorder="1" applyAlignment="1">
      <alignment vertical="top" wrapText="1"/>
    </xf>
    <xf numFmtId="0" fontId="40" fillId="32" borderId="1" xfId="551" applyFont="1" applyFill="1" applyBorder="1"/>
    <xf numFmtId="0" fontId="40" fillId="0" borderId="1" xfId="551" applyFont="1" applyBorder="1"/>
    <xf numFmtId="0" fontId="91" fillId="0" borderId="0" xfId="551" applyFont="1"/>
    <xf numFmtId="0" fontId="96" fillId="62" borderId="1" xfId="551" applyFont="1" applyFill="1" applyBorder="1" applyAlignment="1">
      <alignment horizontal="left" vertical="top" wrapText="1"/>
    </xf>
    <xf numFmtId="2" fontId="184" fillId="0" borderId="100" xfId="0" applyNumberFormat="1" applyFont="1" applyBorder="1" applyAlignment="1">
      <alignment horizontal="right" wrapText="1"/>
    </xf>
    <xf numFmtId="2" fontId="184" fillId="0" borderId="105" xfId="0" applyNumberFormat="1" applyFont="1" applyBorder="1" applyAlignment="1">
      <alignment horizontal="right" wrapText="1"/>
    </xf>
    <xf numFmtId="2" fontId="184" fillId="0" borderId="104" xfId="0" applyNumberFormat="1" applyFont="1" applyBorder="1" applyAlignment="1">
      <alignment horizontal="right" wrapText="1"/>
    </xf>
    <xf numFmtId="2" fontId="184" fillId="0" borderId="113" xfId="0" applyNumberFormat="1" applyFont="1" applyBorder="1" applyAlignment="1">
      <alignment horizontal="right" wrapText="1"/>
    </xf>
    <xf numFmtId="0" fontId="98" fillId="0" borderId="0" xfId="116" applyFont="1" applyAlignment="1">
      <alignment horizontal="center"/>
    </xf>
    <xf numFmtId="0" fontId="39" fillId="0" borderId="0" xfId="0" applyFont="1" applyAlignment="1">
      <alignment horizontal="center"/>
    </xf>
    <xf numFmtId="0" fontId="141" fillId="34" borderId="0" xfId="448" applyFont="1" applyFill="1" applyAlignment="1">
      <alignment horizontal="center"/>
    </xf>
    <xf numFmtId="0" fontId="154" fillId="31" borderId="30" xfId="448" applyFont="1" applyFill="1" applyBorder="1" applyAlignment="1">
      <alignment horizontal="center" vertical="center" wrapText="1"/>
    </xf>
    <xf numFmtId="0" fontId="141" fillId="0" borderId="99" xfId="448" applyFont="1" applyBorder="1" applyAlignment="1">
      <alignment wrapText="1"/>
    </xf>
    <xf numFmtId="2" fontId="141" fillId="0" borderId="114" xfId="448" applyNumberFormat="1" applyFont="1" applyBorder="1" applyAlignment="1">
      <alignment horizontal="center"/>
    </xf>
    <xf numFmtId="0" fontId="141" fillId="0" borderId="101" xfId="448" applyFont="1" applyBorder="1" applyAlignment="1">
      <alignment wrapText="1"/>
    </xf>
    <xf numFmtId="2" fontId="141" fillId="0" borderId="102" xfId="448" applyNumberFormat="1" applyFont="1" applyBorder="1" applyAlignment="1">
      <alignment horizontal="center"/>
    </xf>
    <xf numFmtId="0" fontId="154" fillId="31" borderId="103" xfId="448" applyFont="1" applyFill="1" applyBorder="1"/>
    <xf numFmtId="2" fontId="154" fillId="31" borderId="104" xfId="448" applyNumberFormat="1" applyFont="1" applyFill="1" applyBorder="1" applyAlignment="1">
      <alignment horizontal="center"/>
    </xf>
    <xf numFmtId="2" fontId="154" fillId="31" borderId="116" xfId="448" applyNumberFormat="1" applyFont="1" applyFill="1" applyBorder="1" applyAlignment="1">
      <alignment horizontal="center"/>
    </xf>
    <xf numFmtId="0" fontId="155" fillId="0" borderId="61" xfId="547" applyFont="1" applyBorder="1" applyAlignment="1">
      <alignment horizontal="center" vertical="center" wrapText="1"/>
    </xf>
    <xf numFmtId="0" fontId="158" fillId="64" borderId="1" xfId="547" applyFont="1" applyFill="1" applyBorder="1" applyAlignment="1">
      <alignment horizontal="center" vertical="center" wrapText="1"/>
    </xf>
    <xf numFmtId="0" fontId="139" fillId="0" borderId="0" xfId="0" applyFont="1"/>
    <xf numFmtId="175" fontId="47" fillId="0" borderId="0" xfId="116" applyNumberFormat="1" applyFont="1"/>
    <xf numFmtId="0" fontId="40" fillId="0" borderId="0" xfId="552" applyFont="1" applyAlignment="1">
      <alignment horizontal="center" vertical="center"/>
    </xf>
    <xf numFmtId="0" fontId="40" fillId="0" borderId="0" xfId="552" applyFont="1"/>
    <xf numFmtId="0" fontId="39" fillId="0" borderId="0" xfId="552" applyFont="1"/>
    <xf numFmtId="0" fontId="39" fillId="0" borderId="1" xfId="552" applyFont="1" applyBorder="1" applyAlignment="1">
      <alignment vertical="center"/>
    </xf>
    <xf numFmtId="4" fontId="39" fillId="0" borderId="1" xfId="552" applyNumberFormat="1" applyFont="1" applyBorder="1" applyAlignment="1">
      <alignment vertical="center"/>
    </xf>
    <xf numFmtId="0" fontId="39" fillId="0" borderId="1" xfId="552" applyFont="1" applyBorder="1"/>
    <xf numFmtId="0" fontId="40" fillId="0" borderId="1" xfId="0" applyFont="1" applyBorder="1" applyAlignment="1">
      <alignment wrapText="1"/>
    </xf>
    <xf numFmtId="175" fontId="167" fillId="0" borderId="102" xfId="116" applyNumberFormat="1" applyFont="1" applyBorder="1" applyAlignment="1">
      <alignment horizontal="right"/>
    </xf>
    <xf numFmtId="0" fontId="163" fillId="0" borderId="105" xfId="116" applyFont="1" applyBorder="1" applyAlignment="1">
      <alignment horizontal="left" wrapText="1" indent="1"/>
    </xf>
    <xf numFmtId="0" fontId="98" fillId="0" borderId="6" xfId="116" applyFont="1" applyBorder="1" applyAlignment="1">
      <alignment horizontal="center"/>
    </xf>
    <xf numFmtId="0" fontId="141" fillId="0" borderId="0" xfId="116" applyFont="1" applyAlignment="1">
      <alignment horizontal="left"/>
    </xf>
    <xf numFmtId="10" fontId="141" fillId="0" borderId="0" xfId="116" applyNumberFormat="1" applyFont="1" applyAlignment="1">
      <alignment horizontal="left"/>
    </xf>
    <xf numFmtId="0" fontId="47" fillId="31" borderId="0" xfId="116" applyFont="1" applyFill="1" applyAlignment="1">
      <alignment horizontal="left"/>
    </xf>
    <xf numFmtId="0" fontId="98" fillId="0" borderId="0" xfId="116" applyFont="1" applyAlignment="1">
      <alignment horizontal="left"/>
    </xf>
    <xf numFmtId="188" fontId="98" fillId="0" borderId="0" xfId="116" applyNumberFormat="1" applyFont="1" applyAlignment="1">
      <alignment horizontal="left"/>
    </xf>
    <xf numFmtId="0" fontId="145" fillId="0" borderId="0" xfId="116" applyFont="1" applyAlignment="1">
      <alignment horizontal="left" vertical="center" wrapText="1"/>
    </xf>
    <xf numFmtId="2" fontId="145" fillId="0" borderId="0" xfId="116" applyNumberFormat="1" applyFont="1" applyAlignment="1">
      <alignment horizontal="left"/>
    </xf>
    <xf numFmtId="176" fontId="98" fillId="0" borderId="0" xfId="116" applyNumberFormat="1" applyFont="1" applyAlignment="1">
      <alignment horizontal="left"/>
    </xf>
    <xf numFmtId="0" fontId="39" fillId="0" borderId="32" xfId="0" applyFont="1" applyBorder="1" applyAlignment="1">
      <alignment wrapText="1"/>
    </xf>
    <xf numFmtId="0" fontId="39" fillId="0" borderId="23" xfId="0" applyFont="1" applyBorder="1" applyAlignment="1">
      <alignment horizontal="right"/>
    </xf>
    <xf numFmtId="0" fontId="39" fillId="0" borderId="23" xfId="0" applyFont="1" applyBorder="1" applyAlignment="1">
      <alignment wrapText="1"/>
    </xf>
    <xf numFmtId="10" fontId="39" fillId="0" borderId="32" xfId="0" applyNumberFormat="1" applyFont="1" applyBorder="1" applyAlignment="1">
      <alignment horizontal="center"/>
    </xf>
    <xf numFmtId="2" fontId="39" fillId="0" borderId="0" xfId="0" applyNumberFormat="1" applyFont="1"/>
    <xf numFmtId="0" fontId="39" fillId="0" borderId="100" xfId="0" applyFont="1" applyBorder="1"/>
    <xf numFmtId="0" fontId="39" fillId="0" borderId="117" xfId="0" applyFont="1" applyBorder="1" applyAlignment="1">
      <alignment horizontal="center"/>
    </xf>
    <xf numFmtId="0" fontId="39" fillId="0" borderId="102" xfId="0" applyFont="1" applyBorder="1"/>
    <xf numFmtId="0" fontId="39" fillId="0" borderId="108" xfId="0" applyFont="1" applyBorder="1" applyAlignment="1">
      <alignment horizontal="center"/>
    </xf>
    <xf numFmtId="2" fontId="39" fillId="0" borderId="102" xfId="0" applyNumberFormat="1" applyFont="1" applyBorder="1" applyAlignment="1">
      <alignment horizontal="center"/>
    </xf>
    <xf numFmtId="10" fontId="39" fillId="0" borderId="102" xfId="0" applyNumberFormat="1" applyFont="1" applyBorder="1" applyAlignment="1">
      <alignment horizontal="center"/>
    </xf>
    <xf numFmtId="10" fontId="39" fillId="31" borderId="102" xfId="0" applyNumberFormat="1" applyFont="1" applyFill="1" applyBorder="1" applyAlignment="1">
      <alignment horizontal="center"/>
    </xf>
    <xf numFmtId="0" fontId="39" fillId="0" borderId="102" xfId="0" applyFont="1" applyBorder="1" applyAlignment="1">
      <alignment wrapText="1"/>
    </xf>
    <xf numFmtId="2" fontId="39" fillId="31" borderId="102" xfId="0" applyNumberFormat="1" applyFont="1" applyFill="1" applyBorder="1" applyAlignment="1">
      <alignment horizontal="center"/>
    </xf>
    <xf numFmtId="0" fontId="39" fillId="0" borderId="104" xfId="0" applyFont="1" applyBorder="1" applyAlignment="1">
      <alignment wrapText="1"/>
    </xf>
    <xf numFmtId="0" fontId="39" fillId="0" borderId="118" xfId="0" applyFont="1" applyBorder="1" applyAlignment="1">
      <alignment horizontal="center"/>
    </xf>
    <xf numFmtId="10" fontId="39" fillId="0" borderId="104" xfId="0" applyNumberFormat="1" applyFont="1" applyBorder="1" applyAlignment="1">
      <alignment horizontal="center"/>
    </xf>
    <xf numFmtId="2" fontId="39" fillId="31" borderId="104" xfId="0" applyNumberFormat="1" applyFont="1" applyFill="1" applyBorder="1" applyAlignment="1">
      <alignment horizontal="center"/>
    </xf>
    <xf numFmtId="0" fontId="39" fillId="0" borderId="100" xfId="0" applyFont="1" applyBorder="1" applyAlignment="1">
      <alignment wrapText="1"/>
    </xf>
    <xf numFmtId="2" fontId="39" fillId="0" borderId="100" xfId="0" applyNumberFormat="1" applyFont="1" applyBorder="1" applyAlignment="1">
      <alignment horizontal="center"/>
    </xf>
    <xf numFmtId="10" fontId="39" fillId="31" borderId="100" xfId="0" applyNumberFormat="1" applyFont="1" applyFill="1" applyBorder="1" applyAlignment="1">
      <alignment horizontal="center"/>
    </xf>
    <xf numFmtId="2" fontId="39" fillId="0" borderId="33" xfId="0" applyNumberFormat="1" applyFont="1" applyBorder="1" applyAlignment="1">
      <alignment horizontal="center"/>
    </xf>
    <xf numFmtId="0" fontId="39" fillId="0" borderId="113" xfId="0" applyFont="1" applyBorder="1" applyAlignment="1">
      <alignment wrapText="1"/>
    </xf>
    <xf numFmtId="2" fontId="39" fillId="31" borderId="100" xfId="0" applyNumberFormat="1" applyFont="1" applyFill="1" applyBorder="1" applyAlignment="1">
      <alignment horizontal="center"/>
    </xf>
    <xf numFmtId="10" fontId="163" fillId="0" borderId="0" xfId="116" applyNumberFormat="1" applyFont="1" applyAlignment="1">
      <alignment horizontal="right"/>
    </xf>
    <xf numFmtId="2" fontId="37" fillId="0" borderId="1" xfId="240" applyNumberFormat="1" applyFont="1" applyBorder="1" applyAlignment="1">
      <alignment horizontal="center" vertical="center" wrapText="1"/>
    </xf>
    <xf numFmtId="4" fontId="37" fillId="0" borderId="1" xfId="240" applyNumberFormat="1" applyFont="1" applyBorder="1" applyAlignment="1" applyProtection="1">
      <alignment horizontal="center" vertical="center" wrapText="1"/>
      <protection locked="0"/>
    </xf>
    <xf numFmtId="0" fontId="40" fillId="0" borderId="3" xfId="551" applyFont="1" applyBorder="1"/>
    <xf numFmtId="0" fontId="39" fillId="0" borderId="0" xfId="551" applyFont="1"/>
    <xf numFmtId="0" fontId="141" fillId="0" borderId="0" xfId="551" applyFont="1"/>
    <xf numFmtId="0" fontId="39" fillId="0" borderId="0" xfId="551" applyFont="1" applyAlignment="1">
      <alignment wrapText="1"/>
    </xf>
    <xf numFmtId="4" fontId="39" fillId="0" borderId="0" xfId="551" applyNumberFormat="1" applyFont="1"/>
    <xf numFmtId="0" fontId="163" fillId="0" borderId="0" xfId="551" applyFont="1"/>
    <xf numFmtId="0" fontId="187" fillId="0" borderId="0" xfId="0" applyFont="1"/>
    <xf numFmtId="0" fontId="186" fillId="0" borderId="0" xfId="240" applyFont="1"/>
    <xf numFmtId="0" fontId="37" fillId="31" borderId="1" xfId="0" applyFont="1" applyFill="1" applyBorder="1" applyAlignment="1">
      <alignment vertical="center" wrapText="1"/>
    </xf>
    <xf numFmtId="49" fontId="37" fillId="31" borderId="1" xfId="240" applyNumberFormat="1" applyFont="1" applyFill="1" applyBorder="1" applyAlignment="1">
      <alignment horizontal="center" vertical="center" wrapText="1"/>
    </xf>
    <xf numFmtId="0" fontId="37" fillId="31" borderId="1" xfId="240" applyFont="1" applyFill="1" applyBorder="1" applyAlignment="1">
      <alignment vertical="center" wrapText="1"/>
    </xf>
    <xf numFmtId="0" fontId="41" fillId="0" borderId="1" xfId="5" applyFont="1" applyBorder="1" applyAlignment="1">
      <alignment vertical="center" wrapText="1"/>
    </xf>
    <xf numFmtId="0" fontId="41" fillId="31" borderId="1" xfId="0" applyFont="1" applyFill="1" applyBorder="1" applyAlignment="1">
      <alignment vertical="center" wrapText="1"/>
    </xf>
    <xf numFmtId="180" fontId="44" fillId="0" borderId="40" xfId="240" applyNumberFormat="1" applyFont="1" applyBorder="1" applyAlignment="1">
      <alignment horizontal="center" vertical="center" wrapText="1"/>
    </xf>
    <xf numFmtId="0" fontId="41" fillId="0" borderId="8" xfId="240" applyFont="1" applyBorder="1" applyAlignment="1">
      <alignment horizontal="center" vertical="center" wrapText="1"/>
    </xf>
    <xf numFmtId="4" fontId="45" fillId="0" borderId="45" xfId="240" applyNumberFormat="1" applyFont="1" applyBorder="1" applyAlignment="1" applyProtection="1">
      <alignment horizontal="center" vertical="center" wrapText="1"/>
      <protection locked="0"/>
    </xf>
    <xf numFmtId="0" fontId="89" fillId="0" borderId="0" xfId="546" applyFont="1" applyAlignment="1">
      <alignment horizontal="center" vertical="center" wrapText="1"/>
    </xf>
    <xf numFmtId="0" fontId="172" fillId="0" borderId="0" xfId="552" applyFont="1" applyAlignment="1">
      <alignment horizontal="center"/>
    </xf>
    <xf numFmtId="179" fontId="47" fillId="0" borderId="0" xfId="116" applyNumberFormat="1" applyFont="1"/>
    <xf numFmtId="179" fontId="167" fillId="32" borderId="6" xfId="116" applyNumberFormat="1" applyFont="1" applyFill="1" applyBorder="1" applyAlignment="1">
      <alignment horizontal="center" vertical="center" wrapText="1"/>
    </xf>
    <xf numFmtId="179" fontId="163" fillId="0" borderId="0" xfId="116" applyNumberFormat="1" applyFont="1" applyAlignment="1">
      <alignment horizontal="center"/>
    </xf>
    <xf numFmtId="179" fontId="47" fillId="34" borderId="0" xfId="116" applyNumberFormat="1" applyFont="1" applyFill="1"/>
    <xf numFmtId="2" fontId="186" fillId="0" borderId="0" xfId="240" applyNumberFormat="1" applyFont="1"/>
    <xf numFmtId="2" fontId="36" fillId="0" borderId="0" xfId="5" applyNumberFormat="1" applyFont="1" applyAlignment="1" applyProtection="1">
      <alignment horizontal="center" vertical="center"/>
      <protection locked="0"/>
    </xf>
    <xf numFmtId="4" fontId="45" fillId="0" borderId="43" xfId="240" applyNumberFormat="1" applyFont="1" applyBorder="1" applyAlignment="1">
      <alignment horizontal="center" vertical="center" wrapText="1"/>
    </xf>
    <xf numFmtId="4" fontId="44" fillId="0" borderId="52" xfId="240" applyNumberFormat="1" applyFont="1" applyBorder="1" applyAlignment="1" applyProtection="1">
      <alignment horizontal="center" vertical="center" wrapText="1"/>
      <protection locked="0"/>
    </xf>
    <xf numFmtId="0" fontId="40" fillId="0" borderId="1" xfId="0" applyFont="1" applyBorder="1"/>
    <xf numFmtId="4" fontId="45" fillId="0" borderId="52" xfId="240" applyNumberFormat="1" applyFont="1" applyBorder="1" applyAlignment="1">
      <alignment horizontal="center" vertical="center" wrapText="1"/>
    </xf>
    <xf numFmtId="4" fontId="44" fillId="0" borderId="52" xfId="240" applyNumberFormat="1" applyFont="1" applyBorder="1" applyAlignment="1">
      <alignment horizontal="center" vertical="center" wrapText="1"/>
    </xf>
    <xf numFmtId="4" fontId="45" fillId="0" borderId="7" xfId="240" applyNumberFormat="1" applyFont="1" applyBorder="1" applyAlignment="1">
      <alignment horizontal="center" vertical="center" wrapText="1"/>
    </xf>
    <xf numFmtId="4" fontId="44" fillId="0" borderId="7" xfId="240" applyNumberFormat="1" applyFont="1" applyBorder="1" applyAlignment="1">
      <alignment horizontal="center" vertical="center" wrapText="1"/>
    </xf>
    <xf numFmtId="0" fontId="189" fillId="3" borderId="0" xfId="0" applyFont="1" applyFill="1"/>
    <xf numFmtId="4" fontId="45" fillId="0" borderId="53" xfId="240" applyNumberFormat="1" applyFont="1" applyBorder="1" applyAlignment="1" applyProtection="1">
      <alignment horizontal="center" vertical="center" wrapText="1"/>
      <protection locked="0"/>
    </xf>
    <xf numFmtId="4" fontId="45" fillId="0" borderId="54" xfId="240" applyNumberFormat="1" applyFont="1" applyBorder="1" applyAlignment="1" applyProtection="1">
      <alignment horizontal="center" vertical="center" wrapText="1"/>
      <protection locked="0"/>
    </xf>
    <xf numFmtId="0" fontId="39" fillId="0" borderId="1" xfId="0" applyFont="1" applyBorder="1" applyAlignment="1">
      <alignment horizontal="right" vertical="center"/>
    </xf>
    <xf numFmtId="4" fontId="39" fillId="0" borderId="1" xfId="0" applyNumberFormat="1" applyFont="1" applyBorder="1" applyAlignment="1">
      <alignment horizontal="right" vertical="center"/>
    </xf>
    <xf numFmtId="1" fontId="39" fillId="0" borderId="1" xfId="0" applyNumberFormat="1" applyFont="1" applyBorder="1" applyAlignment="1">
      <alignment horizontal="right" vertical="center"/>
    </xf>
    <xf numFmtId="4" fontId="39" fillId="0" borderId="1" xfId="0" applyNumberFormat="1" applyFont="1" applyBorder="1"/>
    <xf numFmtId="4" fontId="39" fillId="0" borderId="1" xfId="0" applyNumberFormat="1" applyFont="1" applyBorder="1" applyAlignment="1">
      <alignment vertical="center"/>
    </xf>
    <xf numFmtId="4" fontId="39" fillId="0" borderId="8" xfId="0" applyNumberFormat="1" applyFont="1" applyBorder="1" applyAlignment="1">
      <alignment horizontal="right" vertical="center"/>
    </xf>
    <xf numFmtId="0" fontId="191" fillId="62" borderId="0" xfId="552" applyFont="1" applyFill="1" applyAlignment="1">
      <alignment wrapText="1"/>
    </xf>
    <xf numFmtId="0" fontId="171" fillId="62" borderId="0" xfId="552" applyFont="1" applyFill="1" applyAlignment="1">
      <alignment wrapText="1"/>
    </xf>
    <xf numFmtId="0" fontId="161" fillId="0" borderId="0" xfId="552" applyFont="1"/>
    <xf numFmtId="0" fontId="106" fillId="62" borderId="39" xfId="0" applyFont="1" applyFill="1" applyBorder="1" applyAlignment="1">
      <alignment horizontal="center" vertical="center"/>
    </xf>
    <xf numFmtId="0" fontId="39" fillId="0" borderId="45" xfId="552" applyFont="1" applyBorder="1" applyAlignment="1">
      <alignment horizontal="center" vertical="center"/>
    </xf>
    <xf numFmtId="0" fontId="106" fillId="62" borderId="42" xfId="0" applyFont="1" applyFill="1" applyBorder="1" applyAlignment="1">
      <alignment horizontal="center" vertical="center"/>
    </xf>
    <xf numFmtId="0" fontId="39" fillId="0" borderId="3" xfId="0" applyFont="1" applyBorder="1" applyAlignment="1">
      <alignment horizontal="right" vertical="center"/>
    </xf>
    <xf numFmtId="0" fontId="40" fillId="0" borderId="45" xfId="0" applyFont="1" applyBorder="1" applyAlignment="1">
      <alignment horizontal="center" vertical="center"/>
    </xf>
    <xf numFmtId="0" fontId="40" fillId="0" borderId="55" xfId="0" applyFont="1" applyBorder="1" applyAlignment="1">
      <alignment horizontal="center" vertical="center"/>
    </xf>
    <xf numFmtId="0" fontId="145" fillId="0" borderId="66" xfId="0" applyFont="1" applyBorder="1" applyAlignment="1">
      <alignment horizontal="center" vertical="center"/>
    </xf>
    <xf numFmtId="0" fontId="98" fillId="0" borderId="68" xfId="0" applyFont="1" applyBorder="1" applyAlignment="1">
      <alignment horizontal="center" vertical="center"/>
    </xf>
    <xf numFmtId="4" fontId="39" fillId="0" borderId="89" xfId="0" applyNumberFormat="1" applyFont="1" applyBorder="1" applyAlignment="1">
      <alignment horizontal="right" vertical="center"/>
    </xf>
    <xf numFmtId="0" fontId="39" fillId="0" borderId="55" xfId="552" applyFont="1" applyBorder="1" applyAlignment="1">
      <alignment horizontal="center" vertical="center"/>
    </xf>
    <xf numFmtId="0" fontId="141" fillId="0" borderId="66" xfId="552" applyFont="1" applyBorder="1" applyAlignment="1">
      <alignment horizontal="center" vertical="center"/>
    </xf>
    <xf numFmtId="0" fontId="141" fillId="0" borderId="68" xfId="552" applyFont="1" applyBorder="1" applyAlignment="1">
      <alignment horizontal="center" vertical="center"/>
    </xf>
    <xf numFmtId="0" fontId="171" fillId="62" borderId="30" xfId="0" applyFont="1" applyFill="1" applyBorder="1" applyAlignment="1">
      <alignment horizontal="center" vertical="center"/>
    </xf>
    <xf numFmtId="4" fontId="48" fillId="0" borderId="6" xfId="0" applyNumberFormat="1" applyFont="1" applyBorder="1" applyAlignment="1">
      <alignment horizontal="right" vertical="center"/>
    </xf>
    <xf numFmtId="0" fontId="48" fillId="0" borderId="61" xfId="552" applyFont="1" applyBorder="1"/>
    <xf numFmtId="4" fontId="48" fillId="0" borderId="61" xfId="552" applyNumberFormat="1" applyFont="1" applyBorder="1" applyAlignment="1">
      <alignment vertical="center"/>
    </xf>
    <xf numFmtId="4" fontId="48" fillId="0" borderId="6" xfId="552" applyNumberFormat="1" applyFont="1" applyBorder="1" applyAlignment="1">
      <alignment vertical="center"/>
    </xf>
    <xf numFmtId="0" fontId="155" fillId="0" borderId="10" xfId="547" applyFont="1" applyBorder="1" applyAlignment="1">
      <alignment horizontal="center" vertical="center" wrapText="1"/>
    </xf>
    <xf numFmtId="2" fontId="40" fillId="0" borderId="8" xfId="547" applyNumberFormat="1" applyFont="1" applyBorder="1" applyAlignment="1">
      <alignment horizontal="center"/>
    </xf>
    <xf numFmtId="2" fontId="40" fillId="0" borderId="55" xfId="547" applyNumberFormat="1" applyFont="1" applyBorder="1" applyAlignment="1">
      <alignment horizontal="center"/>
    </xf>
    <xf numFmtId="0" fontId="155" fillId="0" borderId="89" xfId="547" applyFont="1" applyBorder="1" applyAlignment="1">
      <alignment horizontal="center" vertical="center" wrapText="1"/>
    </xf>
    <xf numFmtId="2" fontId="38" fillId="0" borderId="67" xfId="547" applyNumberFormat="1" applyFont="1" applyBorder="1" applyAlignment="1">
      <alignment horizontal="center"/>
    </xf>
    <xf numFmtId="2" fontId="38" fillId="0" borderId="68" xfId="547" applyNumberFormat="1" applyFont="1" applyBorder="1" applyAlignment="1">
      <alignment horizontal="center"/>
    </xf>
    <xf numFmtId="0" fontId="38" fillId="0" borderId="79" xfId="547" applyFont="1" applyBorder="1" applyAlignment="1">
      <alignment horizontal="center" vertical="center" wrapText="1"/>
    </xf>
    <xf numFmtId="0" fontId="38" fillId="0" borderId="79" xfId="547" applyFont="1" applyBorder="1" applyAlignment="1">
      <alignment vertical="top" wrapText="1"/>
    </xf>
    <xf numFmtId="0" fontId="158" fillId="0" borderId="79" xfId="547" applyFont="1" applyBorder="1" applyAlignment="1">
      <alignment horizontal="center" vertical="center" wrapText="1"/>
    </xf>
    <xf numFmtId="0" fontId="40" fillId="0" borderId="42" xfId="547" applyFont="1" applyBorder="1"/>
    <xf numFmtId="0" fontId="38" fillId="0" borderId="3" xfId="547" applyFont="1" applyBorder="1"/>
    <xf numFmtId="0" fontId="40" fillId="0" borderId="3" xfId="547" applyFont="1" applyBorder="1"/>
    <xf numFmtId="2" fontId="40" fillId="0" borderId="10" xfId="547" applyNumberFormat="1" applyFont="1" applyBorder="1" applyAlignment="1">
      <alignment horizontal="center"/>
    </xf>
    <xf numFmtId="0" fontId="39" fillId="0" borderId="60" xfId="547" applyFont="1" applyBorder="1" applyAlignment="1">
      <alignment horizontal="center" vertical="center" wrapText="1"/>
    </xf>
    <xf numFmtId="0" fontId="38" fillId="0" borderId="61" xfId="547" applyFont="1" applyBorder="1" applyAlignment="1">
      <alignment horizontal="center" vertical="center" wrapText="1"/>
    </xf>
    <xf numFmtId="0" fontId="43" fillId="0" borderId="61" xfId="547" applyFont="1" applyBorder="1" applyAlignment="1">
      <alignment horizontal="center" vertical="center" wrapText="1"/>
    </xf>
    <xf numFmtId="0" fontId="156" fillId="0" borderId="61" xfId="547" applyFont="1" applyBorder="1" applyAlignment="1">
      <alignment horizontal="center" vertical="center" wrapText="1"/>
    </xf>
    <xf numFmtId="0" fontId="156" fillId="64" borderId="98" xfId="547" applyFont="1" applyFill="1" applyBorder="1" applyAlignment="1">
      <alignment horizontal="center" vertical="center" wrapText="1"/>
    </xf>
    <xf numFmtId="2" fontId="40" fillId="0" borderId="98" xfId="547" applyNumberFormat="1" applyFont="1" applyBorder="1" applyAlignment="1">
      <alignment horizontal="center"/>
    </xf>
    <xf numFmtId="0" fontId="40" fillId="0" borderId="45" xfId="551" applyFont="1" applyBorder="1" applyAlignment="1">
      <alignment horizontal="center" vertical="center"/>
    </xf>
    <xf numFmtId="0" fontId="40" fillId="0" borderId="55" xfId="551" applyFont="1" applyBorder="1" applyAlignment="1">
      <alignment horizontal="center" vertical="center"/>
    </xf>
    <xf numFmtId="0" fontId="40" fillId="32" borderId="8" xfId="551" applyFont="1" applyFill="1" applyBorder="1"/>
    <xf numFmtId="0" fontId="98" fillId="0" borderId="67" xfId="551" applyFont="1" applyBorder="1" applyAlignment="1">
      <alignment horizontal="center" vertical="center"/>
    </xf>
    <xf numFmtId="4" fontId="98" fillId="0" borderId="67" xfId="551" applyNumberFormat="1" applyFont="1" applyBorder="1" applyAlignment="1">
      <alignment horizontal="right" vertical="center"/>
    </xf>
    <xf numFmtId="0" fontId="40" fillId="0" borderId="10" xfId="551" applyFont="1" applyBorder="1"/>
    <xf numFmtId="0" fontId="98" fillId="0" borderId="0" xfId="551" applyFont="1"/>
    <xf numFmtId="4" fontId="40" fillId="0" borderId="10" xfId="546" applyNumberFormat="1" applyFont="1" applyBorder="1" applyAlignment="1">
      <alignment horizontal="right" vertical="top"/>
    </xf>
    <xf numFmtId="4" fontId="40" fillId="0" borderId="8" xfId="546" applyNumberFormat="1" applyFont="1" applyBorder="1" applyAlignment="1">
      <alignment horizontal="right" vertical="top"/>
    </xf>
    <xf numFmtId="0" fontId="40" fillId="0" borderId="88" xfId="546" applyFont="1" applyBorder="1" applyAlignment="1">
      <alignment horizontal="center" vertical="center"/>
    </xf>
    <xf numFmtId="0" fontId="40" fillId="0" borderId="44" xfId="546" applyFont="1" applyBorder="1" applyAlignment="1">
      <alignment horizontal="center" vertical="center" wrapText="1"/>
    </xf>
    <xf numFmtId="4" fontId="40" fillId="0" borderId="39" xfId="546" applyNumberFormat="1" applyFont="1" applyBorder="1" applyAlignment="1">
      <alignment horizontal="right" vertical="top"/>
    </xf>
    <xf numFmtId="0" fontId="48" fillId="0" borderId="0" xfId="546" applyFont="1"/>
    <xf numFmtId="0" fontId="40" fillId="0" borderId="92" xfId="546" applyFont="1" applyBorder="1"/>
    <xf numFmtId="0" fontId="40" fillId="0" borderId="78" xfId="546" applyFont="1" applyBorder="1"/>
    <xf numFmtId="0" fontId="40" fillId="0" borderId="79" xfId="546" applyFont="1" applyBorder="1"/>
    <xf numFmtId="2" fontId="40" fillId="0" borderId="79" xfId="546" applyNumberFormat="1" applyFont="1" applyBorder="1"/>
    <xf numFmtId="0" fontId="40" fillId="0" borderId="97" xfId="546" applyFont="1" applyBorder="1" applyAlignment="1">
      <alignment horizontal="right"/>
    </xf>
    <xf numFmtId="0" fontId="40" fillId="0" borderId="30" xfId="546" applyFont="1" applyBorder="1"/>
    <xf numFmtId="0" fontId="40" fillId="0" borderId="6" xfId="546" applyFont="1" applyBorder="1"/>
    <xf numFmtId="0" fontId="40" fillId="0" borderId="63" xfId="546" applyFont="1" applyBorder="1" applyAlignment="1">
      <alignment horizontal="right"/>
    </xf>
    <xf numFmtId="0" fontId="40" fillId="0" borderId="61" xfId="546" applyFont="1" applyBorder="1"/>
    <xf numFmtId="0" fontId="40" fillId="0" borderId="98" xfId="546" applyFont="1" applyBorder="1" applyAlignment="1">
      <alignment horizontal="right"/>
    </xf>
    <xf numFmtId="0" fontId="106" fillId="0" borderId="68" xfId="546" applyFont="1" applyBorder="1"/>
    <xf numFmtId="2" fontId="40" fillId="0" borderId="72" xfId="546" applyNumberFormat="1" applyFont="1" applyBorder="1"/>
    <xf numFmtId="2" fontId="89" fillId="0" borderId="68" xfId="546" applyNumberFormat="1" applyFont="1" applyBorder="1" applyAlignment="1">
      <alignment horizontal="center"/>
    </xf>
    <xf numFmtId="2" fontId="40" fillId="0" borderId="89" xfId="546" applyNumberFormat="1" applyFont="1" applyBorder="1" applyAlignment="1">
      <alignment horizontal="center"/>
    </xf>
    <xf numFmtId="2" fontId="89" fillId="0" borderId="89" xfId="546" applyNumberFormat="1" applyFont="1" applyBorder="1" applyAlignment="1">
      <alignment horizontal="center"/>
    </xf>
    <xf numFmtId="0" fontId="40" fillId="0" borderId="6" xfId="546" applyFont="1" applyBorder="1" applyAlignment="1">
      <alignment horizontal="center" wrapText="1"/>
    </xf>
    <xf numFmtId="0" fontId="106" fillId="0" borderId="6" xfId="546" applyFont="1" applyBorder="1" applyAlignment="1">
      <alignment horizontal="center"/>
    </xf>
    <xf numFmtId="0" fontId="89" fillId="0" borderId="6" xfId="546" applyFont="1" applyBorder="1" applyAlignment="1">
      <alignment horizontal="center" wrapText="1"/>
    </xf>
    <xf numFmtId="0" fontId="40" fillId="0" borderId="6" xfId="546" applyFont="1" applyBorder="1" applyAlignment="1">
      <alignment horizontal="center"/>
    </xf>
    <xf numFmtId="0" fontId="40" fillId="0" borderId="68" xfId="546" applyFont="1" applyBorder="1" applyAlignment="1">
      <alignment horizontal="center"/>
    </xf>
    <xf numFmtId="0" fontId="172" fillId="3" borderId="0" xfId="552" applyFont="1" applyFill="1"/>
    <xf numFmtId="0" fontId="89" fillId="3" borderId="0" xfId="552" applyFont="1" applyFill="1"/>
    <xf numFmtId="0" fontId="171" fillId="72" borderId="0" xfId="552" applyFont="1" applyFill="1" applyAlignment="1">
      <alignment wrapText="1"/>
    </xf>
    <xf numFmtId="0" fontId="161" fillId="3" borderId="0" xfId="552" applyFont="1" applyFill="1"/>
    <xf numFmtId="0" fontId="40" fillId="3" borderId="0" xfId="552" applyFont="1" applyFill="1"/>
    <xf numFmtId="0" fontId="158" fillId="64" borderId="79" xfId="547" applyFont="1" applyFill="1" applyBorder="1" applyAlignment="1">
      <alignment horizontal="center" vertical="center" wrapText="1"/>
    </xf>
    <xf numFmtId="2" fontId="39" fillId="0" borderId="79" xfId="547" applyNumberFormat="1" applyFont="1" applyBorder="1" applyAlignment="1">
      <alignment horizontal="center"/>
    </xf>
    <xf numFmtId="0" fontId="48" fillId="0" borderId="60" xfId="547" applyFont="1" applyBorder="1" applyAlignment="1">
      <alignment horizontal="center" vertical="center" wrapText="1"/>
    </xf>
    <xf numFmtId="0" fontId="156" fillId="64" borderId="61" xfId="547" applyFont="1" applyFill="1" applyBorder="1" applyAlignment="1">
      <alignment horizontal="center" vertical="center" wrapText="1"/>
    </xf>
    <xf numFmtId="2" fontId="48" fillId="0" borderId="61" xfId="547" applyNumberFormat="1" applyFont="1" applyBorder="1" applyAlignment="1">
      <alignment horizontal="center"/>
    </xf>
    <xf numFmtId="0" fontId="91" fillId="3" borderId="0" xfId="551" applyFont="1" applyFill="1"/>
    <xf numFmtId="0" fontId="40" fillId="0" borderId="0" xfId="546" applyFont="1" applyAlignment="1">
      <alignment horizontal="right" vertical="center" wrapText="1"/>
    </xf>
    <xf numFmtId="0" fontId="40" fillId="3" borderId="0" xfId="546" applyFont="1" applyFill="1" applyAlignment="1">
      <alignment horizontal="center" vertical="center" wrapText="1"/>
    </xf>
    <xf numFmtId="0" fontId="48" fillId="3" borderId="0" xfId="546" applyFont="1" applyFill="1" applyAlignment="1">
      <alignment horizontal="left"/>
    </xf>
    <xf numFmtId="0" fontId="39" fillId="3" borderId="0" xfId="546" applyFont="1" applyFill="1" applyAlignment="1">
      <alignment horizontal="left"/>
    </xf>
    <xf numFmtId="0" fontId="48" fillId="3" borderId="0" xfId="546" applyFont="1" applyFill="1"/>
    <xf numFmtId="0" fontId="89" fillId="3" borderId="0" xfId="546" applyFont="1" applyFill="1" applyAlignment="1">
      <alignment horizontal="center" vertical="center" wrapText="1"/>
    </xf>
    <xf numFmtId="0" fontId="172" fillId="0" borderId="1" xfId="506" applyFont="1" applyBorder="1" applyAlignment="1" applyProtection="1">
      <alignment horizontal="center" vertical="center" wrapText="1"/>
      <protection hidden="1"/>
    </xf>
    <xf numFmtId="0" fontId="161" fillId="0" borderId="1" xfId="506" applyFont="1" applyBorder="1" applyAlignment="1" applyProtection="1">
      <alignment horizontal="left" vertical="center" wrapText="1"/>
      <protection hidden="1"/>
    </xf>
    <xf numFmtId="0" fontId="48" fillId="0" borderId="68" xfId="0" applyFont="1" applyBorder="1"/>
    <xf numFmtId="0" fontId="48" fillId="3" borderId="0" xfId="506" applyFont="1" applyFill="1" applyAlignment="1" applyProtection="1">
      <alignment vertical="center" wrapText="1"/>
      <protection locked="0"/>
    </xf>
    <xf numFmtId="0" fontId="98" fillId="34" borderId="0" xfId="448" applyFont="1" applyFill="1"/>
    <xf numFmtId="0" fontId="98" fillId="34" borderId="0" xfId="448" applyFont="1" applyFill="1" applyAlignment="1">
      <alignment horizontal="center"/>
    </xf>
    <xf numFmtId="0" fontId="40" fillId="0" borderId="0" xfId="0" applyFont="1" applyAlignment="1">
      <alignment horizontal="center"/>
    </xf>
    <xf numFmtId="4" fontId="167" fillId="3" borderId="0" xfId="116" applyNumberFormat="1" applyFont="1" applyFill="1" applyAlignment="1">
      <alignment horizontal="left"/>
    </xf>
    <xf numFmtId="179" fontId="163" fillId="0" borderId="0" xfId="116" applyNumberFormat="1" applyFont="1"/>
    <xf numFmtId="4" fontId="175" fillId="3" borderId="0" xfId="116" applyNumberFormat="1" applyFont="1" applyFill="1" applyAlignment="1">
      <alignment horizontal="left"/>
    </xf>
    <xf numFmtId="0" fontId="193" fillId="0" borderId="0" xfId="0" applyFont="1"/>
    <xf numFmtId="0" fontId="101" fillId="3" borderId="0" xfId="0" applyFont="1" applyFill="1" applyAlignment="1">
      <alignment horizontal="center" wrapText="1"/>
    </xf>
    <xf numFmtId="2" fontId="47" fillId="0" borderId="0" xfId="116" applyNumberFormat="1" applyFont="1" applyAlignment="1">
      <alignment horizontal="center"/>
    </xf>
    <xf numFmtId="0" fontId="167" fillId="0" borderId="0" xfId="116" applyFont="1" applyAlignment="1">
      <alignment horizontal="center"/>
    </xf>
    <xf numFmtId="188" fontId="163" fillId="0" borderId="0" xfId="116" applyNumberFormat="1" applyFont="1" applyAlignment="1">
      <alignment horizontal="center"/>
    </xf>
    <xf numFmtId="2" fontId="167" fillId="0" borderId="0" xfId="116" applyNumberFormat="1" applyFont="1" applyAlignment="1">
      <alignment horizontal="center"/>
    </xf>
    <xf numFmtId="2" fontId="98" fillId="0" borderId="0" xfId="116" applyNumberFormat="1" applyFont="1" applyAlignment="1">
      <alignment horizontal="center"/>
    </xf>
    <xf numFmtId="2" fontId="163" fillId="0" borderId="0" xfId="116" applyNumberFormat="1" applyFont="1" applyAlignment="1">
      <alignment horizontal="center"/>
    </xf>
    <xf numFmtId="0" fontId="47" fillId="0" borderId="0" xfId="116" applyFont="1" applyAlignment="1">
      <alignment horizontal="center"/>
    </xf>
    <xf numFmtId="176" fontId="47" fillId="0" borderId="0" xfId="116" applyNumberFormat="1" applyFont="1" applyAlignment="1">
      <alignment horizontal="center"/>
    </xf>
    <xf numFmtId="4" fontId="141" fillId="0" borderId="0" xfId="116" applyNumberFormat="1" applyFont="1" applyAlignment="1">
      <alignment horizontal="left"/>
    </xf>
    <xf numFmtId="10" fontId="39" fillId="0" borderId="0" xfId="0" applyNumberFormat="1" applyFont="1"/>
    <xf numFmtId="0" fontId="141" fillId="0" borderId="99" xfId="448" applyFont="1" applyBorder="1"/>
    <xf numFmtId="0" fontId="141" fillId="0" borderId="100" xfId="448" applyFont="1" applyBorder="1"/>
    <xf numFmtId="0" fontId="141" fillId="0" borderId="101" xfId="448" applyFont="1" applyBorder="1"/>
    <xf numFmtId="0" fontId="141" fillId="0" borderId="102" xfId="448" applyFont="1" applyBorder="1"/>
    <xf numFmtId="177" fontId="154" fillId="31" borderId="103" xfId="448" applyNumberFormat="1" applyFont="1" applyFill="1" applyBorder="1" applyAlignment="1">
      <alignment horizontal="center"/>
    </xf>
    <xf numFmtId="177" fontId="154" fillId="31" borderId="104" xfId="448" applyNumberFormat="1" applyFont="1" applyFill="1" applyBorder="1" applyAlignment="1">
      <alignment horizontal="center"/>
    </xf>
    <xf numFmtId="0" fontId="39" fillId="0" borderId="8" xfId="0" applyFont="1" applyBorder="1" applyAlignment="1">
      <alignment horizontal="center" vertical="center" wrapText="1"/>
    </xf>
    <xf numFmtId="4" fontId="45" fillId="0" borderId="44" xfId="240" applyNumberFormat="1" applyFont="1" applyBorder="1" applyAlignment="1" applyProtection="1">
      <alignment horizontal="center" vertical="center" wrapText="1"/>
      <protection locked="0"/>
    </xf>
    <xf numFmtId="4" fontId="45" fillId="0" borderId="46" xfId="240" applyNumberFormat="1" applyFont="1" applyBorder="1" applyAlignment="1" applyProtection="1">
      <alignment horizontal="center" vertical="center" wrapText="1"/>
      <protection locked="0"/>
    </xf>
    <xf numFmtId="49" fontId="41" fillId="0" borderId="8" xfId="240" applyNumberFormat="1" applyFont="1" applyBorder="1" applyAlignment="1">
      <alignment horizontal="right" vertical="center" wrapText="1"/>
    </xf>
    <xf numFmtId="49" fontId="41" fillId="0" borderId="39" xfId="240" applyNumberFormat="1" applyFont="1" applyBorder="1" applyAlignment="1">
      <alignment horizontal="right" vertical="center" wrapText="1"/>
    </xf>
    <xf numFmtId="4" fontId="45" fillId="0" borderId="42" xfId="240" applyNumberFormat="1" applyFont="1" applyBorder="1" applyAlignment="1">
      <alignment horizontal="center" vertical="center" wrapText="1"/>
    </xf>
    <xf numFmtId="4" fontId="45" fillId="0" borderId="3" xfId="240" applyNumberFormat="1" applyFont="1" applyBorder="1" applyAlignment="1">
      <alignment horizontal="center" vertical="center" wrapText="1"/>
    </xf>
    <xf numFmtId="0" fontId="196" fillId="0" borderId="0" xfId="240" applyFont="1"/>
    <xf numFmtId="0" fontId="38" fillId="0" borderId="0" xfId="240" applyFont="1" applyProtection="1">
      <protection locked="0"/>
    </xf>
    <xf numFmtId="4" fontId="37" fillId="0" borderId="3" xfId="240" applyNumberFormat="1" applyFont="1" applyBorder="1" applyAlignment="1">
      <alignment horizontal="center" vertical="center" wrapText="1"/>
    </xf>
    <xf numFmtId="0" fontId="36" fillId="0" borderId="1" xfId="0" applyFont="1" applyBorder="1" applyAlignment="1">
      <alignment vertical="center" wrapText="1"/>
    </xf>
    <xf numFmtId="2" fontId="37" fillId="0" borderId="1" xfId="240" applyNumberFormat="1" applyFont="1" applyBorder="1" applyAlignment="1" applyProtection="1">
      <alignment horizontal="center" vertical="center" wrapText="1"/>
      <protection locked="0"/>
    </xf>
    <xf numFmtId="0" fontId="39" fillId="0" borderId="0" xfId="553" applyFont="1"/>
    <xf numFmtId="0" fontId="39" fillId="0" borderId="57" xfId="0" applyFont="1" applyBorder="1" applyAlignment="1">
      <alignment horizontal="center" vertical="center" wrapText="1"/>
    </xf>
    <xf numFmtId="0" fontId="48" fillId="0" borderId="42" xfId="0" applyFont="1" applyBorder="1" applyAlignment="1">
      <alignment horizontal="center" vertical="center" wrapText="1"/>
    </xf>
    <xf numFmtId="0" fontId="39" fillId="0" borderId="40" xfId="0" applyFont="1" applyBorder="1" applyAlignment="1">
      <alignment horizontal="center" vertical="center" wrapText="1"/>
    </xf>
    <xf numFmtId="0" fontId="39" fillId="0" borderId="39" xfId="0" applyFont="1" applyBorder="1" applyAlignment="1">
      <alignment horizontal="center" vertical="center" wrapText="1"/>
    </xf>
    <xf numFmtId="0" fontId="39" fillId="0" borderId="8" xfId="0" applyFont="1" applyBorder="1" applyAlignment="1">
      <alignment vertical="center" wrapText="1"/>
    </xf>
    <xf numFmtId="0" fontId="39" fillId="31" borderId="120" xfId="0" applyFont="1" applyFill="1" applyBorder="1" applyAlignment="1">
      <alignment vertical="center" wrapText="1"/>
    </xf>
    <xf numFmtId="0" fontId="39" fillId="0" borderId="120" xfId="0" applyFont="1" applyBorder="1" applyAlignment="1">
      <alignment vertical="center" wrapText="1"/>
    </xf>
    <xf numFmtId="0" fontId="39" fillId="31" borderId="8" xfId="0" applyFont="1" applyFill="1" applyBorder="1" applyAlignment="1">
      <alignment vertical="center" wrapText="1"/>
    </xf>
    <xf numFmtId="49" fontId="39" fillId="0" borderId="39" xfId="0" applyNumberFormat="1" applyFont="1" applyBorder="1" applyAlignment="1">
      <alignment horizontal="center" vertical="center" wrapText="1"/>
    </xf>
    <xf numFmtId="49" fontId="39" fillId="0" borderId="39" xfId="0" applyNumberFormat="1" applyFont="1" applyBorder="1" applyAlignment="1">
      <alignment horizontal="center" vertical="top" wrapText="1"/>
    </xf>
    <xf numFmtId="49" fontId="39" fillId="0" borderId="44" xfId="0" applyNumberFormat="1" applyFont="1" applyBorder="1" applyAlignment="1">
      <alignment horizontal="center" vertical="top" wrapText="1"/>
    </xf>
    <xf numFmtId="0" fontId="39" fillId="0" borderId="55" xfId="0" applyFont="1" applyBorder="1" applyAlignment="1">
      <alignment vertical="center" wrapText="1"/>
    </xf>
    <xf numFmtId="0" fontId="0" fillId="0" borderId="28" xfId="0" applyBorder="1" applyAlignment="1">
      <alignment horizontal="left" indent="8"/>
    </xf>
    <xf numFmtId="0" fontId="0" fillId="0" borderId="29" xfId="0" applyBorder="1" applyAlignment="1">
      <alignment horizontal="left" indent="8"/>
    </xf>
    <xf numFmtId="2" fontId="39" fillId="0" borderId="39" xfId="0" applyNumberFormat="1" applyFont="1" applyBorder="1" applyAlignment="1">
      <alignment horizontal="center" vertical="center" wrapText="1"/>
    </xf>
    <xf numFmtId="2" fontId="39" fillId="0" borderId="1" xfId="0" applyNumberFormat="1" applyFont="1" applyBorder="1" applyAlignment="1">
      <alignment horizontal="center" vertical="center" wrapText="1"/>
    </xf>
    <xf numFmtId="2" fontId="39" fillId="0" borderId="40" xfId="0" applyNumberFormat="1" applyFont="1" applyBorder="1" applyAlignment="1">
      <alignment horizontal="center" vertical="center" wrapText="1"/>
    </xf>
    <xf numFmtId="4" fontId="37" fillId="0" borderId="1" xfId="6" applyNumberFormat="1" applyFont="1" applyBorder="1" applyAlignment="1">
      <alignment horizontal="center" vertical="center" wrapText="1"/>
    </xf>
    <xf numFmtId="0" fontId="39" fillId="0" borderId="4" xfId="552" applyFont="1" applyBorder="1" applyAlignment="1">
      <alignment vertical="center"/>
    </xf>
    <xf numFmtId="4" fontId="39" fillId="0" borderId="4" xfId="552" applyNumberFormat="1" applyFont="1" applyBorder="1" applyAlignment="1">
      <alignment vertical="center"/>
    </xf>
    <xf numFmtId="0" fontId="96" fillId="62" borderId="7" xfId="552" applyFont="1" applyFill="1" applyBorder="1" applyAlignment="1">
      <alignment wrapText="1"/>
    </xf>
    <xf numFmtId="0" fontId="190" fillId="62" borderId="86" xfId="552" applyFont="1" applyFill="1" applyBorder="1" applyAlignment="1">
      <alignment wrapText="1"/>
    </xf>
    <xf numFmtId="0" fontId="96" fillId="62" borderId="89" xfId="552" applyFont="1" applyFill="1" applyBorder="1" applyAlignment="1">
      <alignment horizontal="center" vertical="center"/>
    </xf>
    <xf numFmtId="0" fontId="96" fillId="62" borderId="67" xfId="552" applyFont="1" applyFill="1" applyBorder="1" applyAlignment="1">
      <alignment horizontal="center" vertical="center"/>
    </xf>
    <xf numFmtId="0" fontId="190" fillId="62" borderId="68" xfId="552" applyFont="1" applyFill="1" applyBorder="1" applyAlignment="1">
      <alignment horizontal="center" vertical="center"/>
    </xf>
    <xf numFmtId="0" fontId="15" fillId="74" borderId="0" xfId="555" applyFill="1"/>
    <xf numFmtId="0" fontId="15" fillId="0" borderId="0" xfId="555"/>
    <xf numFmtId="0" fontId="38" fillId="0" borderId="0" xfId="555" applyFont="1"/>
    <xf numFmtId="0" fontId="114" fillId="0" borderId="0" xfId="555" applyFont="1"/>
    <xf numFmtId="0" fontId="38" fillId="0" borderId="6" xfId="555" applyFont="1" applyBorder="1" applyAlignment="1">
      <alignment horizontal="center" vertical="top" wrapText="1"/>
    </xf>
    <xf numFmtId="0" fontId="38" fillId="31" borderId="33" xfId="553" applyFont="1" applyFill="1" applyBorder="1" applyAlignment="1">
      <alignment textRotation="90" wrapText="1"/>
    </xf>
    <xf numFmtId="1" fontId="39" fillId="0" borderId="39" xfId="0" applyNumberFormat="1" applyFont="1" applyBorder="1" applyAlignment="1">
      <alignment horizontal="center" vertical="center" wrapText="1"/>
    </xf>
    <xf numFmtId="1" fontId="39" fillId="0" borderId="1" xfId="0" applyNumberFormat="1" applyFont="1" applyBorder="1" applyAlignment="1">
      <alignment horizontal="center" vertical="center" wrapText="1"/>
    </xf>
    <xf numFmtId="1" fontId="39" fillId="0" borderId="40" xfId="0" applyNumberFormat="1" applyFont="1" applyBorder="1" applyAlignment="1">
      <alignment horizontal="center" vertical="center" wrapText="1"/>
    </xf>
    <xf numFmtId="177" fontId="39" fillId="0" borderId="1" xfId="0" applyNumberFormat="1" applyFont="1" applyBorder="1" applyAlignment="1">
      <alignment horizontal="center" vertical="center" wrapText="1"/>
    </xf>
    <xf numFmtId="175" fontId="39" fillId="0" borderId="1" xfId="0" applyNumberFormat="1" applyFont="1" applyBorder="1" applyAlignment="1">
      <alignment horizontal="center" vertical="center" wrapText="1"/>
    </xf>
    <xf numFmtId="0" fontId="38" fillId="0" borderId="32" xfId="553" applyFont="1" applyBorder="1" applyAlignment="1">
      <alignment horizontal="center" textRotation="90" wrapText="1"/>
    </xf>
    <xf numFmtId="0" fontId="38" fillId="34" borderId="32" xfId="553" applyFont="1" applyFill="1" applyBorder="1" applyAlignment="1">
      <alignment horizontal="left" textRotation="90" wrapText="1"/>
    </xf>
    <xf numFmtId="0" fontId="38" fillId="34" borderId="6" xfId="555" applyFont="1" applyFill="1" applyBorder="1" applyAlignment="1">
      <alignment horizontal="center" vertical="top" wrapText="1"/>
    </xf>
    <xf numFmtId="16" fontId="38" fillId="0" borderId="6" xfId="555" applyNumberFormat="1" applyFont="1" applyBorder="1" applyAlignment="1">
      <alignment horizontal="center" vertical="top" wrapText="1"/>
    </xf>
    <xf numFmtId="0" fontId="122" fillId="0" borderId="0" xfId="6" applyFont="1"/>
    <xf numFmtId="1" fontId="0" fillId="0" borderId="0" xfId="0" applyNumberFormat="1"/>
    <xf numFmtId="0" fontId="15" fillId="0" borderId="0" xfId="6" applyFont="1"/>
    <xf numFmtId="2" fontId="0" fillId="0" borderId="0" xfId="0" applyNumberFormat="1" applyAlignment="1">
      <alignment horizontal="center"/>
    </xf>
    <xf numFmtId="1" fontId="37" fillId="0" borderId="1" xfId="6" applyNumberFormat="1" applyFont="1" applyBorder="1" applyAlignment="1">
      <alignment horizontal="center" vertical="center" wrapText="1"/>
    </xf>
    <xf numFmtId="0" fontId="26" fillId="0" borderId="0" xfId="6" applyFont="1"/>
    <xf numFmtId="49" fontId="38" fillId="0" borderId="1" xfId="6" applyNumberFormat="1" applyFont="1" applyBorder="1" applyAlignment="1">
      <alignment horizontal="right" vertical="center" wrapText="1"/>
    </xf>
    <xf numFmtId="0" fontId="98" fillId="0" borderId="23" xfId="533" applyFont="1" applyBorder="1" applyAlignment="1">
      <alignment horizontal="center" vertical="center" wrapText="1"/>
    </xf>
    <xf numFmtId="177" fontId="167" fillId="0" borderId="102" xfId="116" applyNumberFormat="1" applyFont="1" applyBorder="1" applyAlignment="1">
      <alignment horizontal="right"/>
    </xf>
    <xf numFmtId="0" fontId="154" fillId="2" borderId="89" xfId="177" applyFont="1" applyFill="1" applyBorder="1" applyAlignment="1">
      <alignment horizontal="center" vertical="center" wrapText="1"/>
    </xf>
    <xf numFmtId="4" fontId="141" fillId="2" borderId="89" xfId="177" applyNumberFormat="1" applyFont="1" applyFill="1" applyBorder="1" applyAlignment="1">
      <alignment horizontal="center" vertical="center" wrapText="1"/>
    </xf>
    <xf numFmtId="0" fontId="154" fillId="0" borderId="89" xfId="177" applyFont="1" applyBorder="1" applyAlignment="1">
      <alignment horizontal="center" vertical="center" wrapText="1"/>
    </xf>
    <xf numFmtId="4" fontId="154" fillId="0" borderId="89" xfId="177" applyNumberFormat="1" applyFont="1" applyBorder="1" applyAlignment="1">
      <alignment horizontal="center" vertical="center" wrapText="1"/>
    </xf>
    <xf numFmtId="0" fontId="141" fillId="0" borderId="89" xfId="177" applyFont="1" applyBorder="1" applyAlignment="1">
      <alignment horizontal="center" vertical="center" wrapText="1"/>
    </xf>
    <xf numFmtId="4" fontId="141" fillId="0" borderId="89" xfId="177" applyNumberFormat="1" applyFont="1" applyBorder="1" applyAlignment="1">
      <alignment horizontal="center" vertical="center" wrapText="1"/>
    </xf>
    <xf numFmtId="4" fontId="199" fillId="31" borderId="89" xfId="177" applyNumberFormat="1" applyFont="1" applyFill="1" applyBorder="1" applyAlignment="1">
      <alignment horizontal="center" vertical="center" wrapText="1"/>
    </xf>
    <xf numFmtId="0" fontId="199" fillId="2" borderId="89" xfId="177" applyFont="1" applyFill="1" applyBorder="1" applyAlignment="1">
      <alignment horizontal="center" vertical="center" wrapText="1"/>
    </xf>
    <xf numFmtId="4" fontId="200" fillId="2" borderId="89" xfId="177" applyNumberFormat="1" applyFont="1" applyFill="1" applyBorder="1" applyAlignment="1">
      <alignment horizontal="center" vertical="center" wrapText="1"/>
    </xf>
    <xf numFmtId="0" fontId="199" fillId="0" borderId="89" xfId="177" applyFont="1" applyBorder="1" applyAlignment="1">
      <alignment horizontal="center" vertical="center" wrapText="1"/>
    </xf>
    <xf numFmtId="4" fontId="199" fillId="0" borderId="89" xfId="177" applyNumberFormat="1" applyFont="1" applyBorder="1" applyAlignment="1">
      <alignment horizontal="center" vertical="center" wrapText="1"/>
    </xf>
    <xf numFmtId="0" fontId="200" fillId="0" borderId="89" xfId="177" applyFont="1" applyBorder="1" applyAlignment="1">
      <alignment horizontal="center" vertical="center" wrapText="1"/>
    </xf>
    <xf numFmtId="4" fontId="200" fillId="0" borderId="89" xfId="177" applyNumberFormat="1" applyFont="1" applyBorder="1" applyAlignment="1">
      <alignment horizontal="center" vertical="center" wrapText="1"/>
    </xf>
    <xf numFmtId="4" fontId="154" fillId="31" borderId="89" xfId="177" applyNumberFormat="1" applyFont="1" applyFill="1" applyBorder="1" applyAlignment="1">
      <alignment horizontal="center" vertical="center" wrapText="1"/>
    </xf>
    <xf numFmtId="4" fontId="154" fillId="2" borderId="89" xfId="177" applyNumberFormat="1" applyFont="1" applyFill="1" applyBorder="1" applyAlignment="1">
      <alignment horizontal="center" vertical="center" wrapText="1"/>
    </xf>
    <xf numFmtId="0" fontId="154" fillId="0" borderId="67" xfId="177" applyFont="1" applyBorder="1" applyAlignment="1">
      <alignment horizontal="center" vertical="center"/>
    </xf>
    <xf numFmtId="0" fontId="141" fillId="0" borderId="32" xfId="177" applyFont="1" applyBorder="1" applyAlignment="1">
      <alignment horizontal="center" vertical="center" wrapText="1"/>
    </xf>
    <xf numFmtId="4" fontId="141" fillId="0" borderId="32" xfId="177" applyNumberFormat="1" applyFont="1" applyBorder="1" applyAlignment="1">
      <alignment horizontal="center" vertical="center" wrapText="1"/>
    </xf>
    <xf numFmtId="4" fontId="154" fillId="31" borderId="6" xfId="177" applyNumberFormat="1" applyFont="1" applyFill="1" applyBorder="1" applyAlignment="1">
      <alignment horizontal="center" vertical="center" wrapText="1"/>
    </xf>
    <xf numFmtId="0" fontId="154" fillId="31" borderId="6" xfId="177" applyFont="1" applyFill="1" applyBorder="1" applyAlignment="1">
      <alignment horizontal="center" vertical="center"/>
    </xf>
    <xf numFmtId="4" fontId="154" fillId="31" borderId="6" xfId="177" applyNumberFormat="1" applyFont="1" applyFill="1" applyBorder="1" applyAlignment="1">
      <alignment horizontal="center" vertical="center"/>
    </xf>
    <xf numFmtId="0" fontId="47" fillId="0" borderId="28" xfId="116" applyFont="1" applyBorder="1"/>
    <xf numFmtId="2" fontId="184" fillId="31" borderId="102" xfId="0" applyNumberFormat="1" applyFont="1" applyFill="1" applyBorder="1" applyAlignment="1">
      <alignment horizontal="right" wrapText="1"/>
    </xf>
    <xf numFmtId="2" fontId="47" fillId="2" borderId="0" xfId="116" applyNumberFormat="1" applyFont="1" applyFill="1"/>
    <xf numFmtId="0" fontId="47" fillId="2" borderId="0" xfId="116" applyFont="1" applyFill="1"/>
    <xf numFmtId="2" fontId="141" fillId="2" borderId="0" xfId="116" applyNumberFormat="1" applyFont="1" applyFill="1"/>
    <xf numFmtId="2" fontId="47" fillId="2" borderId="0" xfId="116" applyNumberFormat="1" applyFont="1" applyFill="1" applyAlignment="1">
      <alignment horizontal="center"/>
    </xf>
    <xf numFmtId="2" fontId="47" fillId="2" borderId="0" xfId="116" applyNumberFormat="1" applyFont="1" applyFill="1" applyAlignment="1">
      <alignment horizontal="left"/>
    </xf>
    <xf numFmtId="2" fontId="141" fillId="2" borderId="0" xfId="116" applyNumberFormat="1" applyFont="1" applyFill="1" applyAlignment="1">
      <alignment horizontal="left"/>
    </xf>
    <xf numFmtId="177" fontId="167" fillId="0" borderId="0" xfId="116" applyNumberFormat="1" applyFont="1" applyAlignment="1">
      <alignment horizontal="center"/>
    </xf>
    <xf numFmtId="0" fontId="167" fillId="32" borderId="31" xfId="116" applyFont="1" applyFill="1" applyBorder="1" applyAlignment="1">
      <alignment horizontal="center" vertical="center" wrapText="1"/>
    </xf>
    <xf numFmtId="0" fontId="39" fillId="0" borderId="23" xfId="0" applyFont="1" applyBorder="1" applyAlignment="1">
      <alignment horizontal="center"/>
    </xf>
    <xf numFmtId="0" fontId="39" fillId="0" borderId="23" xfId="0" applyFont="1" applyBorder="1" applyAlignment="1">
      <alignment horizontal="center" wrapText="1"/>
    </xf>
    <xf numFmtId="0" fontId="39" fillId="0" borderId="0" xfId="557" applyFont="1" applyAlignment="1">
      <alignment vertical="top" wrapText="1"/>
    </xf>
    <xf numFmtId="0" fontId="12" fillId="0" borderId="0" xfId="556"/>
    <xf numFmtId="0" fontId="47" fillId="0" borderId="1" xfId="556" applyFont="1" applyBorder="1" applyAlignment="1">
      <alignment horizontal="center" vertical="center" wrapText="1"/>
    </xf>
    <xf numFmtId="0" fontId="98" fillId="0" borderId="0" xfId="556" applyFont="1" applyAlignment="1">
      <alignment horizontal="left" vertical="center"/>
    </xf>
    <xf numFmtId="0" fontId="98" fillId="0" borderId="3" xfId="556" applyFont="1" applyBorder="1" applyAlignment="1">
      <alignment horizontal="left" vertical="center" wrapText="1"/>
    </xf>
    <xf numFmtId="0" fontId="98" fillId="0" borderId="1" xfId="556" applyFont="1" applyBorder="1" applyAlignment="1">
      <alignment vertical="center" wrapText="1"/>
    </xf>
    <xf numFmtId="0" fontId="145" fillId="0" borderId="1" xfId="556" applyFont="1" applyBorder="1" applyAlignment="1">
      <alignment vertical="center" wrapText="1"/>
    </xf>
    <xf numFmtId="177" fontId="98" fillId="0" borderId="1" xfId="556" applyNumberFormat="1" applyFont="1" applyBorder="1" applyAlignment="1">
      <alignment horizontal="center" vertical="center" wrapText="1"/>
    </xf>
    <xf numFmtId="177" fontId="47" fillId="0" borderId="0" xfId="116" applyNumberFormat="1" applyFont="1"/>
    <xf numFmtId="193" fontId="141" fillId="0" borderId="0" xfId="116" applyNumberFormat="1" applyFont="1" applyAlignment="1">
      <alignment horizontal="left"/>
    </xf>
    <xf numFmtId="0" fontId="98" fillId="0" borderId="10" xfId="556" applyFont="1" applyBorder="1" applyAlignment="1">
      <alignment horizontal="center" vertical="center" wrapText="1"/>
    </xf>
    <xf numFmtId="0" fontId="98" fillId="0" borderId="8" xfId="556" applyFont="1" applyBorder="1" applyAlignment="1">
      <alignment horizontal="center" vertical="center" wrapText="1"/>
    </xf>
    <xf numFmtId="0" fontId="145" fillId="0" borderId="39" xfId="556" applyFont="1" applyBorder="1" applyAlignment="1">
      <alignment vertical="center" wrapText="1"/>
    </xf>
    <xf numFmtId="2" fontId="111" fillId="0" borderId="0" xfId="240" applyNumberFormat="1" applyFont="1"/>
    <xf numFmtId="177" fontId="98" fillId="0" borderId="39" xfId="556" applyNumberFormat="1" applyFont="1" applyBorder="1" applyAlignment="1">
      <alignment horizontal="center" vertical="center" wrapText="1"/>
    </xf>
    <xf numFmtId="2" fontId="98" fillId="0" borderId="40" xfId="556" applyNumberFormat="1" applyFont="1" applyBorder="1" applyAlignment="1">
      <alignment horizontal="center" vertical="center" wrapText="1"/>
    </xf>
    <xf numFmtId="179" fontId="37" fillId="0" borderId="0" xfId="240" applyNumberFormat="1" applyFont="1" applyAlignment="1">
      <alignment horizontal="left" vertical="top" wrapText="1"/>
    </xf>
    <xf numFmtId="2" fontId="12" fillId="0" borderId="0" xfId="556" applyNumberFormat="1"/>
    <xf numFmtId="49" fontId="48" fillId="0" borderId="39" xfId="556" applyNumberFormat="1" applyFont="1" applyBorder="1" applyAlignment="1">
      <alignment horizontal="center" vertical="center"/>
    </xf>
    <xf numFmtId="0" fontId="145" fillId="0" borderId="41" xfId="556" applyFont="1" applyBorder="1" applyAlignment="1">
      <alignment vertical="center" wrapText="1"/>
    </xf>
    <xf numFmtId="0" fontId="98" fillId="0" borderId="39" xfId="556" applyFont="1" applyBorder="1" applyAlignment="1">
      <alignment vertical="center" wrapText="1"/>
    </xf>
    <xf numFmtId="0" fontId="98" fillId="0" borderId="44" xfId="556" applyFont="1" applyBorder="1" applyAlignment="1">
      <alignment vertical="center" wrapText="1"/>
    </xf>
    <xf numFmtId="2" fontId="98" fillId="0" borderId="57" xfId="556" applyNumberFormat="1" applyFont="1" applyBorder="1" applyAlignment="1">
      <alignment horizontal="center" vertical="center" wrapText="1"/>
    </xf>
    <xf numFmtId="2" fontId="98" fillId="0" borderId="44" xfId="556" applyNumberFormat="1" applyFont="1" applyBorder="1" applyAlignment="1">
      <alignment horizontal="center" vertical="center" wrapText="1"/>
    </xf>
    <xf numFmtId="2" fontId="98" fillId="0" borderId="58" xfId="556" applyNumberFormat="1" applyFont="1" applyBorder="1" applyAlignment="1">
      <alignment horizontal="center" vertical="center" wrapText="1"/>
    </xf>
    <xf numFmtId="2" fontId="98" fillId="0" borderId="59" xfId="556" applyNumberFormat="1" applyFont="1" applyBorder="1" applyAlignment="1">
      <alignment horizontal="center" vertical="center" wrapText="1"/>
    </xf>
    <xf numFmtId="2" fontId="98" fillId="0" borderId="1" xfId="556" applyNumberFormat="1" applyFont="1" applyBorder="1" applyAlignment="1">
      <alignment horizontal="center" vertical="center" wrapText="1"/>
    </xf>
    <xf numFmtId="2" fontId="98" fillId="0" borderId="45" xfId="556" applyNumberFormat="1" applyFont="1" applyBorder="1" applyAlignment="1">
      <alignment horizontal="center" vertical="center" wrapText="1"/>
    </xf>
    <xf numFmtId="2" fontId="98" fillId="0" borderId="46" xfId="556" applyNumberFormat="1" applyFont="1" applyBorder="1" applyAlignment="1">
      <alignment horizontal="center" vertical="center" wrapText="1"/>
    </xf>
    <xf numFmtId="0" fontId="89" fillId="0" borderId="30" xfId="0" applyFont="1" applyBorder="1"/>
    <xf numFmtId="0" fontId="40" fillId="0" borderId="36" xfId="0" applyFont="1" applyBorder="1"/>
    <xf numFmtId="0" fontId="98" fillId="0" borderId="6" xfId="0" applyFont="1" applyBorder="1" applyAlignment="1">
      <alignment horizontal="center" wrapText="1"/>
    </xf>
    <xf numFmtId="0" fontId="89" fillId="0" borderId="26" xfId="0" applyFont="1" applyBorder="1"/>
    <xf numFmtId="0" fontId="40" fillId="0" borderId="34" xfId="0" applyFont="1" applyBorder="1"/>
    <xf numFmtId="0" fontId="40" fillId="0" borderId="26" xfId="0" applyFont="1" applyBorder="1"/>
    <xf numFmtId="0" fontId="40" fillId="0" borderId="33" xfId="0" applyFont="1" applyBorder="1" applyAlignment="1">
      <alignment horizontal="center"/>
    </xf>
    <xf numFmtId="0" fontId="40" fillId="0" borderId="28" xfId="0" applyFont="1" applyBorder="1" applyAlignment="1">
      <alignment wrapText="1"/>
    </xf>
    <xf numFmtId="0" fontId="40" fillId="0" borderId="30" xfId="0" applyFont="1" applyBorder="1" applyAlignment="1">
      <alignment wrapText="1"/>
    </xf>
    <xf numFmtId="0" fontId="40" fillId="0" borderId="6" xfId="0" applyFont="1" applyBorder="1" applyAlignment="1">
      <alignment horizontal="center" wrapText="1"/>
    </xf>
    <xf numFmtId="0" fontId="40" fillId="0" borderId="26" xfId="0" applyFont="1" applyBorder="1" applyAlignment="1">
      <alignment wrapText="1"/>
    </xf>
    <xf numFmtId="0" fontId="40" fillId="0" borderId="34" xfId="0" applyFont="1" applyBorder="1" applyAlignment="1">
      <alignment horizontal="center" wrapText="1"/>
    </xf>
    <xf numFmtId="0" fontId="40" fillId="0" borderId="33" xfId="0" applyFont="1" applyBorder="1" applyAlignment="1">
      <alignment horizontal="center" wrapText="1"/>
    </xf>
    <xf numFmtId="0" fontId="39" fillId="0" borderId="32" xfId="0" applyFont="1" applyBorder="1"/>
    <xf numFmtId="0" fontId="38" fillId="0" borderId="32" xfId="0" applyFont="1" applyBorder="1" applyAlignment="1">
      <alignment horizontal="center" wrapText="1"/>
    </xf>
    <xf numFmtId="179" fontId="40" fillId="0" borderId="32" xfId="0" applyNumberFormat="1" applyFont="1" applyBorder="1" applyAlignment="1">
      <alignment horizontal="center"/>
    </xf>
    <xf numFmtId="179" fontId="40" fillId="0" borderId="32" xfId="0" applyNumberFormat="1" applyFont="1" applyBorder="1" applyAlignment="1">
      <alignment horizontal="center" vertical="center"/>
    </xf>
    <xf numFmtId="10" fontId="40" fillId="0" borderId="32" xfId="0" applyNumberFormat="1" applyFont="1" applyBorder="1" applyAlignment="1">
      <alignment horizontal="center"/>
    </xf>
    <xf numFmtId="0" fontId="40" fillId="0" borderId="23" xfId="0" applyFont="1" applyBorder="1" applyAlignment="1">
      <alignment horizontal="left" indent="1"/>
    </xf>
    <xf numFmtId="0" fontId="40" fillId="0" borderId="23" xfId="0" applyFont="1" applyBorder="1"/>
    <xf numFmtId="10" fontId="40" fillId="0" borderId="6" xfId="0" applyNumberFormat="1" applyFont="1" applyBorder="1" applyAlignment="1">
      <alignment horizontal="center"/>
    </xf>
    <xf numFmtId="0" fontId="40" fillId="0" borderId="6" xfId="0" applyFont="1" applyBorder="1"/>
    <xf numFmtId="0" fontId="43" fillId="0" borderId="0" xfId="240" applyFont="1" applyProtection="1">
      <protection locked="0"/>
    </xf>
    <xf numFmtId="2" fontId="38" fillId="0" borderId="0" xfId="240" applyNumberFormat="1" applyFont="1" applyProtection="1">
      <protection locked="0"/>
    </xf>
    <xf numFmtId="0" fontId="157" fillId="0" borderId="67" xfId="555" applyFont="1" applyBorder="1" applyAlignment="1">
      <alignment horizontal="center" vertical="top" wrapText="1"/>
    </xf>
    <xf numFmtId="0" fontId="157" fillId="0" borderId="67" xfId="555" applyFont="1" applyBorder="1" applyAlignment="1">
      <alignment vertical="top" wrapText="1"/>
    </xf>
    <xf numFmtId="0" fontId="47" fillId="0" borderId="67" xfId="555" applyFont="1" applyBorder="1" applyAlignment="1">
      <alignment horizontal="center" vertical="top" wrapText="1"/>
    </xf>
    <xf numFmtId="2" fontId="157" fillId="0" borderId="67" xfId="555" applyNumberFormat="1" applyFont="1" applyBorder="1" applyAlignment="1">
      <alignment horizontal="center" vertical="top" wrapText="1"/>
    </xf>
    <xf numFmtId="0" fontId="157" fillId="0" borderId="68" xfId="555" applyFont="1" applyBorder="1" applyAlignment="1">
      <alignment horizontal="center" vertical="top" wrapText="1"/>
    </xf>
    <xf numFmtId="0" fontId="157" fillId="0" borderId="68" xfId="555" applyFont="1" applyBorder="1" applyAlignment="1">
      <alignment vertical="top" wrapText="1"/>
    </xf>
    <xf numFmtId="0" fontId="47" fillId="3" borderId="0" xfId="116" applyFont="1" applyFill="1"/>
    <xf numFmtId="0" fontId="145" fillId="0" borderId="48" xfId="556" applyFont="1" applyBorder="1" applyAlignment="1">
      <alignment vertical="center" wrapText="1"/>
    </xf>
    <xf numFmtId="49" fontId="48" fillId="0" borderId="52" xfId="556" applyNumberFormat="1" applyFont="1" applyBorder="1" applyAlignment="1">
      <alignment horizontal="center" vertical="center"/>
    </xf>
    <xf numFmtId="49" fontId="39" fillId="0" borderId="52" xfId="556" applyNumberFormat="1" applyFont="1" applyBorder="1" applyAlignment="1">
      <alignment horizontal="center" vertical="center"/>
    </xf>
    <xf numFmtId="0" fontId="98" fillId="0" borderId="39" xfId="556" applyFont="1" applyBorder="1" applyAlignment="1">
      <alignment horizontal="left" vertical="center" wrapText="1" indent="1"/>
    </xf>
    <xf numFmtId="49" fontId="39" fillId="0" borderId="67" xfId="556" applyNumberFormat="1" applyFont="1" applyBorder="1" applyAlignment="1">
      <alignment horizontal="center" vertical="center"/>
    </xf>
    <xf numFmtId="0" fontId="145" fillId="0" borderId="1" xfId="556" applyFont="1" applyBorder="1" applyAlignment="1">
      <alignment horizontal="left" vertical="center" wrapText="1"/>
    </xf>
    <xf numFmtId="49" fontId="48" fillId="0" borderId="41" xfId="556" applyNumberFormat="1" applyFont="1" applyBorder="1" applyAlignment="1">
      <alignment horizontal="center" vertical="center"/>
    </xf>
    <xf numFmtId="0" fontId="145" fillId="0" borderId="45" xfId="556" applyFont="1" applyBorder="1" applyAlignment="1">
      <alignment vertical="center" wrapText="1"/>
    </xf>
    <xf numFmtId="0" fontId="98" fillId="0" borderId="55" xfId="556" applyFont="1" applyBorder="1" applyAlignment="1">
      <alignment horizontal="center" vertical="center" wrapText="1"/>
    </xf>
    <xf numFmtId="49" fontId="48" fillId="0" borderId="68" xfId="556" applyNumberFormat="1" applyFont="1" applyBorder="1" applyAlignment="1">
      <alignment horizontal="center" vertical="center"/>
    </xf>
    <xf numFmtId="0" fontId="145" fillId="0" borderId="44" xfId="556" applyFont="1" applyBorder="1" applyAlignment="1">
      <alignment horizontal="left" vertical="center" wrapText="1"/>
    </xf>
    <xf numFmtId="0" fontId="98" fillId="0" borderId="46" xfId="556" applyFont="1" applyBorder="1" applyAlignment="1">
      <alignment horizontal="center" vertical="center" wrapText="1"/>
    </xf>
    <xf numFmtId="0" fontId="98" fillId="0" borderId="109" xfId="556" applyFont="1" applyBorder="1" applyAlignment="1">
      <alignment horizontal="center" vertical="center" wrapText="1"/>
    </xf>
    <xf numFmtId="0" fontId="43" fillId="0" borderId="1" xfId="240" applyFont="1" applyBorder="1" applyAlignment="1">
      <alignment vertical="center" wrapText="1"/>
    </xf>
    <xf numFmtId="49" fontId="48" fillId="0" borderId="53" xfId="556" applyNumberFormat="1" applyFont="1" applyBorder="1" applyAlignment="1">
      <alignment horizontal="center" vertical="center"/>
    </xf>
    <xf numFmtId="0" fontId="145" fillId="0" borderId="46" xfId="556" applyFont="1" applyBorder="1" applyAlignment="1">
      <alignment horizontal="center" vertical="center" wrapText="1"/>
    </xf>
    <xf numFmtId="49" fontId="48" fillId="0" borderId="42" xfId="556" applyNumberFormat="1" applyFont="1" applyBorder="1" applyAlignment="1">
      <alignment horizontal="center" vertical="center"/>
    </xf>
    <xf numFmtId="0" fontId="145" fillId="0" borderId="51" xfId="556" applyFont="1" applyBorder="1" applyAlignment="1">
      <alignment vertical="center" wrapText="1"/>
    </xf>
    <xf numFmtId="0" fontId="98" fillId="0" borderId="70" xfId="556" applyFont="1" applyBorder="1" applyAlignment="1">
      <alignment horizontal="center" vertical="center" wrapText="1"/>
    </xf>
    <xf numFmtId="0" fontId="38" fillId="0" borderId="39" xfId="0" applyFont="1" applyBorder="1" applyAlignment="1">
      <alignment vertical="center" wrapText="1"/>
    </xf>
    <xf numFmtId="0" fontId="38" fillId="0" borderId="51" xfId="240" applyFont="1" applyBorder="1" applyAlignment="1">
      <alignment vertical="center" wrapText="1"/>
    </xf>
    <xf numFmtId="0" fontId="38" fillId="0" borderId="41" xfId="0" applyFont="1" applyBorder="1" applyAlignment="1">
      <alignment vertical="center" wrapText="1"/>
    </xf>
    <xf numFmtId="0" fontId="43" fillId="0" borderId="42" xfId="240" applyFont="1" applyBorder="1" applyAlignment="1">
      <alignment vertical="center" wrapText="1"/>
    </xf>
    <xf numFmtId="0" fontId="38" fillId="0" borderId="39" xfId="240" applyFont="1" applyBorder="1" applyAlignment="1">
      <alignment vertical="center" wrapText="1"/>
    </xf>
    <xf numFmtId="0" fontId="38" fillId="0" borderId="41" xfId="240" applyFont="1" applyBorder="1" applyAlignment="1">
      <alignment vertical="center" wrapText="1"/>
    </xf>
    <xf numFmtId="0" fontId="43" fillId="0" borderId="39" xfId="0" applyFont="1" applyBorder="1" applyAlignment="1">
      <alignment vertical="center" wrapText="1"/>
    </xf>
    <xf numFmtId="0" fontId="38" fillId="0" borderId="28" xfId="0" applyFont="1" applyBorder="1"/>
    <xf numFmtId="0" fontId="43" fillId="0" borderId="39" xfId="240" applyFont="1" applyBorder="1" applyAlignment="1">
      <alignment vertical="center" wrapText="1"/>
    </xf>
    <xf numFmtId="0" fontId="43" fillId="0" borderId="41" xfId="240" applyFont="1" applyBorder="1" applyAlignment="1">
      <alignment vertical="center" wrapText="1"/>
    </xf>
    <xf numFmtId="0" fontId="43" fillId="0" borderId="69" xfId="240" applyFont="1" applyBorder="1" applyAlignment="1">
      <alignment vertical="center" wrapText="1"/>
    </xf>
    <xf numFmtId="0" fontId="38" fillId="0" borderId="7" xfId="240" applyFont="1" applyBorder="1" applyAlignment="1">
      <alignment vertical="center" wrapText="1"/>
    </xf>
    <xf numFmtId="0" fontId="43" fillId="0" borderId="7" xfId="240" applyFont="1" applyBorder="1" applyAlignment="1">
      <alignment vertical="center" wrapText="1"/>
    </xf>
    <xf numFmtId="0" fontId="43" fillId="0" borderId="7" xfId="0" applyFont="1" applyBorder="1" applyAlignment="1">
      <alignment vertical="center" wrapText="1"/>
    </xf>
    <xf numFmtId="0" fontId="38" fillId="0" borderId="7" xfId="0" applyFont="1" applyBorder="1" applyAlignment="1">
      <alignment vertical="center" wrapText="1"/>
    </xf>
    <xf numFmtId="0" fontId="38" fillId="0" borderId="0" xfId="0" applyFont="1"/>
    <xf numFmtId="0" fontId="43" fillId="0" borderId="78" xfId="240" applyFont="1" applyBorder="1" applyAlignment="1">
      <alignment vertical="center" wrapText="1"/>
    </xf>
    <xf numFmtId="0" fontId="43" fillId="0" borderId="57" xfId="0" applyFont="1" applyBorder="1" applyAlignment="1">
      <alignment vertical="center" wrapText="1"/>
    </xf>
    <xf numFmtId="49" fontId="48" fillId="0" borderId="37" xfId="556" applyNumberFormat="1" applyFont="1" applyBorder="1" applyAlignment="1">
      <alignment horizontal="center" vertical="center"/>
    </xf>
    <xf numFmtId="0" fontId="38" fillId="0" borderId="57" xfId="0" applyFont="1" applyBorder="1" applyAlignment="1">
      <alignment vertical="center" wrapText="1"/>
    </xf>
    <xf numFmtId="0" fontId="38" fillId="0" borderId="42" xfId="240" applyFont="1" applyBorder="1" applyAlignment="1">
      <alignment vertical="center" wrapText="1"/>
    </xf>
    <xf numFmtId="0" fontId="38" fillId="0" borderId="42" xfId="240" applyFont="1" applyBorder="1" applyAlignment="1">
      <alignment horizontal="left" vertical="center" wrapText="1" indent="1"/>
    </xf>
    <xf numFmtId="0" fontId="38" fillId="0" borderId="41" xfId="5" applyFont="1" applyBorder="1" applyAlignment="1">
      <alignment vertical="center" wrapText="1"/>
    </xf>
    <xf numFmtId="0" fontId="43" fillId="0" borderId="28" xfId="0" applyFont="1" applyBorder="1"/>
    <xf numFmtId="0" fontId="43" fillId="0" borderId="44" xfId="240" applyFont="1" applyBorder="1" applyAlignment="1">
      <alignment vertical="center" wrapText="1"/>
    </xf>
    <xf numFmtId="0" fontId="98" fillId="0" borderId="3" xfId="556" applyFont="1" applyBorder="1" applyAlignment="1">
      <alignment horizontal="center" vertical="center" wrapText="1"/>
    </xf>
    <xf numFmtId="49" fontId="98" fillId="0" borderId="39" xfId="556" applyNumberFormat="1" applyFont="1" applyBorder="1" applyAlignment="1">
      <alignment horizontal="center" vertical="center" wrapText="1"/>
    </xf>
    <xf numFmtId="0" fontId="47" fillId="0" borderId="40" xfId="556" applyFont="1" applyBorder="1" applyAlignment="1">
      <alignment horizontal="center" vertical="center" wrapText="1"/>
    </xf>
    <xf numFmtId="177" fontId="98" fillId="0" borderId="40" xfId="556" applyNumberFormat="1" applyFont="1" applyBorder="1" applyAlignment="1">
      <alignment horizontal="center" vertical="center" wrapText="1"/>
    </xf>
    <xf numFmtId="2" fontId="98" fillId="0" borderId="47" xfId="556" applyNumberFormat="1" applyFont="1" applyBorder="1" applyAlignment="1">
      <alignment horizontal="center" vertical="center" wrapText="1"/>
    </xf>
    <xf numFmtId="0" fontId="38" fillId="0" borderId="0" xfId="0" applyFont="1" applyAlignment="1">
      <alignment horizontal="center" vertical="center" wrapText="1"/>
    </xf>
    <xf numFmtId="49" fontId="47" fillId="0" borderId="1" xfId="240" applyNumberFormat="1" applyFont="1" applyBorder="1" applyAlignment="1">
      <alignment horizontal="right" vertical="center" wrapText="1"/>
    </xf>
    <xf numFmtId="0" fontId="47" fillId="0" borderId="1" xfId="240" applyFont="1" applyBorder="1" applyAlignment="1">
      <alignment vertical="center" wrapText="1"/>
    </xf>
    <xf numFmtId="0" fontId="47" fillId="0" borderId="1" xfId="240" applyFont="1" applyBorder="1" applyAlignment="1">
      <alignment horizontal="center" vertical="center" wrapText="1"/>
    </xf>
    <xf numFmtId="0" fontId="91" fillId="0" borderId="0" xfId="555" applyFont="1"/>
    <xf numFmtId="0" fontId="91" fillId="0" borderId="5" xfId="555" applyFont="1" applyBorder="1"/>
    <xf numFmtId="0" fontId="198" fillId="0" borderId="0" xfId="555" applyFont="1" applyAlignment="1">
      <alignment horizontal="center" vertical="top"/>
    </xf>
    <xf numFmtId="0" fontId="88" fillId="0" borderId="0" xfId="0" applyFont="1" applyAlignment="1">
      <alignment horizontal="center"/>
    </xf>
    <xf numFmtId="0" fontId="207" fillId="0" borderId="0" xfId="0" applyFont="1"/>
    <xf numFmtId="0" fontId="207" fillId="0" borderId="0" xfId="0" applyFont="1" applyAlignment="1">
      <alignment wrapText="1"/>
    </xf>
    <xf numFmtId="49" fontId="98" fillId="0" borderId="0" xfId="0" applyNumberFormat="1" applyFont="1"/>
    <xf numFmtId="0" fontId="98" fillId="0" borderId="0" xfId="0" applyFont="1"/>
    <xf numFmtId="2" fontId="98" fillId="0" borderId="0" xfId="0" applyNumberFormat="1" applyFont="1"/>
    <xf numFmtId="0" fontId="145" fillId="0" borderId="45" xfId="0" applyFont="1" applyBorder="1" applyAlignment="1">
      <alignment horizontal="center" vertical="center" wrapText="1"/>
    </xf>
    <xf numFmtId="1" fontId="98" fillId="0" borderId="57" xfId="0" applyNumberFormat="1" applyFont="1" applyBorder="1" applyAlignment="1">
      <alignment horizontal="center" vertical="top" wrapText="1"/>
    </xf>
    <xf numFmtId="1" fontId="98" fillId="0" borderId="58" xfId="0" applyNumberFormat="1" applyFont="1" applyBorder="1" applyAlignment="1">
      <alignment horizontal="center" vertical="top" wrapText="1"/>
    </xf>
    <xf numFmtId="49" fontId="145" fillId="0" borderId="39" xfId="0" applyNumberFormat="1" applyFont="1" applyBorder="1" applyAlignment="1">
      <alignment horizontal="center" vertical="top" wrapText="1"/>
    </xf>
    <xf numFmtId="0" fontId="145" fillId="0" borderId="1" xfId="0" applyFont="1" applyBorder="1" applyAlignment="1">
      <alignment horizontal="left" vertical="top" wrapText="1" indent="1"/>
    </xf>
    <xf numFmtId="0" fontId="145" fillId="0" borderId="1" xfId="0" applyFont="1" applyBorder="1" applyAlignment="1">
      <alignment horizontal="center" vertical="top" wrapText="1"/>
    </xf>
    <xf numFmtId="2" fontId="145" fillId="0" borderId="1" xfId="0" applyNumberFormat="1" applyFont="1" applyBorder="1" applyAlignment="1">
      <alignment horizontal="center" vertical="top" wrapText="1"/>
    </xf>
    <xf numFmtId="49" fontId="98" fillId="0" borderId="39" xfId="0" applyNumberFormat="1" applyFont="1" applyBorder="1" applyAlignment="1">
      <alignment horizontal="center" vertical="top" wrapText="1"/>
    </xf>
    <xf numFmtId="0" fontId="98" fillId="0" borderId="1" xfId="0" applyFont="1" applyBorder="1" applyAlignment="1">
      <alignment horizontal="left" vertical="top" wrapText="1" indent="1"/>
    </xf>
    <xf numFmtId="0" fontId="98" fillId="0" borderId="1" xfId="0" applyFont="1" applyBorder="1" applyAlignment="1">
      <alignment horizontal="center" vertical="top" wrapText="1"/>
    </xf>
    <xf numFmtId="2" fontId="98" fillId="0" borderId="1" xfId="0" applyNumberFormat="1" applyFont="1" applyBorder="1" applyAlignment="1">
      <alignment horizontal="center" vertical="top" wrapText="1"/>
    </xf>
    <xf numFmtId="0" fontId="98" fillId="0" borderId="79" xfId="0" applyFont="1" applyBorder="1" applyAlignment="1">
      <alignment horizontal="left" vertical="top" wrapText="1" indent="1"/>
    </xf>
    <xf numFmtId="10" fontId="98" fillId="0" borderId="1" xfId="0" applyNumberFormat="1" applyFont="1" applyBorder="1" applyAlignment="1">
      <alignment horizontal="center" vertical="top" wrapText="1"/>
    </xf>
    <xf numFmtId="49" fontId="98" fillId="0" borderId="41" xfId="0" applyNumberFormat="1" applyFont="1" applyBorder="1" applyAlignment="1">
      <alignment horizontal="center" vertical="top" wrapText="1"/>
    </xf>
    <xf numFmtId="2" fontId="98" fillId="0" borderId="79" xfId="0" applyNumberFormat="1" applyFont="1" applyBorder="1" applyAlignment="1">
      <alignment horizontal="center" vertical="top" wrapText="1"/>
    </xf>
    <xf numFmtId="0" fontId="98" fillId="0" borderId="58" xfId="0" applyFont="1" applyBorder="1" applyAlignment="1">
      <alignment horizontal="center" vertical="top" wrapText="1"/>
    </xf>
    <xf numFmtId="2" fontId="98" fillId="0" borderId="58" xfId="0" applyNumberFormat="1" applyFont="1" applyBorder="1" applyAlignment="1">
      <alignment horizontal="center" vertical="top" wrapText="1"/>
    </xf>
    <xf numFmtId="0" fontId="98" fillId="0" borderId="45" xfId="0" applyFont="1" applyBorder="1" applyAlignment="1">
      <alignment horizontal="center" vertical="top" wrapText="1"/>
    </xf>
    <xf numFmtId="2" fontId="98" fillId="0" borderId="45" xfId="0" applyNumberFormat="1" applyFont="1" applyBorder="1" applyAlignment="1">
      <alignment horizontal="center" vertical="top" wrapText="1"/>
    </xf>
    <xf numFmtId="0" fontId="98" fillId="0" borderId="3" xfId="0" applyFont="1" applyBorder="1" applyAlignment="1">
      <alignment horizontal="center" vertical="top" wrapText="1"/>
    </xf>
    <xf numFmtId="2" fontId="98" fillId="0" borderId="3" xfId="0" applyNumberFormat="1" applyFont="1" applyBorder="1" applyAlignment="1">
      <alignment horizontal="center" vertical="top" wrapText="1"/>
    </xf>
    <xf numFmtId="0" fontId="98" fillId="0" borderId="79" xfId="0" applyFont="1" applyBorder="1" applyAlignment="1">
      <alignment horizontal="center" vertical="top" wrapText="1"/>
    </xf>
    <xf numFmtId="2" fontId="98" fillId="0" borderId="1" xfId="0" applyNumberFormat="1" applyFont="1" applyBorder="1"/>
    <xf numFmtId="0" fontId="98" fillId="0" borderId="0" xfId="0" applyFont="1" applyAlignment="1">
      <alignment horizontal="center" vertical="top" wrapText="1"/>
    </xf>
    <xf numFmtId="0" fontId="98" fillId="0" borderId="5" xfId="0" applyFont="1" applyBorder="1" applyAlignment="1">
      <alignment horizontal="center" vertical="top" wrapText="1"/>
    </xf>
    <xf numFmtId="0" fontId="98" fillId="0" borderId="5" xfId="0" applyFont="1" applyBorder="1"/>
    <xf numFmtId="49" fontId="98" fillId="0" borderId="0" xfId="0" applyNumberFormat="1" applyFont="1" applyAlignment="1">
      <alignment vertical="top" wrapText="1"/>
    </xf>
    <xf numFmtId="0" fontId="98" fillId="0" borderId="0" xfId="0" applyFont="1" applyAlignment="1">
      <alignment horizontal="center" vertical="top"/>
    </xf>
    <xf numFmtId="0" fontId="98" fillId="0" borderId="0" xfId="0" applyFont="1" applyAlignment="1">
      <alignment vertical="top" wrapText="1"/>
    </xf>
    <xf numFmtId="2" fontId="145" fillId="0" borderId="58" xfId="0" applyNumberFormat="1" applyFont="1" applyBorder="1" applyAlignment="1">
      <alignment horizontal="center" vertical="top" wrapText="1"/>
    </xf>
    <xf numFmtId="0" fontId="98" fillId="0" borderId="39" xfId="0" applyFont="1" applyBorder="1" applyAlignment="1">
      <alignment horizontal="left" vertical="top" wrapText="1" indent="1"/>
    </xf>
    <xf numFmtId="2" fontId="102" fillId="0" borderId="0" xfId="0" applyNumberFormat="1" applyFont="1"/>
    <xf numFmtId="10" fontId="40" fillId="0" borderId="1" xfId="558" applyNumberFormat="1" applyFont="1" applyBorder="1"/>
    <xf numFmtId="2" fontId="141" fillId="0" borderId="0" xfId="0" applyNumberFormat="1" applyFont="1"/>
    <xf numFmtId="0" fontId="89" fillId="0" borderId="1" xfId="0" applyFont="1" applyBorder="1"/>
    <xf numFmtId="9" fontId="89" fillId="0" borderId="1" xfId="0" applyNumberFormat="1" applyFont="1" applyBorder="1"/>
    <xf numFmtId="176" fontId="98" fillId="0" borderId="0" xfId="558" applyNumberFormat="1" applyFont="1" applyFill="1"/>
    <xf numFmtId="0" fontId="98" fillId="0" borderId="0" xfId="0" applyFont="1" applyAlignment="1">
      <alignment horizontal="center" wrapText="1"/>
    </xf>
    <xf numFmtId="2" fontId="145" fillId="0" borderId="59" xfId="0" applyNumberFormat="1" applyFont="1" applyBorder="1" applyAlignment="1">
      <alignment horizontal="center" vertical="top" wrapText="1"/>
    </xf>
    <xf numFmtId="2" fontId="145" fillId="0" borderId="40" xfId="0" applyNumberFormat="1" applyFont="1" applyBorder="1" applyAlignment="1">
      <alignment horizontal="center" vertical="top" wrapText="1"/>
    </xf>
    <xf numFmtId="2" fontId="145" fillId="0" borderId="45" xfId="0" applyNumberFormat="1" applyFont="1" applyBorder="1" applyAlignment="1">
      <alignment horizontal="center" vertical="top" wrapText="1"/>
    </xf>
    <xf numFmtId="2" fontId="145" fillId="0" borderId="46" xfId="0" applyNumberFormat="1" applyFont="1" applyBorder="1" applyAlignment="1">
      <alignment horizontal="center" vertical="top" wrapText="1"/>
    </xf>
    <xf numFmtId="0" fontId="208" fillId="0" borderId="1" xfId="0" applyFont="1" applyBorder="1" applyAlignment="1">
      <alignment horizontal="right" vertical="top" wrapText="1" indent="1"/>
    </xf>
    <xf numFmtId="2" fontId="98" fillId="63" borderId="1" xfId="0" applyNumberFormat="1" applyFont="1" applyFill="1" applyBorder="1" applyAlignment="1">
      <alignment horizontal="center" vertical="top" wrapText="1"/>
    </xf>
    <xf numFmtId="0" fontId="98" fillId="0" borderId="102" xfId="116" applyFont="1" applyBorder="1" applyAlignment="1">
      <alignment horizontal="left" wrapText="1" indent="1"/>
    </xf>
    <xf numFmtId="49" fontId="98" fillId="0" borderId="88" xfId="0" applyNumberFormat="1" applyFont="1" applyBorder="1" applyAlignment="1">
      <alignment horizontal="center" vertical="top" wrapText="1"/>
    </xf>
    <xf numFmtId="49" fontId="98" fillId="0" borderId="52" xfId="0" applyNumberFormat="1" applyFont="1" applyBorder="1" applyAlignment="1">
      <alignment horizontal="center" vertical="top" wrapText="1"/>
    </xf>
    <xf numFmtId="49" fontId="98" fillId="0" borderId="37" xfId="0" applyNumberFormat="1" applyFont="1" applyBorder="1" applyAlignment="1">
      <alignment horizontal="center" vertical="top" wrapText="1"/>
    </xf>
    <xf numFmtId="49" fontId="145" fillId="0" borderId="52" xfId="0" applyNumberFormat="1" applyFont="1" applyBorder="1" applyAlignment="1">
      <alignment horizontal="center" vertical="top" wrapText="1"/>
    </xf>
    <xf numFmtId="49" fontId="98" fillId="0" borderId="53" xfId="0" applyNumberFormat="1" applyFont="1" applyBorder="1" applyAlignment="1">
      <alignment horizontal="center" vertical="top" wrapText="1"/>
    </xf>
    <xf numFmtId="0" fontId="98" fillId="0" borderId="57" xfId="0" applyFont="1" applyBorder="1" applyAlignment="1">
      <alignment horizontal="left" vertical="top" wrapText="1" indent="1"/>
    </xf>
    <xf numFmtId="0" fontId="98" fillId="0" borderId="42" xfId="0" applyFont="1" applyBorder="1" applyAlignment="1">
      <alignment horizontal="left" vertical="top" wrapText="1" indent="1"/>
    </xf>
    <xf numFmtId="2" fontId="98" fillId="0" borderId="43" xfId="0" applyNumberFormat="1" applyFont="1" applyBorder="1" applyAlignment="1">
      <alignment horizontal="center" vertical="top" wrapText="1"/>
    </xf>
    <xf numFmtId="0" fontId="145" fillId="0" borderId="39" xfId="0" applyFont="1" applyBorder="1" applyAlignment="1">
      <alignment horizontal="left" vertical="top" wrapText="1" indent="1"/>
    </xf>
    <xf numFmtId="0" fontId="98" fillId="0" borderId="44" xfId="0" applyFont="1" applyBorder="1" applyAlignment="1">
      <alignment horizontal="left" vertical="top" wrapText="1" indent="1"/>
    </xf>
    <xf numFmtId="2" fontId="145" fillId="59" borderId="1" xfId="0" applyNumberFormat="1" applyFont="1" applyFill="1" applyBorder="1" applyAlignment="1">
      <alignment horizontal="center" vertical="top" wrapText="1"/>
    </xf>
    <xf numFmtId="10" fontId="141" fillId="0" borderId="1" xfId="558" applyNumberFormat="1" applyFont="1" applyFill="1" applyBorder="1"/>
    <xf numFmtId="0" fontId="98" fillId="0" borderId="1" xfId="0" applyFont="1" applyBorder="1" applyAlignment="1">
      <alignment horizontal="center"/>
    </xf>
    <xf numFmtId="2" fontId="47" fillId="0" borderId="1" xfId="116" applyNumberFormat="1" applyFont="1" applyBorder="1"/>
    <xf numFmtId="0" fontId="47" fillId="0" borderId="1" xfId="116" applyFont="1" applyBorder="1"/>
    <xf numFmtId="2" fontId="92" fillId="0" borderId="0" xfId="116" applyNumberFormat="1" applyFont="1"/>
    <xf numFmtId="0" fontId="47" fillId="59" borderId="1" xfId="116" applyFont="1" applyFill="1" applyBorder="1" applyAlignment="1">
      <alignment horizontal="center" vertical="center"/>
    </xf>
    <xf numFmtId="0" fontId="98" fillId="73" borderId="0" xfId="116" applyFont="1" applyFill="1" applyAlignment="1">
      <alignment horizontal="center" vertical="center"/>
    </xf>
    <xf numFmtId="0" fontId="106" fillId="0" borderId="8" xfId="0" applyFont="1" applyBorder="1"/>
    <xf numFmtId="0" fontId="106" fillId="0" borderId="10" xfId="0" applyFont="1" applyBorder="1"/>
    <xf numFmtId="9" fontId="98" fillId="0" borderId="0" xfId="558" applyFont="1" applyFill="1"/>
    <xf numFmtId="10" fontId="98" fillId="0" borderId="1" xfId="558" applyNumberFormat="1" applyFont="1" applyFill="1" applyBorder="1"/>
    <xf numFmtId="2" fontId="98" fillId="70" borderId="58" xfId="0" applyNumberFormat="1" applyFont="1" applyFill="1" applyBorder="1" applyAlignment="1">
      <alignment horizontal="center" vertical="top" wrapText="1"/>
    </xf>
    <xf numFmtId="1" fontId="39" fillId="0" borderId="0" xfId="0" applyNumberFormat="1" applyFont="1"/>
    <xf numFmtId="0" fontId="209" fillId="0" borderId="0" xfId="0" applyFont="1"/>
    <xf numFmtId="0" fontId="96" fillId="0" borderId="3" xfId="0" applyFont="1" applyBorder="1" applyAlignment="1">
      <alignment vertical="center" wrapText="1"/>
    </xf>
    <xf numFmtId="0" fontId="106" fillId="0" borderId="69" xfId="0" applyFont="1" applyBorder="1" applyAlignment="1">
      <alignment vertical="center" wrapText="1"/>
    </xf>
    <xf numFmtId="0" fontId="96" fillId="0" borderId="3" xfId="0" applyFont="1" applyBorder="1"/>
    <xf numFmtId="0" fontId="96" fillId="0" borderId="69" xfId="0" applyFont="1" applyBorder="1"/>
    <xf numFmtId="0" fontId="207" fillId="0" borderId="69" xfId="0" applyFont="1" applyBorder="1" applyAlignment="1">
      <alignment horizontal="center" vertical="center" wrapText="1"/>
    </xf>
    <xf numFmtId="0" fontId="210" fillId="0" borderId="1" xfId="0" applyFont="1" applyBorder="1" applyAlignment="1">
      <alignment horizontal="center" vertical="center" wrapText="1"/>
    </xf>
    <xf numFmtId="0" fontId="210" fillId="0" borderId="69" xfId="0" applyFont="1" applyBorder="1" applyAlignment="1">
      <alignment horizontal="center" vertical="center" wrapText="1"/>
    </xf>
    <xf numFmtId="0" fontId="207" fillId="0" borderId="69" xfId="0" applyFont="1" applyBorder="1" applyAlignment="1">
      <alignment vertical="center" wrapText="1"/>
    </xf>
    <xf numFmtId="0" fontId="211" fillId="0" borderId="0" xfId="0" applyFont="1" applyAlignment="1">
      <alignment horizontal="left" vertical="center"/>
    </xf>
    <xf numFmtId="0" fontId="197" fillId="0" borderId="0" xfId="0" applyFont="1"/>
    <xf numFmtId="0" fontId="211" fillId="0" borderId="0" xfId="0" applyFont="1" applyAlignment="1">
      <alignment vertical="center"/>
    </xf>
    <xf numFmtId="0" fontId="207" fillId="0" borderId="1" xfId="0" applyFont="1" applyBorder="1" applyAlignment="1">
      <alignment horizontal="center" vertical="center" wrapText="1"/>
    </xf>
    <xf numFmtId="0" fontId="207" fillId="0" borderId="7" xfId="0" applyFont="1" applyBorder="1" applyAlignment="1">
      <alignment horizontal="center" vertical="center" wrapText="1"/>
    </xf>
    <xf numFmtId="0" fontId="102" fillId="0" borderId="7" xfId="0" applyFont="1" applyBorder="1" applyAlignment="1">
      <alignment horizontal="center" vertical="center" wrapText="1"/>
    </xf>
    <xf numFmtId="0" fontId="102" fillId="0" borderId="3" xfId="0" applyFont="1" applyBorder="1" applyAlignment="1">
      <alignment horizontal="center" vertical="center" wrapText="1"/>
    </xf>
    <xf numFmtId="0" fontId="102" fillId="0" borderId="69" xfId="0" applyFont="1" applyBorder="1" applyAlignment="1">
      <alignment horizontal="center" vertical="center" wrapText="1"/>
    </xf>
    <xf numFmtId="0" fontId="207" fillId="0" borderId="1" xfId="0" applyFont="1" applyBorder="1" applyAlignment="1">
      <alignment vertical="center" wrapText="1"/>
    </xf>
    <xf numFmtId="0" fontId="207" fillId="0" borderId="1" xfId="0" applyFont="1" applyBorder="1" applyAlignment="1">
      <alignment horizontal="left" wrapText="1" indent="1"/>
    </xf>
    <xf numFmtId="0" fontId="102" fillId="0" borderId="1" xfId="0" applyFont="1" applyBorder="1" applyAlignment="1">
      <alignment vertical="center" wrapText="1"/>
    </xf>
    <xf numFmtId="0" fontId="141" fillId="0" borderId="1" xfId="116" applyFont="1" applyBorder="1" applyAlignment="1">
      <alignment horizontal="left" wrapText="1" indent="1"/>
    </xf>
    <xf numFmtId="0" fontId="38" fillId="0" borderId="0" xfId="240" applyFont="1" applyAlignment="1">
      <alignment vertical="center" wrapText="1"/>
    </xf>
    <xf numFmtId="0" fontId="141" fillId="0" borderId="1" xfId="0" applyFont="1" applyBorder="1" applyAlignment="1">
      <alignment horizontal="left" wrapText="1" indent="1"/>
    </xf>
    <xf numFmtId="0" fontId="106" fillId="0" borderId="7" xfId="0" applyFont="1" applyBorder="1" applyAlignment="1">
      <alignment vertical="center" wrapText="1"/>
    </xf>
    <xf numFmtId="0" fontId="46" fillId="0" borderId="3" xfId="0" applyFont="1" applyBorder="1" applyAlignment="1">
      <alignment vertical="center" wrapText="1"/>
    </xf>
    <xf numFmtId="0" fontId="207" fillId="0" borderId="1" xfId="0" applyFont="1" applyBorder="1"/>
    <xf numFmtId="10" fontId="39" fillId="0" borderId="0" xfId="558" applyNumberFormat="1" applyFont="1"/>
    <xf numFmtId="0" fontId="36" fillId="0" borderId="1" xfId="0" applyFont="1" applyBorder="1" applyAlignment="1">
      <alignment horizontal="center" vertical="center" wrapText="1"/>
    </xf>
    <xf numFmtId="2" fontId="207" fillId="0" borderId="0" xfId="0" applyNumberFormat="1" applyFont="1"/>
    <xf numFmtId="0" fontId="106" fillId="0" borderId="33" xfId="0" applyFont="1" applyBorder="1" applyAlignment="1">
      <alignment horizontal="center" vertical="center" wrapText="1"/>
    </xf>
    <xf numFmtId="4" fontId="40" fillId="0" borderId="1" xfId="0" applyNumberFormat="1" applyFont="1" applyBorder="1" applyAlignment="1">
      <alignment horizontal="right" wrapText="1"/>
    </xf>
    <xf numFmtId="10" fontId="106" fillId="0" borderId="1" xfId="0" applyNumberFormat="1" applyFont="1" applyBorder="1" applyAlignment="1">
      <alignment horizontal="right" wrapText="1"/>
    </xf>
    <xf numFmtId="0" fontId="40" fillId="0" borderId="27" xfId="0" applyFont="1" applyBorder="1" applyAlignment="1">
      <alignment horizontal="center" vertical="center" wrapText="1"/>
    </xf>
    <xf numFmtId="0" fontId="106" fillId="0" borderId="1" xfId="0" applyFont="1" applyBorder="1" applyAlignment="1">
      <alignment horizontal="left" wrapText="1"/>
    </xf>
    <xf numFmtId="0" fontId="171" fillId="0" borderId="1" xfId="0" applyFont="1" applyBorder="1" applyAlignment="1">
      <alignment horizontal="center" wrapText="1"/>
    </xf>
    <xf numFmtId="0" fontId="106" fillId="0" borderId="1" xfId="0" applyFont="1" applyBorder="1" applyAlignment="1">
      <alignment horizontal="center" vertical="center" wrapText="1"/>
    </xf>
    <xf numFmtId="2" fontId="40" fillId="0" borderId="1" xfId="0" applyNumberFormat="1" applyFont="1" applyBorder="1" applyAlignment="1">
      <alignment horizontal="right" wrapText="1"/>
    </xf>
    <xf numFmtId="4" fontId="89" fillId="0" borderId="1" xfId="0" applyNumberFormat="1" applyFont="1" applyBorder="1" applyAlignment="1">
      <alignment horizontal="right" wrapText="1"/>
    </xf>
    <xf numFmtId="10" fontId="40" fillId="0" borderId="1" xfId="558" applyNumberFormat="1" applyFont="1" applyFill="1" applyBorder="1" applyAlignment="1">
      <alignment horizontal="right" wrapText="1"/>
    </xf>
    <xf numFmtId="10" fontId="40" fillId="0" borderId="1" xfId="558" applyNumberFormat="1" applyFont="1" applyFill="1" applyBorder="1" applyAlignment="1">
      <alignment horizontal="right"/>
    </xf>
    <xf numFmtId="4" fontId="106" fillId="0" borderId="1" xfId="0" applyNumberFormat="1" applyFont="1" applyBorder="1" applyAlignment="1">
      <alignment horizontal="right" wrapText="1"/>
    </xf>
    <xf numFmtId="0" fontId="40" fillId="0" borderId="0" xfId="240" applyFont="1" applyAlignment="1">
      <alignment horizontal="center"/>
    </xf>
    <xf numFmtId="0" fontId="37" fillId="0" borderId="0" xfId="240" applyFont="1" applyAlignment="1">
      <alignment horizontal="left" vertical="top" wrapText="1"/>
    </xf>
    <xf numFmtId="0" fontId="48" fillId="0" borderId="1" xfId="0" applyFont="1" applyBorder="1"/>
    <xf numFmtId="0" fontId="39" fillId="0" borderId="1" xfId="0" applyFont="1" applyBorder="1" applyAlignment="1">
      <alignment horizontal="right"/>
    </xf>
    <xf numFmtId="2" fontId="39" fillId="0" borderId="1" xfId="0" applyNumberFormat="1" applyFont="1" applyBorder="1"/>
    <xf numFmtId="0" fontId="48" fillId="0" borderId="1" xfId="0" applyFont="1" applyBorder="1" applyAlignment="1">
      <alignment horizontal="center" vertical="center"/>
    </xf>
    <xf numFmtId="2" fontId="48" fillId="0" borderId="1" xfId="0" applyNumberFormat="1" applyFont="1" applyBorder="1"/>
    <xf numFmtId="0" fontId="4" fillId="0" borderId="0" xfId="240" applyFont="1"/>
    <xf numFmtId="0" fontId="38" fillId="34" borderId="1" xfId="240" applyFont="1" applyFill="1" applyBorder="1" applyAlignment="1">
      <alignment horizontal="center" vertical="center" wrapText="1"/>
    </xf>
    <xf numFmtId="0" fontId="4" fillId="34" borderId="0" xfId="240" applyFont="1" applyFill="1"/>
    <xf numFmtId="49" fontId="37" fillId="0" borderId="10" xfId="240" applyNumberFormat="1" applyFont="1" applyBorder="1" applyAlignment="1">
      <alignment horizontal="center" vertical="center" wrapText="1"/>
    </xf>
    <xf numFmtId="4" fontId="0" fillId="0" borderId="1" xfId="0" applyNumberFormat="1" applyBorder="1"/>
    <xf numFmtId="49" fontId="4" fillId="0" borderId="0" xfId="240" applyNumberFormat="1" applyFont="1"/>
    <xf numFmtId="0" fontId="39" fillId="2" borderId="1" xfId="0" applyFont="1" applyFill="1" applyBorder="1"/>
    <xf numFmtId="0" fontId="39" fillId="2" borderId="8" xfId="0" applyFont="1" applyFill="1" applyBorder="1"/>
    <xf numFmtId="49" fontId="41" fillId="0" borderId="1" xfId="240" applyNumberFormat="1" applyFont="1" applyBorder="1" applyAlignment="1">
      <alignment horizontal="right" vertical="center" wrapText="1"/>
    </xf>
    <xf numFmtId="4" fontId="48" fillId="0" borderId="1" xfId="240" applyNumberFormat="1" applyFont="1" applyBorder="1" applyAlignment="1">
      <alignment horizontal="right" vertical="center" wrapText="1"/>
    </xf>
    <xf numFmtId="4" fontId="48" fillId="0" borderId="1" xfId="0" applyNumberFormat="1" applyFont="1" applyBorder="1" applyAlignment="1">
      <alignment horizontal="right" vertical="center"/>
    </xf>
    <xf numFmtId="49" fontId="37" fillId="0" borderId="1" xfId="240" applyNumberFormat="1" applyFont="1" applyBorder="1" applyAlignment="1">
      <alignment horizontal="right" vertical="center" wrapText="1"/>
    </xf>
    <xf numFmtId="0" fontId="138" fillId="0" borderId="0" xfId="0" applyFont="1" applyAlignment="1">
      <alignment horizontal="left"/>
    </xf>
    <xf numFmtId="0" fontId="138" fillId="0" borderId="9" xfId="0" applyFont="1" applyBorder="1" applyAlignment="1">
      <alignment horizontal="left" vertical="center"/>
    </xf>
    <xf numFmtId="0" fontId="138" fillId="0" borderId="7" xfId="0" applyFont="1" applyBorder="1" applyAlignment="1">
      <alignment horizontal="left" vertical="center"/>
    </xf>
    <xf numFmtId="4" fontId="197" fillId="0" borderId="1" xfId="0" applyNumberFormat="1" applyFont="1" applyBorder="1" applyAlignment="1">
      <alignment horizontal="right" vertical="center"/>
    </xf>
    <xf numFmtId="4" fontId="197" fillId="0" borderId="1" xfId="240" applyNumberFormat="1" applyFont="1" applyBorder="1" applyAlignment="1">
      <alignment horizontal="right" vertical="center" wrapText="1"/>
    </xf>
    <xf numFmtId="0" fontId="41" fillId="0" borderId="1" xfId="0" applyFont="1" applyBorder="1" applyAlignment="1">
      <alignment vertical="center" wrapText="1"/>
    </xf>
    <xf numFmtId="0" fontId="40" fillId="0" borderId="32" xfId="0" applyFont="1" applyBorder="1" applyAlignment="1">
      <alignment horizontal="center" vertical="center" wrapText="1"/>
    </xf>
    <xf numFmtId="0" fontId="89" fillId="0" borderId="30" xfId="0" applyFont="1" applyBorder="1" applyAlignment="1">
      <alignment vertical="center"/>
    </xf>
    <xf numFmtId="0" fontId="89" fillId="0" borderId="31" xfId="0" applyFont="1" applyBorder="1" applyAlignment="1">
      <alignment horizontal="center" wrapText="1"/>
    </xf>
    <xf numFmtId="0" fontId="40" fillId="0" borderId="33" xfId="0" applyFont="1" applyBorder="1"/>
    <xf numFmtId="2" fontId="0" fillId="0" borderId="1" xfId="0" applyNumberFormat="1" applyBorder="1"/>
    <xf numFmtId="2" fontId="0" fillId="0" borderId="40" xfId="0" applyNumberFormat="1" applyBorder="1"/>
    <xf numFmtId="0" fontId="155" fillId="0" borderId="98" xfId="547" applyFont="1" applyBorder="1" applyAlignment="1">
      <alignment horizontal="center" vertical="center" wrapText="1"/>
    </xf>
    <xf numFmtId="2" fontId="39" fillId="0" borderId="10" xfId="547" applyNumberFormat="1" applyFont="1" applyBorder="1" applyAlignment="1">
      <alignment horizontal="center"/>
    </xf>
    <xf numFmtId="2" fontId="39" fillId="0" borderId="8" xfId="547" applyNumberFormat="1" applyFont="1" applyBorder="1" applyAlignment="1">
      <alignment horizontal="center"/>
    </xf>
    <xf numFmtId="2" fontId="39" fillId="0" borderId="97" xfId="547" applyNumberFormat="1" applyFont="1" applyBorder="1" applyAlignment="1">
      <alignment horizontal="center"/>
    </xf>
    <xf numFmtId="4" fontId="154" fillId="2" borderId="6" xfId="533" applyNumberFormat="1" applyFont="1" applyFill="1" applyBorder="1" applyAlignment="1">
      <alignment horizontal="center" vertical="center" wrapText="1"/>
    </xf>
    <xf numFmtId="0" fontId="39" fillId="0" borderId="1" xfId="506" applyFont="1" applyBorder="1" applyAlignment="1">
      <alignment horizontal="center" vertical="center"/>
    </xf>
    <xf numFmtId="0" fontId="92" fillId="0" borderId="0" xfId="116" applyFont="1"/>
    <xf numFmtId="1" fontId="38" fillId="0" borderId="8" xfId="547" applyNumberFormat="1" applyFont="1" applyBorder="1" applyAlignment="1">
      <alignment horizontal="center"/>
    </xf>
    <xf numFmtId="1" fontId="40" fillId="0" borderId="8" xfId="547" applyNumberFormat="1" applyFont="1" applyBorder="1" applyAlignment="1">
      <alignment horizontal="center"/>
    </xf>
    <xf numFmtId="0" fontId="141" fillId="0" borderId="1" xfId="0" applyFont="1" applyBorder="1" applyAlignment="1">
      <alignment horizontal="left" wrapText="1"/>
    </xf>
    <xf numFmtId="0" fontId="98" fillId="0" borderId="1" xfId="0" applyFont="1" applyBorder="1" applyAlignment="1">
      <alignment horizontal="left" wrapText="1"/>
    </xf>
    <xf numFmtId="2" fontId="40" fillId="0" borderId="8" xfId="0" applyNumberFormat="1" applyFont="1" applyBorder="1" applyAlignment="1">
      <alignment vertical="center"/>
    </xf>
    <xf numFmtId="0" fontId="98" fillId="0" borderId="1" xfId="0" applyFont="1" applyBorder="1" applyAlignment="1">
      <alignment horizontal="left" vertical="top" wrapText="1"/>
    </xf>
    <xf numFmtId="0" fontId="98" fillId="0" borderId="7" xfId="0" applyFont="1" applyBorder="1" applyAlignment="1">
      <alignment horizontal="left" vertical="top" wrapText="1"/>
    </xf>
    <xf numFmtId="2" fontId="40" fillId="0" borderId="8" xfId="0" applyNumberFormat="1" applyFont="1" applyBorder="1" applyAlignment="1">
      <alignment vertical="top"/>
    </xf>
    <xf numFmtId="0" fontId="40" fillId="0" borderId="0" xfId="546" applyFont="1" applyAlignment="1">
      <alignment vertical="top"/>
    </xf>
    <xf numFmtId="4" fontId="47" fillId="0" borderId="0" xfId="116" applyNumberFormat="1" applyFont="1"/>
    <xf numFmtId="0" fontId="176" fillId="0" borderId="0" xfId="116" applyFont="1"/>
    <xf numFmtId="2" fontId="48" fillId="2" borderId="31" xfId="0" applyNumberFormat="1" applyFont="1" applyFill="1" applyBorder="1" applyAlignment="1">
      <alignment horizontal="center"/>
    </xf>
    <xf numFmtId="0" fontId="39" fillId="0" borderId="3" xfId="552" applyFont="1" applyBorder="1" applyAlignment="1">
      <alignment horizontal="center" vertical="center"/>
    </xf>
    <xf numFmtId="0" fontId="39" fillId="0" borderId="10" xfId="552" applyFont="1" applyBorder="1" applyAlignment="1">
      <alignment horizontal="center" vertical="center"/>
    </xf>
    <xf numFmtId="0" fontId="39" fillId="0" borderId="1" xfId="552" applyFont="1" applyBorder="1" applyAlignment="1">
      <alignment horizontal="center" vertical="center"/>
    </xf>
    <xf numFmtId="0" fontId="39" fillId="0" borderId="8" xfId="552" applyFont="1" applyBorder="1" applyAlignment="1">
      <alignment horizontal="center" vertical="center"/>
    </xf>
    <xf numFmtId="0" fontId="92" fillId="34" borderId="0" xfId="448" applyFont="1" applyFill="1"/>
    <xf numFmtId="0" fontId="39" fillId="0" borderId="1" xfId="506" applyFont="1" applyBorder="1" applyAlignment="1">
      <alignment horizontal="center" vertical="center" wrapText="1"/>
    </xf>
    <xf numFmtId="4" fontId="48" fillId="0" borderId="1" xfId="0" applyNumberFormat="1" applyFont="1" applyBorder="1"/>
    <xf numFmtId="192" fontId="39" fillId="0" borderId="1" xfId="0" applyNumberFormat="1" applyFont="1" applyBorder="1"/>
    <xf numFmtId="2" fontId="167" fillId="34" borderId="102" xfId="116" applyNumberFormat="1" applyFont="1" applyFill="1" applyBorder="1" applyAlignment="1">
      <alignment horizontal="right"/>
    </xf>
    <xf numFmtId="179" fontId="48" fillId="0" borderId="67" xfId="0" applyNumberFormat="1" applyFont="1" applyBorder="1"/>
    <xf numFmtId="0" fontId="15" fillId="0" borderId="0" xfId="555" applyAlignment="1">
      <alignment horizontal="left"/>
    </xf>
    <xf numFmtId="0" fontId="157" fillId="0" borderId="67" xfId="555" applyFont="1" applyBorder="1" applyAlignment="1">
      <alignment horizontal="left" vertical="top" wrapText="1"/>
    </xf>
    <xf numFmtId="0" fontId="157" fillId="0" borderId="68" xfId="555" applyFont="1" applyBorder="1" applyAlignment="1">
      <alignment horizontal="left" vertical="top" wrapText="1"/>
    </xf>
    <xf numFmtId="0" fontId="91" fillId="0" borderId="0" xfId="555" applyFont="1" applyAlignment="1">
      <alignment horizontal="left"/>
    </xf>
    <xf numFmtId="0" fontId="215" fillId="0" borderId="67" xfId="555" applyFont="1" applyBorder="1" applyAlignment="1">
      <alignment horizontal="center" vertical="top" wrapText="1"/>
    </xf>
    <xf numFmtId="0" fontId="215" fillId="0" borderId="67" xfId="555" applyFont="1" applyBorder="1" applyAlignment="1">
      <alignment vertical="top" wrapText="1"/>
    </xf>
    <xf numFmtId="0" fontId="215" fillId="0" borderId="67" xfId="555" applyFont="1" applyBorder="1" applyAlignment="1">
      <alignment horizontal="left" vertical="top" wrapText="1"/>
    </xf>
    <xf numFmtId="0" fontId="216" fillId="0" borderId="0" xfId="555" applyFont="1"/>
    <xf numFmtId="2" fontId="215" fillId="0" borderId="67" xfId="555" applyNumberFormat="1" applyFont="1" applyBorder="1" applyAlignment="1">
      <alignment vertical="top" wrapText="1"/>
    </xf>
    <xf numFmtId="179" fontId="48" fillId="0" borderId="0" xfId="0" applyNumberFormat="1" applyFont="1" applyAlignment="1">
      <alignment horizontal="center"/>
    </xf>
    <xf numFmtId="2" fontId="50" fillId="0" borderId="0" xfId="6" applyNumberFormat="1" applyFont="1" applyAlignment="1">
      <alignment horizontal="center" vertical="center" wrapText="1"/>
    </xf>
    <xf numFmtId="0" fontId="40" fillId="0" borderId="1" xfId="0" applyFont="1" applyBorder="1" applyAlignment="1">
      <alignment horizontal="center" vertical="center"/>
    </xf>
    <xf numFmtId="4" fontId="40" fillId="0" borderId="1" xfId="0" applyNumberFormat="1" applyFont="1" applyBorder="1"/>
    <xf numFmtId="0" fontId="92" fillId="0" borderId="1" xfId="6" applyFont="1" applyBorder="1" applyAlignment="1">
      <alignment horizontal="center" vertical="center" wrapText="1"/>
    </xf>
    <xf numFmtId="0" fontId="218" fillId="0" borderId="1" xfId="6" applyFont="1" applyBorder="1" applyAlignment="1">
      <alignment horizontal="center" vertical="center" wrapText="1"/>
    </xf>
    <xf numFmtId="0" fontId="89" fillId="0" borderId="1" xfId="0" applyFont="1" applyBorder="1" applyAlignment="1">
      <alignment horizontal="center" vertical="center" wrapText="1"/>
    </xf>
    <xf numFmtId="0" fontId="171" fillId="0" borderId="1" xfId="0" applyFont="1" applyBorder="1" applyAlignment="1">
      <alignment horizontal="center" vertical="center" wrapText="1"/>
    </xf>
    <xf numFmtId="0" fontId="40" fillId="0" borderId="8" xfId="0" applyFont="1" applyBorder="1"/>
    <xf numFmtId="181" fontId="106" fillId="0" borderId="1" xfId="0" applyNumberFormat="1" applyFont="1" applyBorder="1"/>
    <xf numFmtId="179" fontId="40" fillId="0" borderId="1" xfId="0" applyNumberFormat="1" applyFont="1" applyBorder="1"/>
    <xf numFmtId="179" fontId="89" fillId="0" borderId="1" xfId="0" applyNumberFormat="1" applyFont="1" applyBorder="1"/>
    <xf numFmtId="179" fontId="89" fillId="0" borderId="8" xfId="0" applyNumberFormat="1" applyFont="1" applyBorder="1"/>
    <xf numFmtId="181" fontId="89" fillId="0" borderId="8" xfId="0" applyNumberFormat="1" applyFont="1" applyBorder="1"/>
    <xf numFmtId="2" fontId="40" fillId="0" borderId="0" xfId="0" applyNumberFormat="1" applyFont="1"/>
    <xf numFmtId="0" fontId="106" fillId="0" borderId="0" xfId="0" applyFont="1"/>
    <xf numFmtId="4" fontId="89" fillId="0" borderId="1" xfId="0" applyNumberFormat="1" applyFont="1" applyBorder="1"/>
    <xf numFmtId="0" fontId="219" fillId="0" borderId="3" xfId="6" applyFont="1" applyBorder="1" applyAlignment="1">
      <alignment horizontal="center" vertical="center" wrapText="1"/>
    </xf>
    <xf numFmtId="2" fontId="222" fillId="0" borderId="1" xfId="6" applyNumberFormat="1" applyFont="1" applyBorder="1" applyAlignment="1">
      <alignment horizontal="center" vertical="center"/>
    </xf>
    <xf numFmtId="2" fontId="225" fillId="0" borderId="0" xfId="6" applyNumberFormat="1" applyFont="1"/>
    <xf numFmtId="2" fontId="39" fillId="0" borderId="0" xfId="6" applyNumberFormat="1" applyFont="1"/>
    <xf numFmtId="0" fontId="39" fillId="0" borderId="0" xfId="6" applyFont="1"/>
    <xf numFmtId="4" fontId="170" fillId="34" borderId="60" xfId="134" applyNumberFormat="1" applyFont="1" applyFill="1" applyBorder="1" applyAlignment="1">
      <alignment horizontal="center" vertical="center"/>
    </xf>
    <xf numFmtId="4" fontId="170" fillId="34" borderId="61" xfId="134" applyNumberFormat="1" applyFont="1" applyFill="1" applyBorder="1" applyAlignment="1">
      <alignment horizontal="right" vertical="center"/>
    </xf>
    <xf numFmtId="4" fontId="170" fillId="34" borderId="69" xfId="134" applyNumberFormat="1" applyFont="1" applyFill="1" applyBorder="1" applyAlignment="1">
      <alignment horizontal="right" vertical="center"/>
    </xf>
    <xf numFmtId="4" fontId="170" fillId="34" borderId="3" xfId="134" applyNumberFormat="1" applyFont="1" applyFill="1" applyBorder="1" applyAlignment="1">
      <alignment horizontal="right" vertical="center"/>
    </xf>
    <xf numFmtId="4" fontId="170" fillId="34" borderId="39" xfId="134" applyNumberFormat="1" applyFont="1" applyFill="1" applyBorder="1" applyAlignment="1">
      <alignment horizontal="right"/>
    </xf>
    <xf numFmtId="4" fontId="170" fillId="34" borderId="41" xfId="134" applyNumberFormat="1" applyFont="1" applyFill="1" applyBorder="1" applyAlignment="1">
      <alignment horizontal="right" vertical="center"/>
    </xf>
    <xf numFmtId="4" fontId="170" fillId="34" borderId="44" xfId="134" applyNumberFormat="1" applyFont="1" applyFill="1" applyBorder="1" applyAlignment="1">
      <alignment horizontal="right" vertical="center"/>
    </xf>
    <xf numFmtId="4" fontId="170" fillId="34" borderId="79" xfId="134" applyNumberFormat="1" applyFont="1" applyFill="1" applyBorder="1" applyAlignment="1">
      <alignment horizontal="right" vertical="center"/>
    </xf>
    <xf numFmtId="4" fontId="170" fillId="34" borderId="60" xfId="134" applyNumberFormat="1" applyFont="1" applyFill="1" applyBorder="1" applyAlignment="1">
      <alignment horizontal="right" vertical="center"/>
    </xf>
    <xf numFmtId="4" fontId="170" fillId="34" borderId="62" xfId="134" applyNumberFormat="1" applyFont="1" applyFill="1" applyBorder="1" applyAlignment="1">
      <alignment horizontal="center" vertical="center"/>
    </xf>
    <xf numFmtId="4" fontId="170" fillId="34" borderId="63" xfId="134" applyNumberFormat="1" applyFont="1" applyFill="1" applyBorder="1" applyAlignment="1">
      <alignment horizontal="right" vertical="center"/>
    </xf>
    <xf numFmtId="4" fontId="170" fillId="34" borderId="61" xfId="134" applyNumberFormat="1" applyFont="1" applyFill="1" applyBorder="1" applyAlignment="1">
      <alignment horizontal="center" vertical="center"/>
    </xf>
    <xf numFmtId="0" fontId="179" fillId="34" borderId="43" xfId="134" applyFont="1" applyFill="1" applyBorder="1" applyAlignment="1">
      <alignment horizontal="center" wrapText="1"/>
    </xf>
    <xf numFmtId="0" fontId="179" fillId="34" borderId="46" xfId="134" applyFont="1" applyFill="1" applyBorder="1" applyAlignment="1">
      <alignment horizontal="center" wrapText="1"/>
    </xf>
    <xf numFmtId="189" fontId="50" fillId="34" borderId="54" xfId="444" applyNumberFormat="1" applyFont="1" applyFill="1" applyBorder="1" applyAlignment="1">
      <alignment horizontal="right" vertical="center"/>
    </xf>
    <xf numFmtId="189" fontId="50" fillId="34" borderId="44" xfId="444" applyNumberFormat="1" applyFont="1" applyFill="1" applyBorder="1" applyAlignment="1">
      <alignment horizontal="right" vertical="center"/>
    </xf>
    <xf numFmtId="4" fontId="170" fillId="34" borderId="40" xfId="444" applyNumberFormat="1" applyFont="1" applyFill="1" applyBorder="1" applyAlignment="1">
      <alignment horizontal="right" vertical="center"/>
    </xf>
    <xf numFmtId="4" fontId="170" fillId="34" borderId="39" xfId="444" applyNumberFormat="1" applyFont="1" applyFill="1" applyBorder="1" applyAlignment="1">
      <alignment horizontal="right" vertical="center"/>
    </xf>
    <xf numFmtId="4" fontId="170" fillId="71" borderId="40" xfId="444" applyNumberFormat="1" applyFont="1" applyFill="1" applyBorder="1" applyAlignment="1">
      <alignment horizontal="right" vertical="center"/>
    </xf>
    <xf numFmtId="4" fontId="170" fillId="68" borderId="40" xfId="444" applyNumberFormat="1" applyFont="1" applyFill="1" applyBorder="1" applyAlignment="1">
      <alignment horizontal="right" vertical="center"/>
    </xf>
    <xf numFmtId="3" fontId="170" fillId="34" borderId="60" xfId="134" applyNumberFormat="1" applyFont="1" applyFill="1" applyBorder="1" applyAlignment="1">
      <alignment horizontal="right" vertical="center"/>
    </xf>
    <xf numFmtId="4" fontId="170" fillId="34" borderId="62" xfId="134" applyNumberFormat="1" applyFont="1" applyFill="1" applyBorder="1" applyAlignment="1">
      <alignment horizontal="right" vertical="center"/>
    </xf>
    <xf numFmtId="0" fontId="179" fillId="0" borderId="40" xfId="134" applyFont="1" applyBorder="1" applyAlignment="1">
      <alignment horizontal="right" wrapText="1"/>
    </xf>
    <xf numFmtId="0" fontId="179" fillId="64" borderId="40" xfId="134" applyFont="1" applyFill="1" applyBorder="1" applyAlignment="1">
      <alignment horizontal="right" wrapText="1"/>
    </xf>
    <xf numFmtId="0" fontId="179" fillId="64" borderId="47" xfId="134" applyFont="1" applyFill="1" applyBorder="1" applyAlignment="1">
      <alignment horizontal="right" wrapText="1"/>
    </xf>
    <xf numFmtId="4" fontId="170" fillId="34" borderId="39" xfId="134" applyNumberFormat="1" applyFont="1" applyFill="1" applyBorder="1" applyAlignment="1">
      <alignment vertical="center"/>
    </xf>
    <xf numFmtId="4" fontId="163" fillId="0" borderId="28" xfId="134" applyNumberFormat="1" applyFont="1" applyBorder="1" applyAlignment="1">
      <alignment vertical="center"/>
    </xf>
    <xf numFmtId="0" fontId="163" fillId="0" borderId="0" xfId="134" applyFont="1" applyAlignment="1">
      <alignment vertical="center"/>
    </xf>
    <xf numFmtId="0" fontId="163" fillId="0" borderId="28" xfId="134" applyFont="1" applyBorder="1" applyAlignment="1">
      <alignment vertical="center"/>
    </xf>
    <xf numFmtId="2" fontId="163" fillId="0" borderId="28" xfId="134" applyNumberFormat="1" applyFont="1" applyBorder="1" applyAlignment="1">
      <alignment vertical="center"/>
    </xf>
    <xf numFmtId="2" fontId="163" fillId="0" borderId="0" xfId="134" applyNumberFormat="1" applyFont="1" applyAlignment="1">
      <alignment vertical="center"/>
    </xf>
    <xf numFmtId="0" fontId="47" fillId="0" borderId="0" xfId="134" applyFont="1"/>
    <xf numFmtId="0" fontId="179" fillId="0" borderId="0" xfId="134" applyFont="1"/>
    <xf numFmtId="0" fontId="146" fillId="0" borderId="0" xfId="134" applyFont="1"/>
    <xf numFmtId="189" fontId="146" fillId="0" borderId="0" xfId="134" applyNumberFormat="1" applyFont="1"/>
    <xf numFmtId="190" fontId="47" fillId="0" borderId="0" xfId="134" applyNumberFormat="1" applyFont="1"/>
    <xf numFmtId="4" fontId="50" fillId="0" borderId="0" xfId="134" applyNumberFormat="1" applyFont="1"/>
    <xf numFmtId="190" fontId="146" fillId="0" borderId="0" xfId="134" applyNumberFormat="1" applyFont="1"/>
    <xf numFmtId="4" fontId="47" fillId="0" borderId="0" xfId="134" applyNumberFormat="1" applyFont="1"/>
    <xf numFmtId="191" fontId="146" fillId="0" borderId="0" xfId="134" applyNumberFormat="1" applyFont="1"/>
    <xf numFmtId="0" fontId="146" fillId="3" borderId="0" xfId="134" applyFont="1" applyFill="1"/>
    <xf numFmtId="0" fontId="50" fillId="0" borderId="0" xfId="134" applyFont="1"/>
    <xf numFmtId="0" fontId="47" fillId="34" borderId="0" xfId="134" applyFont="1" applyFill="1"/>
    <xf numFmtId="0" fontId="47" fillId="64" borderId="0" xfId="134" applyFont="1" applyFill="1"/>
    <xf numFmtId="0" fontId="146" fillId="64" borderId="0" xfId="134" applyFont="1" applyFill="1"/>
    <xf numFmtId="4" fontId="154" fillId="64" borderId="0" xfId="134" applyNumberFormat="1" applyFont="1" applyFill="1" applyAlignment="1">
      <alignment wrapText="1"/>
    </xf>
    <xf numFmtId="0" fontId="154" fillId="64" borderId="0" xfId="134" applyFont="1" applyFill="1" applyAlignment="1">
      <alignment wrapText="1"/>
    </xf>
    <xf numFmtId="0" fontId="179" fillId="64" borderId="0" xfId="134" applyFont="1" applyFill="1"/>
    <xf numFmtId="4" fontId="98" fillId="0" borderId="0" xfId="134" applyNumberFormat="1" applyFont="1"/>
    <xf numFmtId="0" fontId="98" fillId="0" borderId="0" xfId="134" applyFont="1"/>
    <xf numFmtId="0" fontId="226" fillId="0" borderId="0" xfId="134" applyFont="1"/>
    <xf numFmtId="0" fontId="227" fillId="0" borderId="0" xfId="134" applyFont="1"/>
    <xf numFmtId="191" fontId="47" fillId="0" borderId="0" xfId="134" applyNumberFormat="1" applyFont="1" applyAlignment="1">
      <alignment vertical="center"/>
    </xf>
    <xf numFmtId="0" fontId="170" fillId="0" borderId="39" xfId="134" applyFont="1" applyBorder="1" applyAlignment="1">
      <alignment horizontal="center" wrapText="1"/>
    </xf>
    <xf numFmtId="0" fontId="170" fillId="0" borderId="40" xfId="134" applyFont="1" applyBorder="1" applyAlignment="1">
      <alignment horizontal="center" wrapText="1"/>
    </xf>
    <xf numFmtId="0" fontId="47" fillId="0" borderId="46" xfId="134" applyFont="1" applyBorder="1" applyAlignment="1">
      <alignment horizontal="center" vertical="center"/>
    </xf>
    <xf numFmtId="0" fontId="141" fillId="0" borderId="44" xfId="134" applyFont="1" applyBorder="1" applyAlignment="1">
      <alignment horizontal="center" vertical="center"/>
    </xf>
    <xf numFmtId="4" fontId="170" fillId="34" borderId="42" xfId="134" applyNumberFormat="1" applyFont="1" applyFill="1" applyBorder="1" applyAlignment="1">
      <alignment horizontal="right" vertical="center"/>
    </xf>
    <xf numFmtId="4" fontId="170" fillId="34" borderId="38" xfId="134" applyNumberFormat="1" applyFont="1" applyFill="1" applyBorder="1" applyAlignment="1">
      <alignment horizontal="right" vertical="center"/>
    </xf>
    <xf numFmtId="4" fontId="170" fillId="34" borderId="39" xfId="134" applyNumberFormat="1" applyFont="1" applyFill="1" applyBorder="1" applyAlignment="1">
      <alignment horizontal="right" vertical="center"/>
    </xf>
    <xf numFmtId="4" fontId="170" fillId="34" borderId="40" xfId="134" applyNumberFormat="1" applyFont="1" applyFill="1" applyBorder="1" applyAlignment="1">
      <alignment horizontal="right"/>
    </xf>
    <xf numFmtId="4" fontId="170" fillId="34" borderId="47" xfId="134" applyNumberFormat="1" applyFont="1" applyFill="1" applyBorder="1" applyAlignment="1">
      <alignment horizontal="right" vertical="center"/>
    </xf>
    <xf numFmtId="4" fontId="170" fillId="64" borderId="40" xfId="444" applyNumberFormat="1" applyFont="1" applyFill="1" applyBorder="1" applyAlignment="1">
      <alignment horizontal="right" vertical="center"/>
    </xf>
    <xf numFmtId="4" fontId="170" fillId="34" borderId="42" xfId="444" applyNumberFormat="1" applyFont="1" applyFill="1" applyBorder="1" applyAlignment="1">
      <alignment horizontal="right" vertical="center"/>
    </xf>
    <xf numFmtId="4" fontId="170" fillId="34" borderId="37" xfId="444" applyNumberFormat="1" applyFont="1" applyFill="1" applyBorder="1" applyAlignment="1">
      <alignment horizontal="right" vertical="center"/>
    </xf>
    <xf numFmtId="4" fontId="50" fillId="34" borderId="44" xfId="444" applyNumberFormat="1" applyFont="1" applyFill="1" applyBorder="1" applyAlignment="1">
      <alignment horizontal="right" vertical="center"/>
    </xf>
    <xf numFmtId="4" fontId="50" fillId="34" borderId="46" xfId="444" applyNumberFormat="1" applyFont="1" applyFill="1" applyBorder="1" applyAlignment="1">
      <alignment horizontal="right" vertical="center"/>
    </xf>
    <xf numFmtId="0" fontId="170" fillId="64" borderId="61" xfId="134" applyFont="1" applyFill="1" applyBorder="1" applyAlignment="1">
      <alignment horizontal="left" vertical="center" wrapText="1"/>
    </xf>
    <xf numFmtId="0" fontId="170" fillId="64" borderId="3" xfId="134" applyFont="1" applyFill="1" applyBorder="1" applyAlignment="1">
      <alignment horizontal="left" vertical="center" wrapText="1"/>
    </xf>
    <xf numFmtId="0" fontId="170" fillId="0" borderId="1" xfId="134" applyFont="1" applyBorder="1" applyAlignment="1">
      <alignment horizontal="left" vertical="center" wrapText="1"/>
    </xf>
    <xf numFmtId="0" fontId="170" fillId="0" borderId="79" xfId="134" applyFont="1" applyBorder="1" applyAlignment="1">
      <alignment horizontal="left" vertical="center" wrapText="1"/>
    </xf>
    <xf numFmtId="0" fontId="170" fillId="0" borderId="61" xfId="134" applyFont="1" applyBorder="1" applyAlignment="1">
      <alignment horizontal="left" vertical="center" wrapText="1"/>
    </xf>
    <xf numFmtId="0" fontId="170" fillId="64" borderId="1" xfId="134" applyFont="1" applyFill="1" applyBorder="1" applyAlignment="1">
      <alignment horizontal="left" wrapText="1"/>
    </xf>
    <xf numFmtId="0" fontId="170" fillId="69" borderId="39" xfId="134" applyFont="1" applyFill="1" applyBorder="1" applyAlignment="1">
      <alignment horizontal="left" wrapText="1"/>
    </xf>
    <xf numFmtId="0" fontId="170" fillId="0" borderId="39" xfId="134" applyFont="1" applyBorder="1" applyAlignment="1">
      <alignment horizontal="left" wrapText="1"/>
    </xf>
    <xf numFmtId="0" fontId="182" fillId="64" borderId="39" xfId="134" applyFont="1" applyFill="1" applyBorder="1" applyAlignment="1">
      <alignment horizontal="left" wrapText="1"/>
    </xf>
    <xf numFmtId="0" fontId="170" fillId="70" borderId="39" xfId="134" applyFont="1" applyFill="1" applyBorder="1" applyAlignment="1">
      <alignment horizontal="left" wrapText="1"/>
    </xf>
    <xf numFmtId="0" fontId="170" fillId="64" borderId="39" xfId="134" applyFont="1" applyFill="1" applyBorder="1" applyAlignment="1">
      <alignment horizontal="left" wrapText="1"/>
    </xf>
    <xf numFmtId="0" fontId="170" fillId="64" borderId="41" xfId="134" applyFont="1" applyFill="1" applyBorder="1" applyAlignment="1">
      <alignment horizontal="left" wrapText="1"/>
    </xf>
    <xf numFmtId="0" fontId="147" fillId="64" borderId="1" xfId="134" applyFont="1" applyFill="1" applyBorder="1" applyAlignment="1">
      <alignment horizontal="left" wrapText="1"/>
    </xf>
    <xf numFmtId="0" fontId="170" fillId="34" borderId="3" xfId="134" applyFont="1" applyFill="1" applyBorder="1" applyAlignment="1">
      <alignment horizontal="left" wrapText="1"/>
    </xf>
    <xf numFmtId="0" fontId="170" fillId="34" borderId="45" xfId="134" applyFont="1" applyFill="1" applyBorder="1" applyAlignment="1">
      <alignment horizontal="left" wrapText="1"/>
    </xf>
    <xf numFmtId="0" fontId="47" fillId="0" borderId="0" xfId="134" applyFont="1" applyAlignment="1">
      <alignment horizontal="center" vertical="center"/>
    </xf>
    <xf numFmtId="0" fontId="146" fillId="0" borderId="0" xfId="134" applyFont="1" applyAlignment="1">
      <alignment horizontal="center" vertical="center"/>
    </xf>
    <xf numFmtId="0" fontId="170" fillId="64" borderId="60" xfId="134" applyFont="1" applyFill="1" applyBorder="1" applyAlignment="1">
      <alignment horizontal="center" vertical="center" wrapText="1"/>
    </xf>
    <xf numFmtId="0" fontId="170" fillId="68" borderId="42" xfId="134" applyFont="1" applyFill="1" applyBorder="1" applyAlignment="1">
      <alignment horizontal="center" vertical="center" wrapText="1"/>
    </xf>
    <xf numFmtId="0" fontId="170" fillId="0" borderId="41" xfId="134" applyFont="1" applyBorder="1" applyAlignment="1">
      <alignment horizontal="center" vertical="center" wrapText="1"/>
    </xf>
    <xf numFmtId="0" fontId="170" fillId="68" borderId="41" xfId="134" applyFont="1" applyFill="1" applyBorder="1" applyAlignment="1">
      <alignment horizontal="center" vertical="center" wrapText="1"/>
    </xf>
    <xf numFmtId="0" fontId="170" fillId="0" borderId="60" xfId="134" applyFont="1" applyBorder="1" applyAlignment="1">
      <alignment horizontal="center" vertical="center" wrapText="1"/>
    </xf>
    <xf numFmtId="16" fontId="170" fillId="64" borderId="39" xfId="134" applyNumberFormat="1" applyFont="1" applyFill="1" applyBorder="1" applyAlignment="1">
      <alignment horizontal="center" vertical="center" wrapText="1"/>
    </xf>
    <xf numFmtId="0" fontId="147" fillId="64" borderId="39" xfId="134" applyFont="1" applyFill="1" applyBorder="1" applyAlignment="1">
      <alignment horizontal="center" vertical="center" wrapText="1"/>
    </xf>
    <xf numFmtId="0" fontId="170" fillId="34" borderId="42" xfId="134" applyFont="1" applyFill="1" applyBorder="1" applyAlignment="1">
      <alignment horizontal="center" vertical="center" wrapText="1"/>
    </xf>
    <xf numFmtId="0" fontId="170" fillId="34" borderId="44" xfId="134" applyFont="1" applyFill="1" applyBorder="1" applyAlignment="1">
      <alignment horizontal="center" vertical="center" wrapText="1"/>
    </xf>
    <xf numFmtId="0" fontId="170" fillId="64" borderId="57" xfId="134" applyFont="1" applyFill="1" applyBorder="1" applyAlignment="1">
      <alignment horizontal="center" vertical="center" wrapText="1"/>
    </xf>
    <xf numFmtId="0" fontId="170" fillId="64" borderId="39" xfId="134" applyFont="1" applyFill="1" applyBorder="1" applyAlignment="1">
      <alignment horizontal="center" vertical="center" wrapText="1"/>
    </xf>
    <xf numFmtId="0" fontId="50" fillId="64" borderId="44" xfId="134" applyFont="1" applyFill="1" applyBorder="1" applyAlignment="1">
      <alignment horizontal="center" vertical="center"/>
    </xf>
    <xf numFmtId="0" fontId="47" fillId="64" borderId="0" xfId="134" applyFont="1" applyFill="1" applyAlignment="1">
      <alignment horizontal="center" vertical="center"/>
    </xf>
    <xf numFmtId="170" fontId="154" fillId="31" borderId="6" xfId="533" applyNumberFormat="1" applyFont="1" applyFill="1" applyBorder="1" applyAlignment="1">
      <alignment horizontal="center" vertical="center" wrapText="1"/>
    </xf>
    <xf numFmtId="0" fontId="0" fillId="0" borderId="1" xfId="0" applyBorder="1" applyAlignment="1">
      <alignment horizontal="center" vertical="center"/>
    </xf>
    <xf numFmtId="0" fontId="185" fillId="0" borderId="0" xfId="0" applyFont="1" applyAlignment="1">
      <alignment horizontal="center" vertical="center"/>
    </xf>
    <xf numFmtId="0" fontId="145" fillId="0" borderId="8" xfId="0" applyFont="1" applyBorder="1" applyAlignment="1">
      <alignment horizontal="center" vertical="top" wrapText="1"/>
    </xf>
    <xf numFmtId="4" fontId="89" fillId="0" borderId="1" xfId="0" applyNumberFormat="1" applyFont="1" applyBorder="1" applyAlignment="1">
      <alignment horizontal="center" vertical="center"/>
    </xf>
    <xf numFmtId="4" fontId="40" fillId="0" borderId="1" xfId="0" applyNumberFormat="1" applyFont="1" applyBorder="1" applyAlignment="1">
      <alignment horizontal="center" vertical="center"/>
    </xf>
    <xf numFmtId="0" fontId="98" fillId="0" borderId="8" xfId="0" applyFont="1" applyBorder="1" applyAlignment="1">
      <alignment horizontal="center" vertical="top" wrapText="1"/>
    </xf>
    <xf numFmtId="49" fontId="145" fillId="0" borderId="1" xfId="0" applyNumberFormat="1" applyFont="1" applyBorder="1" applyAlignment="1">
      <alignment horizontal="center" vertical="top" wrapText="1"/>
    </xf>
    <xf numFmtId="49" fontId="98" fillId="0" borderId="1" xfId="0" applyNumberFormat="1" applyFont="1" applyBorder="1" applyAlignment="1">
      <alignment horizontal="center" vertical="top" wrapText="1"/>
    </xf>
    <xf numFmtId="3" fontId="40" fillId="0" borderId="1" xfId="0" applyNumberFormat="1" applyFont="1" applyBorder="1" applyAlignment="1">
      <alignment horizontal="center" vertical="center"/>
    </xf>
    <xf numFmtId="0" fontId="145" fillId="0" borderId="97" xfId="0" applyFont="1" applyBorder="1" applyAlignment="1">
      <alignment horizontal="center" vertical="top" wrapText="1"/>
    </xf>
    <xf numFmtId="4" fontId="217" fillId="0" borderId="1" xfId="0" applyNumberFormat="1" applyFont="1" applyBorder="1" applyAlignment="1">
      <alignment horizontal="center" vertical="center"/>
    </xf>
    <xf numFmtId="49" fontId="145" fillId="0" borderId="41" xfId="0" applyNumberFormat="1" applyFont="1" applyBorder="1" applyAlignment="1">
      <alignment horizontal="center" vertical="top" wrapText="1"/>
    </xf>
    <xf numFmtId="0" fontId="145" fillId="0" borderId="10" xfId="0" applyFont="1" applyBorder="1" applyAlignment="1">
      <alignment horizontal="center" vertical="top" wrapText="1"/>
    </xf>
    <xf numFmtId="49" fontId="145" fillId="0" borderId="77" xfId="0" applyNumberFormat="1" applyFont="1" applyBorder="1" applyAlignment="1">
      <alignment horizontal="right" vertical="top" wrapText="1"/>
    </xf>
    <xf numFmtId="0" fontId="145" fillId="0" borderId="1" xfId="0" applyFont="1" applyBorder="1" applyAlignment="1">
      <alignment vertical="top" wrapText="1"/>
    </xf>
    <xf numFmtId="0" fontId="98" fillId="0" borderId="1" xfId="0" applyFont="1" applyBorder="1" applyAlignment="1">
      <alignment vertical="top" wrapText="1"/>
    </xf>
    <xf numFmtId="0" fontId="208" fillId="0" borderId="1" xfId="0" applyFont="1" applyBorder="1" applyAlignment="1">
      <alignment vertical="top" wrapText="1"/>
    </xf>
    <xf numFmtId="3" fontId="102" fillId="0" borderId="1" xfId="0" applyNumberFormat="1" applyFont="1" applyBorder="1" applyAlignment="1">
      <alignment horizontal="center" vertical="center"/>
    </xf>
    <xf numFmtId="1" fontId="170" fillId="0" borderId="57" xfId="0" applyNumberFormat="1" applyFont="1" applyBorder="1" applyAlignment="1">
      <alignment horizontal="center" vertical="center" wrapText="1"/>
    </xf>
    <xf numFmtId="1" fontId="170" fillId="0" borderId="58" xfId="0" applyNumberFormat="1" applyFont="1" applyBorder="1" applyAlignment="1">
      <alignment horizontal="center" vertical="center" wrapText="1"/>
    </xf>
    <xf numFmtId="0" fontId="39" fillId="0" borderId="0" xfId="0" applyFont="1" applyAlignment="1">
      <alignment horizontal="center" vertical="center"/>
    </xf>
    <xf numFmtId="0" fontId="229" fillId="0" borderId="0" xfId="0" applyFont="1"/>
    <xf numFmtId="0" fontId="145" fillId="0" borderId="1" xfId="116" applyFont="1" applyBorder="1" applyAlignment="1">
      <alignment horizontal="center" vertical="center" wrapText="1"/>
    </xf>
    <xf numFmtId="0" fontId="145" fillId="0" borderId="1" xfId="116" applyFont="1" applyBorder="1" applyAlignment="1">
      <alignment vertical="justify" wrapText="1"/>
    </xf>
    <xf numFmtId="0" fontId="145" fillId="0" borderId="1" xfId="116" applyFont="1" applyBorder="1" applyAlignment="1">
      <alignment horizontal="left" vertical="justify" wrapText="1"/>
    </xf>
    <xf numFmtId="0" fontId="98" fillId="0" borderId="1" xfId="116" applyFont="1" applyBorder="1" applyAlignment="1">
      <alignment horizontal="left" wrapText="1" indent="1"/>
    </xf>
    <xf numFmtId="0" fontId="145" fillId="0" borderId="1" xfId="116" applyFont="1" applyBorder="1" applyAlignment="1">
      <alignment horizontal="left" wrapText="1"/>
    </xf>
    <xf numFmtId="0" fontId="98" fillId="0" borderId="1" xfId="116" applyFont="1" applyBorder="1" applyAlignment="1">
      <alignment horizontal="right" wrapText="1" indent="2"/>
    </xf>
    <xf numFmtId="0" fontId="98" fillId="0" borderId="1" xfId="116" applyFont="1" applyBorder="1" applyAlignment="1">
      <alignment horizontal="left" vertical="justify" wrapText="1" indent="1"/>
    </xf>
    <xf numFmtId="0" fontId="98" fillId="0" borderId="1" xfId="116" applyFont="1" applyBorder="1" applyAlignment="1">
      <alignment horizontal="left" vertical="center" wrapText="1" indent="1"/>
    </xf>
    <xf numFmtId="0" fontId="98" fillId="0" borderId="1" xfId="116" applyFont="1" applyBorder="1" applyAlignment="1">
      <alignment horizontal="left" wrapText="1" indent="2"/>
    </xf>
    <xf numFmtId="0" fontId="98" fillId="0" borderId="1" xfId="116" applyFont="1" applyBorder="1" applyAlignment="1">
      <alignment horizontal="left" vertical="justify" indent="1"/>
    </xf>
    <xf numFmtId="0" fontId="145" fillId="0" borderId="1" xfId="116" applyFont="1" applyBorder="1" applyAlignment="1">
      <alignment horizontal="left" vertical="center" wrapText="1"/>
    </xf>
    <xf numFmtId="0" fontId="39" fillId="0" borderId="0" xfId="0" applyFont="1" applyAlignment="1">
      <alignment horizontal="left" vertical="center"/>
    </xf>
    <xf numFmtId="2" fontId="40" fillId="0" borderId="1" xfId="0" applyNumberFormat="1" applyFont="1" applyBorder="1"/>
    <xf numFmtId="0" fontId="145" fillId="0" borderId="79" xfId="116" applyFont="1" applyBorder="1" applyAlignment="1">
      <alignment horizontal="center" vertical="center" wrapText="1"/>
    </xf>
    <xf numFmtId="0" fontId="145" fillId="0" borderId="3" xfId="116" applyFont="1" applyBorder="1" applyAlignment="1">
      <alignment horizontal="center" vertical="center" wrapText="1"/>
    </xf>
    <xf numFmtId="0" fontId="96" fillId="0" borderId="0" xfId="0" applyFont="1"/>
    <xf numFmtId="2" fontId="154" fillId="31" borderId="89" xfId="533" applyNumberFormat="1" applyFont="1" applyFill="1" applyBorder="1" applyAlignment="1">
      <alignment horizontal="center" vertical="center" wrapText="1"/>
    </xf>
    <xf numFmtId="0" fontId="207" fillId="0" borderId="0" xfId="506" applyFont="1"/>
    <xf numFmtId="4" fontId="207" fillId="0" borderId="0" xfId="506" applyNumberFormat="1" applyFont="1"/>
    <xf numFmtId="0" fontId="31" fillId="0" borderId="0" xfId="0" applyFont="1"/>
    <xf numFmtId="0" fontId="40" fillId="0" borderId="0" xfId="0" applyFont="1" applyAlignment="1">
      <alignment wrapText="1"/>
    </xf>
    <xf numFmtId="0" fontId="40" fillId="0" borderId="1" xfId="0" applyFont="1" applyBorder="1" applyAlignment="1">
      <alignment vertical="top" wrapText="1"/>
    </xf>
    <xf numFmtId="0" fontId="196" fillId="0" borderId="0" xfId="0" applyFont="1"/>
    <xf numFmtId="0" fontId="40" fillId="0" borderId="8" xfId="0" applyFont="1" applyBorder="1" applyAlignment="1">
      <alignment wrapText="1"/>
    </xf>
    <xf numFmtId="0" fontId="196" fillId="0" borderId="0" xfId="0" applyFont="1" applyAlignment="1">
      <alignment wrapText="1"/>
    </xf>
    <xf numFmtId="0" fontId="40" fillId="0" borderId="8" xfId="0" applyFont="1" applyBorder="1" applyAlignment="1">
      <alignment horizontal="center" vertical="center" wrapText="1"/>
    </xf>
    <xf numFmtId="0" fontId="196" fillId="0" borderId="0" xfId="0" applyFont="1" applyAlignment="1">
      <alignment horizontal="center" vertical="center" wrapText="1"/>
    </xf>
    <xf numFmtId="0" fontId="196" fillId="0" borderId="0" xfId="0" applyFont="1" applyAlignment="1">
      <alignment horizontal="center" vertical="center"/>
    </xf>
    <xf numFmtId="0" fontId="38" fillId="0" borderId="1" xfId="0" applyFont="1" applyBorder="1" applyAlignment="1">
      <alignment horizontal="center" vertical="center" wrapText="1"/>
    </xf>
    <xf numFmtId="0" fontId="89" fillId="0" borderId="1" xfId="0" applyFont="1" applyBorder="1" applyAlignment="1">
      <alignment wrapText="1"/>
    </xf>
    <xf numFmtId="0" fontId="196" fillId="0" borderId="0" xfId="547" applyFont="1"/>
    <xf numFmtId="0" fontId="196" fillId="0" borderId="0" xfId="552" applyFont="1"/>
    <xf numFmtId="0" fontId="39" fillId="0" borderId="1" xfId="0" applyFont="1" applyBorder="1" applyAlignment="1">
      <alignment vertical="center"/>
    </xf>
    <xf numFmtId="0" fontId="89" fillId="0" borderId="0" xfId="552" applyFont="1" applyAlignment="1">
      <alignment horizontal="center"/>
    </xf>
    <xf numFmtId="0" fontId="38" fillId="0" borderId="45" xfId="547" applyFont="1" applyBorder="1" applyAlignment="1">
      <alignment horizontal="center" vertical="center" wrapText="1"/>
    </xf>
    <xf numFmtId="0" fontId="38" fillId="0" borderId="45" xfId="547" applyFont="1" applyBorder="1" applyAlignment="1">
      <alignment vertical="top" wrapText="1"/>
    </xf>
    <xf numFmtId="0" fontId="158" fillId="0" borderId="45" xfId="547" applyFont="1" applyBorder="1" applyAlignment="1">
      <alignment horizontal="center" vertical="center" wrapText="1"/>
    </xf>
    <xf numFmtId="0" fontId="158" fillId="64" borderId="55" xfId="547" applyFont="1" applyFill="1" applyBorder="1" applyAlignment="1">
      <alignment horizontal="center" vertical="center" wrapText="1"/>
    </xf>
    <xf numFmtId="0" fontId="185" fillId="0" borderId="0" xfId="547" applyFont="1"/>
    <xf numFmtId="4" fontId="98" fillId="0" borderId="1" xfId="0" applyNumberFormat="1" applyFont="1" applyBorder="1"/>
    <xf numFmtId="4" fontId="40" fillId="0" borderId="1" xfId="0" applyNumberFormat="1" applyFont="1" applyBorder="1" applyAlignment="1">
      <alignment vertical="center"/>
    </xf>
    <xf numFmtId="0" fontId="196" fillId="0" borderId="0" xfId="0" applyFont="1" applyAlignment="1">
      <alignment vertical="center"/>
    </xf>
    <xf numFmtId="0" fontId="40" fillId="0" borderId="0" xfId="0" applyFont="1" applyAlignment="1">
      <alignment vertical="center"/>
    </xf>
    <xf numFmtId="0" fontId="48" fillId="0" borderId="0" xfId="0" applyFont="1" applyAlignment="1">
      <alignment wrapText="1"/>
    </xf>
    <xf numFmtId="0" fontId="39" fillId="0" borderId="1" xfId="0" applyFont="1" applyBorder="1" applyAlignment="1">
      <alignment horizontal="center" vertical="center"/>
    </xf>
    <xf numFmtId="0" fontId="39" fillId="0" borderId="0" xfId="0" applyFont="1" applyAlignment="1">
      <alignment horizontal="left"/>
    </xf>
    <xf numFmtId="0" fontId="0" fillId="0" borderId="0" xfId="0" applyAlignment="1">
      <alignment horizontal="center" vertical="center"/>
    </xf>
    <xf numFmtId="16" fontId="0" fillId="0" borderId="0" xfId="0" applyNumberFormat="1" applyAlignment="1">
      <alignment horizontal="center" vertical="center"/>
    </xf>
    <xf numFmtId="0" fontId="31" fillId="0" borderId="0" xfId="0" applyFont="1" applyAlignment="1">
      <alignment horizontal="center" vertical="center"/>
    </xf>
    <xf numFmtId="0" fontId="102" fillId="0" borderId="1" xfId="0" applyFont="1" applyBorder="1" applyAlignment="1">
      <alignment vertical="top" wrapText="1"/>
    </xf>
    <xf numFmtId="4" fontId="102" fillId="0" borderId="1" xfId="0" applyNumberFormat="1" applyFont="1" applyBorder="1"/>
    <xf numFmtId="0" fontId="218" fillId="0" borderId="0" xfId="0" applyFont="1"/>
    <xf numFmtId="0" fontId="102" fillId="0" borderId="0" xfId="0" applyFont="1"/>
    <xf numFmtId="2" fontId="48" fillId="32" borderId="6" xfId="0" applyNumberFormat="1" applyFont="1" applyFill="1" applyBorder="1" applyAlignment="1">
      <alignment horizontal="center" vertical="center" wrapText="1"/>
    </xf>
    <xf numFmtId="0" fontId="231" fillId="0" borderId="0" xfId="0" applyFont="1"/>
    <xf numFmtId="0" fontId="0" fillId="0" borderId="0" xfId="0" applyAlignment="1">
      <alignment wrapText="1"/>
    </xf>
    <xf numFmtId="4" fontId="161" fillId="0" borderId="1" xfId="506" applyNumberFormat="1" applyFont="1" applyBorder="1" applyAlignment="1" applyProtection="1">
      <alignment horizontal="right" vertical="center" wrapText="1"/>
      <protection hidden="1"/>
    </xf>
    <xf numFmtId="4" fontId="172" fillId="0" borderId="1" xfId="506" applyNumberFormat="1" applyFont="1" applyBorder="1" applyAlignment="1" applyProtection="1">
      <alignment horizontal="right" vertical="center" wrapText="1"/>
      <protection hidden="1"/>
    </xf>
    <xf numFmtId="2" fontId="98" fillId="2" borderId="1" xfId="0" applyNumberFormat="1" applyFont="1" applyFill="1" applyBorder="1" applyAlignment="1">
      <alignment horizontal="center" vertical="top" wrapText="1"/>
    </xf>
    <xf numFmtId="0" fontId="38" fillId="0" borderId="1" xfId="0" applyFont="1" applyBorder="1" applyAlignment="1">
      <alignment wrapText="1"/>
    </xf>
    <xf numFmtId="0" fontId="106" fillId="0" borderId="30" xfId="0" applyFont="1" applyBorder="1" applyAlignment="1">
      <alignment vertical="center" wrapText="1"/>
    </xf>
    <xf numFmtId="0" fontId="40" fillId="0" borderId="6" xfId="0" applyFont="1" applyBorder="1" applyAlignment="1">
      <alignment horizontal="center" vertical="center" wrapText="1"/>
    </xf>
    <xf numFmtId="0" fontId="40" fillId="0" borderId="6" xfId="0" applyFont="1" applyBorder="1" applyAlignment="1">
      <alignment vertical="center"/>
    </xf>
    <xf numFmtId="4" fontId="197" fillId="0" borderId="0" xfId="506" applyNumberFormat="1" applyFont="1"/>
    <xf numFmtId="0" fontId="38" fillId="0" borderId="0" xfId="506" applyFont="1" applyAlignment="1">
      <alignment vertical="center" wrapText="1"/>
    </xf>
    <xf numFmtId="0" fontId="161" fillId="0" borderId="0" xfId="506" applyFont="1" applyAlignment="1">
      <alignment vertical="center"/>
    </xf>
    <xf numFmtId="0" fontId="228" fillId="0" borderId="0" xfId="0" applyFont="1"/>
    <xf numFmtId="9" fontId="40" fillId="0" borderId="0" xfId="558" applyFont="1"/>
    <xf numFmtId="3" fontId="170" fillId="34" borderId="6" xfId="134" applyNumberFormat="1" applyFont="1" applyFill="1" applyBorder="1" applyAlignment="1">
      <alignment horizontal="right" vertical="center"/>
    </xf>
    <xf numFmtId="4" fontId="170" fillId="34" borderId="40" xfId="134" applyNumberFormat="1" applyFont="1" applyFill="1" applyBorder="1" applyAlignment="1">
      <alignment vertical="center"/>
    </xf>
    <xf numFmtId="4" fontId="170" fillId="34" borderId="46" xfId="134" applyNumberFormat="1" applyFont="1" applyFill="1" applyBorder="1" applyAlignment="1">
      <alignment horizontal="right" vertical="center"/>
    </xf>
    <xf numFmtId="4" fontId="170" fillId="34" borderId="7" xfId="134" applyNumberFormat="1" applyFont="1" applyFill="1" applyBorder="1" applyAlignment="1">
      <alignment horizontal="center" vertical="center"/>
    </xf>
    <xf numFmtId="0" fontId="141" fillId="0" borderId="3" xfId="134" applyFont="1" applyBorder="1" applyAlignment="1">
      <alignment horizontal="center" vertical="center"/>
    </xf>
    <xf numFmtId="0" fontId="47" fillId="0" borderId="10" xfId="134" applyFont="1" applyBorder="1" applyAlignment="1">
      <alignment horizontal="center" vertical="center"/>
    </xf>
    <xf numFmtId="4" fontId="170" fillId="34" borderId="43" xfId="134" applyNumberFormat="1" applyFont="1" applyFill="1" applyBorder="1" applyAlignment="1">
      <alignment horizontal="right" vertical="center"/>
    </xf>
    <xf numFmtId="4" fontId="170" fillId="34" borderId="78" xfId="134" applyNumberFormat="1" applyFont="1" applyFill="1" applyBorder="1" applyAlignment="1">
      <alignment horizontal="right" vertical="center"/>
    </xf>
    <xf numFmtId="4" fontId="170" fillId="34" borderId="63" xfId="134" applyNumberFormat="1" applyFont="1" applyFill="1" applyBorder="1" applyAlignment="1">
      <alignment horizontal="center" vertical="center"/>
    </xf>
    <xf numFmtId="4" fontId="170" fillId="34" borderId="39" xfId="134" applyNumberFormat="1" applyFont="1" applyFill="1" applyBorder="1" applyAlignment="1">
      <alignment horizontal="center" vertical="center"/>
    </xf>
    <xf numFmtId="4" fontId="170" fillId="34" borderId="40" xfId="134" applyNumberFormat="1" applyFont="1" applyFill="1" applyBorder="1" applyAlignment="1">
      <alignment horizontal="center" vertical="center"/>
    </xf>
    <xf numFmtId="0" fontId="196" fillId="0" borderId="0" xfId="552" applyFont="1" applyAlignment="1">
      <alignment vertical="center"/>
    </xf>
    <xf numFmtId="2" fontId="98" fillId="0" borderId="0" xfId="116" applyNumberFormat="1" applyFont="1" applyAlignment="1">
      <alignment horizontal="left" vertical="center"/>
    </xf>
    <xf numFmtId="0" fontId="141" fillId="0" borderId="0" xfId="552" applyFont="1"/>
    <xf numFmtId="0" fontId="39" fillId="0" borderId="0" xfId="552" applyFont="1" applyAlignment="1">
      <alignment vertical="center"/>
    </xf>
    <xf numFmtId="0" fontId="39" fillId="59" borderId="0" xfId="552" applyFont="1" applyFill="1"/>
    <xf numFmtId="0" fontId="172" fillId="0" borderId="0" xfId="552" applyFont="1"/>
    <xf numFmtId="0" fontId="145" fillId="64" borderId="0" xfId="552" applyFont="1" applyFill="1"/>
    <xf numFmtId="0" fontId="98" fillId="64" borderId="0" xfId="552" applyFont="1" applyFill="1"/>
    <xf numFmtId="0" fontId="233" fillId="0" borderId="26" xfId="0" applyFont="1" applyBorder="1"/>
    <xf numFmtId="0" fontId="233" fillId="0" borderId="34" xfId="0" applyFont="1" applyBorder="1"/>
    <xf numFmtId="2" fontId="233" fillId="81" borderId="27" xfId="0" applyNumberFormat="1" applyFont="1" applyFill="1" applyBorder="1" applyAlignment="1">
      <alignment horizontal="center"/>
    </xf>
    <xf numFmtId="0" fontId="161" fillId="0" borderId="0" xfId="0" applyFont="1"/>
    <xf numFmtId="0" fontId="235" fillId="0" borderId="28" xfId="0" applyFont="1" applyBorder="1" applyAlignment="1">
      <alignment horizontal="left" indent="8"/>
    </xf>
    <xf numFmtId="0" fontId="232" fillId="0" borderId="0" xfId="0" applyFont="1"/>
    <xf numFmtId="0" fontId="161" fillId="0" borderId="24" xfId="0" applyFont="1" applyBorder="1"/>
    <xf numFmtId="0" fontId="161" fillId="0" borderId="35" xfId="0" applyFont="1" applyBorder="1"/>
    <xf numFmtId="0" fontId="161" fillId="0" borderId="56" xfId="0" applyFont="1" applyBorder="1"/>
    <xf numFmtId="0" fontId="161" fillId="0" borderId="26" xfId="552" applyFont="1" applyBorder="1"/>
    <xf numFmtId="0" fontId="161" fillId="0" borderId="34" xfId="552" applyFont="1" applyBorder="1"/>
    <xf numFmtId="0" fontId="161" fillId="0" borderId="27" xfId="552" applyFont="1" applyBorder="1"/>
    <xf numFmtId="0" fontId="161" fillId="0" borderId="29" xfId="552" applyFont="1" applyBorder="1"/>
    <xf numFmtId="0" fontId="172" fillId="0" borderId="35" xfId="552" applyFont="1" applyBorder="1"/>
    <xf numFmtId="2" fontId="172" fillId="0" borderId="56" xfId="552" applyNumberFormat="1" applyFont="1" applyBorder="1"/>
    <xf numFmtId="0" fontId="161" fillId="0" borderId="26" xfId="0" applyFont="1" applyBorder="1" applyAlignment="1">
      <alignment horizontal="center"/>
    </xf>
    <xf numFmtId="0" fontId="161" fillId="0" borderId="34" xfId="0" applyFont="1" applyBorder="1"/>
    <xf numFmtId="0" fontId="161" fillId="0" borderId="28" xfId="0" applyFont="1" applyBorder="1" applyAlignment="1">
      <alignment horizontal="left"/>
    </xf>
    <xf numFmtId="0" fontId="161" fillId="0" borderId="28" xfId="0" applyFont="1" applyBorder="1"/>
    <xf numFmtId="0" fontId="161" fillId="0" borderId="28" xfId="0" applyFont="1" applyBorder="1" applyAlignment="1">
      <alignment horizontal="left" indent="5"/>
    </xf>
    <xf numFmtId="0" fontId="161" fillId="0" borderId="29" xfId="0" applyFont="1" applyBorder="1" applyAlignment="1">
      <alignment horizontal="left" indent="5"/>
    </xf>
    <xf numFmtId="0" fontId="161" fillId="0" borderId="28" xfId="552" applyFont="1" applyBorder="1"/>
    <xf numFmtId="0" fontId="161" fillId="0" borderId="24" xfId="552" applyFont="1" applyBorder="1"/>
    <xf numFmtId="0" fontId="237" fillId="0" borderId="0" xfId="0" applyFont="1"/>
    <xf numFmtId="1" fontId="39" fillId="31" borderId="1" xfId="0" applyNumberFormat="1" applyFont="1" applyFill="1" applyBorder="1" applyAlignment="1">
      <alignment horizontal="right" vertical="center"/>
    </xf>
    <xf numFmtId="4" fontId="39" fillId="31" borderId="1" xfId="0" applyNumberFormat="1" applyFont="1" applyFill="1" applyBorder="1" applyAlignment="1">
      <alignment horizontal="right" vertical="center"/>
    </xf>
    <xf numFmtId="4" fontId="39" fillId="31" borderId="8" xfId="0" applyNumberFormat="1" applyFont="1" applyFill="1" applyBorder="1" applyAlignment="1">
      <alignment horizontal="right" vertical="center"/>
    </xf>
    <xf numFmtId="0" fontId="39" fillId="31" borderId="1" xfId="552" applyFont="1" applyFill="1" applyBorder="1" applyAlignment="1">
      <alignment vertical="center"/>
    </xf>
    <xf numFmtId="0" fontId="39" fillId="31" borderId="40" xfId="552" applyFont="1" applyFill="1" applyBorder="1" applyAlignment="1">
      <alignment vertical="center"/>
    </xf>
    <xf numFmtId="0" fontId="39" fillId="31" borderId="4" xfId="552" applyFont="1" applyFill="1" applyBorder="1" applyAlignment="1">
      <alignment vertical="center"/>
    </xf>
    <xf numFmtId="0" fontId="39" fillId="31" borderId="25" xfId="552" applyFont="1" applyFill="1" applyBorder="1" applyAlignment="1">
      <alignment vertical="center"/>
    </xf>
    <xf numFmtId="1" fontId="39" fillId="31" borderId="3" xfId="0" applyNumberFormat="1" applyFont="1" applyFill="1" applyBorder="1" applyAlignment="1">
      <alignment horizontal="right" vertical="center"/>
    </xf>
    <xf numFmtId="4" fontId="39" fillId="31" borderId="3" xfId="0" applyNumberFormat="1" applyFont="1" applyFill="1" applyBorder="1" applyAlignment="1">
      <alignment horizontal="right" vertical="center"/>
    </xf>
    <xf numFmtId="4" fontId="39" fillId="31" borderId="10" xfId="0" applyNumberFormat="1" applyFont="1" applyFill="1" applyBorder="1" applyAlignment="1">
      <alignment horizontal="right" vertical="center"/>
    </xf>
    <xf numFmtId="1" fontId="39" fillId="34" borderId="1" xfId="0" applyNumberFormat="1" applyFont="1" applyFill="1" applyBorder="1" applyAlignment="1">
      <alignment horizontal="right" vertical="center"/>
    </xf>
    <xf numFmtId="4" fontId="39" fillId="34" borderId="1" xfId="0" applyNumberFormat="1" applyFont="1" applyFill="1" applyBorder="1" applyAlignment="1">
      <alignment horizontal="right" vertical="center"/>
    </xf>
    <xf numFmtId="4" fontId="39" fillId="34" borderId="8" xfId="0" applyNumberFormat="1" applyFont="1" applyFill="1" applyBorder="1" applyAlignment="1">
      <alignment horizontal="right" vertical="center"/>
    </xf>
    <xf numFmtId="0" fontId="196" fillId="0" borderId="0" xfId="546" applyFont="1"/>
    <xf numFmtId="1" fontId="196" fillId="0" borderId="0" xfId="552" applyNumberFormat="1" applyFont="1"/>
    <xf numFmtId="0" fontId="98" fillId="0" borderId="1" xfId="546" applyFont="1" applyBorder="1" applyAlignment="1">
      <alignment horizontal="left" vertical="top"/>
    </xf>
    <xf numFmtId="4" fontId="98" fillId="0" borderId="8" xfId="546" applyNumberFormat="1" applyFont="1" applyBorder="1" applyAlignment="1">
      <alignment horizontal="right" vertical="top"/>
    </xf>
    <xf numFmtId="4" fontId="98" fillId="0" borderId="39" xfId="546" applyNumberFormat="1" applyFont="1" applyBorder="1" applyAlignment="1">
      <alignment horizontal="right" vertical="top"/>
    </xf>
    <xf numFmtId="2" fontId="39" fillId="0" borderId="105" xfId="546" applyNumberFormat="1" applyFont="1" applyBorder="1" applyAlignment="1">
      <alignment horizontal="center"/>
    </xf>
    <xf numFmtId="2" fontId="48" fillId="31" borderId="6" xfId="546" applyNumberFormat="1" applyFont="1" applyFill="1" applyBorder="1" applyAlignment="1">
      <alignment horizontal="center"/>
    </xf>
    <xf numFmtId="4" fontId="167" fillId="0" borderId="100" xfId="116" applyNumberFormat="1" applyFont="1" applyBorder="1"/>
    <xf numFmtId="4" fontId="167" fillId="0" borderId="102" xfId="116" applyNumberFormat="1" applyFont="1" applyBorder="1" applyAlignment="1">
      <alignment horizontal="right"/>
    </xf>
    <xf numFmtId="4" fontId="163" fillId="0" borderId="102" xfId="116" applyNumberFormat="1" applyFont="1" applyBorder="1" applyAlignment="1">
      <alignment wrapText="1"/>
    </xf>
    <xf numFmtId="4" fontId="163" fillId="0" borderId="102" xfId="116" applyNumberFormat="1" applyFont="1" applyBorder="1" applyAlignment="1">
      <alignment horizontal="right"/>
    </xf>
    <xf numFmtId="4" fontId="167" fillId="0" borderId="102" xfId="116" applyNumberFormat="1" applyFont="1" applyBorder="1"/>
    <xf numFmtId="4" fontId="163" fillId="0" borderId="102" xfId="116" applyNumberFormat="1" applyFont="1" applyBorder="1"/>
    <xf numFmtId="4" fontId="163" fillId="0" borderId="102" xfId="116" applyNumberFormat="1" applyFont="1" applyBorder="1" applyAlignment="1">
      <alignment horizontal="right" wrapText="1"/>
    </xf>
    <xf numFmtId="4" fontId="163" fillId="0" borderId="104" xfId="116" applyNumberFormat="1" applyFont="1" applyBorder="1"/>
    <xf numFmtId="0" fontId="185" fillId="0" borderId="0" xfId="0" applyFont="1" applyAlignment="1">
      <alignment vertical="center"/>
    </xf>
    <xf numFmtId="0" fontId="40" fillId="0" borderId="0" xfId="0" applyFont="1" applyAlignment="1">
      <alignment horizontal="left"/>
    </xf>
    <xf numFmtId="0" fontId="106" fillId="0" borderId="0" xfId="0" applyFont="1" applyAlignment="1">
      <alignment horizontal="left"/>
    </xf>
    <xf numFmtId="0" fontId="217" fillId="2" borderId="0" xfId="0" applyFont="1" applyFill="1" applyAlignment="1">
      <alignment horizontal="center" vertical="center"/>
    </xf>
    <xf numFmtId="0" fontId="0" fillId="0" borderId="0" xfId="0" applyAlignment="1">
      <alignment horizontal="right"/>
    </xf>
    <xf numFmtId="0" fontId="106" fillId="0" borderId="0" xfId="0" applyFont="1" applyAlignment="1">
      <alignment vertical="top" wrapText="1"/>
    </xf>
    <xf numFmtId="0" fontId="106" fillId="0" borderId="0" xfId="0" applyFont="1" applyAlignment="1">
      <alignment wrapText="1"/>
    </xf>
    <xf numFmtId="49" fontId="145" fillId="0" borderId="0" xfId="0" applyNumberFormat="1" applyFont="1" applyAlignment="1">
      <alignment vertical="top" wrapText="1"/>
    </xf>
    <xf numFmtId="170" fontId="141" fillId="0" borderId="0" xfId="116" applyNumberFormat="1" applyFont="1"/>
    <xf numFmtId="0" fontId="39" fillId="0" borderId="23" xfId="0" applyFont="1" applyBorder="1" applyAlignment="1">
      <alignment horizontal="center" vertical="center"/>
    </xf>
    <xf numFmtId="0" fontId="39" fillId="0" borderId="23" xfId="0" applyFont="1" applyBorder="1" applyAlignment="1">
      <alignment horizontal="center" vertical="center" wrapText="1"/>
    </xf>
    <xf numFmtId="2" fontId="228" fillId="0" borderId="0" xfId="0" applyNumberFormat="1" applyFont="1"/>
    <xf numFmtId="4" fontId="146" fillId="0" borderId="0" xfId="134" applyNumberFormat="1" applyFont="1"/>
    <xf numFmtId="4" fontId="163" fillId="0" borderId="105" xfId="116" applyNumberFormat="1" applyFont="1" applyBorder="1"/>
    <xf numFmtId="0" fontId="98" fillId="0" borderId="34" xfId="116" applyFont="1" applyBorder="1" applyAlignment="1">
      <alignment horizontal="center"/>
    </xf>
    <xf numFmtId="0" fontId="98" fillId="0" borderId="117" xfId="116" applyFont="1" applyBorder="1"/>
    <xf numFmtId="0" fontId="98" fillId="0" borderId="108" xfId="116" applyFont="1" applyBorder="1"/>
    <xf numFmtId="0" fontId="98" fillId="0" borderId="124" xfId="116" applyFont="1" applyBorder="1"/>
    <xf numFmtId="0" fontId="98" fillId="0" borderId="118" xfId="116" applyFont="1" applyBorder="1"/>
    <xf numFmtId="0" fontId="98" fillId="0" borderId="125" xfId="116" applyFont="1" applyBorder="1"/>
    <xf numFmtId="0" fontId="145" fillId="0" borderId="118" xfId="116" applyFont="1" applyBorder="1"/>
    <xf numFmtId="0" fontId="98" fillId="0" borderId="108" xfId="116" applyFont="1" applyBorder="1" applyAlignment="1">
      <alignment horizontal="left" indent="1"/>
    </xf>
    <xf numFmtId="0" fontId="98" fillId="0" borderId="118" xfId="116" applyFont="1" applyBorder="1" applyAlignment="1">
      <alignment horizontal="left" indent="1"/>
    </xf>
    <xf numFmtId="0" fontId="167" fillId="0" borderId="0" xfId="116" applyFont="1" applyAlignment="1">
      <alignment vertical="justify" wrapText="1"/>
    </xf>
    <xf numFmtId="176" fontId="47" fillId="0" borderId="0" xfId="558" applyNumberFormat="1" applyFont="1"/>
    <xf numFmtId="0" fontId="38" fillId="0" borderId="1" xfId="0" applyFont="1" applyBorder="1" applyAlignment="1">
      <alignment horizontal="center" vertical="center"/>
    </xf>
    <xf numFmtId="192" fontId="31" fillId="0" borderId="0" xfId="240" applyNumberFormat="1" applyFont="1"/>
    <xf numFmtId="4" fontId="88" fillId="0" borderId="1" xfId="0" applyNumberFormat="1" applyFont="1" applyBorder="1"/>
    <xf numFmtId="2" fontId="0" fillId="0" borderId="0" xfId="0" applyNumberFormat="1" applyAlignment="1">
      <alignment vertical="top" wrapText="1"/>
    </xf>
    <xf numFmtId="2" fontId="0" fillId="0" borderId="0" xfId="0" applyNumberFormat="1" applyAlignment="1">
      <alignment vertical="top"/>
    </xf>
    <xf numFmtId="2" fontId="228" fillId="0" borderId="0" xfId="0" applyNumberFormat="1" applyFont="1" applyAlignment="1">
      <alignment horizontal="center" vertical="top"/>
    </xf>
    <xf numFmtId="188" fontId="47" fillId="0" borderId="0" xfId="558" applyNumberFormat="1" applyFont="1"/>
    <xf numFmtId="0" fontId="39" fillId="0" borderId="5" xfId="0" applyFont="1" applyBorder="1" applyAlignment="1">
      <alignment horizontal="center" wrapText="1"/>
    </xf>
    <xf numFmtId="0" fontId="41" fillId="0" borderId="0" xfId="0" applyFont="1"/>
    <xf numFmtId="4" fontId="31" fillId="0" borderId="0" xfId="240" applyNumberFormat="1" applyFont="1"/>
    <xf numFmtId="0" fontId="188" fillId="0" borderId="0" xfId="0" applyFont="1" applyAlignment="1">
      <alignment horizontal="center" vertical="top"/>
    </xf>
    <xf numFmtId="2" fontId="48" fillId="0" borderId="0" xfId="0" applyNumberFormat="1" applyFont="1"/>
    <xf numFmtId="2" fontId="37" fillId="0" borderId="79" xfId="6" applyNumberFormat="1" applyFont="1" applyBorder="1" applyAlignment="1">
      <alignment horizontal="center" vertical="center" wrapText="1"/>
    </xf>
    <xf numFmtId="0" fontId="157" fillId="0" borderId="66" xfId="555" applyFont="1" applyBorder="1" applyAlignment="1">
      <alignment horizontal="center" vertical="top" wrapText="1"/>
    </xf>
    <xf numFmtId="0" fontId="157" fillId="0" borderId="66" xfId="555" applyFont="1" applyBorder="1" applyAlignment="1">
      <alignment vertical="top" wrapText="1"/>
    </xf>
    <xf numFmtId="0" fontId="47" fillId="0" borderId="66" xfId="555" applyFont="1" applyBorder="1" applyAlignment="1">
      <alignment horizontal="center" vertical="top" wrapText="1"/>
    </xf>
    <xf numFmtId="0" fontId="157" fillId="0" borderId="66" xfId="555" applyFont="1" applyBorder="1" applyAlignment="1">
      <alignment horizontal="left" vertical="top" wrapText="1"/>
    </xf>
    <xf numFmtId="14" fontId="157" fillId="0" borderId="67" xfId="555" applyNumberFormat="1" applyFont="1" applyBorder="1" applyAlignment="1">
      <alignment horizontal="left" vertical="top" wrapText="1"/>
    </xf>
    <xf numFmtId="0" fontId="92" fillId="0" borderId="67" xfId="555" applyFont="1" applyBorder="1" applyAlignment="1">
      <alignment horizontal="center" vertical="top" wrapText="1"/>
    </xf>
    <xf numFmtId="0" fontId="113" fillId="0" borderId="0" xfId="555" applyFont="1"/>
    <xf numFmtId="0" fontId="38" fillId="0" borderId="33" xfId="555" applyFont="1" applyBorder="1" applyAlignment="1">
      <alignment horizontal="center" vertical="top" wrapText="1"/>
    </xf>
    <xf numFmtId="0" fontId="38" fillId="0" borderId="33" xfId="555" applyFont="1" applyBorder="1" applyAlignment="1">
      <alignment horizontal="left" vertical="top" wrapText="1"/>
    </xf>
    <xf numFmtId="0" fontId="38" fillId="34" borderId="33" xfId="555" applyFont="1" applyFill="1" applyBorder="1" applyAlignment="1">
      <alignment horizontal="center" vertical="top" wrapText="1"/>
    </xf>
    <xf numFmtId="16" fontId="38" fillId="0" borderId="33" xfId="555" applyNumberFormat="1" applyFont="1" applyBorder="1" applyAlignment="1">
      <alignment horizontal="center" vertical="top" wrapText="1"/>
    </xf>
    <xf numFmtId="14" fontId="38" fillId="0" borderId="33" xfId="555" applyNumberFormat="1" applyFont="1" applyBorder="1" applyAlignment="1">
      <alignment horizontal="left" vertical="top" wrapText="1"/>
    </xf>
    <xf numFmtId="194" fontId="47" fillId="0" borderId="67" xfId="555" applyNumberFormat="1" applyFont="1" applyBorder="1" applyAlignment="1">
      <alignment horizontal="center" vertical="top" wrapText="1"/>
    </xf>
    <xf numFmtId="194" fontId="47" fillId="0" borderId="33" xfId="555" applyNumberFormat="1" applyFont="1" applyBorder="1" applyAlignment="1">
      <alignment horizontal="center" vertical="top" wrapText="1"/>
    </xf>
    <xf numFmtId="194" fontId="47" fillId="0" borderId="68" xfId="555" applyNumberFormat="1" applyFont="1" applyBorder="1" applyAlignment="1">
      <alignment horizontal="center" vertical="top" wrapText="1"/>
    </xf>
    <xf numFmtId="0" fontId="47" fillId="0" borderId="68" xfId="555" applyFont="1" applyBorder="1" applyAlignment="1">
      <alignment horizontal="center" vertical="top" wrapText="1"/>
    </xf>
    <xf numFmtId="1" fontId="146" fillId="0" borderId="89" xfId="555" applyNumberFormat="1" applyFont="1" applyBorder="1" applyAlignment="1">
      <alignment horizontal="center" vertical="top" wrapText="1"/>
    </xf>
    <xf numFmtId="0" fontId="157" fillId="0" borderId="89" xfId="555" applyFont="1" applyBorder="1" applyAlignment="1">
      <alignment horizontal="center" vertical="top" wrapText="1"/>
    </xf>
    <xf numFmtId="0" fontId="157" fillId="0" borderId="89" xfId="555" applyFont="1" applyBorder="1" applyAlignment="1">
      <alignment vertical="top" wrapText="1"/>
    </xf>
    <xf numFmtId="0" fontId="157" fillId="0" borderId="89" xfId="555" applyFont="1" applyBorder="1" applyAlignment="1">
      <alignment horizontal="left" vertical="top" wrapText="1"/>
    </xf>
    <xf numFmtId="1" fontId="47" fillId="0" borderId="67" xfId="555" applyNumberFormat="1" applyFont="1" applyBorder="1" applyAlignment="1">
      <alignment horizontal="center" vertical="top" wrapText="1"/>
    </xf>
    <xf numFmtId="179" fontId="146" fillId="0" borderId="89" xfId="555" applyNumberFormat="1" applyFont="1" applyBorder="1" applyAlignment="1">
      <alignment horizontal="center" vertical="top" wrapText="1"/>
    </xf>
    <xf numFmtId="194" fontId="157" fillId="0" borderId="67" xfId="555" applyNumberFormat="1" applyFont="1" applyBorder="1" applyAlignment="1">
      <alignment horizontal="center" vertical="top" wrapText="1"/>
    </xf>
    <xf numFmtId="0" fontId="47" fillId="0" borderId="79" xfId="0" applyFont="1" applyBorder="1" applyAlignment="1">
      <alignment vertical="center" wrapText="1"/>
    </xf>
    <xf numFmtId="0" fontId="47" fillId="34" borderId="79" xfId="0" applyFont="1" applyFill="1" applyBorder="1" applyAlignment="1">
      <alignment vertical="center" wrapText="1"/>
    </xf>
    <xf numFmtId="0" fontId="47" fillId="0" borderId="48" xfId="0" applyFont="1" applyBorder="1" applyAlignment="1">
      <alignment horizontal="center" vertical="center"/>
    </xf>
    <xf numFmtId="0" fontId="47" fillId="0" borderId="49" xfId="0" applyFont="1" applyBorder="1" applyAlignment="1">
      <alignment horizontal="center" vertical="center"/>
    </xf>
    <xf numFmtId="0" fontId="47" fillId="34" borderId="49" xfId="0" applyFont="1" applyFill="1" applyBorder="1" applyAlignment="1">
      <alignment horizontal="center" vertical="center"/>
    </xf>
    <xf numFmtId="0" fontId="47" fillId="34" borderId="109" xfId="0" applyFont="1" applyFill="1" applyBorder="1" applyAlignment="1">
      <alignment horizontal="center" vertical="center" wrapText="1"/>
    </xf>
    <xf numFmtId="0" fontId="38" fillId="0" borderId="57" xfId="555" applyFont="1" applyBorder="1"/>
    <xf numFmtId="0" fontId="38" fillId="0" borderId="58" xfId="555" applyFont="1" applyBorder="1"/>
    <xf numFmtId="0" fontId="38" fillId="0" borderId="59" xfId="555" applyFont="1" applyBorder="1"/>
    <xf numFmtId="0" fontId="38" fillId="0" borderId="39" xfId="555" applyFont="1" applyBorder="1"/>
    <xf numFmtId="0" fontId="38" fillId="0" borderId="1" xfId="555" applyFont="1" applyBorder="1"/>
    <xf numFmtId="0" fontId="38" fillId="0" borderId="40" xfId="555" applyFont="1" applyBorder="1"/>
    <xf numFmtId="0" fontId="38" fillId="0" borderId="44" xfId="555" applyFont="1" applyBorder="1"/>
    <xf numFmtId="0" fontId="38" fillId="0" borderId="45" xfId="555" applyFont="1" applyBorder="1"/>
    <xf numFmtId="0" fontId="38" fillId="0" borderId="46" xfId="555" applyFont="1" applyBorder="1"/>
    <xf numFmtId="0" fontId="215" fillId="0" borderId="0" xfId="555" applyFont="1"/>
    <xf numFmtId="176" fontId="40" fillId="0" borderId="1" xfId="558" applyNumberFormat="1" applyFont="1" applyBorder="1"/>
    <xf numFmtId="0" fontId="242" fillId="0" borderId="1" xfId="0" applyFont="1" applyBorder="1" applyAlignment="1">
      <alignment horizontal="right" wrapText="1"/>
    </xf>
    <xf numFmtId="10" fontId="185" fillId="0" borderId="1" xfId="558" applyNumberFormat="1" applyFont="1" applyFill="1" applyBorder="1" applyAlignment="1">
      <alignment horizontal="right"/>
    </xf>
    <xf numFmtId="10" fontId="185" fillId="0" borderId="1" xfId="558" applyNumberFormat="1" applyFont="1" applyFill="1" applyBorder="1" applyAlignment="1">
      <alignment horizontal="right" wrapText="1"/>
    </xf>
    <xf numFmtId="10" fontId="242" fillId="0" borderId="1" xfId="0" applyNumberFormat="1" applyFont="1" applyBorder="1" applyAlignment="1">
      <alignment horizontal="right" wrapText="1"/>
    </xf>
    <xf numFmtId="0" fontId="185" fillId="0" borderId="1" xfId="0" applyFont="1" applyBorder="1" applyAlignment="1">
      <alignment horizontal="right" wrapText="1"/>
    </xf>
    <xf numFmtId="4" fontId="185" fillId="0" borderId="1" xfId="0" applyNumberFormat="1" applyFont="1" applyBorder="1" applyAlignment="1">
      <alignment horizontal="right" wrapText="1"/>
    </xf>
    <xf numFmtId="4" fontId="242" fillId="0" borderId="1" xfId="0" applyNumberFormat="1" applyFont="1" applyBorder="1" applyAlignment="1">
      <alignment horizontal="right" wrapText="1"/>
    </xf>
    <xf numFmtId="0" fontId="98" fillId="0" borderId="8" xfId="0" applyFont="1" applyBorder="1"/>
    <xf numFmtId="0" fontId="98" fillId="0" borderId="8" xfId="0" applyFont="1" applyBorder="1" applyAlignment="1">
      <alignment horizontal="center"/>
    </xf>
    <xf numFmtId="9" fontId="39" fillId="0" borderId="1" xfId="558" applyFont="1" applyBorder="1"/>
    <xf numFmtId="9" fontId="39" fillId="0" borderId="0" xfId="558" applyFont="1"/>
    <xf numFmtId="10" fontId="39" fillId="0" borderId="1" xfId="558" applyNumberFormat="1" applyFont="1" applyBorder="1"/>
    <xf numFmtId="0" fontId="39" fillId="0" borderId="36" xfId="0" applyFont="1" applyBorder="1" applyAlignment="1">
      <alignment horizontal="center"/>
    </xf>
    <xf numFmtId="0" fontId="39" fillId="0" borderId="31" xfId="0" applyFont="1" applyBorder="1" applyAlignment="1">
      <alignment horizontal="center"/>
    </xf>
    <xf numFmtId="0" fontId="31" fillId="0" borderId="0" xfId="0" applyFont="1" applyAlignment="1">
      <alignment wrapText="1"/>
    </xf>
    <xf numFmtId="4" fontId="0" fillId="0" borderId="0" xfId="0" applyNumberFormat="1"/>
    <xf numFmtId="184" fontId="163" fillId="0" borderId="0" xfId="116" applyNumberFormat="1" applyFont="1" applyAlignment="1">
      <alignment horizontal="right"/>
    </xf>
    <xf numFmtId="2" fontId="31" fillId="0" borderId="0" xfId="0" applyNumberFormat="1" applyFont="1"/>
    <xf numFmtId="0" fontId="39" fillId="0" borderId="6" xfId="0" applyFont="1" applyBorder="1" applyAlignment="1">
      <alignment horizontal="center" vertical="center" wrapText="1"/>
    </xf>
    <xf numFmtId="0" fontId="39" fillId="0" borderId="6" xfId="0" applyFont="1" applyBorder="1" applyAlignment="1">
      <alignment horizontal="center" vertical="center"/>
    </xf>
    <xf numFmtId="0" fontId="39" fillId="0" borderId="6" xfId="0" applyFont="1" applyBorder="1" applyAlignment="1">
      <alignment horizontal="center"/>
    </xf>
    <xf numFmtId="0" fontId="39" fillId="0" borderId="32" xfId="0" applyFont="1" applyBorder="1" applyAlignment="1">
      <alignment horizontal="center" vertical="center"/>
    </xf>
    <xf numFmtId="2" fontId="48" fillId="0" borderId="66" xfId="0" applyNumberFormat="1" applyFont="1" applyBorder="1" applyAlignment="1">
      <alignment horizontal="center" vertical="center"/>
    </xf>
    <xf numFmtId="2" fontId="48" fillId="0" borderId="66" xfId="0" applyNumberFormat="1" applyFont="1" applyBorder="1" applyAlignment="1">
      <alignment horizontal="left" vertical="center"/>
    </xf>
    <xf numFmtId="2" fontId="48" fillId="0" borderId="93" xfId="0" applyNumberFormat="1" applyFont="1" applyBorder="1" applyAlignment="1">
      <alignment horizontal="center" vertical="center"/>
    </xf>
    <xf numFmtId="2" fontId="48" fillId="0" borderId="90" xfId="0" applyNumberFormat="1" applyFont="1" applyBorder="1" applyAlignment="1">
      <alignment horizontal="center" vertical="center"/>
    </xf>
    <xf numFmtId="2" fontId="48" fillId="0" borderId="67" xfId="0" applyNumberFormat="1" applyFont="1" applyBorder="1" applyAlignment="1">
      <alignment horizontal="center" vertical="center"/>
    </xf>
    <xf numFmtId="2" fontId="48" fillId="0" borderId="67" xfId="0" applyNumberFormat="1" applyFont="1" applyBorder="1" applyAlignment="1">
      <alignment horizontal="left" vertical="center"/>
    </xf>
    <xf numFmtId="2" fontId="48" fillId="0" borderId="67" xfId="0" applyNumberFormat="1" applyFont="1" applyBorder="1" applyAlignment="1">
      <alignment horizontal="left" vertical="center" wrapText="1"/>
    </xf>
    <xf numFmtId="2" fontId="48" fillId="0" borderId="68" xfId="0" applyNumberFormat="1" applyFont="1" applyBorder="1" applyAlignment="1">
      <alignment horizontal="center" vertical="center"/>
    </xf>
    <xf numFmtId="2" fontId="48" fillId="0" borderId="68" xfId="0" applyNumberFormat="1" applyFont="1" applyBorder="1" applyAlignment="1">
      <alignment horizontal="left" vertical="center"/>
    </xf>
    <xf numFmtId="0" fontId="48" fillId="0" borderId="6" xfId="0" applyFont="1" applyBorder="1" applyAlignment="1">
      <alignment horizontal="center" vertical="center"/>
    </xf>
    <xf numFmtId="0" fontId="48" fillId="0" borderId="67" xfId="0" applyFont="1" applyBorder="1" applyAlignment="1">
      <alignment horizontal="center" vertical="center"/>
    </xf>
    <xf numFmtId="0" fontId="48" fillId="0" borderId="67" xfId="0" applyFont="1" applyBorder="1" applyAlignment="1">
      <alignment wrapText="1"/>
    </xf>
    <xf numFmtId="16" fontId="39" fillId="0" borderId="67" xfId="0" applyNumberFormat="1" applyFont="1" applyBorder="1" applyAlignment="1">
      <alignment horizontal="center" vertical="center"/>
    </xf>
    <xf numFmtId="2" fontId="39" fillId="0" borderId="67" xfId="0" applyNumberFormat="1" applyFont="1" applyBorder="1" applyAlignment="1">
      <alignment horizontal="center" vertical="center"/>
    </xf>
    <xf numFmtId="16" fontId="48" fillId="0" borderId="67" xfId="0" applyNumberFormat="1" applyFont="1" applyBorder="1" applyAlignment="1">
      <alignment horizontal="center" vertical="center"/>
    </xf>
    <xf numFmtId="0" fontId="39" fillId="0" borderId="67" xfId="0" applyFont="1" applyBorder="1" applyAlignment="1">
      <alignment horizontal="center" vertical="center"/>
    </xf>
    <xf numFmtId="0" fontId="48" fillId="0" borderId="67" xfId="0" applyFont="1" applyBorder="1" applyAlignment="1">
      <alignment vertical="center" wrapText="1"/>
    </xf>
    <xf numFmtId="0" fontId="39" fillId="0" borderId="71" xfId="0" applyFont="1" applyBorder="1" applyAlignment="1">
      <alignment horizontal="center" vertical="center"/>
    </xf>
    <xf numFmtId="0" fontId="39" fillId="0" borderId="71" xfId="0" applyFont="1" applyBorder="1"/>
    <xf numFmtId="2" fontId="39" fillId="0" borderId="71" xfId="0" applyNumberFormat="1" applyFont="1" applyBorder="1" applyAlignment="1">
      <alignment horizontal="center" vertical="center"/>
    </xf>
    <xf numFmtId="0" fontId="48" fillId="0" borderId="6" xfId="0" applyFont="1" applyBorder="1" applyAlignment="1">
      <alignment vertical="center" wrapText="1"/>
    </xf>
    <xf numFmtId="2" fontId="48" fillId="0" borderId="6" xfId="0" applyNumberFormat="1" applyFont="1" applyBorder="1" applyAlignment="1">
      <alignment horizontal="center" vertical="center"/>
    </xf>
    <xf numFmtId="2" fontId="39" fillId="0" borderId="0" xfId="0" applyNumberFormat="1" applyFont="1" applyAlignment="1">
      <alignment horizontal="right"/>
    </xf>
    <xf numFmtId="2" fontId="48" fillId="0" borderId="0" xfId="0" applyNumberFormat="1" applyFont="1" applyAlignment="1">
      <alignment horizontal="right"/>
    </xf>
    <xf numFmtId="2" fontId="39" fillId="0" borderId="0" xfId="0" applyNumberFormat="1" applyFont="1" applyAlignment="1">
      <alignment horizontal="right" vertical="center"/>
    </xf>
    <xf numFmtId="0" fontId="48" fillId="0" borderId="32" xfId="0" applyFont="1" applyBorder="1" applyAlignment="1">
      <alignment horizontal="center" vertical="center"/>
    </xf>
    <xf numFmtId="0" fontId="48" fillId="0" borderId="87" xfId="0" applyFont="1" applyBorder="1" applyAlignment="1">
      <alignment vertical="center" wrapText="1"/>
    </xf>
    <xf numFmtId="2" fontId="48" fillId="0" borderId="77" xfId="0" applyNumberFormat="1" applyFont="1" applyBorder="1" applyAlignment="1">
      <alignment horizontal="center" vertical="center"/>
    </xf>
    <xf numFmtId="2" fontId="48" fillId="0" borderId="71" xfId="0" applyNumberFormat="1" applyFont="1" applyBorder="1" applyAlignment="1">
      <alignment horizontal="center"/>
    </xf>
    <xf numFmtId="0" fontId="48" fillId="0" borderId="71" xfId="0" applyFont="1" applyBorder="1" applyAlignment="1">
      <alignment horizontal="center" vertical="center"/>
    </xf>
    <xf numFmtId="0" fontId="48" fillId="0" borderId="71" xfId="0" applyFont="1" applyBorder="1" applyAlignment="1">
      <alignment wrapText="1"/>
    </xf>
    <xf numFmtId="0" fontId="48" fillId="0" borderId="68" xfId="0" applyFont="1" applyBorder="1" applyAlignment="1">
      <alignment horizontal="center" vertical="center"/>
    </xf>
    <xf numFmtId="2" fontId="48" fillId="0" borderId="80" xfId="0" applyNumberFormat="1" applyFont="1" applyBorder="1" applyAlignment="1">
      <alignment horizontal="center" vertical="center"/>
    </xf>
    <xf numFmtId="0" fontId="48" fillId="0" borderId="68" xfId="0" applyFont="1" applyBorder="1" applyAlignment="1">
      <alignment wrapText="1"/>
    </xf>
    <xf numFmtId="4" fontId="39" fillId="0" borderId="0" xfId="0" applyNumberFormat="1" applyFont="1" applyAlignment="1">
      <alignment horizontal="right" vertical="center"/>
    </xf>
    <xf numFmtId="0" fontId="39" fillId="0" borderId="66" xfId="0" applyFont="1" applyBorder="1" applyAlignment="1">
      <alignment horizontal="center" vertical="center" wrapText="1"/>
    </xf>
    <xf numFmtId="2" fontId="39" fillId="0" borderId="0" xfId="0" applyNumberFormat="1" applyFont="1" applyAlignment="1">
      <alignment wrapText="1"/>
    </xf>
    <xf numFmtId="2" fontId="207" fillId="0" borderId="0" xfId="0" applyNumberFormat="1" applyFont="1" applyAlignment="1">
      <alignment horizontal="center" vertical="center"/>
    </xf>
    <xf numFmtId="2" fontId="197" fillId="0" borderId="0" xfId="0" applyNumberFormat="1" applyFont="1"/>
    <xf numFmtId="2" fontId="48" fillId="0" borderId="1" xfId="0" applyNumberFormat="1" applyFont="1" applyBorder="1" applyAlignment="1">
      <alignment horizontal="center"/>
    </xf>
    <xf numFmtId="164" fontId="207" fillId="0" borderId="0" xfId="0" applyNumberFormat="1" applyFont="1"/>
    <xf numFmtId="0" fontId="154" fillId="0" borderId="67" xfId="0" applyFont="1" applyBorder="1" applyAlignment="1">
      <alignment horizontal="center" vertical="center"/>
    </xf>
    <xf numFmtId="0" fontId="154" fillId="0" borderId="67" xfId="0" applyFont="1" applyBorder="1"/>
    <xf numFmtId="2" fontId="154" fillId="0" borderId="67" xfId="0" applyNumberFormat="1" applyFont="1" applyBorder="1" applyAlignment="1">
      <alignment horizontal="center" vertical="center"/>
    </xf>
    <xf numFmtId="2" fontId="154" fillId="0" borderId="0" xfId="0" applyNumberFormat="1" applyFont="1"/>
    <xf numFmtId="0" fontId="154" fillId="0" borderId="0" xfId="0" applyFont="1"/>
    <xf numFmtId="0" fontId="139" fillId="0" borderId="0" xfId="0" applyFont="1" applyAlignment="1">
      <alignment horizontal="center"/>
    </xf>
    <xf numFmtId="0" fontId="139" fillId="0" borderId="1" xfId="0" applyFont="1" applyBorder="1" applyAlignment="1">
      <alignment horizontal="center" wrapText="1"/>
    </xf>
    <xf numFmtId="0" fontId="139" fillId="0" borderId="1" xfId="0" applyFont="1" applyBorder="1" applyAlignment="1">
      <alignment horizontal="left" vertical="center" wrapText="1"/>
    </xf>
    <xf numFmtId="0" fontId="249" fillId="0" borderId="1" xfId="0" applyFont="1" applyBorder="1" applyAlignment="1">
      <alignment horizontal="left" vertical="center" wrapText="1"/>
    </xf>
    <xf numFmtId="4" fontId="40" fillId="0" borderId="1" xfId="0" applyNumberFormat="1" applyFont="1" applyBorder="1" applyAlignment="1">
      <alignment wrapText="1"/>
    </xf>
    <xf numFmtId="0" fontId="106" fillId="0" borderId="1" xfId="0" applyFont="1" applyBorder="1" applyAlignment="1">
      <alignment horizontal="left" vertical="center" wrapText="1"/>
    </xf>
    <xf numFmtId="0" fontId="40" fillId="0" borderId="0" xfId="0" applyFont="1" applyAlignment="1">
      <alignment horizontal="left" vertical="center"/>
    </xf>
    <xf numFmtId="49" fontId="37" fillId="31" borderId="52" xfId="240" applyNumberFormat="1" applyFont="1" applyFill="1" applyBorder="1" applyAlignment="1">
      <alignment horizontal="right" vertical="center" wrapText="1"/>
    </xf>
    <xf numFmtId="49" fontId="37" fillId="0" borderId="52" xfId="5" applyNumberFormat="1" applyFont="1" applyBorder="1" applyAlignment="1">
      <alignment horizontal="right" vertical="center" wrapText="1"/>
    </xf>
    <xf numFmtId="49" fontId="37" fillId="31" borderId="52" xfId="5" applyNumberFormat="1" applyFont="1" applyFill="1" applyBorder="1" applyAlignment="1">
      <alignment horizontal="right" vertical="center" wrapText="1"/>
    </xf>
    <xf numFmtId="49" fontId="41" fillId="0" borderId="52" xfId="5" applyNumberFormat="1" applyFont="1" applyBorder="1" applyAlignment="1">
      <alignment horizontal="right" vertical="center" wrapText="1"/>
    </xf>
    <xf numFmtId="0" fontId="37" fillId="34" borderId="1" xfId="240" applyFont="1" applyFill="1" applyBorder="1" applyAlignment="1">
      <alignment horizontal="center" vertical="center" wrapText="1"/>
    </xf>
    <xf numFmtId="0" fontId="37" fillId="31" borderId="1" xfId="240" applyFont="1" applyFill="1" applyBorder="1" applyAlignment="1">
      <alignment horizontal="center" vertical="center" wrapText="1"/>
    </xf>
    <xf numFmtId="0" fontId="37" fillId="31" borderId="1" xfId="240" applyFont="1" applyFill="1" applyBorder="1" applyAlignment="1">
      <alignment horizontal="left" vertical="center" wrapText="1" indent="1"/>
    </xf>
    <xf numFmtId="0" fontId="37" fillId="31" borderId="1" xfId="5" applyFont="1" applyFill="1" applyBorder="1" applyAlignment="1">
      <alignment vertical="center" wrapText="1"/>
    </xf>
    <xf numFmtId="2" fontId="88" fillId="0" borderId="1" xfId="0" applyNumberFormat="1" applyFont="1" applyBorder="1"/>
    <xf numFmtId="4" fontId="31" fillId="0" borderId="1" xfId="0" applyNumberFormat="1" applyFont="1" applyBorder="1"/>
    <xf numFmtId="0" fontId="41" fillId="0" borderId="1" xfId="0" applyFont="1" applyBorder="1"/>
    <xf numFmtId="0" fontId="41" fillId="31" borderId="1" xfId="240" applyFont="1" applyFill="1" applyBorder="1" applyAlignment="1">
      <alignment vertical="center" wrapText="1"/>
    </xf>
    <xf numFmtId="0" fontId="38" fillId="34" borderId="1" xfId="240" applyFont="1" applyFill="1" applyBorder="1" applyAlignment="1">
      <alignment horizontal="center" vertical="top" wrapText="1"/>
    </xf>
    <xf numFmtId="4" fontId="145" fillId="0" borderId="1" xfId="116" applyNumberFormat="1" applyFont="1" applyBorder="1"/>
    <xf numFmtId="2" fontId="98" fillId="0" borderId="1" xfId="116" applyNumberFormat="1" applyFont="1" applyBorder="1"/>
    <xf numFmtId="2" fontId="98" fillId="0" borderId="0" xfId="116" applyNumberFormat="1" applyFont="1"/>
    <xf numFmtId="4" fontId="102" fillId="0" borderId="0" xfId="116" applyNumberFormat="1" applyFont="1"/>
    <xf numFmtId="2" fontId="145" fillId="0" borderId="1" xfId="116" applyNumberFormat="1" applyFont="1" applyBorder="1"/>
    <xf numFmtId="0" fontId="98" fillId="0" borderId="1" xfId="116" applyFont="1" applyBorder="1"/>
    <xf numFmtId="2" fontId="102" fillId="0" borderId="0" xfId="116" applyNumberFormat="1" applyFont="1"/>
    <xf numFmtId="2" fontId="40" fillId="0" borderId="0" xfId="0" applyNumberFormat="1" applyFont="1" applyAlignment="1">
      <alignment horizontal="center" vertical="center"/>
    </xf>
    <xf numFmtId="4" fontId="40" fillId="0" borderId="0" xfId="0" applyNumberFormat="1" applyFont="1" applyAlignment="1">
      <alignment horizontal="center" vertical="center"/>
    </xf>
    <xf numFmtId="0" fontId="217" fillId="0" borderId="0" xfId="0" applyFont="1"/>
    <xf numFmtId="4" fontId="40" fillId="0" borderId="0" xfId="0" applyNumberFormat="1" applyFont="1"/>
    <xf numFmtId="0" fontId="217" fillId="0" borderId="1" xfId="0" applyFont="1" applyBorder="1" applyAlignment="1">
      <alignment wrapText="1"/>
    </xf>
    <xf numFmtId="4" fontId="217" fillId="0" borderId="1" xfId="0" applyNumberFormat="1" applyFont="1" applyBorder="1" applyAlignment="1">
      <alignment wrapText="1"/>
    </xf>
    <xf numFmtId="1" fontId="217" fillId="0" borderId="1" xfId="0" applyNumberFormat="1" applyFont="1" applyBorder="1" applyAlignment="1">
      <alignment horizontal="center" vertical="center" wrapText="1"/>
    </xf>
    <xf numFmtId="0" fontId="252" fillId="0" borderId="1" xfId="0" applyFont="1" applyBorder="1" applyAlignment="1">
      <alignment wrapText="1"/>
    </xf>
    <xf numFmtId="0" fontId="106" fillId="0" borderId="3" xfId="0" applyFont="1" applyBorder="1" applyAlignment="1">
      <alignment wrapText="1"/>
    </xf>
    <xf numFmtId="4" fontId="106" fillId="0" borderId="69" xfId="0" applyNumberFormat="1" applyFont="1" applyBorder="1" applyAlignment="1">
      <alignment wrapText="1"/>
    </xf>
    <xf numFmtId="4" fontId="106" fillId="0" borderId="69" xfId="0" applyNumberFormat="1" applyFont="1" applyBorder="1"/>
    <xf numFmtId="4" fontId="252" fillId="0" borderId="7" xfId="0" applyNumberFormat="1" applyFont="1" applyBorder="1" applyAlignment="1">
      <alignment wrapText="1"/>
    </xf>
    <xf numFmtId="4" fontId="40" fillId="0" borderId="1" xfId="0" applyNumberFormat="1" applyFont="1" applyBorder="1" applyAlignment="1">
      <alignment vertical="center" wrapText="1"/>
    </xf>
    <xf numFmtId="4" fontId="40" fillId="0" borderId="1" xfId="0" applyNumberFormat="1" applyFont="1" applyBorder="1" applyAlignment="1">
      <alignment horizontal="right" vertical="center" wrapText="1"/>
    </xf>
    <xf numFmtId="4" fontId="217" fillId="0" borderId="1" xfId="0" applyNumberFormat="1" applyFont="1" applyBorder="1" applyAlignment="1">
      <alignment horizontal="right" vertical="center" wrapText="1"/>
    </xf>
    <xf numFmtId="4" fontId="40" fillId="0" borderId="1" xfId="0" applyNumberFormat="1" applyFont="1" applyBorder="1" applyAlignment="1">
      <alignment horizontal="right" vertical="center"/>
    </xf>
    <xf numFmtId="4" fontId="40" fillId="0" borderId="0" xfId="0" applyNumberFormat="1" applyFont="1" applyAlignment="1">
      <alignment horizontal="right" vertical="center" wrapText="1"/>
    </xf>
    <xf numFmtId="4" fontId="40" fillId="0" borderId="0" xfId="0" applyNumberFormat="1" applyFont="1" applyAlignment="1">
      <alignment horizontal="right" vertical="center"/>
    </xf>
    <xf numFmtId="0" fontId="207" fillId="0" borderId="0" xfId="116" applyFont="1" applyAlignment="1">
      <alignment horizontal="left"/>
    </xf>
    <xf numFmtId="0" fontId="253" fillId="2" borderId="0" xfId="116" applyFont="1" applyFill="1"/>
    <xf numFmtId="0" fontId="40" fillId="0" borderId="1" xfId="0" applyFont="1" applyBorder="1" applyAlignment="1">
      <alignment horizontal="left" vertical="center" wrapText="1"/>
    </xf>
    <xf numFmtId="4" fontId="40" fillId="0" borderId="0" xfId="0" applyNumberFormat="1" applyFont="1" applyAlignment="1">
      <alignment horizontal="left"/>
    </xf>
    <xf numFmtId="0" fontId="102" fillId="0" borderId="0" xfId="0" applyFont="1" applyAlignment="1">
      <alignment horizontal="left"/>
    </xf>
    <xf numFmtId="0" fontId="40" fillId="0" borderId="3" xfId="0" applyFont="1" applyBorder="1" applyAlignment="1">
      <alignment horizontal="left" wrapText="1"/>
    </xf>
    <xf numFmtId="170" fontId="217" fillId="0" borderId="1" xfId="0" applyNumberFormat="1" applyFont="1" applyBorder="1" applyAlignment="1">
      <alignment horizontal="center" vertical="center"/>
    </xf>
    <xf numFmtId="0" fontId="217" fillId="0" borderId="1" xfId="0" applyFont="1" applyBorder="1" applyAlignment="1">
      <alignment horizontal="center" vertical="center"/>
    </xf>
    <xf numFmtId="170" fontId="40" fillId="0" borderId="1" xfId="0" applyNumberFormat="1" applyFont="1" applyBorder="1" applyAlignment="1">
      <alignment horizontal="center" vertical="center"/>
    </xf>
    <xf numFmtId="4" fontId="249" fillId="0" borderId="1" xfId="0" applyNumberFormat="1" applyFont="1" applyBorder="1" applyAlignment="1">
      <alignment horizontal="right" wrapText="1"/>
    </xf>
    <xf numFmtId="4" fontId="139" fillId="0" borderId="1" xfId="0" applyNumberFormat="1" applyFont="1" applyBorder="1" applyAlignment="1">
      <alignment horizontal="right" wrapText="1"/>
    </xf>
    <xf numFmtId="0" fontId="39" fillId="0" borderId="0" xfId="0" applyFont="1" applyAlignment="1">
      <alignment vertical="top" wrapText="1"/>
    </xf>
    <xf numFmtId="0" fontId="39" fillId="0" borderId="0" xfId="0" applyFont="1" applyAlignment="1">
      <alignment horizontal="right"/>
    </xf>
    <xf numFmtId="0" fontId="0" fillId="2" borderId="0" xfId="0" applyFill="1" applyAlignment="1">
      <alignment wrapText="1"/>
    </xf>
    <xf numFmtId="2" fontId="0" fillId="65" borderId="0" xfId="0" applyNumberFormat="1" applyFill="1"/>
    <xf numFmtId="2" fontId="31" fillId="65" borderId="0" xfId="0" applyNumberFormat="1" applyFont="1" applyFill="1"/>
    <xf numFmtId="0" fontId="139" fillId="0" borderId="5" xfId="0" applyFont="1" applyBorder="1" applyAlignment="1">
      <alignment horizontal="center" vertical="center" wrapText="1"/>
    </xf>
    <xf numFmtId="0" fontId="255" fillId="0" borderId="0" xfId="0" applyFont="1" applyAlignment="1">
      <alignment horizontal="center" vertical="center"/>
    </xf>
    <xf numFmtId="0" fontId="40" fillId="0" borderId="0" xfId="0" applyFont="1" applyAlignment="1">
      <alignment vertical="top" wrapText="1"/>
    </xf>
    <xf numFmtId="0" fontId="139" fillId="0" borderId="0" xfId="0" applyFont="1" applyAlignment="1">
      <alignment vertical="top" wrapText="1"/>
    </xf>
    <xf numFmtId="0" fontId="38" fillId="0" borderId="1" xfId="240" applyFont="1" applyBorder="1" applyAlignment="1">
      <alignment horizontal="left" vertical="center" wrapText="1" indent="1"/>
    </xf>
    <xf numFmtId="0" fontId="37" fillId="0" borderId="1" xfId="0" applyFont="1" applyBorder="1" applyAlignment="1">
      <alignment horizontal="center" vertical="center"/>
    </xf>
    <xf numFmtId="16" fontId="37" fillId="0" borderId="1" xfId="0" applyNumberFormat="1" applyFont="1" applyBorder="1" applyAlignment="1">
      <alignment horizontal="center" vertical="center"/>
    </xf>
    <xf numFmtId="0" fontId="38" fillId="0" borderId="1" xfId="0" applyFont="1" applyBorder="1" applyAlignment="1">
      <alignment vertical="top" wrapText="1"/>
    </xf>
    <xf numFmtId="16" fontId="38" fillId="0" borderId="1" xfId="0" applyNumberFormat="1" applyFont="1" applyBorder="1" applyAlignment="1">
      <alignment horizontal="center" vertical="center"/>
    </xf>
    <xf numFmtId="0" fontId="47" fillId="0" borderId="1" xfId="556" applyFont="1" applyBorder="1" applyAlignment="1">
      <alignment vertical="top" wrapText="1"/>
    </xf>
    <xf numFmtId="2" fontId="38" fillId="0" borderId="1" xfId="0" applyNumberFormat="1" applyFont="1" applyBorder="1"/>
    <xf numFmtId="2" fontId="38" fillId="0" borderId="1" xfId="0" applyNumberFormat="1" applyFont="1" applyBorder="1" applyAlignment="1">
      <alignment vertical="center"/>
    </xf>
    <xf numFmtId="177" fontId="38" fillId="0" borderId="1" xfId="0" applyNumberFormat="1" applyFont="1" applyBorder="1" applyAlignment="1">
      <alignment horizontal="right" vertical="center"/>
    </xf>
    <xf numFmtId="0" fontId="102" fillId="0" borderId="0" xfId="0" applyFont="1" applyAlignment="1">
      <alignment horizontal="center" vertical="center"/>
    </xf>
    <xf numFmtId="177" fontId="102" fillId="0" borderId="0" xfId="0" applyNumberFormat="1" applyFont="1"/>
    <xf numFmtId="2" fontId="38" fillId="0" borderId="1" xfId="0" applyNumberFormat="1" applyFont="1" applyBorder="1" applyAlignment="1">
      <alignment horizontal="right" vertical="center"/>
    </xf>
    <xf numFmtId="14" fontId="39" fillId="0" borderId="1" xfId="0" applyNumberFormat="1" applyFont="1" applyBorder="1" applyAlignment="1">
      <alignment horizontal="center" vertical="center"/>
    </xf>
    <xf numFmtId="0" fontId="38" fillId="0" borderId="1" xfId="0" applyFont="1" applyBorder="1" applyAlignment="1">
      <alignment horizontal="center" vertical="top" wrapText="1"/>
    </xf>
    <xf numFmtId="0" fontId="139" fillId="0" borderId="0" xfId="0" applyFont="1" applyAlignment="1">
      <alignment horizontal="center" vertical="center" wrapText="1"/>
    </xf>
    <xf numFmtId="0" fontId="251" fillId="0" borderId="5" xfId="0" applyFont="1" applyBorder="1" applyAlignment="1">
      <alignment horizontal="center" vertical="center" wrapText="1"/>
    </xf>
    <xf numFmtId="14" fontId="37" fillId="0" borderId="1" xfId="0" applyNumberFormat="1" applyFont="1" applyBorder="1" applyAlignment="1">
      <alignment horizontal="center" vertical="center"/>
    </xf>
    <xf numFmtId="0" fontId="38" fillId="0" borderId="1" xfId="0" applyFont="1" applyBorder="1"/>
    <xf numFmtId="0" fontId="256" fillId="0" borderId="0" xfId="0" applyFont="1" applyAlignment="1">
      <alignment horizontal="center" vertical="center"/>
    </xf>
    <xf numFmtId="0" fontId="37" fillId="0" borderId="0" xfId="0" applyFont="1" applyAlignment="1">
      <alignment horizontal="center" vertical="center"/>
    </xf>
    <xf numFmtId="0" fontId="256" fillId="0" borderId="0" xfId="0" applyFont="1" applyAlignment="1">
      <alignment horizontal="center" vertical="center" wrapText="1"/>
    </xf>
    <xf numFmtId="49" fontId="37" fillId="34" borderId="39" xfId="556" applyNumberFormat="1" applyFont="1" applyFill="1" applyBorder="1" applyAlignment="1">
      <alignment horizontal="center" vertical="center"/>
    </xf>
    <xf numFmtId="49" fontId="37" fillId="0" borderId="39" xfId="556" applyNumberFormat="1" applyFont="1" applyBorder="1" applyAlignment="1">
      <alignment horizontal="center" vertical="center"/>
    </xf>
    <xf numFmtId="49" fontId="37" fillId="34" borderId="1" xfId="556" applyNumberFormat="1" applyFont="1" applyFill="1" applyBorder="1" applyAlignment="1">
      <alignment horizontal="center" vertical="center"/>
    </xf>
    <xf numFmtId="49" fontId="37" fillId="34" borderId="79" xfId="556" applyNumberFormat="1" applyFont="1" applyFill="1" applyBorder="1" applyAlignment="1">
      <alignment horizontal="center" vertical="center"/>
    </xf>
    <xf numFmtId="49" fontId="36" fillId="34" borderId="1" xfId="556" applyNumberFormat="1" applyFont="1" applyFill="1" applyBorder="1" applyAlignment="1">
      <alignment horizontal="center" vertical="center"/>
    </xf>
    <xf numFmtId="0" fontId="46" fillId="0" borderId="1" xfId="0" applyFont="1" applyBorder="1" applyAlignment="1">
      <alignment vertical="center" wrapText="1"/>
    </xf>
    <xf numFmtId="49" fontId="37" fillId="0" borderId="1" xfId="556" applyNumberFormat="1" applyFont="1" applyBorder="1" applyAlignment="1">
      <alignment horizontal="center" vertical="center"/>
    </xf>
    <xf numFmtId="0" fontId="89" fillId="0" borderId="1" xfId="0" applyFont="1" applyBorder="1" applyAlignment="1">
      <alignment horizontal="center" vertical="center"/>
    </xf>
    <xf numFmtId="0" fontId="89" fillId="0" borderId="0" xfId="0" applyFont="1" applyAlignment="1">
      <alignment horizontal="center" vertical="center"/>
    </xf>
    <xf numFmtId="2" fontId="217" fillId="0" borderId="0" xfId="0" applyNumberFormat="1" applyFont="1" applyAlignment="1">
      <alignment horizontal="center" vertical="center"/>
    </xf>
    <xf numFmtId="0" fontId="106" fillId="0" borderId="1" xfId="0" applyFont="1" applyBorder="1" applyAlignment="1">
      <alignment horizontal="center" vertical="center"/>
    </xf>
    <xf numFmtId="0" fontId="106" fillId="0" borderId="7" xfId="0" applyFont="1" applyBorder="1" applyAlignment="1">
      <alignment horizontal="center" vertical="center"/>
    </xf>
    <xf numFmtId="4" fontId="40" fillId="2" borderId="0" xfId="0" applyNumberFormat="1" applyFont="1" applyFill="1"/>
    <xf numFmtId="4" fontId="217" fillId="0" borderId="0" xfId="0" applyNumberFormat="1" applyFont="1"/>
    <xf numFmtId="9" fontId="89" fillId="0" borderId="0" xfId="558" applyFont="1"/>
    <xf numFmtId="0" fontId="217" fillId="0" borderId="1" xfId="0" applyFont="1" applyBorder="1"/>
    <xf numFmtId="4" fontId="217" fillId="0" borderId="1" xfId="0" applyNumberFormat="1" applyFont="1" applyBorder="1"/>
    <xf numFmtId="4" fontId="102" fillId="0" borderId="0" xfId="0" applyNumberFormat="1" applyFont="1"/>
    <xf numFmtId="4" fontId="40" fillId="31" borderId="0" xfId="0" applyNumberFormat="1" applyFont="1" applyFill="1"/>
    <xf numFmtId="0" fontId="40" fillId="31" borderId="0" xfId="0" applyFont="1" applyFill="1"/>
    <xf numFmtId="4" fontId="217" fillId="31" borderId="1" xfId="0" applyNumberFormat="1" applyFont="1" applyFill="1" applyBorder="1"/>
    <xf numFmtId="0" fontId="40" fillId="31" borderId="1" xfId="0" applyFont="1" applyFill="1" applyBorder="1"/>
    <xf numFmtId="4" fontId="40" fillId="31" borderId="1" xfId="0" applyNumberFormat="1" applyFont="1" applyFill="1" applyBorder="1"/>
    <xf numFmtId="2" fontId="40" fillId="31" borderId="1" xfId="0" applyNumberFormat="1" applyFont="1" applyFill="1" applyBorder="1"/>
    <xf numFmtId="4" fontId="102" fillId="31" borderId="0" xfId="0" applyNumberFormat="1" applyFont="1" applyFill="1"/>
    <xf numFmtId="2" fontId="40" fillId="31" borderId="0" xfId="0" applyNumberFormat="1" applyFont="1" applyFill="1"/>
    <xf numFmtId="0" fontId="98" fillId="0" borderId="1" xfId="0" applyFont="1" applyBorder="1" applyAlignment="1">
      <alignment horizontal="center" vertical="center" wrapText="1"/>
    </xf>
    <xf numFmtId="9" fontId="217" fillId="0" borderId="1" xfId="558" applyFont="1" applyBorder="1"/>
    <xf numFmtId="0" fontId="258" fillId="0" borderId="1" xfId="0" applyFont="1" applyBorder="1" applyAlignment="1">
      <alignment horizontal="center" vertical="center" wrapText="1"/>
    </xf>
    <xf numFmtId="0" fontId="260" fillId="0" borderId="0" xfId="0" applyFont="1"/>
    <xf numFmtId="4" fontId="261" fillId="0" borderId="1" xfId="0" applyNumberFormat="1" applyFont="1" applyBorder="1"/>
    <xf numFmtId="0" fontId="264" fillId="0" borderId="1" xfId="0" applyFont="1" applyBorder="1" applyAlignment="1">
      <alignment wrapText="1"/>
    </xf>
    <xf numFmtId="0" fontId="264" fillId="0" borderId="1" xfId="0" applyFont="1" applyBorder="1" applyAlignment="1">
      <alignment horizontal="center" vertical="center"/>
    </xf>
    <xf numFmtId="0" fontId="264" fillId="0" borderId="0" xfId="0" applyFont="1"/>
    <xf numFmtId="0" fontId="263" fillId="0" borderId="0" xfId="0" applyFont="1" applyAlignment="1">
      <alignment wrapText="1"/>
    </xf>
    <xf numFmtId="4" fontId="98" fillId="62" borderId="1" xfId="0" applyNumberFormat="1" applyFont="1" applyFill="1" applyBorder="1" applyAlignment="1">
      <alignment horizontal="center" vertical="center" wrapText="1"/>
    </xf>
    <xf numFmtId="0" fontId="264" fillId="0" borderId="1" xfId="0" applyFont="1" applyBorder="1" applyAlignment="1">
      <alignment vertical="center"/>
    </xf>
    <xf numFmtId="0" fontId="196" fillId="0" borderId="1" xfId="0" applyFont="1" applyBorder="1" applyAlignment="1">
      <alignment horizontal="left" vertical="center" wrapText="1"/>
    </xf>
    <xf numFmtId="0" fontId="196" fillId="0" borderId="1" xfId="0" applyFont="1" applyBorder="1" applyAlignment="1">
      <alignment horizontal="center" vertical="center" wrapText="1"/>
    </xf>
    <xf numFmtId="0" fontId="265" fillId="0" borderId="1" xfId="0" applyFont="1" applyBorder="1" applyAlignment="1">
      <alignment horizontal="left" vertical="center"/>
    </xf>
    <xf numFmtId="0" fontId="265" fillId="0" borderId="1" xfId="0" applyFont="1" applyBorder="1" applyAlignment="1">
      <alignment horizontal="center" vertical="center"/>
    </xf>
    <xf numFmtId="0" fontId="265" fillId="0" borderId="0" xfId="0" applyFont="1" applyAlignment="1">
      <alignment horizontal="center" vertical="center"/>
    </xf>
    <xf numFmtId="0" fontId="266" fillId="0" borderId="1" xfId="0" applyFont="1" applyBorder="1" applyAlignment="1">
      <alignment horizontal="left" vertical="center" wrapText="1"/>
    </xf>
    <xf numFmtId="0" fontId="266" fillId="0" borderId="1" xfId="0" applyFont="1" applyBorder="1" applyAlignment="1">
      <alignment horizontal="center" vertical="center"/>
    </xf>
    <xf numFmtId="0" fontId="266" fillId="0" borderId="0" xfId="0" applyFont="1" applyAlignment="1">
      <alignment horizontal="center" vertical="center"/>
    </xf>
    <xf numFmtId="0" fontId="267" fillId="0" borderId="0" xfId="0" applyFont="1" applyAlignment="1">
      <alignment horizontal="center" vertical="center"/>
    </xf>
    <xf numFmtId="0" fontId="265" fillId="0" borderId="1" xfId="0" applyFont="1" applyBorder="1" applyAlignment="1">
      <alignment horizontal="center" vertical="center" wrapText="1"/>
    </xf>
    <xf numFmtId="4" fontId="268" fillId="0" borderId="1" xfId="0" applyNumberFormat="1" applyFont="1" applyBorder="1" applyAlignment="1">
      <alignment horizontal="center" vertical="center"/>
    </xf>
    <xf numFmtId="0" fontId="39" fillId="0" borderId="79" xfId="0" applyFont="1" applyBorder="1" applyAlignment="1">
      <alignment horizontal="center" vertical="center" wrapText="1"/>
    </xf>
    <xf numFmtId="0" fontId="38" fillId="0" borderId="3" xfId="0" applyFont="1" applyBorder="1" applyAlignment="1">
      <alignment vertical="top" wrapText="1"/>
    </xf>
    <xf numFmtId="0" fontId="39" fillId="0" borderId="49" xfId="0" applyFont="1" applyBorder="1" applyAlignment="1">
      <alignment horizontal="center" vertical="center" wrapText="1"/>
    </xf>
    <xf numFmtId="0" fontId="48" fillId="0" borderId="31" xfId="0" applyFont="1" applyBorder="1" applyAlignment="1">
      <alignment horizontal="center" vertical="center" wrapText="1"/>
    </xf>
    <xf numFmtId="0" fontId="39" fillId="0" borderId="36" xfId="0" applyFont="1" applyBorder="1" applyAlignment="1">
      <alignment vertical="center" wrapText="1"/>
    </xf>
    <xf numFmtId="0" fontId="39" fillId="0" borderId="30" xfId="0" applyFont="1" applyBorder="1" applyAlignment="1">
      <alignment wrapText="1"/>
    </xf>
    <xf numFmtId="0" fontId="39" fillId="0" borderId="0" xfId="0" applyFont="1" applyAlignment="1">
      <alignment vertical="center"/>
    </xf>
    <xf numFmtId="0" fontId="39" fillId="0" borderId="28" xfId="0" applyFont="1" applyBorder="1"/>
    <xf numFmtId="0" fontId="39" fillId="0" borderId="51" xfId="0" applyFont="1" applyBorder="1"/>
    <xf numFmtId="2" fontId="48" fillId="0" borderId="70" xfId="0" applyNumberFormat="1" applyFont="1" applyBorder="1"/>
    <xf numFmtId="2" fontId="39" fillId="0" borderId="4" xfId="0" applyNumberFormat="1" applyFont="1" applyBorder="1"/>
    <xf numFmtId="2" fontId="112" fillId="0" borderId="70" xfId="0" applyNumberFormat="1" applyFont="1" applyBorder="1"/>
    <xf numFmtId="4" fontId="39" fillId="0" borderId="24" xfId="197" applyNumberFormat="1" applyFont="1" applyBorder="1"/>
    <xf numFmtId="2" fontId="112" fillId="0" borderId="43" xfId="0" applyNumberFormat="1" applyFont="1" applyBorder="1"/>
    <xf numFmtId="0" fontId="48" fillId="0" borderId="53" xfId="0" applyFont="1" applyBorder="1"/>
    <xf numFmtId="0" fontId="48" fillId="0" borderId="44" xfId="0" applyFont="1" applyBorder="1"/>
    <xf numFmtId="2" fontId="48" fillId="0" borderId="46" xfId="0" applyNumberFormat="1" applyFont="1" applyBorder="1"/>
    <xf numFmtId="2" fontId="48" fillId="0" borderId="45" xfId="0" applyNumberFormat="1" applyFont="1" applyBorder="1"/>
    <xf numFmtId="2" fontId="138" fillId="0" borderId="110" xfId="0" applyNumberFormat="1" applyFont="1" applyBorder="1"/>
    <xf numFmtId="9" fontId="48" fillId="0" borderId="56" xfId="558" applyFont="1" applyBorder="1"/>
    <xf numFmtId="0" fontId="39" fillId="0" borderId="79" xfId="0" applyFont="1" applyBorder="1"/>
    <xf numFmtId="2" fontId="48" fillId="0" borderId="87" xfId="0" applyNumberFormat="1" applyFont="1" applyBorder="1"/>
    <xf numFmtId="0" fontId="39" fillId="0" borderId="4" xfId="0" applyFont="1" applyBorder="1"/>
    <xf numFmtId="2" fontId="112" fillId="0" borderId="4" xfId="0" applyNumberFormat="1" applyFont="1" applyBorder="1"/>
    <xf numFmtId="2" fontId="48" fillId="0" borderId="24" xfId="0" applyNumberFormat="1" applyFont="1" applyBorder="1"/>
    <xf numFmtId="0" fontId="39" fillId="0" borderId="3" xfId="0" applyFont="1" applyBorder="1"/>
    <xf numFmtId="2" fontId="112" fillId="0" borderId="79" xfId="0" applyNumberFormat="1" applyFont="1" applyBorder="1"/>
    <xf numFmtId="2" fontId="112" fillId="0" borderId="3" xfId="0" applyNumberFormat="1" applyFont="1" applyBorder="1"/>
    <xf numFmtId="0" fontId="89" fillId="0" borderId="0" xfId="0" applyFont="1" applyAlignment="1">
      <alignment horizontal="right"/>
    </xf>
    <xf numFmtId="4" fontId="31" fillId="0" borderId="0" xfId="556" applyNumberFormat="1" applyFont="1"/>
    <xf numFmtId="2" fontId="31" fillId="0" borderId="0" xfId="556" applyNumberFormat="1" applyFont="1"/>
    <xf numFmtId="0" fontId="31" fillId="0" borderId="0" xfId="556" applyFont="1"/>
    <xf numFmtId="0" fontId="39" fillId="0" borderId="28" xfId="0" applyFont="1" applyBorder="1" applyAlignment="1">
      <alignment horizontal="right" vertical="center" wrapText="1"/>
    </xf>
    <xf numFmtId="0" fontId="39" fillId="0" borderId="37" xfId="0" applyFont="1" applyBorder="1" applyAlignment="1">
      <alignment horizontal="right" vertical="center" wrapText="1"/>
    </xf>
    <xf numFmtId="0" fontId="38" fillId="0" borderId="38" xfId="0" applyFont="1" applyBorder="1" applyAlignment="1">
      <alignment vertical="center" wrapText="1"/>
    </xf>
    <xf numFmtId="2" fontId="39" fillId="0" borderId="5" xfId="0" applyNumberFormat="1" applyFont="1" applyBorder="1" applyAlignment="1">
      <alignment horizontal="left" vertical="center" wrapText="1"/>
    </xf>
    <xf numFmtId="0" fontId="38" fillId="0" borderId="5" xfId="0" applyFont="1" applyBorder="1" applyAlignment="1">
      <alignment vertical="center" wrapText="1"/>
    </xf>
    <xf numFmtId="0" fontId="39" fillId="0" borderId="36" xfId="0" applyFont="1" applyBorder="1" applyAlignment="1">
      <alignment wrapText="1"/>
    </xf>
    <xf numFmtId="0" fontId="217" fillId="0" borderId="34" xfId="0" applyFont="1" applyBorder="1" applyAlignment="1">
      <alignment horizontal="center" vertical="center" wrapText="1"/>
    </xf>
    <xf numFmtId="0" fontId="39" fillId="0" borderId="34" xfId="0" applyFont="1" applyBorder="1"/>
    <xf numFmtId="0" fontId="217" fillId="0" borderId="0" xfId="0" applyFont="1" applyAlignment="1">
      <alignment horizontal="center" vertical="center" wrapText="1"/>
    </xf>
    <xf numFmtId="0" fontId="39" fillId="0" borderId="63" xfId="0" applyFont="1" applyBorder="1" applyAlignment="1">
      <alignment horizontal="center" vertical="center" wrapText="1"/>
    </xf>
    <xf numFmtId="0" fontId="48" fillId="0" borderId="98" xfId="0" applyFont="1" applyBorder="1" applyAlignment="1">
      <alignment horizontal="center" vertical="center" wrapText="1"/>
    </xf>
    <xf numFmtId="0" fontId="39" fillId="0" borderId="61" xfId="0" applyFont="1" applyBorder="1" applyAlignment="1">
      <alignment horizontal="center" vertical="center" wrapText="1"/>
    </xf>
    <xf numFmtId="0" fontId="112" fillId="0" borderId="98" xfId="0" applyFont="1" applyBorder="1" applyAlignment="1">
      <alignment horizontal="center" vertical="center" wrapText="1"/>
    </xf>
    <xf numFmtId="0" fontId="39" fillId="0" borderId="60" xfId="0" applyFont="1" applyBorder="1" applyAlignment="1">
      <alignment horizontal="center" vertical="center" wrapText="1"/>
    </xf>
    <xf numFmtId="0" fontId="48" fillId="0" borderId="88" xfId="0" applyFont="1" applyBorder="1" applyAlignment="1">
      <alignment horizontal="center" vertical="center"/>
    </xf>
    <xf numFmtId="0" fontId="48" fillId="0" borderId="57" xfId="0" applyFont="1" applyBorder="1" applyAlignment="1">
      <alignment vertical="center"/>
    </xf>
    <xf numFmtId="0" fontId="48" fillId="0" borderId="59" xfId="0" applyFont="1" applyBorder="1" applyAlignment="1">
      <alignment vertical="center"/>
    </xf>
    <xf numFmtId="2" fontId="48" fillId="0" borderId="58" xfId="0" applyNumberFormat="1" applyFont="1" applyBorder="1" applyAlignment="1">
      <alignment vertical="center"/>
    </xf>
    <xf numFmtId="181" fontId="48" fillId="0" borderId="58" xfId="0" applyNumberFormat="1" applyFont="1" applyBorder="1" applyAlignment="1">
      <alignment horizontal="center" vertical="center"/>
    </xf>
    <xf numFmtId="2" fontId="138" fillId="0" borderId="59" xfId="0" applyNumberFormat="1" applyFont="1" applyBorder="1" applyAlignment="1">
      <alignment vertical="center"/>
    </xf>
    <xf numFmtId="2" fontId="138" fillId="0" borderId="64" xfId="0" applyNumberFormat="1" applyFont="1" applyBorder="1" applyAlignment="1">
      <alignment vertical="center"/>
    </xf>
    <xf numFmtId="4" fontId="48" fillId="0" borderId="58" xfId="0" applyNumberFormat="1" applyFont="1" applyBorder="1" applyAlignment="1">
      <alignment vertical="center"/>
    </xf>
    <xf numFmtId="0" fontId="39" fillId="0" borderId="34" xfId="0" applyFont="1" applyBorder="1" applyAlignment="1">
      <alignment vertical="center"/>
    </xf>
    <xf numFmtId="4" fontId="39" fillId="0" borderId="59" xfId="0" applyNumberFormat="1" applyFont="1" applyBorder="1" applyAlignment="1">
      <alignment horizontal="center" vertical="center"/>
    </xf>
    <xf numFmtId="4" fontId="39" fillId="0" borderId="47" xfId="197" applyNumberFormat="1" applyFont="1" applyBorder="1"/>
    <xf numFmtId="4" fontId="39" fillId="0" borderId="70" xfId="197" applyNumberFormat="1" applyFont="1" applyBorder="1"/>
    <xf numFmtId="4" fontId="39" fillId="0" borderId="43" xfId="197" applyNumberFormat="1" applyFont="1" applyBorder="1"/>
    <xf numFmtId="0" fontId="48" fillId="0" borderId="79" xfId="0" applyFont="1" applyBorder="1" applyAlignment="1">
      <alignment horizontal="center" vertical="center" wrapText="1"/>
    </xf>
    <xf numFmtId="0" fontId="112" fillId="0" borderId="109" xfId="0" applyFont="1" applyBorder="1" applyAlignment="1">
      <alignment horizontal="center" vertical="center" wrapText="1"/>
    </xf>
    <xf numFmtId="4" fontId="39" fillId="0" borderId="79" xfId="197" applyNumberFormat="1" applyFont="1" applyBorder="1" applyAlignment="1">
      <alignment horizontal="center" vertical="center" wrapText="1"/>
    </xf>
    <xf numFmtId="0" fontId="48" fillId="0" borderId="57" xfId="0" applyFont="1" applyBorder="1" applyAlignment="1">
      <alignment horizontal="center" vertical="center"/>
    </xf>
    <xf numFmtId="0" fontId="48" fillId="0" borderId="58" xfId="0" applyFont="1" applyBorder="1" applyAlignment="1">
      <alignment horizontal="center" vertical="center"/>
    </xf>
    <xf numFmtId="2" fontId="138" fillId="0" borderId="58" xfId="0" applyNumberFormat="1" applyFont="1" applyBorder="1" applyAlignment="1">
      <alignment horizontal="center" vertical="center"/>
    </xf>
    <xf numFmtId="0" fontId="39" fillId="0" borderId="34" xfId="0" applyFont="1" applyBorder="1" applyAlignment="1">
      <alignment horizontal="center" vertical="center"/>
    </xf>
    <xf numFmtId="0" fontId="48" fillId="0" borderId="54" xfId="0" applyFont="1" applyBorder="1"/>
    <xf numFmtId="0" fontId="48" fillId="0" borderId="45" xfId="0" applyFont="1" applyBorder="1"/>
    <xf numFmtId="2" fontId="138" fillId="0" borderId="45" xfId="0" applyNumberFormat="1" applyFont="1" applyBorder="1"/>
    <xf numFmtId="0" fontId="48" fillId="0" borderId="35" xfId="0" applyFont="1" applyBorder="1"/>
    <xf numFmtId="0" fontId="112" fillId="0" borderId="50" xfId="0" applyFont="1" applyBorder="1" applyAlignment="1">
      <alignment horizontal="center" vertical="center" wrapText="1"/>
    </xf>
    <xf numFmtId="178" fontId="48" fillId="0" borderId="58" xfId="0" applyNumberFormat="1" applyFont="1" applyBorder="1" applyAlignment="1">
      <alignment horizontal="center" vertical="center"/>
    </xf>
    <xf numFmtId="0" fontId="48" fillId="0" borderId="64" xfId="0" applyFont="1" applyBorder="1" applyAlignment="1">
      <alignment horizontal="center" vertical="center"/>
    </xf>
    <xf numFmtId="2" fontId="48" fillId="0" borderId="55" xfId="0" applyNumberFormat="1" applyFont="1" applyBorder="1"/>
    <xf numFmtId="2" fontId="48" fillId="0" borderId="65" xfId="0" applyNumberFormat="1" applyFont="1" applyBorder="1" applyAlignment="1">
      <alignment horizontal="center" vertical="center"/>
    </xf>
    <xf numFmtId="2" fontId="39" fillId="0" borderId="87" xfId="0" applyNumberFormat="1" applyFont="1" applyBorder="1"/>
    <xf numFmtId="2" fontId="48" fillId="0" borderId="54" xfId="0" applyNumberFormat="1" applyFont="1" applyBorder="1"/>
    <xf numFmtId="2" fontId="138" fillId="0" borderId="59" xfId="0" applyNumberFormat="1" applyFont="1" applyBorder="1" applyAlignment="1">
      <alignment horizontal="center" vertical="center"/>
    </xf>
    <xf numFmtId="2" fontId="138" fillId="0" borderId="46" xfId="0" applyNumberFormat="1" applyFont="1" applyBorder="1"/>
    <xf numFmtId="4" fontId="39" fillId="0" borderId="65" xfId="0" applyNumberFormat="1" applyFont="1" applyBorder="1" applyAlignment="1">
      <alignment horizontal="center" vertical="center"/>
    </xf>
    <xf numFmtId="4" fontId="39" fillId="0" borderId="78" xfId="197" applyNumberFormat="1" applyFont="1" applyBorder="1"/>
    <xf numFmtId="4" fontId="39" fillId="0" borderId="87" xfId="197" applyNumberFormat="1" applyFont="1" applyBorder="1"/>
    <xf numFmtId="4" fontId="39" fillId="0" borderId="69" xfId="197" applyNumberFormat="1" applyFont="1" applyBorder="1"/>
    <xf numFmtId="2" fontId="48" fillId="0" borderId="57" xfId="0" applyNumberFormat="1" applyFont="1" applyBorder="1" applyAlignment="1">
      <alignment horizontal="center" vertical="center"/>
    </xf>
    <xf numFmtId="2" fontId="39" fillId="0" borderId="51" xfId="0" applyNumberFormat="1" applyFont="1" applyBorder="1"/>
    <xf numFmtId="2" fontId="48" fillId="0" borderId="44" xfId="0" applyNumberFormat="1" applyFont="1" applyBorder="1"/>
    <xf numFmtId="4" fontId="39" fillId="0" borderId="66" xfId="0" applyNumberFormat="1" applyFont="1" applyBorder="1" applyAlignment="1">
      <alignment horizontal="center" vertical="center"/>
    </xf>
    <xf numFmtId="4" fontId="39" fillId="0" borderId="71" xfId="197" applyNumberFormat="1" applyFont="1" applyBorder="1"/>
    <xf numFmtId="4" fontId="39" fillId="0" borderId="32" xfId="197" applyNumberFormat="1" applyFont="1" applyBorder="1"/>
    <xf numFmtId="4" fontId="39" fillId="0" borderId="89" xfId="197" applyNumberFormat="1" applyFont="1" applyBorder="1"/>
    <xf numFmtId="9" fontId="48" fillId="0" borderId="23" xfId="558" applyFont="1" applyBorder="1"/>
    <xf numFmtId="0" fontId="48" fillId="0" borderId="65" xfId="0" applyFont="1" applyBorder="1" applyAlignment="1">
      <alignment horizontal="center" vertical="center"/>
    </xf>
    <xf numFmtId="0" fontId="48" fillId="0" borderId="66" xfId="0" applyFont="1" applyBorder="1" applyAlignment="1">
      <alignment horizontal="center" vertical="center"/>
    </xf>
    <xf numFmtId="4" fontId="39" fillId="0" borderId="90" xfId="0" applyNumberFormat="1" applyFont="1" applyBorder="1" applyAlignment="1">
      <alignment horizontal="center" vertical="center"/>
    </xf>
    <xf numFmtId="4" fontId="39" fillId="0" borderId="111" xfId="197" applyNumberFormat="1" applyFont="1" applyBorder="1"/>
    <xf numFmtId="4" fontId="39" fillId="0" borderId="38" xfId="197" applyNumberFormat="1" applyFont="1" applyBorder="1"/>
    <xf numFmtId="2" fontId="48" fillId="0" borderId="25" xfId="0" applyNumberFormat="1" applyFont="1" applyBorder="1"/>
    <xf numFmtId="0" fontId="39" fillId="0" borderId="92" xfId="0" applyFont="1" applyBorder="1"/>
    <xf numFmtId="0" fontId="39" fillId="0" borderId="37" xfId="0" applyFont="1" applyBorder="1"/>
    <xf numFmtId="0" fontId="48" fillId="0" borderId="66" xfId="0" applyFont="1" applyBorder="1" applyAlignment="1">
      <alignment vertical="center"/>
    </xf>
    <xf numFmtId="0" fontId="48" fillId="0" borderId="90" xfId="0" applyFont="1" applyBorder="1" applyAlignment="1">
      <alignment vertical="center"/>
    </xf>
    <xf numFmtId="2" fontId="48" fillId="0" borderId="72" xfId="0" applyNumberFormat="1" applyFont="1" applyBorder="1"/>
    <xf numFmtId="0" fontId="39" fillId="0" borderId="89" xfId="0" applyFont="1" applyBorder="1"/>
    <xf numFmtId="4" fontId="39" fillId="0" borderId="0" xfId="0" applyNumberFormat="1" applyFont="1" applyAlignment="1">
      <alignment horizontal="left" vertical="center" wrapText="1"/>
    </xf>
    <xf numFmtId="0" fontId="38" fillId="0" borderId="24" xfId="0" applyFont="1" applyBorder="1" applyAlignment="1">
      <alignment horizontal="center" vertical="center"/>
    </xf>
    <xf numFmtId="0" fontId="266" fillId="0" borderId="0" xfId="0" applyFont="1"/>
    <xf numFmtId="0" fontId="266" fillId="0" borderId="95" xfId="0" applyFont="1" applyBorder="1" applyAlignment="1">
      <alignment horizontal="center" vertical="center" wrapText="1"/>
    </xf>
    <xf numFmtId="0" fontId="266" fillId="0" borderId="94" xfId="0" applyFont="1" applyBorder="1" applyAlignment="1">
      <alignment horizontal="center" vertical="center" wrapText="1"/>
    </xf>
    <xf numFmtId="0" fontId="270" fillId="0" borderId="46" xfId="0" applyFont="1" applyBorder="1" applyAlignment="1">
      <alignment horizontal="center" vertical="center" wrapText="1"/>
    </xf>
    <xf numFmtId="2" fontId="267" fillId="0" borderId="65" xfId="0" applyNumberFormat="1" applyFont="1" applyBorder="1" applyAlignment="1">
      <alignment vertical="center"/>
    </xf>
    <xf numFmtId="181" fontId="267" fillId="0" borderId="58" xfId="0" applyNumberFormat="1" applyFont="1" applyBorder="1" applyAlignment="1">
      <alignment horizontal="center" vertical="center"/>
    </xf>
    <xf numFmtId="2" fontId="271" fillId="0" borderId="59" xfId="0" applyNumberFormat="1" applyFont="1" applyBorder="1" applyAlignment="1">
      <alignment vertical="center"/>
    </xf>
    <xf numFmtId="2" fontId="266" fillId="0" borderId="87" xfId="0" applyNumberFormat="1" applyFont="1" applyBorder="1"/>
    <xf numFmtId="2" fontId="266" fillId="0" borderId="4" xfId="0" applyNumberFormat="1" applyFont="1" applyBorder="1" applyAlignment="1">
      <alignment vertical="center"/>
    </xf>
    <xf numFmtId="2" fontId="270" fillId="0" borderId="70" xfId="0" applyNumberFormat="1" applyFont="1" applyBorder="1"/>
    <xf numFmtId="2" fontId="266" fillId="0" borderId="4" xfId="0" applyNumberFormat="1" applyFont="1" applyBorder="1"/>
    <xf numFmtId="2" fontId="270" fillId="0" borderId="43" xfId="0" applyNumberFormat="1" applyFont="1" applyBorder="1"/>
    <xf numFmtId="2" fontId="267" fillId="0" borderId="54" xfId="0" applyNumberFormat="1" applyFont="1" applyBorder="1"/>
    <xf numFmtId="2" fontId="267" fillId="0" borderId="45" xfId="0" applyNumberFormat="1" applyFont="1" applyBorder="1"/>
    <xf numFmtId="2" fontId="271" fillId="0" borderId="110" xfId="0" applyNumberFormat="1" applyFont="1" applyBorder="1"/>
    <xf numFmtId="0" fontId="266" fillId="0" borderId="49" xfId="0" applyFont="1" applyBorder="1" applyAlignment="1">
      <alignment horizontal="center" vertical="center" wrapText="1"/>
    </xf>
    <xf numFmtId="0" fontId="270" fillId="0" borderId="109" xfId="0" applyFont="1" applyBorder="1" applyAlignment="1">
      <alignment horizontal="center" vertical="center" wrapText="1"/>
    </xf>
    <xf numFmtId="2" fontId="267" fillId="0" borderId="65" xfId="0" applyNumberFormat="1" applyFont="1" applyBorder="1" applyAlignment="1">
      <alignment horizontal="center" vertical="center"/>
    </xf>
    <xf numFmtId="2" fontId="271" fillId="0" borderId="59" xfId="0" applyNumberFormat="1" applyFont="1" applyBorder="1" applyAlignment="1">
      <alignment horizontal="center" vertical="center"/>
    </xf>
    <xf numFmtId="2" fontId="271" fillId="0" borderId="46" xfId="0" applyNumberFormat="1" applyFont="1" applyBorder="1"/>
    <xf numFmtId="178" fontId="267" fillId="0" borderId="58" xfId="0" applyNumberFormat="1" applyFont="1" applyBorder="1" applyAlignment="1">
      <alignment horizontal="center" vertical="center"/>
    </xf>
    <xf numFmtId="0" fontId="266" fillId="0" borderId="61" xfId="0" applyFont="1" applyBorder="1" applyAlignment="1">
      <alignment horizontal="center" vertical="center" wrapText="1"/>
    </xf>
    <xf numFmtId="0" fontId="270" fillId="0" borderId="62" xfId="0" applyFont="1" applyBorder="1" applyAlignment="1">
      <alignment horizontal="center" vertical="center" wrapText="1"/>
    </xf>
    <xf numFmtId="2" fontId="267" fillId="0" borderId="58" xfId="0" applyNumberFormat="1" applyFont="1" applyBorder="1" applyAlignment="1">
      <alignment vertical="center"/>
    </xf>
    <xf numFmtId="2" fontId="267" fillId="0" borderId="58" xfId="0" applyNumberFormat="1" applyFont="1" applyBorder="1" applyAlignment="1">
      <alignment horizontal="center" vertical="center"/>
    </xf>
    <xf numFmtId="0" fontId="266" fillId="0" borderId="28" xfId="0" applyFont="1" applyBorder="1" applyAlignment="1">
      <alignment horizontal="right" vertical="center" wrapText="1"/>
    </xf>
    <xf numFmtId="4" fontId="269" fillId="0" borderId="0" xfId="0" applyNumberFormat="1" applyFont="1" applyAlignment="1">
      <alignment horizontal="left" vertical="center" wrapText="1"/>
    </xf>
    <xf numFmtId="0" fontId="269" fillId="0" borderId="24" xfId="0" applyFont="1" applyBorder="1" applyAlignment="1">
      <alignment horizontal="center" vertical="center"/>
    </xf>
    <xf numFmtId="0" fontId="266" fillId="0" borderId="37" xfId="0" applyFont="1" applyBorder="1" applyAlignment="1">
      <alignment horizontal="right" vertical="center" wrapText="1"/>
    </xf>
    <xf numFmtId="2" fontId="266" fillId="0" borderId="5" xfId="0" applyNumberFormat="1" applyFont="1" applyBorder="1" applyAlignment="1">
      <alignment horizontal="left" vertical="center" wrapText="1"/>
    </xf>
    <xf numFmtId="0" fontId="269" fillId="0" borderId="38" xfId="0" applyFont="1" applyBorder="1" applyAlignment="1">
      <alignment vertical="center" wrapText="1"/>
    </xf>
    <xf numFmtId="4" fontId="266" fillId="0" borderId="0" xfId="0" applyNumberFormat="1" applyFont="1" applyAlignment="1">
      <alignment horizontal="left" vertical="center" wrapText="1"/>
    </xf>
    <xf numFmtId="0" fontId="39" fillId="0" borderId="67" xfId="0" applyFont="1" applyBorder="1" applyAlignment="1">
      <alignment wrapText="1"/>
    </xf>
    <xf numFmtId="2" fontId="207" fillId="0" borderId="0" xfId="0" applyNumberFormat="1" applyFont="1" applyAlignment="1">
      <alignment horizontal="right"/>
    </xf>
    <xf numFmtId="2" fontId="197" fillId="0" borderId="0" xfId="0" applyNumberFormat="1" applyFont="1" applyAlignment="1">
      <alignment horizontal="right"/>
    </xf>
    <xf numFmtId="0" fontId="38" fillId="0" borderId="97" xfId="0" applyFont="1" applyBorder="1" applyAlignment="1">
      <alignment vertical="top" wrapText="1"/>
    </xf>
    <xf numFmtId="0" fontId="46" fillId="0" borderId="1" xfId="0" applyFont="1" applyBorder="1" applyAlignment="1">
      <alignment vertical="top" wrapText="1"/>
    </xf>
    <xf numFmtId="0" fontId="272" fillId="0" borderId="1" xfId="0" applyFont="1" applyBorder="1" applyAlignment="1">
      <alignment horizontal="center" vertical="center" wrapText="1"/>
    </xf>
    <xf numFmtId="0" fontId="273" fillId="0" borderId="1" xfId="0" applyFont="1" applyBorder="1" applyAlignment="1">
      <alignment horizontal="center" vertical="center" wrapText="1"/>
    </xf>
    <xf numFmtId="0" fontId="46" fillId="0" borderId="1" xfId="0" applyFont="1" applyBorder="1" applyAlignment="1">
      <alignment horizontal="center" vertical="center" wrapText="1"/>
    </xf>
    <xf numFmtId="10" fontId="207" fillId="0" borderId="0" xfId="558" applyNumberFormat="1" applyFont="1"/>
    <xf numFmtId="0" fontId="48" fillId="0" borderId="1" xfId="0" applyFont="1" applyBorder="1" applyAlignment="1">
      <alignment horizontal="center" vertical="center" wrapText="1"/>
    </xf>
    <xf numFmtId="0" fontId="40" fillId="0" borderId="1" xfId="0" applyFont="1" applyBorder="1" applyAlignment="1">
      <alignment horizontal="center"/>
    </xf>
    <xf numFmtId="0" fontId="40" fillId="0" borderId="26" xfId="0" applyFont="1" applyBorder="1" applyAlignment="1">
      <alignment horizontal="center" vertical="center" wrapText="1"/>
    </xf>
    <xf numFmtId="0" fontId="40" fillId="0" borderId="6" xfId="0" applyFont="1" applyBorder="1" applyAlignment="1">
      <alignment horizontal="center" vertical="top" wrapText="1"/>
    </xf>
    <xf numFmtId="0" fontId="40" fillId="0" borderId="31" xfId="0" applyFont="1" applyBorder="1" applyAlignment="1">
      <alignment horizontal="center" vertical="top" wrapText="1"/>
    </xf>
    <xf numFmtId="0" fontId="161" fillId="0" borderId="6" xfId="0" applyFont="1" applyBorder="1" applyAlignment="1">
      <alignment horizontal="center" vertical="top" wrapText="1"/>
    </xf>
    <xf numFmtId="0" fontId="161" fillId="0" borderId="56" xfId="0" applyFont="1" applyBorder="1" applyAlignment="1">
      <alignment vertical="top" wrapText="1"/>
    </xf>
    <xf numFmtId="0" fontId="161" fillId="0" borderId="56" xfId="0" applyFont="1" applyBorder="1" applyAlignment="1">
      <alignment horizontal="center" vertical="top" wrapText="1"/>
    </xf>
    <xf numFmtId="0" fontId="161" fillId="0" borderId="23" xfId="0" applyFont="1" applyBorder="1" applyAlignment="1">
      <alignment horizontal="center" vertical="top" wrapText="1"/>
    </xf>
    <xf numFmtId="0" fontId="40" fillId="0" borderId="6" xfId="0" applyFont="1" applyBorder="1" applyAlignment="1">
      <alignment horizontal="center"/>
    </xf>
    <xf numFmtId="0" fontId="161" fillId="34" borderId="56" xfId="0" applyFont="1" applyFill="1" applyBorder="1" applyAlignment="1">
      <alignment vertical="top" wrapText="1"/>
    </xf>
    <xf numFmtId="0" fontId="47" fillId="0" borderId="1" xfId="556" applyFont="1" applyBorder="1" applyAlignment="1">
      <alignment horizontal="left" vertical="top" wrapText="1"/>
    </xf>
    <xf numFmtId="0" fontId="170" fillId="69" borderId="39" xfId="134" applyFont="1" applyFill="1" applyBorder="1" applyAlignment="1">
      <alignment horizontal="left" vertical="center" wrapText="1"/>
    </xf>
    <xf numFmtId="0" fontId="48" fillId="0" borderId="52" xfId="0" applyFont="1" applyBorder="1" applyAlignment="1">
      <alignment wrapText="1"/>
    </xf>
    <xf numFmtId="0" fontId="39" fillId="0" borderId="52" xfId="0" applyFont="1" applyBorder="1" applyAlignment="1">
      <alignment wrapText="1"/>
    </xf>
    <xf numFmtId="0" fontId="48" fillId="0" borderId="92" xfId="0" applyFont="1" applyBorder="1" applyAlignment="1">
      <alignment wrapText="1"/>
    </xf>
    <xf numFmtId="0" fontId="145" fillId="0" borderId="53" xfId="556" applyFont="1" applyBorder="1" applyAlignment="1">
      <alignment horizontal="left" vertical="center" wrapText="1"/>
    </xf>
    <xf numFmtId="2" fontId="48" fillId="0" borderId="9" xfId="0" applyNumberFormat="1" applyFont="1" applyBorder="1" applyAlignment="1">
      <alignment horizontal="center" vertical="center"/>
    </xf>
    <xf numFmtId="2" fontId="39" fillId="0" borderId="9" xfId="0" applyNumberFormat="1" applyFont="1" applyBorder="1" applyAlignment="1">
      <alignment horizontal="center" vertical="center"/>
    </xf>
    <xf numFmtId="2" fontId="48" fillId="0" borderId="9" xfId="0" applyNumberFormat="1" applyFont="1" applyBorder="1" applyAlignment="1">
      <alignment horizontal="center"/>
    </xf>
    <xf numFmtId="2" fontId="48" fillId="0" borderId="77" xfId="0" applyNumberFormat="1" applyFont="1" applyBorder="1" applyAlignment="1">
      <alignment horizontal="center"/>
    </xf>
    <xf numFmtId="0" fontId="39" fillId="0" borderId="6" xfId="0" applyFont="1" applyBorder="1" applyAlignment="1">
      <alignment horizontal="center" wrapText="1"/>
    </xf>
    <xf numFmtId="0" fontId="48" fillId="0" borderId="87" xfId="0" applyFont="1" applyBorder="1" applyAlignment="1">
      <alignment horizontal="center" vertical="center" wrapText="1"/>
    </xf>
    <xf numFmtId="1" fontId="38" fillId="0" borderId="1" xfId="0" applyNumberFormat="1" applyFont="1" applyBorder="1" applyAlignment="1">
      <alignment horizontal="center" vertical="center"/>
    </xf>
    <xf numFmtId="1" fontId="38" fillId="0" borderId="8" xfId="0" applyNumberFormat="1" applyFont="1" applyBorder="1" applyAlignment="1">
      <alignment horizontal="center" vertical="center"/>
    </xf>
    <xf numFmtId="1" fontId="46" fillId="0" borderId="1" xfId="0" applyNumberFormat="1" applyFont="1" applyBorder="1" applyAlignment="1">
      <alignment horizontal="center" vertical="center"/>
    </xf>
    <xf numFmtId="1" fontId="90" fillId="0" borderId="0" xfId="0" applyNumberFormat="1" applyFont="1" applyAlignment="1">
      <alignment horizontal="center" vertical="center"/>
    </xf>
    <xf numFmtId="0" fontId="185" fillId="0" borderId="5" xfId="0" applyFont="1" applyBorder="1"/>
    <xf numFmtId="0" fontId="185" fillId="0" borderId="0" xfId="0" applyFont="1"/>
    <xf numFmtId="181" fontId="89" fillId="0" borderId="1" xfId="0" applyNumberFormat="1" applyFont="1" applyBorder="1"/>
    <xf numFmtId="0" fontId="0" fillId="0" borderId="3" xfId="0" applyBorder="1"/>
    <xf numFmtId="164" fontId="275" fillId="0" borderId="0" xfId="559" applyFont="1" applyAlignment="1">
      <alignment horizontal="right"/>
    </xf>
    <xf numFmtId="2" fontId="275" fillId="0" borderId="0" xfId="0" applyNumberFormat="1" applyFont="1" applyAlignment="1">
      <alignment horizontal="right"/>
    </xf>
    <xf numFmtId="2" fontId="39" fillId="0" borderId="0" xfId="0" applyNumberFormat="1" applyFont="1" applyAlignment="1">
      <alignment horizontal="left"/>
    </xf>
    <xf numFmtId="0" fontId="139" fillId="0" borderId="58" xfId="0" applyFont="1" applyBorder="1" applyAlignment="1">
      <alignment horizontal="left" vertical="center" wrapText="1"/>
    </xf>
    <xf numFmtId="4" fontId="139" fillId="0" borderId="58" xfId="0" applyNumberFormat="1" applyFont="1" applyBorder="1" applyAlignment="1">
      <alignment horizontal="right" wrapText="1"/>
    </xf>
    <xf numFmtId="0" fontId="139" fillId="0" borderId="45" xfId="0" applyFont="1" applyBorder="1" applyAlignment="1">
      <alignment horizontal="left" vertical="center" wrapText="1"/>
    </xf>
    <xf numFmtId="4" fontId="139" fillId="0" borderId="45" xfId="0" applyNumberFormat="1" applyFont="1" applyBorder="1" applyAlignment="1">
      <alignment horizontal="right" wrapText="1"/>
    </xf>
    <xf numFmtId="0" fontId="249" fillId="0" borderId="58" xfId="0" applyFont="1" applyBorder="1" applyAlignment="1">
      <alignment horizontal="left" vertical="center" wrapText="1"/>
    </xf>
    <xf numFmtId="4" fontId="249" fillId="0" borderId="58" xfId="0" applyNumberFormat="1" applyFont="1" applyBorder="1" applyAlignment="1">
      <alignment horizontal="right" wrapText="1"/>
    </xf>
    <xf numFmtId="0" fontId="249" fillId="0" borderId="45" xfId="0" applyFont="1" applyBorder="1" applyAlignment="1">
      <alignment horizontal="left" vertical="center" wrapText="1"/>
    </xf>
    <xf numFmtId="4" fontId="249" fillId="0" borderId="45" xfId="0" applyNumberFormat="1" applyFont="1" applyBorder="1" applyAlignment="1">
      <alignment horizontal="right" wrapText="1"/>
    </xf>
    <xf numFmtId="0" fontId="139" fillId="0" borderId="3" xfId="0" applyFont="1" applyBorder="1" applyAlignment="1">
      <alignment horizontal="left" vertical="center" wrapText="1"/>
    </xf>
    <xf numFmtId="4" fontId="139" fillId="0" borderId="3" xfId="0" applyNumberFormat="1" applyFont="1" applyBorder="1" applyAlignment="1">
      <alignment horizontal="right" wrapText="1"/>
    </xf>
    <xf numFmtId="0" fontId="139" fillId="0" borderId="60" xfId="0" applyFont="1" applyBorder="1" applyAlignment="1">
      <alignment horizontal="center" wrapText="1"/>
    </xf>
    <xf numFmtId="0" fontId="139" fillId="0" borderId="61" xfId="0" applyFont="1" applyBorder="1" applyAlignment="1">
      <alignment horizontal="center" wrapText="1"/>
    </xf>
    <xf numFmtId="179" fontId="40" fillId="0" borderId="8" xfId="0" applyNumberFormat="1" applyFont="1" applyBorder="1"/>
    <xf numFmtId="0" fontId="250" fillId="0" borderId="0" xfId="0" applyFont="1" applyAlignment="1">
      <alignment wrapText="1"/>
    </xf>
    <xf numFmtId="0" fontId="251" fillId="0" borderId="0" xfId="0" applyFont="1" applyAlignment="1">
      <alignment vertical="center" wrapText="1"/>
    </xf>
    <xf numFmtId="0" fontId="36" fillId="0" borderId="6" xfId="0" applyFont="1" applyBorder="1" applyAlignment="1">
      <alignment horizontal="center" vertical="top" wrapText="1"/>
    </xf>
    <xf numFmtId="0" fontId="36" fillId="0" borderId="31" xfId="0" applyFont="1" applyBorder="1" applyAlignment="1">
      <alignment horizontal="center" vertical="top" wrapText="1"/>
    </xf>
    <xf numFmtId="0" fontId="40" fillId="59" borderId="0" xfId="0" applyFont="1" applyFill="1"/>
    <xf numFmtId="4" fontId="40" fillId="59" borderId="0" xfId="0" applyNumberFormat="1" applyFont="1" applyFill="1"/>
    <xf numFmtId="0" fontId="40" fillId="59" borderId="0" xfId="0" applyFont="1" applyFill="1" applyAlignment="1">
      <alignment horizontal="center" vertical="center"/>
    </xf>
    <xf numFmtId="4" fontId="205" fillId="0" borderId="40" xfId="240" applyNumberFormat="1" applyFont="1" applyBorder="1" applyAlignment="1">
      <alignment horizontal="center" vertical="center" wrapText="1"/>
    </xf>
    <xf numFmtId="0" fontId="36" fillId="0" borderId="1" xfId="240" applyFont="1" applyBorder="1" applyAlignment="1">
      <alignment vertical="center" wrapText="1"/>
    </xf>
    <xf numFmtId="0" fontId="36" fillId="0" borderId="1" xfId="0" applyFont="1" applyBorder="1" applyAlignment="1">
      <alignment horizontal="left" vertical="center" wrapText="1" indent="1"/>
    </xf>
    <xf numFmtId="0" fontId="36" fillId="0" borderId="0" xfId="240" applyFont="1" applyAlignment="1">
      <alignment vertical="top" wrapText="1"/>
    </xf>
    <xf numFmtId="0" fontId="39" fillId="0" borderId="0" xfId="240" applyFont="1" applyAlignment="1">
      <alignment vertical="top" wrapText="1"/>
    </xf>
    <xf numFmtId="0" fontId="36" fillId="0" borderId="1" xfId="0" applyFont="1" applyBorder="1" applyAlignment="1">
      <alignment vertical="top" wrapText="1"/>
    </xf>
    <xf numFmtId="0" fontId="36" fillId="0" borderId="4" xfId="240" applyFont="1" applyBorder="1" applyAlignment="1">
      <alignment vertical="top" wrapText="1"/>
    </xf>
    <xf numFmtId="0" fontId="36" fillId="0" borderId="79" xfId="0" applyFont="1" applyBorder="1" applyAlignment="1">
      <alignment vertical="top" wrapText="1"/>
    </xf>
    <xf numFmtId="0" fontId="42" fillId="0" borderId="3" xfId="240" applyFont="1" applyBorder="1" applyAlignment="1">
      <alignment vertical="top" wrapText="1"/>
    </xf>
    <xf numFmtId="0" fontId="36" fillId="0" borderId="1" xfId="240" applyFont="1" applyBorder="1" applyAlignment="1">
      <alignment vertical="top" wrapText="1"/>
    </xf>
    <xf numFmtId="0" fontId="36" fillId="0" borderId="79" xfId="240" applyFont="1" applyBorder="1" applyAlignment="1">
      <alignment vertical="top" wrapText="1"/>
    </xf>
    <xf numFmtId="0" fontId="42" fillId="0" borderId="1" xfId="0" applyFont="1" applyBorder="1" applyAlignment="1">
      <alignment vertical="top" wrapText="1"/>
    </xf>
    <xf numFmtId="0" fontId="36" fillId="0" borderId="3" xfId="240" applyFont="1" applyBorder="1" applyAlignment="1">
      <alignment vertical="top" wrapText="1"/>
    </xf>
    <xf numFmtId="0" fontId="230" fillId="0" borderId="0" xfId="240" applyFont="1"/>
    <xf numFmtId="9" fontId="258" fillId="0" borderId="7" xfId="558" applyFont="1" applyBorder="1" applyAlignment="1">
      <alignment horizontal="center" vertical="center" wrapText="1"/>
    </xf>
    <xf numFmtId="9" fontId="40" fillId="0" borderId="0" xfId="558" applyFont="1" applyAlignment="1">
      <alignment horizontal="center"/>
    </xf>
    <xf numFmtId="2" fontId="39" fillId="74" borderId="0" xfId="0" applyNumberFormat="1" applyFont="1" applyFill="1"/>
    <xf numFmtId="0" fontId="39" fillId="74" borderId="0" xfId="0" applyFont="1" applyFill="1" applyAlignment="1">
      <alignment horizontal="center" vertical="center"/>
    </xf>
    <xf numFmtId="2" fontId="207" fillId="74" borderId="0" xfId="0" applyNumberFormat="1" applyFont="1" applyFill="1" applyAlignment="1">
      <alignment horizontal="right"/>
    </xf>
    <xf numFmtId="2" fontId="197" fillId="74" borderId="0" xfId="0" applyNumberFormat="1" applyFont="1" applyFill="1" applyAlignment="1">
      <alignment horizontal="right"/>
    </xf>
    <xf numFmtId="0" fontId="207" fillId="74" borderId="0" xfId="0" applyFont="1" applyFill="1"/>
    <xf numFmtId="2" fontId="207" fillId="2" borderId="0" xfId="0" applyNumberFormat="1" applyFont="1" applyFill="1"/>
    <xf numFmtId="4" fontId="207" fillId="2" borderId="0" xfId="0" applyNumberFormat="1" applyFont="1" applyFill="1"/>
    <xf numFmtId="4" fontId="102" fillId="74" borderId="0" xfId="0" applyNumberFormat="1" applyFont="1" applyFill="1"/>
    <xf numFmtId="0" fontId="256" fillId="74" borderId="0" xfId="0" applyFont="1" applyFill="1" applyAlignment="1">
      <alignment horizontal="center" vertical="center"/>
    </xf>
    <xf numFmtId="0" fontId="255" fillId="74" borderId="0" xfId="0" applyFont="1" applyFill="1" applyAlignment="1">
      <alignment horizontal="center" vertical="center"/>
    </xf>
    <xf numFmtId="0" fontId="139" fillId="74" borderId="0" xfId="0" applyFont="1" applyFill="1" applyAlignment="1">
      <alignment horizontal="center"/>
    </xf>
    <xf numFmtId="0" fontId="40" fillId="74" borderId="0" xfId="0" applyFont="1" applyFill="1"/>
    <xf numFmtId="0" fontId="139" fillId="0" borderId="62" xfId="0" applyFont="1" applyBorder="1" applyAlignment="1">
      <alignment horizontal="center" wrapText="1"/>
    </xf>
    <xf numFmtId="4" fontId="249" fillId="0" borderId="59" xfId="0" applyNumberFormat="1" applyFont="1" applyBorder="1" applyAlignment="1">
      <alignment horizontal="right" wrapText="1"/>
    </xf>
    <xf numFmtId="4" fontId="249" fillId="0" borderId="46" xfId="0" applyNumberFormat="1" applyFont="1" applyBorder="1" applyAlignment="1">
      <alignment horizontal="right" wrapText="1"/>
    </xf>
    <xf numFmtId="4" fontId="139" fillId="0" borderId="59" xfId="0" applyNumberFormat="1" applyFont="1" applyBorder="1" applyAlignment="1">
      <alignment horizontal="right" wrapText="1"/>
    </xf>
    <xf numFmtId="4" fontId="139" fillId="0" borderId="46" xfId="0" applyNumberFormat="1" applyFont="1" applyBorder="1" applyAlignment="1">
      <alignment horizontal="right" wrapText="1"/>
    </xf>
    <xf numFmtId="4" fontId="40" fillId="0" borderId="59" xfId="0" applyNumberFormat="1" applyFont="1" applyBorder="1" applyAlignment="1">
      <alignment horizontal="right" wrapText="1"/>
    </xf>
    <xf numFmtId="4" fontId="139" fillId="0" borderId="43" xfId="0" applyNumberFormat="1" applyFont="1" applyBorder="1" applyAlignment="1">
      <alignment horizontal="right" wrapText="1"/>
    </xf>
    <xf numFmtId="9" fontId="0" fillId="0" borderId="0" xfId="558" applyFont="1"/>
    <xf numFmtId="4" fontId="247" fillId="0" borderId="57" xfId="0" applyNumberFormat="1" applyFont="1" applyBorder="1"/>
    <xf numFmtId="176" fontId="39" fillId="0" borderId="59" xfId="558" applyNumberFormat="1" applyFont="1" applyFill="1" applyBorder="1"/>
    <xf numFmtId="4" fontId="247" fillId="0" borderId="39" xfId="0" applyNumberFormat="1" applyFont="1" applyBorder="1"/>
    <xf numFmtId="176" fontId="39" fillId="0" borderId="40" xfId="558" applyNumberFormat="1" applyFont="1" applyFill="1" applyBorder="1"/>
    <xf numFmtId="0" fontId="39" fillId="0" borderId="1" xfId="0" applyFont="1" applyBorder="1" applyAlignment="1">
      <alignment horizontal="center" wrapText="1"/>
    </xf>
    <xf numFmtId="0" fontId="141" fillId="0" borderId="1" xfId="0" applyFont="1" applyBorder="1" applyAlignment="1">
      <alignment horizontal="center"/>
    </xf>
    <xf numFmtId="4" fontId="247" fillId="0" borderId="39" xfId="0" applyNumberFormat="1" applyFont="1" applyBorder="1" applyAlignment="1">
      <alignment horizontal="center"/>
    </xf>
    <xf numFmtId="4" fontId="141" fillId="0" borderId="1" xfId="0" applyNumberFormat="1" applyFont="1" applyBorder="1"/>
    <xf numFmtId="4" fontId="247" fillId="0" borderId="44" xfId="0" applyNumberFormat="1" applyFont="1" applyBorder="1"/>
    <xf numFmtId="176" fontId="39" fillId="0" borderId="46" xfId="558" applyNumberFormat="1" applyFont="1" applyFill="1" applyBorder="1"/>
    <xf numFmtId="0" fontId="48" fillId="0" borderId="1" xfId="0" applyFont="1" applyBorder="1" applyAlignment="1">
      <alignment wrapText="1"/>
    </xf>
    <xf numFmtId="4" fontId="154" fillId="0" borderId="1" xfId="0" applyNumberFormat="1" applyFont="1" applyBorder="1"/>
    <xf numFmtId="4" fontId="48" fillId="0" borderId="0" xfId="0" applyNumberFormat="1" applyFont="1"/>
    <xf numFmtId="4" fontId="39" fillId="0" borderId="0" xfId="0" applyNumberFormat="1" applyFont="1"/>
    <xf numFmtId="0" fontId="36" fillId="0" borderId="1" xfId="0" applyFont="1" applyBorder="1" applyAlignment="1">
      <alignment horizontal="right" wrapText="1"/>
    </xf>
    <xf numFmtId="0" fontId="36" fillId="0" borderId="1" xfId="0" applyFont="1" applyBorder="1" applyAlignment="1">
      <alignment wrapText="1"/>
    </xf>
    <xf numFmtId="4" fontId="48" fillId="0" borderId="0" xfId="0" applyNumberFormat="1" applyFont="1" applyAlignment="1">
      <alignment horizontal="right"/>
    </xf>
    <xf numFmtId="4" fontId="207" fillId="0" borderId="0" xfId="0" applyNumberFormat="1" applyFont="1"/>
    <xf numFmtId="0" fontId="47" fillId="0" borderId="1" xfId="0" applyFont="1" applyBorder="1" applyAlignment="1">
      <alignment horizontal="center" vertical="center" wrapText="1"/>
    </xf>
    <xf numFmtId="0" fontId="170" fillId="0" borderId="40" xfId="556" applyFont="1" applyBorder="1" applyAlignment="1">
      <alignment horizontal="center" vertical="center" wrapText="1"/>
    </xf>
    <xf numFmtId="4" fontId="170" fillId="0" borderId="1" xfId="0" applyNumberFormat="1" applyFont="1" applyBorder="1" applyAlignment="1">
      <alignment horizontal="center"/>
    </xf>
    <xf numFmtId="0" fontId="50" fillId="0" borderId="40" xfId="556" applyFont="1" applyBorder="1" applyAlignment="1">
      <alignment horizontal="center" vertical="center" wrapText="1"/>
    </xf>
    <xf numFmtId="4" fontId="142" fillId="0" borderId="1" xfId="0" applyNumberFormat="1" applyFont="1" applyBorder="1"/>
    <xf numFmtId="2" fontId="254" fillId="0" borderId="0" xfId="0" applyNumberFormat="1" applyFont="1"/>
    <xf numFmtId="4" fontId="141" fillId="0" borderId="0" xfId="0" applyNumberFormat="1" applyFont="1"/>
    <xf numFmtId="4" fontId="170" fillId="0" borderId="1" xfId="0" applyNumberFormat="1" applyFont="1" applyBorder="1" applyAlignment="1">
      <alignment horizontal="center" vertical="center"/>
    </xf>
    <xf numFmtId="4" fontId="170" fillId="0" borderId="1" xfId="0" applyNumberFormat="1" applyFont="1" applyBorder="1"/>
    <xf numFmtId="0" fontId="36" fillId="0" borderId="1" xfId="0" applyFont="1" applyBorder="1" applyAlignment="1">
      <alignment horizontal="center" wrapText="1"/>
    </xf>
    <xf numFmtId="10" fontId="39" fillId="0" borderId="0" xfId="558" applyNumberFormat="1" applyFont="1" applyFill="1"/>
    <xf numFmtId="4" fontId="142" fillId="0" borderId="1" xfId="0" applyNumberFormat="1" applyFont="1" applyBorder="1" applyAlignment="1">
      <alignment horizontal="right"/>
    </xf>
    <xf numFmtId="0" fontId="5" fillId="0" borderId="0" xfId="0" applyFont="1"/>
    <xf numFmtId="0" fontId="39" fillId="0" borderId="6" xfId="0" applyFont="1" applyBorder="1" applyAlignment="1">
      <alignment horizontal="right"/>
    </xf>
    <xf numFmtId="9" fontId="39" fillId="0" borderId="0" xfId="558" applyFont="1" applyFill="1"/>
    <xf numFmtId="4" fontId="38" fillId="0" borderId="1" xfId="0" applyNumberFormat="1" applyFont="1" applyBorder="1"/>
    <xf numFmtId="9" fontId="39" fillId="0" borderId="1" xfId="558" applyFont="1" applyFill="1" applyBorder="1"/>
    <xf numFmtId="0" fontId="224" fillId="0" borderId="1" xfId="0" applyFont="1" applyBorder="1" applyAlignment="1">
      <alignment wrapText="1"/>
    </xf>
    <xf numFmtId="4" fontId="229" fillId="0" borderId="1" xfId="0" applyNumberFormat="1" applyFont="1" applyBorder="1"/>
    <xf numFmtId="9" fontId="229" fillId="0" borderId="1" xfId="558" applyFont="1" applyFill="1" applyBorder="1"/>
    <xf numFmtId="0" fontId="37" fillId="0" borderId="0" xfId="0" applyFont="1" applyAlignment="1">
      <alignment wrapText="1"/>
    </xf>
    <xf numFmtId="2" fontId="36" fillId="0" borderId="1" xfId="240" applyNumberFormat="1" applyFont="1" applyBorder="1" applyAlignment="1">
      <alignment horizontal="center" vertical="center" wrapText="1"/>
    </xf>
    <xf numFmtId="2" fontId="42" fillId="0" borderId="1" xfId="240" applyNumberFormat="1" applyFont="1" applyBorder="1" applyAlignment="1">
      <alignment horizontal="center" vertical="center" wrapText="1"/>
    </xf>
    <xf numFmtId="4" fontId="36" fillId="0" borderId="1" xfId="240" applyNumberFormat="1" applyFont="1" applyBorder="1" applyAlignment="1">
      <alignment horizontal="center" vertical="center" wrapText="1"/>
    </xf>
    <xf numFmtId="10" fontId="36" fillId="0" borderId="1" xfId="240" applyNumberFormat="1" applyFont="1" applyBorder="1" applyAlignment="1">
      <alignment horizontal="center" vertical="center" wrapText="1"/>
    </xf>
    <xf numFmtId="49" fontId="39" fillId="0" borderId="0" xfId="556" applyNumberFormat="1" applyFont="1" applyAlignment="1">
      <alignment horizontal="center" vertical="center"/>
    </xf>
    <xf numFmtId="0" fontId="108" fillId="0" borderId="0" xfId="556" applyFont="1" applyAlignment="1">
      <alignment horizontal="left" vertical="center"/>
    </xf>
    <xf numFmtId="0" fontId="40" fillId="0" borderId="0" xfId="556" applyFont="1" applyAlignment="1">
      <alignment vertical="center" wrapText="1"/>
    </xf>
    <xf numFmtId="2" fontId="40" fillId="0" borderId="0" xfId="556" applyNumberFormat="1" applyFont="1" applyAlignment="1">
      <alignment vertical="center" wrapText="1"/>
    </xf>
    <xf numFmtId="0" fontId="143" fillId="0" borderId="0" xfId="556" applyFont="1" applyAlignment="1">
      <alignment horizontal="center" vertical="center"/>
    </xf>
    <xf numFmtId="0" fontId="122" fillId="0" borderId="0" xfId="556" applyFont="1"/>
    <xf numFmtId="2" fontId="122" fillId="0" borderId="0" xfId="556" applyNumberFormat="1" applyFont="1"/>
    <xf numFmtId="0" fontId="114" fillId="0" borderId="0" xfId="556" applyFont="1"/>
    <xf numFmtId="0" fontId="144" fillId="0" borderId="0" xfId="556" applyFont="1"/>
    <xf numFmtId="10" fontId="12" fillId="0" borderId="0" xfId="556" applyNumberFormat="1"/>
    <xf numFmtId="0" fontId="98" fillId="0" borderId="52" xfId="556" applyFont="1" applyBorder="1" applyAlignment="1">
      <alignment horizontal="center" vertical="center" wrapText="1"/>
    </xf>
    <xf numFmtId="0" fontId="98" fillId="0" borderId="53" xfId="556" applyFont="1" applyBorder="1" applyAlignment="1">
      <alignment horizontal="center" vertical="center" wrapText="1"/>
    </xf>
    <xf numFmtId="4" fontId="12" fillId="0" borderId="0" xfId="556" applyNumberFormat="1"/>
    <xf numFmtId="188" fontId="12" fillId="0" borderId="0" xfId="556" applyNumberFormat="1"/>
    <xf numFmtId="188" fontId="122" fillId="0" borderId="0" xfId="556" applyNumberFormat="1" applyFont="1"/>
    <xf numFmtId="188" fontId="113" fillId="0" borderId="0" xfId="556" applyNumberFormat="1" applyFont="1"/>
    <xf numFmtId="2" fontId="145" fillId="0" borderId="39" xfId="556" applyNumberFormat="1" applyFont="1" applyBorder="1" applyAlignment="1">
      <alignment horizontal="center" vertical="center" wrapText="1"/>
    </xf>
    <xf numFmtId="188" fontId="31" fillId="0" borderId="0" xfId="556" applyNumberFormat="1" applyFont="1"/>
    <xf numFmtId="2" fontId="145" fillId="0" borderId="44" xfId="556" applyNumberFormat="1" applyFont="1" applyBorder="1" applyAlignment="1">
      <alignment horizontal="center" vertical="center" wrapText="1"/>
    </xf>
    <xf numFmtId="177" fontId="12" fillId="0" borderId="0" xfId="556" applyNumberFormat="1"/>
    <xf numFmtId="177" fontId="98" fillId="0" borderId="52" xfId="556" applyNumberFormat="1" applyFont="1" applyBorder="1" applyAlignment="1">
      <alignment horizontal="center" vertical="center" wrapText="1"/>
    </xf>
    <xf numFmtId="2" fontId="98" fillId="0" borderId="92" xfId="556" applyNumberFormat="1" applyFont="1" applyBorder="1" applyAlignment="1">
      <alignment horizontal="center" vertical="center" wrapText="1"/>
    </xf>
    <xf numFmtId="49" fontId="48" fillId="0" borderId="60" xfId="556" applyNumberFormat="1" applyFont="1" applyBorder="1" applyAlignment="1">
      <alignment horizontal="center" vertical="center"/>
    </xf>
    <xf numFmtId="2" fontId="145" fillId="0" borderId="48" xfId="556" applyNumberFormat="1" applyFont="1" applyBorder="1" applyAlignment="1">
      <alignment horizontal="center" vertical="center" wrapText="1"/>
    </xf>
    <xf numFmtId="2" fontId="145" fillId="0" borderId="41" xfId="556" applyNumberFormat="1" applyFont="1" applyBorder="1" applyAlignment="1">
      <alignment horizontal="center" vertical="center" wrapText="1"/>
    </xf>
    <xf numFmtId="49" fontId="48" fillId="0" borderId="57" xfId="556" applyNumberFormat="1" applyFont="1" applyBorder="1" applyAlignment="1">
      <alignment horizontal="center" vertical="center"/>
    </xf>
    <xf numFmtId="2" fontId="98" fillId="0" borderId="48" xfId="556" applyNumberFormat="1" applyFont="1" applyBorder="1" applyAlignment="1">
      <alignment horizontal="center" vertical="center" wrapText="1"/>
    </xf>
    <xf numFmtId="49" fontId="48" fillId="0" borderId="92" xfId="556" applyNumberFormat="1" applyFont="1" applyBorder="1" applyAlignment="1">
      <alignment horizontal="center" vertical="center"/>
    </xf>
    <xf numFmtId="49" fontId="48" fillId="0" borderId="6" xfId="556" applyNumberFormat="1" applyFont="1" applyBorder="1" applyAlignment="1">
      <alignment horizontal="center" vertical="center"/>
    </xf>
    <xf numFmtId="49" fontId="48" fillId="0" borderId="33" xfId="556" applyNumberFormat="1" applyFont="1" applyBorder="1" applyAlignment="1">
      <alignment horizontal="center" vertical="center"/>
    </xf>
    <xf numFmtId="4" fontId="145" fillId="0" borderId="42" xfId="556" applyNumberFormat="1" applyFont="1" applyBorder="1" applyAlignment="1">
      <alignment horizontal="center" vertical="center" wrapText="1"/>
    </xf>
    <xf numFmtId="49" fontId="48" fillId="0" borderId="71" xfId="556" applyNumberFormat="1" applyFont="1" applyBorder="1" applyAlignment="1">
      <alignment horizontal="center" vertical="center"/>
    </xf>
    <xf numFmtId="4" fontId="98" fillId="0" borderId="39" xfId="556" applyNumberFormat="1" applyFont="1" applyBorder="1" applyAlignment="1">
      <alignment horizontal="center" vertical="center" wrapText="1"/>
    </xf>
    <xf numFmtId="4" fontId="145" fillId="0" borderId="39" xfId="556" applyNumberFormat="1" applyFont="1" applyBorder="1" applyAlignment="1">
      <alignment horizontal="center" vertical="center" wrapText="1"/>
    </xf>
    <xf numFmtId="49" fontId="48" fillId="0" borderId="67" xfId="556" applyNumberFormat="1" applyFont="1" applyBorder="1" applyAlignment="1">
      <alignment horizontal="center" vertical="center"/>
    </xf>
    <xf numFmtId="49" fontId="39" fillId="0" borderId="68" xfId="556" applyNumberFormat="1" applyFont="1" applyBorder="1" applyAlignment="1">
      <alignment horizontal="center" vertical="center"/>
    </xf>
    <xf numFmtId="49" fontId="39" fillId="0" borderId="48" xfId="556" applyNumberFormat="1" applyFont="1" applyBorder="1" applyAlignment="1">
      <alignment horizontal="center" vertical="center"/>
    </xf>
    <xf numFmtId="4" fontId="12" fillId="0" borderId="27" xfId="556" applyNumberFormat="1" applyBorder="1"/>
    <xf numFmtId="0" fontId="12" fillId="0" borderId="24" xfId="556" applyBorder="1"/>
    <xf numFmtId="2" fontId="12" fillId="0" borderId="24" xfId="556" applyNumberFormat="1" applyBorder="1"/>
    <xf numFmtId="4" fontId="12" fillId="0" borderId="24" xfId="556" applyNumberFormat="1" applyBorder="1"/>
    <xf numFmtId="2" fontId="12" fillId="0" borderId="56" xfId="556" applyNumberFormat="1" applyBorder="1"/>
    <xf numFmtId="49" fontId="39" fillId="0" borderId="57" xfId="556" applyNumberFormat="1" applyFont="1" applyBorder="1" applyAlignment="1">
      <alignment horizontal="center" vertical="center"/>
    </xf>
    <xf numFmtId="49" fontId="39" fillId="0" borderId="44" xfId="556" applyNumberFormat="1" applyFont="1" applyBorder="1" applyAlignment="1">
      <alignment horizontal="center" vertical="center"/>
    </xf>
    <xf numFmtId="49" fontId="39" fillId="0" borderId="1" xfId="556" applyNumberFormat="1" applyFont="1" applyBorder="1" applyAlignment="1">
      <alignment horizontal="center" vertical="center"/>
    </xf>
    <xf numFmtId="0" fontId="98" fillId="0" borderId="0" xfId="556" applyFont="1" applyAlignment="1">
      <alignment vertical="center" wrapText="1"/>
    </xf>
    <xf numFmtId="0" fontId="98" fillId="0" borderId="0" xfId="556" applyFont="1" applyAlignment="1">
      <alignment horizontal="center" vertical="center" wrapText="1"/>
    </xf>
    <xf numFmtId="2" fontId="98" fillId="0" borderId="0" xfId="556" applyNumberFormat="1" applyFont="1" applyAlignment="1">
      <alignment horizontal="center" vertical="center" wrapText="1"/>
    </xf>
    <xf numFmtId="0" fontId="38" fillId="0" borderId="0" xfId="556" applyFont="1" applyAlignment="1">
      <alignment vertical="center" wrapText="1"/>
    </xf>
    <xf numFmtId="49" fontId="39" fillId="0" borderId="0" xfId="556" applyNumberFormat="1" applyFont="1" applyAlignment="1">
      <alignment horizontal="left" vertical="center"/>
    </xf>
    <xf numFmtId="2" fontId="47" fillId="0" borderId="0" xfId="556" applyNumberFormat="1" applyFont="1" applyAlignment="1">
      <alignment horizontal="left" vertical="center"/>
    </xf>
    <xf numFmtId="2" fontId="12" fillId="0" borderId="0" xfId="556" applyNumberFormat="1" applyAlignment="1">
      <alignment horizontal="center"/>
    </xf>
    <xf numFmtId="0" fontId="40" fillId="0" borderId="1" xfId="556" applyFont="1" applyBorder="1" applyAlignment="1">
      <alignment vertical="center"/>
    </xf>
    <xf numFmtId="0" fontId="12" fillId="0" borderId="1" xfId="556" applyBorder="1"/>
    <xf numFmtId="0" fontId="6" fillId="0" borderId="1" xfId="556" applyFont="1" applyBorder="1" applyAlignment="1">
      <alignment horizontal="center" vertical="center"/>
    </xf>
    <xf numFmtId="2" fontId="12" fillId="0" borderId="1" xfId="556" applyNumberFormat="1" applyBorder="1" applyAlignment="1">
      <alignment horizontal="center" vertical="center"/>
    </xf>
    <xf numFmtId="0" fontId="6" fillId="0" borderId="1" xfId="556" applyFont="1" applyBorder="1"/>
    <xf numFmtId="0" fontId="12" fillId="0" borderId="1" xfId="556" applyBorder="1" applyAlignment="1">
      <alignment horizontal="center" vertical="center"/>
    </xf>
    <xf numFmtId="9" fontId="12" fillId="0" borderId="0" xfId="558" applyFont="1" applyFill="1"/>
    <xf numFmtId="0" fontId="190" fillId="0" borderId="56" xfId="0" applyFont="1" applyBorder="1" applyAlignment="1">
      <alignment horizontal="center"/>
    </xf>
    <xf numFmtId="0" fontId="96" fillId="0" borderId="56" xfId="0" applyFont="1" applyBorder="1" applyAlignment="1">
      <alignment horizontal="center"/>
    </xf>
    <xf numFmtId="0" fontId="277" fillId="0" borderId="23" xfId="0" applyFont="1" applyBorder="1" applyAlignment="1">
      <alignment wrapText="1"/>
    </xf>
    <xf numFmtId="0" fontId="277" fillId="0" borderId="56" xfId="0" applyFont="1" applyBorder="1" applyAlignment="1">
      <alignment horizontal="center" wrapText="1"/>
    </xf>
    <xf numFmtId="0" fontId="190" fillId="0" borderId="56" xfId="0" applyFont="1" applyBorder="1" applyAlignment="1">
      <alignment horizontal="right"/>
    </xf>
    <xf numFmtId="0" fontId="96" fillId="0" borderId="56" xfId="0" applyFont="1" applyBorder="1" applyAlignment="1">
      <alignment horizontal="right"/>
    </xf>
    <xf numFmtId="0" fontId="278" fillId="0" borderId="23" xfId="0" applyFont="1" applyBorder="1" applyAlignment="1">
      <alignment wrapText="1"/>
    </xf>
    <xf numFmtId="0" fontId="278" fillId="0" borderId="56" xfId="0" applyFont="1" applyBorder="1" applyAlignment="1">
      <alignment horizontal="center" wrapText="1"/>
    </xf>
    <xf numFmtId="0" fontId="96" fillId="0" borderId="35" xfId="0" applyFont="1" applyBorder="1" applyAlignment="1">
      <alignment horizontal="right"/>
    </xf>
    <xf numFmtId="2" fontId="98" fillId="0" borderId="51" xfId="556" applyNumberFormat="1" applyFont="1" applyBorder="1" applyAlignment="1">
      <alignment horizontal="center" vertical="center" wrapText="1"/>
    </xf>
    <xf numFmtId="4" fontId="145" fillId="0" borderId="41" xfId="556" applyNumberFormat="1" applyFont="1" applyBorder="1" applyAlignment="1">
      <alignment horizontal="center" vertical="center" wrapText="1"/>
    </xf>
    <xf numFmtId="0" fontId="98" fillId="0" borderId="0" xfId="0" applyFont="1" applyAlignment="1">
      <alignment horizontal="left"/>
    </xf>
    <xf numFmtId="2" fontId="163" fillId="0" borderId="102" xfId="116" applyNumberFormat="1" applyFont="1" applyBorder="1" applyAlignment="1">
      <alignment vertical="center"/>
    </xf>
    <xf numFmtId="0" fontId="92" fillId="0" borderId="0" xfId="116" applyFont="1" applyAlignment="1">
      <alignment horizontal="right"/>
    </xf>
    <xf numFmtId="0" fontId="102" fillId="0" borderId="0" xfId="116" applyFont="1" applyAlignment="1">
      <alignment horizontal="left"/>
    </xf>
    <xf numFmtId="0" fontId="92" fillId="0" borderId="0" xfId="116" applyFont="1" applyAlignment="1">
      <alignment horizontal="center"/>
    </xf>
    <xf numFmtId="0" fontId="167" fillId="0" borderId="102" xfId="116" applyFont="1" applyBorder="1" applyAlignment="1">
      <alignment vertical="justify" wrapText="1"/>
    </xf>
    <xf numFmtId="0" fontId="163" fillId="0" borderId="102" xfId="116" applyFont="1" applyBorder="1" applyAlignment="1">
      <alignment vertical="top" wrapText="1"/>
    </xf>
    <xf numFmtId="0" fontId="163" fillId="0" borderId="102" xfId="116" applyFont="1" applyBorder="1" applyAlignment="1">
      <alignment wrapText="1"/>
    </xf>
    <xf numFmtId="0" fontId="163" fillId="0" borderId="102" xfId="116" applyFont="1" applyBorder="1" applyAlignment="1">
      <alignment vertical="justify" wrapText="1"/>
    </xf>
    <xf numFmtId="0" fontId="163" fillId="0" borderId="102" xfId="116" applyFont="1" applyBorder="1" applyAlignment="1">
      <alignment vertical="center" wrapText="1"/>
    </xf>
    <xf numFmtId="0" fontId="163" fillId="0" borderId="32" xfId="116" applyFont="1" applyBorder="1" applyAlignment="1">
      <alignment wrapText="1"/>
    </xf>
    <xf numFmtId="0" fontId="163" fillId="0" borderId="23" xfId="116" applyFont="1" applyBorder="1" applyAlignment="1">
      <alignment wrapText="1"/>
    </xf>
    <xf numFmtId="0" fontId="281" fillId="65" borderId="23" xfId="116" applyFont="1" applyFill="1" applyBorder="1" applyAlignment="1">
      <alignment horizontal="center" vertical="center" wrapText="1"/>
    </xf>
    <xf numFmtId="2" fontId="281" fillId="0" borderId="115" xfId="116" applyNumberFormat="1" applyFont="1" applyBorder="1" applyAlignment="1">
      <alignment horizontal="right"/>
    </xf>
    <xf numFmtId="2" fontId="282" fillId="0" borderId="115" xfId="116" applyNumberFormat="1" applyFont="1" applyBorder="1" applyAlignment="1">
      <alignment horizontal="right"/>
    </xf>
    <xf numFmtId="2" fontId="282" fillId="0" borderId="126" xfId="116" applyNumberFormat="1" applyFont="1" applyBorder="1" applyAlignment="1">
      <alignment horizontal="right"/>
    </xf>
    <xf numFmtId="2" fontId="282" fillId="0" borderId="116" xfId="116" applyNumberFormat="1" applyFont="1" applyBorder="1" applyAlignment="1">
      <alignment horizontal="right"/>
    </xf>
    <xf numFmtId="0" fontId="283" fillId="65" borderId="23" xfId="116" applyFont="1" applyFill="1" applyBorder="1" applyAlignment="1">
      <alignment horizontal="center" vertical="center" wrapText="1"/>
    </xf>
    <xf numFmtId="2" fontId="283" fillId="0" borderId="102" xfId="116" applyNumberFormat="1" applyFont="1" applyBorder="1" applyAlignment="1">
      <alignment horizontal="right"/>
    </xf>
    <xf numFmtId="2" fontId="284" fillId="0" borderId="102" xfId="116" applyNumberFormat="1" applyFont="1" applyBorder="1" applyAlignment="1">
      <alignment horizontal="right"/>
    </xf>
    <xf numFmtId="2" fontId="284" fillId="0" borderId="105" xfId="116" applyNumberFormat="1" applyFont="1" applyBorder="1" applyAlignment="1">
      <alignment horizontal="right"/>
    </xf>
    <xf numFmtId="2" fontId="284" fillId="0" borderId="104" xfId="116" applyNumberFormat="1" applyFont="1" applyBorder="1" applyAlignment="1">
      <alignment horizontal="right"/>
    </xf>
    <xf numFmtId="0" fontId="47" fillId="0" borderId="0" xfId="134" applyFont="1" applyAlignment="1">
      <alignment horizontal="center"/>
    </xf>
    <xf numFmtId="2" fontId="225" fillId="0" borderId="104" xfId="116" applyNumberFormat="1" applyFont="1" applyBorder="1"/>
    <xf numFmtId="175" fontId="48" fillId="0" borderId="0" xfId="0" applyNumberFormat="1" applyFont="1"/>
    <xf numFmtId="175" fontId="48" fillId="0" borderId="73" xfId="0" applyNumberFormat="1" applyFont="1" applyBorder="1"/>
    <xf numFmtId="175" fontId="48" fillId="0" borderId="73" xfId="0" applyNumberFormat="1" applyFont="1" applyBorder="1" applyAlignment="1">
      <alignment wrapText="1"/>
    </xf>
    <xf numFmtId="175" fontId="48" fillId="0" borderId="56" xfId="0" applyNumberFormat="1" applyFont="1" applyBorder="1"/>
    <xf numFmtId="0" fontId="48" fillId="0" borderId="32" xfId="0" applyFont="1" applyBorder="1"/>
    <xf numFmtId="182" fontId="48" fillId="0" borderId="67" xfId="0" applyNumberFormat="1" applyFont="1" applyBorder="1"/>
    <xf numFmtId="175" fontId="48" fillId="0" borderId="68" xfId="0" applyNumberFormat="1" applyFont="1" applyBorder="1"/>
    <xf numFmtId="175" fontId="48" fillId="0" borderId="71" xfId="0" applyNumberFormat="1" applyFont="1" applyBorder="1"/>
    <xf numFmtId="175" fontId="48" fillId="0" borderId="89" xfId="0" applyNumberFormat="1" applyFont="1" applyBorder="1"/>
    <xf numFmtId="175" fontId="48" fillId="0" borderId="33" xfId="0" applyNumberFormat="1" applyFont="1" applyBorder="1"/>
    <xf numFmtId="177" fontId="48" fillId="0" borderId="6" xfId="0" applyNumberFormat="1" applyFont="1" applyBorder="1" applyAlignment="1">
      <alignment horizontal="center"/>
    </xf>
    <xf numFmtId="177" fontId="48" fillId="0" borderId="89" xfId="0" applyNumberFormat="1" applyFont="1" applyBorder="1" applyAlignment="1">
      <alignment horizontal="center"/>
    </xf>
    <xf numFmtId="175" fontId="48" fillId="0" borderId="24" xfId="0" applyNumberFormat="1" applyFont="1" applyBorder="1"/>
    <xf numFmtId="0" fontId="163" fillId="0" borderId="28" xfId="134" applyFont="1" applyBorder="1" applyAlignment="1">
      <alignment horizontal="center" vertical="center"/>
    </xf>
    <xf numFmtId="0" fontId="163" fillId="0" borderId="0" xfId="134" applyFont="1" applyAlignment="1">
      <alignment horizontal="center" vertical="center"/>
    </xf>
    <xf numFmtId="0" fontId="47" fillId="64" borderId="0" xfId="134" applyFont="1" applyFill="1" applyAlignment="1">
      <alignment horizontal="center"/>
    </xf>
    <xf numFmtId="0" fontId="170" fillId="64" borderId="1" xfId="134" applyFont="1" applyFill="1" applyBorder="1" applyAlignment="1">
      <alignment horizontal="left" vertical="center" wrapText="1"/>
    </xf>
    <xf numFmtId="1" fontId="122" fillId="34" borderId="1" xfId="0" applyNumberFormat="1" applyFont="1" applyFill="1" applyBorder="1"/>
    <xf numFmtId="170" fontId="122" fillId="34" borderId="1" xfId="0" applyNumberFormat="1" applyFont="1" applyFill="1" applyBorder="1"/>
    <xf numFmtId="170" fontId="122" fillId="34" borderId="1" xfId="0" applyNumberFormat="1" applyFont="1" applyFill="1" applyBorder="1" applyAlignment="1">
      <alignment horizontal="center"/>
    </xf>
    <xf numFmtId="1" fontId="114" fillId="34" borderId="40" xfId="0" applyNumberFormat="1" applyFont="1" applyFill="1" applyBorder="1"/>
    <xf numFmtId="2" fontId="122" fillId="34" borderId="1" xfId="0" applyNumberFormat="1" applyFont="1" applyFill="1" applyBorder="1"/>
    <xf numFmtId="177" fontId="122" fillId="34" borderId="1" xfId="0" applyNumberFormat="1" applyFont="1" applyFill="1" applyBorder="1"/>
    <xf numFmtId="2" fontId="122" fillId="34" borderId="1" xfId="0" applyNumberFormat="1" applyFont="1" applyFill="1" applyBorder="1" applyAlignment="1">
      <alignment horizontal="center"/>
    </xf>
    <xf numFmtId="2" fontId="114" fillId="34" borderId="40" xfId="0" applyNumberFormat="1" applyFont="1" applyFill="1" applyBorder="1"/>
    <xf numFmtId="0" fontId="122" fillId="34" borderId="1" xfId="0" applyFont="1" applyFill="1" applyBorder="1"/>
    <xf numFmtId="170" fontId="122" fillId="34" borderId="1" xfId="0" applyNumberFormat="1" applyFont="1" applyFill="1" applyBorder="1" applyProtection="1">
      <protection locked="0"/>
    </xf>
    <xf numFmtId="0" fontId="122" fillId="34" borderId="1" xfId="0" applyFont="1" applyFill="1" applyBorder="1" applyProtection="1">
      <protection locked="0"/>
    </xf>
    <xf numFmtId="0" fontId="115" fillId="74" borderId="0" xfId="124" applyFont="1" applyFill="1"/>
    <xf numFmtId="177" fontId="206" fillId="34" borderId="3" xfId="124" applyNumberFormat="1" applyFont="1" applyFill="1" applyBorder="1" applyAlignment="1">
      <alignment vertical="center"/>
    </xf>
    <xf numFmtId="177" fontId="206" fillId="34" borderId="1" xfId="124" applyNumberFormat="1" applyFont="1" applyFill="1" applyBorder="1" applyAlignment="1">
      <alignment vertical="center"/>
    </xf>
    <xf numFmtId="2" fontId="206" fillId="34" borderId="1" xfId="124" applyNumberFormat="1" applyFont="1" applyFill="1" applyBorder="1" applyAlignment="1">
      <alignment vertical="center"/>
    </xf>
    <xf numFmtId="2" fontId="122" fillId="34" borderId="3" xfId="0" applyNumberFormat="1" applyFont="1" applyFill="1" applyBorder="1"/>
    <xf numFmtId="177" fontId="285" fillId="59" borderId="32" xfId="0" applyNumberFormat="1" applyFont="1" applyFill="1" applyBorder="1" applyAlignment="1">
      <alignment horizontal="center"/>
    </xf>
    <xf numFmtId="177" fontId="197" fillId="59" borderId="6" xfId="0" applyNumberFormat="1" applyFont="1" applyFill="1" applyBorder="1" applyAlignment="1">
      <alignment horizontal="center"/>
    </xf>
    <xf numFmtId="1" fontId="157" fillId="0" borderId="67" xfId="555" applyNumberFormat="1" applyFont="1" applyBorder="1" applyAlignment="1">
      <alignment horizontal="center" vertical="top" wrapText="1"/>
    </xf>
    <xf numFmtId="1" fontId="15" fillId="0" borderId="0" xfId="555" applyNumberFormat="1"/>
    <xf numFmtId="49" fontId="39" fillId="0" borderId="0" xfId="6" applyNumberFormat="1" applyFont="1"/>
    <xf numFmtId="49" fontId="48" fillId="0" borderId="0" xfId="6" applyNumberFormat="1" applyFont="1"/>
    <xf numFmtId="0" fontId="48" fillId="0" borderId="0" xfId="6" applyFont="1"/>
    <xf numFmtId="0" fontId="138" fillId="0" borderId="0" xfId="6" applyFont="1" applyAlignment="1">
      <alignment horizontal="center"/>
    </xf>
    <xf numFmtId="0" fontId="31" fillId="0" borderId="0" xfId="6" applyFont="1"/>
    <xf numFmtId="49" fontId="38" fillId="0" borderId="1" xfId="6" applyNumberFormat="1" applyFont="1" applyBorder="1" applyAlignment="1">
      <alignment horizontal="center" vertical="center" wrapText="1"/>
    </xf>
    <xf numFmtId="2" fontId="29" fillId="0" borderId="0" xfId="6" applyNumberFormat="1"/>
    <xf numFmtId="0" fontId="23" fillId="0" borderId="0" xfId="6" applyFont="1"/>
    <xf numFmtId="170" fontId="37" fillId="0" borderId="1" xfId="6" applyNumberFormat="1" applyFont="1" applyBorder="1" applyAlignment="1" applyProtection="1">
      <alignment horizontal="center" vertical="center" wrapText="1"/>
      <protection locked="0"/>
    </xf>
    <xf numFmtId="170" fontId="37" fillId="0" borderId="1" xfId="6" applyNumberFormat="1" applyFont="1" applyBorder="1" applyAlignment="1">
      <alignment horizontal="center" vertical="center" wrapText="1"/>
    </xf>
    <xf numFmtId="4" fontId="37" fillId="0" borderId="1" xfId="6" applyNumberFormat="1" applyFont="1" applyBorder="1" applyAlignment="1" applyProtection="1">
      <alignment horizontal="center" vertical="center" wrapText="1"/>
      <protection locked="0"/>
    </xf>
    <xf numFmtId="0" fontId="111" fillId="0" borderId="0" xfId="6" applyFont="1"/>
    <xf numFmtId="2" fontId="112" fillId="0" borderId="0" xfId="6" applyNumberFormat="1" applyFont="1" applyAlignment="1">
      <alignment horizontal="center"/>
    </xf>
    <xf numFmtId="49" fontId="38" fillId="0" borderId="79" xfId="6" applyNumberFormat="1" applyFont="1" applyBorder="1" applyAlignment="1">
      <alignment horizontal="right" vertical="center" wrapText="1"/>
    </xf>
    <xf numFmtId="0" fontId="38" fillId="0" borderId="79" xfId="6" applyFont="1" applyBorder="1" applyAlignment="1">
      <alignment vertical="center" wrapText="1"/>
    </xf>
    <xf numFmtId="0" fontId="38" fillId="0" borderId="79" xfId="6" applyFont="1" applyBorder="1" applyAlignment="1">
      <alignment horizontal="center" vertical="center" wrapText="1"/>
    </xf>
    <xf numFmtId="0" fontId="14" fillId="0" borderId="0" xfId="6" applyFont="1"/>
    <xf numFmtId="49" fontId="38" fillId="0" borderId="8" xfId="6" applyNumberFormat="1" applyFont="1" applyBorder="1" applyAlignment="1">
      <alignment horizontal="right" vertical="center" wrapText="1"/>
    </xf>
    <xf numFmtId="0" fontId="46" fillId="0" borderId="96" xfId="0" applyFont="1" applyBorder="1" applyAlignment="1">
      <alignment wrapText="1"/>
    </xf>
    <xf numFmtId="0" fontId="38" fillId="0" borderId="7" xfId="6" applyFont="1" applyBorder="1" applyAlignment="1">
      <alignment horizontal="center" vertical="center" wrapText="1"/>
    </xf>
    <xf numFmtId="0" fontId="38" fillId="0" borderId="3" xfId="6" applyFont="1" applyBorder="1" applyAlignment="1">
      <alignment vertical="center" wrapText="1"/>
    </xf>
    <xf numFmtId="49" fontId="38" fillId="0" borderId="2" xfId="6" applyNumberFormat="1" applyFont="1" applyBorder="1" applyAlignment="1">
      <alignment horizontal="right" vertical="center" wrapText="1"/>
    </xf>
    <xf numFmtId="0" fontId="38" fillId="0" borderId="2" xfId="6" applyFont="1" applyBorder="1" applyAlignment="1">
      <alignment vertical="center" wrapText="1"/>
    </xf>
    <xf numFmtId="0" fontId="38" fillId="0" borderId="2" xfId="6" applyFont="1" applyBorder="1" applyAlignment="1">
      <alignment horizontal="center" vertical="center" wrapText="1"/>
    </xf>
    <xf numFmtId="0" fontId="37" fillId="0" borderId="2" xfId="6" applyFont="1" applyBorder="1" applyAlignment="1" applyProtection="1">
      <alignment horizontal="center" vertical="center" wrapText="1"/>
      <protection locked="0"/>
    </xf>
    <xf numFmtId="49" fontId="38" fillId="0" borderId="0" xfId="6" applyNumberFormat="1" applyFont="1" applyAlignment="1">
      <alignment horizontal="right" vertical="center" wrapText="1"/>
    </xf>
    <xf numFmtId="0" fontId="29" fillId="0" borderId="9" xfId="6" applyBorder="1"/>
    <xf numFmtId="49" fontId="29" fillId="0" borderId="0" xfId="6" applyNumberFormat="1"/>
    <xf numFmtId="0" fontId="100" fillId="0" borderId="0" xfId="6" applyFont="1" applyAlignment="1">
      <alignment horizontal="center" wrapText="1"/>
    </xf>
    <xf numFmtId="0" fontId="39" fillId="0" borderId="0" xfId="6" applyFont="1" applyAlignment="1">
      <alignment horizontal="center" wrapText="1"/>
    </xf>
    <xf numFmtId="0" fontId="39" fillId="0" borderId="0" xfId="6" applyFont="1" applyAlignment="1">
      <alignment horizontal="center" vertical="top" wrapText="1"/>
    </xf>
    <xf numFmtId="0" fontId="2" fillId="0" borderId="0" xfId="6" applyFont="1"/>
    <xf numFmtId="0" fontId="112" fillId="0" borderId="0" xfId="6" applyFont="1" applyAlignment="1">
      <alignment horizontal="left" wrapText="1"/>
    </xf>
    <xf numFmtId="0" fontId="102" fillId="0" borderId="0" xfId="0" applyFont="1" applyAlignment="1">
      <alignment horizontal="justify" wrapText="1"/>
    </xf>
    <xf numFmtId="0" fontId="190" fillId="0" borderId="61" xfId="0" applyFont="1" applyBorder="1" applyAlignment="1">
      <alignment horizontal="center" wrapText="1"/>
    </xf>
    <xf numFmtId="0" fontId="190" fillId="0" borderId="63" xfId="0" applyFont="1" applyBorder="1" applyAlignment="1">
      <alignment horizontal="center" wrapText="1"/>
    </xf>
    <xf numFmtId="0" fontId="190" fillId="0" borderId="31" xfId="0" applyFont="1" applyBorder="1" applyAlignment="1">
      <alignment horizontal="center" wrapText="1"/>
    </xf>
    <xf numFmtId="178" fontId="39" fillId="0" borderId="0" xfId="0" applyNumberFormat="1" applyFont="1"/>
    <xf numFmtId="195" fontId="39" fillId="0" borderId="0" xfId="0" applyNumberFormat="1" applyFont="1"/>
    <xf numFmtId="195" fontId="48" fillId="0" borderId="0" xfId="0" applyNumberFormat="1" applyFont="1"/>
    <xf numFmtId="0" fontId="39" fillId="0" borderId="0" xfId="5" applyFont="1"/>
    <xf numFmtId="0" fontId="39" fillId="0" borderId="5" xfId="5" applyFont="1" applyBorder="1"/>
    <xf numFmtId="0" fontId="36" fillId="0" borderId="0" xfId="0" applyFont="1" applyAlignment="1">
      <alignment vertical="top"/>
    </xf>
    <xf numFmtId="0" fontId="43" fillId="0" borderId="0" xfId="5" applyFont="1" applyProtection="1">
      <protection locked="0"/>
    </xf>
    <xf numFmtId="0" fontId="38" fillId="0" borderId="0" xfId="5" applyFont="1" applyProtection="1">
      <protection locked="0"/>
    </xf>
    <xf numFmtId="0" fontId="37" fillId="0" borderId="0" xfId="5" applyFont="1" applyAlignment="1">
      <alignment vertical="top" wrapText="1"/>
    </xf>
    <xf numFmtId="49" fontId="50" fillId="0" borderId="28" xfId="5" applyNumberFormat="1" applyFont="1" applyBorder="1" applyAlignment="1">
      <alignment horizontal="center" vertical="center" wrapText="1"/>
    </xf>
    <xf numFmtId="49" fontId="50" fillId="0" borderId="87" xfId="5" applyNumberFormat="1" applyFont="1" applyBorder="1" applyAlignment="1">
      <alignment horizontal="center" vertical="center" wrapText="1"/>
    </xf>
    <xf numFmtId="0" fontId="36" fillId="0" borderId="58" xfId="0" applyFont="1" applyBorder="1" applyAlignment="1">
      <alignment vertical="center" wrapText="1"/>
    </xf>
    <xf numFmtId="49" fontId="36" fillId="0" borderId="39" xfId="5" applyNumberFormat="1" applyFont="1" applyBorder="1" applyAlignment="1">
      <alignment horizontal="center" vertical="center"/>
    </xf>
    <xf numFmtId="0" fontId="286" fillId="0" borderId="1" xfId="0" applyFont="1" applyBorder="1" applyAlignment="1">
      <alignment vertical="center" wrapText="1"/>
    </xf>
    <xf numFmtId="0" fontId="36" fillId="0" borderId="1" xfId="5" applyFont="1" applyBorder="1" applyAlignment="1">
      <alignment horizontal="center" vertical="center"/>
    </xf>
    <xf numFmtId="49" fontId="36" fillId="0" borderId="44" xfId="5" applyNumberFormat="1" applyFont="1" applyBorder="1" applyAlignment="1">
      <alignment horizontal="center" vertical="center"/>
    </xf>
    <xf numFmtId="0" fontId="36" fillId="0" borderId="45" xfId="0" applyFont="1" applyBorder="1" applyAlignment="1">
      <alignment horizontal="left" vertical="center" wrapText="1" indent="1"/>
    </xf>
    <xf numFmtId="0" fontId="36" fillId="0" borderId="45" xfId="5" applyFont="1" applyBorder="1" applyAlignment="1">
      <alignment horizontal="center" vertical="center"/>
    </xf>
    <xf numFmtId="49" fontId="36" fillId="0" borderId="88" xfId="5" applyNumberFormat="1" applyFont="1" applyBorder="1" applyAlignment="1">
      <alignment horizontal="center" vertical="center"/>
    </xf>
    <xf numFmtId="0" fontId="36" fillId="0" borderId="65" xfId="5" applyFont="1" applyBorder="1" applyAlignment="1">
      <alignment horizontal="center" vertical="center"/>
    </xf>
    <xf numFmtId="49" fontId="36" fillId="0" borderId="52" xfId="5" applyNumberFormat="1" applyFont="1" applyBorder="1" applyAlignment="1">
      <alignment horizontal="center" vertical="center"/>
    </xf>
    <xf numFmtId="0" fontId="36" fillId="0" borderId="7" xfId="5" applyFont="1" applyBorder="1" applyAlignment="1">
      <alignment horizontal="center" vertical="center"/>
    </xf>
    <xf numFmtId="49" fontId="36" fillId="0" borderId="53" xfId="5" applyNumberFormat="1" applyFont="1" applyBorder="1" applyAlignment="1">
      <alignment horizontal="center" vertical="center"/>
    </xf>
    <xf numFmtId="0" fontId="36" fillId="0" borderId="54" xfId="5" applyFont="1" applyBorder="1" applyAlignment="1">
      <alignment horizontal="center" vertical="center"/>
    </xf>
    <xf numFmtId="49" fontId="36" fillId="0" borderId="39" xfId="5" applyNumberFormat="1" applyFont="1" applyBorder="1" applyAlignment="1">
      <alignment horizontal="center" vertical="center" wrapText="1"/>
    </xf>
    <xf numFmtId="49" fontId="36" fillId="0" borderId="88" xfId="5" applyNumberFormat="1" applyFont="1" applyBorder="1" applyAlignment="1">
      <alignment horizontal="center" vertical="center" wrapText="1"/>
    </xf>
    <xf numFmtId="49" fontId="36" fillId="0" borderId="52" xfId="5" applyNumberFormat="1" applyFont="1" applyBorder="1" applyAlignment="1">
      <alignment horizontal="center" vertical="center" wrapText="1"/>
    </xf>
    <xf numFmtId="49" fontId="36" fillId="0" borderId="53" xfId="5" applyNumberFormat="1" applyFont="1" applyBorder="1" applyAlignment="1">
      <alignment horizontal="center" vertical="center" wrapText="1"/>
    </xf>
    <xf numFmtId="49" fontId="36" fillId="0" borderId="92" xfId="5" applyNumberFormat="1" applyFont="1" applyBorder="1" applyAlignment="1">
      <alignment horizontal="center" vertical="center" wrapText="1"/>
    </xf>
    <xf numFmtId="0" fontId="36" fillId="0" borderId="79" xfId="5" applyFont="1" applyBorder="1" applyAlignment="1">
      <alignment vertical="center" wrapText="1"/>
    </xf>
    <xf numFmtId="0" fontId="36" fillId="0" borderId="78" xfId="5" applyFont="1" applyBorder="1" applyAlignment="1">
      <alignment horizontal="center" vertical="center"/>
    </xf>
    <xf numFmtId="0" fontId="36" fillId="0" borderId="88" xfId="5" applyFont="1" applyBorder="1" applyAlignment="1">
      <alignment horizontal="center" vertical="center" wrapText="1"/>
    </xf>
    <xf numFmtId="0" fontId="36" fillId="0" borderId="52" xfId="5" applyFont="1" applyBorder="1" applyAlignment="1">
      <alignment horizontal="center" vertical="center" wrapText="1"/>
    </xf>
    <xf numFmtId="0" fontId="36" fillId="0" borderId="7" xfId="5" applyFont="1" applyBorder="1" applyAlignment="1" applyProtection="1">
      <alignment horizontal="center" vertical="center"/>
      <protection locked="0"/>
    </xf>
    <xf numFmtId="0" fontId="36" fillId="0" borderId="1" xfId="0" applyFont="1" applyBorder="1" applyAlignment="1">
      <alignment horizontal="left" vertical="center" wrapText="1" indent="2"/>
    </xf>
    <xf numFmtId="49" fontId="36" fillId="0" borderId="44" xfId="5" applyNumberFormat="1" applyFont="1" applyBorder="1" applyAlignment="1">
      <alignment horizontal="center" vertical="center" wrapText="1"/>
    </xf>
    <xf numFmtId="0" fontId="36" fillId="0" borderId="45" xfId="5" applyFont="1" applyBorder="1" applyAlignment="1">
      <alignment horizontal="left" vertical="center" wrapText="1" indent="1"/>
    </xf>
    <xf numFmtId="49" fontId="42" fillId="0" borderId="30" xfId="5" applyNumberFormat="1" applyFont="1" applyBorder="1" applyAlignment="1">
      <alignment horizontal="center" vertical="center" wrapText="1"/>
    </xf>
    <xf numFmtId="0" fontId="42" fillId="0" borderId="63" xfId="5" applyFont="1" applyBorder="1" applyAlignment="1">
      <alignment horizontal="center" vertical="center"/>
    </xf>
    <xf numFmtId="49" fontId="42" fillId="0" borderId="57" xfId="5" applyNumberFormat="1" applyFont="1" applyBorder="1" applyAlignment="1">
      <alignment horizontal="center" vertical="center" wrapText="1"/>
    </xf>
    <xf numFmtId="0" fontId="42" fillId="0" borderId="58" xfId="0" applyFont="1" applyBorder="1" applyAlignment="1">
      <alignment vertical="center" wrapText="1"/>
    </xf>
    <xf numFmtId="0" fontId="42" fillId="0" borderId="65" xfId="5" applyFont="1" applyBorder="1" applyAlignment="1">
      <alignment horizontal="center" vertical="center"/>
    </xf>
    <xf numFmtId="0" fontId="101" fillId="0" borderId="0" xfId="5" applyFont="1" applyAlignment="1">
      <alignment horizontal="center" vertical="center"/>
    </xf>
    <xf numFmtId="0" fontId="40" fillId="0" borderId="0" xfId="5" applyFont="1"/>
    <xf numFmtId="0" fontId="40" fillId="0" borderId="0" xfId="5" applyFont="1" applyAlignment="1">
      <alignment horizontal="center" vertical="center"/>
    </xf>
    <xf numFmtId="0" fontId="39" fillId="0" borderId="0" xfId="5" applyFont="1" applyAlignment="1">
      <alignment horizontal="center" vertical="center"/>
    </xf>
    <xf numFmtId="0" fontId="286" fillId="0" borderId="58" xfId="0" applyFont="1" applyBorder="1" applyAlignment="1">
      <alignment vertical="center" wrapText="1"/>
    </xf>
    <xf numFmtId="0" fontId="286" fillId="0" borderId="45" xfId="0" applyFont="1" applyBorder="1" applyAlignment="1">
      <alignment vertical="center" wrapText="1"/>
    </xf>
    <xf numFmtId="1" fontId="50" fillId="0" borderId="3" xfId="5" applyNumberFormat="1" applyFont="1" applyBorder="1" applyAlignment="1">
      <alignment horizontal="center" vertical="center" wrapText="1"/>
    </xf>
    <xf numFmtId="49" fontId="245" fillId="0" borderId="0" xfId="5" applyNumberFormat="1" applyFont="1"/>
    <xf numFmtId="0" fontId="245" fillId="0" borderId="0" xfId="5" applyFont="1"/>
    <xf numFmtId="49" fontId="244" fillId="0" borderId="0" xfId="5" applyNumberFormat="1" applyFont="1"/>
    <xf numFmtId="0" fontId="244" fillId="0" borderId="0" xfId="5" applyFont="1"/>
    <xf numFmtId="49" fontId="42" fillId="0" borderId="52" xfId="5" applyNumberFormat="1" applyFont="1" applyBorder="1" applyAlignment="1">
      <alignment horizontal="center" vertical="center" wrapText="1"/>
    </xf>
    <xf numFmtId="0" fontId="42" fillId="0" borderId="7" xfId="5" applyFont="1" applyBorder="1" applyAlignment="1">
      <alignment horizontal="center" vertical="center"/>
    </xf>
    <xf numFmtId="49" fontId="42" fillId="0" borderId="88" xfId="5" applyNumberFormat="1" applyFont="1" applyBorder="1" applyAlignment="1">
      <alignment horizontal="center" vertical="center" wrapText="1"/>
    </xf>
    <xf numFmtId="49" fontId="287" fillId="0" borderId="52" xfId="5" applyNumberFormat="1" applyFont="1" applyBorder="1" applyAlignment="1">
      <alignment horizontal="center" vertical="center" wrapText="1"/>
    </xf>
    <xf numFmtId="0" fontId="287" fillId="0" borderId="1" xfId="5" applyFont="1" applyBorder="1" applyAlignment="1">
      <alignment vertical="center" wrapText="1"/>
    </xf>
    <xf numFmtId="0" fontId="287" fillId="0" borderId="7" xfId="5" applyFont="1" applyBorder="1" applyAlignment="1">
      <alignment horizontal="center" vertical="center"/>
    </xf>
    <xf numFmtId="0" fontId="42" fillId="0" borderId="88" xfId="5" applyFont="1" applyBorder="1" applyAlignment="1">
      <alignment horizontal="center" vertical="center" wrapText="1"/>
    </xf>
    <xf numFmtId="0" fontId="42" fillId="0" borderId="58" xfId="5" applyFont="1" applyBorder="1" applyAlignment="1">
      <alignment horizontal="center" vertical="center"/>
    </xf>
    <xf numFmtId="49" fontId="36" fillId="0" borderId="0" xfId="5" applyNumberFormat="1" applyFont="1"/>
    <xf numFmtId="49" fontId="42" fillId="0" borderId="0" xfId="5" applyNumberFormat="1" applyFont="1"/>
    <xf numFmtId="0" fontId="39" fillId="0" borderId="1" xfId="5" applyFont="1" applyBorder="1" applyAlignment="1">
      <alignment horizontal="left" vertical="center" wrapText="1" indent="1"/>
    </xf>
    <xf numFmtId="49" fontId="287" fillId="0" borderId="0" xfId="5" applyNumberFormat="1" applyFont="1"/>
    <xf numFmtId="0" fontId="138" fillId="0" borderId="1" xfId="0" applyFont="1" applyBorder="1" applyAlignment="1">
      <alignment vertical="center" wrapText="1"/>
    </xf>
    <xf numFmtId="4" fontId="138" fillId="0" borderId="1" xfId="5" applyNumberFormat="1" applyFont="1" applyBorder="1"/>
    <xf numFmtId="4" fontId="39" fillId="0" borderId="1" xfId="5" applyNumberFormat="1" applyFont="1" applyBorder="1"/>
    <xf numFmtId="188" fontId="169" fillId="65" borderId="27" xfId="558" applyNumberFormat="1" applyFont="1" applyFill="1" applyBorder="1" applyAlignment="1">
      <alignment horizontal="center" vertical="center" wrapText="1"/>
    </xf>
    <xf numFmtId="188" fontId="47" fillId="0" borderId="0" xfId="558" applyNumberFormat="1" applyFont="1" applyFill="1"/>
    <xf numFmtId="188" fontId="281" fillId="65" borderId="31" xfId="558" applyNumberFormat="1" applyFont="1" applyFill="1" applyBorder="1" applyAlignment="1">
      <alignment horizontal="center" vertical="center" wrapText="1"/>
    </xf>
    <xf numFmtId="188" fontId="283" fillId="65" borderId="6" xfId="558" applyNumberFormat="1" applyFont="1" applyFill="1" applyBorder="1" applyAlignment="1">
      <alignment horizontal="center" vertical="center" wrapText="1"/>
    </xf>
    <xf numFmtId="188" fontId="168" fillId="65" borderId="6" xfId="558" applyNumberFormat="1" applyFont="1" applyFill="1" applyBorder="1" applyAlignment="1">
      <alignment horizontal="center" vertical="center" wrapText="1"/>
    </xf>
    <xf numFmtId="0" fontId="141" fillId="65" borderId="6" xfId="116" applyFont="1" applyFill="1" applyBorder="1" applyAlignment="1">
      <alignment horizontal="left" vertical="center"/>
    </xf>
    <xf numFmtId="0" fontId="154" fillId="65" borderId="33" xfId="116" applyFont="1" applyFill="1" applyBorder="1" applyAlignment="1">
      <alignment horizontal="center" vertical="center" wrapText="1"/>
    </xf>
    <xf numFmtId="0" fontId="141" fillId="65" borderId="33" xfId="116" applyFont="1" applyFill="1" applyBorder="1" applyAlignment="1">
      <alignment horizontal="center" vertical="center" wrapText="1"/>
    </xf>
    <xf numFmtId="188" fontId="154" fillId="65" borderId="33" xfId="558" applyNumberFormat="1" applyFont="1" applyFill="1" applyBorder="1" applyAlignment="1">
      <alignment horizontal="center" vertical="center" wrapText="1"/>
    </xf>
    <xf numFmtId="0" fontId="154" fillId="0" borderId="0" xfId="116" applyFont="1" applyAlignment="1">
      <alignment horizontal="left" vertical="center" wrapText="1"/>
    </xf>
    <xf numFmtId="0" fontId="154" fillId="0" borderId="0" xfId="116" applyFont="1" applyAlignment="1">
      <alignment horizontal="center" vertical="center" wrapText="1"/>
    </xf>
    <xf numFmtId="175" fontId="141" fillId="0" borderId="0" xfId="116" applyNumberFormat="1" applyFont="1"/>
    <xf numFmtId="0" fontId="141" fillId="65" borderId="28" xfId="116" applyFont="1" applyFill="1" applyBorder="1" applyAlignment="1">
      <alignment horizontal="left" vertical="center"/>
    </xf>
    <xf numFmtId="2" fontId="163" fillId="65" borderId="102" xfId="116" applyNumberFormat="1" applyFont="1" applyFill="1" applyBorder="1" applyAlignment="1">
      <alignment horizontal="right"/>
    </xf>
    <xf numFmtId="2" fontId="163" fillId="71" borderId="102" xfId="116" applyNumberFormat="1" applyFont="1" applyFill="1" applyBorder="1" applyAlignment="1">
      <alignment horizontal="right"/>
    </xf>
    <xf numFmtId="0" fontId="225" fillId="0" borderId="102" xfId="116" applyFont="1" applyBorder="1" applyAlignment="1">
      <alignment vertical="justify" wrapText="1"/>
    </xf>
    <xf numFmtId="2" fontId="282" fillId="0" borderId="115" xfId="116" applyNumberFormat="1" applyFont="1" applyBorder="1" applyAlignment="1">
      <alignment horizontal="right" vertical="center"/>
    </xf>
    <xf numFmtId="2" fontId="284" fillId="0" borderId="102" xfId="116" applyNumberFormat="1" applyFont="1" applyBorder="1" applyAlignment="1">
      <alignment horizontal="right" vertical="center"/>
    </xf>
    <xf numFmtId="2" fontId="163" fillId="0" borderId="102" xfId="116" applyNumberFormat="1" applyFont="1" applyBorder="1" applyAlignment="1">
      <alignment horizontal="right" vertical="center"/>
    </xf>
    <xf numFmtId="2" fontId="280" fillId="0" borderId="102" xfId="116" applyNumberFormat="1" applyFont="1" applyBorder="1" applyAlignment="1">
      <alignment horizontal="right" vertical="center"/>
    </xf>
    <xf numFmtId="0" fontId="47" fillId="0" borderId="0" xfId="116" applyFont="1" applyAlignment="1">
      <alignment horizontal="right" vertical="center"/>
    </xf>
    <xf numFmtId="2" fontId="47" fillId="0" borderId="0" xfId="116" applyNumberFormat="1" applyFont="1" applyAlignment="1">
      <alignment horizontal="right" vertical="center"/>
    </xf>
    <xf numFmtId="0" fontId="163" fillId="0" borderId="105" xfId="116" applyFont="1" applyBorder="1" applyAlignment="1">
      <alignment vertical="center" wrapText="1"/>
    </xf>
    <xf numFmtId="2" fontId="282" fillId="0" borderId="126" xfId="116" applyNumberFormat="1" applyFont="1" applyBorder="1" applyAlignment="1">
      <alignment horizontal="right" vertical="center"/>
    </xf>
    <xf numFmtId="2" fontId="284" fillId="0" borderId="105" xfId="116" applyNumberFormat="1" applyFont="1" applyBorder="1" applyAlignment="1">
      <alignment horizontal="right" vertical="center"/>
    </xf>
    <xf numFmtId="0" fontId="47" fillId="0" borderId="0" xfId="116" applyFont="1" applyAlignment="1">
      <alignment vertical="center"/>
    </xf>
    <xf numFmtId="2" fontId="47" fillId="0" borderId="0" xfId="116" applyNumberFormat="1" applyFont="1" applyAlignment="1">
      <alignment vertical="center"/>
    </xf>
    <xf numFmtId="2" fontId="284" fillId="34" borderId="102" xfId="116" applyNumberFormat="1" applyFont="1" applyFill="1" applyBorder="1" applyAlignment="1">
      <alignment horizontal="right"/>
    </xf>
    <xf numFmtId="2" fontId="283" fillId="85" borderId="100" xfId="116" applyNumberFormat="1" applyFont="1" applyFill="1" applyBorder="1"/>
    <xf numFmtId="0" fontId="40" fillId="0" borderId="39" xfId="506" applyFont="1" applyBorder="1" applyAlignment="1">
      <alignment horizontal="center" vertical="center"/>
    </xf>
    <xf numFmtId="0" fontId="89" fillId="0" borderId="0" xfId="506" applyFont="1" applyAlignment="1">
      <alignment horizontal="center" vertical="center"/>
    </xf>
    <xf numFmtId="0" fontId="40" fillId="0" borderId="0" xfId="506" applyFont="1" applyAlignment="1">
      <alignment horizontal="left" vertical="center" wrapText="1"/>
    </xf>
    <xf numFmtId="0" fontId="89" fillId="0" borderId="0" xfId="506" applyFont="1" applyAlignment="1">
      <alignment horizontal="center" vertical="center" wrapText="1"/>
    </xf>
    <xf numFmtId="2" fontId="281" fillId="74" borderId="114" xfId="116" applyNumberFormat="1" applyFont="1" applyFill="1" applyBorder="1"/>
    <xf numFmtId="0" fontId="89" fillId="0" borderId="0" xfId="506" applyFont="1" applyAlignment="1">
      <alignment vertical="center"/>
    </xf>
    <xf numFmtId="0" fontId="2" fillId="0" borderId="0" xfId="506" applyFont="1"/>
    <xf numFmtId="0" fontId="89" fillId="0" borderId="6" xfId="506" applyFont="1" applyBorder="1" applyAlignment="1">
      <alignment horizontal="center" vertical="center"/>
    </xf>
    <xf numFmtId="0" fontId="89" fillId="0" borderId="34" xfId="506" applyFont="1" applyBorder="1" applyAlignment="1">
      <alignment horizontal="center" vertical="center" wrapText="1"/>
    </xf>
    <xf numFmtId="0" fontId="89" fillId="0" borderId="30" xfId="506" applyFont="1" applyBorder="1" applyAlignment="1">
      <alignment horizontal="center" vertical="center" wrapText="1"/>
    </xf>
    <xf numFmtId="0" fontId="89" fillId="32" borderId="6" xfId="506" applyFont="1" applyFill="1" applyBorder="1" applyAlignment="1">
      <alignment horizontal="center" vertical="center" wrapText="1"/>
    </xf>
    <xf numFmtId="0" fontId="40" fillId="0" borderId="57" xfId="0" applyFont="1" applyBorder="1" applyAlignment="1">
      <alignment horizontal="center" vertical="center"/>
    </xf>
    <xf numFmtId="0" fontId="40" fillId="0" borderId="58" xfId="506" applyFont="1" applyBorder="1" applyAlignment="1">
      <alignment horizontal="left" vertical="center" wrapText="1"/>
    </xf>
    <xf numFmtId="4" fontId="40" fillId="0" borderId="64" xfId="0" applyNumberFormat="1" applyFont="1" applyBorder="1" applyAlignment="1">
      <alignment vertical="center"/>
    </xf>
    <xf numFmtId="4" fontId="40" fillId="0" borderId="10" xfId="0" applyNumberFormat="1" applyFont="1" applyBorder="1" applyAlignment="1">
      <alignment vertical="center"/>
    </xf>
    <xf numFmtId="4" fontId="40" fillId="0" borderId="3" xfId="0" applyNumberFormat="1" applyFont="1" applyBorder="1" applyAlignment="1">
      <alignment vertical="center"/>
    </xf>
    <xf numFmtId="4" fontId="40" fillId="0" borderId="38" xfId="0" applyNumberFormat="1" applyFont="1" applyBorder="1"/>
    <xf numFmtId="0" fontId="40" fillId="0" borderId="1" xfId="506" applyFont="1" applyBorder="1" applyAlignment="1">
      <alignment vertical="top" wrapText="1"/>
    </xf>
    <xf numFmtId="4" fontId="40" fillId="0" borderId="1" xfId="506" applyNumberFormat="1" applyFont="1" applyBorder="1"/>
    <xf numFmtId="4" fontId="40" fillId="0" borderId="40" xfId="506" applyNumberFormat="1" applyFont="1" applyBorder="1"/>
    <xf numFmtId="0" fontId="89" fillId="0" borderId="39" xfId="506" applyFont="1" applyBorder="1" applyAlignment="1">
      <alignment horizontal="center" vertical="center"/>
    </xf>
    <xf numFmtId="0" fontId="89" fillId="0" borderId="1" xfId="506" applyFont="1" applyBorder="1" applyAlignment="1">
      <alignment vertical="top" wrapText="1"/>
    </xf>
    <xf numFmtId="4" fontId="89" fillId="0" borderId="1" xfId="506" applyNumberFormat="1" applyFont="1" applyBorder="1"/>
    <xf numFmtId="0" fontId="40" fillId="0" borderId="44" xfId="506" applyFont="1" applyBorder="1" applyAlignment="1">
      <alignment horizontal="center" vertical="center"/>
    </xf>
    <xf numFmtId="0" fontId="40" fillId="0" borderId="45" xfId="506" applyFont="1" applyBorder="1" applyAlignment="1">
      <alignment vertical="top" wrapText="1"/>
    </xf>
    <xf numFmtId="4" fontId="40" fillId="0" borderId="45" xfId="506" applyNumberFormat="1" applyFont="1" applyBorder="1"/>
    <xf numFmtId="4" fontId="40" fillId="0" borderId="46" xfId="506" applyNumberFormat="1" applyFont="1" applyBorder="1"/>
    <xf numFmtId="0" fontId="169" fillId="65" borderId="31" xfId="116" applyFont="1" applyFill="1" applyBorder="1" applyAlignment="1">
      <alignment horizontal="center" vertical="center" wrapText="1"/>
    </xf>
    <xf numFmtId="0" fontId="167" fillId="65" borderId="26" xfId="116" applyFont="1" applyFill="1" applyBorder="1" applyAlignment="1">
      <alignment horizontal="center" vertical="center" wrapText="1"/>
    </xf>
    <xf numFmtId="0" fontId="161" fillId="3" borderId="0" xfId="506" applyFont="1" applyFill="1" applyAlignment="1">
      <alignment horizontal="center" vertical="center"/>
    </xf>
    <xf numFmtId="2" fontId="48" fillId="0" borderId="102" xfId="0" applyNumberFormat="1" applyFont="1" applyBorder="1" applyAlignment="1">
      <alignment horizontal="center"/>
    </xf>
    <xf numFmtId="0" fontId="111" fillId="0" borderId="0" xfId="556" applyFont="1"/>
    <xf numFmtId="175" fontId="98" fillId="0" borderId="1" xfId="556" applyNumberFormat="1" applyFont="1" applyBorder="1" applyAlignment="1">
      <alignment horizontal="center" vertical="center" wrapText="1"/>
    </xf>
    <xf numFmtId="0" fontId="48" fillId="0" borderId="1" xfId="0" applyFont="1" applyBorder="1" applyAlignment="1">
      <alignment horizontal="left" vertical="center"/>
    </xf>
    <xf numFmtId="0" fontId="48" fillId="0" borderId="0" xfId="0" applyFont="1" applyAlignment="1">
      <alignment horizontal="center" vertical="center"/>
    </xf>
    <xf numFmtId="0" fontId="207" fillId="0" borderId="1" xfId="0" applyFont="1" applyBorder="1" applyAlignment="1">
      <alignment horizontal="center" vertical="center"/>
    </xf>
    <xf numFmtId="4" fontId="48" fillId="2" borderId="6" xfId="0" applyNumberFormat="1" applyFont="1" applyFill="1" applyBorder="1" applyAlignment="1">
      <alignment horizontal="center"/>
    </xf>
    <xf numFmtId="0" fontId="289" fillId="0" borderId="0" xfId="0" applyFont="1"/>
    <xf numFmtId="4" fontId="290" fillId="0" borderId="0" xfId="0" applyNumberFormat="1" applyFont="1"/>
    <xf numFmtId="0" fontId="117" fillId="0" borderId="0" xfId="0" applyFont="1"/>
    <xf numFmtId="0" fontId="291" fillId="0" borderId="0" xfId="0" applyFont="1" applyAlignment="1">
      <alignment wrapText="1"/>
    </xf>
    <xf numFmtId="0" fontId="140" fillId="0" borderId="0" xfId="0" applyFont="1"/>
    <xf numFmtId="0" fontId="292" fillId="0" borderId="0" xfId="0" applyFont="1"/>
    <xf numFmtId="0" fontId="39" fillId="0" borderId="0" xfId="240" applyFont="1" applyProtection="1">
      <protection locked="0"/>
    </xf>
    <xf numFmtId="49" fontId="286" fillId="0" borderId="8" xfId="240" applyNumberFormat="1" applyFont="1" applyBorder="1" applyAlignment="1">
      <alignment horizontal="right" vertical="center" wrapText="1"/>
    </xf>
    <xf numFmtId="0" fontId="286" fillId="0" borderId="1" xfId="240" applyFont="1" applyBorder="1" applyAlignment="1">
      <alignment vertical="center" wrapText="1"/>
    </xf>
    <xf numFmtId="2" fontId="286" fillId="0" borderId="1" xfId="240" applyNumberFormat="1" applyFont="1" applyBorder="1" applyAlignment="1">
      <alignment horizontal="center" vertical="center" wrapText="1"/>
    </xf>
    <xf numFmtId="2" fontId="286" fillId="0" borderId="1" xfId="240" applyNumberFormat="1" applyFont="1" applyBorder="1" applyAlignment="1" applyProtection="1">
      <alignment horizontal="center" vertical="center" wrapText="1"/>
      <protection locked="0"/>
    </xf>
    <xf numFmtId="0" fontId="286" fillId="0" borderId="79" xfId="0" applyFont="1" applyBorder="1" applyAlignment="1">
      <alignment vertical="center" wrapText="1"/>
    </xf>
    <xf numFmtId="0" fontId="294" fillId="0" borderId="0" xfId="240" applyFont="1"/>
    <xf numFmtId="49" fontId="286" fillId="0" borderId="1" xfId="240" applyNumberFormat="1" applyFont="1" applyBorder="1" applyAlignment="1">
      <alignment horizontal="right" vertical="center" wrapText="1"/>
    </xf>
    <xf numFmtId="0" fontId="286" fillId="0" borderId="3" xfId="240" applyFont="1" applyBorder="1" applyAlignment="1">
      <alignment vertical="center" wrapText="1"/>
    </xf>
    <xf numFmtId="0" fontId="253" fillId="31" borderId="1" xfId="0" applyFont="1" applyFill="1" applyBorder="1" applyAlignment="1">
      <alignment vertical="center"/>
    </xf>
    <xf numFmtId="4" fontId="253" fillId="31" borderId="1" xfId="449" applyNumberFormat="1" applyFont="1" applyFill="1" applyBorder="1" applyAlignment="1">
      <alignment horizontal="center" vertical="center" wrapText="1"/>
    </xf>
    <xf numFmtId="0" fontId="47" fillId="0" borderId="1" xfId="0" applyFont="1" applyBorder="1"/>
    <xf numFmtId="0" fontId="146" fillId="0" borderId="1" xfId="0" applyFont="1" applyBorder="1"/>
    <xf numFmtId="0" fontId="47" fillId="0" borderId="1" xfId="0" applyFont="1" applyBorder="1" applyAlignment="1">
      <alignment horizontal="center"/>
    </xf>
    <xf numFmtId="3" fontId="47" fillId="0" borderId="1" xfId="449" applyNumberFormat="1" applyFont="1" applyBorder="1" applyAlignment="1">
      <alignment horizontal="center" vertical="center" wrapText="1"/>
    </xf>
    <xf numFmtId="0" fontId="47" fillId="0" borderId="1" xfId="0" applyFont="1" applyBorder="1" applyAlignment="1">
      <alignment horizontal="center" vertical="center"/>
    </xf>
    <xf numFmtId="3" fontId="146" fillId="0" borderId="1" xfId="449" applyNumberFormat="1" applyFont="1" applyBorder="1" applyAlignment="1">
      <alignment horizontal="center" vertical="center" wrapText="1"/>
    </xf>
    <xf numFmtId="0" fontId="146" fillId="0" borderId="1" xfId="0" applyFont="1" applyBorder="1" applyAlignment="1">
      <alignment vertical="center"/>
    </xf>
    <xf numFmtId="0" fontId="146" fillId="0" borderId="1" xfId="0" applyFont="1" applyBorder="1" applyAlignment="1">
      <alignment horizontal="center" vertical="center" wrapText="1"/>
    </xf>
    <xf numFmtId="2" fontId="47" fillId="0" borderId="1" xfId="0" applyNumberFormat="1" applyFont="1" applyBorder="1" applyAlignment="1">
      <alignment horizontal="center" vertical="center" wrapText="1"/>
    </xf>
    <xf numFmtId="0" fontId="146" fillId="0" borderId="1" xfId="0" applyFont="1" applyBorder="1" applyAlignment="1">
      <alignment horizontal="center" vertical="center"/>
    </xf>
    <xf numFmtId="4" fontId="146" fillId="0" borderId="1" xfId="449" applyNumberFormat="1" applyFont="1" applyBorder="1" applyAlignment="1">
      <alignment horizontal="center" vertical="center" wrapText="1"/>
    </xf>
    <xf numFmtId="2" fontId="47" fillId="0" borderId="1" xfId="0" applyNumberFormat="1" applyFont="1" applyBorder="1" applyAlignment="1">
      <alignment horizontal="center"/>
    </xf>
    <xf numFmtId="0" fontId="146" fillId="0" borderId="1" xfId="0" applyFont="1" applyBorder="1" applyAlignment="1">
      <alignment horizontal="center"/>
    </xf>
    <xf numFmtId="0" fontId="47" fillId="0" borderId="1" xfId="0" applyFont="1" applyBorder="1" applyAlignment="1">
      <alignment vertical="center"/>
    </xf>
    <xf numFmtId="2" fontId="146" fillId="0" borderId="1" xfId="0" applyNumberFormat="1" applyFont="1" applyBorder="1" applyAlignment="1">
      <alignment horizontal="center" vertical="center"/>
    </xf>
    <xf numFmtId="1" fontId="146" fillId="0" borderId="1" xfId="0" applyNumberFormat="1" applyFont="1" applyBorder="1" applyAlignment="1">
      <alignment horizontal="center"/>
    </xf>
    <xf numFmtId="2" fontId="146" fillId="0" borderId="1" xfId="0" applyNumberFormat="1" applyFont="1" applyBorder="1" applyAlignment="1">
      <alignment vertical="center"/>
    </xf>
    <xf numFmtId="0" fontId="98" fillId="31" borderId="0" xfId="448" applyFont="1" applyFill="1" applyAlignment="1">
      <alignment vertical="center"/>
    </xf>
    <xf numFmtId="0" fontId="47" fillId="0" borderId="0" xfId="448" applyFont="1" applyAlignment="1">
      <alignment horizontal="center" vertical="center"/>
    </xf>
    <xf numFmtId="2" fontId="47" fillId="0" borderId="0" xfId="448" applyNumberFormat="1" applyFont="1" applyAlignment="1">
      <alignment horizontal="center"/>
    </xf>
    <xf numFmtId="0" fontId="146" fillId="0" borderId="0" xfId="448" applyFont="1"/>
    <xf numFmtId="1" fontId="47" fillId="0" borderId="0" xfId="448" applyNumberFormat="1" applyFont="1" applyAlignment="1">
      <alignment horizontal="center"/>
    </xf>
    <xf numFmtId="3" fontId="47" fillId="0" borderId="0" xfId="449" applyNumberFormat="1" applyFont="1" applyAlignment="1">
      <alignment horizontal="center" vertical="center" wrapText="1"/>
    </xf>
    <xf numFmtId="3" fontId="146" fillId="0" borderId="0" xfId="449" applyNumberFormat="1" applyFont="1" applyAlignment="1">
      <alignment horizontal="center" vertical="center" wrapText="1"/>
    </xf>
    <xf numFmtId="0" fontId="47" fillId="0" borderId="0" xfId="448" applyFont="1" applyAlignment="1">
      <alignment vertical="center"/>
    </xf>
    <xf numFmtId="0" fontId="47" fillId="0" borderId="0" xfId="448" applyFont="1" applyAlignment="1">
      <alignment horizontal="center" vertical="center" wrapText="1"/>
    </xf>
    <xf numFmtId="2" fontId="47" fillId="0" borderId="0" xfId="448" applyNumberFormat="1" applyFont="1" applyAlignment="1">
      <alignment horizontal="center" vertical="center" wrapText="1"/>
    </xf>
    <xf numFmtId="0" fontId="146" fillId="0" borderId="0" xfId="448" applyFont="1" applyAlignment="1">
      <alignment vertical="center"/>
    </xf>
    <xf numFmtId="4" fontId="146" fillId="0" borderId="0" xfId="449" applyNumberFormat="1" applyFont="1" applyAlignment="1">
      <alignment horizontal="center" vertical="center" wrapText="1"/>
    </xf>
    <xf numFmtId="0" fontId="141" fillId="34" borderId="0" xfId="448" applyFont="1" applyFill="1" applyAlignment="1">
      <alignment vertical="center"/>
    </xf>
    <xf numFmtId="2" fontId="163" fillId="74" borderId="102" xfId="116" applyNumberFormat="1" applyFont="1" applyFill="1" applyBorder="1" applyAlignment="1">
      <alignment horizontal="right"/>
    </xf>
    <xf numFmtId="0" fontId="106" fillId="0" borderId="1" xfId="0" applyFont="1" applyBorder="1" applyAlignment="1">
      <alignment wrapText="1"/>
    </xf>
    <xf numFmtId="0" fontId="96" fillId="0" borderId="1" xfId="552" applyFont="1" applyBorder="1" applyAlignment="1">
      <alignment wrapText="1"/>
    </xf>
    <xf numFmtId="0" fontId="96" fillId="0" borderId="87" xfId="552" applyFont="1" applyBorder="1" applyAlignment="1">
      <alignment wrapText="1"/>
    </xf>
    <xf numFmtId="0" fontId="40" fillId="0" borderId="1" xfId="552" applyFont="1" applyBorder="1" applyAlignment="1">
      <alignment wrapText="1"/>
    </xf>
    <xf numFmtId="4" fontId="39" fillId="0" borderId="89" xfId="552" applyNumberFormat="1" applyFont="1" applyBorder="1" applyAlignment="1">
      <alignment horizontal="center" vertical="center"/>
    </xf>
    <xf numFmtId="4" fontId="39" fillId="0" borderId="67" xfId="552" applyNumberFormat="1" applyFont="1" applyBorder="1" applyAlignment="1">
      <alignment horizontal="center" vertical="center"/>
    </xf>
    <xf numFmtId="4" fontId="39" fillId="0" borderId="1" xfId="552" applyNumberFormat="1" applyFont="1" applyBorder="1" applyAlignment="1">
      <alignment horizontal="center" vertical="center"/>
    </xf>
    <xf numFmtId="2" fontId="39" fillId="0" borderId="1" xfId="552" applyNumberFormat="1" applyFont="1" applyBorder="1" applyAlignment="1">
      <alignment horizontal="center" vertical="center"/>
    </xf>
    <xf numFmtId="0" fontId="96" fillId="82" borderId="7" xfId="552" applyFont="1" applyFill="1" applyBorder="1" applyAlignment="1">
      <alignment wrapText="1"/>
    </xf>
    <xf numFmtId="0" fontId="21" fillId="74" borderId="0" xfId="546" applyFill="1"/>
    <xf numFmtId="0" fontId="40" fillId="74" borderId="68" xfId="546" applyFont="1" applyFill="1" applyBorder="1" applyAlignment="1">
      <alignment horizontal="center"/>
    </xf>
    <xf numFmtId="4" fontId="39" fillId="74" borderId="1" xfId="552" applyNumberFormat="1" applyFont="1" applyFill="1" applyBorder="1" applyAlignment="1">
      <alignment horizontal="center" vertical="center"/>
    </xf>
    <xf numFmtId="2" fontId="146" fillId="0" borderId="0" xfId="0" applyNumberFormat="1" applyFont="1" applyAlignment="1">
      <alignment horizontal="center" vertical="center"/>
    </xf>
    <xf numFmtId="4" fontId="47" fillId="74" borderId="0" xfId="448" applyNumberFormat="1" applyFont="1" applyFill="1"/>
    <xf numFmtId="4" fontId="48" fillId="0" borderId="98" xfId="552" applyNumberFormat="1" applyFont="1" applyBorder="1" applyAlignment="1">
      <alignment vertical="center"/>
    </xf>
    <xf numFmtId="4" fontId="48" fillId="0" borderId="63" xfId="552" applyNumberFormat="1" applyFont="1" applyBorder="1" applyAlignment="1">
      <alignment vertical="center"/>
    </xf>
    <xf numFmtId="4" fontId="48" fillId="0" borderId="31" xfId="552" applyNumberFormat="1" applyFont="1" applyBorder="1" applyAlignment="1">
      <alignment vertical="center"/>
    </xf>
    <xf numFmtId="0" fontId="39" fillId="86" borderId="1" xfId="0" applyFont="1" applyFill="1" applyBorder="1"/>
    <xf numFmtId="0" fontId="171" fillId="62" borderId="98" xfId="0" applyFont="1" applyFill="1" applyBorder="1" applyAlignment="1">
      <alignment wrapText="1"/>
    </xf>
    <xf numFmtId="4" fontId="48" fillId="0" borderId="36" xfId="0" applyNumberFormat="1" applyFont="1" applyBorder="1" applyAlignment="1">
      <alignment horizontal="right" vertical="center"/>
    </xf>
    <xf numFmtId="4" fontId="48" fillId="0" borderId="30" xfId="0" applyNumberFormat="1" applyFont="1" applyBorder="1" applyAlignment="1">
      <alignment horizontal="right" vertical="center"/>
    </xf>
    <xf numFmtId="4" fontId="48" fillId="0" borderId="31" xfId="0" applyNumberFormat="1" applyFont="1" applyBorder="1" applyAlignment="1">
      <alignment horizontal="right" vertical="center"/>
    </xf>
    <xf numFmtId="1" fontId="39" fillId="31" borderId="1" xfId="0" applyNumberFormat="1" applyFont="1" applyFill="1" applyBorder="1" applyAlignment="1">
      <alignment horizontal="center" vertical="center"/>
    </xf>
    <xf numFmtId="4" fontId="39" fillId="31" borderId="1" xfId="0" applyNumberFormat="1" applyFont="1" applyFill="1" applyBorder="1" applyAlignment="1">
      <alignment horizontal="center" vertical="center"/>
    </xf>
    <xf numFmtId="4" fontId="39" fillId="31" borderId="40" xfId="0" applyNumberFormat="1" applyFont="1" applyFill="1" applyBorder="1" applyAlignment="1">
      <alignment horizontal="center" vertical="center"/>
    </xf>
    <xf numFmtId="0" fontId="39" fillId="0" borderId="0" xfId="552" applyFont="1" applyAlignment="1">
      <alignment horizontal="center" vertical="center"/>
    </xf>
    <xf numFmtId="0" fontId="238" fillId="0" borderId="0" xfId="0" applyFont="1" applyAlignment="1">
      <alignment horizontal="center" vertical="center" wrapText="1"/>
    </xf>
    <xf numFmtId="0" fontId="40" fillId="0" borderId="1" xfId="551" applyFont="1" applyBorder="1" applyAlignment="1">
      <alignment horizontal="center" vertical="center"/>
    </xf>
    <xf numFmtId="0" fontId="39" fillId="0" borderId="3" xfId="551" applyFont="1" applyBorder="1"/>
    <xf numFmtId="0" fontId="40" fillId="0" borderId="44" xfId="551" applyFont="1" applyBorder="1" applyAlignment="1">
      <alignment horizontal="center" vertical="center"/>
    </xf>
    <xf numFmtId="0" fontId="40" fillId="0" borderId="46" xfId="551" applyFont="1" applyBorder="1" applyAlignment="1">
      <alignment horizontal="center" vertical="center"/>
    </xf>
    <xf numFmtId="0" fontId="39" fillId="0" borderId="10" xfId="551" applyFont="1" applyBorder="1"/>
    <xf numFmtId="0" fontId="40" fillId="0" borderId="8" xfId="551" applyFont="1" applyBorder="1" applyAlignment="1">
      <alignment horizontal="center" vertical="center"/>
    </xf>
    <xf numFmtId="0" fontId="141" fillId="0" borderId="7" xfId="0" applyFont="1" applyBorder="1" applyAlignment="1">
      <alignment horizontal="left" wrapText="1"/>
    </xf>
    <xf numFmtId="0" fontId="98" fillId="0" borderId="66" xfId="551" applyFont="1" applyBorder="1" applyAlignment="1">
      <alignment horizontal="center" vertical="center"/>
    </xf>
    <xf numFmtId="4" fontId="98" fillId="0" borderId="68" xfId="551" applyNumberFormat="1" applyFont="1" applyBorder="1" applyAlignment="1">
      <alignment horizontal="right" vertical="center"/>
    </xf>
    <xf numFmtId="2" fontId="47" fillId="0" borderId="0" xfId="448" applyNumberFormat="1" applyFont="1"/>
    <xf numFmtId="2" fontId="161" fillId="0" borderId="0" xfId="552" applyNumberFormat="1" applyFont="1"/>
    <xf numFmtId="0" fontId="89" fillId="0" borderId="1" xfId="0" applyFont="1" applyBorder="1" applyAlignment="1">
      <alignment vertical="top" wrapText="1"/>
    </xf>
    <xf numFmtId="4" fontId="89" fillId="0" borderId="55" xfId="546" applyNumberFormat="1" applyFont="1" applyBorder="1" applyAlignment="1">
      <alignment horizontal="right" vertical="top"/>
    </xf>
    <xf numFmtId="4" fontId="40" fillId="0" borderId="57" xfId="546" applyNumberFormat="1" applyFont="1" applyBorder="1" applyAlignment="1">
      <alignment horizontal="right" vertical="top"/>
    </xf>
    <xf numFmtId="4" fontId="40" fillId="0" borderId="59" xfId="546" applyNumberFormat="1" applyFont="1" applyBorder="1" applyAlignment="1">
      <alignment horizontal="right" vertical="top"/>
    </xf>
    <xf numFmtId="4" fontId="98" fillId="0" borderId="39" xfId="0" applyNumberFormat="1" applyFont="1" applyBorder="1"/>
    <xf numFmtId="4" fontId="89" fillId="0" borderId="44" xfId="546" applyNumberFormat="1" applyFont="1" applyBorder="1" applyAlignment="1">
      <alignment horizontal="right" vertical="top"/>
    </xf>
    <xf numFmtId="4" fontId="89" fillId="0" borderId="46" xfId="546" applyNumberFormat="1" applyFont="1" applyBorder="1" applyAlignment="1">
      <alignment horizontal="right" vertical="top"/>
    </xf>
    <xf numFmtId="194" fontId="170" fillId="34" borderId="1" xfId="134" applyNumberFormat="1" applyFont="1" applyFill="1" applyBorder="1" applyAlignment="1">
      <alignment horizontal="right" vertical="center"/>
    </xf>
    <xf numFmtId="189" fontId="170" fillId="34" borderId="1" xfId="444" applyNumberFormat="1" applyFont="1" applyFill="1" applyBorder="1" applyAlignment="1">
      <alignment horizontal="right" vertical="center"/>
    </xf>
    <xf numFmtId="191" fontId="170" fillId="34" borderId="1" xfId="444" applyNumberFormat="1" applyFont="1" applyFill="1" applyBorder="1" applyAlignment="1">
      <alignment horizontal="right" vertical="center"/>
    </xf>
    <xf numFmtId="4" fontId="147" fillId="74" borderId="40" xfId="444" applyNumberFormat="1" applyFont="1" applyFill="1" applyBorder="1" applyAlignment="1">
      <alignment horizontal="right" vertical="center"/>
    </xf>
    <xf numFmtId="4" fontId="147" fillId="74" borderId="39" xfId="444" applyNumberFormat="1" applyFont="1" applyFill="1" applyBorder="1" applyAlignment="1">
      <alignment horizontal="right" vertical="center"/>
    </xf>
    <xf numFmtId="4" fontId="40" fillId="34" borderId="1" xfId="0" applyNumberFormat="1" applyFont="1" applyFill="1" applyBorder="1"/>
    <xf numFmtId="180" fontId="89" fillId="0" borderId="1" xfId="0" applyNumberFormat="1" applyFont="1" applyBorder="1"/>
    <xf numFmtId="2" fontId="279" fillId="87" borderId="100" xfId="116" applyNumberFormat="1" applyFont="1" applyFill="1" applyBorder="1" applyAlignment="1">
      <alignment horizontal="right"/>
    </xf>
    <xf numFmtId="2" fontId="279" fillId="87" borderId="102" xfId="116" applyNumberFormat="1" applyFont="1" applyFill="1" applyBorder="1" applyAlignment="1">
      <alignment horizontal="right"/>
    </xf>
    <xf numFmtId="2" fontId="280" fillId="87" borderId="102" xfId="116" applyNumberFormat="1" applyFont="1" applyFill="1" applyBorder="1" applyAlignment="1">
      <alignment horizontal="right"/>
    </xf>
    <xf numFmtId="2" fontId="280" fillId="87" borderId="102" xfId="116" applyNumberFormat="1" applyFont="1" applyFill="1" applyBorder="1" applyAlignment="1">
      <alignment horizontal="right" vertical="center"/>
    </xf>
    <xf numFmtId="2" fontId="280" fillId="87" borderId="104" xfId="116" applyNumberFormat="1" applyFont="1" applyFill="1" applyBorder="1" applyAlignment="1">
      <alignment horizontal="right"/>
    </xf>
    <xf numFmtId="2" fontId="279" fillId="84" borderId="100" xfId="116" applyNumberFormat="1" applyFont="1" applyFill="1" applyBorder="1" applyAlignment="1">
      <alignment horizontal="right"/>
    </xf>
    <xf numFmtId="2" fontId="279" fillId="84" borderId="102" xfId="116" applyNumberFormat="1" applyFont="1" applyFill="1" applyBorder="1" applyAlignment="1">
      <alignment horizontal="right"/>
    </xf>
    <xf numFmtId="2" fontId="280" fillId="84" borderId="102" xfId="116" applyNumberFormat="1" applyFont="1" applyFill="1" applyBorder="1" applyAlignment="1">
      <alignment horizontal="right"/>
    </xf>
    <xf numFmtId="2" fontId="280" fillId="84" borderId="102" xfId="116" applyNumberFormat="1" applyFont="1" applyFill="1" applyBorder="1" applyAlignment="1">
      <alignment horizontal="right" vertical="center"/>
    </xf>
    <xf numFmtId="2" fontId="280" fillId="84" borderId="104" xfId="116" applyNumberFormat="1" applyFont="1" applyFill="1" applyBorder="1" applyAlignment="1">
      <alignment horizontal="right"/>
    </xf>
    <xf numFmtId="175" fontId="167" fillId="0" borderId="100" xfId="116" applyNumberFormat="1" applyFont="1" applyBorder="1"/>
    <xf numFmtId="0" fontId="163" fillId="65" borderId="6" xfId="116" applyFont="1" applyFill="1" applyBorder="1"/>
    <xf numFmtId="2" fontId="163" fillId="0" borderId="105" xfId="116" applyNumberFormat="1" applyFont="1" applyBorder="1" applyAlignment="1">
      <alignment horizontal="right" vertical="center"/>
    </xf>
    <xf numFmtId="2" fontId="284" fillId="0" borderId="104" xfId="116" applyNumberFormat="1" applyFont="1" applyBorder="1" applyAlignment="1">
      <alignment horizontal="right" vertical="center"/>
    </xf>
    <xf numFmtId="2" fontId="163" fillId="0" borderId="104" xfId="116" applyNumberFormat="1" applyFont="1" applyBorder="1" applyAlignment="1">
      <alignment horizontal="right" vertical="center"/>
    </xf>
    <xf numFmtId="2" fontId="280" fillId="0" borderId="104" xfId="116" applyNumberFormat="1" applyFont="1" applyBorder="1" applyAlignment="1">
      <alignment horizontal="right" vertical="center"/>
    </xf>
    <xf numFmtId="0" fontId="40" fillId="0" borderId="51" xfId="546" applyFont="1" applyBorder="1" applyAlignment="1">
      <alignment horizontal="center" vertical="center"/>
    </xf>
    <xf numFmtId="0" fontId="40" fillId="0" borderId="4" xfId="546" applyFont="1" applyBorder="1" applyAlignment="1">
      <alignment horizontal="center" vertical="center"/>
    </xf>
    <xf numFmtId="2" fontId="141" fillId="74" borderId="115" xfId="448" applyNumberFormat="1" applyFont="1" applyFill="1" applyBorder="1" applyAlignment="1">
      <alignment horizontal="center"/>
    </xf>
    <xf numFmtId="0" fontId="47" fillId="74" borderId="0" xfId="448" applyFont="1" applyFill="1"/>
    <xf numFmtId="0" fontId="163" fillId="74" borderId="102" xfId="116" applyFont="1" applyFill="1" applyBorder="1" applyAlignment="1">
      <alignment vertical="center" wrapText="1"/>
    </xf>
    <xf numFmtId="0" fontId="196" fillId="0" borderId="0" xfId="552" applyFont="1" applyAlignment="1">
      <alignment horizontal="center"/>
    </xf>
    <xf numFmtId="0" fontId="163" fillId="74" borderId="102" xfId="116" applyFont="1" applyFill="1" applyBorder="1" applyAlignment="1">
      <alignment vertical="justify" wrapText="1"/>
    </xf>
    <xf numFmtId="2" fontId="284" fillId="0" borderId="113" xfId="116" applyNumberFormat="1" applyFont="1" applyBorder="1" applyAlignment="1">
      <alignment horizontal="right" vertical="center"/>
    </xf>
    <xf numFmtId="2" fontId="163" fillId="0" borderId="113" xfId="116" applyNumberFormat="1" applyFont="1" applyBorder="1" applyAlignment="1">
      <alignment horizontal="right" vertical="center"/>
    </xf>
    <xf numFmtId="2" fontId="280" fillId="0" borderId="113" xfId="116" applyNumberFormat="1" applyFont="1" applyBorder="1" applyAlignment="1">
      <alignment horizontal="right" vertical="center"/>
    </xf>
    <xf numFmtId="0" fontId="167" fillId="0" borderId="6" xfId="116" applyFont="1" applyBorder="1" applyAlignment="1">
      <alignment wrapText="1"/>
    </xf>
    <xf numFmtId="2" fontId="283" fillId="0" borderId="6" xfId="116" applyNumberFormat="1" applyFont="1" applyBorder="1" applyAlignment="1">
      <alignment horizontal="right" vertical="center"/>
    </xf>
    <xf numFmtId="2" fontId="167" fillId="0" borderId="6" xfId="116" applyNumberFormat="1" applyFont="1" applyBorder="1" applyAlignment="1">
      <alignment horizontal="right" vertical="center"/>
    </xf>
    <xf numFmtId="2" fontId="279" fillId="0" borderId="6" xfId="116" applyNumberFormat="1" applyFont="1" applyBorder="1" applyAlignment="1">
      <alignment horizontal="right" vertical="center"/>
    </xf>
    <xf numFmtId="2" fontId="284" fillId="0" borderId="32" xfId="116" applyNumberFormat="1" applyFont="1" applyBorder="1" applyAlignment="1">
      <alignment horizontal="right" vertical="center"/>
    </xf>
    <xf numFmtId="2" fontId="163" fillId="0" borderId="32" xfId="116" applyNumberFormat="1" applyFont="1" applyBorder="1" applyAlignment="1">
      <alignment horizontal="right" vertical="center"/>
    </xf>
    <xf numFmtId="2" fontId="280" fillId="0" borderId="32" xfId="116" applyNumberFormat="1" applyFont="1" applyBorder="1" applyAlignment="1">
      <alignment horizontal="right" vertical="center"/>
    </xf>
    <xf numFmtId="0" fontId="167" fillId="0" borderId="33" xfId="116" applyFont="1" applyBorder="1" applyAlignment="1">
      <alignment vertical="justify" wrapText="1"/>
    </xf>
    <xf numFmtId="2" fontId="167" fillId="0" borderId="33" xfId="116" applyNumberFormat="1" applyFont="1" applyBorder="1" applyAlignment="1">
      <alignment horizontal="right" vertical="center"/>
    </xf>
    <xf numFmtId="2" fontId="279" fillId="0" borderId="33" xfId="116" applyNumberFormat="1" applyFont="1" applyBorder="1" applyAlignment="1">
      <alignment horizontal="right" vertical="center"/>
    </xf>
    <xf numFmtId="0" fontId="163" fillId="0" borderId="113" xfId="116" applyFont="1" applyBorder="1" applyAlignment="1">
      <alignment vertical="top" wrapText="1"/>
    </xf>
    <xf numFmtId="0" fontId="167" fillId="0" borderId="6" xfId="116" applyFont="1" applyBorder="1" applyAlignment="1">
      <alignment vertical="justify" wrapText="1"/>
    </xf>
    <xf numFmtId="10" fontId="163" fillId="65" borderId="6" xfId="558" applyNumberFormat="1" applyFont="1" applyFill="1" applyBorder="1"/>
    <xf numFmtId="0" fontId="211" fillId="65" borderId="29" xfId="116" applyFont="1" applyFill="1" applyBorder="1" applyAlignment="1">
      <alignment horizontal="center" vertical="center" wrapText="1"/>
    </xf>
    <xf numFmtId="0" fontId="211" fillId="65" borderId="23" xfId="116" applyFont="1" applyFill="1" applyBorder="1" applyAlignment="1">
      <alignment horizontal="center" vertical="center" wrapText="1"/>
    </xf>
    <xf numFmtId="4" fontId="175" fillId="0" borderId="0" xfId="116" applyNumberFormat="1" applyFont="1" applyAlignment="1">
      <alignment horizontal="center"/>
    </xf>
    <xf numFmtId="2" fontId="167" fillId="0" borderId="102" xfId="116" applyNumberFormat="1" applyFont="1" applyBorder="1" applyAlignment="1">
      <alignment vertical="center"/>
    </xf>
    <xf numFmtId="2" fontId="167" fillId="34" borderId="102" xfId="116" applyNumberFormat="1" applyFont="1" applyFill="1" applyBorder="1" applyAlignment="1">
      <alignment horizontal="right" vertical="center"/>
    </xf>
    <xf numFmtId="2" fontId="167" fillId="0" borderId="102" xfId="116" applyNumberFormat="1" applyFont="1" applyBorder="1" applyAlignment="1">
      <alignment horizontal="right" vertical="center"/>
    </xf>
    <xf numFmtId="2" fontId="163" fillId="34" borderId="102" xfId="116" applyNumberFormat="1" applyFont="1" applyFill="1" applyBorder="1" applyAlignment="1">
      <alignment horizontal="right" vertical="center"/>
    </xf>
    <xf numFmtId="188" fontId="92" fillId="0" borderId="0" xfId="558" applyNumberFormat="1" applyFont="1" applyFill="1"/>
    <xf numFmtId="188" fontId="92" fillId="0" borderId="0" xfId="558" applyNumberFormat="1" applyFont="1"/>
    <xf numFmtId="177" fontId="92" fillId="0" borderId="0" xfId="558" applyNumberFormat="1" applyFont="1" applyFill="1"/>
    <xf numFmtId="2" fontId="163" fillId="0" borderId="0" xfId="116" applyNumberFormat="1" applyFont="1"/>
    <xf numFmtId="177" fontId="167" fillId="0" borderId="0" xfId="116" applyNumberFormat="1" applyFont="1"/>
    <xf numFmtId="179" fontId="163" fillId="0" borderId="102" xfId="116" applyNumberFormat="1" applyFont="1" applyBorder="1"/>
    <xf numFmtId="0" fontId="167" fillId="0" borderId="102" xfId="116" applyFont="1" applyBorder="1" applyAlignment="1">
      <alignment wrapText="1"/>
    </xf>
    <xf numFmtId="179" fontId="167" fillId="0" borderId="102" xfId="116" applyNumberFormat="1" applyFont="1" applyBorder="1"/>
    <xf numFmtId="0" fontId="163" fillId="88" borderId="105" xfId="116" applyFont="1" applyFill="1" applyBorder="1" applyAlignment="1">
      <alignment vertical="justify" wrapText="1"/>
    </xf>
    <xf numFmtId="0" fontId="163" fillId="0" borderId="102" xfId="116" applyFont="1" applyBorder="1" applyAlignment="1">
      <alignment vertical="justify"/>
    </xf>
    <xf numFmtId="0" fontId="163" fillId="0" borderId="104" xfId="116" applyFont="1" applyBorder="1" applyAlignment="1">
      <alignment wrapText="1"/>
    </xf>
    <xf numFmtId="179" fontId="163" fillId="0" borderId="104" xfId="116" applyNumberFormat="1" applyFont="1" applyBorder="1"/>
    <xf numFmtId="4" fontId="89" fillId="0" borderId="1" xfId="0" applyNumberFormat="1" applyFont="1" applyBorder="1" applyAlignment="1">
      <alignment horizontal="right" vertical="center"/>
    </xf>
    <xf numFmtId="0" fontId="145" fillId="0" borderId="1" xfId="0" applyFont="1" applyBorder="1" applyAlignment="1">
      <alignment vertical="center" wrapText="1"/>
    </xf>
    <xf numFmtId="0" fontId="145" fillId="0" borderId="1" xfId="0" applyFont="1" applyBorder="1" applyAlignment="1">
      <alignment horizontal="right" vertical="center" wrapText="1"/>
    </xf>
    <xf numFmtId="1" fontId="170" fillId="0" borderId="1" xfId="0" applyNumberFormat="1" applyFont="1" applyBorder="1" applyAlignment="1">
      <alignment horizontal="center" vertical="center" wrapText="1"/>
    </xf>
    <xf numFmtId="49" fontId="145" fillId="0" borderId="1" xfId="0" applyNumberFormat="1" applyFont="1" applyBorder="1" applyAlignment="1">
      <alignment vertical="top" wrapText="1"/>
    </xf>
    <xf numFmtId="49" fontId="98" fillId="0" borderId="1" xfId="0" applyNumberFormat="1" applyFont="1" applyBorder="1" applyAlignment="1">
      <alignment vertical="top" wrapText="1"/>
    </xf>
    <xf numFmtId="2" fontId="145" fillId="0" borderId="1" xfId="0" applyNumberFormat="1" applyFont="1" applyBorder="1" applyAlignment="1">
      <alignment vertical="center" wrapText="1"/>
    </xf>
    <xf numFmtId="2" fontId="48" fillId="74" borderId="98" xfId="547" applyNumberFormat="1" applyFont="1" applyFill="1" applyBorder="1" applyAlignment="1">
      <alignment horizontal="center"/>
    </xf>
    <xf numFmtId="2" fontId="43" fillId="74" borderId="6" xfId="547" applyNumberFormat="1" applyFont="1" applyFill="1" applyBorder="1" applyAlignment="1">
      <alignment horizontal="center"/>
    </xf>
    <xf numFmtId="2" fontId="141" fillId="74" borderId="100" xfId="448" applyNumberFormat="1" applyFont="1" applyFill="1" applyBorder="1" applyAlignment="1">
      <alignment horizontal="center"/>
    </xf>
    <xf numFmtId="197" fontId="92" fillId="0" borderId="0" xfId="116" applyNumberFormat="1" applyFont="1"/>
    <xf numFmtId="2" fontId="301" fillId="0" borderId="100" xfId="116" applyNumberFormat="1" applyFont="1" applyBorder="1"/>
    <xf numFmtId="2" fontId="301" fillId="0" borderId="102" xfId="116" applyNumberFormat="1" applyFont="1" applyBorder="1" applyAlignment="1">
      <alignment horizontal="right"/>
    </xf>
    <xf numFmtId="2" fontId="302" fillId="0" borderId="102" xfId="116" applyNumberFormat="1" applyFont="1" applyBorder="1"/>
    <xf numFmtId="2" fontId="301" fillId="0" borderId="102" xfId="116" applyNumberFormat="1" applyFont="1" applyBorder="1"/>
    <xf numFmtId="2" fontId="302" fillId="0" borderId="104" xfId="116" applyNumberFormat="1" applyFont="1" applyBorder="1"/>
    <xf numFmtId="2" fontId="98" fillId="0" borderId="67" xfId="225" applyNumberFormat="1" applyFont="1" applyBorder="1" applyAlignment="1">
      <alignment vertical="top" wrapText="1"/>
    </xf>
    <xf numFmtId="0" fontId="40" fillId="0" borderId="67" xfId="0" applyFont="1" applyBorder="1" applyAlignment="1">
      <alignment vertical="top"/>
    </xf>
    <xf numFmtId="2" fontId="98" fillId="0" borderId="71" xfId="225" applyNumberFormat="1" applyFont="1" applyBorder="1" applyAlignment="1">
      <alignment vertical="top" wrapText="1"/>
    </xf>
    <xf numFmtId="2" fontId="98" fillId="0" borderId="89" xfId="225" applyNumberFormat="1" applyFont="1" applyBorder="1" applyAlignment="1">
      <alignment vertical="top" wrapText="1"/>
    </xf>
    <xf numFmtId="0" fontId="98" fillId="0" borderId="89" xfId="225" applyFont="1" applyBorder="1" applyAlignment="1">
      <alignment vertical="top" wrapText="1"/>
    </xf>
    <xf numFmtId="0" fontId="89" fillId="0" borderId="33" xfId="0" applyFont="1" applyBorder="1" applyAlignment="1">
      <alignment horizontal="center" vertical="center"/>
    </xf>
    <xf numFmtId="0" fontId="89" fillId="0" borderId="23" xfId="0" applyFont="1" applyBorder="1" applyAlignment="1">
      <alignment horizontal="center" vertical="center"/>
    </xf>
    <xf numFmtId="0" fontId="98" fillId="0" borderId="89" xfId="116" applyFont="1" applyBorder="1" applyAlignment="1">
      <alignment vertical="top" wrapText="1"/>
    </xf>
    <xf numFmtId="0" fontId="145" fillId="0" borderId="6" xfId="116" applyFont="1" applyBorder="1" applyAlignment="1">
      <alignment vertical="top" wrapText="1"/>
    </xf>
    <xf numFmtId="9" fontId="163" fillId="0" borderId="0" xfId="558" applyFont="1" applyFill="1" applyAlignment="1">
      <alignment horizontal="right"/>
    </xf>
    <xf numFmtId="0" fontId="48" fillId="63" borderId="1" xfId="0" applyFont="1" applyFill="1" applyBorder="1" applyAlignment="1">
      <alignment wrapText="1"/>
    </xf>
    <xf numFmtId="0" fontId="48" fillId="0" borderId="1" xfId="0" applyFont="1" applyBorder="1" applyAlignment="1">
      <alignment vertical="center" wrapText="1"/>
    </xf>
    <xf numFmtId="0" fontId="48" fillId="0" borderId="1" xfId="0" applyFont="1" applyBorder="1" applyAlignment="1">
      <alignment vertical="center"/>
    </xf>
    <xf numFmtId="0" fontId="112" fillId="0" borderId="1" xfId="0" applyFont="1" applyBorder="1" applyAlignment="1">
      <alignment horizontal="right" wrapText="1"/>
    </xf>
    <xf numFmtId="2" fontId="112" fillId="0" borderId="1" xfId="0" applyNumberFormat="1" applyFont="1" applyBorder="1"/>
    <xf numFmtId="0" fontId="229" fillId="0" borderId="1" xfId="0" applyFont="1" applyBorder="1" applyAlignment="1">
      <alignment wrapText="1"/>
    </xf>
    <xf numFmtId="0" fontId="229" fillId="0" borderId="1" xfId="0" applyFont="1" applyBorder="1" applyAlignment="1">
      <alignment vertical="center" wrapText="1"/>
    </xf>
    <xf numFmtId="0" fontId="48" fillId="31" borderId="1" xfId="0" applyFont="1" applyFill="1" applyBorder="1" applyAlignment="1">
      <alignment horizontal="center" vertical="center"/>
    </xf>
    <xf numFmtId="4" fontId="229" fillId="0" borderId="1" xfId="0" applyNumberFormat="1" applyFont="1" applyBorder="1" applyAlignment="1">
      <alignment vertical="center"/>
    </xf>
    <xf numFmtId="0" fontId="254" fillId="0" borderId="0" xfId="0" applyFont="1"/>
    <xf numFmtId="0" fontId="303" fillId="78" borderId="1" xfId="0" applyFont="1" applyFill="1" applyBorder="1" applyAlignment="1">
      <alignment wrapText="1"/>
    </xf>
    <xf numFmtId="0" fontId="229" fillId="0" borderId="1" xfId="0" applyFont="1" applyBorder="1" applyAlignment="1">
      <alignment horizontal="left" vertical="center" wrapText="1"/>
    </xf>
    <xf numFmtId="4" fontId="229" fillId="78" borderId="1" xfId="0" applyNumberFormat="1" applyFont="1" applyFill="1" applyBorder="1" applyAlignment="1">
      <alignment vertical="center"/>
    </xf>
    <xf numFmtId="4" fontId="39" fillId="78" borderId="1" xfId="0" applyNumberFormat="1" applyFont="1" applyFill="1" applyBorder="1" applyAlignment="1">
      <alignment vertical="center"/>
    </xf>
    <xf numFmtId="0" fontId="138" fillId="0" borderId="1" xfId="0" applyFont="1" applyBorder="1" applyAlignment="1">
      <alignment wrapText="1"/>
    </xf>
    <xf numFmtId="2" fontId="48" fillId="0" borderId="1" xfId="0" applyNumberFormat="1" applyFont="1" applyBorder="1" applyAlignment="1">
      <alignment vertical="center"/>
    </xf>
    <xf numFmtId="2" fontId="39" fillId="0" borderId="1" xfId="0" applyNumberFormat="1" applyFont="1" applyBorder="1" applyAlignment="1">
      <alignment vertical="center"/>
    </xf>
    <xf numFmtId="0" fontId="303" fillId="63" borderId="1" xfId="0" applyFont="1" applyFill="1" applyBorder="1" applyAlignment="1">
      <alignment wrapText="1"/>
    </xf>
    <xf numFmtId="4" fontId="229" fillId="74" borderId="1" xfId="0" applyNumberFormat="1" applyFont="1" applyFill="1" applyBorder="1" applyAlignment="1">
      <alignment vertical="center"/>
    </xf>
    <xf numFmtId="0" fontId="304" fillId="0" borderId="1" xfId="0" applyFont="1" applyBorder="1" applyAlignment="1">
      <alignment wrapText="1"/>
    </xf>
    <xf numFmtId="0" fontId="39" fillId="31" borderId="1" xfId="0" applyFont="1" applyFill="1" applyBorder="1" applyAlignment="1">
      <alignment horizontal="center" vertical="center"/>
    </xf>
    <xf numFmtId="0" fontId="303" fillId="0" borderId="0" xfId="0" applyFont="1"/>
    <xf numFmtId="0" fontId="146" fillId="0" borderId="1" xfId="0" applyFont="1" applyBorder="1" applyAlignment="1">
      <alignment horizontal="left" vertical="center"/>
    </xf>
    <xf numFmtId="2" fontId="207" fillId="0" borderId="0" xfId="6" applyNumberFormat="1" applyFont="1"/>
    <xf numFmtId="179" fontId="38" fillId="0" borderId="1" xfId="6" applyNumberFormat="1" applyFont="1" applyBorder="1" applyAlignment="1">
      <alignment horizontal="center" vertical="center"/>
    </xf>
    <xf numFmtId="49" fontId="40" fillId="0" borderId="30" xfId="556" applyNumberFormat="1" applyFont="1" applyBorder="1" applyAlignment="1">
      <alignment horizontal="center" vertical="center"/>
    </xf>
    <xf numFmtId="9" fontId="40" fillId="0" borderId="0" xfId="558" applyFont="1" applyFill="1" applyBorder="1"/>
    <xf numFmtId="177" fontId="92" fillId="0" borderId="0" xfId="558" applyNumberFormat="1" applyFont="1" applyFill="1" applyAlignment="1">
      <alignment vertical="center"/>
    </xf>
    <xf numFmtId="0" fontId="163" fillId="0" borderId="104" xfId="116" applyFont="1" applyBorder="1" applyAlignment="1">
      <alignment vertical="top" wrapText="1"/>
    </xf>
    <xf numFmtId="0" fontId="38" fillId="0" borderId="0" xfId="6" applyFont="1" applyAlignment="1">
      <alignment horizontal="center" vertical="center" wrapText="1"/>
    </xf>
    <xf numFmtId="177" fontId="39" fillId="2" borderId="32" xfId="0" applyNumberFormat="1" applyFont="1" applyFill="1" applyBorder="1" applyAlignment="1">
      <alignment horizontal="center"/>
    </xf>
    <xf numFmtId="198" fontId="39" fillId="0" borderId="0" xfId="0" applyNumberFormat="1" applyFont="1"/>
    <xf numFmtId="196" fontId="39" fillId="0" borderId="0" xfId="558" applyNumberFormat="1" applyFont="1" applyBorder="1"/>
    <xf numFmtId="177" fontId="207" fillId="0" borderId="0" xfId="0" applyNumberFormat="1" applyFont="1"/>
    <xf numFmtId="175" fontId="207" fillId="0" borderId="0" xfId="0" applyNumberFormat="1" applyFont="1"/>
    <xf numFmtId="4" fontId="230" fillId="0" borderId="0" xfId="6" applyNumberFormat="1" applyFont="1" applyAlignment="1">
      <alignment horizontal="center" vertical="center" wrapText="1"/>
    </xf>
    <xf numFmtId="0" fontId="111" fillId="0" borderId="0" xfId="6" applyFont="1" applyAlignment="1">
      <alignment horizontal="center" vertical="center" wrapText="1"/>
    </xf>
    <xf numFmtId="0" fontId="288" fillId="0" borderId="0" xfId="6" applyFont="1" applyAlignment="1">
      <alignment horizontal="left" vertical="center"/>
    </xf>
    <xf numFmtId="2" fontId="37" fillId="0" borderId="0" xfId="6" applyNumberFormat="1" applyFont="1" applyAlignment="1">
      <alignment horizontal="center" vertical="center" wrapText="1"/>
    </xf>
    <xf numFmtId="0" fontId="210" fillId="0" borderId="0" xfId="6" applyFont="1" applyAlignment="1">
      <alignment horizontal="center" vertical="center" wrapText="1"/>
    </xf>
    <xf numFmtId="0" fontId="186" fillId="0" borderId="0" xfId="6" applyFont="1" applyAlignment="1">
      <alignment horizontal="center" vertical="center" wrapText="1"/>
    </xf>
    <xf numFmtId="0" fontId="31" fillId="0" borderId="0" xfId="6" applyFont="1" applyAlignment="1">
      <alignment horizontal="center" vertical="center" wrapText="1"/>
    </xf>
    <xf numFmtId="0" fontId="39" fillId="0" borderId="1" xfId="6" applyFont="1" applyBorder="1" applyAlignment="1">
      <alignment horizontal="left" vertical="center" wrapText="1"/>
    </xf>
    <xf numFmtId="2" fontId="39" fillId="0" borderId="1" xfId="6" applyNumberFormat="1" applyFont="1" applyBorder="1" applyAlignment="1">
      <alignment horizontal="center" vertical="center" wrapText="1"/>
    </xf>
    <xf numFmtId="9" fontId="39" fillId="0" borderId="1" xfId="558" applyFont="1" applyFill="1" applyBorder="1" applyAlignment="1">
      <alignment horizontal="center" vertical="center" wrapText="1"/>
    </xf>
    <xf numFmtId="0" fontId="112" fillId="0" borderId="1" xfId="6" applyFont="1" applyBorder="1" applyAlignment="1">
      <alignment horizontal="center" vertical="center" wrapText="1"/>
    </xf>
    <xf numFmtId="2" fontId="112" fillId="0" borderId="1" xfId="6" applyNumberFormat="1" applyFont="1" applyBorder="1" applyAlignment="1">
      <alignment horizontal="center" vertical="center" wrapText="1"/>
    </xf>
    <xf numFmtId="9" fontId="112" fillId="0" borderId="1" xfId="558" applyFont="1" applyFill="1" applyBorder="1" applyAlignment="1">
      <alignment horizontal="center" vertical="center" wrapText="1"/>
    </xf>
    <xf numFmtId="0" fontId="39" fillId="78" borderId="1" xfId="0" applyFont="1" applyFill="1" applyBorder="1"/>
    <xf numFmtId="0" fontId="48" fillId="78" borderId="0" xfId="0" applyFont="1" applyFill="1"/>
    <xf numFmtId="0" fontId="39" fillId="78" borderId="0" xfId="0" applyFont="1" applyFill="1" applyAlignment="1">
      <alignment horizontal="right"/>
    </xf>
    <xf numFmtId="2" fontId="38" fillId="0" borderId="45" xfId="6" applyNumberFormat="1" applyFont="1" applyBorder="1" applyAlignment="1">
      <alignment horizontal="center" vertical="center"/>
    </xf>
    <xf numFmtId="2" fontId="46" fillId="0" borderId="1" xfId="6" applyNumberFormat="1" applyFont="1" applyBorder="1" applyAlignment="1">
      <alignment horizontal="center" vertical="center"/>
    </xf>
    <xf numFmtId="0" fontId="207" fillId="0" borderId="1" xfId="0" applyFont="1" applyBorder="1" applyAlignment="1">
      <alignment vertical="center"/>
    </xf>
    <xf numFmtId="2" fontId="207" fillId="0" borderId="1" xfId="0" applyNumberFormat="1" applyFont="1" applyBorder="1" applyAlignment="1">
      <alignment vertical="center"/>
    </xf>
    <xf numFmtId="4" fontId="207" fillId="0" borderId="1" xfId="0" applyNumberFormat="1" applyFont="1" applyBorder="1" applyAlignment="1">
      <alignment vertical="center"/>
    </xf>
    <xf numFmtId="2" fontId="38" fillId="0" borderId="3" xfId="6" applyNumberFormat="1" applyFont="1" applyBorder="1" applyAlignment="1">
      <alignment horizontal="center" vertical="center"/>
    </xf>
    <xf numFmtId="0" fontId="91" fillId="0" borderId="0" xfId="6" applyFont="1"/>
    <xf numFmtId="0" fontId="38" fillId="0" borderId="1" xfId="6" applyFont="1" applyBorder="1" applyAlignment="1">
      <alignment horizontal="center" vertical="center"/>
    </xf>
    <xf numFmtId="2" fontId="47" fillId="0" borderId="1" xfId="6" applyNumberFormat="1" applyFont="1" applyBorder="1" applyAlignment="1">
      <alignment horizontal="center" vertical="center" wrapText="1"/>
    </xf>
    <xf numFmtId="2" fontId="46" fillId="0" borderId="1" xfId="6" applyNumberFormat="1" applyFont="1" applyBorder="1" applyAlignment="1">
      <alignment horizontal="center" vertical="center" wrapText="1"/>
    </xf>
    <xf numFmtId="2" fontId="146" fillId="0" borderId="1" xfId="6" applyNumberFormat="1" applyFont="1" applyBorder="1" applyAlignment="1">
      <alignment horizontal="center" vertical="center" wrapText="1"/>
    </xf>
    <xf numFmtId="2" fontId="220" fillId="0" borderId="0" xfId="0" applyNumberFormat="1" applyFont="1"/>
    <xf numFmtId="0" fontId="38" fillId="0" borderId="1" xfId="6" applyFont="1" applyBorder="1" applyAlignment="1">
      <alignment horizontal="left" vertical="center" wrapText="1"/>
    </xf>
    <xf numFmtId="175" fontId="46" fillId="0" borderId="1" xfId="6" applyNumberFormat="1" applyFont="1" applyBorder="1" applyAlignment="1">
      <alignment horizontal="center" vertical="center" wrapText="1"/>
    </xf>
    <xf numFmtId="2" fontId="222" fillId="0" borderId="1" xfId="6" applyNumberFormat="1" applyFont="1" applyBorder="1" applyAlignment="1">
      <alignment horizontal="center" vertical="center" wrapText="1"/>
    </xf>
    <xf numFmtId="0" fontId="46" fillId="0" borderId="1" xfId="6" applyFont="1" applyBorder="1" applyAlignment="1">
      <alignment horizontal="center" vertical="center"/>
    </xf>
    <xf numFmtId="2" fontId="223" fillId="0" borderId="1" xfId="6" applyNumberFormat="1" applyFont="1" applyBorder="1" applyAlignment="1">
      <alignment horizontal="center" vertical="center"/>
    </xf>
    <xf numFmtId="179" fontId="46" fillId="0" borderId="1" xfId="6" applyNumberFormat="1" applyFont="1" applyBorder="1" applyAlignment="1">
      <alignment horizontal="center" vertical="center"/>
    </xf>
    <xf numFmtId="177" fontId="222" fillId="0" borderId="1" xfId="6" applyNumberFormat="1" applyFont="1" applyBorder="1" applyAlignment="1">
      <alignment horizontal="center" vertical="center"/>
    </xf>
    <xf numFmtId="2" fontId="91" fillId="0" borderId="0" xfId="6" applyNumberFormat="1" applyFont="1"/>
    <xf numFmtId="2" fontId="224" fillId="0" borderId="1" xfId="6" applyNumberFormat="1" applyFont="1" applyBorder="1" applyAlignment="1">
      <alignment horizontal="center" vertical="center"/>
    </xf>
    <xf numFmtId="0" fontId="38" fillId="0" borderId="8" xfId="6" applyFont="1" applyBorder="1" applyAlignment="1">
      <alignment horizontal="center" vertical="center" wrapText="1"/>
    </xf>
    <xf numFmtId="4" fontId="47" fillId="0" borderId="1" xfId="6" applyNumberFormat="1" applyFont="1" applyBorder="1" applyAlignment="1">
      <alignment horizontal="center" vertical="center"/>
    </xf>
    <xf numFmtId="4" fontId="46" fillId="0" borderId="1" xfId="6" applyNumberFormat="1" applyFont="1" applyBorder="1" applyAlignment="1">
      <alignment horizontal="center" vertical="center"/>
    </xf>
    <xf numFmtId="181" fontId="39" fillId="0" borderId="0" xfId="6" applyNumberFormat="1" applyFont="1"/>
    <xf numFmtId="0" fontId="38" fillId="0" borderId="1" xfId="6" applyFont="1" applyBorder="1" applyAlignment="1">
      <alignment horizontal="left" vertical="center" wrapText="1" indent="1"/>
    </xf>
    <xf numFmtId="2" fontId="38" fillId="0" borderId="1" xfId="6" applyNumberFormat="1" applyFont="1" applyBorder="1" applyAlignment="1">
      <alignment horizontal="center" vertical="center"/>
    </xf>
    <xf numFmtId="177" fontId="39" fillId="0" borderId="0" xfId="6" applyNumberFormat="1" applyFont="1"/>
    <xf numFmtId="177" fontId="38" fillId="0" borderId="1" xfId="6" applyNumberFormat="1" applyFont="1" applyBorder="1" applyAlignment="1">
      <alignment horizontal="center" vertical="center"/>
    </xf>
    <xf numFmtId="179" fontId="207" fillId="0" borderId="0" xfId="6" applyNumberFormat="1" applyFont="1"/>
    <xf numFmtId="177" fontId="223" fillId="0" borderId="1" xfId="6" applyNumberFormat="1" applyFont="1" applyBorder="1" applyAlignment="1">
      <alignment horizontal="center" vertical="center"/>
    </xf>
    <xf numFmtId="0" fontId="92" fillId="0" borderId="0" xfId="6" applyFont="1" applyAlignment="1">
      <alignment vertical="center" wrapText="1"/>
    </xf>
    <xf numFmtId="0" fontId="38" fillId="0" borderId="0" xfId="6" applyFont="1" applyAlignment="1">
      <alignment horizontal="center" vertical="center"/>
    </xf>
    <xf numFmtId="0" fontId="38" fillId="0" borderId="58" xfId="6" applyFont="1" applyBorder="1" applyAlignment="1">
      <alignment horizontal="center" vertical="center" wrapText="1"/>
    </xf>
    <xf numFmtId="0" fontId="38" fillId="0" borderId="44" xfId="6" applyFont="1" applyBorder="1" applyAlignment="1">
      <alignment vertical="center" wrapText="1"/>
    </xf>
    <xf numFmtId="2" fontId="38" fillId="0" borderId="40" xfId="6" applyNumberFormat="1" applyFont="1" applyBorder="1" applyAlignment="1">
      <alignment horizontal="center" vertical="center"/>
    </xf>
    <xf numFmtId="0" fontId="38" fillId="0" borderId="39" xfId="6" applyFont="1" applyBorder="1" applyAlignment="1">
      <alignment horizontal="center" vertical="center"/>
    </xf>
    <xf numFmtId="0" fontId="38" fillId="0" borderId="40" xfId="6" applyFont="1" applyBorder="1" applyAlignment="1">
      <alignment horizontal="center" vertical="center" wrapText="1"/>
    </xf>
    <xf numFmtId="175" fontId="46" fillId="0" borderId="40" xfId="6" applyNumberFormat="1" applyFont="1" applyBorder="1" applyAlignment="1">
      <alignment horizontal="center" vertical="center" wrapText="1"/>
    </xf>
    <xf numFmtId="2" fontId="46" fillId="0" borderId="40" xfId="6" applyNumberFormat="1" applyFont="1" applyBorder="1" applyAlignment="1">
      <alignment horizontal="center" vertical="center" wrapText="1"/>
    </xf>
    <xf numFmtId="0" fontId="46" fillId="0" borderId="40" xfId="6" applyFont="1" applyBorder="1" applyAlignment="1">
      <alignment horizontal="center" vertical="center"/>
    </xf>
    <xf numFmtId="2" fontId="46" fillId="0" borderId="40" xfId="6" applyNumberFormat="1" applyFont="1" applyBorder="1" applyAlignment="1">
      <alignment horizontal="center" vertical="center"/>
    </xf>
    <xf numFmtId="0" fontId="36" fillId="0" borderId="1" xfId="0" applyFont="1" applyBorder="1" applyAlignment="1">
      <alignment horizontal="center" vertical="center"/>
    </xf>
    <xf numFmtId="179" fontId="46" fillId="0" borderId="40" xfId="6" applyNumberFormat="1" applyFont="1" applyBorder="1" applyAlignment="1">
      <alignment horizontal="center" vertical="center"/>
    </xf>
    <xf numFmtId="0" fontId="38" fillId="0" borderId="45" xfId="6" applyFont="1" applyBorder="1" applyAlignment="1">
      <alignment horizontal="center" vertical="center" wrapText="1"/>
    </xf>
    <xf numFmtId="2" fontId="38" fillId="0" borderId="46" xfId="6" applyNumberFormat="1" applyFont="1" applyBorder="1" applyAlignment="1">
      <alignment horizontal="center" vertical="center"/>
    </xf>
    <xf numFmtId="2" fontId="48" fillId="0" borderId="0" xfId="6" applyNumberFormat="1" applyFont="1"/>
    <xf numFmtId="0" fontId="207" fillId="0" borderId="1" xfId="6" applyFont="1" applyBorder="1"/>
    <xf numFmtId="2" fontId="207" fillId="0" borderId="1" xfId="6" applyNumberFormat="1" applyFont="1" applyBorder="1"/>
    <xf numFmtId="0" fontId="220" fillId="0" borderId="1" xfId="6" applyFont="1" applyBorder="1" applyAlignment="1">
      <alignment horizontal="right"/>
    </xf>
    <xf numFmtId="2" fontId="220" fillId="0" borderId="1" xfId="6" applyNumberFormat="1" applyFont="1" applyBorder="1"/>
    <xf numFmtId="177" fontId="207" fillId="0" borderId="1" xfId="6" applyNumberFormat="1" applyFont="1" applyBorder="1"/>
    <xf numFmtId="0" fontId="170" fillId="0" borderId="1" xfId="124" applyFont="1" applyBorder="1" applyAlignment="1">
      <alignment horizontal="center" vertical="center" wrapText="1"/>
    </xf>
    <xf numFmtId="0" fontId="182" fillId="0" borderId="1" xfId="124" applyFont="1" applyBorder="1" applyAlignment="1">
      <alignment horizontal="center" vertical="center" wrapText="1"/>
    </xf>
    <xf numFmtId="0" fontId="182" fillId="0" borderId="8" xfId="124" applyFont="1" applyBorder="1" applyAlignment="1">
      <alignment horizontal="center" vertical="center" wrapText="1"/>
    </xf>
    <xf numFmtId="0" fontId="170" fillId="0" borderId="40" xfId="124" applyFont="1" applyBorder="1" applyAlignment="1">
      <alignment horizontal="center" vertical="center" wrapText="1"/>
    </xf>
    <xf numFmtId="2" fontId="221" fillId="0" borderId="1" xfId="6" applyNumberFormat="1" applyFont="1" applyBorder="1"/>
    <xf numFmtId="0" fontId="98" fillId="0" borderId="37" xfId="556" applyFont="1" applyBorder="1" applyAlignment="1">
      <alignment horizontal="center" vertical="center" wrapText="1"/>
    </xf>
    <xf numFmtId="0" fontId="145" fillId="0" borderId="41" xfId="556" applyFont="1" applyBorder="1" applyAlignment="1">
      <alignment horizontal="left" vertical="center" wrapText="1"/>
    </xf>
    <xf numFmtId="0" fontId="98" fillId="0" borderId="127" xfId="556" applyFont="1" applyBorder="1" applyAlignment="1">
      <alignment horizontal="left" vertical="center" wrapText="1" indent="1"/>
    </xf>
    <xf numFmtId="0" fontId="98" fillId="0" borderId="128" xfId="556" applyFont="1" applyBorder="1" applyAlignment="1">
      <alignment horizontal="center" vertical="center" wrapText="1"/>
    </xf>
    <xf numFmtId="183" fontId="47" fillId="0" borderId="0" xfId="558" applyNumberFormat="1" applyFont="1"/>
    <xf numFmtId="180" fontId="47" fillId="0" borderId="0" xfId="116" applyNumberFormat="1" applyFont="1"/>
    <xf numFmtId="184" fontId="154" fillId="65" borderId="33" xfId="558" applyNumberFormat="1" applyFont="1" applyFill="1" applyBorder="1" applyAlignment="1">
      <alignment horizontal="center" vertical="center" wrapText="1"/>
    </xf>
    <xf numFmtId="4" fontId="167" fillId="0" borderId="0" xfId="116" applyNumberFormat="1" applyFont="1"/>
    <xf numFmtId="4" fontId="176" fillId="0" borderId="0" xfId="116" applyNumberFormat="1" applyFont="1"/>
    <xf numFmtId="4" fontId="167" fillId="0" borderId="0" xfId="116" applyNumberFormat="1" applyFont="1" applyAlignment="1">
      <alignment horizontal="right"/>
    </xf>
    <xf numFmtId="4" fontId="163" fillId="0" borderId="0" xfId="116" applyNumberFormat="1" applyFont="1" applyAlignment="1">
      <alignment horizontal="right"/>
    </xf>
    <xf numFmtId="4" fontId="163" fillId="0" borderId="102" xfId="116" applyNumberFormat="1" applyFont="1" applyBorder="1" applyAlignment="1">
      <alignment horizontal="right" vertical="center"/>
    </xf>
    <xf numFmtId="4" fontId="163" fillId="0" borderId="105" xfId="116" applyNumberFormat="1" applyFont="1" applyBorder="1" applyAlignment="1">
      <alignment horizontal="right" wrapText="1"/>
    </xf>
    <xf numFmtId="4" fontId="163" fillId="0" borderId="104" xfId="116" applyNumberFormat="1" applyFont="1" applyBorder="1" applyAlignment="1">
      <alignment horizontal="right"/>
    </xf>
    <xf numFmtId="4" fontId="92" fillId="0" borderId="0" xfId="116" applyNumberFormat="1" applyFont="1"/>
    <xf numFmtId="4" fontId="163" fillId="0" borderId="0" xfId="116" applyNumberFormat="1" applyFont="1"/>
    <xf numFmtId="4" fontId="163" fillId="0" borderId="0" xfId="116" applyNumberFormat="1" applyFont="1" applyAlignment="1">
      <alignment horizontal="center"/>
    </xf>
    <xf numFmtId="4" fontId="98" fillId="0" borderId="0" xfId="0" applyNumberFormat="1" applyFont="1"/>
    <xf numFmtId="4" fontId="98" fillId="0" borderId="1" xfId="558" applyNumberFormat="1" applyFont="1" applyFill="1" applyBorder="1"/>
    <xf numFmtId="4" fontId="98" fillId="0" borderId="8" xfId="0" applyNumberFormat="1" applyFont="1" applyBorder="1" applyAlignment="1">
      <alignment horizontal="center"/>
    </xf>
    <xf numFmtId="0" fontId="145" fillId="0" borderId="42" xfId="556" applyFont="1" applyBorder="1" applyAlignment="1">
      <alignment horizontal="left" vertical="center" wrapText="1"/>
    </xf>
    <xf numFmtId="0" fontId="98" fillId="0" borderId="43" xfId="556" applyFont="1" applyBorder="1" applyAlignment="1">
      <alignment horizontal="center" vertical="center" wrapText="1"/>
    </xf>
    <xf numFmtId="0" fontId="98" fillId="0" borderId="60" xfId="556" applyFont="1" applyBorder="1" applyAlignment="1">
      <alignment horizontal="center" vertical="center" wrapText="1"/>
    </xf>
    <xf numFmtId="0" fontId="92" fillId="0" borderId="0" xfId="0" applyFont="1"/>
    <xf numFmtId="0" fontId="38" fillId="78" borderId="1" xfId="0" applyFont="1" applyFill="1" applyBorder="1" applyAlignment="1">
      <alignment horizontal="center" vertical="center" wrapText="1"/>
    </xf>
    <xf numFmtId="0" fontId="38" fillId="75" borderId="1" xfId="0" applyFont="1" applyFill="1" applyBorder="1" applyAlignment="1">
      <alignment horizontal="center" vertical="center" wrapText="1"/>
    </xf>
    <xf numFmtId="0" fontId="38" fillId="0" borderId="39" xfId="0" applyFont="1" applyBorder="1"/>
    <xf numFmtId="4" fontId="38" fillId="2" borderId="1" xfId="0" applyNumberFormat="1" applyFont="1" applyFill="1" applyBorder="1"/>
    <xf numFmtId="4" fontId="38" fillId="0" borderId="40" xfId="0" applyNumberFormat="1" applyFont="1" applyBorder="1"/>
    <xf numFmtId="2" fontId="92" fillId="0" borderId="0" xfId="0" applyNumberFormat="1" applyFont="1"/>
    <xf numFmtId="4" fontId="92" fillId="2" borderId="1" xfId="0" applyNumberFormat="1" applyFont="1" applyFill="1" applyBorder="1"/>
    <xf numFmtId="0" fontId="38" fillId="0" borderId="41" xfId="0" applyFont="1" applyBorder="1"/>
    <xf numFmtId="2" fontId="38" fillId="0" borderId="79" xfId="0" applyNumberFormat="1" applyFont="1" applyBorder="1"/>
    <xf numFmtId="4" fontId="92" fillId="2" borderId="79" xfId="0" applyNumberFormat="1" applyFont="1" applyFill="1" applyBorder="1"/>
    <xf numFmtId="0" fontId="43" fillId="0" borderId="44" xfId="0" applyFont="1" applyBorder="1"/>
    <xf numFmtId="2" fontId="43" fillId="0" borderId="45" xfId="0" applyNumberFormat="1" applyFont="1" applyBorder="1"/>
    <xf numFmtId="4" fontId="43" fillId="0" borderId="45" xfId="0" applyNumberFormat="1" applyFont="1" applyBorder="1"/>
    <xf numFmtId="2" fontId="219" fillId="0" borderId="0" xfId="0" applyNumberFormat="1" applyFont="1"/>
    <xf numFmtId="4" fontId="38" fillId="0" borderId="0" xfId="0" applyNumberFormat="1" applyFont="1"/>
    <xf numFmtId="0" fontId="38" fillId="0" borderId="37" xfId="0" applyFont="1" applyBorder="1"/>
    <xf numFmtId="2" fontId="92" fillId="0" borderId="1" xfId="0" applyNumberFormat="1" applyFont="1" applyBorder="1"/>
    <xf numFmtId="0" fontId="38" fillId="0" borderId="52" xfId="0" applyFont="1" applyBorder="1"/>
    <xf numFmtId="0" fontId="43" fillId="0" borderId="53" xfId="0" applyFont="1" applyBorder="1"/>
    <xf numFmtId="2" fontId="43" fillId="0" borderId="1" xfId="0" applyNumberFormat="1" applyFont="1" applyBorder="1"/>
    <xf numFmtId="2" fontId="219" fillId="0" borderId="1" xfId="0" applyNumberFormat="1" applyFont="1" applyBorder="1"/>
    <xf numFmtId="2" fontId="38" fillId="0" borderId="0" xfId="0" applyNumberFormat="1" applyFont="1"/>
    <xf numFmtId="0" fontId="92" fillId="0" borderId="0" xfId="0" applyFont="1" applyAlignment="1">
      <alignment horizontal="center" vertical="center" wrapText="1"/>
    </xf>
    <xf numFmtId="0" fontId="38" fillId="78" borderId="7" xfId="0" applyFont="1" applyFill="1" applyBorder="1" applyAlignment="1">
      <alignment horizontal="center" vertical="center" wrapText="1"/>
    </xf>
    <xf numFmtId="0" fontId="38" fillId="35" borderId="1" xfId="0" applyFont="1" applyFill="1" applyBorder="1" applyAlignment="1">
      <alignment horizontal="center" vertical="center" wrapText="1"/>
    </xf>
    <xf numFmtId="0" fontId="38" fillId="78" borderId="69" xfId="0" applyFont="1" applyFill="1" applyBorder="1" applyAlignment="1">
      <alignment horizontal="center" vertical="center" wrapText="1"/>
    </xf>
    <xf numFmtId="0" fontId="38" fillId="75" borderId="3" xfId="0" applyFont="1" applyFill="1" applyBorder="1" applyAlignment="1">
      <alignment horizontal="center" vertical="center" wrapText="1"/>
    </xf>
    <xf numFmtId="0" fontId="38" fillId="35" borderId="3" xfId="0" applyFont="1" applyFill="1" applyBorder="1" applyAlignment="1">
      <alignment horizontal="center" vertical="center" wrapText="1"/>
    </xf>
    <xf numFmtId="0" fontId="38" fillId="75" borderId="40" xfId="0" applyFont="1" applyFill="1" applyBorder="1" applyAlignment="1">
      <alignment horizontal="center" vertical="center" wrapText="1"/>
    </xf>
    <xf numFmtId="0" fontId="38" fillId="0" borderId="42" xfId="0" applyFont="1" applyBorder="1"/>
    <xf numFmtId="2" fontId="38" fillId="0" borderId="69" xfId="0" applyNumberFormat="1" applyFont="1" applyBorder="1"/>
    <xf numFmtId="2" fontId="38" fillId="0" borderId="40" xfId="0" applyNumberFormat="1" applyFont="1" applyBorder="1"/>
    <xf numFmtId="0" fontId="38" fillId="0" borderId="29" xfId="0" applyFont="1" applyBorder="1"/>
    <xf numFmtId="0" fontId="38" fillId="0" borderId="35" xfId="0" applyFont="1" applyBorder="1"/>
    <xf numFmtId="2" fontId="43" fillId="0" borderId="46" xfId="0" applyNumberFormat="1" applyFont="1" applyBorder="1"/>
    <xf numFmtId="177" fontId="38" fillId="0" borderId="1" xfId="0" applyNumberFormat="1" applyFont="1" applyBorder="1"/>
    <xf numFmtId="2" fontId="219" fillId="0" borderId="45" xfId="0" applyNumberFormat="1" applyFont="1" applyBorder="1"/>
    <xf numFmtId="0" fontId="38" fillId="30" borderId="1" xfId="0" applyFont="1" applyFill="1" applyBorder="1" applyAlignment="1">
      <alignment horizontal="center" vertical="center" wrapText="1"/>
    </xf>
    <xf numFmtId="175" fontId="38" fillId="0" borderId="1" xfId="0" applyNumberFormat="1" applyFont="1" applyBorder="1"/>
    <xf numFmtId="177" fontId="92" fillId="0" borderId="1" xfId="0" applyNumberFormat="1" applyFont="1" applyBorder="1"/>
    <xf numFmtId="2" fontId="92" fillId="0" borderId="4" xfId="0" applyNumberFormat="1" applyFont="1" applyBorder="1"/>
    <xf numFmtId="0" fontId="38" fillId="35" borderId="40" xfId="0" applyFont="1" applyFill="1" applyBorder="1" applyAlignment="1">
      <alignment horizontal="center" vertical="center" wrapText="1"/>
    </xf>
    <xf numFmtId="2" fontId="38" fillId="0" borderId="39" xfId="0" applyNumberFormat="1" applyFont="1" applyBorder="1"/>
    <xf numFmtId="10" fontId="38" fillId="0" borderId="40" xfId="558" applyNumberFormat="1" applyFont="1" applyBorder="1"/>
    <xf numFmtId="2" fontId="38" fillId="0" borderId="3" xfId="0" applyNumberFormat="1" applyFont="1" applyBorder="1"/>
    <xf numFmtId="177" fontId="38" fillId="0" borderId="3" xfId="0" applyNumberFormat="1" applyFont="1" applyBorder="1"/>
    <xf numFmtId="2" fontId="38" fillId="0" borderId="7" xfId="0" applyNumberFormat="1" applyFont="1" applyBorder="1"/>
    <xf numFmtId="0" fontId="92" fillId="0" borderId="44" xfId="0" applyFont="1" applyBorder="1"/>
    <xf numFmtId="0" fontId="92" fillId="0" borderId="45" xfId="0" applyFont="1" applyBorder="1"/>
    <xf numFmtId="2" fontId="219" fillId="0" borderId="46" xfId="0" applyNumberFormat="1" applyFont="1" applyBorder="1"/>
    <xf numFmtId="2" fontId="219" fillId="0" borderId="54" xfId="0" applyNumberFormat="1" applyFont="1" applyBorder="1"/>
    <xf numFmtId="10" fontId="38" fillId="0" borderId="1" xfId="558" applyNumberFormat="1" applyFont="1" applyBorder="1" applyAlignment="1">
      <alignment horizontal="center" vertical="center"/>
    </xf>
    <xf numFmtId="177" fontId="38" fillId="0" borderId="43" xfId="0" applyNumberFormat="1" applyFont="1" applyBorder="1"/>
    <xf numFmtId="177" fontId="38" fillId="0" borderId="40" xfId="0" applyNumberFormat="1" applyFont="1" applyBorder="1"/>
    <xf numFmtId="2" fontId="38" fillId="0" borderId="45" xfId="0" applyNumberFormat="1" applyFont="1" applyBorder="1"/>
    <xf numFmtId="0" fontId="38" fillId="0" borderId="89" xfId="0" applyFont="1" applyBorder="1"/>
    <xf numFmtId="0" fontId="38" fillId="0" borderId="67" xfId="0" applyFont="1" applyBorder="1"/>
    <xf numFmtId="0" fontId="92" fillId="0" borderId="23" xfId="0" applyFont="1" applyBorder="1"/>
    <xf numFmtId="0" fontId="38" fillId="78" borderId="39" xfId="0" applyFont="1" applyFill="1" applyBorder="1" applyAlignment="1">
      <alignment horizontal="center" vertical="center" wrapText="1"/>
    </xf>
    <xf numFmtId="2" fontId="38" fillId="0" borderId="42" xfId="0" applyNumberFormat="1" applyFont="1" applyBorder="1"/>
    <xf numFmtId="2" fontId="219" fillId="0" borderId="44" xfId="0" applyNumberFormat="1" applyFont="1" applyBorder="1"/>
    <xf numFmtId="10" fontId="38" fillId="0" borderId="7" xfId="558" applyNumberFormat="1" applyFont="1" applyBorder="1" applyAlignment="1">
      <alignment horizontal="center" vertical="center"/>
    </xf>
    <xf numFmtId="0" fontId="38" fillId="0" borderId="4" xfId="0" applyFont="1" applyBorder="1" applyAlignment="1">
      <alignment vertical="center"/>
    </xf>
    <xf numFmtId="0" fontId="38" fillId="0" borderId="66" xfId="0" applyFont="1" applyBorder="1"/>
    <xf numFmtId="0" fontId="38" fillId="0" borderId="68" xfId="0" applyFont="1" applyBorder="1"/>
    <xf numFmtId="10" fontId="38" fillId="0" borderId="57" xfId="558" applyNumberFormat="1" applyFont="1" applyBorder="1" applyAlignment="1">
      <alignment horizontal="center" vertical="center"/>
    </xf>
    <xf numFmtId="10" fontId="38" fillId="0" borderId="58" xfId="558" applyNumberFormat="1" applyFont="1" applyBorder="1" applyAlignment="1">
      <alignment horizontal="center" vertical="center"/>
    </xf>
    <xf numFmtId="10" fontId="38" fillId="0" borderId="59" xfId="558" applyNumberFormat="1" applyFont="1" applyBorder="1" applyAlignment="1">
      <alignment horizontal="center" vertical="center"/>
    </xf>
    <xf numFmtId="10" fontId="38" fillId="0" borderId="39" xfId="558" applyNumberFormat="1" applyFont="1" applyBorder="1" applyAlignment="1">
      <alignment horizontal="center" vertical="center"/>
    </xf>
    <xf numFmtId="10" fontId="38" fillId="0" borderId="40" xfId="558" applyNumberFormat="1" applyFont="1" applyBorder="1" applyAlignment="1">
      <alignment horizontal="center" vertical="center"/>
    </xf>
    <xf numFmtId="10" fontId="38" fillId="0" borderId="44" xfId="558" applyNumberFormat="1" applyFont="1" applyBorder="1" applyAlignment="1">
      <alignment horizontal="center" vertical="center"/>
    </xf>
    <xf numFmtId="10" fontId="38" fillId="0" borderId="45" xfId="558" applyNumberFormat="1" applyFont="1" applyBorder="1" applyAlignment="1">
      <alignment horizontal="center" vertical="center"/>
    </xf>
    <xf numFmtId="10" fontId="38" fillId="0" borderId="46" xfId="558" applyNumberFormat="1" applyFont="1" applyBorder="1" applyAlignment="1">
      <alignment horizontal="center" vertical="center"/>
    </xf>
    <xf numFmtId="2" fontId="92" fillId="0" borderId="69" xfId="0" applyNumberFormat="1" applyFont="1" applyBorder="1"/>
    <xf numFmtId="178" fontId="38" fillId="0" borderId="1" xfId="0" applyNumberFormat="1" applyFont="1" applyBorder="1"/>
    <xf numFmtId="0" fontId="38" fillId="0" borderId="39" xfId="0" applyFont="1" applyBorder="1" applyAlignment="1">
      <alignment horizontal="right"/>
    </xf>
    <xf numFmtId="2" fontId="197" fillId="0" borderId="1" xfId="0" applyNumberFormat="1" applyFont="1" applyBorder="1" applyAlignment="1">
      <alignment vertical="center"/>
    </xf>
    <xf numFmtId="4" fontId="197" fillId="0" borderId="0" xfId="0" applyNumberFormat="1" applyFont="1"/>
    <xf numFmtId="4" fontId="254" fillId="0" borderId="0" xfId="0" applyNumberFormat="1" applyFont="1"/>
    <xf numFmtId="183" fontId="39" fillId="0" borderId="1" xfId="0" applyNumberFormat="1" applyFont="1" applyBorder="1"/>
    <xf numFmtId="4" fontId="207" fillId="0" borderId="1" xfId="0" applyNumberFormat="1" applyFont="1" applyBorder="1"/>
    <xf numFmtId="0" fontId="48" fillId="0" borderId="1" xfId="0" applyFont="1" applyBorder="1" applyAlignment="1">
      <alignment horizontal="right"/>
    </xf>
    <xf numFmtId="4" fontId="39" fillId="2" borderId="1" xfId="0" applyNumberFormat="1" applyFont="1" applyFill="1" applyBorder="1"/>
    <xf numFmtId="0" fontId="39" fillId="73" borderId="1" xfId="0" applyFont="1" applyFill="1" applyBorder="1" applyAlignment="1">
      <alignment wrapText="1"/>
    </xf>
    <xf numFmtId="4" fontId="39" fillId="73" borderId="1" xfId="0" applyNumberFormat="1" applyFont="1" applyFill="1" applyBorder="1"/>
    <xf numFmtId="0" fontId="39" fillId="84" borderId="1" xfId="0" applyFont="1" applyFill="1" applyBorder="1" applyAlignment="1">
      <alignment wrapText="1"/>
    </xf>
    <xf numFmtId="4" fontId="39" fillId="90" borderId="1" xfId="0" applyNumberFormat="1" applyFont="1" applyFill="1" applyBorder="1"/>
    <xf numFmtId="198" fontId="207" fillId="0" borderId="1" xfId="0" applyNumberFormat="1" applyFont="1" applyBorder="1"/>
    <xf numFmtId="197" fontId="39" fillId="0" borderId="1" xfId="0" applyNumberFormat="1" applyFont="1" applyBorder="1"/>
    <xf numFmtId="198" fontId="39" fillId="0" borderId="1" xfId="0" applyNumberFormat="1" applyFont="1" applyBorder="1"/>
    <xf numFmtId="198" fontId="39" fillId="78" borderId="1" xfId="0" applyNumberFormat="1" applyFont="1" applyFill="1" applyBorder="1"/>
    <xf numFmtId="4" fontId="39" fillId="76" borderId="1" xfId="0" applyNumberFormat="1" applyFont="1" applyFill="1" applyBorder="1"/>
    <xf numFmtId="0" fontId="39" fillId="78" borderId="79" xfId="0" applyFont="1" applyFill="1" applyBorder="1"/>
    <xf numFmtId="0" fontId="39" fillId="0" borderId="39" xfId="0" applyFont="1" applyBorder="1" applyAlignment="1">
      <alignment horizontal="right"/>
    </xf>
    <xf numFmtId="0" fontId="39" fillId="0" borderId="39" xfId="0" applyFont="1" applyBorder="1"/>
    <xf numFmtId="0" fontId="39" fillId="0" borderId="48" xfId="0" applyFont="1" applyBorder="1" applyAlignment="1">
      <alignment horizontal="left"/>
    </xf>
    <xf numFmtId="0" fontId="39" fillId="0" borderId="57" xfId="0" applyFont="1" applyBorder="1" applyAlignment="1">
      <alignment horizontal="right"/>
    </xf>
    <xf numFmtId="4" fontId="39" fillId="0" borderId="58" xfId="0" applyNumberFormat="1" applyFont="1" applyBorder="1"/>
    <xf numFmtId="4" fontId="39" fillId="0" borderId="59" xfId="0" applyNumberFormat="1" applyFont="1" applyBorder="1"/>
    <xf numFmtId="0" fontId="39" fillId="0" borderId="44" xfId="0" applyFont="1" applyBorder="1" applyAlignment="1">
      <alignment horizontal="right"/>
    </xf>
    <xf numFmtId="180" fontId="39" fillId="0" borderId="0" xfId="0" applyNumberFormat="1" applyFont="1"/>
    <xf numFmtId="4" fontId="39" fillId="35" borderId="1" xfId="0" applyNumberFormat="1" applyFont="1" applyFill="1" applyBorder="1"/>
    <xf numFmtId="183" fontId="48" fillId="0" borderId="1" xfId="0" applyNumberFormat="1" applyFont="1" applyBorder="1"/>
    <xf numFmtId="0" fontId="48" fillId="74" borderId="1" xfId="0" applyFont="1" applyFill="1" applyBorder="1" applyAlignment="1">
      <alignment horizontal="center" vertical="center"/>
    </xf>
    <xf numFmtId="0" fontId="39" fillId="0" borderId="41" xfId="0" applyFont="1" applyBorder="1"/>
    <xf numFmtId="4" fontId="39" fillId="0" borderId="45" xfId="0" applyNumberFormat="1" applyFont="1" applyBorder="1"/>
    <xf numFmtId="0" fontId="48" fillId="0" borderId="44" xfId="0" applyFont="1" applyBorder="1" applyAlignment="1">
      <alignment horizontal="right"/>
    </xf>
    <xf numFmtId="4" fontId="39" fillId="0" borderId="46" xfId="0" applyNumberFormat="1" applyFont="1" applyBorder="1"/>
    <xf numFmtId="0" fontId="48" fillId="0" borderId="57" xfId="0" applyFont="1" applyBorder="1" applyAlignment="1">
      <alignment horizontal="left"/>
    </xf>
    <xf numFmtId="175" fontId="37" fillId="0" borderId="1" xfId="240" applyNumberFormat="1" applyFont="1" applyBorder="1" applyAlignment="1">
      <alignment horizontal="center" vertical="center" wrapText="1"/>
    </xf>
    <xf numFmtId="4" fontId="229" fillId="0" borderId="0" xfId="0" applyNumberFormat="1" applyFont="1"/>
    <xf numFmtId="0" fontId="39" fillId="74" borderId="1" xfId="0" applyFont="1" applyFill="1" applyBorder="1"/>
    <xf numFmtId="0" fontId="38" fillId="75" borderId="8" xfId="0" applyFont="1" applyFill="1" applyBorder="1" applyAlignment="1">
      <alignment horizontal="center" vertical="center" wrapText="1"/>
    </xf>
    <xf numFmtId="4" fontId="38" fillId="2" borderId="8" xfId="0" applyNumberFormat="1" applyFont="1" applyFill="1" applyBorder="1"/>
    <xf numFmtId="4" fontId="38" fillId="0" borderId="8" xfId="0" applyNumberFormat="1" applyFont="1" applyBorder="1"/>
    <xf numFmtId="4" fontId="92" fillId="2" borderId="8" xfId="0" applyNumberFormat="1" applyFont="1" applyFill="1" applyBorder="1"/>
    <xf numFmtId="4" fontId="92" fillId="2" borderId="97" xfId="0" applyNumberFormat="1" applyFont="1" applyFill="1" applyBorder="1"/>
    <xf numFmtId="4" fontId="43" fillId="0" borderId="55" xfId="0" applyNumberFormat="1" applyFont="1" applyBorder="1"/>
    <xf numFmtId="0" fontId="92" fillId="78" borderId="67" xfId="0" applyFont="1" applyFill="1" applyBorder="1" applyAlignment="1">
      <alignment horizontal="center" vertical="center" wrapText="1"/>
    </xf>
    <xf numFmtId="2" fontId="92" fillId="2" borderId="67" xfId="0" applyNumberFormat="1" applyFont="1" applyFill="1" applyBorder="1"/>
    <xf numFmtId="2" fontId="92" fillId="0" borderId="67" xfId="0" applyNumberFormat="1" applyFont="1" applyBorder="1"/>
    <xf numFmtId="2" fontId="219" fillId="0" borderId="68" xfId="0" applyNumberFormat="1" applyFont="1" applyBorder="1"/>
    <xf numFmtId="2" fontId="92" fillId="2" borderId="52" xfId="0" applyNumberFormat="1" applyFont="1" applyFill="1" applyBorder="1"/>
    <xf numFmtId="2" fontId="92" fillId="0" borderId="52" xfId="0" applyNumberFormat="1" applyFont="1" applyBorder="1"/>
    <xf numFmtId="2" fontId="219" fillId="0" borderId="53" xfId="0" applyNumberFormat="1" applyFont="1" applyBorder="1"/>
    <xf numFmtId="0" fontId="38" fillId="0" borderId="57" xfId="0" applyFont="1" applyBorder="1"/>
    <xf numFmtId="0" fontId="38" fillId="0" borderId="58" xfId="0" applyFont="1" applyBorder="1"/>
    <xf numFmtId="0" fontId="38" fillId="0" borderId="59" xfId="0" applyFont="1" applyBorder="1"/>
    <xf numFmtId="4" fontId="38" fillId="0" borderId="39" xfId="0" applyNumberFormat="1" applyFont="1" applyBorder="1"/>
    <xf numFmtId="0" fontId="38" fillId="0" borderId="40" xfId="0" applyFont="1" applyBorder="1"/>
    <xf numFmtId="0" fontId="38" fillId="0" borderId="44" xfId="0" applyFont="1" applyBorder="1"/>
    <xf numFmtId="0" fontId="38" fillId="0" borderId="45" xfId="0" applyFont="1" applyBorder="1"/>
    <xf numFmtId="0" fontId="38" fillId="0" borderId="46" xfId="0" applyFont="1" applyBorder="1"/>
    <xf numFmtId="0" fontId="38" fillId="78" borderId="44" xfId="0" applyFont="1" applyFill="1" applyBorder="1" applyAlignment="1">
      <alignment horizontal="center" vertical="center" wrapText="1"/>
    </xf>
    <xf numFmtId="0" fontId="38" fillId="75" borderId="55" xfId="0" applyFont="1" applyFill="1" applyBorder="1" applyAlignment="1">
      <alignment horizontal="center" vertical="center" wrapText="1"/>
    </xf>
    <xf numFmtId="0" fontId="92" fillId="78" borderId="68" xfId="0" applyFont="1" applyFill="1" applyBorder="1" applyAlignment="1">
      <alignment horizontal="center" vertical="center" wrapText="1"/>
    </xf>
    <xf numFmtId="4" fontId="43" fillId="0" borderId="44" xfId="0" applyNumberFormat="1" applyFont="1" applyBorder="1"/>
    <xf numFmtId="4" fontId="92" fillId="0" borderId="39" xfId="0" applyNumberFormat="1" applyFont="1" applyBorder="1"/>
    <xf numFmtId="4" fontId="92" fillId="0" borderId="8" xfId="0" applyNumberFormat="1" applyFont="1" applyBorder="1"/>
    <xf numFmtId="4" fontId="92" fillId="0" borderId="41" xfId="0" applyNumberFormat="1" applyFont="1" applyBorder="1"/>
    <xf numFmtId="4" fontId="92" fillId="0" borderId="97" xfId="0" applyNumberFormat="1" applyFont="1" applyBorder="1"/>
    <xf numFmtId="175" fontId="38" fillId="0" borderId="8" xfId="0" applyNumberFormat="1" applyFont="1" applyBorder="1"/>
    <xf numFmtId="2" fontId="38" fillId="0" borderId="8" xfId="0" applyNumberFormat="1" applyFont="1" applyBorder="1"/>
    <xf numFmtId="2" fontId="219" fillId="0" borderId="55" xfId="0" applyNumberFormat="1" applyFont="1" applyBorder="1"/>
    <xf numFmtId="175" fontId="38" fillId="0" borderId="39" xfId="0" applyNumberFormat="1" applyFont="1" applyBorder="1"/>
    <xf numFmtId="0" fontId="38" fillId="35" borderId="73" xfId="0" applyFont="1" applyFill="1" applyBorder="1" applyAlignment="1">
      <alignment horizontal="center" vertical="center" wrapText="1"/>
    </xf>
    <xf numFmtId="2" fontId="92" fillId="0" borderId="73" xfId="0" applyNumberFormat="1" applyFont="1" applyBorder="1"/>
    <xf numFmtId="4" fontId="48" fillId="73" borderId="1" xfId="0" applyNumberFormat="1" applyFont="1" applyFill="1" applyBorder="1"/>
    <xf numFmtId="0" fontId="39" fillId="0" borderId="87" xfId="0" applyFont="1" applyBorder="1"/>
    <xf numFmtId="4" fontId="154" fillId="0" borderId="4" xfId="0" applyNumberFormat="1" applyFont="1" applyBorder="1"/>
    <xf numFmtId="4" fontId="39" fillId="78" borderId="1" xfId="0" applyNumberFormat="1" applyFont="1" applyFill="1" applyBorder="1"/>
    <xf numFmtId="0" fontId="39" fillId="0" borderId="51" xfId="0" applyFont="1" applyBorder="1" applyAlignment="1">
      <alignment horizontal="right"/>
    </xf>
    <xf numFmtId="4" fontId="39" fillId="35" borderId="40" xfId="0" applyNumberFormat="1" applyFont="1" applyFill="1" applyBorder="1"/>
    <xf numFmtId="4" fontId="39" fillId="0" borderId="40" xfId="0" applyNumberFormat="1" applyFont="1" applyBorder="1"/>
    <xf numFmtId="0" fontId="39" fillId="0" borderId="95" xfId="0" applyFont="1" applyBorder="1"/>
    <xf numFmtId="4" fontId="39" fillId="35" borderId="45" xfId="0" applyNumberFormat="1" applyFont="1" applyFill="1" applyBorder="1"/>
    <xf numFmtId="4" fontId="39" fillId="35" borderId="46" xfId="0" applyNumberFormat="1" applyFont="1" applyFill="1" applyBorder="1"/>
    <xf numFmtId="188" fontId="39" fillId="0" borderId="0" xfId="558" applyNumberFormat="1" applyFont="1"/>
    <xf numFmtId="181" fontId="98" fillId="35" borderId="40" xfId="556" applyNumberFormat="1" applyFont="1" applyFill="1" applyBorder="1" applyAlignment="1">
      <alignment horizontal="center" vertical="center" wrapText="1"/>
    </xf>
    <xf numFmtId="181" fontId="98" fillId="74" borderId="79" xfId="556" applyNumberFormat="1" applyFont="1" applyFill="1" applyBorder="1" applyAlignment="1">
      <alignment horizontal="center" vertical="center" wrapText="1"/>
    </xf>
    <xf numFmtId="2" fontId="280" fillId="0" borderId="105" xfId="116" applyNumberFormat="1" applyFont="1" applyBorder="1" applyAlignment="1">
      <alignment horizontal="right" vertical="center"/>
    </xf>
    <xf numFmtId="2" fontId="163" fillId="0" borderId="115" xfId="116" applyNumberFormat="1" applyFont="1" applyBorder="1" applyAlignment="1">
      <alignment horizontal="right" vertical="center"/>
    </xf>
    <xf numFmtId="177" fontId="47" fillId="0" borderId="0" xfId="558" applyNumberFormat="1" applyFont="1" applyFill="1"/>
    <xf numFmtId="177" fontId="145" fillId="0" borderId="1" xfId="556" applyNumberFormat="1" applyFont="1" applyBorder="1" applyAlignment="1">
      <alignment horizontal="center" vertical="center" wrapText="1"/>
    </xf>
    <xf numFmtId="177" fontId="98" fillId="0" borderId="45" xfId="556" applyNumberFormat="1" applyFont="1" applyBorder="1" applyAlignment="1">
      <alignment horizontal="center" vertical="center" wrapText="1"/>
    </xf>
    <xf numFmtId="177" fontId="98" fillId="0" borderId="79" xfId="556" applyNumberFormat="1" applyFont="1" applyBorder="1" applyAlignment="1">
      <alignment horizontal="center" vertical="center" wrapText="1"/>
    </xf>
    <xf numFmtId="0" fontId="98" fillId="0" borderId="73" xfId="556" applyFont="1" applyBorder="1" applyAlignment="1">
      <alignment horizontal="center" vertical="center" wrapText="1"/>
    </xf>
    <xf numFmtId="2" fontId="98" fillId="0" borderId="52" xfId="556" applyNumberFormat="1" applyFont="1" applyBorder="1" applyAlignment="1">
      <alignment horizontal="center" vertical="center" wrapText="1"/>
    </xf>
    <xf numFmtId="177" fontId="98" fillId="0" borderId="73" xfId="556" applyNumberFormat="1" applyFont="1" applyBorder="1" applyAlignment="1">
      <alignment horizontal="center" vertical="center" wrapText="1"/>
    </xf>
    <xf numFmtId="2" fontId="98" fillId="0" borderId="9" xfId="556" applyNumberFormat="1" applyFont="1" applyBorder="1" applyAlignment="1">
      <alignment horizontal="center" vertical="center" wrapText="1"/>
    </xf>
    <xf numFmtId="0" fontId="145" fillId="0" borderId="37" xfId="556" applyFont="1" applyBorder="1" applyAlignment="1">
      <alignment vertical="center" wrapText="1"/>
    </xf>
    <xf numFmtId="0" fontId="98" fillId="0" borderId="38" xfId="556" applyFont="1" applyBorder="1" applyAlignment="1">
      <alignment horizontal="center" vertical="center" wrapText="1"/>
    </xf>
    <xf numFmtId="2" fontId="98" fillId="0" borderId="37" xfId="556" applyNumberFormat="1" applyFont="1" applyBorder="1" applyAlignment="1">
      <alignment horizontal="center" vertical="center" wrapText="1"/>
    </xf>
    <xf numFmtId="177" fontId="98" fillId="0" borderId="38" xfId="556" applyNumberFormat="1" applyFont="1" applyBorder="1" applyAlignment="1">
      <alignment horizontal="center" vertical="center" wrapText="1"/>
    </xf>
    <xf numFmtId="177" fontId="98" fillId="0" borderId="3" xfId="556" applyNumberFormat="1" applyFont="1" applyBorder="1" applyAlignment="1">
      <alignment horizontal="center" vertical="center" wrapText="1"/>
    </xf>
    <xf numFmtId="2" fontId="98" fillId="0" borderId="5" xfId="556" applyNumberFormat="1" applyFont="1" applyBorder="1" applyAlignment="1">
      <alignment horizontal="center" vertical="center" wrapText="1"/>
    </xf>
    <xf numFmtId="0" fontId="145" fillId="0" borderId="52" xfId="556" applyFont="1" applyBorder="1" applyAlignment="1">
      <alignment vertical="center" wrapText="1"/>
    </xf>
    <xf numFmtId="0" fontId="98" fillId="0" borderId="45" xfId="556" applyFont="1" applyBorder="1" applyAlignment="1">
      <alignment horizontal="center" vertical="center" wrapText="1"/>
    </xf>
    <xf numFmtId="0" fontId="98" fillId="0" borderId="72" xfId="556" applyFont="1" applyBorder="1" applyAlignment="1">
      <alignment horizontal="center" vertical="center" wrapText="1"/>
    </xf>
    <xf numFmtId="2" fontId="98" fillId="0" borderId="53" xfId="556" applyNumberFormat="1" applyFont="1" applyBorder="1" applyAlignment="1">
      <alignment horizontal="center" vertical="center" wrapText="1"/>
    </xf>
    <xf numFmtId="177" fontId="98" fillId="0" borderId="72" xfId="556" applyNumberFormat="1" applyFont="1" applyBorder="1" applyAlignment="1">
      <alignment horizontal="center" vertical="center" wrapText="1"/>
    </xf>
    <xf numFmtId="2" fontId="98" fillId="0" borderId="80" xfId="556" applyNumberFormat="1" applyFont="1" applyBorder="1" applyAlignment="1">
      <alignment horizontal="center" vertical="center" wrapText="1"/>
    </xf>
    <xf numFmtId="2" fontId="98" fillId="0" borderId="65" xfId="556" applyNumberFormat="1" applyFont="1" applyBorder="1" applyAlignment="1">
      <alignment horizontal="center" vertical="center" wrapText="1"/>
    </xf>
    <xf numFmtId="2" fontId="113" fillId="0" borderId="0" xfId="556" applyNumberFormat="1" applyFont="1"/>
    <xf numFmtId="2" fontId="145" fillId="0" borderId="1" xfId="556" applyNumberFormat="1" applyFont="1" applyBorder="1" applyAlignment="1">
      <alignment horizontal="center" vertical="center" wrapText="1"/>
    </xf>
    <xf numFmtId="2" fontId="145" fillId="0" borderId="40" xfId="556" applyNumberFormat="1" applyFont="1" applyBorder="1" applyAlignment="1">
      <alignment horizontal="center" vertical="center" wrapText="1"/>
    </xf>
    <xf numFmtId="2" fontId="145" fillId="0" borderId="45" xfId="556" applyNumberFormat="1" applyFont="1" applyBorder="1" applyAlignment="1">
      <alignment horizontal="center" vertical="center" wrapText="1"/>
    </xf>
    <xf numFmtId="2" fontId="145" fillId="0" borderId="46" xfId="556" applyNumberFormat="1" applyFont="1" applyBorder="1" applyAlignment="1">
      <alignment horizontal="center" vertical="center" wrapText="1"/>
    </xf>
    <xf numFmtId="177" fontId="98" fillId="0" borderId="43" xfId="556" applyNumberFormat="1" applyFont="1" applyBorder="1" applyAlignment="1">
      <alignment horizontal="center" vertical="center" wrapText="1"/>
    </xf>
    <xf numFmtId="177" fontId="98" fillId="0" borderId="8" xfId="556" applyNumberFormat="1" applyFont="1" applyBorder="1" applyAlignment="1">
      <alignment horizontal="center" vertical="center" wrapText="1"/>
    </xf>
    <xf numFmtId="2" fontId="98" fillId="0" borderId="79" xfId="556" applyNumberFormat="1" applyFont="1" applyBorder="1" applyAlignment="1">
      <alignment horizontal="center" vertical="center" wrapText="1"/>
    </xf>
    <xf numFmtId="0" fontId="98" fillId="0" borderId="1" xfId="0" applyFont="1" applyBorder="1" applyAlignment="1">
      <alignment vertical="center" wrapText="1"/>
    </xf>
    <xf numFmtId="177" fontId="98" fillId="0" borderId="55" xfId="556" applyNumberFormat="1" applyFont="1" applyBorder="1" applyAlignment="1">
      <alignment horizontal="center" vertical="center" wrapText="1"/>
    </xf>
    <xf numFmtId="0" fontId="145" fillId="0" borderId="109" xfId="556" applyFont="1" applyBorder="1" applyAlignment="1">
      <alignment horizontal="center" vertical="center" wrapText="1"/>
    </xf>
    <xf numFmtId="2" fontId="145" fillId="0" borderId="49" xfId="556" applyNumberFormat="1" applyFont="1" applyBorder="1" applyAlignment="1">
      <alignment horizontal="center" vertical="center" wrapText="1"/>
    </xf>
    <xf numFmtId="2" fontId="145" fillId="0" borderId="109" xfId="556" applyNumberFormat="1" applyFont="1" applyBorder="1" applyAlignment="1">
      <alignment horizontal="center" vertical="center" wrapText="1"/>
    </xf>
    <xf numFmtId="2" fontId="145" fillId="0" borderId="47" xfId="556" applyNumberFormat="1" applyFont="1" applyBorder="1" applyAlignment="1">
      <alignment horizontal="center" vertical="center" wrapText="1"/>
    </xf>
    <xf numFmtId="2" fontId="145" fillId="0" borderId="79" xfId="556" applyNumberFormat="1" applyFont="1" applyBorder="1" applyAlignment="1">
      <alignment horizontal="center" vertical="center" wrapText="1"/>
    </xf>
    <xf numFmtId="2" fontId="98" fillId="0" borderId="78" xfId="556" applyNumberFormat="1" applyFont="1" applyBorder="1" applyAlignment="1">
      <alignment horizontal="center" vertical="center" wrapText="1"/>
    </xf>
    <xf numFmtId="177" fontId="98" fillId="0" borderId="58" xfId="556" applyNumberFormat="1" applyFont="1" applyBorder="1" applyAlignment="1">
      <alignment horizontal="center" vertical="center" wrapText="1"/>
    </xf>
    <xf numFmtId="177" fontId="98" fillId="0" borderId="59" xfId="556" applyNumberFormat="1" applyFont="1" applyBorder="1" applyAlignment="1">
      <alignment horizontal="center" vertical="center" wrapText="1"/>
    </xf>
    <xf numFmtId="4" fontId="145" fillId="0" borderId="43" xfId="556" applyNumberFormat="1" applyFont="1" applyBorder="1" applyAlignment="1">
      <alignment horizontal="center" vertical="center" wrapText="1"/>
    </xf>
    <xf numFmtId="2" fontId="145" fillId="0" borderId="42" xfId="556" applyNumberFormat="1" applyFont="1" applyBorder="1" applyAlignment="1">
      <alignment horizontal="center" vertical="center" wrapText="1"/>
    </xf>
    <xf numFmtId="4" fontId="98" fillId="0" borderId="40" xfId="556" applyNumberFormat="1" applyFont="1" applyBorder="1" applyAlignment="1">
      <alignment horizontal="center" vertical="center" wrapText="1"/>
    </xf>
    <xf numFmtId="4" fontId="145" fillId="0" borderId="40" xfId="556" applyNumberFormat="1" applyFont="1" applyBorder="1" applyAlignment="1">
      <alignment horizontal="center" vertical="center" wrapText="1"/>
    </xf>
    <xf numFmtId="4" fontId="145" fillId="0" borderId="47" xfId="556" applyNumberFormat="1" applyFont="1" applyBorder="1" applyAlignment="1">
      <alignment horizontal="center" vertical="center" wrapText="1"/>
    </xf>
    <xf numFmtId="0" fontId="145" fillId="0" borderId="91" xfId="556" applyFont="1" applyBorder="1" applyAlignment="1">
      <alignment vertical="center" wrapText="1"/>
    </xf>
    <xf numFmtId="0" fontId="145" fillId="0" borderId="78" xfId="556" applyFont="1" applyBorder="1" applyAlignment="1">
      <alignment vertical="center" wrapText="1"/>
    </xf>
    <xf numFmtId="0" fontId="98" fillId="0" borderId="7" xfId="556" applyFont="1" applyBorder="1" applyAlignment="1">
      <alignment vertical="center" wrapText="1"/>
    </xf>
    <xf numFmtId="0" fontId="98" fillId="0" borderId="54" xfId="556" applyFont="1" applyBorder="1" applyAlignment="1">
      <alignment vertical="center" wrapText="1"/>
    </xf>
    <xf numFmtId="2" fontId="98" fillId="0" borderId="7" xfId="556" applyNumberFormat="1" applyFont="1" applyBorder="1" applyAlignment="1">
      <alignment horizontal="center" vertical="center" wrapText="1"/>
    </xf>
    <xf numFmtId="2" fontId="145" fillId="0" borderId="8" xfId="556" applyNumberFormat="1" applyFont="1" applyBorder="1" applyAlignment="1">
      <alignment horizontal="center" vertical="center" wrapText="1"/>
    </xf>
    <xf numFmtId="2" fontId="145" fillId="0" borderId="54" xfId="556" applyNumberFormat="1" applyFont="1" applyBorder="1" applyAlignment="1">
      <alignment horizontal="center" vertical="center" wrapText="1"/>
    </xf>
    <xf numFmtId="0" fontId="145" fillId="0" borderId="49" xfId="556" applyFont="1" applyBorder="1" applyAlignment="1">
      <alignment vertical="center" wrapText="1"/>
    </xf>
    <xf numFmtId="177" fontId="98" fillId="0" borderId="64" xfId="556" applyNumberFormat="1" applyFont="1" applyBorder="1" applyAlignment="1">
      <alignment horizontal="center" vertical="center" wrapText="1"/>
    </xf>
    <xf numFmtId="0" fontId="145" fillId="0" borderId="79" xfId="556" applyFont="1" applyBorder="1" applyAlignment="1">
      <alignment vertical="center" wrapText="1"/>
    </xf>
    <xf numFmtId="177" fontId="98" fillId="0" borderId="7" xfId="556" applyNumberFormat="1" applyFont="1" applyBorder="1" applyAlignment="1">
      <alignment horizontal="center" vertical="center" wrapText="1"/>
    </xf>
    <xf numFmtId="2" fontId="98" fillId="0" borderId="97" xfId="556" applyNumberFormat="1" applyFont="1" applyBorder="1" applyAlignment="1">
      <alignment horizontal="center" vertical="center" wrapText="1"/>
    </xf>
    <xf numFmtId="2" fontId="98" fillId="0" borderId="54" xfId="556" applyNumberFormat="1" applyFont="1" applyBorder="1" applyAlignment="1">
      <alignment horizontal="center" vertical="center" wrapText="1"/>
    </xf>
    <xf numFmtId="2" fontId="98" fillId="0" borderId="55" xfId="556" applyNumberFormat="1" applyFont="1" applyBorder="1" applyAlignment="1">
      <alignment horizontal="center" vertical="center" wrapText="1"/>
    </xf>
    <xf numFmtId="0" fontId="145" fillId="0" borderId="65" xfId="556" applyFont="1" applyBorder="1" applyAlignment="1">
      <alignment vertical="center" wrapText="1"/>
    </xf>
    <xf numFmtId="0" fontId="98" fillId="0" borderId="59" xfId="556" applyFont="1" applyBorder="1" applyAlignment="1">
      <alignment horizontal="center" vertical="center" wrapText="1"/>
    </xf>
    <xf numFmtId="0" fontId="145" fillId="0" borderId="7" xfId="556" applyFont="1" applyBorder="1" applyAlignment="1">
      <alignment vertical="center" wrapText="1"/>
    </xf>
    <xf numFmtId="2" fontId="12" fillId="0" borderId="1" xfId="556" applyNumberFormat="1" applyBorder="1"/>
    <xf numFmtId="0" fontId="12" fillId="0" borderId="0" xfId="556" applyAlignment="1">
      <alignment horizontal="center" vertical="center"/>
    </xf>
    <xf numFmtId="0" fontId="98" fillId="0" borderId="62" xfId="556" applyFont="1" applyBorder="1" applyAlignment="1">
      <alignment horizontal="center" vertical="center" wrapText="1"/>
    </xf>
    <xf numFmtId="0" fontId="98" fillId="0" borderId="61" xfId="556" applyFont="1" applyBorder="1" applyAlignment="1">
      <alignment horizontal="center" vertical="center" wrapText="1"/>
    </xf>
    <xf numFmtId="2" fontId="98" fillId="0" borderId="60" xfId="556" applyNumberFormat="1" applyFont="1" applyBorder="1" applyAlignment="1">
      <alignment horizontal="center" vertical="center" wrapText="1"/>
    </xf>
    <xf numFmtId="0" fontId="145" fillId="0" borderId="53" xfId="556" applyFont="1" applyBorder="1" applyAlignment="1">
      <alignment vertical="center" wrapText="1"/>
    </xf>
    <xf numFmtId="4" fontId="12" fillId="0" borderId="1" xfId="556" applyNumberFormat="1" applyBorder="1" applyAlignment="1">
      <alignment horizontal="right" vertical="center"/>
    </xf>
    <xf numFmtId="9" fontId="38" fillId="0" borderId="1" xfId="558" applyFont="1" applyBorder="1"/>
    <xf numFmtId="0" fontId="122" fillId="0" borderId="0" xfId="555" quotePrefix="1" applyFont="1"/>
    <xf numFmtId="0" fontId="1" fillId="0" borderId="0" xfId="6" applyFont="1"/>
    <xf numFmtId="170" fontId="50" fillId="0" borderId="1" xfId="6" applyNumberFormat="1" applyFont="1" applyBorder="1" applyAlignment="1">
      <alignment horizontal="center" vertical="center" wrapText="1"/>
    </xf>
    <xf numFmtId="2" fontId="39" fillId="2" borderId="1" xfId="0" applyNumberFormat="1" applyFont="1" applyFill="1" applyBorder="1" applyAlignment="1">
      <alignment horizontal="center" vertical="center" wrapText="1"/>
    </xf>
    <xf numFmtId="3" fontId="162" fillId="2" borderId="1" xfId="224" applyNumberFormat="1" applyFont="1" applyFill="1" applyBorder="1" applyAlignment="1">
      <alignment horizontal="center" vertical="center" wrapText="1"/>
    </xf>
    <xf numFmtId="181" fontId="39" fillId="0" borderId="1" xfId="0" applyNumberFormat="1" applyFont="1" applyBorder="1" applyAlignment="1">
      <alignment horizontal="center" vertical="center" wrapText="1"/>
    </xf>
    <xf numFmtId="0" fontId="217" fillId="0" borderId="0" xfId="0" applyFont="1" applyAlignment="1">
      <alignment horizontal="right"/>
    </xf>
    <xf numFmtId="4" fontId="40" fillId="0" borderId="1" xfId="0" applyNumberFormat="1" applyFont="1" applyBorder="1" applyAlignment="1">
      <alignment horizontal="center" vertical="center" wrapText="1"/>
    </xf>
    <xf numFmtId="0" fontId="106" fillId="0" borderId="1" xfId="0" applyFont="1" applyBorder="1"/>
    <xf numFmtId="0" fontId="102" fillId="0" borderId="1" xfId="0" applyFont="1" applyBorder="1"/>
    <xf numFmtId="0" fontId="185" fillId="0" borderId="1" xfId="0" applyFont="1" applyBorder="1" applyAlignment="1">
      <alignment vertical="center" wrapText="1"/>
    </xf>
    <xf numFmtId="0" fontId="185" fillId="0" borderId="1" xfId="0" applyFont="1" applyBorder="1" applyAlignment="1">
      <alignment vertical="center"/>
    </xf>
    <xf numFmtId="4" fontId="185" fillId="0" borderId="1" xfId="0" applyNumberFormat="1" applyFont="1" applyBorder="1" applyAlignment="1">
      <alignment vertical="center"/>
    </xf>
    <xf numFmtId="0" fontId="89" fillId="31" borderId="1" xfId="0" applyFont="1" applyFill="1" applyBorder="1"/>
    <xf numFmtId="4" fontId="310" fillId="0" borderId="1" xfId="0" applyNumberFormat="1" applyFont="1" applyBorder="1"/>
    <xf numFmtId="0" fontId="310" fillId="0" borderId="1" xfId="0" applyFont="1" applyBorder="1"/>
    <xf numFmtId="0" fontId="310" fillId="0" borderId="0" xfId="0" applyFont="1"/>
    <xf numFmtId="4" fontId="167" fillId="0" borderId="6" xfId="116" applyNumberFormat="1" applyFont="1" applyBorder="1" applyAlignment="1">
      <alignment horizontal="center" vertical="center" wrapText="1"/>
    </xf>
    <xf numFmtId="1" fontId="167" fillId="0" borderId="6" xfId="116" applyNumberFormat="1" applyFont="1" applyBorder="1" applyAlignment="1">
      <alignment horizontal="center" vertical="center" wrapText="1"/>
    </xf>
    <xf numFmtId="4" fontId="47" fillId="0" borderId="6" xfId="116" applyNumberFormat="1" applyFont="1" applyBorder="1" applyAlignment="1">
      <alignment horizontal="center" vertical="center" wrapText="1"/>
    </xf>
    <xf numFmtId="4" fontId="169" fillId="0" borderId="6" xfId="116" applyNumberFormat="1" applyFont="1" applyBorder="1" applyAlignment="1">
      <alignment horizontal="center" vertical="center" wrapText="1"/>
    </xf>
    <xf numFmtId="0" fontId="167" fillId="0" borderId="28" xfId="116" applyFont="1" applyBorder="1" applyAlignment="1">
      <alignment horizontal="left" vertical="center"/>
    </xf>
    <xf numFmtId="4" fontId="167" fillId="0" borderId="33" xfId="116" applyNumberFormat="1" applyFont="1" applyBorder="1" applyAlignment="1">
      <alignment horizontal="center" vertical="center" wrapText="1"/>
    </xf>
    <xf numFmtId="4" fontId="168" fillId="0" borderId="33" xfId="116" applyNumberFormat="1" applyFont="1" applyBorder="1" applyAlignment="1">
      <alignment horizontal="center" vertical="center" wrapText="1"/>
    </xf>
    <xf numFmtId="188" fontId="167" fillId="0" borderId="33" xfId="558" applyNumberFormat="1" applyFont="1" applyFill="1" applyBorder="1" applyAlignment="1">
      <alignment horizontal="center" vertical="center" wrapText="1"/>
    </xf>
    <xf numFmtId="188" fontId="169" fillId="0" borderId="33" xfId="558" applyNumberFormat="1" applyFont="1" applyFill="1" applyBorder="1" applyAlignment="1">
      <alignment horizontal="center" vertical="center" wrapText="1"/>
    </xf>
    <xf numFmtId="0" fontId="163" fillId="0" borderId="105" xfId="116" applyFont="1" applyBorder="1" applyAlignment="1">
      <alignment horizontal="left" vertical="justify" wrapText="1" indent="1"/>
    </xf>
    <xf numFmtId="4" fontId="206" fillId="0" borderId="0" xfId="556" applyNumberFormat="1" applyFont="1"/>
    <xf numFmtId="2" fontId="206" fillId="0" borderId="0" xfId="556" applyNumberFormat="1" applyFont="1"/>
    <xf numFmtId="0" fontId="206" fillId="0" borderId="0" xfId="556" applyFont="1"/>
    <xf numFmtId="0" fontId="169" fillId="91" borderId="6" xfId="0" applyFont="1" applyFill="1" applyBorder="1" applyAlignment="1">
      <alignment horizontal="center" vertical="center" wrapText="1"/>
    </xf>
    <xf numFmtId="0" fontId="167" fillId="91" borderId="6" xfId="0" applyFont="1" applyFill="1" applyBorder="1" applyAlignment="1">
      <alignment horizontal="center" vertical="center" wrapText="1"/>
    </xf>
    <xf numFmtId="0" fontId="98" fillId="0" borderId="32" xfId="0" applyFont="1" applyBorder="1" applyAlignment="1">
      <alignment horizontal="left" indent="1"/>
    </xf>
    <xf numFmtId="0" fontId="98" fillId="0" borderId="32" xfId="0" applyFont="1" applyBorder="1" applyAlignment="1">
      <alignment horizontal="center" wrapText="1"/>
    </xf>
    <xf numFmtId="2" fontId="98" fillId="0" borderId="32" xfId="0" applyNumberFormat="1" applyFont="1" applyBorder="1" applyAlignment="1">
      <alignment horizontal="center"/>
    </xf>
    <xf numFmtId="181" fontId="98" fillId="0" borderId="39" xfId="556" applyNumberFormat="1" applyFont="1" applyBorder="1" applyAlignment="1">
      <alignment horizontal="center" vertical="center" wrapText="1"/>
    </xf>
    <xf numFmtId="181" fontId="98" fillId="77" borderId="1" xfId="556" applyNumberFormat="1" applyFont="1" applyFill="1" applyBorder="1" applyAlignment="1">
      <alignment horizontal="center" vertical="center" wrapText="1"/>
    </xf>
    <xf numFmtId="181" fontId="98" fillId="0" borderId="40" xfId="556" applyNumberFormat="1" applyFont="1" applyBorder="1" applyAlignment="1">
      <alignment horizontal="center" vertical="center" wrapText="1"/>
    </xf>
    <xf numFmtId="181" fontId="98" fillId="0" borderId="1" xfId="556" applyNumberFormat="1" applyFont="1" applyBorder="1" applyAlignment="1">
      <alignment horizontal="center" vertical="center" wrapText="1"/>
    </xf>
    <xf numFmtId="181" fontId="145" fillId="0" borderId="39" xfId="556" applyNumberFormat="1" applyFont="1" applyBorder="1" applyAlignment="1">
      <alignment horizontal="center" vertical="center" wrapText="1"/>
    </xf>
    <xf numFmtId="181" fontId="145" fillId="0" borderId="1" xfId="556" applyNumberFormat="1" applyFont="1" applyBorder="1" applyAlignment="1">
      <alignment horizontal="center" vertical="center" wrapText="1"/>
    </xf>
    <xf numFmtId="181" fontId="145" fillId="0" borderId="42" xfId="556" applyNumberFormat="1" applyFont="1" applyBorder="1" applyAlignment="1">
      <alignment horizontal="center" vertical="center" wrapText="1"/>
    </xf>
    <xf numFmtId="181" fontId="145" fillId="0" borderId="3" xfId="556" applyNumberFormat="1" applyFont="1" applyBorder="1" applyAlignment="1">
      <alignment horizontal="center" vertical="center" wrapText="1"/>
    </xf>
    <xf numFmtId="181" fontId="145" fillId="0" borderId="43" xfId="556" applyNumberFormat="1" applyFont="1" applyBorder="1" applyAlignment="1">
      <alignment horizontal="center" vertical="center" wrapText="1"/>
    </xf>
    <xf numFmtId="181" fontId="12" fillId="0" borderId="0" xfId="556" applyNumberFormat="1"/>
    <xf numFmtId="181" fontId="98" fillId="0" borderId="44" xfId="556" applyNumberFormat="1" applyFont="1" applyBorder="1" applyAlignment="1">
      <alignment horizontal="center" vertical="center" wrapText="1"/>
    </xf>
    <xf numFmtId="181" fontId="98" fillId="0" borderId="45" xfId="556" applyNumberFormat="1" applyFont="1" applyBorder="1" applyAlignment="1">
      <alignment horizontal="center" vertical="center" wrapText="1"/>
    </xf>
    <xf numFmtId="181" fontId="98" fillId="0" borderId="46" xfId="556" applyNumberFormat="1" applyFont="1" applyBorder="1" applyAlignment="1">
      <alignment horizontal="center" vertical="center" wrapText="1"/>
    </xf>
    <xf numFmtId="181" fontId="98" fillId="74" borderId="41" xfId="556" applyNumberFormat="1" applyFont="1" applyFill="1" applyBorder="1" applyAlignment="1">
      <alignment horizontal="center" vertical="center" wrapText="1"/>
    </xf>
    <xf numFmtId="181" fontId="98" fillId="0" borderId="79" xfId="556" applyNumberFormat="1" applyFont="1" applyBorder="1" applyAlignment="1">
      <alignment horizontal="center" vertical="center" wrapText="1"/>
    </xf>
    <xf numFmtId="181" fontId="98" fillId="0" borderId="47" xfId="556" applyNumberFormat="1" applyFont="1" applyBorder="1" applyAlignment="1">
      <alignment horizontal="center" vertical="center" wrapText="1"/>
    </xf>
    <xf numFmtId="181" fontId="98" fillId="0" borderId="41" xfId="556" applyNumberFormat="1" applyFont="1" applyBorder="1" applyAlignment="1">
      <alignment horizontal="center" vertical="center" wrapText="1"/>
    </xf>
    <xf numFmtId="181" fontId="98" fillId="0" borderId="9" xfId="556" applyNumberFormat="1" applyFont="1" applyBorder="1" applyAlignment="1">
      <alignment horizontal="center" vertical="center" wrapText="1"/>
    </xf>
    <xf numFmtId="181" fontId="98" fillId="0" borderId="73" xfId="556" applyNumberFormat="1" applyFont="1" applyBorder="1" applyAlignment="1">
      <alignment horizontal="center" vertical="center" wrapText="1"/>
    </xf>
    <xf numFmtId="181" fontId="98" fillId="0" borderId="52" xfId="556" applyNumberFormat="1" applyFont="1" applyBorder="1" applyAlignment="1">
      <alignment horizontal="center" vertical="center" wrapText="1"/>
    </xf>
    <xf numFmtId="181" fontId="98" fillId="0" borderId="132" xfId="556" applyNumberFormat="1" applyFont="1" applyBorder="1" applyAlignment="1">
      <alignment horizontal="center" vertical="center" wrapText="1"/>
    </xf>
    <xf numFmtId="181" fontId="98" fillId="0" borderId="130" xfId="556" applyNumberFormat="1" applyFont="1" applyBorder="1" applyAlignment="1">
      <alignment horizontal="center" vertical="center" wrapText="1"/>
    </xf>
    <xf numFmtId="181" fontId="98" fillId="0" borderId="131" xfId="556" applyNumberFormat="1" applyFont="1" applyBorder="1" applyAlignment="1">
      <alignment horizontal="center" vertical="center" wrapText="1"/>
    </xf>
    <xf numFmtId="181" fontId="98" fillId="0" borderId="129" xfId="556" applyNumberFormat="1" applyFont="1" applyBorder="1" applyAlignment="1">
      <alignment horizontal="center" vertical="center" wrapText="1"/>
    </xf>
    <xf numFmtId="2" fontId="254" fillId="0" borderId="1" xfId="0" applyNumberFormat="1" applyFont="1" applyBorder="1" applyAlignment="1">
      <alignment vertical="center"/>
    </xf>
    <xf numFmtId="0" fontId="47" fillId="0" borderId="0" xfId="556" applyFont="1" applyAlignment="1">
      <alignment horizontal="center" vertical="center" wrapText="1"/>
    </xf>
    <xf numFmtId="2" fontId="8" fillId="0" borderId="0" xfId="556" applyNumberFormat="1" applyFont="1" applyAlignment="1">
      <alignment horizontal="center" wrapText="1"/>
    </xf>
    <xf numFmtId="2" fontId="7" fillId="0" borderId="0" xfId="556" applyNumberFormat="1" applyFont="1" applyAlignment="1">
      <alignment horizontal="center" wrapText="1"/>
    </xf>
    <xf numFmtId="2" fontId="47" fillId="0" borderId="0" xfId="556" applyNumberFormat="1" applyFont="1" applyAlignment="1">
      <alignment horizontal="center" vertical="center" wrapText="1"/>
    </xf>
    <xf numFmtId="0" fontId="9" fillId="0" borderId="0" xfId="556" applyFont="1"/>
    <xf numFmtId="2" fontId="9" fillId="0" borderId="0" xfId="556" applyNumberFormat="1" applyFont="1"/>
    <xf numFmtId="0" fontId="40" fillId="0" borderId="0" xfId="556" applyFont="1" applyAlignment="1">
      <alignment vertical="center"/>
    </xf>
    <xf numFmtId="0" fontId="11" fillId="0" borderId="0" xfId="556" applyFont="1"/>
    <xf numFmtId="0" fontId="11" fillId="0" borderId="0" xfId="556" applyFont="1" applyAlignment="1">
      <alignment horizontal="left" indent="1"/>
    </xf>
    <xf numFmtId="0" fontId="10" fillId="0" borderId="0" xfId="556" applyFont="1"/>
    <xf numFmtId="177" fontId="12" fillId="0" borderId="0" xfId="556" applyNumberFormat="1" applyAlignment="1">
      <alignment horizontal="center"/>
    </xf>
    <xf numFmtId="0" fontId="31" fillId="0" borderId="0" xfId="556" applyFont="1" applyAlignment="1">
      <alignment horizontal="center"/>
    </xf>
    <xf numFmtId="0" fontId="10" fillId="0" borderId="0" xfId="556" applyFont="1" applyAlignment="1">
      <alignment horizontal="left" indent="1"/>
    </xf>
    <xf numFmtId="0" fontId="31" fillId="0" borderId="0" xfId="556" applyFont="1" applyAlignment="1">
      <alignment horizontal="left"/>
    </xf>
    <xf numFmtId="2" fontId="10" fillId="0" borderId="0" xfId="556" applyNumberFormat="1" applyFont="1"/>
    <xf numFmtId="0" fontId="40" fillId="0" borderId="71" xfId="0" applyFont="1" applyBorder="1" applyAlignment="1">
      <alignment vertical="top"/>
    </xf>
    <xf numFmtId="192" fontId="102" fillId="0" borderId="0" xfId="0" applyNumberFormat="1" applyFont="1"/>
    <xf numFmtId="4" fontId="311" fillId="0" borderId="40" xfId="0" applyNumberFormat="1" applyFont="1" applyBorder="1"/>
    <xf numFmtId="4" fontId="50" fillId="0" borderId="1" xfId="240" applyNumberFormat="1" applyFont="1" applyBorder="1" applyAlignment="1">
      <alignment horizontal="center" vertical="center" wrapText="1"/>
    </xf>
    <xf numFmtId="2" fontId="141" fillId="0" borderId="67" xfId="0" applyNumberFormat="1" applyFont="1" applyBorder="1" applyAlignment="1">
      <alignment horizontal="center"/>
    </xf>
    <xf numFmtId="0" fontId="91" fillId="0" borderId="0" xfId="0" applyFont="1"/>
    <xf numFmtId="4" fontId="247" fillId="0" borderId="42" xfId="0" applyNumberFormat="1" applyFont="1" applyBorder="1"/>
    <xf numFmtId="176" fontId="39" fillId="0" borderId="43" xfId="558" applyNumberFormat="1" applyFont="1" applyFill="1" applyBorder="1"/>
    <xf numFmtId="0" fontId="98" fillId="0" borderId="44" xfId="556" applyFont="1" applyBorder="1" applyAlignment="1">
      <alignment horizontal="left" vertical="center" wrapText="1"/>
    </xf>
    <xf numFmtId="4" fontId="102" fillId="74" borderId="0" xfId="0" applyNumberFormat="1" applyFont="1" applyFill="1" applyAlignment="1">
      <alignment horizontal="center" vertical="center"/>
    </xf>
    <xf numFmtId="0" fontId="250" fillId="0" borderId="0" xfId="0" applyFont="1"/>
    <xf numFmtId="0" fontId="102" fillId="0" borderId="0" xfId="0" applyFont="1" applyAlignment="1">
      <alignment vertical="center"/>
    </xf>
    <xf numFmtId="0" fontId="38" fillId="0" borderId="1" xfId="240" applyFont="1" applyBorder="1" applyAlignment="1">
      <alignment horizontal="left" vertical="center" wrapText="1"/>
    </xf>
    <xf numFmtId="0" fontId="46" fillId="0" borderId="7" xfId="0" applyFont="1" applyBorder="1" applyAlignment="1">
      <alignment vertical="center" wrapText="1"/>
    </xf>
    <xf numFmtId="0" fontId="249" fillId="0" borderId="0" xfId="0" applyFont="1" applyAlignment="1">
      <alignment horizontal="left" vertical="center" wrapText="1"/>
    </xf>
    <xf numFmtId="4" fontId="249" fillId="0" borderId="0" xfId="0" applyNumberFormat="1" applyFont="1" applyAlignment="1">
      <alignment horizontal="right" wrapText="1"/>
    </xf>
    <xf numFmtId="0" fontId="139" fillId="0" borderId="60" xfId="0" applyFont="1" applyBorder="1" applyAlignment="1">
      <alignment horizontal="center" vertical="center" wrapText="1"/>
    </xf>
    <xf numFmtId="0" fontId="139" fillId="0" borderId="61" xfId="0" applyFont="1" applyBorder="1" applyAlignment="1">
      <alignment horizontal="center" vertical="center" wrapText="1"/>
    </xf>
    <xf numFmtId="0" fontId="139" fillId="0" borderId="62" xfId="0" applyFont="1" applyBorder="1" applyAlignment="1">
      <alignment horizontal="center" vertical="center" wrapText="1"/>
    </xf>
    <xf numFmtId="0" fontId="249" fillId="0" borderId="54" xfId="0" applyFont="1" applyBorder="1" applyAlignment="1">
      <alignment horizontal="left" vertical="center" wrapText="1"/>
    </xf>
    <xf numFmtId="0" fontId="249" fillId="0" borderId="69" xfId="0" applyFont="1" applyBorder="1" applyAlignment="1">
      <alignment horizontal="left" vertical="center" wrapText="1"/>
    </xf>
    <xf numFmtId="4" fontId="139" fillId="0" borderId="49" xfId="0" applyNumberFormat="1" applyFont="1" applyBorder="1" applyAlignment="1">
      <alignment horizontal="right" wrapText="1"/>
    </xf>
    <xf numFmtId="0" fontId="139" fillId="0" borderId="65" xfId="0" applyFont="1" applyBorder="1" applyAlignment="1">
      <alignment horizontal="left" vertical="center" wrapText="1"/>
    </xf>
    <xf numFmtId="0" fontId="139" fillId="0" borderId="54" xfId="0" applyFont="1" applyBorder="1" applyAlignment="1">
      <alignment horizontal="left" vertical="center" wrapText="1"/>
    </xf>
    <xf numFmtId="0" fontId="1" fillId="0" borderId="0" xfId="6" applyFont="1" applyAlignment="1">
      <alignment horizontal="center" vertical="center" wrapText="1"/>
    </xf>
    <xf numFmtId="0" fontId="145" fillId="0" borderId="61" xfId="0" applyFont="1" applyBorder="1" applyAlignment="1">
      <alignment horizontal="center" vertical="center" wrapText="1"/>
    </xf>
    <xf numFmtId="0" fontId="145" fillId="0" borderId="1" xfId="0" applyFont="1" applyBorder="1" applyAlignment="1">
      <alignment horizontal="center" vertical="center" wrapText="1"/>
    </xf>
    <xf numFmtId="2" fontId="1" fillId="0" borderId="0" xfId="6" applyNumberFormat="1" applyFont="1" applyAlignment="1">
      <alignment horizontal="right" vertical="center" wrapText="1"/>
    </xf>
    <xf numFmtId="4" fontId="1" fillId="0" borderId="0" xfId="6" applyNumberFormat="1" applyFont="1" applyAlignment="1">
      <alignment horizontal="center" vertical="center" wrapText="1"/>
    </xf>
    <xf numFmtId="2" fontId="1" fillId="0" borderId="0" xfId="6" applyNumberFormat="1" applyFont="1" applyAlignment="1">
      <alignment horizontal="center" vertical="center" wrapText="1"/>
    </xf>
    <xf numFmtId="0" fontId="113" fillId="0" borderId="1" xfId="6" applyFont="1" applyBorder="1" applyAlignment="1">
      <alignment horizontal="center" vertical="center" wrapText="1"/>
    </xf>
    <xf numFmtId="0" fontId="230" fillId="0" borderId="1" xfId="6" applyFont="1" applyBorder="1" applyAlignment="1">
      <alignment horizontal="center" vertical="center" wrapText="1"/>
    </xf>
    <xf numFmtId="177" fontId="1" fillId="0" borderId="1" xfId="6" applyNumberFormat="1" applyFont="1" applyBorder="1" applyAlignment="1">
      <alignment horizontal="center" vertical="center" wrapText="1"/>
    </xf>
    <xf numFmtId="177" fontId="186" fillId="0" borderId="1" xfId="6" applyNumberFormat="1" applyFont="1" applyBorder="1" applyAlignment="1">
      <alignment horizontal="center" vertical="center" wrapText="1"/>
    </xf>
    <xf numFmtId="177" fontId="111" fillId="0" borderId="1" xfId="6" applyNumberFormat="1" applyFont="1" applyBorder="1" applyAlignment="1">
      <alignment horizontal="center" vertical="center" wrapText="1"/>
    </xf>
    <xf numFmtId="177" fontId="111" fillId="2" borderId="1" xfId="6" applyNumberFormat="1" applyFont="1" applyFill="1" applyBorder="1" applyAlignment="1">
      <alignment horizontal="center" vertical="center" wrapText="1"/>
    </xf>
    <xf numFmtId="0" fontId="46" fillId="0" borderId="61" xfId="0" applyFont="1" applyBorder="1" applyAlignment="1">
      <alignment horizontal="center" vertical="center" wrapText="1"/>
    </xf>
    <xf numFmtId="0" fontId="46" fillId="0" borderId="63" xfId="0" applyFont="1" applyBorder="1" applyAlignment="1">
      <alignment horizontal="center" vertical="center" wrapText="1"/>
    </xf>
    <xf numFmtId="0" fontId="0" fillId="0" borderId="28" xfId="0" applyBorder="1"/>
    <xf numFmtId="0" fontId="0" fillId="0" borderId="24" xfId="0" applyBorder="1"/>
    <xf numFmtId="0" fontId="145" fillId="0" borderId="60" xfId="0" applyFont="1" applyBorder="1" applyAlignment="1">
      <alignment horizontal="center" vertical="center" wrapText="1"/>
    </xf>
    <xf numFmtId="0" fontId="145" fillId="0" borderId="62" xfId="0" applyFont="1" applyBorder="1" applyAlignment="1">
      <alignment horizontal="center" vertical="center" wrapText="1"/>
    </xf>
    <xf numFmtId="0" fontId="145" fillId="0" borderId="63" xfId="0" applyFont="1" applyBorder="1" applyAlignment="1">
      <alignment horizontal="center" vertical="center" wrapText="1"/>
    </xf>
    <xf numFmtId="0" fontId="145" fillId="0" borderId="54" xfId="0" applyFont="1" applyBorder="1" applyAlignment="1">
      <alignment horizontal="center" vertical="center" wrapText="1"/>
    </xf>
    <xf numFmtId="0" fontId="145" fillId="0" borderId="55" xfId="0" applyFont="1" applyBorder="1" applyAlignment="1">
      <alignment horizontal="center" vertical="center" wrapText="1"/>
    </xf>
    <xf numFmtId="0" fontId="0" fillId="0" borderId="62" xfId="0" applyBorder="1" applyAlignment="1">
      <alignment horizontal="center" vertical="center"/>
    </xf>
    <xf numFmtId="2" fontId="145" fillId="0" borderId="1" xfId="0" applyNumberFormat="1" applyFont="1" applyBorder="1" applyAlignment="1">
      <alignment horizontal="right" vertical="center" wrapText="1"/>
    </xf>
    <xf numFmtId="2" fontId="98" fillId="0" borderId="1" xfId="0" applyNumberFormat="1" applyFont="1" applyBorder="1" applyAlignment="1">
      <alignment horizontal="right" vertical="center" wrapText="1"/>
    </xf>
    <xf numFmtId="4" fontId="145" fillId="0" borderId="1" xfId="0" applyNumberFormat="1" applyFont="1" applyBorder="1" applyAlignment="1">
      <alignment horizontal="right" vertical="center" wrapText="1"/>
    </xf>
    <xf numFmtId="4" fontId="98" fillId="0" borderId="1" xfId="0" applyNumberFormat="1" applyFont="1" applyBorder="1" applyAlignment="1">
      <alignment horizontal="right" vertical="center" wrapText="1"/>
    </xf>
    <xf numFmtId="4" fontId="0" fillId="0" borderId="1" xfId="0" applyNumberFormat="1" applyBorder="1" applyAlignment="1">
      <alignment horizontal="right" vertical="center"/>
    </xf>
    <xf numFmtId="170" fontId="0" fillId="0" borderId="1" xfId="0" applyNumberFormat="1" applyBorder="1" applyAlignment="1">
      <alignment horizontal="right" vertical="center"/>
    </xf>
    <xf numFmtId="49" fontId="89" fillId="0" borderId="1" xfId="240" applyNumberFormat="1" applyFont="1" applyBorder="1" applyAlignment="1">
      <alignment horizontal="center" vertical="center" wrapText="1"/>
    </xf>
    <xf numFmtId="0" fontId="89" fillId="0" borderId="1" xfId="240" applyFont="1" applyBorder="1" applyAlignment="1">
      <alignment vertical="center" wrapText="1"/>
    </xf>
    <xf numFmtId="49" fontId="40" fillId="0" borderId="1" xfId="240" applyNumberFormat="1" applyFont="1" applyBorder="1" applyAlignment="1">
      <alignment horizontal="center" vertical="center" wrapText="1"/>
    </xf>
    <xf numFmtId="2" fontId="141" fillId="0" borderId="1" xfId="0" applyNumberFormat="1" applyFont="1" applyBorder="1" applyAlignment="1">
      <alignment horizontal="right" vertical="center" wrapText="1"/>
    </xf>
    <xf numFmtId="2" fontId="312" fillId="0" borderId="1" xfId="0" applyNumberFormat="1" applyFont="1" applyBorder="1" applyAlignment="1">
      <alignment horizontal="right" vertical="center" wrapText="1"/>
    </xf>
    <xf numFmtId="4" fontId="47" fillId="0" borderId="1" xfId="0" applyNumberFormat="1" applyFont="1" applyBorder="1" applyAlignment="1">
      <alignment horizontal="right" vertical="center" wrapText="1"/>
    </xf>
    <xf numFmtId="49" fontId="208" fillId="0" borderId="1" xfId="0" applyNumberFormat="1" applyFont="1" applyBorder="1" applyAlignment="1">
      <alignment horizontal="center" vertical="top" wrapText="1"/>
    </xf>
    <xf numFmtId="0" fontId="208" fillId="0" borderId="1" xfId="0" applyFont="1" applyBorder="1" applyAlignment="1">
      <alignment horizontal="left" vertical="top" wrapText="1" indent="1"/>
    </xf>
    <xf numFmtId="2" fontId="208" fillId="0" borderId="1" xfId="0" applyNumberFormat="1" applyFont="1" applyBorder="1" applyAlignment="1">
      <alignment horizontal="right" vertical="center" wrapText="1"/>
    </xf>
    <xf numFmtId="2" fontId="177" fillId="0" borderId="1" xfId="0" applyNumberFormat="1" applyFont="1" applyBorder="1" applyAlignment="1">
      <alignment horizontal="right" vertical="center" wrapText="1"/>
    </xf>
    <xf numFmtId="0" fontId="98" fillId="0" borderId="1" xfId="0" applyFont="1" applyBorder="1" applyAlignment="1">
      <alignment horizontal="right" vertical="center"/>
    </xf>
    <xf numFmtId="49" fontId="145" fillId="0" borderId="0" xfId="0" applyNumberFormat="1" applyFont="1" applyAlignment="1">
      <alignment horizontal="center" vertical="top" wrapText="1"/>
    </xf>
    <xf numFmtId="0" fontId="145" fillId="0" borderId="0" xfId="0" applyFont="1" applyAlignment="1">
      <alignment horizontal="left" vertical="top" wrapText="1" indent="1"/>
    </xf>
    <xf numFmtId="2" fontId="98" fillId="0" borderId="0" xfId="0" applyNumberFormat="1" applyFont="1" applyAlignment="1">
      <alignment horizontal="center" vertical="top" wrapText="1"/>
    </xf>
    <xf numFmtId="2" fontId="145" fillId="0" borderId="0" xfId="0" applyNumberFormat="1" applyFont="1" applyAlignment="1">
      <alignment horizontal="center" vertical="top" wrapText="1"/>
    </xf>
    <xf numFmtId="1" fontId="98" fillId="0" borderId="0" xfId="0" applyNumberFormat="1" applyFont="1" applyAlignment="1">
      <alignment horizontal="center" vertical="top" wrapText="1"/>
    </xf>
    <xf numFmtId="2" fontId="39" fillId="0" borderId="5" xfId="0" applyNumberFormat="1" applyFont="1" applyBorder="1"/>
    <xf numFmtId="49" fontId="39" fillId="0" borderId="39" xfId="556" applyNumberFormat="1" applyFont="1" applyBorder="1" applyAlignment="1">
      <alignment horizontal="center" vertical="center"/>
    </xf>
    <xf numFmtId="0" fontId="98" fillId="0" borderId="1" xfId="556" applyFont="1" applyBorder="1" applyAlignment="1">
      <alignment horizontal="center" vertical="center" wrapText="1"/>
    </xf>
    <xf numFmtId="0" fontId="98" fillId="0" borderId="40" xfId="556" applyFont="1" applyBorder="1" applyAlignment="1">
      <alignment horizontal="center" vertical="center" wrapText="1"/>
    </xf>
    <xf numFmtId="49" fontId="39" fillId="0" borderId="42" xfId="556" applyNumberFormat="1" applyFont="1" applyBorder="1" applyAlignment="1">
      <alignment horizontal="center" vertical="center"/>
    </xf>
    <xf numFmtId="2" fontId="98" fillId="0" borderId="39" xfId="556" applyNumberFormat="1" applyFont="1" applyBorder="1" applyAlignment="1">
      <alignment horizontal="center" vertical="center" wrapText="1"/>
    </xf>
    <xf numFmtId="2" fontId="98" fillId="0" borderId="41" xfId="556" applyNumberFormat="1" applyFont="1" applyBorder="1" applyAlignment="1">
      <alignment horizontal="center" vertical="center" wrapText="1"/>
    </xf>
    <xf numFmtId="49" fontId="47" fillId="0" borderId="0" xfId="556" applyNumberFormat="1" applyFont="1" applyAlignment="1">
      <alignment horizontal="left" vertical="center"/>
    </xf>
    <xf numFmtId="0" fontId="98" fillId="0" borderId="47" xfId="556" applyFont="1" applyBorder="1" applyAlignment="1">
      <alignment horizontal="center" vertical="center" wrapText="1"/>
    </xf>
    <xf numFmtId="0" fontId="12" fillId="0" borderId="0" xfId="556" applyAlignment="1">
      <alignment horizontal="center"/>
    </xf>
    <xf numFmtId="181" fontId="38" fillId="0" borderId="1" xfId="0" applyNumberFormat="1" applyFont="1" applyBorder="1" applyAlignment="1">
      <alignment horizontal="right" vertical="center"/>
    </xf>
    <xf numFmtId="1" fontId="1" fillId="0" borderId="1" xfId="6" applyNumberFormat="1" applyFont="1" applyBorder="1" applyAlignment="1">
      <alignment horizontal="center" vertical="center" wrapText="1"/>
    </xf>
    <xf numFmtId="0" fontId="251" fillId="0" borderId="0" xfId="0" applyFont="1" applyAlignment="1">
      <alignment horizontal="center" vertical="center" wrapText="1"/>
    </xf>
    <xf numFmtId="0" fontId="230" fillId="2" borderId="1" xfId="6" applyFont="1" applyFill="1" applyBorder="1" applyAlignment="1">
      <alignment horizontal="center" vertical="center" wrapText="1"/>
    </xf>
    <xf numFmtId="177" fontId="48" fillId="0" borderId="6" xfId="0" applyNumberFormat="1" applyFont="1" applyBorder="1" applyAlignment="1">
      <alignment horizontal="center" vertical="center"/>
    </xf>
    <xf numFmtId="177" fontId="39" fillId="0" borderId="67" xfId="0" applyNumberFormat="1" applyFont="1" applyBorder="1" applyAlignment="1">
      <alignment horizontal="center" vertical="center"/>
    </xf>
    <xf numFmtId="177" fontId="48" fillId="0" borderId="67" xfId="0" applyNumberFormat="1" applyFont="1" applyBorder="1" applyAlignment="1">
      <alignment horizontal="center" vertical="center"/>
    </xf>
    <xf numFmtId="4" fontId="38" fillId="0" borderId="1" xfId="240" applyNumberFormat="1" applyFont="1" applyBorder="1" applyAlignment="1">
      <alignment horizontal="center" vertical="center" wrapText="1"/>
    </xf>
    <xf numFmtId="4" fontId="43" fillId="0" borderId="1" xfId="240" applyNumberFormat="1" applyFont="1" applyBorder="1" applyAlignment="1">
      <alignment horizontal="center" vertical="center" wrapText="1"/>
    </xf>
    <xf numFmtId="4" fontId="38" fillId="0" borderId="1" xfId="240" applyNumberFormat="1" applyFont="1" applyBorder="1" applyAlignment="1" applyProtection="1">
      <alignment horizontal="center" vertical="center" wrapText="1"/>
      <protection locked="0"/>
    </xf>
    <xf numFmtId="2" fontId="38" fillId="0" borderId="1" xfId="240" applyNumberFormat="1" applyFont="1" applyBorder="1" applyAlignment="1">
      <alignment horizontal="center" vertical="center" wrapText="1"/>
    </xf>
    <xf numFmtId="4" fontId="249" fillId="0" borderId="43" xfId="0" applyNumberFormat="1" applyFont="1" applyBorder="1" applyAlignment="1">
      <alignment horizontal="right" wrapText="1"/>
    </xf>
    <xf numFmtId="177" fontId="38" fillId="0" borderId="1" xfId="0" applyNumberFormat="1" applyFont="1" applyBorder="1" applyAlignment="1">
      <alignment vertical="center"/>
    </xf>
    <xf numFmtId="0" fontId="102" fillId="0" borderId="0" xfId="0" applyFont="1" applyAlignment="1">
      <alignment horizontal="right"/>
    </xf>
    <xf numFmtId="4" fontId="217" fillId="0" borderId="1" xfId="0" applyNumberFormat="1" applyFont="1" applyBorder="1" applyAlignment="1">
      <alignment horizontal="right" wrapText="1"/>
    </xf>
    <xf numFmtId="9" fontId="40" fillId="0" borderId="0" xfId="558" applyFont="1" applyAlignment="1">
      <alignment vertical="center"/>
    </xf>
    <xf numFmtId="0" fontId="40" fillId="0" borderId="79" xfId="0" applyFont="1" applyBorder="1" applyAlignment="1">
      <alignment horizontal="center" vertical="center"/>
    </xf>
    <xf numFmtId="0" fontId="37" fillId="0" borderId="0" xfId="0" applyFont="1"/>
    <xf numFmtId="0" fontId="141" fillId="0" borderId="32" xfId="0" applyFont="1" applyBorder="1" applyAlignment="1">
      <alignment horizontal="left" wrapText="1"/>
    </xf>
    <xf numFmtId="0" fontId="39" fillId="0" borderId="32" xfId="0" applyFont="1" applyBorder="1" applyAlignment="1">
      <alignment horizontal="center" wrapText="1"/>
    </xf>
    <xf numFmtId="0" fontId="89" fillId="0" borderId="6" xfId="0" applyFont="1" applyBorder="1" applyAlignment="1">
      <alignment horizontal="center" wrapText="1"/>
    </xf>
    <xf numFmtId="0" fontId="217" fillId="0" borderId="32" xfId="0" applyFont="1" applyBorder="1" applyAlignment="1">
      <alignment horizontal="left" indent="1"/>
    </xf>
    <xf numFmtId="0" fontId="217" fillId="0" borderId="32" xfId="0" applyFont="1" applyBorder="1" applyAlignment="1">
      <alignment horizontal="center" wrapText="1"/>
    </xf>
    <xf numFmtId="2" fontId="217" fillId="0" borderId="32" xfId="0" applyNumberFormat="1" applyFont="1" applyBorder="1" applyAlignment="1">
      <alignment horizontal="center"/>
    </xf>
    <xf numFmtId="0" fontId="217" fillId="0" borderId="32" xfId="0" applyFont="1" applyBorder="1"/>
    <xf numFmtId="0" fontId="229" fillId="0" borderId="32" xfId="0" applyFont="1" applyBorder="1"/>
    <xf numFmtId="177" fontId="40" fillId="0" borderId="0" xfId="0" applyNumberFormat="1" applyFont="1"/>
    <xf numFmtId="0" fontId="217" fillId="0" borderId="32" xfId="0" applyFont="1" applyBorder="1" applyAlignment="1">
      <alignment wrapText="1"/>
    </xf>
    <xf numFmtId="0" fontId="229" fillId="0" borderId="32" xfId="0" applyFont="1" applyBorder="1" applyAlignment="1">
      <alignment horizontal="center" wrapText="1"/>
    </xf>
    <xf numFmtId="179" fontId="40" fillId="0" borderId="0" xfId="0" applyNumberFormat="1" applyFont="1"/>
    <xf numFmtId="9" fontId="40" fillId="0" borderId="23" xfId="0" applyNumberFormat="1" applyFont="1" applyBorder="1" applyAlignment="1">
      <alignment horizontal="center"/>
    </xf>
    <xf numFmtId="2" fontId="89" fillId="0" borderId="32" xfId="0" applyNumberFormat="1" applyFont="1" applyBorder="1" applyAlignment="1">
      <alignment horizontal="center"/>
    </xf>
    <xf numFmtId="170" fontId="40" fillId="0" borderId="32" xfId="0" applyNumberFormat="1" applyFont="1" applyBorder="1" applyAlignment="1">
      <alignment horizontal="center" wrapText="1"/>
    </xf>
    <xf numFmtId="10" fontId="40" fillId="0" borderId="36" xfId="0" applyNumberFormat="1" applyFont="1" applyBorder="1" applyAlignment="1">
      <alignment horizontal="center"/>
    </xf>
    <xf numFmtId="176" fontId="40" fillId="0" borderId="6" xfId="0" applyNumberFormat="1" applyFont="1" applyBorder="1" applyAlignment="1">
      <alignment horizontal="center" vertical="center"/>
    </xf>
    <xf numFmtId="0" fontId="40" fillId="0" borderId="31" xfId="0" applyFont="1" applyBorder="1" applyAlignment="1">
      <alignment vertical="center" wrapText="1"/>
    </xf>
    <xf numFmtId="181" fontId="167" fillId="0" borderId="100" xfId="116" applyNumberFormat="1" applyFont="1" applyBorder="1"/>
    <xf numFmtId="181" fontId="167" fillId="0" borderId="102" xfId="116" applyNumberFormat="1" applyFont="1" applyBorder="1"/>
    <xf numFmtId="181" fontId="163" fillId="0" borderId="102" xfId="116" applyNumberFormat="1" applyFont="1" applyBorder="1"/>
    <xf numFmtId="0" fontId="145" fillId="0" borderId="40" xfId="556" applyFont="1" applyBorder="1" applyAlignment="1">
      <alignment horizontal="center" vertical="center" wrapText="1"/>
    </xf>
    <xf numFmtId="0" fontId="145" fillId="0" borderId="47" xfId="556" applyFont="1" applyBorder="1" applyAlignment="1">
      <alignment horizontal="center" vertical="center" wrapText="1"/>
    </xf>
    <xf numFmtId="0" fontId="98" fillId="0" borderId="39" xfId="556" applyFont="1" applyBorder="1" applyAlignment="1">
      <alignment horizontal="center" vertical="center" wrapText="1"/>
    </xf>
    <xf numFmtId="0" fontId="141" fillId="0" borderId="0" xfId="0" applyFont="1"/>
    <xf numFmtId="0" fontId="50" fillId="0" borderId="1" xfId="5" applyFont="1" applyBorder="1" applyAlignment="1">
      <alignment horizontal="center" vertical="center" wrapText="1"/>
    </xf>
    <xf numFmtId="0" fontId="50" fillId="0" borderId="40" xfId="5" applyFont="1" applyBorder="1" applyAlignment="1">
      <alignment horizontal="center" vertical="center" wrapText="1"/>
    </xf>
    <xf numFmtId="0" fontId="142" fillId="0" borderId="0" xfId="0" applyFont="1"/>
    <xf numFmtId="49" fontId="50" fillId="0" borderId="70" xfId="5" applyNumberFormat="1" applyFont="1" applyBorder="1" applyAlignment="1">
      <alignment horizontal="center" vertical="center" wrapText="1"/>
    </xf>
    <xf numFmtId="0" fontId="42" fillId="0" borderId="58" xfId="5" applyFont="1" applyBorder="1" applyAlignment="1">
      <alignment vertical="center" wrapText="1"/>
    </xf>
    <xf numFmtId="0" fontId="286" fillId="0" borderId="1" xfId="5" applyFont="1" applyBorder="1" applyAlignment="1">
      <alignment vertical="center" wrapText="1"/>
    </xf>
    <xf numFmtId="0" fontId="42" fillId="0" borderId="1" xfId="0" applyFont="1" applyBorder="1" applyAlignment="1">
      <alignment vertical="center" wrapText="1"/>
    </xf>
    <xf numFmtId="0" fontId="42" fillId="0" borderId="61" xfId="0" applyFont="1" applyBorder="1" applyAlignment="1">
      <alignment vertical="center" wrapText="1"/>
    </xf>
    <xf numFmtId="0" fontId="48" fillId="0" borderId="1" xfId="5" applyFont="1" applyBorder="1"/>
    <xf numFmtId="4" fontId="48" fillId="0" borderId="1" xfId="5" applyNumberFormat="1" applyFont="1" applyBorder="1"/>
    <xf numFmtId="0" fontId="42" fillId="0" borderId="0" xfId="0" applyFont="1"/>
    <xf numFmtId="0" fontId="48" fillId="0" borderId="1" xfId="5" applyFont="1" applyBorder="1" applyAlignment="1">
      <alignment horizontal="left" vertical="center" wrapText="1" indent="1"/>
    </xf>
    <xf numFmtId="0" fontId="287" fillId="0" borderId="0" xfId="0" applyFont="1"/>
    <xf numFmtId="183" fontId="48" fillId="0" borderId="1" xfId="5" applyNumberFormat="1" applyFont="1" applyBorder="1"/>
    <xf numFmtId="0" fontId="207" fillId="0" borderId="1" xfId="5" applyFont="1" applyBorder="1" applyAlignment="1">
      <alignment horizontal="left" vertical="center" wrapText="1" indent="1"/>
    </xf>
    <xf numFmtId="0" fontId="245" fillId="0" borderId="0" xfId="0" applyFont="1"/>
    <xf numFmtId="0" fontId="244" fillId="0" borderId="0" xfId="0" applyFont="1"/>
    <xf numFmtId="49" fontId="42" fillId="0" borderId="57" xfId="5" applyNumberFormat="1" applyFont="1" applyBorder="1" applyAlignment="1">
      <alignment horizontal="center" vertical="center"/>
    </xf>
    <xf numFmtId="0" fontId="145" fillId="0" borderId="0" xfId="0" applyFont="1" applyAlignment="1">
      <alignment vertical="top" wrapText="1"/>
    </xf>
    <xf numFmtId="2" fontId="279" fillId="0" borderId="32" xfId="116" applyNumberFormat="1" applyFont="1" applyBorder="1" applyAlignment="1">
      <alignment horizontal="right" vertical="center"/>
    </xf>
    <xf numFmtId="0" fontId="163" fillId="0" borderId="102" xfId="116" applyFont="1" applyBorder="1" applyAlignment="1">
      <alignment horizontal="left" vertical="center" wrapText="1"/>
    </xf>
    <xf numFmtId="10" fontId="38" fillId="0" borderId="1" xfId="558" applyNumberFormat="1" applyFont="1" applyBorder="1"/>
    <xf numFmtId="2" fontId="47" fillId="0" borderId="1" xfId="0" applyNumberFormat="1" applyFont="1" applyBorder="1"/>
    <xf numFmtId="10" fontId="47" fillId="0" borderId="1" xfId="558" applyNumberFormat="1" applyFont="1" applyFill="1" applyBorder="1"/>
    <xf numFmtId="10" fontId="40" fillId="0" borderId="1" xfId="558" applyNumberFormat="1" applyFont="1" applyFill="1" applyBorder="1"/>
    <xf numFmtId="10" fontId="89" fillId="0" borderId="1" xfId="558" applyNumberFormat="1" applyFont="1" applyFill="1" applyBorder="1"/>
    <xf numFmtId="0" fontId="36" fillId="0" borderId="0" xfId="0" applyFont="1" applyAlignment="1" applyProtection="1">
      <alignment horizontal="center" vertical="center" wrapText="1"/>
      <protection hidden="1"/>
    </xf>
    <xf numFmtId="3" fontId="41" fillId="0" borderId="0" xfId="0" applyNumberFormat="1" applyFont="1" applyAlignment="1" applyProtection="1">
      <alignment horizontal="center" vertical="center" wrapText="1"/>
      <protection hidden="1"/>
    </xf>
    <xf numFmtId="3" fontId="37" fillId="0" borderId="60" xfId="0" applyNumberFormat="1" applyFont="1" applyBorder="1" applyAlignment="1" applyProtection="1">
      <alignment horizontal="center" vertical="center" wrapText="1"/>
      <protection hidden="1"/>
    </xf>
    <xf numFmtId="3" fontId="37" fillId="0" borderId="63" xfId="0" applyNumberFormat="1" applyFont="1" applyBorder="1" applyAlignment="1" applyProtection="1">
      <alignment horizontal="center" vertical="center" wrapText="1"/>
      <protection hidden="1"/>
    </xf>
    <xf numFmtId="49" fontId="37" fillId="0" borderId="1" xfId="5" applyNumberFormat="1" applyFont="1" applyBorder="1" applyAlignment="1">
      <alignment horizontal="right" vertical="center" wrapText="1"/>
    </xf>
    <xf numFmtId="49" fontId="38" fillId="0" borderId="1" xfId="5" applyNumberFormat="1" applyFont="1" applyBorder="1" applyAlignment="1">
      <alignment horizontal="right" vertical="center" wrapText="1"/>
    </xf>
    <xf numFmtId="0" fontId="96" fillId="0" borderId="0" xfId="0" applyFont="1" applyAlignment="1" applyProtection="1">
      <alignment vertical="center"/>
      <protection locked="0"/>
    </xf>
    <xf numFmtId="0" fontId="96" fillId="0" borderId="0" xfId="0" applyFont="1" applyProtection="1">
      <protection locked="0"/>
    </xf>
    <xf numFmtId="0" fontId="46" fillId="0" borderId="0" xfId="0" applyFont="1" applyProtection="1">
      <protection locked="0"/>
    </xf>
    <xf numFmtId="0" fontId="36" fillId="0" borderId="0" xfId="0" applyFont="1" applyAlignment="1">
      <alignment horizontal="center" vertical="center" wrapText="1"/>
    </xf>
    <xf numFmtId="0" fontId="42" fillId="0" borderId="0" xfId="0" applyFont="1" applyAlignment="1" applyProtection="1">
      <alignment horizontal="center" vertical="center" wrapText="1"/>
      <protection hidden="1"/>
    </xf>
    <xf numFmtId="0" fontId="36" fillId="0" borderId="5" xfId="0" applyFont="1" applyBorder="1" applyAlignment="1" applyProtection="1">
      <alignment horizontal="right" vertical="center" wrapText="1"/>
      <protection hidden="1"/>
    </xf>
    <xf numFmtId="0" fontId="36" fillId="0" borderId="0" xfId="0" applyFont="1" applyAlignment="1" applyProtection="1">
      <alignment horizontal="right" vertical="center" wrapText="1"/>
      <protection hidden="1"/>
    </xf>
    <xf numFmtId="49" fontId="36" fillId="0" borderId="0" xfId="0" applyNumberFormat="1" applyFont="1" applyAlignment="1" applyProtection="1">
      <alignment horizontal="center" vertical="center" wrapText="1"/>
      <protection hidden="1"/>
    </xf>
    <xf numFmtId="0" fontId="36" fillId="0" borderId="1" xfId="0" applyFont="1" applyBorder="1" applyAlignment="1" applyProtection="1">
      <alignment horizontal="center" vertical="center" textRotation="90" wrapText="1"/>
      <protection hidden="1"/>
    </xf>
    <xf numFmtId="0" fontId="42" fillId="0" borderId="1" xfId="0" applyFont="1" applyBorder="1" applyAlignment="1" applyProtection="1">
      <alignment horizontal="center" vertical="center" textRotation="90" wrapText="1"/>
      <protection hidden="1"/>
    </xf>
    <xf numFmtId="3" fontId="36" fillId="0" borderId="1" xfId="0" applyNumberFormat="1" applyFont="1" applyBorder="1" applyAlignment="1">
      <alignment horizontal="center" vertical="center" wrapText="1"/>
    </xf>
    <xf numFmtId="0" fontId="36" fillId="0" borderId="1" xfId="0" applyFont="1" applyBorder="1" applyAlignment="1">
      <alignment horizontal="center" vertical="center" textRotation="90" wrapText="1"/>
    </xf>
    <xf numFmtId="0" fontId="42" fillId="0" borderId="1" xfId="0" applyFont="1" applyBorder="1" applyAlignment="1" applyProtection="1">
      <alignment horizontal="center" vertical="center" wrapText="1"/>
      <protection hidden="1"/>
    </xf>
    <xf numFmtId="0" fontId="42" fillId="0" borderId="79" xfId="0" applyFont="1" applyBorder="1" applyAlignment="1" applyProtection="1">
      <alignment horizontal="center" vertical="center" wrapText="1"/>
      <protection hidden="1"/>
    </xf>
    <xf numFmtId="49" fontId="42" fillId="0" borderId="79" xfId="0" applyNumberFormat="1" applyFont="1" applyBorder="1" applyAlignment="1" applyProtection="1">
      <alignment horizontal="center" vertical="center" wrapText="1"/>
      <protection hidden="1"/>
    </xf>
    <xf numFmtId="0" fontId="42" fillId="0" borderId="1" xfId="0" applyFont="1" applyBorder="1" applyAlignment="1">
      <alignment horizontal="center" vertical="center" wrapText="1"/>
    </xf>
    <xf numFmtId="0" fontId="160" fillId="0" borderId="1" xfId="0" applyFont="1" applyBorder="1" applyAlignment="1" applyProtection="1">
      <alignment horizontal="center" vertical="center" wrapText="1"/>
      <protection hidden="1"/>
    </xf>
    <xf numFmtId="3" fontId="313" fillId="0" borderId="1" xfId="0" applyNumberFormat="1" applyFont="1" applyBorder="1" applyAlignment="1" applyProtection="1">
      <alignment horizontal="center" vertical="center" wrapText="1"/>
      <protection hidden="1"/>
    </xf>
    <xf numFmtId="3" fontId="236" fillId="0" borderId="1" xfId="0" applyNumberFormat="1" applyFont="1" applyBorder="1" applyAlignment="1" applyProtection="1">
      <alignment horizontal="center" vertical="center" wrapText="1"/>
      <protection hidden="1"/>
    </xf>
    <xf numFmtId="3" fontId="236" fillId="0" borderId="1" xfId="0" applyNumberFormat="1" applyFont="1" applyBorder="1" applyAlignment="1" applyProtection="1">
      <alignment horizontal="center" vertical="center" wrapText="1"/>
      <protection locked="0"/>
    </xf>
    <xf numFmtId="3" fontId="44" fillId="0" borderId="1" xfId="0" applyNumberFormat="1" applyFont="1" applyBorder="1" applyAlignment="1" applyProtection="1">
      <alignment horizontal="center" vertical="center" wrapText="1"/>
      <protection hidden="1"/>
    </xf>
    <xf numFmtId="3" fontId="45" fillId="0" borderId="1" xfId="0" applyNumberFormat="1" applyFont="1" applyBorder="1" applyAlignment="1" applyProtection="1">
      <alignment horizontal="center" vertical="center" wrapText="1"/>
      <protection hidden="1"/>
    </xf>
    <xf numFmtId="3" fontId="44" fillId="0" borderId="1" xfId="0" applyNumberFormat="1" applyFont="1" applyBorder="1" applyAlignment="1" applyProtection="1">
      <alignment horizontal="center" vertical="center" wrapText="1"/>
      <protection locked="0"/>
    </xf>
    <xf numFmtId="3" fontId="314" fillId="0" borderId="1" xfId="0" applyNumberFormat="1" applyFont="1" applyBorder="1" applyAlignment="1" applyProtection="1">
      <alignment horizontal="center" vertical="center" wrapText="1"/>
      <protection hidden="1"/>
    </xf>
    <xf numFmtId="49" fontId="314" fillId="0" borderId="1" xfId="0" applyNumberFormat="1" applyFont="1" applyBorder="1" applyAlignment="1" applyProtection="1">
      <alignment horizontal="center" vertical="center" wrapText="1"/>
      <protection hidden="1"/>
    </xf>
    <xf numFmtId="3" fontId="44" fillId="0" borderId="1" xfId="0" applyNumberFormat="1" applyFont="1" applyBorder="1" applyAlignment="1">
      <alignment horizontal="center" vertical="center" wrapText="1"/>
    </xf>
    <xf numFmtId="2" fontId="44" fillId="0" borderId="1" xfId="0" applyNumberFormat="1" applyFont="1" applyBorder="1" applyAlignment="1">
      <alignment horizontal="center" vertical="center" wrapText="1"/>
    </xf>
    <xf numFmtId="0" fontId="44" fillId="0" borderId="1" xfId="0" applyFont="1" applyBorder="1" applyAlignment="1" applyProtection="1">
      <alignment horizontal="center" vertical="center" wrapText="1"/>
      <protection locked="0"/>
    </xf>
    <xf numFmtId="49" fontId="315" fillId="0" borderId="1" xfId="0" applyNumberFormat="1" applyFont="1" applyBorder="1" applyAlignment="1" applyProtection="1">
      <alignment horizontal="center" vertical="center" wrapText="1"/>
      <protection hidden="1"/>
    </xf>
    <xf numFmtId="3" fontId="236" fillId="0" borderId="79" xfId="0" applyNumberFormat="1" applyFont="1" applyBorder="1" applyAlignment="1" applyProtection="1">
      <alignment horizontal="center" vertical="center" wrapText="1"/>
      <protection locked="0"/>
    </xf>
    <xf numFmtId="3" fontId="315" fillId="0" borderId="1" xfId="0" applyNumberFormat="1" applyFont="1" applyBorder="1" applyAlignment="1" applyProtection="1">
      <alignment horizontal="center" vertical="center" wrapText="1"/>
      <protection hidden="1"/>
    </xf>
    <xf numFmtId="0" fontId="44" fillId="0" borderId="79" xfId="0" applyFont="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3" fontId="313" fillId="0" borderId="1" xfId="0" applyNumberFormat="1" applyFont="1" applyBorder="1" applyAlignment="1" applyProtection="1">
      <alignment horizontal="center" vertical="center" wrapText="1"/>
      <protection locked="0"/>
    </xf>
    <xf numFmtId="0" fontId="44" fillId="0" borderId="8" xfId="0" applyFont="1" applyBorder="1" applyAlignment="1" applyProtection="1">
      <alignment horizontal="center" vertical="center" wrapText="1"/>
      <protection locked="0"/>
    </xf>
    <xf numFmtId="0" fontId="160" fillId="0" borderId="1" xfId="0" applyFont="1" applyBorder="1" applyAlignment="1" applyProtection="1">
      <alignment horizontal="left" vertical="center" wrapText="1"/>
      <protection locked="0"/>
    </xf>
    <xf numFmtId="49" fontId="236" fillId="0" borderId="1" xfId="0" applyNumberFormat="1" applyFont="1" applyBorder="1" applyAlignment="1" applyProtection="1">
      <alignment horizontal="center" vertical="center" wrapText="1"/>
      <protection locked="0"/>
    </xf>
    <xf numFmtId="3" fontId="44" fillId="0" borderId="3" xfId="0" applyNumberFormat="1" applyFont="1" applyBorder="1" applyAlignment="1" applyProtection="1">
      <alignment horizontal="center" vertical="center" wrapText="1"/>
      <protection locked="0"/>
    </xf>
    <xf numFmtId="49" fontId="44" fillId="0" borderId="3" xfId="0" applyNumberFormat="1" applyFont="1" applyBorder="1" applyAlignment="1" applyProtection="1">
      <alignment horizontal="center" vertical="center" wrapText="1"/>
      <protection locked="0"/>
    </xf>
    <xf numFmtId="0" fontId="36" fillId="0" borderId="1" xfId="0" applyFont="1" applyBorder="1" applyAlignment="1" applyProtection="1">
      <alignment horizontal="left" vertical="center" wrapText="1"/>
      <protection locked="0"/>
    </xf>
    <xf numFmtId="49" fontId="96" fillId="0" borderId="0" xfId="0" applyNumberFormat="1" applyFont="1" applyProtection="1">
      <protection locked="0"/>
    </xf>
    <xf numFmtId="3" fontId="37" fillId="0" borderId="1" xfId="0" applyNumberFormat="1" applyFont="1" applyBorder="1" applyAlignment="1" applyProtection="1">
      <alignment horizontal="center" vertical="center" wrapText="1"/>
      <protection hidden="1"/>
    </xf>
    <xf numFmtId="0" fontId="37" fillId="0" borderId="0" xfId="0" applyFont="1" applyAlignment="1">
      <alignment horizontal="center" vertical="center" wrapText="1"/>
    </xf>
    <xf numFmtId="0" fontId="37" fillId="0" borderId="0" xfId="0" applyFont="1" applyAlignment="1" applyProtection="1">
      <alignment horizontal="center" vertical="center" wrapText="1"/>
      <protection hidden="1"/>
    </xf>
    <xf numFmtId="49" fontId="44" fillId="0" borderId="1" xfId="0" applyNumberFormat="1" applyFont="1" applyBorder="1" applyAlignment="1" applyProtection="1">
      <alignment horizontal="center" vertical="center" wrapText="1"/>
      <protection locked="0"/>
    </xf>
    <xf numFmtId="3" fontId="45" fillId="0" borderId="1" xfId="0" applyNumberFormat="1" applyFont="1" applyBorder="1" applyAlignment="1">
      <alignment horizontal="center" vertical="center" wrapText="1"/>
    </xf>
    <xf numFmtId="2" fontId="45" fillId="0" borderId="1" xfId="0" applyNumberFormat="1" applyFont="1" applyBorder="1" applyAlignment="1">
      <alignment horizontal="center" vertical="center" wrapText="1"/>
    </xf>
    <xf numFmtId="0" fontId="45" fillId="0" borderId="1" xfId="0" applyFont="1" applyBorder="1" applyAlignment="1" applyProtection="1">
      <alignment horizontal="center" vertical="center" wrapText="1"/>
      <protection locked="0"/>
    </xf>
    <xf numFmtId="0" fontId="160" fillId="0" borderId="8" xfId="0" applyFont="1" applyBorder="1" applyAlignment="1" applyProtection="1">
      <alignment horizontal="center" vertical="center" wrapText="1"/>
      <protection hidden="1"/>
    </xf>
    <xf numFmtId="3" fontId="313" fillId="0" borderId="7" xfId="0" applyNumberFormat="1" applyFont="1" applyBorder="1" applyAlignment="1" applyProtection="1">
      <alignment horizontal="center" vertical="center" wrapText="1"/>
      <protection hidden="1"/>
    </xf>
    <xf numFmtId="0" fontId="47" fillId="0" borderId="1" xfId="116" applyFont="1" applyBorder="1" applyAlignment="1">
      <alignment horizontal="left" wrapText="1" indent="1"/>
    </xf>
    <xf numFmtId="0" fontId="47" fillId="0" borderId="1" xfId="116" applyFont="1" applyBorder="1" applyAlignment="1">
      <alignment horizontal="left" wrapText="1" indent="2"/>
    </xf>
    <xf numFmtId="0" fontId="146" fillId="0" borderId="1" xfId="116" applyFont="1" applyBorder="1" applyAlignment="1">
      <alignment horizontal="left" wrapText="1"/>
    </xf>
    <xf numFmtId="0" fontId="47" fillId="0" borderId="1" xfId="116" applyFont="1" applyBorder="1" applyAlignment="1">
      <alignment horizontal="left" vertical="justify" wrapText="1" indent="1"/>
    </xf>
    <xf numFmtId="0" fontId="47" fillId="0" borderId="1" xfId="116" applyFont="1" applyBorder="1" applyAlignment="1">
      <alignment horizontal="left" vertical="center" wrapText="1" indent="1"/>
    </xf>
    <xf numFmtId="0" fontId="47" fillId="0" borderId="1" xfId="116" applyFont="1" applyBorder="1" applyAlignment="1">
      <alignment horizontal="left" vertical="justify" indent="1"/>
    </xf>
    <xf numFmtId="0" fontId="316" fillId="0" borderId="1" xfId="116" applyFont="1" applyBorder="1" applyAlignment="1">
      <alignment horizontal="left" vertical="justify" wrapText="1" indent="1"/>
    </xf>
    <xf numFmtId="0" fontId="146" fillId="0" borderId="1" xfId="116" applyFont="1" applyBorder="1" applyAlignment="1">
      <alignment horizontal="left" wrapText="1" indent="1"/>
    </xf>
    <xf numFmtId="0" fontId="47" fillId="0" borderId="1" xfId="116" applyFont="1" applyBorder="1" applyAlignment="1">
      <alignment vertical="top" wrapText="1"/>
    </xf>
    <xf numFmtId="0" fontId="38" fillId="0" borderId="32" xfId="553" applyFont="1" applyBorder="1" applyAlignment="1">
      <alignment horizontal="left" textRotation="90" wrapText="1"/>
    </xf>
    <xf numFmtId="0" fontId="38" fillId="0" borderId="33" xfId="553" applyFont="1" applyBorder="1" applyAlignment="1">
      <alignment horizontal="center" textRotation="90" wrapText="1"/>
    </xf>
    <xf numFmtId="0" fontId="167" fillId="0" borderId="1" xfId="116" applyFont="1" applyBorder="1" applyAlignment="1">
      <alignment horizontal="left" wrapText="1"/>
    </xf>
    <xf numFmtId="4" fontId="98" fillId="0" borderId="1" xfId="116" applyNumberFormat="1" applyFont="1" applyBorder="1" applyAlignment="1">
      <alignment horizontal="right" wrapText="1" indent="1"/>
    </xf>
    <xf numFmtId="0" fontId="98" fillId="0" borderId="1" xfId="116" applyFont="1" applyBorder="1" applyAlignment="1">
      <alignment vertical="top" wrapText="1"/>
    </xf>
    <xf numFmtId="4" fontId="145" fillId="0" borderId="1" xfId="116" applyNumberFormat="1" applyFont="1" applyBorder="1" applyAlignment="1">
      <alignment horizontal="right"/>
    </xf>
    <xf numFmtId="4" fontId="98" fillId="0" borderId="1" xfId="116" applyNumberFormat="1" applyFont="1" applyBorder="1" applyAlignment="1">
      <alignment horizontal="right"/>
    </xf>
    <xf numFmtId="4" fontId="98" fillId="0" borderId="1" xfId="116" applyNumberFormat="1" applyFont="1" applyBorder="1" applyAlignment="1">
      <alignment horizontal="right" wrapText="1" indent="2"/>
    </xf>
    <xf numFmtId="4" fontId="40" fillId="0" borderId="1" xfId="0" applyNumberFormat="1" applyFont="1" applyBorder="1" applyAlignment="1">
      <alignment horizontal="right"/>
    </xf>
    <xf numFmtId="4" fontId="39" fillId="0" borderId="0" xfId="0" applyNumberFormat="1" applyFont="1" applyAlignment="1">
      <alignment horizontal="right"/>
    </xf>
    <xf numFmtId="4" fontId="145" fillId="0" borderId="1" xfId="116" applyNumberFormat="1" applyFont="1" applyBorder="1" applyAlignment="1">
      <alignment horizontal="right" vertical="center" wrapText="1"/>
    </xf>
    <xf numFmtId="4" fontId="145" fillId="0" borderId="1" xfId="116" applyNumberFormat="1" applyFont="1" applyBorder="1" applyAlignment="1">
      <alignment horizontal="right" vertical="center"/>
    </xf>
    <xf numFmtId="4" fontId="98" fillId="0" borderId="1" xfId="116" applyNumberFormat="1" applyFont="1" applyBorder="1" applyAlignment="1">
      <alignment horizontal="right" vertical="justify" wrapText="1" indent="1"/>
    </xf>
    <xf numFmtId="4" fontId="39" fillId="0" borderId="1" xfId="0" applyNumberFormat="1" applyFont="1" applyBorder="1" applyAlignment="1">
      <alignment horizontal="right"/>
    </xf>
    <xf numFmtId="4" fontId="98" fillId="0" borderId="1" xfId="116" applyNumberFormat="1" applyFont="1" applyBorder="1" applyAlignment="1">
      <alignment horizontal="right" vertical="center" wrapText="1" indent="1"/>
    </xf>
    <xf numFmtId="4" fontId="145" fillId="74" borderId="1" xfId="116" applyNumberFormat="1" applyFont="1" applyFill="1" applyBorder="1" applyAlignment="1">
      <alignment horizontal="right"/>
    </xf>
    <xf numFmtId="0" fontId="39" fillId="0" borderId="0" xfId="5" applyFont="1" applyAlignment="1">
      <alignment horizontal="right"/>
    </xf>
    <xf numFmtId="0" fontId="39" fillId="0" borderId="5" xfId="5" applyFont="1" applyBorder="1" applyAlignment="1">
      <alignment horizontal="right"/>
    </xf>
    <xf numFmtId="0" fontId="39" fillId="0" borderId="0" xfId="5" applyFont="1" applyAlignment="1">
      <alignment horizontal="right" vertical="top" wrapText="1"/>
    </xf>
    <xf numFmtId="0" fontId="43" fillId="0" borderId="0" xfId="5" applyFont="1" applyAlignment="1" applyProtection="1">
      <alignment horizontal="right"/>
      <protection locked="0"/>
    </xf>
    <xf numFmtId="0" fontId="38" fillId="0" borderId="0" xfId="5" applyFont="1" applyAlignment="1">
      <alignment horizontal="right" vertical="top" wrapText="1"/>
    </xf>
    <xf numFmtId="0" fontId="38" fillId="0" borderId="0" xfId="5" applyFont="1" applyAlignment="1">
      <alignment horizontal="right"/>
    </xf>
    <xf numFmtId="0" fontId="39" fillId="0" borderId="0" xfId="5" applyFont="1" applyAlignment="1" applyProtection="1">
      <alignment horizontal="right"/>
      <protection locked="0"/>
    </xf>
    <xf numFmtId="0" fontId="100" fillId="0" borderId="0" xfId="5" applyFont="1" applyAlignment="1" applyProtection="1">
      <alignment horizontal="right"/>
      <protection locked="0"/>
    </xf>
    <xf numFmtId="0" fontId="37" fillId="0" borderId="0" xfId="5" applyFont="1" applyAlignment="1">
      <alignment horizontal="right" vertical="top" wrapText="1"/>
    </xf>
    <xf numFmtId="177" fontId="319" fillId="0" borderId="58" xfId="5" applyNumberFormat="1" applyFont="1" applyBorder="1" applyAlignment="1">
      <alignment horizontal="right" vertical="center"/>
    </xf>
    <xf numFmtId="181" fontId="318" fillId="0" borderId="58" xfId="5" applyNumberFormat="1" applyFont="1" applyBorder="1" applyAlignment="1">
      <alignment horizontal="right" vertical="center"/>
    </xf>
    <xf numFmtId="181" fontId="318" fillId="0" borderId="59" xfId="5" applyNumberFormat="1" applyFont="1" applyBorder="1" applyAlignment="1">
      <alignment horizontal="right" vertical="center"/>
    </xf>
    <xf numFmtId="177" fontId="317" fillId="0" borderId="1" xfId="5" applyNumberFormat="1" applyFont="1" applyBorder="1" applyAlignment="1">
      <alignment horizontal="right" vertical="center"/>
    </xf>
    <xf numFmtId="181" fontId="317" fillId="0" borderId="1" xfId="5" applyNumberFormat="1" applyFont="1" applyBorder="1" applyAlignment="1">
      <alignment horizontal="right" vertical="center"/>
    </xf>
    <xf numFmtId="181" fontId="317" fillId="0" borderId="40" xfId="5" applyNumberFormat="1" applyFont="1" applyBorder="1" applyAlignment="1">
      <alignment horizontal="right" vertical="center"/>
    </xf>
    <xf numFmtId="177" fontId="317" fillId="0" borderId="1" xfId="240" applyNumberFormat="1" applyFont="1" applyBorder="1" applyAlignment="1">
      <alignment horizontal="right" vertical="center"/>
    </xf>
    <xf numFmtId="181" fontId="317" fillId="0" borderId="1" xfId="240" applyNumberFormat="1" applyFont="1" applyBorder="1" applyAlignment="1">
      <alignment horizontal="right" vertical="center"/>
    </xf>
    <xf numFmtId="181" fontId="317" fillId="0" borderId="40" xfId="240" applyNumberFormat="1" applyFont="1" applyBorder="1" applyAlignment="1">
      <alignment horizontal="right" vertical="center"/>
    </xf>
    <xf numFmtId="177" fontId="317" fillId="0" borderId="45" xfId="240" applyNumberFormat="1" applyFont="1" applyBorder="1" applyAlignment="1">
      <alignment horizontal="right" vertical="center"/>
    </xf>
    <xf numFmtId="181" fontId="317" fillId="0" borderId="45" xfId="240" applyNumberFormat="1" applyFont="1" applyBorder="1" applyAlignment="1">
      <alignment horizontal="right" vertical="center"/>
    </xf>
    <xf numFmtId="181" fontId="317" fillId="0" borderId="46" xfId="240" applyNumberFormat="1" applyFont="1" applyBorder="1" applyAlignment="1">
      <alignment horizontal="right" vertical="center"/>
    </xf>
    <xf numFmtId="177" fontId="317" fillId="0" borderId="58" xfId="5" applyNumberFormat="1" applyFont="1" applyBorder="1" applyAlignment="1">
      <alignment horizontal="right" vertical="center"/>
    </xf>
    <xf numFmtId="181" fontId="317" fillId="0" borderId="58" xfId="5" applyNumberFormat="1" applyFont="1" applyBorder="1" applyAlignment="1">
      <alignment horizontal="right" vertical="center"/>
    </xf>
    <xf numFmtId="181" fontId="317" fillId="0" borderId="59" xfId="5" applyNumberFormat="1" applyFont="1" applyBorder="1" applyAlignment="1">
      <alignment horizontal="right" vertical="center"/>
    </xf>
    <xf numFmtId="177" fontId="318" fillId="0" borderId="58" xfId="5" applyNumberFormat="1" applyFont="1" applyBorder="1" applyAlignment="1" applyProtection="1">
      <alignment horizontal="right" vertical="center" wrapText="1"/>
      <protection locked="0"/>
    </xf>
    <xf numFmtId="181" fontId="318" fillId="0" borderId="58" xfId="5" applyNumberFormat="1" applyFont="1" applyBorder="1" applyAlignment="1" applyProtection="1">
      <alignment horizontal="right" vertical="center" wrapText="1"/>
      <protection locked="0"/>
    </xf>
    <xf numFmtId="181" fontId="318" fillId="0" borderId="59" xfId="5" applyNumberFormat="1" applyFont="1" applyBorder="1" applyAlignment="1" applyProtection="1">
      <alignment horizontal="right" vertical="center" wrapText="1"/>
      <protection locked="0"/>
    </xf>
    <xf numFmtId="177" fontId="317" fillId="0" borderId="1" xfId="5" applyNumberFormat="1" applyFont="1" applyBorder="1" applyAlignment="1" applyProtection="1">
      <alignment horizontal="right" vertical="center"/>
      <protection locked="0"/>
    </xf>
    <xf numFmtId="181" fontId="317" fillId="0" borderId="1" xfId="5" applyNumberFormat="1" applyFont="1" applyBorder="1" applyAlignment="1" applyProtection="1">
      <alignment horizontal="right" vertical="center"/>
      <protection locked="0"/>
    </xf>
    <xf numFmtId="181" fontId="317" fillId="0" borderId="40" xfId="5" applyNumberFormat="1" applyFont="1" applyBorder="1" applyAlignment="1" applyProtection="1">
      <alignment horizontal="right" vertical="center"/>
      <protection locked="0"/>
    </xf>
    <xf numFmtId="177" fontId="312" fillId="0" borderId="1" xfId="5" applyNumberFormat="1" applyFont="1" applyBorder="1" applyAlignment="1" applyProtection="1">
      <alignment horizontal="right" vertical="center"/>
      <protection locked="0"/>
    </xf>
    <xf numFmtId="181" fontId="317" fillId="0" borderId="46" xfId="5" applyNumberFormat="1" applyFont="1" applyBorder="1" applyAlignment="1" applyProtection="1">
      <alignment horizontal="right" vertical="center"/>
      <protection locked="0"/>
    </xf>
    <xf numFmtId="177" fontId="317" fillId="0" borderId="58" xfId="5" applyNumberFormat="1" applyFont="1" applyBorder="1" applyAlignment="1" applyProtection="1">
      <alignment horizontal="right" vertical="center" wrapText="1"/>
      <protection locked="0"/>
    </xf>
    <xf numFmtId="181" fontId="317" fillId="0" borderId="58" xfId="5" applyNumberFormat="1" applyFont="1" applyBorder="1" applyAlignment="1" applyProtection="1">
      <alignment horizontal="right" vertical="center" wrapText="1"/>
      <protection locked="0"/>
    </xf>
    <xf numFmtId="181" fontId="317" fillId="0" borderId="59" xfId="5" applyNumberFormat="1" applyFont="1" applyBorder="1" applyAlignment="1" applyProtection="1">
      <alignment horizontal="right" vertical="center" wrapText="1"/>
      <protection locked="0"/>
    </xf>
    <xf numFmtId="177" fontId="317" fillId="0" borderId="1" xfId="5" applyNumberFormat="1" applyFont="1" applyBorder="1" applyAlignment="1" applyProtection="1">
      <alignment horizontal="right" vertical="center" wrapText="1"/>
      <protection locked="0"/>
    </xf>
    <xf numFmtId="181" fontId="317" fillId="0" borderId="1" xfId="5" applyNumberFormat="1" applyFont="1" applyBorder="1" applyAlignment="1" applyProtection="1">
      <alignment horizontal="right" vertical="center" wrapText="1"/>
      <protection locked="0"/>
    </xf>
    <xf numFmtId="181" fontId="317" fillId="0" borderId="40" xfId="5" applyNumberFormat="1" applyFont="1" applyBorder="1" applyAlignment="1" applyProtection="1">
      <alignment horizontal="right" vertical="center" wrapText="1"/>
      <protection locked="0"/>
    </xf>
    <xf numFmtId="177" fontId="317" fillId="0" borderId="45" xfId="5" applyNumberFormat="1" applyFont="1" applyBorder="1" applyAlignment="1" applyProtection="1">
      <alignment horizontal="right" vertical="center" wrapText="1"/>
      <protection locked="0"/>
    </xf>
    <xf numFmtId="181" fontId="317" fillId="0" borderId="45" xfId="5" applyNumberFormat="1" applyFont="1" applyBorder="1" applyAlignment="1" applyProtection="1">
      <alignment horizontal="right" vertical="center" wrapText="1"/>
      <protection locked="0"/>
    </xf>
    <xf numFmtId="181" fontId="317" fillId="0" borderId="46" xfId="5" applyNumberFormat="1" applyFont="1" applyBorder="1" applyAlignment="1" applyProtection="1">
      <alignment horizontal="right" vertical="center" wrapText="1"/>
      <protection locked="0"/>
    </xf>
    <xf numFmtId="177" fontId="320" fillId="0" borderId="1" xfId="5" applyNumberFormat="1" applyFont="1" applyBorder="1" applyAlignment="1" applyProtection="1">
      <alignment horizontal="right" vertical="center" wrapText="1"/>
      <protection locked="0"/>
    </xf>
    <xf numFmtId="181" fontId="320" fillId="0" borderId="1" xfId="5" applyNumberFormat="1" applyFont="1" applyBorder="1" applyAlignment="1" applyProtection="1">
      <alignment horizontal="right" vertical="center"/>
      <protection locked="0"/>
    </xf>
    <xf numFmtId="181" fontId="320" fillId="0" borderId="1" xfId="5" applyNumberFormat="1" applyFont="1" applyBorder="1" applyAlignment="1" applyProtection="1">
      <alignment horizontal="right" vertical="center" wrapText="1"/>
      <protection locked="0"/>
    </xf>
    <xf numFmtId="181" fontId="320" fillId="0" borderId="40" xfId="5" applyNumberFormat="1" applyFont="1" applyBorder="1" applyAlignment="1" applyProtection="1">
      <alignment horizontal="right" vertical="center" wrapText="1"/>
      <protection locked="0"/>
    </xf>
    <xf numFmtId="177" fontId="317" fillId="0" borderId="79" xfId="5" applyNumberFormat="1" applyFont="1" applyBorder="1" applyAlignment="1" applyProtection="1">
      <alignment horizontal="right" vertical="center" wrapText="1"/>
      <protection locked="0"/>
    </xf>
    <xf numFmtId="181" fontId="317" fillId="0" borderId="79" xfId="5" applyNumberFormat="1" applyFont="1" applyBorder="1" applyAlignment="1" applyProtection="1">
      <alignment horizontal="right" vertical="center"/>
      <protection locked="0"/>
    </xf>
    <xf numFmtId="181" fontId="317" fillId="0" borderId="47" xfId="5" applyNumberFormat="1" applyFont="1" applyBorder="1" applyAlignment="1" applyProtection="1">
      <alignment horizontal="right" vertical="center"/>
      <protection locked="0"/>
    </xf>
    <xf numFmtId="181" fontId="317" fillId="0" borderId="58" xfId="5" applyNumberFormat="1" applyFont="1" applyBorder="1" applyAlignment="1" applyProtection="1">
      <alignment horizontal="right" vertical="center"/>
      <protection locked="0"/>
    </xf>
    <xf numFmtId="181" fontId="317" fillId="0" borderId="59" xfId="5" applyNumberFormat="1" applyFont="1" applyBorder="1" applyAlignment="1" applyProtection="1">
      <alignment horizontal="right" vertical="center"/>
      <protection locked="0"/>
    </xf>
    <xf numFmtId="177" fontId="318" fillId="0" borderId="58" xfId="5" applyNumberFormat="1" applyFont="1" applyBorder="1" applyAlignment="1">
      <alignment horizontal="right" vertical="center"/>
    </xf>
    <xf numFmtId="177" fontId="317" fillId="0" borderId="1" xfId="5" applyNumberFormat="1" applyFont="1" applyBorder="1" applyAlignment="1">
      <alignment horizontal="right" vertical="center" wrapText="1"/>
    </xf>
    <xf numFmtId="181" fontId="317" fillId="0" borderId="1" xfId="5" applyNumberFormat="1" applyFont="1" applyBorder="1" applyAlignment="1">
      <alignment horizontal="right" vertical="center" wrapText="1"/>
    </xf>
    <xf numFmtId="181" fontId="317" fillId="0" borderId="40" xfId="5" applyNumberFormat="1" applyFont="1" applyBorder="1" applyAlignment="1">
      <alignment horizontal="right" vertical="center" wrapText="1"/>
    </xf>
    <xf numFmtId="177" fontId="317" fillId="0" borderId="8" xfId="5" applyNumberFormat="1" applyFont="1" applyBorder="1" applyAlignment="1" applyProtection="1">
      <alignment horizontal="right" vertical="center" wrapText="1"/>
      <protection locked="0"/>
    </xf>
    <xf numFmtId="177" fontId="318" fillId="0" borderId="1" xfId="5" applyNumberFormat="1" applyFont="1" applyBorder="1" applyAlignment="1">
      <alignment horizontal="right" vertical="center"/>
    </xf>
    <xf numFmtId="181" fontId="318" fillId="0" borderId="1" xfId="5" applyNumberFormat="1" applyFont="1" applyBorder="1" applyAlignment="1">
      <alignment horizontal="right" vertical="center"/>
    </xf>
    <xf numFmtId="181" fontId="318" fillId="0" borderId="40" xfId="5" applyNumberFormat="1" applyFont="1" applyBorder="1" applyAlignment="1">
      <alignment horizontal="right" vertical="center"/>
    </xf>
    <xf numFmtId="177" fontId="317" fillId="0" borderId="8" xfId="5" applyNumberFormat="1" applyFont="1" applyBorder="1" applyAlignment="1">
      <alignment horizontal="right" vertical="center"/>
    </xf>
    <xf numFmtId="177" fontId="317" fillId="0" borderId="55" xfId="5" applyNumberFormat="1" applyFont="1" applyBorder="1" applyAlignment="1">
      <alignment horizontal="right" vertical="center"/>
    </xf>
    <xf numFmtId="181" fontId="317" fillId="0" borderId="45" xfId="5" applyNumberFormat="1" applyFont="1" applyBorder="1" applyAlignment="1">
      <alignment horizontal="right" vertical="center"/>
    </xf>
    <xf numFmtId="181" fontId="317" fillId="0" borderId="46" xfId="5" applyNumberFormat="1" applyFont="1" applyBorder="1" applyAlignment="1">
      <alignment horizontal="right" vertical="center"/>
    </xf>
    <xf numFmtId="181" fontId="317" fillId="0" borderId="45" xfId="5" applyNumberFormat="1" applyFont="1" applyBorder="1" applyAlignment="1" applyProtection="1">
      <alignment horizontal="right" vertical="center"/>
      <protection locked="0"/>
    </xf>
    <xf numFmtId="177" fontId="318" fillId="0" borderId="61" xfId="5" applyNumberFormat="1" applyFont="1" applyBorder="1" applyAlignment="1" applyProtection="1">
      <alignment horizontal="right" vertical="center" wrapText="1"/>
      <protection locked="0"/>
    </xf>
    <xf numFmtId="181" fontId="318" fillId="0" borderId="61" xfId="5" applyNumberFormat="1" applyFont="1" applyBorder="1" applyAlignment="1" applyProtection="1">
      <alignment horizontal="right" vertical="center" wrapText="1"/>
      <protection locked="0"/>
    </xf>
    <xf numFmtId="181" fontId="318" fillId="0" borderId="62" xfId="5" applyNumberFormat="1" applyFont="1" applyBorder="1" applyAlignment="1" applyProtection="1">
      <alignment horizontal="right" vertical="center" wrapText="1"/>
      <protection locked="0"/>
    </xf>
    <xf numFmtId="2" fontId="42" fillId="0" borderId="58" xfId="5" applyNumberFormat="1" applyFont="1" applyBorder="1" applyAlignment="1" applyProtection="1">
      <alignment horizontal="right" vertical="center" wrapText="1"/>
      <protection locked="0"/>
    </xf>
    <xf numFmtId="2" fontId="42" fillId="0" borderId="59" xfId="5" applyNumberFormat="1" applyFont="1" applyBorder="1" applyAlignment="1" applyProtection="1">
      <alignment horizontal="right" vertical="center" wrapText="1"/>
      <protection locked="0"/>
    </xf>
    <xf numFmtId="2" fontId="36" fillId="0" borderId="1" xfId="5" applyNumberFormat="1" applyFont="1" applyBorder="1" applyAlignment="1" applyProtection="1">
      <alignment horizontal="right" vertical="center" wrapText="1"/>
      <protection locked="0"/>
    </xf>
    <xf numFmtId="2" fontId="36" fillId="0" borderId="40" xfId="5" applyNumberFormat="1" applyFont="1" applyBorder="1" applyAlignment="1" applyProtection="1">
      <alignment horizontal="right" vertical="center" wrapText="1"/>
      <protection locked="0"/>
    </xf>
    <xf numFmtId="2" fontId="36" fillId="0" borderId="45" xfId="5" applyNumberFormat="1" applyFont="1" applyBorder="1" applyAlignment="1" applyProtection="1">
      <alignment horizontal="right" vertical="center" wrapText="1"/>
      <protection locked="0"/>
    </xf>
    <xf numFmtId="2" fontId="36" fillId="0" borderId="46" xfId="5" applyNumberFormat="1" applyFont="1" applyBorder="1" applyAlignment="1" applyProtection="1">
      <alignment horizontal="right" vertical="center" wrapText="1"/>
      <protection locked="0"/>
    </xf>
    <xf numFmtId="188" fontId="48" fillId="0" borderId="1" xfId="5" applyNumberFormat="1" applyFont="1" applyBorder="1" applyAlignment="1">
      <alignment horizontal="right"/>
    </xf>
    <xf numFmtId="180" fontId="239" fillId="0" borderId="0" xfId="5" applyNumberFormat="1" applyFont="1" applyAlignment="1">
      <alignment horizontal="right"/>
    </xf>
    <xf numFmtId="0" fontId="42" fillId="0" borderId="0" xfId="5" applyFont="1" applyAlignment="1">
      <alignment horizontal="right"/>
    </xf>
    <xf numFmtId="0" fontId="42" fillId="0" borderId="1" xfId="5" applyFont="1" applyBorder="1" applyAlignment="1">
      <alignment horizontal="right" vertical="center" wrapText="1"/>
    </xf>
    <xf numFmtId="196" fontId="239" fillId="0" borderId="0" xfId="5" applyNumberFormat="1" applyFont="1" applyAlignment="1">
      <alignment horizontal="right"/>
    </xf>
    <xf numFmtId="193" fontId="42" fillId="0" borderId="1" xfId="5" applyNumberFormat="1" applyFont="1" applyBorder="1" applyAlignment="1">
      <alignment horizontal="right"/>
    </xf>
    <xf numFmtId="0" fontId="188" fillId="0" borderId="0" xfId="5" applyFont="1" applyAlignment="1">
      <alignment horizontal="right"/>
    </xf>
    <xf numFmtId="188" fontId="138" fillId="0" borderId="1" xfId="558" applyNumberFormat="1" applyFont="1" applyFill="1" applyBorder="1" applyAlignment="1">
      <alignment horizontal="right"/>
    </xf>
    <xf numFmtId="178" fontId="287" fillId="0" borderId="0" xfId="5" applyNumberFormat="1" applyFont="1" applyAlignment="1">
      <alignment horizontal="right"/>
    </xf>
    <xf numFmtId="0" fontId="287" fillId="0" borderId="0" xfId="5" applyFont="1" applyAlignment="1">
      <alignment horizontal="right"/>
    </xf>
    <xf numFmtId="188" fontId="39" fillId="0" borderId="1" xfId="558" applyNumberFormat="1" applyFont="1" applyFill="1" applyBorder="1" applyAlignment="1">
      <alignment horizontal="right"/>
    </xf>
    <xf numFmtId="2" fontId="36" fillId="0" borderId="0" xfId="5" applyNumberFormat="1" applyFont="1" applyAlignment="1">
      <alignment horizontal="right"/>
    </xf>
    <xf numFmtId="0" fontId="36" fillId="0" borderId="0" xfId="5" applyFont="1" applyAlignment="1">
      <alignment horizontal="right"/>
    </xf>
    <xf numFmtId="0" fontId="36" fillId="0" borderId="0" xfId="0" applyFont="1" applyAlignment="1">
      <alignment horizontal="right"/>
    </xf>
    <xf numFmtId="0" fontId="36" fillId="0" borderId="58" xfId="5" applyFont="1" applyBorder="1" applyAlignment="1">
      <alignment horizontal="right"/>
    </xf>
    <xf numFmtId="0" fontId="36" fillId="0" borderId="59" xfId="5" applyFont="1" applyBorder="1" applyAlignment="1">
      <alignment horizontal="right"/>
    </xf>
    <xf numFmtId="197" fontId="296" fillId="0" borderId="0" xfId="5" applyNumberFormat="1" applyFont="1" applyAlignment="1">
      <alignment horizontal="right"/>
    </xf>
    <xf numFmtId="181" fontId="182" fillId="0" borderId="0" xfId="5" applyNumberFormat="1" applyFont="1" applyAlignment="1">
      <alignment horizontal="right"/>
    </xf>
    <xf numFmtId="178" fontId="36" fillId="0" borderId="0" xfId="5" applyNumberFormat="1" applyFont="1" applyAlignment="1">
      <alignment horizontal="right"/>
    </xf>
    <xf numFmtId="183" fontId="36" fillId="0" borderId="0" xfId="5" applyNumberFormat="1" applyFont="1" applyAlignment="1">
      <alignment horizontal="right"/>
    </xf>
    <xf numFmtId="0" fontId="36" fillId="0" borderId="45" xfId="5" applyFont="1" applyBorder="1" applyAlignment="1">
      <alignment horizontal="right"/>
    </xf>
    <xf numFmtId="10" fontId="42" fillId="0" borderId="45" xfId="558" applyNumberFormat="1" applyFont="1" applyFill="1" applyBorder="1" applyAlignment="1">
      <alignment horizontal="right"/>
    </xf>
    <xf numFmtId="10" fontId="297" fillId="0" borderId="45" xfId="558" applyNumberFormat="1" applyFont="1" applyFill="1" applyBorder="1" applyAlignment="1">
      <alignment horizontal="right"/>
    </xf>
    <xf numFmtId="10" fontId="36" fillId="0" borderId="0" xfId="558" applyNumberFormat="1" applyFont="1" applyFill="1" applyAlignment="1">
      <alignment horizontal="right"/>
    </xf>
    <xf numFmtId="197" fontId="36" fillId="0" borderId="0" xfId="558" applyNumberFormat="1" applyFont="1" applyFill="1" applyAlignment="1">
      <alignment horizontal="right"/>
    </xf>
    <xf numFmtId="2" fontId="245" fillId="0" borderId="0" xfId="5" applyNumberFormat="1" applyFont="1" applyAlignment="1">
      <alignment horizontal="right"/>
    </xf>
    <xf numFmtId="0" fontId="245" fillId="0" borderId="0" xfId="5" applyFont="1" applyAlignment="1">
      <alignment horizontal="right"/>
    </xf>
    <xf numFmtId="0" fontId="244" fillId="0" borderId="0" xfId="5" applyFont="1" applyAlignment="1">
      <alignment horizontal="right"/>
    </xf>
    <xf numFmtId="0" fontId="321" fillId="0" borderId="0" xfId="5" applyFont="1" applyAlignment="1" applyProtection="1">
      <alignment horizontal="center"/>
      <protection locked="0"/>
    </xf>
    <xf numFmtId="177" fontId="317" fillId="0" borderId="45" xfId="5" applyNumberFormat="1" applyFont="1" applyBorder="1" applyAlignment="1" applyProtection="1">
      <alignment horizontal="right" vertical="center"/>
      <protection locked="0"/>
    </xf>
    <xf numFmtId="181" fontId="287" fillId="0" borderId="1" xfId="5" applyNumberFormat="1" applyFont="1" applyBorder="1" applyAlignment="1">
      <alignment horizontal="right"/>
    </xf>
    <xf numFmtId="181" fontId="287" fillId="0" borderId="40" xfId="5" applyNumberFormat="1" applyFont="1" applyBorder="1" applyAlignment="1">
      <alignment horizontal="right"/>
    </xf>
    <xf numFmtId="181" fontId="36" fillId="0" borderId="1" xfId="5" applyNumberFormat="1" applyFont="1" applyBorder="1" applyAlignment="1">
      <alignment horizontal="right"/>
    </xf>
    <xf numFmtId="181" fontId="36" fillId="0" borderId="40" xfId="5" applyNumberFormat="1" applyFont="1" applyBorder="1" applyAlignment="1">
      <alignment horizontal="right"/>
    </xf>
    <xf numFmtId="181" fontId="39" fillId="0" borderId="1" xfId="0" applyNumberFormat="1" applyFont="1" applyBorder="1" applyAlignment="1">
      <alignment horizontal="center"/>
    </xf>
    <xf numFmtId="181" fontId="39" fillId="0" borderId="40" xfId="0" applyNumberFormat="1" applyFont="1" applyBorder="1" applyAlignment="1">
      <alignment horizontal="center"/>
    </xf>
    <xf numFmtId="0" fontId="157" fillId="0" borderId="33" xfId="555" applyFont="1" applyBorder="1" applyAlignment="1">
      <alignment horizontal="left" vertical="top" wrapText="1"/>
    </xf>
    <xf numFmtId="0" fontId="157" fillId="0" borderId="33" xfId="555" applyFont="1" applyBorder="1" applyAlignment="1">
      <alignment horizontal="center" vertical="top" wrapText="1"/>
    </xf>
    <xf numFmtId="194" fontId="47" fillId="0" borderId="89" xfId="555" applyNumberFormat="1" applyFont="1" applyBorder="1" applyAlignment="1">
      <alignment horizontal="center" vertical="top" wrapText="1"/>
    </xf>
    <xf numFmtId="0" fontId="157" fillId="0" borderId="6" xfId="555" applyFont="1" applyBorder="1" applyAlignment="1">
      <alignment horizontal="left" vertical="top" wrapText="1"/>
    </xf>
    <xf numFmtId="0" fontId="157" fillId="0" borderId="6" xfId="555" applyFont="1" applyBorder="1" applyAlignment="1">
      <alignment horizontal="center" vertical="top" wrapText="1"/>
    </xf>
    <xf numFmtId="194" fontId="47" fillId="0" borderId="6" xfId="555" applyNumberFormat="1" applyFont="1" applyBorder="1" applyAlignment="1">
      <alignment horizontal="center" vertical="top" wrapText="1"/>
    </xf>
    <xf numFmtId="0" fontId="157" fillId="0" borderId="32" xfId="555" applyFont="1" applyBorder="1" applyAlignment="1">
      <alignment horizontal="left" vertical="top" wrapText="1"/>
    </xf>
    <xf numFmtId="0" fontId="157" fillId="0" borderId="32" xfId="555" applyFont="1" applyBorder="1" applyAlignment="1">
      <alignment horizontal="center" vertical="top" wrapText="1"/>
    </xf>
    <xf numFmtId="194" fontId="47" fillId="0" borderId="32" xfId="555" applyNumberFormat="1" applyFont="1" applyBorder="1" applyAlignment="1">
      <alignment horizontal="center" vertical="top" wrapText="1"/>
    </xf>
    <xf numFmtId="14" fontId="157" fillId="0" borderId="6" xfId="555" applyNumberFormat="1" applyFont="1" applyBorder="1" applyAlignment="1">
      <alignment horizontal="left" vertical="top" wrapText="1"/>
    </xf>
    <xf numFmtId="194" fontId="92" fillId="0" borderId="33" xfId="555" applyNumberFormat="1" applyFont="1" applyBorder="1" applyAlignment="1">
      <alignment horizontal="center" vertical="top" wrapText="1"/>
    </xf>
    <xf numFmtId="0" fontId="92" fillId="0" borderId="33" xfId="555" applyFont="1" applyBorder="1" applyAlignment="1">
      <alignment horizontal="center" vertical="top" wrapText="1"/>
    </xf>
    <xf numFmtId="0" fontId="92" fillId="0" borderId="33" xfId="555" applyFont="1" applyBorder="1" applyAlignment="1">
      <alignment horizontal="left" vertical="top" wrapText="1"/>
    </xf>
    <xf numFmtId="0" fontId="92" fillId="34" borderId="33" xfId="555" applyFont="1" applyFill="1" applyBorder="1" applyAlignment="1">
      <alignment horizontal="center" vertical="top" wrapText="1"/>
    </xf>
    <xf numFmtId="16" fontId="92" fillId="0" borderId="33" xfId="555" applyNumberFormat="1" applyFont="1" applyBorder="1" applyAlignment="1">
      <alignment horizontal="center" vertical="top" wrapText="1"/>
    </xf>
    <xf numFmtId="0" fontId="92" fillId="0" borderId="39" xfId="555" applyFont="1" applyBorder="1"/>
    <xf numFmtId="0" fontId="92" fillId="0" borderId="1" xfId="555" applyFont="1" applyBorder="1"/>
    <xf numFmtId="0" fontId="92" fillId="0" borderId="40" xfId="555" applyFont="1" applyBorder="1"/>
    <xf numFmtId="0" fontId="47" fillId="0" borderId="33" xfId="555" applyFont="1" applyBorder="1" applyAlignment="1">
      <alignment horizontal="center" vertical="top" wrapText="1"/>
    </xf>
    <xf numFmtId="0" fontId="47" fillId="0" borderId="33" xfId="555" applyFont="1" applyBorder="1" applyAlignment="1">
      <alignment horizontal="left" vertical="top" wrapText="1"/>
    </xf>
    <xf numFmtId="0" fontId="47" fillId="34" borderId="33" xfId="555" applyFont="1" applyFill="1" applyBorder="1" applyAlignment="1">
      <alignment horizontal="center" vertical="top" wrapText="1"/>
    </xf>
    <xf numFmtId="16" fontId="47" fillId="0" borderId="33" xfId="555" applyNumberFormat="1" applyFont="1" applyBorder="1" applyAlignment="1">
      <alignment horizontal="center" vertical="top" wrapText="1"/>
    </xf>
    <xf numFmtId="0" fontId="122" fillId="0" borderId="0" xfId="555" applyFont="1"/>
    <xf numFmtId="0" fontId="47" fillId="0" borderId="39" xfId="555" applyFont="1" applyBorder="1"/>
    <xf numFmtId="0" fontId="47" fillId="0" borderId="1" xfId="555" applyFont="1" applyBorder="1"/>
    <xf numFmtId="0" fontId="47" fillId="0" borderId="40" xfId="555" applyFont="1" applyBorder="1"/>
    <xf numFmtId="194" fontId="47" fillId="74" borderId="33" xfId="555" applyNumberFormat="1" applyFont="1" applyFill="1" applyBorder="1" applyAlignment="1">
      <alignment horizontal="center" vertical="top" wrapText="1"/>
    </xf>
    <xf numFmtId="3" fontId="162" fillId="74" borderId="1" xfId="224" applyNumberFormat="1" applyFont="1" applyFill="1" applyBorder="1" applyAlignment="1">
      <alignment horizontal="center" vertical="center" wrapText="1"/>
    </xf>
    <xf numFmtId="1" fontId="39" fillId="74" borderId="1" xfId="0" applyNumberFormat="1" applyFont="1" applyFill="1" applyBorder="1" applyAlignment="1">
      <alignment horizontal="center" vertical="center" wrapText="1"/>
    </xf>
    <xf numFmtId="183" fontId="162" fillId="34" borderId="1" xfId="224" applyNumberFormat="1" applyFont="1" applyFill="1" applyBorder="1" applyAlignment="1">
      <alignment horizontal="center" vertical="center" wrapText="1"/>
    </xf>
    <xf numFmtId="0" fontId="122" fillId="34" borderId="1" xfId="0" applyFont="1" applyFill="1" applyBorder="1" applyAlignment="1">
      <alignment horizontal="left"/>
    </xf>
    <xf numFmtId="1" fontId="122" fillId="34" borderId="1" xfId="0" applyNumberFormat="1" applyFont="1" applyFill="1" applyBorder="1" applyProtection="1">
      <protection locked="0"/>
    </xf>
    <xf numFmtId="0" fontId="122" fillId="83" borderId="1" xfId="0" applyFont="1" applyFill="1" applyBorder="1" applyAlignment="1">
      <alignment horizontal="left"/>
    </xf>
    <xf numFmtId="170" fontId="122" fillId="83" borderId="1" xfId="0" applyNumberFormat="1" applyFont="1" applyFill="1" applyBorder="1"/>
    <xf numFmtId="170" fontId="122" fillId="83" borderId="1" xfId="0" applyNumberFormat="1" applyFont="1" applyFill="1" applyBorder="1" applyProtection="1">
      <protection locked="0"/>
    </xf>
    <xf numFmtId="0" fontId="122" fillId="83" borderId="1" xfId="0" applyFont="1" applyFill="1" applyBorder="1"/>
    <xf numFmtId="1" fontId="122" fillId="83" borderId="1" xfId="0" applyNumberFormat="1" applyFont="1" applyFill="1" applyBorder="1" applyProtection="1">
      <protection locked="0"/>
    </xf>
    <xf numFmtId="0" fontId="122" fillId="83" borderId="1" xfId="0" applyFont="1" applyFill="1" applyBorder="1" applyProtection="1">
      <protection locked="0"/>
    </xf>
    <xf numFmtId="0" fontId="40" fillId="0" borderId="0" xfId="5" applyFont="1" applyAlignment="1">
      <alignment horizontal="right"/>
    </xf>
    <xf numFmtId="0" fontId="38" fillId="0" borderId="0" xfId="5" applyFont="1" applyAlignment="1" applyProtection="1">
      <alignment horizontal="right"/>
      <protection locked="0"/>
    </xf>
    <xf numFmtId="49" fontId="50" fillId="0" borderId="4" xfId="5" applyNumberFormat="1" applyFont="1" applyBorder="1" applyAlignment="1">
      <alignment horizontal="center" vertical="center" wrapText="1"/>
    </xf>
    <xf numFmtId="194" fontId="47" fillId="0" borderId="67" xfId="555" applyNumberFormat="1" applyFont="1" applyBorder="1" applyAlignment="1">
      <alignment horizontal="center"/>
    </xf>
    <xf numFmtId="170" fontId="146" fillId="0" borderId="89" xfId="555" applyNumberFormat="1" applyFont="1" applyBorder="1" applyAlignment="1">
      <alignment horizontal="center" vertical="top" wrapText="1"/>
    </xf>
    <xf numFmtId="0" fontId="92" fillId="0" borderId="67" xfId="555" applyFont="1" applyBorder="1" applyAlignment="1">
      <alignment vertical="top" wrapText="1"/>
    </xf>
    <xf numFmtId="0" fontId="92" fillId="0" borderId="67" xfId="555" applyFont="1" applyBorder="1" applyAlignment="1">
      <alignment horizontal="left" vertical="top" wrapText="1"/>
    </xf>
    <xf numFmtId="1" fontId="92" fillId="0" borderId="67" xfId="555" applyNumberFormat="1" applyFont="1" applyBorder="1" applyAlignment="1">
      <alignment horizontal="center" vertical="top" wrapText="1"/>
    </xf>
    <xf numFmtId="2" fontId="92" fillId="0" borderId="67" xfId="555" applyNumberFormat="1" applyFont="1" applyBorder="1" applyAlignment="1">
      <alignment horizontal="center" vertical="top" wrapText="1"/>
    </xf>
    <xf numFmtId="170" fontId="92" fillId="0" borderId="67" xfId="555" applyNumberFormat="1" applyFont="1" applyBorder="1" applyAlignment="1">
      <alignment horizontal="center" vertical="top" wrapText="1"/>
    </xf>
    <xf numFmtId="179" fontId="92" fillId="0" borderId="0" xfId="555" applyNumberFormat="1" applyFont="1"/>
    <xf numFmtId="0" fontId="92" fillId="0" borderId="0" xfId="555" applyFont="1"/>
    <xf numFmtId="0" fontId="47" fillId="0" borderId="89" xfId="555" applyFont="1" applyBorder="1" applyAlignment="1">
      <alignment horizontal="center" vertical="top" wrapText="1"/>
    </xf>
    <xf numFmtId="177" fontId="162" fillId="34" borderId="1" xfId="224" applyNumberFormat="1" applyFont="1" applyFill="1" applyBorder="1" applyAlignment="1">
      <alignment horizontal="center" vertical="center" wrapText="1"/>
    </xf>
    <xf numFmtId="175" fontId="197" fillId="0" borderId="66" xfId="0" applyNumberFormat="1" applyFont="1" applyBorder="1"/>
    <xf numFmtId="175" fontId="197" fillId="0" borderId="27" xfId="0" applyNumberFormat="1" applyFont="1" applyBorder="1"/>
    <xf numFmtId="179" fontId="214" fillId="92" borderId="7" xfId="0" applyNumberFormat="1" applyFont="1" applyFill="1" applyBorder="1" applyAlignment="1">
      <alignment wrapText="1"/>
    </xf>
    <xf numFmtId="181" fontId="214" fillId="92" borderId="7" xfId="0" applyNumberFormat="1" applyFont="1" applyFill="1" applyBorder="1" applyAlignment="1">
      <alignment horizontal="right"/>
    </xf>
    <xf numFmtId="177" fontId="39" fillId="78" borderId="1" xfId="0" applyNumberFormat="1" applyFont="1" applyFill="1" applyBorder="1"/>
    <xf numFmtId="175" fontId="197" fillId="0" borderId="0" xfId="0" applyNumberFormat="1" applyFont="1"/>
    <xf numFmtId="177" fontId="39" fillId="0" borderId="69" xfId="0" applyNumberFormat="1" applyFont="1" applyBorder="1" applyAlignment="1">
      <alignment wrapText="1"/>
    </xf>
    <xf numFmtId="0" fontId="25" fillId="0" borderId="0" xfId="240" applyProtection="1">
      <protection locked="0"/>
    </xf>
    <xf numFmtId="0" fontId="44" fillId="0" borderId="1" xfId="240" applyFont="1" applyBorder="1" applyAlignment="1">
      <alignment horizontal="center" vertical="center" wrapText="1"/>
    </xf>
    <xf numFmtId="49" fontId="37" fillId="0" borderId="1" xfId="240" applyNumberFormat="1" applyFont="1" applyBorder="1" applyAlignment="1">
      <alignment horizontal="center" vertical="center" wrapText="1"/>
    </xf>
    <xf numFmtId="0" fontId="37" fillId="0" borderId="79" xfId="240" applyFont="1" applyBorder="1" applyAlignment="1">
      <alignment horizontal="center" vertical="center" wrapText="1"/>
    </xf>
    <xf numFmtId="0" fontId="41" fillId="0" borderId="7" xfId="240" applyFont="1" applyBorder="1" applyAlignment="1">
      <alignment horizontal="center" vertical="center" wrapText="1"/>
    </xf>
    <xf numFmtId="2" fontId="43" fillId="0" borderId="0" xfId="240" applyNumberFormat="1" applyFont="1" applyProtection="1">
      <protection locked="0"/>
    </xf>
    <xf numFmtId="0" fontId="31" fillId="0" borderId="0" xfId="240" applyFont="1" applyProtection="1">
      <protection locked="0"/>
    </xf>
    <xf numFmtId="0" fontId="37" fillId="0" borderId="7" xfId="240" applyFont="1" applyBorder="1" applyAlignment="1">
      <alignment horizontal="center" vertical="center" wrapText="1"/>
    </xf>
    <xf numFmtId="0" fontId="196" fillId="0" borderId="0" xfId="240" applyFont="1" applyProtection="1">
      <protection locked="0"/>
    </xf>
    <xf numFmtId="2" fontId="219" fillId="0" borderId="0" xfId="240" applyNumberFormat="1" applyFont="1" applyProtection="1">
      <protection locked="0"/>
    </xf>
    <xf numFmtId="49" fontId="36" fillId="0" borderId="3" xfId="240" applyNumberFormat="1" applyFont="1" applyBorder="1" applyAlignment="1">
      <alignment horizontal="right" vertical="center" wrapText="1"/>
    </xf>
    <xf numFmtId="0" fontId="36" fillId="0" borderId="4" xfId="240" applyFont="1" applyBorder="1" applyAlignment="1">
      <alignment vertical="center" wrapText="1"/>
    </xf>
    <xf numFmtId="0" fontId="37" fillId="0" borderId="3" xfId="240" applyFont="1" applyBorder="1" applyAlignment="1">
      <alignment horizontal="center" vertical="center" wrapText="1"/>
    </xf>
    <xf numFmtId="0" fontId="36" fillId="0" borderId="79" xfId="0" applyFont="1" applyBorder="1" applyAlignment="1">
      <alignment vertical="center" wrapText="1"/>
    </xf>
    <xf numFmtId="0" fontId="42" fillId="0" borderId="3" xfId="240" applyFont="1" applyBorder="1" applyAlignment="1">
      <alignment vertical="center" wrapText="1"/>
    </xf>
    <xf numFmtId="0" fontId="36" fillId="0" borderId="79" xfId="240" applyFont="1" applyBorder="1" applyAlignment="1">
      <alignment vertical="center" wrapText="1"/>
    </xf>
    <xf numFmtId="4" fontId="43" fillId="0" borderId="0" xfId="240" applyNumberFormat="1" applyFont="1" applyProtection="1">
      <protection locked="0"/>
    </xf>
    <xf numFmtId="0" fontId="42" fillId="0" borderId="1" xfId="240" applyFont="1" applyBorder="1" applyAlignment="1">
      <alignment vertical="center" wrapText="1"/>
    </xf>
    <xf numFmtId="4" fontId="41" fillId="0" borderId="1" xfId="240" applyNumberFormat="1" applyFont="1" applyBorder="1" applyAlignment="1" applyProtection="1">
      <alignment horizontal="center" vertical="center" wrapText="1"/>
      <protection locked="0"/>
    </xf>
    <xf numFmtId="177" fontId="43" fillId="0" borderId="0" xfId="240" applyNumberFormat="1" applyFont="1" applyProtection="1">
      <protection locked="0"/>
    </xf>
    <xf numFmtId="4" fontId="38" fillId="0" borderId="0" xfId="240" applyNumberFormat="1" applyFont="1" applyProtection="1">
      <protection locked="0"/>
    </xf>
    <xf numFmtId="192" fontId="38" fillId="0" borderId="0" xfId="240" applyNumberFormat="1" applyFont="1" applyProtection="1">
      <protection locked="0"/>
    </xf>
    <xf numFmtId="0" fontId="38" fillId="0" borderId="0" xfId="240" applyFont="1" applyAlignment="1" applyProtection="1">
      <alignment horizontal="right"/>
      <protection locked="0"/>
    </xf>
    <xf numFmtId="2" fontId="38" fillId="0" borderId="0" xfId="240" applyNumberFormat="1" applyFont="1" applyAlignment="1" applyProtection="1">
      <alignment horizontal="right"/>
      <protection locked="0"/>
    </xf>
    <xf numFmtId="0" fontId="286" fillId="0" borderId="7" xfId="240" applyFont="1" applyBorder="1" applyAlignment="1">
      <alignment horizontal="center" vertical="center" wrapText="1"/>
    </xf>
    <xf numFmtId="0" fontId="286" fillId="0" borderId="0" xfId="240" applyFont="1" applyProtection="1">
      <protection locked="0"/>
    </xf>
    <xf numFmtId="0" fontId="295" fillId="0" borderId="0" xfId="240" applyFont="1" applyProtection="1">
      <protection locked="0"/>
    </xf>
    <xf numFmtId="0" fontId="37" fillId="0" borderId="1" xfId="240" applyFont="1" applyBorder="1" applyAlignment="1" applyProtection="1">
      <alignment horizontal="center" vertical="center" wrapText="1"/>
      <protection locked="0"/>
    </xf>
    <xf numFmtId="0" fontId="286" fillId="0" borderId="1" xfId="240" applyFont="1" applyBorder="1" applyAlignment="1">
      <alignment horizontal="center" vertical="center" wrapText="1"/>
    </xf>
    <xf numFmtId="49" fontId="36" fillId="0" borderId="9" xfId="240" applyNumberFormat="1" applyFont="1" applyBorder="1" applyAlignment="1">
      <alignment horizontal="right" vertical="center" wrapText="1"/>
    </xf>
    <xf numFmtId="0" fontId="36" fillId="0" borderId="9" xfId="240" applyFont="1" applyBorder="1" applyAlignment="1">
      <alignment vertical="center" wrapText="1"/>
    </xf>
    <xf numFmtId="0" fontId="37" fillId="0" borderId="0" xfId="240" applyFont="1" applyAlignment="1">
      <alignment horizontal="center" vertical="center" wrapText="1"/>
    </xf>
    <xf numFmtId="2" fontId="37" fillId="0" borderId="0" xfId="240" applyNumberFormat="1" applyFont="1" applyAlignment="1">
      <alignment horizontal="center" vertical="center" wrapText="1"/>
    </xf>
    <xf numFmtId="0" fontId="37" fillId="0" borderId="0" xfId="240" applyFont="1" applyAlignment="1">
      <alignment vertical="center"/>
    </xf>
    <xf numFmtId="0" fontId="37" fillId="0" borderId="0" xfId="240" applyFont="1"/>
    <xf numFmtId="0" fontId="37" fillId="0" borderId="0" xfId="240" applyFont="1" applyProtection="1">
      <protection locked="0"/>
    </xf>
    <xf numFmtId="49" fontId="39" fillId="0" borderId="0" xfId="240" applyNumberFormat="1" applyFont="1" applyProtection="1">
      <protection locked="0"/>
    </xf>
    <xf numFmtId="0" fontId="100" fillId="0" borderId="0" xfId="240" applyFont="1" applyAlignment="1" applyProtection="1">
      <alignment horizontal="center" wrapText="1"/>
      <protection locked="0"/>
    </xf>
    <xf numFmtId="0" fontId="38" fillId="0" borderId="0" xfId="240" applyFont="1" applyAlignment="1" applyProtection="1">
      <alignment horizontal="center" vertical="top" wrapText="1"/>
      <protection locked="0"/>
    </xf>
    <xf numFmtId="49" fontId="25" fillId="0" borderId="0" xfId="240" applyNumberFormat="1" applyProtection="1">
      <protection locked="0"/>
    </xf>
    <xf numFmtId="2" fontId="25" fillId="0" borderId="0" xfId="240" applyNumberFormat="1" applyProtection="1">
      <protection locked="0"/>
    </xf>
    <xf numFmtId="4" fontId="25" fillId="0" borderId="0" xfId="240" applyNumberFormat="1" applyProtection="1">
      <protection locked="0"/>
    </xf>
    <xf numFmtId="181" fontId="39" fillId="0" borderId="7" xfId="0" applyNumberFormat="1" applyFont="1" applyBorder="1" applyAlignment="1">
      <alignment wrapText="1"/>
    </xf>
    <xf numFmtId="195" fontId="39" fillId="0" borderId="7" xfId="0" applyNumberFormat="1" applyFont="1" applyBorder="1" applyAlignment="1">
      <alignment wrapText="1"/>
    </xf>
    <xf numFmtId="199" fontId="48" fillId="0" borderId="66" xfId="0" applyNumberFormat="1" applyFont="1" applyBorder="1"/>
    <xf numFmtId="199" fontId="48" fillId="0" borderId="65" xfId="0" applyNumberFormat="1" applyFont="1" applyBorder="1"/>
    <xf numFmtId="182" fontId="48" fillId="0" borderId="0" xfId="0" applyNumberFormat="1" applyFont="1"/>
    <xf numFmtId="195" fontId="48" fillId="0" borderId="67" xfId="0" applyNumberFormat="1" applyFont="1" applyBorder="1"/>
    <xf numFmtId="175" fontId="197" fillId="0" borderId="67" xfId="0" applyNumberFormat="1" applyFont="1" applyBorder="1"/>
    <xf numFmtId="175" fontId="197" fillId="0" borderId="6" xfId="0" applyNumberFormat="1" applyFont="1" applyBorder="1"/>
    <xf numFmtId="178" fontId="197" fillId="0" borderId="67" xfId="0" applyNumberFormat="1" applyFont="1" applyBorder="1"/>
    <xf numFmtId="176" fontId="317" fillId="0" borderId="1" xfId="558" applyNumberFormat="1" applyFont="1" applyFill="1" applyBorder="1" applyAlignment="1" applyProtection="1">
      <alignment horizontal="right" vertical="center" wrapText="1"/>
      <protection locked="0"/>
    </xf>
    <xf numFmtId="176" fontId="317" fillId="0" borderId="40" xfId="558" applyNumberFormat="1" applyFont="1" applyFill="1" applyBorder="1" applyAlignment="1" applyProtection="1">
      <alignment horizontal="right" vertical="center" wrapText="1"/>
      <protection locked="0"/>
    </xf>
    <xf numFmtId="178" fontId="197" fillId="0" borderId="0" xfId="0" applyNumberFormat="1" applyFont="1"/>
    <xf numFmtId="0" fontId="38" fillId="0" borderId="0" xfId="5" applyFont="1"/>
    <xf numFmtId="0" fontId="38" fillId="0" borderId="0" xfId="5" applyFont="1" applyAlignment="1">
      <alignment horizontal="left"/>
    </xf>
    <xf numFmtId="0" fontId="100" fillId="0" borderId="0" xfId="5" applyFont="1" applyAlignment="1">
      <alignment horizontal="right"/>
    </xf>
    <xf numFmtId="176" fontId="39" fillId="0" borderId="0" xfId="0" applyNumberFormat="1" applyFont="1"/>
    <xf numFmtId="176" fontId="138" fillId="0" borderId="0" xfId="0" applyNumberFormat="1" applyFont="1"/>
    <xf numFmtId="181" fontId="48" fillId="0" borderId="0" xfId="0" applyNumberFormat="1" applyFont="1"/>
    <xf numFmtId="181" fontId="39" fillId="0" borderId="0" xfId="0" applyNumberFormat="1" applyFont="1"/>
    <xf numFmtId="0" fontId="48" fillId="0" borderId="0" xfId="0" applyFont="1" applyAlignment="1">
      <alignment horizontal="right" indent="2"/>
    </xf>
    <xf numFmtId="0" fontId="39" fillId="0" borderId="0" xfId="0" applyFont="1" applyAlignment="1">
      <alignment horizontal="right" indent="2"/>
    </xf>
    <xf numFmtId="2" fontId="39" fillId="0" borderId="0" xfId="5" applyNumberFormat="1" applyFont="1" applyAlignment="1">
      <alignment horizontal="right"/>
    </xf>
    <xf numFmtId="9" fontId="39" fillId="0" borderId="0" xfId="558" applyFont="1" applyFill="1" applyAlignment="1">
      <alignment horizontal="right"/>
    </xf>
    <xf numFmtId="188" fontId="39" fillId="0" borderId="0" xfId="558" applyNumberFormat="1" applyFont="1" applyFill="1" applyAlignment="1">
      <alignment horizontal="right"/>
    </xf>
    <xf numFmtId="188" fontId="207" fillId="0" borderId="0" xfId="558" applyNumberFormat="1" applyFont="1" applyFill="1" applyAlignment="1">
      <alignment horizontal="right"/>
    </xf>
    <xf numFmtId="10" fontId="229" fillId="0" borderId="0" xfId="558" applyNumberFormat="1" applyFont="1" applyFill="1" applyAlignment="1">
      <alignment horizontal="right"/>
    </xf>
    <xf numFmtId="188" fontId="39" fillId="0" borderId="0" xfId="5" applyNumberFormat="1" applyFont="1" applyAlignment="1">
      <alignment horizontal="right"/>
    </xf>
    <xf numFmtId="49" fontId="197" fillId="0" borderId="0" xfId="5" applyNumberFormat="1" applyFont="1"/>
    <xf numFmtId="2" fontId="197" fillId="0" borderId="0" xfId="5" applyNumberFormat="1" applyFont="1" applyAlignment="1">
      <alignment horizontal="right"/>
    </xf>
    <xf numFmtId="49" fontId="207" fillId="0" borderId="0" xfId="5" applyNumberFormat="1" applyFont="1"/>
    <xf numFmtId="2" fontId="207" fillId="0" borderId="0" xfId="5" applyNumberFormat="1" applyFont="1" applyAlignment="1">
      <alignment horizontal="right"/>
    </xf>
    <xf numFmtId="0" fontId="207" fillId="0" borderId="1" xfId="5" applyFont="1" applyBorder="1"/>
    <xf numFmtId="177" fontId="207" fillId="0" borderId="1" xfId="5" applyNumberFormat="1" applyFont="1" applyBorder="1"/>
    <xf numFmtId="188" fontId="207" fillId="0" borderId="1" xfId="558" applyNumberFormat="1" applyFont="1" applyFill="1" applyBorder="1" applyAlignment="1">
      <alignment horizontal="right"/>
    </xf>
    <xf numFmtId="4" fontId="207" fillId="0" borderId="1" xfId="5" applyNumberFormat="1" applyFont="1" applyBorder="1"/>
    <xf numFmtId="2" fontId="197" fillId="0" borderId="7" xfId="5" applyNumberFormat="1" applyFont="1" applyBorder="1"/>
    <xf numFmtId="0" fontId="207" fillId="0" borderId="0" xfId="5" applyFont="1" applyAlignment="1">
      <alignment horizontal="right"/>
    </xf>
    <xf numFmtId="4" fontId="207" fillId="0" borderId="0" xfId="5" applyNumberFormat="1" applyFont="1" applyAlignment="1">
      <alignment horizontal="right"/>
    </xf>
    <xf numFmtId="2" fontId="207" fillId="0" borderId="7" xfId="5" applyNumberFormat="1" applyFont="1" applyBorder="1"/>
    <xf numFmtId="0" fontId="207" fillId="0" borderId="0" xfId="5" applyFont="1"/>
    <xf numFmtId="4" fontId="207" fillId="0" borderId="0" xfId="5" applyNumberFormat="1" applyFont="1"/>
    <xf numFmtId="177" fontId="207" fillId="0" borderId="0" xfId="5" applyNumberFormat="1" applyFont="1"/>
    <xf numFmtId="2" fontId="39" fillId="0" borderId="7" xfId="5" applyNumberFormat="1" applyFont="1" applyBorder="1"/>
    <xf numFmtId="49" fontId="48" fillId="0" borderId="0" xfId="5" applyNumberFormat="1" applyFont="1"/>
    <xf numFmtId="0" fontId="48" fillId="0" borderId="0" xfId="5" applyFont="1"/>
    <xf numFmtId="2" fontId="48" fillId="0" borderId="0" xfId="5" applyNumberFormat="1" applyFont="1" applyAlignment="1">
      <alignment horizontal="right"/>
    </xf>
    <xf numFmtId="2" fontId="39" fillId="0" borderId="0" xfId="5" applyNumberFormat="1" applyFont="1"/>
    <xf numFmtId="0" fontId="48" fillId="0" borderId="0" xfId="5" applyFont="1" applyAlignment="1">
      <alignment horizontal="right"/>
    </xf>
    <xf numFmtId="177" fontId="39" fillId="0" borderId="0" xfId="5" applyNumberFormat="1" applyFont="1" applyAlignment="1">
      <alignment horizontal="right"/>
    </xf>
    <xf numFmtId="0" fontId="254" fillId="0" borderId="0" xfId="5" applyFont="1"/>
    <xf numFmtId="0" fontId="254" fillId="0" borderId="0" xfId="5" applyFont="1" applyAlignment="1">
      <alignment horizontal="right"/>
    </xf>
    <xf numFmtId="2" fontId="254" fillId="0" borderId="0" xfId="5" applyNumberFormat="1" applyFont="1"/>
    <xf numFmtId="179" fontId="254" fillId="0" borderId="0" xfId="5" applyNumberFormat="1" applyFont="1"/>
    <xf numFmtId="184" fontId="254" fillId="0" borderId="0" xfId="558" applyNumberFormat="1" applyFont="1" applyFill="1" applyBorder="1" applyAlignment="1">
      <alignment horizontal="right"/>
    </xf>
    <xf numFmtId="177" fontId="254" fillId="0" borderId="0" xfId="5" applyNumberFormat="1" applyFont="1"/>
    <xf numFmtId="177" fontId="39" fillId="0" borderId="0" xfId="5" applyNumberFormat="1" applyFont="1"/>
    <xf numFmtId="181" fontId="39" fillId="0" borderId="0" xfId="5" applyNumberFormat="1" applyFont="1" applyAlignment="1">
      <alignment horizontal="right"/>
    </xf>
    <xf numFmtId="179" fontId="39" fillId="0" borderId="0" xfId="5" applyNumberFormat="1" applyFont="1"/>
    <xf numFmtId="179" fontId="39" fillId="0" borderId="0" xfId="5" applyNumberFormat="1" applyFont="1" applyAlignment="1">
      <alignment horizontal="right"/>
    </xf>
    <xf numFmtId="2" fontId="48" fillId="0" borderId="0" xfId="0" applyNumberFormat="1" applyFont="1" applyAlignment="1">
      <alignment horizontal="center" vertical="center"/>
    </xf>
    <xf numFmtId="181" fontId="48" fillId="0" borderId="0" xfId="0" applyNumberFormat="1" applyFont="1" applyAlignment="1">
      <alignment horizontal="center" vertical="center"/>
    </xf>
    <xf numFmtId="182" fontId="48" fillId="0" borderId="0" xfId="0" applyNumberFormat="1" applyFont="1" applyAlignment="1">
      <alignment horizontal="center" vertical="center"/>
    </xf>
    <xf numFmtId="2" fontId="39" fillId="0" borderId="0" xfId="0" applyNumberFormat="1" applyFont="1" applyAlignment="1">
      <alignment horizontal="center" vertical="center"/>
    </xf>
    <xf numFmtId="4" fontId="146" fillId="34" borderId="61" xfId="224" applyNumberFormat="1" applyFont="1" applyFill="1" applyBorder="1" applyAlignment="1">
      <alignment horizontal="center" vertical="center"/>
    </xf>
    <xf numFmtId="9" fontId="322" fillId="34" borderId="8" xfId="558" applyFont="1" applyFill="1" applyBorder="1" applyAlignment="1">
      <alignment horizontal="center" vertical="center"/>
    </xf>
    <xf numFmtId="2" fontId="48" fillId="0" borderId="0" xfId="0" applyNumberFormat="1" applyFont="1" applyAlignment="1">
      <alignment horizontal="right" vertical="center"/>
    </xf>
    <xf numFmtId="181" fontId="48" fillId="0" borderId="0" xfId="0" applyNumberFormat="1" applyFont="1" applyAlignment="1">
      <alignment vertical="center"/>
    </xf>
    <xf numFmtId="0" fontId="42" fillId="0" borderId="1" xfId="5" applyFont="1" applyBorder="1" applyAlignment="1">
      <alignment vertical="center" wrapText="1"/>
    </xf>
    <xf numFmtId="182" fontId="39" fillId="0" borderId="0" xfId="0" applyNumberFormat="1" applyFont="1"/>
    <xf numFmtId="0" fontId="197" fillId="0" borderId="32" xfId="0" applyFont="1" applyBorder="1"/>
    <xf numFmtId="178" fontId="48" fillId="59" borderId="7" xfId="0" applyNumberFormat="1" applyFont="1" applyFill="1" applyBorder="1" applyAlignment="1">
      <alignment horizontal="right"/>
    </xf>
    <xf numFmtId="178" fontId="39" fillId="0" borderId="1" xfId="0" applyNumberFormat="1" applyFont="1" applyBorder="1" applyAlignment="1">
      <alignment horizontal="center"/>
    </xf>
    <xf numFmtId="181" fontId="317" fillId="31" borderId="1" xfId="5" applyNumberFormat="1" applyFont="1" applyFill="1" applyBorder="1" applyAlignment="1" applyProtection="1">
      <alignment horizontal="right" vertical="center"/>
      <protection locked="0"/>
    </xf>
    <xf numFmtId="10" fontId="317" fillId="0" borderId="1" xfId="558" applyNumberFormat="1" applyFont="1" applyFill="1" applyBorder="1" applyAlignment="1" applyProtection="1">
      <alignment horizontal="right" vertical="center"/>
    </xf>
    <xf numFmtId="10" fontId="317" fillId="0" borderId="40" xfId="558" applyNumberFormat="1" applyFont="1" applyFill="1" applyBorder="1" applyAlignment="1" applyProtection="1">
      <alignment horizontal="right" vertical="center"/>
    </xf>
    <xf numFmtId="2" fontId="46" fillId="73" borderId="1" xfId="6" applyNumberFormat="1" applyFont="1" applyFill="1" applyBorder="1" applyAlignment="1">
      <alignment horizontal="center" vertical="center" wrapText="1"/>
    </xf>
    <xf numFmtId="0" fontId="172" fillId="0" borderId="1" xfId="506" applyFont="1" applyBorder="1" applyAlignment="1" applyProtection="1">
      <alignment horizontal="right" vertical="center" wrapText="1"/>
      <protection hidden="1"/>
    </xf>
    <xf numFmtId="0" fontId="161" fillId="0" borderId="1" xfId="506" applyFont="1" applyBorder="1" applyAlignment="1" applyProtection="1">
      <alignment horizontal="right" vertical="center" wrapText="1"/>
      <protection hidden="1"/>
    </xf>
    <xf numFmtId="0" fontId="47" fillId="0" borderId="44" xfId="134" applyFont="1" applyBorder="1" applyAlignment="1">
      <alignment horizontal="center" vertical="center"/>
    </xf>
    <xf numFmtId="0" fontId="0" fillId="0" borderId="0" xfId="0" applyAlignment="1">
      <alignment vertical="center"/>
    </xf>
    <xf numFmtId="0" fontId="0" fillId="0" borderId="39" xfId="0" applyBorder="1" applyAlignment="1">
      <alignment horizontal="center" vertical="center" wrapText="1"/>
    </xf>
    <xf numFmtId="4" fontId="0" fillId="0" borderId="40" xfId="0" applyNumberFormat="1" applyBorder="1" applyAlignment="1">
      <alignment horizontal="right" vertical="center"/>
    </xf>
    <xf numFmtId="0" fontId="0" fillId="0" borderId="39" xfId="0" applyBorder="1" applyAlignment="1">
      <alignment horizontal="center" vertical="center"/>
    </xf>
    <xf numFmtId="4" fontId="0" fillId="0" borderId="45" xfId="0" applyNumberFormat="1" applyBorder="1" applyAlignment="1">
      <alignment horizontal="right" vertical="center"/>
    </xf>
    <xf numFmtId="4" fontId="0" fillId="0" borderId="46" xfId="0" applyNumberFormat="1" applyBorder="1" applyAlignment="1">
      <alignment horizontal="right" vertical="center"/>
    </xf>
    <xf numFmtId="0" fontId="217" fillId="0" borderId="57" xfId="0" applyFont="1" applyBorder="1" applyAlignment="1">
      <alignment horizontal="center" vertical="center" wrapText="1"/>
    </xf>
    <xf numFmtId="0" fontId="141" fillId="31" borderId="1" xfId="533" applyFont="1" applyFill="1" applyBorder="1" applyAlignment="1">
      <alignment horizontal="left" vertical="center" wrapText="1"/>
    </xf>
    <xf numFmtId="0" fontId="154" fillId="31" borderId="1" xfId="533" applyFont="1" applyFill="1" applyBorder="1" applyAlignment="1">
      <alignment horizontal="center" vertical="center" wrapText="1"/>
    </xf>
    <xf numFmtId="0" fontId="141" fillId="0" borderId="1" xfId="533" applyFont="1" applyBorder="1" applyAlignment="1">
      <alignment horizontal="center" vertical="center" wrapText="1"/>
    </xf>
    <xf numFmtId="2" fontId="37" fillId="65" borderId="1" xfId="6" applyNumberFormat="1" applyFont="1" applyFill="1" applyBorder="1" applyAlignment="1">
      <alignment horizontal="center" vertical="center" wrapText="1"/>
    </xf>
    <xf numFmtId="2" fontId="37" fillId="65" borderId="1" xfId="6" applyNumberFormat="1" applyFont="1" applyFill="1" applyBorder="1" applyAlignment="1" applyProtection="1">
      <alignment horizontal="center" vertical="center" wrapText="1"/>
      <protection locked="0"/>
    </xf>
    <xf numFmtId="2" fontId="37" fillId="84" borderId="1" xfId="6" applyNumberFormat="1" applyFont="1" applyFill="1" applyBorder="1" applyAlignment="1" applyProtection="1">
      <alignment horizontal="center" vertical="center" wrapText="1"/>
      <protection locked="0"/>
    </xf>
    <xf numFmtId="2" fontId="37" fillId="84" borderId="1" xfId="6" applyNumberFormat="1" applyFont="1" applyFill="1" applyBorder="1" applyAlignment="1">
      <alignment horizontal="center" vertical="center" wrapText="1"/>
    </xf>
    <xf numFmtId="177" fontId="230" fillId="0" borderId="1" xfId="6" applyNumberFormat="1" applyFont="1" applyBorder="1" applyAlignment="1">
      <alignment horizontal="center" vertical="center" wrapText="1"/>
    </xf>
    <xf numFmtId="2" fontId="113" fillId="0" borderId="0" xfId="6" applyNumberFormat="1" applyFont="1" applyAlignment="1">
      <alignment horizontal="center" vertical="center" wrapText="1"/>
    </xf>
    <xf numFmtId="0" fontId="113" fillId="0" borderId="0" xfId="6" applyFont="1" applyAlignment="1">
      <alignment horizontal="center" vertical="center" wrapText="1"/>
    </xf>
    <xf numFmtId="0" fontId="324" fillId="0" borderId="0" xfId="0" applyFont="1"/>
    <xf numFmtId="0" fontId="170" fillId="0" borderId="39" xfId="134" applyFont="1" applyBorder="1" applyAlignment="1">
      <alignment horizontal="center" vertical="center" wrapText="1"/>
    </xf>
    <xf numFmtId="0" fontId="47" fillId="0" borderId="42" xfId="134" applyFont="1" applyBorder="1" applyAlignment="1">
      <alignment horizontal="center" vertical="center"/>
    </xf>
    <xf numFmtId="0" fontId="38" fillId="0" borderId="8" xfId="0" applyFont="1" applyBorder="1" applyAlignment="1">
      <alignment horizontal="center" vertical="center"/>
    </xf>
    <xf numFmtId="191" fontId="50" fillId="34" borderId="45" xfId="444" applyNumberFormat="1" applyFont="1" applyFill="1" applyBorder="1" applyAlignment="1">
      <alignment horizontal="right" vertical="center"/>
    </xf>
    <xf numFmtId="189" fontId="170" fillId="34" borderId="52" xfId="444" applyNumberFormat="1" applyFont="1" applyFill="1" applyBorder="1" applyAlignment="1">
      <alignment horizontal="right" vertical="center"/>
    </xf>
    <xf numFmtId="4" fontId="170" fillId="34" borderId="42" xfId="134" applyNumberFormat="1" applyFont="1" applyFill="1" applyBorder="1" applyAlignment="1">
      <alignment vertical="center"/>
    </xf>
    <xf numFmtId="4" fontId="170" fillId="34" borderId="38" xfId="134" applyNumberFormat="1" applyFont="1" applyFill="1" applyBorder="1" applyAlignment="1">
      <alignment vertical="center"/>
    </xf>
    <xf numFmtId="194" fontId="170" fillId="34" borderId="39" xfId="134" applyNumberFormat="1" applyFont="1" applyFill="1" applyBorder="1" applyAlignment="1">
      <alignment horizontal="right"/>
    </xf>
    <xf numFmtId="194" fontId="170" fillId="34" borderId="39" xfId="134" applyNumberFormat="1" applyFont="1" applyFill="1" applyBorder="1" applyAlignment="1">
      <alignment horizontal="right" vertical="center"/>
    </xf>
    <xf numFmtId="0" fontId="179" fillId="64" borderId="62" xfId="134" applyFont="1" applyFill="1" applyBorder="1" applyAlignment="1">
      <alignment horizontal="right" wrapText="1"/>
    </xf>
    <xf numFmtId="0" fontId="179" fillId="64" borderId="43" xfId="134" applyFont="1" applyFill="1" applyBorder="1" applyAlignment="1">
      <alignment horizontal="right" wrapText="1"/>
    </xf>
    <xf numFmtId="0" fontId="179" fillId="0" borderId="47" xfId="134" applyFont="1" applyBorder="1" applyAlignment="1">
      <alignment horizontal="right" wrapText="1"/>
    </xf>
    <xf numFmtId="0" fontId="179" fillId="0" borderId="62" xfId="134" applyFont="1" applyBorder="1" applyAlignment="1">
      <alignment horizontal="right" wrapText="1"/>
    </xf>
    <xf numFmtId="191" fontId="170" fillId="34" borderId="37" xfId="444" applyNumberFormat="1" applyFont="1" applyFill="1" applyBorder="1" applyAlignment="1">
      <alignment horizontal="right" vertical="center"/>
    </xf>
    <xf numFmtId="191" fontId="170" fillId="34" borderId="39" xfId="444" applyNumberFormat="1" applyFont="1" applyFill="1" applyBorder="1" applyAlignment="1">
      <alignment horizontal="right" vertical="center"/>
    </xf>
    <xf numFmtId="189" fontId="170" fillId="34" borderId="40" xfId="444" applyNumberFormat="1" applyFont="1" applyFill="1" applyBorder="1" applyAlignment="1">
      <alignment horizontal="right" vertical="center"/>
    </xf>
    <xf numFmtId="4" fontId="170" fillId="34" borderId="8" xfId="444" applyNumberFormat="1" applyFont="1" applyFill="1" applyBorder="1" applyAlignment="1">
      <alignment horizontal="right" vertical="center"/>
    </xf>
    <xf numFmtId="189" fontId="170" fillId="34" borderId="8" xfId="444" applyNumberFormat="1" applyFont="1" applyFill="1" applyBorder="1" applyAlignment="1">
      <alignment horizontal="right" vertical="center"/>
    </xf>
    <xf numFmtId="190" fontId="170" fillId="34" borderId="8" xfId="444" applyNumberFormat="1" applyFont="1" applyFill="1" applyBorder="1" applyAlignment="1">
      <alignment horizontal="right" vertical="center"/>
    </xf>
    <xf numFmtId="191" fontId="50" fillId="34" borderId="55" xfId="444" applyNumberFormat="1" applyFont="1" applyFill="1" applyBorder="1" applyAlignment="1">
      <alignment horizontal="right" vertical="center"/>
    </xf>
    <xf numFmtId="4" fontId="170" fillId="34" borderId="9" xfId="444" applyNumberFormat="1" applyFont="1" applyFill="1" applyBorder="1" applyAlignment="1">
      <alignment horizontal="right" vertical="center"/>
    </xf>
    <xf numFmtId="4" fontId="182" fillId="34" borderId="9" xfId="444" applyNumberFormat="1" applyFont="1" applyFill="1" applyBorder="1" applyAlignment="1">
      <alignment horizontal="right" vertical="center"/>
    </xf>
    <xf numFmtId="4" fontId="170" fillId="34" borderId="77" xfId="444" applyNumberFormat="1" applyFont="1" applyFill="1" applyBorder="1" applyAlignment="1">
      <alignment horizontal="right" vertical="center"/>
    </xf>
    <xf numFmtId="4" fontId="147" fillId="74" borderId="9" xfId="444" applyNumberFormat="1" applyFont="1" applyFill="1" applyBorder="1" applyAlignment="1">
      <alignment horizontal="right" vertical="center"/>
    </xf>
    <xf numFmtId="4" fontId="170" fillId="34" borderId="5" xfId="444" applyNumberFormat="1" applyFont="1" applyFill="1" applyBorder="1" applyAlignment="1">
      <alignment horizontal="right" vertical="center"/>
    </xf>
    <xf numFmtId="189" fontId="170" fillId="34" borderId="39" xfId="444" applyNumberFormat="1" applyFont="1" applyFill="1" applyBorder="1" applyAlignment="1">
      <alignment horizontal="right" vertical="center"/>
    </xf>
    <xf numFmtId="200" fontId="170" fillId="34" borderId="39" xfId="444" applyNumberFormat="1" applyFont="1" applyFill="1" applyBorder="1" applyAlignment="1">
      <alignment horizontal="right" vertical="center"/>
    </xf>
    <xf numFmtId="200" fontId="170" fillId="34" borderId="40" xfId="444" applyNumberFormat="1" applyFont="1" applyFill="1" applyBorder="1" applyAlignment="1">
      <alignment horizontal="right" vertical="center"/>
    </xf>
    <xf numFmtId="191" fontId="170" fillId="34" borderId="40" xfId="444" applyNumberFormat="1" applyFont="1" applyFill="1" applyBorder="1" applyAlignment="1">
      <alignment horizontal="right" vertical="center"/>
    </xf>
    <xf numFmtId="190" fontId="170" fillId="34" borderId="40" xfId="444" applyNumberFormat="1" applyFont="1" applyFill="1" applyBorder="1" applyAlignment="1">
      <alignment horizontal="right" vertical="center"/>
    </xf>
    <xf numFmtId="191" fontId="50" fillId="34" borderId="44" xfId="444" applyNumberFormat="1" applyFont="1" applyFill="1" applyBorder="1" applyAlignment="1">
      <alignment horizontal="right" vertical="center"/>
    </xf>
    <xf numFmtId="191" fontId="50" fillId="34" borderId="46" xfId="444" applyNumberFormat="1" applyFont="1" applyFill="1" applyBorder="1" applyAlignment="1">
      <alignment horizontal="right" vertical="center"/>
    </xf>
    <xf numFmtId="4" fontId="170" fillId="34" borderId="10" xfId="444" applyNumberFormat="1" applyFont="1" applyFill="1" applyBorder="1" applyAlignment="1">
      <alignment horizontal="right" vertical="center"/>
    </xf>
    <xf numFmtId="4" fontId="170" fillId="34" borderId="60" xfId="444" applyNumberFormat="1" applyFont="1" applyFill="1" applyBorder="1" applyAlignment="1">
      <alignment horizontal="right" vertical="center"/>
    </xf>
    <xf numFmtId="4" fontId="170" fillId="34" borderId="62" xfId="444" applyNumberFormat="1" applyFont="1" applyFill="1" applyBorder="1" applyAlignment="1">
      <alignment horizontal="right" vertical="center"/>
    </xf>
    <xf numFmtId="0" fontId="170" fillId="0" borderId="42" xfId="134" applyFont="1" applyBorder="1" applyAlignment="1">
      <alignment horizontal="center" vertical="center" wrapText="1"/>
    </xf>
    <xf numFmtId="0" fontId="170" fillId="0" borderId="3" xfId="134" applyFont="1" applyBorder="1" applyAlignment="1">
      <alignment horizontal="left" wrapText="1"/>
    </xf>
    <xf numFmtId="0" fontId="179" fillId="0" borderId="43" xfId="134" applyFont="1" applyBorder="1" applyAlignment="1">
      <alignment horizontal="right" wrapText="1"/>
    </xf>
    <xf numFmtId="4" fontId="170" fillId="34" borderId="43" xfId="444" applyNumberFormat="1" applyFont="1" applyFill="1" applyBorder="1" applyAlignment="1">
      <alignment horizontal="right" vertical="center"/>
    </xf>
    <xf numFmtId="0" fontId="170" fillId="0" borderId="61" xfId="134" applyFont="1" applyBorder="1" applyAlignment="1">
      <alignment horizontal="left" wrapText="1"/>
    </xf>
    <xf numFmtId="191" fontId="170" fillId="0" borderId="42" xfId="444" applyNumberFormat="1" applyFont="1" applyFill="1" applyBorder="1" applyAlignment="1">
      <alignment horizontal="right" vertical="center"/>
    </xf>
    <xf numFmtId="191" fontId="170" fillId="0" borderId="43" xfId="444" applyNumberFormat="1" applyFont="1" applyFill="1" applyBorder="1" applyAlignment="1">
      <alignment horizontal="right" vertical="center"/>
    </xf>
    <xf numFmtId="191" fontId="170" fillId="0" borderId="39" xfId="444" applyNumberFormat="1" applyFont="1" applyFill="1" applyBorder="1" applyAlignment="1">
      <alignment horizontal="right" vertical="center"/>
    </xf>
    <xf numFmtId="191" fontId="170" fillId="0" borderId="40" xfId="444" applyNumberFormat="1" applyFont="1" applyFill="1" applyBorder="1" applyAlignment="1">
      <alignment horizontal="right" vertical="center"/>
    </xf>
    <xf numFmtId="4" fontId="170" fillId="73" borderId="5" xfId="444" applyNumberFormat="1" applyFont="1" applyFill="1" applyBorder="1" applyAlignment="1">
      <alignment horizontal="right" vertical="center"/>
    </xf>
    <xf numFmtId="4" fontId="170" fillId="73" borderId="43" xfId="444" applyNumberFormat="1" applyFont="1" applyFill="1" applyBorder="1" applyAlignment="1">
      <alignment horizontal="right" vertical="center"/>
    </xf>
    <xf numFmtId="4" fontId="170" fillId="73" borderId="9" xfId="444" applyNumberFormat="1" applyFont="1" applyFill="1" applyBorder="1" applyAlignment="1">
      <alignment horizontal="right" vertical="center"/>
    </xf>
    <xf numFmtId="4" fontId="170" fillId="73" borderId="40" xfId="444" applyNumberFormat="1" applyFont="1" applyFill="1" applyBorder="1" applyAlignment="1">
      <alignment horizontal="right" vertical="center"/>
    </xf>
    <xf numFmtId="1" fontId="98" fillId="0" borderId="1" xfId="556" applyNumberFormat="1" applyFont="1" applyBorder="1" applyAlignment="1">
      <alignment horizontal="center" vertical="center" wrapText="1"/>
    </xf>
    <xf numFmtId="170" fontId="98" fillId="0" borderId="1" xfId="556" applyNumberFormat="1" applyFont="1" applyBorder="1" applyAlignment="1">
      <alignment horizontal="center" vertical="center" wrapText="1"/>
    </xf>
    <xf numFmtId="175" fontId="46" fillId="0" borderId="1" xfId="6" applyNumberFormat="1" applyFont="1" applyBorder="1" applyAlignment="1">
      <alignment horizontal="center" vertical="center"/>
    </xf>
    <xf numFmtId="0" fontId="0" fillId="0" borderId="44" xfId="0" applyBorder="1" applyAlignment="1">
      <alignment horizontal="center" vertical="center"/>
    </xf>
    <xf numFmtId="0" fontId="39" fillId="34" borderId="1" xfId="0" applyFont="1" applyFill="1" applyBorder="1"/>
    <xf numFmtId="4" fontId="39" fillId="34" borderId="1" xfId="0" applyNumberFormat="1" applyFont="1" applyFill="1" applyBorder="1"/>
    <xf numFmtId="3" fontId="40" fillId="0" borderId="1" xfId="0" applyNumberFormat="1" applyFont="1" applyBorder="1"/>
    <xf numFmtId="3" fontId="89" fillId="0" borderId="1" xfId="0" applyNumberFormat="1" applyFont="1" applyBorder="1"/>
    <xf numFmtId="3" fontId="89" fillId="0" borderId="1" xfId="0" applyNumberFormat="1" applyFont="1" applyBorder="1" applyAlignment="1">
      <alignment wrapText="1"/>
    </xf>
    <xf numFmtId="0" fontId="145" fillId="0" borderId="1" xfId="556" applyFont="1" applyBorder="1" applyAlignment="1">
      <alignment horizontal="center" vertical="center" wrapText="1"/>
    </xf>
    <xf numFmtId="0" fontId="0" fillId="0" borderId="1" xfId="0" applyBorder="1" applyAlignment="1">
      <alignment horizontal="center"/>
    </xf>
    <xf numFmtId="4" fontId="217" fillId="0" borderId="58" xfId="0" applyNumberFormat="1" applyFont="1" applyBorder="1" applyAlignment="1">
      <alignment horizontal="right" vertical="center"/>
    </xf>
    <xf numFmtId="4" fontId="217" fillId="0" borderId="59" xfId="0" applyNumberFormat="1" applyFont="1" applyBorder="1" applyAlignment="1">
      <alignment horizontal="right" vertical="center"/>
    </xf>
    <xf numFmtId="0" fontId="111" fillId="0" borderId="39" xfId="0" applyFont="1" applyBorder="1" applyAlignment="1">
      <alignment horizontal="center" vertical="center"/>
    </xf>
    <xf numFmtId="0" fontId="0" fillId="0" borderId="79" xfId="0" applyBorder="1" applyAlignment="1">
      <alignment horizontal="center" vertical="center" wrapText="1"/>
    </xf>
    <xf numFmtId="0" fontId="0" fillId="0" borderId="47" xfId="0" applyBorder="1" applyAlignment="1">
      <alignment horizontal="center" vertical="center" wrapText="1"/>
    </xf>
    <xf numFmtId="0" fontId="111" fillId="32" borderId="39" xfId="0" applyFont="1" applyFill="1" applyBorder="1" applyAlignment="1">
      <alignment horizontal="center" vertical="center"/>
    </xf>
    <xf numFmtId="4" fontId="0" fillId="32" borderId="1" xfId="0" applyNumberFormat="1" applyFill="1" applyBorder="1" applyAlignment="1">
      <alignment horizontal="right" vertical="center"/>
    </xf>
    <xf numFmtId="4" fontId="0" fillId="32" borderId="40" xfId="0" applyNumberFormat="1" applyFill="1" applyBorder="1" applyAlignment="1">
      <alignment horizontal="right" vertical="center"/>
    </xf>
    <xf numFmtId="4" fontId="0" fillId="73" borderId="45" xfId="0" applyNumberFormat="1" applyFill="1" applyBorder="1" applyAlignment="1">
      <alignment horizontal="right" vertical="center"/>
    </xf>
    <xf numFmtId="4" fontId="0" fillId="73" borderId="1" xfId="0" applyNumberFormat="1" applyFill="1" applyBorder="1" applyAlignment="1">
      <alignment horizontal="right" vertical="center"/>
    </xf>
    <xf numFmtId="4" fontId="0" fillId="73" borderId="40" xfId="0" applyNumberFormat="1" applyFill="1" applyBorder="1" applyAlignment="1">
      <alignment horizontal="right" vertical="center"/>
    </xf>
    <xf numFmtId="4" fontId="0" fillId="73" borderId="46" xfId="0" applyNumberFormat="1" applyFill="1" applyBorder="1" applyAlignment="1">
      <alignment horizontal="right" vertical="center"/>
    </xf>
    <xf numFmtId="4" fontId="0" fillId="73" borderId="1" xfId="0" applyNumberFormat="1" applyFill="1" applyBorder="1" applyAlignment="1">
      <alignment horizontal="center"/>
    </xf>
    <xf numFmtId="4" fontId="0" fillId="73" borderId="40" xfId="0" applyNumberFormat="1" applyFill="1" applyBorder="1" applyAlignment="1">
      <alignment horizontal="center"/>
    </xf>
    <xf numFmtId="4" fontId="0" fillId="73" borderId="45" xfId="0" applyNumberFormat="1" applyFill="1" applyBorder="1" applyAlignment="1">
      <alignment horizontal="center"/>
    </xf>
    <xf numFmtId="4" fontId="0" fillId="73" borderId="46" xfId="0" applyNumberFormat="1" applyFill="1" applyBorder="1" applyAlignment="1">
      <alignment horizontal="center"/>
    </xf>
    <xf numFmtId="0" fontId="40" fillId="65" borderId="1" xfId="0" applyFont="1" applyFill="1" applyBorder="1" applyAlignment="1">
      <alignment vertical="top" wrapText="1"/>
    </xf>
    <xf numFmtId="4" fontId="98" fillId="65" borderId="1" xfId="0" applyNumberFormat="1" applyFont="1" applyFill="1" applyBorder="1"/>
    <xf numFmtId="4" fontId="40" fillId="65" borderId="1" xfId="0" applyNumberFormat="1" applyFont="1" applyFill="1" applyBorder="1"/>
    <xf numFmtId="49" fontId="98" fillId="0" borderId="0" xfId="556" applyNumberFormat="1" applyFont="1" applyAlignment="1">
      <alignment horizontal="center" vertical="center"/>
    </xf>
    <xf numFmtId="49" fontId="145" fillId="0" borderId="39" xfId="556" applyNumberFormat="1" applyFont="1" applyBorder="1" applyAlignment="1">
      <alignment horizontal="center" vertical="center"/>
    </xf>
    <xf numFmtId="49" fontId="98" fillId="0" borderId="39" xfId="556" applyNumberFormat="1" applyFont="1" applyBorder="1" applyAlignment="1">
      <alignment horizontal="center" vertical="center"/>
    </xf>
    <xf numFmtId="0" fontId="98" fillId="0" borderId="1" xfId="556" applyFont="1" applyBorder="1" applyAlignment="1">
      <alignment horizontal="left" vertical="center" wrapText="1"/>
    </xf>
    <xf numFmtId="0" fontId="40" fillId="0" borderId="0" xfId="556" applyFont="1" applyAlignment="1">
      <alignment horizontal="center" vertical="center" wrapText="1"/>
    </xf>
    <xf numFmtId="2" fontId="3" fillId="0" borderId="0" xfId="556" applyNumberFormat="1" applyFont="1"/>
    <xf numFmtId="179" fontId="98" fillId="0" borderId="1" xfId="556" applyNumberFormat="1" applyFont="1" applyBorder="1" applyAlignment="1">
      <alignment horizontal="center" vertical="center" wrapText="1"/>
    </xf>
    <xf numFmtId="170" fontId="98" fillId="0" borderId="40" xfId="556" applyNumberFormat="1" applyFont="1" applyBorder="1" applyAlignment="1">
      <alignment horizontal="center" vertical="center" wrapText="1"/>
    </xf>
    <xf numFmtId="0" fontId="113" fillId="0" borderId="0" xfId="556" applyFont="1"/>
    <xf numFmtId="2" fontId="40" fillId="0" borderId="121" xfId="0" applyNumberFormat="1" applyFont="1" applyBorder="1" applyAlignment="1">
      <alignment horizontal="center" vertical="center" wrapText="1"/>
    </xf>
    <xf numFmtId="4" fontId="98" fillId="0" borderId="1" xfId="556" applyNumberFormat="1" applyFont="1" applyBorder="1" applyAlignment="1">
      <alignment horizontal="center" vertical="center" wrapText="1"/>
    </xf>
    <xf numFmtId="1" fontId="98" fillId="0" borderId="40" xfId="556" applyNumberFormat="1" applyFont="1" applyBorder="1" applyAlignment="1">
      <alignment horizontal="center" vertical="center" wrapText="1"/>
    </xf>
    <xf numFmtId="0" fontId="1" fillId="0" borderId="0" xfId="556" applyFont="1" applyAlignment="1">
      <alignment horizontal="center"/>
    </xf>
    <xf numFmtId="49" fontId="145" fillId="0" borderId="44" xfId="556" applyNumberFormat="1" applyFont="1" applyBorder="1" applyAlignment="1">
      <alignment horizontal="center" vertical="center"/>
    </xf>
    <xf numFmtId="0" fontId="145" fillId="0" borderId="45" xfId="556" applyFont="1" applyBorder="1" applyAlignment="1">
      <alignment horizontal="left" vertical="center" wrapText="1"/>
    </xf>
    <xf numFmtId="0" fontId="47" fillId="0" borderId="45" xfId="556" applyFont="1" applyBorder="1" applyAlignment="1">
      <alignment horizontal="center" vertical="center" wrapText="1"/>
    </xf>
    <xf numFmtId="49" fontId="145" fillId="0" borderId="3" xfId="556" applyNumberFormat="1" applyFont="1" applyBorder="1" applyAlignment="1">
      <alignment horizontal="center" vertical="center"/>
    </xf>
    <xf numFmtId="0" fontId="145" fillId="0" borderId="3" xfId="556" applyFont="1" applyBorder="1" applyAlignment="1">
      <alignment vertical="center" wrapText="1"/>
    </xf>
    <xf numFmtId="49" fontId="145" fillId="0" borderId="1" xfId="556" applyNumberFormat="1" applyFont="1" applyBorder="1" applyAlignment="1">
      <alignment horizontal="center" vertical="center"/>
    </xf>
    <xf numFmtId="0" fontId="202" fillId="0" borderId="0" xfId="556" applyFont="1" applyAlignment="1">
      <alignment horizontal="center" vertical="center"/>
    </xf>
    <xf numFmtId="0" fontId="98" fillId="0" borderId="0" xfId="556" applyFont="1" applyAlignment="1">
      <alignment vertical="center"/>
    </xf>
    <xf numFmtId="0" fontId="47" fillId="0" borderId="0" xfId="556" applyFont="1" applyAlignment="1">
      <alignment vertical="center"/>
    </xf>
    <xf numFmtId="0" fontId="50" fillId="0" borderId="0" xfId="556" applyFont="1" applyAlignment="1">
      <alignment vertical="center"/>
    </xf>
    <xf numFmtId="0" fontId="146" fillId="0" borderId="0" xfId="556" applyFont="1" applyAlignment="1">
      <alignment vertical="center"/>
    </xf>
    <xf numFmtId="0" fontId="145" fillId="0" borderId="0" xfId="556" applyFont="1" applyAlignment="1">
      <alignment vertical="center"/>
    </xf>
    <xf numFmtId="0" fontId="203" fillId="0" borderId="0" xfId="556" applyFont="1" applyAlignment="1">
      <alignment vertical="center"/>
    </xf>
    <xf numFmtId="49" fontId="40" fillId="0" borderId="0" xfId="556" applyNumberFormat="1" applyFont="1" applyAlignment="1">
      <alignment horizontal="center" vertical="center"/>
    </xf>
    <xf numFmtId="0" fontId="161" fillId="0" borderId="0" xfId="552" applyFont="1" applyAlignment="1">
      <alignment horizontal="center"/>
    </xf>
    <xf numFmtId="2" fontId="172" fillId="0" borderId="0" xfId="552" applyNumberFormat="1" applyFont="1"/>
    <xf numFmtId="2" fontId="161" fillId="0" borderId="56" xfId="0" applyNumberFormat="1" applyFont="1" applyBorder="1"/>
    <xf numFmtId="0" fontId="161" fillId="0" borderId="27" xfId="0" applyFont="1" applyBorder="1"/>
    <xf numFmtId="0" fontId="161" fillId="0" borderId="0" xfId="552" applyFont="1" applyAlignment="1">
      <alignment vertical="center"/>
    </xf>
    <xf numFmtId="2" fontId="48" fillId="32" borderId="33" xfId="0" applyNumberFormat="1" applyFont="1" applyFill="1" applyBorder="1" applyAlignment="1">
      <alignment horizontal="center" vertical="center" wrapText="1"/>
    </xf>
    <xf numFmtId="2" fontId="39" fillId="32" borderId="6" xfId="0" applyNumberFormat="1" applyFont="1" applyFill="1" applyBorder="1" applyAlignment="1">
      <alignment horizontal="center" vertical="center" wrapText="1"/>
    </xf>
    <xf numFmtId="0" fontId="39" fillId="32" borderId="6" xfId="0" applyFont="1" applyFill="1" applyBorder="1" applyAlignment="1">
      <alignment horizontal="center" vertical="center" wrapText="1"/>
    </xf>
    <xf numFmtId="2" fontId="39" fillId="0" borderId="66" xfId="0" applyNumberFormat="1" applyFont="1" applyBorder="1" applyAlignment="1">
      <alignment horizontal="center" vertical="center"/>
    </xf>
    <xf numFmtId="2" fontId="39" fillId="0" borderId="89" xfId="0" applyNumberFormat="1" applyFont="1" applyBorder="1" applyAlignment="1">
      <alignment horizontal="center" vertical="center"/>
    </xf>
    <xf numFmtId="2" fontId="39" fillId="0" borderId="32" xfId="0" applyNumberFormat="1" applyFont="1" applyBorder="1" applyAlignment="1">
      <alignment horizontal="center" vertical="center"/>
    </xf>
    <xf numFmtId="2" fontId="39" fillId="0" borderId="68" xfId="0" applyNumberFormat="1" applyFont="1" applyBorder="1" applyAlignment="1">
      <alignment horizontal="center" vertical="center"/>
    </xf>
    <xf numFmtId="2" fontId="39" fillId="32" borderId="5" xfId="0" applyNumberFormat="1" applyFont="1" applyFill="1" applyBorder="1" applyAlignment="1">
      <alignment horizontal="center" vertical="center"/>
    </xf>
    <xf numFmtId="2" fontId="39" fillId="32" borderId="9" xfId="0" applyNumberFormat="1" applyFont="1" applyFill="1" applyBorder="1" applyAlignment="1">
      <alignment horizontal="center" vertical="center"/>
    </xf>
    <xf numFmtId="2" fontId="39" fillId="32" borderId="77" xfId="0" applyNumberFormat="1" applyFont="1" applyFill="1" applyBorder="1" applyAlignment="1">
      <alignment horizontal="center" vertical="center"/>
    </xf>
    <xf numFmtId="2" fontId="48" fillId="0" borderId="89" xfId="0" applyNumberFormat="1" applyFont="1" applyBorder="1" applyAlignment="1">
      <alignment horizontal="center" vertical="center"/>
    </xf>
    <xf numFmtId="2" fontId="48" fillId="0" borderId="32" xfId="0" applyNumberFormat="1" applyFont="1" applyBorder="1" applyAlignment="1">
      <alignment horizontal="center" vertical="center"/>
    </xf>
    <xf numFmtId="0" fontId="39" fillId="0" borderId="66" xfId="0" applyFont="1" applyBorder="1" applyAlignment="1">
      <alignment horizontal="left" vertical="center" wrapText="1"/>
    </xf>
    <xf numFmtId="0" fontId="39" fillId="0" borderId="67" xfId="0" applyFont="1" applyBorder="1" applyAlignment="1">
      <alignment horizontal="left" vertical="center" wrapText="1"/>
    </xf>
    <xf numFmtId="0" fontId="39" fillId="0" borderId="71" xfId="0" applyFont="1" applyBorder="1" applyAlignment="1">
      <alignment horizontal="left" vertical="center" wrapText="1"/>
    </xf>
    <xf numFmtId="0" fontId="39" fillId="0" borderId="68" xfId="0" applyFont="1" applyBorder="1" applyAlignment="1">
      <alignment horizontal="left" vertical="center" wrapText="1"/>
    </xf>
    <xf numFmtId="0" fontId="48" fillId="32" borderId="6" xfId="0" applyFont="1" applyFill="1" applyBorder="1" applyAlignment="1">
      <alignment horizontal="center" vertical="center" wrapText="1"/>
    </xf>
    <xf numFmtId="0" fontId="48" fillId="32" borderId="6" xfId="0" applyFont="1" applyFill="1" applyBorder="1" applyAlignment="1">
      <alignment horizontal="left" vertical="center" wrapText="1"/>
    </xf>
    <xf numFmtId="2" fontId="48" fillId="32" borderId="68" xfId="0" applyNumberFormat="1" applyFont="1" applyFill="1" applyBorder="1" applyAlignment="1">
      <alignment horizontal="center" vertical="center" wrapText="1"/>
    </xf>
    <xf numFmtId="0" fontId="106" fillId="74" borderId="1" xfId="0" applyFont="1" applyFill="1" applyBorder="1" applyAlignment="1">
      <alignment wrapText="1"/>
    </xf>
    <xf numFmtId="179" fontId="207" fillId="0" borderId="1" xfId="6" applyNumberFormat="1" applyFont="1" applyBorder="1"/>
    <xf numFmtId="2" fontId="197" fillId="0" borderId="3" xfId="6" applyNumberFormat="1" applyFont="1" applyBorder="1"/>
    <xf numFmtId="0" fontId="38" fillId="0" borderId="65" xfId="6" applyFont="1" applyBorder="1" applyAlignment="1">
      <alignment horizontal="center" vertical="center" wrapText="1"/>
    </xf>
    <xf numFmtId="0" fontId="38" fillId="0" borderId="54" xfId="6" applyFont="1" applyBorder="1" applyAlignment="1">
      <alignment horizontal="center" vertical="center" wrapText="1"/>
    </xf>
    <xf numFmtId="0" fontId="170" fillId="0" borderId="0" xfId="124" applyFont="1" applyAlignment="1">
      <alignment horizontal="center" vertical="center" wrapText="1"/>
    </xf>
    <xf numFmtId="177" fontId="39" fillId="0" borderId="1" xfId="6" applyNumberFormat="1" applyFont="1" applyBorder="1"/>
    <xf numFmtId="0" fontId="220" fillId="0" borderId="1" xfId="6" applyFont="1" applyBorder="1" applyAlignment="1">
      <alignment horizontal="center"/>
    </xf>
    <xf numFmtId="0" fontId="220" fillId="0" borderId="1" xfId="0" applyFont="1" applyBorder="1" applyAlignment="1">
      <alignment horizontal="right"/>
    </xf>
    <xf numFmtId="0" fontId="220" fillId="0" borderId="3" xfId="0" applyFont="1" applyBorder="1" applyAlignment="1">
      <alignment horizontal="right"/>
    </xf>
    <xf numFmtId="0" fontId="92" fillId="0" borderId="7" xfId="0" applyFont="1" applyBorder="1" applyAlignment="1">
      <alignment horizontal="center" vertical="center" wrapText="1"/>
    </xf>
    <xf numFmtId="0" fontId="327" fillId="0" borderId="0" xfId="0" applyFont="1"/>
    <xf numFmtId="0" fontId="170" fillId="0" borderId="1" xfId="0" applyFont="1" applyBorder="1" applyAlignment="1">
      <alignment horizontal="center" vertical="center" wrapText="1"/>
    </xf>
    <xf numFmtId="0" fontId="254" fillId="0" borderId="3" xfId="6" applyFont="1" applyBorder="1"/>
    <xf numFmtId="0" fontId="311" fillId="0" borderId="3" xfId="6" applyFont="1" applyBorder="1" applyAlignment="1">
      <alignment horizontal="center" vertical="center" wrapText="1"/>
    </xf>
    <xf numFmtId="2" fontId="254" fillId="0" borderId="1" xfId="6" applyNumberFormat="1" applyFont="1" applyBorder="1"/>
    <xf numFmtId="0" fontId="100" fillId="0" borderId="0" xfId="6" applyFont="1"/>
    <xf numFmtId="0" fontId="257" fillId="0" borderId="0" xfId="6" applyFont="1"/>
    <xf numFmtId="0" fontId="328" fillId="0" borderId="7" xfId="124" applyFont="1" applyBorder="1" applyAlignment="1">
      <alignment vertical="center" wrapText="1"/>
    </xf>
    <xf numFmtId="0" fontId="329" fillId="0" borderId="1" xfId="6" applyFont="1" applyBorder="1" applyAlignment="1">
      <alignment horizontal="right"/>
    </xf>
    <xf numFmtId="0" fontId="330" fillId="0" borderId="1" xfId="6" applyFont="1" applyBorder="1" applyAlignment="1">
      <alignment horizontal="center" vertical="center" wrapText="1"/>
    </xf>
    <xf numFmtId="2" fontId="331" fillId="0" borderId="1" xfId="6" applyNumberFormat="1" applyFont="1" applyBorder="1"/>
    <xf numFmtId="177" fontId="38" fillId="0" borderId="45" xfId="6" applyNumberFormat="1" applyFont="1" applyBorder="1" applyAlignment="1">
      <alignment horizontal="center" vertical="center"/>
    </xf>
    <xf numFmtId="2" fontId="332" fillId="0" borderId="0" xfId="6" applyNumberFormat="1" applyFont="1"/>
    <xf numFmtId="0" fontId="207" fillId="0" borderId="0" xfId="6" applyFont="1"/>
    <xf numFmtId="0" fontId="92" fillId="0" borderId="0" xfId="6" applyFont="1" applyAlignment="1">
      <alignment horizontal="center" vertical="center" wrapText="1"/>
    </xf>
    <xf numFmtId="0" fontId="265" fillId="0" borderId="0" xfId="6" applyFont="1"/>
    <xf numFmtId="0" fontId="333" fillId="0" borderId="0" xfId="6" applyFont="1" applyAlignment="1">
      <alignment horizontal="center" vertical="center" wrapText="1"/>
    </xf>
    <xf numFmtId="2" fontId="334" fillId="0" borderId="0" xfId="6" applyNumberFormat="1" applyFont="1"/>
    <xf numFmtId="0" fontId="334" fillId="0" borderId="1" xfId="6" applyFont="1" applyBorder="1"/>
    <xf numFmtId="2" fontId="334" fillId="0" borderId="1" xfId="6" applyNumberFormat="1" applyFont="1" applyBorder="1"/>
    <xf numFmtId="0" fontId="335" fillId="0" borderId="1" xfId="6" applyFont="1" applyBorder="1" applyAlignment="1">
      <alignment horizontal="right"/>
    </xf>
    <xf numFmtId="0" fontId="336" fillId="0" borderId="0" xfId="6" applyFont="1"/>
    <xf numFmtId="0" fontId="337" fillId="0" borderId="0" xfId="6" applyFont="1" applyAlignment="1">
      <alignment horizontal="center" vertical="center" wrapText="1"/>
    </xf>
    <xf numFmtId="2" fontId="221" fillId="0" borderId="0" xfId="6" applyNumberFormat="1" applyFont="1"/>
    <xf numFmtId="0" fontId="221" fillId="0" borderId="1" xfId="6" applyFont="1" applyBorder="1"/>
    <xf numFmtId="0" fontId="338" fillId="0" borderId="1" xfId="6" applyFont="1" applyBorder="1" applyAlignment="1">
      <alignment horizontal="right"/>
    </xf>
    <xf numFmtId="2" fontId="221" fillId="31" borderId="1" xfId="6" applyNumberFormat="1" applyFont="1" applyFill="1" applyBorder="1"/>
    <xf numFmtId="0" fontId="38" fillId="0" borderId="23" xfId="0" applyFont="1" applyBorder="1" applyAlignment="1">
      <alignment vertical="top" wrapText="1"/>
    </xf>
    <xf numFmtId="0" fontId="340" fillId="0" borderId="23" xfId="0" applyFont="1" applyBorder="1" applyAlignment="1">
      <alignment vertical="top" wrapText="1"/>
    </xf>
    <xf numFmtId="0" fontId="342" fillId="0" borderId="0" xfId="0" applyFont="1"/>
    <xf numFmtId="177" fontId="342" fillId="0" borderId="0" xfId="0" applyNumberFormat="1" applyFont="1"/>
    <xf numFmtId="0" fontId="0" fillId="0" borderId="6" xfId="0" applyBorder="1" applyAlignment="1">
      <alignment horizontal="center" vertical="center"/>
    </xf>
    <xf numFmtId="0" fontId="38" fillId="71" borderId="23" xfId="0" applyFont="1" applyFill="1" applyBorder="1" applyAlignment="1">
      <alignment vertical="top" wrapText="1"/>
    </xf>
    <xf numFmtId="0" fontId="38" fillId="0" borderId="0" xfId="0" applyFont="1" applyAlignment="1">
      <alignment horizontal="center"/>
    </xf>
    <xf numFmtId="2" fontId="38" fillId="0" borderId="0" xfId="0" applyNumberFormat="1" applyFont="1" applyAlignment="1">
      <alignment horizontal="center" vertical="top" wrapText="1"/>
    </xf>
    <xf numFmtId="177" fontId="38" fillId="0" borderId="0" xfId="0" applyNumberFormat="1" applyFont="1" applyAlignment="1">
      <alignment horizontal="center" vertical="top" wrapText="1"/>
    </xf>
    <xf numFmtId="177" fontId="340" fillId="0" borderId="0" xfId="0" applyNumberFormat="1" applyFont="1" applyAlignment="1">
      <alignment horizontal="center" vertical="top" wrapText="1"/>
    </xf>
    <xf numFmtId="0" fontId="38" fillId="0" borderId="0" xfId="0" applyFont="1" applyAlignment="1">
      <alignment horizontal="center" vertical="top" wrapText="1"/>
    </xf>
    <xf numFmtId="175" fontId="0" fillId="0" borderId="0" xfId="0" applyNumberFormat="1"/>
    <xf numFmtId="170" fontId="38" fillId="0" borderId="0" xfId="0" applyNumberFormat="1" applyFont="1" applyAlignment="1">
      <alignment horizontal="center" vertical="top" wrapText="1"/>
    </xf>
    <xf numFmtId="177" fontId="38" fillId="71" borderId="0" xfId="0" applyNumberFormat="1" applyFont="1" applyFill="1" applyAlignment="1">
      <alignment horizontal="center" vertical="top" wrapText="1"/>
    </xf>
    <xf numFmtId="0" fontId="36" fillId="0" borderId="0" xfId="0" applyFont="1" applyAlignment="1">
      <alignment horizontal="center" vertical="top" wrapText="1"/>
    </xf>
    <xf numFmtId="0" fontId="198" fillId="0" borderId="0" xfId="0" applyFont="1"/>
    <xf numFmtId="0" fontId="38" fillId="0" borderId="0" xfId="0" applyFont="1" applyAlignment="1">
      <alignment vertical="top" wrapText="1"/>
    </xf>
    <xf numFmtId="0" fontId="339" fillId="0" borderId="0" xfId="0" applyFont="1" applyAlignment="1">
      <alignment vertical="top" wrapText="1"/>
    </xf>
    <xf numFmtId="0" fontId="197" fillId="74" borderId="3" xfId="6" applyFont="1" applyFill="1" applyBorder="1"/>
    <xf numFmtId="177" fontId="197" fillId="74" borderId="3" xfId="6" applyNumberFormat="1" applyFont="1" applyFill="1" applyBorder="1"/>
    <xf numFmtId="177" fontId="334" fillId="0" borderId="0" xfId="6" applyNumberFormat="1" applyFont="1"/>
    <xf numFmtId="175" fontId="221" fillId="0" borderId="1" xfId="6" applyNumberFormat="1" applyFont="1" applyBorder="1"/>
    <xf numFmtId="0" fontId="36" fillId="0" borderId="56" xfId="0" applyFont="1" applyBorder="1" applyAlignment="1">
      <alignment horizontal="center" vertical="center" wrapText="1"/>
    </xf>
    <xf numFmtId="0" fontId="38" fillId="0" borderId="8" xfId="6" applyFont="1" applyBorder="1" applyAlignment="1">
      <alignment horizontal="center" vertical="center"/>
    </xf>
    <xf numFmtId="0" fontId="38" fillId="0" borderId="9" xfId="6" applyFont="1" applyBorder="1" applyAlignment="1">
      <alignment horizontal="center" vertical="center" wrapText="1"/>
    </xf>
    <xf numFmtId="0" fontId="38" fillId="0" borderId="56" xfId="0" applyFont="1" applyBorder="1" applyAlignment="1">
      <alignment horizontal="center" vertical="center" wrapText="1"/>
    </xf>
    <xf numFmtId="0" fontId="342" fillId="0" borderId="0" xfId="0" applyFont="1" applyAlignment="1">
      <alignment vertical="center"/>
    </xf>
    <xf numFmtId="0" fontId="340" fillId="0" borderId="23" xfId="0" applyFont="1" applyBorder="1" applyAlignment="1">
      <alignment vertical="center" wrapText="1"/>
    </xf>
    <xf numFmtId="0" fontId="341" fillId="0" borderId="56" xfId="0" applyFont="1" applyBorder="1" applyAlignment="1">
      <alignment horizontal="center" vertical="center" wrapText="1"/>
    </xf>
    <xf numFmtId="2" fontId="340" fillId="0" borderId="56" xfId="0" applyNumberFormat="1" applyFont="1" applyBorder="1" applyAlignment="1">
      <alignment horizontal="center" vertical="center" wrapText="1"/>
    </xf>
    <xf numFmtId="2" fontId="340" fillId="0" borderId="0" xfId="0" applyNumberFormat="1" applyFont="1" applyAlignment="1">
      <alignment horizontal="center" vertical="center" wrapText="1"/>
    </xf>
    <xf numFmtId="3" fontId="106" fillId="62" borderId="1" xfId="0" applyNumberFormat="1" applyFont="1" applyFill="1" applyBorder="1" applyAlignment="1">
      <alignment horizontal="center" vertical="center"/>
    </xf>
    <xf numFmtId="4" fontId="278" fillId="0" borderId="1" xfId="0" applyNumberFormat="1" applyFont="1" applyBorder="1" applyAlignment="1">
      <alignment horizontal="center" vertical="center" wrapText="1"/>
    </xf>
    <xf numFmtId="4" fontId="278" fillId="0" borderId="3" xfId="0" applyNumberFormat="1" applyFont="1" applyBorder="1" applyAlignment="1">
      <alignment horizontal="center" vertical="center" wrapText="1"/>
    </xf>
    <xf numFmtId="0" fontId="39" fillId="74" borderId="0" xfId="506" applyFont="1" applyFill="1" applyAlignment="1">
      <alignment horizontal="center" vertical="center" wrapText="1"/>
    </xf>
    <xf numFmtId="4" fontId="47" fillId="34" borderId="67" xfId="449" applyNumberFormat="1" applyFont="1" applyFill="1" applyBorder="1" applyAlignment="1">
      <alignment horizontal="center" vertical="center" wrapText="1"/>
    </xf>
    <xf numFmtId="2" fontId="47" fillId="34" borderId="40" xfId="0" applyNumberFormat="1" applyFont="1" applyFill="1" applyBorder="1" applyAlignment="1">
      <alignment horizontal="center" vertical="center" wrapText="1"/>
    </xf>
    <xf numFmtId="4" fontId="146" fillId="34" borderId="6" xfId="449" applyNumberFormat="1" applyFont="1" applyFill="1" applyBorder="1" applyAlignment="1">
      <alignment horizontal="center" vertical="center" wrapText="1"/>
    </xf>
    <xf numFmtId="2" fontId="146" fillId="34" borderId="61" xfId="0" applyNumberFormat="1" applyFont="1" applyFill="1" applyBorder="1" applyAlignment="1">
      <alignment horizontal="center" vertical="center"/>
    </xf>
    <xf numFmtId="2" fontId="146" fillId="34" borderId="71" xfId="0" applyNumberFormat="1" applyFont="1" applyFill="1" applyBorder="1" applyAlignment="1">
      <alignment horizontal="center"/>
    </xf>
    <xf numFmtId="2" fontId="47" fillId="34" borderId="67" xfId="0" applyNumberFormat="1" applyFont="1" applyFill="1" applyBorder="1" applyAlignment="1">
      <alignment horizontal="center"/>
    </xf>
    <xf numFmtId="2" fontId="47" fillId="34" borderId="66" xfId="0" applyNumberFormat="1" applyFont="1" applyFill="1" applyBorder="1" applyAlignment="1">
      <alignment horizontal="center"/>
    </xf>
    <xf numFmtId="2" fontId="47" fillId="34" borderId="65" xfId="0" applyNumberFormat="1" applyFont="1" applyFill="1" applyBorder="1" applyAlignment="1">
      <alignment horizontal="center"/>
    </xf>
    <xf numFmtId="2" fontId="47" fillId="34" borderId="7" xfId="0" applyNumberFormat="1" applyFont="1" applyFill="1" applyBorder="1" applyAlignment="1">
      <alignment horizontal="center"/>
    </xf>
    <xf numFmtId="2" fontId="47" fillId="34" borderId="1" xfId="0" applyNumberFormat="1" applyFont="1" applyFill="1" applyBorder="1" applyAlignment="1">
      <alignment horizontal="center"/>
    </xf>
    <xf numFmtId="2" fontId="47" fillId="34" borderId="40" xfId="0" applyNumberFormat="1" applyFont="1" applyFill="1" applyBorder="1" applyAlignment="1">
      <alignment horizontal="center"/>
    </xf>
    <xf numFmtId="0" fontId="146" fillId="0" borderId="42" xfId="0" applyFont="1" applyBorder="1" applyAlignment="1">
      <alignment vertical="center"/>
    </xf>
    <xf numFmtId="0" fontId="146" fillId="0" borderId="3" xfId="0" applyFont="1" applyBorder="1"/>
    <xf numFmtId="0" fontId="47" fillId="0" borderId="3" xfId="0" applyFont="1" applyBorder="1" applyAlignment="1">
      <alignment horizontal="center"/>
    </xf>
    <xf numFmtId="0" fontId="47" fillId="0" borderId="10" xfId="0" applyFont="1" applyBorder="1" applyAlignment="1">
      <alignment horizontal="center"/>
    </xf>
    <xf numFmtId="1" fontId="47" fillId="34" borderId="89" xfId="0" applyNumberFormat="1" applyFont="1" applyFill="1" applyBorder="1" applyAlignment="1">
      <alignment horizontal="center"/>
    </xf>
    <xf numFmtId="1" fontId="47" fillId="34" borderId="69" xfId="0" applyNumberFormat="1" applyFont="1" applyFill="1" applyBorder="1" applyAlignment="1">
      <alignment horizontal="center"/>
    </xf>
    <xf numFmtId="1" fontId="47" fillId="34" borderId="3" xfId="0" applyNumberFormat="1" applyFont="1" applyFill="1" applyBorder="1" applyAlignment="1">
      <alignment horizontal="center"/>
    </xf>
    <xf numFmtId="2" fontId="47" fillId="34" borderId="3" xfId="0" applyNumberFormat="1" applyFont="1" applyFill="1" applyBorder="1" applyAlignment="1">
      <alignment horizontal="center"/>
    </xf>
    <xf numFmtId="1" fontId="47" fillId="34" borderId="43" xfId="0" applyNumberFormat="1" applyFont="1" applyFill="1" applyBorder="1" applyAlignment="1">
      <alignment horizontal="center"/>
    </xf>
    <xf numFmtId="0" fontId="146" fillId="0" borderId="51" xfId="0" applyFont="1" applyBorder="1" applyAlignment="1">
      <alignment vertical="center"/>
    </xf>
    <xf numFmtId="0" fontId="47" fillId="0" borderId="4" xfId="0" applyFont="1" applyBorder="1"/>
    <xf numFmtId="0" fontId="47" fillId="0" borderId="4" xfId="0" applyFont="1" applyBorder="1" applyAlignment="1">
      <alignment horizontal="center" wrapText="1"/>
    </xf>
    <xf numFmtId="0" fontId="47" fillId="0" borderId="25" xfId="0" applyFont="1" applyBorder="1" applyAlignment="1">
      <alignment horizontal="center"/>
    </xf>
    <xf numFmtId="2" fontId="47" fillId="34" borderId="32" xfId="0" applyNumberFormat="1" applyFont="1" applyFill="1" applyBorder="1" applyAlignment="1">
      <alignment horizontal="center"/>
    </xf>
    <xf numFmtId="1" fontId="47" fillId="34" borderId="87" xfId="0" applyNumberFormat="1" applyFont="1" applyFill="1" applyBorder="1" applyAlignment="1">
      <alignment horizontal="center"/>
    </xf>
    <xf numFmtId="2" fontId="47" fillId="34" borderId="4" xfId="0" applyNumberFormat="1" applyFont="1" applyFill="1" applyBorder="1" applyAlignment="1">
      <alignment horizontal="center"/>
    </xf>
    <xf numFmtId="1" fontId="47" fillId="34" borderId="70" xfId="0" applyNumberFormat="1" applyFont="1" applyFill="1" applyBorder="1" applyAlignment="1">
      <alignment horizontal="center"/>
    </xf>
    <xf numFmtId="0" fontId="146" fillId="0" borderId="41" xfId="0" applyFont="1" applyBorder="1" applyAlignment="1">
      <alignment vertical="center"/>
    </xf>
    <xf numFmtId="0" fontId="47" fillId="0" borderId="79" xfId="0" applyFont="1" applyBorder="1"/>
    <xf numFmtId="0" fontId="47" fillId="0" borderId="79" xfId="0" applyFont="1" applyBorder="1" applyAlignment="1">
      <alignment horizontal="center"/>
    </xf>
    <xf numFmtId="0" fontId="146" fillId="0" borderId="97" xfId="0" applyFont="1" applyBorder="1" applyAlignment="1">
      <alignment horizontal="center" vertical="center" wrapText="1"/>
    </xf>
    <xf numFmtId="2" fontId="47" fillId="34" borderId="71" xfId="0" applyNumberFormat="1" applyFont="1" applyFill="1" applyBorder="1" applyAlignment="1">
      <alignment horizontal="center"/>
    </xf>
    <xf numFmtId="2" fontId="47" fillId="34" borderId="78" xfId="0" applyNumberFormat="1" applyFont="1" applyFill="1" applyBorder="1" applyAlignment="1">
      <alignment horizontal="center"/>
    </xf>
    <xf numFmtId="2" fontId="47" fillId="34" borderId="79" xfId="0" applyNumberFormat="1" applyFont="1" applyFill="1" applyBorder="1" applyAlignment="1">
      <alignment horizontal="center"/>
    </xf>
    <xf numFmtId="2" fontId="47" fillId="34" borderId="47" xfId="0" applyNumberFormat="1" applyFont="1" applyFill="1" applyBorder="1" applyAlignment="1">
      <alignment horizontal="center"/>
    </xf>
    <xf numFmtId="0" fontId="146" fillId="0" borderId="60" xfId="0" applyFont="1" applyBorder="1" applyAlignment="1">
      <alignment vertical="center"/>
    </xf>
    <xf numFmtId="0" fontId="47" fillId="0" borderId="61" xfId="0" applyFont="1" applyBorder="1" applyAlignment="1">
      <alignment vertical="center"/>
    </xf>
    <xf numFmtId="0" fontId="47" fillId="0" borderId="61" xfId="0" applyFont="1" applyBorder="1" applyAlignment="1">
      <alignment horizontal="center" vertical="center"/>
    </xf>
    <xf numFmtId="0" fontId="146" fillId="0" borderId="98" xfId="0" applyFont="1" applyBorder="1" applyAlignment="1">
      <alignment horizontal="center" vertical="center" wrapText="1"/>
    </xf>
    <xf numFmtId="2" fontId="146" fillId="34" borderId="6" xfId="0" applyNumberFormat="1" applyFont="1" applyFill="1" applyBorder="1" applyAlignment="1">
      <alignment horizontal="center" vertical="center"/>
    </xf>
    <xf numFmtId="2" fontId="146" fillId="34" borderId="63" xfId="0" applyNumberFormat="1" applyFont="1" applyFill="1" applyBorder="1" applyAlignment="1">
      <alignment horizontal="center" vertical="center"/>
    </xf>
    <xf numFmtId="2" fontId="146" fillId="34" borderId="62" xfId="0" applyNumberFormat="1" applyFont="1" applyFill="1" applyBorder="1" applyAlignment="1">
      <alignment horizontal="center" vertical="center"/>
    </xf>
    <xf numFmtId="0" fontId="98" fillId="74" borderId="0" xfId="448" applyFont="1" applyFill="1" applyAlignment="1">
      <alignment horizontal="center" vertical="center"/>
    </xf>
    <xf numFmtId="2" fontId="40" fillId="0" borderId="32" xfId="546" applyNumberFormat="1" applyFont="1" applyBorder="1" applyAlignment="1">
      <alignment horizontal="center"/>
    </xf>
    <xf numFmtId="2" fontId="89" fillId="0" borderId="32" xfId="546" applyNumberFormat="1" applyFont="1" applyBorder="1" applyAlignment="1">
      <alignment horizontal="center"/>
    </xf>
    <xf numFmtId="0" fontId="40" fillId="74" borderId="1" xfId="506" applyFont="1" applyFill="1" applyBorder="1" applyAlignment="1">
      <alignment vertical="top" wrapText="1"/>
    </xf>
    <xf numFmtId="0" fontId="40" fillId="74" borderId="58" xfId="506" applyFont="1" applyFill="1" applyBorder="1" applyAlignment="1">
      <alignment horizontal="left" vertical="center" wrapText="1"/>
    </xf>
    <xf numFmtId="4" fontId="146" fillId="0" borderId="0" xfId="506" applyNumberFormat="1" applyFont="1"/>
    <xf numFmtId="3" fontId="146" fillId="0" borderId="0" xfId="506" applyNumberFormat="1" applyFont="1"/>
    <xf numFmtId="0" fontId="146" fillId="0" borderId="0" xfId="506" applyFont="1" applyAlignment="1">
      <alignment horizontal="center"/>
    </xf>
    <xf numFmtId="170" fontId="146" fillId="0" borderId="0" xfId="506" applyNumberFormat="1" applyFont="1"/>
    <xf numFmtId="0" fontId="116" fillId="79" borderId="0" xfId="0" applyFont="1" applyFill="1" applyAlignment="1">
      <alignment wrapText="1"/>
    </xf>
    <xf numFmtId="0" fontId="293" fillId="79" borderId="0" xfId="0" applyFont="1" applyFill="1"/>
    <xf numFmtId="0" fontId="116" fillId="79" borderId="0" xfId="0" applyFont="1" applyFill="1"/>
    <xf numFmtId="0" fontId="343" fillId="84" borderId="0" xfId="0" applyFont="1" applyFill="1"/>
    <xf numFmtId="0" fontId="343" fillId="0" borderId="0" xfId="0" applyFont="1"/>
    <xf numFmtId="0" fontId="344" fillId="0" borderId="0" xfId="0" applyFont="1"/>
    <xf numFmtId="0" fontId="145" fillId="0" borderId="1" xfId="533" applyFont="1" applyBorder="1" applyAlignment="1">
      <alignment horizontal="center" vertical="center" wrapText="1"/>
    </xf>
    <xf numFmtId="4" fontId="167" fillId="0" borderId="115" xfId="116" applyNumberFormat="1" applyFont="1" applyBorder="1" applyAlignment="1">
      <alignment horizontal="right"/>
    </xf>
    <xf numFmtId="4" fontId="163" fillId="0" borderId="115" xfId="116" applyNumberFormat="1" applyFont="1" applyBorder="1" applyAlignment="1">
      <alignment horizontal="right"/>
    </xf>
    <xf numFmtId="4" fontId="163" fillId="0" borderId="115" xfId="116" applyNumberFormat="1" applyFont="1" applyBorder="1"/>
    <xf numFmtId="4" fontId="167" fillId="0" borderId="115" xfId="116" applyNumberFormat="1" applyFont="1" applyBorder="1"/>
    <xf numFmtId="4" fontId="163" fillId="0" borderId="115" xfId="116" applyNumberFormat="1" applyFont="1" applyBorder="1" applyAlignment="1">
      <alignment horizontal="right" wrapText="1"/>
    </xf>
    <xf numFmtId="4" fontId="163" fillId="0" borderId="126" xfId="116" applyNumberFormat="1" applyFont="1" applyBorder="1"/>
    <xf numFmtId="4" fontId="163" fillId="0" borderId="116" xfId="116" applyNumberFormat="1" applyFont="1" applyBorder="1"/>
    <xf numFmtId="4" fontId="47" fillId="0" borderId="32" xfId="116" applyNumberFormat="1" applyFont="1" applyBorder="1"/>
    <xf numFmtId="4" fontId="225" fillId="0" borderId="115" xfId="116" applyNumberFormat="1" applyFont="1" applyBorder="1"/>
    <xf numFmtId="4" fontId="98" fillId="74" borderId="67" xfId="551" applyNumberFormat="1" applyFont="1" applyFill="1" applyBorder="1" applyAlignment="1">
      <alignment horizontal="right" vertical="center"/>
    </xf>
    <xf numFmtId="0" fontId="145" fillId="0" borderId="0" xfId="448" applyFont="1" applyAlignment="1">
      <alignment horizontal="center"/>
    </xf>
    <xf numFmtId="0" fontId="47" fillId="31" borderId="30" xfId="448" applyFont="1" applyFill="1" applyBorder="1" applyAlignment="1">
      <alignment horizontal="center" vertical="center"/>
    </xf>
    <xf numFmtId="0" fontId="47" fillId="31" borderId="6" xfId="448" applyFont="1" applyFill="1" applyBorder="1" applyAlignment="1">
      <alignment horizontal="center" vertical="center" wrapText="1"/>
    </xf>
    <xf numFmtId="0" fontId="89" fillId="0" borderId="44" xfId="551" applyFont="1" applyBorder="1" applyAlignment="1">
      <alignment horizontal="center" vertical="center"/>
    </xf>
    <xf numFmtId="0" fontId="89" fillId="0" borderId="45" xfId="551" applyFont="1" applyBorder="1" applyAlignment="1">
      <alignment vertical="top" wrapText="1"/>
    </xf>
    <xf numFmtId="4" fontId="145" fillId="0" borderId="23" xfId="551" applyNumberFormat="1" applyFont="1" applyBorder="1" applyAlignment="1">
      <alignment horizontal="right" vertical="center"/>
    </xf>
    <xf numFmtId="0" fontId="40" fillId="74" borderId="1" xfId="551" applyFont="1" applyFill="1" applyBorder="1"/>
    <xf numFmtId="4" fontId="39" fillId="74" borderId="89" xfId="0" applyNumberFormat="1" applyFont="1" applyFill="1" applyBorder="1" applyAlignment="1">
      <alignment horizontal="right" vertical="center"/>
    </xf>
    <xf numFmtId="0" fontId="172" fillId="3" borderId="0" xfId="552" applyFont="1" applyFill="1" applyAlignment="1">
      <alignment vertical="center"/>
    </xf>
    <xf numFmtId="0" fontId="89" fillId="0" borderId="0" xfId="552" applyFont="1" applyAlignment="1">
      <alignment vertical="center"/>
    </xf>
    <xf numFmtId="0" fontId="89" fillId="3" borderId="0" xfId="552" applyFont="1" applyFill="1" applyAlignment="1">
      <alignment vertical="center"/>
    </xf>
    <xf numFmtId="0" fontId="98" fillId="74" borderId="1" xfId="546" applyFont="1" applyFill="1" applyBorder="1" applyAlignment="1">
      <alignment horizontal="left" vertical="top" wrapText="1"/>
    </xf>
    <xf numFmtId="4" fontId="40" fillId="74" borderId="1" xfId="546" applyNumberFormat="1" applyFont="1" applyFill="1" applyBorder="1" applyAlignment="1">
      <alignment horizontal="right" vertical="top"/>
    </xf>
    <xf numFmtId="4" fontId="39" fillId="74" borderId="4" xfId="552" applyNumberFormat="1" applyFont="1" applyFill="1" applyBorder="1" applyAlignment="1">
      <alignment vertical="center"/>
    </xf>
    <xf numFmtId="0" fontId="106" fillId="74" borderId="3" xfId="0" applyFont="1" applyFill="1" applyBorder="1" applyAlignment="1">
      <alignment wrapText="1"/>
    </xf>
    <xf numFmtId="4" fontId="39" fillId="74" borderId="1" xfId="0" applyNumberFormat="1" applyFont="1" applyFill="1" applyBorder="1" applyAlignment="1">
      <alignment horizontal="right" vertical="center"/>
    </xf>
    <xf numFmtId="0" fontId="96" fillId="74" borderId="1" xfId="552" applyFont="1" applyFill="1" applyBorder="1" applyAlignment="1">
      <alignment wrapText="1"/>
    </xf>
    <xf numFmtId="4" fontId="39" fillId="74" borderId="1" xfId="552" applyNumberFormat="1" applyFont="1" applyFill="1" applyBorder="1" applyAlignment="1">
      <alignment vertical="center"/>
    </xf>
    <xf numFmtId="0" fontId="40" fillId="0" borderId="1" xfId="0" applyFont="1" applyBorder="1" applyAlignment="1">
      <alignment vertical="center"/>
    </xf>
    <xf numFmtId="0" fontId="96" fillId="82" borderId="69" xfId="552" applyFont="1" applyFill="1" applyBorder="1" applyAlignment="1">
      <alignment wrapText="1"/>
    </xf>
    <xf numFmtId="0" fontId="98" fillId="74" borderId="1" xfId="0" applyFont="1" applyFill="1" applyBorder="1" applyAlignment="1">
      <alignment wrapText="1"/>
    </xf>
    <xf numFmtId="4" fontId="141" fillId="74" borderId="1" xfId="0" applyNumberFormat="1" applyFont="1" applyFill="1" applyBorder="1" applyAlignment="1">
      <alignment horizontal="right" vertical="center"/>
    </xf>
    <xf numFmtId="0" fontId="40" fillId="3" borderId="0" xfId="547" applyFont="1" applyFill="1" applyAlignment="1">
      <alignment horizontal="center" wrapText="1"/>
    </xf>
    <xf numFmtId="0" fontId="102" fillId="0" borderId="0" xfId="552" applyFont="1"/>
    <xf numFmtId="2" fontId="102" fillId="0" borderId="0" xfId="552" applyNumberFormat="1" applyFont="1"/>
    <xf numFmtId="0" fontId="346" fillId="0" borderId="0" xfId="552" applyFont="1"/>
    <xf numFmtId="0" fontId="98" fillId="74" borderId="1" xfId="0" applyFont="1" applyFill="1" applyBorder="1" applyAlignment="1">
      <alignment horizontal="left" wrapText="1"/>
    </xf>
    <xf numFmtId="0" fontId="40" fillId="74" borderId="3" xfId="546" applyFont="1" applyFill="1" applyBorder="1" applyAlignment="1">
      <alignment horizontal="left" vertical="top"/>
    </xf>
    <xf numFmtId="4" fontId="40" fillId="74" borderId="39" xfId="546" applyNumberFormat="1" applyFont="1" applyFill="1" applyBorder="1" applyAlignment="1">
      <alignment horizontal="right" vertical="top"/>
    </xf>
    <xf numFmtId="4" fontId="102" fillId="0" borderId="1" xfId="546" applyNumberFormat="1" applyFont="1" applyBorder="1" applyAlignment="1">
      <alignment horizontal="right" vertical="top"/>
    </xf>
    <xf numFmtId="4" fontId="40" fillId="74" borderId="0" xfId="546" applyNumberFormat="1" applyFont="1" applyFill="1" applyAlignment="1">
      <alignment horizontal="right" vertical="top"/>
    </xf>
    <xf numFmtId="0" fontId="185" fillId="0" borderId="0" xfId="546" applyFont="1"/>
    <xf numFmtId="0" fontId="102" fillId="74" borderId="1" xfId="0" applyFont="1" applyFill="1" applyBorder="1" applyAlignment="1">
      <alignment vertical="top" wrapText="1"/>
    </xf>
    <xf numFmtId="0" fontId="218" fillId="74" borderId="0" xfId="0" applyFont="1" applyFill="1"/>
    <xf numFmtId="4" fontId="102" fillId="74" borderId="1" xfId="0" applyNumberFormat="1" applyFont="1" applyFill="1" applyBorder="1"/>
    <xf numFmtId="0" fontId="197" fillId="0" borderId="0" xfId="0" applyFont="1" applyAlignment="1">
      <alignment horizontal="right"/>
    </xf>
    <xf numFmtId="4" fontId="197" fillId="0" borderId="0" xfId="0" applyNumberFormat="1" applyFont="1" applyAlignment="1">
      <alignment horizontal="right"/>
    </xf>
    <xf numFmtId="0" fontId="345" fillId="0" borderId="0" xfId="0" applyFont="1"/>
    <xf numFmtId="4" fontId="0" fillId="2" borderId="0" xfId="0" applyNumberFormat="1" applyFill="1"/>
    <xf numFmtId="0" fontId="154" fillId="65" borderId="1" xfId="533" applyFont="1" applyFill="1" applyBorder="1" applyAlignment="1">
      <alignment horizontal="center" vertical="center" wrapText="1"/>
    </xf>
    <xf numFmtId="3" fontId="0" fillId="0" borderId="0" xfId="0" applyNumberFormat="1"/>
    <xf numFmtId="3" fontId="0" fillId="90" borderId="0" xfId="0" applyNumberFormat="1" applyFill="1"/>
    <xf numFmtId="4" fontId="348" fillId="94" borderId="135" xfId="0" applyNumberFormat="1" applyFont="1" applyFill="1" applyBorder="1" applyAlignment="1">
      <alignment horizontal="right" vertical="top" wrapText="1"/>
    </xf>
    <xf numFmtId="4" fontId="349" fillId="64" borderId="17" xfId="560" applyNumberFormat="1" applyFont="1" applyFill="1" applyBorder="1" applyAlignment="1">
      <alignment horizontal="right" vertical="top" wrapText="1"/>
    </xf>
    <xf numFmtId="4" fontId="0" fillId="0" borderId="0" xfId="0" applyNumberFormat="1" applyAlignment="1">
      <alignment horizontal="left"/>
    </xf>
    <xf numFmtId="0" fontId="0" fillId="90" borderId="0" xfId="0" applyFill="1"/>
    <xf numFmtId="0" fontId="0" fillId="35" borderId="0" xfId="0" applyFill="1"/>
    <xf numFmtId="0" fontId="0" fillId="95" borderId="0" xfId="0" applyFill="1"/>
    <xf numFmtId="4" fontId="228" fillId="0" borderId="0" xfId="0" applyNumberFormat="1" applyFont="1"/>
    <xf numFmtId="170" fontId="228" fillId="0" borderId="0" xfId="0" applyNumberFormat="1" applyFont="1"/>
    <xf numFmtId="0" fontId="98" fillId="93" borderId="1" xfId="533" applyFont="1" applyFill="1" applyBorder="1" applyAlignment="1">
      <alignment vertical="center" wrapText="1"/>
    </xf>
    <xf numFmtId="4" fontId="145" fillId="0" borderId="1" xfId="533" applyNumberFormat="1" applyFont="1" applyBorder="1" applyAlignment="1">
      <alignment vertical="center" wrapText="1"/>
    </xf>
    <xf numFmtId="0" fontId="0" fillId="65" borderId="1" xfId="0" applyFill="1" applyBorder="1" applyAlignment="1">
      <alignment vertical="center"/>
    </xf>
    <xf numFmtId="4" fontId="98" fillId="0" borderId="1" xfId="533" applyNumberFormat="1" applyFont="1" applyBorder="1" applyAlignment="1">
      <alignment vertical="center" wrapText="1"/>
    </xf>
    <xf numFmtId="4" fontId="0" fillId="65" borderId="1" xfId="0" applyNumberFormat="1" applyFill="1" applyBorder="1" applyAlignment="1">
      <alignment vertical="center"/>
    </xf>
    <xf numFmtId="170" fontId="0" fillId="65" borderId="1" xfId="0" applyNumberFormat="1" applyFill="1" applyBorder="1" applyAlignment="1">
      <alignment vertical="center"/>
    </xf>
    <xf numFmtId="4" fontId="0" fillId="0" borderId="1" xfId="0" applyNumberFormat="1" applyBorder="1" applyAlignment="1">
      <alignment vertical="center"/>
    </xf>
    <xf numFmtId="0" fontId="0" fillId="93" borderId="1" xfId="0" applyFill="1" applyBorder="1" applyAlignment="1">
      <alignment vertical="center"/>
    </xf>
    <xf numFmtId="0" fontId="98" fillId="65" borderId="1" xfId="533" applyFont="1" applyFill="1" applyBorder="1" applyAlignment="1">
      <alignment vertical="center" wrapText="1"/>
    </xf>
    <xf numFmtId="4" fontId="48" fillId="0" borderId="1" xfId="0" applyNumberFormat="1" applyFont="1" applyBorder="1" applyAlignment="1">
      <alignment vertical="center"/>
    </xf>
    <xf numFmtId="170" fontId="48" fillId="0" borderId="1" xfId="0" applyNumberFormat="1" applyFont="1" applyBorder="1" applyAlignment="1">
      <alignment vertical="center"/>
    </xf>
    <xf numFmtId="0" fontId="145" fillId="0" borderId="1" xfId="533" applyFont="1" applyBorder="1" applyAlignment="1">
      <alignment horizontal="left" vertical="center" wrapText="1"/>
    </xf>
    <xf numFmtId="0" fontId="1" fillId="0" borderId="0" xfId="0" applyFont="1"/>
    <xf numFmtId="2" fontId="40" fillId="74" borderId="68" xfId="546" applyNumberFormat="1" applyFont="1" applyFill="1" applyBorder="1" applyAlignment="1">
      <alignment horizontal="center"/>
    </xf>
    <xf numFmtId="2" fontId="89" fillId="74" borderId="68" xfId="546" applyNumberFormat="1" applyFont="1" applyFill="1" applyBorder="1" applyAlignment="1">
      <alignment horizontal="center"/>
    </xf>
    <xf numFmtId="0" fontId="39" fillId="74" borderId="1" xfId="0" applyFont="1" applyFill="1" applyBorder="1" applyAlignment="1">
      <alignment horizontal="right" vertical="center"/>
    </xf>
    <xf numFmtId="0" fontId="40" fillId="74" borderId="1" xfId="552" applyFont="1" applyFill="1" applyBorder="1" applyAlignment="1">
      <alignment wrapText="1"/>
    </xf>
    <xf numFmtId="0" fontId="39" fillId="74" borderId="1" xfId="552" applyFont="1" applyFill="1" applyBorder="1"/>
    <xf numFmtId="0" fontId="238" fillId="0" borderId="0" xfId="0" applyFont="1"/>
    <xf numFmtId="0" fontId="40" fillId="74" borderId="1" xfId="546" applyFont="1" applyFill="1" applyBorder="1" applyAlignment="1">
      <alignment horizontal="left" vertical="top" wrapText="1"/>
    </xf>
    <xf numFmtId="0" fontId="40" fillId="74" borderId="7" xfId="546" applyFont="1" applyFill="1" applyBorder="1" applyAlignment="1">
      <alignment horizontal="left" vertical="top"/>
    </xf>
    <xf numFmtId="0" fontId="40" fillId="0" borderId="0" xfId="547" applyFont="1" applyAlignment="1">
      <alignment horizontal="right"/>
    </xf>
    <xf numFmtId="0" fontId="40" fillId="0" borderId="1" xfId="547" applyFont="1" applyBorder="1" applyAlignment="1">
      <alignment horizontal="right"/>
    </xf>
    <xf numFmtId="0" fontId="38" fillId="0" borderId="0" xfId="547" applyFont="1" applyAlignment="1">
      <alignment horizontal="right"/>
    </xf>
    <xf numFmtId="0" fontId="37" fillId="0" borderId="1" xfId="547" applyFont="1" applyBorder="1" applyAlignment="1">
      <alignment horizontal="right" wrapText="1"/>
    </xf>
    <xf numFmtId="0" fontId="40" fillId="0" borderId="0" xfId="547" applyFont="1" applyAlignment="1">
      <alignment wrapText="1"/>
    </xf>
    <xf numFmtId="0" fontId="47" fillId="59" borderId="1" xfId="116" applyFont="1" applyFill="1" applyBorder="1" applyAlignment="1">
      <alignment horizontal="center" vertical="center" wrapText="1"/>
    </xf>
    <xf numFmtId="4" fontId="102" fillId="0" borderId="1" xfId="0" applyNumberFormat="1" applyFont="1" applyBorder="1" applyAlignment="1">
      <alignment horizontal="right" vertical="center" wrapText="1"/>
    </xf>
    <xf numFmtId="2" fontId="40" fillId="0" borderId="0" xfId="0" applyNumberFormat="1" applyFont="1" applyAlignment="1">
      <alignment horizontal="center" vertical="center" wrapText="1"/>
    </xf>
    <xf numFmtId="4" fontId="40" fillId="0" borderId="0" xfId="0" applyNumberFormat="1" applyFont="1" applyAlignment="1">
      <alignment horizontal="center" vertical="center" wrapText="1"/>
    </xf>
    <xf numFmtId="1" fontId="89" fillId="0" borderId="1" xfId="0" applyNumberFormat="1" applyFont="1" applyBorder="1" applyAlignment="1">
      <alignment horizontal="center" vertical="center" wrapText="1"/>
    </xf>
    <xf numFmtId="0" fontId="38" fillId="0" borderId="1" xfId="0" applyFont="1" applyBorder="1" applyAlignment="1">
      <alignment horizontal="center" wrapText="1"/>
    </xf>
    <xf numFmtId="0" fontId="43" fillId="0" borderId="1" xfId="0" applyFont="1" applyBorder="1" applyAlignment="1">
      <alignment vertical="top" wrapText="1"/>
    </xf>
    <xf numFmtId="0" fontId="43" fillId="0" borderId="1" xfId="0" applyFont="1" applyBorder="1" applyAlignment="1">
      <alignment horizontal="center" vertical="top" wrapText="1"/>
    </xf>
    <xf numFmtId="0" fontId="190" fillId="0" borderId="1" xfId="0" applyFont="1" applyBorder="1" applyAlignment="1">
      <alignment vertical="center" wrapText="1"/>
    </xf>
    <xf numFmtId="0" fontId="39" fillId="0" borderId="57" xfId="0" applyFont="1" applyBorder="1" applyAlignment="1">
      <alignment vertical="top" wrapText="1"/>
    </xf>
    <xf numFmtId="0" fontId="39" fillId="0" borderId="58" xfId="0" applyFont="1" applyBorder="1" applyAlignment="1">
      <alignment vertical="center" wrapText="1"/>
    </xf>
    <xf numFmtId="0" fontId="39" fillId="0" borderId="59" xfId="0" applyFont="1" applyBorder="1" applyAlignment="1">
      <alignment vertical="center" wrapText="1"/>
    </xf>
    <xf numFmtId="0" fontId="0" fillId="0" borderId="39" xfId="0" applyBorder="1"/>
    <xf numFmtId="0" fontId="39" fillId="0" borderId="40" xfId="0" applyFont="1" applyBorder="1" applyAlignment="1">
      <alignment vertical="center" wrapText="1"/>
    </xf>
    <xf numFmtId="0" fontId="38" fillId="0" borderId="39" xfId="0" applyFont="1" applyBorder="1" applyAlignment="1">
      <alignment vertical="top" wrapText="1"/>
    </xf>
    <xf numFmtId="0" fontId="96" fillId="0" borderId="40" xfId="0" applyFont="1" applyBorder="1" applyAlignment="1">
      <alignment vertical="center" wrapText="1"/>
    </xf>
    <xf numFmtId="0" fontId="350" fillId="0" borderId="40" xfId="0" applyFont="1" applyBorder="1" applyAlignment="1">
      <alignment vertical="center" wrapText="1"/>
    </xf>
    <xf numFmtId="0" fontId="190" fillId="0" borderId="40" xfId="0" applyFont="1" applyBorder="1" applyAlignment="1">
      <alignment vertical="center" wrapText="1"/>
    </xf>
    <xf numFmtId="0" fontId="38" fillId="0" borderId="39" xfId="0" applyFont="1" applyBorder="1" applyAlignment="1">
      <alignment horizontal="center" vertical="top" wrapText="1"/>
    </xf>
    <xf numFmtId="0" fontId="38" fillId="0" borderId="44" xfId="0" applyFont="1" applyBorder="1" applyAlignment="1">
      <alignment horizontal="center" vertical="top" wrapText="1"/>
    </xf>
    <xf numFmtId="0" fontId="38" fillId="0" borderId="45" xfId="0" applyFont="1" applyBorder="1" applyAlignment="1">
      <alignment vertical="top" wrapText="1"/>
    </xf>
    <xf numFmtId="0" fontId="38" fillId="0" borderId="45" xfId="0" applyFont="1" applyBorder="1" applyAlignment="1">
      <alignment horizontal="center" vertical="top" wrapText="1"/>
    </xf>
    <xf numFmtId="0" fontId="96" fillId="0" borderId="45" xfId="0" applyFont="1" applyBorder="1" applyAlignment="1">
      <alignment vertical="center" wrapText="1"/>
    </xf>
    <xf numFmtId="0" fontId="99" fillId="0" borderId="46" xfId="0" applyFont="1" applyBorder="1" applyAlignment="1">
      <alignment vertical="center" wrapText="1"/>
    </xf>
    <xf numFmtId="0" fontId="31" fillId="0" borderId="0" xfId="0" applyFont="1" applyAlignment="1">
      <alignment vertical="center"/>
    </xf>
    <xf numFmtId="2" fontId="40" fillId="0" borderId="67" xfId="0" applyNumberFormat="1" applyFont="1" applyBorder="1" applyAlignment="1">
      <alignment vertical="top"/>
    </xf>
    <xf numFmtId="0" fontId="98" fillId="0" borderId="37" xfId="116" applyFont="1" applyBorder="1" applyAlignment="1">
      <alignment vertical="top" wrapText="1"/>
    </xf>
    <xf numFmtId="2" fontId="98" fillId="0" borderId="52" xfId="225" applyNumberFormat="1" applyFont="1" applyBorder="1" applyAlignment="1">
      <alignment vertical="top" wrapText="1"/>
    </xf>
    <xf numFmtId="2" fontId="98" fillId="0" borderId="92" xfId="225" applyNumberFormat="1" applyFont="1" applyBorder="1" applyAlignment="1">
      <alignment vertical="top" wrapText="1"/>
    </xf>
    <xf numFmtId="2" fontId="98" fillId="0" borderId="37" xfId="225" applyNumberFormat="1" applyFont="1" applyBorder="1" applyAlignment="1">
      <alignment vertical="top" wrapText="1"/>
    </xf>
    <xf numFmtId="0" fontId="40" fillId="0" borderId="52" xfId="0" applyFont="1" applyBorder="1" applyAlignment="1">
      <alignment vertical="top"/>
    </xf>
    <xf numFmtId="2" fontId="98" fillId="0" borderId="38" xfId="116" applyNumberFormat="1" applyFont="1" applyBorder="1" applyAlignment="1">
      <alignment vertical="top" wrapText="1"/>
    </xf>
    <xf numFmtId="2" fontId="98" fillId="0" borderId="73" xfId="225" applyNumberFormat="1" applyFont="1" applyBorder="1" applyAlignment="1">
      <alignment vertical="top" wrapText="1"/>
    </xf>
    <xf numFmtId="2" fontId="98" fillId="0" borderId="111" xfId="225" applyNumberFormat="1" applyFont="1" applyBorder="1" applyAlignment="1">
      <alignment vertical="top" wrapText="1"/>
    </xf>
    <xf numFmtId="2" fontId="145" fillId="0" borderId="31" xfId="116" applyNumberFormat="1" applyFont="1" applyBorder="1" applyAlignment="1">
      <alignment vertical="top" wrapText="1"/>
    </xf>
    <xf numFmtId="2" fontId="98" fillId="0" borderId="38" xfId="225" applyNumberFormat="1" applyFont="1" applyBorder="1" applyAlignment="1">
      <alignment vertical="top" wrapText="1"/>
    </xf>
    <xf numFmtId="0" fontId="40" fillId="0" borderId="68" xfId="0" applyFont="1" applyBorder="1" applyAlignment="1">
      <alignment vertical="top"/>
    </xf>
    <xf numFmtId="0" fontId="98" fillId="0" borderId="101" xfId="116" applyFont="1" applyBorder="1" applyAlignment="1">
      <alignment horizontal="left" wrapText="1"/>
    </xf>
    <xf numFmtId="0" fontId="98" fillId="0" borderId="66" xfId="225" applyFont="1" applyBorder="1" applyAlignment="1">
      <alignment vertical="top" wrapText="1"/>
    </xf>
    <xf numFmtId="2" fontId="98" fillId="0" borderId="66" xfId="225" applyNumberFormat="1" applyFont="1" applyBorder="1" applyAlignment="1">
      <alignment vertical="top" wrapText="1"/>
    </xf>
    <xf numFmtId="2" fontId="145" fillId="0" borderId="30" xfId="116" applyNumberFormat="1" applyFont="1" applyBorder="1" applyAlignment="1">
      <alignment vertical="top" wrapText="1"/>
    </xf>
    <xf numFmtId="2" fontId="98" fillId="0" borderId="1" xfId="0" applyNumberFormat="1" applyFont="1" applyBorder="1" applyAlignment="1">
      <alignment vertical="top" wrapText="1"/>
    </xf>
    <xf numFmtId="0" fontId="172" fillId="0" borderId="1" xfId="506" applyFont="1" applyBorder="1" applyAlignment="1" applyProtection="1">
      <alignment horizontal="left" vertical="center" wrapText="1"/>
      <protection hidden="1"/>
    </xf>
    <xf numFmtId="0" fontId="172" fillId="0" borderId="3" xfId="506" applyFont="1" applyBorder="1" applyAlignment="1" applyProtection="1">
      <alignment horizontal="center" vertical="center" wrapText="1"/>
      <protection hidden="1"/>
    </xf>
    <xf numFmtId="4" fontId="160" fillId="0" borderId="0" xfId="506" applyNumberFormat="1" applyFont="1" applyAlignment="1" applyProtection="1">
      <alignment horizontal="right" vertical="center" wrapText="1"/>
      <protection hidden="1"/>
    </xf>
    <xf numFmtId="0" fontId="160" fillId="0" borderId="0" xfId="506" applyFont="1" applyAlignment="1" applyProtection="1">
      <alignment horizontal="right" vertical="center" wrapText="1"/>
      <protection hidden="1"/>
    </xf>
    <xf numFmtId="2" fontId="161" fillId="0" borderId="0" xfId="506" applyNumberFormat="1" applyFont="1" applyAlignment="1" applyProtection="1">
      <alignment horizontal="left" vertical="center" wrapText="1"/>
      <protection hidden="1"/>
    </xf>
    <xf numFmtId="0" fontId="39" fillId="0" borderId="0" xfId="506" applyFont="1" applyAlignment="1" applyProtection="1">
      <alignment horizontal="center" vertical="center" wrapText="1"/>
      <protection hidden="1"/>
    </xf>
    <xf numFmtId="4" fontId="39" fillId="0" borderId="0" xfId="506" applyNumberFormat="1" applyFont="1" applyAlignment="1" applyProtection="1">
      <alignment horizontal="right" vertical="center" wrapText="1"/>
      <protection hidden="1"/>
    </xf>
    <xf numFmtId="0" fontId="39" fillId="0" borderId="0" xfId="506" applyFont="1" applyAlignment="1" applyProtection="1">
      <alignment horizontal="right" vertical="center" wrapText="1"/>
      <protection hidden="1"/>
    </xf>
    <xf numFmtId="0" fontId="172" fillId="0" borderId="0" xfId="506" applyFont="1" applyAlignment="1" applyProtection="1">
      <alignment vertical="center" wrapText="1"/>
      <protection locked="0"/>
    </xf>
    <xf numFmtId="0" fontId="165" fillId="0" borderId="0" xfId="506" applyFont="1" applyAlignment="1" applyProtection="1">
      <alignment vertical="center" wrapText="1"/>
      <protection locked="0"/>
    </xf>
    <xf numFmtId="0" fontId="165" fillId="0" borderId="0" xfId="506" applyFont="1" applyAlignment="1" applyProtection="1">
      <alignment horizontal="center" vertical="center" wrapText="1"/>
      <protection locked="0"/>
    </xf>
    <xf numFmtId="4" fontId="165" fillId="0" borderId="5" xfId="506" applyNumberFormat="1" applyFont="1" applyBorder="1" applyAlignment="1" applyProtection="1">
      <alignment horizontal="right" vertical="center" wrapText="1"/>
      <protection locked="0"/>
    </xf>
    <xf numFmtId="0" fontId="165" fillId="0" borderId="0" xfId="506" applyFont="1" applyAlignment="1" applyProtection="1">
      <alignment horizontal="right" vertical="center" wrapText="1"/>
      <protection locked="0"/>
    </xf>
    <xf numFmtId="0" fontId="165" fillId="0" borderId="5" xfId="506" applyFont="1" applyBorder="1" applyAlignment="1" applyProtection="1">
      <alignment vertical="center" wrapText="1"/>
      <protection locked="0"/>
    </xf>
    <xf numFmtId="0" fontId="40" fillId="0" borderId="6" xfId="506" applyFont="1" applyBorder="1" applyAlignment="1" applyProtection="1">
      <alignment vertical="center" wrapText="1"/>
      <protection hidden="1"/>
    </xf>
    <xf numFmtId="14" fontId="40" fillId="0" borderId="45" xfId="506" applyNumberFormat="1" applyFont="1" applyBorder="1" applyAlignment="1" applyProtection="1">
      <alignment horizontal="center" vertical="center" textRotation="90" wrapText="1"/>
      <protection hidden="1"/>
    </xf>
    <xf numFmtId="14" fontId="40" fillId="0" borderId="46" xfId="506" applyNumberFormat="1" applyFont="1" applyBorder="1" applyAlignment="1" applyProtection="1">
      <alignment horizontal="center" vertical="center" textRotation="90" wrapText="1"/>
      <protection hidden="1"/>
    </xf>
    <xf numFmtId="0" fontId="155" fillId="0" borderId="0" xfId="506" applyFont="1" applyAlignment="1" applyProtection="1">
      <alignment horizontal="center" vertical="center" wrapText="1"/>
      <protection hidden="1"/>
    </xf>
    <xf numFmtId="0" fontId="166" fillId="0" borderId="0" xfId="506" applyFont="1" applyAlignment="1" applyProtection="1">
      <alignment horizontal="center" vertical="center" wrapText="1"/>
      <protection hidden="1"/>
    </xf>
    <xf numFmtId="4" fontId="98" fillId="0" borderId="0" xfId="0" applyNumberFormat="1" applyFont="1" applyAlignment="1">
      <alignment vertical="center"/>
    </xf>
    <xf numFmtId="4" fontId="145" fillId="0" borderId="0" xfId="0" applyNumberFormat="1" applyFont="1" applyAlignment="1">
      <alignment horizontal="right" vertical="center"/>
    </xf>
    <xf numFmtId="4" fontId="141" fillId="0" borderId="1" xfId="0" applyNumberFormat="1" applyFont="1" applyBorder="1" applyAlignment="1">
      <alignment horizontal="right" vertical="center"/>
    </xf>
    <xf numFmtId="2" fontId="162" fillId="0" borderId="0" xfId="506" applyNumberFormat="1" applyFont="1" applyAlignment="1" applyProtection="1">
      <alignment horizontal="center" vertical="center" wrapText="1"/>
      <protection hidden="1"/>
    </xf>
    <xf numFmtId="0" fontId="159" fillId="0" borderId="0" xfId="506" applyFont="1" applyAlignment="1">
      <alignment horizontal="left" vertical="center"/>
    </xf>
    <xf numFmtId="2" fontId="160" fillId="0" borderId="0" xfId="506" applyNumberFormat="1" applyFont="1" applyAlignment="1" applyProtection="1">
      <alignment horizontal="right" vertical="center" wrapText="1"/>
      <protection hidden="1"/>
    </xf>
    <xf numFmtId="0" fontId="160" fillId="0" borderId="0" xfId="506" applyFont="1" applyAlignment="1" applyProtection="1">
      <alignment horizontal="left" vertical="top" wrapText="1"/>
      <protection hidden="1"/>
    </xf>
    <xf numFmtId="4" fontId="160" fillId="0" borderId="0" xfId="506" applyNumberFormat="1" applyFont="1" applyAlignment="1" applyProtection="1">
      <alignment horizontal="right" vertical="top" wrapText="1"/>
      <protection hidden="1"/>
    </xf>
    <xf numFmtId="0" fontId="160" fillId="0" borderId="0" xfId="506" applyFont="1" applyAlignment="1" applyProtection="1">
      <alignment horizontal="right" vertical="top" wrapText="1"/>
      <protection hidden="1"/>
    </xf>
    <xf numFmtId="0" fontId="160" fillId="74" borderId="0" xfId="506" applyFont="1" applyFill="1" applyAlignment="1" applyProtection="1">
      <alignment horizontal="center" vertical="center" wrapText="1"/>
      <protection hidden="1"/>
    </xf>
    <xf numFmtId="0" fontId="47" fillId="0" borderId="0" xfId="116" applyFont="1" applyAlignment="1">
      <alignment horizontal="center" vertical="center"/>
    </xf>
    <xf numFmtId="0" fontId="39" fillId="0" borderId="0" xfId="506" applyFont="1" applyAlignment="1">
      <alignment horizontal="center"/>
    </xf>
    <xf numFmtId="0" fontId="39" fillId="0" borderId="1" xfId="6" applyFont="1" applyBorder="1"/>
    <xf numFmtId="0" fontId="91" fillId="0" borderId="1" xfId="6" applyFont="1" applyBorder="1"/>
    <xf numFmtId="0" fontId="38" fillId="0" borderId="58" xfId="0" applyFont="1" applyBorder="1" applyAlignment="1">
      <alignment horizontal="center" vertical="top" wrapText="1"/>
    </xf>
    <xf numFmtId="0" fontId="46" fillId="0" borderId="58" xfId="0" applyFont="1" applyBorder="1" applyAlignment="1">
      <alignment horizontal="center" vertical="top" wrapText="1"/>
    </xf>
    <xf numFmtId="0" fontId="46" fillId="0" borderId="59" xfId="0" applyFont="1" applyBorder="1" applyAlignment="1">
      <alignment horizontal="center" vertical="top" wrapText="1"/>
    </xf>
    <xf numFmtId="0" fontId="351" fillId="0" borderId="39" xfId="6" applyFont="1" applyBorder="1"/>
    <xf numFmtId="2" fontId="39" fillId="0" borderId="40" xfId="6" applyNumberFormat="1" applyFont="1" applyBorder="1"/>
    <xf numFmtId="0" fontId="352" fillId="0" borderId="39" xfId="6" applyFont="1" applyBorder="1" applyAlignment="1">
      <alignment horizontal="right"/>
    </xf>
    <xf numFmtId="0" fontId="334" fillId="0" borderId="39" xfId="6" applyFont="1" applyBorder="1"/>
    <xf numFmtId="0" fontId="335" fillId="0" borderId="39" xfId="6" applyFont="1" applyBorder="1" applyAlignment="1">
      <alignment horizontal="right"/>
    </xf>
    <xf numFmtId="0" fontId="335" fillId="0" borderId="39" xfId="6" applyFont="1" applyBorder="1" applyAlignment="1">
      <alignment horizontal="center"/>
    </xf>
    <xf numFmtId="0" fontId="335" fillId="0" borderId="39" xfId="0" applyFont="1" applyBorder="1" applyAlignment="1">
      <alignment horizontal="right"/>
    </xf>
    <xf numFmtId="0" fontId="335" fillId="0" borderId="44" xfId="0" applyFont="1" applyBorder="1" applyAlignment="1">
      <alignment horizontal="right"/>
    </xf>
    <xf numFmtId="0" fontId="47" fillId="96" borderId="58" xfId="0" applyFont="1" applyFill="1" applyBorder="1" applyAlignment="1">
      <alignment horizontal="center" vertical="top" wrapText="1"/>
    </xf>
    <xf numFmtId="0" fontId="46" fillId="96" borderId="58" xfId="0" applyFont="1" applyFill="1" applyBorder="1" applyAlignment="1">
      <alignment horizontal="center" vertical="top" wrapText="1"/>
    </xf>
    <xf numFmtId="0" fontId="39" fillId="0" borderId="1" xfId="0" applyFont="1" applyBorder="1" applyAlignment="1">
      <alignment horizontal="left" vertical="center" wrapText="1"/>
    </xf>
    <xf numFmtId="180" fontId="39" fillId="0" borderId="1" xfId="6" applyNumberFormat="1" applyFont="1" applyBorder="1" applyAlignment="1">
      <alignment horizontal="center"/>
    </xf>
    <xf numFmtId="180" fontId="39" fillId="0" borderId="40" xfId="6" applyNumberFormat="1" applyFont="1" applyBorder="1" applyAlignment="1">
      <alignment horizontal="center"/>
    </xf>
    <xf numFmtId="180" fontId="39" fillId="0" borderId="45" xfId="6" applyNumberFormat="1" applyFont="1" applyBorder="1" applyAlignment="1">
      <alignment horizontal="center"/>
    </xf>
    <xf numFmtId="180" fontId="39" fillId="0" borderId="46" xfId="6" applyNumberFormat="1" applyFont="1" applyBorder="1" applyAlignment="1">
      <alignment horizontal="center"/>
    </xf>
    <xf numFmtId="180" fontId="39" fillId="0" borderId="1" xfId="0" applyNumberFormat="1" applyFont="1" applyBorder="1" applyAlignment="1">
      <alignment horizontal="center" wrapText="1"/>
    </xf>
    <xf numFmtId="180" fontId="39" fillId="0" borderId="40" xfId="0" applyNumberFormat="1" applyFont="1" applyBorder="1" applyAlignment="1">
      <alignment horizontal="center" wrapText="1"/>
    </xf>
    <xf numFmtId="180" fontId="39" fillId="96" borderId="1" xfId="6" applyNumberFormat="1" applyFont="1" applyFill="1" applyBorder="1" applyAlignment="1">
      <alignment horizontal="center"/>
    </xf>
    <xf numFmtId="180" fontId="39" fillId="96" borderId="1" xfId="0" applyNumberFormat="1" applyFont="1" applyFill="1" applyBorder="1" applyAlignment="1">
      <alignment horizontal="center" wrapText="1"/>
    </xf>
    <xf numFmtId="180" fontId="39" fillId="96" borderId="45" xfId="6" applyNumberFormat="1" applyFont="1" applyFill="1" applyBorder="1" applyAlignment="1">
      <alignment horizontal="center"/>
    </xf>
    <xf numFmtId="177" fontId="342" fillId="0" borderId="6" xfId="0" applyNumberFormat="1" applyFont="1" applyBorder="1" applyAlignment="1">
      <alignment horizontal="center" vertical="center"/>
    </xf>
    <xf numFmtId="179" fontId="40" fillId="73" borderId="32" xfId="0" applyNumberFormat="1" applyFont="1" applyFill="1" applyBorder="1" applyAlignment="1">
      <alignment horizontal="center"/>
    </xf>
    <xf numFmtId="0" fontId="254" fillId="0" borderId="32" xfId="0" applyFont="1" applyBorder="1"/>
    <xf numFmtId="179" fontId="217" fillId="73" borderId="32" xfId="0" applyNumberFormat="1" applyFont="1" applyFill="1" applyBorder="1" applyAlignment="1">
      <alignment horizontal="center"/>
    </xf>
    <xf numFmtId="179" fontId="40" fillId="73" borderId="32" xfId="0" applyNumberFormat="1" applyFont="1" applyFill="1" applyBorder="1" applyAlignment="1">
      <alignment horizontal="center" vertical="center"/>
    </xf>
    <xf numFmtId="0" fontId="229" fillId="0" borderId="0" xfId="6" applyFont="1"/>
    <xf numFmtId="2" fontId="38" fillId="0" borderId="56" xfId="0" applyNumberFormat="1" applyFont="1" applyBorder="1" applyAlignment="1">
      <alignment horizontal="center" vertical="center" wrapText="1"/>
    </xf>
    <xf numFmtId="177" fontId="38" fillId="0" borderId="56" xfId="0" applyNumberFormat="1" applyFont="1" applyBorder="1" applyAlignment="1">
      <alignment horizontal="center" vertical="center" wrapText="1"/>
    </xf>
    <xf numFmtId="177" fontId="340" fillId="0" borderId="56" xfId="0" applyNumberFormat="1" applyFont="1" applyBorder="1" applyAlignment="1">
      <alignment horizontal="center" vertical="center" wrapText="1"/>
    </xf>
    <xf numFmtId="170" fontId="38" fillId="0" borderId="56" xfId="0" applyNumberFormat="1" applyFont="1" applyBorder="1" applyAlignment="1">
      <alignment horizontal="center" vertical="center" wrapText="1"/>
    </xf>
    <xf numFmtId="0" fontId="36" fillId="71" borderId="56" xfId="0" applyFont="1" applyFill="1" applyBorder="1" applyAlignment="1">
      <alignment horizontal="center" vertical="center" wrapText="1"/>
    </xf>
    <xf numFmtId="177" fontId="38" fillId="71" borderId="56" xfId="0" applyNumberFormat="1" applyFont="1" applyFill="1" applyBorder="1" applyAlignment="1">
      <alignment horizontal="center" vertical="center" wrapText="1"/>
    </xf>
    <xf numFmtId="177" fontId="0" fillId="0" borderId="6" xfId="0" applyNumberFormat="1" applyBorder="1" applyAlignment="1">
      <alignment horizontal="center" vertical="center"/>
    </xf>
    <xf numFmtId="175" fontId="0" fillId="0" borderId="6" xfId="0" applyNumberFormat="1" applyBorder="1" applyAlignment="1">
      <alignment horizontal="center" vertical="center"/>
    </xf>
    <xf numFmtId="0" fontId="170" fillId="0" borderId="56" xfId="0" applyFont="1" applyBorder="1" applyAlignment="1">
      <alignment horizontal="center" vertical="center" wrapText="1"/>
    </xf>
    <xf numFmtId="2" fontId="47" fillId="0" borderId="56" xfId="0" applyNumberFormat="1" applyFont="1" applyBorder="1" applyAlignment="1">
      <alignment horizontal="center" vertical="center" wrapText="1"/>
    </xf>
    <xf numFmtId="177" fontId="47" fillId="0" borderId="56" xfId="0" applyNumberFormat="1" applyFont="1" applyBorder="1" applyAlignment="1">
      <alignment horizontal="center" vertical="center" wrapText="1"/>
    </xf>
    <xf numFmtId="177" fontId="122" fillId="0" borderId="6" xfId="0" applyNumberFormat="1" applyFont="1" applyBorder="1" applyAlignment="1">
      <alignment horizontal="center" vertical="center"/>
    </xf>
    <xf numFmtId="2" fontId="47" fillId="73" borderId="1" xfId="6" applyNumberFormat="1" applyFont="1" applyFill="1" applyBorder="1" applyAlignment="1">
      <alignment horizontal="center" vertical="center" wrapText="1"/>
    </xf>
    <xf numFmtId="0" fontId="47" fillId="0" borderId="56" xfId="0" applyFont="1" applyBorder="1" applyAlignment="1">
      <alignment horizontal="center" vertical="center" wrapText="1"/>
    </xf>
    <xf numFmtId="0" fontId="354" fillId="0" borderId="6" xfId="0" applyFont="1" applyBorder="1" applyAlignment="1">
      <alignment horizontal="center" vertical="center"/>
    </xf>
    <xf numFmtId="177" fontId="354" fillId="0" borderId="6" xfId="0" applyNumberFormat="1" applyFont="1" applyBorder="1" applyAlignment="1">
      <alignment horizontal="center" vertical="center"/>
    </xf>
    <xf numFmtId="175" fontId="354" fillId="0" borderId="6" xfId="0" applyNumberFormat="1" applyFont="1" applyBorder="1" applyAlignment="1">
      <alignment horizontal="center" vertical="center"/>
    </xf>
    <xf numFmtId="170" fontId="47" fillId="0" borderId="56" xfId="0" applyNumberFormat="1" applyFont="1" applyBorder="1" applyAlignment="1">
      <alignment horizontal="center" vertical="center" wrapText="1"/>
    </xf>
    <xf numFmtId="0" fontId="170" fillId="71" borderId="56" xfId="0" applyFont="1" applyFill="1" applyBorder="1" applyAlignment="1">
      <alignment horizontal="center" vertical="center" wrapText="1"/>
    </xf>
    <xf numFmtId="177" fontId="47" fillId="71" borderId="56" xfId="0" applyNumberFormat="1" applyFont="1" applyFill="1" applyBorder="1" applyAlignment="1">
      <alignment horizontal="center" vertical="center" wrapText="1"/>
    </xf>
    <xf numFmtId="0" fontId="355" fillId="0" borderId="1" xfId="6" applyFont="1" applyBorder="1" applyAlignment="1">
      <alignment horizontal="center" vertical="center" wrapText="1"/>
    </xf>
    <xf numFmtId="2" fontId="356" fillId="0" borderId="1" xfId="6" applyNumberFormat="1" applyFont="1" applyBorder="1"/>
    <xf numFmtId="0" fontId="356" fillId="0" borderId="1" xfId="6" applyFont="1" applyBorder="1" applyAlignment="1">
      <alignment horizontal="right"/>
    </xf>
    <xf numFmtId="2" fontId="357" fillId="0" borderId="0" xfId="6" applyNumberFormat="1" applyFont="1"/>
    <xf numFmtId="0" fontId="358" fillId="0" borderId="0" xfId="6" applyFont="1"/>
    <xf numFmtId="0" fontId="356" fillId="0" borderId="0" xfId="6" applyFont="1"/>
    <xf numFmtId="2" fontId="356" fillId="0" borderId="0" xfId="6" applyNumberFormat="1" applyFont="1"/>
    <xf numFmtId="2" fontId="356" fillId="85" borderId="1" xfId="6" applyNumberFormat="1" applyFont="1" applyFill="1" applyBorder="1"/>
    <xf numFmtId="2" fontId="40" fillId="74" borderId="32" xfId="0" applyNumberFormat="1" applyFont="1" applyFill="1" applyBorder="1" applyAlignment="1">
      <alignment horizontal="center"/>
    </xf>
    <xf numFmtId="4" fontId="39" fillId="0" borderId="0" xfId="506" applyNumberFormat="1" applyFont="1" applyAlignment="1">
      <alignment horizontal="center"/>
    </xf>
    <xf numFmtId="2" fontId="40" fillId="0" borderId="71" xfId="0" applyNumberFormat="1" applyFont="1" applyBorder="1" applyAlignment="1">
      <alignment vertical="top"/>
    </xf>
    <xf numFmtId="0" fontId="359" fillId="0" borderId="6" xfId="0" applyFont="1" applyBorder="1"/>
    <xf numFmtId="0" fontId="327" fillId="0" borderId="23" xfId="0" applyFont="1" applyBorder="1"/>
    <xf numFmtId="4" fontId="327" fillId="0" borderId="56" xfId="0" applyNumberFormat="1" applyFont="1" applyBorder="1"/>
    <xf numFmtId="4" fontId="327" fillId="0" borderId="56" xfId="0" applyNumberFormat="1" applyFont="1" applyBorder="1" applyAlignment="1">
      <alignment horizontal="right"/>
    </xf>
    <xf numFmtId="4" fontId="91" fillId="0" borderId="56" xfId="0" applyNumberFormat="1" applyFont="1" applyBorder="1"/>
    <xf numFmtId="2" fontId="334" fillId="30" borderId="1" xfId="6" applyNumberFormat="1" applyFont="1" applyFill="1" applyBorder="1"/>
    <xf numFmtId="179" fontId="47" fillId="73" borderId="1" xfId="6" applyNumberFormat="1" applyFont="1" applyFill="1" applyBorder="1" applyAlignment="1">
      <alignment horizontal="center" vertical="center" wrapText="1"/>
    </xf>
    <xf numFmtId="175" fontId="254" fillId="0" borderId="1" xfId="6" applyNumberFormat="1" applyFont="1" applyBorder="1"/>
    <xf numFmtId="0" fontId="39" fillId="0" borderId="1" xfId="0" applyFont="1" applyBorder="1" applyAlignment="1">
      <alignment horizontal="center" vertical="top" wrapText="1"/>
    </xf>
    <xf numFmtId="0" fontId="39" fillId="0" borderId="1" xfId="0" applyFont="1" applyBorder="1" applyAlignment="1">
      <alignment horizontal="justify" vertical="center" wrapText="1"/>
    </xf>
    <xf numFmtId="0" fontId="96" fillId="0" borderId="0" xfId="0" applyFont="1" applyAlignment="1">
      <alignment horizontal="left" vertical="center" wrapText="1"/>
    </xf>
    <xf numFmtId="0" fontId="39" fillId="2" borderId="1" xfId="0" applyFont="1" applyFill="1" applyBorder="1" applyAlignment="1">
      <alignment horizontal="left" vertical="center" wrapText="1"/>
    </xf>
    <xf numFmtId="0" fontId="39" fillId="73" borderId="1" xfId="0" applyFont="1" applyFill="1" applyBorder="1" applyAlignment="1">
      <alignment horizontal="left" vertical="center" wrapText="1"/>
    </xf>
    <xf numFmtId="0" fontId="39" fillId="0" borderId="1" xfId="0" applyFont="1" applyBorder="1" applyAlignment="1">
      <alignment horizontal="right" vertical="center" wrapText="1"/>
    </xf>
    <xf numFmtId="0" fontId="39" fillId="0" borderId="1" xfId="0" applyFont="1" applyBorder="1" applyAlignment="1">
      <alignment vertical="top"/>
    </xf>
    <xf numFmtId="0" fontId="96" fillId="2" borderId="0" xfId="0" applyFont="1" applyFill="1" applyAlignment="1">
      <alignment horizontal="left" vertical="center" wrapText="1"/>
    </xf>
    <xf numFmtId="0" fontId="39" fillId="2" borderId="1" xfId="0" applyFont="1" applyFill="1" applyBorder="1" applyAlignment="1">
      <alignment horizontal="right" vertical="center" wrapText="1"/>
    </xf>
    <xf numFmtId="0" fontId="141" fillId="2" borderId="1" xfId="239" applyNumberFormat="1" applyFont="1" applyFill="1" applyBorder="1" applyAlignment="1">
      <alignment horizontal="left" vertical="center" wrapText="1"/>
    </xf>
    <xf numFmtId="0" fontId="96" fillId="2" borderId="1" xfId="0" applyFont="1" applyFill="1" applyBorder="1" applyAlignment="1">
      <alignment horizontal="left" vertical="center" wrapText="1"/>
    </xf>
    <xf numFmtId="0" fontId="141" fillId="2" borderId="0" xfId="0" applyFont="1" applyFill="1" applyAlignment="1">
      <alignment horizontal="left" vertical="center" wrapText="1"/>
    </xf>
    <xf numFmtId="0" fontId="39" fillId="0" borderId="1" xfId="0" applyFont="1" applyBorder="1" applyAlignment="1">
      <alignment horizontal="right" wrapText="1"/>
    </xf>
    <xf numFmtId="0" fontId="141" fillId="2" borderId="1" xfId="0" applyFont="1" applyFill="1" applyBorder="1" applyAlignment="1">
      <alignment horizontal="left" vertical="center" wrapText="1"/>
    </xf>
    <xf numFmtId="0" fontId="38" fillId="0" borderId="1" xfId="0" applyFont="1" applyBorder="1" applyAlignment="1">
      <alignment horizontal="center"/>
    </xf>
    <xf numFmtId="0" fontId="10" fillId="0" borderId="0" xfId="556" applyFont="1" applyAlignment="1">
      <alignment horizontal="center"/>
    </xf>
    <xf numFmtId="0" fontId="92" fillId="0" borderId="0" xfId="0" applyFont="1" applyAlignment="1">
      <alignment horizontal="center"/>
    </xf>
    <xf numFmtId="4" fontId="163" fillId="0" borderId="102" xfId="116" applyNumberFormat="1" applyFont="1" applyBorder="1" applyAlignment="1">
      <alignment horizontal="left"/>
    </xf>
    <xf numFmtId="0" fontId="39" fillId="0" borderId="0" xfId="5" applyFont="1" applyAlignment="1">
      <alignment horizontal="left"/>
    </xf>
    <xf numFmtId="0" fontId="40" fillId="0" borderId="0" xfId="0" applyFont="1" applyAlignment="1">
      <alignment horizontal="right"/>
    </xf>
    <xf numFmtId="9" fontId="91" fillId="0" borderId="0" xfId="0" applyNumberFormat="1" applyFont="1"/>
    <xf numFmtId="0" fontId="327" fillId="0" borderId="23" xfId="0" applyFont="1" applyBorder="1" applyAlignment="1">
      <alignment horizontal="left"/>
    </xf>
    <xf numFmtId="0" fontId="106" fillId="0" borderId="6" xfId="0" applyFont="1" applyBorder="1" applyAlignment="1">
      <alignment horizontal="center"/>
    </xf>
    <xf numFmtId="0" fontId="106" fillId="0" borderId="56" xfId="0" applyFont="1" applyBorder="1" applyAlignment="1">
      <alignment horizontal="center"/>
    </xf>
    <xf numFmtId="4" fontId="89" fillId="0" borderId="1" xfId="0" applyNumberFormat="1" applyFont="1" applyBorder="1" applyAlignment="1">
      <alignment vertical="center"/>
    </xf>
    <xf numFmtId="4" fontId="98" fillId="0" borderId="1" xfId="0" applyNumberFormat="1" applyFont="1" applyBorder="1" applyAlignment="1">
      <alignment vertical="center"/>
    </xf>
    <xf numFmtId="2" fontId="0" fillId="0" borderId="0" xfId="0" applyNumberFormat="1" applyAlignment="1">
      <alignment horizontal="right"/>
    </xf>
    <xf numFmtId="4" fontId="102" fillId="0" borderId="1" xfId="0" applyNumberFormat="1" applyFont="1" applyBorder="1" applyAlignment="1">
      <alignment vertical="center"/>
    </xf>
    <xf numFmtId="3" fontId="102" fillId="0" borderId="1" xfId="0" applyNumberFormat="1" applyFont="1" applyBorder="1" applyAlignment="1">
      <alignment vertical="center"/>
    </xf>
    <xf numFmtId="4" fontId="217" fillId="0" borderId="1" xfId="0" applyNumberFormat="1" applyFont="1" applyBorder="1" applyAlignment="1">
      <alignment vertical="center"/>
    </xf>
    <xf numFmtId="0" fontId="0" fillId="0" borderId="5" xfId="0" applyBorder="1"/>
    <xf numFmtId="4" fontId="185" fillId="0" borderId="0" xfId="0" applyNumberFormat="1" applyFont="1" applyAlignment="1">
      <alignment vertical="top"/>
    </xf>
    <xf numFmtId="4" fontId="89" fillId="0" borderId="27" xfId="0" applyNumberFormat="1" applyFont="1" applyBorder="1" applyAlignment="1">
      <alignment horizontal="center" vertical="top"/>
    </xf>
    <xf numFmtId="4" fontId="89" fillId="0" borderId="56" xfId="0" applyNumberFormat="1" applyFont="1" applyBorder="1" applyAlignment="1">
      <alignment horizontal="center" vertical="top"/>
    </xf>
    <xf numFmtId="0" fontId="145" fillId="0" borderId="89" xfId="116" applyFont="1" applyBorder="1" applyAlignment="1">
      <alignment vertical="justify" wrapText="1"/>
    </xf>
    <xf numFmtId="4" fontId="89" fillId="0" borderId="30" xfId="0" applyNumberFormat="1" applyFont="1" applyBorder="1" applyAlignment="1">
      <alignment vertical="top"/>
    </xf>
    <xf numFmtId="4" fontId="89" fillId="0" borderId="6" xfId="0" applyNumberFormat="1" applyFont="1" applyBorder="1" applyAlignment="1">
      <alignment vertical="top"/>
    </xf>
    <xf numFmtId="4" fontId="89" fillId="0" borderId="31" xfId="0" applyNumberFormat="1" applyFont="1" applyBorder="1" applyAlignment="1">
      <alignment vertical="top"/>
    </xf>
    <xf numFmtId="0" fontId="145" fillId="0" borderId="67" xfId="116" applyFont="1" applyBorder="1" applyAlignment="1">
      <alignment vertical="justify" wrapText="1"/>
    </xf>
    <xf numFmtId="0" fontId="98" fillId="0" borderId="67" xfId="116" applyFont="1" applyBorder="1" applyAlignment="1">
      <alignment vertical="top" wrapText="1"/>
    </xf>
    <xf numFmtId="4" fontId="40" fillId="0" borderId="69" xfId="0" applyNumberFormat="1" applyFont="1" applyBorder="1" applyAlignment="1">
      <alignment vertical="top"/>
    </xf>
    <xf numFmtId="4" fontId="40" fillId="0" borderId="7" xfId="0" applyNumberFormat="1" applyFont="1" applyBorder="1" applyAlignment="1">
      <alignment vertical="top"/>
    </xf>
    <xf numFmtId="4" fontId="40" fillId="0" borderId="78" xfId="0" applyNumberFormat="1" applyFont="1" applyBorder="1" applyAlignment="1">
      <alignment vertical="top"/>
    </xf>
    <xf numFmtId="4" fontId="89" fillId="0" borderId="36" xfId="0" applyNumberFormat="1" applyFont="1" applyBorder="1" applyAlignment="1">
      <alignment vertical="top"/>
    </xf>
    <xf numFmtId="0" fontId="98" fillId="0" borderId="37" xfId="225" applyFont="1" applyBorder="1" applyAlignment="1">
      <alignment vertical="top" wrapText="1"/>
    </xf>
    <xf numFmtId="4" fontId="40" fillId="0" borderId="66" xfId="0" applyNumberFormat="1" applyFont="1" applyBorder="1" applyAlignment="1">
      <alignment vertical="top"/>
    </xf>
    <xf numFmtId="178" fontId="0" fillId="0" borderId="0" xfId="0" applyNumberFormat="1"/>
    <xf numFmtId="4" fontId="98" fillId="0" borderId="67" xfId="0" applyNumberFormat="1" applyFont="1" applyBorder="1" applyAlignment="1">
      <alignment vertical="top"/>
    </xf>
    <xf numFmtId="4" fontId="40" fillId="0" borderId="67" xfId="0" applyNumberFormat="1" applyFont="1" applyBorder="1" applyAlignment="1">
      <alignment vertical="top"/>
    </xf>
    <xf numFmtId="0" fontId="40" fillId="0" borderId="8" xfId="0" applyFont="1" applyBorder="1" applyAlignment="1">
      <alignment vertical="top"/>
    </xf>
    <xf numFmtId="4" fontId="40" fillId="0" borderId="71" xfId="0" applyNumberFormat="1" applyFont="1" applyBorder="1" applyAlignment="1">
      <alignment vertical="top"/>
    </xf>
    <xf numFmtId="0" fontId="40" fillId="0" borderId="29" xfId="0" applyFont="1" applyBorder="1" applyAlignment="1">
      <alignment vertical="top"/>
    </xf>
    <xf numFmtId="4" fontId="40" fillId="0" borderId="68" xfId="0" applyNumberFormat="1" applyFont="1" applyBorder="1" applyAlignment="1">
      <alignment vertical="top"/>
    </xf>
    <xf numFmtId="4" fontId="40" fillId="0" borderId="0" xfId="0" applyNumberFormat="1" applyFont="1" applyAlignment="1">
      <alignment vertical="top"/>
    </xf>
    <xf numFmtId="0" fontId="327" fillId="0" borderId="56" xfId="0" applyFont="1" applyBorder="1" applyAlignment="1">
      <alignment horizontal="center" vertical="center" wrapText="1"/>
    </xf>
    <xf numFmtId="0" fontId="327" fillId="0" borderId="56" xfId="0" applyFont="1" applyBorder="1" applyAlignment="1">
      <alignment horizontal="center" vertical="center"/>
    </xf>
    <xf numFmtId="0" fontId="89" fillId="0" borderId="1" xfId="0" applyFont="1" applyBorder="1" applyAlignment="1">
      <alignment vertical="center"/>
    </xf>
    <xf numFmtId="2" fontId="40" fillId="0" borderId="1" xfId="0" applyNumberFormat="1" applyFont="1" applyBorder="1" applyAlignment="1">
      <alignment horizontal="center" wrapText="1"/>
    </xf>
    <xf numFmtId="0" fontId="40" fillId="0" borderId="4" xfId="0" applyFont="1" applyBorder="1" applyAlignment="1">
      <alignment horizontal="center" vertical="center" wrapText="1"/>
    </xf>
    <xf numFmtId="0" fontId="89" fillId="0" borderId="1" xfId="0" applyFont="1" applyBorder="1" applyAlignment="1">
      <alignment horizontal="left" vertical="center" wrapText="1"/>
    </xf>
    <xf numFmtId="0" fontId="89" fillId="0" borderId="1" xfId="0" applyFont="1" applyBorder="1" applyAlignment="1">
      <alignment horizontal="left" vertical="center"/>
    </xf>
    <xf numFmtId="49" fontId="40" fillId="0" borderId="1" xfId="0" applyNumberFormat="1" applyFont="1" applyBorder="1" applyAlignment="1">
      <alignment horizontal="left" vertical="center" wrapText="1"/>
    </xf>
    <xf numFmtId="0" fontId="40" fillId="0" borderId="1" xfId="0" applyFont="1" applyBorder="1" applyAlignment="1">
      <alignment horizontal="left" vertical="center"/>
    </xf>
    <xf numFmtId="49" fontId="40" fillId="0" borderId="1" xfId="0" applyNumberFormat="1" applyFont="1" applyBorder="1" applyAlignment="1">
      <alignment horizontal="left" vertical="center"/>
    </xf>
    <xf numFmtId="49" fontId="40" fillId="0" borderId="1" xfId="0" applyNumberFormat="1" applyFont="1" applyBorder="1"/>
    <xf numFmtId="49" fontId="89" fillId="0" borderId="1" xfId="0" applyNumberFormat="1" applyFont="1" applyBorder="1"/>
    <xf numFmtId="4" fontId="161" fillId="0" borderId="1" xfId="0" applyNumberFormat="1" applyFont="1" applyBorder="1"/>
    <xf numFmtId="4" fontId="89" fillId="34" borderId="1" xfId="0" applyNumberFormat="1" applyFont="1" applyFill="1" applyBorder="1" applyAlignment="1">
      <alignment horizontal="center" vertical="center"/>
    </xf>
    <xf numFmtId="4" fontId="40" fillId="34" borderId="1" xfId="0" applyNumberFormat="1" applyFont="1" applyFill="1" applyBorder="1" applyAlignment="1">
      <alignment horizontal="center" vertical="center"/>
    </xf>
    <xf numFmtId="4" fontId="40" fillId="0" borderId="1" xfId="0" applyNumberFormat="1" applyFont="1" applyBorder="1" applyAlignment="1">
      <alignment horizontal="center"/>
    </xf>
    <xf numFmtId="0" fontId="106" fillId="0" borderId="0" xfId="0" applyFont="1" applyAlignment="1">
      <alignment horizontal="center"/>
    </xf>
    <xf numFmtId="0" fontId="171" fillId="0" borderId="1" xfId="0" applyFont="1" applyBorder="1"/>
    <xf numFmtId="4" fontId="171" fillId="0" borderId="1" xfId="0" applyNumberFormat="1" applyFont="1" applyBorder="1" applyAlignment="1">
      <alignment horizontal="center" vertical="center"/>
    </xf>
    <xf numFmtId="2" fontId="40" fillId="0" borderId="1" xfId="0" applyNumberFormat="1" applyFont="1" applyBorder="1" applyAlignment="1">
      <alignment wrapText="1"/>
    </xf>
    <xf numFmtId="2" fontId="40" fillId="0" borderId="0" xfId="0" applyNumberFormat="1" applyFont="1" applyAlignment="1">
      <alignment wrapText="1"/>
    </xf>
    <xf numFmtId="0" fontId="40" fillId="0" borderId="1" xfId="0" applyFont="1" applyBorder="1" applyAlignment="1">
      <alignment horizontal="right"/>
    </xf>
    <xf numFmtId="164" fontId="89" fillId="0" borderId="1" xfId="559" applyFont="1" applyBorder="1" applyAlignment="1">
      <alignment horizontal="center" vertical="center"/>
    </xf>
    <xf numFmtId="175" fontId="40" fillId="0" borderId="0" xfId="0" applyNumberFormat="1" applyFont="1"/>
    <xf numFmtId="164" fontId="40" fillId="0" borderId="1" xfId="559" applyFont="1" applyFill="1" applyBorder="1" applyAlignment="1">
      <alignment horizontal="center" vertical="center"/>
    </xf>
    <xf numFmtId="164" fontId="89" fillId="0" borderId="1" xfId="559" applyFont="1" applyFill="1" applyBorder="1" applyAlignment="1">
      <alignment horizontal="center" vertical="center"/>
    </xf>
    <xf numFmtId="164" fontId="40" fillId="0" borderId="1" xfId="559" applyFont="1" applyBorder="1" applyAlignment="1">
      <alignment horizontal="center" vertical="center"/>
    </xf>
    <xf numFmtId="191" fontId="40" fillId="0" borderId="1" xfId="559" applyNumberFormat="1" applyFont="1" applyFill="1" applyBorder="1" applyAlignment="1">
      <alignment horizontal="center" vertical="center"/>
    </xf>
    <xf numFmtId="2" fontId="89" fillId="0" borderId="1" xfId="0" applyNumberFormat="1" applyFont="1" applyBorder="1"/>
    <xf numFmtId="170" fontId="40" fillId="0" borderId="1" xfId="0" applyNumberFormat="1" applyFont="1" applyBorder="1" applyAlignment="1">
      <alignment horizontal="center"/>
    </xf>
    <xf numFmtId="2" fontId="89" fillId="0" borderId="1" xfId="0" applyNumberFormat="1" applyFont="1" applyBorder="1" applyAlignment="1">
      <alignment horizontal="right" vertical="center"/>
    </xf>
    <xf numFmtId="0" fontId="172" fillId="0" borderId="1" xfId="0" applyFont="1" applyBorder="1"/>
    <xf numFmtId="4" fontId="172" fillId="0" borderId="1" xfId="0" applyNumberFormat="1" applyFont="1" applyBorder="1" applyAlignment="1">
      <alignment horizontal="center" vertical="center"/>
    </xf>
    <xf numFmtId="4" fontId="172" fillId="0" borderId="1" xfId="0" applyNumberFormat="1" applyFont="1" applyBorder="1"/>
    <xf numFmtId="4" fontId="89" fillId="0" borderId="8" xfId="0" applyNumberFormat="1" applyFont="1" applyBorder="1" applyAlignment="1">
      <alignment horizontal="center" vertical="center"/>
    </xf>
    <xf numFmtId="4" fontId="89" fillId="0" borderId="25" xfId="0" applyNumberFormat="1" applyFont="1" applyBorder="1" applyAlignment="1">
      <alignment horizontal="center" vertical="center"/>
    </xf>
    <xf numFmtId="2" fontId="40" fillId="0" borderId="1" xfId="0" applyNumberFormat="1" applyFont="1" applyBorder="1" applyAlignment="1">
      <alignment horizontal="center"/>
    </xf>
    <xf numFmtId="4" fontId="40" fillId="0" borderId="8" xfId="0" applyNumberFormat="1" applyFont="1" applyBorder="1" applyAlignment="1">
      <alignment horizontal="center" vertical="center"/>
    </xf>
    <xf numFmtId="4" fontId="40" fillId="0" borderId="25" xfId="0" applyNumberFormat="1" applyFont="1" applyBorder="1" applyAlignment="1">
      <alignment horizontal="center" vertical="center"/>
    </xf>
    <xf numFmtId="2" fontId="89" fillId="0" borderId="1" xfId="0" applyNumberFormat="1" applyFont="1" applyBorder="1" applyAlignment="1">
      <alignment horizontal="center" vertical="center"/>
    </xf>
    <xf numFmtId="0" fontId="89" fillId="0" borderId="0" xfId="0" applyFont="1" applyAlignment="1">
      <alignment horizontal="center"/>
    </xf>
    <xf numFmtId="0" fontId="340" fillId="0" borderId="0" xfId="0" applyFont="1" applyAlignment="1">
      <alignment vertical="top" wrapText="1"/>
    </xf>
    <xf numFmtId="0" fontId="360" fillId="0" borderId="0" xfId="0" applyFont="1" applyAlignment="1">
      <alignment horizontal="center" vertical="center" wrapText="1"/>
    </xf>
    <xf numFmtId="0" fontId="40" fillId="0" borderId="0" xfId="0" applyFont="1" applyAlignment="1">
      <alignment vertical="top"/>
    </xf>
    <xf numFmtId="0" fontId="106" fillId="0" borderId="0" xfId="0" applyFont="1" applyAlignment="1">
      <alignment vertical="center" wrapText="1"/>
    </xf>
    <xf numFmtId="0" fontId="40" fillId="2" borderId="0" xfId="0" applyFont="1" applyFill="1"/>
    <xf numFmtId="0" fontId="89" fillId="2" borderId="0" xfId="0" applyFont="1" applyFill="1" applyAlignment="1">
      <alignment horizontal="center" vertical="center"/>
    </xf>
    <xf numFmtId="0" fontId="360" fillId="0" borderId="0" xfId="0" applyFont="1" applyAlignment="1">
      <alignment horizontal="left" vertical="center" wrapText="1"/>
    </xf>
    <xf numFmtId="0" fontId="361" fillId="0" borderId="0" xfId="0" applyFont="1" applyAlignment="1">
      <alignment vertical="top" wrapText="1"/>
    </xf>
    <xf numFmtId="179" fontId="113" fillId="0" borderId="0" xfId="0" applyNumberFormat="1" applyFont="1"/>
    <xf numFmtId="0" fontId="36" fillId="0" borderId="1" xfId="0" applyFont="1" applyBorder="1" applyAlignment="1" applyProtection="1">
      <alignment horizontal="center" vertical="center" wrapText="1"/>
      <protection hidden="1"/>
    </xf>
    <xf numFmtId="0" fontId="36" fillId="0" borderId="0" xfId="0" applyFont="1" applyAlignment="1" applyProtection="1">
      <alignment horizontal="left" vertical="center" wrapText="1"/>
      <protection hidden="1"/>
    </xf>
    <xf numFmtId="201" fontId="36" fillId="0" borderId="0" xfId="0" applyNumberFormat="1" applyFont="1" applyAlignment="1" applyProtection="1">
      <alignment horizontal="left" vertical="center" wrapText="1"/>
      <protection hidden="1"/>
    </xf>
    <xf numFmtId="49" fontId="315" fillId="0" borderId="3" xfId="0" applyNumberFormat="1" applyFont="1" applyBorder="1" applyAlignment="1" applyProtection="1">
      <alignment horizontal="center" vertical="center" wrapText="1"/>
      <protection hidden="1"/>
    </xf>
    <xf numFmtId="1" fontId="36" fillId="0" borderId="1" xfId="0" applyNumberFormat="1" applyFont="1" applyBorder="1" applyAlignment="1" applyProtection="1">
      <alignment horizontal="right" vertical="center" wrapText="1"/>
      <protection hidden="1"/>
    </xf>
    <xf numFmtId="0" fontId="36" fillId="0" borderId="1" xfId="0" applyFont="1" applyBorder="1" applyAlignment="1" applyProtection="1">
      <alignment horizontal="right" vertical="center" wrapText="1"/>
      <protection hidden="1"/>
    </xf>
    <xf numFmtId="3" fontId="36" fillId="0" borderId="0" xfId="0" applyNumberFormat="1" applyFont="1" applyAlignment="1" applyProtection="1">
      <alignment horizontal="left" vertical="center" wrapText="1"/>
      <protection hidden="1"/>
    </xf>
    <xf numFmtId="4" fontId="36" fillId="0" borderId="0" xfId="0" applyNumberFormat="1" applyFont="1" applyAlignment="1" applyProtection="1">
      <alignment horizontal="left" vertical="center" wrapText="1"/>
      <protection hidden="1"/>
    </xf>
    <xf numFmtId="0" fontId="47" fillId="0" borderId="1" xfId="116" applyFont="1" applyBorder="1" applyAlignment="1">
      <alignment horizontal="left" vertical="top" wrapText="1" indent="1"/>
    </xf>
    <xf numFmtId="0" fontId="112" fillId="0" borderId="102" xfId="0" applyFont="1" applyBorder="1"/>
    <xf numFmtId="0" fontId="112" fillId="0" borderId="104" xfId="0" applyFont="1" applyBorder="1" applyAlignment="1">
      <alignment wrapText="1"/>
    </xf>
    <xf numFmtId="0" fontId="112" fillId="0" borderId="108" xfId="0" applyFont="1" applyBorder="1" applyAlignment="1">
      <alignment horizontal="center"/>
    </xf>
    <xf numFmtId="10" fontId="112" fillId="0" borderId="102" xfId="0" applyNumberFormat="1" applyFont="1" applyBorder="1" applyAlignment="1">
      <alignment horizontal="center"/>
    </xf>
    <xf numFmtId="10" fontId="112" fillId="31" borderId="102" xfId="0" applyNumberFormat="1" applyFont="1" applyFill="1" applyBorder="1" applyAlignment="1">
      <alignment horizontal="center"/>
    </xf>
    <xf numFmtId="0" fontId="112" fillId="0" borderId="118" xfId="0" applyFont="1" applyBorder="1" applyAlignment="1">
      <alignment horizontal="center"/>
    </xf>
    <xf numFmtId="10" fontId="112" fillId="0" borderId="104" xfId="0" applyNumberFormat="1" applyFont="1" applyBorder="1" applyAlignment="1">
      <alignment horizontal="center"/>
    </xf>
    <xf numFmtId="2" fontId="112" fillId="31" borderId="104" xfId="0" applyNumberFormat="1" applyFont="1" applyFill="1" applyBorder="1" applyAlignment="1">
      <alignment horizontal="center"/>
    </xf>
    <xf numFmtId="0" fontId="39" fillId="0" borderId="125" xfId="0" applyFont="1" applyBorder="1" applyAlignment="1">
      <alignment horizontal="center"/>
    </xf>
    <xf numFmtId="2" fontId="39" fillId="0" borderId="32" xfId="0" applyNumberFormat="1" applyFont="1" applyBorder="1" applyAlignment="1">
      <alignment horizontal="center"/>
    </xf>
    <xf numFmtId="2" fontId="39" fillId="0" borderId="113" xfId="0" applyNumberFormat="1" applyFont="1" applyBorder="1" applyAlignment="1">
      <alignment horizontal="center"/>
    </xf>
    <xf numFmtId="10" fontId="39" fillId="31" borderId="113" xfId="0" applyNumberFormat="1" applyFont="1" applyFill="1" applyBorder="1" applyAlignment="1">
      <alignment horizontal="center"/>
    </xf>
    <xf numFmtId="4" fontId="39" fillId="0" borderId="113" xfId="0" applyNumberFormat="1" applyFont="1" applyBorder="1" applyAlignment="1">
      <alignment horizontal="center"/>
    </xf>
    <xf numFmtId="2" fontId="207" fillId="0" borderId="32" xfId="0" applyNumberFormat="1" applyFont="1" applyBorder="1" applyAlignment="1">
      <alignment horizontal="center"/>
    </xf>
    <xf numFmtId="2" fontId="207" fillId="0" borderId="113" xfId="0" applyNumberFormat="1" applyFont="1" applyBorder="1" applyAlignment="1">
      <alignment horizontal="center"/>
    </xf>
    <xf numFmtId="4" fontId="207" fillId="34" borderId="113" xfId="0" applyNumberFormat="1" applyFont="1" applyFill="1" applyBorder="1" applyAlignment="1">
      <alignment horizontal="center"/>
    </xf>
    <xf numFmtId="4" fontId="207" fillId="0" borderId="113" xfId="0" applyNumberFormat="1" applyFont="1" applyBorder="1" applyAlignment="1">
      <alignment horizontal="center"/>
    </xf>
    <xf numFmtId="2" fontId="39" fillId="34" borderId="100" xfId="0" applyNumberFormat="1" applyFont="1" applyFill="1" applyBorder="1" applyAlignment="1">
      <alignment horizontal="center"/>
    </xf>
    <xf numFmtId="2" fontId="39" fillId="34" borderId="102" xfId="0" applyNumberFormat="1" applyFont="1" applyFill="1" applyBorder="1" applyAlignment="1">
      <alignment horizontal="center"/>
    </xf>
    <xf numFmtId="4" fontId="39" fillId="34" borderId="100" xfId="0" applyNumberFormat="1" applyFont="1" applyFill="1" applyBorder="1" applyAlignment="1">
      <alignment horizontal="center"/>
    </xf>
    <xf numFmtId="0" fontId="112" fillId="0" borderId="113" xfId="0" applyFont="1" applyBorder="1" applyAlignment="1">
      <alignment wrapText="1"/>
    </xf>
    <xf numFmtId="10" fontId="112" fillId="34" borderId="102" xfId="0" applyNumberFormat="1" applyFont="1" applyFill="1" applyBorder="1" applyAlignment="1">
      <alignment horizontal="center"/>
    </xf>
    <xf numFmtId="0" fontId="48" fillId="0" borderId="33" xfId="0" applyFont="1" applyBorder="1" applyAlignment="1">
      <alignment wrapText="1"/>
    </xf>
    <xf numFmtId="0" fontId="39" fillId="0" borderId="34" xfId="0" applyFont="1" applyBorder="1" applyAlignment="1">
      <alignment horizontal="center"/>
    </xf>
    <xf numFmtId="4" fontId="39" fillId="31" borderId="100" xfId="0" applyNumberFormat="1" applyFont="1" applyFill="1" applyBorder="1" applyAlignment="1">
      <alignment horizontal="center"/>
    </xf>
    <xf numFmtId="0" fontId="39" fillId="0" borderId="102" xfId="0" applyFont="1" applyBorder="1" applyAlignment="1">
      <alignment vertical="top" wrapText="1"/>
    </xf>
    <xf numFmtId="4" fontId="1" fillId="0" borderId="0" xfId="0" applyNumberFormat="1" applyFont="1"/>
    <xf numFmtId="4" fontId="207" fillId="0" borderId="0" xfId="506" applyNumberFormat="1" applyFont="1" applyAlignment="1">
      <alignment horizontal="center" vertical="center"/>
    </xf>
    <xf numFmtId="0" fontId="145" fillId="0" borderId="0" xfId="533" applyFont="1" applyAlignment="1">
      <alignment horizontal="center" vertical="center" wrapText="1"/>
    </xf>
    <xf numFmtId="0" fontId="164" fillId="0" borderId="0" xfId="533" applyFont="1" applyAlignment="1">
      <alignment horizontal="center" vertical="center"/>
    </xf>
    <xf numFmtId="0" fontId="98" fillId="0" borderId="0" xfId="533" applyFont="1" applyAlignment="1">
      <alignment horizontal="center" vertical="center"/>
    </xf>
    <xf numFmtId="0" fontId="141" fillId="0" borderId="5" xfId="533" applyFont="1" applyBorder="1"/>
    <xf numFmtId="0" fontId="163" fillId="0" borderId="5" xfId="533" applyFont="1" applyBorder="1" applyAlignment="1">
      <alignment horizontal="right"/>
    </xf>
    <xf numFmtId="4" fontId="182" fillId="0" borderId="0" xfId="0" applyNumberFormat="1" applyFont="1" applyAlignment="1" applyProtection="1">
      <alignment horizontal="left" vertical="center" wrapText="1"/>
      <protection hidden="1"/>
    </xf>
    <xf numFmtId="0" fontId="42" fillId="0" borderId="0" xfId="0" applyFont="1" applyAlignment="1" applyProtection="1">
      <alignment horizontal="left" vertical="center" wrapText="1"/>
      <protection hidden="1"/>
    </xf>
    <xf numFmtId="2" fontId="182" fillId="0" borderId="0" xfId="0" applyNumberFormat="1" applyFont="1" applyAlignment="1" applyProtection="1">
      <alignment horizontal="left" vertical="center" wrapText="1"/>
      <protection hidden="1"/>
    </xf>
    <xf numFmtId="2" fontId="36" fillId="0" borderId="0" xfId="0" applyNumberFormat="1" applyFont="1" applyAlignment="1" applyProtection="1">
      <alignment horizontal="center" vertical="center" wrapText="1"/>
      <protection hidden="1"/>
    </xf>
    <xf numFmtId="0" fontId="141" fillId="0" borderId="112" xfId="448" applyFont="1" applyBorder="1" applyAlignment="1">
      <alignment wrapText="1"/>
    </xf>
    <xf numFmtId="2" fontId="141" fillId="74" borderId="113" xfId="448" applyNumberFormat="1" applyFont="1" applyFill="1" applyBorder="1" applyAlignment="1">
      <alignment horizontal="center"/>
    </xf>
    <xf numFmtId="2" fontId="141" fillId="0" borderId="136" xfId="448" applyNumberFormat="1" applyFont="1" applyBorder="1" applyAlignment="1">
      <alignment horizontal="center"/>
    </xf>
    <xf numFmtId="0" fontId="141" fillId="0" borderId="112" xfId="448" applyFont="1" applyBorder="1"/>
    <xf numFmtId="0" fontId="141" fillId="0" borderId="113" xfId="448" applyFont="1" applyBorder="1"/>
    <xf numFmtId="2" fontId="197" fillId="0" borderId="0" xfId="0" applyNumberFormat="1" applyFont="1" applyAlignment="1">
      <alignment wrapText="1"/>
    </xf>
    <xf numFmtId="0" fontId="92" fillId="0" borderId="1" xfId="116" applyFont="1" applyBorder="1" applyAlignment="1">
      <alignment horizontal="left" vertical="justify" wrapText="1" indent="1"/>
    </xf>
    <xf numFmtId="3" fontId="182" fillId="0" borderId="9" xfId="0" applyNumberFormat="1" applyFont="1" applyBorder="1" applyAlignment="1" applyProtection="1">
      <alignment vertical="center" wrapText="1"/>
      <protection hidden="1"/>
    </xf>
    <xf numFmtId="49" fontId="182" fillId="0" borderId="0" xfId="0" applyNumberFormat="1" applyFont="1" applyAlignment="1" applyProtection="1">
      <alignment horizontal="center" vertical="center" wrapText="1"/>
      <protection hidden="1"/>
    </xf>
    <xf numFmtId="0" fontId="182" fillId="0" borderId="0" xfId="0" applyFont="1" applyAlignment="1" applyProtection="1">
      <alignment horizontal="center" vertical="center" wrapText="1"/>
      <protection hidden="1"/>
    </xf>
    <xf numFmtId="0" fontId="40" fillId="74" borderId="1" xfId="0" applyFont="1" applyFill="1" applyBorder="1" applyAlignment="1">
      <alignment wrapText="1"/>
    </xf>
    <xf numFmtId="4" fontId="39" fillId="74" borderId="1" xfId="0" applyNumberFormat="1" applyFont="1" applyFill="1" applyBorder="1"/>
    <xf numFmtId="0" fontId="39" fillId="74" borderId="1" xfId="552" applyFont="1" applyFill="1" applyBorder="1" applyAlignment="1">
      <alignment horizontal="left" vertical="center" wrapText="1"/>
    </xf>
    <xf numFmtId="0" fontId="289" fillId="0" borderId="0" xfId="0" applyFont="1" applyAlignment="1">
      <alignment horizontal="center" vertical="center"/>
    </xf>
    <xf numFmtId="4" fontId="146" fillId="0" borderId="0" xfId="506" applyNumberFormat="1" applyFont="1" applyAlignment="1">
      <alignment horizontal="center" vertical="center"/>
    </xf>
    <xf numFmtId="0" fontId="106" fillId="74" borderId="1" xfId="0" applyFont="1" applyFill="1" applyBorder="1" applyAlignment="1">
      <alignment horizontal="left" vertical="center" wrapText="1"/>
    </xf>
    <xf numFmtId="3" fontId="158" fillId="0" borderId="1" xfId="0" applyNumberFormat="1" applyFont="1" applyBorder="1" applyAlignment="1" applyProtection="1">
      <alignment horizontal="center" vertical="center" wrapText="1"/>
      <protection hidden="1"/>
    </xf>
    <xf numFmtId="3" fontId="50" fillId="0" borderId="1" xfId="0" applyNumberFormat="1" applyFont="1" applyBorder="1" applyAlignment="1" applyProtection="1">
      <alignment horizontal="center" vertical="center" wrapText="1"/>
      <protection hidden="1"/>
    </xf>
    <xf numFmtId="3" fontId="158" fillId="0" borderId="1" xfId="0" applyNumberFormat="1" applyFont="1" applyBorder="1" applyAlignment="1" applyProtection="1">
      <alignment horizontal="center" vertical="center" wrapText="1"/>
      <protection locked="0"/>
    </xf>
    <xf numFmtId="3" fontId="156" fillId="0" borderId="1" xfId="0" applyNumberFormat="1" applyFont="1" applyBorder="1" applyAlignment="1" applyProtection="1">
      <alignment horizontal="center" vertical="center" wrapText="1"/>
      <protection locked="0"/>
    </xf>
    <xf numFmtId="3" fontId="210" fillId="0" borderId="1" xfId="0" applyNumberFormat="1" applyFont="1" applyBorder="1" applyAlignment="1" applyProtection="1">
      <alignment horizontal="center" vertical="center" wrapText="1"/>
      <protection locked="0"/>
    </xf>
    <xf numFmtId="0" fontId="43" fillId="0" borderId="0" xfId="0" applyFont="1" applyAlignment="1" applyProtection="1">
      <alignment horizontal="center" vertical="center" wrapText="1"/>
      <protection hidden="1"/>
    </xf>
    <xf numFmtId="0" fontId="96" fillId="0" borderId="5" xfId="0" applyFont="1" applyBorder="1" applyAlignment="1" applyProtection="1">
      <alignment vertical="center"/>
      <protection locked="0"/>
    </xf>
    <xf numFmtId="0" fontId="36" fillId="0" borderId="5" xfId="0" applyFont="1" applyBorder="1" applyAlignment="1" applyProtection="1">
      <alignment horizontal="center" vertical="center" wrapText="1"/>
      <protection hidden="1"/>
    </xf>
    <xf numFmtId="2" fontId="182" fillId="0" borderId="0" xfId="0" applyNumberFormat="1" applyFont="1" applyAlignment="1" applyProtection="1">
      <alignment horizontal="center" vertical="center" wrapText="1"/>
      <protection hidden="1"/>
    </xf>
    <xf numFmtId="4" fontId="196" fillId="0" borderId="0" xfId="0" applyNumberFormat="1" applyFont="1"/>
    <xf numFmtId="3" fontId="210" fillId="0" borderId="9" xfId="0" applyNumberFormat="1" applyFont="1" applyBorder="1" applyAlignment="1" applyProtection="1">
      <alignment vertical="center" wrapText="1"/>
      <protection hidden="1"/>
    </xf>
    <xf numFmtId="4" fontId="182" fillId="0" borderId="0" xfId="0" applyNumberFormat="1" applyFont="1" applyAlignment="1" applyProtection="1">
      <alignment horizontal="center" vertical="center" wrapText="1"/>
      <protection hidden="1"/>
    </xf>
    <xf numFmtId="0" fontId="196" fillId="0" borderId="0" xfId="552" applyFont="1" applyAlignment="1">
      <alignment horizontal="left" vertical="center"/>
    </xf>
    <xf numFmtId="2" fontId="50" fillId="0" borderId="0" xfId="0" applyNumberFormat="1" applyFont="1" applyAlignment="1">
      <alignment horizontal="left"/>
    </xf>
    <xf numFmtId="3" fontId="236" fillId="2" borderId="1" xfId="0" applyNumberFormat="1" applyFont="1" applyFill="1" applyBorder="1" applyAlignment="1" applyProtection="1">
      <alignment horizontal="center" vertical="center" wrapText="1"/>
      <protection locked="0"/>
    </xf>
    <xf numFmtId="3" fontId="158" fillId="2" borderId="1" xfId="0" applyNumberFormat="1" applyFont="1" applyFill="1" applyBorder="1" applyAlignment="1" applyProtection="1">
      <alignment horizontal="center" vertical="center" wrapText="1"/>
      <protection locked="0"/>
    </xf>
    <xf numFmtId="3" fontId="37" fillId="2" borderId="1" xfId="0" applyNumberFormat="1" applyFont="1" applyFill="1" applyBorder="1" applyAlignment="1" applyProtection="1">
      <alignment horizontal="center" vertical="center" wrapText="1"/>
      <protection hidden="1"/>
    </xf>
    <xf numFmtId="0" fontId="40" fillId="2" borderId="1" xfId="0" applyFont="1" applyFill="1" applyBorder="1" applyAlignment="1">
      <alignment vertical="center"/>
    </xf>
    <xf numFmtId="3" fontId="362" fillId="2" borderId="1" xfId="0" applyNumberFormat="1" applyFont="1" applyFill="1" applyBorder="1" applyAlignment="1" applyProtection="1">
      <alignment horizontal="center" vertical="center" wrapText="1"/>
      <protection locked="0"/>
    </xf>
    <xf numFmtId="3" fontId="158" fillId="92" borderId="1" xfId="0" applyNumberFormat="1" applyFont="1" applyFill="1" applyBorder="1" applyAlignment="1" applyProtection="1">
      <alignment horizontal="center" vertical="center" wrapText="1"/>
      <protection locked="0"/>
    </xf>
    <xf numFmtId="179" fontId="102" fillId="0" borderId="0" xfId="0" applyNumberFormat="1" applyFont="1"/>
    <xf numFmtId="0" fontId="37" fillId="0" borderId="9" xfId="240" applyFont="1" applyBorder="1" applyAlignment="1">
      <alignment horizontal="center" vertical="center" wrapText="1"/>
    </xf>
    <xf numFmtId="0" fontId="39" fillId="0" borderId="1" xfId="5" applyFont="1" applyBorder="1" applyAlignment="1">
      <alignment horizontal="right"/>
    </xf>
    <xf numFmtId="4" fontId="39" fillId="0" borderId="1" xfId="5" applyNumberFormat="1" applyFont="1" applyBorder="1" applyAlignment="1">
      <alignment horizontal="right"/>
    </xf>
    <xf numFmtId="184" fontId="39" fillId="0" borderId="1" xfId="558" applyNumberFormat="1" applyFont="1" applyFill="1" applyBorder="1" applyAlignment="1">
      <alignment horizontal="right"/>
    </xf>
    <xf numFmtId="0" fontId="163" fillId="0" borderId="100" xfId="116" applyFont="1" applyBorder="1" applyAlignment="1">
      <alignment wrapText="1"/>
    </xf>
    <xf numFmtId="2" fontId="284" fillId="0" borderId="100" xfId="116" applyNumberFormat="1" applyFont="1" applyBorder="1" applyAlignment="1">
      <alignment horizontal="right" vertical="center"/>
    </xf>
    <xf numFmtId="2" fontId="163" fillId="0" borderId="100" xfId="116" applyNumberFormat="1" applyFont="1" applyBorder="1" applyAlignment="1">
      <alignment horizontal="right" vertical="center"/>
    </xf>
    <xf numFmtId="2" fontId="280" fillId="0" borderId="100" xfId="116" applyNumberFormat="1" applyFont="1" applyBorder="1" applyAlignment="1">
      <alignment horizontal="right" vertical="center"/>
    </xf>
    <xf numFmtId="188" fontId="37" fillId="0" borderId="1" xfId="558" applyNumberFormat="1" applyFont="1" applyFill="1" applyBorder="1" applyAlignment="1" applyProtection="1">
      <alignment horizontal="center" vertical="center" wrapText="1"/>
    </xf>
    <xf numFmtId="4" fontId="37" fillId="32" borderId="1" xfId="240" applyNumberFormat="1" applyFont="1" applyFill="1" applyBorder="1" applyAlignment="1">
      <alignment horizontal="center" vertical="center" wrapText="1"/>
    </xf>
    <xf numFmtId="175" fontId="112" fillId="0" borderId="1" xfId="0" applyNumberFormat="1" applyFont="1" applyBorder="1"/>
    <xf numFmtId="0" fontId="47" fillId="0" borderId="5" xfId="116" applyFont="1" applyBorder="1"/>
    <xf numFmtId="179" fontId="163" fillId="0" borderId="5" xfId="116" applyNumberFormat="1" applyFont="1" applyBorder="1" applyAlignment="1">
      <alignment horizontal="center"/>
    </xf>
    <xf numFmtId="0" fontId="145" fillId="0" borderId="36" xfId="556" applyFont="1" applyBorder="1" applyAlignment="1">
      <alignment vertical="center" wrapText="1"/>
    </xf>
    <xf numFmtId="0" fontId="98" fillId="0" borderId="36" xfId="556" applyFont="1" applyBorder="1" applyAlignment="1">
      <alignment vertical="center" wrapText="1"/>
    </xf>
    <xf numFmtId="188" fontId="98" fillId="0" borderId="36" xfId="558" applyNumberFormat="1" applyFont="1" applyFill="1" applyBorder="1" applyAlignment="1">
      <alignment vertical="center" wrapText="1"/>
    </xf>
    <xf numFmtId="188" fontId="98" fillId="0" borderId="31" xfId="558" applyNumberFormat="1" applyFont="1" applyFill="1" applyBorder="1" applyAlignment="1">
      <alignment vertical="center" wrapText="1"/>
    </xf>
    <xf numFmtId="0" fontId="145" fillId="0" borderId="98" xfId="556" applyFont="1" applyBorder="1" applyAlignment="1">
      <alignment vertical="center" wrapText="1"/>
    </xf>
    <xf numFmtId="0" fontId="0" fillId="0" borderId="36" xfId="0" applyBorder="1" applyAlignment="1">
      <alignment vertical="center" wrapText="1"/>
    </xf>
    <xf numFmtId="188" fontId="0" fillId="0" borderId="36" xfId="558" applyNumberFormat="1" applyFont="1" applyBorder="1" applyAlignment="1">
      <alignment vertical="center" wrapText="1"/>
    </xf>
    <xf numFmtId="188" fontId="0" fillId="0" borderId="31" xfId="558" applyNumberFormat="1" applyFont="1" applyBorder="1" applyAlignment="1">
      <alignment vertical="center" wrapText="1"/>
    </xf>
    <xf numFmtId="4" fontId="206" fillId="31" borderId="0" xfId="556" applyNumberFormat="1" applyFont="1" applyFill="1"/>
    <xf numFmtId="49" fontId="154" fillId="31" borderId="39" xfId="556" applyNumberFormat="1" applyFont="1" applyFill="1" applyBorder="1" applyAlignment="1">
      <alignment horizontal="center" vertical="center"/>
    </xf>
    <xf numFmtId="0" fontId="47" fillId="31" borderId="39" xfId="0" applyFont="1" applyFill="1" applyBorder="1" applyAlignment="1">
      <alignment horizontal="left" vertical="center" wrapText="1" indent="1"/>
    </xf>
    <xf numFmtId="0" fontId="98" fillId="31" borderId="47" xfId="556" applyFont="1" applyFill="1" applyBorder="1" applyAlignment="1">
      <alignment horizontal="center" vertical="center" wrapText="1"/>
    </xf>
    <xf numFmtId="2" fontId="98" fillId="31" borderId="41" xfId="556" applyNumberFormat="1" applyFont="1" applyFill="1" applyBorder="1" applyAlignment="1">
      <alignment horizontal="center" vertical="center" wrapText="1"/>
    </xf>
    <xf numFmtId="2" fontId="98" fillId="31" borderId="79" xfId="556" applyNumberFormat="1" applyFont="1" applyFill="1" applyBorder="1" applyAlignment="1">
      <alignment horizontal="center" vertical="center" wrapText="1"/>
    </xf>
    <xf numFmtId="2" fontId="98" fillId="31" borderId="47" xfId="556" applyNumberFormat="1" applyFont="1" applyFill="1" applyBorder="1" applyAlignment="1">
      <alignment horizontal="center" vertical="center" wrapText="1"/>
    </xf>
    <xf numFmtId="2" fontId="98" fillId="31" borderId="40" xfId="556" applyNumberFormat="1" applyFont="1" applyFill="1" applyBorder="1" applyAlignment="1">
      <alignment horizontal="center" vertical="center" wrapText="1"/>
    </xf>
    <xf numFmtId="2" fontId="206" fillId="31" borderId="0" xfId="556" applyNumberFormat="1" applyFont="1" applyFill="1"/>
    <xf numFmtId="0" fontId="122" fillId="31" borderId="0" xfId="556" applyFont="1" applyFill="1"/>
    <xf numFmtId="0" fontId="206" fillId="31" borderId="0" xfId="556" applyFont="1" applyFill="1"/>
    <xf numFmtId="164" fontId="12" fillId="0" borderId="0" xfId="559" applyFont="1" applyFill="1" applyAlignment="1">
      <alignment vertical="center"/>
    </xf>
    <xf numFmtId="0" fontId="1" fillId="0" borderId="1" xfId="556" applyFont="1" applyBorder="1"/>
    <xf numFmtId="4" fontId="146" fillId="0" borderId="0" xfId="556" applyNumberFormat="1" applyFont="1" applyAlignment="1">
      <alignment vertical="center" wrapText="1"/>
    </xf>
    <xf numFmtId="197" fontId="39" fillId="0" borderId="1" xfId="5" applyNumberFormat="1" applyFont="1" applyBorder="1"/>
    <xf numFmtId="0" fontId="1" fillId="0" borderId="0" xfId="556" applyFont="1"/>
    <xf numFmtId="4" fontId="12" fillId="0" borderId="0" xfId="556" applyNumberFormat="1" applyAlignment="1">
      <alignment horizontal="center" vertical="center"/>
    </xf>
    <xf numFmtId="2" fontId="145" fillId="0" borderId="53" xfId="556" applyNumberFormat="1" applyFont="1" applyBorder="1" applyAlignment="1">
      <alignment horizontal="center" vertical="center" wrapText="1"/>
    </xf>
    <xf numFmtId="2" fontId="145" fillId="0" borderId="73" xfId="556" applyNumberFormat="1" applyFont="1" applyBorder="1" applyAlignment="1">
      <alignment horizontal="center" vertical="center" wrapText="1"/>
    </xf>
    <xf numFmtId="0" fontId="112" fillId="0" borderId="0" xfId="240" applyFont="1"/>
    <xf numFmtId="192" fontId="39" fillId="0" borderId="0" xfId="240" applyNumberFormat="1" applyFont="1"/>
    <xf numFmtId="0" fontId="207" fillId="0" borderId="0" xfId="240" applyFont="1"/>
    <xf numFmtId="49" fontId="39" fillId="0" borderId="0" xfId="240" applyNumberFormat="1" applyFont="1" applyAlignment="1">
      <alignment horizontal="right"/>
    </xf>
    <xf numFmtId="0" fontId="39" fillId="0" borderId="0" xfId="240" applyFont="1" applyAlignment="1">
      <alignment horizontal="right"/>
    </xf>
    <xf numFmtId="192" fontId="39" fillId="0" borderId="0" xfId="240" applyNumberFormat="1" applyFont="1" applyAlignment="1">
      <alignment horizontal="right"/>
    </xf>
    <xf numFmtId="0" fontId="207" fillId="0" borderId="0" xfId="240" applyFont="1" applyAlignment="1">
      <alignment horizontal="right"/>
    </xf>
    <xf numFmtId="192" fontId="25" fillId="0" borderId="0" xfId="240" applyNumberFormat="1"/>
    <xf numFmtId="0" fontId="113" fillId="0" borderId="0" xfId="240" applyFont="1"/>
    <xf numFmtId="49" fontId="37" fillId="0" borderId="8" xfId="240" applyNumberFormat="1" applyFont="1" applyBorder="1" applyAlignment="1">
      <alignment vertical="center" wrapText="1"/>
    </xf>
    <xf numFmtId="0" fontId="37" fillId="0" borderId="41" xfId="240" applyFont="1" applyBorder="1" applyAlignment="1">
      <alignment horizontal="center" vertical="center" wrapText="1"/>
    </xf>
    <xf numFmtId="0" fontId="37" fillId="0" borderId="40" xfId="240" applyFont="1" applyBorder="1" applyAlignment="1">
      <alignment horizontal="center" vertical="center" wrapText="1"/>
    </xf>
    <xf numFmtId="49" fontId="37" fillId="0" borderId="8" xfId="240" applyNumberFormat="1" applyFont="1" applyBorder="1" applyAlignment="1">
      <alignment horizontal="center" vertical="center" wrapText="1"/>
    </xf>
    <xf numFmtId="49" fontId="37" fillId="0" borderId="39" xfId="240" applyNumberFormat="1" applyFont="1" applyBorder="1" applyAlignment="1">
      <alignment horizontal="center" vertical="center" wrapText="1"/>
    </xf>
    <xf numFmtId="49" fontId="37" fillId="0" borderId="40" xfId="240" applyNumberFormat="1" applyFont="1" applyBorder="1" applyAlignment="1">
      <alignment horizontal="center" vertical="center" wrapText="1"/>
    </xf>
    <xf numFmtId="0" fontId="41" fillId="0" borderId="9" xfId="240" applyFont="1" applyBorder="1" applyAlignment="1">
      <alignment horizontal="center" vertical="center" wrapText="1"/>
    </xf>
    <xf numFmtId="192" fontId="230" fillId="0" borderId="0" xfId="240" applyNumberFormat="1" applyFont="1"/>
    <xf numFmtId="49" fontId="37" fillId="0" borderId="8" xfId="240" applyNumberFormat="1" applyFont="1" applyBorder="1" applyAlignment="1">
      <alignment horizontal="right" vertical="center" wrapText="1"/>
    </xf>
    <xf numFmtId="49" fontId="37" fillId="0" borderId="39" xfId="240" applyNumberFormat="1" applyFont="1" applyBorder="1" applyAlignment="1">
      <alignment horizontal="right" vertical="center" wrapText="1"/>
    </xf>
    <xf numFmtId="0" fontId="37" fillId="0" borderId="3" xfId="240" applyFont="1" applyBorder="1" applyAlignment="1">
      <alignment vertical="center" wrapText="1"/>
    </xf>
    <xf numFmtId="0" fontId="111" fillId="0" borderId="0" xfId="5" applyFont="1"/>
    <xf numFmtId="0" fontId="37" fillId="0" borderId="3" xfId="240" applyFont="1" applyBorder="1" applyAlignment="1">
      <alignment horizontal="left" vertical="center" wrapText="1" indent="1"/>
    </xf>
    <xf numFmtId="192" fontId="309" fillId="0" borderId="0" xfId="240" applyNumberFormat="1" applyFont="1"/>
    <xf numFmtId="49" fontId="37" fillId="0" borderId="39" xfId="5" applyNumberFormat="1" applyFont="1" applyBorder="1" applyAlignment="1">
      <alignment horizontal="right" vertical="center" wrapText="1"/>
    </xf>
    <xf numFmtId="0" fontId="37" fillId="0" borderId="79" xfId="5" applyFont="1" applyBorder="1" applyAlignment="1">
      <alignment vertical="center" wrapText="1"/>
    </xf>
    <xf numFmtId="0" fontId="111" fillId="0" borderId="0" xfId="240" applyFont="1" applyProtection="1">
      <protection locked="0"/>
    </xf>
    <xf numFmtId="0" fontId="18" fillId="0" borderId="0" xfId="5" applyFont="1"/>
    <xf numFmtId="0" fontId="31" fillId="0" borderId="0" xfId="5" applyFont="1"/>
    <xf numFmtId="0" fontId="37" fillId="0" borderId="79" xfId="240" applyFont="1" applyBorder="1" applyAlignment="1">
      <alignment vertical="center" wrapText="1"/>
    </xf>
    <xf numFmtId="2" fontId="31" fillId="0" borderId="0" xfId="240" applyNumberFormat="1" applyFont="1"/>
    <xf numFmtId="4" fontId="186" fillId="0" borderId="0" xfId="240" applyNumberFormat="1" applyFont="1"/>
    <xf numFmtId="187" fontId="111" fillId="0" borderId="0" xfId="240" applyNumberFormat="1" applyFont="1"/>
    <xf numFmtId="0" fontId="41" fillId="0" borderId="79" xfId="240" applyFont="1" applyBorder="1" applyAlignment="1">
      <alignment vertical="center" wrapText="1"/>
    </xf>
    <xf numFmtId="4" fontId="25" fillId="0" borderId="0" xfId="240" applyNumberFormat="1"/>
    <xf numFmtId="49" fontId="41" fillId="0" borderId="39" xfId="5" applyNumberFormat="1" applyFont="1" applyBorder="1" applyAlignment="1">
      <alignment horizontal="right" vertical="center" wrapText="1"/>
    </xf>
    <xf numFmtId="0" fontId="41" fillId="0" borderId="3" xfId="240" applyFont="1" applyBorder="1" applyAlignment="1">
      <alignment vertical="center" wrapText="1"/>
    </xf>
    <xf numFmtId="0" fontId="41" fillId="0" borderId="79" xfId="5" applyFont="1" applyBorder="1" applyAlignment="1">
      <alignment vertical="center" wrapText="1"/>
    </xf>
    <xf numFmtId="0" fontId="41" fillId="0" borderId="45" xfId="0" applyFont="1" applyBorder="1" applyAlignment="1">
      <alignment vertical="center" wrapText="1"/>
    </xf>
    <xf numFmtId="0" fontId="41" fillId="0" borderId="80" xfId="240" applyFont="1" applyBorder="1" applyAlignment="1">
      <alignment horizontal="center" vertical="center" wrapText="1"/>
    </xf>
    <xf numFmtId="49" fontId="25" fillId="0" borderId="0" xfId="240" applyNumberFormat="1"/>
    <xf numFmtId="0" fontId="101" fillId="0" borderId="0" xfId="240" applyFont="1" applyAlignment="1" applyProtection="1">
      <alignment horizontal="center" vertical="center"/>
      <protection locked="0"/>
    </xf>
    <xf numFmtId="0" fontId="101" fillId="0" borderId="0" xfId="240" applyFont="1"/>
    <xf numFmtId="0" fontId="101" fillId="0" borderId="0" xfId="0" applyFont="1"/>
    <xf numFmtId="0" fontId="185" fillId="0" borderId="0" xfId="240" applyFont="1"/>
    <xf numFmtId="192" fontId="40" fillId="0" borderId="0" xfId="240" applyNumberFormat="1" applyFont="1"/>
    <xf numFmtId="0" fontId="102" fillId="0" borderId="0" xfId="240" applyFont="1"/>
    <xf numFmtId="0" fontId="189" fillId="0" borderId="0" xfId="0" applyFont="1"/>
    <xf numFmtId="4" fontId="146" fillId="0" borderId="119" xfId="0" applyNumberFormat="1" applyFont="1" applyBorder="1" applyAlignment="1">
      <alignment horizontal="right" vertical="center" wrapText="1"/>
    </xf>
    <xf numFmtId="192" fontId="146" fillId="0" borderId="119" xfId="0" applyNumberFormat="1" applyFont="1" applyBorder="1" applyAlignment="1">
      <alignment horizontal="right" vertical="center" wrapText="1"/>
    </xf>
    <xf numFmtId="2" fontId="195" fillId="0" borderId="0" xfId="0" applyNumberFormat="1" applyFont="1"/>
    <xf numFmtId="177" fontId="145" fillId="0" borderId="39" xfId="556" applyNumberFormat="1" applyFont="1" applyBorder="1" applyAlignment="1">
      <alignment horizontal="center" vertical="center" wrapText="1"/>
    </xf>
    <xf numFmtId="177" fontId="145" fillId="0" borderId="40" xfId="556" applyNumberFormat="1" applyFont="1" applyBorder="1" applyAlignment="1">
      <alignment horizontal="center" vertical="center" wrapText="1"/>
    </xf>
    <xf numFmtId="177" fontId="98" fillId="0" borderId="41" xfId="556" applyNumberFormat="1" applyFont="1" applyBorder="1" applyAlignment="1">
      <alignment horizontal="center" vertical="center" wrapText="1"/>
    </xf>
    <xf numFmtId="177" fontId="98" fillId="0" borderId="78" xfId="556" applyNumberFormat="1" applyFont="1" applyBorder="1" applyAlignment="1">
      <alignment horizontal="center" vertical="center" wrapText="1"/>
    </xf>
    <xf numFmtId="177" fontId="145" fillId="0" borderId="53" xfId="556" applyNumberFormat="1" applyFont="1" applyBorder="1" applyAlignment="1">
      <alignment horizontal="center" vertical="center" wrapText="1"/>
    </xf>
    <xf numFmtId="177" fontId="145" fillId="0" borderId="54" xfId="556" applyNumberFormat="1" applyFont="1" applyBorder="1" applyAlignment="1">
      <alignment horizontal="center" vertical="center" wrapText="1"/>
    </xf>
    <xf numFmtId="4" fontId="122" fillId="0" borderId="0" xfId="556" applyNumberFormat="1" applyFont="1"/>
    <xf numFmtId="2" fontId="363" fillId="0" borderId="0" xfId="556" applyNumberFormat="1" applyFont="1"/>
    <xf numFmtId="0" fontId="141" fillId="0" borderId="44" xfId="556" applyFont="1" applyBorder="1" applyAlignment="1">
      <alignment horizontal="left" vertical="center" wrapText="1"/>
    </xf>
    <xf numFmtId="0" fontId="38" fillId="0" borderId="58" xfId="0" applyFont="1" applyBorder="1" applyAlignment="1">
      <alignment horizontal="center" vertical="center"/>
    </xf>
    <xf numFmtId="0" fontId="38" fillId="0" borderId="64" xfId="0" applyFont="1" applyBorder="1" applyAlignment="1">
      <alignment horizontal="center" vertical="center" wrapText="1"/>
    </xf>
    <xf numFmtId="2" fontId="229" fillId="0" borderId="6" xfId="0" applyNumberFormat="1" applyFont="1" applyBorder="1" applyAlignment="1">
      <alignment horizontal="center" vertical="center"/>
    </xf>
    <xf numFmtId="4" fontId="40" fillId="2" borderId="1" xfId="546" applyNumberFormat="1" applyFont="1" applyFill="1" applyBorder="1" applyAlignment="1">
      <alignment horizontal="right" vertical="top"/>
    </xf>
    <xf numFmtId="0" fontId="98" fillId="2" borderId="1" xfId="0" applyFont="1" applyFill="1" applyBorder="1" applyAlignment="1">
      <alignment horizontal="left" vertical="top" wrapText="1"/>
    </xf>
    <xf numFmtId="3" fontId="364" fillId="88" borderId="1" xfId="0" applyNumberFormat="1" applyFont="1" applyFill="1" applyBorder="1" applyAlignment="1" applyProtection="1">
      <alignment horizontal="center" vertical="center" wrapText="1"/>
      <protection locked="0"/>
    </xf>
    <xf numFmtId="2" fontId="145" fillId="76" borderId="40" xfId="0" applyNumberFormat="1" applyFont="1" applyFill="1" applyBorder="1" applyAlignment="1">
      <alignment horizontal="center" vertical="top" wrapText="1"/>
    </xf>
    <xf numFmtId="2" fontId="145" fillId="76" borderId="1" xfId="0" applyNumberFormat="1" applyFont="1" applyFill="1" applyBorder="1" applyAlignment="1">
      <alignment horizontal="center" vertical="top" wrapText="1"/>
    </xf>
    <xf numFmtId="188" fontId="98" fillId="0" borderId="0" xfId="558" applyNumberFormat="1" applyFont="1" applyFill="1"/>
    <xf numFmtId="49" fontId="365" fillId="0" borderId="0" xfId="0" applyNumberFormat="1" applyFont="1"/>
    <xf numFmtId="0" fontId="365" fillId="0" borderId="0" xfId="0" applyFont="1"/>
    <xf numFmtId="2" fontId="365" fillId="0" borderId="0" xfId="0" applyNumberFormat="1" applyFont="1"/>
    <xf numFmtId="4" fontId="366" fillId="0" borderId="0" xfId="0" applyNumberFormat="1" applyFont="1"/>
    <xf numFmtId="4" fontId="365" fillId="0" borderId="0" xfId="0" applyNumberFormat="1" applyFont="1"/>
    <xf numFmtId="0" fontId="367" fillId="0" borderId="0" xfId="0" applyFont="1"/>
    <xf numFmtId="9" fontId="145" fillId="0" borderId="1" xfId="558" applyFont="1" applyFill="1" applyBorder="1" applyAlignment="1">
      <alignment horizontal="center" vertical="top" wrapText="1"/>
    </xf>
    <xf numFmtId="0" fontId="39" fillId="0" borderId="0" xfId="0" applyFont="1" applyAlignment="1">
      <alignment horizontal="left" vertical="top" wrapText="1"/>
    </xf>
    <xf numFmtId="0" fontId="100" fillId="0" borderId="0" xfId="6" applyFont="1" applyAlignment="1">
      <alignment horizontal="center" vertical="center" wrapText="1"/>
    </xf>
    <xf numFmtId="0" fontId="1" fillId="0" borderId="1" xfId="6" applyFont="1" applyBorder="1" applyAlignment="1">
      <alignment horizontal="center" vertical="center" wrapText="1"/>
    </xf>
    <xf numFmtId="0" fontId="111" fillId="0" borderId="1" xfId="6" applyFont="1" applyBorder="1" applyAlignment="1">
      <alignment horizontal="center" vertical="center" wrapText="1"/>
    </xf>
    <xf numFmtId="0" fontId="40" fillId="0" borderId="0" xfId="0" applyFont="1" applyAlignment="1">
      <alignment horizontal="left" wrapText="1"/>
    </xf>
    <xf numFmtId="0" fontId="0" fillId="2" borderId="1" xfId="0" applyFill="1" applyBorder="1" applyAlignment="1">
      <alignment horizontal="center" vertical="center"/>
    </xf>
    <xf numFmtId="2" fontId="38" fillId="86" borderId="1" xfId="0" applyNumberFormat="1" applyFont="1" applyFill="1" applyBorder="1"/>
    <xf numFmtId="10" fontId="38" fillId="0" borderId="39" xfId="558" applyNumberFormat="1" applyFont="1" applyBorder="1"/>
    <xf numFmtId="2" fontId="40" fillId="0" borderId="0" xfId="0" applyNumberFormat="1" applyFont="1" applyAlignment="1">
      <alignment horizontal="left"/>
    </xf>
    <xf numFmtId="4" fontId="38" fillId="0" borderId="1" xfId="558" applyNumberFormat="1" applyFont="1" applyBorder="1"/>
    <xf numFmtId="4" fontId="92" fillId="0" borderId="1" xfId="0" applyNumberFormat="1" applyFont="1" applyBorder="1"/>
    <xf numFmtId="0" fontId="363" fillId="0" borderId="0" xfId="556" applyFont="1"/>
    <xf numFmtId="49" fontId="334" fillId="0" borderId="0" xfId="556" applyNumberFormat="1" applyFont="1" applyAlignment="1">
      <alignment horizontal="center" vertical="center"/>
    </xf>
    <xf numFmtId="4" fontId="363" fillId="0" borderId="0" xfId="556" applyNumberFormat="1" applyFont="1"/>
    <xf numFmtId="0" fontId="368" fillId="0" borderId="0" xfId="556" applyFont="1"/>
    <xf numFmtId="49" fontId="265" fillId="0" borderId="0" xfId="556" applyNumberFormat="1" applyFont="1" applyAlignment="1">
      <alignment horizontal="center" vertical="center"/>
    </xf>
    <xf numFmtId="2" fontId="368" fillId="0" borderId="0" xfId="556" applyNumberFormat="1" applyFont="1"/>
    <xf numFmtId="4" fontId="368" fillId="0" borderId="0" xfId="556" applyNumberFormat="1" applyFont="1"/>
    <xf numFmtId="0" fontId="369" fillId="0" borderId="0" xfId="556" applyFont="1" applyAlignment="1">
      <alignment vertical="center" wrapText="1"/>
    </xf>
    <xf numFmtId="4" fontId="369" fillId="0" borderId="0" xfId="556" applyNumberFormat="1" applyFont="1" applyAlignment="1">
      <alignment vertical="center" wrapText="1"/>
    </xf>
    <xf numFmtId="180" fontId="369" fillId="0" borderId="0" xfId="556" applyNumberFormat="1" applyFont="1" applyAlignment="1">
      <alignment vertical="center" wrapText="1"/>
    </xf>
    <xf numFmtId="0" fontId="333" fillId="0" borderId="0" xfId="556" applyFont="1" applyAlignment="1">
      <alignment horizontal="center" vertical="center" wrapText="1"/>
    </xf>
    <xf numFmtId="0" fontId="47" fillId="0" borderId="0" xfId="556" applyFont="1" applyAlignment="1">
      <alignment horizontal="center" vertical="top" wrapText="1"/>
    </xf>
    <xf numFmtId="0" fontId="98" fillId="0" borderId="5" xfId="556" applyFont="1" applyBorder="1" applyAlignment="1">
      <alignment horizontal="center" vertical="center" wrapText="1"/>
    </xf>
    <xf numFmtId="0" fontId="370" fillId="0" borderId="0" xfId="556" applyFont="1"/>
    <xf numFmtId="2" fontId="370" fillId="0" borderId="0" xfId="556" applyNumberFormat="1" applyFont="1"/>
    <xf numFmtId="2" fontId="38" fillId="86" borderId="39" xfId="0" applyNumberFormat="1" applyFont="1" applyFill="1" applyBorder="1"/>
    <xf numFmtId="179" fontId="1" fillId="0" borderId="0" xfId="6" applyNumberFormat="1" applyFont="1" applyAlignment="1">
      <alignment horizontal="center" vertical="center" wrapText="1"/>
    </xf>
    <xf numFmtId="177" fontId="1" fillId="0" borderId="0" xfId="6" applyNumberFormat="1" applyFont="1" applyAlignment="1">
      <alignment horizontal="center" vertical="center" wrapText="1"/>
    </xf>
    <xf numFmtId="0" fontId="38" fillId="0" borderId="60" xfId="6" applyFont="1" applyBorder="1" applyAlignment="1">
      <alignment horizontal="center" vertical="center" wrapText="1"/>
    </xf>
    <xf numFmtId="0" fontId="38" fillId="0" borderId="61" xfId="6" applyFont="1" applyBorder="1" applyAlignment="1">
      <alignment horizontal="center" vertical="center" wrapText="1"/>
    </xf>
    <xf numFmtId="0" fontId="38" fillId="0" borderId="62" xfId="6" applyFont="1" applyBorder="1" applyAlignment="1">
      <alignment horizontal="center" vertical="center" wrapText="1"/>
    </xf>
    <xf numFmtId="0" fontId="38" fillId="0" borderId="57" xfId="6" applyFont="1" applyBorder="1" applyAlignment="1">
      <alignment horizontal="left" vertical="center" wrapText="1"/>
    </xf>
    <xf numFmtId="2" fontId="170" fillId="0" borderId="58" xfId="6" applyNumberFormat="1" applyFont="1" applyBorder="1" applyAlignment="1">
      <alignment horizontal="center" vertical="center" wrapText="1"/>
    </xf>
    <xf numFmtId="2" fontId="170" fillId="0" borderId="1" xfId="6" applyNumberFormat="1" applyFont="1" applyBorder="1" applyAlignment="1">
      <alignment horizontal="center" vertical="center" wrapText="1"/>
    </xf>
    <xf numFmtId="2" fontId="170" fillId="0" borderId="58" xfId="6" applyNumberFormat="1" applyFont="1" applyBorder="1" applyAlignment="1">
      <alignment horizontal="right" vertical="center" wrapText="1"/>
    </xf>
    <xf numFmtId="1" fontId="170" fillId="0" borderId="58" xfId="6" applyNumberFormat="1" applyFont="1" applyBorder="1" applyAlignment="1">
      <alignment horizontal="center" vertical="center" wrapText="1"/>
    </xf>
    <xf numFmtId="179" fontId="170" fillId="0" borderId="58" xfId="6" applyNumberFormat="1" applyFont="1" applyBorder="1" applyAlignment="1">
      <alignment horizontal="center" vertical="center" wrapText="1"/>
    </xf>
    <xf numFmtId="181" fontId="170" fillId="0" borderId="58" xfId="6" applyNumberFormat="1" applyFont="1" applyBorder="1" applyAlignment="1">
      <alignment horizontal="center" vertical="center" wrapText="1"/>
    </xf>
    <xf numFmtId="2" fontId="170" fillId="0" borderId="59" xfId="6" applyNumberFormat="1" applyFont="1" applyBorder="1" applyAlignment="1">
      <alignment horizontal="center" vertical="center" wrapText="1"/>
    </xf>
    <xf numFmtId="181" fontId="170" fillId="0" borderId="1" xfId="6" applyNumberFormat="1" applyFont="1" applyBorder="1" applyAlignment="1">
      <alignment horizontal="center" vertical="center" wrapText="1"/>
    </xf>
    <xf numFmtId="2" fontId="170" fillId="0" borderId="1" xfId="6" applyNumberFormat="1" applyFont="1" applyBorder="1" applyAlignment="1">
      <alignment horizontal="right" vertical="center" wrapText="1"/>
    </xf>
    <xf numFmtId="1" fontId="170" fillId="0" borderId="1" xfId="6" applyNumberFormat="1" applyFont="1" applyBorder="1" applyAlignment="1">
      <alignment horizontal="center" vertical="center" wrapText="1"/>
    </xf>
    <xf numFmtId="177" fontId="170" fillId="0" borderId="1" xfId="6" applyNumberFormat="1" applyFont="1" applyBorder="1" applyAlignment="1">
      <alignment horizontal="center" vertical="center" wrapText="1"/>
    </xf>
    <xf numFmtId="2" fontId="170" fillId="0" borderId="40" xfId="6" applyNumberFormat="1" applyFont="1" applyBorder="1" applyAlignment="1">
      <alignment horizontal="center" vertical="center" wrapText="1"/>
    </xf>
    <xf numFmtId="0" fontId="38" fillId="0" borderId="44" xfId="6" applyFont="1" applyBorder="1" applyAlignment="1">
      <alignment horizontal="left" vertical="center" wrapText="1"/>
    </xf>
    <xf numFmtId="1" fontId="170" fillId="0" borderId="45" xfId="6" applyNumberFormat="1" applyFont="1" applyBorder="1" applyAlignment="1">
      <alignment horizontal="center" vertical="center" wrapText="1"/>
    </xf>
    <xf numFmtId="2" fontId="170" fillId="0" borderId="45" xfId="6" applyNumberFormat="1" applyFont="1" applyBorder="1" applyAlignment="1">
      <alignment horizontal="center" vertical="center" wrapText="1"/>
    </xf>
    <xf numFmtId="2" fontId="170" fillId="0" borderId="46" xfId="6" applyNumberFormat="1" applyFont="1" applyBorder="1" applyAlignment="1">
      <alignment horizontal="center" vertical="center" wrapText="1"/>
    </xf>
    <xf numFmtId="170" fontId="170" fillId="0" borderId="58" xfId="6" applyNumberFormat="1" applyFont="1" applyBorder="1" applyAlignment="1">
      <alignment horizontal="center" vertical="center" wrapText="1"/>
    </xf>
    <xf numFmtId="170" fontId="170" fillId="0" borderId="1" xfId="6" applyNumberFormat="1" applyFont="1" applyBorder="1" applyAlignment="1">
      <alignment horizontal="center" vertical="center" wrapText="1"/>
    </xf>
    <xf numFmtId="170" fontId="170" fillId="0" borderId="45" xfId="6" applyNumberFormat="1" applyFont="1" applyBorder="1" applyAlignment="1">
      <alignment horizontal="center" vertical="center" wrapText="1"/>
    </xf>
    <xf numFmtId="2" fontId="170" fillId="0" borderId="49" xfId="6" applyNumberFormat="1" applyFont="1" applyBorder="1" applyAlignment="1">
      <alignment horizontal="center" vertical="center" wrapText="1"/>
    </xf>
    <xf numFmtId="2" fontId="170" fillId="0" borderId="3" xfId="6" applyNumberFormat="1" applyFont="1" applyBorder="1" applyAlignment="1">
      <alignment horizontal="center" vertical="center" wrapText="1"/>
    </xf>
    <xf numFmtId="0" fontId="43" fillId="0" borderId="57" xfId="6" applyFont="1" applyBorder="1" applyAlignment="1">
      <alignment horizontal="left" vertical="center" wrapText="1"/>
    </xf>
    <xf numFmtId="2" fontId="147" fillId="0" borderId="58" xfId="6" applyNumberFormat="1" applyFont="1" applyBorder="1" applyAlignment="1">
      <alignment horizontal="center" vertical="center" wrapText="1"/>
    </xf>
    <xf numFmtId="170" fontId="147" fillId="0" borderId="58" xfId="6" applyNumberFormat="1" applyFont="1" applyBorder="1" applyAlignment="1">
      <alignment horizontal="center" vertical="center" wrapText="1"/>
    </xf>
    <xf numFmtId="2" fontId="147" fillId="0" borderId="59" xfId="6" applyNumberFormat="1" applyFont="1" applyBorder="1" applyAlignment="1">
      <alignment horizontal="center" vertical="center" wrapText="1"/>
    </xf>
    <xf numFmtId="0" fontId="38" fillId="0" borderId="42" xfId="6" applyFont="1" applyBorder="1" applyAlignment="1">
      <alignment horizontal="left" vertical="center" wrapText="1"/>
    </xf>
    <xf numFmtId="2" fontId="170" fillId="0" borderId="43" xfId="6" applyNumberFormat="1" applyFont="1" applyBorder="1" applyAlignment="1">
      <alignment horizontal="center" vertical="center" wrapText="1"/>
    </xf>
    <xf numFmtId="0" fontId="38" fillId="0" borderId="41" xfId="6" applyFont="1" applyBorder="1" applyAlignment="1">
      <alignment horizontal="left" vertical="center" wrapText="1"/>
    </xf>
    <xf numFmtId="2" fontId="170" fillId="0" borderId="79" xfId="6" applyNumberFormat="1" applyFont="1" applyBorder="1" applyAlignment="1">
      <alignment horizontal="center" vertical="center" wrapText="1"/>
    </xf>
    <xf numFmtId="2" fontId="170" fillId="0" borderId="47" xfId="6" applyNumberFormat="1" applyFont="1" applyBorder="1" applyAlignment="1">
      <alignment horizontal="center" vertical="center" wrapText="1"/>
    </xf>
    <xf numFmtId="177" fontId="170" fillId="0" borderId="45" xfId="6" applyNumberFormat="1" applyFont="1" applyBorder="1" applyAlignment="1">
      <alignment horizontal="center" vertical="center" wrapText="1"/>
    </xf>
    <xf numFmtId="175" fontId="170" fillId="0" borderId="45" xfId="6" applyNumberFormat="1" applyFont="1" applyBorder="1" applyAlignment="1">
      <alignment horizontal="center" vertical="center" wrapText="1"/>
    </xf>
    <xf numFmtId="180" fontId="45" fillId="0" borderId="73" xfId="240" applyNumberFormat="1" applyFont="1" applyBorder="1" applyAlignment="1">
      <alignment horizontal="center" vertical="center" wrapText="1"/>
    </xf>
    <xf numFmtId="180" fontId="44" fillId="0" borderId="73" xfId="240" applyNumberFormat="1" applyFont="1" applyBorder="1" applyAlignment="1">
      <alignment horizontal="center" vertical="center" wrapText="1"/>
    </xf>
    <xf numFmtId="180" fontId="44" fillId="0" borderId="73" xfId="240" applyNumberFormat="1" applyFont="1" applyBorder="1" applyAlignment="1" applyProtection="1">
      <alignment horizontal="center" vertical="center" wrapText="1"/>
      <protection locked="0"/>
    </xf>
    <xf numFmtId="180" fontId="45" fillId="0" borderId="73" xfId="240" applyNumberFormat="1" applyFont="1" applyBorder="1" applyAlignment="1" applyProtection="1">
      <alignment horizontal="center" vertical="center" wrapText="1"/>
      <protection locked="0"/>
    </xf>
    <xf numFmtId="4" fontId="44" fillId="0" borderId="73" xfId="240" applyNumberFormat="1" applyFont="1" applyBorder="1" applyAlignment="1">
      <alignment horizontal="center" vertical="center" wrapText="1"/>
    </xf>
    <xf numFmtId="180" fontId="45" fillId="0" borderId="38" xfId="240" applyNumberFormat="1" applyFont="1" applyBorder="1" applyAlignment="1">
      <alignment horizontal="center" vertical="center" wrapText="1"/>
    </xf>
    <xf numFmtId="4" fontId="45" fillId="0" borderId="73" xfId="240" applyNumberFormat="1" applyFont="1" applyBorder="1" applyAlignment="1">
      <alignment horizontal="center" vertical="center" wrapText="1"/>
    </xf>
    <xf numFmtId="180" fontId="44" fillId="0" borderId="1" xfId="240" applyNumberFormat="1" applyFont="1" applyBorder="1" applyAlignment="1">
      <alignment horizontal="center" vertical="center" wrapText="1"/>
    </xf>
    <xf numFmtId="4" fontId="44" fillId="0" borderId="73" xfId="240" applyNumberFormat="1" applyFont="1" applyBorder="1" applyAlignment="1" applyProtection="1">
      <alignment horizontal="center" vertical="center" wrapText="1"/>
      <protection locked="0"/>
    </xf>
    <xf numFmtId="179" fontId="98" fillId="0" borderId="79" xfId="556" applyNumberFormat="1" applyFont="1" applyBorder="1" applyAlignment="1">
      <alignment horizontal="center" vertical="center" wrapText="1"/>
    </xf>
    <xf numFmtId="197" fontId="1" fillId="0" borderId="0" xfId="240" applyNumberFormat="1" applyFont="1"/>
    <xf numFmtId="183" fontId="44" fillId="0" borderId="73" xfId="240" applyNumberFormat="1" applyFont="1" applyBorder="1" applyAlignment="1">
      <alignment horizontal="center" vertical="center" wrapText="1"/>
    </xf>
    <xf numFmtId="4" fontId="354" fillId="0" borderId="0" xfId="0" applyNumberFormat="1" applyFont="1"/>
    <xf numFmtId="177" fontId="219" fillId="0" borderId="45" xfId="0" applyNumberFormat="1" applyFont="1" applyBorder="1"/>
    <xf numFmtId="177" fontId="92" fillId="0" borderId="73" xfId="0" applyNumberFormat="1" applyFont="1" applyBorder="1"/>
    <xf numFmtId="177" fontId="219" fillId="0" borderId="46" xfId="0" applyNumberFormat="1" applyFont="1" applyBorder="1"/>
    <xf numFmtId="0" fontId="38" fillId="35" borderId="8" xfId="0" applyFont="1" applyFill="1" applyBorder="1" applyAlignment="1">
      <alignment horizontal="center" vertical="center" wrapText="1"/>
    </xf>
    <xf numFmtId="181" fontId="38" fillId="0" borderId="8" xfId="0" applyNumberFormat="1" applyFont="1" applyBorder="1"/>
    <xf numFmtId="0" fontId="38" fillId="78" borderId="40" xfId="0" applyFont="1" applyFill="1" applyBorder="1" applyAlignment="1">
      <alignment horizontal="center" vertical="center" wrapText="1"/>
    </xf>
    <xf numFmtId="188" fontId="38" fillId="0" borderId="39" xfId="558" applyNumberFormat="1" applyFont="1" applyBorder="1"/>
    <xf numFmtId="2" fontId="0" fillId="2" borderId="0" xfId="0" applyNumberFormat="1" applyFill="1"/>
    <xf numFmtId="2" fontId="12" fillId="0" borderId="0" xfId="556" applyNumberFormat="1" applyAlignment="1">
      <alignment vertical="center"/>
    </xf>
    <xf numFmtId="4" fontId="0" fillId="0" borderId="57" xfId="0" applyNumberFormat="1" applyBorder="1"/>
    <xf numFmtId="2" fontId="0" fillId="0" borderId="58" xfId="0" applyNumberFormat="1" applyBorder="1"/>
    <xf numFmtId="2" fontId="0" fillId="0" borderId="59" xfId="0" applyNumberFormat="1" applyBorder="1"/>
    <xf numFmtId="4" fontId="0" fillId="0" borderId="39" xfId="0" applyNumberFormat="1" applyBorder="1"/>
    <xf numFmtId="4" fontId="0" fillId="0" borderId="44" xfId="0" applyNumberFormat="1" applyBorder="1"/>
    <xf numFmtId="2" fontId="0" fillId="0" borderId="45" xfId="0" applyNumberFormat="1" applyBorder="1"/>
    <xf numFmtId="2" fontId="0" fillId="0" borderId="46" xfId="0" applyNumberFormat="1" applyBorder="1"/>
    <xf numFmtId="0" fontId="91" fillId="0" borderId="6" xfId="0" applyFont="1" applyBorder="1" applyAlignment="1">
      <alignment horizontal="center" vertical="center"/>
    </xf>
    <xf numFmtId="0" fontId="191" fillId="0" borderId="31" xfId="0" applyFont="1" applyBorder="1" applyAlignment="1">
      <alignment horizontal="center" wrapText="1"/>
    </xf>
    <xf numFmtId="0" fontId="91" fillId="0" borderId="36" xfId="0" applyFont="1" applyBorder="1" applyAlignment="1">
      <alignment horizontal="center" vertical="center"/>
    </xf>
    <xf numFmtId="2" fontId="193" fillId="0" borderId="6" xfId="0" applyNumberFormat="1" applyFont="1" applyBorder="1" applyAlignment="1">
      <alignment horizontal="center" vertical="center"/>
    </xf>
    <xf numFmtId="0" fontId="225" fillId="0" borderId="0" xfId="0" applyFont="1"/>
    <xf numFmtId="0" fontId="229" fillId="0" borderId="87" xfId="0" applyFont="1" applyBorder="1" applyAlignment="1">
      <alignment horizontal="center" vertical="center" wrapText="1"/>
    </xf>
    <xf numFmtId="177" fontId="48" fillId="0" borderId="67" xfId="0" applyNumberFormat="1" applyFont="1" applyBorder="1" applyAlignment="1">
      <alignment horizontal="center"/>
    </xf>
    <xf numFmtId="177" fontId="48" fillId="0" borderId="77" xfId="0" applyNumberFormat="1" applyFont="1" applyBorder="1" applyAlignment="1">
      <alignment horizontal="center" vertical="center"/>
    </xf>
    <xf numFmtId="177" fontId="48" fillId="0" borderId="71" xfId="0" applyNumberFormat="1" applyFont="1" applyBorder="1" applyAlignment="1">
      <alignment horizontal="center"/>
    </xf>
    <xf numFmtId="0" fontId="39" fillId="0" borderId="68" xfId="0" applyFont="1" applyBorder="1" applyAlignment="1">
      <alignment horizontal="center" vertical="center"/>
    </xf>
    <xf numFmtId="181" fontId="39" fillId="0" borderId="80" xfId="0" applyNumberFormat="1" applyFont="1" applyBorder="1" applyAlignment="1">
      <alignment horizontal="center" vertical="center"/>
    </xf>
    <xf numFmtId="181" fontId="39" fillId="0" borderId="68" xfId="0" applyNumberFormat="1" applyFont="1" applyBorder="1" applyAlignment="1">
      <alignment horizontal="center" vertical="center"/>
    </xf>
    <xf numFmtId="0" fontId="229" fillId="0" borderId="6" xfId="0" applyFont="1" applyBorder="1" applyAlignment="1">
      <alignment horizontal="center" vertical="center" wrapText="1"/>
    </xf>
    <xf numFmtId="0" fontId="39" fillId="0" borderId="68" xfId="0" applyFont="1" applyBorder="1" applyAlignment="1">
      <alignment wrapText="1"/>
    </xf>
    <xf numFmtId="0" fontId="229" fillId="0" borderId="87" xfId="0" applyFont="1" applyBorder="1" applyAlignment="1">
      <alignment vertical="center" wrapText="1"/>
    </xf>
    <xf numFmtId="170" fontId="207" fillId="0" borderId="0" xfId="0" applyNumberFormat="1" applyFont="1"/>
    <xf numFmtId="0" fontId="38" fillId="0" borderId="67" xfId="0" applyFont="1" applyBorder="1" applyAlignment="1">
      <alignment wrapText="1"/>
    </xf>
    <xf numFmtId="49" fontId="37" fillId="0" borderId="8" xfId="556" applyNumberFormat="1" applyFont="1" applyBorder="1" applyAlignment="1">
      <alignment horizontal="center" vertical="center"/>
    </xf>
    <xf numFmtId="0" fontId="272" fillId="0" borderId="7" xfId="0" applyFont="1" applyBorder="1" applyAlignment="1">
      <alignment horizontal="center" vertical="center" wrapText="1"/>
    </xf>
    <xf numFmtId="4" fontId="98" fillId="0" borderId="1" xfId="0" applyNumberFormat="1" applyFont="1" applyBorder="1" applyAlignment="1">
      <alignment horizontal="center"/>
    </xf>
    <xf numFmtId="177" fontId="106" fillId="0" borderId="0" xfId="0" applyNumberFormat="1" applyFont="1"/>
    <xf numFmtId="175" fontId="38" fillId="0" borderId="0" xfId="240" applyNumberFormat="1" applyFont="1" applyProtection="1">
      <protection locked="0"/>
    </xf>
    <xf numFmtId="0" fontId="38" fillId="0" borderId="8" xfId="240" applyFont="1" applyBorder="1" applyAlignment="1">
      <alignment vertical="center" wrapText="1"/>
    </xf>
    <xf numFmtId="0" fontId="38" fillId="0" borderId="9" xfId="240" applyFont="1" applyBorder="1" applyAlignment="1">
      <alignment vertical="center" wrapText="1"/>
    </xf>
    <xf numFmtId="175" fontId="43" fillId="0" borderId="0" xfId="240" applyNumberFormat="1" applyFont="1" applyProtection="1">
      <protection locked="0"/>
    </xf>
    <xf numFmtId="4" fontId="218" fillId="0" borderId="0" xfId="240" applyNumberFormat="1" applyFont="1" applyProtection="1">
      <protection locked="0"/>
    </xf>
    <xf numFmtId="0" fontId="42" fillId="0" borderId="1" xfId="240" applyFont="1" applyBorder="1" applyAlignment="1">
      <alignment vertical="top" wrapText="1"/>
    </xf>
    <xf numFmtId="0" fontId="276" fillId="0" borderId="1" xfId="240" applyFont="1" applyBorder="1" applyAlignment="1">
      <alignment vertical="top" wrapText="1"/>
    </xf>
    <xf numFmtId="0" fontId="36" fillId="0" borderId="0" xfId="240" applyFont="1" applyAlignment="1">
      <alignment vertical="center"/>
    </xf>
    <xf numFmtId="10" fontId="37" fillId="0" borderId="1" xfId="558" applyNumberFormat="1" applyFont="1" applyFill="1" applyBorder="1" applyAlignment="1" applyProtection="1">
      <alignment horizontal="center" vertical="center" wrapText="1"/>
    </xf>
    <xf numFmtId="49" fontId="43" fillId="0" borderId="1" xfId="240" applyNumberFormat="1" applyFont="1" applyBorder="1" applyAlignment="1">
      <alignment horizontal="right" vertical="center" wrapText="1"/>
    </xf>
    <xf numFmtId="4" fontId="43" fillId="0" borderId="1" xfId="240" applyNumberFormat="1" applyFont="1" applyBorder="1" applyAlignment="1" applyProtection="1">
      <alignment horizontal="center" vertical="center" wrapText="1"/>
      <protection locked="0"/>
    </xf>
    <xf numFmtId="2" fontId="43" fillId="0" borderId="1" xfId="240" applyNumberFormat="1" applyFont="1" applyBorder="1" applyAlignment="1" applyProtection="1">
      <alignment horizontal="center" vertical="center" wrapText="1"/>
      <protection locked="0"/>
    </xf>
    <xf numFmtId="175" fontId="186" fillId="0" borderId="0" xfId="240" applyNumberFormat="1" applyFont="1"/>
    <xf numFmtId="175" fontId="111" fillId="0" borderId="0" xfId="240" applyNumberFormat="1" applyFont="1"/>
    <xf numFmtId="0" fontId="212" fillId="0" borderId="0" xfId="240" applyFont="1"/>
    <xf numFmtId="176" fontId="186" fillId="0" borderId="0" xfId="240" applyNumberFormat="1" applyFont="1"/>
    <xf numFmtId="2" fontId="43" fillId="0" borderId="1" xfId="240" applyNumberFormat="1" applyFont="1" applyBorder="1" applyAlignment="1">
      <alignment horizontal="center" vertical="center" wrapText="1"/>
    </xf>
    <xf numFmtId="0" fontId="38" fillId="0" borderId="1" xfId="240" applyFont="1" applyBorder="1" applyAlignment="1" applyProtection="1">
      <alignment horizontal="center" vertical="center" wrapText="1"/>
      <protection locked="0"/>
    </xf>
    <xf numFmtId="49" fontId="38" fillId="0" borderId="9" xfId="240" applyNumberFormat="1" applyFont="1" applyBorder="1" applyAlignment="1">
      <alignment horizontal="right" vertical="center" wrapText="1"/>
    </xf>
    <xf numFmtId="0" fontId="37" fillId="0" borderId="0" xfId="240" applyFont="1" applyAlignment="1" applyProtection="1">
      <alignment horizontal="center" vertical="center" wrapText="1"/>
      <protection locked="0"/>
    </xf>
    <xf numFmtId="0" fontId="188" fillId="0" borderId="0" xfId="240" applyFont="1"/>
    <xf numFmtId="49" fontId="36" fillId="0" borderId="0" xfId="240" applyNumberFormat="1" applyFont="1"/>
    <xf numFmtId="0" fontId="36" fillId="0" borderId="0" xfId="240" applyFont="1" applyAlignment="1">
      <alignment horizontal="center" vertical="top" wrapText="1"/>
    </xf>
    <xf numFmtId="2" fontId="25" fillId="0" borderId="0" xfId="240" applyNumberFormat="1"/>
    <xf numFmtId="0" fontId="13" fillId="0" borderId="0" xfId="240" applyFont="1"/>
    <xf numFmtId="2" fontId="25" fillId="0" borderId="0" xfId="240" applyNumberFormat="1" applyAlignment="1">
      <alignment horizontal="center"/>
    </xf>
    <xf numFmtId="0" fontId="16" fillId="0" borderId="0" xfId="240" applyFont="1"/>
    <xf numFmtId="10" fontId="25" fillId="0" borderId="0" xfId="240" applyNumberFormat="1"/>
    <xf numFmtId="0" fontId="38" fillId="0" borderId="0" xfId="240" applyFont="1" applyAlignment="1">
      <alignment horizontal="center" vertical="top" wrapText="1"/>
    </xf>
    <xf numFmtId="0" fontId="25" fillId="0" borderId="0" xfId="240" applyAlignment="1">
      <alignment horizontal="center" vertical="center"/>
    </xf>
    <xf numFmtId="177" fontId="31" fillId="0" borderId="0" xfId="240" applyNumberFormat="1" applyFont="1"/>
    <xf numFmtId="4" fontId="113" fillId="0" borderId="0" xfId="240" applyNumberFormat="1" applyFont="1"/>
    <xf numFmtId="4" fontId="167" fillId="0" borderId="114" xfId="116" applyNumberFormat="1" applyFont="1" applyBorder="1"/>
    <xf numFmtId="0" fontId="307" fillId="0" borderId="102" xfId="116" applyFont="1" applyBorder="1" applyAlignment="1">
      <alignment horizontal="left" vertical="justify" wrapText="1" indent="1"/>
    </xf>
    <xf numFmtId="0" fontId="167" fillId="0" borderId="26" xfId="116" applyFont="1" applyBorder="1" applyAlignment="1">
      <alignment horizontal="center" vertical="center" wrapText="1"/>
    </xf>
    <xf numFmtId="0" fontId="281" fillId="0" borderId="23" xfId="116" applyFont="1" applyBorder="1" applyAlignment="1">
      <alignment horizontal="center" vertical="center" wrapText="1"/>
    </xf>
    <xf numFmtId="0" fontId="283" fillId="0" borderId="23" xfId="116" applyFont="1" applyBorder="1" applyAlignment="1">
      <alignment horizontal="center" vertical="center" wrapText="1"/>
    </xf>
    <xf numFmtId="0" fontId="169" fillId="0" borderId="31" xfId="116" applyFont="1" applyBorder="1" applyAlignment="1">
      <alignment horizontal="center" vertical="center" wrapText="1"/>
    </xf>
    <xf numFmtId="0" fontId="145" fillId="0" borderId="29" xfId="116" applyFont="1" applyBorder="1" applyAlignment="1">
      <alignment horizontal="center" vertical="center" wrapText="1"/>
    </xf>
    <xf numFmtId="0" fontId="145" fillId="0" borderId="23" xfId="116" applyFont="1" applyBorder="1" applyAlignment="1">
      <alignment horizontal="center" vertical="center" wrapText="1"/>
    </xf>
    <xf numFmtId="0" fontId="163" fillId="0" borderId="30" xfId="116" applyFont="1" applyBorder="1"/>
    <xf numFmtId="188" fontId="281" fillId="0" borderId="31" xfId="558" applyNumberFormat="1" applyFont="1" applyFill="1" applyBorder="1" applyAlignment="1">
      <alignment horizontal="center" vertical="center" wrapText="1"/>
    </xf>
    <xf numFmtId="188" fontId="283" fillId="0" borderId="6" xfId="558" applyNumberFormat="1" applyFont="1" applyFill="1" applyBorder="1" applyAlignment="1">
      <alignment horizontal="center" vertical="center" wrapText="1"/>
    </xf>
    <xf numFmtId="188" fontId="168" fillId="0" borderId="6" xfId="558" applyNumberFormat="1" applyFont="1" applyFill="1" applyBorder="1" applyAlignment="1">
      <alignment horizontal="center" vertical="center" wrapText="1"/>
    </xf>
    <xf numFmtId="188" fontId="169" fillId="0" borderId="31" xfId="558" applyNumberFormat="1" applyFont="1" applyFill="1" applyBorder="1" applyAlignment="1">
      <alignment horizontal="center" vertical="center" wrapText="1"/>
    </xf>
    <xf numFmtId="0" fontId="163" fillId="0" borderId="28" xfId="116" applyFont="1" applyBorder="1"/>
    <xf numFmtId="188" fontId="281" fillId="0" borderId="24" xfId="558" applyNumberFormat="1" applyFont="1" applyFill="1" applyBorder="1" applyAlignment="1">
      <alignment horizontal="center" vertical="center" wrapText="1"/>
    </xf>
    <xf numFmtId="188" fontId="283" fillId="0" borderId="32" xfId="558" applyNumberFormat="1" applyFont="1" applyFill="1" applyBorder="1" applyAlignment="1">
      <alignment horizontal="center" vertical="center" wrapText="1"/>
    </xf>
    <xf numFmtId="188" fontId="168" fillId="0" borderId="32" xfId="558" applyNumberFormat="1" applyFont="1" applyFill="1" applyBorder="1" applyAlignment="1">
      <alignment horizontal="center" vertical="center" wrapText="1"/>
    </xf>
    <xf numFmtId="188" fontId="169" fillId="0" borderId="24" xfId="558" applyNumberFormat="1" applyFont="1" applyFill="1" applyBorder="1" applyAlignment="1">
      <alignment horizontal="center" vertical="center" wrapText="1"/>
    </xf>
    <xf numFmtId="188" fontId="145" fillId="0" borderId="28" xfId="558" applyNumberFormat="1" applyFont="1" applyFill="1" applyBorder="1" applyAlignment="1">
      <alignment horizontal="center" vertical="center" wrapText="1"/>
    </xf>
    <xf numFmtId="188" fontId="145" fillId="0" borderId="32" xfId="558" applyNumberFormat="1" applyFont="1" applyFill="1" applyBorder="1" applyAlignment="1">
      <alignment horizontal="center" vertical="center" wrapText="1"/>
    </xf>
    <xf numFmtId="188" fontId="145" fillId="0" borderId="30" xfId="558" applyNumberFormat="1" applyFont="1" applyFill="1" applyBorder="1" applyAlignment="1">
      <alignment horizontal="center" vertical="center" wrapText="1"/>
    </xf>
    <xf numFmtId="188" fontId="145" fillId="0" borderId="6" xfId="558" applyNumberFormat="1" applyFont="1" applyFill="1" applyBorder="1" applyAlignment="1">
      <alignment horizontal="center" vertical="center" wrapText="1"/>
    </xf>
    <xf numFmtId="2" fontId="283" fillId="0" borderId="33" xfId="116" applyNumberFormat="1" applyFont="1" applyBorder="1" applyAlignment="1">
      <alignment horizontal="right" vertical="center"/>
    </xf>
    <xf numFmtId="10" fontId="38" fillId="0" borderId="1" xfId="558" applyNumberFormat="1" applyFont="1" applyFill="1" applyBorder="1"/>
    <xf numFmtId="9" fontId="43" fillId="0" borderId="1" xfId="0" applyNumberFormat="1" applyFont="1" applyBorder="1"/>
    <xf numFmtId="0" fontId="167" fillId="0" borderId="6" xfId="116" applyFont="1" applyBorder="1" applyAlignment="1">
      <alignment horizontal="center" vertical="center" wrapText="1"/>
    </xf>
    <xf numFmtId="0" fontId="168" fillId="0" borderId="6" xfId="116" applyFont="1" applyBorder="1" applyAlignment="1">
      <alignment horizontal="center" vertical="center" wrapText="1"/>
    </xf>
    <xf numFmtId="0" fontId="169" fillId="0" borderId="6" xfId="116" applyFont="1" applyBorder="1" applyAlignment="1">
      <alignment horizontal="center" vertical="center" wrapText="1"/>
    </xf>
    <xf numFmtId="177" fontId="229" fillId="0" borderId="6" xfId="0" applyNumberFormat="1" applyFont="1" applyBorder="1" applyAlignment="1">
      <alignment horizontal="center" vertical="center"/>
    </xf>
    <xf numFmtId="2" fontId="141" fillId="0" borderId="0" xfId="116" applyNumberFormat="1" applyFont="1" applyAlignment="1">
      <alignment horizontal="left"/>
    </xf>
    <xf numFmtId="2" fontId="141" fillId="0" borderId="0" xfId="116" applyNumberFormat="1" applyFont="1"/>
    <xf numFmtId="0" fontId="167" fillId="0" borderId="33" xfId="116" applyFont="1" applyBorder="1" applyAlignment="1">
      <alignment horizontal="center" vertical="center" wrapText="1"/>
    </xf>
    <xf numFmtId="0" fontId="168" fillId="0" borderId="33" xfId="116" applyFont="1" applyBorder="1" applyAlignment="1">
      <alignment horizontal="center" vertical="center" wrapText="1"/>
    </xf>
    <xf numFmtId="0" fontId="163" fillId="0" borderId="6" xfId="116" applyFont="1" applyBorder="1" applyAlignment="1">
      <alignment horizontal="center" vertical="center" wrapText="1"/>
    </xf>
    <xf numFmtId="179" fontId="167" fillId="0" borderId="6" xfId="116" applyNumberFormat="1" applyFont="1" applyBorder="1" applyAlignment="1">
      <alignment horizontal="center" vertical="center" wrapText="1"/>
    </xf>
    <xf numFmtId="9" fontId="243" fillId="0" borderId="0" xfId="558" applyFont="1" applyFill="1" applyAlignment="1">
      <alignment horizontal="center" vertical="center"/>
    </xf>
    <xf numFmtId="0" fontId="98" fillId="0" borderId="26" xfId="116" applyFont="1" applyBorder="1" applyAlignment="1">
      <alignment horizontal="center"/>
    </xf>
    <xf numFmtId="0" fontId="98" fillId="0" borderId="99" xfId="116" applyFont="1" applyBorder="1"/>
    <xf numFmtId="0" fontId="98" fillId="0" borderId="101" xfId="116" applyFont="1" applyBorder="1"/>
    <xf numFmtId="0" fontId="98" fillId="0" borderId="107" xfId="116" applyFont="1" applyBorder="1"/>
    <xf numFmtId="0" fontId="98" fillId="0" borderId="103" xfId="116" applyFont="1" applyBorder="1"/>
    <xf numFmtId="0" fontId="98" fillId="0" borderId="112" xfId="116" applyFont="1" applyBorder="1"/>
    <xf numFmtId="0" fontId="145" fillId="0" borderId="103" xfId="116" applyFont="1" applyBorder="1"/>
    <xf numFmtId="0" fontId="98" fillId="0" borderId="101" xfId="116" applyFont="1" applyBorder="1" applyAlignment="1">
      <alignment horizontal="left" indent="1"/>
    </xf>
    <xf numFmtId="0" fontId="98" fillId="0" borderId="103" xfId="116" applyFont="1" applyBorder="1" applyAlignment="1">
      <alignment horizontal="left" indent="1"/>
    </xf>
    <xf numFmtId="0" fontId="47" fillId="0" borderId="0" xfId="116" applyFont="1" applyAlignment="1">
      <alignment horizontal="center" vertical="top"/>
    </xf>
    <xf numFmtId="0" fontId="371" fillId="0" borderId="36" xfId="556" applyFont="1" applyBorder="1" applyAlignment="1">
      <alignment vertical="center" wrapText="1"/>
    </xf>
    <xf numFmtId="188" fontId="365" fillId="0" borderId="36" xfId="558" applyNumberFormat="1" applyFont="1" applyFill="1" applyBorder="1" applyAlignment="1">
      <alignment vertical="center" wrapText="1"/>
    </xf>
    <xf numFmtId="0" fontId="365" fillId="0" borderId="36" xfId="556" applyFont="1" applyBorder="1" applyAlignment="1">
      <alignment vertical="center" wrapText="1"/>
    </xf>
    <xf numFmtId="188" fontId="365" fillId="0" borderId="31" xfId="558" applyNumberFormat="1" applyFont="1" applyFill="1" applyBorder="1" applyAlignment="1">
      <alignment vertical="center" wrapText="1"/>
    </xf>
    <xf numFmtId="188" fontId="367" fillId="0" borderId="36" xfId="558" applyNumberFormat="1" applyFont="1" applyBorder="1" applyAlignment="1">
      <alignment vertical="center" wrapText="1"/>
    </xf>
    <xf numFmtId="188" fontId="367" fillId="0" borderId="31" xfId="558" applyNumberFormat="1" applyFont="1" applyBorder="1" applyAlignment="1">
      <alignment vertical="center" wrapText="1"/>
    </xf>
    <xf numFmtId="2" fontId="98" fillId="0" borderId="111" xfId="556" applyNumberFormat="1" applyFont="1" applyBorder="1" applyAlignment="1">
      <alignment horizontal="center" vertical="center" wrapText="1"/>
    </xf>
    <xf numFmtId="2" fontId="145" fillId="0" borderId="52" xfId="556" applyNumberFormat="1" applyFont="1" applyBorder="1" applyAlignment="1">
      <alignment horizontal="center" vertical="center" wrapText="1"/>
    </xf>
    <xf numFmtId="2" fontId="98" fillId="0" borderId="73" xfId="556" applyNumberFormat="1" applyFont="1" applyBorder="1" applyAlignment="1">
      <alignment horizontal="center" vertical="center" wrapText="1"/>
    </xf>
    <xf numFmtId="2" fontId="91" fillId="0" borderId="0" xfId="0" applyNumberFormat="1" applyFont="1"/>
    <xf numFmtId="180" fontId="39" fillId="0" borderId="67" xfId="0" applyNumberFormat="1" applyFont="1" applyBorder="1" applyAlignment="1">
      <alignment horizontal="center" vertical="center"/>
    </xf>
    <xf numFmtId="180" fontId="48" fillId="0" borderId="67" xfId="0" applyNumberFormat="1" applyFont="1" applyBorder="1" applyAlignment="1">
      <alignment horizontal="center"/>
    </xf>
    <xf numFmtId="180" fontId="48" fillId="0" borderId="67" xfId="0" applyNumberFormat="1" applyFont="1" applyBorder="1" applyAlignment="1">
      <alignment horizontal="center" vertical="center"/>
    </xf>
    <xf numFmtId="180" fontId="48" fillId="0" borderId="71" xfId="0" applyNumberFormat="1" applyFont="1" applyBorder="1" applyAlignment="1">
      <alignment horizontal="center"/>
    </xf>
    <xf numFmtId="49" fontId="36" fillId="34" borderId="8" xfId="556" applyNumberFormat="1" applyFont="1" applyFill="1" applyBorder="1" applyAlignment="1">
      <alignment horizontal="center" vertical="center"/>
    </xf>
    <xf numFmtId="0" fontId="273" fillId="0" borderId="7" xfId="0" applyFont="1" applyBorder="1" applyAlignment="1">
      <alignment horizontal="center" vertical="center" wrapText="1"/>
    </xf>
    <xf numFmtId="0" fontId="37" fillId="0" borderId="8" xfId="0" applyFont="1" applyBorder="1" applyAlignment="1">
      <alignment horizontal="center" vertical="center"/>
    </xf>
    <xf numFmtId="2" fontId="47" fillId="0" borderId="1" xfId="0" applyNumberFormat="1" applyFont="1" applyBorder="1" applyAlignment="1">
      <alignment vertical="center"/>
    </xf>
    <xf numFmtId="2" fontId="12" fillId="0" borderId="35" xfId="556" applyNumberFormat="1" applyBorder="1"/>
    <xf numFmtId="4" fontId="145" fillId="0" borderId="73" xfId="556" applyNumberFormat="1" applyFont="1" applyBorder="1" applyAlignment="1">
      <alignment horizontal="center" vertical="center" wrapText="1"/>
    </xf>
    <xf numFmtId="177" fontId="145" fillId="0" borderId="45" xfId="556" applyNumberFormat="1" applyFont="1" applyBorder="1" applyAlignment="1">
      <alignment horizontal="center" vertical="center" wrapText="1"/>
    </xf>
    <xf numFmtId="0" fontId="274" fillId="0" borderId="0" xfId="0" applyFont="1" applyAlignment="1">
      <alignment horizontal="center"/>
    </xf>
    <xf numFmtId="0" fontId="48" fillId="0" borderId="30" xfId="0" applyFont="1" applyBorder="1" applyAlignment="1">
      <alignment horizontal="center" vertical="center"/>
    </xf>
    <xf numFmtId="0" fontId="48" fillId="0" borderId="36" xfId="0" applyFont="1" applyBorder="1" applyAlignment="1">
      <alignment horizontal="center" vertical="center"/>
    </xf>
    <xf numFmtId="0" fontId="264" fillId="0" borderId="0" xfId="0" applyFont="1" applyAlignment="1">
      <alignment wrapText="1"/>
    </xf>
    <xf numFmtId="0" fontId="264" fillId="0" borderId="0" xfId="0" applyFont="1" applyAlignment="1">
      <alignment horizontal="center" vertical="center"/>
    </xf>
    <xf numFmtId="4" fontId="268" fillId="0" borderId="0" xfId="0" applyNumberFormat="1" applyFont="1" applyAlignment="1">
      <alignment horizontal="center" vertical="center"/>
    </xf>
    <xf numFmtId="0" fontId="264" fillId="0" borderId="0" xfId="0" applyFont="1" applyAlignment="1">
      <alignment vertical="center"/>
    </xf>
    <xf numFmtId="0" fontId="190" fillId="0" borderId="67" xfId="0" applyFont="1" applyBorder="1" applyAlignment="1">
      <alignment wrapText="1"/>
    </xf>
    <xf numFmtId="0" fontId="112" fillId="0" borderId="0" xfId="0" applyFont="1" applyAlignment="1">
      <alignment horizontal="right"/>
    </xf>
    <xf numFmtId="0" fontId="39" fillId="0" borderId="34" xfId="0" applyFont="1" applyBorder="1" applyAlignment="1">
      <alignment horizontal="center" vertical="center" wrapText="1"/>
    </xf>
    <xf numFmtId="0" fontId="39" fillId="0" borderId="33" xfId="0" applyFont="1" applyBorder="1" applyAlignment="1">
      <alignment horizontal="center" vertical="center"/>
    </xf>
    <xf numFmtId="0" fontId="39" fillId="0" borderId="33" xfId="0" applyFont="1" applyBorder="1" applyAlignment="1">
      <alignment horizontal="center" wrapText="1"/>
    </xf>
    <xf numFmtId="0" fontId="229" fillId="0" borderId="0" xfId="0" applyFont="1" applyAlignment="1">
      <alignment horizontal="center" vertical="center"/>
    </xf>
    <xf numFmtId="4" fontId="112" fillId="0" borderId="78" xfId="0" applyNumberFormat="1" applyFont="1" applyBorder="1" applyAlignment="1">
      <alignment horizontal="right" vertical="center"/>
    </xf>
    <xf numFmtId="0" fontId="112" fillId="0" borderId="56" xfId="0" applyFont="1" applyBorder="1" applyAlignment="1">
      <alignment horizontal="right"/>
    </xf>
    <xf numFmtId="4" fontId="229" fillId="0" borderId="60" xfId="0" applyNumberFormat="1" applyFont="1" applyBorder="1" applyAlignment="1">
      <alignment horizontal="center" vertical="center"/>
    </xf>
    <xf numFmtId="4" fontId="112" fillId="0" borderId="65" xfId="0" applyNumberFormat="1" applyFont="1" applyBorder="1" applyAlignment="1">
      <alignment horizontal="right" vertical="center"/>
    </xf>
    <xf numFmtId="0" fontId="112" fillId="0" borderId="27" xfId="0" applyFont="1" applyBorder="1" applyAlignment="1">
      <alignment horizontal="right"/>
    </xf>
    <xf numFmtId="4" fontId="112" fillId="0" borderId="7" xfId="0" applyNumberFormat="1" applyFont="1" applyBorder="1" applyAlignment="1">
      <alignment horizontal="right" vertical="center"/>
    </xf>
    <xf numFmtId="0" fontId="112" fillId="0" borderId="24" xfId="0" applyFont="1" applyBorder="1" applyAlignment="1">
      <alignment horizontal="right"/>
    </xf>
    <xf numFmtId="4" fontId="112" fillId="0" borderId="44" xfId="0" applyNumberFormat="1" applyFont="1" applyBorder="1" applyAlignment="1">
      <alignment horizontal="right" vertical="center"/>
    </xf>
    <xf numFmtId="0" fontId="229" fillId="32" borderId="36" xfId="0" applyFont="1" applyFill="1" applyBorder="1" applyAlignment="1">
      <alignment horizontal="center" vertical="center"/>
    </xf>
    <xf numFmtId="0" fontId="48" fillId="32" borderId="6" xfId="0" applyFont="1" applyFill="1" applyBorder="1" applyAlignment="1">
      <alignment horizontal="center" vertical="center"/>
    </xf>
    <xf numFmtId="0" fontId="229" fillId="0" borderId="6" xfId="0" applyFont="1" applyBorder="1" applyAlignment="1">
      <alignment horizontal="center" vertical="center"/>
    </xf>
    <xf numFmtId="0" fontId="229" fillId="0" borderId="36" xfId="0" applyFont="1" applyBorder="1" applyAlignment="1">
      <alignment horizontal="center" vertical="center"/>
    </xf>
    <xf numFmtId="4" fontId="229" fillId="0" borderId="50" xfId="0" applyNumberFormat="1" applyFont="1" applyBorder="1" applyAlignment="1">
      <alignment horizontal="center" vertical="center"/>
    </xf>
    <xf numFmtId="4" fontId="229" fillId="0" borderId="98" xfId="0" applyNumberFormat="1" applyFont="1" applyBorder="1" applyAlignment="1">
      <alignment horizontal="center" vertical="center"/>
    </xf>
    <xf numFmtId="4" fontId="112" fillId="0" borderId="57" xfId="0" applyNumberFormat="1" applyFont="1" applyBorder="1" applyAlignment="1">
      <alignment horizontal="right" vertical="center"/>
    </xf>
    <xf numFmtId="4" fontId="229" fillId="0" borderId="91" xfId="0" applyNumberFormat="1" applyFont="1" applyBorder="1" applyAlignment="1">
      <alignment horizontal="center" vertical="center"/>
    </xf>
    <xf numFmtId="4" fontId="229" fillId="0" borderId="62" xfId="0" applyNumberFormat="1" applyFont="1" applyBorder="1" applyAlignment="1">
      <alignment horizontal="center" vertical="center"/>
    </xf>
    <xf numFmtId="4" fontId="112" fillId="0" borderId="39" xfId="0" applyNumberFormat="1" applyFont="1" applyBorder="1" applyAlignment="1">
      <alignment horizontal="right" vertical="center"/>
    </xf>
    <xf numFmtId="4" fontId="229" fillId="0" borderId="106" xfId="0" applyNumberFormat="1" applyFont="1" applyBorder="1" applyAlignment="1">
      <alignment horizontal="center" vertical="center"/>
    </xf>
    <xf numFmtId="0" fontId="138" fillId="0" borderId="28" xfId="0" applyFont="1" applyBorder="1" applyAlignment="1">
      <alignment horizontal="right" vertical="center"/>
    </xf>
    <xf numFmtId="0" fontId="138" fillId="0" borderId="28" xfId="0" applyFont="1" applyBorder="1" applyAlignment="1">
      <alignment horizontal="center" vertical="center"/>
    </xf>
    <xf numFmtId="4" fontId="229" fillId="0" borderId="109" xfId="0" applyNumberFormat="1" applyFont="1" applyBorder="1" applyAlignment="1">
      <alignment horizontal="center" vertical="center"/>
    </xf>
    <xf numFmtId="0" fontId="39" fillId="0" borderId="29" xfId="0" applyFont="1" applyBorder="1"/>
    <xf numFmtId="0" fontId="112" fillId="0" borderId="35" xfId="0" applyFont="1" applyBorder="1" applyAlignment="1">
      <alignment horizontal="right"/>
    </xf>
    <xf numFmtId="4" fontId="112" fillId="0" borderId="30" xfId="0" applyNumberFormat="1" applyFont="1" applyBorder="1" applyAlignment="1">
      <alignment horizontal="right"/>
    </xf>
    <xf numFmtId="4" fontId="112" fillId="0" borderId="60" xfId="0" applyNumberFormat="1" applyFont="1" applyBorder="1" applyAlignment="1">
      <alignment horizontal="right"/>
    </xf>
    <xf numFmtId="4" fontId="112" fillId="0" borderId="59" xfId="0" applyNumberFormat="1" applyFont="1" applyBorder="1" applyAlignment="1">
      <alignment vertical="center"/>
    </xf>
    <xf numFmtId="4" fontId="112" fillId="0" borderId="64" xfId="0" applyNumberFormat="1" applyFont="1" applyBorder="1" applyAlignment="1">
      <alignment vertical="center"/>
    </xf>
    <xf numFmtId="4" fontId="112" fillId="0" borderId="10" xfId="0" applyNumberFormat="1" applyFont="1" applyBorder="1" applyAlignment="1">
      <alignment vertical="center"/>
    </xf>
    <xf numFmtId="4" fontId="112" fillId="0" borderId="40" xfId="0" applyNumberFormat="1" applyFont="1" applyBorder="1" applyAlignment="1">
      <alignment vertical="center"/>
    </xf>
    <xf numFmtId="4" fontId="112" fillId="0" borderId="8" xfId="0" applyNumberFormat="1" applyFont="1" applyBorder="1" applyAlignment="1">
      <alignment vertical="center"/>
    </xf>
    <xf numFmtId="4" fontId="112" fillId="0" borderId="46" xfId="0" applyNumberFormat="1" applyFont="1" applyBorder="1" applyAlignment="1">
      <alignment vertical="center"/>
    </xf>
    <xf numFmtId="4" fontId="112" fillId="0" borderId="97" xfId="0" applyNumberFormat="1" applyFont="1" applyBorder="1" applyAlignment="1">
      <alignment vertical="center"/>
    </xf>
    <xf numFmtId="4" fontId="112" fillId="0" borderId="55" xfId="0" applyNumberFormat="1" applyFont="1" applyBorder="1" applyAlignment="1">
      <alignment vertical="center"/>
    </xf>
    <xf numFmtId="4" fontId="112" fillId="0" borderId="47" xfId="0" applyNumberFormat="1" applyFont="1" applyBorder="1" applyAlignment="1">
      <alignment vertical="center"/>
    </xf>
    <xf numFmtId="4" fontId="112" fillId="0" borderId="62" xfId="0" applyNumberFormat="1" applyFont="1" applyBorder="1"/>
    <xf numFmtId="4" fontId="112" fillId="0" borderId="31" xfId="0" applyNumberFormat="1" applyFont="1" applyBorder="1"/>
    <xf numFmtId="0" fontId="48" fillId="32" borderId="36" xfId="0" applyFont="1" applyFill="1" applyBorder="1" applyAlignment="1">
      <alignment horizontal="center" vertical="center"/>
    </xf>
    <xf numFmtId="4" fontId="48" fillId="0" borderId="60" xfId="0" applyNumberFormat="1" applyFont="1" applyBorder="1" applyAlignment="1">
      <alignment horizontal="center" vertical="center"/>
    </xf>
    <xf numFmtId="4" fontId="48" fillId="0" borderId="50" xfId="0" applyNumberFormat="1" applyFont="1" applyBorder="1" applyAlignment="1">
      <alignment horizontal="center" vertical="center"/>
    </xf>
    <xf numFmtId="4" fontId="48" fillId="0" borderId="62" xfId="0" applyNumberFormat="1" applyFont="1" applyBorder="1" applyAlignment="1">
      <alignment horizontal="center" vertical="center"/>
    </xf>
    <xf numFmtId="4" fontId="48" fillId="0" borderId="98" xfId="0" applyNumberFormat="1" applyFont="1" applyBorder="1" applyAlignment="1">
      <alignment horizontal="center" vertical="center"/>
    </xf>
    <xf numFmtId="4" fontId="48" fillId="0" borderId="109" xfId="0" applyNumberFormat="1" applyFont="1" applyBorder="1" applyAlignment="1">
      <alignment horizontal="center" vertical="center"/>
    </xf>
    <xf numFmtId="0" fontId="91" fillId="0" borderId="57" xfId="0" applyFont="1" applyBorder="1"/>
    <xf numFmtId="0" fontId="91" fillId="0" borderId="39" xfId="0" applyFont="1" applyBorder="1"/>
    <xf numFmtId="0" fontId="91" fillId="0" borderId="1" xfId="0" applyFont="1" applyBorder="1"/>
    <xf numFmtId="0" fontId="91" fillId="0" borderId="40" xfId="0" applyFont="1" applyBorder="1"/>
    <xf numFmtId="2" fontId="91" fillId="0" borderId="1" xfId="0" applyNumberFormat="1" applyFont="1" applyBorder="1"/>
    <xf numFmtId="2" fontId="91" fillId="0" borderId="40" xfId="0" applyNumberFormat="1" applyFont="1" applyBorder="1"/>
    <xf numFmtId="176" fontId="91" fillId="0" borderId="1" xfId="558" applyNumberFormat="1" applyFont="1" applyBorder="1"/>
    <xf numFmtId="176" fontId="91" fillId="0" borderId="40" xfId="558" applyNumberFormat="1" applyFont="1" applyBorder="1"/>
    <xf numFmtId="0" fontId="91" fillId="0" borderId="44" xfId="0" applyFont="1" applyBorder="1"/>
    <xf numFmtId="176" fontId="91" fillId="0" borderId="45" xfId="558" applyNumberFormat="1" applyFont="1" applyBorder="1"/>
    <xf numFmtId="176" fontId="91" fillId="0" borderId="46" xfId="558" applyNumberFormat="1" applyFont="1" applyBorder="1"/>
    <xf numFmtId="0" fontId="91" fillId="0" borderId="65" xfId="0" applyFont="1" applyBorder="1"/>
    <xf numFmtId="0" fontId="91" fillId="0" borderId="7" xfId="0" applyFont="1" applyBorder="1"/>
    <xf numFmtId="0" fontId="91" fillId="0" borderId="54" xfId="0" applyFont="1" applyBorder="1"/>
    <xf numFmtId="2" fontId="91" fillId="0" borderId="7" xfId="0" applyNumberFormat="1" applyFont="1" applyBorder="1"/>
    <xf numFmtId="0" fontId="91" fillId="0" borderId="41" xfId="0" applyFont="1" applyBorder="1"/>
    <xf numFmtId="0" fontId="91" fillId="0" borderId="78" xfId="0" applyFont="1" applyBorder="1"/>
    <xf numFmtId="0" fontId="91" fillId="0" borderId="79" xfId="0" applyFont="1" applyBorder="1"/>
    <xf numFmtId="0" fontId="91" fillId="0" borderId="47" xfId="0" applyFont="1" applyBorder="1"/>
    <xf numFmtId="2" fontId="91" fillId="0" borderId="58" xfId="0" applyNumberFormat="1" applyFont="1" applyBorder="1"/>
    <xf numFmtId="10" fontId="91" fillId="0" borderId="45" xfId="558" applyNumberFormat="1" applyFont="1" applyBorder="1"/>
    <xf numFmtId="0" fontId="91" fillId="0" borderId="42" xfId="0" applyFont="1" applyBorder="1"/>
    <xf numFmtId="0" fontId="91" fillId="0" borderId="69" xfId="0" applyFont="1" applyBorder="1"/>
    <xf numFmtId="0" fontId="91" fillId="0" borderId="3" xfId="0" applyFont="1" applyBorder="1"/>
    <xf numFmtId="0" fontId="91" fillId="0" borderId="43" xfId="0" applyFont="1" applyBorder="1"/>
    <xf numFmtId="0" fontId="1" fillId="0" borderId="0" xfId="240" applyFont="1" applyAlignment="1">
      <alignment horizontal="center" vertical="center"/>
    </xf>
    <xf numFmtId="2" fontId="91" fillId="0" borderId="64" xfId="0" applyNumberFormat="1" applyFont="1" applyBorder="1"/>
    <xf numFmtId="2" fontId="91" fillId="0" borderId="8" xfId="0" applyNumberFormat="1" applyFont="1" applyBorder="1"/>
    <xf numFmtId="10" fontId="91" fillId="0" borderId="55" xfId="558" applyNumberFormat="1" applyFont="1" applyBorder="1"/>
    <xf numFmtId="2" fontId="91" fillId="0" borderId="66" xfId="0" applyNumberFormat="1" applyFont="1" applyBorder="1"/>
    <xf numFmtId="2" fontId="91" fillId="0" borderId="67" xfId="0" applyNumberFormat="1" applyFont="1" applyBorder="1"/>
    <xf numFmtId="10" fontId="91" fillId="0" borderId="68" xfId="558" applyNumberFormat="1" applyFont="1" applyBorder="1"/>
    <xf numFmtId="177" fontId="39" fillId="0" borderId="0" xfId="0" applyNumberFormat="1" applyFont="1" applyAlignment="1">
      <alignment horizontal="center" vertical="center"/>
    </xf>
    <xf numFmtId="4" fontId="140" fillId="0" borderId="0" xfId="240" applyNumberFormat="1" applyFont="1"/>
    <xf numFmtId="177" fontId="145" fillId="0" borderId="48" xfId="556" applyNumberFormat="1" applyFont="1" applyBorder="1" applyAlignment="1">
      <alignment horizontal="center" vertical="center" wrapText="1"/>
    </xf>
    <xf numFmtId="177" fontId="145" fillId="0" borderId="49" xfId="556" applyNumberFormat="1" applyFont="1" applyBorder="1" applyAlignment="1">
      <alignment horizontal="center" vertical="center" wrapText="1"/>
    </xf>
    <xf numFmtId="177" fontId="145" fillId="0" borderId="109" xfId="556" applyNumberFormat="1" applyFont="1" applyBorder="1" applyAlignment="1">
      <alignment horizontal="center" vertical="center" wrapText="1"/>
    </xf>
    <xf numFmtId="177" fontId="98" fillId="0" borderId="47" xfId="556" applyNumberFormat="1" applyFont="1" applyBorder="1" applyAlignment="1">
      <alignment horizontal="center" vertical="center" wrapText="1"/>
    </xf>
    <xf numFmtId="177" fontId="98" fillId="31" borderId="41" xfId="556" applyNumberFormat="1" applyFont="1" applyFill="1" applyBorder="1" applyAlignment="1">
      <alignment horizontal="center" vertical="center" wrapText="1"/>
    </xf>
    <xf numFmtId="177" fontId="98" fillId="31" borderId="79" xfId="556" applyNumberFormat="1" applyFont="1" applyFill="1" applyBorder="1" applyAlignment="1">
      <alignment horizontal="center" vertical="center" wrapText="1"/>
    </xf>
    <xf numFmtId="177" fontId="98" fillId="31" borderId="40" xfId="556" applyNumberFormat="1" applyFont="1" applyFill="1" applyBorder="1" applyAlignment="1">
      <alignment horizontal="center" vertical="center" wrapText="1"/>
    </xf>
    <xf numFmtId="177" fontId="145" fillId="0" borderId="41" xfId="556" applyNumberFormat="1" applyFont="1" applyBorder="1" applyAlignment="1">
      <alignment horizontal="center" vertical="center" wrapText="1"/>
    </xf>
    <xf numFmtId="177" fontId="145" fillId="0" borderId="79" xfId="556" applyNumberFormat="1" applyFont="1" applyBorder="1" applyAlignment="1">
      <alignment horizontal="center" vertical="center" wrapText="1"/>
    </xf>
    <xf numFmtId="177" fontId="145" fillId="0" borderId="47" xfId="556" applyNumberFormat="1" applyFont="1" applyBorder="1" applyAlignment="1">
      <alignment horizontal="center" vertical="center" wrapText="1"/>
    </xf>
    <xf numFmtId="177" fontId="145" fillId="0" borderId="42" xfId="556" applyNumberFormat="1" applyFont="1" applyBorder="1" applyAlignment="1">
      <alignment horizontal="center" vertical="center" wrapText="1"/>
    </xf>
    <xf numFmtId="177" fontId="145" fillId="0" borderId="43" xfId="556" applyNumberFormat="1" applyFont="1" applyBorder="1" applyAlignment="1">
      <alignment horizontal="center" vertical="center" wrapText="1"/>
    </xf>
    <xf numFmtId="198" fontId="141" fillId="0" borderId="1" xfId="0" applyNumberFormat="1" applyFont="1" applyBorder="1"/>
    <xf numFmtId="0" fontId="369" fillId="0" borderId="26" xfId="556" applyFont="1" applyBorder="1" applyAlignment="1">
      <alignment vertical="center" wrapText="1"/>
    </xf>
    <xf numFmtId="4" fontId="369" fillId="0" borderId="34" xfId="556" applyNumberFormat="1" applyFont="1" applyBorder="1" applyAlignment="1">
      <alignment vertical="center" wrapText="1"/>
    </xf>
    <xf numFmtId="0" fontId="369" fillId="0" borderId="34" xfId="556" applyFont="1" applyBorder="1" applyAlignment="1">
      <alignment vertical="center" wrapText="1"/>
    </xf>
    <xf numFmtId="180" fontId="369" fillId="0" borderId="34" xfId="556" applyNumberFormat="1" applyFont="1" applyBorder="1" applyAlignment="1">
      <alignment vertical="center" wrapText="1"/>
    </xf>
    <xf numFmtId="0" fontId="363" fillId="0" borderId="34" xfId="556" applyFont="1" applyBorder="1"/>
    <xf numFmtId="180" fontId="369" fillId="0" borderId="27" xfId="556" applyNumberFormat="1" applyFont="1" applyBorder="1" applyAlignment="1">
      <alignment vertical="center" wrapText="1"/>
    </xf>
    <xf numFmtId="0" fontId="47" fillId="0" borderId="29" xfId="556" applyFont="1" applyBorder="1" applyAlignment="1">
      <alignment horizontal="center" vertical="center" wrapText="1"/>
    </xf>
    <xf numFmtId="4" fontId="146" fillId="0" borderId="35" xfId="556" applyNumberFormat="1" applyFont="1" applyBorder="1" applyAlignment="1">
      <alignment vertical="center" wrapText="1"/>
    </xf>
    <xf numFmtId="0" fontId="122" fillId="0" borderId="35" xfId="556" applyFont="1" applyBorder="1"/>
    <xf numFmtId="0" fontId="47" fillId="0" borderId="35" xfId="556" applyFont="1" applyBorder="1" applyAlignment="1">
      <alignment horizontal="center" vertical="center" wrapText="1"/>
    </xf>
    <xf numFmtId="4" fontId="146" fillId="0" borderId="56" xfId="556" applyNumberFormat="1" applyFont="1" applyBorder="1" applyAlignment="1">
      <alignment vertical="center" wrapText="1"/>
    </xf>
    <xf numFmtId="49" fontId="48" fillId="65" borderId="52" xfId="556" applyNumberFormat="1" applyFont="1" applyFill="1" applyBorder="1" applyAlignment="1">
      <alignment horizontal="center" vertical="center"/>
    </xf>
    <xf numFmtId="0" fontId="38" fillId="65" borderId="58" xfId="0" applyFont="1" applyFill="1" applyBorder="1" applyAlignment="1">
      <alignment vertical="center" wrapText="1"/>
    </xf>
    <xf numFmtId="0" fontId="98" fillId="65" borderId="50" xfId="556" applyFont="1" applyFill="1" applyBorder="1" applyAlignment="1">
      <alignment horizontal="center" vertical="center" wrapText="1"/>
    </xf>
    <xf numFmtId="2" fontId="98" fillId="65" borderId="57" xfId="556" applyNumberFormat="1" applyFont="1" applyFill="1" applyBorder="1" applyAlignment="1">
      <alignment horizontal="center" vertical="center" wrapText="1"/>
    </xf>
    <xf numFmtId="2" fontId="98" fillId="65" borderId="58" xfId="556" applyNumberFormat="1" applyFont="1" applyFill="1" applyBorder="1" applyAlignment="1">
      <alignment horizontal="center" vertical="center" wrapText="1"/>
    </xf>
    <xf numFmtId="2" fontId="98" fillId="65" borderId="59" xfId="556" applyNumberFormat="1" applyFont="1" applyFill="1" applyBorder="1" applyAlignment="1">
      <alignment horizontal="center" vertical="center" wrapText="1"/>
    </xf>
    <xf numFmtId="0" fontId="38" fillId="65" borderId="1" xfId="0" applyFont="1" applyFill="1" applyBorder="1" applyAlignment="1">
      <alignment vertical="center" wrapText="1"/>
    </xf>
    <xf numFmtId="0" fontId="98" fillId="65" borderId="97" xfId="556" applyFont="1" applyFill="1" applyBorder="1" applyAlignment="1">
      <alignment horizontal="center" vertical="center" wrapText="1"/>
    </xf>
    <xf numFmtId="2" fontId="98" fillId="65" borderId="39" xfId="556" applyNumberFormat="1" applyFont="1" applyFill="1" applyBorder="1" applyAlignment="1">
      <alignment horizontal="center" vertical="center" wrapText="1"/>
    </xf>
    <xf numFmtId="2" fontId="98" fillId="65" borderId="1" xfId="556" applyNumberFormat="1" applyFont="1" applyFill="1" applyBorder="1" applyAlignment="1">
      <alignment horizontal="center" vertical="center" wrapText="1"/>
    </xf>
    <xf numFmtId="2" fontId="98" fillId="65" borderId="40" xfId="556" applyNumberFormat="1" applyFont="1" applyFill="1" applyBorder="1" applyAlignment="1">
      <alignment horizontal="center" vertical="center" wrapText="1"/>
    </xf>
    <xf numFmtId="0" fontId="38" fillId="65" borderId="3" xfId="240" applyFont="1" applyFill="1" applyBorder="1" applyAlignment="1">
      <alignment vertical="center" wrapText="1"/>
    </xf>
    <xf numFmtId="0" fontId="38" fillId="65" borderId="3" xfId="240" applyFont="1" applyFill="1" applyBorder="1" applyAlignment="1">
      <alignment horizontal="left" vertical="center" wrapText="1" indent="1"/>
    </xf>
    <xf numFmtId="2" fontId="98" fillId="65" borderId="3" xfId="556" applyNumberFormat="1" applyFont="1" applyFill="1" applyBorder="1" applyAlignment="1">
      <alignment horizontal="center" vertical="center" wrapText="1"/>
    </xf>
    <xf numFmtId="2" fontId="98" fillId="65" borderId="43" xfId="556" applyNumberFormat="1" applyFont="1" applyFill="1" applyBorder="1" applyAlignment="1">
      <alignment horizontal="center" vertical="center" wrapText="1"/>
    </xf>
    <xf numFmtId="2" fontId="98" fillId="65" borderId="42" xfId="556" applyNumberFormat="1" applyFont="1" applyFill="1" applyBorder="1" applyAlignment="1">
      <alignment horizontal="center" vertical="center" wrapText="1"/>
    </xf>
    <xf numFmtId="0" fontId="38" fillId="65" borderId="1" xfId="240" applyFont="1" applyFill="1" applyBorder="1" applyAlignment="1">
      <alignment vertical="center" wrapText="1"/>
    </xf>
    <xf numFmtId="0" fontId="38" fillId="65" borderId="79" xfId="5" applyFont="1" applyFill="1" applyBorder="1" applyAlignment="1">
      <alignment vertical="center" wrapText="1"/>
    </xf>
    <xf numFmtId="49" fontId="39" fillId="65" borderId="39" xfId="556" applyNumberFormat="1" applyFont="1" applyFill="1" applyBorder="1" applyAlignment="1">
      <alignment horizontal="center" vertical="center"/>
    </xf>
    <xf numFmtId="0" fontId="38" fillId="65" borderId="1" xfId="0" applyFont="1" applyFill="1" applyBorder="1" applyAlignment="1">
      <alignment horizontal="left" vertical="center" wrapText="1" indent="1"/>
    </xf>
    <xf numFmtId="49" fontId="39" fillId="65" borderId="71" xfId="556" applyNumberFormat="1" applyFont="1" applyFill="1" applyBorder="1" applyAlignment="1">
      <alignment horizontal="center" vertical="center"/>
    </xf>
    <xf numFmtId="0" fontId="38" fillId="65" borderId="79" xfId="240" applyFont="1" applyFill="1" applyBorder="1" applyAlignment="1">
      <alignment vertical="center" wrapText="1"/>
    </xf>
    <xf numFmtId="0" fontId="43" fillId="65" borderId="1" xfId="240" applyFont="1" applyFill="1" applyBorder="1" applyAlignment="1">
      <alignment vertical="center" wrapText="1"/>
    </xf>
    <xf numFmtId="0" fontId="145" fillId="65" borderId="97" xfId="556" applyFont="1" applyFill="1" applyBorder="1" applyAlignment="1">
      <alignment horizontal="center" vertical="center" wrapText="1"/>
    </xf>
    <xf numFmtId="2" fontId="145" fillId="65" borderId="41" xfId="556" applyNumberFormat="1" applyFont="1" applyFill="1" applyBorder="1" applyAlignment="1">
      <alignment horizontal="center" vertical="center" wrapText="1"/>
    </xf>
    <xf numFmtId="2" fontId="145" fillId="65" borderId="79" xfId="556" applyNumberFormat="1" applyFont="1" applyFill="1" applyBorder="1" applyAlignment="1">
      <alignment horizontal="center" vertical="center" wrapText="1"/>
    </xf>
    <xf numFmtId="2" fontId="145" fillId="65" borderId="40" xfId="556" applyNumberFormat="1" applyFont="1" applyFill="1" applyBorder="1" applyAlignment="1">
      <alignment horizontal="center" vertical="center" wrapText="1"/>
    </xf>
    <xf numFmtId="2" fontId="145" fillId="65" borderId="47" xfId="556" applyNumberFormat="1" applyFont="1" applyFill="1" applyBorder="1" applyAlignment="1">
      <alignment horizontal="center" vertical="center" wrapText="1"/>
    </xf>
    <xf numFmtId="0" fontId="43" fillId="65" borderId="39" xfId="240" applyFont="1" applyFill="1" applyBorder="1" applyAlignment="1">
      <alignment vertical="center" wrapText="1"/>
    </xf>
    <xf numFmtId="0" fontId="43" fillId="65" borderId="4" xfId="0" applyFont="1" applyFill="1" applyBorder="1"/>
    <xf numFmtId="2" fontId="145" fillId="65" borderId="39" xfId="556" applyNumberFormat="1" applyFont="1" applyFill="1" applyBorder="1" applyAlignment="1">
      <alignment horizontal="center" vertical="center" wrapText="1"/>
    </xf>
    <xf numFmtId="2" fontId="145" fillId="65" borderId="1" xfId="556" applyNumberFormat="1" applyFont="1" applyFill="1" applyBorder="1" applyAlignment="1">
      <alignment horizontal="center" vertical="center" wrapText="1"/>
    </xf>
    <xf numFmtId="0" fontId="43" fillId="65" borderId="45" xfId="240" applyFont="1" applyFill="1" applyBorder="1" applyAlignment="1">
      <alignment vertical="center" wrapText="1"/>
    </xf>
    <xf numFmtId="0" fontId="145" fillId="65" borderId="55" xfId="556" applyFont="1" applyFill="1" applyBorder="1" applyAlignment="1">
      <alignment horizontal="center" vertical="center" wrapText="1"/>
    </xf>
    <xf numFmtId="2" fontId="145" fillId="65" borderId="44" xfId="556" applyNumberFormat="1" applyFont="1" applyFill="1" applyBorder="1" applyAlignment="1">
      <alignment horizontal="center" vertical="center" wrapText="1"/>
    </xf>
    <xf numFmtId="2" fontId="145" fillId="65" borderId="45" xfId="556" applyNumberFormat="1" applyFont="1" applyFill="1" applyBorder="1" applyAlignment="1">
      <alignment horizontal="center" vertical="center" wrapText="1"/>
    </xf>
    <xf numFmtId="2" fontId="145" fillId="65" borderId="46" xfId="556" applyNumberFormat="1" applyFont="1" applyFill="1" applyBorder="1" applyAlignment="1">
      <alignment horizontal="center" vertical="center" wrapText="1"/>
    </xf>
    <xf numFmtId="177" fontId="98" fillId="65" borderId="57" xfId="556" applyNumberFormat="1" applyFont="1" applyFill="1" applyBorder="1" applyAlignment="1">
      <alignment horizontal="center" vertical="center" wrapText="1"/>
    </xf>
    <xf numFmtId="177" fontId="98" fillId="65" borderId="58" xfId="556" applyNumberFormat="1" applyFont="1" applyFill="1" applyBorder="1" applyAlignment="1">
      <alignment horizontal="center" vertical="center" wrapText="1"/>
    </xf>
    <xf numFmtId="177" fontId="98" fillId="65" borderId="59" xfId="556" applyNumberFormat="1" applyFont="1" applyFill="1" applyBorder="1" applyAlignment="1">
      <alignment horizontal="center" vertical="center" wrapText="1"/>
    </xf>
    <xf numFmtId="177" fontId="98" fillId="65" borderId="39" xfId="556" applyNumberFormat="1" applyFont="1" applyFill="1" applyBorder="1" applyAlignment="1">
      <alignment horizontal="center" vertical="center" wrapText="1"/>
    </xf>
    <xf numFmtId="177" fontId="98" fillId="65" borderId="1" xfId="556" applyNumberFormat="1" applyFont="1" applyFill="1" applyBorder="1" applyAlignment="1">
      <alignment horizontal="center" vertical="center" wrapText="1"/>
    </xf>
    <xf numFmtId="177" fontId="98" fillId="65" borderId="40" xfId="556" applyNumberFormat="1" applyFont="1" applyFill="1" applyBorder="1" applyAlignment="1">
      <alignment horizontal="center" vertical="center" wrapText="1"/>
    </xf>
    <xf numFmtId="177" fontId="98" fillId="65" borderId="42" xfId="556" applyNumberFormat="1" applyFont="1" applyFill="1" applyBorder="1" applyAlignment="1">
      <alignment horizontal="center" vertical="center" wrapText="1"/>
    </xf>
    <xf numFmtId="177" fontId="98" fillId="65" borderId="3" xfId="556" applyNumberFormat="1" applyFont="1" applyFill="1" applyBorder="1" applyAlignment="1">
      <alignment horizontal="center" vertical="center" wrapText="1"/>
    </xf>
    <xf numFmtId="177" fontId="98" fillId="65" borderId="43" xfId="556" applyNumberFormat="1" applyFont="1" applyFill="1" applyBorder="1" applyAlignment="1">
      <alignment horizontal="center" vertical="center" wrapText="1"/>
    </xf>
    <xf numFmtId="177" fontId="145" fillId="65" borderId="41" xfId="556" applyNumberFormat="1" applyFont="1" applyFill="1" applyBorder="1" applyAlignment="1">
      <alignment horizontal="center" vertical="center" wrapText="1"/>
    </xf>
    <xf numFmtId="177" fontId="145" fillId="65" borderId="79" xfId="556" applyNumberFormat="1" applyFont="1" applyFill="1" applyBorder="1" applyAlignment="1">
      <alignment horizontal="center" vertical="center" wrapText="1"/>
    </xf>
    <xf numFmtId="177" fontId="145" fillId="65" borderId="47" xfId="556" applyNumberFormat="1" applyFont="1" applyFill="1" applyBorder="1" applyAlignment="1">
      <alignment horizontal="center" vertical="center" wrapText="1"/>
    </xf>
    <xf numFmtId="177" fontId="145" fillId="65" borderId="39" xfId="556" applyNumberFormat="1" applyFont="1" applyFill="1" applyBorder="1" applyAlignment="1">
      <alignment horizontal="center" vertical="center" wrapText="1"/>
    </xf>
    <xf numFmtId="177" fontId="145" fillId="65" borderId="1" xfId="556" applyNumberFormat="1" applyFont="1" applyFill="1" applyBorder="1" applyAlignment="1">
      <alignment horizontal="center" vertical="center" wrapText="1"/>
    </xf>
    <xf numFmtId="177" fontId="145" fillId="65" borderId="40" xfId="556" applyNumberFormat="1" applyFont="1" applyFill="1" applyBorder="1" applyAlignment="1">
      <alignment horizontal="center" vertical="center" wrapText="1"/>
    </xf>
    <xf numFmtId="177" fontId="145" fillId="65" borderId="44" xfId="556" applyNumberFormat="1" applyFont="1" applyFill="1" applyBorder="1" applyAlignment="1">
      <alignment horizontal="center" vertical="center" wrapText="1"/>
    </xf>
    <xf numFmtId="177" fontId="145" fillId="65" borderId="45" xfId="556" applyNumberFormat="1" applyFont="1" applyFill="1" applyBorder="1" applyAlignment="1">
      <alignment horizontal="center" vertical="center" wrapText="1"/>
    </xf>
    <xf numFmtId="177" fontId="145" fillId="65" borderId="46" xfId="556" applyNumberFormat="1" applyFont="1" applyFill="1" applyBorder="1" applyAlignment="1">
      <alignment horizontal="center" vertical="center" wrapText="1"/>
    </xf>
    <xf numFmtId="49" fontId="48" fillId="84" borderId="52" xfId="556" applyNumberFormat="1" applyFont="1" applyFill="1" applyBorder="1" applyAlignment="1">
      <alignment horizontal="center" vertical="center"/>
    </xf>
    <xf numFmtId="0" fontId="38" fillId="84" borderId="58" xfId="0" applyFont="1" applyFill="1" applyBorder="1" applyAlignment="1">
      <alignment vertical="center" wrapText="1"/>
    </xf>
    <xf numFmtId="0" fontId="98" fillId="84" borderId="109" xfId="556" applyFont="1" applyFill="1" applyBorder="1" applyAlignment="1">
      <alignment horizontal="center" vertical="center" wrapText="1"/>
    </xf>
    <xf numFmtId="2" fontId="98" fillId="84" borderId="57" xfId="556" applyNumberFormat="1" applyFont="1" applyFill="1" applyBorder="1" applyAlignment="1">
      <alignment horizontal="center" vertical="center" wrapText="1"/>
    </xf>
    <xf numFmtId="2" fontId="98" fillId="84" borderId="58" xfId="556" applyNumberFormat="1" applyFont="1" applyFill="1" applyBorder="1" applyAlignment="1">
      <alignment horizontal="center" vertical="center" wrapText="1"/>
    </xf>
    <xf numFmtId="2" fontId="98" fillId="84" borderId="64" xfId="556" applyNumberFormat="1" applyFont="1" applyFill="1" applyBorder="1" applyAlignment="1">
      <alignment horizontal="center" vertical="center" wrapText="1"/>
    </xf>
    <xf numFmtId="2" fontId="98" fillId="84" borderId="59" xfId="556" applyNumberFormat="1" applyFont="1" applyFill="1" applyBorder="1" applyAlignment="1">
      <alignment horizontal="center" vertical="center" wrapText="1"/>
    </xf>
    <xf numFmtId="2" fontId="98" fillId="84" borderId="65" xfId="556" applyNumberFormat="1" applyFont="1" applyFill="1" applyBorder="1" applyAlignment="1">
      <alignment horizontal="center" vertical="center" wrapText="1"/>
    </xf>
    <xf numFmtId="0" fontId="38" fillId="84" borderId="1" xfId="0" applyFont="1" applyFill="1" applyBorder="1" applyAlignment="1">
      <alignment vertical="center" wrapText="1"/>
    </xf>
    <xf numFmtId="0" fontId="98" fillId="84" borderId="47" xfId="556" applyFont="1" applyFill="1" applyBorder="1" applyAlignment="1">
      <alignment horizontal="center" vertical="center" wrapText="1"/>
    </xf>
    <xf numFmtId="2" fontId="98" fillId="84" borderId="39" xfId="556" applyNumberFormat="1" applyFont="1" applyFill="1" applyBorder="1" applyAlignment="1">
      <alignment horizontal="center" vertical="center" wrapText="1"/>
    </xf>
    <xf numFmtId="2" fontId="98" fillId="84" borderId="1" xfId="556" applyNumberFormat="1" applyFont="1" applyFill="1" applyBorder="1" applyAlignment="1">
      <alignment horizontal="center" vertical="center" wrapText="1"/>
    </xf>
    <xf numFmtId="2" fontId="98" fillId="84" borderId="8" xfId="556" applyNumberFormat="1" applyFont="1" applyFill="1" applyBorder="1" applyAlignment="1">
      <alignment horizontal="center" vertical="center" wrapText="1"/>
    </xf>
    <xf numFmtId="2" fontId="98" fillId="84" borderId="40" xfId="556" applyNumberFormat="1" applyFont="1" applyFill="1" applyBorder="1" applyAlignment="1">
      <alignment horizontal="center" vertical="center" wrapText="1"/>
    </xf>
    <xf numFmtId="2" fontId="98" fillId="84" borderId="7" xfId="556" applyNumberFormat="1" applyFont="1" applyFill="1" applyBorder="1" applyAlignment="1">
      <alignment horizontal="center" vertical="center" wrapText="1"/>
    </xf>
    <xf numFmtId="0" fontId="38" fillId="84" borderId="3" xfId="240" applyFont="1" applyFill="1" applyBorder="1" applyAlignment="1">
      <alignment vertical="center" wrapText="1"/>
    </xf>
    <xf numFmtId="0" fontId="38" fillId="84" borderId="3" xfId="240" applyFont="1" applyFill="1" applyBorder="1" applyAlignment="1">
      <alignment horizontal="left" vertical="center" wrapText="1" indent="1"/>
    </xf>
    <xf numFmtId="2" fontId="98" fillId="84" borderId="42" xfId="556" applyNumberFormat="1" applyFont="1" applyFill="1" applyBorder="1" applyAlignment="1">
      <alignment horizontal="center" vertical="center" wrapText="1"/>
    </xf>
    <xf numFmtId="2" fontId="98" fillId="84" borderId="3" xfId="556" applyNumberFormat="1" applyFont="1" applyFill="1" applyBorder="1" applyAlignment="1">
      <alignment horizontal="center" vertical="center" wrapText="1"/>
    </xf>
    <xf numFmtId="2" fontId="98" fillId="84" borderId="43" xfId="556" applyNumberFormat="1" applyFont="1" applyFill="1" applyBorder="1" applyAlignment="1">
      <alignment horizontal="center" vertical="center" wrapText="1"/>
    </xf>
    <xf numFmtId="2" fontId="98" fillId="84" borderId="69" xfId="556" applyNumberFormat="1" applyFont="1" applyFill="1" applyBorder="1" applyAlignment="1">
      <alignment horizontal="center" vertical="center" wrapText="1"/>
    </xf>
    <xf numFmtId="0" fontId="38" fillId="84" borderId="1" xfId="240" applyFont="1" applyFill="1" applyBorder="1" applyAlignment="1">
      <alignment vertical="center" wrapText="1"/>
    </xf>
    <xf numFmtId="0" fontId="38" fillId="84" borderId="79" xfId="5" applyFont="1" applyFill="1" applyBorder="1" applyAlignment="1">
      <alignment vertical="center" wrapText="1"/>
    </xf>
    <xf numFmtId="49" fontId="39" fillId="84" borderId="39" xfId="556" applyNumberFormat="1" applyFont="1" applyFill="1" applyBorder="1" applyAlignment="1">
      <alignment horizontal="center" vertical="center"/>
    </xf>
    <xf numFmtId="0" fontId="38" fillId="84" borderId="1" xfId="0" applyFont="1" applyFill="1" applyBorder="1" applyAlignment="1">
      <alignment horizontal="left" vertical="center" wrapText="1" indent="1"/>
    </xf>
    <xf numFmtId="49" fontId="39" fillId="84" borderId="71" xfId="556" applyNumberFormat="1" applyFont="1" applyFill="1" applyBorder="1" applyAlignment="1">
      <alignment horizontal="center" vertical="center"/>
    </xf>
    <xf numFmtId="0" fontId="38" fillId="84" borderId="79" xfId="240" applyFont="1" applyFill="1" applyBorder="1" applyAlignment="1">
      <alignment vertical="center" wrapText="1"/>
    </xf>
    <xf numFmtId="0" fontId="43" fillId="84" borderId="1" xfId="240" applyFont="1" applyFill="1" applyBorder="1" applyAlignment="1">
      <alignment vertical="center" wrapText="1"/>
    </xf>
    <xf numFmtId="0" fontId="145" fillId="84" borderId="47" xfId="556" applyFont="1" applyFill="1" applyBorder="1" applyAlignment="1">
      <alignment horizontal="center" vertical="center" wrapText="1"/>
    </xf>
    <xf numFmtId="2" fontId="145" fillId="84" borderId="41" xfId="556" applyNumberFormat="1" applyFont="1" applyFill="1" applyBorder="1" applyAlignment="1">
      <alignment horizontal="center" vertical="center" wrapText="1"/>
    </xf>
    <xf numFmtId="2" fontId="145" fillId="84" borderId="79" xfId="556" applyNumberFormat="1" applyFont="1" applyFill="1" applyBorder="1" applyAlignment="1">
      <alignment horizontal="center" vertical="center" wrapText="1"/>
    </xf>
    <xf numFmtId="2" fontId="145" fillId="84" borderId="97" xfId="556" applyNumberFormat="1" applyFont="1" applyFill="1" applyBorder="1" applyAlignment="1">
      <alignment horizontal="center" vertical="center" wrapText="1"/>
    </xf>
    <xf numFmtId="2" fontId="145" fillId="84" borderId="47" xfId="556" applyNumberFormat="1" applyFont="1" applyFill="1" applyBorder="1" applyAlignment="1">
      <alignment horizontal="center" vertical="center" wrapText="1"/>
    </xf>
    <xf numFmtId="2" fontId="145" fillId="84" borderId="78" xfId="556" applyNumberFormat="1" applyFont="1" applyFill="1" applyBorder="1" applyAlignment="1">
      <alignment horizontal="center" vertical="center" wrapText="1"/>
    </xf>
    <xf numFmtId="0" fontId="43" fillId="84" borderId="39" xfId="240" applyFont="1" applyFill="1" applyBorder="1" applyAlignment="1">
      <alignment vertical="center" wrapText="1"/>
    </xf>
    <xf numFmtId="0" fontId="43" fillId="84" borderId="4" xfId="0" applyFont="1" applyFill="1" applyBorder="1"/>
    <xf numFmtId="2" fontId="145" fillId="84" borderId="39" xfId="556" applyNumberFormat="1" applyFont="1" applyFill="1" applyBorder="1" applyAlignment="1">
      <alignment horizontal="center" vertical="center" wrapText="1"/>
    </xf>
    <xf numFmtId="2" fontId="145" fillId="84" borderId="1" xfId="556" applyNumberFormat="1" applyFont="1" applyFill="1" applyBorder="1" applyAlignment="1">
      <alignment horizontal="center" vertical="center" wrapText="1"/>
    </xf>
    <xf numFmtId="2" fontId="145" fillId="84" borderId="8" xfId="556" applyNumberFormat="1" applyFont="1" applyFill="1" applyBorder="1" applyAlignment="1">
      <alignment horizontal="center" vertical="center" wrapText="1"/>
    </xf>
    <xf numFmtId="2" fontId="145" fillId="84" borderId="40" xfId="556" applyNumberFormat="1" applyFont="1" applyFill="1" applyBorder="1" applyAlignment="1">
      <alignment horizontal="center" vertical="center" wrapText="1"/>
    </xf>
    <xf numFmtId="2" fontId="145" fillId="84" borderId="7" xfId="556" applyNumberFormat="1" applyFont="1" applyFill="1" applyBorder="1" applyAlignment="1">
      <alignment horizontal="center" vertical="center" wrapText="1"/>
    </xf>
    <xf numFmtId="0" fontId="43" fillId="84" borderId="45" xfId="240" applyFont="1" applyFill="1" applyBorder="1" applyAlignment="1">
      <alignment vertical="center" wrapText="1"/>
    </xf>
    <xf numFmtId="0" fontId="145" fillId="84" borderId="46" xfId="556" applyFont="1" applyFill="1" applyBorder="1" applyAlignment="1">
      <alignment horizontal="center" vertical="center" wrapText="1"/>
    </xf>
    <xf numFmtId="2" fontId="145" fillId="84" borderId="44" xfId="556" applyNumberFormat="1" applyFont="1" applyFill="1" applyBorder="1" applyAlignment="1">
      <alignment horizontal="center" vertical="center" wrapText="1"/>
    </xf>
    <xf numFmtId="2" fontId="145" fillId="84" borderId="45" xfId="556" applyNumberFormat="1" applyFont="1" applyFill="1" applyBorder="1" applyAlignment="1">
      <alignment horizontal="center" vertical="center" wrapText="1"/>
    </xf>
    <xf numFmtId="2" fontId="145" fillId="84" borderId="55" xfId="556" applyNumberFormat="1" applyFont="1" applyFill="1" applyBorder="1" applyAlignment="1">
      <alignment horizontal="center" vertical="center" wrapText="1"/>
    </xf>
    <xf numFmtId="2" fontId="145" fillId="84" borderId="46" xfId="556" applyNumberFormat="1" applyFont="1" applyFill="1" applyBorder="1" applyAlignment="1">
      <alignment horizontal="center" vertical="center" wrapText="1"/>
    </xf>
    <xf numFmtId="2" fontId="145" fillId="84" borderId="54" xfId="556" applyNumberFormat="1" applyFont="1" applyFill="1" applyBorder="1" applyAlignment="1">
      <alignment horizontal="center" vertical="center" wrapText="1"/>
    </xf>
    <xf numFmtId="49" fontId="141" fillId="0" borderId="0" xfId="556" applyNumberFormat="1" applyFont="1" applyAlignment="1">
      <alignment horizontal="center" vertical="center"/>
    </xf>
    <xf numFmtId="0" fontId="122" fillId="0" borderId="1" xfId="556" applyFont="1" applyBorder="1"/>
    <xf numFmtId="4" fontId="122" fillId="0" borderId="1" xfId="556" applyNumberFormat="1" applyFont="1" applyBorder="1" applyAlignment="1">
      <alignment horizontal="right" vertical="center"/>
    </xf>
    <xf numFmtId="0" fontId="1" fillId="0" borderId="79" xfId="556" applyFont="1" applyBorder="1"/>
    <xf numFmtId="2" fontId="12" fillId="0" borderId="79" xfId="556" applyNumberFormat="1" applyBorder="1"/>
    <xf numFmtId="4" fontId="12" fillId="0" borderId="79" xfId="556" applyNumberFormat="1" applyBorder="1" applyAlignment="1">
      <alignment horizontal="right" vertical="center"/>
    </xf>
    <xf numFmtId="0" fontId="1" fillId="0" borderId="3" xfId="556" applyFont="1" applyBorder="1"/>
    <xf numFmtId="0" fontId="12" fillId="0" borderId="3" xfId="556" applyBorder="1"/>
    <xf numFmtId="4" fontId="12" fillId="0" borderId="3" xfId="556" applyNumberFormat="1" applyBorder="1" applyAlignment="1">
      <alignment horizontal="right" vertical="center"/>
    </xf>
    <xf numFmtId="0" fontId="122" fillId="0" borderId="57" xfId="556" applyFont="1" applyBorder="1"/>
    <xf numFmtId="2" fontId="122" fillId="0" borderId="58" xfId="556" applyNumberFormat="1" applyFont="1" applyBorder="1"/>
    <xf numFmtId="4" fontId="122" fillId="0" borderId="58" xfId="556" applyNumberFormat="1" applyFont="1" applyBorder="1" applyAlignment="1">
      <alignment horizontal="right" vertical="center"/>
    </xf>
    <xf numFmtId="4" fontId="122" fillId="0" borderId="59" xfId="556" applyNumberFormat="1" applyFont="1" applyBorder="1" applyAlignment="1">
      <alignment horizontal="right" vertical="center"/>
    </xf>
    <xf numFmtId="0" fontId="122" fillId="0" borderId="39" xfId="556" applyFont="1" applyBorder="1"/>
    <xf numFmtId="4" fontId="122" fillId="0" borderId="40" xfId="556" applyNumberFormat="1" applyFont="1" applyBorder="1" applyAlignment="1">
      <alignment horizontal="right" vertical="center"/>
    </xf>
    <xf numFmtId="0" fontId="122" fillId="0" borderId="44" xfId="556" applyFont="1" applyBorder="1"/>
    <xf numFmtId="0" fontId="122" fillId="0" borderId="45" xfId="556" applyFont="1" applyBorder="1"/>
    <xf numFmtId="4" fontId="206" fillId="0" borderId="45" xfId="556" applyNumberFormat="1" applyFont="1" applyBorder="1" applyAlignment="1">
      <alignment horizontal="right" vertical="center"/>
    </xf>
    <xf numFmtId="4" fontId="206" fillId="0" borderId="1" xfId="556" applyNumberFormat="1" applyFont="1" applyBorder="1" applyAlignment="1">
      <alignment horizontal="center" vertical="center"/>
    </xf>
    <xf numFmtId="0" fontId="36" fillId="0" borderId="0" xfId="0" applyFont="1" applyAlignment="1">
      <alignment vertical="center" wrapText="1"/>
    </xf>
    <xf numFmtId="0" fontId="36" fillId="0" borderId="0" xfId="0" applyFont="1" applyAlignment="1">
      <alignment horizontal="left" vertical="center" wrapText="1" indent="1"/>
    </xf>
    <xf numFmtId="0" fontId="36" fillId="0" borderId="0" xfId="240" applyFont="1" applyAlignment="1">
      <alignment vertical="center" wrapText="1"/>
    </xf>
    <xf numFmtId="0" fontId="42" fillId="0" borderId="0" xfId="0" applyFont="1" applyAlignment="1">
      <alignment vertical="center" wrapText="1"/>
    </xf>
    <xf numFmtId="0" fontId="42" fillId="0" borderId="0" xfId="240" applyFont="1" applyAlignment="1">
      <alignment vertical="center" wrapText="1"/>
    </xf>
    <xf numFmtId="0" fontId="286" fillId="0" borderId="0" xfId="240" applyFont="1" applyAlignment="1">
      <alignment vertical="center" wrapText="1"/>
    </xf>
    <xf numFmtId="0" fontId="286" fillId="0" borderId="0" xfId="0" applyFont="1" applyAlignment="1">
      <alignment vertical="center" wrapText="1"/>
    </xf>
    <xf numFmtId="0" fontId="145" fillId="0" borderId="46" xfId="0" applyFont="1" applyBorder="1" applyAlignment="1">
      <alignment horizontal="center" vertical="center" wrapText="1"/>
    </xf>
    <xf numFmtId="1" fontId="98" fillId="0" borderId="59" xfId="0" applyNumberFormat="1" applyFont="1" applyBorder="1" applyAlignment="1">
      <alignment horizontal="center" vertical="top" wrapText="1"/>
    </xf>
    <xf numFmtId="2" fontId="98" fillId="0" borderId="40" xfId="0" applyNumberFormat="1" applyFont="1" applyBorder="1" applyAlignment="1">
      <alignment horizontal="center" vertical="top" wrapText="1"/>
    </xf>
    <xf numFmtId="2" fontId="98" fillId="63" borderId="40" xfId="0" applyNumberFormat="1" applyFont="1" applyFill="1" applyBorder="1" applyAlignment="1">
      <alignment horizontal="center" vertical="top" wrapText="1"/>
    </xf>
    <xf numFmtId="2" fontId="88" fillId="0" borderId="0" xfId="0" applyNumberFormat="1" applyFont="1"/>
    <xf numFmtId="4" fontId="92" fillId="0" borderId="0" xfId="556" applyNumberFormat="1" applyFont="1" applyAlignment="1">
      <alignment horizontal="center" vertical="center" wrapText="1"/>
    </xf>
    <xf numFmtId="4" fontId="48" fillId="32" borderId="30" xfId="0" applyNumberFormat="1" applyFont="1" applyFill="1" applyBorder="1" applyAlignment="1">
      <alignment horizontal="center" vertical="center"/>
    </xf>
    <xf numFmtId="4" fontId="48" fillId="32" borderId="36" xfId="0" applyNumberFormat="1" applyFont="1" applyFill="1" applyBorder="1" applyAlignment="1">
      <alignment horizontal="center" vertical="center"/>
    </xf>
    <xf numFmtId="4" fontId="48" fillId="32" borderId="31" xfId="0" applyNumberFormat="1" applyFont="1" applyFill="1" applyBorder="1" applyAlignment="1">
      <alignment horizontal="center" vertical="center"/>
    </xf>
    <xf numFmtId="4" fontId="229" fillId="32" borderId="30" xfId="0" applyNumberFormat="1" applyFont="1" applyFill="1" applyBorder="1" applyAlignment="1">
      <alignment horizontal="center" vertical="center"/>
    </xf>
    <xf numFmtId="4" fontId="229" fillId="32" borderId="36" xfId="0" applyNumberFormat="1" applyFont="1" applyFill="1" applyBorder="1" applyAlignment="1">
      <alignment horizontal="center" vertical="center"/>
    </xf>
    <xf numFmtId="4" fontId="39" fillId="0" borderId="30" xfId="0" applyNumberFormat="1" applyFont="1" applyBorder="1" applyAlignment="1">
      <alignment horizontal="center" vertical="center"/>
    </xf>
    <xf numFmtId="4" fontId="39" fillId="0" borderId="36" xfId="0" applyNumberFormat="1" applyFont="1" applyBorder="1" applyAlignment="1">
      <alignment horizontal="center" vertical="center"/>
    </xf>
    <xf numFmtId="4" fontId="39" fillId="0" borderId="31" xfId="0" applyNumberFormat="1" applyFont="1" applyBorder="1" applyAlignment="1">
      <alignment horizontal="center" vertical="center"/>
    </xf>
    <xf numFmtId="0" fontId="39" fillId="0" borderId="30" xfId="0" applyFont="1" applyBorder="1" applyAlignment="1">
      <alignment horizontal="center"/>
    </xf>
    <xf numFmtId="0" fontId="39" fillId="0" borderId="31" xfId="0" applyFont="1" applyBorder="1" applyAlignment="1">
      <alignment horizontal="center"/>
    </xf>
    <xf numFmtId="4" fontId="229" fillId="32" borderId="31" xfId="0" applyNumberFormat="1" applyFont="1" applyFill="1" applyBorder="1" applyAlignment="1">
      <alignment horizontal="center" vertical="center"/>
    </xf>
    <xf numFmtId="0" fontId="39" fillId="0" borderId="34" xfId="0" applyFont="1" applyBorder="1" applyAlignment="1">
      <alignment horizontal="center" vertical="center" wrapText="1"/>
    </xf>
    <xf numFmtId="0" fontId="39" fillId="0" borderId="27" xfId="0" applyFont="1" applyBorder="1" applyAlignment="1">
      <alignment horizontal="center" vertical="center" wrapText="1"/>
    </xf>
    <xf numFmtId="0" fontId="39" fillId="0" borderId="30" xfId="0" applyFont="1" applyBorder="1" applyAlignment="1">
      <alignment horizontal="center" wrapText="1"/>
    </xf>
    <xf numFmtId="0" fontId="39" fillId="0" borderId="31" xfId="0" applyFont="1" applyBorder="1" applyAlignment="1">
      <alignment horizontal="center" wrapText="1"/>
    </xf>
    <xf numFmtId="0" fontId="39" fillId="0" borderId="34" xfId="0" applyFont="1" applyBorder="1" applyAlignment="1">
      <alignment horizontal="center" wrapText="1"/>
    </xf>
    <xf numFmtId="0" fontId="39" fillId="0" borderId="27" xfId="0" applyFont="1" applyBorder="1" applyAlignment="1">
      <alignment horizontal="center" wrapText="1"/>
    </xf>
    <xf numFmtId="0" fontId="39" fillId="0" borderId="26" xfId="0" applyFont="1" applyBorder="1" applyAlignment="1">
      <alignment horizontal="center" wrapText="1"/>
    </xf>
    <xf numFmtId="0" fontId="39" fillId="0" borderId="66" xfId="0" applyFont="1" applyBorder="1" applyAlignment="1">
      <alignment horizontal="center" vertical="center" wrapText="1"/>
    </xf>
    <xf numFmtId="0" fontId="39" fillId="0" borderId="71" xfId="0" applyFont="1" applyBorder="1" applyAlignment="1">
      <alignment horizontal="center" vertical="center" wrapText="1"/>
    </xf>
    <xf numFmtId="0" fontId="39" fillId="0" borderId="68" xfId="0" applyFont="1" applyBorder="1" applyAlignment="1">
      <alignment horizontal="center" vertical="center" wrapText="1"/>
    </xf>
    <xf numFmtId="0" fontId="39" fillId="0" borderId="91" xfId="0" applyFont="1" applyBorder="1" applyAlignment="1">
      <alignment horizontal="center" vertical="center" wrapText="1"/>
    </xf>
    <xf numFmtId="0" fontId="39" fillId="0" borderId="49" xfId="0" applyFont="1" applyBorder="1" applyAlignment="1">
      <alignment horizontal="center" vertical="center" wrapText="1"/>
    </xf>
    <xf numFmtId="0" fontId="39" fillId="0" borderId="50" xfId="0" applyFont="1" applyBorder="1" applyAlignment="1">
      <alignment horizontal="center" vertical="center" wrapText="1"/>
    </xf>
    <xf numFmtId="0" fontId="39" fillId="0" borderId="109" xfId="0" applyFont="1" applyBorder="1" applyAlignment="1">
      <alignment horizontal="center" vertical="center" wrapText="1"/>
    </xf>
    <xf numFmtId="0" fontId="39" fillId="0" borderId="30" xfId="0" applyFont="1" applyBorder="1" applyAlignment="1">
      <alignment horizontal="center" vertical="center" wrapText="1"/>
    </xf>
    <xf numFmtId="0" fontId="39" fillId="0" borderId="31" xfId="0" applyFont="1" applyBorder="1" applyAlignment="1">
      <alignment horizontal="center" vertical="center" wrapText="1"/>
    </xf>
    <xf numFmtId="0" fontId="39" fillId="0" borderId="26" xfId="0" applyFont="1" applyBorder="1" applyAlignment="1">
      <alignment horizontal="center" vertical="center" wrapText="1"/>
    </xf>
    <xf numFmtId="0" fontId="39" fillId="0" borderId="29" xfId="0" applyFont="1" applyBorder="1" applyAlignment="1">
      <alignment horizontal="center" vertical="center" wrapText="1"/>
    </xf>
    <xf numFmtId="0" fontId="39" fillId="0" borderId="56" xfId="0" applyFont="1" applyBorder="1" applyAlignment="1">
      <alignment horizontal="center" vertical="center" wrapText="1"/>
    </xf>
    <xf numFmtId="0" fontId="48" fillId="0" borderId="30" xfId="0" applyFont="1" applyBorder="1" applyAlignment="1">
      <alignment horizontal="center" vertical="center" wrapText="1"/>
    </xf>
    <xf numFmtId="0" fontId="48" fillId="0" borderId="36" xfId="0" applyFont="1" applyBorder="1" applyAlignment="1">
      <alignment horizontal="center" vertical="center" wrapText="1"/>
    </xf>
    <xf numFmtId="0" fontId="48" fillId="0" borderId="31" xfId="0" applyFont="1" applyBorder="1" applyAlignment="1">
      <alignment horizontal="center" vertical="center" wrapText="1"/>
    </xf>
    <xf numFmtId="2" fontId="39" fillId="0" borderId="0" xfId="0" applyNumberFormat="1" applyFont="1" applyAlignment="1">
      <alignment horizontal="left"/>
    </xf>
    <xf numFmtId="0" fontId="48" fillId="0" borderId="30" xfId="0" applyFont="1" applyBorder="1" applyAlignment="1">
      <alignment horizontal="center" vertical="center"/>
    </xf>
    <xf numFmtId="0" fontId="48" fillId="0" borderId="36" xfId="0" applyFont="1" applyBorder="1" applyAlignment="1">
      <alignment horizontal="center" vertical="center"/>
    </xf>
    <xf numFmtId="0" fontId="48" fillId="0" borderId="31" xfId="0" applyFont="1" applyBorder="1" applyAlignment="1">
      <alignment horizontal="center" vertical="center"/>
    </xf>
    <xf numFmtId="0" fontId="251" fillId="0" borderId="0" xfId="0" applyFont="1" applyAlignment="1">
      <alignment horizontal="center" vertical="center" wrapText="1"/>
    </xf>
    <xf numFmtId="0" fontId="48" fillId="0" borderId="0" xfId="0" applyFont="1" applyAlignment="1">
      <alignment horizontal="center" vertical="center" wrapText="1"/>
    </xf>
    <xf numFmtId="0" fontId="39" fillId="0" borderId="35" xfId="0" applyFont="1" applyBorder="1" applyAlignment="1">
      <alignment horizontal="center"/>
    </xf>
    <xf numFmtId="0" fontId="48" fillId="0" borderId="0" xfId="0" applyFont="1" applyAlignment="1">
      <alignment horizontal="center" wrapText="1"/>
    </xf>
    <xf numFmtId="0" fontId="190" fillId="0" borderId="1" xfId="0" applyFont="1" applyBorder="1" applyAlignment="1">
      <alignment horizontal="center" vertical="center"/>
    </xf>
    <xf numFmtId="2" fontId="40" fillId="0" borderId="0" xfId="0" applyNumberFormat="1" applyFont="1" applyAlignment="1">
      <alignment horizontal="right"/>
    </xf>
    <xf numFmtId="0" fontId="40" fillId="0" borderId="0" xfId="0" applyFont="1" applyAlignment="1">
      <alignment horizontal="right"/>
    </xf>
    <xf numFmtId="0" fontId="38" fillId="0" borderId="1" xfId="0" applyFont="1" applyBorder="1" applyAlignment="1">
      <alignment horizontal="center"/>
    </xf>
    <xf numFmtId="0" fontId="38" fillId="0" borderId="8" xfId="0" applyFont="1" applyBorder="1" applyAlignment="1">
      <alignment horizontal="center"/>
    </xf>
    <xf numFmtId="0" fontId="38" fillId="0" borderId="9" xfId="0" applyFont="1" applyBorder="1" applyAlignment="1">
      <alignment horizontal="center"/>
    </xf>
    <xf numFmtId="0" fontId="38" fillId="0" borderId="7" xfId="0" applyFont="1" applyBorder="1" applyAlignment="1">
      <alignment horizontal="center"/>
    </xf>
    <xf numFmtId="0" fontId="39" fillId="0" borderId="1" xfId="0" applyFont="1" applyBorder="1" applyAlignment="1">
      <alignment horizontal="center" vertical="center"/>
    </xf>
    <xf numFmtId="0" fontId="39" fillId="0" borderId="8" xfId="0" applyFont="1" applyBorder="1" applyAlignment="1">
      <alignment horizontal="center" vertical="center" wrapText="1"/>
    </xf>
    <xf numFmtId="0" fontId="39" fillId="0" borderId="9" xfId="0" applyFont="1" applyBorder="1" applyAlignment="1">
      <alignment horizontal="center" vertical="center" wrapText="1"/>
    </xf>
    <xf numFmtId="0" fontId="39" fillId="0" borderId="7" xfId="0" applyFont="1" applyBorder="1" applyAlignment="1">
      <alignment horizontal="center" vertical="center" wrapText="1"/>
    </xf>
    <xf numFmtId="0" fontId="250" fillId="0" borderId="0" xfId="0" applyFont="1" applyAlignment="1">
      <alignment horizontal="center"/>
    </xf>
    <xf numFmtId="0" fontId="249" fillId="0" borderId="0" xfId="0" applyFont="1" applyAlignment="1">
      <alignment horizontal="center" vertical="center"/>
    </xf>
    <xf numFmtId="0" fontId="139" fillId="0" borderId="5" xfId="0" applyFont="1" applyBorder="1" applyAlignment="1">
      <alignment horizontal="center" vertical="center" wrapText="1"/>
    </xf>
    <xf numFmtId="0" fontId="37" fillId="0" borderId="79" xfId="0" applyFont="1" applyBorder="1" applyAlignment="1">
      <alignment horizontal="center" vertical="center"/>
    </xf>
    <xf numFmtId="0" fontId="37" fillId="0" borderId="3" xfId="0" applyFont="1" applyBorder="1" applyAlignment="1">
      <alignment horizontal="center" vertical="center"/>
    </xf>
    <xf numFmtId="0" fontId="38" fillId="0" borderId="79" xfId="0" applyFont="1" applyBorder="1" applyAlignment="1">
      <alignment horizontal="center" vertical="center" wrapText="1"/>
    </xf>
    <xf numFmtId="0" fontId="38" fillId="0" borderId="3" xfId="0" applyFont="1" applyBorder="1" applyAlignment="1">
      <alignment horizontal="center" vertical="center" wrapText="1"/>
    </xf>
    <xf numFmtId="0" fontId="38" fillId="0" borderId="8" xfId="0" applyFont="1" applyBorder="1" applyAlignment="1">
      <alignment horizontal="center" vertical="center"/>
    </xf>
    <xf numFmtId="0" fontId="38" fillId="0" borderId="9" xfId="0" applyFont="1" applyBorder="1" applyAlignment="1">
      <alignment horizontal="center" vertical="center"/>
    </xf>
    <xf numFmtId="0" fontId="38" fillId="0" borderId="7" xfId="0" applyFont="1" applyBorder="1" applyAlignment="1">
      <alignment horizontal="center" vertical="center"/>
    </xf>
    <xf numFmtId="0" fontId="251" fillId="0" borderId="9" xfId="0" applyFont="1" applyBorder="1" applyAlignment="1">
      <alignment horizontal="center" vertical="center" wrapText="1"/>
    </xf>
    <xf numFmtId="2" fontId="40" fillId="0" borderId="0" xfId="0" applyNumberFormat="1" applyFont="1" applyAlignment="1">
      <alignment horizontal="center"/>
    </xf>
    <xf numFmtId="0" fontId="190" fillId="0" borderId="97" xfId="0" applyFont="1" applyBorder="1" applyAlignment="1">
      <alignment horizontal="center" vertical="center"/>
    </xf>
    <xf numFmtId="0" fontId="190" fillId="0" borderId="9" xfId="0" applyFont="1" applyBorder="1" applyAlignment="1">
      <alignment horizontal="center" vertical="center"/>
    </xf>
    <xf numFmtId="0" fontId="190" fillId="0" borderId="7" xfId="0" applyFont="1" applyBorder="1" applyAlignment="1">
      <alignment horizontal="center" vertical="center"/>
    </xf>
    <xf numFmtId="0" fontId="38" fillId="0" borderId="79" xfId="0" applyFont="1" applyBorder="1" applyAlignment="1">
      <alignment horizontal="center" vertical="center"/>
    </xf>
    <xf numFmtId="0" fontId="38" fillId="0" borderId="3" xfId="0" applyFont="1" applyBorder="1" applyAlignment="1">
      <alignment horizontal="center" vertical="center"/>
    </xf>
    <xf numFmtId="0" fontId="139" fillId="0" borderId="9" xfId="0" applyFont="1" applyBorder="1" applyAlignment="1">
      <alignment horizontal="center" vertical="center" wrapText="1"/>
    </xf>
    <xf numFmtId="0" fontId="40" fillId="0" borderId="0" xfId="0" applyFont="1" applyAlignment="1">
      <alignment horizontal="left" wrapText="1"/>
    </xf>
    <xf numFmtId="0" fontId="248" fillId="0" borderId="98" xfId="0" applyFont="1" applyBorder="1" applyAlignment="1">
      <alignment horizontal="center" vertical="center" wrapText="1"/>
    </xf>
    <xf numFmtId="0" fontId="248" fillId="0" borderId="36" xfId="0" applyFont="1" applyBorder="1" applyAlignment="1">
      <alignment horizontal="center" vertical="center" wrapText="1"/>
    </xf>
    <xf numFmtId="0" fontId="248" fillId="0" borderId="63" xfId="0" applyFont="1" applyBorder="1" applyAlignment="1">
      <alignment horizontal="center" vertical="center" wrapText="1"/>
    </xf>
    <xf numFmtId="0" fontId="249" fillId="0" borderId="48" xfId="0" applyFont="1" applyBorder="1" applyAlignment="1">
      <alignment horizontal="left" vertical="center" wrapText="1"/>
    </xf>
    <xf numFmtId="0" fontId="249" fillId="0" borderId="133" xfId="0" applyFont="1" applyBorder="1" applyAlignment="1">
      <alignment horizontal="left" vertical="center" wrapText="1"/>
    </xf>
    <xf numFmtId="0" fontId="249" fillId="0" borderId="134" xfId="0" applyFont="1" applyBorder="1" applyAlignment="1">
      <alignment horizontal="left" vertical="center" wrapText="1"/>
    </xf>
    <xf numFmtId="0" fontId="249" fillId="0" borderId="95" xfId="0" applyFont="1" applyBorder="1" applyAlignment="1">
      <alignment horizontal="left" vertical="center" wrapText="1"/>
    </xf>
    <xf numFmtId="0" fontId="249" fillId="0" borderId="57" xfId="0" applyFont="1" applyBorder="1" applyAlignment="1">
      <alignment horizontal="left" vertical="center" wrapText="1"/>
    </xf>
    <xf numFmtId="0" fontId="249" fillId="0" borderId="44" xfId="0" applyFont="1" applyBorder="1" applyAlignment="1">
      <alignment horizontal="left" vertical="center" wrapText="1"/>
    </xf>
    <xf numFmtId="0" fontId="139" fillId="0" borderId="0" xfId="0" applyFont="1" applyAlignment="1">
      <alignment horizontal="center" vertical="center" wrapText="1"/>
    </xf>
    <xf numFmtId="0" fontId="37" fillId="0" borderId="77" xfId="0" applyFont="1" applyBorder="1" applyAlignment="1">
      <alignment horizontal="center" vertical="top"/>
    </xf>
    <xf numFmtId="0" fontId="274" fillId="0" borderId="0" xfId="0" applyFont="1" applyAlignment="1">
      <alignment horizontal="center"/>
    </xf>
    <xf numFmtId="0" fontId="89" fillId="0" borderId="0" xfId="0" applyFont="1" applyAlignment="1">
      <alignment horizontal="center"/>
    </xf>
    <xf numFmtId="0" fontId="89" fillId="0" borderId="5" xfId="0" applyFont="1" applyBorder="1" applyAlignment="1">
      <alignment horizontal="center" wrapText="1"/>
    </xf>
    <xf numFmtId="0" fontId="89" fillId="0" borderId="5" xfId="0" applyFont="1" applyBorder="1" applyAlignment="1">
      <alignment horizontal="center"/>
    </xf>
    <xf numFmtId="0" fontId="251" fillId="0" borderId="0" xfId="0" applyFont="1" applyAlignment="1">
      <alignment vertical="center" wrapText="1"/>
    </xf>
    <xf numFmtId="0" fontId="251" fillId="0" borderId="0" xfId="0" applyFont="1" applyAlignment="1">
      <alignment horizontal="left" vertical="center" wrapText="1"/>
    </xf>
    <xf numFmtId="0" fontId="141" fillId="74" borderId="32" xfId="0" applyFont="1" applyFill="1" applyBorder="1" applyAlignment="1">
      <alignment horizontal="left" wrapText="1"/>
    </xf>
    <xf numFmtId="0" fontId="39" fillId="0" borderId="32" xfId="0" applyFont="1" applyBorder="1" applyAlignment="1">
      <alignment horizontal="center" wrapText="1"/>
    </xf>
    <xf numFmtId="0" fontId="89" fillId="0" borderId="32" xfId="0" applyFont="1" applyBorder="1" applyAlignment="1">
      <alignment horizontal="center" vertical="center" wrapText="1"/>
    </xf>
    <xf numFmtId="0" fontId="39" fillId="0" borderId="32" xfId="0" applyFont="1" applyBorder="1" applyAlignment="1">
      <alignment horizontal="center" vertical="center" wrapText="1"/>
    </xf>
    <xf numFmtId="0" fontId="38" fillId="0" borderId="0" xfId="0" applyFont="1" applyAlignment="1">
      <alignment horizontal="center" vertical="center"/>
    </xf>
    <xf numFmtId="0" fontId="40" fillId="0" borderId="77" xfId="0" applyFont="1" applyBorder="1" applyAlignment="1">
      <alignment horizontal="center" vertical="center"/>
    </xf>
    <xf numFmtId="0" fontId="101" fillId="0" borderId="0" xfId="0" applyFont="1" applyAlignment="1">
      <alignment horizontal="left" vertical="center"/>
    </xf>
    <xf numFmtId="0" fontId="40" fillId="0" borderId="0" xfId="0" applyFont="1" applyAlignment="1">
      <alignment horizontal="left" vertical="center"/>
    </xf>
    <xf numFmtId="0" fontId="38" fillId="0" borderId="0" xfId="0" applyFont="1" applyAlignment="1">
      <alignment horizontal="center" vertical="center" wrapText="1"/>
    </xf>
    <xf numFmtId="0" fontId="108" fillId="0" borderId="0" xfId="0" applyFont="1" applyAlignment="1">
      <alignment horizontal="center" vertical="center" wrapText="1"/>
    </xf>
    <xf numFmtId="0" fontId="108" fillId="0" borderId="0" xfId="0" applyFont="1" applyAlignment="1">
      <alignment horizontal="left" vertical="center"/>
    </xf>
    <xf numFmtId="0" fontId="107" fillId="0" borderId="0" xfId="0" applyFont="1" applyAlignment="1">
      <alignment horizontal="center" vertical="center"/>
    </xf>
    <xf numFmtId="0" fontId="188" fillId="0" borderId="0" xfId="0" applyFont="1" applyAlignment="1">
      <alignment horizontal="left" vertical="center" wrapText="1"/>
    </xf>
    <xf numFmtId="0" fontId="108" fillId="0" borderId="0" xfId="0" applyFont="1" applyAlignment="1">
      <alignment horizontal="left" vertical="center" wrapText="1"/>
    </xf>
    <xf numFmtId="0" fontId="108" fillId="0" borderId="5" xfId="0" applyFont="1" applyBorder="1" applyAlignment="1">
      <alignment horizontal="left" wrapText="1"/>
    </xf>
    <xf numFmtId="0" fontId="108" fillId="0" borderId="5" xfId="0" applyFont="1" applyBorder="1" applyAlignment="1">
      <alignment horizontal="center" vertical="center" wrapText="1"/>
    </xf>
    <xf numFmtId="0" fontId="38" fillId="0" borderId="77" xfId="0" applyFont="1" applyBorder="1" applyAlignment="1">
      <alignment horizontal="center" vertical="center"/>
    </xf>
    <xf numFmtId="0" fontId="108" fillId="0" borderId="5" xfId="0" applyFont="1" applyBorder="1" applyAlignment="1">
      <alignment horizontal="left" vertical="center" wrapText="1"/>
    </xf>
    <xf numFmtId="0" fontId="47" fillId="0" borderId="0" xfId="0" applyFont="1" applyAlignment="1">
      <alignment horizontal="center" vertical="center"/>
    </xf>
    <xf numFmtId="0" fontId="40" fillId="0" borderId="0" xfId="0" applyFont="1" applyAlignment="1">
      <alignment horizontal="right" vertical="center"/>
    </xf>
    <xf numFmtId="0" fontId="38" fillId="77" borderId="33" xfId="0" applyFont="1" applyFill="1" applyBorder="1" applyAlignment="1">
      <alignment horizontal="center" vertical="center"/>
    </xf>
    <xf numFmtId="0" fontId="38" fillId="77" borderId="23" xfId="0" applyFont="1" applyFill="1" applyBorder="1" applyAlignment="1">
      <alignment horizontal="center" vertical="center"/>
    </xf>
    <xf numFmtId="0" fontId="38" fillId="0" borderId="93" xfId="0" applyFont="1" applyBorder="1" applyAlignment="1">
      <alignment horizontal="center" vertical="center"/>
    </xf>
    <xf numFmtId="0" fontId="38" fillId="0" borderId="65" xfId="0" applyFont="1" applyBorder="1" applyAlignment="1">
      <alignment horizontal="center" vertical="center"/>
    </xf>
    <xf numFmtId="0" fontId="38" fillId="0" borderId="64" xfId="0" applyFont="1" applyBorder="1" applyAlignment="1">
      <alignment horizontal="center" vertical="center"/>
    </xf>
    <xf numFmtId="0" fontId="38" fillId="0" borderId="93" xfId="0" applyFont="1" applyBorder="1" applyAlignment="1">
      <alignment horizontal="center"/>
    </xf>
    <xf numFmtId="0" fontId="38" fillId="0" borderId="88" xfId="0" applyFont="1" applyBorder="1" applyAlignment="1">
      <alignment horizontal="center" wrapText="1"/>
    </xf>
    <xf numFmtId="0" fontId="38" fillId="0" borderId="93" xfId="0" applyFont="1" applyBorder="1" applyAlignment="1">
      <alignment horizontal="center" wrapText="1"/>
    </xf>
    <xf numFmtId="0" fontId="38" fillId="0" borderId="90" xfId="0" applyFont="1" applyBorder="1" applyAlignment="1">
      <alignment horizontal="center" wrapText="1"/>
    </xf>
    <xf numFmtId="0" fontId="38" fillId="0" borderId="64" xfId="0" applyFont="1" applyBorder="1" applyAlignment="1">
      <alignment horizontal="center"/>
    </xf>
    <xf numFmtId="0" fontId="38" fillId="0" borderId="90" xfId="0" applyFont="1" applyBorder="1" applyAlignment="1">
      <alignment horizontal="center"/>
    </xf>
    <xf numFmtId="0" fontId="38" fillId="0" borderId="88" xfId="0" applyFont="1" applyBorder="1" applyAlignment="1">
      <alignment horizontal="center" vertical="center"/>
    </xf>
    <xf numFmtId="0" fontId="38" fillId="0" borderId="90" xfId="0" applyFont="1" applyBorder="1" applyAlignment="1">
      <alignment horizontal="center" vertical="center"/>
    </xf>
    <xf numFmtId="0" fontId="38" fillId="0" borderId="88" xfId="0" applyFont="1" applyBorder="1" applyAlignment="1">
      <alignment horizontal="center" vertical="center" wrapText="1"/>
    </xf>
    <xf numFmtId="0" fontId="38" fillId="0" borderId="93" xfId="0" applyFont="1" applyBorder="1" applyAlignment="1">
      <alignment horizontal="center" vertical="center" wrapText="1"/>
    </xf>
    <xf numFmtId="0" fontId="38" fillId="0" borderId="90" xfId="0" applyFont="1" applyBorder="1" applyAlignment="1">
      <alignment horizontal="center" vertical="center" wrapText="1"/>
    </xf>
    <xf numFmtId="0" fontId="38" fillId="0" borderId="58" xfId="0" applyFont="1" applyBorder="1" applyAlignment="1">
      <alignment horizontal="center" vertical="center" wrapText="1"/>
    </xf>
    <xf numFmtId="0" fontId="38" fillId="0" borderId="59" xfId="0" applyFont="1" applyBorder="1" applyAlignment="1">
      <alignment horizontal="center" vertical="center" wrapText="1"/>
    </xf>
    <xf numFmtId="2" fontId="92" fillId="0" borderId="36" xfId="0" applyNumberFormat="1" applyFont="1" applyBorder="1" applyAlignment="1">
      <alignment horizontal="center"/>
    </xf>
    <xf numFmtId="0" fontId="92" fillId="0" borderId="36" xfId="0" applyFont="1" applyBorder="1" applyAlignment="1">
      <alignment horizontal="center"/>
    </xf>
    <xf numFmtId="0" fontId="38" fillId="0" borderId="30" xfId="0" applyFont="1" applyBorder="1" applyAlignment="1">
      <alignment horizontal="center" vertical="center" wrapText="1"/>
    </xf>
    <xf numFmtId="0" fontId="38" fillId="0" borderId="36" xfId="0" applyFont="1" applyBorder="1" applyAlignment="1">
      <alignment horizontal="center" vertical="center" wrapText="1"/>
    </xf>
    <xf numFmtId="0" fontId="38" fillId="0" borderId="31" xfId="0" applyFont="1" applyBorder="1" applyAlignment="1">
      <alignment horizontal="center" vertical="center" wrapText="1"/>
    </xf>
    <xf numFmtId="0" fontId="38" fillId="0" borderId="57" xfId="0" applyFont="1" applyBorder="1" applyAlignment="1">
      <alignment horizontal="center" vertical="center" wrapText="1"/>
    </xf>
    <xf numFmtId="0" fontId="38" fillId="85" borderId="1" xfId="0" applyFont="1" applyFill="1" applyBorder="1" applyAlignment="1">
      <alignment horizontal="center" vertical="center" wrapText="1"/>
    </xf>
    <xf numFmtId="0" fontId="38" fillId="85" borderId="8" xfId="0" applyFont="1" applyFill="1" applyBorder="1" applyAlignment="1">
      <alignment horizontal="center" vertical="center" wrapText="1"/>
    </xf>
    <xf numFmtId="0" fontId="38" fillId="0" borderId="66" xfId="0" applyFont="1" applyBorder="1" applyAlignment="1">
      <alignment horizontal="center" vertical="center" wrapText="1"/>
    </xf>
    <xf numFmtId="0" fontId="38" fillId="0" borderId="67" xfId="0" applyFont="1" applyBorder="1" applyAlignment="1">
      <alignment horizontal="center" vertical="center"/>
    </xf>
    <xf numFmtId="0" fontId="38" fillId="0" borderId="57" xfId="0" applyFont="1" applyBorder="1" applyAlignment="1">
      <alignment horizontal="center" vertical="center"/>
    </xf>
    <xf numFmtId="0" fontId="38" fillId="0" borderId="58" xfId="0" applyFont="1" applyBorder="1" applyAlignment="1">
      <alignment horizontal="center" vertical="center"/>
    </xf>
    <xf numFmtId="0" fontId="38" fillId="0" borderId="59" xfId="0" applyFont="1" applyBorder="1" applyAlignment="1">
      <alignment horizontal="center" vertical="center"/>
    </xf>
    <xf numFmtId="0" fontId="38" fillId="0" borderId="1" xfId="0" applyFont="1" applyBorder="1" applyAlignment="1">
      <alignment horizontal="center" vertical="center"/>
    </xf>
    <xf numFmtId="0" fontId="38" fillId="0" borderId="64" xfId="0" applyFont="1" applyBorder="1" applyAlignment="1">
      <alignment horizontal="center" vertical="center" wrapText="1"/>
    </xf>
    <xf numFmtId="0" fontId="38" fillId="0" borderId="65" xfId="0" applyFont="1" applyBorder="1" applyAlignment="1">
      <alignment horizontal="center" vertical="center" wrapText="1"/>
    </xf>
    <xf numFmtId="0" fontId="38" fillId="59" borderId="48" xfId="0" applyFont="1" applyFill="1" applyBorder="1" applyAlignment="1">
      <alignment horizontal="center" vertical="center"/>
    </xf>
    <xf numFmtId="0" fontId="38" fillId="59" borderId="42" xfId="0" applyFont="1" applyFill="1" applyBorder="1" applyAlignment="1">
      <alignment horizontal="center" vertical="center"/>
    </xf>
    <xf numFmtId="0" fontId="38" fillId="0" borderId="58" xfId="0" applyFont="1" applyBorder="1" applyAlignment="1">
      <alignment horizontal="center"/>
    </xf>
    <xf numFmtId="0" fontId="38" fillId="0" borderId="58" xfId="0" applyFont="1" applyBorder="1" applyAlignment="1">
      <alignment horizontal="center" wrapText="1"/>
    </xf>
    <xf numFmtId="2" fontId="38" fillId="0" borderId="36" xfId="0" applyNumberFormat="1" applyFont="1" applyBorder="1" applyAlignment="1">
      <alignment horizontal="center"/>
    </xf>
    <xf numFmtId="0" fontId="38" fillId="0" borderId="36" xfId="0" applyFont="1" applyBorder="1" applyAlignment="1">
      <alignment horizontal="center"/>
    </xf>
    <xf numFmtId="0" fontId="38" fillId="80" borderId="26" xfId="0" applyFont="1" applyFill="1" applyBorder="1" applyAlignment="1">
      <alignment horizontal="center" vertical="center"/>
    </xf>
    <xf numFmtId="0" fontId="38" fillId="80" borderId="23" xfId="0" applyFont="1" applyFill="1" applyBorder="1" applyAlignment="1">
      <alignment horizontal="center" vertical="center"/>
    </xf>
    <xf numFmtId="0" fontId="38" fillId="79" borderId="26" xfId="0" applyFont="1" applyFill="1" applyBorder="1" applyAlignment="1">
      <alignment horizontal="center" vertical="center"/>
    </xf>
    <xf numFmtId="0" fontId="38" fillId="79" borderId="29" xfId="0" applyFont="1" applyFill="1" applyBorder="1" applyAlignment="1">
      <alignment horizontal="center" vertical="center"/>
    </xf>
    <xf numFmtId="0" fontId="92" fillId="0" borderId="1" xfId="0" applyFont="1" applyBorder="1" applyAlignment="1">
      <alignment horizontal="center" vertical="center"/>
    </xf>
    <xf numFmtId="0" fontId="38" fillId="2" borderId="26" xfId="0" applyFont="1" applyFill="1" applyBorder="1" applyAlignment="1">
      <alignment horizontal="center" vertical="center"/>
    </xf>
    <xf numFmtId="0" fontId="38" fillId="2" borderId="29" xfId="0" applyFont="1" applyFill="1" applyBorder="1" applyAlignment="1">
      <alignment horizontal="center" vertical="center"/>
    </xf>
    <xf numFmtId="0" fontId="38" fillId="89" borderId="33" xfId="0" applyFont="1" applyFill="1" applyBorder="1" applyAlignment="1">
      <alignment horizontal="center" vertical="center"/>
    </xf>
    <xf numFmtId="0" fontId="38" fillId="89" borderId="23" xfId="0" applyFont="1" applyFill="1" applyBorder="1" applyAlignment="1">
      <alignment horizontal="center" vertical="center"/>
    </xf>
    <xf numFmtId="0" fontId="38" fillId="35" borderId="33" xfId="0" applyFont="1" applyFill="1" applyBorder="1" applyAlignment="1">
      <alignment horizontal="center" vertical="center"/>
    </xf>
    <xf numFmtId="0" fontId="38" fillId="35" borderId="23" xfId="0" applyFont="1" applyFill="1" applyBorder="1" applyAlignment="1">
      <alignment horizontal="center" vertical="center"/>
    </xf>
    <xf numFmtId="0" fontId="38" fillId="59" borderId="33" xfId="0" applyFont="1" applyFill="1" applyBorder="1" applyAlignment="1">
      <alignment horizontal="center" vertical="center" wrapText="1"/>
    </xf>
    <xf numFmtId="0" fontId="38" fillId="59" borderId="23" xfId="0" applyFont="1" applyFill="1" applyBorder="1" applyAlignment="1">
      <alignment horizontal="center" vertical="center" wrapText="1"/>
    </xf>
    <xf numFmtId="0" fontId="39" fillId="0" borderId="0" xfId="240" applyFont="1" applyAlignment="1">
      <alignment horizontal="left" vertical="top" wrapText="1"/>
    </xf>
    <xf numFmtId="0" fontId="48" fillId="0" borderId="0" xfId="240" applyFont="1" applyAlignment="1">
      <alignment horizontal="center"/>
    </xf>
    <xf numFmtId="0" fontId="154" fillId="0" borderId="0" xfId="240" applyFont="1" applyAlignment="1">
      <alignment horizontal="center"/>
    </xf>
    <xf numFmtId="0" fontId="39" fillId="0" borderId="0" xfId="240" applyFont="1" applyAlignment="1">
      <alignment horizontal="right"/>
    </xf>
    <xf numFmtId="49" fontId="37" fillId="0" borderId="8" xfId="240" applyNumberFormat="1" applyFont="1" applyBorder="1" applyAlignment="1">
      <alignment vertical="center" wrapText="1"/>
    </xf>
    <xf numFmtId="49" fontId="37" fillId="0" borderId="48" xfId="240" applyNumberFormat="1" applyFont="1" applyBorder="1" applyAlignment="1">
      <alignment horizontal="center" vertical="center" wrapText="1"/>
    </xf>
    <xf numFmtId="49" fontId="37" fillId="0" borderId="51" xfId="240" applyNumberFormat="1" applyFont="1" applyBorder="1" applyAlignment="1">
      <alignment horizontal="center" vertical="center" wrapText="1"/>
    </xf>
    <xf numFmtId="49" fontId="37" fillId="0" borderId="42" xfId="240" applyNumberFormat="1" applyFont="1" applyBorder="1" applyAlignment="1">
      <alignment horizontal="center" vertical="center" wrapText="1"/>
    </xf>
    <xf numFmtId="0" fontId="40" fillId="0" borderId="49" xfId="240" applyFont="1" applyBorder="1" applyAlignment="1">
      <alignment horizontal="center" vertical="center" wrapText="1"/>
    </xf>
    <xf numFmtId="0" fontId="40" fillId="0" borderId="4" xfId="240" applyFont="1" applyBorder="1" applyAlignment="1">
      <alignment horizontal="center" vertical="center" wrapText="1"/>
    </xf>
    <xf numFmtId="0" fontId="40" fillId="0" borderId="3" xfId="240" applyFont="1" applyBorder="1" applyAlignment="1">
      <alignment horizontal="center" vertical="center" wrapText="1"/>
    </xf>
    <xf numFmtId="0" fontId="38" fillId="0" borderId="50" xfId="240" applyFont="1" applyBorder="1" applyAlignment="1">
      <alignment horizontal="center" vertical="center" wrapText="1"/>
    </xf>
    <xf numFmtId="0" fontId="38" fillId="0" borderId="25" xfId="240" applyFont="1" applyBorder="1" applyAlignment="1">
      <alignment horizontal="center" vertical="center" wrapText="1"/>
    </xf>
    <xf numFmtId="0" fontId="38" fillId="0" borderId="10" xfId="240" applyFont="1" applyBorder="1" applyAlignment="1">
      <alignment horizontal="center" vertical="center" wrapText="1"/>
    </xf>
    <xf numFmtId="0" fontId="38" fillId="0" borderId="48" xfId="240" applyFont="1" applyBorder="1" applyAlignment="1">
      <alignment horizontal="center" vertical="center" wrapText="1"/>
    </xf>
    <xf numFmtId="0" fontId="38" fillId="0" borderId="49" xfId="240" applyFont="1" applyBorder="1" applyAlignment="1">
      <alignment horizontal="center" vertical="center" wrapText="1"/>
    </xf>
    <xf numFmtId="0" fontId="38" fillId="0" borderId="109" xfId="240" applyFont="1" applyBorder="1" applyAlignment="1">
      <alignment horizontal="center" vertical="center" wrapText="1"/>
    </xf>
    <xf numFmtId="0" fontId="38" fillId="0" borderId="42" xfId="240" applyFont="1" applyBorder="1" applyAlignment="1">
      <alignment horizontal="center" vertical="center" wrapText="1"/>
    </xf>
    <xf numFmtId="0" fontId="38" fillId="0" borderId="3" xfId="240" applyFont="1" applyBorder="1" applyAlignment="1">
      <alignment horizontal="center" vertical="center" wrapText="1"/>
    </xf>
    <xf numFmtId="0" fontId="38" fillId="0" borderId="43" xfId="240" applyFont="1" applyBorder="1" applyAlignment="1">
      <alignment horizontal="center" vertical="center" wrapText="1"/>
    </xf>
    <xf numFmtId="0" fontId="36" fillId="0" borderId="0" xfId="240" applyFont="1" applyAlignment="1">
      <alignment horizontal="left" wrapText="1"/>
    </xf>
    <xf numFmtId="0" fontId="40" fillId="0" borderId="0" xfId="240" applyFont="1" applyAlignment="1">
      <alignment horizontal="center"/>
    </xf>
    <xf numFmtId="0" fontId="40" fillId="0" borderId="0" xfId="240" applyFont="1" applyAlignment="1">
      <alignment horizontal="center" vertical="top" wrapText="1"/>
    </xf>
    <xf numFmtId="0" fontId="37" fillId="0" borderId="0" xfId="240" applyFont="1" applyAlignment="1">
      <alignment horizontal="left" vertical="center" wrapText="1"/>
    </xf>
    <xf numFmtId="0" fontId="37" fillId="0" borderId="0" xfId="240" applyFont="1" applyAlignment="1">
      <alignment horizontal="left" vertical="top" wrapText="1"/>
    </xf>
    <xf numFmtId="0" fontId="40" fillId="0" borderId="0" xfId="240" applyFont="1"/>
    <xf numFmtId="0" fontId="40" fillId="0" borderId="0" xfId="0" applyFont="1"/>
    <xf numFmtId="0" fontId="37" fillId="0" borderId="8" xfId="240" applyFont="1" applyBorder="1" applyAlignment="1">
      <alignment horizontal="center" vertical="center" wrapText="1"/>
    </xf>
    <xf numFmtId="0" fontId="37" fillId="0" borderId="9" xfId="240" applyFont="1" applyBorder="1" applyAlignment="1">
      <alignment horizontal="center" vertical="center" wrapText="1"/>
    </xf>
    <xf numFmtId="0" fontId="37" fillId="0" borderId="7" xfId="240" applyFont="1" applyBorder="1" applyAlignment="1">
      <alignment horizontal="center" vertical="center" wrapText="1"/>
    </xf>
    <xf numFmtId="0" fontId="41" fillId="0" borderId="5" xfId="240" applyFont="1" applyBorder="1" applyAlignment="1">
      <alignment horizontal="right"/>
    </xf>
    <xf numFmtId="0" fontId="38" fillId="0" borderId="0" xfId="240" applyFont="1" applyAlignment="1">
      <alignment horizontal="left" vertical="top" wrapText="1"/>
    </xf>
    <xf numFmtId="49" fontId="37" fillId="0" borderId="79" xfId="240" applyNumberFormat="1" applyFont="1" applyBorder="1" applyAlignment="1">
      <alignment horizontal="center" vertical="center" wrapText="1"/>
    </xf>
    <xf numFmtId="49" fontId="37" fillId="0" borderId="4" xfId="240" applyNumberFormat="1" applyFont="1" applyBorder="1" applyAlignment="1">
      <alignment horizontal="center" vertical="center" wrapText="1"/>
    </xf>
    <xf numFmtId="49" fontId="37" fillId="0" borderId="3" xfId="240" applyNumberFormat="1" applyFont="1" applyBorder="1" applyAlignment="1">
      <alignment horizontal="center" vertical="center" wrapText="1"/>
    </xf>
    <xf numFmtId="0" fontId="39" fillId="0" borderId="79" xfId="240" applyFont="1" applyBorder="1" applyAlignment="1">
      <alignment horizontal="center" vertical="center" wrapText="1"/>
    </xf>
    <xf numFmtId="0" fontId="39" fillId="0" borderId="4" xfId="240" applyFont="1" applyBorder="1" applyAlignment="1">
      <alignment horizontal="center" vertical="center" wrapText="1"/>
    </xf>
    <xf numFmtId="0" fontId="39" fillId="0" borderId="3" xfId="240" applyFont="1" applyBorder="1" applyAlignment="1">
      <alignment horizontal="center" vertical="center" wrapText="1"/>
    </xf>
    <xf numFmtId="0" fontId="37" fillId="0" borderId="79" xfId="240" applyFont="1" applyBorder="1" applyAlignment="1">
      <alignment horizontal="center" vertical="center" wrapText="1"/>
    </xf>
    <xf numFmtId="0" fontId="37" fillId="0" borderId="4" xfId="240" applyFont="1" applyBorder="1" applyAlignment="1">
      <alignment horizontal="center" vertical="center" wrapText="1"/>
    </xf>
    <xf numFmtId="0" fontId="37" fillId="0" borderId="3" xfId="240" applyFont="1" applyBorder="1" applyAlignment="1">
      <alignment horizontal="center" vertical="center" wrapText="1"/>
    </xf>
    <xf numFmtId="0" fontId="38" fillId="0" borderId="8" xfId="240" applyFont="1" applyBorder="1" applyAlignment="1">
      <alignment horizontal="center" vertical="center" wrapText="1"/>
    </xf>
    <xf numFmtId="0" fontId="38" fillId="0" borderId="9" xfId="240" applyFont="1" applyBorder="1" applyAlignment="1">
      <alignment horizontal="center" vertical="center" wrapText="1"/>
    </xf>
    <xf numFmtId="0" fontId="37" fillId="0" borderId="1" xfId="240" applyFont="1" applyBorder="1" applyAlignment="1">
      <alignment horizontal="center" vertical="center" wrapText="1"/>
    </xf>
    <xf numFmtId="0" fontId="38" fillId="0" borderId="0" xfId="240" applyFont="1" applyAlignment="1" applyProtection="1">
      <alignment horizontal="center" vertical="top" wrapText="1"/>
      <protection locked="0"/>
    </xf>
    <xf numFmtId="0" fontId="39" fillId="0" borderId="0" xfId="0" applyFont="1" applyAlignment="1">
      <alignment horizontal="center" vertical="top" wrapText="1"/>
    </xf>
    <xf numFmtId="0" fontId="38" fillId="0" borderId="0" xfId="240" applyFont="1" applyAlignment="1" applyProtection="1">
      <alignment horizontal="center"/>
      <protection locked="0"/>
    </xf>
    <xf numFmtId="0" fontId="39" fillId="0" borderId="0" xfId="0" applyFont="1" applyAlignment="1">
      <alignment horizontal="center"/>
    </xf>
    <xf numFmtId="0" fontId="100" fillId="0" borderId="0" xfId="240" applyFont="1" applyAlignment="1" applyProtection="1">
      <alignment horizontal="center" wrapText="1"/>
      <protection locked="0"/>
    </xf>
    <xf numFmtId="0" fontId="37" fillId="0" borderId="0" xfId="240" applyFont="1" applyAlignment="1">
      <alignment horizontal="center" vertical="top"/>
    </xf>
    <xf numFmtId="0" fontId="38" fillId="0" borderId="5" xfId="240" applyFont="1" applyBorder="1" applyAlignment="1">
      <alignment horizontal="right"/>
    </xf>
    <xf numFmtId="0" fontId="36" fillId="0" borderId="0" xfId="240" applyFont="1" applyAlignment="1">
      <alignment horizontal="left" vertical="top" wrapText="1"/>
    </xf>
    <xf numFmtId="0" fontId="36" fillId="0" borderId="0" xfId="240" applyFont="1" applyAlignment="1">
      <alignment horizontal="center" vertical="top" wrapText="1"/>
    </xf>
    <xf numFmtId="0" fontId="39" fillId="0" borderId="0" xfId="0" applyFont="1" applyAlignment="1">
      <alignment horizontal="left" vertical="top" wrapText="1"/>
    </xf>
    <xf numFmtId="0" fontId="39" fillId="0" borderId="0" xfId="240" applyFont="1" applyAlignment="1">
      <alignment horizontal="center"/>
    </xf>
    <xf numFmtId="0" fontId="36" fillId="0" borderId="0" xfId="240" applyFont="1" applyAlignment="1" applyProtection="1">
      <alignment horizontal="center" wrapText="1"/>
      <protection locked="0"/>
    </xf>
    <xf numFmtId="0" fontId="48" fillId="0" borderId="0" xfId="240" applyFont="1" applyAlignment="1">
      <alignment horizontal="center" wrapText="1"/>
    </xf>
    <xf numFmtId="0" fontId="48" fillId="0" borderId="5" xfId="240" applyFont="1" applyBorder="1" applyAlignment="1">
      <alignment horizontal="right"/>
    </xf>
    <xf numFmtId="0" fontId="48" fillId="0" borderId="5" xfId="0" applyFont="1" applyBorder="1"/>
    <xf numFmtId="0" fontId="38" fillId="0" borderId="7" xfId="240" applyFont="1" applyBorder="1" applyAlignment="1">
      <alignment horizontal="center" vertical="center" wrapText="1"/>
    </xf>
    <xf numFmtId="0" fontId="38" fillId="0" borderId="0" xfId="240" applyFont="1" applyAlignment="1">
      <alignment horizontal="center" wrapText="1"/>
    </xf>
    <xf numFmtId="0" fontId="100" fillId="0" borderId="0" xfId="240" applyFont="1" applyAlignment="1">
      <alignment horizontal="center" wrapText="1"/>
    </xf>
    <xf numFmtId="0" fontId="38" fillId="0" borderId="0" xfId="240" applyFont="1" applyAlignment="1">
      <alignment horizontal="center" vertical="top" wrapText="1"/>
    </xf>
    <xf numFmtId="0" fontId="36" fillId="0" borderId="5" xfId="240" applyFont="1" applyBorder="1" applyAlignment="1">
      <alignment horizontal="right"/>
    </xf>
    <xf numFmtId="0" fontId="36" fillId="0" borderId="5" xfId="0" applyFont="1" applyBorder="1"/>
    <xf numFmtId="0" fontId="39" fillId="0" borderId="1" xfId="240" applyFont="1" applyBorder="1" applyAlignment="1">
      <alignment horizontal="center" vertical="center" wrapText="1"/>
    </xf>
    <xf numFmtId="0" fontId="98" fillId="0" borderId="0" xfId="0" applyFont="1" applyAlignment="1">
      <alignment horizontal="center" vertical="top" wrapText="1"/>
    </xf>
    <xf numFmtId="4" fontId="142" fillId="0" borderId="5" xfId="0" applyNumberFormat="1" applyFont="1" applyBorder="1" applyAlignment="1">
      <alignment horizontal="center"/>
    </xf>
    <xf numFmtId="4" fontId="98" fillId="0" borderId="1" xfId="0" applyNumberFormat="1" applyFont="1" applyBorder="1" applyAlignment="1">
      <alignment horizontal="center"/>
    </xf>
    <xf numFmtId="4" fontId="159" fillId="0" borderId="0" xfId="506" applyNumberFormat="1" applyFont="1" applyAlignment="1">
      <alignment horizontal="center" vertical="top"/>
    </xf>
    <xf numFmtId="0" fontId="167" fillId="0" borderId="26" xfId="116" applyFont="1" applyBorder="1" applyAlignment="1">
      <alignment horizontal="center" vertical="center"/>
    </xf>
    <xf numFmtId="0" fontId="167" fillId="0" borderId="29" xfId="116" applyFont="1" applyBorder="1" applyAlignment="1">
      <alignment horizontal="center" vertical="center"/>
    </xf>
    <xf numFmtId="4" fontId="167" fillId="0" borderId="30" xfId="116" applyNumberFormat="1" applyFont="1" applyBorder="1" applyAlignment="1">
      <alignment horizontal="center" vertical="center" wrapText="1"/>
    </xf>
    <xf numFmtId="4" fontId="167" fillId="0" borderId="36" xfId="116" applyNumberFormat="1" applyFont="1" applyBorder="1" applyAlignment="1">
      <alignment horizontal="center" vertical="center" wrapText="1"/>
    </xf>
    <xf numFmtId="4" fontId="167" fillId="0" borderId="31" xfId="116" applyNumberFormat="1" applyFont="1" applyBorder="1" applyAlignment="1">
      <alignment horizontal="center" vertical="center" wrapText="1"/>
    </xf>
    <xf numFmtId="4" fontId="159" fillId="0" borderId="5" xfId="506" applyNumberFormat="1" applyFont="1" applyBorder="1" applyAlignment="1" applyProtection="1">
      <alignment horizontal="center" vertical="center" wrapText="1"/>
      <protection hidden="1"/>
    </xf>
    <xf numFmtId="0" fontId="194" fillId="0" borderId="0" xfId="116" applyFont="1" applyAlignment="1">
      <alignment horizontal="center"/>
    </xf>
    <xf numFmtId="0" fontId="167" fillId="0" borderId="29" xfId="116" applyFont="1" applyBorder="1" applyAlignment="1">
      <alignment horizontal="center" vertical="center" wrapText="1"/>
    </xf>
    <xf numFmtId="0" fontId="167" fillId="0" borderId="35" xfId="116" applyFont="1" applyBorder="1" applyAlignment="1">
      <alignment horizontal="center" vertical="center" wrapText="1"/>
    </xf>
    <xf numFmtId="0" fontId="167" fillId="0" borderId="56" xfId="116" applyFont="1" applyBorder="1" applyAlignment="1">
      <alignment horizontal="center" vertical="center" wrapText="1"/>
    </xf>
    <xf numFmtId="0" fontId="47" fillId="0" borderId="0" xfId="116" applyFont="1" applyAlignment="1">
      <alignment horizontal="center" vertical="center" wrapText="1"/>
    </xf>
    <xf numFmtId="0" fontId="142" fillId="0" borderId="5" xfId="0" applyFont="1" applyBorder="1" applyAlignment="1">
      <alignment horizontal="center"/>
    </xf>
    <xf numFmtId="0" fontId="167" fillId="0" borderId="28" xfId="116" applyFont="1" applyBorder="1" applyAlignment="1">
      <alignment horizontal="center" vertical="center"/>
    </xf>
    <xf numFmtId="0" fontId="167" fillId="0" borderId="26" xfId="116" applyFont="1" applyBorder="1" applyAlignment="1">
      <alignment horizontal="center" vertical="center" wrapText="1"/>
    </xf>
    <xf numFmtId="0" fontId="167" fillId="0" borderId="34" xfId="116" applyFont="1" applyBorder="1" applyAlignment="1">
      <alignment horizontal="center" vertical="center" wrapText="1"/>
    </xf>
    <xf numFmtId="0" fontId="167" fillId="0" borderId="27" xfId="116" applyFont="1" applyBorder="1" applyAlignment="1">
      <alignment horizontal="center" vertical="center" wrapText="1"/>
    </xf>
    <xf numFmtId="0" fontId="168" fillId="0" borderId="28" xfId="116" applyFont="1" applyBorder="1" applyAlignment="1">
      <alignment horizontal="center" vertical="center" wrapText="1"/>
    </xf>
    <xf numFmtId="0" fontId="168" fillId="0" borderId="23" xfId="116" applyFont="1" applyBorder="1" applyAlignment="1">
      <alignment horizontal="center" vertical="center" wrapText="1"/>
    </xf>
    <xf numFmtId="0" fontId="281" fillId="0" borderId="33" xfId="116" applyFont="1" applyBorder="1" applyAlignment="1">
      <alignment horizontal="center" vertical="center" wrapText="1"/>
    </xf>
    <xf numFmtId="0" fontId="281" fillId="0" borderId="32" xfId="116" applyFont="1" applyBorder="1" applyAlignment="1">
      <alignment horizontal="center" vertical="center" wrapText="1"/>
    </xf>
    <xf numFmtId="0" fontId="283" fillId="0" borderId="33" xfId="116" applyFont="1" applyBorder="1" applyAlignment="1">
      <alignment horizontal="center" vertical="center" wrapText="1"/>
    </xf>
    <xf numFmtId="0" fontId="283" fillId="0" borderId="32" xfId="116" applyFont="1" applyBorder="1" applyAlignment="1">
      <alignment horizontal="center" vertical="center" wrapText="1"/>
    </xf>
    <xf numFmtId="179" fontId="163" fillId="0" borderId="0" xfId="116" applyNumberFormat="1" applyFont="1" applyAlignment="1">
      <alignment horizontal="center"/>
    </xf>
    <xf numFmtId="179" fontId="47" fillId="0" borderId="0" xfId="116" applyNumberFormat="1" applyFont="1" applyAlignment="1">
      <alignment horizontal="center" vertical="top"/>
    </xf>
    <xf numFmtId="179" fontId="47" fillId="0" borderId="0" xfId="116" applyNumberFormat="1" applyFont="1" applyAlignment="1">
      <alignment horizontal="center" vertical="center"/>
    </xf>
    <xf numFmtId="0" fontId="98" fillId="0" borderId="1" xfId="0" applyFont="1" applyBorder="1" applyAlignment="1">
      <alignment horizontal="center"/>
    </xf>
    <xf numFmtId="0" fontId="159" fillId="0" borderId="77" xfId="506" applyFont="1" applyBorder="1" applyAlignment="1">
      <alignment horizontal="center" vertical="top"/>
    </xf>
    <xf numFmtId="0" fontId="167" fillId="0" borderId="30" xfId="116" applyFont="1" applyBorder="1" applyAlignment="1">
      <alignment horizontal="center" vertical="center" wrapText="1"/>
    </xf>
    <xf numFmtId="0" fontId="167" fillId="0" borderId="36" xfId="116" applyFont="1" applyBorder="1" applyAlignment="1">
      <alignment horizontal="center" vertical="center" wrapText="1"/>
    </xf>
    <xf numFmtId="0" fontId="167" fillId="0" borderId="31" xfId="116" applyFont="1" applyBorder="1" applyAlignment="1">
      <alignment horizontal="center" vertical="center" wrapText="1"/>
    </xf>
    <xf numFmtId="2" fontId="159" fillId="0" borderId="5" xfId="506" applyNumberFormat="1" applyFont="1" applyBorder="1" applyAlignment="1" applyProtection="1">
      <alignment horizontal="center" vertical="center" wrapText="1"/>
      <protection hidden="1"/>
    </xf>
    <xf numFmtId="4" fontId="170" fillId="0" borderId="0" xfId="116" applyNumberFormat="1" applyFont="1" applyAlignment="1">
      <alignment horizontal="left"/>
    </xf>
    <xf numFmtId="0" fontId="0" fillId="0" borderId="0" xfId="0" applyAlignment="1">
      <alignment horizontal="center"/>
    </xf>
    <xf numFmtId="2" fontId="161" fillId="0" borderId="5" xfId="506" applyNumberFormat="1" applyFont="1" applyBorder="1" applyAlignment="1" applyProtection="1">
      <alignment horizontal="center" vertical="center" wrapText="1"/>
      <protection hidden="1"/>
    </xf>
    <xf numFmtId="0" fontId="157" fillId="0" borderId="77" xfId="506" applyFont="1" applyBorder="1" applyAlignment="1">
      <alignment horizontal="center" vertical="top"/>
    </xf>
    <xf numFmtId="0" fontId="39" fillId="0" borderId="36" xfId="0" applyFont="1" applyBorder="1" applyAlignment="1">
      <alignment horizontal="center"/>
    </xf>
    <xf numFmtId="0" fontId="39" fillId="0" borderId="33" xfId="0" applyFont="1" applyBorder="1" applyAlignment="1">
      <alignment horizontal="center"/>
    </xf>
    <xf numFmtId="0" fontId="39" fillId="0" borderId="23" xfId="0" applyFont="1" applyBorder="1" applyAlignment="1">
      <alignment horizontal="center"/>
    </xf>
    <xf numFmtId="0" fontId="39" fillId="0" borderId="33" xfId="0" applyFont="1" applyBorder="1" applyAlignment="1">
      <alignment horizontal="center" wrapText="1"/>
    </xf>
    <xf numFmtId="0" fontId="39" fillId="0" borderId="23" xfId="0" applyFont="1" applyBorder="1" applyAlignment="1">
      <alignment horizontal="center" wrapText="1"/>
    </xf>
    <xf numFmtId="0" fontId="370" fillId="0" borderId="5" xfId="556" applyFont="1" applyBorder="1" applyAlignment="1">
      <alignment horizontal="center"/>
    </xf>
    <xf numFmtId="0" fontId="47" fillId="0" borderId="77" xfId="556" applyFont="1" applyBorder="1" applyAlignment="1">
      <alignment horizontal="center" vertical="top" wrapText="1"/>
    </xf>
    <xf numFmtId="49" fontId="89" fillId="0" borderId="33" xfId="556" applyNumberFormat="1" applyFont="1" applyBorder="1" applyAlignment="1">
      <alignment horizontal="center" vertical="center" wrapText="1"/>
    </xf>
    <xf numFmtId="49" fontId="89" fillId="0" borderId="32" xfId="556" applyNumberFormat="1" applyFont="1" applyBorder="1" applyAlignment="1">
      <alignment horizontal="center" vertical="center" wrapText="1"/>
    </xf>
    <xf numFmtId="0" fontId="145" fillId="0" borderId="30" xfId="556" applyFont="1" applyBorder="1" applyAlignment="1">
      <alignment horizontal="center" vertical="center" wrapText="1"/>
    </xf>
    <xf numFmtId="0" fontId="145" fillId="0" borderId="36" xfId="556" applyFont="1" applyBorder="1" applyAlignment="1">
      <alignment horizontal="center" vertical="center" wrapText="1"/>
    </xf>
    <xf numFmtId="0" fontId="39" fillId="0" borderId="0" xfId="557" applyFont="1" applyAlignment="1">
      <alignment horizontal="left" vertical="top" wrapText="1"/>
    </xf>
    <xf numFmtId="0" fontId="98" fillId="0" borderId="1" xfId="556" applyFont="1" applyBorder="1" applyAlignment="1">
      <alignment horizontal="center" vertical="center" wrapText="1"/>
    </xf>
    <xf numFmtId="0" fontId="98" fillId="0" borderId="40" xfId="556" applyFont="1" applyBorder="1" applyAlignment="1">
      <alignment horizontal="center" vertical="center" wrapText="1"/>
    </xf>
    <xf numFmtId="2" fontId="98" fillId="0" borderId="39" xfId="556" applyNumberFormat="1" applyFont="1" applyBorder="1" applyAlignment="1">
      <alignment horizontal="center" vertical="center" wrapText="1"/>
    </xf>
    <xf numFmtId="2" fontId="98" fillId="0" borderId="41" xfId="556" applyNumberFormat="1" applyFont="1" applyBorder="1" applyAlignment="1">
      <alignment horizontal="center" vertical="center" wrapText="1"/>
    </xf>
    <xf numFmtId="0" fontId="145" fillId="0" borderId="60" xfId="556" applyFont="1" applyBorder="1" applyAlignment="1">
      <alignment horizontal="center" vertical="center" wrapText="1"/>
    </xf>
    <xf numFmtId="0" fontId="145" fillId="0" borderId="61" xfId="556" applyFont="1" applyBorder="1" applyAlignment="1">
      <alignment horizontal="center" vertical="center" wrapText="1"/>
    </xf>
    <xf numFmtId="0" fontId="145" fillId="0" borderId="62" xfId="556" applyFont="1" applyBorder="1" applyAlignment="1">
      <alignment horizontal="center" vertical="center" wrapText="1"/>
    </xf>
    <xf numFmtId="0" fontId="145" fillId="0" borderId="57" xfId="556" applyFont="1" applyBorder="1" applyAlignment="1">
      <alignment horizontal="center" vertical="center" wrapText="1"/>
    </xf>
    <xf numFmtId="0" fontId="145" fillId="0" borderId="58" xfId="556" applyFont="1" applyBorder="1" applyAlignment="1">
      <alignment horizontal="center" vertical="center" wrapText="1"/>
    </xf>
    <xf numFmtId="0" fontId="145" fillId="0" borderId="59" xfId="556" applyFont="1" applyBorder="1" applyAlignment="1">
      <alignment horizontal="center" vertical="center" wrapText="1"/>
    </xf>
    <xf numFmtId="0" fontId="98" fillId="0" borderId="47" xfId="556" applyFont="1" applyBorder="1" applyAlignment="1">
      <alignment horizontal="center" vertical="center" wrapText="1"/>
    </xf>
    <xf numFmtId="0" fontId="98" fillId="0" borderId="79" xfId="556" applyFont="1" applyBorder="1" applyAlignment="1">
      <alignment horizontal="center" vertical="center" wrapText="1"/>
    </xf>
    <xf numFmtId="0" fontId="170" fillId="0" borderId="0" xfId="556" applyFont="1" applyAlignment="1">
      <alignment horizontal="left" vertical="center" wrapText="1"/>
    </xf>
    <xf numFmtId="0" fontId="201" fillId="0" borderId="0" xfId="556" applyFont="1" applyAlignment="1">
      <alignment horizontal="center" vertical="center"/>
    </xf>
    <xf numFmtId="0" fontId="204" fillId="0" borderId="0" xfId="556" applyFont="1" applyAlignment="1">
      <alignment horizontal="center" vertical="center"/>
    </xf>
    <xf numFmtId="0" fontId="201" fillId="0" borderId="0" xfId="556" applyFont="1" applyAlignment="1">
      <alignment horizontal="center" vertical="center" wrapText="1"/>
    </xf>
    <xf numFmtId="0" fontId="98" fillId="0" borderId="39" xfId="556" applyFont="1" applyBorder="1" applyAlignment="1">
      <alignment horizontal="center" vertical="center" wrapText="1"/>
    </xf>
    <xf numFmtId="0" fontId="98" fillId="0" borderId="41" xfId="556" applyFont="1" applyBorder="1" applyAlignment="1">
      <alignment horizontal="center" vertical="center" wrapText="1"/>
    </xf>
    <xf numFmtId="0" fontId="47" fillId="0" borderId="0" xfId="556" applyFont="1" applyAlignment="1">
      <alignment horizontal="center" vertical="center" wrapText="1"/>
    </xf>
    <xf numFmtId="0" fontId="145" fillId="0" borderId="39" xfId="556" applyFont="1" applyBorder="1" applyAlignment="1">
      <alignment horizontal="center" vertical="center" wrapText="1"/>
    </xf>
    <xf numFmtId="0" fontId="145" fillId="0" borderId="41" xfId="556" applyFont="1" applyBorder="1" applyAlignment="1">
      <alignment horizontal="center" vertical="center" wrapText="1"/>
    </xf>
    <xf numFmtId="0" fontId="145" fillId="0" borderId="40" xfId="556" applyFont="1" applyBorder="1" applyAlignment="1">
      <alignment horizontal="center" vertical="center" wrapText="1"/>
    </xf>
    <xf numFmtId="0" fontId="145" fillId="0" borderId="47" xfId="556" applyFont="1" applyBorder="1" applyAlignment="1">
      <alignment horizontal="center" vertical="center" wrapText="1"/>
    </xf>
    <xf numFmtId="0" fontId="145" fillId="0" borderId="1" xfId="556" applyFont="1" applyBorder="1" applyAlignment="1">
      <alignment horizontal="center" vertical="center" wrapText="1"/>
    </xf>
    <xf numFmtId="49" fontId="48" fillId="0" borderId="30" xfId="556" applyNumberFormat="1" applyFont="1" applyBorder="1" applyAlignment="1">
      <alignment horizontal="center" vertical="center"/>
    </xf>
    <xf numFmtId="49" fontId="48" fillId="0" borderId="36" xfId="556" applyNumberFormat="1" applyFont="1" applyBorder="1" applyAlignment="1">
      <alignment horizontal="center" vertical="center"/>
    </xf>
    <xf numFmtId="49" fontId="48" fillId="0" borderId="31" xfId="556" applyNumberFormat="1" applyFont="1" applyBorder="1" applyAlignment="1">
      <alignment horizontal="center" vertical="center"/>
    </xf>
    <xf numFmtId="49" fontId="39" fillId="0" borderId="41" xfId="556" applyNumberFormat="1" applyFont="1" applyBorder="1" applyAlignment="1">
      <alignment horizontal="center" vertical="center"/>
    </xf>
    <xf numFmtId="49" fontId="39" fillId="0" borderId="42" xfId="556" applyNumberFormat="1" applyFont="1" applyBorder="1" applyAlignment="1">
      <alignment horizontal="center" vertical="center"/>
    </xf>
    <xf numFmtId="0" fontId="202" fillId="0" borderId="0" xfId="556" applyFont="1" applyAlignment="1">
      <alignment horizontal="center" vertical="center" wrapText="1"/>
    </xf>
    <xf numFmtId="0" fontId="98" fillId="0" borderId="0" xfId="556" applyFont="1" applyAlignment="1">
      <alignment horizontal="center" vertical="center" wrapText="1"/>
    </xf>
    <xf numFmtId="49" fontId="47" fillId="0" borderId="0" xfId="556" applyNumberFormat="1" applyFont="1" applyAlignment="1">
      <alignment horizontal="left" vertical="center"/>
    </xf>
    <xf numFmtId="0" fontId="145" fillId="0" borderId="98" xfId="556" applyFont="1" applyBorder="1" applyAlignment="1">
      <alignment horizontal="center" vertical="center" wrapText="1"/>
    </xf>
    <xf numFmtId="0" fontId="145" fillId="0" borderId="31" xfId="556" applyFont="1" applyBorder="1" applyAlignment="1">
      <alignment horizontal="center" vertical="center" wrapText="1"/>
    </xf>
    <xf numFmtId="4" fontId="122" fillId="0" borderId="5" xfId="556" applyNumberFormat="1" applyFont="1" applyBorder="1" applyAlignment="1">
      <alignment horizontal="center"/>
    </xf>
    <xf numFmtId="0" fontId="122" fillId="0" borderId="5" xfId="556" applyFont="1" applyBorder="1" applyAlignment="1">
      <alignment horizontal="center"/>
    </xf>
    <xf numFmtId="0" fontId="10" fillId="0" borderId="0" xfId="556" applyFont="1" applyAlignment="1">
      <alignment horizontal="center"/>
    </xf>
    <xf numFmtId="0" fontId="12" fillId="0" borderId="0" xfId="556" applyAlignment="1">
      <alignment horizontal="center"/>
    </xf>
    <xf numFmtId="0" fontId="145" fillId="0" borderId="49" xfId="556" applyFont="1" applyBorder="1" applyAlignment="1">
      <alignment horizontal="center" vertical="center" wrapText="1"/>
    </xf>
    <xf numFmtId="0" fontId="159" fillId="0" borderId="0" xfId="506" applyFont="1" applyAlignment="1">
      <alignment horizontal="center" vertical="top"/>
    </xf>
    <xf numFmtId="0" fontId="167" fillId="65" borderId="26" xfId="116" applyFont="1" applyFill="1" applyBorder="1" applyAlignment="1">
      <alignment horizontal="center" vertical="center"/>
    </xf>
    <xf numFmtId="0" fontId="167" fillId="65" borderId="29" xfId="116" applyFont="1" applyFill="1" applyBorder="1" applyAlignment="1">
      <alignment horizontal="center" vertical="center"/>
    </xf>
    <xf numFmtId="0" fontId="167" fillId="65" borderId="30" xfId="116" applyFont="1" applyFill="1" applyBorder="1" applyAlignment="1">
      <alignment horizontal="center" vertical="center" wrapText="1"/>
    </xf>
    <xf numFmtId="0" fontId="167" fillId="65" borderId="36" xfId="116" applyFont="1" applyFill="1" applyBorder="1" applyAlignment="1">
      <alignment horizontal="center" vertical="center" wrapText="1"/>
    </xf>
    <xf numFmtId="0" fontId="167" fillId="65" borderId="31" xfId="116" applyFont="1" applyFill="1" applyBorder="1" applyAlignment="1">
      <alignment horizontal="center" vertical="center" wrapText="1"/>
    </xf>
    <xf numFmtId="2" fontId="159" fillId="3" borderId="5" xfId="506" applyNumberFormat="1" applyFont="1" applyFill="1" applyBorder="1" applyAlignment="1" applyProtection="1">
      <alignment horizontal="center" vertical="center" wrapText="1"/>
      <protection hidden="1"/>
    </xf>
    <xf numFmtId="0" fontId="47" fillId="0" borderId="5" xfId="116" applyFont="1" applyBorder="1" applyAlignment="1">
      <alignment horizontal="center"/>
    </xf>
    <xf numFmtId="0" fontId="167" fillId="65" borderId="28" xfId="116" applyFont="1" applyFill="1" applyBorder="1" applyAlignment="1">
      <alignment horizontal="center" vertical="center"/>
    </xf>
    <xf numFmtId="0" fontId="281" fillId="65" borderId="33" xfId="116" applyFont="1" applyFill="1" applyBorder="1" applyAlignment="1">
      <alignment horizontal="center" vertical="center" wrapText="1"/>
    </xf>
    <xf numFmtId="0" fontId="281" fillId="65" borderId="32" xfId="116" applyFont="1" applyFill="1" applyBorder="1" applyAlignment="1">
      <alignment horizontal="center" vertical="center" wrapText="1"/>
    </xf>
    <xf numFmtId="0" fontId="283" fillId="65" borderId="33" xfId="116" applyFont="1" applyFill="1" applyBorder="1" applyAlignment="1">
      <alignment horizontal="center" vertical="center" wrapText="1"/>
    </xf>
    <xf numFmtId="0" fontId="283" fillId="65" borderId="32" xfId="116" applyFont="1" applyFill="1" applyBorder="1" applyAlignment="1">
      <alignment horizontal="center" vertical="center" wrapText="1"/>
    </xf>
    <xf numFmtId="0" fontId="167" fillId="65" borderId="26" xfId="116" applyFont="1" applyFill="1" applyBorder="1" applyAlignment="1">
      <alignment horizontal="center" vertical="center" wrapText="1"/>
    </xf>
    <xf numFmtId="0" fontId="167" fillId="65" borderId="34" xfId="116" applyFont="1" applyFill="1" applyBorder="1" applyAlignment="1">
      <alignment horizontal="center" vertical="center" wrapText="1"/>
    </xf>
    <xf numFmtId="0" fontId="167" fillId="65" borderId="27" xfId="116" applyFont="1" applyFill="1" applyBorder="1" applyAlignment="1">
      <alignment horizontal="center" vertical="center" wrapText="1"/>
    </xf>
    <xf numFmtId="0" fontId="168" fillId="65" borderId="28" xfId="116" applyFont="1" applyFill="1" applyBorder="1" applyAlignment="1">
      <alignment horizontal="center" vertical="center" wrapText="1"/>
    </xf>
    <xf numFmtId="0" fontId="168" fillId="65" borderId="23" xfId="116" applyFont="1" applyFill="1" applyBorder="1" applyAlignment="1">
      <alignment horizontal="center" vertical="center" wrapText="1"/>
    </xf>
    <xf numFmtId="0" fontId="167" fillId="65" borderId="29" xfId="116" applyFont="1" applyFill="1" applyBorder="1" applyAlignment="1">
      <alignment horizontal="center" vertical="center" wrapText="1"/>
    </xf>
    <xf numFmtId="0" fontId="167" fillId="65" borderId="35" xfId="116" applyFont="1" applyFill="1" applyBorder="1" applyAlignment="1">
      <alignment horizontal="center" vertical="center" wrapText="1"/>
    </xf>
    <xf numFmtId="0" fontId="167" fillId="65" borderId="56" xfId="116" applyFont="1" applyFill="1" applyBorder="1" applyAlignment="1">
      <alignment horizontal="center" vertical="center" wrapText="1"/>
    </xf>
    <xf numFmtId="0" fontId="98" fillId="0" borderId="0" xfId="116" applyFont="1" applyAlignment="1">
      <alignment horizontal="left"/>
    </xf>
    <xf numFmtId="0" fontId="47" fillId="0" borderId="0" xfId="116" applyFont="1" applyAlignment="1">
      <alignment horizontal="center"/>
    </xf>
    <xf numFmtId="0" fontId="167" fillId="32" borderId="26" xfId="116" applyFont="1" applyFill="1" applyBorder="1" applyAlignment="1">
      <alignment horizontal="center" vertical="center"/>
    </xf>
    <xf numFmtId="0" fontId="167" fillId="32" borderId="29" xfId="116" applyFont="1" applyFill="1" applyBorder="1" applyAlignment="1">
      <alignment horizontal="center" vertical="center"/>
    </xf>
    <xf numFmtId="0" fontId="167" fillId="32" borderId="30" xfId="116" applyFont="1" applyFill="1" applyBorder="1" applyAlignment="1">
      <alignment horizontal="center" vertical="center" wrapText="1"/>
    </xf>
    <xf numFmtId="0" fontId="167" fillId="32" borderId="36" xfId="116" applyFont="1" applyFill="1" applyBorder="1" applyAlignment="1">
      <alignment horizontal="center" vertical="center" wrapText="1"/>
    </xf>
    <xf numFmtId="0" fontId="167" fillId="32" borderId="31" xfId="116" applyFont="1" applyFill="1" applyBorder="1" applyAlignment="1">
      <alignment horizontal="center" vertical="center" wrapText="1"/>
    </xf>
    <xf numFmtId="0" fontId="39" fillId="0" borderId="0" xfId="0" applyFont="1" applyAlignment="1">
      <alignment horizontal="right"/>
    </xf>
    <xf numFmtId="2" fontId="161" fillId="3" borderId="5" xfId="506" applyNumberFormat="1" applyFont="1" applyFill="1" applyBorder="1" applyAlignment="1" applyProtection="1">
      <alignment horizontal="center" vertical="center" wrapText="1"/>
      <protection hidden="1"/>
    </xf>
    <xf numFmtId="0" fontId="161" fillId="0" borderId="77" xfId="506" applyFont="1" applyBorder="1" applyAlignment="1">
      <alignment horizontal="center" vertical="top"/>
    </xf>
    <xf numFmtId="0" fontId="229" fillId="0" borderId="77" xfId="0" applyFont="1" applyBorder="1" applyAlignment="1">
      <alignment horizontal="center" wrapText="1"/>
    </xf>
    <xf numFmtId="0" fontId="229" fillId="0" borderId="78" xfId="0" applyFont="1" applyBorder="1" applyAlignment="1">
      <alignment horizontal="center" wrapText="1"/>
    </xf>
    <xf numFmtId="0" fontId="306" fillId="78" borderId="8" xfId="0" applyFont="1" applyFill="1" applyBorder="1" applyAlignment="1">
      <alignment horizontal="left" vertical="center" wrapText="1"/>
    </xf>
    <xf numFmtId="0" fontId="306" fillId="78" borderId="9" xfId="0" applyFont="1" applyFill="1" applyBorder="1" applyAlignment="1">
      <alignment horizontal="left" vertical="center" wrapText="1"/>
    </xf>
    <xf numFmtId="0" fontId="306" fillId="78" borderId="7" xfId="0" applyFont="1" applyFill="1" applyBorder="1" applyAlignment="1">
      <alignment horizontal="left" vertical="center" wrapText="1"/>
    </xf>
    <xf numFmtId="0" fontId="305" fillId="75" borderId="8" xfId="0" applyFont="1" applyFill="1" applyBorder="1" applyAlignment="1">
      <alignment horizontal="left" vertical="center" wrapText="1"/>
    </xf>
    <xf numFmtId="0" fontId="305" fillId="75" borderId="9" xfId="0" applyFont="1" applyFill="1" applyBorder="1" applyAlignment="1">
      <alignment horizontal="left" vertical="center" wrapText="1"/>
    </xf>
    <xf numFmtId="0" fontId="305" fillId="75" borderId="7" xfId="0" applyFont="1" applyFill="1" applyBorder="1" applyAlignment="1">
      <alignment horizontal="left" vertical="center" wrapText="1"/>
    </xf>
    <xf numFmtId="0" fontId="39" fillId="0" borderId="1" xfId="0" applyFont="1" applyBorder="1" applyAlignment="1">
      <alignment horizontal="center" vertical="center" wrapText="1"/>
    </xf>
    <xf numFmtId="0" fontId="48" fillId="0" borderId="1" xfId="0" applyFont="1" applyBorder="1" applyAlignment="1">
      <alignment horizontal="center" vertical="center" wrapText="1"/>
    </xf>
    <xf numFmtId="0" fontId="39" fillId="0" borderId="2" xfId="0" applyFont="1" applyBorder="1" applyAlignment="1">
      <alignment horizontal="center" vertical="center" wrapText="1"/>
    </xf>
    <xf numFmtId="0" fontId="39" fillId="0" borderId="3" xfId="0" applyFont="1" applyBorder="1" applyAlignment="1">
      <alignment horizontal="center" vertical="center" wrapText="1"/>
    </xf>
    <xf numFmtId="0" fontId="39" fillId="0" borderId="79" xfId="0" applyFont="1" applyBorder="1" applyAlignment="1">
      <alignment horizontal="center" vertical="center" wrapText="1"/>
    </xf>
    <xf numFmtId="0" fontId="39" fillId="0" borderId="4" xfId="0" applyFont="1" applyBorder="1" applyAlignment="1">
      <alignment horizontal="center" vertical="center" wrapText="1"/>
    </xf>
    <xf numFmtId="0" fontId="48" fillId="0" borderId="0" xfId="5" applyFont="1" applyAlignment="1">
      <alignment horizontal="center"/>
    </xf>
    <xf numFmtId="0" fontId="100" fillId="3" borderId="0" xfId="5" applyFont="1" applyFill="1" applyAlignment="1">
      <alignment horizontal="center" vertical="top" wrapText="1"/>
    </xf>
    <xf numFmtId="0" fontId="38" fillId="0" borderId="0" xfId="5" applyFont="1" applyAlignment="1">
      <alignment horizontal="center" vertical="top" wrapText="1"/>
    </xf>
    <xf numFmtId="0" fontId="0" fillId="0" borderId="9" xfId="0" applyBorder="1" applyAlignment="1">
      <alignment horizontal="center" vertical="center" wrapText="1"/>
    </xf>
    <xf numFmtId="0" fontId="0" fillId="0" borderId="7" xfId="0" applyBorder="1" applyAlignment="1">
      <alignment horizontal="center" vertical="center" wrapText="1"/>
    </xf>
    <xf numFmtId="0" fontId="48" fillId="31" borderId="0" xfId="5" applyFont="1" applyFill="1" applyAlignment="1">
      <alignment horizontal="center"/>
    </xf>
    <xf numFmtId="0" fontId="39" fillId="3" borderId="5" xfId="5" applyFont="1" applyFill="1" applyBorder="1" applyAlignment="1">
      <alignment horizontal="center"/>
    </xf>
    <xf numFmtId="0" fontId="39" fillId="31" borderId="0" xfId="5" applyFont="1" applyFill="1" applyAlignment="1">
      <alignment horizontal="center"/>
    </xf>
    <xf numFmtId="0" fontId="39" fillId="31" borderId="0" xfId="0" applyFont="1" applyFill="1" applyAlignment="1">
      <alignment horizontal="center" vertical="top" wrapText="1"/>
    </xf>
    <xf numFmtId="0" fontId="39" fillId="3" borderId="5" xfId="0" applyFont="1" applyFill="1" applyBorder="1" applyAlignment="1">
      <alignment horizontal="left" wrapText="1"/>
    </xf>
    <xf numFmtId="0" fontId="197" fillId="60" borderId="0" xfId="0" applyFont="1" applyFill="1" applyAlignment="1">
      <alignment horizontal="center"/>
    </xf>
    <xf numFmtId="0" fontId="197" fillId="0" borderId="8" xfId="0" applyFont="1" applyBorder="1" applyAlignment="1">
      <alignment horizontal="center" vertical="center" wrapText="1"/>
    </xf>
    <xf numFmtId="0" fontId="197" fillId="0" borderId="7" xfId="0" applyFont="1" applyBorder="1" applyAlignment="1">
      <alignment horizontal="center" vertical="center" wrapText="1"/>
    </xf>
    <xf numFmtId="0" fontId="207" fillId="0" borderId="8" xfId="0" applyFont="1" applyBorder="1" applyAlignment="1">
      <alignment horizontal="center" vertical="center" wrapText="1"/>
    </xf>
    <xf numFmtId="0" fontId="207" fillId="0" borderId="9" xfId="0" applyFont="1" applyBorder="1" applyAlignment="1">
      <alignment horizontal="center" vertical="center" wrapText="1"/>
    </xf>
    <xf numFmtId="0" fontId="207" fillId="0" borderId="123" xfId="0" applyFont="1" applyBorder="1" applyAlignment="1">
      <alignment horizontal="center" vertical="center" wrapText="1"/>
    </xf>
    <xf numFmtId="0" fontId="207" fillId="60" borderId="77" xfId="0" applyFont="1" applyFill="1" applyBorder="1" applyAlignment="1">
      <alignment horizontal="center"/>
    </xf>
    <xf numFmtId="0" fontId="197" fillId="0" borderId="0" xfId="0" applyFont="1" applyAlignment="1">
      <alignment horizontal="center"/>
    </xf>
    <xf numFmtId="0" fontId="207" fillId="0" borderId="79" xfId="0" applyFont="1" applyBorder="1" applyAlignment="1">
      <alignment horizontal="center" vertical="center" wrapText="1"/>
    </xf>
    <xf numFmtId="0" fontId="207" fillId="0" borderId="3" xfId="0" applyFont="1" applyBorder="1" applyAlignment="1">
      <alignment horizontal="center" vertical="center" wrapText="1"/>
    </xf>
    <xf numFmtId="0" fontId="207" fillId="0" borderId="122" xfId="0" applyFont="1" applyBorder="1" applyAlignment="1">
      <alignment horizontal="center" vertical="center" wrapText="1"/>
    </xf>
    <xf numFmtId="0" fontId="207" fillId="0" borderId="7" xfId="0" applyFont="1" applyBorder="1" applyAlignment="1">
      <alignment horizontal="center" vertical="center" wrapText="1"/>
    </xf>
    <xf numFmtId="0" fontId="39" fillId="0" borderId="0" xfId="0" applyFont="1" applyAlignment="1">
      <alignment horizontal="right" vertical="top" wrapText="1"/>
    </xf>
    <xf numFmtId="0" fontId="40" fillId="0" borderId="0" xfId="5" applyFont="1" applyAlignment="1">
      <alignment horizontal="center"/>
    </xf>
    <xf numFmtId="0" fontId="40" fillId="0" borderId="0" xfId="0" applyFont="1" applyAlignment="1">
      <alignment horizontal="center"/>
    </xf>
    <xf numFmtId="0" fontId="40" fillId="0" borderId="0" xfId="5" applyFont="1" applyAlignment="1">
      <alignment horizontal="right"/>
    </xf>
    <xf numFmtId="0" fontId="101" fillId="0" borderId="0" xfId="5" applyFont="1" applyAlignment="1">
      <alignment horizontal="center"/>
    </xf>
    <xf numFmtId="0" fontId="101" fillId="0" borderId="0" xfId="0" applyFont="1" applyAlignment="1">
      <alignment horizontal="center"/>
    </xf>
    <xf numFmtId="0" fontId="38" fillId="0" borderId="0" xfId="5" applyFont="1" applyAlignment="1" applyProtection="1">
      <alignment horizontal="right"/>
      <protection locked="0"/>
    </xf>
    <xf numFmtId="0" fontId="43" fillId="0" borderId="0" xfId="5" applyFont="1" applyAlignment="1" applyProtection="1">
      <alignment horizontal="center"/>
      <protection locked="0"/>
    </xf>
    <xf numFmtId="0" fontId="38" fillId="0" borderId="0" xfId="5" applyFont="1" applyAlignment="1" applyProtection="1">
      <alignment horizontal="center"/>
      <protection locked="0"/>
    </xf>
    <xf numFmtId="0" fontId="100" fillId="0" borderId="0" xfId="5" applyFont="1" applyAlignment="1">
      <alignment horizontal="center" vertical="center" wrapText="1"/>
    </xf>
    <xf numFmtId="0" fontId="37" fillId="0" borderId="0" xfId="5" applyFont="1" applyAlignment="1">
      <alignment horizontal="right" vertical="top" wrapText="1"/>
    </xf>
    <xf numFmtId="49" fontId="50" fillId="0" borderId="48" xfId="5" applyNumberFormat="1" applyFont="1" applyBorder="1" applyAlignment="1">
      <alignment horizontal="center" vertical="center" wrapText="1"/>
    </xf>
    <xf numFmtId="49" fontId="50" fillId="0" borderId="51" xfId="5" applyNumberFormat="1" applyFont="1" applyBorder="1" applyAlignment="1">
      <alignment horizontal="center" vertical="center" wrapText="1"/>
    </xf>
    <xf numFmtId="49" fontId="50" fillId="0" borderId="42" xfId="5" applyNumberFormat="1" applyFont="1" applyBorder="1" applyAlignment="1">
      <alignment horizontal="center" vertical="center" wrapText="1"/>
    </xf>
    <xf numFmtId="0" fontId="47" fillId="0" borderId="64" xfId="5" applyFont="1" applyBorder="1" applyAlignment="1">
      <alignment horizontal="center" vertical="center"/>
    </xf>
    <xf numFmtId="0" fontId="47" fillId="0" borderId="93" xfId="5" applyFont="1" applyBorder="1" applyAlignment="1">
      <alignment horizontal="center" vertical="center"/>
    </xf>
    <xf numFmtId="0" fontId="47" fillId="0" borderId="90" xfId="5" applyFont="1" applyBorder="1" applyAlignment="1">
      <alignment horizontal="center" vertical="center"/>
    </xf>
    <xf numFmtId="49" fontId="146" fillId="0" borderId="58" xfId="5" applyNumberFormat="1" applyFont="1" applyBorder="1" applyAlignment="1">
      <alignment horizontal="center" vertical="center" wrapText="1"/>
    </xf>
    <xf numFmtId="49" fontId="146" fillId="0" borderId="1" xfId="5" applyNumberFormat="1" applyFont="1" applyBorder="1" applyAlignment="1">
      <alignment horizontal="center" vertical="center" wrapText="1"/>
    </xf>
    <xf numFmtId="0" fontId="39" fillId="0" borderId="1" xfId="5" applyFont="1" applyBorder="1" applyAlignment="1">
      <alignment horizontal="left" vertical="center" wrapText="1"/>
    </xf>
    <xf numFmtId="0" fontId="39" fillId="0" borderId="0" xfId="5" applyFont="1" applyAlignment="1">
      <alignment horizontal="center"/>
    </xf>
    <xf numFmtId="49" fontId="50" fillId="0" borderId="49" xfId="5" applyNumberFormat="1" applyFont="1" applyBorder="1" applyAlignment="1">
      <alignment horizontal="center" vertical="center" wrapText="1"/>
    </xf>
    <xf numFmtId="49" fontId="50" fillId="0" borderId="4" xfId="5" applyNumberFormat="1" applyFont="1" applyBorder="1" applyAlignment="1">
      <alignment horizontal="center" vertical="center" wrapText="1"/>
    </xf>
    <xf numFmtId="49" fontId="50" fillId="0" borderId="3" xfId="5" applyNumberFormat="1" applyFont="1" applyBorder="1" applyAlignment="1">
      <alignment horizontal="center" vertical="center" wrapText="1"/>
    </xf>
    <xf numFmtId="49" fontId="50" fillId="0" borderId="58" xfId="5" applyNumberFormat="1" applyFont="1" applyBorder="1" applyAlignment="1">
      <alignment horizontal="center" vertical="center" wrapText="1"/>
    </xf>
    <xf numFmtId="49" fontId="50" fillId="0" borderId="1" xfId="5" applyNumberFormat="1" applyFont="1" applyBorder="1" applyAlignment="1">
      <alignment horizontal="center" vertical="center" wrapText="1"/>
    </xf>
    <xf numFmtId="49" fontId="170" fillId="0" borderId="58" xfId="5" applyNumberFormat="1" applyFont="1" applyBorder="1" applyAlignment="1">
      <alignment horizontal="center" vertical="center" wrapText="1"/>
    </xf>
    <xf numFmtId="49" fontId="170" fillId="0" borderId="1" xfId="5" applyNumberFormat="1" applyFont="1" applyBorder="1" applyAlignment="1">
      <alignment horizontal="center" vertical="center" wrapText="1"/>
    </xf>
    <xf numFmtId="0" fontId="36" fillId="0" borderId="57" xfId="0" applyFont="1" applyBorder="1" applyAlignment="1">
      <alignment horizontal="right"/>
    </xf>
    <xf numFmtId="0" fontId="36" fillId="0" borderId="58" xfId="0" applyFont="1" applyBorder="1" applyAlignment="1">
      <alignment horizontal="right"/>
    </xf>
    <xf numFmtId="0" fontId="287" fillId="0" borderId="39" xfId="5" applyFont="1" applyBorder="1" applyAlignment="1">
      <alignment horizontal="right"/>
    </xf>
    <xf numFmtId="0" fontId="287" fillId="0" borderId="1" xfId="5" applyFont="1" applyBorder="1" applyAlignment="1">
      <alignment horizontal="right"/>
    </xf>
    <xf numFmtId="0" fontId="36" fillId="0" borderId="39" xfId="5" applyFont="1" applyBorder="1" applyAlignment="1">
      <alignment horizontal="right"/>
    </xf>
    <xf numFmtId="0" fontId="36" fillId="0" borderId="1" xfId="5" applyFont="1" applyBorder="1" applyAlignment="1">
      <alignment horizontal="right"/>
    </xf>
    <xf numFmtId="0" fontId="36" fillId="0" borderId="53" xfId="5" applyFont="1" applyBorder="1" applyAlignment="1">
      <alignment horizontal="right"/>
    </xf>
    <xf numFmtId="0" fontId="36" fillId="0" borderId="54" xfId="5" applyFont="1" applyBorder="1" applyAlignment="1">
      <alignment horizontal="right"/>
    </xf>
    <xf numFmtId="0" fontId="39" fillId="0" borderId="1" xfId="5" applyFont="1" applyBorder="1" applyAlignment="1">
      <alignment horizontal="center"/>
    </xf>
    <xf numFmtId="0" fontId="48" fillId="0" borderId="1" xfId="0" applyFont="1" applyBorder="1" applyAlignment="1">
      <alignment horizontal="left" vertical="center" wrapText="1"/>
    </xf>
    <xf numFmtId="0" fontId="36" fillId="0" borderId="0" xfId="0" applyFont="1" applyAlignment="1">
      <alignment horizontal="left" vertical="top" wrapText="1"/>
    </xf>
    <xf numFmtId="0" fontId="48" fillId="0" borderId="0" xfId="6" applyFont="1" applyAlignment="1">
      <alignment horizontal="center"/>
    </xf>
    <xf numFmtId="0" fontId="48" fillId="0" borderId="0" xfId="6" applyFont="1" applyAlignment="1">
      <alignment horizontal="center" vertical="center" wrapText="1"/>
    </xf>
    <xf numFmtId="0" fontId="88" fillId="0" borderId="0" xfId="0" applyFont="1" applyAlignment="1">
      <alignment horizontal="center" vertical="center" wrapText="1"/>
    </xf>
    <xf numFmtId="0" fontId="36" fillId="0" borderId="0" xfId="6" applyFont="1" applyAlignment="1">
      <alignment horizontal="right"/>
    </xf>
    <xf numFmtId="0" fontId="195" fillId="0" borderId="0" xfId="0" applyFont="1" applyAlignment="1">
      <alignment horizontal="right"/>
    </xf>
    <xf numFmtId="0" fontId="38" fillId="0" borderId="0" xfId="6" applyFont="1" applyAlignment="1">
      <alignment horizontal="center" vertical="center" wrapText="1"/>
    </xf>
    <xf numFmtId="0" fontId="43" fillId="0" borderId="30" xfId="6" applyFont="1" applyBorder="1" applyAlignment="1">
      <alignment horizontal="center" vertical="center" wrapText="1"/>
    </xf>
    <xf numFmtId="0" fontId="0" fillId="0" borderId="36" xfId="0" applyBorder="1"/>
    <xf numFmtId="0" fontId="0" fillId="0" borderId="31" xfId="0" applyBorder="1"/>
    <xf numFmtId="0" fontId="43" fillId="0" borderId="29" xfId="6" applyFont="1" applyBorder="1" applyAlignment="1">
      <alignment horizontal="center" vertical="center" wrapText="1"/>
    </xf>
    <xf numFmtId="0" fontId="43" fillId="0" borderId="35" xfId="6" applyFont="1" applyBorder="1" applyAlignment="1">
      <alignment horizontal="center" vertical="center" wrapText="1"/>
    </xf>
    <xf numFmtId="0" fontId="43" fillId="0" borderId="56" xfId="6" applyFont="1" applyBorder="1" applyAlignment="1">
      <alignment horizontal="center" vertical="center" wrapText="1"/>
    </xf>
    <xf numFmtId="0" fontId="43" fillId="0" borderId="36" xfId="6" applyFont="1" applyBorder="1" applyAlignment="1">
      <alignment horizontal="center" vertical="center" wrapText="1"/>
    </xf>
    <xf numFmtId="0" fontId="43" fillId="0" borderId="31" xfId="6" applyFont="1" applyBorder="1" applyAlignment="1">
      <alignment horizontal="center" vertical="center" wrapText="1"/>
    </xf>
    <xf numFmtId="4" fontId="106" fillId="0" borderId="0" xfId="0" applyNumberFormat="1" applyFont="1" applyAlignment="1">
      <alignment horizontal="center"/>
    </xf>
    <xf numFmtId="0" fontId="1" fillId="0" borderId="79" xfId="6" applyFont="1" applyBorder="1" applyAlignment="1">
      <alignment horizontal="center" vertical="center" wrapText="1"/>
    </xf>
    <xf numFmtId="0" fontId="1" fillId="0" borderId="3" xfId="6" applyFont="1" applyBorder="1" applyAlignment="1">
      <alignment horizontal="center" vertical="center" wrapText="1"/>
    </xf>
    <xf numFmtId="0" fontId="100" fillId="0" borderId="0" xfId="6" applyFont="1" applyAlignment="1">
      <alignment horizontal="center" vertical="center" wrapText="1"/>
    </xf>
    <xf numFmtId="0" fontId="1" fillId="0" borderId="1" xfId="6" applyFont="1" applyBorder="1" applyAlignment="1">
      <alignment horizontal="center" vertical="center" wrapText="1"/>
    </xf>
    <xf numFmtId="0" fontId="111" fillId="0" borderId="1" xfId="6" applyFont="1" applyBorder="1" applyAlignment="1">
      <alignment horizontal="center" vertical="center" wrapText="1"/>
    </xf>
    <xf numFmtId="0" fontId="353" fillId="0" borderId="57" xfId="6" applyFont="1" applyBorder="1" applyAlignment="1">
      <alignment horizontal="center" vertical="center"/>
    </xf>
    <xf numFmtId="0" fontId="353" fillId="0" borderId="58" xfId="6" applyFont="1" applyBorder="1" applyAlignment="1">
      <alignment horizontal="center" vertical="center"/>
    </xf>
    <xf numFmtId="0" fontId="38" fillId="0" borderId="1" xfId="6" applyFont="1" applyBorder="1" applyAlignment="1">
      <alignment horizontal="center" vertical="center" wrapText="1"/>
    </xf>
    <xf numFmtId="0" fontId="39" fillId="0" borderId="1" xfId="0" applyFont="1" applyBorder="1"/>
    <xf numFmtId="0" fontId="325" fillId="0" borderId="26" xfId="6" applyFont="1" applyBorder="1" applyAlignment="1">
      <alignment horizontal="center" vertical="center"/>
    </xf>
    <xf numFmtId="0" fontId="325" fillId="0" borderId="27" xfId="6" applyFont="1" applyBorder="1" applyAlignment="1">
      <alignment horizontal="center" vertical="center"/>
    </xf>
    <xf numFmtId="0" fontId="325" fillId="0" borderId="29" xfId="6" applyFont="1" applyBorder="1" applyAlignment="1">
      <alignment horizontal="center" vertical="center"/>
    </xf>
    <xf numFmtId="0" fontId="325" fillId="0" borderId="56" xfId="6" applyFont="1" applyBorder="1" applyAlignment="1">
      <alignment horizontal="center" vertical="center"/>
    </xf>
    <xf numFmtId="0" fontId="308" fillId="0" borderId="26" xfId="6" applyFont="1" applyBorder="1" applyAlignment="1">
      <alignment horizontal="center" vertical="center"/>
    </xf>
    <xf numFmtId="0" fontId="308" fillId="0" borderId="27" xfId="6" applyFont="1" applyBorder="1" applyAlignment="1">
      <alignment horizontal="center" vertical="center"/>
    </xf>
    <xf numFmtId="0" fontId="308" fillId="0" borderId="29" xfId="6" applyFont="1" applyBorder="1" applyAlignment="1">
      <alignment horizontal="center" vertical="center"/>
    </xf>
    <xf numFmtId="0" fontId="308" fillId="0" borderId="56" xfId="6" applyFont="1" applyBorder="1" applyAlignment="1">
      <alignment horizontal="center" vertical="center"/>
    </xf>
    <xf numFmtId="0" fontId="38" fillId="0" borderId="58" xfId="6" applyFont="1" applyBorder="1" applyAlignment="1">
      <alignment horizontal="center" vertical="center" wrapText="1"/>
    </xf>
    <xf numFmtId="0" fontId="39" fillId="0" borderId="45" xfId="0" applyFont="1" applyBorder="1"/>
    <xf numFmtId="0" fontId="38" fillId="0" borderId="59" xfId="6" applyFont="1" applyBorder="1" applyAlignment="1">
      <alignment horizontal="center" vertical="center" wrapText="1"/>
    </xf>
    <xf numFmtId="0" fontId="39" fillId="0" borderId="46" xfId="0" applyFont="1" applyBorder="1"/>
    <xf numFmtId="0" fontId="39" fillId="0" borderId="40" xfId="0" applyFont="1" applyBorder="1"/>
    <xf numFmtId="0" fontId="339" fillId="0" borderId="30" xfId="0" applyFont="1" applyBorder="1" applyAlignment="1">
      <alignment horizontal="center" vertical="top" wrapText="1"/>
    </xf>
    <xf numFmtId="0" fontId="339" fillId="0" borderId="36" xfId="0" applyFont="1" applyBorder="1" applyAlignment="1">
      <alignment horizontal="center" vertical="top" wrapText="1"/>
    </xf>
    <xf numFmtId="0" fontId="339" fillId="0" borderId="31" xfId="0" applyFont="1" applyBorder="1" applyAlignment="1">
      <alignment horizontal="center" vertical="top" wrapText="1"/>
    </xf>
    <xf numFmtId="0" fontId="89" fillId="0" borderId="0" xfId="6" applyFont="1" applyAlignment="1">
      <alignment horizontal="center"/>
    </xf>
    <xf numFmtId="0" fontId="38" fillId="0" borderId="0" xfId="6" applyFont="1" applyAlignment="1">
      <alignment horizontal="right"/>
    </xf>
    <xf numFmtId="0" fontId="38" fillId="0" borderId="0" xfId="0" applyFont="1" applyAlignment="1">
      <alignment horizontal="right"/>
    </xf>
    <xf numFmtId="0" fontId="38" fillId="0" borderId="57" xfId="6" applyFont="1" applyBorder="1" applyAlignment="1">
      <alignment horizontal="center" vertical="center" wrapText="1"/>
    </xf>
    <xf numFmtId="0" fontId="38" fillId="0" borderId="39" xfId="6" applyFont="1" applyBorder="1" applyAlignment="1">
      <alignment horizontal="center" vertical="center" wrapText="1"/>
    </xf>
    <xf numFmtId="0" fontId="38" fillId="0" borderId="5" xfId="6" applyFont="1" applyBorder="1" applyAlignment="1">
      <alignment horizontal="right"/>
    </xf>
    <xf numFmtId="0" fontId="38" fillId="0" borderId="5" xfId="0" applyFont="1" applyBorder="1" applyAlignment="1">
      <alignment horizontal="right"/>
    </xf>
    <xf numFmtId="0" fontId="38" fillId="0" borderId="79" xfId="6" applyFont="1" applyBorder="1" applyAlignment="1">
      <alignment horizontal="center" vertical="center" wrapText="1"/>
    </xf>
    <xf numFmtId="0" fontId="38" fillId="0" borderId="3" xfId="6" applyFont="1" applyBorder="1" applyAlignment="1">
      <alignment horizontal="center" vertical="center" wrapText="1"/>
    </xf>
    <xf numFmtId="0" fontId="43" fillId="0" borderId="8" xfId="6" applyFont="1" applyBorder="1" applyAlignment="1">
      <alignment horizontal="center" vertical="center" wrapText="1"/>
    </xf>
    <xf numFmtId="0" fontId="43" fillId="0" borderId="9" xfId="6" applyFont="1" applyBorder="1" applyAlignment="1">
      <alignment horizontal="center" vertical="center" wrapText="1"/>
    </xf>
    <xf numFmtId="0" fontId="43" fillId="0" borderId="77" xfId="6" applyFont="1" applyBorder="1" applyAlignment="1">
      <alignment horizontal="center" vertical="center" wrapText="1"/>
    </xf>
    <xf numFmtId="0" fontId="43" fillId="0" borderId="7" xfId="6" applyFont="1" applyBorder="1" applyAlignment="1">
      <alignment horizontal="center" vertical="center" wrapText="1"/>
    </xf>
    <xf numFmtId="0" fontId="43" fillId="0" borderId="8" xfId="6" applyFont="1" applyBorder="1" applyAlignment="1">
      <alignment horizontal="center" vertical="center"/>
    </xf>
    <xf numFmtId="0" fontId="43" fillId="0" borderId="9" xfId="6" applyFont="1" applyBorder="1" applyAlignment="1">
      <alignment horizontal="center" vertical="center"/>
    </xf>
    <xf numFmtId="0" fontId="43" fillId="0" borderId="7" xfId="6" applyFont="1" applyBorder="1" applyAlignment="1">
      <alignment horizontal="center" vertical="center"/>
    </xf>
    <xf numFmtId="0" fontId="38" fillId="0" borderId="0" xfId="6" applyFont="1" applyAlignment="1">
      <alignment horizontal="center" vertical="center"/>
    </xf>
    <xf numFmtId="0" fontId="39" fillId="0" borderId="0" xfId="0" applyFont="1" applyAlignment="1">
      <alignment horizontal="center" vertical="center"/>
    </xf>
    <xf numFmtId="0" fontId="100" fillId="0" borderId="0" xfId="0" applyFont="1" applyAlignment="1">
      <alignment horizontal="center" vertical="center"/>
    </xf>
    <xf numFmtId="0" fontId="100" fillId="0" borderId="0" xfId="6" applyFont="1" applyAlignment="1">
      <alignment horizontal="center" vertical="center"/>
    </xf>
    <xf numFmtId="0" fontId="38" fillId="0" borderId="0" xfId="0" applyFont="1" applyAlignment="1">
      <alignment horizontal="center"/>
    </xf>
    <xf numFmtId="0" fontId="48" fillId="0" borderId="1" xfId="6" applyFont="1" applyBorder="1" applyAlignment="1">
      <alignment horizontal="center" vertical="center" wrapText="1"/>
    </xf>
    <xf numFmtId="0" fontId="48" fillId="0" borderId="2" xfId="6" applyFont="1" applyBorder="1" applyAlignment="1">
      <alignment horizontal="center" vertical="center" wrapText="1"/>
    </xf>
    <xf numFmtId="0" fontId="100" fillId="0" borderId="0" xfId="6" applyFont="1" applyAlignment="1">
      <alignment horizontal="center" wrapText="1"/>
    </xf>
    <xf numFmtId="0" fontId="39" fillId="0" borderId="0" xfId="6" applyFont="1" applyAlignment="1">
      <alignment horizontal="center" vertical="top" wrapText="1"/>
    </xf>
    <xf numFmtId="0" fontId="48" fillId="0" borderId="0" xfId="6" applyFont="1" applyAlignment="1">
      <alignment horizontal="center" wrapText="1"/>
    </xf>
    <xf numFmtId="0" fontId="48" fillId="0" borderId="0" xfId="6" applyFont="1" applyAlignment="1">
      <alignment horizontal="center" vertical="top" wrapText="1"/>
    </xf>
    <xf numFmtId="0" fontId="90" fillId="0" borderId="5" xfId="0" applyFont="1" applyBorder="1" applyAlignment="1">
      <alignment horizontal="right"/>
    </xf>
    <xf numFmtId="49" fontId="38" fillId="0" borderId="2" xfId="6" applyNumberFormat="1" applyFont="1" applyBorder="1" applyAlignment="1">
      <alignment horizontal="center" vertical="center" wrapText="1"/>
    </xf>
    <xf numFmtId="49" fontId="38" fillId="0" borderId="3" xfId="6" applyNumberFormat="1" applyFont="1" applyBorder="1" applyAlignment="1">
      <alignment horizontal="center" vertical="center" wrapText="1"/>
    </xf>
    <xf numFmtId="0" fontId="39" fillId="0" borderId="2" xfId="6" applyFont="1" applyBorder="1" applyAlignment="1">
      <alignment horizontal="center" vertical="center" wrapText="1"/>
    </xf>
    <xf numFmtId="0" fontId="39" fillId="0" borderId="3" xfId="6" applyFont="1" applyBorder="1" applyAlignment="1">
      <alignment horizontal="center" vertical="center" wrapText="1"/>
    </xf>
    <xf numFmtId="0" fontId="38" fillId="0" borderId="2" xfId="6" applyFont="1" applyBorder="1" applyAlignment="1">
      <alignment horizontal="center" vertical="center" wrapText="1"/>
    </xf>
    <xf numFmtId="0" fontId="39" fillId="0" borderId="0" xfId="0" applyFont="1" applyAlignment="1">
      <alignment vertical="top" wrapText="1"/>
    </xf>
    <xf numFmtId="49" fontId="48" fillId="0" borderId="1" xfId="0" applyNumberFormat="1" applyFont="1" applyBorder="1" applyAlignment="1">
      <alignment horizontal="center" vertical="center" wrapText="1"/>
    </xf>
    <xf numFmtId="0" fontId="39" fillId="31" borderId="0" xfId="0" applyFont="1" applyFill="1" applyAlignment="1">
      <alignment vertical="top" wrapText="1"/>
    </xf>
    <xf numFmtId="0" fontId="39" fillId="31" borderId="0" xfId="0" applyFont="1" applyFill="1" applyAlignment="1">
      <alignment vertical="top"/>
    </xf>
    <xf numFmtId="49" fontId="48" fillId="31" borderId="0" xfId="0" applyNumberFormat="1" applyFont="1" applyFill="1" applyAlignment="1">
      <alignment horizontal="center"/>
    </xf>
    <xf numFmtId="0" fontId="48" fillId="31" borderId="0" xfId="0" applyFont="1" applyFill="1" applyAlignment="1">
      <alignment horizontal="center"/>
    </xf>
    <xf numFmtId="49" fontId="48" fillId="0" borderId="0" xfId="0" applyNumberFormat="1" applyFont="1" applyAlignment="1">
      <alignment horizontal="center"/>
    </xf>
    <xf numFmtId="0" fontId="48" fillId="0" borderId="0" xfId="0" applyFont="1" applyAlignment="1">
      <alignment horizontal="center"/>
    </xf>
    <xf numFmtId="2" fontId="100" fillId="31" borderId="0" xfId="0" applyNumberFormat="1" applyFont="1" applyFill="1" applyAlignment="1">
      <alignment horizontal="center"/>
    </xf>
    <xf numFmtId="49" fontId="39" fillId="0" borderId="0" xfId="0" applyNumberFormat="1" applyFont="1" applyAlignment="1">
      <alignment horizontal="center" vertical="top"/>
    </xf>
    <xf numFmtId="0" fontId="39" fillId="0" borderId="0" xfId="0" applyFont="1" applyAlignment="1">
      <alignment horizontal="center" vertical="top"/>
    </xf>
    <xf numFmtId="0" fontId="278" fillId="0" borderId="0" xfId="553" applyFont="1" applyAlignment="1">
      <alignment horizontal="center"/>
    </xf>
    <xf numFmtId="0" fontId="171" fillId="0" borderId="5" xfId="553" applyFont="1" applyBorder="1" applyAlignment="1">
      <alignment horizontal="center"/>
    </xf>
    <xf numFmtId="0" fontId="38" fillId="0" borderId="33" xfId="555" applyFont="1" applyBorder="1" applyAlignment="1">
      <alignment horizontal="center" vertical="center" wrapText="1"/>
    </xf>
    <xf numFmtId="0" fontId="38" fillId="0" borderId="23" xfId="555" applyFont="1" applyBorder="1" applyAlignment="1">
      <alignment horizontal="center" vertical="center" wrapText="1"/>
    </xf>
    <xf numFmtId="0" fontId="47" fillId="0" borderId="33" xfId="555" applyFont="1" applyBorder="1" applyAlignment="1">
      <alignment horizontal="center" vertical="center" wrapText="1"/>
    </xf>
    <xf numFmtId="0" fontId="47" fillId="0" borderId="23" xfId="555" applyFont="1" applyBorder="1" applyAlignment="1">
      <alignment horizontal="center" vertical="center" wrapText="1"/>
    </xf>
    <xf numFmtId="0" fontId="38" fillId="0" borderId="33" xfId="553" applyFont="1" applyBorder="1" applyAlignment="1">
      <alignment horizontal="left" textRotation="90" wrapText="1"/>
    </xf>
    <xf numFmtId="0" fontId="38" fillId="0" borderId="23" xfId="553" applyFont="1" applyBorder="1" applyAlignment="1">
      <alignment horizontal="left" textRotation="90" wrapText="1"/>
    </xf>
    <xf numFmtId="0" fontId="38" fillId="0" borderId="33" xfId="553" applyFont="1" applyBorder="1" applyAlignment="1">
      <alignment horizontal="center" textRotation="90" wrapText="1"/>
    </xf>
    <xf numFmtId="0" fontId="38" fillId="0" borderId="23" xfId="553" applyFont="1" applyBorder="1" applyAlignment="1">
      <alignment horizontal="center" textRotation="90" wrapText="1"/>
    </xf>
    <xf numFmtId="0" fontId="171" fillId="0" borderId="35" xfId="553" applyFont="1" applyBorder="1" applyAlignment="1">
      <alignment horizontal="center"/>
    </xf>
    <xf numFmtId="0" fontId="91" fillId="0" borderId="5" xfId="555" applyFont="1" applyBorder="1" applyAlignment="1">
      <alignment horizontal="center"/>
    </xf>
    <xf numFmtId="0" fontId="198" fillId="0" borderId="77" xfId="555" applyFont="1" applyBorder="1" applyAlignment="1">
      <alignment horizontal="center" vertical="top"/>
    </xf>
    <xf numFmtId="0" fontId="198" fillId="0" borderId="0" xfId="555" applyFont="1" applyAlignment="1">
      <alignment horizontal="center" vertical="top"/>
    </xf>
    <xf numFmtId="0" fontId="39" fillId="31" borderId="0" xfId="0" applyFont="1" applyFill="1" applyAlignment="1">
      <alignment horizontal="center" vertical="center" wrapText="1"/>
    </xf>
    <xf numFmtId="0" fontId="38" fillId="0" borderId="30" xfId="553" applyFont="1" applyBorder="1" applyAlignment="1">
      <alignment horizontal="center" vertical="center" wrapText="1"/>
    </xf>
    <xf numFmtId="0" fontId="38" fillId="0" borderId="36" xfId="553" applyFont="1" applyBorder="1" applyAlignment="1">
      <alignment horizontal="center" vertical="center" wrapText="1"/>
    </xf>
    <xf numFmtId="0" fontId="38" fillId="0" borderId="31" xfId="553" applyFont="1" applyBorder="1" applyAlignment="1">
      <alignment horizontal="center" vertical="center" wrapText="1"/>
    </xf>
    <xf numFmtId="0" fontId="38" fillId="31" borderId="33" xfId="553" applyFont="1" applyFill="1" applyBorder="1" applyAlignment="1">
      <alignment horizontal="left" textRotation="90" wrapText="1"/>
    </xf>
    <xf numFmtId="0" fontId="38" fillId="31" borderId="23" xfId="553" applyFont="1" applyFill="1" applyBorder="1" applyAlignment="1">
      <alignment horizontal="left" textRotation="90" wrapText="1"/>
    </xf>
    <xf numFmtId="0" fontId="38" fillId="31" borderId="33" xfId="553" applyFont="1" applyFill="1" applyBorder="1" applyAlignment="1">
      <alignment horizontal="center" textRotation="90" wrapText="1"/>
    </xf>
    <xf numFmtId="0" fontId="38" fillId="31" borderId="23" xfId="553" applyFont="1" applyFill="1" applyBorder="1" applyAlignment="1">
      <alignment horizontal="center" textRotation="90" wrapText="1"/>
    </xf>
    <xf numFmtId="0" fontId="171" fillId="0" borderId="0" xfId="555" applyFont="1" applyAlignment="1">
      <alignment horizontal="center"/>
    </xf>
    <xf numFmtId="0" fontId="171" fillId="0" borderId="0" xfId="553" applyFont="1" applyAlignment="1">
      <alignment horizontal="center"/>
    </xf>
    <xf numFmtId="49" fontId="39" fillId="0" borderId="0" xfId="0" applyNumberFormat="1" applyFont="1" applyAlignment="1">
      <alignment horizontal="center"/>
    </xf>
    <xf numFmtId="0" fontId="39" fillId="0" borderId="58" xfId="0" applyFont="1" applyBorder="1" applyAlignment="1">
      <alignment horizontal="center" vertical="center" wrapText="1"/>
    </xf>
    <xf numFmtId="0" fontId="39" fillId="0" borderId="59" xfId="0" applyFont="1" applyBorder="1" applyAlignment="1">
      <alignment horizontal="center" vertical="center" wrapText="1"/>
    </xf>
    <xf numFmtId="0" fontId="39" fillId="0" borderId="39" xfId="0" applyFont="1" applyBorder="1" applyAlignment="1">
      <alignment horizontal="center" vertical="center" wrapText="1"/>
    </xf>
    <xf numFmtId="0" fontId="39" fillId="0" borderId="40" xfId="0" applyFont="1" applyBorder="1" applyAlignment="1">
      <alignment horizontal="center" vertical="center" wrapText="1"/>
    </xf>
    <xf numFmtId="2" fontId="39" fillId="0" borderId="39" xfId="0" applyNumberFormat="1" applyFont="1" applyBorder="1" applyAlignment="1">
      <alignment horizontal="center" vertical="center" wrapText="1"/>
    </xf>
    <xf numFmtId="2" fontId="39" fillId="0" borderId="1" xfId="0" applyNumberFormat="1" applyFont="1" applyBorder="1" applyAlignment="1">
      <alignment horizontal="center" vertical="center" wrapText="1"/>
    </xf>
    <xf numFmtId="2" fontId="39" fillId="0" borderId="40" xfId="0" applyNumberFormat="1" applyFont="1" applyBorder="1" applyAlignment="1">
      <alignment horizontal="center" vertical="center" wrapText="1"/>
    </xf>
    <xf numFmtId="170" fontId="39" fillId="0" borderId="39" xfId="0" applyNumberFormat="1" applyFont="1" applyBorder="1" applyAlignment="1">
      <alignment horizontal="center" vertical="center" wrapText="1"/>
    </xf>
    <xf numFmtId="170" fontId="39" fillId="0" borderId="1" xfId="0" applyNumberFormat="1" applyFont="1" applyBorder="1" applyAlignment="1">
      <alignment horizontal="center" vertical="center" wrapText="1"/>
    </xf>
    <xf numFmtId="170" fontId="39" fillId="0" borderId="40" xfId="0" applyNumberFormat="1" applyFont="1" applyBorder="1" applyAlignment="1">
      <alignment horizontal="center" vertical="center" wrapText="1"/>
    </xf>
    <xf numFmtId="49" fontId="39" fillId="0" borderId="57" xfId="0" applyNumberFormat="1" applyFont="1" applyBorder="1" applyAlignment="1">
      <alignment horizontal="center" vertical="center" wrapText="1"/>
    </xf>
    <xf numFmtId="49" fontId="39" fillId="0" borderId="39" xfId="0" applyNumberFormat="1" applyFont="1" applyBorder="1" applyAlignment="1">
      <alignment horizontal="center" vertical="center" wrapText="1"/>
    </xf>
    <xf numFmtId="0" fontId="39" fillId="0" borderId="64" xfId="0" applyFont="1" applyBorder="1" applyAlignment="1">
      <alignment horizontal="center" vertical="center" wrapText="1"/>
    </xf>
    <xf numFmtId="170" fontId="39" fillId="0" borderId="44" xfId="0" applyNumberFormat="1" applyFont="1" applyBorder="1" applyAlignment="1">
      <alignment horizontal="center" vertical="center" wrapText="1"/>
    </xf>
    <xf numFmtId="170" fontId="39" fillId="0" borderId="45" xfId="0" applyNumberFormat="1" applyFont="1" applyBorder="1" applyAlignment="1">
      <alignment horizontal="center" vertical="center" wrapText="1"/>
    </xf>
    <xf numFmtId="170" fontId="39" fillId="0" borderId="46" xfId="0" applyNumberFormat="1" applyFont="1" applyBorder="1" applyAlignment="1">
      <alignment horizontal="center" vertical="center" wrapText="1"/>
    </xf>
    <xf numFmtId="2" fontId="100" fillId="3" borderId="0" xfId="0" applyNumberFormat="1" applyFont="1" applyFill="1" applyAlignment="1">
      <alignment horizontal="center"/>
    </xf>
    <xf numFmtId="0" fontId="39" fillId="31" borderId="0" xfId="0" applyFont="1" applyFill="1" applyAlignment="1">
      <alignment horizontal="left" vertical="top" wrapText="1"/>
    </xf>
    <xf numFmtId="49" fontId="48" fillId="31" borderId="0" xfId="0" applyNumberFormat="1" applyFont="1" applyFill="1" applyAlignment="1">
      <alignment horizontal="center" wrapText="1"/>
    </xf>
    <xf numFmtId="0" fontId="101" fillId="3" borderId="0" xfId="0" applyFont="1" applyFill="1" applyAlignment="1">
      <alignment horizontal="center"/>
    </xf>
    <xf numFmtId="0" fontId="38" fillId="0" borderId="0" xfId="0" applyFont="1" applyAlignment="1">
      <alignment vertical="top" wrapText="1"/>
    </xf>
    <xf numFmtId="0" fontId="100" fillId="31" borderId="0" xfId="0" applyFont="1" applyFill="1" applyAlignment="1">
      <alignment horizontal="center"/>
    </xf>
    <xf numFmtId="0" fontId="39" fillId="0" borderId="0" xfId="0" applyFont="1" applyAlignment="1">
      <alignment wrapText="1"/>
    </xf>
    <xf numFmtId="0" fontId="27" fillId="0" borderId="1" xfId="0" applyFont="1" applyBorder="1" applyAlignment="1">
      <alignment vertical="top" wrapText="1"/>
    </xf>
    <xf numFmtId="0" fontId="96" fillId="0" borderId="0" xfId="0" applyFont="1" applyAlignment="1">
      <alignment vertical="center" wrapText="1"/>
    </xf>
    <xf numFmtId="0" fontId="0" fillId="0" borderId="0" xfId="0" applyAlignment="1">
      <alignment wrapText="1"/>
    </xf>
    <xf numFmtId="49" fontId="96" fillId="0" borderId="1" xfId="0" applyNumberFormat="1" applyFont="1" applyBorder="1" applyAlignment="1">
      <alignment horizontal="center" vertical="center" wrapText="1"/>
    </xf>
    <xf numFmtId="0" fontId="96" fillId="0" borderId="1" xfId="0" applyFont="1" applyBorder="1" applyAlignment="1">
      <alignment horizontal="center" vertical="center" wrapText="1"/>
    </xf>
    <xf numFmtId="0" fontId="88" fillId="31" borderId="0" xfId="0" applyFont="1" applyFill="1" applyAlignment="1">
      <alignment horizontal="center" wrapText="1"/>
    </xf>
    <xf numFmtId="49" fontId="48" fillId="0" borderId="0" xfId="0" applyNumberFormat="1" applyFont="1" applyAlignment="1">
      <alignment horizontal="center" wrapText="1"/>
    </xf>
    <xf numFmtId="0" fontId="88" fillId="0" borderId="0" xfId="0" applyFont="1" applyAlignment="1">
      <alignment horizontal="center" wrapText="1"/>
    </xf>
    <xf numFmtId="0" fontId="48" fillId="0" borderId="0" xfId="0" applyFont="1" applyAlignment="1">
      <alignment horizontal="center" vertical="top"/>
    </xf>
    <xf numFmtId="0" fontId="39" fillId="0" borderId="0" xfId="0" applyFont="1" applyAlignment="1">
      <alignment vertical="top"/>
    </xf>
    <xf numFmtId="0" fontId="48" fillId="0" borderId="0" xfId="0" applyFont="1" applyAlignment="1">
      <alignment horizontal="center" vertical="top" wrapText="1"/>
    </xf>
    <xf numFmtId="0" fontId="0" fillId="0" borderId="0" xfId="0" applyAlignment="1">
      <alignment vertical="top"/>
    </xf>
    <xf numFmtId="0" fontId="88" fillId="0" borderId="0" xfId="0" applyFont="1" applyAlignment="1">
      <alignment horizontal="center" vertical="top"/>
    </xf>
    <xf numFmtId="0" fontId="123" fillId="34" borderId="1" xfId="124" applyFont="1" applyFill="1" applyBorder="1" applyAlignment="1">
      <alignment horizontal="center"/>
    </xf>
    <xf numFmtId="0" fontId="117" fillId="0" borderId="0" xfId="124" applyFont="1" applyAlignment="1">
      <alignment horizontal="right"/>
    </xf>
    <xf numFmtId="0" fontId="123" fillId="0" borderId="8" xfId="124" applyFont="1" applyBorder="1" applyAlignment="1">
      <alignment horizontal="center" vertical="center"/>
    </xf>
    <xf numFmtId="0" fontId="123" fillId="0" borderId="9" xfId="124" applyFont="1" applyBorder="1" applyAlignment="1">
      <alignment horizontal="center" vertical="center"/>
    </xf>
    <xf numFmtId="0" fontId="123" fillId="0" borderId="7" xfId="124" applyFont="1" applyBorder="1" applyAlignment="1">
      <alignment horizontal="center" vertical="center"/>
    </xf>
    <xf numFmtId="0" fontId="122" fillId="0" borderId="1" xfId="124" applyFont="1" applyBorder="1" applyAlignment="1">
      <alignment horizontal="center" wrapText="1"/>
    </xf>
    <xf numFmtId="1" fontId="122" fillId="34" borderId="79" xfId="124" applyNumberFormat="1" applyFont="1" applyFill="1" applyBorder="1" applyAlignment="1">
      <alignment horizontal="right"/>
    </xf>
    <xf numFmtId="1" fontId="122" fillId="34" borderId="3" xfId="124" applyNumberFormat="1" applyFont="1" applyFill="1" applyBorder="1" applyAlignment="1">
      <alignment horizontal="right"/>
    </xf>
    <xf numFmtId="0" fontId="127" fillId="0" borderId="0" xfId="124" applyFont="1" applyAlignment="1">
      <alignment horizontal="center"/>
    </xf>
    <xf numFmtId="0" fontId="122" fillId="0" borderId="8" xfId="124" applyFont="1" applyBorder="1" applyAlignment="1">
      <alignment horizontal="left" wrapText="1"/>
    </xf>
    <xf numFmtId="0" fontId="122" fillId="0" borderId="9" xfId="124" applyFont="1" applyBorder="1" applyAlignment="1">
      <alignment horizontal="left" wrapText="1"/>
    </xf>
    <xf numFmtId="0" fontId="122" fillId="0" borderId="7" xfId="124" applyFont="1" applyBorder="1" applyAlignment="1">
      <alignment horizontal="left" wrapText="1"/>
    </xf>
    <xf numFmtId="2" fontId="114" fillId="34" borderId="79" xfId="124" applyNumberFormat="1" applyFont="1" applyFill="1" applyBorder="1" applyAlignment="1">
      <alignment horizontal="right"/>
    </xf>
    <xf numFmtId="2" fontId="114" fillId="34" borderId="3" xfId="124" applyNumberFormat="1" applyFont="1" applyFill="1" applyBorder="1" applyAlignment="1">
      <alignment horizontal="right"/>
    </xf>
    <xf numFmtId="0" fontId="117" fillId="34" borderId="55" xfId="124" applyFont="1" applyFill="1" applyBorder="1" applyAlignment="1">
      <alignment horizontal="center"/>
    </xf>
    <xf numFmtId="0" fontId="117" fillId="34" borderId="80" xfId="124" applyFont="1" applyFill="1" applyBorder="1" applyAlignment="1">
      <alignment horizontal="center"/>
    </xf>
    <xf numFmtId="0" fontId="122" fillId="34" borderId="58" xfId="124" applyFont="1" applyFill="1" applyBorder="1" applyAlignment="1">
      <alignment horizontal="center"/>
    </xf>
    <xf numFmtId="0" fontId="126" fillId="34" borderId="58" xfId="124" applyFont="1" applyFill="1" applyBorder="1" applyAlignment="1">
      <alignment horizontal="center" wrapText="1"/>
    </xf>
    <xf numFmtId="0" fontId="126" fillId="34" borderId="59" xfId="124" applyFont="1" applyFill="1" applyBorder="1" applyAlignment="1">
      <alignment horizontal="center" wrapText="1"/>
    </xf>
    <xf numFmtId="179" fontId="114" fillId="34" borderId="47" xfId="0" applyNumberFormat="1" applyFont="1" applyFill="1" applyBorder="1" applyAlignment="1">
      <alignment horizontal="right"/>
    </xf>
    <xf numFmtId="179" fontId="114" fillId="34" borderId="43" xfId="0" applyNumberFormat="1" applyFont="1" applyFill="1" applyBorder="1" applyAlignment="1">
      <alignment horizontal="right"/>
    </xf>
    <xf numFmtId="0" fontId="167" fillId="32" borderId="33" xfId="116" applyFont="1" applyFill="1" applyBorder="1" applyAlignment="1">
      <alignment horizontal="center" vertical="center"/>
    </xf>
    <xf numFmtId="0" fontId="167" fillId="32" borderId="23" xfId="116" applyFont="1" applyFill="1" applyBorder="1" applyAlignment="1">
      <alignment horizontal="center" vertical="center"/>
    </xf>
    <xf numFmtId="0" fontId="47" fillId="0" borderId="0" xfId="556" applyFont="1" applyAlignment="1">
      <alignment horizontal="left" vertical="center"/>
    </xf>
    <xf numFmtId="0" fontId="145" fillId="0" borderId="0" xfId="556" applyFont="1" applyAlignment="1">
      <alignment vertical="center"/>
    </xf>
    <xf numFmtId="0" fontId="98" fillId="0" borderId="8" xfId="556" applyFont="1" applyBorder="1" applyAlignment="1">
      <alignment horizontal="center" vertical="center" wrapText="1"/>
    </xf>
    <xf numFmtId="0" fontId="98" fillId="0" borderId="9" xfId="556" applyFont="1" applyBorder="1" applyAlignment="1">
      <alignment horizontal="center" vertical="center" wrapText="1"/>
    </xf>
    <xf numFmtId="0" fontId="98" fillId="0" borderId="73" xfId="556" applyFont="1" applyBorder="1" applyAlignment="1">
      <alignment horizontal="center" vertical="center" wrapText="1"/>
    </xf>
    <xf numFmtId="49" fontId="145" fillId="0" borderId="57" xfId="556" applyNumberFormat="1" applyFont="1" applyBorder="1" applyAlignment="1">
      <alignment horizontal="center" vertical="center" wrapText="1"/>
    </xf>
    <xf numFmtId="49" fontId="145" fillId="0" borderId="39" xfId="556" applyNumberFormat="1" applyFont="1" applyBorder="1" applyAlignment="1">
      <alignment horizontal="center" vertical="center" wrapText="1"/>
    </xf>
    <xf numFmtId="0" fontId="98" fillId="0" borderId="4" xfId="556" applyFont="1" applyBorder="1" applyAlignment="1">
      <alignment horizontal="center" vertical="center" wrapText="1"/>
    </xf>
    <xf numFmtId="0" fontId="98" fillId="0" borderId="3" xfId="556" applyFont="1" applyBorder="1" applyAlignment="1">
      <alignment horizontal="center" vertical="center" wrapText="1"/>
    </xf>
    <xf numFmtId="0" fontId="40" fillId="0" borderId="0" xfId="556" applyFont="1" applyAlignment="1">
      <alignment vertical="center" wrapText="1"/>
    </xf>
    <xf numFmtId="0" fontId="202" fillId="0" borderId="0" xfId="556" applyFont="1" applyAlignment="1">
      <alignment horizontal="center" vertical="center"/>
    </xf>
    <xf numFmtId="0" fontId="47" fillId="0" borderId="0" xfId="556" applyFont="1" applyAlignment="1">
      <alignment horizontal="center" vertical="center"/>
    </xf>
    <xf numFmtId="0" fontId="39" fillId="0" borderId="0" xfId="557" applyFont="1" applyAlignment="1">
      <alignment horizontal="center" vertical="center" wrapText="1"/>
    </xf>
    <xf numFmtId="0" fontId="98" fillId="0" borderId="0" xfId="556" applyFont="1" applyAlignment="1">
      <alignment vertical="top" wrapText="1"/>
    </xf>
    <xf numFmtId="0" fontId="98" fillId="0" borderId="0" xfId="556" applyFont="1" applyAlignment="1">
      <alignment horizontal="left" vertical="center" wrapText="1"/>
    </xf>
    <xf numFmtId="0" fontId="40" fillId="31" borderId="0" xfId="0" applyFont="1" applyFill="1" applyAlignment="1">
      <alignment horizontal="center" vertical="center"/>
    </xf>
    <xf numFmtId="0" fontId="39" fillId="0" borderId="0" xfId="0" applyFont="1" applyAlignment="1">
      <alignment horizontal="left" wrapText="1"/>
    </xf>
    <xf numFmtId="0" fontId="48" fillId="0" borderId="34" xfId="0" applyFont="1" applyBorder="1" applyAlignment="1">
      <alignment horizontal="center" vertical="center"/>
    </xf>
    <xf numFmtId="0" fontId="48" fillId="0" borderId="27" xfId="0" applyFont="1" applyBorder="1" applyAlignment="1">
      <alignment horizontal="center" vertical="center"/>
    </xf>
    <xf numFmtId="0" fontId="48" fillId="0" borderId="35" xfId="0" applyFont="1" applyBorder="1" applyAlignment="1">
      <alignment horizontal="center" vertical="center"/>
    </xf>
    <xf numFmtId="0" fontId="48" fillId="0" borderId="56" xfId="0" applyFont="1" applyBorder="1" applyAlignment="1">
      <alignment horizontal="center" vertical="center"/>
    </xf>
    <xf numFmtId="0" fontId="39" fillId="0" borderId="0" xfId="0" applyFont="1" applyAlignment="1">
      <alignment horizontal="center" wrapText="1"/>
    </xf>
    <xf numFmtId="0" fontId="251" fillId="0" borderId="0" xfId="0" applyFont="1" applyAlignment="1">
      <alignment horizontal="center"/>
    </xf>
    <xf numFmtId="0" fontId="251" fillId="0" borderId="0" xfId="0" applyFont="1" applyAlignment="1">
      <alignment horizontal="center" wrapText="1"/>
    </xf>
    <xf numFmtId="0" fontId="39" fillId="0" borderId="79" xfId="0" applyFont="1" applyBorder="1" applyAlignment="1">
      <alignment horizontal="center" vertical="center"/>
    </xf>
    <xf numFmtId="0" fontId="38" fillId="0" borderId="79" xfId="0" applyFont="1" applyBorder="1" applyAlignment="1">
      <alignment vertical="top" wrapText="1"/>
    </xf>
    <xf numFmtId="0" fontId="38" fillId="0" borderId="3" xfId="0" applyFont="1" applyBorder="1" applyAlignment="1">
      <alignment vertical="top" wrapText="1"/>
    </xf>
    <xf numFmtId="0" fontId="139" fillId="0" borderId="1" xfId="0" applyFont="1" applyBorder="1" applyAlignment="1">
      <alignment horizontal="left" vertical="center" wrapText="1"/>
    </xf>
    <xf numFmtId="0" fontId="248" fillId="0" borderId="8" xfId="0" applyFont="1" applyBorder="1" applyAlignment="1">
      <alignment wrapText="1"/>
    </xf>
    <xf numFmtId="0" fontId="248" fillId="0" borderId="9" xfId="0" applyFont="1" applyBorder="1" applyAlignment="1">
      <alignment wrapText="1"/>
    </xf>
    <xf numFmtId="0" fontId="248" fillId="0" borderId="7" xfId="0" applyFont="1" applyBorder="1" applyAlignment="1">
      <alignment wrapText="1"/>
    </xf>
    <xf numFmtId="0" fontId="249" fillId="0" borderId="1" xfId="0" applyFont="1" applyBorder="1" applyAlignment="1">
      <alignment horizontal="left" vertical="center" wrapText="1"/>
    </xf>
    <xf numFmtId="0" fontId="248" fillId="0" borderId="1" xfId="0" applyFont="1" applyBorder="1" applyAlignment="1">
      <alignment wrapText="1"/>
    </xf>
    <xf numFmtId="0" fontId="40" fillId="0" borderId="0" xfId="0" applyFont="1" applyAlignment="1">
      <alignment horizontal="center" vertical="top" wrapText="1"/>
    </xf>
    <xf numFmtId="0" fontId="193" fillId="0" borderId="0" xfId="0" applyFont="1" applyAlignment="1">
      <alignment horizontal="center"/>
    </xf>
    <xf numFmtId="49" fontId="145" fillId="0" borderId="57" xfId="0" applyNumberFormat="1" applyFont="1" applyBorder="1" applyAlignment="1">
      <alignment horizontal="center" vertical="center" wrapText="1"/>
    </xf>
    <xf numFmtId="49" fontId="145" fillId="0" borderId="48" xfId="0" applyNumberFormat="1" applyFont="1" applyBorder="1" applyAlignment="1">
      <alignment horizontal="center" vertical="center" wrapText="1"/>
    </xf>
    <xf numFmtId="49" fontId="145" fillId="0" borderId="60" xfId="0" applyNumberFormat="1" applyFont="1" applyBorder="1" applyAlignment="1">
      <alignment horizontal="center" vertical="center" wrapText="1"/>
    </xf>
    <xf numFmtId="0" fontId="145" fillId="0" borderId="58" xfId="0" applyFont="1" applyBorder="1" applyAlignment="1">
      <alignment horizontal="center" vertical="center" wrapText="1"/>
    </xf>
    <xf numFmtId="0" fontId="145" fillId="0" borderId="49" xfId="0" applyFont="1" applyBorder="1" applyAlignment="1">
      <alignment horizontal="center" vertical="center" wrapText="1"/>
    </xf>
    <xf numFmtId="0" fontId="145" fillId="0" borderId="61" xfId="0" applyFont="1" applyBorder="1" applyAlignment="1">
      <alignment horizontal="center" vertical="center" wrapText="1"/>
    </xf>
    <xf numFmtId="0" fontId="145" fillId="0" borderId="64" xfId="0" applyFont="1" applyBorder="1" applyAlignment="1">
      <alignment horizontal="center" vertical="center" wrapText="1"/>
    </xf>
    <xf numFmtId="0" fontId="145" fillId="0" borderId="93" xfId="0" applyFont="1" applyBorder="1" applyAlignment="1">
      <alignment horizontal="center" vertical="center" wrapText="1"/>
    </xf>
    <xf numFmtId="0" fontId="145" fillId="0" borderId="90" xfId="0" applyFont="1" applyBorder="1" applyAlignment="1">
      <alignment horizontal="center" vertical="center" wrapText="1"/>
    </xf>
    <xf numFmtId="0" fontId="145" fillId="0" borderId="1" xfId="0" applyFont="1" applyBorder="1" applyAlignment="1">
      <alignment horizontal="center" vertical="center" wrapText="1"/>
    </xf>
    <xf numFmtId="0" fontId="145" fillId="0" borderId="8" xfId="0" applyFont="1" applyBorder="1" applyAlignment="1">
      <alignment horizontal="center" vertical="center" wrapText="1"/>
    </xf>
    <xf numFmtId="0" fontId="145" fillId="0" borderId="7" xfId="0" applyFont="1" applyBorder="1" applyAlignment="1">
      <alignment horizontal="center" vertical="center" wrapText="1"/>
    </xf>
    <xf numFmtId="0" fontId="145" fillId="0" borderId="73" xfId="0" applyFont="1" applyBorder="1" applyAlignment="1">
      <alignment horizontal="center" vertical="center" wrapText="1"/>
    </xf>
    <xf numFmtId="0" fontId="145" fillId="0" borderId="66" xfId="0" applyFont="1" applyBorder="1" applyAlignment="1">
      <alignment horizontal="center" vertical="center" wrapText="1"/>
    </xf>
    <xf numFmtId="0" fontId="145" fillId="0" borderId="33" xfId="0" applyFont="1" applyBorder="1" applyAlignment="1">
      <alignment horizontal="center" vertical="center" wrapText="1"/>
    </xf>
    <xf numFmtId="0" fontId="145" fillId="0" borderId="6" xfId="0" applyFont="1" applyBorder="1" applyAlignment="1">
      <alignment horizontal="center" vertical="center" wrapText="1"/>
    </xf>
    <xf numFmtId="0" fontId="145" fillId="0" borderId="30" xfId="0" applyFont="1" applyBorder="1" applyAlignment="1">
      <alignment horizontal="center" vertical="center" wrapText="1"/>
    </xf>
    <xf numFmtId="0" fontId="145" fillId="0" borderId="36" xfId="0" applyFont="1" applyBorder="1" applyAlignment="1">
      <alignment horizontal="center" vertical="center" wrapText="1"/>
    </xf>
    <xf numFmtId="0" fontId="145" fillId="0" borderId="31" xfId="0" applyFont="1" applyBorder="1" applyAlignment="1">
      <alignment horizontal="center" vertical="center" wrapText="1"/>
    </xf>
    <xf numFmtId="0" fontId="193" fillId="0" borderId="0" xfId="0" applyFont="1" applyAlignment="1">
      <alignment horizontal="center" vertical="center" wrapText="1"/>
    </xf>
    <xf numFmtId="49" fontId="145" fillId="0" borderId="88" xfId="0" applyNumberFormat="1" applyFont="1" applyBorder="1" applyAlignment="1">
      <alignment horizontal="center" vertical="center" wrapText="1"/>
    </xf>
    <xf numFmtId="49" fontId="145" fillId="0" borderId="26" xfId="0" applyNumberFormat="1" applyFont="1" applyBorder="1" applyAlignment="1">
      <alignment horizontal="center" vertical="center" wrapText="1"/>
    </xf>
    <xf numFmtId="49" fontId="145" fillId="0" borderId="30" xfId="0" applyNumberFormat="1" applyFont="1" applyBorder="1" applyAlignment="1">
      <alignment horizontal="center" vertical="center" wrapText="1"/>
    </xf>
    <xf numFmtId="0" fontId="145" fillId="0" borderId="87" xfId="0" applyFont="1" applyBorder="1" applyAlignment="1">
      <alignment horizontal="center" vertical="center" wrapText="1"/>
    </xf>
    <xf numFmtId="0" fontId="145" fillId="0" borderId="4" xfId="0" applyFont="1" applyBorder="1" applyAlignment="1">
      <alignment horizontal="center" vertical="center" wrapText="1"/>
    </xf>
    <xf numFmtId="0" fontId="145" fillId="0" borderId="25" xfId="0" applyFont="1" applyBorder="1" applyAlignment="1">
      <alignment horizontal="center" vertical="center" wrapText="1"/>
    </xf>
    <xf numFmtId="0" fontId="145" fillId="0" borderId="10" xfId="0" applyFont="1" applyBorder="1" applyAlignment="1">
      <alignment horizontal="center" vertical="center" wrapText="1"/>
    </xf>
    <xf numFmtId="0" fontId="145" fillId="0" borderId="69" xfId="0" applyFont="1" applyBorder="1" applyAlignment="1">
      <alignment horizontal="center" vertical="center" wrapText="1"/>
    </xf>
    <xf numFmtId="0" fontId="145" fillId="0" borderId="3" xfId="0" applyFont="1" applyBorder="1" applyAlignment="1">
      <alignment horizontal="center" vertical="center" wrapText="1"/>
    </xf>
    <xf numFmtId="0" fontId="145" fillId="0" borderId="38" xfId="0" applyFont="1" applyBorder="1" applyAlignment="1">
      <alignment horizontal="center" vertical="center" wrapText="1"/>
    </xf>
    <xf numFmtId="0" fontId="217" fillId="0" borderId="79" xfId="0" applyFont="1" applyBorder="1" applyAlignment="1">
      <alignment horizontal="center" vertical="center"/>
    </xf>
    <xf numFmtId="0" fontId="217" fillId="0" borderId="3" xfId="0" applyFont="1" applyBorder="1" applyAlignment="1">
      <alignment horizontal="center" vertical="center"/>
    </xf>
    <xf numFmtId="4" fontId="102" fillId="0" borderId="8" xfId="0" applyNumberFormat="1" applyFont="1" applyBorder="1" applyAlignment="1">
      <alignment horizontal="center" vertical="center"/>
    </xf>
    <xf numFmtId="4" fontId="102" fillId="0" borderId="9" xfId="0" applyNumberFormat="1" applyFont="1" applyBorder="1" applyAlignment="1">
      <alignment horizontal="center" vertical="center"/>
    </xf>
    <xf numFmtId="4" fontId="102" fillId="0" borderId="7" xfId="0" applyNumberFormat="1" applyFont="1" applyBorder="1" applyAlignment="1">
      <alignment horizontal="center" vertical="center"/>
    </xf>
    <xf numFmtId="0" fontId="145" fillId="34" borderId="0" xfId="448" applyFont="1" applyFill="1" applyAlignment="1">
      <alignment horizontal="center" wrapText="1"/>
    </xf>
    <xf numFmtId="2" fontId="162" fillId="3" borderId="5" xfId="506" applyNumberFormat="1" applyFont="1" applyFill="1" applyBorder="1" applyAlignment="1" applyProtection="1">
      <alignment horizontal="center" vertical="center" wrapText="1"/>
      <protection hidden="1"/>
    </xf>
    <xf numFmtId="0" fontId="162" fillId="0" borderId="77" xfId="506" applyFont="1" applyBorder="1" applyAlignment="1">
      <alignment horizontal="center" vertical="top"/>
    </xf>
    <xf numFmtId="0" fontId="162" fillId="0" borderId="77" xfId="506" applyFont="1" applyBorder="1" applyAlignment="1">
      <alignment horizontal="center" vertical="center"/>
    </xf>
    <xf numFmtId="0" fontId="98" fillId="3" borderId="0" xfId="448" applyFont="1" applyFill="1" applyAlignment="1">
      <alignment horizontal="center"/>
    </xf>
    <xf numFmtId="0" fontId="147" fillId="0" borderId="0" xfId="448" applyFont="1" applyAlignment="1">
      <alignment horizontal="center" vertical="center" wrapText="1"/>
    </xf>
    <xf numFmtId="0" fontId="146" fillId="0" borderId="1" xfId="0" applyFont="1" applyBorder="1" applyAlignment="1">
      <alignment horizontal="center" vertical="center" wrapText="1"/>
    </xf>
    <xf numFmtId="0" fontId="146" fillId="0" borderId="0" xfId="448" applyFont="1" applyAlignment="1">
      <alignment horizontal="center" vertical="center" wrapText="1"/>
    </xf>
    <xf numFmtId="0" fontId="146" fillId="0" borderId="1" xfId="0" applyFont="1" applyBorder="1" applyAlignment="1">
      <alignment horizontal="center" vertical="center"/>
    </xf>
    <xf numFmtId="0" fontId="147" fillId="0" borderId="1" xfId="0" applyFont="1" applyBorder="1" applyAlignment="1">
      <alignment horizontal="center" vertical="center" wrapText="1"/>
    </xf>
    <xf numFmtId="0" fontId="146" fillId="0" borderId="0" xfId="448" applyFont="1" applyAlignment="1">
      <alignment horizontal="center" vertical="center"/>
    </xf>
    <xf numFmtId="0" fontId="146" fillId="0" borderId="0" xfId="448" applyFont="1" applyAlignment="1">
      <alignment vertical="center"/>
    </xf>
    <xf numFmtId="0" fontId="161" fillId="3" borderId="0" xfId="506" applyFont="1" applyFill="1" applyAlignment="1">
      <alignment horizontal="center" vertical="center"/>
    </xf>
    <xf numFmtId="0" fontId="161" fillId="0" borderId="0" xfId="506" applyFont="1" applyAlignment="1">
      <alignment horizontal="center" vertical="center"/>
    </xf>
    <xf numFmtId="0" fontId="141" fillId="34" borderId="5" xfId="448" applyFont="1" applyFill="1" applyBorder="1" applyAlignment="1">
      <alignment horizontal="right" vertical="center"/>
    </xf>
    <xf numFmtId="4" fontId="146" fillId="0" borderId="1" xfId="449" applyNumberFormat="1" applyFont="1" applyBorder="1" applyAlignment="1">
      <alignment horizontal="center" vertical="center" wrapText="1"/>
    </xf>
    <xf numFmtId="2" fontId="162" fillId="0" borderId="5" xfId="506" applyNumberFormat="1" applyFont="1" applyBorder="1" applyAlignment="1" applyProtection="1">
      <alignment horizontal="center" vertical="center" wrapText="1"/>
      <protection hidden="1"/>
    </xf>
    <xf numFmtId="0" fontId="158" fillId="0" borderId="0" xfId="506" applyFont="1" applyAlignment="1">
      <alignment horizontal="center" vertical="top"/>
    </xf>
    <xf numFmtId="0" fontId="89" fillId="0" borderId="0" xfId="506" applyFont="1" applyAlignment="1">
      <alignment horizontal="center" vertical="center"/>
    </xf>
    <xf numFmtId="0" fontId="38" fillId="0" borderId="0" xfId="506" applyFont="1" applyAlignment="1">
      <alignment horizontal="left" vertical="center" wrapText="1"/>
    </xf>
    <xf numFmtId="0" fontId="39" fillId="0" borderId="0" xfId="506" applyFont="1" applyAlignment="1">
      <alignment horizontal="left" vertical="center" wrapText="1"/>
    </xf>
    <xf numFmtId="0" fontId="48" fillId="0" borderId="0" xfId="506" applyFont="1" applyAlignment="1" applyProtection="1">
      <alignment horizontal="center" vertical="center" wrapText="1"/>
      <protection locked="0"/>
    </xf>
    <xf numFmtId="0" fontId="48" fillId="3" borderId="0" xfId="506" applyFont="1" applyFill="1" applyAlignment="1" applyProtection="1">
      <alignment horizontal="center" vertical="center" wrapText="1"/>
      <protection locked="0"/>
    </xf>
    <xf numFmtId="0" fontId="155" fillId="66" borderId="1" xfId="506" applyFont="1" applyFill="1" applyBorder="1" applyAlignment="1">
      <alignment horizontal="center" vertical="center" wrapText="1"/>
    </xf>
    <xf numFmtId="0" fontId="207" fillId="0" borderId="0" xfId="506" applyFont="1" applyAlignment="1">
      <alignment horizontal="center" vertical="center" wrapText="1"/>
    </xf>
    <xf numFmtId="0" fontId="207" fillId="2" borderId="0" xfId="506" applyFont="1" applyFill="1" applyAlignment="1">
      <alignment horizontal="center" vertical="center" wrapText="1"/>
    </xf>
    <xf numFmtId="0" fontId="96" fillId="0" borderId="5" xfId="0" applyFont="1" applyBorder="1" applyAlignment="1" applyProtection="1">
      <alignment horizontal="center"/>
      <protection locked="0"/>
    </xf>
    <xf numFmtId="49" fontId="36" fillId="0" borderId="0" xfId="0" applyNumberFormat="1" applyFont="1" applyAlignment="1" applyProtection="1">
      <alignment horizontal="center" vertical="center" wrapText="1"/>
      <protection hidden="1"/>
    </xf>
    <xf numFmtId="0" fontId="36" fillId="0" borderId="77" xfId="0" applyFont="1" applyBorder="1" applyAlignment="1" applyProtection="1">
      <alignment horizontal="center" vertical="center" wrapText="1"/>
      <protection hidden="1"/>
    </xf>
    <xf numFmtId="0" fontId="40" fillId="0" borderId="5" xfId="0" applyFont="1" applyBorder="1" applyAlignment="1" applyProtection="1">
      <alignment horizontal="center" vertical="center" wrapText="1"/>
      <protection locked="0"/>
    </xf>
    <xf numFmtId="0" fontId="43" fillId="0" borderId="0" xfId="0" applyFont="1" applyAlignment="1" applyProtection="1">
      <alignment horizontal="center" vertical="center" wrapText="1"/>
      <protection hidden="1"/>
    </xf>
    <xf numFmtId="0" fontId="41" fillId="0" borderId="8" xfId="0" applyFont="1" applyBorder="1" applyAlignment="1" applyProtection="1">
      <alignment horizontal="center" vertical="center" wrapText="1"/>
      <protection hidden="1"/>
    </xf>
    <xf numFmtId="0" fontId="41" fillId="0" borderId="7" xfId="0" applyFont="1" applyBorder="1" applyAlignment="1" applyProtection="1">
      <alignment horizontal="center" vertical="center" wrapText="1"/>
      <protection hidden="1"/>
    </xf>
    <xf numFmtId="3" fontId="37" fillId="0" borderId="1" xfId="0" applyNumberFormat="1" applyFont="1" applyBorder="1" applyAlignment="1" applyProtection="1">
      <alignment horizontal="center" vertical="center" wrapText="1"/>
      <protection hidden="1"/>
    </xf>
    <xf numFmtId="3" fontId="182" fillId="0" borderId="9" xfId="0" applyNumberFormat="1" applyFont="1" applyBorder="1" applyAlignment="1" applyProtection="1">
      <alignment horizontal="center" vertical="center" wrapText="1"/>
      <protection hidden="1"/>
    </xf>
    <xf numFmtId="0" fontId="36" fillId="0" borderId="1" xfId="0" applyFont="1" applyBorder="1" applyAlignment="1" applyProtection="1">
      <alignment horizontal="center" vertical="center" wrapText="1"/>
      <protection hidden="1"/>
    </xf>
    <xf numFmtId="0" fontId="36" fillId="0" borderId="8" xfId="0" applyFont="1" applyBorder="1" applyAlignment="1" applyProtection="1">
      <alignment horizontal="center" wrapText="1"/>
      <protection hidden="1"/>
    </xf>
    <xf numFmtId="0" fontId="36" fillId="0" borderId="7" xfId="0" applyFont="1" applyBorder="1" applyAlignment="1" applyProtection="1">
      <alignment horizontal="center" wrapText="1"/>
      <protection hidden="1"/>
    </xf>
    <xf numFmtId="0" fontId="36" fillId="0" borderId="97" xfId="0" applyFont="1" applyBorder="1" applyAlignment="1" applyProtection="1">
      <alignment horizontal="center" vertical="center" wrapText="1"/>
      <protection hidden="1"/>
    </xf>
    <xf numFmtId="0" fontId="36" fillId="0" borderId="78" xfId="0" applyFont="1" applyBorder="1" applyAlignment="1" applyProtection="1">
      <alignment horizontal="center" vertical="center" wrapText="1"/>
      <protection hidden="1"/>
    </xf>
    <xf numFmtId="0" fontId="36" fillId="0" borderId="25" xfId="0" applyFont="1" applyBorder="1" applyAlignment="1" applyProtection="1">
      <alignment horizontal="center" vertical="center" wrapText="1"/>
      <protection hidden="1"/>
    </xf>
    <xf numFmtId="0" fontId="36" fillId="0" borderId="87" xfId="0" applyFont="1" applyBorder="1" applyAlignment="1" applyProtection="1">
      <alignment horizontal="center" vertical="center" wrapText="1"/>
      <protection hidden="1"/>
    </xf>
    <xf numFmtId="0" fontId="36" fillId="0" borderId="10" xfId="0" applyFont="1" applyBorder="1" applyAlignment="1" applyProtection="1">
      <alignment horizontal="center" vertical="center" wrapText="1"/>
      <protection hidden="1"/>
    </xf>
    <xf numFmtId="0" fontId="36" fillId="0" borderId="69" xfId="0" applyFont="1" applyBorder="1" applyAlignment="1" applyProtection="1">
      <alignment horizontal="center" vertical="center" wrapText="1"/>
      <protection hidden="1"/>
    </xf>
    <xf numFmtId="0" fontId="36" fillId="0" borderId="1" xfId="0" applyFont="1" applyBorder="1" applyAlignment="1" applyProtection="1">
      <alignment horizontal="center" vertical="center" textRotation="90" wrapText="1"/>
      <protection hidden="1"/>
    </xf>
    <xf numFmtId="0" fontId="36" fillId="0" borderId="9" xfId="0" applyFont="1" applyBorder="1" applyAlignment="1" applyProtection="1">
      <alignment horizontal="center" wrapText="1"/>
      <protection hidden="1"/>
    </xf>
    <xf numFmtId="0" fontId="36" fillId="0" borderId="1" xfId="0" applyFont="1" applyBorder="1" applyAlignment="1">
      <alignment horizontal="center" vertical="center" wrapText="1"/>
    </xf>
    <xf numFmtId="0" fontId="39" fillId="0" borderId="8" xfId="0" applyFont="1" applyBorder="1" applyAlignment="1" applyProtection="1">
      <alignment horizontal="center" wrapText="1"/>
      <protection hidden="1"/>
    </xf>
    <xf numFmtId="0" fontId="39" fillId="0" borderId="9" xfId="0" applyFont="1" applyBorder="1" applyAlignment="1" applyProtection="1">
      <alignment horizontal="center" wrapText="1"/>
      <protection hidden="1"/>
    </xf>
    <xf numFmtId="0" fontId="39" fillId="0" borderId="7" xfId="0" applyFont="1" applyBorder="1" applyAlignment="1" applyProtection="1">
      <alignment horizontal="center" wrapText="1"/>
      <protection hidden="1"/>
    </xf>
    <xf numFmtId="0" fontId="36" fillId="0" borderId="97" xfId="0" applyFont="1" applyBorder="1" applyAlignment="1">
      <alignment horizontal="center" vertical="center" wrapText="1"/>
    </xf>
    <xf numFmtId="0" fontId="36" fillId="0" borderId="77" xfId="0" applyFont="1" applyBorder="1" applyAlignment="1">
      <alignment horizontal="center" vertical="center" wrapText="1"/>
    </xf>
    <xf numFmtId="0" fontId="36" fillId="0" borderId="78" xfId="0" applyFont="1" applyBorder="1" applyAlignment="1">
      <alignment horizontal="center" vertical="center" wrapText="1"/>
    </xf>
    <xf numFmtId="0" fontId="36" fillId="0" borderId="79" xfId="0" applyFont="1" applyBorder="1" applyAlignment="1" applyProtection="1">
      <alignment horizontal="center" vertical="center" wrapText="1"/>
      <protection hidden="1"/>
    </xf>
    <xf numFmtId="0" fontId="36" fillId="0" borderId="4" xfId="0" applyFont="1" applyBorder="1" applyAlignment="1" applyProtection="1">
      <alignment horizontal="center" vertical="center" wrapText="1"/>
      <protection hidden="1"/>
    </xf>
    <xf numFmtId="0" fontId="36" fillId="0" borderId="3" xfId="0" applyFont="1" applyBorder="1" applyAlignment="1" applyProtection="1">
      <alignment horizontal="center" vertical="center" wrapText="1"/>
      <protection hidden="1"/>
    </xf>
    <xf numFmtId="0" fontId="36" fillId="0" borderId="8" xfId="0" applyFont="1" applyBorder="1" applyAlignment="1" applyProtection="1">
      <alignment horizontal="center" vertical="center" wrapText="1"/>
      <protection hidden="1"/>
    </xf>
    <xf numFmtId="0" fontId="36" fillId="0" borderId="7" xfId="0" applyFont="1" applyBorder="1" applyAlignment="1" applyProtection="1">
      <alignment horizontal="center" vertical="center" wrapText="1"/>
      <protection hidden="1"/>
    </xf>
    <xf numFmtId="3" fontId="37" fillId="0" borderId="8" xfId="0" applyNumberFormat="1" applyFont="1" applyBorder="1" applyAlignment="1" applyProtection="1">
      <alignment horizontal="center" vertical="center" wrapText="1"/>
      <protection hidden="1"/>
    </xf>
    <xf numFmtId="3" fontId="37" fillId="0" borderId="7" xfId="0" applyNumberFormat="1" applyFont="1" applyBorder="1" applyAlignment="1" applyProtection="1">
      <alignment horizontal="center" vertical="center" wrapText="1"/>
      <protection hidden="1"/>
    </xf>
    <xf numFmtId="0" fontId="36" fillId="0" borderId="79" xfId="0" applyFont="1" applyBorder="1" applyAlignment="1" applyProtection="1">
      <alignment horizontal="center" vertical="center" textRotation="90" wrapText="1"/>
      <protection hidden="1"/>
    </xf>
    <xf numFmtId="0" fontId="36" fillId="0" borderId="3" xfId="0" applyFont="1" applyBorder="1" applyAlignment="1" applyProtection="1">
      <alignment horizontal="center" vertical="center" textRotation="90" wrapText="1"/>
      <protection hidden="1"/>
    </xf>
    <xf numFmtId="0" fontId="39" fillId="0" borderId="0" xfId="506" applyFont="1" applyAlignment="1">
      <alignment horizontal="center"/>
    </xf>
    <xf numFmtId="0" fontId="192" fillId="0" borderId="0" xfId="533" applyFont="1" applyAlignment="1">
      <alignment horizontal="center" vertical="center" wrapText="1"/>
    </xf>
    <xf numFmtId="0" fontId="145" fillId="0" borderId="0" xfId="533" applyFont="1" applyAlignment="1">
      <alignment horizontal="center" vertical="center" wrapText="1"/>
    </xf>
    <xf numFmtId="0" fontId="98" fillId="0" borderId="33" xfId="533" applyFont="1" applyBorder="1" applyAlignment="1">
      <alignment horizontal="center" vertical="center" wrapText="1"/>
    </xf>
    <xf numFmtId="0" fontId="98" fillId="0" borderId="23" xfId="533" applyFont="1" applyBorder="1" applyAlignment="1">
      <alignment horizontal="center" vertical="center" wrapText="1"/>
    </xf>
    <xf numFmtId="0" fontId="145" fillId="0" borderId="6" xfId="533" applyFont="1" applyBorder="1" applyAlignment="1">
      <alignment horizontal="center" vertical="center" wrapText="1"/>
    </xf>
    <xf numFmtId="0" fontId="145" fillId="74" borderId="8" xfId="533" applyFont="1" applyFill="1" applyBorder="1" applyAlignment="1">
      <alignment horizontal="center" vertical="center" wrapText="1"/>
    </xf>
    <xf numFmtId="0" fontId="145" fillId="74" borderId="9" xfId="533" applyFont="1" applyFill="1" applyBorder="1" applyAlignment="1">
      <alignment horizontal="center" vertical="center" wrapText="1"/>
    </xf>
    <xf numFmtId="0" fontId="145" fillId="74" borderId="7" xfId="533" applyFont="1" applyFill="1" applyBorder="1" applyAlignment="1">
      <alignment horizontal="center" vertical="center" wrapText="1"/>
    </xf>
    <xf numFmtId="0" fontId="0" fillId="0" borderId="1" xfId="0" applyBorder="1" applyAlignment="1">
      <alignment horizontal="center" vertical="center"/>
    </xf>
    <xf numFmtId="0" fontId="89" fillId="0" borderId="0" xfId="0" applyFont="1" applyAlignment="1">
      <alignment horizontal="center" wrapText="1"/>
    </xf>
    <xf numFmtId="0" fontId="98" fillId="0" borderId="1" xfId="533" applyFont="1" applyBorder="1" applyAlignment="1">
      <alignment horizontal="center" vertical="center" wrapText="1"/>
    </xf>
    <xf numFmtId="0" fontId="145" fillId="0" borderId="1" xfId="533" applyFont="1" applyBorder="1" applyAlignment="1">
      <alignment horizontal="center" vertical="center" wrapText="1"/>
    </xf>
    <xf numFmtId="0" fontId="145" fillId="0" borderId="8" xfId="533" applyFont="1" applyBorder="1" applyAlignment="1">
      <alignment horizontal="center" vertical="center" wrapText="1"/>
    </xf>
    <xf numFmtId="0" fontId="145" fillId="0" borderId="9" xfId="533" applyFont="1" applyBorder="1" applyAlignment="1">
      <alignment horizontal="center" vertical="center" wrapText="1"/>
    </xf>
    <xf numFmtId="0" fontId="145" fillId="0" borderId="7" xfId="533" applyFont="1" applyBorder="1" applyAlignment="1">
      <alignment horizontal="center" vertical="center" wrapText="1"/>
    </xf>
    <xf numFmtId="2" fontId="161" fillId="0" borderId="0" xfId="506" applyNumberFormat="1" applyFont="1" applyAlignment="1" applyProtection="1">
      <alignment horizontal="center" vertical="center" wrapText="1"/>
      <protection hidden="1"/>
    </xf>
    <xf numFmtId="0" fontId="172" fillId="0" borderId="0" xfId="506" applyFont="1" applyAlignment="1" applyProtection="1">
      <alignment horizontal="center" vertical="center" wrapText="1"/>
      <protection locked="0"/>
    </xf>
    <xf numFmtId="0" fontId="172" fillId="0" borderId="0" xfId="506" applyFont="1" applyAlignment="1" applyProtection="1">
      <alignment horizontal="left" vertical="center" wrapText="1"/>
      <protection locked="0"/>
    </xf>
    <xf numFmtId="0" fontId="40" fillId="0" borderId="66" xfId="506" applyFont="1" applyBorder="1" applyAlignment="1" applyProtection="1">
      <alignment horizontal="center" vertical="center" wrapText="1"/>
      <protection hidden="1"/>
    </xf>
    <xf numFmtId="0" fontId="40" fillId="0" borderId="68" xfId="506" applyFont="1" applyBorder="1" applyAlignment="1" applyProtection="1">
      <alignment horizontal="center" vertical="center" wrapText="1"/>
      <protection hidden="1"/>
    </xf>
    <xf numFmtId="2" fontId="40" fillId="0" borderId="58" xfId="506" applyNumberFormat="1" applyFont="1" applyBorder="1" applyAlignment="1" applyProtection="1">
      <alignment horizontal="center" vertical="center" wrapText="1"/>
      <protection hidden="1"/>
    </xf>
    <xf numFmtId="2" fontId="40" fillId="0" borderId="59" xfId="506" applyNumberFormat="1" applyFont="1" applyBorder="1" applyAlignment="1" applyProtection="1">
      <alignment horizontal="center" vertical="center" wrapText="1"/>
      <protection hidden="1"/>
    </xf>
    <xf numFmtId="2" fontId="159" fillId="0" borderId="0" xfId="506" applyNumberFormat="1" applyFont="1" applyAlignment="1" applyProtection="1">
      <alignment horizontal="center" vertical="center" wrapText="1"/>
      <protection hidden="1"/>
    </xf>
    <xf numFmtId="2" fontId="89" fillId="0" borderId="7" xfId="506" applyNumberFormat="1" applyFont="1" applyBorder="1" applyAlignment="1" applyProtection="1">
      <alignment horizontal="center" vertical="center" textRotation="90" wrapText="1"/>
      <protection hidden="1"/>
    </xf>
    <xf numFmtId="2" fontId="89" fillId="74" borderId="58" xfId="506" applyNumberFormat="1" applyFont="1" applyFill="1" applyBorder="1" applyAlignment="1" applyProtection="1">
      <alignment horizontal="center" vertical="center" textRotation="90" wrapText="1"/>
      <protection hidden="1"/>
    </xf>
    <xf numFmtId="2" fontId="89" fillId="74" borderId="45" xfId="506" applyNumberFormat="1" applyFont="1" applyFill="1" applyBorder="1" applyAlignment="1" applyProtection="1">
      <alignment horizontal="center" vertical="center" textRotation="90" wrapText="1"/>
      <protection hidden="1"/>
    </xf>
    <xf numFmtId="0" fontId="40" fillId="0" borderId="48" xfId="506" applyFont="1" applyBorder="1" applyAlignment="1" applyProtection="1">
      <alignment horizontal="center" vertical="center" textRotation="90" wrapText="1"/>
      <protection hidden="1"/>
    </xf>
    <xf numFmtId="0" fontId="40" fillId="0" borderId="95" xfId="506" applyFont="1" applyBorder="1" applyAlignment="1" applyProtection="1">
      <alignment horizontal="center" vertical="center" textRotation="90" wrapText="1"/>
      <protection hidden="1"/>
    </xf>
    <xf numFmtId="4" fontId="159" fillId="0" borderId="0" xfId="506" applyNumberFormat="1" applyFont="1" applyAlignment="1" applyProtection="1">
      <alignment horizontal="center" vertical="center" wrapText="1"/>
      <protection hidden="1"/>
    </xf>
    <xf numFmtId="0" fontId="40" fillId="0" borderId="0" xfId="546" applyFont="1" applyAlignment="1">
      <alignment horizontal="center" vertical="center" wrapText="1"/>
    </xf>
    <xf numFmtId="0" fontId="40" fillId="3" borderId="0" xfId="546" applyFont="1" applyFill="1" applyAlignment="1">
      <alignment horizontal="center" vertical="center" wrapText="1"/>
    </xf>
    <xf numFmtId="0" fontId="89" fillId="0" borderId="0" xfId="546" applyFont="1" applyAlignment="1">
      <alignment horizontal="center" vertical="center" wrapText="1"/>
    </xf>
    <xf numFmtId="0" fontId="89" fillId="3" borderId="0" xfId="546" applyFont="1" applyFill="1" applyAlignment="1">
      <alignment horizontal="center" vertical="center" wrapText="1"/>
    </xf>
    <xf numFmtId="0" fontId="98" fillId="0" borderId="33" xfId="551" applyFont="1" applyBorder="1" applyAlignment="1">
      <alignment horizontal="center" vertical="center"/>
    </xf>
    <xf numFmtId="0" fontId="98" fillId="0" borderId="32" xfId="551" applyFont="1" applyBorder="1" applyAlignment="1">
      <alignment horizontal="center" vertical="center"/>
    </xf>
    <xf numFmtId="0" fontId="40" fillId="0" borderId="58" xfId="551" applyFont="1" applyBorder="1" applyAlignment="1">
      <alignment horizontal="center" vertical="center"/>
    </xf>
    <xf numFmtId="0" fontId="39" fillId="0" borderId="48" xfId="551" applyFont="1" applyBorder="1" applyAlignment="1">
      <alignment horizontal="center" vertical="center"/>
    </xf>
    <xf numFmtId="0" fontId="39" fillId="0" borderId="95" xfId="551" applyFont="1" applyBorder="1" applyAlignment="1">
      <alignment horizontal="center" vertical="center"/>
    </xf>
    <xf numFmtId="0" fontId="39" fillId="0" borderId="49" xfId="551" applyFont="1" applyBorder="1" applyAlignment="1">
      <alignment horizontal="center" vertical="center"/>
    </xf>
    <xf numFmtId="0" fontId="39" fillId="0" borderId="94" xfId="551" applyFont="1" applyBorder="1" applyAlignment="1">
      <alignment vertical="center"/>
    </xf>
    <xf numFmtId="4" fontId="40" fillId="74" borderId="8" xfId="551" applyNumberFormat="1" applyFont="1" applyFill="1" applyBorder="1" applyAlignment="1">
      <alignment horizontal="right" vertical="center"/>
    </xf>
    <xf numFmtId="4" fontId="40" fillId="74" borderId="7" xfId="551" applyNumberFormat="1" applyFont="1" applyFill="1" applyBorder="1" applyAlignment="1">
      <alignment horizontal="right" vertical="center"/>
    </xf>
    <xf numFmtId="0" fontId="91" fillId="0" borderId="0" xfId="551" applyFont="1" applyAlignment="1">
      <alignment horizontal="center" wrapText="1"/>
    </xf>
    <xf numFmtId="0" fontId="40" fillId="0" borderId="64" xfId="551" applyFont="1" applyBorder="1" applyAlignment="1">
      <alignment horizontal="center" vertical="center"/>
    </xf>
    <xf numFmtId="0" fontId="40" fillId="0" borderId="57" xfId="551" applyFont="1" applyBorder="1" applyAlignment="1">
      <alignment horizontal="center" vertical="center"/>
    </xf>
    <xf numFmtId="0" fontId="40" fillId="0" borderId="59" xfId="551" applyFont="1" applyBorder="1" applyAlignment="1">
      <alignment horizontal="center" vertical="center"/>
    </xf>
    <xf numFmtId="4" fontId="40" fillId="74" borderId="9" xfId="551" applyNumberFormat="1" applyFont="1" applyFill="1" applyBorder="1" applyAlignment="1">
      <alignment horizontal="right" vertical="center"/>
    </xf>
    <xf numFmtId="0" fontId="39" fillId="34" borderId="51" xfId="551" applyFont="1" applyFill="1" applyBorder="1" applyAlignment="1">
      <alignment horizontal="center" vertical="center"/>
    </xf>
    <xf numFmtId="0" fontId="39" fillId="34" borderId="42" xfId="551" applyFont="1" applyFill="1" applyBorder="1" applyAlignment="1">
      <alignment horizontal="center" vertical="center"/>
    </xf>
    <xf numFmtId="0" fontId="39" fillId="34" borderId="4" xfId="551" applyFont="1" applyFill="1" applyBorder="1" applyAlignment="1">
      <alignment horizontal="center" vertical="center" wrapText="1"/>
    </xf>
    <xf numFmtId="0" fontId="39" fillId="34" borderId="3" xfId="551" applyFont="1" applyFill="1" applyBorder="1" applyAlignment="1">
      <alignment horizontal="center" vertical="center" wrapText="1"/>
    </xf>
    <xf numFmtId="0" fontId="39" fillId="34" borderId="41" xfId="551" applyFont="1" applyFill="1" applyBorder="1" applyAlignment="1">
      <alignment horizontal="center" vertical="center"/>
    </xf>
    <xf numFmtId="4" fontId="40" fillId="0" borderId="8" xfId="551" applyNumberFormat="1" applyFont="1" applyBorder="1" applyAlignment="1">
      <alignment horizontal="right" vertical="center"/>
    </xf>
    <xf numFmtId="4" fontId="40" fillId="0" borderId="7" xfId="551" applyNumberFormat="1" applyFont="1" applyBorder="1" applyAlignment="1">
      <alignment horizontal="right" vertical="center"/>
    </xf>
    <xf numFmtId="4" fontId="40" fillId="0" borderId="9" xfId="551" applyNumberFormat="1" applyFont="1" applyBorder="1" applyAlignment="1">
      <alignment horizontal="right" vertical="center"/>
    </xf>
    <xf numFmtId="0" fontId="39" fillId="0" borderId="41" xfId="551" applyFont="1" applyBorder="1" applyAlignment="1">
      <alignment horizontal="center" vertical="center"/>
    </xf>
    <xf numFmtId="0" fontId="39" fillId="0" borderId="42" xfId="551" applyFont="1" applyBorder="1" applyAlignment="1">
      <alignment horizontal="center" vertical="center"/>
    </xf>
    <xf numFmtId="4" fontId="89" fillId="0" borderId="55" xfId="551" applyNumberFormat="1" applyFont="1" applyBorder="1" applyAlignment="1">
      <alignment horizontal="right" vertical="center"/>
    </xf>
    <xf numFmtId="4" fontId="89" fillId="0" borderId="54" xfId="551" applyNumberFormat="1" applyFont="1" applyBorder="1" applyAlignment="1">
      <alignment horizontal="right" vertical="center"/>
    </xf>
    <xf numFmtId="4" fontId="89" fillId="0" borderId="80" xfId="551" applyNumberFormat="1" applyFont="1" applyBorder="1" applyAlignment="1">
      <alignment horizontal="right" vertical="center"/>
    </xf>
    <xf numFmtId="0" fontId="48" fillId="0" borderId="58" xfId="552" applyFont="1" applyBorder="1" applyAlignment="1">
      <alignment horizontal="center" vertical="center"/>
    </xf>
    <xf numFmtId="0" fontId="48" fillId="0" borderId="64" xfId="552" applyFont="1" applyBorder="1" applyAlignment="1">
      <alignment horizontal="center" vertical="center"/>
    </xf>
    <xf numFmtId="0" fontId="171" fillId="62" borderId="0" xfId="552" applyFont="1" applyFill="1" applyAlignment="1">
      <alignment horizontal="center" wrapText="1"/>
    </xf>
    <xf numFmtId="0" fontId="96" fillId="62" borderId="66" xfId="552" applyFont="1" applyFill="1" applyBorder="1" applyAlignment="1">
      <alignment horizontal="center" vertical="center"/>
    </xf>
    <xf numFmtId="0" fontId="96" fillId="62" borderId="68" xfId="552" applyFont="1" applyFill="1" applyBorder="1" applyAlignment="1">
      <alignment horizontal="center" vertical="center"/>
    </xf>
    <xf numFmtId="0" fontId="96" fillId="62" borderId="65" xfId="552" applyFont="1" applyFill="1" applyBorder="1"/>
    <xf numFmtId="0" fontId="96" fillId="62" borderId="54" xfId="552" applyFont="1" applyFill="1" applyBorder="1"/>
    <xf numFmtId="0" fontId="191" fillId="62" borderId="0" xfId="552" applyFont="1" applyFill="1" applyAlignment="1">
      <alignment horizontal="center" wrapText="1"/>
    </xf>
    <xf numFmtId="0" fontId="106" fillId="62" borderId="48" xfId="0" applyFont="1" applyFill="1" applyBorder="1" applyAlignment="1">
      <alignment horizontal="center" vertical="center" wrapText="1"/>
    </xf>
    <xf numFmtId="0" fontId="106" fillId="62" borderId="95" xfId="0" applyFont="1" applyFill="1" applyBorder="1" applyAlignment="1">
      <alignment horizontal="center" vertical="center" wrapText="1"/>
    </xf>
    <xf numFmtId="0" fontId="106" fillId="62" borderId="58" xfId="0" applyFont="1" applyFill="1" applyBorder="1" applyAlignment="1">
      <alignment horizontal="center" vertical="center"/>
    </xf>
    <xf numFmtId="0" fontId="106" fillId="62" borderId="45" xfId="0" applyFont="1" applyFill="1" applyBorder="1" applyAlignment="1">
      <alignment horizontal="center" vertical="center"/>
    </xf>
    <xf numFmtId="0" fontId="89" fillId="0" borderId="58" xfId="0" applyFont="1" applyBorder="1" applyAlignment="1">
      <alignment horizontal="center" vertical="center"/>
    </xf>
    <xf numFmtId="0" fontId="89" fillId="0" borderId="64" xfId="0" applyFont="1" applyBorder="1" applyAlignment="1">
      <alignment horizontal="center" vertical="center"/>
    </xf>
    <xf numFmtId="0" fontId="48" fillId="0" borderId="0" xfId="0" applyFont="1" applyAlignment="1">
      <alignment horizontal="center" vertical="center"/>
    </xf>
    <xf numFmtId="0" fontId="38" fillId="0" borderId="26" xfId="0" applyFont="1" applyBorder="1" applyAlignment="1">
      <alignment horizontal="center" vertical="top" wrapText="1"/>
    </xf>
    <xf numFmtId="0" fontId="38" fillId="0" borderId="34" xfId="0" applyFont="1" applyBorder="1" applyAlignment="1">
      <alignment horizontal="center" vertical="top" wrapText="1"/>
    </xf>
    <xf numFmtId="0" fontId="38" fillId="0" borderId="27" xfId="0" applyFont="1" applyBorder="1" applyAlignment="1">
      <alignment horizontal="center" vertical="top" wrapText="1"/>
    </xf>
    <xf numFmtId="0" fontId="38" fillId="0" borderId="29" xfId="0" applyFont="1" applyBorder="1" applyAlignment="1">
      <alignment horizontal="center" vertical="top" wrapText="1"/>
    </xf>
    <xf numFmtId="0" fontId="38" fillId="0" borderId="35" xfId="0" applyFont="1" applyBorder="1" applyAlignment="1">
      <alignment horizontal="center" vertical="top" wrapText="1"/>
    </xf>
    <xf numFmtId="0" fontId="38" fillId="0" borderId="56" xfId="0" applyFont="1" applyBorder="1" applyAlignment="1">
      <alignment horizontal="center" vertical="top" wrapText="1"/>
    </xf>
    <xf numFmtId="0" fontId="38" fillId="0" borderId="30" xfId="0" applyFont="1" applyBorder="1" applyAlignment="1">
      <alignment horizontal="center" vertical="top" wrapText="1"/>
    </xf>
    <xf numFmtId="0" fontId="38" fillId="0" borderId="36" xfId="0" applyFont="1" applyBorder="1" applyAlignment="1">
      <alignment horizontal="center" vertical="top" wrapText="1"/>
    </xf>
    <xf numFmtId="0" fontId="38" fillId="0" borderId="31" xfId="0" applyFont="1" applyBorder="1" applyAlignment="1">
      <alignment horizontal="center" vertical="top" wrapText="1"/>
    </xf>
    <xf numFmtId="0" fontId="39" fillId="0" borderId="58" xfId="0" applyFont="1" applyBorder="1" applyAlignment="1">
      <alignment horizontal="center" vertical="top" wrapText="1"/>
    </xf>
    <xf numFmtId="0" fontId="39" fillId="0" borderId="1" xfId="0" applyFont="1" applyBorder="1" applyAlignment="1">
      <alignment horizontal="center" vertical="top" wrapText="1"/>
    </xf>
    <xf numFmtId="0" fontId="0" fillId="0" borderId="8" xfId="0" applyBorder="1" applyAlignment="1">
      <alignment horizontal="center"/>
    </xf>
    <xf numFmtId="0" fontId="0" fillId="0" borderId="7" xfId="0" applyBorder="1" applyAlignment="1">
      <alignment horizontal="center"/>
    </xf>
    <xf numFmtId="0" fontId="161" fillId="0" borderId="0" xfId="552" applyFont="1" applyAlignment="1">
      <alignment horizontal="center" wrapText="1"/>
    </xf>
    <xf numFmtId="0" fontId="0" fillId="0" borderId="1" xfId="0" applyBorder="1" applyAlignment="1">
      <alignment horizontal="center"/>
    </xf>
    <xf numFmtId="0" fontId="326" fillId="0" borderId="1" xfId="0" applyFont="1" applyBorder="1" applyAlignment="1">
      <alignment horizontal="center"/>
    </xf>
    <xf numFmtId="0" fontId="326" fillId="0" borderId="1" xfId="0" applyFont="1" applyBorder="1" applyAlignment="1">
      <alignment horizontal="center" vertical="center" textRotation="90" wrapText="1"/>
    </xf>
    <xf numFmtId="0" fontId="326" fillId="0" borderId="1" xfId="0" applyFont="1" applyBorder="1" applyAlignment="1">
      <alignment horizontal="center" vertical="center"/>
    </xf>
    <xf numFmtId="0" fontId="172" fillId="0" borderId="0" xfId="552" applyFont="1" applyAlignment="1">
      <alignment horizontal="left"/>
    </xf>
    <xf numFmtId="0" fontId="234" fillId="0" borderId="28" xfId="0" applyFont="1" applyBorder="1" applyAlignment="1">
      <alignment horizontal="center"/>
    </xf>
    <xf numFmtId="0" fontId="234" fillId="0" borderId="0" xfId="0" applyFont="1" applyAlignment="1">
      <alignment horizontal="center"/>
    </xf>
    <xf numFmtId="0" fontId="234" fillId="0" borderId="24" xfId="0" applyFont="1" applyBorder="1" applyAlignment="1">
      <alignment horizontal="center"/>
    </xf>
    <xf numFmtId="0" fontId="0" fillId="0" borderId="8" xfId="0" applyBorder="1" applyAlignment="1">
      <alignment horizontal="left"/>
    </xf>
    <xf numFmtId="0" fontId="0" fillId="0" borderId="9" xfId="0" applyBorder="1" applyAlignment="1">
      <alignment horizontal="left"/>
    </xf>
    <xf numFmtId="0" fontId="0" fillId="0" borderId="7" xfId="0" applyBorder="1" applyAlignment="1">
      <alignment horizontal="left"/>
    </xf>
    <xf numFmtId="0" fontId="172" fillId="0" borderId="0" xfId="552" applyFont="1" applyAlignment="1">
      <alignment horizontal="center"/>
    </xf>
    <xf numFmtId="0" fontId="0" fillId="0" borderId="1" xfId="0" applyBorder="1" applyAlignment="1">
      <alignment horizontal="left"/>
    </xf>
    <xf numFmtId="0" fontId="47" fillId="0" borderId="0" xfId="0" quotePrefix="1" applyFont="1" applyAlignment="1">
      <alignment vertical="top" wrapText="1"/>
    </xf>
    <xf numFmtId="0" fontId="47" fillId="0" borderId="0" xfId="0" applyFont="1" applyAlignment="1">
      <alignment vertical="top" wrapText="1"/>
    </xf>
    <xf numFmtId="0" fontId="145" fillId="0" borderId="0" xfId="0" applyFont="1" applyAlignment="1">
      <alignment vertical="top" wrapText="1"/>
    </xf>
    <xf numFmtId="0" fontId="145" fillId="0" borderId="0" xfId="0" applyFont="1" applyAlignment="1">
      <alignment vertical="center" wrapText="1"/>
    </xf>
    <xf numFmtId="49" fontId="145" fillId="0" borderId="1" xfId="0" applyNumberFormat="1" applyFont="1" applyBorder="1" applyAlignment="1">
      <alignment horizontal="center" vertical="center" wrapText="1"/>
    </xf>
    <xf numFmtId="0" fontId="89" fillId="0" borderId="1" xfId="0" applyFont="1" applyBorder="1" applyAlignment="1">
      <alignment horizontal="center" vertical="center" wrapText="1"/>
    </xf>
    <xf numFmtId="0" fontId="89" fillId="0" borderId="66" xfId="0" applyFont="1" applyBorder="1" applyAlignment="1">
      <alignment horizontal="center" vertical="center"/>
    </xf>
    <xf numFmtId="0" fontId="89" fillId="0" borderId="68" xfId="0" applyFont="1" applyBorder="1" applyAlignment="1">
      <alignment horizontal="center" vertical="center"/>
    </xf>
    <xf numFmtId="0" fontId="242" fillId="0" borderId="0" xfId="0" applyFont="1" applyAlignment="1">
      <alignment horizontal="left" wrapText="1"/>
    </xf>
    <xf numFmtId="0" fontId="0" fillId="0" borderId="79" xfId="0" applyBorder="1" applyAlignment="1">
      <alignment horizontal="center" vertical="center"/>
    </xf>
    <xf numFmtId="0" fontId="0" fillId="0" borderId="4" xfId="0" applyBorder="1" applyAlignment="1">
      <alignment horizontal="center" vertical="center"/>
    </xf>
    <xf numFmtId="0" fontId="0" fillId="0" borderId="3" xfId="0" applyBorder="1" applyAlignment="1">
      <alignment horizontal="center" vertical="center"/>
    </xf>
    <xf numFmtId="0" fontId="40" fillId="0" borderId="0" xfId="0" applyFont="1" applyAlignment="1">
      <alignment horizontal="center" wrapText="1"/>
    </xf>
    <xf numFmtId="0" fontId="40" fillId="0" borderId="79" xfId="0" applyFont="1" applyBorder="1" applyAlignment="1">
      <alignment horizontal="center" vertical="center" wrapText="1"/>
    </xf>
    <xf numFmtId="0" fontId="40" fillId="0" borderId="3" xfId="0" applyFont="1" applyBorder="1" applyAlignment="1">
      <alignment horizontal="center" vertical="center" wrapText="1"/>
    </xf>
    <xf numFmtId="0" fontId="40" fillId="0" borderId="8" xfId="0" applyFont="1" applyBorder="1" applyAlignment="1">
      <alignment horizontal="center" wrapText="1"/>
    </xf>
    <xf numFmtId="0" fontId="40" fillId="0" borderId="7" xfId="0" applyFont="1" applyBorder="1" applyAlignment="1">
      <alignment horizontal="center" wrapText="1"/>
    </xf>
    <xf numFmtId="0" fontId="40" fillId="0" borderId="4" xfId="0" applyFont="1" applyBorder="1" applyAlignment="1">
      <alignment horizontal="center" vertical="center" wrapText="1"/>
    </xf>
    <xf numFmtId="0" fontId="40" fillId="0" borderId="8" xfId="0" applyFont="1" applyBorder="1" applyAlignment="1">
      <alignment horizontal="center" vertical="center" wrapText="1"/>
    </xf>
    <xf numFmtId="0" fontId="40" fillId="0" borderId="7" xfId="0" applyFont="1" applyBorder="1" applyAlignment="1">
      <alignment horizontal="center" vertical="center" wrapText="1"/>
    </xf>
    <xf numFmtId="0" fontId="40" fillId="0" borderId="8" xfId="0" applyFont="1" applyBorder="1" applyAlignment="1">
      <alignment horizontal="center" vertical="center"/>
    </xf>
    <xf numFmtId="0" fontId="40" fillId="0" borderId="7" xfId="0" applyFont="1" applyBorder="1" applyAlignment="1">
      <alignment horizontal="center" vertical="center"/>
    </xf>
    <xf numFmtId="0" fontId="265" fillId="0" borderId="8" xfId="0" applyFont="1" applyBorder="1" applyAlignment="1">
      <alignment horizontal="center" vertical="center" wrapText="1"/>
    </xf>
    <xf numFmtId="0" fontId="265" fillId="0" borderId="7" xfId="0" applyFont="1" applyBorder="1" applyAlignment="1">
      <alignment horizontal="center" vertical="center" wrapText="1"/>
    </xf>
    <xf numFmtId="0" fontId="266" fillId="0" borderId="8" xfId="0" applyFont="1" applyBorder="1" applyAlignment="1">
      <alignment horizontal="center" vertical="center"/>
    </xf>
    <xf numFmtId="0" fontId="266" fillId="0" borderId="7" xfId="0" applyFont="1" applyBorder="1" applyAlignment="1">
      <alignment horizontal="center" vertical="center"/>
    </xf>
    <xf numFmtId="0" fontId="89" fillId="2" borderId="0" xfId="0" applyFont="1" applyFill="1" applyAlignment="1">
      <alignment horizontal="center"/>
    </xf>
    <xf numFmtId="0" fontId="266" fillId="0" borderId="1" xfId="0" applyFont="1" applyBorder="1" applyAlignment="1">
      <alignment horizontal="center" vertical="center" wrapText="1"/>
    </xf>
    <xf numFmtId="4" fontId="98" fillId="62" borderId="1" xfId="0" applyNumberFormat="1" applyFont="1" applyFill="1" applyBorder="1" applyAlignment="1">
      <alignment horizontal="center" vertical="center" wrapText="1"/>
    </xf>
    <xf numFmtId="0" fontId="264" fillId="0" borderId="1" xfId="0" applyFont="1" applyBorder="1" applyAlignment="1">
      <alignment horizontal="center" vertical="center"/>
    </xf>
    <xf numFmtId="0" fontId="265" fillId="0" borderId="1" xfId="0" applyFont="1" applyBorder="1" applyAlignment="1">
      <alignment horizontal="center" vertical="center" wrapText="1"/>
    </xf>
    <xf numFmtId="0" fontId="265" fillId="0" borderId="8" xfId="0" applyFont="1" applyBorder="1" applyAlignment="1">
      <alignment horizontal="center" vertical="center"/>
    </xf>
    <xf numFmtId="0" fontId="265" fillId="0" borderId="7" xfId="0" applyFont="1" applyBorder="1" applyAlignment="1">
      <alignment horizontal="center" vertical="center"/>
    </xf>
    <xf numFmtId="0" fontId="38" fillId="0" borderId="8" xfId="0" applyFont="1" applyBorder="1" applyAlignment="1">
      <alignment horizontal="center" vertical="center" wrapText="1"/>
    </xf>
    <xf numFmtId="0" fontId="38" fillId="0" borderId="7" xfId="0" applyFont="1" applyBorder="1" applyAlignment="1">
      <alignment horizontal="center" vertical="center" wrapText="1"/>
    </xf>
    <xf numFmtId="0" fontId="263" fillId="0" borderId="0" xfId="0" applyFont="1" applyAlignment="1">
      <alignment horizontal="center" vertical="center" wrapText="1"/>
    </xf>
    <xf numFmtId="0" fontId="264" fillId="0" borderId="8" xfId="0" applyFont="1" applyBorder="1" applyAlignment="1">
      <alignment horizontal="center" vertical="center"/>
    </xf>
    <xf numFmtId="0" fontId="264" fillId="0" borderId="7" xfId="0" applyFont="1" applyBorder="1" applyAlignment="1">
      <alignment horizontal="center" vertical="center"/>
    </xf>
    <xf numFmtId="0" fontId="217" fillId="0" borderId="8" xfId="0" applyFont="1" applyBorder="1" applyAlignment="1">
      <alignment horizontal="center" vertical="center" wrapText="1"/>
    </xf>
    <xf numFmtId="0" fontId="217" fillId="0" borderId="9" xfId="0" applyFont="1" applyBorder="1" applyAlignment="1">
      <alignment horizontal="center" vertical="center" wrapText="1"/>
    </xf>
    <xf numFmtId="0" fontId="217" fillId="0" borderId="7" xfId="0" applyFont="1" applyBorder="1" applyAlignment="1">
      <alignment horizontal="center" vertical="center" wrapText="1"/>
    </xf>
    <xf numFmtId="0" fontId="40" fillId="0" borderId="1" xfId="0" applyFont="1" applyBorder="1" applyAlignment="1">
      <alignment horizontal="center"/>
    </xf>
    <xf numFmtId="0" fontId="40" fillId="0" borderId="1" xfId="0" applyFont="1" applyBorder="1" applyAlignment="1">
      <alignment horizontal="center" vertical="center" wrapText="1"/>
    </xf>
    <xf numFmtId="0" fontId="98" fillId="0" borderId="1" xfId="0" applyFont="1" applyBorder="1" applyAlignment="1">
      <alignment horizontal="center" wrapText="1"/>
    </xf>
    <xf numFmtId="2" fontId="259" fillId="0" borderId="1" xfId="0" applyNumberFormat="1" applyFont="1" applyBorder="1" applyAlignment="1">
      <alignment horizontal="center" vertical="center" wrapText="1"/>
    </xf>
    <xf numFmtId="0" fontId="259" fillId="0" borderId="1" xfId="0" applyFont="1" applyBorder="1" applyAlignment="1">
      <alignment horizontal="center" vertical="center" wrapText="1"/>
    </xf>
    <xf numFmtId="0" fontId="262" fillId="0" borderId="8" xfId="0" applyFont="1" applyBorder="1" applyAlignment="1">
      <alignment horizontal="center" vertical="center" wrapText="1"/>
    </xf>
    <xf numFmtId="0" fontId="262" fillId="0" borderId="9" xfId="0" applyFont="1" applyBorder="1" applyAlignment="1">
      <alignment horizontal="center" vertical="center" wrapText="1"/>
    </xf>
    <xf numFmtId="0" fontId="262" fillId="0" borderId="7" xfId="0" applyFont="1" applyBorder="1" applyAlignment="1">
      <alignment horizontal="center" vertical="center" wrapText="1"/>
    </xf>
    <xf numFmtId="0" fontId="257" fillId="0" borderId="8" xfId="0" applyFont="1" applyBorder="1" applyAlignment="1">
      <alignment horizontal="center" vertical="center" wrapText="1"/>
    </xf>
    <xf numFmtId="0" fontId="257" fillId="0" borderId="9" xfId="0" applyFont="1" applyBorder="1" applyAlignment="1">
      <alignment horizontal="center" vertical="center" wrapText="1"/>
    </xf>
    <xf numFmtId="0" fontId="257" fillId="0" borderId="7" xfId="0" applyFont="1" applyBorder="1" applyAlignment="1">
      <alignment horizontal="center" vertical="center" wrapText="1"/>
    </xf>
    <xf numFmtId="0" fontId="141" fillId="0" borderId="79" xfId="0" applyFont="1" applyBorder="1" applyAlignment="1">
      <alignment horizontal="center" vertical="center" wrapText="1"/>
    </xf>
    <xf numFmtId="0" fontId="141" fillId="0" borderId="3" xfId="0" applyFont="1" applyBorder="1" applyAlignment="1">
      <alignment horizontal="center" vertical="center" wrapText="1"/>
    </xf>
    <xf numFmtId="4" fontId="141" fillId="0" borderId="8" xfId="0" applyNumberFormat="1" applyFont="1" applyBorder="1" applyAlignment="1">
      <alignment horizontal="center" vertical="center" wrapText="1"/>
    </xf>
    <xf numFmtId="4" fontId="141" fillId="0" borderId="9" xfId="0" applyNumberFormat="1" applyFont="1" applyBorder="1" applyAlignment="1">
      <alignment horizontal="center" vertical="center" wrapText="1"/>
    </xf>
    <xf numFmtId="4" fontId="141" fillId="0" borderId="7" xfId="0" applyNumberFormat="1" applyFont="1" applyBorder="1" applyAlignment="1">
      <alignment horizontal="center" vertical="center" wrapText="1"/>
    </xf>
    <xf numFmtId="0" fontId="246" fillId="0" borderId="10" xfId="0" applyFont="1" applyBorder="1" applyAlignment="1">
      <alignment horizontal="left" vertical="center" wrapText="1"/>
    </xf>
    <xf numFmtId="0" fontId="246" fillId="0" borderId="5" xfId="0" applyFont="1" applyBorder="1" applyAlignment="1">
      <alignment horizontal="left" vertical="center" wrapText="1"/>
    </xf>
    <xf numFmtId="0" fontId="229" fillId="0" borderId="5" xfId="0" applyFont="1" applyBorder="1" applyAlignment="1">
      <alignment horizontal="left" wrapText="1"/>
    </xf>
    <xf numFmtId="0" fontId="38" fillId="0" borderId="5" xfId="0" applyFont="1" applyBorder="1" applyAlignment="1">
      <alignment horizontal="center" wrapText="1"/>
    </xf>
    <xf numFmtId="0" fontId="38" fillId="0" borderId="1" xfId="0" applyFont="1" applyBorder="1" applyAlignment="1">
      <alignment horizontal="center" vertical="center" wrapText="1"/>
    </xf>
    <xf numFmtId="0" fontId="39" fillId="0" borderId="1" xfId="0" applyFont="1" applyBorder="1" applyAlignment="1">
      <alignment horizontal="center"/>
    </xf>
    <xf numFmtId="0" fontId="47" fillId="0" borderId="1" xfId="0" applyFont="1" applyBorder="1" applyAlignment="1">
      <alignment horizontal="center" wrapText="1"/>
    </xf>
    <xf numFmtId="0" fontId="224" fillId="0" borderId="8" xfId="0" applyFont="1" applyBorder="1" applyAlignment="1">
      <alignment horizontal="center" vertical="center" wrapText="1"/>
    </xf>
    <xf numFmtId="0" fontId="224" fillId="0" borderId="9" xfId="0" applyFont="1" applyBorder="1" applyAlignment="1">
      <alignment horizontal="center" vertical="center" wrapText="1"/>
    </xf>
    <xf numFmtId="0" fontId="224" fillId="0" borderId="7" xfId="0" applyFont="1" applyBorder="1" applyAlignment="1">
      <alignment horizontal="center" vertical="center" wrapText="1"/>
    </xf>
    <xf numFmtId="0" fontId="91" fillId="0" borderId="5" xfId="0" applyFont="1" applyBorder="1" applyAlignment="1">
      <alignment horizontal="center"/>
    </xf>
    <xf numFmtId="0" fontId="91" fillId="0" borderId="5" xfId="0" applyFont="1" applyBorder="1" applyAlignment="1">
      <alignment horizontal="center" wrapText="1"/>
    </xf>
    <xf numFmtId="0" fontId="48" fillId="0" borderId="79" xfId="0" applyFont="1" applyBorder="1" applyAlignment="1">
      <alignment horizontal="center" vertical="center"/>
    </xf>
    <xf numFmtId="0" fontId="48" fillId="0" borderId="3" xfId="0" applyFont="1" applyBorder="1" applyAlignment="1">
      <alignment horizontal="center" vertical="center"/>
    </xf>
    <xf numFmtId="0" fontId="38" fillId="0" borderId="1" xfId="240" applyFont="1" applyBorder="1" applyAlignment="1">
      <alignment horizontal="center" vertical="center" wrapText="1"/>
    </xf>
    <xf numFmtId="0" fontId="41" fillId="0" borderId="0" xfId="0" applyFont="1" applyAlignment="1">
      <alignment horizontal="left" vertical="center" wrapText="1"/>
    </xf>
    <xf numFmtId="49" fontId="48" fillId="0" borderId="0" xfId="240" applyNumberFormat="1" applyFont="1" applyAlignment="1">
      <alignment horizontal="center"/>
    </xf>
    <xf numFmtId="49" fontId="37" fillId="0" borderId="88" xfId="240" applyNumberFormat="1" applyFont="1" applyBorder="1" applyAlignment="1">
      <alignment horizontal="center" vertical="center" wrapText="1"/>
    </xf>
    <xf numFmtId="49" fontId="37" fillId="0" borderId="52" xfId="240" applyNumberFormat="1" applyFont="1" applyBorder="1" applyAlignment="1">
      <alignment horizontal="center" vertical="center" wrapText="1"/>
    </xf>
    <xf numFmtId="49" fontId="37" fillId="0" borderId="53" xfId="240" applyNumberFormat="1" applyFont="1" applyBorder="1" applyAlignment="1">
      <alignment horizontal="center" vertical="center" wrapText="1"/>
    </xf>
    <xf numFmtId="0" fontId="40" fillId="0" borderId="1" xfId="240" applyFont="1" applyBorder="1" applyAlignment="1">
      <alignment horizontal="center" vertical="center" wrapText="1"/>
    </xf>
    <xf numFmtId="0" fontId="0" fillId="77" borderId="1" xfId="0" applyFill="1" applyBorder="1" applyAlignment="1">
      <alignment horizontal="center"/>
    </xf>
    <xf numFmtId="0" fontId="0" fillId="33" borderId="1" xfId="0" applyFill="1" applyBorder="1" applyAlignment="1">
      <alignment horizontal="center"/>
    </xf>
    <xf numFmtId="0" fontId="0" fillId="2" borderId="1" xfId="0" applyFill="1" applyBorder="1" applyAlignment="1">
      <alignment horizontal="center"/>
    </xf>
    <xf numFmtId="0" fontId="39" fillId="0" borderId="79" xfId="0" applyFont="1" applyBorder="1" applyAlignment="1">
      <alignment horizontal="center"/>
    </xf>
    <xf numFmtId="0" fontId="39" fillId="0" borderId="3" xfId="0" applyFont="1" applyBorder="1" applyAlignment="1">
      <alignment horizontal="center"/>
    </xf>
    <xf numFmtId="0" fontId="138" fillId="0" borderId="9" xfId="0" applyFont="1" applyBorder="1" applyAlignment="1">
      <alignment horizontal="center" vertical="center"/>
    </xf>
    <xf numFmtId="0" fontId="39" fillId="0" borderId="9" xfId="240" applyFont="1" applyBorder="1" applyAlignment="1">
      <alignment horizontal="center" vertical="center" wrapText="1"/>
    </xf>
    <xf numFmtId="0" fontId="48" fillId="0" borderId="1" xfId="0" applyFont="1" applyBorder="1" applyAlignment="1">
      <alignment horizontal="center"/>
    </xf>
    <xf numFmtId="0" fontId="138" fillId="0" borderId="7" xfId="0" applyFont="1" applyBorder="1" applyAlignment="1">
      <alignment horizontal="center" vertical="center"/>
    </xf>
    <xf numFmtId="0" fontId="96" fillId="0" borderId="33" xfId="0" applyFont="1" applyBorder="1" applyAlignment="1">
      <alignment horizontal="center"/>
    </xf>
    <xf numFmtId="0" fontId="96" fillId="0" borderId="23" xfId="0" applyFont="1" applyBorder="1" applyAlignment="1">
      <alignment horizontal="center"/>
    </xf>
    <xf numFmtId="0" fontId="190" fillId="0" borderId="33" xfId="0" applyFont="1" applyBorder="1" applyAlignment="1">
      <alignment horizontal="center" wrapText="1"/>
    </xf>
    <xf numFmtId="0" fontId="190" fillId="0" borderId="23" xfId="0" applyFont="1" applyBorder="1" applyAlignment="1">
      <alignment horizontal="center" wrapText="1"/>
    </xf>
    <xf numFmtId="0" fontId="190" fillId="0" borderId="30" xfId="0" applyFont="1" applyBorder="1" applyAlignment="1">
      <alignment horizontal="center"/>
    </xf>
    <xf numFmtId="0" fontId="190" fillId="0" borderId="31" xfId="0" applyFont="1" applyBorder="1" applyAlignment="1">
      <alignment horizontal="center"/>
    </xf>
    <xf numFmtId="0" fontId="96" fillId="0" borderId="26" xfId="0" applyFont="1" applyBorder="1" applyAlignment="1">
      <alignment horizontal="center"/>
    </xf>
    <xf numFmtId="0" fontId="96" fillId="0" borderId="29" xfId="0" applyFont="1" applyBorder="1" applyAlignment="1">
      <alignment horizontal="center"/>
    </xf>
    <xf numFmtId="0" fontId="145" fillId="0" borderId="1" xfId="116" applyFont="1" applyBorder="1" applyAlignment="1">
      <alignment horizontal="center" vertical="center"/>
    </xf>
    <xf numFmtId="0" fontId="89" fillId="0" borderId="7" xfId="0" applyFont="1" applyBorder="1" applyAlignment="1">
      <alignment horizontal="center"/>
    </xf>
    <xf numFmtId="0" fontId="89" fillId="0" borderId="1" xfId="0" applyFont="1" applyBorder="1" applyAlignment="1">
      <alignment horizontal="center"/>
    </xf>
    <xf numFmtId="0" fontId="89" fillId="0" borderId="1" xfId="0" applyFont="1" applyBorder="1" applyAlignment="1">
      <alignment horizontal="center" vertical="center"/>
    </xf>
    <xf numFmtId="0" fontId="145" fillId="0" borderId="0" xfId="0" applyFont="1" applyAlignment="1">
      <alignment horizontal="center" vertical="top" wrapText="1"/>
    </xf>
    <xf numFmtId="0" fontId="145" fillId="0" borderId="0" xfId="0" applyFont="1" applyAlignment="1">
      <alignment horizontal="center" vertical="center" wrapText="1"/>
    </xf>
    <xf numFmtId="0" fontId="89" fillId="0" borderId="30" xfId="0" applyFont="1" applyBorder="1" applyAlignment="1">
      <alignment horizontal="center" vertical="center" wrapText="1"/>
    </xf>
    <xf numFmtId="0" fontId="89" fillId="0" borderId="31" xfId="0" applyFont="1" applyBorder="1" applyAlignment="1">
      <alignment horizontal="center" vertical="center" wrapText="1"/>
    </xf>
    <xf numFmtId="0" fontId="89" fillId="0" borderId="33" xfId="0" applyFont="1" applyBorder="1" applyAlignment="1">
      <alignment horizontal="center" vertical="center" wrapText="1"/>
    </xf>
    <xf numFmtId="0" fontId="48" fillId="0" borderId="33" xfId="0" applyFont="1" applyBorder="1" applyAlignment="1">
      <alignment horizontal="center" vertical="center" wrapText="1"/>
    </xf>
    <xf numFmtId="0" fontId="48" fillId="0" borderId="32" xfId="0" applyFont="1" applyBorder="1" applyAlignment="1">
      <alignment horizontal="center" vertical="center" wrapText="1"/>
    </xf>
    <xf numFmtId="0" fontId="48" fillId="0" borderId="23" xfId="0" applyFont="1" applyBorder="1" applyAlignment="1">
      <alignment horizontal="center" vertical="center" wrapText="1"/>
    </xf>
    <xf numFmtId="0" fontId="47" fillId="0" borderId="0" xfId="0" quotePrefix="1" applyFont="1" applyAlignment="1">
      <alignment horizontal="left" vertical="top" wrapText="1"/>
    </xf>
    <xf numFmtId="0" fontId="47" fillId="0" borderId="0" xfId="0" applyFont="1" applyAlignment="1">
      <alignment horizontal="left" vertical="top" wrapText="1"/>
    </xf>
    <xf numFmtId="49" fontId="145" fillId="0" borderId="33" xfId="0" applyNumberFormat="1" applyFont="1" applyBorder="1" applyAlignment="1">
      <alignment horizontal="center" vertical="center" wrapText="1"/>
    </xf>
    <xf numFmtId="49" fontId="145" fillId="0" borderId="32" xfId="0" applyNumberFormat="1" applyFont="1" applyBorder="1" applyAlignment="1">
      <alignment horizontal="center" vertical="center" wrapText="1"/>
    </xf>
    <xf numFmtId="49" fontId="145" fillId="0" borderId="23" xfId="0" applyNumberFormat="1" applyFont="1" applyBorder="1" applyAlignment="1">
      <alignment horizontal="center" vertical="center" wrapText="1"/>
    </xf>
    <xf numFmtId="0" fontId="145" fillId="0" borderId="33" xfId="0" applyFont="1" applyBorder="1" applyAlignment="1">
      <alignment vertical="center" wrapText="1"/>
    </xf>
    <xf numFmtId="0" fontId="145" fillId="0" borderId="32" xfId="0" applyFont="1" applyBorder="1" applyAlignment="1">
      <alignment vertical="center" wrapText="1"/>
    </xf>
    <xf numFmtId="0" fontId="145" fillId="0" borderId="23" xfId="0" applyFont="1" applyBorder="1" applyAlignment="1">
      <alignment vertical="center" wrapText="1"/>
    </xf>
    <xf numFmtId="0" fontId="145" fillId="0" borderId="34" xfId="0" applyFont="1" applyBorder="1" applyAlignment="1">
      <alignment horizontal="center" vertical="center" wrapText="1"/>
    </xf>
    <xf numFmtId="0" fontId="145" fillId="0" borderId="35" xfId="0" applyFont="1" applyBorder="1" applyAlignment="1">
      <alignment horizontal="center" vertical="center" wrapText="1"/>
    </xf>
    <xf numFmtId="0" fontId="145" fillId="0" borderId="32" xfId="0" applyFont="1" applyBorder="1" applyAlignment="1">
      <alignment horizontal="center" vertical="center" wrapText="1"/>
    </xf>
    <xf numFmtId="0" fontId="145" fillId="0" borderId="23" xfId="0" applyFont="1" applyBorder="1" applyAlignment="1">
      <alignment horizontal="center" vertical="center" wrapText="1"/>
    </xf>
    <xf numFmtId="0" fontId="91" fillId="0" borderId="0" xfId="0" applyFont="1" applyAlignment="1">
      <alignment horizontal="center" vertical="center"/>
    </xf>
    <xf numFmtId="0" fontId="0" fillId="0" borderId="57" xfId="0" applyBorder="1" applyAlignment="1">
      <alignment horizontal="center" vertical="center"/>
    </xf>
    <xf numFmtId="0" fontId="0" fillId="0" borderId="41" xfId="0" applyBorder="1" applyAlignment="1">
      <alignment horizontal="center" vertical="center"/>
    </xf>
    <xf numFmtId="0" fontId="0" fillId="0" borderId="58" xfId="0" applyBorder="1" applyAlignment="1">
      <alignment horizontal="center" vertical="center" wrapText="1"/>
    </xf>
    <xf numFmtId="0" fontId="0" fillId="0" borderId="79" xfId="0" applyBorder="1" applyAlignment="1">
      <alignment horizontal="center" vertical="center" wrapText="1"/>
    </xf>
    <xf numFmtId="0" fontId="0" fillId="0" borderId="58" xfId="0" applyBorder="1" applyAlignment="1">
      <alignment horizontal="center"/>
    </xf>
    <xf numFmtId="0" fontId="0" fillId="0" borderId="59" xfId="0" applyBorder="1" applyAlignment="1">
      <alignment horizontal="center"/>
    </xf>
    <xf numFmtId="0" fontId="40" fillId="0" borderId="0" xfId="0" applyFont="1" applyAlignment="1">
      <alignment horizontal="center" vertical="center"/>
    </xf>
    <xf numFmtId="0" fontId="37" fillId="0" borderId="0" xfId="0" applyFont="1" applyAlignment="1">
      <alignment horizontal="left" vertical="top" wrapText="1"/>
    </xf>
    <xf numFmtId="0" fontId="40" fillId="0" borderId="5" xfId="0" applyFont="1" applyBorder="1" applyAlignment="1">
      <alignment horizontal="center" vertical="top"/>
    </xf>
    <xf numFmtId="0" fontId="40" fillId="0" borderId="77" xfId="0" applyFont="1" applyBorder="1" applyAlignment="1">
      <alignment horizontal="left" vertical="top" wrapText="1"/>
    </xf>
    <xf numFmtId="0" fontId="40" fillId="0" borderId="8" xfId="0" applyFont="1" applyBorder="1" applyAlignment="1">
      <alignment horizontal="center"/>
    </xf>
    <xf numFmtId="0" fontId="40" fillId="0" borderId="9" xfId="0" applyFont="1" applyBorder="1" applyAlignment="1">
      <alignment horizontal="center"/>
    </xf>
    <xf numFmtId="3" fontId="299" fillId="0" borderId="5" xfId="0" applyNumberFormat="1" applyFont="1" applyBorder="1" applyAlignment="1">
      <alignment horizontal="center" vertical="center"/>
    </xf>
    <xf numFmtId="0" fontId="298" fillId="0" borderId="5" xfId="0" applyFont="1" applyBorder="1" applyAlignment="1">
      <alignment horizontal="center" vertical="center" wrapText="1"/>
    </xf>
    <xf numFmtId="0" fontId="40" fillId="0" borderId="5" xfId="546" applyFont="1" applyBorder="1" applyAlignment="1">
      <alignment horizontal="center"/>
    </xf>
    <xf numFmtId="0" fontId="40" fillId="3" borderId="0" xfId="546" applyFont="1" applyFill="1" applyAlignment="1">
      <alignment horizontal="left" vertical="center" wrapText="1"/>
    </xf>
    <xf numFmtId="0" fontId="40" fillId="0" borderId="48" xfId="546" applyFont="1" applyBorder="1" applyAlignment="1">
      <alignment horizontal="center" vertical="center"/>
    </xf>
    <xf numFmtId="0" fontId="40" fillId="0" borderId="95" xfId="546" applyFont="1" applyBorder="1" applyAlignment="1">
      <alignment horizontal="center" vertical="center"/>
    </xf>
    <xf numFmtId="0" fontId="40" fillId="0" borderId="49" xfId="546" applyFont="1" applyBorder="1" applyAlignment="1">
      <alignment horizontal="center" vertical="center"/>
    </xf>
    <xf numFmtId="0" fontId="40" fillId="0" borderId="94" xfId="546" applyFont="1" applyBorder="1" applyAlignment="1">
      <alignment horizontal="center" vertical="center"/>
    </xf>
    <xf numFmtId="0" fontId="40" fillId="0" borderId="50" xfId="546" applyFont="1" applyBorder="1" applyAlignment="1">
      <alignment horizontal="center" vertical="center"/>
    </xf>
    <xf numFmtId="0" fontId="40" fillId="0" borderId="106" xfId="546" applyFont="1" applyBorder="1" applyAlignment="1">
      <alignment horizontal="center" vertical="center"/>
    </xf>
    <xf numFmtId="0" fontId="174" fillId="0" borderId="0" xfId="546" applyFont="1" applyAlignment="1">
      <alignment horizontal="center" vertical="center"/>
    </xf>
    <xf numFmtId="0" fontId="48" fillId="0" borderId="0" xfId="546" applyFont="1" applyAlignment="1">
      <alignment horizontal="center"/>
    </xf>
    <xf numFmtId="0" fontId="185" fillId="0" borderId="5" xfId="0" applyFont="1" applyBorder="1" applyAlignment="1">
      <alignment horizontal="right"/>
    </xf>
    <xf numFmtId="0" fontId="40" fillId="0" borderId="0" xfId="546" applyFont="1" applyAlignment="1">
      <alignment horizontal="center"/>
    </xf>
    <xf numFmtId="0" fontId="89" fillId="0" borderId="0" xfId="0" applyFont="1" applyAlignment="1">
      <alignment horizontal="center" vertical="center" wrapText="1"/>
    </xf>
    <xf numFmtId="0" fontId="40" fillId="0" borderId="1" xfId="0" applyFont="1" applyBorder="1" applyAlignment="1">
      <alignment horizontal="center" vertical="center"/>
    </xf>
    <xf numFmtId="0" fontId="89" fillId="0" borderId="79" xfId="0" applyFont="1" applyBorder="1" applyAlignment="1">
      <alignment horizontal="center" vertical="center" wrapText="1"/>
    </xf>
    <xf numFmtId="0" fontId="39" fillId="0" borderId="3" xfId="0" applyFont="1" applyBorder="1" applyAlignment="1">
      <alignment horizontal="center" vertical="center"/>
    </xf>
    <xf numFmtId="0" fontId="112" fillId="0" borderId="5" xfId="0" applyFont="1" applyBorder="1" applyAlignment="1">
      <alignment horizontal="center"/>
    </xf>
    <xf numFmtId="0" fontId="146" fillId="67" borderId="92" xfId="134" applyFont="1" applyFill="1" applyBorder="1" applyAlignment="1">
      <alignment horizontal="center"/>
    </xf>
    <xf numFmtId="0" fontId="146" fillId="67" borderId="77" xfId="134" applyFont="1" applyFill="1" applyBorder="1" applyAlignment="1">
      <alignment horizontal="center"/>
    </xf>
    <xf numFmtId="0" fontId="146" fillId="67" borderId="0" xfId="134" applyFont="1" applyFill="1" applyAlignment="1">
      <alignment horizontal="center"/>
    </xf>
    <xf numFmtId="0" fontId="146" fillId="67" borderId="24" xfId="134" applyFont="1" applyFill="1" applyBorder="1" applyAlignment="1">
      <alignment horizontal="center"/>
    </xf>
    <xf numFmtId="0" fontId="170" fillId="0" borderId="57" xfId="549" applyFont="1" applyBorder="1" applyAlignment="1">
      <alignment horizontal="center" vertical="center" wrapText="1"/>
    </xf>
    <xf numFmtId="0" fontId="170" fillId="0" borderId="59" xfId="549" applyFont="1" applyBorder="1" applyAlignment="1">
      <alignment horizontal="center" vertical="center" wrapText="1"/>
    </xf>
    <xf numFmtId="0" fontId="47" fillId="0" borderId="0" xfId="134" applyFont="1" applyAlignment="1">
      <alignment horizontal="center"/>
    </xf>
    <xf numFmtId="0" fontId="146" fillId="0" borderId="0" xfId="134" applyFont="1" applyAlignment="1">
      <alignment horizontal="center"/>
    </xf>
    <xf numFmtId="189" fontId="47" fillId="0" borderId="0" xfId="134" applyNumberFormat="1" applyFont="1" applyAlignment="1">
      <alignment horizontal="center"/>
    </xf>
    <xf numFmtId="16" fontId="170" fillId="64" borderId="71" xfId="134" applyNumberFormat="1" applyFont="1" applyFill="1" applyBorder="1" applyAlignment="1">
      <alignment horizontal="center" vertical="center" wrapText="1"/>
    </xf>
    <xf numFmtId="16" fontId="170" fillId="64" borderId="32" xfId="134" applyNumberFormat="1" applyFont="1" applyFill="1" applyBorder="1" applyAlignment="1">
      <alignment horizontal="center" vertical="center" wrapText="1"/>
    </xf>
    <xf numFmtId="16" fontId="170" fillId="64" borderId="89" xfId="134" applyNumberFormat="1" applyFont="1" applyFill="1" applyBorder="1" applyAlignment="1">
      <alignment horizontal="center" vertical="center" wrapText="1"/>
    </xf>
    <xf numFmtId="0" fontId="170" fillId="0" borderId="57" xfId="134" applyFont="1" applyBorder="1" applyAlignment="1">
      <alignment horizontal="center" vertical="center" wrapText="1"/>
    </xf>
    <xf numFmtId="0" fontId="170" fillId="0" borderId="59" xfId="134" applyFont="1" applyBorder="1" applyAlignment="1">
      <alignment horizontal="center" vertical="center" wrapText="1"/>
    </xf>
    <xf numFmtId="0" fontId="47" fillId="0" borderId="57" xfId="134" applyFont="1" applyBorder="1" applyAlignment="1">
      <alignment horizontal="center" vertical="center"/>
    </xf>
    <xf numFmtId="0" fontId="47" fillId="0" borderId="39" xfId="134" applyFont="1" applyBorder="1" applyAlignment="1">
      <alignment horizontal="center" vertical="center"/>
    </xf>
    <xf numFmtId="0" fontId="47" fillId="0" borderId="44" xfId="134" applyFont="1" applyBorder="1" applyAlignment="1">
      <alignment horizontal="center" vertical="center"/>
    </xf>
    <xf numFmtId="0" fontId="141" fillId="0" borderId="58" xfId="134" applyFont="1" applyBorder="1" applyAlignment="1">
      <alignment horizontal="center" vertical="center"/>
    </xf>
    <xf numFmtId="0" fontId="141" fillId="0" borderId="1" xfId="134" applyFont="1" applyBorder="1" applyAlignment="1">
      <alignment horizontal="center" vertical="center"/>
    </xf>
    <xf numFmtId="0" fontId="141" fillId="0" borderId="45" xfId="134" applyFont="1" applyBorder="1" applyAlignment="1">
      <alignment horizontal="center" vertical="center"/>
    </xf>
    <xf numFmtId="0" fontId="179" fillId="0" borderId="59" xfId="134" applyFont="1" applyBorder="1" applyAlignment="1">
      <alignment horizontal="center" textRotation="90" wrapText="1"/>
    </xf>
    <xf numFmtId="0" fontId="179" fillId="0" borderId="40" xfId="134" applyFont="1" applyBorder="1" applyAlignment="1">
      <alignment horizontal="center" textRotation="90" wrapText="1"/>
    </xf>
    <xf numFmtId="0" fontId="179" fillId="0" borderId="46" xfId="134" applyFont="1" applyBorder="1" applyAlignment="1">
      <alignment horizontal="center" textRotation="90" wrapText="1"/>
    </xf>
    <xf numFmtId="0" fontId="170" fillId="0" borderId="57" xfId="134" applyFont="1" applyBorder="1" applyAlignment="1">
      <alignment horizontal="center"/>
    </xf>
    <xf numFmtId="0" fontId="170" fillId="0" borderId="59" xfId="134" applyFont="1" applyBorder="1" applyAlignment="1">
      <alignment horizontal="center"/>
    </xf>
    <xf numFmtId="0" fontId="170" fillId="0" borderId="60" xfId="134" applyFont="1" applyBorder="1" applyAlignment="1">
      <alignment horizontal="center"/>
    </xf>
    <xf numFmtId="0" fontId="170" fillId="0" borderId="61" xfId="134" applyFont="1" applyBorder="1" applyAlignment="1">
      <alignment horizontal="center"/>
    </xf>
    <xf numFmtId="0" fontId="170" fillId="0" borderId="62" xfId="134" applyFont="1" applyBorder="1" applyAlignment="1">
      <alignment horizontal="center"/>
    </xf>
    <xf numFmtId="0" fontId="170" fillId="0" borderId="39" xfId="134" applyFont="1" applyBorder="1" applyAlignment="1">
      <alignment horizontal="center" vertical="center" wrapText="1"/>
    </xf>
    <xf numFmtId="0" fontId="170" fillId="0" borderId="40" xfId="134" applyFont="1" applyBorder="1" applyAlignment="1">
      <alignment horizontal="center" vertical="center" wrapText="1"/>
    </xf>
    <xf numFmtId="0" fontId="170" fillId="0" borderId="57" xfId="134" applyFont="1" applyBorder="1" applyAlignment="1">
      <alignment horizontal="center" vertical="center"/>
    </xf>
    <xf numFmtId="0" fontId="170" fillId="0" borderId="59" xfId="134" applyFont="1" applyBorder="1" applyAlignment="1">
      <alignment horizontal="center" vertical="center"/>
    </xf>
    <xf numFmtId="0" fontId="146" fillId="67" borderId="29" xfId="134" applyFont="1" applyFill="1" applyBorder="1" applyAlignment="1">
      <alignment horizontal="center"/>
    </xf>
    <xf numFmtId="0" fontId="146" fillId="67" borderId="35" xfId="134" applyFont="1" applyFill="1" applyBorder="1" applyAlignment="1">
      <alignment horizontal="center"/>
    </xf>
    <xf numFmtId="0" fontId="146" fillId="67" borderId="56" xfId="134" applyFont="1" applyFill="1" applyBorder="1" applyAlignment="1">
      <alignment horizontal="center"/>
    </xf>
    <xf numFmtId="0" fontId="163" fillId="71" borderId="52" xfId="134" applyFont="1" applyFill="1" applyBorder="1" applyAlignment="1">
      <alignment horizontal="center" vertical="center"/>
    </xf>
    <xf numFmtId="0" fontId="163" fillId="71" borderId="73" xfId="134" applyFont="1" applyFill="1" applyBorder="1" applyAlignment="1">
      <alignment horizontal="center" vertical="center"/>
    </xf>
    <xf numFmtId="0" fontId="146" fillId="34" borderId="28" xfId="134" applyFont="1" applyFill="1" applyBorder="1" applyAlignment="1">
      <alignment horizontal="left"/>
    </xf>
    <xf numFmtId="0" fontId="146" fillId="34" borderId="0" xfId="134" applyFont="1" applyFill="1" applyAlignment="1">
      <alignment horizontal="left"/>
    </xf>
    <xf numFmtId="4" fontId="163" fillId="71" borderId="88" xfId="134" applyNumberFormat="1" applyFont="1" applyFill="1" applyBorder="1" applyAlignment="1">
      <alignment horizontal="center" vertical="center"/>
    </xf>
    <xf numFmtId="0" fontId="163" fillId="71" borderId="90" xfId="134" applyFont="1" applyFill="1" applyBorder="1" applyAlignment="1">
      <alignment horizontal="center" vertical="center"/>
    </xf>
    <xf numFmtId="0" fontId="47" fillId="64" borderId="0" xfId="134" applyFont="1" applyFill="1" applyAlignment="1">
      <alignment horizontal="left" wrapText="1"/>
    </xf>
    <xf numFmtId="4" fontId="163" fillId="71" borderId="52" xfId="134" applyNumberFormat="1" applyFont="1" applyFill="1" applyBorder="1" applyAlignment="1">
      <alignment horizontal="center" vertical="center"/>
    </xf>
    <xf numFmtId="0" fontId="163" fillId="2" borderId="52" xfId="134" applyFont="1" applyFill="1" applyBorder="1" applyAlignment="1">
      <alignment horizontal="center" vertical="center"/>
    </xf>
    <xf numFmtId="0" fontId="163" fillId="2" borderId="73" xfId="134" applyFont="1" applyFill="1" applyBorder="1" applyAlignment="1">
      <alignment horizontal="center" vertical="center"/>
    </xf>
    <xf numFmtId="0" fontId="163" fillId="71" borderId="53" xfId="134" applyFont="1" applyFill="1" applyBorder="1" applyAlignment="1">
      <alignment horizontal="center" vertical="center"/>
    </xf>
    <xf numFmtId="0" fontId="163" fillId="71" borderId="72" xfId="134" applyFont="1" applyFill="1" applyBorder="1" applyAlignment="1">
      <alignment horizontal="center" vertical="center"/>
    </xf>
    <xf numFmtId="3" fontId="163" fillId="71" borderId="52" xfId="134" applyNumberFormat="1" applyFont="1" applyFill="1" applyBorder="1" applyAlignment="1">
      <alignment horizontal="center" vertical="center"/>
    </xf>
    <xf numFmtId="3" fontId="163" fillId="71" borderId="73" xfId="134" applyNumberFormat="1" applyFont="1" applyFill="1" applyBorder="1" applyAlignment="1">
      <alignment horizontal="center" vertical="center"/>
    </xf>
    <xf numFmtId="175" fontId="163" fillId="71" borderId="52" xfId="134" applyNumberFormat="1" applyFont="1" applyFill="1" applyBorder="1" applyAlignment="1">
      <alignment horizontal="center" vertical="center"/>
    </xf>
    <xf numFmtId="175" fontId="163" fillId="71" borderId="73" xfId="134" applyNumberFormat="1" applyFont="1" applyFill="1" applyBorder="1" applyAlignment="1">
      <alignment horizontal="center" vertical="center"/>
    </xf>
    <xf numFmtId="0" fontId="38" fillId="0" borderId="0" xfId="547" applyFont="1" applyAlignment="1">
      <alignment horizontal="center" wrapText="1"/>
    </xf>
    <xf numFmtId="0" fontId="39" fillId="0" borderId="57" xfId="547" applyFont="1" applyBorder="1" applyAlignment="1">
      <alignment horizontal="center" vertical="center" wrapText="1"/>
    </xf>
    <xf numFmtId="0" fontId="39" fillId="0" borderId="39" xfId="547" applyFont="1" applyBorder="1" applyAlignment="1">
      <alignment horizontal="center" vertical="center" wrapText="1"/>
    </xf>
    <xf numFmtId="0" fontId="39" fillId="0" borderId="44" xfId="547" applyFont="1" applyBorder="1" applyAlignment="1">
      <alignment horizontal="center" vertical="center" wrapText="1"/>
    </xf>
    <xf numFmtId="0" fontId="39" fillId="0" borderId="49" xfId="547" applyFont="1" applyBorder="1" applyAlignment="1">
      <alignment horizontal="center" vertical="center" wrapText="1"/>
    </xf>
    <xf numFmtId="0" fontId="39" fillId="0" borderId="4" xfId="547" applyFont="1" applyBorder="1" applyAlignment="1">
      <alignment horizontal="center" vertical="center" wrapText="1"/>
    </xf>
    <xf numFmtId="0" fontId="39" fillId="0" borderId="94" xfId="547" applyFont="1" applyBorder="1" applyAlignment="1">
      <alignment horizontal="center" vertical="center" wrapText="1"/>
    </xf>
    <xf numFmtId="0" fontId="39" fillId="0" borderId="58" xfId="547" applyFont="1" applyBorder="1" applyAlignment="1">
      <alignment horizontal="center" vertical="center" wrapText="1"/>
    </xf>
    <xf numFmtId="0" fontId="39" fillId="0" borderId="1" xfId="547" applyFont="1" applyBorder="1" applyAlignment="1">
      <alignment horizontal="center" vertical="center" wrapText="1"/>
    </xf>
    <xf numFmtId="0" fontId="39" fillId="0" borderId="45" xfId="547" applyFont="1" applyBorder="1" applyAlignment="1">
      <alignment horizontal="center" vertical="center" wrapText="1"/>
    </xf>
    <xf numFmtId="0" fontId="39" fillId="0" borderId="58" xfId="547" applyFont="1" applyBorder="1" applyAlignment="1">
      <alignment horizontal="center" vertical="center" textRotation="90" wrapText="1"/>
    </xf>
    <xf numFmtId="0" fontId="39" fillId="0" borderId="1" xfId="547" applyFont="1" applyBorder="1" applyAlignment="1">
      <alignment horizontal="center" vertical="center" textRotation="90" wrapText="1"/>
    </xf>
    <xf numFmtId="0" fontId="39" fillId="0" borderId="45" xfId="547" applyFont="1" applyBorder="1" applyAlignment="1">
      <alignment horizontal="center" vertical="center" textRotation="90" wrapText="1"/>
    </xf>
    <xf numFmtId="0" fontId="40" fillId="0" borderId="79" xfId="547" applyFont="1" applyBorder="1" applyAlignment="1">
      <alignment horizontal="center"/>
    </xf>
    <xf numFmtId="0" fontId="40" fillId="0" borderId="4" xfId="547" applyFont="1" applyBorder="1" applyAlignment="1">
      <alignment horizontal="center"/>
    </xf>
    <xf numFmtId="0" fontId="40" fillId="0" borderId="3" xfId="547" applyFont="1" applyBorder="1" applyAlignment="1">
      <alignment horizontal="center"/>
    </xf>
    <xf numFmtId="0" fontId="40" fillId="3" borderId="0" xfId="547" applyFont="1" applyFill="1" applyAlignment="1">
      <alignment horizontal="center" wrapText="1"/>
    </xf>
    <xf numFmtId="0" fontId="40" fillId="0" borderId="0" xfId="547" applyFont="1" applyAlignment="1">
      <alignment horizontal="center" wrapText="1"/>
    </xf>
    <xf numFmtId="0" fontId="40" fillId="0" borderId="0" xfId="547" applyFont="1" applyAlignment="1">
      <alignment horizontal="center"/>
    </xf>
    <xf numFmtId="14" fontId="40" fillId="0" borderId="0" xfId="547" applyNumberFormat="1" applyFont="1" applyAlignment="1">
      <alignment horizontal="center" wrapText="1"/>
    </xf>
    <xf numFmtId="0" fontId="39" fillId="0" borderId="50" xfId="547" applyFont="1" applyBorder="1" applyAlignment="1">
      <alignment horizontal="center" vertical="center" wrapText="1"/>
    </xf>
    <xf numFmtId="0" fontId="39" fillId="0" borderId="25" xfId="547" applyFont="1" applyBorder="1" applyAlignment="1">
      <alignment horizontal="center" vertical="center" wrapText="1"/>
    </xf>
    <xf numFmtId="0" fontId="39" fillId="0" borderId="106" xfId="547" applyFont="1" applyBorder="1" applyAlignment="1">
      <alignment horizontal="center" vertical="center" wrapText="1"/>
    </xf>
    <xf numFmtId="0" fontId="39" fillId="0" borderId="64" xfId="547" applyFont="1" applyBorder="1" applyAlignment="1">
      <alignment horizontal="center" wrapText="1"/>
    </xf>
    <xf numFmtId="0" fontId="39" fillId="0" borderId="8" xfId="547" applyFont="1" applyBorder="1" applyAlignment="1">
      <alignment horizontal="center" wrapText="1"/>
    </xf>
    <xf numFmtId="0" fontId="39" fillId="0" borderId="55" xfId="547" applyFont="1" applyBorder="1" applyAlignment="1">
      <alignment horizontal="center" wrapText="1"/>
    </xf>
    <xf numFmtId="0" fontId="38" fillId="0" borderId="66" xfId="547" applyFont="1" applyBorder="1" applyAlignment="1">
      <alignment horizontal="center" vertical="center" wrapText="1"/>
    </xf>
    <xf numFmtId="0" fontId="38" fillId="0" borderId="67" xfId="547" applyFont="1" applyBorder="1" applyAlignment="1">
      <alignment horizontal="center" vertical="center" wrapText="1"/>
    </xf>
    <xf numFmtId="0" fontId="38" fillId="0" borderId="68" xfId="547" applyFont="1" applyBorder="1" applyAlignment="1">
      <alignment horizontal="center" vertical="center" wrapText="1"/>
    </xf>
    <xf numFmtId="0" fontId="257" fillId="0" borderId="52" xfId="0" applyFont="1" applyBorder="1" applyAlignment="1">
      <alignment horizontal="left"/>
    </xf>
    <xf numFmtId="0" fontId="257" fillId="0" borderId="9" xfId="0" applyFont="1" applyBorder="1" applyAlignment="1">
      <alignment horizontal="left"/>
    </xf>
    <xf numFmtId="0" fontId="257" fillId="0" borderId="73" xfId="0" applyFont="1" applyBorder="1" applyAlignment="1">
      <alignment horizontal="left"/>
    </xf>
    <xf numFmtId="0" fontId="257" fillId="0" borderId="88" xfId="0" applyFont="1" applyBorder="1" applyAlignment="1">
      <alignment horizontal="left"/>
    </xf>
    <xf numFmtId="0" fontId="257" fillId="0" borderId="93" xfId="0" applyFont="1" applyBorder="1" applyAlignment="1">
      <alignment horizontal="left"/>
    </xf>
    <xf numFmtId="0" fontId="257" fillId="0" borderId="90" xfId="0" applyFont="1" applyBorder="1" applyAlignment="1">
      <alignment horizontal="left"/>
    </xf>
    <xf numFmtId="0" fontId="274" fillId="0" borderId="35" xfId="0" applyFont="1" applyBorder="1" applyAlignment="1">
      <alignment horizontal="center"/>
    </xf>
    <xf numFmtId="0" fontId="248" fillId="0" borderId="25" xfId="0" applyFont="1" applyBorder="1" applyAlignment="1">
      <alignment wrapText="1"/>
    </xf>
    <xf numFmtId="0" fontId="248" fillId="0" borderId="0" xfId="0" applyFont="1" applyAlignment="1">
      <alignment wrapText="1"/>
    </xf>
    <xf numFmtId="0" fontId="248" fillId="0" borderId="87" xfId="0" applyFont="1" applyBorder="1" applyAlignment="1">
      <alignment wrapText="1"/>
    </xf>
    <xf numFmtId="0" fontId="139" fillId="0" borderId="57" xfId="0" applyFont="1" applyBorder="1" applyAlignment="1">
      <alignment horizontal="left" vertical="center" wrapText="1"/>
    </xf>
    <xf numFmtId="0" fontId="139" fillId="0" borderId="44" xfId="0" applyFont="1" applyBorder="1" applyAlignment="1">
      <alignment horizontal="left" vertical="center" wrapText="1"/>
    </xf>
    <xf numFmtId="0" fontId="248" fillId="0" borderId="79" xfId="0" applyFont="1" applyBorder="1" applyAlignment="1">
      <alignment wrapText="1"/>
    </xf>
    <xf numFmtId="0" fontId="139" fillId="0" borderId="42" xfId="0" applyFont="1" applyBorder="1" applyAlignment="1">
      <alignment horizontal="left" vertical="center" wrapText="1"/>
    </xf>
    <xf numFmtId="0" fontId="248" fillId="0" borderId="4" xfId="0" applyFont="1" applyBorder="1" applyAlignment="1">
      <alignment wrapText="1"/>
    </xf>
    <xf numFmtId="4" fontId="39" fillId="0" borderId="33" xfId="197" applyNumberFormat="1" applyFont="1" applyBorder="1" applyAlignment="1">
      <alignment horizontal="center" vertical="center" textRotation="90" wrapText="1"/>
    </xf>
    <xf numFmtId="4" fontId="39" fillId="0" borderId="32" xfId="197" applyNumberFormat="1" applyFont="1" applyBorder="1" applyAlignment="1">
      <alignment horizontal="center" vertical="center" textRotation="90" wrapText="1"/>
    </xf>
    <xf numFmtId="4" fontId="39" fillId="0" borderId="23" xfId="197" applyNumberFormat="1" applyFont="1" applyBorder="1" applyAlignment="1">
      <alignment horizontal="center" vertical="center" textRotation="90" wrapText="1"/>
    </xf>
    <xf numFmtId="0" fontId="39" fillId="0" borderId="28" xfId="0" applyFont="1" applyBorder="1" applyAlignment="1">
      <alignment horizontal="center"/>
    </xf>
    <xf numFmtId="0" fontId="39" fillId="0" borderId="24" xfId="0" applyFont="1" applyBorder="1" applyAlignment="1">
      <alignment horizontal="center"/>
    </xf>
    <xf numFmtId="0" fontId="266" fillId="0" borderId="26" xfId="0" applyFont="1" applyBorder="1" applyAlignment="1">
      <alignment horizontal="center" vertical="center" wrapText="1"/>
    </xf>
    <xf numFmtId="0" fontId="266" fillId="0" borderId="34" xfId="0" applyFont="1" applyBorder="1" applyAlignment="1">
      <alignment horizontal="center" vertical="center" wrapText="1"/>
    </xf>
    <xf numFmtId="0" fontId="266" fillId="0" borderId="27" xfId="0" applyFont="1" applyBorder="1" applyAlignment="1">
      <alignment horizontal="center" vertical="center" wrapText="1"/>
    </xf>
    <xf numFmtId="0" fontId="39" fillId="0" borderId="33" xfId="0" applyFont="1" applyBorder="1" applyAlignment="1">
      <alignment horizontal="center" vertical="center" wrapText="1"/>
    </xf>
    <xf numFmtId="0" fontId="39" fillId="0" borderId="23" xfId="0" applyFont="1" applyBorder="1" applyAlignment="1">
      <alignment horizontal="center" vertical="center" wrapText="1"/>
    </xf>
    <xf numFmtId="0" fontId="217" fillId="0" borderId="35" xfId="0" applyFont="1" applyBorder="1" applyAlignment="1">
      <alignment horizontal="center" vertical="center" wrapText="1"/>
    </xf>
    <xf numFmtId="4" fontId="40" fillId="0" borderId="1" xfId="0" applyNumberFormat="1" applyFont="1" applyBorder="1" applyAlignment="1">
      <alignment horizontal="center" vertical="center" wrapText="1"/>
    </xf>
    <xf numFmtId="0" fontId="40" fillId="0" borderId="79" xfId="0" applyFont="1" applyBorder="1" applyAlignment="1">
      <alignment horizontal="center" vertical="center"/>
    </xf>
    <xf numFmtId="0" fontId="40" fillId="0" borderId="3" xfId="0" applyFont="1" applyBorder="1" applyAlignment="1">
      <alignment horizontal="center" vertical="center"/>
    </xf>
    <xf numFmtId="0" fontId="89" fillId="0" borderId="0" xfId="0" applyFont="1" applyAlignment="1">
      <alignment horizontal="center" vertical="center"/>
    </xf>
    <xf numFmtId="0" fontId="89" fillId="0" borderId="5" xfId="0" applyFont="1" applyBorder="1" applyAlignment="1">
      <alignment horizontal="center" vertical="center"/>
    </xf>
    <xf numFmtId="0" fontId="327" fillId="0" borderId="30" xfId="0" applyFont="1" applyBorder="1" applyAlignment="1">
      <alignment horizontal="center"/>
    </xf>
    <xf numFmtId="0" fontId="327" fillId="0" borderId="36" xfId="0" applyFont="1" applyBorder="1" applyAlignment="1">
      <alignment horizontal="center"/>
    </xf>
    <xf numFmtId="0" fontId="327" fillId="0" borderId="31" xfId="0" applyFont="1" applyBorder="1" applyAlignment="1">
      <alignment horizontal="center"/>
    </xf>
    <xf numFmtId="0" fontId="91" fillId="0" borderId="0" xfId="0" applyFont="1" applyAlignment="1">
      <alignment horizontal="center"/>
    </xf>
    <xf numFmtId="0" fontId="327" fillId="0" borderId="33" xfId="0" applyFont="1" applyBorder="1" applyAlignment="1">
      <alignment horizontal="center" vertical="center"/>
    </xf>
    <xf numFmtId="0" fontId="327" fillId="0" borderId="23" xfId="0" applyFont="1" applyBorder="1" applyAlignment="1">
      <alignment horizontal="center" vertical="center"/>
    </xf>
    <xf numFmtId="0" fontId="91" fillId="0" borderId="35" xfId="0" applyFont="1" applyBorder="1" applyAlignment="1">
      <alignment horizontal="center"/>
    </xf>
    <xf numFmtId="0" fontId="40" fillId="0" borderId="4" xfId="0" applyFont="1" applyBorder="1" applyAlignment="1">
      <alignment horizontal="center" vertical="center"/>
    </xf>
    <xf numFmtId="0" fontId="40" fillId="0" borderId="9" xfId="0" applyFont="1" applyBorder="1" applyAlignment="1">
      <alignment horizontal="center" vertical="center"/>
    </xf>
    <xf numFmtId="0" fontId="106" fillId="0" borderId="0" xfId="0" applyFont="1" applyAlignment="1">
      <alignment horizontal="center"/>
    </xf>
    <xf numFmtId="4" fontId="40" fillId="0" borderId="8" xfId="0" applyNumberFormat="1" applyFont="1" applyBorder="1" applyAlignment="1">
      <alignment horizontal="center" vertical="center" wrapText="1"/>
    </xf>
    <xf numFmtId="4" fontId="40" fillId="0" borderId="9" xfId="0" applyNumberFormat="1" applyFont="1" applyBorder="1" applyAlignment="1">
      <alignment horizontal="center" vertical="center" wrapText="1"/>
    </xf>
    <xf numFmtId="4" fontId="40" fillId="0" borderId="7" xfId="0" applyNumberFormat="1" applyFont="1" applyBorder="1" applyAlignment="1">
      <alignment horizontal="center" vertical="center" wrapText="1"/>
    </xf>
    <xf numFmtId="0" fontId="40" fillId="0" borderId="5" xfId="0" applyFont="1" applyBorder="1" applyAlignment="1">
      <alignment horizontal="center"/>
    </xf>
    <xf numFmtId="4" fontId="40" fillId="0" borderId="79" xfId="0" applyNumberFormat="1" applyFont="1" applyBorder="1" applyAlignment="1">
      <alignment horizontal="center" vertical="center"/>
    </xf>
    <xf numFmtId="4" fontId="40" fillId="0" borderId="4" xfId="0" applyNumberFormat="1" applyFont="1" applyBorder="1" applyAlignment="1">
      <alignment horizontal="center" vertical="center"/>
    </xf>
    <xf numFmtId="4" fontId="40" fillId="0" borderId="3" xfId="0" applyNumberFormat="1" applyFont="1" applyBorder="1" applyAlignment="1">
      <alignment horizontal="center" vertical="center"/>
    </xf>
    <xf numFmtId="4" fontId="89" fillId="0" borderId="8" xfId="0" applyNumberFormat="1" applyFont="1" applyBorder="1" applyAlignment="1">
      <alignment horizontal="center" vertical="center"/>
    </xf>
    <xf numFmtId="4" fontId="89" fillId="0" borderId="9" xfId="0" applyNumberFormat="1" applyFont="1" applyBorder="1" applyAlignment="1">
      <alignment horizontal="center" vertical="center"/>
    </xf>
    <xf numFmtId="4" fontId="89" fillId="0" borderId="7" xfId="0" applyNumberFormat="1" applyFont="1" applyBorder="1" applyAlignment="1">
      <alignment horizontal="center" vertical="center"/>
    </xf>
    <xf numFmtId="0" fontId="217" fillId="0" borderId="0" xfId="0" applyFont="1" applyAlignment="1">
      <alignment horizontal="center"/>
    </xf>
    <xf numFmtId="4" fontId="89" fillId="0" borderId="79" xfId="0" applyNumberFormat="1" applyFont="1" applyBorder="1" applyAlignment="1">
      <alignment horizontal="center" vertical="center"/>
    </xf>
    <xf numFmtId="4" fontId="89" fillId="0" borderId="4" xfId="0" applyNumberFormat="1" applyFont="1" applyBorder="1" applyAlignment="1">
      <alignment horizontal="center" vertical="center"/>
    </xf>
    <xf numFmtId="4" fontId="89" fillId="0" borderId="3" xfId="0" applyNumberFormat="1" applyFont="1" applyBorder="1" applyAlignment="1">
      <alignment horizontal="center" vertical="center"/>
    </xf>
    <xf numFmtId="0" fontId="361" fillId="0" borderId="0" xfId="0" applyFont="1" applyAlignment="1">
      <alignment horizontal="left" vertical="top" wrapText="1"/>
    </xf>
    <xf numFmtId="0" fontId="360" fillId="0" borderId="0" xfId="0" applyFont="1" applyAlignment="1">
      <alignment horizontal="left" vertical="top" wrapText="1"/>
    </xf>
    <xf numFmtId="0" fontId="106" fillId="0" borderId="0" xfId="0" applyFont="1" applyAlignment="1">
      <alignment horizontal="center" vertical="center" wrapText="1"/>
    </xf>
  </cellXfs>
  <cellStyles count="561">
    <cellStyle name="20% - Accent1" xfId="9" xr:uid="{00000000-0005-0000-0000-000000000000}"/>
    <cellStyle name="20% - Accent2" xfId="10" xr:uid="{00000000-0005-0000-0000-000001000000}"/>
    <cellStyle name="20% - Accent3" xfId="11" xr:uid="{00000000-0005-0000-0000-000002000000}"/>
    <cellStyle name="20% - Accent4" xfId="12" xr:uid="{00000000-0005-0000-0000-000003000000}"/>
    <cellStyle name="20% - Accent5" xfId="13" xr:uid="{00000000-0005-0000-0000-000004000000}"/>
    <cellStyle name="20% - Accent6" xfId="14" xr:uid="{00000000-0005-0000-0000-000005000000}"/>
    <cellStyle name="20% - Акцент1 2" xfId="15" xr:uid="{00000000-0005-0000-0000-000006000000}"/>
    <cellStyle name="20% - Акцент1 2 2" xfId="242" xr:uid="{00000000-0005-0000-0000-000007000000}"/>
    <cellStyle name="20% - Акцент1 2 2 2" xfId="451" xr:uid="{00000000-0005-0000-0000-000008000000}"/>
    <cellStyle name="20% - Акцент1 2 3" xfId="452" xr:uid="{00000000-0005-0000-0000-000009000000}"/>
    <cellStyle name="20% - Акцент1 2_КВ Чхім 0108 вар3" xfId="243" xr:uid="{00000000-0005-0000-0000-00000A000000}"/>
    <cellStyle name="20% - Акцент1 3" xfId="244" xr:uid="{00000000-0005-0000-0000-00000B000000}"/>
    <cellStyle name="20% - Акцент2 2" xfId="16" xr:uid="{00000000-0005-0000-0000-00000C000000}"/>
    <cellStyle name="20% - Акцент2 2 2" xfId="245" xr:uid="{00000000-0005-0000-0000-00000D000000}"/>
    <cellStyle name="20% - Акцент2 2 2 2" xfId="453" xr:uid="{00000000-0005-0000-0000-00000E000000}"/>
    <cellStyle name="20% - Акцент2 2 3" xfId="454" xr:uid="{00000000-0005-0000-0000-00000F000000}"/>
    <cellStyle name="20% - Акцент2 2_КВ Чхім 0108 вар3" xfId="246" xr:uid="{00000000-0005-0000-0000-000010000000}"/>
    <cellStyle name="20% - Акцент2 3" xfId="247" xr:uid="{00000000-0005-0000-0000-000011000000}"/>
    <cellStyle name="20% - Акцент3 2" xfId="17" xr:uid="{00000000-0005-0000-0000-000012000000}"/>
    <cellStyle name="20% - Акцент3 2 2" xfId="248" xr:uid="{00000000-0005-0000-0000-000013000000}"/>
    <cellStyle name="20% - Акцент3 2 2 2" xfId="455" xr:uid="{00000000-0005-0000-0000-000014000000}"/>
    <cellStyle name="20% - Акцент3 2 3" xfId="456" xr:uid="{00000000-0005-0000-0000-000015000000}"/>
    <cellStyle name="20% - Акцент3 2_КВ Чхім 0108 вар3" xfId="249" xr:uid="{00000000-0005-0000-0000-000016000000}"/>
    <cellStyle name="20% - Акцент3 3" xfId="250" xr:uid="{00000000-0005-0000-0000-000017000000}"/>
    <cellStyle name="20% - Акцент4 2" xfId="18" xr:uid="{00000000-0005-0000-0000-000018000000}"/>
    <cellStyle name="20% - Акцент4 2 2" xfId="251" xr:uid="{00000000-0005-0000-0000-000019000000}"/>
    <cellStyle name="20% - Акцент4 2 2 2" xfId="457" xr:uid="{00000000-0005-0000-0000-00001A000000}"/>
    <cellStyle name="20% - Акцент4 2 3" xfId="458" xr:uid="{00000000-0005-0000-0000-00001B000000}"/>
    <cellStyle name="20% - Акцент4 2_КВ Чхім 0108 вар3" xfId="252" xr:uid="{00000000-0005-0000-0000-00001C000000}"/>
    <cellStyle name="20% - Акцент4 3" xfId="253" xr:uid="{00000000-0005-0000-0000-00001D000000}"/>
    <cellStyle name="20% - Акцент5 2" xfId="19" xr:uid="{00000000-0005-0000-0000-00001E000000}"/>
    <cellStyle name="20% - Акцент5 2 2" xfId="254" xr:uid="{00000000-0005-0000-0000-00001F000000}"/>
    <cellStyle name="20% - Акцент5 2 2 2" xfId="459" xr:uid="{00000000-0005-0000-0000-000020000000}"/>
    <cellStyle name="20% - Акцент5 2 3" xfId="460" xr:uid="{00000000-0005-0000-0000-000021000000}"/>
    <cellStyle name="20% - Акцент5 2_КВ Чхім 0108 вар3" xfId="255" xr:uid="{00000000-0005-0000-0000-000022000000}"/>
    <cellStyle name="20% - Акцент5 3" xfId="256" xr:uid="{00000000-0005-0000-0000-000023000000}"/>
    <cellStyle name="20% - Акцент6 2" xfId="20" xr:uid="{00000000-0005-0000-0000-000024000000}"/>
    <cellStyle name="20% - Акцент6 2 2" xfId="257" xr:uid="{00000000-0005-0000-0000-000025000000}"/>
    <cellStyle name="20% - Акцент6 2 2 2" xfId="461" xr:uid="{00000000-0005-0000-0000-000026000000}"/>
    <cellStyle name="20% - Акцент6 2 3" xfId="462" xr:uid="{00000000-0005-0000-0000-000027000000}"/>
    <cellStyle name="20% - Акцент6 2_КВ Чхім 0108 вар3" xfId="258" xr:uid="{00000000-0005-0000-0000-000028000000}"/>
    <cellStyle name="20% - Акцент6 3" xfId="259" xr:uid="{00000000-0005-0000-0000-000029000000}"/>
    <cellStyle name="20% – Акцентування1" xfId="260" xr:uid="{00000000-0005-0000-0000-00002A000000}"/>
    <cellStyle name="20% – Акцентування2" xfId="261" xr:uid="{00000000-0005-0000-0000-00002B000000}"/>
    <cellStyle name="20% – Акцентування3" xfId="262" xr:uid="{00000000-0005-0000-0000-00002C000000}"/>
    <cellStyle name="20% – Акцентування4" xfId="263" xr:uid="{00000000-0005-0000-0000-00002D000000}"/>
    <cellStyle name="20% – Акцентування5" xfId="264" xr:uid="{00000000-0005-0000-0000-00002E000000}"/>
    <cellStyle name="20% – Акцентування6" xfId="265" xr:uid="{00000000-0005-0000-0000-00002F000000}"/>
    <cellStyle name="40% - Accent1" xfId="21" xr:uid="{00000000-0005-0000-0000-000030000000}"/>
    <cellStyle name="40% - Accent2" xfId="22" xr:uid="{00000000-0005-0000-0000-000031000000}"/>
    <cellStyle name="40% - Accent3" xfId="23" xr:uid="{00000000-0005-0000-0000-000032000000}"/>
    <cellStyle name="40% - Accent4" xfId="24" xr:uid="{00000000-0005-0000-0000-000033000000}"/>
    <cellStyle name="40% - Accent5" xfId="25" xr:uid="{00000000-0005-0000-0000-000034000000}"/>
    <cellStyle name="40% - Accent6" xfId="26" xr:uid="{00000000-0005-0000-0000-000035000000}"/>
    <cellStyle name="40% - Акцент1 2" xfId="27" xr:uid="{00000000-0005-0000-0000-000036000000}"/>
    <cellStyle name="40% - Акцент1 2 2" xfId="266" xr:uid="{00000000-0005-0000-0000-000037000000}"/>
    <cellStyle name="40% - Акцент1 2 2 2" xfId="463" xr:uid="{00000000-0005-0000-0000-000038000000}"/>
    <cellStyle name="40% - Акцент1 2 3" xfId="464" xr:uid="{00000000-0005-0000-0000-000039000000}"/>
    <cellStyle name="40% - Акцент1 2_КВ Чхім 0108 вар3" xfId="267" xr:uid="{00000000-0005-0000-0000-00003A000000}"/>
    <cellStyle name="40% - Акцент1 3" xfId="268" xr:uid="{00000000-0005-0000-0000-00003B000000}"/>
    <cellStyle name="40% - Акцент2 2" xfId="28" xr:uid="{00000000-0005-0000-0000-00003C000000}"/>
    <cellStyle name="40% - Акцент2 2 2" xfId="269" xr:uid="{00000000-0005-0000-0000-00003D000000}"/>
    <cellStyle name="40% - Акцент2 2 2 2" xfId="465" xr:uid="{00000000-0005-0000-0000-00003E000000}"/>
    <cellStyle name="40% - Акцент2 2 3" xfId="466" xr:uid="{00000000-0005-0000-0000-00003F000000}"/>
    <cellStyle name="40% - Акцент2 2_КВ Чхім 0108 вар3" xfId="270" xr:uid="{00000000-0005-0000-0000-000040000000}"/>
    <cellStyle name="40% - Акцент2 3" xfId="271" xr:uid="{00000000-0005-0000-0000-000041000000}"/>
    <cellStyle name="40% - Акцент3 2" xfId="29" xr:uid="{00000000-0005-0000-0000-000042000000}"/>
    <cellStyle name="40% - Акцент3 2 2" xfId="272" xr:uid="{00000000-0005-0000-0000-000043000000}"/>
    <cellStyle name="40% - Акцент3 2 2 2" xfId="467" xr:uid="{00000000-0005-0000-0000-000044000000}"/>
    <cellStyle name="40% - Акцент3 2 3" xfId="468" xr:uid="{00000000-0005-0000-0000-000045000000}"/>
    <cellStyle name="40% - Акцент3 2_КВ Чхім 0108 вар3" xfId="273" xr:uid="{00000000-0005-0000-0000-000046000000}"/>
    <cellStyle name="40% - Акцент3 3" xfId="274" xr:uid="{00000000-0005-0000-0000-000047000000}"/>
    <cellStyle name="40% - Акцент4 2" xfId="30" xr:uid="{00000000-0005-0000-0000-000048000000}"/>
    <cellStyle name="40% - Акцент4 2 2" xfId="275" xr:uid="{00000000-0005-0000-0000-000049000000}"/>
    <cellStyle name="40% - Акцент4 2 2 2" xfId="469" xr:uid="{00000000-0005-0000-0000-00004A000000}"/>
    <cellStyle name="40% - Акцент4 2 3" xfId="470" xr:uid="{00000000-0005-0000-0000-00004B000000}"/>
    <cellStyle name="40% - Акцент4 2_КВ Чхім 0108 вар3" xfId="276" xr:uid="{00000000-0005-0000-0000-00004C000000}"/>
    <cellStyle name="40% - Акцент4 3" xfId="277" xr:uid="{00000000-0005-0000-0000-00004D000000}"/>
    <cellStyle name="40% - Акцент5 2" xfId="31" xr:uid="{00000000-0005-0000-0000-00004E000000}"/>
    <cellStyle name="40% - Акцент5 2 2" xfId="278" xr:uid="{00000000-0005-0000-0000-00004F000000}"/>
    <cellStyle name="40% - Акцент5 2 2 2" xfId="471" xr:uid="{00000000-0005-0000-0000-000050000000}"/>
    <cellStyle name="40% - Акцент5 2 3" xfId="472" xr:uid="{00000000-0005-0000-0000-000051000000}"/>
    <cellStyle name="40% - Акцент5 2_КВ Чхім 0108 вар3" xfId="279" xr:uid="{00000000-0005-0000-0000-000052000000}"/>
    <cellStyle name="40% - Акцент5 3" xfId="280" xr:uid="{00000000-0005-0000-0000-000053000000}"/>
    <cellStyle name="40% - Акцент6 2" xfId="32" xr:uid="{00000000-0005-0000-0000-000054000000}"/>
    <cellStyle name="40% - Акцент6 2 2" xfId="281" xr:uid="{00000000-0005-0000-0000-000055000000}"/>
    <cellStyle name="40% - Акцент6 2 2 2" xfId="473" xr:uid="{00000000-0005-0000-0000-000056000000}"/>
    <cellStyle name="40% - Акцент6 2 3" xfId="474" xr:uid="{00000000-0005-0000-0000-000057000000}"/>
    <cellStyle name="40% - Акцент6 2_КВ Чхім 0108 вар3" xfId="282" xr:uid="{00000000-0005-0000-0000-000058000000}"/>
    <cellStyle name="40% - Акцент6 3" xfId="283" xr:uid="{00000000-0005-0000-0000-000059000000}"/>
    <cellStyle name="40% – Акцентування1" xfId="284" xr:uid="{00000000-0005-0000-0000-00005A000000}"/>
    <cellStyle name="40% – Акцентування2" xfId="285" xr:uid="{00000000-0005-0000-0000-00005B000000}"/>
    <cellStyle name="40% – Акцентування3" xfId="286" xr:uid="{00000000-0005-0000-0000-00005C000000}"/>
    <cellStyle name="40% – Акцентування4" xfId="287" xr:uid="{00000000-0005-0000-0000-00005D000000}"/>
    <cellStyle name="40% – Акцентування5" xfId="288" xr:uid="{00000000-0005-0000-0000-00005E000000}"/>
    <cellStyle name="40% – Акцентування6" xfId="289" xr:uid="{00000000-0005-0000-0000-00005F000000}"/>
    <cellStyle name="60% - Accent1" xfId="33" xr:uid="{00000000-0005-0000-0000-000060000000}"/>
    <cellStyle name="60% - Accent2" xfId="34" xr:uid="{00000000-0005-0000-0000-000061000000}"/>
    <cellStyle name="60% - Accent3" xfId="35" xr:uid="{00000000-0005-0000-0000-000062000000}"/>
    <cellStyle name="60% - Accent4" xfId="36" xr:uid="{00000000-0005-0000-0000-000063000000}"/>
    <cellStyle name="60% - Accent5" xfId="37" xr:uid="{00000000-0005-0000-0000-000064000000}"/>
    <cellStyle name="60% - Accent6" xfId="38" xr:uid="{00000000-0005-0000-0000-000065000000}"/>
    <cellStyle name="60% - Акцент1 2" xfId="39" xr:uid="{00000000-0005-0000-0000-000066000000}"/>
    <cellStyle name="60% - Акцент1 2 2" xfId="290" xr:uid="{00000000-0005-0000-0000-000067000000}"/>
    <cellStyle name="60% - Акцент1 2_КВ Чхім 0108 вар3" xfId="291" xr:uid="{00000000-0005-0000-0000-000068000000}"/>
    <cellStyle name="60% - Акцент1 3" xfId="292" xr:uid="{00000000-0005-0000-0000-000069000000}"/>
    <cellStyle name="60% - Акцент2 2" xfId="40" xr:uid="{00000000-0005-0000-0000-00006A000000}"/>
    <cellStyle name="60% - Акцент2 2 2" xfId="293" xr:uid="{00000000-0005-0000-0000-00006B000000}"/>
    <cellStyle name="60% - Акцент2 2_КВ Чхім 0108 вар3" xfId="294" xr:uid="{00000000-0005-0000-0000-00006C000000}"/>
    <cellStyle name="60% - Акцент2 3" xfId="295" xr:uid="{00000000-0005-0000-0000-00006D000000}"/>
    <cellStyle name="60% - Акцент3 2" xfId="41" xr:uid="{00000000-0005-0000-0000-00006E000000}"/>
    <cellStyle name="60% - Акцент3 2 2" xfId="296" xr:uid="{00000000-0005-0000-0000-00006F000000}"/>
    <cellStyle name="60% - Акцент3 2_КВ Чхім 0108 вар3" xfId="297" xr:uid="{00000000-0005-0000-0000-000070000000}"/>
    <cellStyle name="60% - Акцент3 3" xfId="298" xr:uid="{00000000-0005-0000-0000-000071000000}"/>
    <cellStyle name="60% - Акцент4 2" xfId="42" xr:uid="{00000000-0005-0000-0000-000072000000}"/>
    <cellStyle name="60% - Акцент4 2 2" xfId="299" xr:uid="{00000000-0005-0000-0000-000073000000}"/>
    <cellStyle name="60% - Акцент4 2_КВ Чхім 0108 вар3" xfId="300" xr:uid="{00000000-0005-0000-0000-000074000000}"/>
    <cellStyle name="60% - Акцент4 3" xfId="301" xr:uid="{00000000-0005-0000-0000-000075000000}"/>
    <cellStyle name="60% - Акцент5 2" xfId="43" xr:uid="{00000000-0005-0000-0000-000076000000}"/>
    <cellStyle name="60% - Акцент5 2 2" xfId="302" xr:uid="{00000000-0005-0000-0000-000077000000}"/>
    <cellStyle name="60% - Акцент5 2_КВ Чхім 0108 вар3" xfId="303" xr:uid="{00000000-0005-0000-0000-000078000000}"/>
    <cellStyle name="60% - Акцент5 3" xfId="304" xr:uid="{00000000-0005-0000-0000-000079000000}"/>
    <cellStyle name="60% - Акцент6 2" xfId="44" xr:uid="{00000000-0005-0000-0000-00007A000000}"/>
    <cellStyle name="60% - Акцент6 2 2" xfId="305" xr:uid="{00000000-0005-0000-0000-00007B000000}"/>
    <cellStyle name="60% - Акцент6 2_КВ Чхім 0108 вар3" xfId="306" xr:uid="{00000000-0005-0000-0000-00007C000000}"/>
    <cellStyle name="60% - Акцент6 3" xfId="307" xr:uid="{00000000-0005-0000-0000-00007D000000}"/>
    <cellStyle name="60% – Акцентування1" xfId="308" xr:uid="{00000000-0005-0000-0000-00007E000000}"/>
    <cellStyle name="60% – Акцентування2" xfId="309" xr:uid="{00000000-0005-0000-0000-00007F000000}"/>
    <cellStyle name="60% – Акцентування3" xfId="310" xr:uid="{00000000-0005-0000-0000-000080000000}"/>
    <cellStyle name="60% – Акцентування4" xfId="311" xr:uid="{00000000-0005-0000-0000-000081000000}"/>
    <cellStyle name="60% – Акцентування5" xfId="312" xr:uid="{00000000-0005-0000-0000-000082000000}"/>
    <cellStyle name="60% – Акцентування6" xfId="313" xr:uid="{00000000-0005-0000-0000-000083000000}"/>
    <cellStyle name="Accent1" xfId="45" xr:uid="{00000000-0005-0000-0000-000084000000}"/>
    <cellStyle name="Accent2" xfId="46" xr:uid="{00000000-0005-0000-0000-000085000000}"/>
    <cellStyle name="Accent3" xfId="47" xr:uid="{00000000-0005-0000-0000-000086000000}"/>
    <cellStyle name="Accent4" xfId="48" xr:uid="{00000000-0005-0000-0000-000087000000}"/>
    <cellStyle name="Accent5" xfId="49" xr:uid="{00000000-0005-0000-0000-000088000000}"/>
    <cellStyle name="Accent6" xfId="50" xr:uid="{00000000-0005-0000-0000-000089000000}"/>
    <cellStyle name="Bad" xfId="51" xr:uid="{00000000-0005-0000-0000-00008A000000}"/>
    <cellStyle name="Calculation" xfId="52" xr:uid="{00000000-0005-0000-0000-00008B000000}"/>
    <cellStyle name="Calculation 2" xfId="215" xr:uid="{00000000-0005-0000-0000-00008C000000}"/>
    <cellStyle name="Check Cell" xfId="53" xr:uid="{00000000-0005-0000-0000-00008D000000}"/>
    <cellStyle name="Comma 2" xfId="2" xr:uid="{00000000-0005-0000-0000-00008E000000}"/>
    <cellStyle name="DataCol1" xfId="314" xr:uid="{00000000-0005-0000-0000-00008F000000}"/>
    <cellStyle name="DataCol10" xfId="315" xr:uid="{00000000-0005-0000-0000-000090000000}"/>
    <cellStyle name="DataCol11" xfId="316" xr:uid="{00000000-0005-0000-0000-000091000000}"/>
    <cellStyle name="DataCol12" xfId="317" xr:uid="{00000000-0005-0000-0000-000092000000}"/>
    <cellStyle name="DataCol13" xfId="318" xr:uid="{00000000-0005-0000-0000-000093000000}"/>
    <cellStyle name="DataCol14" xfId="319" xr:uid="{00000000-0005-0000-0000-000094000000}"/>
    <cellStyle name="DataCol15" xfId="320" xr:uid="{00000000-0005-0000-0000-000095000000}"/>
    <cellStyle name="DataCol16" xfId="321" xr:uid="{00000000-0005-0000-0000-000096000000}"/>
    <cellStyle name="DataCol17" xfId="322" xr:uid="{00000000-0005-0000-0000-000097000000}"/>
    <cellStyle name="DataCol18" xfId="323" xr:uid="{00000000-0005-0000-0000-000098000000}"/>
    <cellStyle name="DataCol19" xfId="324" xr:uid="{00000000-0005-0000-0000-000099000000}"/>
    <cellStyle name="DataCol2" xfId="325" xr:uid="{00000000-0005-0000-0000-00009A000000}"/>
    <cellStyle name="DataCol20" xfId="326" xr:uid="{00000000-0005-0000-0000-00009B000000}"/>
    <cellStyle name="DataCol21" xfId="327" xr:uid="{00000000-0005-0000-0000-00009C000000}"/>
    <cellStyle name="DataCol22" xfId="328" xr:uid="{00000000-0005-0000-0000-00009D000000}"/>
    <cellStyle name="DataCol23" xfId="329" xr:uid="{00000000-0005-0000-0000-00009E000000}"/>
    <cellStyle name="DataCol24" xfId="330" xr:uid="{00000000-0005-0000-0000-00009F000000}"/>
    <cellStyle name="DataCol25" xfId="331" xr:uid="{00000000-0005-0000-0000-0000A0000000}"/>
    <cellStyle name="DataCol3" xfId="332" xr:uid="{00000000-0005-0000-0000-0000A1000000}"/>
    <cellStyle name="DataCol4" xfId="333" xr:uid="{00000000-0005-0000-0000-0000A2000000}"/>
    <cellStyle name="DataCol5" xfId="334" xr:uid="{00000000-0005-0000-0000-0000A3000000}"/>
    <cellStyle name="DataCol6" xfId="335" xr:uid="{00000000-0005-0000-0000-0000A4000000}"/>
    <cellStyle name="DataCol7" xfId="336" xr:uid="{00000000-0005-0000-0000-0000A5000000}"/>
    <cellStyle name="DataCol8" xfId="337" xr:uid="{00000000-0005-0000-0000-0000A6000000}"/>
    <cellStyle name="DataCol9" xfId="338" xr:uid="{00000000-0005-0000-0000-0000A7000000}"/>
    <cellStyle name="DataReportHeader_1_1" xfId="339" xr:uid="{00000000-0005-0000-0000-0000A8000000}"/>
    <cellStyle name="DataTableEndSum1" xfId="340" xr:uid="{00000000-0005-0000-0000-0000A9000000}"/>
    <cellStyle name="DataTableEndSum10" xfId="341" xr:uid="{00000000-0005-0000-0000-0000AA000000}"/>
    <cellStyle name="DataTableEndSum11" xfId="342" xr:uid="{00000000-0005-0000-0000-0000AB000000}"/>
    <cellStyle name="DataTableEndSum12" xfId="343" xr:uid="{00000000-0005-0000-0000-0000AC000000}"/>
    <cellStyle name="DataTableEndSum13" xfId="344" xr:uid="{00000000-0005-0000-0000-0000AD000000}"/>
    <cellStyle name="DataTableEndSum14" xfId="345" xr:uid="{00000000-0005-0000-0000-0000AE000000}"/>
    <cellStyle name="DataTableEndSum15" xfId="346" xr:uid="{00000000-0005-0000-0000-0000AF000000}"/>
    <cellStyle name="DataTableEndSum16" xfId="347" xr:uid="{00000000-0005-0000-0000-0000B0000000}"/>
    <cellStyle name="DataTableEndSum17" xfId="348" xr:uid="{00000000-0005-0000-0000-0000B1000000}"/>
    <cellStyle name="DataTableEndSum18" xfId="349" xr:uid="{00000000-0005-0000-0000-0000B2000000}"/>
    <cellStyle name="DataTableEndSum19" xfId="350" xr:uid="{00000000-0005-0000-0000-0000B3000000}"/>
    <cellStyle name="DataTableEndSum2" xfId="351" xr:uid="{00000000-0005-0000-0000-0000B4000000}"/>
    <cellStyle name="DataTableEndSum20" xfId="352" xr:uid="{00000000-0005-0000-0000-0000B5000000}"/>
    <cellStyle name="DataTableEndSum21" xfId="353" xr:uid="{00000000-0005-0000-0000-0000B6000000}"/>
    <cellStyle name="DataTableEndSum22" xfId="354" xr:uid="{00000000-0005-0000-0000-0000B7000000}"/>
    <cellStyle name="DataTableEndSum23" xfId="355" xr:uid="{00000000-0005-0000-0000-0000B8000000}"/>
    <cellStyle name="DataTableEndSum24" xfId="356" xr:uid="{00000000-0005-0000-0000-0000B9000000}"/>
    <cellStyle name="DataTableEndSum25" xfId="357" xr:uid="{00000000-0005-0000-0000-0000BA000000}"/>
    <cellStyle name="DataTableEndSum3" xfId="358" xr:uid="{00000000-0005-0000-0000-0000BB000000}"/>
    <cellStyle name="DataTableEndSum4" xfId="359" xr:uid="{00000000-0005-0000-0000-0000BC000000}"/>
    <cellStyle name="DataTableEndSum5" xfId="360" xr:uid="{00000000-0005-0000-0000-0000BD000000}"/>
    <cellStyle name="DataTableEndSum6" xfId="361" xr:uid="{00000000-0005-0000-0000-0000BE000000}"/>
    <cellStyle name="DataTableEndSum7" xfId="362" xr:uid="{00000000-0005-0000-0000-0000BF000000}"/>
    <cellStyle name="DataTableEndSum8" xfId="363" xr:uid="{00000000-0005-0000-0000-0000C0000000}"/>
    <cellStyle name="DataTableEndSum9" xfId="364" xr:uid="{00000000-0005-0000-0000-0000C1000000}"/>
    <cellStyle name="DataTitle" xfId="365" xr:uid="{00000000-0005-0000-0000-0000C2000000}"/>
    <cellStyle name="Excel Built-in Normal" xfId="54" xr:uid="{00000000-0005-0000-0000-0000C3000000}"/>
    <cellStyle name="Excel Built-in Normal 1" xfId="475" xr:uid="{00000000-0005-0000-0000-0000C4000000}"/>
    <cellStyle name="Excel Built-in Normal 2" xfId="366" xr:uid="{00000000-0005-0000-0000-0000C5000000}"/>
    <cellStyle name="Excel Built-in Normal 2 2" xfId="367" xr:uid="{00000000-0005-0000-0000-0000C6000000}"/>
    <cellStyle name="Excel Built-in Normal 2_КВ Чхім 0108 вар3" xfId="368" xr:uid="{00000000-0005-0000-0000-0000C7000000}"/>
    <cellStyle name="Excel Built-in Normal 3" xfId="369" xr:uid="{00000000-0005-0000-0000-0000C8000000}"/>
    <cellStyle name="Excel Built-in Normal_КВ Чхім 0108 вар3" xfId="370" xr:uid="{00000000-0005-0000-0000-0000C9000000}"/>
    <cellStyle name="Explanatory Text" xfId="55" xr:uid="{00000000-0005-0000-0000-0000CA000000}"/>
    <cellStyle name="Good" xfId="56" xr:uid="{00000000-0005-0000-0000-0000CB000000}"/>
    <cellStyle name="Heading" xfId="476" xr:uid="{00000000-0005-0000-0000-0000CC000000}"/>
    <cellStyle name="Heading 1" xfId="57" xr:uid="{00000000-0005-0000-0000-0000CD000000}"/>
    <cellStyle name="Heading 2" xfId="58" xr:uid="{00000000-0005-0000-0000-0000CE000000}"/>
    <cellStyle name="Heading 3" xfId="59" xr:uid="{00000000-0005-0000-0000-0000CF000000}"/>
    <cellStyle name="Heading 4" xfId="60" xr:uid="{00000000-0005-0000-0000-0000D0000000}"/>
    <cellStyle name="Heading1" xfId="477" xr:uid="{00000000-0005-0000-0000-0000D1000000}"/>
    <cellStyle name="Heading1 1" xfId="478" xr:uid="{00000000-0005-0000-0000-0000D2000000}"/>
    <cellStyle name="Iau?iue" xfId="450" xr:uid="{00000000-0005-0000-0000-0000D3000000}"/>
    <cellStyle name="Input" xfId="61" xr:uid="{00000000-0005-0000-0000-0000D4000000}"/>
    <cellStyle name="Input 2" xfId="216" xr:uid="{00000000-0005-0000-0000-0000D5000000}"/>
    <cellStyle name="Linked Cell" xfId="62" xr:uid="{00000000-0005-0000-0000-0000D6000000}"/>
    <cellStyle name="Neutral" xfId="63" xr:uid="{00000000-0005-0000-0000-0000D7000000}"/>
    <cellStyle name="Normal 2" xfId="371" xr:uid="{00000000-0005-0000-0000-0000D8000000}"/>
    <cellStyle name="Normal_Tarif_Xmelnizki" xfId="227" xr:uid="{00000000-0005-0000-0000-0000D9000000}"/>
    <cellStyle name="Note" xfId="64" xr:uid="{00000000-0005-0000-0000-0000DA000000}"/>
    <cellStyle name="Note 2" xfId="217" xr:uid="{00000000-0005-0000-0000-0000DB000000}"/>
    <cellStyle name="Output" xfId="65" xr:uid="{00000000-0005-0000-0000-0000DC000000}"/>
    <cellStyle name="Output 2" xfId="218" xr:uid="{00000000-0005-0000-0000-0000DD000000}"/>
    <cellStyle name="Result" xfId="479" xr:uid="{00000000-0005-0000-0000-0000DE000000}"/>
    <cellStyle name="Result 1" xfId="480" xr:uid="{00000000-0005-0000-0000-0000DF000000}"/>
    <cellStyle name="Result2" xfId="481" xr:uid="{00000000-0005-0000-0000-0000E0000000}"/>
    <cellStyle name="Result2 1" xfId="482" xr:uid="{00000000-0005-0000-0000-0000E1000000}"/>
    <cellStyle name="S4" xfId="372" xr:uid="{00000000-0005-0000-0000-0000E2000000}"/>
    <cellStyle name="S7" xfId="373" xr:uid="{00000000-0005-0000-0000-0000E3000000}"/>
    <cellStyle name="TableStyleLight1" xfId="225" xr:uid="{00000000-0005-0000-0000-0000E4000000}"/>
    <cellStyle name="Title" xfId="66" xr:uid="{00000000-0005-0000-0000-0000E5000000}"/>
    <cellStyle name="Total" xfId="67" xr:uid="{00000000-0005-0000-0000-0000E6000000}"/>
    <cellStyle name="Total 2" xfId="219" xr:uid="{00000000-0005-0000-0000-0000E7000000}"/>
    <cellStyle name="Tytuі" xfId="483" xr:uid="{00000000-0005-0000-0000-0000E8000000}"/>
    <cellStyle name="Warning Text" xfId="68" xr:uid="{00000000-0005-0000-0000-0000E9000000}"/>
    <cellStyle name="Акцент1 2" xfId="69" xr:uid="{00000000-0005-0000-0000-0000EA000000}"/>
    <cellStyle name="Акцент1 2 2" xfId="374" xr:uid="{00000000-0005-0000-0000-0000EB000000}"/>
    <cellStyle name="Акцент1 2_КВ Чхім 0108 вар3" xfId="375" xr:uid="{00000000-0005-0000-0000-0000EC000000}"/>
    <cellStyle name="Акцент1 3" xfId="376" xr:uid="{00000000-0005-0000-0000-0000ED000000}"/>
    <cellStyle name="Акцент2 2" xfId="70" xr:uid="{00000000-0005-0000-0000-0000EE000000}"/>
    <cellStyle name="Акцент2 2 2" xfId="377" xr:uid="{00000000-0005-0000-0000-0000EF000000}"/>
    <cellStyle name="Акцент2 2_КВ Чхім 0108 вар3" xfId="378" xr:uid="{00000000-0005-0000-0000-0000F0000000}"/>
    <cellStyle name="Акцент2 3" xfId="379" xr:uid="{00000000-0005-0000-0000-0000F1000000}"/>
    <cellStyle name="Акцент3 2" xfId="71" xr:uid="{00000000-0005-0000-0000-0000F2000000}"/>
    <cellStyle name="Акцент3 2 2" xfId="380" xr:uid="{00000000-0005-0000-0000-0000F3000000}"/>
    <cellStyle name="Акцент3 2_КВ Чхім 0108 вар3" xfId="381" xr:uid="{00000000-0005-0000-0000-0000F4000000}"/>
    <cellStyle name="Акцент3 3" xfId="382" xr:uid="{00000000-0005-0000-0000-0000F5000000}"/>
    <cellStyle name="Акцент4 2" xfId="72" xr:uid="{00000000-0005-0000-0000-0000F6000000}"/>
    <cellStyle name="Акцент4 2 2" xfId="383" xr:uid="{00000000-0005-0000-0000-0000F7000000}"/>
    <cellStyle name="Акцент4 2_КВ Чхім 0108 вар3" xfId="384" xr:uid="{00000000-0005-0000-0000-0000F8000000}"/>
    <cellStyle name="Акцент4 3" xfId="385" xr:uid="{00000000-0005-0000-0000-0000F9000000}"/>
    <cellStyle name="Акцент5 2" xfId="73" xr:uid="{00000000-0005-0000-0000-0000FA000000}"/>
    <cellStyle name="Акцент5 2 2" xfId="386" xr:uid="{00000000-0005-0000-0000-0000FB000000}"/>
    <cellStyle name="Акцент5 2_КВ Чхім 0108 вар3" xfId="387" xr:uid="{00000000-0005-0000-0000-0000FC000000}"/>
    <cellStyle name="Акцент5 3" xfId="388" xr:uid="{00000000-0005-0000-0000-0000FD000000}"/>
    <cellStyle name="Акцент6 2" xfId="74" xr:uid="{00000000-0005-0000-0000-0000FE000000}"/>
    <cellStyle name="Акцент6 2 2" xfId="389" xr:uid="{00000000-0005-0000-0000-0000FF000000}"/>
    <cellStyle name="Акцент6 2_КВ Чхім 0108 вар3" xfId="390" xr:uid="{00000000-0005-0000-0000-000000010000}"/>
    <cellStyle name="Акцент6 3" xfId="391" xr:uid="{00000000-0005-0000-0000-000001010000}"/>
    <cellStyle name="Акцентування1" xfId="392" xr:uid="{00000000-0005-0000-0000-000002010000}"/>
    <cellStyle name="Акцентування2" xfId="393" xr:uid="{00000000-0005-0000-0000-000003010000}"/>
    <cellStyle name="Акцентування3" xfId="394" xr:uid="{00000000-0005-0000-0000-000004010000}"/>
    <cellStyle name="Акцентування4" xfId="395" xr:uid="{00000000-0005-0000-0000-000005010000}"/>
    <cellStyle name="Акцентування5" xfId="396" xr:uid="{00000000-0005-0000-0000-000006010000}"/>
    <cellStyle name="Акцентування6" xfId="397" xr:uid="{00000000-0005-0000-0000-000007010000}"/>
    <cellStyle name="Ввід" xfId="398" xr:uid="{00000000-0005-0000-0000-000008010000}"/>
    <cellStyle name="Ввод  2" xfId="75" xr:uid="{00000000-0005-0000-0000-000009010000}"/>
    <cellStyle name="Ввод  2 2" xfId="228" xr:uid="{00000000-0005-0000-0000-00000A010000}"/>
    <cellStyle name="Ввод  2 3" xfId="484" xr:uid="{00000000-0005-0000-0000-00000B010000}"/>
    <cellStyle name="Ввод  2_КВ Чхім 0108 вар3" xfId="399" xr:uid="{00000000-0005-0000-0000-00000C010000}"/>
    <cellStyle name="Ввод  3" xfId="400" xr:uid="{00000000-0005-0000-0000-00000D010000}"/>
    <cellStyle name="Відсотковий 2" xfId="76" xr:uid="{00000000-0005-0000-0000-00000E010000}"/>
    <cellStyle name="Відсотковий 3" xfId="485" xr:uid="{00000000-0005-0000-0000-00000F010000}"/>
    <cellStyle name="Відсотковий 3 2" xfId="486" xr:uid="{00000000-0005-0000-0000-000010010000}"/>
    <cellStyle name="Відсотковий 3 3" xfId="487" xr:uid="{00000000-0005-0000-0000-000011010000}"/>
    <cellStyle name="Вывод 2" xfId="77" xr:uid="{00000000-0005-0000-0000-000012010000}"/>
    <cellStyle name="Вывод 2 2" xfId="229" xr:uid="{00000000-0005-0000-0000-000013010000}"/>
    <cellStyle name="Вывод 2 3" xfId="488" xr:uid="{00000000-0005-0000-0000-000014010000}"/>
    <cellStyle name="Вывод 2_КВ Чхім 0108 вар3" xfId="401" xr:uid="{00000000-0005-0000-0000-000015010000}"/>
    <cellStyle name="Вывод 3" xfId="402" xr:uid="{00000000-0005-0000-0000-000016010000}"/>
    <cellStyle name="Вычисление 2" xfId="78" xr:uid="{00000000-0005-0000-0000-000017010000}"/>
    <cellStyle name="Вычисление 2 2" xfId="230" xr:uid="{00000000-0005-0000-0000-000018010000}"/>
    <cellStyle name="Вычисление 2 3" xfId="489" xr:uid="{00000000-0005-0000-0000-000019010000}"/>
    <cellStyle name="Вычисление 2_КВ Чхім 0108 вар3" xfId="403" xr:uid="{00000000-0005-0000-0000-00001A010000}"/>
    <cellStyle name="Вычисление 3" xfId="404" xr:uid="{00000000-0005-0000-0000-00001B010000}"/>
    <cellStyle name="Гиперссылка" xfId="239" builtinId="8"/>
    <cellStyle name="Гиперссылка 2" xfId="490" xr:uid="{00000000-0005-0000-0000-00001D010000}"/>
    <cellStyle name="Денежный 2" xfId="79" xr:uid="{00000000-0005-0000-0000-00001E010000}"/>
    <cellStyle name="Денежный 2 2" xfId="405" xr:uid="{00000000-0005-0000-0000-00001F010000}"/>
    <cellStyle name="Денежный 2_Копия Тариф по пост 242 ЗВЕДЕНИЙ 2014 3" xfId="406" xr:uid="{00000000-0005-0000-0000-000020010000}"/>
    <cellStyle name="Денежный 3" xfId="80" xr:uid="{00000000-0005-0000-0000-000021010000}"/>
    <cellStyle name="Денежный 4" xfId="81" xr:uid="{00000000-0005-0000-0000-000022010000}"/>
    <cellStyle name="Добре" xfId="407" xr:uid="{00000000-0005-0000-0000-000023010000}"/>
    <cellStyle name="Заголовок 1 2" xfId="82" xr:uid="{00000000-0005-0000-0000-000024010000}"/>
    <cellStyle name="Заголовок 1 3" xfId="83" xr:uid="{00000000-0005-0000-0000-000025010000}"/>
    <cellStyle name="Заголовок 2 2" xfId="84" xr:uid="{00000000-0005-0000-0000-000026010000}"/>
    <cellStyle name="Заголовок 2 3" xfId="85" xr:uid="{00000000-0005-0000-0000-000027010000}"/>
    <cellStyle name="Заголовок 3 2" xfId="86" xr:uid="{00000000-0005-0000-0000-000028010000}"/>
    <cellStyle name="Заголовок 3 2 2" xfId="491" xr:uid="{00000000-0005-0000-0000-000029010000}"/>
    <cellStyle name="Заголовок 3 3" xfId="87" xr:uid="{00000000-0005-0000-0000-00002A010000}"/>
    <cellStyle name="Заголовок 4 2" xfId="88" xr:uid="{00000000-0005-0000-0000-00002B010000}"/>
    <cellStyle name="Заголовок 4 3" xfId="89" xr:uid="{00000000-0005-0000-0000-00002C010000}"/>
    <cellStyle name="Звичайний 2" xfId="7" xr:uid="{00000000-0005-0000-0000-00002D010000}"/>
    <cellStyle name="Звичайний 2 2" xfId="90" xr:uid="{00000000-0005-0000-0000-00002E010000}"/>
    <cellStyle name="Звичайний 2 3" xfId="492" xr:uid="{00000000-0005-0000-0000-00002F010000}"/>
    <cellStyle name="Звичайний 2 3 2" xfId="493" xr:uid="{00000000-0005-0000-0000-000030010000}"/>
    <cellStyle name="Звичайний 2 3 3" xfId="494" xr:uid="{00000000-0005-0000-0000-000031010000}"/>
    <cellStyle name="Звичайний 2 3 4" xfId="495" xr:uid="{00000000-0005-0000-0000-000032010000}"/>
    <cellStyle name="Звичайний 3" xfId="91" xr:uid="{00000000-0005-0000-0000-000033010000}"/>
    <cellStyle name="Звичайний 3 2" xfId="92" xr:uid="{00000000-0005-0000-0000-000034010000}"/>
    <cellStyle name="Звичайний 3 3" xfId="93" xr:uid="{00000000-0005-0000-0000-000035010000}"/>
    <cellStyle name="Звичайний 3 4" xfId="94" xr:uid="{00000000-0005-0000-0000-000036010000}"/>
    <cellStyle name="Звичайний 3 5" xfId="95" xr:uid="{00000000-0005-0000-0000-000037010000}"/>
    <cellStyle name="Звичайний 3 6" xfId="96" xr:uid="{00000000-0005-0000-0000-000038010000}"/>
    <cellStyle name="Звичайний 3 6 2" xfId="97" xr:uid="{00000000-0005-0000-0000-000039010000}"/>
    <cellStyle name="Звичайний 3 7" xfId="98" xr:uid="{00000000-0005-0000-0000-00003A010000}"/>
    <cellStyle name="Звичайний 3 8" xfId="99" xr:uid="{00000000-0005-0000-0000-00003B010000}"/>
    <cellStyle name="Звичайний 4" xfId="100" xr:uid="{00000000-0005-0000-0000-00003C010000}"/>
    <cellStyle name="Звичайний 4 2" xfId="101" xr:uid="{00000000-0005-0000-0000-00003D010000}"/>
    <cellStyle name="Звичайний 4 3" xfId="102" xr:uid="{00000000-0005-0000-0000-00003E010000}"/>
    <cellStyle name="Звичайний 5" xfId="103" xr:uid="{00000000-0005-0000-0000-00003F010000}"/>
    <cellStyle name="Звичайний 5 2" xfId="214" xr:uid="{00000000-0005-0000-0000-000040010000}"/>
    <cellStyle name="Звичайний 5 3" xfId="496" xr:uid="{00000000-0005-0000-0000-000041010000}"/>
    <cellStyle name="Звичайний 6" xfId="220" xr:uid="{00000000-0005-0000-0000-000042010000}"/>
    <cellStyle name="Звичайний 6 2" xfId="497" xr:uid="{00000000-0005-0000-0000-000043010000}"/>
    <cellStyle name="Звичайний 6 3" xfId="498" xr:uid="{00000000-0005-0000-0000-000044010000}"/>
    <cellStyle name="Звичайний 7" xfId="221" xr:uid="{00000000-0005-0000-0000-000045010000}"/>
    <cellStyle name="Звичайний 7 2" xfId="499" xr:uid="{00000000-0005-0000-0000-000046010000}"/>
    <cellStyle name="Звичайний 7 3" xfId="500" xr:uid="{00000000-0005-0000-0000-000047010000}"/>
    <cellStyle name="Звичайний 8" xfId="222" xr:uid="{00000000-0005-0000-0000-000048010000}"/>
    <cellStyle name="Звичайний 8 2" xfId="501" xr:uid="{00000000-0005-0000-0000-000049010000}"/>
    <cellStyle name="Звичайний 8 3" xfId="502" xr:uid="{00000000-0005-0000-0000-00004A010000}"/>
    <cellStyle name="Зв'язана клітинка" xfId="408" xr:uid="{00000000-0005-0000-0000-00004B010000}"/>
    <cellStyle name="Итог 2" xfId="104" xr:uid="{00000000-0005-0000-0000-00004C010000}"/>
    <cellStyle name="Итог 2 2" xfId="231" xr:uid="{00000000-0005-0000-0000-00004D010000}"/>
    <cellStyle name="Итог 2 2 2" xfId="503" xr:uid="{00000000-0005-0000-0000-00004E010000}"/>
    <cellStyle name="Итог 2 3" xfId="504" xr:uid="{00000000-0005-0000-0000-00004F010000}"/>
    <cellStyle name="Итог 2 4" xfId="505" xr:uid="{00000000-0005-0000-0000-000050010000}"/>
    <cellStyle name="Итог 3" xfId="409" xr:uid="{00000000-0005-0000-0000-000051010000}"/>
    <cellStyle name="Контрольна клітинка" xfId="410" xr:uid="{00000000-0005-0000-0000-000052010000}"/>
    <cellStyle name="Контрольная ячейка 2" xfId="105" xr:uid="{00000000-0005-0000-0000-000053010000}"/>
    <cellStyle name="Контрольная ячейка 2 2" xfId="411" xr:uid="{00000000-0005-0000-0000-000054010000}"/>
    <cellStyle name="Контрольная ячейка 2_КВ Чхім 0108 вар3" xfId="412" xr:uid="{00000000-0005-0000-0000-000055010000}"/>
    <cellStyle name="Контрольная ячейка 3" xfId="413" xr:uid="{00000000-0005-0000-0000-000056010000}"/>
    <cellStyle name="Назва" xfId="414" xr:uid="{00000000-0005-0000-0000-000057010000}"/>
    <cellStyle name="Название 2" xfId="106" xr:uid="{00000000-0005-0000-0000-000058010000}"/>
    <cellStyle name="Название 3" xfId="415" xr:uid="{00000000-0005-0000-0000-000059010000}"/>
    <cellStyle name="Нейтральный 2" xfId="107" xr:uid="{00000000-0005-0000-0000-00005A010000}"/>
    <cellStyle name="Нейтральный 2 2" xfId="416" xr:uid="{00000000-0005-0000-0000-00005B010000}"/>
    <cellStyle name="Нейтральный 2_КВ Чхім 0108 вар3" xfId="417" xr:uid="{00000000-0005-0000-0000-00005C010000}"/>
    <cellStyle name="Нейтральный 3" xfId="418" xr:uid="{00000000-0005-0000-0000-00005D010000}"/>
    <cellStyle name="Обчислення" xfId="419" xr:uid="{00000000-0005-0000-0000-00005E010000}"/>
    <cellStyle name="Обычный" xfId="0" builtinId="0"/>
    <cellStyle name="Обычный 10" xfId="108" xr:uid="{00000000-0005-0000-0000-000060010000}"/>
    <cellStyle name="Обычный 10 2" xfId="109" xr:uid="{00000000-0005-0000-0000-000061010000}"/>
    <cellStyle name="Обычный 10 3" xfId="110" xr:uid="{00000000-0005-0000-0000-000062010000}"/>
    <cellStyle name="Обычный 10 4" xfId="111" xr:uid="{00000000-0005-0000-0000-000063010000}"/>
    <cellStyle name="Обычный 10 5" xfId="112" xr:uid="{00000000-0005-0000-0000-000064010000}"/>
    <cellStyle name="Обычный 11" xfId="113" xr:uid="{00000000-0005-0000-0000-000065010000}"/>
    <cellStyle name="Обычный 11 2" xfId="114" xr:uid="{00000000-0005-0000-0000-000066010000}"/>
    <cellStyle name="Обычный 11 3" xfId="115" xr:uid="{00000000-0005-0000-0000-000067010000}"/>
    <cellStyle name="Обычный 11 3 2" xfId="506" xr:uid="{00000000-0005-0000-0000-000068010000}"/>
    <cellStyle name="Обычный 11 4" xfId="507" xr:uid="{00000000-0005-0000-0000-000069010000}"/>
    <cellStyle name="Обычный 11 5" xfId="508" xr:uid="{00000000-0005-0000-0000-00006A010000}"/>
    <cellStyle name="Обычный 12" xfId="116" xr:uid="{00000000-0005-0000-0000-00006B010000}"/>
    <cellStyle name="Обычный 12 2" xfId="509" xr:uid="{00000000-0005-0000-0000-00006C010000}"/>
    <cellStyle name="Обычный 12 3" xfId="510" xr:uid="{00000000-0005-0000-0000-00006D010000}"/>
    <cellStyle name="Обычный 13" xfId="117" xr:uid="{00000000-0005-0000-0000-00006E010000}"/>
    <cellStyle name="Обычный 13 2" xfId="511" xr:uid="{00000000-0005-0000-0000-00006F010000}"/>
    <cellStyle name="Обычный 13 2 2" xfId="512" xr:uid="{00000000-0005-0000-0000-000070010000}"/>
    <cellStyle name="Обычный 13 3" xfId="513" xr:uid="{00000000-0005-0000-0000-000071010000}"/>
    <cellStyle name="Обычный 13 3 2" xfId="514" xr:uid="{00000000-0005-0000-0000-000072010000}"/>
    <cellStyle name="Обычный 13 4" xfId="515" xr:uid="{00000000-0005-0000-0000-000073010000}"/>
    <cellStyle name="Обычный 13 5" xfId="516" xr:uid="{00000000-0005-0000-0000-000074010000}"/>
    <cellStyle name="Обычный 13 6" xfId="517" xr:uid="{00000000-0005-0000-0000-000075010000}"/>
    <cellStyle name="Обычный 14" xfId="118" xr:uid="{00000000-0005-0000-0000-000076010000}"/>
    <cellStyle name="Обычный 14 2" xfId="518" xr:uid="{00000000-0005-0000-0000-000077010000}"/>
    <cellStyle name="Обычный 14 3" xfId="519" xr:uid="{00000000-0005-0000-0000-000078010000}"/>
    <cellStyle name="Обычный 15" xfId="226" xr:uid="{00000000-0005-0000-0000-000079010000}"/>
    <cellStyle name="Обычный 15 2" xfId="520" xr:uid="{00000000-0005-0000-0000-00007A010000}"/>
    <cellStyle name="Обычный 16" xfId="241" xr:uid="{00000000-0005-0000-0000-00007B010000}"/>
    <cellStyle name="Обычный 17" xfId="448" xr:uid="{00000000-0005-0000-0000-00007C010000}"/>
    <cellStyle name="Обычный 17 2" xfId="521" xr:uid="{00000000-0005-0000-0000-00007D010000}"/>
    <cellStyle name="Обычный 18" xfId="522" xr:uid="{00000000-0005-0000-0000-00007E010000}"/>
    <cellStyle name="Обычный 19" xfId="523" xr:uid="{00000000-0005-0000-0000-00007F010000}"/>
    <cellStyle name="Обычный 2" xfId="1" xr:uid="{00000000-0005-0000-0000-000080010000}"/>
    <cellStyle name="Обычный 2 10" xfId="119" xr:uid="{00000000-0005-0000-0000-000081010000}"/>
    <cellStyle name="Обычный 2 11" xfId="120" xr:uid="{00000000-0005-0000-0000-000082010000}"/>
    <cellStyle name="Обычный 2 12" xfId="121" xr:uid="{00000000-0005-0000-0000-000083010000}"/>
    <cellStyle name="Обычный 2 13" xfId="122" xr:uid="{00000000-0005-0000-0000-000084010000}"/>
    <cellStyle name="Обычный 2 14" xfId="123" xr:uid="{00000000-0005-0000-0000-000085010000}"/>
    <cellStyle name="Обычный 2 15" xfId="124" xr:uid="{00000000-0005-0000-0000-000086010000}"/>
    <cellStyle name="Обычный 2 16" xfId="125" xr:uid="{00000000-0005-0000-0000-000087010000}"/>
    <cellStyle name="Обычный 2 2" xfId="126" xr:uid="{00000000-0005-0000-0000-000088010000}"/>
    <cellStyle name="Обычный 2 2 2" xfId="127" xr:uid="{00000000-0005-0000-0000-000089010000}"/>
    <cellStyle name="Обычный 2 2 2 2" xfId="128" xr:uid="{00000000-0005-0000-0000-00008A010000}"/>
    <cellStyle name="Обычный 2 2 2 3" xfId="129" xr:uid="{00000000-0005-0000-0000-00008B010000}"/>
    <cellStyle name="Обычный 2 2 2 4" xfId="130" xr:uid="{00000000-0005-0000-0000-00008C010000}"/>
    <cellStyle name="Обычный 2 2 2 5" xfId="131" xr:uid="{00000000-0005-0000-0000-00008D010000}"/>
    <cellStyle name="Обычный 2 2 2 6" xfId="132" xr:uid="{00000000-0005-0000-0000-00008E010000}"/>
    <cellStyle name="Обычный 2 2 2 7" xfId="133" xr:uid="{00000000-0005-0000-0000-00008F010000}"/>
    <cellStyle name="Обычный 2 2 2 8" xfId="134" xr:uid="{00000000-0005-0000-0000-000090010000}"/>
    <cellStyle name="Обычный 2 2 3" xfId="135" xr:uid="{00000000-0005-0000-0000-000091010000}"/>
    <cellStyle name="Обычный 2 2 3 2" xfId="136" xr:uid="{00000000-0005-0000-0000-000092010000}"/>
    <cellStyle name="Обычный 2 2 4" xfId="137" xr:uid="{00000000-0005-0000-0000-000093010000}"/>
    <cellStyle name="Обычный 2 2 5" xfId="138" xr:uid="{00000000-0005-0000-0000-000094010000}"/>
    <cellStyle name="Обычный 2 2 6" xfId="139" xr:uid="{00000000-0005-0000-0000-000095010000}"/>
    <cellStyle name="Обычный 2 2 7" xfId="140" xr:uid="{00000000-0005-0000-0000-000096010000}"/>
    <cellStyle name="Обычный 2 2 8" xfId="141" xr:uid="{00000000-0005-0000-0000-000097010000}"/>
    <cellStyle name="Обычный 2 2_КВ Чхім 0108 вар3" xfId="420" xr:uid="{00000000-0005-0000-0000-000098010000}"/>
    <cellStyle name="Обычный 2 3" xfId="142" xr:uid="{00000000-0005-0000-0000-000099010000}"/>
    <cellStyle name="Обычный 2 3 2" xfId="143" xr:uid="{00000000-0005-0000-0000-00009A010000}"/>
    <cellStyle name="Обычный 2 3 3" xfId="144" xr:uid="{00000000-0005-0000-0000-00009B010000}"/>
    <cellStyle name="Обычный 2 3 4" xfId="145" xr:uid="{00000000-0005-0000-0000-00009C010000}"/>
    <cellStyle name="Обычный 2 3_КВ Чхім 0108 вар3" xfId="421" xr:uid="{00000000-0005-0000-0000-00009D010000}"/>
    <cellStyle name="Обычный 2 4" xfId="146" xr:uid="{00000000-0005-0000-0000-00009E010000}"/>
    <cellStyle name="Обычный 2 4 2" xfId="147" xr:uid="{00000000-0005-0000-0000-00009F010000}"/>
    <cellStyle name="Обычный 2 5" xfId="148" xr:uid="{00000000-0005-0000-0000-0000A0010000}"/>
    <cellStyle name="Обычный 2 5 2" xfId="149" xr:uid="{00000000-0005-0000-0000-0000A1010000}"/>
    <cellStyle name="Обычный 2 6" xfId="150" xr:uid="{00000000-0005-0000-0000-0000A2010000}"/>
    <cellStyle name="Обычный 2 7" xfId="151" xr:uid="{00000000-0005-0000-0000-0000A3010000}"/>
    <cellStyle name="Обычный 2 8" xfId="152" xr:uid="{00000000-0005-0000-0000-0000A4010000}"/>
    <cellStyle name="Обычный 2 9" xfId="153" xr:uid="{00000000-0005-0000-0000-0000A5010000}"/>
    <cellStyle name="Обычный 2_Аналіз старих тарифів на коміссію27_10_11" xfId="154" xr:uid="{00000000-0005-0000-0000-0000A6010000}"/>
    <cellStyle name="Обычный 20" xfId="524" xr:uid="{00000000-0005-0000-0000-0000A7010000}"/>
    <cellStyle name="Обычный 21" xfId="525" xr:uid="{00000000-0005-0000-0000-0000A8010000}"/>
    <cellStyle name="Обычный 22" xfId="526" xr:uid="{00000000-0005-0000-0000-0000A9010000}"/>
    <cellStyle name="Обычный 23" xfId="527" xr:uid="{00000000-0005-0000-0000-0000AA010000}"/>
    <cellStyle name="Обычный 24" xfId="528" xr:uid="{00000000-0005-0000-0000-0000AB010000}"/>
    <cellStyle name="Обычный 25" xfId="529" xr:uid="{00000000-0005-0000-0000-0000AC010000}"/>
    <cellStyle name="Обычный 26" xfId="545" xr:uid="{00000000-0005-0000-0000-0000AD010000}"/>
    <cellStyle name="Обычный 27" xfId="546" xr:uid="{00000000-0005-0000-0000-0000AE010000}"/>
    <cellStyle name="Обычный 28" xfId="547" xr:uid="{00000000-0005-0000-0000-0000AF010000}"/>
    <cellStyle name="Обычный 29" xfId="549" xr:uid="{00000000-0005-0000-0000-0000B0010000}"/>
    <cellStyle name="Обычный 3" xfId="5" xr:uid="{00000000-0005-0000-0000-0000B1010000}"/>
    <cellStyle name="Обычный 3 10" xfId="232" xr:uid="{00000000-0005-0000-0000-0000B2010000}"/>
    <cellStyle name="Обычный 3 11" xfId="240" xr:uid="{00000000-0005-0000-0000-0000B3010000}"/>
    <cellStyle name="Обычный 3 11 2" xfId="557" xr:uid="{00000000-0005-0000-0000-0000B4010000}"/>
    <cellStyle name="Обычный 3 2" xfId="155" xr:uid="{00000000-0005-0000-0000-0000B5010000}"/>
    <cellStyle name="Обычный 3 2 2" xfId="156" xr:uid="{00000000-0005-0000-0000-0000B6010000}"/>
    <cellStyle name="Обычный 3 3" xfId="157" xr:uid="{00000000-0005-0000-0000-0000B7010000}"/>
    <cellStyle name="Обычный 3 3 2" xfId="158" xr:uid="{00000000-0005-0000-0000-0000B8010000}"/>
    <cellStyle name="Обычный 3 3 3" xfId="159" xr:uid="{00000000-0005-0000-0000-0000B9010000}"/>
    <cellStyle name="Обычный 3 4" xfId="160" xr:uid="{00000000-0005-0000-0000-0000BA010000}"/>
    <cellStyle name="Обычный 3 4 2" xfId="161" xr:uid="{00000000-0005-0000-0000-0000BB010000}"/>
    <cellStyle name="Обычный 3 4 3" xfId="162" xr:uid="{00000000-0005-0000-0000-0000BC010000}"/>
    <cellStyle name="Обычный 3 5" xfId="163" xr:uid="{00000000-0005-0000-0000-0000BD010000}"/>
    <cellStyle name="Обычный 3 5 2" xfId="164" xr:uid="{00000000-0005-0000-0000-0000BE010000}"/>
    <cellStyle name="Обычный 3 6" xfId="165" xr:uid="{00000000-0005-0000-0000-0000BF010000}"/>
    <cellStyle name="Обычный 3 7" xfId="166" xr:uid="{00000000-0005-0000-0000-0000C0010000}"/>
    <cellStyle name="Обычный 3 8" xfId="167" xr:uid="{00000000-0005-0000-0000-0000C1010000}"/>
    <cellStyle name="Обычный 3 9" xfId="168" xr:uid="{00000000-0005-0000-0000-0000C2010000}"/>
    <cellStyle name="Обычный 3_Копия Тариф по пост 242 ЗВЕДЕНИЙ 2014 3" xfId="422" xr:uid="{00000000-0005-0000-0000-0000C3010000}"/>
    <cellStyle name="Обычный 30" xfId="551" xr:uid="{00000000-0005-0000-0000-0000C4010000}"/>
    <cellStyle name="Обычный 31" xfId="552" xr:uid="{00000000-0005-0000-0000-0000C5010000}"/>
    <cellStyle name="Обычный 32" xfId="553" xr:uid="{00000000-0005-0000-0000-0000C6010000}"/>
    <cellStyle name="Обычный 33" xfId="554" xr:uid="{00000000-0005-0000-0000-0000C7010000}"/>
    <cellStyle name="Обычный 33 2" xfId="556" xr:uid="{00000000-0005-0000-0000-0000C8010000}"/>
    <cellStyle name="Обычный 34" xfId="555" xr:uid="{00000000-0005-0000-0000-0000C9010000}"/>
    <cellStyle name="Обычный 4" xfId="6" xr:uid="{00000000-0005-0000-0000-0000CA010000}"/>
    <cellStyle name="Обычный 4 2" xfId="169" xr:uid="{00000000-0005-0000-0000-0000CB010000}"/>
    <cellStyle name="Обычный 4 2 2" xfId="223" xr:uid="{00000000-0005-0000-0000-0000CC010000}"/>
    <cellStyle name="Обычный 4 2 3" xfId="224" xr:uid="{00000000-0005-0000-0000-0000CD010000}"/>
    <cellStyle name="Обычный 4 2_КВ Чхім 0108 вар3" xfId="423" xr:uid="{00000000-0005-0000-0000-0000CE010000}"/>
    <cellStyle name="Обычный 4 3" xfId="170" xr:uid="{00000000-0005-0000-0000-0000CF010000}"/>
    <cellStyle name="Обычный 4 3 2" xfId="171" xr:uid="{00000000-0005-0000-0000-0000D0010000}"/>
    <cellStyle name="Обычный 4 4" xfId="172" xr:uid="{00000000-0005-0000-0000-0000D1010000}"/>
    <cellStyle name="Обычный 4 5" xfId="173" xr:uid="{00000000-0005-0000-0000-0000D2010000}"/>
    <cellStyle name="Обычный 4 6" xfId="233" xr:uid="{00000000-0005-0000-0000-0000D3010000}"/>
    <cellStyle name="Обычный 4_КВ Чхім 0108 вар3" xfId="424" xr:uid="{00000000-0005-0000-0000-0000D4010000}"/>
    <cellStyle name="Обычный 5" xfId="174" xr:uid="{00000000-0005-0000-0000-0000D5010000}"/>
    <cellStyle name="Обычный 5 2" xfId="175" xr:uid="{00000000-0005-0000-0000-0000D6010000}"/>
    <cellStyle name="Обычный 5 2 2" xfId="425" xr:uid="{00000000-0005-0000-0000-0000D7010000}"/>
    <cellStyle name="Обычный 5 3" xfId="176" xr:uid="{00000000-0005-0000-0000-0000D8010000}"/>
    <cellStyle name="Обычный 5 3 2" xfId="530" xr:uid="{00000000-0005-0000-0000-0000D9010000}"/>
    <cellStyle name="Обычный 5 3 3" xfId="531" xr:uid="{00000000-0005-0000-0000-0000DA010000}"/>
    <cellStyle name="Обычный 5 4" xfId="234" xr:uid="{00000000-0005-0000-0000-0000DB010000}"/>
    <cellStyle name="Обычный 5 5" xfId="532" xr:uid="{00000000-0005-0000-0000-0000DC010000}"/>
    <cellStyle name="Обычный 5_КВ Чхім 0108 вар3" xfId="426" xr:uid="{00000000-0005-0000-0000-0000DD010000}"/>
    <cellStyle name="Обычный 6" xfId="177" xr:uid="{00000000-0005-0000-0000-0000DE010000}"/>
    <cellStyle name="Обычный 6 2" xfId="178" xr:uid="{00000000-0005-0000-0000-0000DF010000}"/>
    <cellStyle name="Обычный 6 2 2" xfId="533" xr:uid="{00000000-0005-0000-0000-0000E0010000}"/>
    <cellStyle name="Обычный 6 2 3" xfId="534" xr:uid="{00000000-0005-0000-0000-0000E1010000}"/>
    <cellStyle name="Обычный 6 3" xfId="179" xr:uid="{00000000-0005-0000-0000-0000E2010000}"/>
    <cellStyle name="Обычный 6 4" xfId="237" xr:uid="{00000000-0005-0000-0000-0000E3010000}"/>
    <cellStyle name="Обычный 6_Навчання_підписка (3) 2" xfId="535" xr:uid="{00000000-0005-0000-0000-0000E4010000}"/>
    <cellStyle name="Обычный 7" xfId="180" xr:uid="{00000000-0005-0000-0000-0000E5010000}"/>
    <cellStyle name="Обычный 7 2" xfId="181" xr:uid="{00000000-0005-0000-0000-0000E6010000}"/>
    <cellStyle name="Обычный 7 2 2" xfId="536" xr:uid="{00000000-0005-0000-0000-0000E7010000}"/>
    <cellStyle name="Обычный 7 2 3" xfId="537" xr:uid="{00000000-0005-0000-0000-0000E8010000}"/>
    <cellStyle name="Обычный 7 3" xfId="238" xr:uid="{00000000-0005-0000-0000-0000E9010000}"/>
    <cellStyle name="Обычный 7 4" xfId="538" xr:uid="{00000000-0005-0000-0000-0000EA010000}"/>
    <cellStyle name="Обычный 7_Навчання_підписка (3) 2" xfId="539" xr:uid="{00000000-0005-0000-0000-0000EB010000}"/>
    <cellStyle name="Обычный 8" xfId="182" xr:uid="{00000000-0005-0000-0000-0000EC010000}"/>
    <cellStyle name="Обычный 8 2" xfId="183" xr:uid="{00000000-0005-0000-0000-0000ED010000}"/>
    <cellStyle name="Обычный 8 2 2" xfId="184" xr:uid="{00000000-0005-0000-0000-0000EE010000}"/>
    <cellStyle name="Обычный 8 2 3" xfId="540" xr:uid="{00000000-0005-0000-0000-0000EF010000}"/>
    <cellStyle name="Обычный 8 3" xfId="185" xr:uid="{00000000-0005-0000-0000-0000F0010000}"/>
    <cellStyle name="Обычный 8 4" xfId="186" xr:uid="{00000000-0005-0000-0000-0000F1010000}"/>
    <cellStyle name="Обычный 8_Навчання_підписка (3) 2" xfId="541" xr:uid="{00000000-0005-0000-0000-0000F2010000}"/>
    <cellStyle name="Обычный 9" xfId="187" xr:uid="{00000000-0005-0000-0000-0000F3010000}"/>
    <cellStyle name="Обычный 9 2" xfId="188" xr:uid="{00000000-0005-0000-0000-0000F4010000}"/>
    <cellStyle name="Обычный_акт моб.связи_10_11" xfId="449" xr:uid="{00000000-0005-0000-0000-0000F5010000}"/>
    <cellStyle name="Обычный_Лист1" xfId="560" xr:uid="{00000000-0005-0000-0000-0000F6010000}"/>
    <cellStyle name="Підсумок" xfId="427" xr:uid="{00000000-0005-0000-0000-0000F7010000}"/>
    <cellStyle name="Плохой 2" xfId="189" xr:uid="{00000000-0005-0000-0000-0000F8010000}"/>
    <cellStyle name="Плохой 2 2" xfId="428" xr:uid="{00000000-0005-0000-0000-0000F9010000}"/>
    <cellStyle name="Плохой 2_КВ Чхім 0108 вар3" xfId="429" xr:uid="{00000000-0005-0000-0000-0000FA010000}"/>
    <cellStyle name="Плохой 3" xfId="430" xr:uid="{00000000-0005-0000-0000-0000FB010000}"/>
    <cellStyle name="Поганий" xfId="431" xr:uid="{00000000-0005-0000-0000-0000FC010000}"/>
    <cellStyle name="Пояснение 2" xfId="190" xr:uid="{00000000-0005-0000-0000-0000FD010000}"/>
    <cellStyle name="Правка" xfId="550" xr:uid="{00000000-0005-0000-0000-0000FE010000}"/>
    <cellStyle name="Примечание 2" xfId="191" xr:uid="{00000000-0005-0000-0000-0000FF010000}"/>
    <cellStyle name="Примечание 2 2" xfId="235" xr:uid="{00000000-0005-0000-0000-000000020000}"/>
    <cellStyle name="Примечание 2 3" xfId="542" xr:uid="{00000000-0005-0000-0000-000001020000}"/>
    <cellStyle name="Примечание 2_КВ Чхім 0108 вар3" xfId="432" xr:uid="{00000000-0005-0000-0000-000002020000}"/>
    <cellStyle name="Примечание 3" xfId="433" xr:uid="{00000000-0005-0000-0000-000003020000}"/>
    <cellStyle name="Примітка" xfId="434" xr:uid="{00000000-0005-0000-0000-000004020000}"/>
    <cellStyle name="Процентный" xfId="558" builtinId="5"/>
    <cellStyle name="Процентный 2" xfId="8" xr:uid="{00000000-0005-0000-0000-000006020000}"/>
    <cellStyle name="Процентный 2 2" xfId="192" xr:uid="{00000000-0005-0000-0000-000007020000}"/>
    <cellStyle name="Процентный 2 2 2" xfId="193" xr:uid="{00000000-0005-0000-0000-000008020000}"/>
    <cellStyle name="Процентный 2 3" xfId="194" xr:uid="{00000000-0005-0000-0000-000009020000}"/>
    <cellStyle name="Процентный 3" xfId="195" xr:uid="{00000000-0005-0000-0000-00000A020000}"/>
    <cellStyle name="Процентный 3 2" xfId="196" xr:uid="{00000000-0005-0000-0000-00000B020000}"/>
    <cellStyle name="Процентный 4" xfId="197" xr:uid="{00000000-0005-0000-0000-00000C020000}"/>
    <cellStyle name="Процентный 4 2" xfId="543" xr:uid="{00000000-0005-0000-0000-00000D020000}"/>
    <cellStyle name="Процентный 4 3" xfId="544" xr:uid="{00000000-0005-0000-0000-00000E020000}"/>
    <cellStyle name="Процентный 5" xfId="198" xr:uid="{00000000-0005-0000-0000-00000F020000}"/>
    <cellStyle name="Процентный 5 2" xfId="435" xr:uid="{00000000-0005-0000-0000-000010020000}"/>
    <cellStyle name="Процентный 6" xfId="236" xr:uid="{00000000-0005-0000-0000-000011020000}"/>
    <cellStyle name="Процентный 7" xfId="548" xr:uid="{00000000-0005-0000-0000-000012020000}"/>
    <cellStyle name="Результат 1" xfId="436" xr:uid="{00000000-0005-0000-0000-000013020000}"/>
    <cellStyle name="Связанная ячейка 2" xfId="199" xr:uid="{00000000-0005-0000-0000-000014020000}"/>
    <cellStyle name="Связанная ячейка 3" xfId="437" xr:uid="{00000000-0005-0000-0000-000015020000}"/>
    <cellStyle name="Середній" xfId="438" xr:uid="{00000000-0005-0000-0000-000016020000}"/>
    <cellStyle name="Текст ведомостей" xfId="439" xr:uid="{00000000-0005-0000-0000-000017020000}"/>
    <cellStyle name="Текст попередження" xfId="440" xr:uid="{00000000-0005-0000-0000-000018020000}"/>
    <cellStyle name="Текст пояснення" xfId="441" xr:uid="{00000000-0005-0000-0000-000019020000}"/>
    <cellStyle name="Текст предупреждения 2" xfId="200" xr:uid="{00000000-0005-0000-0000-00001A020000}"/>
    <cellStyle name="Тысячи [0]_D_Edit (2)" xfId="442" xr:uid="{00000000-0005-0000-0000-00001B020000}"/>
    <cellStyle name="Тысячи_D_Edit (2)" xfId="443" xr:uid="{00000000-0005-0000-0000-00001C020000}"/>
    <cellStyle name="Финансовый" xfId="559" builtinId="3"/>
    <cellStyle name="Финансовый [0] 2" xfId="201" xr:uid="{00000000-0005-0000-0000-00001E020000}"/>
    <cellStyle name="Финансовый 2" xfId="3" xr:uid="{00000000-0005-0000-0000-00001F020000}"/>
    <cellStyle name="Финансовый 2 2" xfId="202" xr:uid="{00000000-0005-0000-0000-000020020000}"/>
    <cellStyle name="Финансовый 2 2 2" xfId="203" xr:uid="{00000000-0005-0000-0000-000021020000}"/>
    <cellStyle name="Финансовый 2 3" xfId="204" xr:uid="{00000000-0005-0000-0000-000022020000}"/>
    <cellStyle name="Финансовый 2 4" xfId="205" xr:uid="{00000000-0005-0000-0000-000023020000}"/>
    <cellStyle name="Финансовый 2 5" xfId="206" xr:uid="{00000000-0005-0000-0000-000024020000}"/>
    <cellStyle name="Финансовый 2 6" xfId="207" xr:uid="{00000000-0005-0000-0000-000025020000}"/>
    <cellStyle name="Финансовый 3" xfId="4" xr:uid="{00000000-0005-0000-0000-000026020000}"/>
    <cellStyle name="Финансовый 3 2" xfId="208" xr:uid="{00000000-0005-0000-0000-000027020000}"/>
    <cellStyle name="Финансовый 3 3" xfId="209" xr:uid="{00000000-0005-0000-0000-000028020000}"/>
    <cellStyle name="Финансовый 3 4" xfId="210" xr:uid="{00000000-0005-0000-0000-000029020000}"/>
    <cellStyle name="Финансовый 4" xfId="211" xr:uid="{00000000-0005-0000-0000-00002A020000}"/>
    <cellStyle name="Финансовый 4 2" xfId="444" xr:uid="{00000000-0005-0000-0000-00002B020000}"/>
    <cellStyle name="Фінансовий 2" xfId="212" xr:uid="{00000000-0005-0000-0000-00002C020000}"/>
    <cellStyle name="Хороший 2" xfId="213" xr:uid="{00000000-0005-0000-0000-00002D020000}"/>
    <cellStyle name="Хороший 2 2" xfId="445" xr:uid="{00000000-0005-0000-0000-00002E020000}"/>
    <cellStyle name="Хороший 2_КВ Чхім 0108 вар3" xfId="446" xr:uid="{00000000-0005-0000-0000-00002F020000}"/>
    <cellStyle name="Хороший 3" xfId="447" xr:uid="{00000000-0005-0000-0000-000030020000}"/>
  </cellStyles>
  <dxfs count="88">
    <dxf>
      <font>
        <color theme="0" tint="-0.499984740745262"/>
      </font>
    </dxf>
    <dxf>
      <font>
        <color theme="0" tint="-0.499984740745262"/>
      </font>
    </dxf>
    <dxf>
      <font>
        <color theme="0" tint="-0.499984740745262"/>
      </font>
    </dxf>
    <dxf>
      <font>
        <b/>
        <i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dxf>
    <dxf>
      <font>
        <color theme="0"/>
      </font>
    </dxf>
    <dxf>
      <font>
        <color theme="0"/>
      </font>
    </dxf>
    <dxf>
      <fill>
        <patternFill>
          <bgColor rgb="FFFF0000"/>
        </patternFill>
      </fill>
    </dxf>
    <dxf>
      <font>
        <color theme="0"/>
      </font>
    </dxf>
    <dxf>
      <font>
        <color theme="0"/>
      </font>
    </dxf>
    <dxf>
      <fill>
        <patternFill>
          <bgColor indexed="31"/>
        </patternFill>
      </fill>
    </dxf>
    <dxf>
      <fill>
        <patternFill>
          <bgColor indexed="31"/>
        </patternFill>
      </fill>
    </dxf>
    <dxf>
      <fill>
        <patternFill>
          <bgColor indexed="31"/>
        </patternFill>
      </fill>
    </dxf>
    <dxf>
      <fill>
        <patternFill>
          <bgColor indexed="31"/>
        </patternFill>
      </fill>
    </dxf>
    <dxf>
      <font>
        <color theme="0"/>
      </font>
    </dxf>
    <dxf>
      <font>
        <color theme="0"/>
      </font>
    </dxf>
    <dxf>
      <font>
        <color theme="0" tint="-0.34998626667073579"/>
      </font>
    </dxf>
    <dxf>
      <font>
        <color theme="0"/>
      </font>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ill>
        <patternFill>
          <bgColor indexed="31"/>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
      <font>
        <b/>
        <i val="0"/>
      </font>
      <fill>
        <patternFill>
          <bgColor rgb="FFFF0000"/>
        </patternFill>
      </fill>
    </dxf>
  </dxfs>
  <tableStyles count="0" defaultTableStyle="TableStyleMedium2" defaultPivotStyle="PivotStyleMedium9"/>
  <colors>
    <mruColors>
      <color rgb="FFFF7C80"/>
      <color rgb="FF0000FF"/>
      <color rgb="FFFFCC00"/>
      <color rgb="FFEC20C5"/>
      <color rgb="FFCCFF66"/>
      <color rgb="FF00FFFF"/>
      <color rgb="FFCCCC00"/>
      <color rgb="FF8F314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17" Type="http://schemas.openxmlformats.org/officeDocument/2006/relationships/worksheet" Target="worksheets/sheet117.xml"/><Relationship Id="rId21" Type="http://schemas.openxmlformats.org/officeDocument/2006/relationships/worksheet" Target="worksheets/sheet21.xml"/><Relationship Id="rId42" Type="http://schemas.openxmlformats.org/officeDocument/2006/relationships/worksheet" Target="worksheets/sheet42.xml"/><Relationship Id="rId63" Type="http://schemas.openxmlformats.org/officeDocument/2006/relationships/worksheet" Target="worksheets/sheet63.xml"/><Relationship Id="rId84" Type="http://schemas.openxmlformats.org/officeDocument/2006/relationships/worksheet" Target="worksheets/sheet84.xml"/><Relationship Id="rId138" Type="http://schemas.openxmlformats.org/officeDocument/2006/relationships/externalLink" Target="externalLinks/externalLink14.xml"/><Relationship Id="rId159" Type="http://schemas.openxmlformats.org/officeDocument/2006/relationships/externalLink" Target="externalLinks/externalLink35.xml"/><Relationship Id="rId170" Type="http://schemas.openxmlformats.org/officeDocument/2006/relationships/sharedStrings" Target="sharedStrings.xml"/><Relationship Id="rId107" Type="http://schemas.openxmlformats.org/officeDocument/2006/relationships/worksheet" Target="worksheets/sheet107.xml"/><Relationship Id="rId11" Type="http://schemas.openxmlformats.org/officeDocument/2006/relationships/worksheet" Target="worksheets/sheet11.xml"/><Relationship Id="rId32" Type="http://schemas.openxmlformats.org/officeDocument/2006/relationships/worksheet" Target="worksheets/sheet32.xml"/><Relationship Id="rId53" Type="http://schemas.openxmlformats.org/officeDocument/2006/relationships/worksheet" Target="worksheets/sheet53.xml"/><Relationship Id="rId74" Type="http://schemas.openxmlformats.org/officeDocument/2006/relationships/worksheet" Target="worksheets/sheet74.xml"/><Relationship Id="rId128" Type="http://schemas.openxmlformats.org/officeDocument/2006/relationships/externalLink" Target="externalLinks/externalLink4.xml"/><Relationship Id="rId149" Type="http://schemas.openxmlformats.org/officeDocument/2006/relationships/externalLink" Target="externalLinks/externalLink25.xml"/><Relationship Id="rId5" Type="http://schemas.openxmlformats.org/officeDocument/2006/relationships/worksheet" Target="worksheets/sheet5.xml"/><Relationship Id="rId95" Type="http://schemas.openxmlformats.org/officeDocument/2006/relationships/worksheet" Target="worksheets/sheet95.xml"/><Relationship Id="rId160" Type="http://schemas.openxmlformats.org/officeDocument/2006/relationships/externalLink" Target="externalLinks/externalLink36.xml"/><Relationship Id="rId22" Type="http://schemas.openxmlformats.org/officeDocument/2006/relationships/worksheet" Target="worksheets/sheet22.xml"/><Relationship Id="rId43" Type="http://schemas.openxmlformats.org/officeDocument/2006/relationships/worksheet" Target="worksheets/sheet43.xml"/><Relationship Id="rId64" Type="http://schemas.openxmlformats.org/officeDocument/2006/relationships/worksheet" Target="worksheets/sheet64.xml"/><Relationship Id="rId118" Type="http://schemas.openxmlformats.org/officeDocument/2006/relationships/worksheet" Target="worksheets/sheet118.xml"/><Relationship Id="rId139" Type="http://schemas.openxmlformats.org/officeDocument/2006/relationships/externalLink" Target="externalLinks/externalLink15.xml"/><Relationship Id="rId85" Type="http://schemas.openxmlformats.org/officeDocument/2006/relationships/worksheet" Target="worksheets/sheet85.xml"/><Relationship Id="rId150" Type="http://schemas.openxmlformats.org/officeDocument/2006/relationships/externalLink" Target="externalLinks/externalLink26.xml"/><Relationship Id="rId171" Type="http://schemas.openxmlformats.org/officeDocument/2006/relationships/calcChain" Target="calcChain.xml"/><Relationship Id="rId12" Type="http://schemas.openxmlformats.org/officeDocument/2006/relationships/worksheet" Target="worksheets/sheet12.xml"/><Relationship Id="rId33" Type="http://schemas.openxmlformats.org/officeDocument/2006/relationships/worksheet" Target="worksheets/sheet33.xml"/><Relationship Id="rId108" Type="http://schemas.openxmlformats.org/officeDocument/2006/relationships/worksheet" Target="worksheets/sheet108.xml"/><Relationship Id="rId129" Type="http://schemas.openxmlformats.org/officeDocument/2006/relationships/externalLink" Target="externalLinks/externalLink5.xml"/><Relationship Id="rId54" Type="http://schemas.openxmlformats.org/officeDocument/2006/relationships/worksheet" Target="worksheets/sheet54.xml"/><Relationship Id="rId70" Type="http://schemas.openxmlformats.org/officeDocument/2006/relationships/worksheet" Target="worksheets/sheet70.xml"/><Relationship Id="rId75" Type="http://schemas.openxmlformats.org/officeDocument/2006/relationships/worksheet" Target="worksheets/sheet75.xml"/><Relationship Id="rId91" Type="http://schemas.openxmlformats.org/officeDocument/2006/relationships/worksheet" Target="worksheets/sheet91.xml"/><Relationship Id="rId96" Type="http://schemas.openxmlformats.org/officeDocument/2006/relationships/worksheet" Target="worksheets/sheet96.xml"/><Relationship Id="rId140" Type="http://schemas.openxmlformats.org/officeDocument/2006/relationships/externalLink" Target="externalLinks/externalLink16.xml"/><Relationship Id="rId145" Type="http://schemas.openxmlformats.org/officeDocument/2006/relationships/externalLink" Target="externalLinks/externalLink21.xml"/><Relationship Id="rId161" Type="http://schemas.openxmlformats.org/officeDocument/2006/relationships/externalLink" Target="externalLinks/externalLink37.xml"/><Relationship Id="rId166" Type="http://schemas.openxmlformats.org/officeDocument/2006/relationships/externalLink" Target="externalLinks/externalLink42.xml"/><Relationship Id="rId1" Type="http://schemas.openxmlformats.org/officeDocument/2006/relationships/worksheet" Target="worksheets/sheet1.xml"/><Relationship Id="rId6" Type="http://schemas.openxmlformats.org/officeDocument/2006/relationships/worksheet" Target="worksheets/sheet6.xml"/><Relationship Id="rId23" Type="http://schemas.openxmlformats.org/officeDocument/2006/relationships/worksheet" Target="worksheets/sheet23.xml"/><Relationship Id="rId28" Type="http://schemas.openxmlformats.org/officeDocument/2006/relationships/worksheet" Target="worksheets/sheet28.xml"/><Relationship Id="rId49" Type="http://schemas.openxmlformats.org/officeDocument/2006/relationships/worksheet" Target="worksheets/sheet49.xml"/><Relationship Id="rId114" Type="http://schemas.openxmlformats.org/officeDocument/2006/relationships/worksheet" Target="worksheets/sheet114.xml"/><Relationship Id="rId119" Type="http://schemas.openxmlformats.org/officeDocument/2006/relationships/worksheet" Target="worksheets/sheet119.xml"/><Relationship Id="rId44" Type="http://schemas.openxmlformats.org/officeDocument/2006/relationships/worksheet" Target="worksheets/sheet44.xml"/><Relationship Id="rId60" Type="http://schemas.openxmlformats.org/officeDocument/2006/relationships/worksheet" Target="worksheets/sheet60.xml"/><Relationship Id="rId65" Type="http://schemas.openxmlformats.org/officeDocument/2006/relationships/worksheet" Target="worksheets/sheet65.xml"/><Relationship Id="rId81" Type="http://schemas.openxmlformats.org/officeDocument/2006/relationships/worksheet" Target="worksheets/sheet81.xml"/><Relationship Id="rId86" Type="http://schemas.openxmlformats.org/officeDocument/2006/relationships/worksheet" Target="worksheets/sheet86.xml"/><Relationship Id="rId130" Type="http://schemas.openxmlformats.org/officeDocument/2006/relationships/externalLink" Target="externalLinks/externalLink6.xml"/><Relationship Id="rId135" Type="http://schemas.openxmlformats.org/officeDocument/2006/relationships/externalLink" Target="externalLinks/externalLink11.xml"/><Relationship Id="rId151" Type="http://schemas.openxmlformats.org/officeDocument/2006/relationships/externalLink" Target="externalLinks/externalLink27.xml"/><Relationship Id="rId156" Type="http://schemas.openxmlformats.org/officeDocument/2006/relationships/externalLink" Target="externalLinks/externalLink32.xml"/><Relationship Id="rId13" Type="http://schemas.openxmlformats.org/officeDocument/2006/relationships/worksheet" Target="worksheets/sheet13.xml"/><Relationship Id="rId18" Type="http://schemas.openxmlformats.org/officeDocument/2006/relationships/worksheet" Target="worksheets/sheet18.xml"/><Relationship Id="rId39" Type="http://schemas.openxmlformats.org/officeDocument/2006/relationships/worksheet" Target="worksheets/sheet39.xml"/><Relationship Id="rId109" Type="http://schemas.openxmlformats.org/officeDocument/2006/relationships/worksheet" Target="worksheets/sheet109.xml"/><Relationship Id="rId34" Type="http://schemas.openxmlformats.org/officeDocument/2006/relationships/worksheet" Target="worksheets/sheet34.xml"/><Relationship Id="rId50" Type="http://schemas.openxmlformats.org/officeDocument/2006/relationships/worksheet" Target="worksheets/sheet50.xml"/><Relationship Id="rId55" Type="http://schemas.openxmlformats.org/officeDocument/2006/relationships/worksheet" Target="worksheets/sheet55.xml"/><Relationship Id="rId76" Type="http://schemas.openxmlformats.org/officeDocument/2006/relationships/worksheet" Target="worksheets/sheet76.xml"/><Relationship Id="rId97" Type="http://schemas.openxmlformats.org/officeDocument/2006/relationships/worksheet" Target="worksheets/sheet97.xml"/><Relationship Id="rId104" Type="http://schemas.openxmlformats.org/officeDocument/2006/relationships/worksheet" Target="worksheets/sheet104.xml"/><Relationship Id="rId120" Type="http://schemas.openxmlformats.org/officeDocument/2006/relationships/worksheet" Target="worksheets/sheet120.xml"/><Relationship Id="rId125" Type="http://schemas.openxmlformats.org/officeDocument/2006/relationships/externalLink" Target="externalLinks/externalLink1.xml"/><Relationship Id="rId141" Type="http://schemas.openxmlformats.org/officeDocument/2006/relationships/externalLink" Target="externalLinks/externalLink17.xml"/><Relationship Id="rId146" Type="http://schemas.openxmlformats.org/officeDocument/2006/relationships/externalLink" Target="externalLinks/externalLink22.xml"/><Relationship Id="rId167" Type="http://schemas.openxmlformats.org/officeDocument/2006/relationships/externalLink" Target="externalLinks/externalLink43.xml"/><Relationship Id="rId7" Type="http://schemas.openxmlformats.org/officeDocument/2006/relationships/worksheet" Target="worksheets/sheet7.xml"/><Relationship Id="rId71" Type="http://schemas.openxmlformats.org/officeDocument/2006/relationships/worksheet" Target="worksheets/sheet71.xml"/><Relationship Id="rId92" Type="http://schemas.openxmlformats.org/officeDocument/2006/relationships/worksheet" Target="worksheets/sheet92.xml"/><Relationship Id="rId162" Type="http://schemas.openxmlformats.org/officeDocument/2006/relationships/externalLink" Target="externalLinks/externalLink38.xml"/><Relationship Id="rId2" Type="http://schemas.openxmlformats.org/officeDocument/2006/relationships/worksheet" Target="worksheets/sheet2.xml"/><Relationship Id="rId29" Type="http://schemas.openxmlformats.org/officeDocument/2006/relationships/worksheet" Target="worksheets/sheet29.xml"/><Relationship Id="rId24" Type="http://schemas.openxmlformats.org/officeDocument/2006/relationships/worksheet" Target="worksheets/sheet24.xml"/><Relationship Id="rId40" Type="http://schemas.openxmlformats.org/officeDocument/2006/relationships/worksheet" Target="worksheets/sheet40.xml"/><Relationship Id="rId45" Type="http://schemas.openxmlformats.org/officeDocument/2006/relationships/worksheet" Target="worksheets/sheet45.xml"/><Relationship Id="rId66" Type="http://schemas.openxmlformats.org/officeDocument/2006/relationships/worksheet" Target="worksheets/sheet66.xml"/><Relationship Id="rId87" Type="http://schemas.openxmlformats.org/officeDocument/2006/relationships/worksheet" Target="worksheets/sheet87.xml"/><Relationship Id="rId110" Type="http://schemas.openxmlformats.org/officeDocument/2006/relationships/worksheet" Target="worksheets/sheet110.xml"/><Relationship Id="rId115" Type="http://schemas.openxmlformats.org/officeDocument/2006/relationships/worksheet" Target="worksheets/sheet115.xml"/><Relationship Id="rId131" Type="http://schemas.openxmlformats.org/officeDocument/2006/relationships/externalLink" Target="externalLinks/externalLink7.xml"/><Relationship Id="rId136" Type="http://schemas.openxmlformats.org/officeDocument/2006/relationships/externalLink" Target="externalLinks/externalLink12.xml"/><Relationship Id="rId157" Type="http://schemas.openxmlformats.org/officeDocument/2006/relationships/externalLink" Target="externalLinks/externalLink33.xml"/><Relationship Id="rId61" Type="http://schemas.openxmlformats.org/officeDocument/2006/relationships/worksheet" Target="worksheets/sheet61.xml"/><Relationship Id="rId82" Type="http://schemas.openxmlformats.org/officeDocument/2006/relationships/worksheet" Target="worksheets/sheet82.xml"/><Relationship Id="rId152" Type="http://schemas.openxmlformats.org/officeDocument/2006/relationships/externalLink" Target="externalLinks/externalLink28.xml"/><Relationship Id="rId19" Type="http://schemas.openxmlformats.org/officeDocument/2006/relationships/worksheet" Target="worksheets/sheet19.xml"/><Relationship Id="rId14" Type="http://schemas.openxmlformats.org/officeDocument/2006/relationships/worksheet" Target="worksheets/sheet14.xml"/><Relationship Id="rId30" Type="http://schemas.openxmlformats.org/officeDocument/2006/relationships/worksheet" Target="worksheets/sheet30.xml"/><Relationship Id="rId35" Type="http://schemas.openxmlformats.org/officeDocument/2006/relationships/worksheet" Target="worksheets/sheet35.xml"/><Relationship Id="rId56" Type="http://schemas.openxmlformats.org/officeDocument/2006/relationships/worksheet" Target="worksheets/sheet56.xml"/><Relationship Id="rId77" Type="http://schemas.openxmlformats.org/officeDocument/2006/relationships/worksheet" Target="worksheets/sheet77.xml"/><Relationship Id="rId100" Type="http://schemas.openxmlformats.org/officeDocument/2006/relationships/worksheet" Target="worksheets/sheet100.xml"/><Relationship Id="rId105" Type="http://schemas.openxmlformats.org/officeDocument/2006/relationships/worksheet" Target="worksheets/sheet105.xml"/><Relationship Id="rId126" Type="http://schemas.openxmlformats.org/officeDocument/2006/relationships/externalLink" Target="externalLinks/externalLink2.xml"/><Relationship Id="rId147" Type="http://schemas.openxmlformats.org/officeDocument/2006/relationships/externalLink" Target="externalLinks/externalLink23.xml"/><Relationship Id="rId168" Type="http://schemas.openxmlformats.org/officeDocument/2006/relationships/theme" Target="theme/theme1.xml"/><Relationship Id="rId8" Type="http://schemas.openxmlformats.org/officeDocument/2006/relationships/worksheet" Target="worksheets/sheet8.xml"/><Relationship Id="rId51" Type="http://schemas.openxmlformats.org/officeDocument/2006/relationships/worksheet" Target="worksheets/sheet51.xml"/><Relationship Id="rId72" Type="http://schemas.openxmlformats.org/officeDocument/2006/relationships/worksheet" Target="worksheets/sheet72.xml"/><Relationship Id="rId93" Type="http://schemas.openxmlformats.org/officeDocument/2006/relationships/worksheet" Target="worksheets/sheet93.xml"/><Relationship Id="rId98" Type="http://schemas.openxmlformats.org/officeDocument/2006/relationships/worksheet" Target="worksheets/sheet98.xml"/><Relationship Id="rId121" Type="http://schemas.openxmlformats.org/officeDocument/2006/relationships/worksheet" Target="worksheets/sheet121.xml"/><Relationship Id="rId142" Type="http://schemas.openxmlformats.org/officeDocument/2006/relationships/externalLink" Target="externalLinks/externalLink18.xml"/><Relationship Id="rId163" Type="http://schemas.openxmlformats.org/officeDocument/2006/relationships/externalLink" Target="externalLinks/externalLink39.xml"/><Relationship Id="rId3" Type="http://schemas.openxmlformats.org/officeDocument/2006/relationships/worksheet" Target="worksheets/sheet3.xml"/><Relationship Id="rId25" Type="http://schemas.openxmlformats.org/officeDocument/2006/relationships/worksheet" Target="worksheets/sheet25.xml"/><Relationship Id="rId46" Type="http://schemas.openxmlformats.org/officeDocument/2006/relationships/worksheet" Target="worksheets/sheet46.xml"/><Relationship Id="rId67" Type="http://schemas.openxmlformats.org/officeDocument/2006/relationships/worksheet" Target="worksheets/sheet67.xml"/><Relationship Id="rId116" Type="http://schemas.openxmlformats.org/officeDocument/2006/relationships/worksheet" Target="worksheets/sheet116.xml"/><Relationship Id="rId137" Type="http://schemas.openxmlformats.org/officeDocument/2006/relationships/externalLink" Target="externalLinks/externalLink13.xml"/><Relationship Id="rId158" Type="http://schemas.openxmlformats.org/officeDocument/2006/relationships/externalLink" Target="externalLinks/externalLink34.xml"/><Relationship Id="rId20" Type="http://schemas.openxmlformats.org/officeDocument/2006/relationships/worksheet" Target="worksheets/sheet20.xml"/><Relationship Id="rId41" Type="http://schemas.openxmlformats.org/officeDocument/2006/relationships/worksheet" Target="worksheets/sheet41.xml"/><Relationship Id="rId62" Type="http://schemas.openxmlformats.org/officeDocument/2006/relationships/worksheet" Target="worksheets/sheet62.xml"/><Relationship Id="rId83" Type="http://schemas.openxmlformats.org/officeDocument/2006/relationships/worksheet" Target="worksheets/sheet83.xml"/><Relationship Id="rId88" Type="http://schemas.openxmlformats.org/officeDocument/2006/relationships/worksheet" Target="worksheets/sheet88.xml"/><Relationship Id="rId111" Type="http://schemas.openxmlformats.org/officeDocument/2006/relationships/worksheet" Target="worksheets/sheet111.xml"/><Relationship Id="rId132" Type="http://schemas.openxmlformats.org/officeDocument/2006/relationships/externalLink" Target="externalLinks/externalLink8.xml"/><Relationship Id="rId153" Type="http://schemas.openxmlformats.org/officeDocument/2006/relationships/externalLink" Target="externalLinks/externalLink29.xml"/><Relationship Id="rId15" Type="http://schemas.openxmlformats.org/officeDocument/2006/relationships/worksheet" Target="worksheets/sheet15.xml"/><Relationship Id="rId36" Type="http://schemas.openxmlformats.org/officeDocument/2006/relationships/worksheet" Target="worksheets/sheet36.xml"/><Relationship Id="rId57" Type="http://schemas.openxmlformats.org/officeDocument/2006/relationships/worksheet" Target="worksheets/sheet57.xml"/><Relationship Id="rId106" Type="http://schemas.openxmlformats.org/officeDocument/2006/relationships/worksheet" Target="worksheets/sheet106.xml"/><Relationship Id="rId127" Type="http://schemas.openxmlformats.org/officeDocument/2006/relationships/externalLink" Target="externalLinks/externalLink3.xml"/><Relationship Id="rId10" Type="http://schemas.openxmlformats.org/officeDocument/2006/relationships/worksheet" Target="worksheets/sheet10.xml"/><Relationship Id="rId31" Type="http://schemas.openxmlformats.org/officeDocument/2006/relationships/worksheet" Target="worksheets/sheet31.xml"/><Relationship Id="rId52" Type="http://schemas.openxmlformats.org/officeDocument/2006/relationships/worksheet" Target="worksheets/sheet52.xml"/><Relationship Id="rId73" Type="http://schemas.openxmlformats.org/officeDocument/2006/relationships/worksheet" Target="worksheets/sheet73.xml"/><Relationship Id="rId78" Type="http://schemas.openxmlformats.org/officeDocument/2006/relationships/worksheet" Target="worksheets/sheet78.xml"/><Relationship Id="rId94" Type="http://schemas.openxmlformats.org/officeDocument/2006/relationships/worksheet" Target="worksheets/sheet94.xml"/><Relationship Id="rId99" Type="http://schemas.openxmlformats.org/officeDocument/2006/relationships/worksheet" Target="worksheets/sheet99.xml"/><Relationship Id="rId101" Type="http://schemas.openxmlformats.org/officeDocument/2006/relationships/worksheet" Target="worksheets/sheet101.xml"/><Relationship Id="rId122" Type="http://schemas.openxmlformats.org/officeDocument/2006/relationships/worksheet" Target="worksheets/sheet122.xml"/><Relationship Id="rId143" Type="http://schemas.openxmlformats.org/officeDocument/2006/relationships/externalLink" Target="externalLinks/externalLink19.xml"/><Relationship Id="rId148" Type="http://schemas.openxmlformats.org/officeDocument/2006/relationships/externalLink" Target="externalLinks/externalLink24.xml"/><Relationship Id="rId164" Type="http://schemas.openxmlformats.org/officeDocument/2006/relationships/externalLink" Target="externalLinks/externalLink40.xml"/><Relationship Id="rId169"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worksheet" Target="worksheets/sheet9.xml"/><Relationship Id="rId26" Type="http://schemas.openxmlformats.org/officeDocument/2006/relationships/worksheet" Target="worksheets/sheet26.xml"/><Relationship Id="rId47" Type="http://schemas.openxmlformats.org/officeDocument/2006/relationships/worksheet" Target="worksheets/sheet47.xml"/><Relationship Id="rId68" Type="http://schemas.openxmlformats.org/officeDocument/2006/relationships/worksheet" Target="worksheets/sheet68.xml"/><Relationship Id="rId89" Type="http://schemas.openxmlformats.org/officeDocument/2006/relationships/worksheet" Target="worksheets/sheet89.xml"/><Relationship Id="rId112" Type="http://schemas.openxmlformats.org/officeDocument/2006/relationships/worksheet" Target="worksheets/sheet112.xml"/><Relationship Id="rId133" Type="http://schemas.openxmlformats.org/officeDocument/2006/relationships/externalLink" Target="externalLinks/externalLink9.xml"/><Relationship Id="rId154" Type="http://schemas.openxmlformats.org/officeDocument/2006/relationships/externalLink" Target="externalLinks/externalLink30.xml"/><Relationship Id="rId16" Type="http://schemas.openxmlformats.org/officeDocument/2006/relationships/worksheet" Target="worksheets/sheet16.xml"/><Relationship Id="rId37" Type="http://schemas.openxmlformats.org/officeDocument/2006/relationships/worksheet" Target="worksheets/sheet37.xml"/><Relationship Id="rId58" Type="http://schemas.openxmlformats.org/officeDocument/2006/relationships/worksheet" Target="worksheets/sheet58.xml"/><Relationship Id="rId79" Type="http://schemas.openxmlformats.org/officeDocument/2006/relationships/worksheet" Target="worksheets/sheet79.xml"/><Relationship Id="rId102" Type="http://schemas.openxmlformats.org/officeDocument/2006/relationships/worksheet" Target="worksheets/sheet102.xml"/><Relationship Id="rId123" Type="http://schemas.openxmlformats.org/officeDocument/2006/relationships/worksheet" Target="worksheets/sheet123.xml"/><Relationship Id="rId144" Type="http://schemas.openxmlformats.org/officeDocument/2006/relationships/externalLink" Target="externalLinks/externalLink20.xml"/><Relationship Id="rId90" Type="http://schemas.openxmlformats.org/officeDocument/2006/relationships/worksheet" Target="worksheets/sheet90.xml"/><Relationship Id="rId165" Type="http://schemas.openxmlformats.org/officeDocument/2006/relationships/externalLink" Target="externalLinks/externalLink41.xml"/><Relationship Id="rId27" Type="http://schemas.openxmlformats.org/officeDocument/2006/relationships/worksheet" Target="worksheets/sheet27.xml"/><Relationship Id="rId48" Type="http://schemas.openxmlformats.org/officeDocument/2006/relationships/worksheet" Target="worksheets/sheet48.xml"/><Relationship Id="rId69" Type="http://schemas.openxmlformats.org/officeDocument/2006/relationships/worksheet" Target="worksheets/sheet69.xml"/><Relationship Id="rId113" Type="http://schemas.openxmlformats.org/officeDocument/2006/relationships/worksheet" Target="worksheets/sheet113.xml"/><Relationship Id="rId134" Type="http://schemas.openxmlformats.org/officeDocument/2006/relationships/externalLink" Target="externalLinks/externalLink10.xml"/><Relationship Id="rId80" Type="http://schemas.openxmlformats.org/officeDocument/2006/relationships/worksheet" Target="worksheets/sheet80.xml"/><Relationship Id="rId155" Type="http://schemas.openxmlformats.org/officeDocument/2006/relationships/externalLink" Target="externalLinks/externalLink31.xml"/><Relationship Id="rId17" Type="http://schemas.openxmlformats.org/officeDocument/2006/relationships/worksheet" Target="worksheets/sheet17.xml"/><Relationship Id="rId38" Type="http://schemas.openxmlformats.org/officeDocument/2006/relationships/worksheet" Target="worksheets/sheet38.xml"/><Relationship Id="rId59" Type="http://schemas.openxmlformats.org/officeDocument/2006/relationships/worksheet" Target="worksheets/sheet59.xml"/><Relationship Id="rId103" Type="http://schemas.openxmlformats.org/officeDocument/2006/relationships/worksheet" Target="worksheets/sheet103.xml"/><Relationship Id="rId124" Type="http://schemas.openxmlformats.org/officeDocument/2006/relationships/worksheet" Target="worksheets/sheet124.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view3D>
      <c:rotX val="80"/>
      <c:rotY val="70"/>
      <c:rAngAx val="0"/>
    </c:view3D>
    <c:floor>
      <c:thickness val="0"/>
    </c:floor>
    <c:sideWall>
      <c:thickness val="0"/>
    </c:sideWall>
    <c:backWall>
      <c:thickness val="0"/>
    </c:backWall>
    <c:plotArea>
      <c:layout/>
      <c:pie3DChart>
        <c:varyColors val="1"/>
        <c:ser>
          <c:idx val="0"/>
          <c:order val="0"/>
          <c:explosion val="25"/>
          <c:dLbls>
            <c:dLbl>
              <c:idx val="0"/>
              <c:layout>
                <c:manualLayout>
                  <c:x val="3.2635197250090522E-2"/>
                  <c:y val="8.7781150790092063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0-4DF6-4812-B7A6-CE3A7430F9FB}"/>
                </c:ext>
              </c:extLst>
            </c:dLbl>
            <c:dLbl>
              <c:idx val="1"/>
              <c:layout>
                <c:manualLayout>
                  <c:x val="1.5684829529557836E-2"/>
                  <c:y val="9.3294307032805598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1-4DF6-4812-B7A6-CE3A7430F9FB}"/>
                </c:ext>
              </c:extLst>
            </c:dLbl>
            <c:dLbl>
              <c:idx val="3"/>
              <c:layout>
                <c:manualLayout>
                  <c:x val="5.6785509679310307E-2"/>
                  <c:y val="-0.1177840205908202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2-4DF6-4812-B7A6-CE3A7430F9FB}"/>
                </c:ext>
              </c:extLst>
            </c:dLbl>
            <c:dLbl>
              <c:idx val="4"/>
              <c:layout>
                <c:manualLayout>
                  <c:x val="7.1479675446660507E-2"/>
                  <c:y val="-7.7175219270711887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3-4DF6-4812-B7A6-CE3A7430F9FB}"/>
                </c:ext>
              </c:extLst>
            </c:dLbl>
            <c:dLbl>
              <c:idx val="5"/>
              <c:layout>
                <c:manualLayout>
                  <c:x val="8.0185059354890564E-2"/>
                  <c:y val="-3.4588049073592454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4-4DF6-4812-B7A6-CE3A7430F9FB}"/>
                </c:ext>
              </c:extLst>
            </c:dLbl>
            <c:dLbl>
              <c:idx val="6"/>
              <c:layout>
                <c:manualLayout>
                  <c:x val="7.6093335731510739E-2"/>
                  <c:y val="-4.6286746901512028E-3"/>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5-4DF6-4812-B7A6-CE3A7430F9FB}"/>
                </c:ext>
              </c:extLst>
            </c:dLbl>
            <c:dLbl>
              <c:idx val="7"/>
              <c:layout>
                <c:manualLayout>
                  <c:x val="7.4469569793623513E-2"/>
                  <c:y val="3.6841515254785025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6-4DF6-4812-B7A6-CE3A7430F9FB}"/>
                </c:ext>
              </c:extLst>
            </c:dLbl>
            <c:dLbl>
              <c:idx val="8"/>
              <c:layout>
                <c:manualLayout>
                  <c:x val="6.2074656594321813E-2"/>
                  <c:y val="7.8524698222517189E-2"/>
                </c:manualLayout>
              </c:layout>
              <c:showLegendKey val="0"/>
              <c:showVal val="1"/>
              <c:showCatName val="0"/>
              <c:showSerName val="0"/>
              <c:showPercent val="0"/>
              <c:showBubbleSize val="0"/>
              <c:extLst>
                <c:ext xmlns:c15="http://schemas.microsoft.com/office/drawing/2012/chart" uri="{CE6537A1-D6FC-4f65-9D91-7224C49458BB}"/>
                <c:ext xmlns:c16="http://schemas.microsoft.com/office/drawing/2014/chart" uri="{C3380CC4-5D6E-409C-BE32-E72D297353CC}">
                  <c16:uniqueId val="{00000007-4DF6-4812-B7A6-CE3A7430F9FB}"/>
                </c:ext>
              </c:extLst>
            </c:dLbl>
            <c:spPr>
              <a:noFill/>
              <a:ln>
                <a:noFill/>
              </a:ln>
              <a:effectLst/>
            </c:spPr>
            <c:showLegendKey val="0"/>
            <c:showVal val="1"/>
            <c:showCatName val="0"/>
            <c:showSerName val="0"/>
            <c:showPercent val="0"/>
            <c:showBubbleSize val="0"/>
            <c:showLeaderLines val="1"/>
            <c:extLst>
              <c:ext xmlns:c15="http://schemas.microsoft.com/office/drawing/2012/chart" uri="{CE6537A1-D6FC-4f65-9D91-7224C49458BB}"/>
            </c:extLst>
          </c:dLbls>
          <c:cat>
            <c:strRef>
              <c:f>Виробництво_1ст!$B$101:$B$109</c:f>
              <c:strCache>
                <c:ptCount val="9"/>
                <c:pt idx="0">
                  <c:v>Зарплата</c:v>
                </c:pt>
                <c:pt idx="1">
                  <c:v>Відрахування</c:v>
                </c:pt>
                <c:pt idx="2">
                  <c:v>паливо</c:v>
                </c:pt>
                <c:pt idx="3">
                  <c:v>електроенергія</c:v>
                </c:pt>
                <c:pt idx="4">
                  <c:v>водопостачання, водовідведення</c:v>
                </c:pt>
                <c:pt idx="5">
                  <c:v>амортизація</c:v>
                </c:pt>
                <c:pt idx="6">
                  <c:v>податки</c:v>
                </c:pt>
                <c:pt idx="7">
                  <c:v>Ремонти</c:v>
                </c:pt>
                <c:pt idx="8">
                  <c:v>інші</c:v>
                </c:pt>
              </c:strCache>
            </c:strRef>
          </c:cat>
          <c:val>
            <c:numRef>
              <c:f>Виробництво_1ст!$C$101:$C$109</c:f>
              <c:numCache>
                <c:formatCode>0.00%</c:formatCode>
                <c:ptCount val="9"/>
                <c:pt idx="0">
                  <c:v>7.805429638726942E-2</c:v>
                </c:pt>
                <c:pt idx="1">
                  <c:v>1.7171945205199272E-2</c:v>
                </c:pt>
                <c:pt idx="2">
                  <c:v>0.8258296261172906</c:v>
                </c:pt>
                <c:pt idx="3">
                  <c:v>4.127154771845408E-2</c:v>
                </c:pt>
                <c:pt idx="4">
                  <c:v>2.3157082508030115E-4</c:v>
                </c:pt>
                <c:pt idx="5">
                  <c:v>1.475708141707124E-2</c:v>
                </c:pt>
                <c:pt idx="6">
                  <c:v>6.285431686529828E-3</c:v>
                </c:pt>
                <c:pt idx="7">
                  <c:v>8.652246502633628E-3</c:v>
                </c:pt>
                <c:pt idx="8">
                  <c:v>7.7462541404715876E-3</c:v>
                </c:pt>
              </c:numCache>
            </c:numRef>
          </c:val>
          <c:extLst>
            <c:ext xmlns:c16="http://schemas.microsoft.com/office/drawing/2014/chart" uri="{C3380CC4-5D6E-409C-BE32-E72D297353CC}">
              <c16:uniqueId val="{00000008-4DF6-4812-B7A6-CE3A7430F9FB}"/>
            </c:ext>
          </c:extLst>
        </c:ser>
        <c:dLbls>
          <c:showLegendKey val="0"/>
          <c:showVal val="0"/>
          <c:showCatName val="0"/>
          <c:showSerName val="0"/>
          <c:showPercent val="0"/>
          <c:showBubbleSize val="0"/>
          <c:showLeaderLines val="1"/>
        </c:dLbls>
      </c:pie3DChart>
    </c:plotArea>
    <c:legend>
      <c:legendPos val="r"/>
      <c:layout>
        <c:manualLayout>
          <c:xMode val="edge"/>
          <c:yMode val="edge"/>
          <c:x val="0.7413822161823681"/>
          <c:y val="6.8983059207576303E-2"/>
          <c:w val="0.2268918954927589"/>
          <c:h val="0.85633889656162065"/>
        </c:manualLayout>
      </c:layout>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Постачання_1ст!$B$74:$B$83</c:f>
              <c:strCache>
                <c:ptCount val="10"/>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pt idx="9">
                  <c:v>Прибуток</c:v>
                </c:pt>
              </c:strCache>
            </c:strRef>
          </c:cat>
          <c:val>
            <c:numRef>
              <c:f>Постачання_1ст!$C$74:$C$83</c:f>
              <c:numCache>
                <c:formatCode>0.00%</c:formatCode>
                <c:ptCount val="10"/>
                <c:pt idx="0">
                  <c:v>0.41531456408202622</c:v>
                </c:pt>
                <c:pt idx="1">
                  <c:v>9.1369204098045761E-2</c:v>
                </c:pt>
                <c:pt idx="2">
                  <c:v>0</c:v>
                </c:pt>
                <c:pt idx="3">
                  <c:v>0</c:v>
                </c:pt>
                <c:pt idx="4">
                  <c:v>0</c:v>
                </c:pt>
                <c:pt idx="5">
                  <c:v>0.46458810549804896</c:v>
                </c:pt>
                <c:pt idx="6">
                  <c:v>0</c:v>
                </c:pt>
                <c:pt idx="7">
                  <c:v>0</c:v>
                </c:pt>
                <c:pt idx="8">
                  <c:v>2.8728126321879013E-2</c:v>
                </c:pt>
                <c:pt idx="9">
                  <c:v>0</c:v>
                </c:pt>
              </c:numCache>
            </c:numRef>
          </c:val>
          <c:extLst>
            <c:ext xmlns:c16="http://schemas.microsoft.com/office/drawing/2014/chart" uri="{C3380CC4-5D6E-409C-BE32-E72D297353CC}">
              <c16:uniqueId val="{00000000-6088-4283-8FD0-75FBCB7F3A73}"/>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0"/>
    <c:plotArea>
      <c:layout/>
      <c:pieChart>
        <c:varyColors val="1"/>
        <c:ser>
          <c:idx val="0"/>
          <c:order val="0"/>
          <c:explosion val="25"/>
          <c:cat>
            <c:strRef>
              <c:f>Постачання_1ст!$B$74:$B$83</c:f>
              <c:strCache>
                <c:ptCount val="10"/>
                <c:pt idx="0">
                  <c:v>Зарплата</c:v>
                </c:pt>
                <c:pt idx="1">
                  <c:v>Відрахування</c:v>
                </c:pt>
                <c:pt idx="2">
                  <c:v>газ</c:v>
                </c:pt>
                <c:pt idx="3">
                  <c:v>електроенергія</c:v>
                </c:pt>
                <c:pt idx="4">
                  <c:v>водопостачання, водовідведення</c:v>
                </c:pt>
                <c:pt idx="5">
                  <c:v>амортизація</c:v>
                </c:pt>
                <c:pt idx="6">
                  <c:v>податки</c:v>
                </c:pt>
                <c:pt idx="7">
                  <c:v>Ремонти</c:v>
                </c:pt>
                <c:pt idx="8">
                  <c:v>інші</c:v>
                </c:pt>
                <c:pt idx="9">
                  <c:v>Прибуток</c:v>
                </c:pt>
              </c:strCache>
            </c:strRef>
          </c:cat>
          <c:val>
            <c:numRef>
              <c:f>Постачання_1ст!$E$74:$E$83</c:f>
              <c:numCache>
                <c:formatCode>0.00%</c:formatCode>
                <c:ptCount val="10"/>
                <c:pt idx="0">
                  <c:v>0.402112185488542</c:v>
                </c:pt>
                <c:pt idx="1">
                  <c:v>8.846468080747924E-2</c:v>
                </c:pt>
                <c:pt idx="2">
                  <c:v>0</c:v>
                </c:pt>
                <c:pt idx="3">
                  <c:v>0</c:v>
                </c:pt>
                <c:pt idx="4">
                  <c:v>0</c:v>
                </c:pt>
                <c:pt idx="5">
                  <c:v>0.4855911903907098</c:v>
                </c:pt>
                <c:pt idx="6">
                  <c:v>0</c:v>
                </c:pt>
                <c:pt idx="7">
                  <c:v>0</c:v>
                </c:pt>
                <c:pt idx="8">
                  <c:v>2.3831943313268971E-2</c:v>
                </c:pt>
                <c:pt idx="9">
                  <c:v>0</c:v>
                </c:pt>
              </c:numCache>
            </c:numRef>
          </c:val>
          <c:extLst>
            <c:ext xmlns:c16="http://schemas.microsoft.com/office/drawing/2014/chart" uri="{C3380CC4-5D6E-409C-BE32-E72D297353CC}">
              <c16:uniqueId val="{00000000-3DF5-4E66-9B90-5CD9590879CC}"/>
            </c:ext>
          </c:extLst>
        </c:ser>
        <c:dLbls>
          <c:showLegendKey val="0"/>
          <c:showVal val="0"/>
          <c:showCatName val="0"/>
          <c:showSerName val="0"/>
          <c:showPercent val="0"/>
          <c:showBubbleSize val="0"/>
          <c:showLeaderLines val="1"/>
        </c:dLbls>
        <c:firstSliceAng val="0"/>
      </c:pieChart>
    </c:plotArea>
    <c:legend>
      <c:legendPos val="r"/>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05EB-4D84-A92F-502FF91A198D}"/>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'Д 8_Паливо'!$B$62:$B$65</c:f>
              <c:strCache>
                <c:ptCount val="4"/>
                <c:pt idx="0">
                  <c:v>Постачання природного газу</c:v>
                </c:pt>
                <c:pt idx="1">
                  <c:v>Транспортування природного газу</c:v>
                </c:pt>
                <c:pt idx="2">
                  <c:v>Розподіл природного газу</c:v>
                </c:pt>
                <c:pt idx="3">
                  <c:v>Електроенергія</c:v>
                </c:pt>
              </c:strCache>
            </c:strRef>
          </c:cat>
          <c:val>
            <c:numRef>
              <c:f>'Д 8_Паливо'!$C$62:$C$65</c:f>
              <c:numCache>
                <c:formatCode>0.00</c:formatCode>
                <c:ptCount val="4"/>
                <c:pt idx="0">
                  <c:v>106894.19194377559</c:v>
                </c:pt>
                <c:pt idx="1">
                  <c:v>1959.8215398537277</c:v>
                </c:pt>
                <c:pt idx="2">
                  <c:v>9950.3473099999992</c:v>
                </c:pt>
                <c:pt idx="3">
                  <c:v>18002.307482695433</c:v>
                </c:pt>
              </c:numCache>
            </c:numRef>
          </c:val>
          <c:extLst>
            <c:ext xmlns:c16="http://schemas.microsoft.com/office/drawing/2014/chart" uri="{C3380CC4-5D6E-409C-BE32-E72D297353CC}">
              <c16:uniqueId val="{00000001-05EB-4D84-A92F-502FF91A198D}"/>
            </c:ext>
          </c:extLst>
        </c:ser>
        <c:ser>
          <c:idx val="1"/>
          <c:order val="1"/>
          <c:explosion val="25"/>
          <c:cat>
            <c:strRef>
              <c:f>'Д 8_Паливо'!$B$62:$B$65</c:f>
              <c:strCache>
                <c:ptCount val="4"/>
                <c:pt idx="0">
                  <c:v>Постачання природного газу</c:v>
                </c:pt>
                <c:pt idx="1">
                  <c:v>Транспортування природного газу</c:v>
                </c:pt>
                <c:pt idx="2">
                  <c:v>Розподіл природного газу</c:v>
                </c:pt>
                <c:pt idx="3">
                  <c:v>Електроенергія</c:v>
                </c:pt>
              </c:strCache>
            </c:strRef>
          </c:cat>
          <c:val>
            <c:numRef>
              <c:f>'Д 8_Паливо'!$D$62:$D$65</c:f>
              <c:numCache>
                <c:formatCode>0%</c:formatCode>
                <c:ptCount val="4"/>
                <c:pt idx="0">
                  <c:v>0.7813522052000319</c:v>
                </c:pt>
                <c:pt idx="1">
                  <c:v>1.4325482555391542E-2</c:v>
                </c:pt>
                <c:pt idx="2">
                  <c:v>7.2732911599762778E-2</c:v>
                </c:pt>
                <c:pt idx="3">
                  <c:v>0.13158940064481378</c:v>
                </c:pt>
              </c:numCache>
            </c:numRef>
          </c:val>
          <c:extLst>
            <c:ext xmlns:c16="http://schemas.microsoft.com/office/drawing/2014/chart" uri="{C3380CC4-5D6E-409C-BE32-E72D297353CC}">
              <c16:uniqueId val="{00000002-05EB-4D84-A92F-502FF91A198D}"/>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ru-RU"/>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pieChart>
        <c:varyColors val="1"/>
        <c:ser>
          <c:idx val="0"/>
          <c:order val="0"/>
          <c:explosion val="25"/>
          <c:dPt>
            <c:idx val="0"/>
            <c:bubble3D val="0"/>
            <c:explosion val="51"/>
            <c:extLst>
              <c:ext xmlns:c16="http://schemas.microsoft.com/office/drawing/2014/chart" uri="{C3380CC4-5D6E-409C-BE32-E72D297353CC}">
                <c16:uniqueId val="{00000000-9F29-4EB5-9454-6EC1F52EFB5A}"/>
              </c:ext>
            </c:extLst>
          </c:dPt>
          <c:dLbls>
            <c:spPr>
              <a:noFill/>
              <a:ln>
                <a:noFill/>
              </a:ln>
              <a:effectLst/>
            </c:spPr>
            <c:showLegendKey val="0"/>
            <c:showVal val="1"/>
            <c:showCatName val="0"/>
            <c:showSerName val="0"/>
            <c:showPercent val="0"/>
            <c:showBubbleSize val="0"/>
            <c:showLeaderLines val="0"/>
            <c:extLst>
              <c:ext xmlns:c15="http://schemas.microsoft.com/office/drawing/2012/chart" uri="{CE6537A1-D6FC-4f65-9D91-7224C49458BB}"/>
            </c:extLst>
          </c:dLbls>
          <c:cat>
            <c:strRef>
              <c:f>'[39]Д 8_Паливо'!$B$62:$B$65</c:f>
              <c:strCache>
                <c:ptCount val="4"/>
                <c:pt idx="0">
                  <c:v>Постачання природного газу</c:v>
                </c:pt>
                <c:pt idx="1">
                  <c:v>Транспортування природного газу</c:v>
                </c:pt>
                <c:pt idx="2">
                  <c:v>Розподіл природного газу</c:v>
                </c:pt>
                <c:pt idx="3">
                  <c:v>Електроенергія</c:v>
                </c:pt>
              </c:strCache>
            </c:strRef>
          </c:cat>
          <c:val>
            <c:numRef>
              <c:f>'[39]Д 8_Паливо'!$C$62:$C$65</c:f>
              <c:numCache>
                <c:formatCode>General</c:formatCode>
                <c:ptCount val="4"/>
                <c:pt idx="0">
                  <c:v>106888.39241490094</c:v>
                </c:pt>
                <c:pt idx="1">
                  <c:v>1959.8215939886993</c:v>
                </c:pt>
                <c:pt idx="2">
                  <c:v>9950.3473099999992</c:v>
                </c:pt>
                <c:pt idx="3">
                  <c:v>18002.307482695433</c:v>
                </c:pt>
              </c:numCache>
            </c:numRef>
          </c:val>
          <c:extLst>
            <c:ext xmlns:c16="http://schemas.microsoft.com/office/drawing/2014/chart" uri="{C3380CC4-5D6E-409C-BE32-E72D297353CC}">
              <c16:uniqueId val="{00000001-9F29-4EB5-9454-6EC1F52EFB5A}"/>
            </c:ext>
          </c:extLst>
        </c:ser>
        <c:ser>
          <c:idx val="1"/>
          <c:order val="1"/>
          <c:explosion val="25"/>
          <c:cat>
            <c:strRef>
              <c:f>'[39]Д 8_Паливо'!$B$62:$B$65</c:f>
              <c:strCache>
                <c:ptCount val="4"/>
                <c:pt idx="0">
                  <c:v>Постачання природного газу</c:v>
                </c:pt>
                <c:pt idx="1">
                  <c:v>Транспортування природного газу</c:v>
                </c:pt>
                <c:pt idx="2">
                  <c:v>Розподіл природного газу</c:v>
                </c:pt>
                <c:pt idx="3">
                  <c:v>Електроенергія</c:v>
                </c:pt>
              </c:strCache>
            </c:strRef>
          </c:cat>
          <c:val>
            <c:numRef>
              <c:f>'[39]Д 8_Паливо'!$D$62:$D$65</c:f>
              <c:numCache>
                <c:formatCode>General</c:formatCode>
                <c:ptCount val="4"/>
                <c:pt idx="0">
                  <c:v>0.78134293554766121</c:v>
                </c:pt>
                <c:pt idx="1">
                  <c:v>1.4326090259201566E-2</c:v>
                </c:pt>
                <c:pt idx="2">
                  <c:v>7.2735995006229862E-2</c:v>
                </c:pt>
                <c:pt idx="3">
                  <c:v>0.13159497918690735</c:v>
                </c:pt>
              </c:numCache>
            </c:numRef>
          </c:val>
          <c:extLst>
            <c:ext xmlns:c16="http://schemas.microsoft.com/office/drawing/2014/chart" uri="{C3380CC4-5D6E-409C-BE32-E72D297353CC}">
              <c16:uniqueId val="{00000002-9F29-4EB5-9454-6EC1F52EFB5A}"/>
            </c:ext>
          </c:extLst>
        </c:ser>
        <c:dLbls>
          <c:showLegendKey val="0"/>
          <c:showVal val="0"/>
          <c:showCatName val="0"/>
          <c:showSerName val="0"/>
          <c:showPercent val="0"/>
          <c:showBubbleSize val="0"/>
          <c:showLeaderLines val="0"/>
        </c:dLbls>
        <c:firstSliceAng val="0"/>
      </c:pieChart>
    </c:plotArea>
    <c:legend>
      <c:legendPos val="b"/>
      <c:overlay val="0"/>
    </c:legend>
    <c:plotVisOnly val="1"/>
    <c:dispBlanksAs val="gap"/>
    <c:showDLblsOverMax val="0"/>
  </c:chart>
  <c:printSettings>
    <c:headerFooter/>
    <c:pageMargins b="0.75000000000001465" l="0.70000000000000062" r="0.70000000000000062" t="0.75000000000001465" header="0.30000000000000032" footer="0.30000000000000032"/>
    <c:pageSetup/>
  </c:printSettings>
</c:chartSpace>
</file>

<file path=xl/drawings/_rels/drawing1.xml.rels><?xml version="1.0" encoding="UTF-8" standalone="yes"?>
<Relationships xmlns="http://schemas.openxmlformats.org/package/2006/relationships"><Relationship Id="rId1" Type="http://schemas.openxmlformats.org/officeDocument/2006/relationships/chart" Target="../charts/chart1.xml"/></Relationships>
</file>

<file path=xl/drawings/_rels/drawing2.xml.rels><?xml version="1.0" encoding="UTF-8" standalone="yes"?>
<Relationships xmlns="http://schemas.openxmlformats.org/package/2006/relationships"><Relationship Id="rId2" Type="http://schemas.openxmlformats.org/officeDocument/2006/relationships/chart" Target="../charts/chart3.xml"/><Relationship Id="rId1" Type="http://schemas.openxmlformats.org/officeDocument/2006/relationships/chart" Target="../charts/chart2.xml"/></Relationships>
</file>

<file path=xl/drawings/_rels/drawing3.xml.rels><?xml version="1.0" encoding="UTF-8" standalone="yes"?>
<Relationships xmlns="http://schemas.openxmlformats.org/package/2006/relationships"><Relationship Id="rId2" Type="http://schemas.openxmlformats.org/officeDocument/2006/relationships/chart" Target="../charts/chart5.xml"/><Relationship Id="rId1" Type="http://schemas.openxmlformats.org/officeDocument/2006/relationships/chart" Target="../charts/chart4.xml"/></Relationships>
</file>

<file path=xl/drawings/drawing1.xml><?xml version="1.0" encoding="utf-8"?>
<xdr:wsDr xmlns:xdr="http://schemas.openxmlformats.org/drawingml/2006/spreadsheetDrawing" xmlns:a="http://schemas.openxmlformats.org/drawingml/2006/main">
  <xdr:twoCellAnchor>
    <xdr:from>
      <xdr:col>8</xdr:col>
      <xdr:colOff>314960</xdr:colOff>
      <xdr:row>99</xdr:row>
      <xdr:rowOff>20320</xdr:rowOff>
    </xdr:from>
    <xdr:to>
      <xdr:col>12</xdr:col>
      <xdr:colOff>1341120</xdr:colOff>
      <xdr:row>121</xdr:row>
      <xdr:rowOff>10160</xdr:rowOff>
    </xdr:to>
    <xdr:graphicFrame macro="">
      <xdr:nvGraphicFramePr>
        <xdr:cNvPr id="2" name="Диаграмма 1">
          <a:extLst>
            <a:ext uri="{FF2B5EF4-FFF2-40B4-BE49-F238E27FC236}">
              <a16:creationId xmlns:a16="http://schemas.microsoft.com/office/drawing/2014/main" id="{00000000-0008-0000-12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wsDr>
</file>

<file path=xl/drawings/drawing2.xml><?xml version="1.0" encoding="utf-8"?>
<xdr:wsDr xmlns:xdr="http://schemas.openxmlformats.org/drawingml/2006/spreadsheetDrawing" xmlns:a="http://schemas.openxmlformats.org/drawingml/2006/main">
  <xdr:twoCellAnchor>
    <xdr:from>
      <xdr:col>1</xdr:col>
      <xdr:colOff>558800</xdr:colOff>
      <xdr:row>85</xdr:row>
      <xdr:rowOff>40640</xdr:rowOff>
    </xdr:from>
    <xdr:to>
      <xdr:col>3</xdr:col>
      <xdr:colOff>20320</xdr:colOff>
      <xdr:row>98</xdr:row>
      <xdr:rowOff>142240</xdr:rowOff>
    </xdr:to>
    <xdr:graphicFrame macro="">
      <xdr:nvGraphicFramePr>
        <xdr:cNvPr id="2" name="Диаграмма 1">
          <a:extLst>
            <a:ext uri="{FF2B5EF4-FFF2-40B4-BE49-F238E27FC236}">
              <a16:creationId xmlns:a16="http://schemas.microsoft.com/office/drawing/2014/main" id="{00000000-0008-0000-1400-000002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91440</xdr:colOff>
      <xdr:row>85</xdr:row>
      <xdr:rowOff>10160</xdr:rowOff>
    </xdr:from>
    <xdr:to>
      <xdr:col>9</xdr:col>
      <xdr:colOff>20320</xdr:colOff>
      <xdr:row>98</xdr:row>
      <xdr:rowOff>111760</xdr:rowOff>
    </xdr:to>
    <xdr:graphicFrame macro="">
      <xdr:nvGraphicFramePr>
        <xdr:cNvPr id="3" name="Диаграмма 2">
          <a:extLst>
            <a:ext uri="{FF2B5EF4-FFF2-40B4-BE49-F238E27FC236}">
              <a16:creationId xmlns:a16="http://schemas.microsoft.com/office/drawing/2014/main" id="{00000000-0008-0000-14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3.xml><?xml version="1.0" encoding="utf-8"?>
<xdr:wsDr xmlns:xdr="http://schemas.openxmlformats.org/drawingml/2006/spreadsheetDrawing" xmlns:a="http://schemas.openxmlformats.org/drawingml/2006/main">
  <xdr:twoCellAnchor>
    <xdr:from>
      <xdr:col>4</xdr:col>
      <xdr:colOff>192157</xdr:colOff>
      <xdr:row>58</xdr:row>
      <xdr:rowOff>139148</xdr:rowOff>
    </xdr:from>
    <xdr:to>
      <xdr:col>9</xdr:col>
      <xdr:colOff>642731</xdr:colOff>
      <xdr:row>77</xdr:row>
      <xdr:rowOff>0</xdr:rowOff>
    </xdr:to>
    <xdr:graphicFrame macro="">
      <xdr:nvGraphicFramePr>
        <xdr:cNvPr id="3" name="Диаграмма 2">
          <a:extLst>
            <a:ext uri="{FF2B5EF4-FFF2-40B4-BE49-F238E27FC236}">
              <a16:creationId xmlns:a16="http://schemas.microsoft.com/office/drawing/2014/main" id="{00000000-0008-0000-2300-000003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4</xdr:col>
      <xdr:colOff>192157</xdr:colOff>
      <xdr:row>58</xdr:row>
      <xdr:rowOff>139148</xdr:rowOff>
    </xdr:from>
    <xdr:to>
      <xdr:col>9</xdr:col>
      <xdr:colOff>642731</xdr:colOff>
      <xdr:row>77</xdr:row>
      <xdr:rowOff>0</xdr:rowOff>
    </xdr:to>
    <xdr:graphicFrame macro="">
      <xdr:nvGraphicFramePr>
        <xdr:cNvPr id="4" name="Диаграмма 3">
          <a:extLst>
            <a:ext uri="{FF2B5EF4-FFF2-40B4-BE49-F238E27FC236}">
              <a16:creationId xmlns:a16="http://schemas.microsoft.com/office/drawing/2014/main" id="{00000000-0008-0000-2300-000004000000}"/>
            </a:ext>
          </a:extLst>
        </xdr:cNvPr>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wsDr>
</file>

<file path=xl/drawings/drawing4.xml><?xml version="1.0" encoding="utf-8"?>
<xdr:wsDr xmlns:xdr="http://schemas.openxmlformats.org/drawingml/2006/spreadsheetDrawing" xmlns:a="http://schemas.openxmlformats.org/drawingml/2006/main">
  <xdr:twoCellAnchor>
    <xdr:from>
      <xdr:col>5</xdr:col>
      <xdr:colOff>104775</xdr:colOff>
      <xdr:row>22</xdr:row>
      <xdr:rowOff>4162425</xdr:rowOff>
    </xdr:from>
    <xdr:to>
      <xdr:col>5</xdr:col>
      <xdr:colOff>523875</xdr:colOff>
      <xdr:row>22</xdr:row>
      <xdr:rowOff>4410075</xdr:rowOff>
    </xdr:to>
    <xdr:sp macro="" textlink="">
      <xdr:nvSpPr>
        <xdr:cNvPr id="23553" name="Text Box 1">
          <a:extLst>
            <a:ext uri="{FF2B5EF4-FFF2-40B4-BE49-F238E27FC236}">
              <a16:creationId xmlns:a16="http://schemas.microsoft.com/office/drawing/2014/main" id="{00000000-0008-0000-2800-0000015C0000}"/>
            </a:ext>
          </a:extLst>
        </xdr:cNvPr>
        <xdr:cNvSpPr txBox="1">
          <a:spLocks noChangeArrowheads="1"/>
        </xdr:cNvSpPr>
      </xdr:nvSpPr>
      <xdr:spPr bwMode="auto">
        <a:xfrm>
          <a:off x="3152775" y="25422225"/>
          <a:ext cx="419100" cy="24765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8</xdr:col>
      <xdr:colOff>104775</xdr:colOff>
      <xdr:row>22</xdr:row>
      <xdr:rowOff>4162425</xdr:rowOff>
    </xdr:from>
    <xdr:to>
      <xdr:col>8</xdr:col>
      <xdr:colOff>523875</xdr:colOff>
      <xdr:row>22</xdr:row>
      <xdr:rowOff>4410075</xdr:rowOff>
    </xdr:to>
    <xdr:sp macro="" textlink="">
      <xdr:nvSpPr>
        <xdr:cNvPr id="3" name="Text Box 1">
          <a:extLst>
            <a:ext uri="{FF2B5EF4-FFF2-40B4-BE49-F238E27FC236}">
              <a16:creationId xmlns:a16="http://schemas.microsoft.com/office/drawing/2014/main" id="{00000000-0008-0000-2800-000003000000}"/>
            </a:ext>
          </a:extLst>
        </xdr:cNvPr>
        <xdr:cNvSpPr txBox="1">
          <a:spLocks noChangeArrowheads="1"/>
        </xdr:cNvSpPr>
      </xdr:nvSpPr>
      <xdr:spPr bwMode="auto">
        <a:xfrm>
          <a:off x="6485255" y="668464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9</xdr:col>
      <xdr:colOff>104775</xdr:colOff>
      <xdr:row>22</xdr:row>
      <xdr:rowOff>4162425</xdr:rowOff>
    </xdr:from>
    <xdr:to>
      <xdr:col>9</xdr:col>
      <xdr:colOff>523875</xdr:colOff>
      <xdr:row>22</xdr:row>
      <xdr:rowOff>4410075</xdr:rowOff>
    </xdr:to>
    <xdr:sp macro="" textlink="">
      <xdr:nvSpPr>
        <xdr:cNvPr id="4" name="Text Box 1">
          <a:extLst>
            <a:ext uri="{FF2B5EF4-FFF2-40B4-BE49-F238E27FC236}">
              <a16:creationId xmlns:a16="http://schemas.microsoft.com/office/drawing/2014/main" id="{00000000-0008-0000-2800-000004000000}"/>
            </a:ext>
          </a:extLst>
        </xdr:cNvPr>
        <xdr:cNvSpPr txBox="1">
          <a:spLocks noChangeArrowheads="1"/>
        </xdr:cNvSpPr>
      </xdr:nvSpPr>
      <xdr:spPr bwMode="auto">
        <a:xfrm>
          <a:off x="6485255" y="668464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22</xdr:row>
      <xdr:rowOff>4162425</xdr:rowOff>
    </xdr:from>
    <xdr:to>
      <xdr:col>10</xdr:col>
      <xdr:colOff>523875</xdr:colOff>
      <xdr:row>22</xdr:row>
      <xdr:rowOff>4410075</xdr:rowOff>
    </xdr:to>
    <xdr:sp macro="" textlink="">
      <xdr:nvSpPr>
        <xdr:cNvPr id="5" name="Text Box 1">
          <a:extLst>
            <a:ext uri="{FF2B5EF4-FFF2-40B4-BE49-F238E27FC236}">
              <a16:creationId xmlns:a16="http://schemas.microsoft.com/office/drawing/2014/main" id="{00000000-0008-0000-2800-000005000000}"/>
            </a:ext>
          </a:extLst>
        </xdr:cNvPr>
        <xdr:cNvSpPr txBox="1">
          <a:spLocks noChangeArrowheads="1"/>
        </xdr:cNvSpPr>
      </xdr:nvSpPr>
      <xdr:spPr bwMode="auto">
        <a:xfrm>
          <a:off x="6485255" y="668464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11</xdr:col>
      <xdr:colOff>104775</xdr:colOff>
      <xdr:row>22</xdr:row>
      <xdr:rowOff>4162425</xdr:rowOff>
    </xdr:from>
    <xdr:to>
      <xdr:col>11</xdr:col>
      <xdr:colOff>523875</xdr:colOff>
      <xdr:row>22</xdr:row>
      <xdr:rowOff>4410075</xdr:rowOff>
    </xdr:to>
    <xdr:sp macro="" textlink="">
      <xdr:nvSpPr>
        <xdr:cNvPr id="6" name="Text Box 1">
          <a:extLst>
            <a:ext uri="{FF2B5EF4-FFF2-40B4-BE49-F238E27FC236}">
              <a16:creationId xmlns:a16="http://schemas.microsoft.com/office/drawing/2014/main" id="{00000000-0008-0000-2800-000006000000}"/>
            </a:ext>
          </a:extLst>
        </xdr:cNvPr>
        <xdr:cNvSpPr txBox="1">
          <a:spLocks noChangeArrowheads="1"/>
        </xdr:cNvSpPr>
      </xdr:nvSpPr>
      <xdr:spPr bwMode="auto">
        <a:xfrm>
          <a:off x="6485255" y="668464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12</xdr:col>
      <xdr:colOff>104775</xdr:colOff>
      <xdr:row>22</xdr:row>
      <xdr:rowOff>4162425</xdr:rowOff>
    </xdr:from>
    <xdr:to>
      <xdr:col>12</xdr:col>
      <xdr:colOff>523875</xdr:colOff>
      <xdr:row>22</xdr:row>
      <xdr:rowOff>4410075</xdr:rowOff>
    </xdr:to>
    <xdr:sp macro="" textlink="">
      <xdr:nvSpPr>
        <xdr:cNvPr id="7" name="Text Box 1">
          <a:extLst>
            <a:ext uri="{FF2B5EF4-FFF2-40B4-BE49-F238E27FC236}">
              <a16:creationId xmlns:a16="http://schemas.microsoft.com/office/drawing/2014/main" id="{00000000-0008-0000-2800-000007000000}"/>
            </a:ext>
          </a:extLst>
        </xdr:cNvPr>
        <xdr:cNvSpPr txBox="1">
          <a:spLocks noChangeArrowheads="1"/>
        </xdr:cNvSpPr>
      </xdr:nvSpPr>
      <xdr:spPr bwMode="auto">
        <a:xfrm>
          <a:off x="6485255" y="668464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22</xdr:row>
      <xdr:rowOff>4162425</xdr:rowOff>
    </xdr:from>
    <xdr:to>
      <xdr:col>10</xdr:col>
      <xdr:colOff>523875</xdr:colOff>
      <xdr:row>22</xdr:row>
      <xdr:rowOff>4410075</xdr:rowOff>
    </xdr:to>
    <xdr:sp macro="" textlink="">
      <xdr:nvSpPr>
        <xdr:cNvPr id="8" name="Text Box 1">
          <a:extLst>
            <a:ext uri="{FF2B5EF4-FFF2-40B4-BE49-F238E27FC236}">
              <a16:creationId xmlns:a16="http://schemas.microsoft.com/office/drawing/2014/main" id="{00000000-0008-0000-2800-000008000000}"/>
            </a:ext>
          </a:extLst>
        </xdr:cNvPr>
        <xdr:cNvSpPr txBox="1">
          <a:spLocks noChangeArrowheads="1"/>
        </xdr:cNvSpPr>
      </xdr:nvSpPr>
      <xdr:spPr bwMode="auto">
        <a:xfrm>
          <a:off x="102317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23</xdr:row>
      <xdr:rowOff>4162425</xdr:rowOff>
    </xdr:from>
    <xdr:to>
      <xdr:col>10</xdr:col>
      <xdr:colOff>523875</xdr:colOff>
      <xdr:row>23</xdr:row>
      <xdr:rowOff>4410075</xdr:rowOff>
    </xdr:to>
    <xdr:sp macro="" textlink="">
      <xdr:nvSpPr>
        <xdr:cNvPr id="9" name="Text Box 1">
          <a:extLst>
            <a:ext uri="{FF2B5EF4-FFF2-40B4-BE49-F238E27FC236}">
              <a16:creationId xmlns:a16="http://schemas.microsoft.com/office/drawing/2014/main" id="{00000000-0008-0000-2800-000009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23</xdr:row>
      <xdr:rowOff>4162425</xdr:rowOff>
    </xdr:from>
    <xdr:to>
      <xdr:col>10</xdr:col>
      <xdr:colOff>523875</xdr:colOff>
      <xdr:row>23</xdr:row>
      <xdr:rowOff>4410075</xdr:rowOff>
    </xdr:to>
    <xdr:sp macro="" textlink="">
      <xdr:nvSpPr>
        <xdr:cNvPr id="10" name="Text Box 1">
          <a:extLst>
            <a:ext uri="{FF2B5EF4-FFF2-40B4-BE49-F238E27FC236}">
              <a16:creationId xmlns:a16="http://schemas.microsoft.com/office/drawing/2014/main" id="{00000000-0008-0000-2800-00000A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24</xdr:row>
      <xdr:rowOff>4162425</xdr:rowOff>
    </xdr:from>
    <xdr:to>
      <xdr:col>10</xdr:col>
      <xdr:colOff>523875</xdr:colOff>
      <xdr:row>24</xdr:row>
      <xdr:rowOff>4410075</xdr:rowOff>
    </xdr:to>
    <xdr:sp macro="" textlink="">
      <xdr:nvSpPr>
        <xdr:cNvPr id="11" name="Text Box 1">
          <a:extLst>
            <a:ext uri="{FF2B5EF4-FFF2-40B4-BE49-F238E27FC236}">
              <a16:creationId xmlns:a16="http://schemas.microsoft.com/office/drawing/2014/main" id="{00000000-0008-0000-2800-00000B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10</xdr:col>
      <xdr:colOff>104775</xdr:colOff>
      <xdr:row>24</xdr:row>
      <xdr:rowOff>4162425</xdr:rowOff>
    </xdr:from>
    <xdr:to>
      <xdr:col>10</xdr:col>
      <xdr:colOff>523875</xdr:colOff>
      <xdr:row>24</xdr:row>
      <xdr:rowOff>4410075</xdr:rowOff>
    </xdr:to>
    <xdr:sp macro="" textlink="">
      <xdr:nvSpPr>
        <xdr:cNvPr id="12" name="Text Box 1">
          <a:extLst>
            <a:ext uri="{FF2B5EF4-FFF2-40B4-BE49-F238E27FC236}">
              <a16:creationId xmlns:a16="http://schemas.microsoft.com/office/drawing/2014/main" id="{00000000-0008-0000-2800-00000C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11</xdr:col>
      <xdr:colOff>104775</xdr:colOff>
      <xdr:row>22</xdr:row>
      <xdr:rowOff>4162425</xdr:rowOff>
    </xdr:from>
    <xdr:to>
      <xdr:col>11</xdr:col>
      <xdr:colOff>523875</xdr:colOff>
      <xdr:row>22</xdr:row>
      <xdr:rowOff>4410075</xdr:rowOff>
    </xdr:to>
    <xdr:sp macro="" textlink="">
      <xdr:nvSpPr>
        <xdr:cNvPr id="13" name="Text Box 1">
          <a:extLst>
            <a:ext uri="{FF2B5EF4-FFF2-40B4-BE49-F238E27FC236}">
              <a16:creationId xmlns:a16="http://schemas.microsoft.com/office/drawing/2014/main" id="{00000000-0008-0000-2800-00000D000000}"/>
            </a:ext>
          </a:extLst>
        </xdr:cNvPr>
        <xdr:cNvSpPr txBox="1">
          <a:spLocks noChangeArrowheads="1"/>
        </xdr:cNvSpPr>
      </xdr:nvSpPr>
      <xdr:spPr bwMode="auto">
        <a:xfrm>
          <a:off x="944689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12</xdr:col>
      <xdr:colOff>104775</xdr:colOff>
      <xdr:row>22</xdr:row>
      <xdr:rowOff>4162425</xdr:rowOff>
    </xdr:from>
    <xdr:to>
      <xdr:col>12</xdr:col>
      <xdr:colOff>523875</xdr:colOff>
      <xdr:row>22</xdr:row>
      <xdr:rowOff>4410075</xdr:rowOff>
    </xdr:to>
    <xdr:sp macro="" textlink="">
      <xdr:nvSpPr>
        <xdr:cNvPr id="14" name="Text Box 1">
          <a:extLst>
            <a:ext uri="{FF2B5EF4-FFF2-40B4-BE49-F238E27FC236}">
              <a16:creationId xmlns:a16="http://schemas.microsoft.com/office/drawing/2014/main" id="{00000000-0008-0000-2800-00000E000000}"/>
            </a:ext>
          </a:extLst>
        </xdr:cNvPr>
        <xdr:cNvSpPr txBox="1">
          <a:spLocks noChangeArrowheads="1"/>
        </xdr:cNvSpPr>
      </xdr:nvSpPr>
      <xdr:spPr bwMode="auto">
        <a:xfrm>
          <a:off x="102317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22</xdr:row>
      <xdr:rowOff>4162425</xdr:rowOff>
    </xdr:from>
    <xdr:to>
      <xdr:col>13</xdr:col>
      <xdr:colOff>523875</xdr:colOff>
      <xdr:row>22</xdr:row>
      <xdr:rowOff>4410075</xdr:rowOff>
    </xdr:to>
    <xdr:sp macro="" textlink="">
      <xdr:nvSpPr>
        <xdr:cNvPr id="15" name="Text Box 1">
          <a:extLst>
            <a:ext uri="{FF2B5EF4-FFF2-40B4-BE49-F238E27FC236}">
              <a16:creationId xmlns:a16="http://schemas.microsoft.com/office/drawing/2014/main" id="{00000000-0008-0000-2800-00000F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22</xdr:row>
      <xdr:rowOff>4162425</xdr:rowOff>
    </xdr:from>
    <xdr:to>
      <xdr:col>13</xdr:col>
      <xdr:colOff>523875</xdr:colOff>
      <xdr:row>22</xdr:row>
      <xdr:rowOff>4410075</xdr:rowOff>
    </xdr:to>
    <xdr:sp macro="" textlink="">
      <xdr:nvSpPr>
        <xdr:cNvPr id="16" name="Text Box 1">
          <a:extLst>
            <a:ext uri="{FF2B5EF4-FFF2-40B4-BE49-F238E27FC236}">
              <a16:creationId xmlns:a16="http://schemas.microsoft.com/office/drawing/2014/main" id="{00000000-0008-0000-2800-000010000000}"/>
            </a:ext>
          </a:extLst>
        </xdr:cNvPr>
        <xdr:cNvSpPr txBox="1">
          <a:spLocks noChangeArrowheads="1"/>
        </xdr:cNvSpPr>
      </xdr:nvSpPr>
      <xdr:spPr bwMode="auto">
        <a:xfrm>
          <a:off x="11298555" y="66922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23</xdr:row>
      <xdr:rowOff>4162425</xdr:rowOff>
    </xdr:from>
    <xdr:to>
      <xdr:col>13</xdr:col>
      <xdr:colOff>523875</xdr:colOff>
      <xdr:row>23</xdr:row>
      <xdr:rowOff>4410075</xdr:rowOff>
    </xdr:to>
    <xdr:sp macro="" textlink="">
      <xdr:nvSpPr>
        <xdr:cNvPr id="17" name="Text Box 1">
          <a:extLst>
            <a:ext uri="{FF2B5EF4-FFF2-40B4-BE49-F238E27FC236}">
              <a16:creationId xmlns:a16="http://schemas.microsoft.com/office/drawing/2014/main" id="{00000000-0008-0000-2800-000011000000}"/>
            </a:ext>
          </a:extLst>
        </xdr:cNvPr>
        <xdr:cNvSpPr txBox="1">
          <a:spLocks noChangeArrowheads="1"/>
        </xdr:cNvSpPr>
      </xdr:nvSpPr>
      <xdr:spPr bwMode="auto">
        <a:xfrm>
          <a:off x="11298555" y="692848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23</xdr:row>
      <xdr:rowOff>4162425</xdr:rowOff>
    </xdr:from>
    <xdr:to>
      <xdr:col>13</xdr:col>
      <xdr:colOff>523875</xdr:colOff>
      <xdr:row>23</xdr:row>
      <xdr:rowOff>4410075</xdr:rowOff>
    </xdr:to>
    <xdr:sp macro="" textlink="">
      <xdr:nvSpPr>
        <xdr:cNvPr id="18" name="Text Box 1">
          <a:extLst>
            <a:ext uri="{FF2B5EF4-FFF2-40B4-BE49-F238E27FC236}">
              <a16:creationId xmlns:a16="http://schemas.microsoft.com/office/drawing/2014/main" id="{00000000-0008-0000-2800-000012000000}"/>
            </a:ext>
          </a:extLst>
        </xdr:cNvPr>
        <xdr:cNvSpPr txBox="1">
          <a:spLocks noChangeArrowheads="1"/>
        </xdr:cNvSpPr>
      </xdr:nvSpPr>
      <xdr:spPr bwMode="auto">
        <a:xfrm>
          <a:off x="11298555" y="692848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24</xdr:row>
      <xdr:rowOff>4162425</xdr:rowOff>
    </xdr:from>
    <xdr:to>
      <xdr:col>13</xdr:col>
      <xdr:colOff>523875</xdr:colOff>
      <xdr:row>24</xdr:row>
      <xdr:rowOff>4410075</xdr:rowOff>
    </xdr:to>
    <xdr:sp macro="" textlink="">
      <xdr:nvSpPr>
        <xdr:cNvPr id="19" name="Text Box 1">
          <a:extLst>
            <a:ext uri="{FF2B5EF4-FFF2-40B4-BE49-F238E27FC236}">
              <a16:creationId xmlns:a16="http://schemas.microsoft.com/office/drawing/2014/main" id="{00000000-0008-0000-2800-000013000000}"/>
            </a:ext>
          </a:extLst>
        </xdr:cNvPr>
        <xdr:cNvSpPr txBox="1">
          <a:spLocks noChangeArrowheads="1"/>
        </xdr:cNvSpPr>
      </xdr:nvSpPr>
      <xdr:spPr bwMode="auto">
        <a:xfrm>
          <a:off x="11298555" y="71113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twoCellAnchor>
    <xdr:from>
      <xdr:col>13</xdr:col>
      <xdr:colOff>104775</xdr:colOff>
      <xdr:row>24</xdr:row>
      <xdr:rowOff>4162425</xdr:rowOff>
    </xdr:from>
    <xdr:to>
      <xdr:col>13</xdr:col>
      <xdr:colOff>523875</xdr:colOff>
      <xdr:row>24</xdr:row>
      <xdr:rowOff>4410075</xdr:rowOff>
    </xdr:to>
    <xdr:sp macro="" textlink="">
      <xdr:nvSpPr>
        <xdr:cNvPr id="20" name="Text Box 1">
          <a:extLst>
            <a:ext uri="{FF2B5EF4-FFF2-40B4-BE49-F238E27FC236}">
              <a16:creationId xmlns:a16="http://schemas.microsoft.com/office/drawing/2014/main" id="{00000000-0008-0000-2800-000014000000}"/>
            </a:ext>
          </a:extLst>
        </xdr:cNvPr>
        <xdr:cNvSpPr txBox="1">
          <a:spLocks noChangeArrowheads="1"/>
        </xdr:cNvSpPr>
      </xdr:nvSpPr>
      <xdr:spPr bwMode="auto">
        <a:xfrm>
          <a:off x="11298555" y="7111365"/>
          <a:ext cx="419100" cy="0"/>
        </a:xfrm>
        <a:prstGeom prst="rect">
          <a:avLst/>
        </a:prstGeom>
        <a:solidFill>
          <a:srgbClr val="FFFFFF"/>
        </a:solidFill>
        <a:ln w="9525">
          <a:solidFill>
            <a:srgbClr val="FFFFFF"/>
          </a:solidFill>
          <a:miter lim="800000"/>
          <a:headEnd/>
          <a:tailEnd/>
        </a:ln>
      </xdr:spPr>
      <xdr:txBody>
        <a:bodyPr vertOverflow="clip" wrap="square" lIns="91440" tIns="45720" rIns="91440" bIns="45720" anchor="t" upright="1"/>
        <a:lstStyle/>
        <a:p>
          <a:pPr algn="l" rtl="0">
            <a:defRPr sz="1000"/>
          </a:pPr>
          <a:r>
            <a:rPr lang="ru-RU" sz="1200" b="0" i="0" u="none" strike="noStrike" baseline="0">
              <a:solidFill>
                <a:srgbClr val="000000"/>
              </a:solidFill>
              <a:latin typeface="Times New Roman"/>
              <a:cs typeface="Times New Roman"/>
            </a:rPr>
            <a:t>2</a:t>
          </a:r>
        </a:p>
      </xdr:txBody>
    </xdr:sp>
    <xdr:clientData/>
  </xdr:twoCellAnchor>
</xdr:wsDr>
</file>

<file path=xl/drawings/drawing5.xml><?xml version="1.0" encoding="utf-8"?>
<xdr:wsDr xmlns:xdr="http://schemas.openxmlformats.org/drawingml/2006/spreadsheetDrawing" xmlns:a="http://schemas.openxmlformats.org/drawingml/2006/main">
  <xdr:twoCellAnchor>
    <xdr:from>
      <xdr:col>6</xdr:col>
      <xdr:colOff>12007</xdr:colOff>
      <xdr:row>33</xdr:row>
      <xdr:rowOff>76199</xdr:rowOff>
    </xdr:from>
    <xdr:to>
      <xdr:col>11</xdr:col>
      <xdr:colOff>225719</xdr:colOff>
      <xdr:row>38</xdr:row>
      <xdr:rowOff>15240</xdr:rowOff>
    </xdr:to>
    <xdr:sp macro="" textlink="">
      <xdr:nvSpPr>
        <xdr:cNvPr id="2" name="TextBox 1">
          <a:extLst>
            <a:ext uri="{FF2B5EF4-FFF2-40B4-BE49-F238E27FC236}">
              <a16:creationId xmlns:a16="http://schemas.microsoft.com/office/drawing/2014/main" id="{00000000-0008-0000-2D00-000002000000}"/>
            </a:ext>
          </a:extLst>
        </xdr:cNvPr>
        <xdr:cNvSpPr txBox="1"/>
      </xdr:nvSpPr>
      <xdr:spPr>
        <a:xfrm>
          <a:off x="4766887" y="7818119"/>
          <a:ext cx="2667352" cy="815341"/>
        </a:xfrm>
        <a:prstGeom prst="rect">
          <a:avLst/>
        </a:prstGeom>
        <a:solidFill>
          <a:sysClr val="window" lastClr="FFFFFF"/>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100"/>
            <a:t> обязательно виключить колличество дней планово-ремонтного периода в межотопительный</a:t>
          </a:r>
          <a:r>
            <a:rPr lang="ru-RU" sz="1100" baseline="0"/>
            <a:t> период</a:t>
          </a:r>
          <a:endParaRPr lang="ru-RU" sz="1100"/>
        </a:p>
      </xdr:txBody>
    </xdr:sp>
    <xdr:clientData/>
  </xdr:twoCellAnchor>
  <xdr:twoCellAnchor>
    <xdr:from>
      <xdr:col>6</xdr:col>
      <xdr:colOff>57146</xdr:colOff>
      <xdr:row>38</xdr:row>
      <xdr:rowOff>22859</xdr:rowOff>
    </xdr:from>
    <xdr:to>
      <xdr:col>11</xdr:col>
      <xdr:colOff>226835</xdr:colOff>
      <xdr:row>42</xdr:row>
      <xdr:rowOff>59054</xdr:rowOff>
    </xdr:to>
    <xdr:sp macro="" textlink="">
      <xdr:nvSpPr>
        <xdr:cNvPr id="3" name="Стрелка вниз 2">
          <a:extLst>
            <a:ext uri="{FF2B5EF4-FFF2-40B4-BE49-F238E27FC236}">
              <a16:creationId xmlns:a16="http://schemas.microsoft.com/office/drawing/2014/main" id="{00000000-0008-0000-2D00-000003000000}"/>
            </a:ext>
          </a:extLst>
        </xdr:cNvPr>
        <xdr:cNvSpPr/>
      </xdr:nvSpPr>
      <xdr:spPr>
        <a:xfrm rot="10800000">
          <a:off x="4812026" y="8641079"/>
          <a:ext cx="2623329" cy="729615"/>
        </a:xfrm>
        <a:prstGeom prst="downArrow">
          <a:avLst/>
        </a:prstGeom>
        <a:solidFill>
          <a:sysClr val="window" lastClr="FFFFFF"/>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twoCellAnchor>
    <xdr:from>
      <xdr:col>18</xdr:col>
      <xdr:colOff>408213</xdr:colOff>
      <xdr:row>8</xdr:row>
      <xdr:rowOff>40822</xdr:rowOff>
    </xdr:from>
    <xdr:to>
      <xdr:col>25</xdr:col>
      <xdr:colOff>176892</xdr:colOff>
      <xdr:row>11</xdr:row>
      <xdr:rowOff>163286</xdr:rowOff>
    </xdr:to>
    <xdr:sp macro="" textlink="">
      <xdr:nvSpPr>
        <xdr:cNvPr id="4" name="TextBox 3">
          <a:extLst>
            <a:ext uri="{FF2B5EF4-FFF2-40B4-BE49-F238E27FC236}">
              <a16:creationId xmlns:a16="http://schemas.microsoft.com/office/drawing/2014/main" id="{00000000-0008-0000-2D00-000004000000}"/>
            </a:ext>
          </a:extLst>
        </xdr:cNvPr>
        <xdr:cNvSpPr txBox="1"/>
      </xdr:nvSpPr>
      <xdr:spPr>
        <a:xfrm>
          <a:off x="10704738" y="1812472"/>
          <a:ext cx="4035879" cy="693964"/>
        </a:xfrm>
        <a:prstGeom prst="rect">
          <a:avLst/>
        </a:prstGeom>
        <a:solidFill>
          <a:schemeClr val="accent2">
            <a:lumMod val="40000"/>
            <a:lumOff val="60000"/>
          </a:schemeClr>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ru-RU" sz="1800"/>
            <a:t>Отопительный</a:t>
          </a:r>
          <a:r>
            <a:rPr lang="ru-RU" sz="1800" baseline="0"/>
            <a:t> период расчитывается за календарный год (январь-декабрь)</a:t>
          </a:r>
        </a:p>
        <a:p>
          <a:endParaRPr lang="ru-RU" sz="1800"/>
        </a:p>
      </xdr:txBody>
    </xdr:sp>
    <xdr:clientData/>
  </xdr:twoCellAnchor>
  <xdr:twoCellAnchor>
    <xdr:from>
      <xdr:col>18</xdr:col>
      <xdr:colOff>47624</xdr:colOff>
      <xdr:row>8</xdr:row>
      <xdr:rowOff>68037</xdr:rowOff>
    </xdr:from>
    <xdr:to>
      <xdr:col>18</xdr:col>
      <xdr:colOff>408214</xdr:colOff>
      <xdr:row>11</xdr:row>
      <xdr:rowOff>129269</xdr:rowOff>
    </xdr:to>
    <xdr:sp macro="" textlink="">
      <xdr:nvSpPr>
        <xdr:cNvPr id="5" name="Стрелка вниз 4">
          <a:extLst>
            <a:ext uri="{FF2B5EF4-FFF2-40B4-BE49-F238E27FC236}">
              <a16:creationId xmlns:a16="http://schemas.microsoft.com/office/drawing/2014/main" id="{00000000-0008-0000-2D00-000005000000}"/>
            </a:ext>
          </a:extLst>
        </xdr:cNvPr>
        <xdr:cNvSpPr/>
      </xdr:nvSpPr>
      <xdr:spPr>
        <a:xfrm rot="5400000">
          <a:off x="10208078" y="1975758"/>
          <a:ext cx="632732" cy="360590"/>
        </a:xfrm>
        <a:prstGeom prst="downArrow">
          <a:avLst/>
        </a:prstGeom>
        <a:solidFill>
          <a:schemeClr val="accent2">
            <a:lumMod val="40000"/>
            <a:lumOff val="60000"/>
          </a:schemeClr>
        </a:solidFill>
      </xdr:spPr>
      <xdr:style>
        <a:lnRef idx="2">
          <a:schemeClr val="accent1">
            <a:shade val="50000"/>
          </a:schemeClr>
        </a:lnRef>
        <a:fillRef idx="1">
          <a:schemeClr val="accent1"/>
        </a:fillRef>
        <a:effectRef idx="0">
          <a:schemeClr val="accent1"/>
        </a:effectRef>
        <a:fontRef idx="minor">
          <a:schemeClr val="lt1"/>
        </a:fontRef>
      </xdr:style>
      <xdr:txBody>
        <a:bodyPr vertOverflow="clip" horzOverflow="clip" rtlCol="0" anchor="t"/>
        <a:lstStyle/>
        <a:p>
          <a:pPr algn="l"/>
          <a:endParaRPr lang="ru-RU" sz="1100"/>
        </a:p>
      </xdr:txBody>
    </xdr:sp>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SharedDocs/SharedDocs/Users/user/Desktop/&#1053;&#1086;&#1074;&#1072;&#1103;%20&#1087;&#1072;&#1087;&#1082;&#1072;%20(2)/&#1057;&#1077;&#1088;&#1077;&#1076;&#1085;&#1100;&#1086;&#1079;&#1074;%20&#1076;&#1083;&#1103;%20&#1083;&#1110;&#1094;&#1077;&#1085;&#1079;&#1110;&#1072;&#1090;&#1110;&#1074;.xls" TargetMode="External"/></Relationships>
</file>

<file path=xl/externalLinks/_rels/externalLink10.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Mashburo2\&#1056;&#1072;&#1073;&#1086;&#1095;&#1080;&#1081;%20&#1089;&#1090;&#1086;&#1083;\&#1096;&#1087;&#1072;&#1085;&#1102;&#1082;\&#1092;&#1072;&#1082;&#1090;&#1099;%202007\&#1054;&#1090;&#1095;&#1077;&#1090;&#1085;&#1086;&#1089;&#1090;&#1100;.xls" TargetMode="External"/></Relationships>
</file>

<file path=xl/externalLinks/_rels/externalLink11.xml.rels><?xml version="1.0" encoding="UTF-8" standalone="yes"?>
<Relationships xmlns="http://schemas.openxmlformats.org/package/2006/relationships"><Relationship Id="rId1" Type="http://schemas.openxmlformats.org/officeDocument/2006/relationships/externalLinkPath" Target="file:///\\Trm-pev06\e\Ariadna\Sum_pok.xls" TargetMode="External"/></Relationships>
</file>

<file path=xl/externalLinks/_rels/externalLink12.xml.rels><?xml version="1.0" encoding="UTF-8" standalone="yes"?>
<Relationships xmlns="http://schemas.openxmlformats.org/package/2006/relationships"><Relationship Id="rId1" Type="http://schemas.openxmlformats.org/officeDocument/2006/relationships/externalLinkPath" Target="file:///E:\Ariadna\Sum_pok.xls" TargetMode="External"/></Relationships>
</file>

<file path=xl/externalLinks/_rels/externalLink13.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4.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86;&#1090;%20&#1050;.&#1040;/&#1060;&#1072;&#1081;&#1083;%20&#1055;&#1045;&#1056;&#1045;&#1042;&#1030;&#1056;&#1050;&#1048;/&#1057;&#1077;&#1088;&#1077;&#1076;&#1085;&#1100;&#1086;&#1079;&#1074;&#1072;&#1078;&#1077;&#1085;&#1077;%20&#1086;&#1089;&#1090;.xls" TargetMode="External"/></Relationships>
</file>

<file path=xl/externalLinks/_rels/externalLink15.xml.rels><?xml version="1.0" encoding="UTF-8" standalone="yes"?>
<Relationships xmlns="http://schemas.openxmlformats.org/package/2006/relationships"><Relationship Id="rId1" Type="http://schemas.openxmlformats.org/officeDocument/2006/relationships/externalLinkPath" Target="file:///\\Peo12\c\WINDOWS\TEMP\I-1\tar%20%20ee%2099.xls" TargetMode="External"/></Relationships>
</file>

<file path=xl/externalLinks/_rels/externalLink16.xml.rels><?xml version="1.0" encoding="UTF-8" standalone="yes"?>
<Relationships xmlns="http://schemas.openxmlformats.org/package/2006/relationships"><Relationship Id="rId1" Type="http://schemas.openxmlformats.org/officeDocument/2006/relationships/externalLinkPath" Target="/Users/berezniy/AppData/Local/Temp/Tarif_10_11_2014.xlsx" TargetMode="External"/></Relationships>
</file>

<file path=xl/externalLinks/_rels/externalLink17.xml.rels><?xml version="1.0" encoding="UTF-8" standalone="yes"?>
<Relationships xmlns="http://schemas.openxmlformats.org/package/2006/relationships"><Relationship Id="rId1" Type="http://schemas.openxmlformats.org/officeDocument/2006/relationships/externalLinkPath" Target="file:///\\Peo12\c\&#1052;&#1086;&#1080;%20&#1076;&#1086;&#1082;&#1091;&#1084;&#1077;&#1085;&#1090;&#1099;\PEV20002.xls" TargetMode="External"/></Relationships>
</file>

<file path=xl/externalLinks/_rels/externalLink18.xml.rels><?xml version="1.0" encoding="UTF-8" standalone="yes"?>
<Relationships xmlns="http://schemas.openxmlformats.org/package/2006/relationships"><Relationship Id="rId1" Type="http://schemas.openxmlformats.org/officeDocument/2006/relationships/externalLinkPath" Target="file:///\\Serv-darnytsia\disk_e\Ukr_Can\Finance\FIN\&#1087;&#1083;&#1072;&#1085;%202008%2020.03.08\&#1054;&#1090;&#1095;&#1077;&#1090;&#1085;&#1086;&#1089;&#1090;&#1100;.xls" TargetMode="External"/></Relationships>
</file>

<file path=xl/externalLinks/_rels/externalLink19.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73;&#1102;&#1076;&#1078;&#1077;&#1090;%202007\Svod.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60;&#1072;&#1081;&#1083;%20&#1055;&#1045;&#1056;&#1045;&#1042;&#1030;&#1056;&#1050;&#1048;/&#1057;&#1077;&#1088;&#1077;&#1076;&#1085;&#1100;&#1086;&#1079;&#1074;&#1072;&#1078;&#1077;&#1085;&#1077;%20&#1086;&#1089;&#1090;.xls" TargetMode="External"/></Relationships>
</file>

<file path=xl/externalLinks/_rels/externalLink20.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pldir2001.xls" TargetMode="External"/></Relationships>
</file>

<file path=xl/externalLinks/_rels/externalLink21.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4;&#1041;&#1065;&#1048;&#1045;%20&#1044;&#1054;&#1050;&#1059;&#1052;&#1045;&#1053;&#1058;&#1067;%202014/&#1059;&#1055;&#1056;&#1040;&#1042;&#1051;&#1030;&#1053;&#1053;&#1071;%20&#1060;&#1054;&#1056;&#1052;&#1059;&#1042;&#1040;&#1053;&#1053;&#1071;%20&#1058;&#1040;&#1056;&#1048;&#1060;&#1030;&#1042;/&#1041;&#1040;&#1047;&#1048;%20&#1044;&#1040;&#1053;&#1048;&#1061;/&#1050;&#1054;&#1056;&#1048;&#1043;&#1059;&#1042;&#1040;&#1053;&#1053;&#1071;%20&#1058;&#1040;&#1056;&#1048;&#1060;&#1030;&#1042;%20&#1041;&#1070;&#1044;&#1046;&#1045;&#1058;%20&#1030;&#1053;&#1064;&#1030;/&#1057;&#1042;&#1054;&#1044;%20&#1050;&#1054;&#1056;&#1048;&#1043;&#1059;&#1042;&#1040;&#1053;&#1053;&#1071;%20&#1058;&#1040;&#1056;&#1048;&#1060;&#1030;&#1042;%20&#1041;_&#1030;%20)&#1057;&#1050;(.xlsm" TargetMode="External"/></Relationships>
</file>

<file path=xl/externalLinks/_rels/externalLink22.xml.rels><?xml version="1.0" encoding="UTF-8" standalone="yes"?>
<Relationships xmlns="http://schemas.openxmlformats.org/package/2006/relationships"><Relationship Id="rId1" Type="http://schemas.openxmlformats.org/officeDocument/2006/relationships/externalLinkPath" Target="file:///F:\Documents%20and%20Settings\Mashburo2\&#1056;&#1072;&#1073;&#1086;&#1095;&#1080;&#1081;%20&#1089;&#1090;&#1086;&#1083;\&#1096;&#1087;&#1072;&#1085;&#1102;&#1082;\&#1054;&#1090;&#1095;&#1077;&#1090;&#1085;&#1086;&#1089;&#1090;&#1100;!!!.xls" TargetMode="External"/></Relationships>
</file>

<file path=xl/externalLinks/_rels/externalLink23.xml.rels><?xml version="1.0" encoding="UTF-8" standalone="yes"?>
<Relationships xmlns="http://schemas.openxmlformats.org/package/2006/relationships"><Relationship Id="rId1" Type="http://schemas.openxmlformats.org/officeDocument/2006/relationships/externalLinkPath" Target="file:///\\trm-pev06\D$\Proekt_2004\SVOD.XLS" TargetMode="External"/></Relationships>
</file>

<file path=xl/externalLinks/_rels/externalLink24.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Documents%20and%20Settings\balykov\Local%20Settings\Temporary%20Internet%20Files\OLK3\&#1052;&#1086;&#1080;%20&#1076;&#1086;&#1082;&#1091;&#1084;&#1077;&#1085;&#1090;&#1099;\&#1082;&#1086;&#1096;&#1090;&#1086;&#1088;&#1080;&#1089;\I-1\tar%20%20ee%2099.xls" TargetMode="External"/></Relationships>
</file>

<file path=xl/externalLinks/_rels/externalLink25.xml.rels><?xml version="1.0" encoding="UTF-8" standalone="yes"?>
<Relationships xmlns="http://schemas.openxmlformats.org/package/2006/relationships"><Relationship Id="rId1" Type="http://schemas.openxmlformats.org/officeDocument/2006/relationships/externalLinkPath" Target="file:///\\Primergy\tec%20doci%20(d)\&#1056;&#1040;&#1041;&#1054;&#1058;&#1040;\2014\&#1082;&#1086;&#1088;&#1080;&#1089;&#1085;&#1080;&#1081;%20&#1086;&#1089;&#1090;\&#1058;&#1072;&#1088;&#1080;&#1092;%202010%20&#1058;&#1045;&#1062;\&#1044;&#1086;&#1076;&#1072;&#1090;&#1082;&#1080;%20&#1088;&#1072;&#1089;&#1096;&#1080;&#1092;&#1088;&#1086;&#1074;&#1082;&#1080;\&#1052;&#1072;&#1090;&#1077;&#1088;.&#1077;&#1082;&#1089;&#1087;&#1083;&#1091;&#1072;&#1090;.xls" TargetMode="External"/></Relationships>
</file>

<file path=xl/externalLinks/_rels/externalLink26.xml.rels><?xml version="1.0" encoding="UTF-8" standalone="yes"?>
<Relationships xmlns="http://schemas.openxmlformats.org/package/2006/relationships"><Relationship Id="rId1" Type="http://schemas.openxmlformats.org/officeDocument/2006/relationships/externalLinkPath" Target="file:///F:\05_06_2011\&#1090;&#1072;&#1088;&#1080;&#1092;%20&#1089;&#1082;&#1086;&#1088;&#1077;&#1075;&#1060;&#1054;&#1058;%20&#1089;%20&#1050;%201.412%202010_&#1040;&#1083;&#1077;&#1085;&#1072;%20&#1074;%20&#1048;&#1083;&#1083;&#1080;&#1095;&#1077;&#1074;&#1089;&#1082;&#1077;%2023.07.2010.xls" TargetMode="External"/></Relationships>
</file>

<file path=xl/externalLinks/_rels/externalLink27.xml.rels><?xml version="1.0" encoding="UTF-8" standalone="yes"?>
<Relationships xmlns="http://schemas.openxmlformats.org/package/2006/relationships"><Relationship Id="rId1" Type="http://schemas.openxmlformats.org/officeDocument/2006/relationships/externalLinkPath" Target="/Users/dubina/Desktop/&#1058;&#1072;&#1088;&#1080;&#1092;&#1080;%20%20&#1073;&#1077;&#1088;&#1077;&#1079;&#1077;&#1085;&#1100;%202014/&#1063;&#1091;&#1075;&#1091;&#1111;&#1074;&#1090;&#1077;&#1087;&#1083;&#1086;/&#1050;&#1058;_%20&#1058;&#1056;&#1048;%20&#1050;&#1040;&#1058;&#1045;&#1043;&#1054;&#1056;&#1030;&#1031;%20&#1089;&#1090;&#1088;&#1091;&#1082;.xlsm" TargetMode="External"/></Relationships>
</file>

<file path=xl/externalLinks/_rels/externalLink28.xml.rels><?xml version="1.0" encoding="UTF-8" standalone="yes"?>
<Relationships xmlns="http://schemas.openxmlformats.org/package/2006/relationships"><Relationship Id="rId1" Type="http://schemas.openxmlformats.org/officeDocument/2006/relationships/externalLinkPath" Target="file:///\\Peo-3\&#1084;&#1086;&#1080;%20&#1076;&#1086;&#1082;&#1091;&#1084;&#1077;&#1085;&#1090;&#1099;%20&#1085;&#1072;%20&#1087;&#1077;&#1074;1\Documents%20and%20Settings\yulia\My%20Documents\&#1050;&#1072;&#1096;&#1091;&#1073;&#1072;\WINDOWS\TEMP\&#1050;&#1052;_2007.xls" TargetMode="External"/></Relationships>
</file>

<file path=xl/externalLinks/_rels/externalLink29.xml.rels><?xml version="1.0" encoding="UTF-8" standalone="yes"?>
<Relationships xmlns="http://schemas.openxmlformats.org/package/2006/relationships"><Relationship Id="rId1" Type="http://schemas.openxmlformats.org/officeDocument/2006/relationships/externalLinkPath" Target="/Users/nych/AppData/Local/Temp/Users/nych/Downloads/reestr_budynkiv_29_04_2014.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Users/kot/AppData/Local/Microsoft/Windows/Temporary%20Internet%20Files/Content.Outlook/Z07ICFO1/&#1060;&#1072;&#1081;&#1083;%20&#1055;&#1045;&#1056;&#1045;&#1042;&#1030;&#1056;&#1050;&#1048;/&#1057;&#1077;&#1088;&#1077;&#1076;&#1085;&#1100;&#1086;&#1079;&#1074;&#1072;&#1078;&#1077;&#1085;&#1077;%20&#1086;&#1089;&#1090;.xls" TargetMode="External"/></Relationships>
</file>

<file path=xl/externalLinks/_rels/externalLink30.xml.rels><?xml version="1.0" encoding="UTF-8" standalone="yes"?>
<Relationships xmlns="http://schemas.openxmlformats.org/package/2006/relationships"><Relationship Id="rId1" Type="http://schemas.openxmlformats.org/officeDocument/2006/relationships/externalLinkPath" Target="file:///G:\&#1088;&#1086;&#1073;&#1086;&#1090;&#1072;\&#1056;&#1077;&#1108;&#1089;&#1090;&#1088;%20&#1073;&#1091;&#1076;&#1080;&#1085;&#1082;&#1110;&#1074;%20&#1077;&#1090;&#1072;&#1083;&#1086;&#1085;_&#1088;&#1086;&#1073;&#1086;&#1095;&#1080;&#1081;.xlsx" TargetMode="External"/></Relationships>
</file>

<file path=xl/externalLinks/_rels/externalLink31.xml.rels><?xml version="1.0" encoding="UTF-8" standalone="yes"?>
<Relationships xmlns="http://schemas.openxmlformats.org/package/2006/relationships"><Relationship Id="rId1" Type="http://schemas.openxmlformats.org/officeDocument/2006/relationships/externalLinkPath" Target="/Users/&#1057;&#1077;&#1088;&#1075;&#1077;&#1081;&#1095;&#1080;&#1082;%20&#1048;%20&#1043;/AppData/Local/Microsoft/Windows/Temporary%20Internet%20Files/Content.IE5/Q6I5L08X/&#1096;&#1072;&#1073;&#1083;&#1086;&#1085;&#1099;%20&#1053;&#1086;&#1074;&#1072;&#1103;%20&#1087;&#1072;&#1087;&#1082;&#1072;/&#1043;&#1083;&#1080;&#1085;&#1097;&#1080;&#1082;&#1086;&#1074;&#1072;%2016%2005%202014%20&#1053;&#1086;&#1074;&#1072;&#1103;%20&#1087;&#1072;&#1087;&#1082;&#1072;/reestr_budynkiv_16_05_2014.xls" TargetMode="External"/></Relationships>
</file>

<file path=xl/externalLinks/_rels/externalLink32.xml.rels><?xml version="1.0" encoding="UTF-8" standalone="yes"?>
<Relationships xmlns="http://schemas.openxmlformats.org/package/2006/relationships"><Relationship Id="rId1" Type="http://schemas.openxmlformats.org/officeDocument/2006/relationships/externalLinkPath" Target="file:///\\Peo2\MyDocs\&#1082;&#1072;&#1093;&#1086;&#1074;&#1082;&#1072;\Tarif_Teplo_Shablon_2007.xls" TargetMode="External"/></Relationships>
</file>

<file path=xl/externalLinks/_rels/externalLink33.xml.rels><?xml version="1.0" encoding="UTF-8" standalone="yes"?>
<Relationships xmlns="http://schemas.openxmlformats.org/package/2006/relationships"><Relationship Id="rId1" Type="http://schemas.openxmlformats.org/officeDocument/2006/relationships/externalLinkPath" Target="file:///\\Mdi-server\OfficeWork\Irpin\Tarif_Irpin_11_07%20_12.xls" TargetMode="External"/></Relationships>
</file>

<file path=xl/externalLinks/_rels/externalLink34.xml.rels><?xml version="1.0" encoding="UTF-8" standalone="yes"?>
<Relationships xmlns="http://schemas.openxmlformats.org/package/2006/relationships"><Relationship Id="rId1" Type="http://schemas.openxmlformats.org/officeDocument/2006/relationships/externalLinkPath" Target="file:///\\Serv-darnytsia\Ukr_Can\Documents%20and%20Settings\Mashburo2\&#1056;&#1072;&#1073;&#1086;&#1095;&#1080;&#1081;%20&#1089;&#1090;&#1086;&#1083;\&#1096;&#1087;&#1072;&#1085;&#1102;&#1082;\&#1054;&#1090;&#1095;&#1077;&#1090;&#1085;&#1086;&#1089;&#1090;&#1100;!!!.xls" TargetMode="External"/></Relationships>
</file>

<file path=xl/externalLinks/_rels/externalLink35.xml.rels><?xml version="1.0" encoding="UTF-8" standalone="yes"?>
<Relationships xmlns="http://schemas.openxmlformats.org/package/2006/relationships"><Relationship Id="rId1" Type="http://schemas.openxmlformats.org/officeDocument/2006/relationships/externalLinkPath" Target="/07_&#1044;&#1077;&#1087;.%20&#1090;&#1072;&#1088;&#1080;&#1092;&#1085;&#1086;&#1111;%20&#1087;&#1086;&#1083;&#1110;&#1090;&#1080;&#1082;&#1080;%20&#1091;%20&#1089;&#1092;&#1077;&#1088;&#1110;%20&#1090;&#1077;&#1087;&#1083;&#1086;&#1087;&#1086;&#1089;&#1090;&#1072;&#1095;&#1072;&#1085;&#1085;&#1103;/&#1050;&#1054;&#1056;&#1048;&#1043;&#1059;&#1042;&#1040;&#1053;&#1053;&#1071;%20&#1041;&#1077;&#1088;&#1077;&#1079;&#1077;&#1085;&#1100;%202014/&#1055;&#1056;&#1054;&#1042;&#1045;&#1056;&#1045;&#1053;&#1054;%20&#1044;&#1051;&#1071;%20&#1057;&#1042;&#1054;&#1044;&#1040;/&#1053;&#1040;%20&#1047;&#1040;&#1052;&#1045;&#1053;&#1059;/&#1050;&#1088;&#1080;&#1084;/&#1044;&#1078;&#1072;&#1085;&#1082;&#1086;&#1081;&#1089;&#1100;&#1082;&#1072;%20&#1092;&#1110;&#1083;&#1110;&#1103;/133_&#1044;&#1078;&#1072;&#1085;&#1082;&#1086;&#1081;&#1089;&#1100;&#1082;&#1072;%20&#1092;&#1110;&#1083;&#1110;&#1103;%20%20(&#1089;.&#1057;&#1086;&#1074;&#1077;&#1090;&#1089;&#1100;&#1082;&#1077;).xlsx" TargetMode="External"/></Relationships>
</file>

<file path=xl/externalLinks/_rels/externalLink36.xml.rels><?xml version="1.0" encoding="UTF-8" standalone="yes"?>
<Relationships xmlns="http://schemas.openxmlformats.org/package/2006/relationships"><Relationship Id="rId1" Type="http://schemas.openxmlformats.org/officeDocument/2006/relationships/externalLinkPath" Target="/Users/Lavrova-NB/AppData/Roaming/Microsoft/Excel/&#1055;&#1045;&#1042;/&#1060;&#1072;&#1082;&#1090;%20&#1087;&#1088;&#1103;&#1084;&#1110;%202021_2022.xlsx" TargetMode="External"/></Relationships>
</file>

<file path=xl/externalLinks/_rels/externalLink37.xml.rels><?xml version="1.0" encoding="UTF-8" standalone="yes"?>
<Relationships xmlns="http://schemas.openxmlformats.org/package/2006/relationships"><Relationship Id="rId1" Type="http://schemas.openxmlformats.org/officeDocument/2006/relationships/externalLinkPath" Target="/Users/Lavrova-NB/AppData/Roaming/Microsoft/Excel/&#1042;&#1058;&#1042;/&#1055;&#1083;&#1072;&#1085;/&#1056;&#1030;&#1063;&#1053;&#1048;&#1049;%20&#1055;&#1051;&#1040;&#1053;%2023-24%20&#1042;&#1030;&#1044;&#1050;&#1054;&#1056;&#1048;&#1043;&#1054;&#1042;&#1040;&#1053;&#1048;&#1049;.xlsx" TargetMode="External"/></Relationships>
</file>

<file path=xl/externalLinks/_rels/externalLink38.xml.rels><?xml version="1.0" encoding="UTF-8" standalone="yes"?>
<Relationships xmlns="http://schemas.openxmlformats.org/package/2006/relationships"><Relationship Id="rId1" Type="http://schemas.openxmlformats.org/officeDocument/2006/relationships/externalLinkPath" Target="&#1058;&#1072;&#1088;&#1080;&#1092;_&#1050;&#1055;&#1063;&#1058;&#1045;_2023_2024_&#1076;&#1086;&#1075;&#1086;&#1074;&#1086;&#1088;_&#1075;&#1072;&#1079;_&#1075;&#1077;&#1085;&#1095;.xlsx" TargetMode="External"/></Relationships>
</file>

<file path=xl/externalLinks/_rels/externalLink39.xml.rels><?xml version="1.0" encoding="UTF-8" standalone="yes"?>
<Relationships xmlns="http://schemas.openxmlformats.org/package/2006/relationships"><Relationship Id="rId1" Type="http://schemas.openxmlformats.org/officeDocument/2006/relationships/externalLinkPath" Target="&#1058;&#1072;&#1088;&#1080;&#1092;_&#1050;&#1055;&#1063;&#1058;&#1045;_2023_2024_&#1076;&#1086;&#1075;&#1086;&#1074;&#1086;&#1088;_&#1075;&#1072;&#1079;+&#1059;&#1095;&#1077;&#1090;%20&#1087;&#1086;&#1083;&#1080;&#1090;.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Users/kot/AppData/Local/Microsoft/Windows/Temporary%20Internet%20Files/Content.Outlook/Z07ICFO1/&#1047;&#1074;&#1077;&#1076;&#1077;&#1085;&#1080;&#1081;%20&#1088;&#1086;&#1079;&#1088;&#1072;&#1093;&#1091;&#1085;&#1086;&#1082;%20&#1090;&#1072;&#1088;&#1080;&#1092;&#1110;&#1074;%20&#1085;&#1072;%20&#1090;&#1077;&#1087;&#1083;&#1086;&#1074;&#1091;%20&#1077;&#1085;&#1077;&#1088;&#1075;&#1110;&#1102;%20(new)%20%2021.05.13.xls" TargetMode="External"/></Relationships>
</file>

<file path=xl/externalLinks/_rels/externalLink40.xml.rels><?xml version="1.0" encoding="UTF-8" standalone="yes"?>
<Relationships xmlns="http://schemas.openxmlformats.org/package/2006/relationships"><Relationship Id="rId1" Type="http://schemas.openxmlformats.org/officeDocument/2006/relationships/externalLinkPath" Target="/d/&#1058;&#1040;&#1056;&#1048;&#1060;%202021-2022/&#1058;&#1072;&#1088;&#1080;&#1092;_&#1050;&#1055;&#1063;&#1058;&#1045;_2021_2022%20&#1078;&#1086;&#1074;&#1090;&#1077;&#1085;&#1100;%20&#1053;%2010-7420%20&#1073;&#1102;&#1076;&#1078;%20&#1088;&#1077;&#1083;-16554%20&#1087;&#1088;%2024933%20&#1073;&#1077;&#1079;%20&#1043;&#1055;%20&#1073;&#1077;&#1079;%20&#1056;&#1058;_&#1044;.xlsx" TargetMode="External"/></Relationships>
</file>

<file path=xl/externalLinks/_rels/externalLink41.xml.rels><?xml version="1.0" encoding="UTF-8" standalone="yes"?>
<Relationships xmlns="http://schemas.openxmlformats.org/package/2006/relationships"><Relationship Id="rId1" Type="http://schemas.openxmlformats.org/officeDocument/2006/relationships/externalLinkPath" Target="/Users/Lavrova-NB/AppData/Roaming/Microsoft/Excel/&#1055;&#1045;&#1042;/&#1060;&#1047;&#1055;,%20&#1095;&#1080;&#1089;&#1077;&#1083;&#1100;&#1085;&#1110;&#1089;&#1090;&#1100;/&#1084;&#1072;&#1081;%202023%20_&#1076;&#1086;&#1076;%2010,%20&#1095;&#1080;&#1089;&#1083;%20&#1087;&#1086;%20&#1074;&#1086;&#1076;&#1077;/&#1060;&#1047;&#1055;%20&#1090;&#1072;&#1088;&#1080;&#1092;%202023-2024%20&#1074;&#1072;&#1088;%201.xls" TargetMode="External"/></Relationships>
</file>

<file path=xl/externalLinks/_rels/externalLink42.xml.rels><?xml version="1.0" encoding="UTF-8" standalone="yes"?>
<Relationships xmlns="http://schemas.openxmlformats.org/package/2006/relationships"><Relationship Id="rId1" Type="http://schemas.openxmlformats.org/officeDocument/2006/relationships/externalLinkPath" Target="/Users/Lavrova-NB/AppData/Roaming/Microsoft/Excel/&#1042;&#1058;&#1042;/&#1055;&#1083;&#1072;&#1085;/&#1042;&#1086;&#1076;&#1072;%20%202023-2024%20&#1058;&#1040;&#1056;&#1048;&#1060;.xlsx" TargetMode="External"/></Relationships>
</file>

<file path=xl/externalLinks/_rels/externalLink43.xml.rels><?xml version="1.0" encoding="UTF-8" standalone="yes"?>
<Relationships xmlns="http://schemas.openxmlformats.org/package/2006/relationships"><Relationship Id="rId1" Type="http://schemas.openxmlformats.org/officeDocument/2006/relationships/externalLinkPath" Target="/d/&#1058;&#1072;&#1088;&#1080;&#1092;%202020/&#1058;&#1077;&#1087;&#1083;&#1086;&#1074;&#1072;&#1103;%20&#1101;&#1085;&#1077;&#1088;&#1075;&#1080;&#1103;%20&#1080;%20&#1091;&#1089;&#1083;&#1091;&#1075;&#1080;%20&#1058;&#1069;_23_07_2020_&#1082;&#1086;&#1088;&#1077;&#1075;10_2020/&#1058;&#1072;&#1088;&#1080;&#1092;_&#1063;&#1077;&#1088;&#1085;&#1086;&#1084;&#1086;&#1088;&#1089;&#1082;_2020_05.10.2020_&#1087;&#1088;&#1080;&#1073;&#1091;&#1090;&#1086;&#1082;.xlsx"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SharedDocs/SharedDocs/07_&#1044;&#1077;&#1087;.%20&#1090;&#1072;&#1088;&#1080;&#1092;&#1085;&#1086;&#1111;%20&#1087;&#1086;&#1083;&#1110;&#1090;&#1080;&#1082;&#1080;%20&#1091;%20&#1089;&#1092;&#1077;&#1088;&#1110;%20&#1090;&#1077;&#1087;&#1083;&#1086;&#1087;&#1086;&#1089;&#1090;&#1072;&#1095;&#1072;&#1085;&#1085;&#1103;/&#1050;&#1086;&#1090;%20&#1050;.&#1040;/&#1053;&#1086;&#1074;&#1072;&#1103;%20&#1087;&#1072;&#1087;&#1082;&#1072;%20(2)/&#1063;&#1077;&#1088;&#1082;&#1072;&#1089;&#1080;%20&#1058;&#1050;&#1045;/2014-06-24/&#1044;&#1051;&#1071;%20&#1053;&#1050;&#1056;&#1055;%2023.06.2014&#1088;/&#1047;&#1074;&#1077;&#1076;&#1077;&#1085;&#1080;&#1081;%20&#1088;&#1086;&#1079;&#1088;&#1072;&#1093;&#1091;&#1085;&#1086;&#1082;%20&#1090;&#1072;&#1088;&#1080;&#1092;&#1110;&#1074;%20&#1085;&#1072;%20&#1090;&#1077;&#1087;&#1083;&#1086;&#1074;&#1091;%20&#1077;&#1085;&#1077;&#1088;&#1075;&#1110;&#1102;%20(new)%20%2021.05.13.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file:///\\Peo12\c\214\PL2001\v8_01_05.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U:\&#1052;&#1086;&#1080;%20&#1076;&#1086;&#1082;&#1091;&#1084;&#1077;&#1085;&#1090;&#1099;\PEV20002.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file:///U:\VD2002&#1079;&#1084;&#1110;&#108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U:\214\PL2006\v9_06_12.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sheetName val="рік"/>
      <sheetName val="ОП"/>
      <sheetName val="темп. квітень жовтень"/>
    </sheetNames>
    <sheetDataSet>
      <sheetData sheetId="0" refreshError="1"/>
      <sheetData sheetId="1"/>
      <sheetData sheetId="2" refreshError="1"/>
      <sheetData sheetId="3"/>
    </sheetDataSet>
  </externalBook>
</externalLink>
</file>

<file path=xl/externalLinks/externalLink1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s>
    <sheetDataSet>
      <sheetData sheetId="0" refreshError="1">
        <row r="4">
          <cell r="F4" t="str">
            <v>сентябрь</v>
          </cell>
        </row>
      </sheetData>
      <sheetData sheetId="1" refreshError="1"/>
      <sheetData sheetId="2" refreshError="1"/>
      <sheetData sheetId="3" refreshError="1"/>
      <sheetData sheetId="4" refreshError="1"/>
      <sheetData sheetId="5" refreshError="1"/>
      <sheetData sheetId="6" refreshError="1"/>
      <sheetData sheetId="7" refreshError="1"/>
    </sheetDataSet>
  </externalBook>
</externalLink>
</file>

<file path=xl/externalLinks/externalLink1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січ-лют."/>
      <sheetName val="430 сыч-лютий"/>
      <sheetName val="бер"/>
      <sheetName val="430 бер"/>
      <sheetName val="січ-бер"/>
      <sheetName val="430 сыч-бер"/>
      <sheetName val="Ini"/>
      <sheetName val="Sum_pok"/>
      <sheetName val="Ëčńň1"/>
      <sheetName val="Sum_pok.xls"/>
      <sheetName val="Ф2"/>
    </sheetNames>
    <definedNames>
      <definedName name="ShowFil"/>
    </definedNames>
    <sheetDataSet>
      <sheetData sheetId="0"/>
      <sheetData sheetId="1"/>
      <sheetData sheetId="2"/>
      <sheetData sheetId="3"/>
      <sheetData sheetId="4"/>
      <sheetData sheetId="5"/>
      <sheetData sheetId="6"/>
      <sheetData sheetId="7"/>
      <sheetData sheetId="8" refreshError="1"/>
      <sheetData sheetId="9" refreshError="1"/>
      <sheetData sheetId="10" refreshError="1"/>
      <sheetData sheetId="11" refreshError="1"/>
    </sheetDataSet>
  </externalBook>
</externalLink>
</file>

<file path=xl/externalLinks/externalLink1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Ini"/>
      <sheetName val="Ëčńň1"/>
      <sheetName val="Sum_pok"/>
      <sheetName val="Sum_pok.xls"/>
      <sheetName val="#REF!"/>
      <sheetName val="січ-лют."/>
      <sheetName val="430 сыч-лютий"/>
      <sheetName val="бер"/>
      <sheetName val="430 бер"/>
      <sheetName val="січ-бер"/>
      <sheetName val="430 сыч-бер"/>
      <sheetName val="Inform"/>
      <sheetName val="L4"/>
      <sheetName val="L10"/>
      <sheetName val="KOEF"/>
      <sheetName val="База"/>
      <sheetName val="7  Інші витрати"/>
      <sheetName val="ОСВ МСФЗ"/>
      <sheetName val="попер_роз"/>
      <sheetName val="Links"/>
      <sheetName val="Lead"/>
      <sheetName val="TECH"/>
      <sheetName val="M"/>
      <sheetName val="XLR_NoRangeSheet"/>
      <sheetName val="3"/>
      <sheetName val="_Л1"/>
      <sheetName val="_Л10"/>
      <sheetName val="_Л11"/>
      <sheetName val="_Л2"/>
      <sheetName val="_Л3"/>
      <sheetName val="_Л4"/>
      <sheetName val="_Л5"/>
      <sheetName val="_Л7"/>
      <sheetName val="_Л8"/>
      <sheetName val="_Л9"/>
      <sheetName val="рік"/>
    </sheetNames>
    <definedNames>
      <definedName name="ShowFil"/>
    </definedNames>
    <sheetDataSet>
      <sheetData sheetId="0"/>
      <sheetData sheetId="1"/>
      <sheetData sheetId="2"/>
      <sheetData sheetId="3" refreshError="1"/>
      <sheetData sheetId="4" refreshError="1"/>
      <sheetData sheetId="5" refreshError="1"/>
      <sheetData sheetId="6"/>
      <sheetData sheetId="7"/>
      <sheetData sheetId="8"/>
      <sheetData sheetId="9"/>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externalLinks/externalLink1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1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 ee 99"/>
      <sheetName val="січ-лют."/>
      <sheetName val="430 сыч-лютий"/>
      <sheetName val="бер"/>
      <sheetName val="430 бер"/>
      <sheetName val="січ-бер"/>
      <sheetName val="430 сыч-бер"/>
      <sheetName val="Ф2"/>
      <sheetName val="Лист1"/>
      <sheetName val="tar  ee 99"/>
      <sheetName val="Експл"/>
      <sheetName val="ПЛАН_1вар"/>
      <sheetName val="Інші витрати"/>
      <sheetName val="списки"/>
      <sheetName val="assump"/>
      <sheetName val="Setup"/>
      <sheetName val="МТР Газ України"/>
      <sheetName val="Типи данних філії"/>
      <sheetName val="1_структура по елементах"/>
      <sheetName val="рік"/>
    </sheetNames>
    <sheetDataSet>
      <sheetData sheetId="0" refreshError="1">
        <row r="95">
          <cell r="CT95">
            <v>0</v>
          </cell>
        </row>
        <row r="96">
          <cell r="CT96">
            <v>243790.12999999998</v>
          </cell>
        </row>
        <row r="97">
          <cell r="CT97">
            <v>1999</v>
          </cell>
        </row>
        <row r="98">
          <cell r="CT98">
            <v>0</v>
          </cell>
        </row>
        <row r="99">
          <cell r="CT99">
            <v>3273</v>
          </cell>
        </row>
        <row r="100">
          <cell r="CT100">
            <v>1300</v>
          </cell>
        </row>
        <row r="101">
          <cell r="CT101">
            <v>0</v>
          </cell>
        </row>
        <row r="102">
          <cell r="CT102">
            <v>250361.12999999998</v>
          </cell>
        </row>
        <row r="103">
          <cell r="CT103">
            <v>61505.129999999976</v>
          </cell>
        </row>
        <row r="104">
          <cell r="CT104">
            <v>67717.252199999974</v>
          </cell>
        </row>
        <row r="105">
          <cell r="CT105">
            <v>256573.25219999999</v>
          </cell>
        </row>
        <row r="106">
          <cell r="CT106">
            <v>5563.75</v>
          </cell>
        </row>
        <row r="107">
          <cell r="CT107">
            <v>5590</v>
          </cell>
        </row>
        <row r="108">
          <cell r="CT108" t="e">
            <v>#REF!</v>
          </cell>
        </row>
        <row r="109">
          <cell r="CT109">
            <v>4245.75</v>
          </cell>
        </row>
        <row r="110">
          <cell r="CT110">
            <v>4310</v>
          </cell>
        </row>
      </sheetData>
      <sheetData sheetId="1"/>
      <sheetData sheetId="2"/>
      <sheetData sheetId="3"/>
      <sheetData sheetId="4"/>
      <sheetData sheetId="5"/>
      <sheetData sheetId="6"/>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Set>
  </externalBook>
</externalLink>
</file>

<file path=xl/externalLinks/externalLink1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ласне_виробництво (2)"/>
      <sheetName val="Вхідні дані"/>
      <sheetName val="Перелік Додатків"/>
      <sheetName val="ДОДАТОК 3"/>
      <sheetName val="ДОДАТОК 4"/>
      <sheetName val="Власне_виробництво"/>
      <sheetName val="Покупна ТЕ"/>
      <sheetName val="ТЕ_Київенерго"/>
      <sheetName val="ДОДАТОК 8"/>
      <sheetName val="Паливо"/>
      <sheetName val="Покупна ТЕ_Д35"/>
      <sheetName val="ДОДАТОК 9"/>
      <sheetName val="Електроенергія"/>
      <sheetName val="Вода_водовід"/>
      <sheetName val="Амортизація_ЗВВ"/>
      <sheetName val="Амортизація_адмін_Д38"/>
      <sheetName val="Амортизація_ВІМО"/>
      <sheetName val="ФОП_прямі_виробництво"/>
      <sheetName val="ФОП_ЗВВ"/>
      <sheetName val="ФОП_адмін "/>
      <sheetName val="ПММ_ВІМО"/>
      <sheetName val="Комунальні послуги"/>
      <sheetName val="Охорона праці"/>
      <sheetName val="Кошторис витрат на ІТП"/>
      <sheetName val="Прямі_витрати"/>
      <sheetName val="Загальновиробничі_витрати"/>
      <sheetName val="Адміністративні_витрати"/>
      <sheetName val="Бази розподілу"/>
      <sheetName val="Електроенергія_Н"/>
      <sheetName val="Паливо_Н"/>
      <sheetName val="ДОДАТОК 10"/>
      <sheetName val="ДОДАТОК 6"/>
      <sheetName val="ДОДАТОК 7"/>
      <sheetName val="Лист1"/>
      <sheetName val="Амортизація"/>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1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2 (2)"/>
      <sheetName val="812"/>
      <sheetName val="0"/>
      <sheetName val="1"/>
      <sheetName val="2"/>
      <sheetName val="2 утв"/>
      <sheetName val="3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812 _2_"/>
      <sheetName val="3 утв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assump"/>
      <sheetName val="м_812"/>
      <sheetName val="IAS Trial Balance"/>
      <sheetName val="DICTS"/>
      <sheetName val="Витрати 2014"/>
      <sheetName val="Години - 2014 (по месяцам)"/>
      <sheetName val="01.2014"/>
      <sheetName val="02.2014"/>
      <sheetName val="Отчет за смену - КЕМ 01.2014"/>
      <sheetName val="Справочник ЦФО"/>
      <sheetName val="справочник"/>
      <sheetName val="Протокол заседания 1"/>
      <sheetName val="tar ee 99"/>
      <sheetName val="Основн информ"/>
      <sheetName val="Dirs"/>
      <sheetName val="Total"/>
      <sheetName val="Setup"/>
      <sheetName val="PEV20002.xls"/>
      <sheetName val="PEV20002"/>
      <sheetName val="Ф2"/>
      <sheetName val="МТР Газ України"/>
      <sheetName val="KOEF"/>
      <sheetName val="факт"/>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Т/Е</v>
          </cell>
        </row>
        <row r="35">
          <cell r="AL35">
            <v>395</v>
          </cell>
        </row>
        <row r="36">
          <cell r="AL36">
            <v>336</v>
          </cell>
        </row>
        <row r="37">
          <cell r="AL37">
            <v>0</v>
          </cell>
        </row>
        <row r="39">
          <cell r="AL39">
            <v>0</v>
          </cell>
        </row>
        <row r="40">
          <cell r="AL40">
            <v>0</v>
          </cell>
        </row>
        <row r="41">
          <cell r="AL41">
            <v>395.6</v>
          </cell>
        </row>
        <row r="42">
          <cell r="P42" t="e">
            <v>#REF!</v>
          </cell>
          <cell r="AL42">
            <v>395.6</v>
          </cell>
        </row>
        <row r="43">
          <cell r="AL43">
            <v>1580</v>
          </cell>
        </row>
        <row r="44">
          <cell r="AL44">
            <v>0</v>
          </cell>
        </row>
        <row r="45">
          <cell r="AL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0</v>
          </cell>
          <cell r="G49" t="e">
            <v>#DIV/0!</v>
          </cell>
          <cell r="H49" t="e">
            <v>#DIV/0!</v>
          </cell>
          <cell r="P49">
            <v>401.6</v>
          </cell>
          <cell r="S49">
            <v>19500</v>
          </cell>
          <cell r="T49">
            <v>19500</v>
          </cell>
          <cell r="U49">
            <v>0</v>
          </cell>
          <cell r="X49">
            <v>24969</v>
          </cell>
          <cell r="Y49">
            <v>11255</v>
          </cell>
          <cell r="Z49">
            <v>13714</v>
          </cell>
          <cell r="AC49">
            <v>24028</v>
          </cell>
          <cell r="AD49">
            <v>11813</v>
          </cell>
          <cell r="AE49">
            <v>12215</v>
          </cell>
          <cell r="AF49">
            <v>468.8</v>
          </cell>
          <cell r="AG49">
            <v>469</v>
          </cell>
          <cell r="AH49">
            <v>0</v>
          </cell>
          <cell r="AK49">
            <v>212804</v>
          </cell>
          <cell r="AL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1424</v>
          </cell>
          <cell r="AL50">
            <v>158</v>
          </cell>
        </row>
        <row r="51">
          <cell r="F51">
            <v>0</v>
          </cell>
          <cell r="G51" t="e">
            <v>#DIV/0!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136175</v>
          </cell>
          <cell r="AL52">
            <v>136175</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836</v>
          </cell>
          <cell r="AL53">
            <v>836</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349815</v>
          </cell>
          <cell r="AL54">
            <v>349815</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270163</v>
          </cell>
          <cell r="AL55">
            <v>270163</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-79652</v>
          </cell>
          <cell r="AL56">
            <v>-79652</v>
          </cell>
        </row>
        <row r="57">
          <cell r="F57">
            <v>0</v>
          </cell>
          <cell r="G57">
            <v>0</v>
          </cell>
          <cell r="H57">
            <v>0</v>
          </cell>
          <cell r="T57">
            <v>0</v>
          </cell>
          <cell r="U57">
            <v>0</v>
          </cell>
          <cell r="AF57">
            <v>0</v>
          </cell>
          <cell r="AH57">
            <v>0</v>
          </cell>
          <cell r="AK57">
            <v>0</v>
          </cell>
          <cell r="AL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row>
        <row r="64">
          <cell r="G64">
            <v>0</v>
          </cell>
          <cell r="T64">
            <v>21</v>
          </cell>
          <cell r="U64">
            <v>109</v>
          </cell>
          <cell r="AH64">
            <v>0</v>
          </cell>
          <cell r="AI64">
            <v>0</v>
          </cell>
          <cell r="AJ64">
            <v>0</v>
          </cell>
          <cell r="AK64">
            <v>0</v>
          </cell>
        </row>
        <row r="65">
          <cell r="F65">
            <v>0</v>
          </cell>
          <cell r="G65" t="e">
            <v>#DIV/0!</v>
          </cell>
          <cell r="H65" t="e">
            <v>#DIV/0!</v>
          </cell>
          <cell r="P65">
            <v>627.20000000000005</v>
          </cell>
          <cell r="S65">
            <v>0</v>
          </cell>
          <cell r="T65">
            <v>0</v>
          </cell>
          <cell r="U65">
            <v>0</v>
          </cell>
          <cell r="X65">
            <v>0</v>
          </cell>
          <cell r="Y65">
            <v>0</v>
          </cell>
          <cell r="Z65">
            <v>0</v>
          </cell>
          <cell r="AC65">
            <v>0</v>
          </cell>
          <cell r="AD65">
            <v>0</v>
          </cell>
          <cell r="AE65">
            <v>0</v>
          </cell>
          <cell r="AF65">
            <v>444.2</v>
          </cell>
          <cell r="AG65">
            <v>367.2</v>
          </cell>
          <cell r="AH65">
            <v>0</v>
          </cell>
          <cell r="AK65">
            <v>212804</v>
          </cell>
          <cell r="AL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row>
        <row r="67">
          <cell r="F67">
            <v>0</v>
          </cell>
          <cell r="G67" t="e">
            <v>#DIV/0!</v>
          </cell>
          <cell r="H67" t="e">
            <v>#DIV/0!</v>
          </cell>
          <cell r="P67">
            <v>-41.200000000000045</v>
          </cell>
          <cell r="S67">
            <v>-70.599999999999909</v>
          </cell>
          <cell r="T67">
            <v>0</v>
          </cell>
          <cell r="U67">
            <v>0</v>
          </cell>
          <cell r="X67">
            <v>576.79999999999995</v>
          </cell>
          <cell r="Y67">
            <v>233</v>
          </cell>
          <cell r="Z67">
            <v>519</v>
          </cell>
          <cell r="AC67">
            <v>574.79999999999995</v>
          </cell>
          <cell r="AD67">
            <v>240</v>
          </cell>
          <cell r="AE67">
            <v>494</v>
          </cell>
          <cell r="AF67">
            <v>0</v>
          </cell>
          <cell r="AG67">
            <v>170.8</v>
          </cell>
          <cell r="AH67">
            <v>0</v>
          </cell>
          <cell r="AI67">
            <v>0</v>
          </cell>
          <cell r="AJ67">
            <v>0</v>
          </cell>
          <cell r="AK67">
            <v>1220.5999999999999</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136175</v>
          </cell>
          <cell r="AL68">
            <v>136175</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836</v>
          </cell>
          <cell r="AL69">
            <v>836</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349815</v>
          </cell>
          <cell r="AL70">
            <v>349815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270163</v>
          </cell>
          <cell r="AL71">
            <v>270163</v>
          </cell>
        </row>
        <row r="72">
          <cell r="F72">
            <v>0</v>
          </cell>
          <cell r="G72">
            <v>0</v>
          </cell>
          <cell r="X72">
            <v>0</v>
          </cell>
          <cell r="AC72">
            <v>0</v>
          </cell>
          <cell r="AF72">
            <v>0</v>
          </cell>
          <cell r="AG72">
            <v>0</v>
          </cell>
          <cell r="AH72">
            <v>0</v>
          </cell>
          <cell r="AK72">
            <v>-79652</v>
          </cell>
          <cell r="AL72">
            <v>-79652</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row>
        <row r="74">
          <cell r="G74">
            <v>0</v>
          </cell>
          <cell r="P74">
            <v>0</v>
          </cell>
          <cell r="S74">
            <v>0</v>
          </cell>
          <cell r="X74">
            <v>0</v>
          </cell>
          <cell r="Z74">
            <v>0</v>
          </cell>
          <cell r="AC74">
            <v>0</v>
          </cell>
          <cell r="AD74">
            <v>0</v>
          </cell>
          <cell r="AE74">
            <v>0</v>
          </cell>
          <cell r="AH74">
            <v>0</v>
          </cell>
          <cell r="AK74">
            <v>0</v>
          </cell>
          <cell r="AL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row>
        <row r="76">
          <cell r="F76">
            <v>105</v>
          </cell>
          <cell r="G76">
            <v>23</v>
          </cell>
          <cell r="H76">
            <v>82</v>
          </cell>
          <cell r="T76">
            <v>0</v>
          </cell>
          <cell r="U76">
            <v>0</v>
          </cell>
          <cell r="Y76">
            <v>0</v>
          </cell>
          <cell r="Z76">
            <v>0</v>
          </cell>
          <cell r="AE76">
            <v>0</v>
          </cell>
          <cell r="AH76">
            <v>0</v>
          </cell>
          <cell r="AK76">
            <v>105</v>
          </cell>
          <cell r="AL76">
            <v>23</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row>
        <row r="79">
          <cell r="H79">
            <v>0</v>
          </cell>
          <cell r="S79">
            <v>0</v>
          </cell>
          <cell r="AK79">
            <v>363.66666666666663</v>
          </cell>
          <cell r="AL79">
            <v>158</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row>
        <row r="82">
          <cell r="H82">
            <v>0</v>
          </cell>
          <cell r="Y82">
            <v>0</v>
          </cell>
          <cell r="Z82">
            <v>0</v>
          </cell>
          <cell r="AK82">
            <v>0</v>
          </cell>
          <cell r="AL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row>
        <row r="86">
          <cell r="AL86">
            <v>21837.195939509984</v>
          </cell>
        </row>
        <row r="87">
          <cell r="F87">
            <v>11292</v>
          </cell>
          <cell r="G87">
            <v>11292</v>
          </cell>
          <cell r="AK87">
            <v>11292</v>
          </cell>
          <cell r="AL87">
            <v>11292</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row>
        <row r="89">
          <cell r="F89">
            <v>0</v>
          </cell>
          <cell r="G89">
            <v>0</v>
          </cell>
          <cell r="H89">
            <v>0</v>
          </cell>
          <cell r="AH89">
            <v>0</v>
          </cell>
        </row>
        <row r="90">
          <cell r="F90">
            <v>1390</v>
          </cell>
          <cell r="G90">
            <v>810</v>
          </cell>
          <cell r="H90">
            <v>580</v>
          </cell>
          <cell r="AH90">
            <v>0</v>
          </cell>
          <cell r="AK90">
            <v>1390</v>
          </cell>
          <cell r="AL90">
            <v>810</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row>
        <row r="131">
          <cell r="AK131">
            <v>1706.6864545454591</v>
          </cell>
        </row>
        <row r="134">
          <cell r="AK134">
            <v>56002</v>
          </cell>
        </row>
        <row r="135">
          <cell r="AK135">
            <v>-7447.9201558602144</v>
          </cell>
        </row>
        <row r="136">
          <cell r="AK136">
            <v>35.44</v>
          </cell>
        </row>
        <row r="137">
          <cell r="AK137">
            <v>40.159999999999997</v>
          </cell>
        </row>
        <row r="138">
          <cell r="AK138">
            <v>0</v>
          </cell>
        </row>
        <row r="140">
          <cell r="AK140">
            <v>10.96</v>
          </cell>
        </row>
        <row r="142">
          <cell r="AJ142">
            <v>0</v>
          </cell>
          <cell r="AK142">
            <v>8.6199999999999992</v>
          </cell>
        </row>
        <row r="143">
          <cell r="AK143">
            <v>43363</v>
          </cell>
          <cell r="AL143">
            <v>43363</v>
          </cell>
        </row>
        <row r="145">
          <cell r="AJ145">
            <v>300</v>
          </cell>
        </row>
        <row r="146">
          <cell r="AK146">
            <v>15283.523809523811</v>
          </cell>
          <cell r="AL146">
            <v>-34114.374995654944</v>
          </cell>
        </row>
        <row r="147">
          <cell r="S147">
            <v>0</v>
          </cell>
          <cell r="AK147">
            <v>865.25</v>
          </cell>
        </row>
        <row r="149">
          <cell r="AJ149">
            <v>0</v>
          </cell>
          <cell r="AK149">
            <v>99365</v>
          </cell>
          <cell r="AL149">
            <v>43363</v>
          </cell>
        </row>
        <row r="150">
          <cell r="AK150">
            <v>0</v>
          </cell>
        </row>
        <row r="151">
          <cell r="AK151">
            <v>102388</v>
          </cell>
          <cell r="AL151">
            <v>46386</v>
          </cell>
        </row>
        <row r="152">
          <cell r="AK152">
            <v>0</v>
          </cell>
        </row>
        <row r="153">
          <cell r="AK153">
            <v>5.8</v>
          </cell>
          <cell r="AL153">
            <v>36</v>
          </cell>
        </row>
        <row r="154">
          <cell r="AK154">
            <v>15.66507889570549</v>
          </cell>
          <cell r="AL154">
            <v>-100</v>
          </cell>
        </row>
        <row r="155">
          <cell r="AL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row>
        <row r="188">
          <cell r="S188">
            <v>101.3</v>
          </cell>
          <cell r="X188">
            <v>116.9</v>
          </cell>
          <cell r="AC188">
            <v>111.7</v>
          </cell>
          <cell r="AK188">
            <v>329.90000000000003</v>
          </cell>
        </row>
        <row r="189">
          <cell r="P189">
            <v>0</v>
          </cell>
          <cell r="S189">
            <v>116</v>
          </cell>
          <cell r="X189">
            <v>133.9</v>
          </cell>
          <cell r="AC189">
            <v>127.8</v>
          </cell>
          <cell r="AK189">
            <v>377.7</v>
          </cell>
        </row>
        <row r="190">
          <cell r="P190">
            <v>0</v>
          </cell>
          <cell r="S190">
            <v>0</v>
          </cell>
          <cell r="X190">
            <v>0</v>
          </cell>
          <cell r="AC190">
            <v>0</v>
          </cell>
          <cell r="AK190">
            <v>194.5</v>
          </cell>
        </row>
        <row r="191">
          <cell r="P191">
            <v>0</v>
          </cell>
          <cell r="S191">
            <v>192.5</v>
          </cell>
          <cell r="X191">
            <v>192.5</v>
          </cell>
          <cell r="AC191">
            <v>192.5</v>
          </cell>
          <cell r="AK191">
            <v>192.5</v>
          </cell>
        </row>
        <row r="192">
          <cell r="S192">
            <v>19500</v>
          </cell>
          <cell r="X192">
            <v>22503</v>
          </cell>
          <cell r="AC192">
            <v>21502</v>
          </cell>
          <cell r="AK192">
            <v>63506</v>
          </cell>
        </row>
        <row r="193">
          <cell r="X193">
            <v>0</v>
          </cell>
          <cell r="AC193">
            <v>0</v>
          </cell>
          <cell r="AK193">
            <v>63505</v>
          </cell>
        </row>
        <row r="194">
          <cell r="X194">
            <v>0</v>
          </cell>
          <cell r="AC194">
            <v>0</v>
          </cell>
          <cell r="AK194">
            <v>0</v>
          </cell>
        </row>
        <row r="195">
          <cell r="X195">
            <v>0</v>
          </cell>
          <cell r="AC195">
            <v>0</v>
          </cell>
          <cell r="AK195">
            <v>0</v>
          </cell>
        </row>
        <row r="196">
          <cell r="X196">
            <v>82.5</v>
          </cell>
          <cell r="AC196">
            <v>82.5</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row>
        <row r="200">
          <cell r="X200">
            <v>4.0999999999999996</v>
          </cell>
          <cell r="AC200">
            <v>4.2</v>
          </cell>
          <cell r="AK200">
            <v>8.3000000000000007</v>
          </cell>
        </row>
        <row r="201">
          <cell r="F201">
            <v>75</v>
          </cell>
          <cell r="P201">
            <v>75</v>
          </cell>
          <cell r="X201">
            <v>5.7</v>
          </cell>
          <cell r="AC201">
            <v>5.9</v>
          </cell>
          <cell r="AJ201">
            <v>0</v>
          </cell>
          <cell r="AK201">
            <v>11.600000000000001</v>
          </cell>
        </row>
        <row r="202">
          <cell r="F202">
            <v>75</v>
          </cell>
          <cell r="S202">
            <v>385</v>
          </cell>
          <cell r="X202">
            <v>385</v>
          </cell>
          <cell r="AC202">
            <v>385</v>
          </cell>
          <cell r="AJ202">
            <v>0</v>
          </cell>
          <cell r="AK202">
            <v>385</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S205">
            <v>111.9</v>
          </cell>
          <cell r="X205">
            <v>121</v>
          </cell>
          <cell r="Y205">
            <v>37.5</v>
          </cell>
          <cell r="Z205">
            <v>83.5</v>
          </cell>
          <cell r="AC205">
            <v>106.4</v>
          </cell>
          <cell r="AD205">
            <v>34.799999999999997</v>
          </cell>
          <cell r="AE205">
            <v>71.600000000000009</v>
          </cell>
          <cell r="AK205">
            <v>4992</v>
          </cell>
          <cell r="AL205">
            <v>72.3</v>
          </cell>
        </row>
        <row r="206">
          <cell r="S206">
            <v>116</v>
          </cell>
          <cell r="X206">
            <v>139.6</v>
          </cell>
          <cell r="Y206">
            <v>58</v>
          </cell>
          <cell r="Z206">
            <v>81.600000000000009</v>
          </cell>
          <cell r="AA206">
            <v>14133.90243902439</v>
          </cell>
          <cell r="AC206">
            <v>133.69999999999999</v>
          </cell>
          <cell r="AD206">
            <v>61.1</v>
          </cell>
          <cell r="AE206">
            <v>72.599999999999994</v>
          </cell>
          <cell r="AK206">
            <v>389.3</v>
          </cell>
          <cell r="AL206">
            <v>270.2</v>
          </cell>
        </row>
        <row r="207">
          <cell r="S207">
            <v>19500</v>
          </cell>
          <cell r="X207">
            <v>24969</v>
          </cell>
          <cell r="Y207">
            <v>11255</v>
          </cell>
          <cell r="Z207">
            <v>13714</v>
          </cell>
          <cell r="AA207">
            <v>13714</v>
          </cell>
          <cell r="AC207">
            <v>24028</v>
          </cell>
          <cell r="AD207">
            <v>11813</v>
          </cell>
          <cell r="AE207">
            <v>12215</v>
          </cell>
          <cell r="AI207" t="str">
            <v/>
          </cell>
          <cell r="AJ207" t="str">
            <v/>
          </cell>
          <cell r="AK207">
            <v>68498</v>
          </cell>
          <cell r="AL207">
            <v>45429</v>
          </cell>
        </row>
        <row r="208">
          <cell r="S208">
            <v>168.1</v>
          </cell>
          <cell r="X208">
            <v>178.86</v>
          </cell>
          <cell r="Y208">
            <v>194.05</v>
          </cell>
          <cell r="Z208">
            <v>168.06</v>
          </cell>
          <cell r="AC208">
            <v>179.72</v>
          </cell>
          <cell r="AD208">
            <v>193.34</v>
          </cell>
          <cell r="AE208">
            <v>168.25</v>
          </cell>
          <cell r="AJ208" t="str">
            <v/>
          </cell>
          <cell r="AK208">
            <v>175.95</v>
          </cell>
          <cell r="AL208">
            <v>168.13</v>
          </cell>
        </row>
        <row r="209">
          <cell r="X209">
            <v>22509</v>
          </cell>
          <cell r="AC209">
            <v>20437</v>
          </cell>
          <cell r="AK209">
            <v>61870</v>
          </cell>
          <cell r="AL209" t="e">
            <v>#REF!</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t="str">
            <v>ВИКОН.ДИР.</v>
          </cell>
          <cell r="G259" t="str">
            <v>АПАРАТ ЕЛЕКТРО</v>
          </cell>
          <cell r="H259" t="str">
            <v>АПАРАТ ТЕПЛО</v>
          </cell>
          <cell r="P259" t="str">
            <v>КМ</v>
          </cell>
          <cell r="Q259" t="str">
            <v>ТМ</v>
          </cell>
          <cell r="R259">
            <v>0</v>
          </cell>
          <cell r="S259" t="str">
            <v>КТМ</v>
          </cell>
          <cell r="T259" t="str">
            <v>ВИРОБН</v>
          </cell>
          <cell r="U259" t="str">
            <v>ПЕРЕД</v>
          </cell>
          <cell r="V259">
            <v>0</v>
          </cell>
          <cell r="W259">
            <v>0</v>
          </cell>
          <cell r="X259" t="str">
            <v>ТЕЦ-5 ВСЬОГО</v>
          </cell>
          <cell r="Y259" t="str">
            <v>Е/Е</v>
          </cell>
          <cell r="Z259" t="str">
            <v xml:space="preserve"> Т/Е</v>
          </cell>
          <cell r="AA259">
            <v>0</v>
          </cell>
          <cell r="AB259">
            <v>0</v>
          </cell>
          <cell r="AC259" t="str">
            <v>ТЕЦ-6 ВСЬОГО</v>
          </cell>
          <cell r="AD259" t="str">
            <v>Е/Е</v>
          </cell>
          <cell r="AE259" t="str">
            <v xml:space="preserve"> Т/Е</v>
          </cell>
          <cell r="AF259" t="str">
            <v>ТРМ ВСЬОГО</v>
          </cell>
          <cell r="AG259" t="str">
            <v>ТРМ  АК КЕ</v>
          </cell>
          <cell r="AH259" t="str">
            <v>ТРМ СТОР</v>
          </cell>
          <cell r="AI259">
            <v>850.10909090909092</v>
          </cell>
          <cell r="AJ259" t="str">
            <v>ДОП.ВИР. СТ.ОРГ.</v>
          </cell>
          <cell r="AK259" t="str">
            <v>АК КЕ осн.вир.</v>
          </cell>
          <cell r="AL259" t="str">
            <v xml:space="preserve"> Т/Е</v>
          </cell>
        </row>
        <row r="260">
          <cell r="F260">
            <v>0</v>
          </cell>
          <cell r="G260">
            <v>1354</v>
          </cell>
          <cell r="H260">
            <v>2522.6333333333332</v>
          </cell>
          <cell r="P260">
            <v>0</v>
          </cell>
          <cell r="S260">
            <v>0</v>
          </cell>
          <cell r="T260">
            <v>3361.1583636363644</v>
          </cell>
          <cell r="U260">
            <v>392.98709090909097</v>
          </cell>
          <cell r="X260">
            <v>0</v>
          </cell>
          <cell r="Y260">
            <v>342</v>
          </cell>
          <cell r="Z260">
            <v>760.63636363636419</v>
          </cell>
          <cell r="AC260">
            <v>0</v>
          </cell>
          <cell r="AD260">
            <v>31</v>
          </cell>
          <cell r="AE260">
            <v>57</v>
          </cell>
          <cell r="AF260">
            <v>0</v>
          </cell>
          <cell r="AG260">
            <v>0</v>
          </cell>
          <cell r="AH260">
            <v>0</v>
          </cell>
          <cell r="AI260">
            <v>571.20000000000005</v>
          </cell>
          <cell r="AJ260">
            <v>7599</v>
          </cell>
          <cell r="AK260">
            <v>0</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216304</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212804</v>
          </cell>
          <cell r="AL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L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t="e">
            <v>#REF!</v>
          </cell>
        </row>
        <row r="265">
          <cell r="F265">
            <v>0</v>
          </cell>
          <cell r="AK265">
            <v>0</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P270">
            <v>0</v>
          </cell>
          <cell r="S270">
            <v>0</v>
          </cell>
          <cell r="X270">
            <v>0</v>
          </cell>
          <cell r="AC270">
            <v>0</v>
          </cell>
          <cell r="AF270">
            <v>0</v>
          </cell>
          <cell r="AG270">
            <v>0</v>
          </cell>
          <cell r="AH270">
            <v>0</v>
          </cell>
          <cell r="AI270">
            <v>0</v>
          </cell>
          <cell r="AK270">
            <v>0</v>
          </cell>
        </row>
        <row r="271">
          <cell r="F271">
            <v>3500</v>
          </cell>
          <cell r="AK271">
            <v>3500</v>
          </cell>
        </row>
        <row r="272">
          <cell r="F272">
            <v>212804</v>
          </cell>
          <cell r="P272">
            <v>0</v>
          </cell>
          <cell r="S272">
            <v>0</v>
          </cell>
          <cell r="X272">
            <v>0</v>
          </cell>
          <cell r="AC272">
            <v>0</v>
          </cell>
          <cell r="AF272">
            <v>0</v>
          </cell>
          <cell r="AG272">
            <v>0</v>
          </cell>
          <cell r="AH272">
            <v>0</v>
          </cell>
          <cell r="AI272">
            <v>0</v>
          </cell>
          <cell r="AK272">
            <v>212804</v>
          </cell>
        </row>
        <row r="273">
          <cell r="F273">
            <v>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0</v>
          </cell>
          <cell r="AK273">
            <v>0</v>
          </cell>
        </row>
        <row r="274">
          <cell r="F274">
            <v>0</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0</v>
          </cell>
        </row>
        <row r="275">
          <cell r="F275">
            <v>0</v>
          </cell>
          <cell r="G275">
            <v>84</v>
          </cell>
          <cell r="H275">
            <v>300</v>
          </cell>
          <cell r="P275">
            <v>0</v>
          </cell>
          <cell r="S275">
            <v>0</v>
          </cell>
          <cell r="T275">
            <v>625.85363636363627</v>
          </cell>
          <cell r="U275">
            <v>650.41909090909098</v>
          </cell>
          <cell r="X275">
            <v>0</v>
          </cell>
          <cell r="Y275">
            <v>117</v>
          </cell>
          <cell r="Z275">
            <v>257.81818181818181</v>
          </cell>
          <cell r="AC275">
            <v>0</v>
          </cell>
          <cell r="AD275">
            <v>108</v>
          </cell>
          <cell r="AE275">
            <v>224</v>
          </cell>
          <cell r="AF275">
            <v>0</v>
          </cell>
          <cell r="AG275">
            <v>0</v>
          </cell>
          <cell r="AH275">
            <v>0</v>
          </cell>
          <cell r="AI275">
            <v>278.90909090909088</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I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I277">
            <v>0</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I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I279">
            <v>0</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Q282">
            <v>0</v>
          </cell>
          <cell r="R282">
            <v>0</v>
          </cell>
          <cell r="S282" t="e">
            <v>#REF!</v>
          </cell>
          <cell r="T282">
            <v>0</v>
          </cell>
          <cell r="U282">
            <v>0</v>
          </cell>
          <cell r="V282">
            <v>0</v>
          </cell>
          <cell r="W282">
            <v>0</v>
          </cell>
          <cell r="X282" t="e">
            <v>#REF!</v>
          </cell>
          <cell r="Y282">
            <v>0</v>
          </cell>
          <cell r="Z282">
            <v>0</v>
          </cell>
          <cell r="AA282">
            <v>0</v>
          </cell>
          <cell r="AB282">
            <v>0</v>
          </cell>
          <cell r="AC282" t="e">
            <v>#REF!</v>
          </cell>
          <cell r="AD282">
            <v>0</v>
          </cell>
          <cell r="AE282">
            <v>0</v>
          </cell>
          <cell r="AF282" t="e">
            <v>#REF!</v>
          </cell>
          <cell r="AG282" t="e">
            <v>#REF!</v>
          </cell>
          <cell r="AH282" t="e">
            <v>#REF!</v>
          </cell>
          <cell r="AI282">
            <v>0</v>
          </cell>
          <cell r="AK282" t="e">
            <v>#REF!</v>
          </cell>
        </row>
        <row r="283">
          <cell r="F283">
            <v>60</v>
          </cell>
          <cell r="P283">
            <v>370</v>
          </cell>
          <cell r="S283">
            <v>480</v>
          </cell>
          <cell r="X283">
            <v>100</v>
          </cell>
          <cell r="AC283">
            <v>100</v>
          </cell>
          <cell r="AF283">
            <v>0</v>
          </cell>
          <cell r="AG283">
            <v>0</v>
          </cell>
          <cell r="AH283">
            <v>0</v>
          </cell>
          <cell r="AI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I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I286">
            <v>0</v>
          </cell>
          <cell r="AK286" t="e">
            <v>#REF!</v>
          </cell>
        </row>
        <row r="287">
          <cell r="F287">
            <v>0</v>
          </cell>
          <cell r="P287">
            <v>0</v>
          </cell>
          <cell r="Q287">
            <v>0</v>
          </cell>
          <cell r="R287">
            <v>0</v>
          </cell>
          <cell r="S287">
            <v>0</v>
          </cell>
          <cell r="T287">
            <v>-642.65363636363622</v>
          </cell>
          <cell r="U287">
            <v>-650.41909090909098</v>
          </cell>
          <cell r="V287">
            <v>0</v>
          </cell>
          <cell r="W287">
            <v>0</v>
          </cell>
          <cell r="X287">
            <v>0</v>
          </cell>
          <cell r="Y287">
            <v>-358</v>
          </cell>
          <cell r="Z287">
            <v>-794.41818181818189</v>
          </cell>
          <cell r="AA287">
            <v>0</v>
          </cell>
          <cell r="AB287">
            <v>0</v>
          </cell>
          <cell r="AC287">
            <v>0</v>
          </cell>
          <cell r="AD287">
            <v>-112</v>
          </cell>
          <cell r="AE287">
            <v>-231.2</v>
          </cell>
          <cell r="AF287">
            <v>0</v>
          </cell>
          <cell r="AG287">
            <v>0</v>
          </cell>
          <cell r="AH287">
            <v>0</v>
          </cell>
          <cell r="AI287">
            <v>-278.90909090909088</v>
          </cell>
          <cell r="AK287">
            <v>0</v>
          </cell>
        </row>
        <row r="288">
          <cell r="AK288">
            <v>0</v>
          </cell>
        </row>
        <row r="289">
          <cell r="F289">
            <v>2621.6333333333337</v>
          </cell>
          <cell r="P289">
            <v>1520.8</v>
          </cell>
          <cell r="Q289">
            <v>0</v>
          </cell>
          <cell r="R289">
            <v>0</v>
          </cell>
          <cell r="S289">
            <v>250</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0</v>
          </cell>
          <cell r="AI289">
            <v>625.6</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I290">
            <v>118.4</v>
          </cell>
          <cell r="AK290" t="e">
            <v>#REF!</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I292">
            <v>0</v>
          </cell>
          <cell r="AK292" t="e">
            <v>#REF!</v>
          </cell>
        </row>
        <row r="293">
          <cell r="F293">
            <v>0</v>
          </cell>
          <cell r="P293">
            <v>-370</v>
          </cell>
          <cell r="S293">
            <v>-730</v>
          </cell>
          <cell r="X293">
            <v>-100</v>
          </cell>
          <cell r="AC293">
            <v>-100</v>
          </cell>
          <cell r="AF293">
            <v>0</v>
          </cell>
          <cell r="AG293">
            <v>0</v>
          </cell>
          <cell r="AH293">
            <v>0</v>
          </cell>
          <cell r="AI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507.20000000000005</v>
          </cell>
          <cell r="AK294">
            <v>0</v>
          </cell>
        </row>
        <row r="295">
          <cell r="F295">
            <v>0</v>
          </cell>
          <cell r="P295">
            <v>0</v>
          </cell>
          <cell r="S295">
            <v>0</v>
          </cell>
          <cell r="X295">
            <v>0</v>
          </cell>
          <cell r="AC295">
            <v>0</v>
          </cell>
          <cell r="AF295">
            <v>0</v>
          </cell>
          <cell r="AG295">
            <v>0</v>
          </cell>
          <cell r="AH295">
            <v>0</v>
          </cell>
          <cell r="AI295">
            <v>0</v>
          </cell>
          <cell r="AK295">
            <v>0</v>
          </cell>
        </row>
        <row r="296">
          <cell r="F296">
            <v>0</v>
          </cell>
          <cell r="P296">
            <v>0</v>
          </cell>
          <cell r="S296">
            <v>0</v>
          </cell>
          <cell r="X296">
            <v>0</v>
          </cell>
          <cell r="AC296">
            <v>0</v>
          </cell>
          <cell r="AF296">
            <v>0</v>
          </cell>
          <cell r="AG296">
            <v>0</v>
          </cell>
          <cell r="AH296">
            <v>0</v>
          </cell>
          <cell r="AI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I297">
            <v>507.20000000000005</v>
          </cell>
          <cell r="AK297" t="e">
            <v>#REF!</v>
          </cell>
        </row>
        <row r="298">
          <cell r="F298" t="e">
            <v>#REF!</v>
          </cell>
          <cell r="P298" t="e">
            <v>#REF!</v>
          </cell>
          <cell r="S298" t="e">
            <v>#REF!</v>
          </cell>
          <cell r="X298" t="e">
            <v>#REF!</v>
          </cell>
          <cell r="AC298" t="e">
            <v>#REF!</v>
          </cell>
          <cell r="AF298" t="e">
            <v>#REF!</v>
          </cell>
          <cell r="AG298" t="e">
            <v>#REF!</v>
          </cell>
          <cell r="AH298" t="e">
            <v>#REF!</v>
          </cell>
          <cell r="AI298">
            <v>0</v>
          </cell>
          <cell r="AK298" t="e">
            <v>#REF!</v>
          </cell>
        </row>
        <row r="299">
          <cell r="F299" t="e">
            <v>#REF!</v>
          </cell>
          <cell r="P299" t="e">
            <v>#REF!</v>
          </cell>
          <cell r="S299" t="e">
            <v>#REF!</v>
          </cell>
          <cell r="X299" t="e">
            <v>#REF!</v>
          </cell>
          <cell r="AC299" t="e">
            <v>#REF!</v>
          </cell>
          <cell r="AF299" t="e">
            <v>#REF!</v>
          </cell>
          <cell r="AG299" t="e">
            <v>#REF!</v>
          </cell>
          <cell r="AH299" t="e">
            <v>#REF!</v>
          </cell>
          <cell r="AI299">
            <v>0</v>
          </cell>
          <cell r="AK299" t="e">
            <v>#REF!</v>
          </cell>
        </row>
        <row r="300">
          <cell r="F300">
            <v>0</v>
          </cell>
          <cell r="P300">
            <v>0</v>
          </cell>
          <cell r="Q300">
            <v>0</v>
          </cell>
          <cell r="R300">
            <v>0</v>
          </cell>
          <cell r="S300">
            <v>0</v>
          </cell>
          <cell r="T300">
            <v>-642.65363636363622</v>
          </cell>
          <cell r="U300">
            <v>-650.41909090909098</v>
          </cell>
          <cell r="V300">
            <v>0</v>
          </cell>
          <cell r="W300">
            <v>0</v>
          </cell>
          <cell r="X300">
            <v>0</v>
          </cell>
          <cell r="Y300">
            <v>-358</v>
          </cell>
          <cell r="Z300">
            <v>-794.41818181818189</v>
          </cell>
          <cell r="AA300">
            <v>0</v>
          </cell>
          <cell r="AB300">
            <v>0</v>
          </cell>
          <cell r="AC300">
            <v>0</v>
          </cell>
          <cell r="AD300">
            <v>-112</v>
          </cell>
          <cell r="AE300">
            <v>-231.2</v>
          </cell>
          <cell r="AF300">
            <v>0</v>
          </cell>
          <cell r="AG300">
            <v>0</v>
          </cell>
          <cell r="AH300">
            <v>0</v>
          </cell>
          <cell r="AI300">
            <v>-278.90909090909088</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G303">
            <v>0</v>
          </cell>
          <cell r="H303">
            <v>0</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I306">
            <v>0</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-278.90909090909088</v>
          </cell>
          <cell r="AK308">
            <v>0</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F312">
            <v>8992</v>
          </cell>
          <cell r="AK312">
            <v>0</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row>
        <row r="329">
          <cell r="F329">
            <v>103</v>
          </cell>
          <cell r="P329">
            <v>198</v>
          </cell>
          <cell r="S329">
            <v>460</v>
          </cell>
          <cell r="X329">
            <v>178</v>
          </cell>
          <cell r="AC329">
            <v>146</v>
          </cell>
          <cell r="AF329">
            <v>393</v>
          </cell>
          <cell r="AG329">
            <v>373</v>
          </cell>
          <cell r="AH329">
            <v>20</v>
          </cell>
          <cell r="AI329">
            <v>76</v>
          </cell>
          <cell r="AK329">
            <v>1570</v>
          </cell>
        </row>
        <row r="330">
          <cell r="AJ330">
            <v>36</v>
          </cell>
          <cell r="AK330">
            <v>10408.151428571429</v>
          </cell>
        </row>
        <row r="331">
          <cell r="AJ331">
            <v>2455</v>
          </cell>
          <cell r="AK331">
            <v>0</v>
          </cell>
          <cell r="AL331">
            <v>0</v>
          </cell>
        </row>
        <row r="332">
          <cell r="F332">
            <v>0</v>
          </cell>
          <cell r="P332">
            <v>0</v>
          </cell>
          <cell r="S332">
            <v>0</v>
          </cell>
          <cell r="X332">
            <v>0</v>
          </cell>
          <cell r="AC332">
            <v>0</v>
          </cell>
          <cell r="AF332">
            <v>0</v>
          </cell>
          <cell r="AG332">
            <v>0</v>
          </cell>
          <cell r="AH332">
            <v>0</v>
          </cell>
          <cell r="AJ332">
            <v>36</v>
          </cell>
          <cell r="AK332">
            <v>0</v>
          </cell>
          <cell r="AL332">
            <v>0</v>
          </cell>
        </row>
        <row r="333">
          <cell r="AJ333">
            <v>36</v>
          </cell>
          <cell r="AK333" t="e">
            <v>#REF!</v>
          </cell>
          <cell r="AL333" t="e">
            <v>#REF!</v>
          </cell>
        </row>
        <row r="334">
          <cell r="AK334" t="e">
            <v>#REF!</v>
          </cell>
          <cell r="AL334" t="e">
            <v>#REF!</v>
          </cell>
        </row>
        <row r="335">
          <cell r="AJ335">
            <v>36</v>
          </cell>
          <cell r="AK335">
            <v>0</v>
          </cell>
          <cell r="AL335">
            <v>0</v>
          </cell>
        </row>
        <row r="336">
          <cell r="AK336">
            <v>0</v>
          </cell>
          <cell r="AL336">
            <v>0</v>
          </cell>
        </row>
        <row r="337">
          <cell r="AK337">
            <v>3500</v>
          </cell>
          <cell r="AL337">
            <v>3500</v>
          </cell>
        </row>
        <row r="338">
          <cell r="AK338">
            <v>212804</v>
          </cell>
        </row>
        <row r="339">
          <cell r="AK339">
            <v>0</v>
          </cell>
          <cell r="AL339">
            <v>0</v>
          </cell>
        </row>
        <row r="340">
          <cell r="AK340">
            <v>0</v>
          </cell>
        </row>
        <row r="341">
          <cell r="AK341">
            <v>0</v>
          </cell>
          <cell r="AL341">
            <v>0</v>
          </cell>
        </row>
        <row r="342">
          <cell r="AK342">
            <v>-1300</v>
          </cell>
          <cell r="AL342">
            <v>-1300</v>
          </cell>
        </row>
        <row r="343">
          <cell r="AK343">
            <v>0</v>
          </cell>
          <cell r="AL343">
            <v>0</v>
          </cell>
        </row>
        <row r="344">
          <cell r="AK344">
            <v>0</v>
          </cell>
          <cell r="AL344">
            <v>0</v>
          </cell>
        </row>
        <row r="345">
          <cell r="AK345">
            <v>0</v>
          </cell>
          <cell r="AL345">
            <v>0</v>
          </cell>
        </row>
        <row r="346">
          <cell r="AK346">
            <v>0</v>
          </cell>
          <cell r="AL346">
            <v>0</v>
          </cell>
        </row>
        <row r="347">
          <cell r="AK347" t="e">
            <v>#REF!</v>
          </cell>
          <cell r="AL347" t="e">
            <v>#REF!</v>
          </cell>
        </row>
        <row r="348">
          <cell r="AK348" t="e">
            <v>#REF!</v>
          </cell>
          <cell r="AL348" t="e">
            <v>#REF!</v>
          </cell>
        </row>
        <row r="349">
          <cell r="AK349" t="e">
            <v>#REF!</v>
          </cell>
          <cell r="AL349" t="e">
            <v>#REF!</v>
          </cell>
        </row>
        <row r="350">
          <cell r="AK350">
            <v>1110</v>
          </cell>
        </row>
        <row r="351">
          <cell r="AK351">
            <v>0</v>
          </cell>
        </row>
        <row r="352">
          <cell r="P352">
            <v>225</v>
          </cell>
          <cell r="S352">
            <v>296</v>
          </cell>
          <cell r="X352">
            <v>56</v>
          </cell>
          <cell r="AC352">
            <v>95</v>
          </cell>
          <cell r="AF352">
            <v>317.8</v>
          </cell>
          <cell r="AG352">
            <v>317.8</v>
          </cell>
          <cell r="AH352">
            <v>0</v>
          </cell>
          <cell r="AK352">
            <v>0</v>
          </cell>
          <cell r="AL352">
            <v>0</v>
          </cell>
        </row>
        <row r="353">
          <cell r="AK353" t="e">
            <v>#REF!</v>
          </cell>
          <cell r="AL353" t="e">
            <v>#REF!</v>
          </cell>
        </row>
        <row r="354">
          <cell r="F354">
            <v>0</v>
          </cell>
          <cell r="P354">
            <v>0</v>
          </cell>
          <cell r="S354">
            <v>0</v>
          </cell>
          <cell r="X354">
            <v>0</v>
          </cell>
          <cell r="AC354">
            <v>0</v>
          </cell>
          <cell r="AF354">
            <v>0</v>
          </cell>
          <cell r="AG354">
            <v>0</v>
          </cell>
          <cell r="AH354">
            <v>0</v>
          </cell>
          <cell r="AI354">
            <v>0</v>
          </cell>
          <cell r="AK354">
            <v>0</v>
          </cell>
          <cell r="AL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L357">
            <v>0</v>
          </cell>
        </row>
        <row r="358">
          <cell r="AJ358">
            <v>-2491</v>
          </cell>
          <cell r="AK358">
            <v>0</v>
          </cell>
          <cell r="AL358">
            <v>0</v>
          </cell>
        </row>
        <row r="359">
          <cell r="AK359">
            <v>0</v>
          </cell>
          <cell r="AL359">
            <v>0</v>
          </cell>
        </row>
        <row r="360">
          <cell r="AK360">
            <v>0</v>
          </cell>
          <cell r="AL360">
            <v>0</v>
          </cell>
        </row>
        <row r="361">
          <cell r="AJ361">
            <v>-2491</v>
          </cell>
          <cell r="AK361" t="e">
            <v>#REF!</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t="str">
            <v>лютий</v>
          </cell>
          <cell r="G386">
            <v>35</v>
          </cell>
          <cell r="H386">
            <v>35</v>
          </cell>
          <cell r="P386" t="str">
            <v>лютий</v>
          </cell>
          <cell r="S386">
            <v>14.333333333333332</v>
          </cell>
          <cell r="X386" t="str">
            <v>лютий</v>
          </cell>
          <cell r="Y386">
            <v>56</v>
          </cell>
          <cell r="Z386">
            <v>56</v>
          </cell>
          <cell r="AC386" t="str">
            <v>лютий</v>
          </cell>
          <cell r="AD386">
            <v>106</v>
          </cell>
          <cell r="AE386">
            <v>105</v>
          </cell>
          <cell r="AK386">
            <v>735.30000000000018</v>
          </cell>
          <cell r="AL386">
            <v>305.73333333333335</v>
          </cell>
        </row>
        <row r="387">
          <cell r="F387" t="str">
            <v>АППАРАТ</v>
          </cell>
          <cell r="G387">
            <v>6</v>
          </cell>
          <cell r="P387" t="str">
            <v>ККМ</v>
          </cell>
          <cell r="X387" t="str">
            <v>ТЕЦ5</v>
          </cell>
          <cell r="Y387">
            <v>0</v>
          </cell>
          <cell r="AC387" t="str">
            <v>ТЕЦ6</v>
          </cell>
          <cell r="AD387">
            <v>1</v>
          </cell>
          <cell r="AK387" t="str">
            <v>АК "КЕ"</v>
          </cell>
          <cell r="AL387">
            <v>10</v>
          </cell>
        </row>
        <row r="388">
          <cell r="F388" t="str">
            <v>ПЛАН</v>
          </cell>
          <cell r="G388">
            <v>0</v>
          </cell>
          <cell r="P388" t="str">
            <v>ПЛАН</v>
          </cell>
          <cell r="X388" t="str">
            <v>ПЛАН</v>
          </cell>
          <cell r="Y388">
            <v>45</v>
          </cell>
          <cell r="AC388" t="str">
            <v>ПЛАН</v>
          </cell>
          <cell r="AD388">
            <v>92</v>
          </cell>
          <cell r="AK388" t="str">
            <v>ПЛАН</v>
          </cell>
          <cell r="AL388">
            <v>137.66666666666666</v>
          </cell>
        </row>
        <row r="389">
          <cell r="F389">
            <v>164.3</v>
          </cell>
          <cell r="G389" t="e">
            <v>#REF!</v>
          </cell>
          <cell r="H389" t="e">
            <v>#REF!</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row>
        <row r="390">
          <cell r="F390">
            <v>29</v>
          </cell>
          <cell r="G390" t="e">
            <v>#REF!</v>
          </cell>
          <cell r="P390">
            <v>0</v>
          </cell>
          <cell r="X390">
            <v>0</v>
          </cell>
          <cell r="Y390">
            <v>0</v>
          </cell>
          <cell r="AC390">
            <v>3.6666666666666665</v>
          </cell>
          <cell r="AD390">
            <v>2</v>
          </cell>
          <cell r="AK390">
            <v>46</v>
          </cell>
          <cell r="AL390">
            <v>8</v>
          </cell>
        </row>
        <row r="391">
          <cell r="F391">
            <v>0</v>
          </cell>
          <cell r="G391" t="e">
            <v>#REF!</v>
          </cell>
          <cell r="P391">
            <v>0.66666666666666663</v>
          </cell>
          <cell r="X391">
            <v>146.66666666666666</v>
          </cell>
          <cell r="Y391">
            <v>61</v>
          </cell>
          <cell r="AC391">
            <v>280.66666666666669</v>
          </cell>
          <cell r="AD391">
            <v>128</v>
          </cell>
          <cell r="AK391">
            <v>428</v>
          </cell>
          <cell r="AL391">
            <v>28</v>
          </cell>
        </row>
        <row r="392">
          <cell r="F392">
            <v>0</v>
          </cell>
          <cell r="G392" t="e">
            <v>#REF!</v>
          </cell>
          <cell r="P392">
            <v>2</v>
          </cell>
          <cell r="X392">
            <v>0</v>
          </cell>
          <cell r="Y392">
            <v>0</v>
          </cell>
          <cell r="AC392">
            <v>25</v>
          </cell>
          <cell r="AD392">
            <v>11</v>
          </cell>
          <cell r="AK392">
            <v>33.666666666666671</v>
          </cell>
          <cell r="AL392">
            <v>0</v>
          </cell>
        </row>
        <row r="393">
          <cell r="F393">
            <v>0</v>
          </cell>
          <cell r="G393" t="e">
            <v>#REF!</v>
          </cell>
          <cell r="P393">
            <v>0</v>
          </cell>
          <cell r="X393">
            <v>25.333333333333332</v>
          </cell>
          <cell r="Y393">
            <v>11</v>
          </cell>
          <cell r="AC393">
            <v>0.66666666666666663</v>
          </cell>
          <cell r="AD393">
            <v>0</v>
          </cell>
          <cell r="AK393">
            <v>26</v>
          </cell>
          <cell r="AL393">
            <v>15.333333333333332</v>
          </cell>
        </row>
        <row r="394">
          <cell r="F394">
            <v>120.63333333333333</v>
          </cell>
          <cell r="G394" t="e">
            <v>#REF!</v>
          </cell>
          <cell r="P394">
            <v>0</v>
          </cell>
          <cell r="X394">
            <v>0</v>
          </cell>
          <cell r="Y394">
            <v>0</v>
          </cell>
          <cell r="AC394">
            <v>0</v>
          </cell>
          <cell r="AD394">
            <v>0</v>
          </cell>
          <cell r="AK394">
            <v>120.63333333333333</v>
          </cell>
          <cell r="AL394">
            <v>1</v>
          </cell>
        </row>
        <row r="395">
          <cell r="F395">
            <v>8.6666666666666661</v>
          </cell>
          <cell r="G395" t="e">
            <v>#REF!</v>
          </cell>
          <cell r="P395">
            <v>0</v>
          </cell>
          <cell r="X395">
            <v>0</v>
          </cell>
          <cell r="Y395">
            <v>0</v>
          </cell>
          <cell r="AC395">
            <v>0</v>
          </cell>
          <cell r="AD395">
            <v>0</v>
          </cell>
          <cell r="AK395">
            <v>8.6666666666666661</v>
          </cell>
          <cell r="AL395">
            <v>4.333333333333333</v>
          </cell>
        </row>
        <row r="396">
          <cell r="F396">
            <v>0</v>
          </cell>
          <cell r="G396" t="e">
            <v>#REF!</v>
          </cell>
          <cell r="P396">
            <v>5.333333333333333</v>
          </cell>
          <cell r="X396">
            <v>0</v>
          </cell>
          <cell r="Y396">
            <v>0</v>
          </cell>
          <cell r="AC396">
            <v>0</v>
          </cell>
          <cell r="AD396">
            <v>0</v>
          </cell>
          <cell r="AK396">
            <v>22</v>
          </cell>
          <cell r="AL396">
            <v>9</v>
          </cell>
        </row>
        <row r="397">
          <cell r="F397">
            <v>5.333333333333333</v>
          </cell>
          <cell r="G397" t="e">
            <v>#REF!</v>
          </cell>
          <cell r="P397">
            <v>0</v>
          </cell>
          <cell r="X397">
            <v>0</v>
          </cell>
          <cell r="Y397">
            <v>0</v>
          </cell>
          <cell r="AC397">
            <v>0</v>
          </cell>
          <cell r="AD397">
            <v>0</v>
          </cell>
          <cell r="AK397">
            <v>5.333333333333333</v>
          </cell>
          <cell r="AL397">
            <v>2</v>
          </cell>
        </row>
        <row r="398">
          <cell r="F398">
            <v>0.33333333333333331</v>
          </cell>
          <cell r="G398" t="e">
            <v>#REF!</v>
          </cell>
          <cell r="P398">
            <v>4.333333333333333</v>
          </cell>
          <cell r="X398">
            <v>0</v>
          </cell>
          <cell r="Y398">
            <v>0</v>
          </cell>
          <cell r="AC398">
            <v>0</v>
          </cell>
          <cell r="AD398">
            <v>0</v>
          </cell>
          <cell r="AK398">
            <v>4.6666666666666661</v>
          </cell>
          <cell r="AL398">
            <v>196.5</v>
          </cell>
        </row>
        <row r="399">
          <cell r="F399">
            <v>0.33333333333333331</v>
          </cell>
          <cell r="G399" t="e">
            <v>#REF!</v>
          </cell>
          <cell r="P399">
            <v>2</v>
          </cell>
          <cell r="X399">
            <v>10</v>
          </cell>
          <cell r="Y399">
            <v>4</v>
          </cell>
          <cell r="AC399">
            <v>13.666666666666666</v>
          </cell>
          <cell r="AD399">
            <v>6</v>
          </cell>
          <cell r="AK399">
            <v>26</v>
          </cell>
          <cell r="AL399">
            <v>0</v>
          </cell>
        </row>
        <row r="400">
          <cell r="F400">
            <v>0</v>
          </cell>
          <cell r="G400" t="e">
            <v>#REF!</v>
          </cell>
          <cell r="P400">
            <v>0</v>
          </cell>
          <cell r="X400">
            <v>0</v>
          </cell>
          <cell r="Y400">
            <v>0</v>
          </cell>
          <cell r="AC400">
            <v>0</v>
          </cell>
          <cell r="AD400">
            <v>0</v>
          </cell>
          <cell r="AK400">
            <v>0</v>
          </cell>
          <cell r="AL400">
            <v>153</v>
          </cell>
        </row>
        <row r="401">
          <cell r="F401">
            <v>1.1666666666666667</v>
          </cell>
          <cell r="G401" t="e">
            <v>#REF!</v>
          </cell>
          <cell r="P401">
            <v>20.5</v>
          </cell>
          <cell r="X401">
            <v>522.33333333333337</v>
          </cell>
          <cell r="Y401">
            <v>217</v>
          </cell>
          <cell r="AC401">
            <v>43</v>
          </cell>
          <cell r="AD401">
            <v>20</v>
          </cell>
          <cell r="AK401">
            <v>587.33333333333337</v>
          </cell>
          <cell r="AL401" t="e">
            <v>#REF!</v>
          </cell>
        </row>
        <row r="402">
          <cell r="F402">
            <v>0</v>
          </cell>
          <cell r="G402" t="e">
            <v>#REF!</v>
          </cell>
          <cell r="P402">
            <v>0</v>
          </cell>
          <cell r="X402">
            <v>0</v>
          </cell>
          <cell r="Y402">
            <v>0</v>
          </cell>
          <cell r="AC402">
            <v>0</v>
          </cell>
          <cell r="AD402">
            <v>0</v>
          </cell>
          <cell r="AK402">
            <v>0</v>
          </cell>
          <cell r="AL402">
            <v>43.833333333333336</v>
          </cell>
        </row>
        <row r="403">
          <cell r="F403">
            <v>0</v>
          </cell>
          <cell r="G403" t="e">
            <v>#REF!</v>
          </cell>
          <cell r="P403">
            <v>0</v>
          </cell>
          <cell r="X403">
            <v>480.66666666666669</v>
          </cell>
          <cell r="Y403">
            <v>200</v>
          </cell>
          <cell r="AC403">
            <v>11</v>
          </cell>
          <cell r="AD403">
            <v>5</v>
          </cell>
          <cell r="AK403">
            <v>491.66666666666669</v>
          </cell>
          <cell r="AL403">
            <v>0</v>
          </cell>
        </row>
        <row r="404">
          <cell r="F404">
            <v>0</v>
          </cell>
          <cell r="G404" t="e">
            <v>#REF!</v>
          </cell>
          <cell r="P404">
            <v>0</v>
          </cell>
          <cell r="X404">
            <v>0</v>
          </cell>
          <cell r="Y404">
            <v>0</v>
          </cell>
          <cell r="AC404">
            <v>0</v>
          </cell>
          <cell r="AD404">
            <v>0</v>
          </cell>
          <cell r="AK404">
            <v>0</v>
          </cell>
          <cell r="AL404">
            <v>0</v>
          </cell>
        </row>
        <row r="405">
          <cell r="F405">
            <v>1.1666666666666667</v>
          </cell>
          <cell r="G405" t="e">
            <v>#REF!</v>
          </cell>
          <cell r="P405">
            <v>15.833333333333334</v>
          </cell>
          <cell r="X405">
            <v>41.666666666666664</v>
          </cell>
          <cell r="Y405">
            <v>17</v>
          </cell>
          <cell r="AC405">
            <v>32</v>
          </cell>
          <cell r="AD405">
            <v>15</v>
          </cell>
          <cell r="AK405">
            <v>91</v>
          </cell>
          <cell r="AL405">
            <v>41</v>
          </cell>
        </row>
        <row r="406">
          <cell r="F406">
            <v>0</v>
          </cell>
          <cell r="G406" t="e">
            <v>#REF!</v>
          </cell>
          <cell r="P406">
            <v>4.666666666666667</v>
          </cell>
          <cell r="X406">
            <v>0</v>
          </cell>
          <cell r="Y406">
            <v>0</v>
          </cell>
          <cell r="AC406">
            <v>0</v>
          </cell>
          <cell r="AD406">
            <v>0</v>
          </cell>
          <cell r="AK406">
            <v>4.666666666666667</v>
          </cell>
          <cell r="AL406">
            <v>4.3333333333333339</v>
          </cell>
        </row>
        <row r="407">
          <cell r="F407">
            <v>0</v>
          </cell>
          <cell r="G407" t="e">
            <v>#REF!</v>
          </cell>
          <cell r="P407">
            <v>0</v>
          </cell>
          <cell r="X407">
            <v>0</v>
          </cell>
          <cell r="Y407">
            <v>0</v>
          </cell>
          <cell r="AC407">
            <v>0</v>
          </cell>
          <cell r="AD407">
            <v>0</v>
          </cell>
          <cell r="AK407">
            <v>0</v>
          </cell>
          <cell r="AL407">
            <v>37.666666666666664</v>
          </cell>
        </row>
        <row r="408">
          <cell r="F408">
            <v>10</v>
          </cell>
          <cell r="G408" t="e">
            <v>#REF!</v>
          </cell>
          <cell r="P408">
            <v>39</v>
          </cell>
          <cell r="X408">
            <v>0</v>
          </cell>
          <cell r="Y408">
            <v>0</v>
          </cell>
          <cell r="AC408">
            <v>0</v>
          </cell>
          <cell r="AD408">
            <v>0</v>
          </cell>
          <cell r="AK408">
            <v>49</v>
          </cell>
          <cell r="AL408" t="e">
            <v>#REF!</v>
          </cell>
        </row>
        <row r="409">
          <cell r="F409">
            <v>2.6666666666666665</v>
          </cell>
          <cell r="G409" t="e">
            <v>#REF!</v>
          </cell>
          <cell r="H409">
            <v>43</v>
          </cell>
          <cell r="P409">
            <v>3.3333333333333335</v>
          </cell>
          <cell r="S409">
            <v>50.166666666666671</v>
          </cell>
          <cell r="X409">
            <v>0</v>
          </cell>
          <cell r="Y409">
            <v>0</v>
          </cell>
          <cell r="AC409">
            <v>0</v>
          </cell>
          <cell r="AD409">
            <v>0</v>
          </cell>
          <cell r="AK409">
            <v>6</v>
          </cell>
          <cell r="AL409">
            <v>373.16666666666663</v>
          </cell>
        </row>
        <row r="410">
          <cell r="F410">
            <v>7.333333333333333</v>
          </cell>
          <cell r="G410" t="e">
            <v>#REF!</v>
          </cell>
          <cell r="P410">
            <v>35.666666666666664</v>
          </cell>
          <cell r="X410">
            <v>0</v>
          </cell>
          <cell r="Y410">
            <v>0</v>
          </cell>
          <cell r="AC410">
            <v>0</v>
          </cell>
          <cell r="AD410">
            <v>0</v>
          </cell>
          <cell r="AK410">
            <v>43</v>
          </cell>
          <cell r="AL410">
            <v>0</v>
          </cell>
        </row>
        <row r="411">
          <cell r="F411">
            <v>0</v>
          </cell>
          <cell r="G411" t="e">
            <v>#REF!</v>
          </cell>
          <cell r="P411">
            <v>0</v>
          </cell>
          <cell r="X411">
            <v>0</v>
          </cell>
          <cell r="Y411">
            <v>0</v>
          </cell>
          <cell r="AC411">
            <v>0</v>
          </cell>
          <cell r="AD411">
            <v>0</v>
          </cell>
          <cell r="AK411">
            <v>0</v>
          </cell>
          <cell r="AL411">
            <v>95</v>
          </cell>
        </row>
        <row r="412">
          <cell r="F412">
            <v>206.33333333333329</v>
          </cell>
          <cell r="G412" t="e">
            <v>#REF!</v>
          </cell>
          <cell r="H412" t="e">
            <v>#REF!</v>
          </cell>
          <cell r="P412">
            <v>50.166666666666671</v>
          </cell>
          <cell r="S412">
            <v>50.166666666666671</v>
          </cell>
          <cell r="X412">
            <v>37.833333333333343</v>
          </cell>
          <cell r="Y412">
            <v>16</v>
          </cell>
          <cell r="AC412">
            <v>26.000000000000004</v>
          </cell>
          <cell r="AD412">
            <v>12</v>
          </cell>
          <cell r="AK412">
            <v>1965.0000000000002</v>
          </cell>
          <cell r="AL412" t="e">
            <v>#REF!</v>
          </cell>
        </row>
        <row r="413">
          <cell r="F413">
            <v>0</v>
          </cell>
          <cell r="G413" t="e">
            <v>#REF!</v>
          </cell>
          <cell r="P413">
            <v>0</v>
          </cell>
          <cell r="X413">
            <v>0</v>
          </cell>
          <cell r="Y413">
            <v>0</v>
          </cell>
          <cell r="AC413">
            <v>0</v>
          </cell>
          <cell r="AD413">
            <v>0</v>
          </cell>
          <cell r="AK413">
            <v>1350</v>
          </cell>
          <cell r="AL413">
            <v>12.333333333333334</v>
          </cell>
        </row>
        <row r="414">
          <cell r="F414">
            <v>0</v>
          </cell>
          <cell r="G414" t="e">
            <v>#REF!</v>
          </cell>
          <cell r="P414">
            <v>0</v>
          </cell>
          <cell r="X414">
            <v>0</v>
          </cell>
          <cell r="Y414">
            <v>0</v>
          </cell>
          <cell r="AC414">
            <v>0</v>
          </cell>
          <cell r="AD414">
            <v>0</v>
          </cell>
          <cell r="AK414">
            <v>95</v>
          </cell>
          <cell r="AL414">
            <v>0</v>
          </cell>
        </row>
        <row r="415">
          <cell r="F415">
            <v>0</v>
          </cell>
          <cell r="G415" t="e">
            <v>#REF!</v>
          </cell>
          <cell r="P415">
            <v>0</v>
          </cell>
          <cell r="X415">
            <v>0</v>
          </cell>
          <cell r="Y415">
            <v>0</v>
          </cell>
          <cell r="AC415">
            <v>0</v>
          </cell>
          <cell r="AD415">
            <v>0</v>
          </cell>
          <cell r="AK415">
            <v>0</v>
          </cell>
          <cell r="AL415">
            <v>47</v>
          </cell>
        </row>
        <row r="416">
          <cell r="F416">
            <v>0</v>
          </cell>
          <cell r="G416" t="e">
            <v>#REF!</v>
          </cell>
          <cell r="P416">
            <v>12.333333333333334</v>
          </cell>
          <cell r="X416">
            <v>0</v>
          </cell>
          <cell r="Y416">
            <v>0</v>
          </cell>
          <cell r="AC416">
            <v>0</v>
          </cell>
          <cell r="AD416">
            <v>0</v>
          </cell>
          <cell r="AK416">
            <v>12.333333333333334</v>
          </cell>
          <cell r="AL416">
            <v>0</v>
          </cell>
        </row>
        <row r="417">
          <cell r="F417">
            <v>0</v>
          </cell>
          <cell r="G417" t="e">
            <v>#REF!</v>
          </cell>
          <cell r="P417">
            <v>0</v>
          </cell>
          <cell r="X417">
            <v>0</v>
          </cell>
          <cell r="Y417">
            <v>0</v>
          </cell>
          <cell r="AC417">
            <v>0</v>
          </cell>
          <cell r="AD417">
            <v>0</v>
          </cell>
          <cell r="AK417">
            <v>0</v>
          </cell>
          <cell r="AL417">
            <v>0</v>
          </cell>
        </row>
        <row r="418">
          <cell r="F418">
            <v>1.6666666666666667</v>
          </cell>
          <cell r="G418" t="e">
            <v>#REF!</v>
          </cell>
          <cell r="P418">
            <v>5</v>
          </cell>
          <cell r="X418">
            <v>3</v>
          </cell>
          <cell r="Y418">
            <v>1</v>
          </cell>
          <cell r="AC418">
            <v>3</v>
          </cell>
          <cell r="AD418">
            <v>1</v>
          </cell>
          <cell r="AK418">
            <v>57.666666666666664</v>
          </cell>
          <cell r="AL418">
            <v>23.5</v>
          </cell>
        </row>
        <row r="419">
          <cell r="F419">
            <v>0</v>
          </cell>
          <cell r="G419" t="e">
            <v>#REF!</v>
          </cell>
          <cell r="P419">
            <v>0</v>
          </cell>
          <cell r="X419">
            <v>0</v>
          </cell>
          <cell r="Y419">
            <v>0</v>
          </cell>
          <cell r="AC419">
            <v>0</v>
          </cell>
          <cell r="AD419">
            <v>0</v>
          </cell>
          <cell r="AK419">
            <v>4</v>
          </cell>
          <cell r="AL419">
            <v>52.333333333333336</v>
          </cell>
        </row>
        <row r="420">
          <cell r="F420">
            <v>0</v>
          </cell>
          <cell r="G420" t="e">
            <v>#REF!</v>
          </cell>
          <cell r="P420">
            <v>0</v>
          </cell>
          <cell r="X420">
            <v>0</v>
          </cell>
          <cell r="Y420">
            <v>0</v>
          </cell>
          <cell r="AC420">
            <v>0</v>
          </cell>
          <cell r="AD420">
            <v>0</v>
          </cell>
          <cell r="AK420">
            <v>0</v>
          </cell>
          <cell r="AL420">
            <v>38</v>
          </cell>
        </row>
        <row r="421">
          <cell r="F421">
            <v>0</v>
          </cell>
          <cell r="G421" t="e">
            <v>#REF!</v>
          </cell>
          <cell r="P421">
            <v>18.5</v>
          </cell>
          <cell r="X421">
            <v>4.5</v>
          </cell>
          <cell r="Y421">
            <v>2</v>
          </cell>
          <cell r="AC421">
            <v>1.3333333333333333</v>
          </cell>
          <cell r="AD421">
            <v>1</v>
          </cell>
          <cell r="AK421">
            <v>28.5</v>
          </cell>
          <cell r="AL421">
            <v>6</v>
          </cell>
        </row>
        <row r="422">
          <cell r="F422">
            <v>0</v>
          </cell>
          <cell r="G422" t="e">
            <v>#REF!</v>
          </cell>
          <cell r="P422">
            <v>1.3333333333333333</v>
          </cell>
          <cell r="X422">
            <v>0</v>
          </cell>
          <cell r="Y422">
            <v>0</v>
          </cell>
          <cell r="AC422">
            <v>1.6666666666666667</v>
          </cell>
          <cell r="AD422">
            <v>1</v>
          </cell>
          <cell r="AK422">
            <v>69</v>
          </cell>
          <cell r="AL422">
            <v>2</v>
          </cell>
        </row>
        <row r="423">
          <cell r="F423">
            <v>177</v>
          </cell>
          <cell r="G423" t="e">
            <v>#REF!</v>
          </cell>
          <cell r="P423">
            <v>0</v>
          </cell>
          <cell r="X423">
            <v>0</v>
          </cell>
          <cell r="Y423">
            <v>0</v>
          </cell>
          <cell r="AC423">
            <v>0</v>
          </cell>
          <cell r="AD423">
            <v>0</v>
          </cell>
          <cell r="AK423">
            <v>177</v>
          </cell>
          <cell r="AL423">
            <v>3.3333333333333335</v>
          </cell>
        </row>
        <row r="424">
          <cell r="F424">
            <v>0</v>
          </cell>
          <cell r="G424" t="e">
            <v>#REF!</v>
          </cell>
          <cell r="P424">
            <v>0</v>
          </cell>
          <cell r="X424">
            <v>10</v>
          </cell>
          <cell r="Y424">
            <v>4</v>
          </cell>
          <cell r="AC424">
            <v>7.666666666666667</v>
          </cell>
          <cell r="AD424">
            <v>4</v>
          </cell>
          <cell r="AK424">
            <v>17.666666666666668</v>
          </cell>
          <cell r="AL424">
            <v>6.3333333333333339</v>
          </cell>
        </row>
        <row r="425">
          <cell r="F425">
            <v>0.66666666666666663</v>
          </cell>
          <cell r="G425" t="e">
            <v>#REF!</v>
          </cell>
          <cell r="P425">
            <v>2</v>
          </cell>
          <cell r="X425">
            <v>1.3333333333333333</v>
          </cell>
          <cell r="Y425">
            <v>1</v>
          </cell>
          <cell r="AC425">
            <v>1</v>
          </cell>
          <cell r="AD425">
            <v>0</v>
          </cell>
          <cell r="AK425">
            <v>6</v>
          </cell>
          <cell r="AL425">
            <v>0</v>
          </cell>
        </row>
        <row r="426">
          <cell r="F426">
            <v>2.6666666666666665</v>
          </cell>
          <cell r="G426" t="e">
            <v>#REF!</v>
          </cell>
          <cell r="P426">
            <v>0.33333333333333331</v>
          </cell>
          <cell r="X426">
            <v>1</v>
          </cell>
          <cell r="Y426">
            <v>0</v>
          </cell>
          <cell r="AC426">
            <v>0.66666666666666663</v>
          </cell>
          <cell r="AD426">
            <v>0</v>
          </cell>
          <cell r="AK426">
            <v>9.3333333333333339</v>
          </cell>
          <cell r="AL426">
            <v>0</v>
          </cell>
        </row>
        <row r="427">
          <cell r="F427">
            <v>0</v>
          </cell>
          <cell r="G427" t="e">
            <v>#REF!</v>
          </cell>
          <cell r="P427">
            <v>2.3333333333333335</v>
          </cell>
          <cell r="X427">
            <v>6</v>
          </cell>
          <cell r="Y427">
            <v>2</v>
          </cell>
          <cell r="AC427">
            <v>5</v>
          </cell>
          <cell r="AD427">
            <v>2</v>
          </cell>
          <cell r="AK427">
            <v>13.333333333333334</v>
          </cell>
          <cell r="AL427">
            <v>4</v>
          </cell>
        </row>
        <row r="428">
          <cell r="F428">
            <v>0</v>
          </cell>
          <cell r="G428" t="e">
            <v>#REF!</v>
          </cell>
          <cell r="P428">
            <v>0</v>
          </cell>
          <cell r="X428">
            <v>0</v>
          </cell>
          <cell r="Y428">
            <v>0</v>
          </cell>
          <cell r="AC428">
            <v>0</v>
          </cell>
          <cell r="AD428">
            <v>0</v>
          </cell>
          <cell r="AK428">
            <v>0</v>
          </cell>
          <cell r="AL428">
            <v>0</v>
          </cell>
        </row>
        <row r="429">
          <cell r="F429">
            <v>0</v>
          </cell>
          <cell r="G429" t="e">
            <v>#REF!</v>
          </cell>
          <cell r="P429">
            <v>0</v>
          </cell>
          <cell r="X429">
            <v>0</v>
          </cell>
          <cell r="Y429">
            <v>0</v>
          </cell>
          <cell r="AC429">
            <v>0</v>
          </cell>
          <cell r="AD429">
            <v>0</v>
          </cell>
          <cell r="AK429">
            <v>0</v>
          </cell>
          <cell r="AL429">
            <v>0.66666666666666663</v>
          </cell>
        </row>
        <row r="430">
          <cell r="F430">
            <v>9.6666666666666661</v>
          </cell>
          <cell r="G430" t="e">
            <v>#REF!</v>
          </cell>
          <cell r="P430">
            <v>1</v>
          </cell>
          <cell r="X430">
            <v>0</v>
          </cell>
          <cell r="Y430">
            <v>0</v>
          </cell>
          <cell r="AC430">
            <v>0</v>
          </cell>
          <cell r="AD430">
            <v>0</v>
          </cell>
          <cell r="AK430">
            <v>12</v>
          </cell>
          <cell r="AL430">
            <v>0.66666666666666663</v>
          </cell>
        </row>
        <row r="431">
          <cell r="F431">
            <v>0</v>
          </cell>
          <cell r="G431" t="e">
            <v>#REF!</v>
          </cell>
          <cell r="P431">
            <v>0</v>
          </cell>
          <cell r="X431">
            <v>0</v>
          </cell>
          <cell r="Y431">
            <v>0</v>
          </cell>
          <cell r="AC431">
            <v>0</v>
          </cell>
          <cell r="AD431">
            <v>0</v>
          </cell>
          <cell r="AK431">
            <v>0</v>
          </cell>
          <cell r="AL431">
            <v>17.666666666666668</v>
          </cell>
        </row>
        <row r="432">
          <cell r="F432">
            <v>2.3333333333333335</v>
          </cell>
          <cell r="G432" t="e">
            <v>#REF!</v>
          </cell>
          <cell r="P432">
            <v>0.66666666666666663</v>
          </cell>
          <cell r="X432">
            <v>0.66666666666666663</v>
          </cell>
          <cell r="Y432">
            <v>0</v>
          </cell>
          <cell r="AC432">
            <v>0.66666666666666663</v>
          </cell>
          <cell r="AD432">
            <v>0</v>
          </cell>
          <cell r="AK432">
            <v>4.333333333333333</v>
          </cell>
          <cell r="AL432">
            <v>0</v>
          </cell>
        </row>
        <row r="433">
          <cell r="F433">
            <v>1.6666666666666667</v>
          </cell>
          <cell r="G433" t="e">
            <v>#REF!</v>
          </cell>
          <cell r="P433">
            <v>0.66666666666666663</v>
          </cell>
          <cell r="X433">
            <v>0.66666666666666663</v>
          </cell>
          <cell r="Y433">
            <v>0</v>
          </cell>
          <cell r="AC433">
            <v>0.66666666666666663</v>
          </cell>
          <cell r="AD433">
            <v>0</v>
          </cell>
          <cell r="AK433">
            <v>3.6666666666666665</v>
          </cell>
          <cell r="AL433">
            <v>53</v>
          </cell>
        </row>
        <row r="434">
          <cell r="F434">
            <v>6.666666666666667</v>
          </cell>
          <cell r="G434" t="e">
            <v>#REF!</v>
          </cell>
          <cell r="P434">
            <v>4.666666666666667</v>
          </cell>
          <cell r="X434">
            <v>3</v>
          </cell>
          <cell r="Y434">
            <v>1</v>
          </cell>
          <cell r="AC434">
            <v>2</v>
          </cell>
          <cell r="AD434">
            <v>1</v>
          </cell>
          <cell r="AK434">
            <v>33</v>
          </cell>
          <cell r="AL434">
            <v>1</v>
          </cell>
        </row>
        <row r="435">
          <cell r="F435">
            <v>0</v>
          </cell>
          <cell r="G435" t="e">
            <v>#REF!</v>
          </cell>
          <cell r="P435">
            <v>0</v>
          </cell>
          <cell r="X435">
            <v>0</v>
          </cell>
          <cell r="Y435">
            <v>0</v>
          </cell>
          <cell r="AC435">
            <v>0</v>
          </cell>
          <cell r="AD435">
            <v>0</v>
          </cell>
          <cell r="AK435">
            <v>0</v>
          </cell>
          <cell r="AL435">
            <v>0</v>
          </cell>
        </row>
        <row r="436">
          <cell r="F436">
            <v>0</v>
          </cell>
          <cell r="G436" t="e">
            <v>#REF!</v>
          </cell>
          <cell r="P436">
            <v>0</v>
          </cell>
          <cell r="X436">
            <v>0</v>
          </cell>
          <cell r="Y436">
            <v>0</v>
          </cell>
          <cell r="AC436">
            <v>0</v>
          </cell>
          <cell r="AD436">
            <v>0</v>
          </cell>
          <cell r="AK436">
            <v>0</v>
          </cell>
          <cell r="AL436">
            <v>0</v>
          </cell>
        </row>
        <row r="437">
          <cell r="F437">
            <v>1</v>
          </cell>
          <cell r="G437" t="e">
            <v>#REF!</v>
          </cell>
          <cell r="P437">
            <v>0</v>
          </cell>
          <cell r="X437">
            <v>0</v>
          </cell>
          <cell r="Y437">
            <v>0</v>
          </cell>
          <cell r="AC437">
            <v>0</v>
          </cell>
          <cell r="AD437">
            <v>0</v>
          </cell>
          <cell r="AK437">
            <v>1</v>
          </cell>
          <cell r="AL437">
            <v>7</v>
          </cell>
        </row>
        <row r="438">
          <cell r="F438">
            <v>0</v>
          </cell>
          <cell r="G438" t="e">
            <v>#REF!</v>
          </cell>
          <cell r="P438">
            <v>0</v>
          </cell>
          <cell r="X438">
            <v>0</v>
          </cell>
          <cell r="Y438">
            <v>0</v>
          </cell>
          <cell r="AC438">
            <v>0</v>
          </cell>
          <cell r="AD438">
            <v>0</v>
          </cell>
          <cell r="AK438">
            <v>0</v>
          </cell>
          <cell r="AL438">
            <v>0</v>
          </cell>
        </row>
        <row r="439">
          <cell r="F439">
            <v>0</v>
          </cell>
          <cell r="G439" t="e">
            <v>#REF!</v>
          </cell>
          <cell r="P439">
            <v>0</v>
          </cell>
          <cell r="X439">
            <v>0</v>
          </cell>
          <cell r="Y439">
            <v>0</v>
          </cell>
          <cell r="AC439">
            <v>0</v>
          </cell>
          <cell r="AD439">
            <v>0</v>
          </cell>
          <cell r="AK439">
            <v>0</v>
          </cell>
          <cell r="AL439">
            <v>1</v>
          </cell>
        </row>
        <row r="440">
          <cell r="F440">
            <v>2.6666666666666665</v>
          </cell>
          <cell r="G440" t="e">
            <v>#REF!</v>
          </cell>
          <cell r="P440">
            <v>1</v>
          </cell>
          <cell r="X440">
            <v>4</v>
          </cell>
          <cell r="Y440">
            <v>2</v>
          </cell>
          <cell r="AC440">
            <v>2</v>
          </cell>
          <cell r="AD440">
            <v>1</v>
          </cell>
          <cell r="AK440">
            <v>15.666666666666666</v>
          </cell>
          <cell r="AL440">
            <v>0.33333333333333331</v>
          </cell>
        </row>
        <row r="441">
          <cell r="F441">
            <v>0</v>
          </cell>
          <cell r="G441" t="e">
            <v>#REF!</v>
          </cell>
          <cell r="P441">
            <v>0</v>
          </cell>
          <cell r="X441">
            <v>0</v>
          </cell>
          <cell r="Y441">
            <v>0</v>
          </cell>
          <cell r="AC441">
            <v>0</v>
          </cell>
          <cell r="AD441">
            <v>0</v>
          </cell>
          <cell r="AK441">
            <v>0</v>
          </cell>
          <cell r="AL441">
            <v>0</v>
          </cell>
        </row>
        <row r="442">
          <cell r="F442">
            <v>0</v>
          </cell>
          <cell r="G442" t="e">
            <v>#REF!</v>
          </cell>
          <cell r="P442">
            <v>0</v>
          </cell>
          <cell r="X442">
            <v>3.3333333333333335</v>
          </cell>
          <cell r="Y442">
            <v>1</v>
          </cell>
          <cell r="AC442">
            <v>0</v>
          </cell>
          <cell r="AD442">
            <v>0</v>
          </cell>
          <cell r="AK442">
            <v>3.3333333333333335</v>
          </cell>
          <cell r="AL442">
            <v>0</v>
          </cell>
        </row>
        <row r="443">
          <cell r="F443">
            <v>0.33333333333333331</v>
          </cell>
          <cell r="G443" t="e">
            <v>#REF!</v>
          </cell>
          <cell r="P443">
            <v>0.33333333333333331</v>
          </cell>
          <cell r="X443">
            <v>0.33333333333333331</v>
          </cell>
          <cell r="Y443">
            <v>0</v>
          </cell>
          <cell r="AC443">
            <v>0.33333333333333331</v>
          </cell>
          <cell r="AD443">
            <v>0</v>
          </cell>
          <cell r="AK443">
            <v>1.9999999999999998</v>
          </cell>
          <cell r="AL443">
            <v>0</v>
          </cell>
        </row>
        <row r="444">
          <cell r="F444">
            <v>0</v>
          </cell>
          <cell r="G444" t="e">
            <v>#REF!</v>
          </cell>
          <cell r="P444">
            <v>0</v>
          </cell>
          <cell r="X444">
            <v>0</v>
          </cell>
          <cell r="Y444">
            <v>0</v>
          </cell>
          <cell r="AC444">
            <v>0</v>
          </cell>
          <cell r="AD444">
            <v>0</v>
          </cell>
          <cell r="AK444">
            <v>0</v>
          </cell>
          <cell r="AL444">
            <v>0</v>
          </cell>
        </row>
        <row r="445">
          <cell r="F445">
            <v>0</v>
          </cell>
          <cell r="G445" t="e">
            <v>#REF!</v>
          </cell>
          <cell r="P445">
            <v>0</v>
          </cell>
          <cell r="X445">
            <v>0</v>
          </cell>
          <cell r="Y445">
            <v>0</v>
          </cell>
          <cell r="AC445">
            <v>0</v>
          </cell>
          <cell r="AD445">
            <v>0</v>
          </cell>
          <cell r="AK445">
            <v>0</v>
          </cell>
          <cell r="AL445">
            <v>0</v>
          </cell>
        </row>
        <row r="446">
          <cell r="F446">
            <v>0</v>
          </cell>
          <cell r="G446" t="e">
            <v>#REF!</v>
          </cell>
          <cell r="P446">
            <v>0</v>
          </cell>
          <cell r="X446">
            <v>0</v>
          </cell>
          <cell r="Y446">
            <v>0</v>
          </cell>
          <cell r="AC446">
            <v>0</v>
          </cell>
          <cell r="AD446">
            <v>0</v>
          </cell>
          <cell r="AK446">
            <v>0</v>
          </cell>
          <cell r="AL446">
            <v>0</v>
          </cell>
        </row>
        <row r="447">
          <cell r="F447">
            <v>0</v>
          </cell>
          <cell r="G447" t="e">
            <v>#REF!</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cell r="AL449">
            <v>0</v>
          </cell>
        </row>
        <row r="450">
          <cell r="G450" t="e">
            <v>#REF!</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1" refreshError="1">
        <row r="8">
          <cell r="AF8" t="str">
            <v>ЗАТВЕРДЖУЮ</v>
          </cell>
        </row>
        <row r="21">
          <cell r="AI21" t="str">
            <v xml:space="preserve">         Затверджую</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J25" t="e">
            <v>#REF!</v>
          </cell>
          <cell r="AK25" t="e">
            <v>#REF!</v>
          </cell>
          <cell r="AL25" t="e">
            <v>#REF!</v>
          </cell>
          <cell r="AM25" t="e">
            <v>#REF!</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7">
          <cell r="F47">
            <v>0.8</v>
          </cell>
        </row>
        <row r="49">
          <cell r="F49">
            <v>0</v>
          </cell>
          <cell r="G49" t="e">
            <v>#DIV/0!</v>
          </cell>
          <cell r="H49" t="e">
            <v>#DIV/0!</v>
          </cell>
          <cell r="S49">
            <v>19500</v>
          </cell>
          <cell r="T49">
            <v>19500</v>
          </cell>
          <cell r="U49">
            <v>0</v>
          </cell>
          <cell r="X49">
            <v>24969</v>
          </cell>
          <cell r="Y49">
            <v>11255</v>
          </cell>
          <cell r="Z49">
            <v>13714</v>
          </cell>
          <cell r="AC49">
            <v>24028</v>
          </cell>
          <cell r="AD49">
            <v>11813</v>
          </cell>
          <cell r="AE49">
            <v>12215</v>
          </cell>
          <cell r="AH49">
            <v>0</v>
          </cell>
          <cell r="AK49">
            <v>369645</v>
          </cell>
          <cell r="AL49">
            <v>156841</v>
          </cell>
          <cell r="AM49">
            <v>212804</v>
          </cell>
        </row>
        <row r="50">
          <cell r="F50">
            <v>0</v>
          </cell>
          <cell r="G50" t="e">
            <v>#DIV/0!</v>
          </cell>
          <cell r="H50" t="e">
            <v>#DIV/0!</v>
          </cell>
          <cell r="P50">
            <v>0</v>
          </cell>
          <cell r="S50">
            <v>19500</v>
          </cell>
          <cell r="T50">
            <v>19500</v>
          </cell>
          <cell r="U50">
            <v>0</v>
          </cell>
          <cell r="X50">
            <v>24969</v>
          </cell>
          <cell r="Y50">
            <v>11255</v>
          </cell>
          <cell r="Z50">
            <v>13714</v>
          </cell>
          <cell r="AC50">
            <v>24028</v>
          </cell>
          <cell r="AD50">
            <v>11813</v>
          </cell>
          <cell r="AE50">
            <v>12215</v>
          </cell>
          <cell r="AF50">
            <v>0</v>
          </cell>
          <cell r="AG50">
            <v>0</v>
          </cell>
          <cell r="AH50">
            <v>0</v>
          </cell>
          <cell r="AK50">
            <v>68497</v>
          </cell>
        </row>
        <row r="51">
          <cell r="F51">
            <v>0</v>
          </cell>
          <cell r="G51" t="e">
            <v>#DIV/0!</v>
          </cell>
          <cell r="H51" t="e">
            <v>#DIV/0!</v>
          </cell>
          <cell r="T51">
            <v>0</v>
          </cell>
          <cell r="U51">
            <v>0</v>
          </cell>
          <cell r="AF51">
            <v>0</v>
          </cell>
          <cell r="AH51">
            <v>0</v>
          </cell>
          <cell r="AK51">
            <v>0</v>
          </cell>
        </row>
        <row r="52">
          <cell r="AK52">
            <v>252318</v>
          </cell>
          <cell r="AL52">
            <v>108450</v>
          </cell>
          <cell r="AM52">
            <v>136175</v>
          </cell>
        </row>
        <row r="53">
          <cell r="AK53">
            <v>81638</v>
          </cell>
          <cell r="AL53">
            <v>80802</v>
          </cell>
          <cell r="AM53">
            <v>836</v>
          </cell>
        </row>
        <row r="54">
          <cell r="AK54">
            <v>703601</v>
          </cell>
          <cell r="AL54">
            <v>346093</v>
          </cell>
          <cell r="AM54">
            <v>349815</v>
          </cell>
        </row>
        <row r="55">
          <cell r="AK55">
            <v>739139</v>
          </cell>
          <cell r="AL55">
            <v>449316</v>
          </cell>
          <cell r="AM55">
            <v>270163</v>
          </cell>
        </row>
        <row r="56">
          <cell r="AK56">
            <v>35538</v>
          </cell>
          <cell r="AL56">
            <v>103223</v>
          </cell>
          <cell r="AM56">
            <v>-79652</v>
          </cell>
        </row>
        <row r="62">
          <cell r="F62" t="str">
            <v>ВИКОН.ДИР.</v>
          </cell>
          <cell r="G62" t="str">
            <v>Е/Е</v>
          </cell>
          <cell r="H62" t="str">
            <v xml:space="preserve"> Т/Е</v>
          </cell>
          <cell r="P62" t="str">
            <v xml:space="preserve">КМ </v>
          </cell>
          <cell r="S62" t="str">
            <v xml:space="preserve">ТМ </v>
          </cell>
          <cell r="T62" t="str">
            <v>ВИРОБН</v>
          </cell>
          <cell r="U62" t="str">
            <v>ПЕРЕД</v>
          </cell>
          <cell r="X62" t="str">
            <v>ТЕЦ-5 ВСЬОГО</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t="str">
            <v>ТРМ СТОР</v>
          </cell>
          <cell r="AJ62" t="str">
            <v>ДОП.ВИР. СТ.ОРГ.</v>
          </cell>
          <cell r="AK62" t="str">
            <v>АК КЕ ВСЬОГО</v>
          </cell>
          <cell r="AL62" t="str">
            <v xml:space="preserve"> Е/Е</v>
          </cell>
          <cell r="AM62" t="str">
            <v xml:space="preserve"> Т/Е</v>
          </cell>
        </row>
        <row r="65">
          <cell r="F65">
            <v>0</v>
          </cell>
          <cell r="G65" t="e">
            <v>#DIV/0!</v>
          </cell>
          <cell r="H65" t="e">
            <v>#DIV/0!</v>
          </cell>
          <cell r="S65">
            <v>0</v>
          </cell>
          <cell r="T65">
            <v>0</v>
          </cell>
          <cell r="U65">
            <v>0</v>
          </cell>
          <cell r="X65">
            <v>0</v>
          </cell>
          <cell r="Y65">
            <v>0</v>
          </cell>
          <cell r="Z65">
            <v>0</v>
          </cell>
          <cell r="AC65">
            <v>0</v>
          </cell>
          <cell r="AD65">
            <v>0</v>
          </cell>
          <cell r="AE65">
            <v>0</v>
          </cell>
          <cell r="AH65">
            <v>0</v>
          </cell>
          <cell r="AK65">
            <v>369645</v>
          </cell>
          <cell r="AL65">
            <v>156841</v>
          </cell>
          <cell r="AM65">
            <v>212804</v>
          </cell>
        </row>
        <row r="66">
          <cell r="F66">
            <v>0</v>
          </cell>
          <cell r="G66" t="e">
            <v>#DIV/0!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row>
        <row r="67">
          <cell r="F67">
            <v>0</v>
          </cell>
          <cell r="G67" t="e">
            <v>#DIV/0!</v>
          </cell>
          <cell r="H67" t="e">
            <v>#DIV/0!</v>
          </cell>
          <cell r="T67">
            <v>0</v>
          </cell>
          <cell r="U67">
            <v>0</v>
          </cell>
          <cell r="AF67">
            <v>0</v>
          </cell>
          <cell r="AH67">
            <v>0</v>
          </cell>
          <cell r="AK67">
            <v>0</v>
          </cell>
        </row>
        <row r="68">
          <cell r="AK68">
            <v>252318</v>
          </cell>
          <cell r="AL68">
            <v>108450</v>
          </cell>
          <cell r="AM68">
            <v>136175</v>
          </cell>
        </row>
        <row r="69">
          <cell r="AK69">
            <v>81638</v>
          </cell>
          <cell r="AL69">
            <v>80802</v>
          </cell>
          <cell r="AM69">
            <v>836</v>
          </cell>
        </row>
        <row r="70">
          <cell r="AK70">
            <v>703601</v>
          </cell>
          <cell r="AL70">
            <v>346093</v>
          </cell>
          <cell r="AM70">
            <v>349815</v>
          </cell>
        </row>
        <row r="71">
          <cell r="AK71">
            <v>739139</v>
          </cell>
          <cell r="AL71">
            <v>449316</v>
          </cell>
          <cell r="AM71">
            <v>270163</v>
          </cell>
        </row>
        <row r="72">
          <cell r="AK72">
            <v>35538</v>
          </cell>
          <cell r="AL72">
            <v>103223</v>
          </cell>
          <cell r="AM72">
            <v>-79652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row>
        <row r="188">
          <cell r="S188">
            <v>101.3</v>
          </cell>
          <cell r="X188">
            <v>116.9</v>
          </cell>
          <cell r="AC188">
            <v>111.7</v>
          </cell>
          <cell r="AK188">
            <v>329.90000000000003</v>
          </cell>
        </row>
        <row r="189">
          <cell r="S189">
            <v>116</v>
          </cell>
          <cell r="X189">
            <v>133.9</v>
          </cell>
          <cell r="AC189">
            <v>127.8</v>
          </cell>
          <cell r="AK189">
            <v>377.7</v>
          </cell>
        </row>
        <row r="190">
          <cell r="P190">
            <v>0</v>
          </cell>
          <cell r="S190">
            <v>0</v>
          </cell>
          <cell r="X190">
            <v>0</v>
          </cell>
          <cell r="AC190">
            <v>0</v>
          </cell>
        </row>
        <row r="191">
          <cell r="P191">
            <v>0</v>
          </cell>
          <cell r="S191">
            <v>192.5</v>
          </cell>
          <cell r="X191">
            <v>192.5</v>
          </cell>
          <cell r="AC191">
            <v>192.5</v>
          </cell>
          <cell r="AK191">
            <v>192.5</v>
          </cell>
        </row>
        <row r="192">
          <cell r="S192">
            <v>19500</v>
          </cell>
          <cell r="X192">
            <v>22503</v>
          </cell>
          <cell r="AC192">
            <v>21502</v>
          </cell>
          <cell r="AK192">
            <v>63506</v>
          </cell>
        </row>
        <row r="193">
          <cell r="AK193">
            <v>63505</v>
          </cell>
        </row>
        <row r="194">
          <cell r="X194">
            <v>0</v>
          </cell>
          <cell r="AC194">
            <v>0</v>
          </cell>
          <cell r="AK194">
            <v>0</v>
          </cell>
        </row>
        <row r="195">
          <cell r="X195">
            <v>0</v>
          </cell>
          <cell r="AC195">
            <v>0</v>
          </cell>
          <cell r="AK195">
            <v>0</v>
          </cell>
        </row>
        <row r="196">
          <cell r="X196">
            <v>82.5</v>
          </cell>
          <cell r="AC196">
            <v>82.5</v>
          </cell>
        </row>
        <row r="197">
          <cell r="X197">
            <v>0</v>
          </cell>
          <cell r="AC197">
            <v>0</v>
          </cell>
          <cell r="AK197">
            <v>0</v>
          </cell>
        </row>
        <row r="198">
          <cell r="S198">
            <v>0</v>
          </cell>
          <cell r="X198">
            <v>0</v>
          </cell>
          <cell r="AC198">
            <v>0</v>
          </cell>
          <cell r="AK198">
            <v>0</v>
          </cell>
        </row>
        <row r="200">
          <cell r="X200">
            <v>4.0999999999999996</v>
          </cell>
          <cell r="AC200">
            <v>4.2</v>
          </cell>
          <cell r="AK200">
            <v>8.3000000000000007</v>
          </cell>
        </row>
        <row r="201">
          <cell r="X201">
            <v>5.7</v>
          </cell>
          <cell r="AC201">
            <v>5.9</v>
          </cell>
          <cell r="AK201">
            <v>11.600000000000001</v>
          </cell>
        </row>
        <row r="202">
          <cell r="F202">
            <v>75</v>
          </cell>
          <cell r="AJ202">
            <v>0</v>
          </cell>
        </row>
        <row r="203">
          <cell r="S203">
            <v>601.41999999999996</v>
          </cell>
          <cell r="X203">
            <v>601.41999999999996</v>
          </cell>
          <cell r="AC203">
            <v>601.41999999999996</v>
          </cell>
          <cell r="AK203">
            <v>601.41999999999996</v>
          </cell>
        </row>
        <row r="204">
          <cell r="S204">
            <v>0</v>
          </cell>
          <cell r="X204">
            <v>2466</v>
          </cell>
          <cell r="AC204">
            <v>2526</v>
          </cell>
          <cell r="AK204">
            <v>4992</v>
          </cell>
        </row>
        <row r="205">
          <cell r="AK205">
            <v>4992</v>
          </cell>
        </row>
        <row r="206">
          <cell r="S206">
            <v>116</v>
          </cell>
          <cell r="X206">
            <v>139.6</v>
          </cell>
          <cell r="Y206">
            <v>58</v>
          </cell>
          <cell r="Z206">
            <v>81.600000000000009</v>
          </cell>
          <cell r="AC206">
            <v>133.69999999999999</v>
          </cell>
          <cell r="AD206">
            <v>61.1</v>
          </cell>
          <cell r="AE206">
            <v>72.599999999999994</v>
          </cell>
          <cell r="AK206">
            <v>389.3</v>
          </cell>
          <cell r="AL206">
            <v>119.1</v>
          </cell>
          <cell r="AM206">
            <v>270.2</v>
          </cell>
        </row>
        <row r="207">
          <cell r="S207">
            <v>19500</v>
          </cell>
          <cell r="X207">
            <v>24969</v>
          </cell>
          <cell r="Y207">
            <v>11255</v>
          </cell>
          <cell r="Z207">
            <v>13714</v>
          </cell>
          <cell r="AA207">
            <v>13714</v>
          </cell>
          <cell r="AC207">
            <v>24028</v>
          </cell>
          <cell r="AD207">
            <v>11813</v>
          </cell>
          <cell r="AE207">
            <v>12215</v>
          </cell>
          <cell r="AK207">
            <v>68498</v>
          </cell>
          <cell r="AL207">
            <v>23068</v>
          </cell>
          <cell r="AM207">
            <v>45429</v>
          </cell>
        </row>
        <row r="208">
          <cell r="S208">
            <v>168.1</v>
          </cell>
          <cell r="X208">
            <v>178.86</v>
          </cell>
          <cell r="Y208">
            <v>194.05</v>
          </cell>
          <cell r="Z208">
            <v>168.06</v>
          </cell>
          <cell r="AC208">
            <v>179.72</v>
          </cell>
          <cell r="AD208">
            <v>193.34</v>
          </cell>
          <cell r="AE208">
            <v>168.25</v>
          </cell>
          <cell r="AJ208" t="str">
            <v/>
          </cell>
          <cell r="AK208">
            <v>175.95</v>
          </cell>
          <cell r="AL208">
            <v>193.69</v>
          </cell>
          <cell r="AM208">
            <v>168.13</v>
          </cell>
        </row>
        <row r="209">
          <cell r="AM209">
            <v>0</v>
          </cell>
        </row>
        <row r="210">
          <cell r="X210">
            <v>24969</v>
          </cell>
          <cell r="AC210">
            <v>24028</v>
          </cell>
          <cell r="AK210">
            <v>68498</v>
          </cell>
          <cell r="AL210">
            <v>23068</v>
          </cell>
          <cell r="AM210">
            <v>45430</v>
          </cell>
        </row>
        <row r="221">
          <cell r="G221" t="str">
            <v>Б.В.ЯЩЕНКО</v>
          </cell>
        </row>
        <row r="222">
          <cell r="G222" t="str">
            <v>М.В.ТЕРПИЛО</v>
          </cell>
        </row>
        <row r="223">
          <cell r="G223" t="str">
            <v xml:space="preserve">В.І.МИРГОРОДСЬКИЙ                                  </v>
          </cell>
        </row>
        <row r="224">
          <cell r="G224" t="str">
            <v xml:space="preserve">М.І.ШЕВЧЕНКО                                 </v>
          </cell>
        </row>
        <row r="225">
          <cell r="G225" t="str">
            <v>В.Ю.МОНТЬЕВ</v>
          </cell>
        </row>
        <row r="226">
          <cell r="G226" t="str">
            <v xml:space="preserve">О.М.НИКОЛЕНКО      </v>
          </cell>
        </row>
        <row r="245">
          <cell r="AG245" t="str">
            <v xml:space="preserve">         Затверджую</v>
          </cell>
        </row>
        <row r="246">
          <cell r="AG246" t="str">
            <v xml:space="preserve"> Голова правління </v>
          </cell>
        </row>
        <row r="247">
          <cell r="AG247" t="str">
            <v xml:space="preserve">                        І.В.Плачков</v>
          </cell>
        </row>
        <row r="248">
          <cell r="AG248" t="str">
            <v xml:space="preserve">   "_____" ________2000 р.</v>
          </cell>
        </row>
        <row r="252">
          <cell r="F252" t="str">
            <v>РОЗРАХУНОК ФІНАНСОВИХ ПОТОКІВ НА   березень  2000 року</v>
          </cell>
        </row>
        <row r="253">
          <cell r="F253" t="str">
            <v>ПО ФІЛІАЛАХ АК КИЇВЕНЕРГО</v>
          </cell>
        </row>
        <row r="258">
          <cell r="AK258" t="str">
            <v>тис.грн.</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row>
        <row r="260">
          <cell r="F260">
            <v>0</v>
          </cell>
          <cell r="P260">
            <v>0</v>
          </cell>
          <cell r="S260">
            <v>0</v>
          </cell>
          <cell r="X260">
            <v>0</v>
          </cell>
          <cell r="AC260">
            <v>0</v>
          </cell>
          <cell r="AF260">
            <v>0</v>
          </cell>
          <cell r="AG260">
            <v>0</v>
          </cell>
          <cell r="AH260">
            <v>0</v>
          </cell>
          <cell r="AJ260">
            <v>7599</v>
          </cell>
          <cell r="AK260">
            <v>0</v>
          </cell>
        </row>
        <row r="262">
          <cell r="F262">
            <v>373145</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438142</v>
          </cell>
          <cell r="AM262">
            <v>0</v>
          </cell>
        </row>
        <row r="263">
          <cell r="F263" t="e">
            <v>#REF!</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t="e">
            <v>#REF!</v>
          </cell>
          <cell r="AM263" t="e">
            <v>#REF!</v>
          </cell>
        </row>
        <row r="264">
          <cell r="F264" t="e">
            <v>#REF!</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t="e">
            <v>#REF!</v>
          </cell>
        </row>
        <row r="265">
          <cell r="F265">
            <v>68497</v>
          </cell>
          <cell r="AK265">
            <v>68497</v>
          </cell>
        </row>
        <row r="266">
          <cell r="F266">
            <v>0</v>
          </cell>
          <cell r="AK266">
            <v>0</v>
          </cell>
        </row>
        <row r="267">
          <cell r="F267" t="e">
            <v>#REF!</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t="e">
            <v>#REF!</v>
          </cell>
        </row>
        <row r="268">
          <cell r="F268" t="e">
            <v>#REF!</v>
          </cell>
          <cell r="AK268" t="e">
            <v>#REF!</v>
          </cell>
        </row>
        <row r="269">
          <cell r="F269">
            <v>0</v>
          </cell>
          <cell r="AK269">
            <v>0</v>
          </cell>
        </row>
        <row r="270">
          <cell r="F270">
            <v>0</v>
          </cell>
          <cell r="AK270">
            <v>0</v>
          </cell>
        </row>
        <row r="271">
          <cell r="F271">
            <v>3500</v>
          </cell>
          <cell r="AK271">
            <v>3500</v>
          </cell>
        </row>
        <row r="272">
          <cell r="F272">
            <v>369645</v>
          </cell>
          <cell r="AK272">
            <v>369645</v>
          </cell>
        </row>
        <row r="273">
          <cell r="F273">
            <v>0</v>
          </cell>
          <cell r="P273">
            <v>0</v>
          </cell>
          <cell r="S273">
            <v>0</v>
          </cell>
          <cell r="X273">
            <v>0</v>
          </cell>
          <cell r="AC273">
            <v>0</v>
          </cell>
          <cell r="AF273">
            <v>0</v>
          </cell>
          <cell r="AG273">
            <v>0</v>
          </cell>
          <cell r="AH273">
            <v>0</v>
          </cell>
          <cell r="AK273">
            <v>0</v>
          </cell>
        </row>
        <row r="274">
          <cell r="F274">
            <v>0</v>
          </cell>
          <cell r="AK274">
            <v>0</v>
          </cell>
        </row>
        <row r="275">
          <cell r="F275">
            <v>0</v>
          </cell>
          <cell r="P275">
            <v>0</v>
          </cell>
          <cell r="S275">
            <v>0</v>
          </cell>
          <cell r="X275">
            <v>0</v>
          </cell>
          <cell r="AC275">
            <v>0</v>
          </cell>
          <cell r="AF275">
            <v>0</v>
          </cell>
          <cell r="AG275">
            <v>0</v>
          </cell>
          <cell r="AH275">
            <v>0</v>
          </cell>
          <cell r="AK275">
            <v>0</v>
          </cell>
        </row>
        <row r="276">
          <cell r="F276" t="e">
            <v>#REF!</v>
          </cell>
          <cell r="P276">
            <v>0</v>
          </cell>
          <cell r="Q276">
            <v>0</v>
          </cell>
          <cell r="R276">
            <v>0</v>
          </cell>
          <cell r="S276">
            <v>0</v>
          </cell>
          <cell r="T276">
            <v>0</v>
          </cell>
          <cell r="U276">
            <v>0</v>
          </cell>
          <cell r="V276">
            <v>0</v>
          </cell>
          <cell r="W276">
            <v>0</v>
          </cell>
          <cell r="X276">
            <v>0</v>
          </cell>
          <cell r="Y276">
            <v>0</v>
          </cell>
          <cell r="Z276">
            <v>0</v>
          </cell>
          <cell r="AA276">
            <v>0</v>
          </cell>
          <cell r="AB276">
            <v>0</v>
          </cell>
          <cell r="AC276">
            <v>0</v>
          </cell>
          <cell r="AD276">
            <v>0</v>
          </cell>
          <cell r="AE276">
            <v>0</v>
          </cell>
          <cell r="AF276">
            <v>0</v>
          </cell>
          <cell r="AG276">
            <v>0</v>
          </cell>
          <cell r="AH276">
            <v>0</v>
          </cell>
          <cell r="AK276" t="e">
            <v>#REF!</v>
          </cell>
        </row>
        <row r="277">
          <cell r="F277" t="e">
            <v>#REF!</v>
          </cell>
          <cell r="P277" t="e">
            <v>#REF!</v>
          </cell>
          <cell r="Q277" t="e">
            <v>#REF!</v>
          </cell>
          <cell r="R277" t="e">
            <v>#REF!</v>
          </cell>
          <cell r="S277" t="e">
            <v>#REF!</v>
          </cell>
          <cell r="T277" t="e">
            <v>#REF!</v>
          </cell>
          <cell r="U277" t="e">
            <v>#REF!</v>
          </cell>
          <cell r="V277" t="e">
            <v>#REF!</v>
          </cell>
          <cell r="W277" t="e">
            <v>#REF!</v>
          </cell>
          <cell r="X277" t="e">
            <v>#REF!</v>
          </cell>
          <cell r="Y277" t="e">
            <v>#REF!</v>
          </cell>
          <cell r="Z277" t="e">
            <v>#REF!</v>
          </cell>
          <cell r="AA277" t="e">
            <v>#REF!</v>
          </cell>
          <cell r="AB277" t="e">
            <v>#REF!</v>
          </cell>
          <cell r="AC277" t="e">
            <v>#REF!</v>
          </cell>
          <cell r="AD277" t="e">
            <v>#REF!</v>
          </cell>
          <cell r="AE277" t="e">
            <v>#REF!</v>
          </cell>
          <cell r="AF277" t="e">
            <v>#REF!</v>
          </cell>
          <cell r="AG277" t="e">
            <v>#REF!</v>
          </cell>
          <cell r="AH277" t="e">
            <v>#REF!</v>
          </cell>
          <cell r="AK277" t="e">
            <v>#REF!</v>
          </cell>
        </row>
        <row r="278">
          <cell r="F278">
            <v>0</v>
          </cell>
          <cell r="G278">
            <v>0</v>
          </cell>
          <cell r="H278">
            <v>0</v>
          </cell>
          <cell r="P278">
            <v>0</v>
          </cell>
          <cell r="S278">
            <v>0</v>
          </cell>
          <cell r="T278">
            <v>0</v>
          </cell>
          <cell r="U278">
            <v>0</v>
          </cell>
          <cell r="X278">
            <v>0</v>
          </cell>
          <cell r="Y278">
            <v>0</v>
          </cell>
          <cell r="Z278">
            <v>0</v>
          </cell>
          <cell r="AC278">
            <v>0</v>
          </cell>
          <cell r="AD278">
            <v>0</v>
          </cell>
          <cell r="AE278">
            <v>0</v>
          </cell>
          <cell r="AF278">
            <v>0</v>
          </cell>
          <cell r="AG278">
            <v>0</v>
          </cell>
          <cell r="AH278">
            <v>0</v>
          </cell>
          <cell r="AK278">
            <v>0</v>
          </cell>
        </row>
        <row r="279">
          <cell r="F279" t="e">
            <v>#REF!</v>
          </cell>
          <cell r="P279" t="e">
            <v>#REF!</v>
          </cell>
          <cell r="Q279" t="e">
            <v>#REF!</v>
          </cell>
          <cell r="R279" t="e">
            <v>#REF!</v>
          </cell>
          <cell r="S279" t="e">
            <v>#REF!</v>
          </cell>
          <cell r="T279" t="e">
            <v>#REF!</v>
          </cell>
          <cell r="U279" t="e">
            <v>#REF!</v>
          </cell>
          <cell r="V279" t="e">
            <v>#REF!</v>
          </cell>
          <cell r="W279" t="e">
            <v>#REF!</v>
          </cell>
          <cell r="X279" t="e">
            <v>#REF!</v>
          </cell>
          <cell r="Y279" t="e">
            <v>#REF!</v>
          </cell>
          <cell r="Z279" t="e">
            <v>#REF!</v>
          </cell>
          <cell r="AA279" t="e">
            <v>#REF!</v>
          </cell>
          <cell r="AB279" t="e">
            <v>#REF!</v>
          </cell>
          <cell r="AC279" t="e">
            <v>#REF!</v>
          </cell>
          <cell r="AD279" t="e">
            <v>#REF!</v>
          </cell>
          <cell r="AE279" t="e">
            <v>#REF!</v>
          </cell>
          <cell r="AF279" t="e">
            <v>#REF!</v>
          </cell>
          <cell r="AG279" t="e">
            <v>#REF!</v>
          </cell>
          <cell r="AH279" t="e">
            <v>#REF!</v>
          </cell>
          <cell r="AK279" t="e">
            <v>#REF!</v>
          </cell>
        </row>
        <row r="280">
          <cell r="F280" t="e">
            <v>#REF!</v>
          </cell>
          <cell r="P280" t="e">
            <v>#REF!</v>
          </cell>
          <cell r="Q280">
            <v>0</v>
          </cell>
          <cell r="R280">
            <v>0</v>
          </cell>
          <cell r="S280" t="e">
            <v>#REF!</v>
          </cell>
          <cell r="T280">
            <v>0</v>
          </cell>
          <cell r="U280">
            <v>0</v>
          </cell>
          <cell r="V280">
            <v>0</v>
          </cell>
          <cell r="W280">
            <v>0</v>
          </cell>
          <cell r="X280" t="e">
            <v>#REF!</v>
          </cell>
          <cell r="Y280">
            <v>0</v>
          </cell>
          <cell r="Z280">
            <v>0</v>
          </cell>
          <cell r="AA280">
            <v>0</v>
          </cell>
          <cell r="AB280">
            <v>0</v>
          </cell>
          <cell r="AC280" t="e">
            <v>#REF!</v>
          </cell>
          <cell r="AD280">
            <v>0</v>
          </cell>
          <cell r="AE280">
            <v>0</v>
          </cell>
          <cell r="AF280" t="e">
            <v>#REF!</v>
          </cell>
          <cell r="AG280" t="e">
            <v>#REF!</v>
          </cell>
          <cell r="AH280" t="e">
            <v>#REF!</v>
          </cell>
          <cell r="AK280" t="e">
            <v>#REF!</v>
          </cell>
        </row>
        <row r="281">
          <cell r="F281" t="e">
            <v>#REF!</v>
          </cell>
          <cell r="P281" t="e">
            <v>#REF!</v>
          </cell>
          <cell r="S281" t="e">
            <v>#REF!</v>
          </cell>
          <cell r="X281" t="e">
            <v>#REF!</v>
          </cell>
          <cell r="AC281" t="e">
            <v>#REF!</v>
          </cell>
          <cell r="AF281" t="e">
            <v>#REF!</v>
          </cell>
          <cell r="AG281" t="e">
            <v>#REF!</v>
          </cell>
          <cell r="AH281" t="e">
            <v>#REF!</v>
          </cell>
          <cell r="AK281" t="e">
            <v>#REF!</v>
          </cell>
        </row>
        <row r="282">
          <cell r="F282" t="e">
            <v>#REF!</v>
          </cell>
          <cell r="P282" t="e">
            <v>#REF!</v>
          </cell>
          <cell r="S282" t="e">
            <v>#REF!</v>
          </cell>
          <cell r="X282" t="e">
            <v>#REF!</v>
          </cell>
          <cell r="AC282" t="e">
            <v>#REF!</v>
          </cell>
          <cell r="AF282" t="e">
            <v>#REF!</v>
          </cell>
          <cell r="AG282" t="e">
            <v>#REF!</v>
          </cell>
          <cell r="AH282" t="e">
            <v>#REF!</v>
          </cell>
          <cell r="AK282" t="e">
            <v>#REF!</v>
          </cell>
        </row>
        <row r="283">
          <cell r="F283">
            <v>60</v>
          </cell>
          <cell r="P283">
            <v>370</v>
          </cell>
          <cell r="S283">
            <v>480</v>
          </cell>
          <cell r="X283">
            <v>100</v>
          </cell>
          <cell r="AC283">
            <v>100</v>
          </cell>
          <cell r="AF283">
            <v>0</v>
          </cell>
          <cell r="AG283">
            <v>0</v>
          </cell>
          <cell r="AK283">
            <v>1110</v>
          </cell>
        </row>
        <row r="284">
          <cell r="F284">
            <v>0</v>
          </cell>
          <cell r="P284">
            <v>0</v>
          </cell>
          <cell r="Q284">
            <v>0</v>
          </cell>
          <cell r="R284">
            <v>0</v>
          </cell>
          <cell r="S284">
            <v>0</v>
          </cell>
          <cell r="T284">
            <v>0</v>
          </cell>
          <cell r="U284">
            <v>0</v>
          </cell>
          <cell r="V284">
            <v>0</v>
          </cell>
          <cell r="W284">
            <v>0</v>
          </cell>
          <cell r="X284">
            <v>0</v>
          </cell>
          <cell r="Y284">
            <v>0</v>
          </cell>
          <cell r="Z284">
            <v>0</v>
          </cell>
          <cell r="AA284">
            <v>0</v>
          </cell>
          <cell r="AB284">
            <v>0</v>
          </cell>
          <cell r="AC284">
            <v>0</v>
          </cell>
          <cell r="AD284">
            <v>0</v>
          </cell>
          <cell r="AE284">
            <v>0</v>
          </cell>
          <cell r="AF284">
            <v>0</v>
          </cell>
          <cell r="AG284">
            <v>0</v>
          </cell>
          <cell r="AH284">
            <v>0</v>
          </cell>
          <cell r="AJ284">
            <v>0</v>
          </cell>
          <cell r="AK284">
            <v>0</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t="e">
            <v>#REF!</v>
          </cell>
        </row>
        <row r="286">
          <cell r="F286" t="e">
            <v>#REF!</v>
          </cell>
          <cell r="P286" t="e">
            <v>#REF!</v>
          </cell>
          <cell r="S286" t="e">
            <v>#REF!</v>
          </cell>
          <cell r="X286" t="e">
            <v>#REF!</v>
          </cell>
          <cell r="AC286" t="e">
            <v>#REF!</v>
          </cell>
          <cell r="AF286" t="e">
            <v>#REF!</v>
          </cell>
          <cell r="AG286" t="e">
            <v>#REF!</v>
          </cell>
          <cell r="AH286" t="e">
            <v>#REF!</v>
          </cell>
          <cell r="AK286" t="e">
            <v>#REF!</v>
          </cell>
        </row>
        <row r="287">
          <cell r="F287">
            <v>0</v>
          </cell>
          <cell r="P287">
            <v>0</v>
          </cell>
          <cell r="S287">
            <v>0</v>
          </cell>
          <cell r="X287">
            <v>0</v>
          </cell>
          <cell r="AC287">
            <v>0</v>
          </cell>
          <cell r="AF287">
            <v>0</v>
          </cell>
          <cell r="AG287">
            <v>0</v>
          </cell>
          <cell r="AH287">
            <v>0</v>
          </cell>
          <cell r="AK287">
            <v>0</v>
          </cell>
        </row>
        <row r="288">
          <cell r="AK288">
            <v>0</v>
          </cell>
        </row>
        <row r="289">
          <cell r="S289">
            <v>250</v>
          </cell>
          <cell r="AH289">
            <v>0</v>
          </cell>
          <cell r="AK289">
            <v>250</v>
          </cell>
        </row>
        <row r="290">
          <cell r="F290" t="e">
            <v>#REF!</v>
          </cell>
          <cell r="P290" t="e">
            <v>#REF!</v>
          </cell>
          <cell r="Q290" t="e">
            <v>#REF!</v>
          </cell>
          <cell r="R290" t="e">
            <v>#REF!</v>
          </cell>
          <cell r="S290" t="e">
            <v>#REF!</v>
          </cell>
          <cell r="T290" t="e">
            <v>#REF!</v>
          </cell>
          <cell r="U290" t="e">
            <v>#REF!</v>
          </cell>
          <cell r="V290" t="e">
            <v>#REF!</v>
          </cell>
          <cell r="W290" t="e">
            <v>#REF!</v>
          </cell>
          <cell r="X290" t="e">
            <v>#REF!</v>
          </cell>
          <cell r="Y290" t="e">
            <v>#REF!</v>
          </cell>
          <cell r="Z290" t="e">
            <v>#REF!</v>
          </cell>
          <cell r="AA290" t="e">
            <v>#REF!</v>
          </cell>
          <cell r="AB290" t="e">
            <v>#REF!</v>
          </cell>
          <cell r="AC290" t="e">
            <v>#REF!</v>
          </cell>
          <cell r="AD290" t="e">
            <v>#REF!</v>
          </cell>
          <cell r="AE290" t="e">
            <v>#REF!</v>
          </cell>
          <cell r="AF290" t="e">
            <v>#REF!</v>
          </cell>
          <cell r="AG290" t="e">
            <v>#REF!</v>
          </cell>
          <cell r="AH290" t="e">
            <v>#REF!</v>
          </cell>
          <cell r="AK290" t="e">
            <v>#REF!</v>
          </cell>
        </row>
        <row r="291">
          <cell r="AK291">
            <v>0</v>
          </cell>
        </row>
        <row r="292">
          <cell r="F292" t="e">
            <v>#REF!</v>
          </cell>
          <cell r="P292" t="e">
            <v>#REF!</v>
          </cell>
          <cell r="Q292">
            <v>0</v>
          </cell>
          <cell r="R292">
            <v>0</v>
          </cell>
          <cell r="S292" t="e">
            <v>#REF!</v>
          </cell>
          <cell r="T292">
            <v>0</v>
          </cell>
          <cell r="U292">
            <v>0</v>
          </cell>
          <cell r="V292">
            <v>0</v>
          </cell>
          <cell r="W292">
            <v>0</v>
          </cell>
          <cell r="X292" t="e">
            <v>#REF!</v>
          </cell>
          <cell r="Y292">
            <v>0</v>
          </cell>
          <cell r="Z292">
            <v>0</v>
          </cell>
          <cell r="AA292">
            <v>0</v>
          </cell>
          <cell r="AB292">
            <v>0</v>
          </cell>
          <cell r="AC292" t="e">
            <v>#REF!</v>
          </cell>
          <cell r="AD292">
            <v>0</v>
          </cell>
          <cell r="AE292">
            <v>0</v>
          </cell>
          <cell r="AF292" t="e">
            <v>#REF!</v>
          </cell>
          <cell r="AG292" t="e">
            <v>#REF!</v>
          </cell>
          <cell r="AH292" t="e">
            <v>#REF!</v>
          </cell>
          <cell r="AK292" t="e">
            <v>#REF!</v>
          </cell>
        </row>
        <row r="293">
          <cell r="F293">
            <v>0</v>
          </cell>
          <cell r="P293">
            <v>-370</v>
          </cell>
          <cell r="S293">
            <v>-730</v>
          </cell>
          <cell r="X293">
            <v>-100</v>
          </cell>
          <cell r="AC293">
            <v>-100</v>
          </cell>
          <cell r="AF293">
            <v>0</v>
          </cell>
          <cell r="AG293">
            <v>0</v>
          </cell>
          <cell r="AH293">
            <v>0</v>
          </cell>
          <cell r="AK293">
            <v>-1300</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K294">
            <v>0</v>
          </cell>
        </row>
        <row r="295">
          <cell r="F295">
            <v>0</v>
          </cell>
          <cell r="P295">
            <v>0</v>
          </cell>
          <cell r="S295">
            <v>0</v>
          </cell>
          <cell r="X295">
            <v>0</v>
          </cell>
          <cell r="AC295">
            <v>0</v>
          </cell>
          <cell r="AF295">
            <v>0</v>
          </cell>
          <cell r="AG295">
            <v>0</v>
          </cell>
          <cell r="AH295">
            <v>0</v>
          </cell>
          <cell r="AK295">
            <v>0</v>
          </cell>
        </row>
        <row r="296">
          <cell r="F296">
            <v>0</v>
          </cell>
          <cell r="P296">
            <v>0</v>
          </cell>
          <cell r="S296">
            <v>0</v>
          </cell>
          <cell r="X296">
            <v>0</v>
          </cell>
          <cell r="AC296">
            <v>0</v>
          </cell>
          <cell r="AF296">
            <v>0</v>
          </cell>
          <cell r="AG296">
            <v>0</v>
          </cell>
          <cell r="AH296">
            <v>0</v>
          </cell>
          <cell r="AK296">
            <v>0</v>
          </cell>
        </row>
        <row r="297">
          <cell r="F297" t="e">
            <v>#REF!</v>
          </cell>
          <cell r="P297" t="e">
            <v>#REF!</v>
          </cell>
          <cell r="Q297">
            <v>0</v>
          </cell>
          <cell r="R297">
            <v>0</v>
          </cell>
          <cell r="S297" t="e">
            <v>#REF!</v>
          </cell>
          <cell r="T297">
            <v>0</v>
          </cell>
          <cell r="U297">
            <v>0</v>
          </cell>
          <cell r="V297">
            <v>0</v>
          </cell>
          <cell r="W297">
            <v>0</v>
          </cell>
          <cell r="X297" t="e">
            <v>#REF!</v>
          </cell>
          <cell r="Y297">
            <v>0</v>
          </cell>
          <cell r="Z297">
            <v>0</v>
          </cell>
          <cell r="AA297">
            <v>0</v>
          </cell>
          <cell r="AB297">
            <v>0</v>
          </cell>
          <cell r="AC297" t="e">
            <v>#REF!</v>
          </cell>
          <cell r="AD297">
            <v>0</v>
          </cell>
          <cell r="AE297">
            <v>0</v>
          </cell>
          <cell r="AF297" t="e">
            <v>#REF!</v>
          </cell>
          <cell r="AG297" t="e">
            <v>#REF!</v>
          </cell>
          <cell r="AH297" t="e">
            <v>#REF!</v>
          </cell>
          <cell r="AK297" t="e">
            <v>#REF!</v>
          </cell>
        </row>
        <row r="298">
          <cell r="F298" t="e">
            <v>#REF!</v>
          </cell>
          <cell r="P298" t="e">
            <v>#REF!</v>
          </cell>
          <cell r="S298" t="e">
            <v>#REF!</v>
          </cell>
          <cell r="X298" t="e">
            <v>#REF!</v>
          </cell>
          <cell r="AC298" t="e">
            <v>#REF!</v>
          </cell>
          <cell r="AF298" t="e">
            <v>#REF!</v>
          </cell>
          <cell r="AG298" t="e">
            <v>#REF!</v>
          </cell>
          <cell r="AH298" t="e">
            <v>#REF!</v>
          </cell>
          <cell r="AK298" t="e">
            <v>#REF!</v>
          </cell>
        </row>
        <row r="299">
          <cell r="F299" t="e">
            <v>#REF!</v>
          </cell>
          <cell r="P299" t="e">
            <v>#REF!</v>
          </cell>
          <cell r="S299" t="e">
            <v>#REF!</v>
          </cell>
          <cell r="X299" t="e">
            <v>#REF!</v>
          </cell>
          <cell r="AC299" t="e">
            <v>#REF!</v>
          </cell>
          <cell r="AF299" t="e">
            <v>#REF!</v>
          </cell>
          <cell r="AG299" t="e">
            <v>#REF!</v>
          </cell>
          <cell r="AH299" t="e">
            <v>#REF!</v>
          </cell>
          <cell r="AK299" t="e">
            <v>#REF!</v>
          </cell>
        </row>
        <row r="300">
          <cell r="F300">
            <v>0</v>
          </cell>
          <cell r="P300">
            <v>0</v>
          </cell>
          <cell r="S300">
            <v>0</v>
          </cell>
          <cell r="X300">
            <v>0</v>
          </cell>
          <cell r="AC300">
            <v>0</v>
          </cell>
          <cell r="AF300">
            <v>0</v>
          </cell>
          <cell r="AG300">
            <v>0</v>
          </cell>
          <cell r="AH300">
            <v>0</v>
          </cell>
          <cell r="AK300">
            <v>0</v>
          </cell>
        </row>
        <row r="301">
          <cell r="P301">
            <v>0</v>
          </cell>
          <cell r="AF301">
            <v>0</v>
          </cell>
          <cell r="AG301">
            <v>0</v>
          </cell>
          <cell r="AH301">
            <v>0</v>
          </cell>
          <cell r="AK301">
            <v>0</v>
          </cell>
        </row>
        <row r="302">
          <cell r="F302">
            <v>0</v>
          </cell>
          <cell r="P302">
            <v>0</v>
          </cell>
          <cell r="S302">
            <v>0</v>
          </cell>
          <cell r="X302">
            <v>0</v>
          </cell>
          <cell r="AC302">
            <v>0</v>
          </cell>
          <cell r="AF302">
            <v>0</v>
          </cell>
          <cell r="AG302">
            <v>0</v>
          </cell>
          <cell r="AH302">
            <v>0</v>
          </cell>
          <cell r="AK302">
            <v>0</v>
          </cell>
        </row>
        <row r="303">
          <cell r="F303" t="e">
            <v>#REF!</v>
          </cell>
          <cell r="P303" t="e">
            <v>#REF!</v>
          </cell>
          <cell r="Q303" t="e">
            <v>#REF!</v>
          </cell>
          <cell r="R303" t="e">
            <v>#REF!</v>
          </cell>
          <cell r="S303" t="e">
            <v>#REF!</v>
          </cell>
          <cell r="T303" t="e">
            <v>#REF!</v>
          </cell>
          <cell r="U303" t="e">
            <v>#REF!</v>
          </cell>
          <cell r="V303" t="e">
            <v>#REF!</v>
          </cell>
          <cell r="W303" t="e">
            <v>#REF!</v>
          </cell>
          <cell r="X303" t="e">
            <v>#REF!</v>
          </cell>
          <cell r="Y303" t="e">
            <v>#REF!</v>
          </cell>
          <cell r="Z303" t="e">
            <v>#REF!</v>
          </cell>
          <cell r="AA303" t="e">
            <v>#REF!</v>
          </cell>
          <cell r="AB303" t="e">
            <v>#REF!</v>
          </cell>
          <cell r="AC303" t="e">
            <v>#REF!</v>
          </cell>
          <cell r="AD303" t="e">
            <v>#REF!</v>
          </cell>
          <cell r="AE303" t="e">
            <v>#REF!</v>
          </cell>
          <cell r="AF303" t="e">
            <v>#REF!</v>
          </cell>
          <cell r="AG303" t="e">
            <v>#REF!</v>
          </cell>
          <cell r="AH303" t="e">
            <v>#REF!</v>
          </cell>
          <cell r="AK303" t="e">
            <v>#REF!</v>
          </cell>
        </row>
        <row r="304">
          <cell r="AH304">
            <v>191</v>
          </cell>
          <cell r="AK304">
            <v>0</v>
          </cell>
        </row>
        <row r="306">
          <cell r="F306" t="e">
            <v>#REF!</v>
          </cell>
          <cell r="G306">
            <v>0</v>
          </cell>
          <cell r="H306">
            <v>0</v>
          </cell>
          <cell r="P306" t="e">
            <v>#REF!</v>
          </cell>
          <cell r="Q306" t="e">
            <v>#REF!</v>
          </cell>
          <cell r="R306" t="e">
            <v>#REF!</v>
          </cell>
          <cell r="S306" t="e">
            <v>#REF!</v>
          </cell>
          <cell r="T306" t="e">
            <v>#REF!</v>
          </cell>
          <cell r="U306" t="e">
            <v>#REF!</v>
          </cell>
          <cell r="V306" t="e">
            <v>#REF!</v>
          </cell>
          <cell r="W306" t="e">
            <v>#REF!</v>
          </cell>
          <cell r="X306" t="e">
            <v>#REF!</v>
          </cell>
          <cell r="Y306" t="e">
            <v>#REF!</v>
          </cell>
          <cell r="Z306" t="e">
            <v>#REF!</v>
          </cell>
          <cell r="AA306" t="e">
            <v>#REF!</v>
          </cell>
          <cell r="AB306" t="e">
            <v>#REF!</v>
          </cell>
          <cell r="AC306" t="e">
            <v>#REF!</v>
          </cell>
          <cell r="AF306" t="e">
            <v>#REF!</v>
          </cell>
          <cell r="AG306" t="e">
            <v>#REF!</v>
          </cell>
          <cell r="AH306" t="e">
            <v>#REF!</v>
          </cell>
          <cell r="AK306" t="e">
            <v>#REF!</v>
          </cell>
        </row>
        <row r="307">
          <cell r="F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AK310">
            <v>0</v>
          </cell>
        </row>
        <row r="311">
          <cell r="F311" t="e">
            <v>#REF!</v>
          </cell>
          <cell r="P311" t="e">
            <v>#REF!</v>
          </cell>
          <cell r="Q311" t="e">
            <v>#REF!</v>
          </cell>
          <cell r="R311" t="e">
            <v>#REF!</v>
          </cell>
          <cell r="S311" t="e">
            <v>#REF!</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t="e">
            <v>#REF!</v>
          </cell>
        </row>
        <row r="312">
          <cell r="AK312">
            <v>0</v>
          </cell>
        </row>
        <row r="313">
          <cell r="P313">
            <v>0</v>
          </cell>
          <cell r="AK313">
            <v>0</v>
          </cell>
        </row>
        <row r="314">
          <cell r="S314">
            <v>0</v>
          </cell>
          <cell r="AK314">
            <v>0</v>
          </cell>
        </row>
        <row r="315">
          <cell r="F315">
            <v>0</v>
          </cell>
          <cell r="AK315">
            <v>0</v>
          </cell>
        </row>
        <row r="316">
          <cell r="S316">
            <v>0</v>
          </cell>
        </row>
        <row r="317">
          <cell r="F317">
            <v>0</v>
          </cell>
          <cell r="AK317">
            <v>0</v>
          </cell>
        </row>
        <row r="318">
          <cell r="AK318">
            <v>0</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31">
          <cell r="AJ331">
            <v>2455</v>
          </cell>
          <cell r="AK331">
            <v>0</v>
          </cell>
          <cell r="AM331">
            <v>0</v>
          </cell>
        </row>
        <row r="332">
          <cell r="F332">
            <v>0</v>
          </cell>
          <cell r="P332">
            <v>0</v>
          </cell>
          <cell r="S332">
            <v>0</v>
          </cell>
          <cell r="X332">
            <v>0</v>
          </cell>
          <cell r="AC332">
            <v>0</v>
          </cell>
          <cell r="AF332">
            <v>0</v>
          </cell>
          <cell r="AG332">
            <v>0</v>
          </cell>
          <cell r="AH332">
            <v>0</v>
          </cell>
          <cell r="AK332">
            <v>0</v>
          </cell>
          <cell r="AM332">
            <v>0</v>
          </cell>
        </row>
        <row r="333">
          <cell r="AJ333">
            <v>36</v>
          </cell>
          <cell r="AK333" t="e">
            <v>#REF!</v>
          </cell>
          <cell r="AM333" t="e">
            <v>#REF!</v>
          </cell>
        </row>
        <row r="334">
          <cell r="AK334" t="e">
            <v>#REF!</v>
          </cell>
          <cell r="AM334" t="e">
            <v>#REF!</v>
          </cell>
        </row>
        <row r="335">
          <cell r="AJ335">
            <v>36</v>
          </cell>
          <cell r="AK335">
            <v>0</v>
          </cell>
          <cell r="AM335">
            <v>0</v>
          </cell>
        </row>
        <row r="336">
          <cell r="AK336">
            <v>0</v>
          </cell>
          <cell r="AM336">
            <v>0</v>
          </cell>
        </row>
        <row r="337">
          <cell r="AK337">
            <v>3500</v>
          </cell>
          <cell r="AM337">
            <v>3500</v>
          </cell>
        </row>
        <row r="338">
          <cell r="AK338">
            <v>369645</v>
          </cell>
        </row>
        <row r="339">
          <cell r="AK339">
            <v>0</v>
          </cell>
          <cell r="AM339">
            <v>0</v>
          </cell>
        </row>
        <row r="340">
          <cell r="AK340">
            <v>0</v>
          </cell>
        </row>
        <row r="341">
          <cell r="AK341">
            <v>0</v>
          </cell>
          <cell r="AM341">
            <v>0</v>
          </cell>
        </row>
        <row r="342">
          <cell r="AK342">
            <v>-1300</v>
          </cell>
          <cell r="AM342">
            <v>-1300</v>
          </cell>
        </row>
        <row r="343">
          <cell r="AK343">
            <v>0</v>
          </cell>
          <cell r="AM343">
            <v>0</v>
          </cell>
        </row>
        <row r="344">
          <cell r="AK344">
            <v>0</v>
          </cell>
          <cell r="AM344">
            <v>0</v>
          </cell>
        </row>
        <row r="345">
          <cell r="AK345">
            <v>0</v>
          </cell>
          <cell r="AM345">
            <v>0</v>
          </cell>
        </row>
        <row r="346">
          <cell r="AK346">
            <v>0</v>
          </cell>
          <cell r="AM346">
            <v>0</v>
          </cell>
        </row>
        <row r="347">
          <cell r="AK347" t="e">
            <v>#REF!</v>
          </cell>
          <cell r="AM347" t="e">
            <v>#REF!</v>
          </cell>
        </row>
        <row r="348">
          <cell r="AK348" t="e">
            <v>#REF!</v>
          </cell>
          <cell r="AM348" t="e">
            <v>#REF!</v>
          </cell>
        </row>
        <row r="349">
          <cell r="AK349" t="e">
            <v>#REF!</v>
          </cell>
          <cell r="AM349" t="e">
            <v>#REF!</v>
          </cell>
        </row>
        <row r="350">
          <cell r="AK350">
            <v>1110</v>
          </cell>
        </row>
        <row r="351">
          <cell r="AK351">
            <v>0</v>
          </cell>
        </row>
        <row r="352">
          <cell r="AK352">
            <v>0</v>
          </cell>
          <cell r="AM352">
            <v>0</v>
          </cell>
        </row>
        <row r="353">
          <cell r="AK353" t="e">
            <v>#REF!</v>
          </cell>
          <cell r="AM353" t="e">
            <v>#REF!</v>
          </cell>
        </row>
        <row r="354">
          <cell r="AK354">
            <v>0</v>
          </cell>
          <cell r="AM354">
            <v>0</v>
          </cell>
        </row>
        <row r="355">
          <cell r="P355">
            <v>225</v>
          </cell>
          <cell r="S355">
            <v>296</v>
          </cell>
          <cell r="X355">
            <v>56</v>
          </cell>
          <cell r="AC355">
            <v>0</v>
          </cell>
          <cell r="AF355">
            <v>0</v>
          </cell>
          <cell r="AG355">
            <v>0</v>
          </cell>
          <cell r="AH355">
            <v>0</v>
          </cell>
          <cell r="AK355">
            <v>577</v>
          </cell>
        </row>
        <row r="356">
          <cell r="AK356">
            <v>0</v>
          </cell>
        </row>
        <row r="357">
          <cell r="F357">
            <v>0</v>
          </cell>
          <cell r="P357">
            <v>0</v>
          </cell>
          <cell r="S357">
            <v>0</v>
          </cell>
          <cell r="X357">
            <v>0</v>
          </cell>
          <cell r="AC357">
            <v>0</v>
          </cell>
          <cell r="AF357">
            <v>0</v>
          </cell>
          <cell r="AG357">
            <v>0</v>
          </cell>
          <cell r="AH357">
            <v>0</v>
          </cell>
          <cell r="AK357">
            <v>0</v>
          </cell>
          <cell r="AM357">
            <v>0</v>
          </cell>
        </row>
        <row r="358">
          <cell r="AK358">
            <v>0</v>
          </cell>
          <cell r="AM358">
            <v>0</v>
          </cell>
        </row>
        <row r="359">
          <cell r="AK359">
            <v>0</v>
          </cell>
          <cell r="AM359">
            <v>0</v>
          </cell>
        </row>
        <row r="360">
          <cell r="AK360">
            <v>0</v>
          </cell>
          <cell r="AM360">
            <v>0</v>
          </cell>
        </row>
        <row r="361">
          <cell r="AJ361">
            <v>-2491</v>
          </cell>
          <cell r="AK361" t="e">
            <v>#REF!</v>
          </cell>
          <cell r="AM361" t="e">
            <v>#REF!</v>
          </cell>
        </row>
        <row r="362">
          <cell r="AK362" t="e">
            <v>#REF!</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M365">
            <v>0</v>
          </cell>
        </row>
        <row r="374">
          <cell r="F374">
            <v>0</v>
          </cell>
        </row>
        <row r="386">
          <cell r="F386" t="str">
            <v>лютий</v>
          </cell>
          <cell r="P386" t="str">
            <v>лютий</v>
          </cell>
          <cell r="X386" t="str">
            <v>лютий</v>
          </cell>
          <cell r="AC386" t="str">
            <v>лютий</v>
          </cell>
        </row>
        <row r="387">
          <cell r="F387" t="str">
            <v>АППАРАТ</v>
          </cell>
          <cell r="P387" t="str">
            <v>ККМ</v>
          </cell>
          <cell r="X387" t="str">
            <v>ТЕЦ5</v>
          </cell>
          <cell r="AC387" t="str">
            <v>ТЕЦ6</v>
          </cell>
          <cell r="AK387" t="str">
            <v>АК "КЕ"</v>
          </cell>
          <cell r="AL387" t="str">
            <v>Е/Е</v>
          </cell>
        </row>
        <row r="388">
          <cell r="F388" t="str">
            <v>ПЛАН</v>
          </cell>
          <cell r="P388" t="str">
            <v>ПЛАН</v>
          </cell>
          <cell r="X388" t="str">
            <v>ПЛАН</v>
          </cell>
          <cell r="AC388" t="str">
            <v>ПЛАН</v>
          </cell>
          <cell r="AK388" t="str">
            <v>ПЛАН</v>
          </cell>
          <cell r="AL388" t="str">
            <v>ПЛАН</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K389">
            <v>735.30000000000018</v>
          </cell>
          <cell r="AL389" t="e">
            <v>#REF!</v>
          </cell>
          <cell r="AM389">
            <v>303.33333333333326</v>
          </cell>
        </row>
        <row r="390">
          <cell r="F390">
            <v>29</v>
          </cell>
          <cell r="G390">
            <v>9</v>
          </cell>
          <cell r="P390">
            <v>0</v>
          </cell>
          <cell r="X390">
            <v>0</v>
          </cell>
          <cell r="Y390">
            <v>0</v>
          </cell>
          <cell r="AC390">
            <v>3.6666666666666665</v>
          </cell>
          <cell r="AD390">
            <v>2</v>
          </cell>
          <cell r="AK390">
            <v>46</v>
          </cell>
          <cell r="AL390">
            <v>14</v>
          </cell>
        </row>
        <row r="391">
          <cell r="F391">
            <v>0</v>
          </cell>
          <cell r="G391">
            <v>0</v>
          </cell>
          <cell r="P391">
            <v>0.66666666666666663</v>
          </cell>
          <cell r="X391">
            <v>146.66666666666666</v>
          </cell>
          <cell r="Y391">
            <v>61</v>
          </cell>
          <cell r="AC391">
            <v>280.66666666666669</v>
          </cell>
          <cell r="AD391">
            <v>128</v>
          </cell>
          <cell r="AK391">
            <v>428</v>
          </cell>
          <cell r="AL391">
            <v>189.66666666666666</v>
          </cell>
        </row>
        <row r="392">
          <cell r="F392">
            <v>0</v>
          </cell>
          <cell r="G392">
            <v>0</v>
          </cell>
          <cell r="P392">
            <v>2</v>
          </cell>
          <cell r="X392">
            <v>0</v>
          </cell>
          <cell r="Y392">
            <v>0</v>
          </cell>
          <cell r="AC392">
            <v>25</v>
          </cell>
          <cell r="AD392">
            <v>11</v>
          </cell>
          <cell r="AK392">
            <v>33.666666666666671</v>
          </cell>
          <cell r="AL392">
            <v>16</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37</v>
          </cell>
          <cell r="P394">
            <v>0</v>
          </cell>
          <cell r="X394">
            <v>0</v>
          </cell>
          <cell r="Y394">
            <v>0</v>
          </cell>
          <cell r="AC394">
            <v>0</v>
          </cell>
          <cell r="AD394">
            <v>0</v>
          </cell>
          <cell r="AK394">
            <v>120.63333333333333</v>
          </cell>
          <cell r="AL394">
            <v>39</v>
          </cell>
        </row>
        <row r="395">
          <cell r="F395">
            <v>8.6666666666666661</v>
          </cell>
          <cell r="G395">
            <v>3</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row>
        <row r="401">
          <cell r="F401">
            <v>1.1666666666666667</v>
          </cell>
          <cell r="G401">
            <v>0</v>
          </cell>
          <cell r="P401">
            <v>20.5</v>
          </cell>
          <cell r="X401">
            <v>522.33333333333337</v>
          </cell>
          <cell r="Y401">
            <v>217</v>
          </cell>
          <cell r="AC401">
            <v>43</v>
          </cell>
          <cell r="AD401">
            <v>20</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200</v>
          </cell>
          <cell r="AC403">
            <v>11</v>
          </cell>
          <cell r="AD403">
            <v>5</v>
          </cell>
          <cell r="AK403">
            <v>491.66666666666669</v>
          </cell>
          <cell r="AL403">
            <v>205</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17</v>
          </cell>
          <cell r="AC405">
            <v>32</v>
          </cell>
          <cell r="AD405">
            <v>15</v>
          </cell>
          <cell r="AK405">
            <v>91</v>
          </cell>
          <cell r="AL405">
            <v>52.833333333333336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P411">
            <v>0</v>
          </cell>
          <cell r="X411">
            <v>0</v>
          </cell>
          <cell r="Y411">
            <v>0</v>
          </cell>
          <cell r="AC411">
            <v>0</v>
          </cell>
          <cell r="AD411">
            <v>0</v>
          </cell>
          <cell r="AK411">
            <v>0</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1</v>
          </cell>
          <cell r="P418">
            <v>5</v>
          </cell>
          <cell r="X418">
            <v>3</v>
          </cell>
          <cell r="Y418">
            <v>1</v>
          </cell>
          <cell r="AC418">
            <v>3</v>
          </cell>
          <cell r="AD418">
            <v>1</v>
          </cell>
          <cell r="AK418">
            <v>57.666666666666664</v>
          </cell>
          <cell r="AL418">
            <v>48</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54</v>
          </cell>
          <cell r="P423">
            <v>0</v>
          </cell>
          <cell r="X423">
            <v>0</v>
          </cell>
          <cell r="Y423">
            <v>0</v>
          </cell>
          <cell r="AC423">
            <v>0</v>
          </cell>
          <cell r="AD423">
            <v>0</v>
          </cell>
          <cell r="AK423">
            <v>177</v>
          </cell>
          <cell r="AL423">
            <v>54</v>
          </cell>
        </row>
        <row r="424">
          <cell r="F424">
            <v>0</v>
          </cell>
          <cell r="G424">
            <v>0</v>
          </cell>
          <cell r="P424">
            <v>0</v>
          </cell>
          <cell r="X424">
            <v>10</v>
          </cell>
          <cell r="Y424">
            <v>4</v>
          </cell>
          <cell r="AC424">
            <v>7.666666666666667</v>
          </cell>
          <cell r="AD424">
            <v>4</v>
          </cell>
          <cell r="AK424">
            <v>17.666666666666668</v>
          </cell>
          <cell r="AL424">
            <v>8</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2</v>
          </cell>
          <cell r="AC427">
            <v>5</v>
          </cell>
          <cell r="AD427">
            <v>2</v>
          </cell>
          <cell r="AK427">
            <v>13.333333333333334</v>
          </cell>
          <cell r="AL427">
            <v>6.3333333333333339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K433">
            <v>3.6666666666666665</v>
          </cell>
          <cell r="AL433">
            <v>1.6666666666666665</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
        <row r="8">
          <cell r="AF8" t="str">
            <v>ЗАТВЕРДЖУЮ</v>
          </cell>
        </row>
        <row r="19">
          <cell r="AC19" t="str">
            <v>звіт</v>
          </cell>
        </row>
        <row r="23">
          <cell r="AF23" t="str">
            <v>ЗАТВЕРДЖУЮ</v>
          </cell>
        </row>
        <row r="24">
          <cell r="AF24" t="str">
            <v>ГОЛОВА ПРАЛІННЯ  КЕ</v>
          </cell>
        </row>
        <row r="27">
          <cell r="AF27" t="str">
            <v xml:space="preserve">                   ПЛАЧКОВ І.В.</v>
          </cell>
          <cell r="AG27" t="str">
            <v>І.В.ПЛАЧКОВ</v>
          </cell>
        </row>
        <row r="31">
          <cell r="D31" t="str">
            <v>ВИК.ДИР.</v>
          </cell>
          <cell r="E31" t="str">
            <v>Е/Е</v>
          </cell>
          <cell r="F31" t="str">
            <v xml:space="preserve"> Т/Е</v>
          </cell>
          <cell r="L31" t="str">
            <v>КМ план</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row>
        <row r="32">
          <cell r="T32">
            <v>427</v>
          </cell>
          <cell r="X32">
            <v>353</v>
          </cell>
        </row>
        <row r="33">
          <cell r="T33">
            <v>388.95</v>
          </cell>
          <cell r="X33">
            <v>323.55</v>
          </cell>
        </row>
        <row r="39">
          <cell r="L39">
            <v>0</v>
          </cell>
        </row>
        <row r="40">
          <cell r="U40">
            <v>667</v>
          </cell>
          <cell r="Y40">
            <v>585</v>
          </cell>
        </row>
        <row r="42">
          <cell r="D42">
            <v>2558.727272727273</v>
          </cell>
          <cell r="L42">
            <v>2094.727272727273</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row>
        <row r="44">
          <cell r="D44">
            <v>488</v>
          </cell>
          <cell r="E44">
            <v>180</v>
          </cell>
          <cell r="F44">
            <v>308</v>
          </cell>
          <cell r="L44">
            <v>388</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row>
        <row r="45">
          <cell r="D45">
            <v>67.833333333333343</v>
          </cell>
          <cell r="E45">
            <v>20</v>
          </cell>
          <cell r="F45">
            <v>47.833333333333343</v>
          </cell>
          <cell r="L45">
            <v>336.7</v>
          </cell>
          <cell r="R45">
            <v>55.666666666666664</v>
          </cell>
          <cell r="T45">
            <v>24</v>
          </cell>
          <cell r="U45">
            <v>31.666666666666664</v>
          </cell>
          <cell r="V45">
            <v>45.633333333333333</v>
          </cell>
          <cell r="X45">
            <v>19</v>
          </cell>
          <cell r="Y45">
            <v>26.633333333333333</v>
          </cell>
          <cell r="Z45">
            <v>187.79999999999998</v>
          </cell>
          <cell r="AA45">
            <v>125.2</v>
          </cell>
          <cell r="AB45">
            <v>62.59999999999998</v>
          </cell>
        </row>
        <row r="46">
          <cell r="D46">
            <v>0</v>
          </cell>
          <cell r="E46">
            <v>0</v>
          </cell>
          <cell r="F46">
            <v>0</v>
          </cell>
          <cell r="L46">
            <v>0</v>
          </cell>
          <cell r="R46">
            <v>56.666666666666664</v>
          </cell>
          <cell r="T46">
            <v>24</v>
          </cell>
          <cell r="U46">
            <v>32.666666666666664</v>
          </cell>
          <cell r="V46">
            <v>160</v>
          </cell>
          <cell r="X46">
            <v>65</v>
          </cell>
          <cell r="Y46">
            <v>95</v>
          </cell>
          <cell r="AB46">
            <v>0</v>
          </cell>
        </row>
        <row r="47">
          <cell r="D47">
            <v>343.60666666666663</v>
          </cell>
          <cell r="E47">
            <v>103</v>
          </cell>
          <cell r="F47">
            <v>240.60666666666663</v>
          </cell>
          <cell r="L47">
            <v>9.6199999999999992</v>
          </cell>
          <cell r="R47">
            <v>32.666666666666664</v>
          </cell>
          <cell r="T47">
            <v>15</v>
          </cell>
          <cell r="U47">
            <v>17.666666666666664</v>
          </cell>
          <cell r="V47">
            <v>32.56</v>
          </cell>
          <cell r="X47">
            <v>13</v>
          </cell>
          <cell r="Y47">
            <v>19.560000000000002</v>
          </cell>
          <cell r="Z47">
            <v>17.266666666666666</v>
          </cell>
          <cell r="AA47">
            <v>17.266666666666666</v>
          </cell>
          <cell r="AB47">
            <v>0</v>
          </cell>
        </row>
        <row r="48">
          <cell r="D48">
            <v>1</v>
          </cell>
          <cell r="E48">
            <v>0</v>
          </cell>
          <cell r="F48">
            <v>1</v>
          </cell>
          <cell r="L48">
            <v>35</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G48">
            <v>0</v>
          </cell>
          <cell r="AH48">
            <v>0</v>
          </cell>
          <cell r="AI48">
            <v>0</v>
          </cell>
        </row>
        <row r="49">
          <cell r="D49">
            <v>0</v>
          </cell>
          <cell r="E49">
            <v>0</v>
          </cell>
          <cell r="F49">
            <v>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row>
        <row r="50">
          <cell r="D50">
            <v>0</v>
          </cell>
          <cell r="E50">
            <v>0</v>
          </cell>
          <cell r="F50">
            <v>0</v>
          </cell>
          <cell r="L50">
            <v>0</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row>
        <row r="51">
          <cell r="D51">
            <v>0</v>
          </cell>
          <cell r="E51">
            <v>0</v>
          </cell>
          <cell r="F51">
            <v>0</v>
          </cell>
          <cell r="L51">
            <v>0</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F51">
            <v>0</v>
          </cell>
        </row>
        <row r="52">
          <cell r="D52">
            <v>0</v>
          </cell>
          <cell r="E52">
            <v>0</v>
          </cell>
          <cell r="F52">
            <v>0</v>
          </cell>
          <cell r="P52">
            <v>0</v>
          </cell>
          <cell r="Q52">
            <v>0</v>
          </cell>
          <cell r="R52">
            <v>0</v>
          </cell>
          <cell r="T52">
            <v>0</v>
          </cell>
          <cell r="U52">
            <v>0</v>
          </cell>
          <cell r="V52">
            <v>0</v>
          </cell>
          <cell r="X52">
            <v>0</v>
          </cell>
          <cell r="Y52">
            <v>0</v>
          </cell>
          <cell r="Z52">
            <v>0</v>
          </cell>
          <cell r="AA52">
            <v>0</v>
          </cell>
          <cell r="AB52">
            <v>0</v>
          </cell>
          <cell r="AC52">
            <v>0</v>
          </cell>
        </row>
        <row r="53">
          <cell r="D53">
            <v>7</v>
          </cell>
          <cell r="E53">
            <v>2</v>
          </cell>
          <cell r="F53">
            <v>5</v>
          </cell>
          <cell r="L53">
            <v>59</v>
          </cell>
          <cell r="P53">
            <v>3197</v>
          </cell>
          <cell r="Q53">
            <v>0</v>
          </cell>
          <cell r="R53">
            <v>0</v>
          </cell>
          <cell r="T53">
            <v>0</v>
          </cell>
          <cell r="U53">
            <v>0</v>
          </cell>
          <cell r="V53">
            <v>0</v>
          </cell>
          <cell r="X53">
            <v>0</v>
          </cell>
          <cell r="Y53">
            <v>0</v>
          </cell>
          <cell r="Z53">
            <v>890</v>
          </cell>
          <cell r="AA53">
            <v>442</v>
          </cell>
          <cell r="AB53">
            <v>448</v>
          </cell>
          <cell r="AC53">
            <v>612</v>
          </cell>
          <cell r="AD53">
            <v>199</v>
          </cell>
          <cell r="AE53">
            <v>413</v>
          </cell>
        </row>
        <row r="54">
          <cell r="D54">
            <v>260.72727272727275</v>
          </cell>
          <cell r="E54">
            <v>78</v>
          </cell>
          <cell r="F54">
            <v>182.72727272727275</v>
          </cell>
          <cell r="L54">
            <v>475.72727272727275</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G54">
            <v>0</v>
          </cell>
        </row>
        <row r="55">
          <cell r="D55">
            <v>14</v>
          </cell>
          <cell r="E55">
            <v>4</v>
          </cell>
          <cell r="F55">
            <v>10</v>
          </cell>
          <cell r="L55">
            <v>26</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row>
        <row r="56">
          <cell r="D56">
            <v>83</v>
          </cell>
          <cell r="E56">
            <v>44</v>
          </cell>
          <cell r="F56">
            <v>39</v>
          </cell>
          <cell r="L56">
            <v>152</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F56">
            <v>0</v>
          </cell>
          <cell r="AG56">
            <v>0</v>
          </cell>
        </row>
        <row r="57">
          <cell r="D57">
            <v>0</v>
          </cell>
          <cell r="E57">
            <v>0</v>
          </cell>
          <cell r="F57">
            <v>0</v>
          </cell>
          <cell r="L57">
            <v>0</v>
          </cell>
          <cell r="P57">
            <v>0</v>
          </cell>
          <cell r="Q57">
            <v>0</v>
          </cell>
          <cell r="R57">
            <v>0</v>
          </cell>
          <cell r="T57">
            <v>0</v>
          </cell>
          <cell r="U57">
            <v>0</v>
          </cell>
          <cell r="V57">
            <v>0</v>
          </cell>
          <cell r="X57">
            <v>0</v>
          </cell>
          <cell r="Y57">
            <v>0</v>
          </cell>
          <cell r="Z57">
            <v>0</v>
          </cell>
          <cell r="AA57">
            <v>0</v>
          </cell>
          <cell r="AB57">
            <v>0</v>
          </cell>
          <cell r="AC57">
            <v>0</v>
          </cell>
          <cell r="AG57">
            <v>0</v>
          </cell>
        </row>
        <row r="58">
          <cell r="D58">
            <v>87</v>
          </cell>
          <cell r="E58">
            <v>26</v>
          </cell>
          <cell r="F58">
            <v>61</v>
          </cell>
          <cell r="L58">
            <v>586</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G58">
            <v>0</v>
          </cell>
        </row>
        <row r="59">
          <cell r="D59">
            <v>0</v>
          </cell>
          <cell r="L59">
            <v>0</v>
          </cell>
          <cell r="R59">
            <v>0</v>
          </cell>
          <cell r="V59">
            <v>0</v>
          </cell>
          <cell r="Z59">
            <v>0</v>
          </cell>
          <cell r="AA59">
            <v>0</v>
          </cell>
          <cell r="AB59">
            <v>0</v>
          </cell>
          <cell r="AC59">
            <v>0</v>
          </cell>
        </row>
        <row r="60">
          <cell r="D60">
            <v>87</v>
          </cell>
          <cell r="E60">
            <v>26</v>
          </cell>
          <cell r="F60">
            <v>61</v>
          </cell>
          <cell r="L60">
            <v>432</v>
          </cell>
          <cell r="P60">
            <v>266.08</v>
          </cell>
          <cell r="Q60">
            <v>1396.92</v>
          </cell>
          <cell r="R60">
            <v>123</v>
          </cell>
          <cell r="T60">
            <v>53</v>
          </cell>
          <cell r="U60">
            <v>70</v>
          </cell>
          <cell r="V60">
            <v>99</v>
          </cell>
          <cell r="X60">
            <v>40</v>
          </cell>
          <cell r="Y60">
            <v>59</v>
          </cell>
          <cell r="Z60">
            <v>74</v>
          </cell>
          <cell r="AA60">
            <v>74</v>
          </cell>
          <cell r="AB60">
            <v>0</v>
          </cell>
          <cell r="AC60">
            <v>0</v>
          </cell>
          <cell r="AG60">
            <v>0</v>
          </cell>
        </row>
        <row r="61">
          <cell r="D61">
            <v>0</v>
          </cell>
          <cell r="E61">
            <v>0</v>
          </cell>
          <cell r="L61">
            <v>0</v>
          </cell>
          <cell r="P61">
            <v>0</v>
          </cell>
          <cell r="Q61">
            <v>0</v>
          </cell>
          <cell r="R61">
            <v>0</v>
          </cell>
          <cell r="T61">
            <v>0</v>
          </cell>
          <cell r="U61">
            <v>0</v>
          </cell>
          <cell r="V61">
            <v>0</v>
          </cell>
          <cell r="X61">
            <v>0</v>
          </cell>
          <cell r="Y61">
            <v>0</v>
          </cell>
          <cell r="AB61">
            <v>0</v>
          </cell>
          <cell r="AC61">
            <v>0</v>
          </cell>
          <cell r="AG61">
            <v>0</v>
          </cell>
        </row>
        <row r="62">
          <cell r="D62">
            <v>0</v>
          </cell>
          <cell r="E62">
            <v>0</v>
          </cell>
          <cell r="F62">
            <v>0</v>
          </cell>
          <cell r="L62">
            <v>154</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row>
        <row r="63">
          <cell r="D63">
            <v>63</v>
          </cell>
          <cell r="E63">
            <v>19</v>
          </cell>
          <cell r="F63">
            <v>44</v>
          </cell>
          <cell r="L63">
            <v>396</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G63">
            <v>0</v>
          </cell>
        </row>
        <row r="64">
          <cell r="L64">
            <v>52</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G64">
            <v>0</v>
          </cell>
        </row>
        <row r="65">
          <cell r="D65">
            <v>0</v>
          </cell>
          <cell r="L65">
            <v>3</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G65">
            <v>0</v>
          </cell>
        </row>
        <row r="66">
          <cell r="D66">
            <v>0</v>
          </cell>
          <cell r="L66">
            <v>17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G66">
            <v>0</v>
          </cell>
        </row>
        <row r="67">
          <cell r="D67">
            <v>0</v>
          </cell>
          <cell r="L67">
            <v>0</v>
          </cell>
          <cell r="P67">
            <v>0</v>
          </cell>
          <cell r="Q67">
            <v>0</v>
          </cell>
          <cell r="R67">
            <v>0</v>
          </cell>
          <cell r="T67">
            <v>0</v>
          </cell>
          <cell r="U67">
            <v>0</v>
          </cell>
          <cell r="V67">
            <v>0</v>
          </cell>
          <cell r="X67">
            <v>0</v>
          </cell>
          <cell r="Y67">
            <v>0</v>
          </cell>
          <cell r="Z67">
            <v>0</v>
          </cell>
          <cell r="AA67">
            <v>0</v>
          </cell>
          <cell r="AB67">
            <v>0</v>
          </cell>
          <cell r="AC67">
            <v>0</v>
          </cell>
          <cell r="AG67">
            <v>0</v>
          </cell>
        </row>
        <row r="68">
          <cell r="D68">
            <v>63</v>
          </cell>
          <cell r="L68">
            <v>283</v>
          </cell>
          <cell r="P68">
            <v>194</v>
          </cell>
          <cell r="Q68">
            <v>582</v>
          </cell>
          <cell r="R68">
            <v>527</v>
          </cell>
          <cell r="T68">
            <v>225</v>
          </cell>
          <cell r="U68">
            <v>302</v>
          </cell>
          <cell r="V68">
            <v>417</v>
          </cell>
          <cell r="X68">
            <v>170</v>
          </cell>
          <cell r="Y68">
            <v>247</v>
          </cell>
          <cell r="Z68">
            <v>265</v>
          </cell>
          <cell r="AA68">
            <v>265</v>
          </cell>
          <cell r="AB68">
            <v>0</v>
          </cell>
          <cell r="AC68">
            <v>0</v>
          </cell>
          <cell r="AG68">
            <v>0</v>
          </cell>
        </row>
        <row r="69">
          <cell r="D69">
            <v>0</v>
          </cell>
          <cell r="L69">
            <v>0</v>
          </cell>
          <cell r="P69">
            <v>0</v>
          </cell>
          <cell r="Q69">
            <v>0</v>
          </cell>
          <cell r="R69">
            <v>0</v>
          </cell>
          <cell r="U69">
            <v>0</v>
          </cell>
          <cell r="V69">
            <v>0</v>
          </cell>
          <cell r="X69">
            <v>0</v>
          </cell>
          <cell r="Y69">
            <v>0</v>
          </cell>
          <cell r="AB69">
            <v>0</v>
          </cell>
          <cell r="AC69">
            <v>0</v>
          </cell>
          <cell r="AG69">
            <v>0</v>
          </cell>
        </row>
        <row r="70">
          <cell r="D70">
            <v>1454</v>
          </cell>
          <cell r="E70">
            <v>434</v>
          </cell>
          <cell r="F70">
            <v>1020</v>
          </cell>
          <cell r="L70">
            <v>70</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row>
        <row r="71">
          <cell r="D71">
            <v>62</v>
          </cell>
          <cell r="E71">
            <v>19</v>
          </cell>
          <cell r="F71">
            <v>43</v>
          </cell>
          <cell r="P71">
            <v>0</v>
          </cell>
          <cell r="Q71">
            <v>0</v>
          </cell>
          <cell r="T71">
            <v>0</v>
          </cell>
          <cell r="U71">
            <v>0</v>
          </cell>
          <cell r="AB71">
            <v>0</v>
          </cell>
          <cell r="AC71">
            <v>0</v>
          </cell>
          <cell r="AG71">
            <v>0</v>
          </cell>
        </row>
        <row r="72">
          <cell r="D72">
            <v>1392</v>
          </cell>
          <cell r="E72">
            <v>415</v>
          </cell>
          <cell r="F72">
            <v>977</v>
          </cell>
          <cell r="L72">
            <v>70</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I72">
            <v>3263</v>
          </cell>
        </row>
        <row r="73">
          <cell r="D73">
            <v>383</v>
          </cell>
          <cell r="E73">
            <v>114</v>
          </cell>
          <cell r="F73">
            <v>269</v>
          </cell>
          <cell r="L73">
            <v>44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G73">
            <v>0</v>
          </cell>
          <cell r="AI73">
            <v>1236.3661129568106</v>
          </cell>
        </row>
        <row r="74">
          <cell r="E74">
            <v>0</v>
          </cell>
          <cell r="F74">
            <v>0</v>
          </cell>
          <cell r="AC74">
            <v>0</v>
          </cell>
          <cell r="AG74">
            <v>0</v>
          </cell>
        </row>
        <row r="75">
          <cell r="D75">
            <v>348</v>
          </cell>
          <cell r="E75">
            <v>104</v>
          </cell>
          <cell r="F75">
            <v>244</v>
          </cell>
          <cell r="R75">
            <v>0</v>
          </cell>
          <cell r="V75">
            <v>0</v>
          </cell>
          <cell r="AC75">
            <v>0</v>
          </cell>
          <cell r="AI75">
            <v>0</v>
          </cell>
        </row>
        <row r="76">
          <cell r="E76">
            <v>0</v>
          </cell>
          <cell r="F76">
            <v>0</v>
          </cell>
          <cell r="R76">
            <v>0</v>
          </cell>
          <cell r="V76">
            <v>0</v>
          </cell>
          <cell r="Z76">
            <v>6</v>
          </cell>
          <cell r="AA76">
            <v>6</v>
          </cell>
          <cell r="AC76">
            <v>0</v>
          </cell>
          <cell r="AG76">
            <v>0</v>
          </cell>
        </row>
        <row r="77">
          <cell r="E77">
            <v>0</v>
          </cell>
          <cell r="F77">
            <v>0</v>
          </cell>
          <cell r="S77">
            <v>36</v>
          </cell>
          <cell r="W77">
            <v>32</v>
          </cell>
          <cell r="AC77">
            <v>92</v>
          </cell>
          <cell r="AD77">
            <v>92</v>
          </cell>
          <cell r="AE77">
            <v>0</v>
          </cell>
          <cell r="AF77">
            <v>362</v>
          </cell>
        </row>
        <row r="78">
          <cell r="D78">
            <v>286</v>
          </cell>
          <cell r="E78">
            <v>85</v>
          </cell>
          <cell r="F78">
            <v>201</v>
          </cell>
          <cell r="L78">
            <v>12</v>
          </cell>
          <cell r="R78">
            <v>19</v>
          </cell>
          <cell r="S78">
            <v>18</v>
          </cell>
          <cell r="V78">
            <v>5</v>
          </cell>
          <cell r="W78">
            <v>21</v>
          </cell>
          <cell r="Z78">
            <v>34</v>
          </cell>
          <cell r="AA78">
            <v>34</v>
          </cell>
          <cell r="AB78">
            <v>0</v>
          </cell>
          <cell r="AC78">
            <v>4</v>
          </cell>
          <cell r="AD78">
            <v>4</v>
          </cell>
          <cell r="AF78">
            <v>39</v>
          </cell>
        </row>
        <row r="79">
          <cell r="D79">
            <v>375</v>
          </cell>
          <cell r="E79">
            <v>112</v>
          </cell>
          <cell r="F79">
            <v>263</v>
          </cell>
          <cell r="L79">
            <v>14</v>
          </cell>
          <cell r="R79">
            <v>18</v>
          </cell>
          <cell r="S79">
            <v>1</v>
          </cell>
          <cell r="V79">
            <v>19</v>
          </cell>
          <cell r="Z79">
            <v>30</v>
          </cell>
          <cell r="AA79">
            <v>30</v>
          </cell>
          <cell r="AB79">
            <v>0</v>
          </cell>
          <cell r="AC79">
            <v>15</v>
          </cell>
          <cell r="AD79">
            <v>15</v>
          </cell>
          <cell r="AF79">
            <v>595</v>
          </cell>
        </row>
        <row r="80">
          <cell r="D80">
            <v>2457.727272727273</v>
          </cell>
          <cell r="E80">
            <v>787</v>
          </cell>
          <cell r="F80">
            <v>1670.7272727272727</v>
          </cell>
          <cell r="L80">
            <v>2187.727272727273</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row>
        <row r="81">
          <cell r="D81">
            <v>2457.727272727273</v>
          </cell>
          <cell r="E81">
            <v>787</v>
          </cell>
          <cell r="F81">
            <v>1670.7272727272727</v>
          </cell>
          <cell r="L81">
            <v>2187.727272727273</v>
          </cell>
          <cell r="R81">
            <v>2743.9090909090883</v>
          </cell>
          <cell r="V81">
            <v>1877.6363636363603</v>
          </cell>
          <cell r="Z81">
            <v>3618.212121212121</v>
          </cell>
          <cell r="AA81">
            <v>2959.5454545454545</v>
          </cell>
          <cell r="AB81">
            <v>658.66666666666674</v>
          </cell>
          <cell r="AG81">
            <v>0</v>
          </cell>
        </row>
        <row r="82">
          <cell r="AG82">
            <v>0</v>
          </cell>
        </row>
        <row r="83">
          <cell r="D83">
            <v>0</v>
          </cell>
          <cell r="E83">
            <v>0</v>
          </cell>
          <cell r="AG83">
            <v>0</v>
          </cell>
        </row>
        <row r="84">
          <cell r="D84">
            <v>2457.727272727273</v>
          </cell>
          <cell r="E84">
            <v>787</v>
          </cell>
          <cell r="F84">
            <v>1670.7272727272727</v>
          </cell>
          <cell r="L84">
            <v>2187.727272727273</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row>
        <row r="85">
          <cell r="D85">
            <v>0</v>
          </cell>
          <cell r="E85">
            <v>0</v>
          </cell>
          <cell r="F85">
            <v>0</v>
          </cell>
          <cell r="AG85">
            <v>0</v>
          </cell>
        </row>
        <row r="86">
          <cell r="D86">
            <v>1166</v>
          </cell>
          <cell r="E86">
            <v>590</v>
          </cell>
          <cell r="F86">
            <v>576</v>
          </cell>
          <cell r="AG86">
            <v>0</v>
          </cell>
        </row>
        <row r="87">
          <cell r="D87">
            <v>600</v>
          </cell>
          <cell r="E87">
            <v>179</v>
          </cell>
          <cell r="F87">
            <v>421</v>
          </cell>
          <cell r="P87">
            <v>0</v>
          </cell>
          <cell r="Q87">
            <v>0</v>
          </cell>
          <cell r="R87">
            <v>0</v>
          </cell>
          <cell r="S87">
            <v>0</v>
          </cell>
          <cell r="T87">
            <v>0</v>
          </cell>
          <cell r="U87">
            <v>0</v>
          </cell>
          <cell r="V87">
            <v>0</v>
          </cell>
          <cell r="W87">
            <v>0</v>
          </cell>
          <cell r="X87">
            <v>0</v>
          </cell>
          <cell r="Y87">
            <v>0</v>
          </cell>
          <cell r="Z87">
            <v>0</v>
          </cell>
          <cell r="AA87">
            <v>0</v>
          </cell>
          <cell r="AB87">
            <v>0</v>
          </cell>
          <cell r="AG87">
            <v>0</v>
          </cell>
        </row>
        <row r="88">
          <cell r="D88">
            <v>15</v>
          </cell>
          <cell r="E88">
            <v>4</v>
          </cell>
          <cell r="F88">
            <v>11</v>
          </cell>
          <cell r="L88">
            <v>61</v>
          </cell>
          <cell r="R88">
            <v>150</v>
          </cell>
          <cell r="T88">
            <v>72</v>
          </cell>
          <cell r="U88">
            <v>78</v>
          </cell>
          <cell r="V88">
            <v>27</v>
          </cell>
          <cell r="X88">
            <v>11</v>
          </cell>
          <cell r="Y88">
            <v>16</v>
          </cell>
          <cell r="Z88">
            <v>12.333333333333334</v>
          </cell>
          <cell r="AA88">
            <v>0</v>
          </cell>
          <cell r="AB88">
            <v>12.333333333333334</v>
          </cell>
          <cell r="AC88">
            <v>28</v>
          </cell>
          <cell r="AE88">
            <v>28</v>
          </cell>
        </row>
        <row r="89">
          <cell r="D89">
            <v>4238.727272727273</v>
          </cell>
          <cell r="E89">
            <v>1560</v>
          </cell>
          <cell r="F89">
            <v>2678.727272727273</v>
          </cell>
          <cell r="L89">
            <v>2248.727272727273</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row>
        <row r="90">
          <cell r="D90">
            <v>4238.727272727273</v>
          </cell>
          <cell r="E90">
            <v>1560</v>
          </cell>
          <cell r="F90">
            <v>2678.727272727273</v>
          </cell>
          <cell r="L90">
            <v>2248.727272727273</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row>
        <row r="91">
          <cell r="D91">
            <v>202</v>
          </cell>
          <cell r="L91">
            <v>432</v>
          </cell>
          <cell r="R91">
            <v>123</v>
          </cell>
          <cell r="V91">
            <v>99</v>
          </cell>
          <cell r="Z91">
            <v>74</v>
          </cell>
          <cell r="AA91">
            <v>74</v>
          </cell>
          <cell r="AF91">
            <v>0</v>
          </cell>
          <cell r="AG91">
            <v>0</v>
          </cell>
        </row>
        <row r="92">
          <cell r="D92">
            <v>87</v>
          </cell>
          <cell r="L92">
            <v>432</v>
          </cell>
          <cell r="R92">
            <v>123</v>
          </cell>
          <cell r="V92">
            <v>99</v>
          </cell>
          <cell r="Z92">
            <v>74</v>
          </cell>
          <cell r="AA92">
            <v>74</v>
          </cell>
          <cell r="AF92">
            <v>0</v>
          </cell>
          <cell r="AG92">
            <v>0</v>
          </cell>
        </row>
        <row r="93">
          <cell r="D93">
            <v>0</v>
          </cell>
          <cell r="L93">
            <v>0</v>
          </cell>
          <cell r="R93">
            <v>0</v>
          </cell>
          <cell r="V93">
            <v>0</v>
          </cell>
          <cell r="Z93">
            <v>0</v>
          </cell>
          <cell r="AA93">
            <v>0</v>
          </cell>
          <cell r="AF93">
            <v>0</v>
          </cell>
          <cell r="AG93">
            <v>0</v>
          </cell>
        </row>
        <row r="94">
          <cell r="D94">
            <v>115</v>
          </cell>
          <cell r="L94">
            <v>0</v>
          </cell>
          <cell r="R94">
            <v>0</v>
          </cell>
          <cell r="V94">
            <v>0</v>
          </cell>
          <cell r="Z94">
            <v>0</v>
          </cell>
          <cell r="AA94">
            <v>0</v>
          </cell>
          <cell r="AF94">
            <v>0</v>
          </cell>
          <cell r="AG94">
            <v>0</v>
          </cell>
        </row>
        <row r="95">
          <cell r="AG95">
            <v>0</v>
          </cell>
        </row>
        <row r="96">
          <cell r="AG96">
            <v>0</v>
          </cell>
        </row>
        <row r="97">
          <cell r="D97">
            <v>115</v>
          </cell>
          <cell r="L97">
            <v>0</v>
          </cell>
          <cell r="R97">
            <v>0</v>
          </cell>
          <cell r="V97">
            <v>5</v>
          </cell>
          <cell r="Z97">
            <v>0</v>
          </cell>
          <cell r="AA97">
            <v>0</v>
          </cell>
          <cell r="AF97">
            <v>39</v>
          </cell>
          <cell r="AG97">
            <v>0</v>
          </cell>
        </row>
        <row r="98">
          <cell r="D98">
            <v>115</v>
          </cell>
          <cell r="L98">
            <v>0</v>
          </cell>
          <cell r="R98">
            <v>0</v>
          </cell>
          <cell r="V98">
            <v>0</v>
          </cell>
          <cell r="Z98">
            <v>0</v>
          </cell>
          <cell r="AA98">
            <v>0</v>
          </cell>
          <cell r="AF98">
            <v>0</v>
          </cell>
          <cell r="AG98">
            <v>0</v>
          </cell>
        </row>
        <row r="99">
          <cell r="L99">
            <v>0</v>
          </cell>
          <cell r="R99">
            <v>0</v>
          </cell>
          <cell r="V99">
            <v>0</v>
          </cell>
          <cell r="Z99">
            <v>0</v>
          </cell>
          <cell r="AA99">
            <v>0</v>
          </cell>
          <cell r="AF99">
            <v>0</v>
          </cell>
          <cell r="AG99">
            <v>0</v>
          </cell>
        </row>
        <row r="100">
          <cell r="D100">
            <v>0</v>
          </cell>
          <cell r="L100">
            <v>0</v>
          </cell>
          <cell r="R100">
            <v>0</v>
          </cell>
          <cell r="V100">
            <v>5</v>
          </cell>
          <cell r="Z100">
            <v>0</v>
          </cell>
          <cell r="AA100">
            <v>0</v>
          </cell>
          <cell r="AF100">
            <v>39</v>
          </cell>
          <cell r="AG100">
            <v>0</v>
          </cell>
        </row>
        <row r="101">
          <cell r="D101">
            <v>31</v>
          </cell>
          <cell r="L101">
            <v>0</v>
          </cell>
          <cell r="R101">
            <v>0</v>
          </cell>
          <cell r="V101">
            <v>19</v>
          </cell>
          <cell r="Z101">
            <v>0</v>
          </cell>
          <cell r="AA101">
            <v>0</v>
          </cell>
          <cell r="AF101">
            <v>595</v>
          </cell>
          <cell r="AG101">
            <v>0</v>
          </cell>
        </row>
        <row r="102">
          <cell r="D102">
            <v>31</v>
          </cell>
          <cell r="L102">
            <v>0</v>
          </cell>
          <cell r="V102">
            <v>0</v>
          </cell>
          <cell r="Z102">
            <v>0</v>
          </cell>
          <cell r="AA102">
            <v>0</v>
          </cell>
          <cell r="AG102">
            <v>0</v>
          </cell>
        </row>
        <row r="103">
          <cell r="D103">
            <v>0</v>
          </cell>
          <cell r="L103">
            <v>0</v>
          </cell>
          <cell r="R103">
            <v>0</v>
          </cell>
          <cell r="V103">
            <v>19</v>
          </cell>
          <cell r="Z103">
            <v>0</v>
          </cell>
          <cell r="AA103">
            <v>0</v>
          </cell>
          <cell r="AF103">
            <v>595</v>
          </cell>
          <cell r="AG103">
            <v>0</v>
          </cell>
        </row>
        <row r="104">
          <cell r="D104">
            <v>605.41409090909156</v>
          </cell>
          <cell r="L104">
            <v>0</v>
          </cell>
          <cell r="P104" t="str">
            <v/>
          </cell>
          <cell r="V104">
            <v>0</v>
          </cell>
          <cell r="Z104">
            <v>0</v>
          </cell>
          <cell r="AA104">
            <v>0</v>
          </cell>
          <cell r="AG104">
            <v>0</v>
          </cell>
        </row>
        <row r="105">
          <cell r="D105">
            <v>0</v>
          </cell>
          <cell r="L105">
            <v>0</v>
          </cell>
          <cell r="AG105">
            <v>0</v>
          </cell>
        </row>
        <row r="106">
          <cell r="D106">
            <v>0</v>
          </cell>
          <cell r="R106">
            <v>0</v>
          </cell>
          <cell r="V106">
            <v>0</v>
          </cell>
          <cell r="Z106">
            <v>0</v>
          </cell>
          <cell r="AA106">
            <v>0</v>
          </cell>
          <cell r="AG106">
            <v>0</v>
          </cell>
        </row>
        <row r="107">
          <cell r="L107">
            <v>0</v>
          </cell>
          <cell r="R107">
            <v>0</v>
          </cell>
          <cell r="V107">
            <v>0</v>
          </cell>
          <cell r="Z107">
            <v>0</v>
          </cell>
          <cell r="AA107">
            <v>0</v>
          </cell>
          <cell r="AG107">
            <v>0</v>
          </cell>
        </row>
        <row r="108">
          <cell r="D108">
            <v>0</v>
          </cell>
          <cell r="L108">
            <v>0</v>
          </cell>
          <cell r="R108">
            <v>0</v>
          </cell>
          <cell r="V108">
            <v>38</v>
          </cell>
          <cell r="Z108">
            <v>0</v>
          </cell>
          <cell r="AA108">
            <v>0</v>
          </cell>
          <cell r="AF108">
            <v>363</v>
          </cell>
          <cell r="AG108">
            <v>0</v>
          </cell>
        </row>
        <row r="109">
          <cell r="D109">
            <v>2</v>
          </cell>
          <cell r="L109">
            <v>0</v>
          </cell>
          <cell r="R109">
            <v>28</v>
          </cell>
          <cell r="V109">
            <v>0</v>
          </cell>
          <cell r="Z109">
            <v>0</v>
          </cell>
          <cell r="AA109">
            <v>0</v>
          </cell>
          <cell r="AF109">
            <v>7</v>
          </cell>
          <cell r="AG109">
            <v>0</v>
          </cell>
        </row>
        <row r="110">
          <cell r="D110">
            <v>401.20704545454578</v>
          </cell>
          <cell r="AG110">
            <v>0</v>
          </cell>
        </row>
        <row r="111">
          <cell r="D111">
            <v>0</v>
          </cell>
        </row>
        <row r="112">
          <cell r="D112">
            <v>3725</v>
          </cell>
          <cell r="AG112">
            <v>0</v>
          </cell>
        </row>
        <row r="114">
          <cell r="D114">
            <v>0</v>
          </cell>
          <cell r="AG114">
            <v>0</v>
          </cell>
        </row>
        <row r="115">
          <cell r="D115">
            <v>4879.6211363636376</v>
          </cell>
          <cell r="E115">
            <v>0</v>
          </cell>
          <cell r="F115">
            <v>0</v>
          </cell>
          <cell r="L115">
            <v>0</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row>
        <row r="116">
          <cell r="D116">
            <v>868.41409090909156</v>
          </cell>
          <cell r="E116">
            <v>0</v>
          </cell>
          <cell r="F116">
            <v>0</v>
          </cell>
          <cell r="L116">
            <v>0</v>
          </cell>
          <cell r="R116">
            <v>28</v>
          </cell>
          <cell r="T116">
            <v>0</v>
          </cell>
          <cell r="U116">
            <v>0</v>
          </cell>
          <cell r="V116">
            <v>62</v>
          </cell>
          <cell r="Z116">
            <v>0</v>
          </cell>
          <cell r="AA116">
            <v>0</v>
          </cell>
          <cell r="AF116">
            <v>1004</v>
          </cell>
          <cell r="AG116">
            <v>0</v>
          </cell>
        </row>
        <row r="117">
          <cell r="AG117">
            <v>0</v>
          </cell>
        </row>
        <row r="118">
          <cell r="AG118">
            <v>0</v>
          </cell>
        </row>
        <row r="119">
          <cell r="AG119">
            <v>0</v>
          </cell>
        </row>
        <row r="120">
          <cell r="AG120">
            <v>0</v>
          </cell>
        </row>
        <row r="121">
          <cell r="AG121">
            <v>0</v>
          </cell>
        </row>
        <row r="122">
          <cell r="AG122">
            <v>0</v>
          </cell>
        </row>
        <row r="123">
          <cell r="AG123">
            <v>0</v>
          </cell>
        </row>
        <row r="124">
          <cell r="AG124">
            <v>0</v>
          </cell>
        </row>
        <row r="125">
          <cell r="AG125">
            <v>0</v>
          </cell>
        </row>
        <row r="126">
          <cell r="AG126">
            <v>0</v>
          </cell>
        </row>
        <row r="127">
          <cell r="AG127">
            <v>0</v>
          </cell>
        </row>
        <row r="128">
          <cell r="AG128">
            <v>0</v>
          </cell>
        </row>
        <row r="129">
          <cell r="AG129">
            <v>0</v>
          </cell>
        </row>
        <row r="130">
          <cell r="AG130">
            <v>0</v>
          </cell>
        </row>
        <row r="131">
          <cell r="AG131">
            <v>0</v>
          </cell>
        </row>
        <row r="132">
          <cell r="AG132">
            <v>0</v>
          </cell>
        </row>
        <row r="133">
          <cell r="AG133">
            <v>0</v>
          </cell>
        </row>
        <row r="134">
          <cell r="AG134">
            <v>0</v>
          </cell>
        </row>
        <row r="135">
          <cell r="AG135">
            <v>0</v>
          </cell>
        </row>
        <row r="136">
          <cell r="AG136">
            <v>0</v>
          </cell>
        </row>
        <row r="137">
          <cell r="AG137">
            <v>0</v>
          </cell>
        </row>
        <row r="138">
          <cell r="AG138">
            <v>0</v>
          </cell>
        </row>
        <row r="139">
          <cell r="AG139">
            <v>0</v>
          </cell>
        </row>
        <row r="140">
          <cell r="AG140">
            <v>0</v>
          </cell>
        </row>
        <row r="141">
          <cell r="AG141">
            <v>0</v>
          </cell>
        </row>
        <row r="142">
          <cell r="AG142">
            <v>0</v>
          </cell>
        </row>
        <row r="143">
          <cell r="AG143">
            <v>0</v>
          </cell>
        </row>
        <row r="144">
          <cell r="AG144">
            <v>0</v>
          </cell>
        </row>
        <row r="145">
          <cell r="AG145">
            <v>0</v>
          </cell>
        </row>
        <row r="146">
          <cell r="AG146">
            <v>0</v>
          </cell>
        </row>
        <row r="147">
          <cell r="AG147">
            <v>0</v>
          </cell>
        </row>
        <row r="148">
          <cell r="AG148">
            <v>0</v>
          </cell>
        </row>
        <row r="149">
          <cell r="D149">
            <v>0</v>
          </cell>
          <cell r="L149">
            <v>0</v>
          </cell>
          <cell r="R149">
            <v>0</v>
          </cell>
          <cell r="V149">
            <v>0</v>
          </cell>
          <cell r="AF149">
            <v>0</v>
          </cell>
          <cell r="AG149">
            <v>0</v>
          </cell>
        </row>
        <row r="150">
          <cell r="D150">
            <v>63</v>
          </cell>
          <cell r="L150">
            <v>396</v>
          </cell>
          <cell r="R150">
            <v>527</v>
          </cell>
          <cell r="V150">
            <v>417</v>
          </cell>
          <cell r="Z150">
            <v>265</v>
          </cell>
          <cell r="AA150">
            <v>265</v>
          </cell>
          <cell r="AG150">
            <v>0</v>
          </cell>
        </row>
        <row r="151">
          <cell r="D151">
            <v>63</v>
          </cell>
          <cell r="L151">
            <v>145</v>
          </cell>
          <cell r="R151">
            <v>226</v>
          </cell>
          <cell r="V151">
            <v>198</v>
          </cell>
          <cell r="Z151">
            <v>84</v>
          </cell>
          <cell r="AA151">
            <v>84</v>
          </cell>
          <cell r="AG151">
            <v>0</v>
          </cell>
        </row>
        <row r="152">
          <cell r="L152">
            <v>283</v>
          </cell>
          <cell r="R152">
            <v>263</v>
          </cell>
          <cell r="V152">
            <v>219</v>
          </cell>
          <cell r="Z152">
            <v>133</v>
          </cell>
          <cell r="AA152">
            <v>133</v>
          </cell>
        </row>
        <row r="153">
          <cell r="L153">
            <v>72</v>
          </cell>
          <cell r="R153">
            <v>264</v>
          </cell>
          <cell r="V153">
            <v>198</v>
          </cell>
          <cell r="Z153">
            <v>121</v>
          </cell>
          <cell r="AA153">
            <v>121</v>
          </cell>
        </row>
        <row r="155">
          <cell r="L155">
            <v>0</v>
          </cell>
          <cell r="V155">
            <v>369</v>
          </cell>
        </row>
        <row r="156">
          <cell r="L156">
            <v>0</v>
          </cell>
          <cell r="R156">
            <v>0</v>
          </cell>
          <cell r="V156">
            <v>0</v>
          </cell>
        </row>
        <row r="157">
          <cell r="D157">
            <v>17.179166666666667</v>
          </cell>
          <cell r="L157">
            <v>502</v>
          </cell>
          <cell r="R157">
            <v>213</v>
          </cell>
        </row>
        <row r="158">
          <cell r="L158">
            <v>0</v>
          </cell>
          <cell r="R158">
            <v>0</v>
          </cell>
        </row>
        <row r="159">
          <cell r="D159">
            <v>0</v>
          </cell>
          <cell r="L159">
            <v>396</v>
          </cell>
          <cell r="R159">
            <v>527</v>
          </cell>
          <cell r="V159">
            <v>417</v>
          </cell>
          <cell r="Z159">
            <v>265</v>
          </cell>
          <cell r="AA159">
            <v>265</v>
          </cell>
        </row>
        <row r="160">
          <cell r="L160">
            <v>396</v>
          </cell>
          <cell r="R160">
            <v>527</v>
          </cell>
          <cell r="V160">
            <v>417</v>
          </cell>
        </row>
        <row r="161">
          <cell r="D161">
            <v>80</v>
          </cell>
          <cell r="L161">
            <v>0</v>
          </cell>
          <cell r="R161">
            <v>0</v>
          </cell>
          <cell r="V161">
            <v>0</v>
          </cell>
        </row>
        <row r="162">
          <cell r="L162">
            <v>0</v>
          </cell>
          <cell r="R162">
            <v>1530</v>
          </cell>
          <cell r="V162">
            <v>0</v>
          </cell>
          <cell r="Z162">
            <v>0</v>
          </cell>
          <cell r="AA162">
            <v>0</v>
          </cell>
        </row>
        <row r="163">
          <cell r="L163">
            <v>0</v>
          </cell>
        </row>
        <row r="164">
          <cell r="D164">
            <v>233</v>
          </cell>
          <cell r="E164">
            <v>0</v>
          </cell>
          <cell r="F164">
            <v>0</v>
          </cell>
          <cell r="L164">
            <v>432</v>
          </cell>
          <cell r="P164">
            <v>0</v>
          </cell>
          <cell r="Q164">
            <v>0</v>
          </cell>
          <cell r="R164">
            <v>123</v>
          </cell>
          <cell r="T164">
            <v>0</v>
          </cell>
          <cell r="U164">
            <v>0</v>
          </cell>
          <cell r="V164">
            <v>99</v>
          </cell>
          <cell r="X164">
            <v>0</v>
          </cell>
          <cell r="Y164">
            <v>0</v>
          </cell>
          <cell r="Z164">
            <v>74</v>
          </cell>
          <cell r="AA164">
            <v>74</v>
          </cell>
          <cell r="AF164">
            <v>0</v>
          </cell>
          <cell r="AG164">
            <v>0</v>
          </cell>
        </row>
        <row r="165">
          <cell r="D165">
            <v>357.72727272727275</v>
          </cell>
          <cell r="E165">
            <v>126</v>
          </cell>
          <cell r="F165">
            <v>231.72727272727275</v>
          </cell>
          <cell r="L165">
            <v>725.72727272727275</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F165">
            <v>363</v>
          </cell>
          <cell r="AG165">
            <v>0</v>
          </cell>
          <cell r="AH165">
            <v>0</v>
          </cell>
          <cell r="AI165">
            <v>0</v>
          </cell>
        </row>
        <row r="166">
          <cell r="D166">
            <v>1888.0000000000002</v>
          </cell>
          <cell r="E166">
            <v>-130</v>
          </cell>
          <cell r="F166">
            <v>-242.72727272727275</v>
          </cell>
          <cell r="L166">
            <v>480.00000000000023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F166">
            <v>-965</v>
          </cell>
          <cell r="AG166">
            <v>0</v>
          </cell>
          <cell r="AH166">
            <v>0</v>
          </cell>
          <cell r="AI166">
            <v>0</v>
          </cell>
        </row>
        <row r="167">
          <cell r="D167">
            <v>17</v>
          </cell>
          <cell r="E167">
            <v>4</v>
          </cell>
          <cell r="F167">
            <v>11</v>
          </cell>
          <cell r="L167">
            <v>61</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F167">
            <v>7</v>
          </cell>
          <cell r="AG167">
            <v>0</v>
          </cell>
          <cell r="AH167">
            <v>0</v>
          </cell>
          <cell r="AI167">
            <v>0</v>
          </cell>
        </row>
        <row r="193">
          <cell r="D193" t="str">
            <v>АПАРАТ ВСЬОГО</v>
          </cell>
          <cell r="E193" t="str">
            <v>АПАРАТ ЕЛЕКТРО</v>
          </cell>
          <cell r="F193" t="str">
            <v>АПАРАТ ТЕПЛО</v>
          </cell>
          <cell r="L193" t="str">
            <v>ККМ</v>
          </cell>
          <cell r="R193" t="str">
            <v>ТЕЦ-5 ВСЬОГО</v>
          </cell>
          <cell r="T193" t="str">
            <v>Е/Е</v>
          </cell>
          <cell r="U193" t="str">
            <v xml:space="preserve"> Т/Е</v>
          </cell>
          <cell r="V193" t="str">
            <v>ТЕЦ-6 ВСЬОГО</v>
          </cell>
          <cell r="X193" t="str">
            <v>Е/Е</v>
          </cell>
          <cell r="Y193" t="str">
            <v xml:space="preserve"> Т/Е</v>
          </cell>
          <cell r="AF193" t="str">
            <v xml:space="preserve">ДОП.ВИР. </v>
          </cell>
          <cell r="AG193" t="str">
            <v>ДОП.ВИР. СТ.ОРГ.</v>
          </cell>
        </row>
        <row r="194">
          <cell r="D194">
            <v>2.78</v>
          </cell>
          <cell r="P194">
            <v>3.427</v>
          </cell>
          <cell r="Q194">
            <v>3.427</v>
          </cell>
          <cell r="R194">
            <v>3.427</v>
          </cell>
          <cell r="T194">
            <v>3.427</v>
          </cell>
          <cell r="U194">
            <v>3.427</v>
          </cell>
          <cell r="V194">
            <v>3.427</v>
          </cell>
          <cell r="X194">
            <v>3.427</v>
          </cell>
          <cell r="Y194">
            <v>3.427</v>
          </cell>
          <cell r="AA194">
            <v>3.427</v>
          </cell>
          <cell r="AF194">
            <v>3.427</v>
          </cell>
          <cell r="AG194">
            <v>3.427</v>
          </cell>
          <cell r="AH194">
            <v>3.427</v>
          </cell>
          <cell r="AI194">
            <v>3.427</v>
          </cell>
        </row>
        <row r="196">
          <cell r="R196">
            <v>81.3</v>
          </cell>
          <cell r="V196">
            <v>66</v>
          </cell>
        </row>
        <row r="197">
          <cell r="R197">
            <v>93.5</v>
          </cell>
          <cell r="V197">
            <v>75.900000000000006</v>
          </cell>
        </row>
        <row r="198">
          <cell r="L198">
            <v>0</v>
          </cell>
        </row>
        <row r="199">
          <cell r="L199">
            <v>0</v>
          </cell>
          <cell r="R199">
            <v>141.5</v>
          </cell>
          <cell r="V199">
            <v>141.5</v>
          </cell>
          <cell r="W199">
            <v>178</v>
          </cell>
          <cell r="Z199">
            <v>178</v>
          </cell>
          <cell r="AA199">
            <v>141.5</v>
          </cell>
          <cell r="AB199">
            <v>141.5</v>
          </cell>
          <cell r="AC199">
            <v>141.5</v>
          </cell>
          <cell r="AD199">
            <v>178</v>
          </cell>
          <cell r="AF199">
            <v>178</v>
          </cell>
          <cell r="AG199">
            <v>178</v>
          </cell>
          <cell r="AI199">
            <v>178</v>
          </cell>
        </row>
        <row r="200">
          <cell r="R200">
            <v>11504</v>
          </cell>
          <cell r="V200">
            <v>9339</v>
          </cell>
        </row>
        <row r="202">
          <cell r="R202">
            <v>0</v>
          </cell>
          <cell r="V202">
            <v>0</v>
          </cell>
        </row>
        <row r="203">
          <cell r="R203">
            <v>0</v>
          </cell>
          <cell r="V203">
            <v>0</v>
          </cell>
        </row>
        <row r="205">
          <cell r="R205">
            <v>141.5</v>
          </cell>
          <cell r="V205">
            <v>141.5</v>
          </cell>
        </row>
        <row r="206">
          <cell r="R206">
            <v>0</v>
          </cell>
          <cell r="V206">
            <v>0</v>
          </cell>
        </row>
        <row r="208">
          <cell r="R208">
            <v>61.9</v>
          </cell>
          <cell r="V208">
            <v>48.8</v>
          </cell>
        </row>
        <row r="209">
          <cell r="R209">
            <v>85.5</v>
          </cell>
          <cell r="V209">
            <v>67.400000000000006</v>
          </cell>
        </row>
        <row r="210">
          <cell r="D210">
            <v>75</v>
          </cell>
          <cell r="L210">
            <v>75</v>
          </cell>
          <cell r="R210">
            <v>82</v>
          </cell>
          <cell r="V210">
            <v>82</v>
          </cell>
          <cell r="AG210">
            <v>0</v>
          </cell>
        </row>
        <row r="211">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row>
        <row r="212">
          <cell r="R212">
            <v>30950</v>
          </cell>
          <cell r="V212">
            <v>24400</v>
          </cell>
        </row>
        <row r="214">
          <cell r="R214">
            <v>179</v>
          </cell>
          <cell r="T214">
            <v>76.5</v>
          </cell>
          <cell r="U214">
            <v>102.5</v>
          </cell>
          <cell r="V214">
            <v>143.30000000000001</v>
          </cell>
          <cell r="X214">
            <v>58.3</v>
          </cell>
          <cell r="Y214">
            <v>85.000000000000014</v>
          </cell>
        </row>
        <row r="215">
          <cell r="R215">
            <v>42454</v>
          </cell>
          <cell r="T215">
            <v>27692</v>
          </cell>
          <cell r="U215">
            <v>14762</v>
          </cell>
          <cell r="V215">
            <v>33739</v>
          </cell>
          <cell r="X215">
            <v>21106</v>
          </cell>
          <cell r="Y215">
            <v>12633</v>
          </cell>
        </row>
        <row r="216">
          <cell r="R216">
            <v>237.17</v>
          </cell>
          <cell r="T216">
            <v>361.99</v>
          </cell>
          <cell r="U216">
            <v>144.02000000000001</v>
          </cell>
          <cell r="V216">
            <v>235.44</v>
          </cell>
          <cell r="X216">
            <v>362.02</v>
          </cell>
          <cell r="Y216">
            <v>148.62</v>
          </cell>
          <cell r="AF216" t="str">
            <v/>
          </cell>
          <cell r="AG216" t="str">
            <v/>
          </cell>
        </row>
        <row r="218">
          <cell r="R218">
            <v>42455</v>
          </cell>
          <cell r="V218">
            <v>33739</v>
          </cell>
        </row>
        <row r="239">
          <cell r="D239" t="str">
            <v>ВИКОН.ДИР.</v>
          </cell>
          <cell r="L239" t="str">
            <v>ККМ</v>
          </cell>
          <cell r="R239" t="str">
            <v>ТЕЦ-5 ВСЬОГО</v>
          </cell>
          <cell r="V239" t="str">
            <v>ТЕЦ-6 ВСЬОГО</v>
          </cell>
          <cell r="AA239" t="str">
            <v>ТРМ ВСЬОГО</v>
          </cell>
        </row>
        <row r="240">
          <cell r="D240">
            <v>3546.727272727273</v>
          </cell>
          <cell r="L240">
            <v>2094.727272727273</v>
          </cell>
          <cell r="R240">
            <v>2382.9090909090883</v>
          </cell>
          <cell r="V240">
            <v>-72</v>
          </cell>
          <cell r="AA240">
            <v>2527.5454545454545</v>
          </cell>
        </row>
        <row r="242">
          <cell r="D242">
            <v>9597.141363636365</v>
          </cell>
          <cell r="L242">
            <v>2094.727272727273</v>
          </cell>
          <cell r="R242">
            <v>2382.9090909090883</v>
          </cell>
          <cell r="V242">
            <v>-72</v>
          </cell>
          <cell r="AA242">
            <v>2527.5454545454545</v>
          </cell>
        </row>
        <row r="243">
          <cell r="D243">
            <v>4089.3529545454548</v>
          </cell>
          <cell r="L243">
            <v>645.68000000000029</v>
          </cell>
          <cell r="R243">
            <v>1767.9999999999977</v>
          </cell>
          <cell r="V243">
            <v>36754.003030303029</v>
          </cell>
          <cell r="AA243">
            <v>655.5333333333333</v>
          </cell>
        </row>
        <row r="244">
          <cell r="D244">
            <v>58857.621136363639</v>
          </cell>
          <cell r="L244">
            <v>0</v>
          </cell>
          <cell r="R244">
            <v>0</v>
          </cell>
          <cell r="V244">
            <v>35616.63636363636</v>
          </cell>
          <cell r="AA244">
            <v>0</v>
          </cell>
        </row>
        <row r="245">
          <cell r="D245">
            <v>48798</v>
          </cell>
        </row>
        <row r="246">
          <cell r="D246">
            <v>0</v>
          </cell>
        </row>
        <row r="247">
          <cell r="D247">
            <v>5266</v>
          </cell>
          <cell r="L247">
            <v>0</v>
          </cell>
          <cell r="R247">
            <v>0</v>
          </cell>
          <cell r="V247">
            <v>35616.63636363636</v>
          </cell>
          <cell r="AA247">
            <v>0</v>
          </cell>
        </row>
        <row r="248">
          <cell r="D248">
            <v>0</v>
          </cell>
        </row>
        <row r="249">
          <cell r="D249">
            <v>0</v>
          </cell>
        </row>
        <row r="250">
          <cell r="D250">
            <v>0</v>
          </cell>
        </row>
        <row r="251">
          <cell r="D251">
            <v>3500</v>
          </cell>
        </row>
        <row r="252">
          <cell r="D252">
            <v>0</v>
          </cell>
        </row>
        <row r="253">
          <cell r="D253">
            <v>1766</v>
          </cell>
          <cell r="L253">
            <v>0</v>
          </cell>
          <cell r="R253">
            <v>0</v>
          </cell>
          <cell r="V253">
            <v>35616.63636363636</v>
          </cell>
          <cell r="AA253">
            <v>0</v>
          </cell>
        </row>
        <row r="254">
          <cell r="D254">
            <v>4731.6211363636376</v>
          </cell>
        </row>
        <row r="255">
          <cell r="D255">
            <v>62</v>
          </cell>
          <cell r="L255">
            <v>0</v>
          </cell>
          <cell r="R255">
            <v>0</v>
          </cell>
          <cell r="V255">
            <v>0</v>
          </cell>
          <cell r="AA255">
            <v>0</v>
          </cell>
        </row>
        <row r="256">
          <cell r="D256">
            <v>62404.348409090911</v>
          </cell>
          <cell r="L256">
            <v>2094.727272727273</v>
          </cell>
          <cell r="R256">
            <v>2382.9090909090883</v>
          </cell>
          <cell r="V256">
            <v>35544.63636363636</v>
          </cell>
          <cell r="AA256">
            <v>2527.5454545454545</v>
          </cell>
        </row>
        <row r="257">
          <cell r="D257">
            <v>1362.1672727272726</v>
          </cell>
          <cell r="L257">
            <v>1781.0472727272727</v>
          </cell>
          <cell r="R257">
            <v>1817.909090909091</v>
          </cell>
          <cell r="V257">
            <v>35634.829696969697</v>
          </cell>
          <cell r="AA257">
            <v>2055.0121212121212</v>
          </cell>
        </row>
        <row r="258">
          <cell r="D258">
            <v>357.72727272727275</v>
          </cell>
          <cell r="L258">
            <v>725.72727272727275</v>
          </cell>
          <cell r="R258">
            <v>653.90909090909099</v>
          </cell>
          <cell r="V258">
            <v>1465.6363636363635</v>
          </cell>
          <cell r="AA258">
            <v>1439.5454545454545</v>
          </cell>
        </row>
        <row r="259">
          <cell r="D259">
            <v>0</v>
          </cell>
          <cell r="L259">
            <v>0</v>
          </cell>
          <cell r="R259">
            <v>839</v>
          </cell>
          <cell r="V259">
            <v>32.56</v>
          </cell>
          <cell r="AA259">
            <v>0</v>
          </cell>
        </row>
        <row r="260">
          <cell r="D260">
            <v>997.43999999999994</v>
          </cell>
          <cell r="L260">
            <v>696.31999999999994</v>
          </cell>
          <cell r="R260">
            <v>268.33333333333331</v>
          </cell>
          <cell r="V260">
            <v>130.63333333333333</v>
          </cell>
          <cell r="AA260">
            <v>173.46666666666667</v>
          </cell>
        </row>
        <row r="261">
          <cell r="D261">
            <v>67.833333333333343</v>
          </cell>
          <cell r="L261">
            <v>336.7</v>
          </cell>
          <cell r="R261">
            <v>55.666666666666664</v>
          </cell>
          <cell r="V261">
            <v>0</v>
          </cell>
          <cell r="AA261">
            <v>125.2</v>
          </cell>
        </row>
        <row r="262">
          <cell r="D262">
            <v>343.60666666666663</v>
          </cell>
          <cell r="L262">
            <v>9.6199999999999992</v>
          </cell>
          <cell r="R262">
            <v>32.666666666666664</v>
          </cell>
          <cell r="V262">
            <v>45.633333333333333</v>
          </cell>
          <cell r="AA262">
            <v>17.266666666666666</v>
          </cell>
        </row>
        <row r="263">
          <cell r="L263">
            <v>220</v>
          </cell>
          <cell r="R263">
            <v>130</v>
          </cell>
          <cell r="V263">
            <v>85</v>
          </cell>
          <cell r="AA263">
            <v>0</v>
          </cell>
        </row>
        <row r="264">
          <cell r="D264">
            <v>586</v>
          </cell>
          <cell r="L264">
            <v>130</v>
          </cell>
          <cell r="R264">
            <v>50</v>
          </cell>
          <cell r="V264">
            <v>0</v>
          </cell>
          <cell r="AA264">
            <v>31</v>
          </cell>
        </row>
        <row r="265">
          <cell r="D265">
            <v>7</v>
          </cell>
          <cell r="L265">
            <v>59</v>
          </cell>
          <cell r="R265">
            <v>56.666666666666664</v>
          </cell>
          <cell r="V265">
            <v>34006</v>
          </cell>
          <cell r="AA265">
            <v>442</v>
          </cell>
        </row>
        <row r="266">
          <cell r="D266">
            <v>0</v>
          </cell>
          <cell r="L266">
            <v>0</v>
          </cell>
          <cell r="R266">
            <v>56.666666666666664</v>
          </cell>
          <cell r="V266">
            <v>267</v>
          </cell>
          <cell r="AA266">
            <v>0</v>
          </cell>
        </row>
        <row r="267">
          <cell r="D267">
            <v>7</v>
          </cell>
          <cell r="L267">
            <v>59</v>
          </cell>
          <cell r="R267">
            <v>0</v>
          </cell>
          <cell r="V267">
            <v>33739</v>
          </cell>
          <cell r="AA267">
            <v>442</v>
          </cell>
        </row>
        <row r="269">
          <cell r="L269">
            <v>300</v>
          </cell>
          <cell r="R269">
            <v>0</v>
          </cell>
          <cell r="V269">
            <v>0</v>
          </cell>
          <cell r="AA269">
            <v>0</v>
          </cell>
        </row>
        <row r="270">
          <cell r="D270">
            <v>61042.181136363637</v>
          </cell>
          <cell r="L270">
            <v>313.68000000000029</v>
          </cell>
          <cell r="R270">
            <v>564.99999999999727</v>
          </cell>
          <cell r="V270">
            <v>-90.193333333336341</v>
          </cell>
          <cell r="AA270">
            <v>472.5333333333333</v>
          </cell>
        </row>
        <row r="272">
          <cell r="D272">
            <v>1503.7391666666665</v>
          </cell>
          <cell r="L272">
            <v>-12.319999999999993</v>
          </cell>
          <cell r="R272">
            <v>128.00000000000003</v>
          </cell>
          <cell r="V272">
            <v>648.44303030302694</v>
          </cell>
          <cell r="AA272">
            <v>133.5333333333333</v>
          </cell>
        </row>
        <row r="273">
          <cell r="D273">
            <v>17.179166666666667</v>
          </cell>
          <cell r="L273">
            <v>-18</v>
          </cell>
          <cell r="R273">
            <v>83</v>
          </cell>
          <cell r="V273">
            <v>284</v>
          </cell>
          <cell r="AA273">
            <v>0</v>
          </cell>
        </row>
        <row r="274">
          <cell r="D274">
            <v>0</v>
          </cell>
          <cell r="L274">
            <v>-202</v>
          </cell>
          <cell r="R274">
            <v>-314</v>
          </cell>
          <cell r="V274">
            <v>-1195</v>
          </cell>
          <cell r="AA274">
            <v>-152</v>
          </cell>
        </row>
        <row r="275">
          <cell r="D275">
            <v>0</v>
          </cell>
          <cell r="L275">
            <v>0</v>
          </cell>
          <cell r="R275">
            <v>0</v>
          </cell>
          <cell r="V275">
            <v>-5</v>
          </cell>
          <cell r="AA275">
            <v>0</v>
          </cell>
        </row>
        <row r="276">
          <cell r="D276">
            <v>0</v>
          </cell>
          <cell r="L276">
            <v>0</v>
          </cell>
          <cell r="R276">
            <v>0</v>
          </cell>
          <cell r="V276">
            <v>0</v>
          </cell>
          <cell r="AA276">
            <v>0</v>
          </cell>
        </row>
        <row r="277">
          <cell r="D277">
            <v>1469.56</v>
          </cell>
          <cell r="L277">
            <v>146.68</v>
          </cell>
          <cell r="R277">
            <v>181.00000000000003</v>
          </cell>
          <cell r="V277">
            <v>1564.4430303030269</v>
          </cell>
          <cell r="AA277">
            <v>285.5333333333333</v>
          </cell>
        </row>
        <row r="278">
          <cell r="D278">
            <v>76.56</v>
          </cell>
          <cell r="L278">
            <v>41.680000000000014</v>
          </cell>
          <cell r="R278">
            <v>12.000000000000021</v>
          </cell>
          <cell r="V278">
            <v>1020.0030303030269</v>
          </cell>
          <cell r="AA278">
            <v>12.533333333333331</v>
          </cell>
        </row>
        <row r="279">
          <cell r="D279">
            <v>1</v>
          </cell>
          <cell r="L279">
            <v>35</v>
          </cell>
          <cell r="R279">
            <v>87</v>
          </cell>
          <cell r="V279">
            <v>127.44</v>
          </cell>
          <cell r="AA279">
            <v>112</v>
          </cell>
        </row>
        <row r="280">
          <cell r="D280">
            <v>1392</v>
          </cell>
          <cell r="L280">
            <v>70</v>
          </cell>
          <cell r="R280">
            <v>82</v>
          </cell>
          <cell r="V280">
            <v>417</v>
          </cell>
          <cell r="AA280">
            <v>161</v>
          </cell>
        </row>
        <row r="281">
          <cell r="L281">
            <v>0</v>
          </cell>
          <cell r="AA281">
            <v>0</v>
          </cell>
        </row>
        <row r="282">
          <cell r="D282">
            <v>17</v>
          </cell>
          <cell r="L282">
            <v>61</v>
          </cell>
          <cell r="R282">
            <v>178</v>
          </cell>
          <cell r="V282">
            <v>0</v>
          </cell>
          <cell r="AA282">
            <v>0</v>
          </cell>
        </row>
        <row r="283">
          <cell r="D283">
            <v>61042.181136363637</v>
          </cell>
          <cell r="L283">
            <v>313.68000000000029</v>
          </cell>
          <cell r="R283">
            <v>564.99999999999727</v>
          </cell>
          <cell r="V283">
            <v>-90.193333333336341</v>
          </cell>
          <cell r="AA283">
            <v>472.5333333333333</v>
          </cell>
        </row>
        <row r="284">
          <cell r="AA284">
            <v>0</v>
          </cell>
        </row>
        <row r="286">
          <cell r="D286">
            <v>61042.181136363637</v>
          </cell>
          <cell r="L286">
            <v>313.68000000000029</v>
          </cell>
          <cell r="R286">
            <v>564.99999999999727</v>
          </cell>
          <cell r="V286">
            <v>-90.193333333336341</v>
          </cell>
          <cell r="AA286">
            <v>472.5333333333333</v>
          </cell>
        </row>
        <row r="287">
          <cell r="D287">
            <v>0</v>
          </cell>
        </row>
        <row r="288">
          <cell r="D288">
            <v>0</v>
          </cell>
          <cell r="L288">
            <v>0</v>
          </cell>
          <cell r="R288">
            <v>0</v>
          </cell>
          <cell r="V288">
            <v>0</v>
          </cell>
          <cell r="AA288">
            <v>0</v>
          </cell>
        </row>
        <row r="289">
          <cell r="D289">
            <v>0</v>
          </cell>
          <cell r="L289">
            <v>0</v>
          </cell>
          <cell r="R289">
            <v>0</v>
          </cell>
          <cell r="V289">
            <v>0</v>
          </cell>
          <cell r="AA289">
            <v>0</v>
          </cell>
        </row>
        <row r="291">
          <cell r="D291">
            <v>61042.181136363637</v>
          </cell>
          <cell r="L291">
            <v>313.68000000000029</v>
          </cell>
          <cell r="R291">
            <v>564.99999999999727</v>
          </cell>
          <cell r="V291">
            <v>-90.193333333336341</v>
          </cell>
          <cell r="AA291">
            <v>472.5333333333333</v>
          </cell>
        </row>
        <row r="293">
          <cell r="L293">
            <v>300</v>
          </cell>
        </row>
        <row r="295">
          <cell r="V295">
            <v>417</v>
          </cell>
        </row>
        <row r="296">
          <cell r="D296">
            <v>990</v>
          </cell>
        </row>
        <row r="300">
          <cell r="D300">
            <v>61042.181136363637</v>
          </cell>
          <cell r="L300">
            <v>313.68000000000029</v>
          </cell>
          <cell r="R300">
            <v>564.99999999999727</v>
          </cell>
          <cell r="V300">
            <v>-90.193333333336341</v>
          </cell>
          <cell r="AA300">
            <v>472.5333333333333</v>
          </cell>
        </row>
        <row r="321">
          <cell r="T321" t="str">
            <v>ФМЗ ( з відрахуван)</v>
          </cell>
          <cell r="V321">
            <v>25</v>
          </cell>
        </row>
      </sheetData>
      <sheetData sheetId="3" refreshError="1">
        <row r="8">
          <cell r="AF8" t="str">
            <v>ЗАТВЕРДЖУЮ</v>
          </cell>
        </row>
        <row r="15">
          <cell r="AN15" t="str">
            <v>ЗАТВЕРДЖУЮ</v>
          </cell>
        </row>
        <row r="16">
          <cell r="AN16" t="str">
            <v>ГОЛОВА ПРАВЛІННЯ-</v>
          </cell>
        </row>
        <row r="17">
          <cell r="AN17" t="str">
            <v>ГЕНЕРАЛЬНИЙ ДИРЕКТОР</v>
          </cell>
        </row>
        <row r="18">
          <cell r="AO18" t="str">
            <v xml:space="preserve">    І.В.ПЛАЧКОВ</v>
          </cell>
        </row>
        <row r="19">
          <cell r="AC19" t="str">
            <v>звіт</v>
          </cell>
        </row>
        <row r="20">
          <cell r="N20" t="str">
            <v>ЗАТВЕРДЖУЮ</v>
          </cell>
          <cell r="AJ20" t="str">
            <v/>
          </cell>
          <cell r="AK20" t="str">
            <v>ПЛАЧКОВ І.В.</v>
          </cell>
        </row>
        <row r="21">
          <cell r="N21" t="str">
            <v xml:space="preserve">                   ПЛАЧКОВ І.В.</v>
          </cell>
          <cell r="AI21" t="str">
            <v xml:space="preserve">         Затверджую</v>
          </cell>
          <cell r="AJ21" t="str">
            <v>ЗАТВЕРДЖУЮ</v>
          </cell>
        </row>
        <row r="22">
          <cell r="AI22" t="str">
            <v xml:space="preserve"> Голова правління </v>
          </cell>
          <cell r="AJ22" t="str">
            <v xml:space="preserve">                   ПЛАЧКОВ І.В.</v>
          </cell>
        </row>
        <row r="23">
          <cell r="AF23" t="str">
            <v>ЗАТВЕРДЖУЮ</v>
          </cell>
        </row>
        <row r="24">
          <cell r="AF24" t="str">
            <v>ГОЛОВА ПРАЛІННЯ  КЕ</v>
          </cell>
          <cell r="AI24" t="str">
            <v xml:space="preserve">                        І.В.Плачков</v>
          </cell>
        </row>
        <row r="25">
          <cell r="F25" t="e">
            <v>#REF!</v>
          </cell>
          <cell r="AI25" t="str">
            <v xml:space="preserve">   "_____" ________2000 р.</v>
          </cell>
        </row>
        <row r="27">
          <cell r="AF27" t="str">
            <v xml:space="preserve">                   ПЛАЧКОВ І.В.</v>
          </cell>
          <cell r="AG27" t="str">
            <v>І.В.ПЛАЧКОВ</v>
          </cell>
        </row>
        <row r="28">
          <cell r="AJ28" t="str">
            <v xml:space="preserve">                      ПЛАЧКОВ І.В.</v>
          </cell>
        </row>
        <row r="31">
          <cell r="D31" t="str">
            <v>ВИК.ДИР.</v>
          </cell>
          <cell r="E31" t="str">
            <v>Е/Е</v>
          </cell>
          <cell r="F31" t="str">
            <v xml:space="preserve"> Т/Е</v>
          </cell>
          <cell r="L31" t="str">
            <v>КМ план</v>
          </cell>
          <cell r="M31" t="str">
            <v>ККМ звіт</v>
          </cell>
          <cell r="N31" t="str">
            <v>ТМ план</v>
          </cell>
          <cell r="O31" t="str">
            <v>ТМ звіт</v>
          </cell>
          <cell r="P31" t="str">
            <v>ВИРОБН</v>
          </cell>
          <cell r="Q31" t="str">
            <v>ПЕРЕД</v>
          </cell>
          <cell r="R31" t="str">
            <v>ТЕЦ-5 ВСЬОГО</v>
          </cell>
          <cell r="S31" t="str">
            <v>звіт</v>
          </cell>
          <cell r="T31" t="str">
            <v>Е/Е</v>
          </cell>
          <cell r="U31" t="str">
            <v xml:space="preserve"> Т/Е</v>
          </cell>
          <cell r="V31" t="str">
            <v>ТЕЦ-6 ВСЬОГО</v>
          </cell>
          <cell r="W31" t="str">
            <v>звіт</v>
          </cell>
          <cell r="X31" t="str">
            <v>Е/Е</v>
          </cell>
          <cell r="Y31" t="str">
            <v xml:space="preserve"> Т/Е</v>
          </cell>
          <cell r="Z31" t="str">
            <v>ТРМ ВСЬОГО</v>
          </cell>
          <cell r="AA31" t="str">
            <v>ТРМ  АК КЕ</v>
          </cell>
          <cell r="AB31" t="str">
            <v>ТРМ СТОР</v>
          </cell>
          <cell r="AC31" t="str">
            <v>ТРМ ВСЬОГО</v>
          </cell>
          <cell r="AD31" t="str">
            <v>ТРМ  АК КЕ</v>
          </cell>
          <cell r="AE31" t="str">
            <v>ТРМ СТОР</v>
          </cell>
          <cell r="AF31" t="str">
            <v xml:space="preserve">ДОП.ВИР. </v>
          </cell>
          <cell r="AG31" t="str">
            <v>РЕЗЕРВ</v>
          </cell>
          <cell r="AH31" t="str">
            <v>Е/Е</v>
          </cell>
          <cell r="AI31" t="str">
            <v xml:space="preserve"> Т/Е</v>
          </cell>
          <cell r="AJ31" t="str">
            <v>АК КЕ ВСЬОГО</v>
          </cell>
          <cell r="AK31" t="str">
            <v>Е/Е</v>
          </cell>
          <cell r="AL31" t="str">
            <v xml:space="preserve"> Т/Е</v>
          </cell>
          <cell r="AM31" t="str">
            <v>АК КЕ ВСЬОГО звіт</v>
          </cell>
          <cell r="AN31" t="str">
            <v>СТАНЦІї ЕЛЕКТРО</v>
          </cell>
          <cell r="AO31" t="str">
            <v>СТАНЦІІ ТЕПЛОВІ</v>
          </cell>
          <cell r="AP31" t="str">
            <v>МЕРЕЖІ ЕЛЕКТРО</v>
          </cell>
          <cell r="AQ31" t="str">
            <v>МЕРЕЖІ ТЕПЛОВІ</v>
          </cell>
        </row>
        <row r="32">
          <cell r="T32">
            <v>427</v>
          </cell>
          <cell r="X32">
            <v>353</v>
          </cell>
          <cell r="AK32">
            <v>780</v>
          </cell>
        </row>
        <row r="33">
          <cell r="F33" t="str">
            <v>ВИКОН.ДИР.</v>
          </cell>
          <cell r="P33" t="str">
            <v xml:space="preserve">КМ </v>
          </cell>
          <cell r="S33" t="str">
            <v xml:space="preserve">ТМ </v>
          </cell>
          <cell r="T33">
            <v>388.95</v>
          </cell>
          <cell r="U33" t="str">
            <v>ПЕРЕД</v>
          </cell>
          <cell r="X33">
            <v>323.55</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v>712.5</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K34">
            <v>712.5</v>
          </cell>
          <cell r="AL34">
            <v>605</v>
          </cell>
        </row>
        <row r="35">
          <cell r="AK35">
            <v>0</v>
          </cell>
          <cell r="AL35">
            <v>536.20000000000005</v>
          </cell>
        </row>
        <row r="36">
          <cell r="AK36">
            <v>160</v>
          </cell>
          <cell r="AL36">
            <v>0</v>
          </cell>
        </row>
        <row r="37">
          <cell r="AK37">
            <v>0</v>
          </cell>
        </row>
        <row r="38">
          <cell r="AK38">
            <v>619.1</v>
          </cell>
          <cell r="AL38">
            <v>0</v>
          </cell>
        </row>
        <row r="39">
          <cell r="L39">
            <v>0</v>
          </cell>
          <cell r="AK39">
            <v>459.1</v>
          </cell>
          <cell r="AL39">
            <v>0</v>
          </cell>
        </row>
        <row r="40">
          <cell r="N40">
            <v>850</v>
          </cell>
          <cell r="U40">
            <v>667</v>
          </cell>
          <cell r="Y40">
            <v>585</v>
          </cell>
          <cell r="AL40">
            <v>2102</v>
          </cell>
        </row>
        <row r="41">
          <cell r="P41">
            <v>0</v>
          </cell>
          <cell r="AL41">
            <v>0</v>
          </cell>
        </row>
        <row r="42">
          <cell r="D42">
            <v>2558.727272727273</v>
          </cell>
          <cell r="L42">
            <v>2094.727272727273</v>
          </cell>
          <cell r="N42">
            <v>8290.4545454545441</v>
          </cell>
          <cell r="P42">
            <v>20817.202727272728</v>
          </cell>
          <cell r="Q42">
            <v>3051.2518181818186</v>
          </cell>
          <cell r="R42">
            <v>2382.9090909090883</v>
          </cell>
          <cell r="V42">
            <v>1332.6363636363603</v>
          </cell>
          <cell r="W42">
            <v>1700</v>
          </cell>
          <cell r="Z42">
            <v>3118.212121212121</v>
          </cell>
          <cell r="AA42">
            <v>2527.5454545454545</v>
          </cell>
          <cell r="AB42">
            <v>590.66666666666674</v>
          </cell>
          <cell r="AC42" t="e">
            <v>#VALUE!</v>
          </cell>
          <cell r="AD42">
            <v>2792</v>
          </cell>
          <cell r="AE42">
            <v>846</v>
          </cell>
          <cell r="AL42">
            <v>1892</v>
          </cell>
          <cell r="AM42">
            <v>1840</v>
          </cell>
        </row>
        <row r="43">
          <cell r="AM43">
            <v>0</v>
          </cell>
        </row>
        <row r="44">
          <cell r="D44">
            <v>488</v>
          </cell>
          <cell r="E44">
            <v>180</v>
          </cell>
          <cell r="F44">
            <v>308</v>
          </cell>
          <cell r="L44">
            <v>388</v>
          </cell>
          <cell r="M44">
            <v>352</v>
          </cell>
          <cell r="N44">
            <v>499</v>
          </cell>
          <cell r="O44">
            <v>583</v>
          </cell>
          <cell r="P44">
            <v>249.5</v>
          </cell>
          <cell r="Q44">
            <v>249.5</v>
          </cell>
          <cell r="R44">
            <v>157</v>
          </cell>
          <cell r="S44">
            <v>93</v>
          </cell>
          <cell r="T44">
            <v>67</v>
          </cell>
          <cell r="U44">
            <v>90</v>
          </cell>
          <cell r="V44">
            <v>267</v>
          </cell>
          <cell r="W44">
            <v>109</v>
          </cell>
          <cell r="X44">
            <v>109</v>
          </cell>
          <cell r="Y44">
            <v>158</v>
          </cell>
          <cell r="Z44">
            <v>226.33333333333334</v>
          </cell>
          <cell r="AA44">
            <v>155</v>
          </cell>
          <cell r="AB44">
            <v>71.333333333333343</v>
          </cell>
          <cell r="AC44">
            <v>302</v>
          </cell>
          <cell r="AD44">
            <v>229</v>
          </cell>
          <cell r="AE44">
            <v>73</v>
          </cell>
          <cell r="AG44">
            <v>0</v>
          </cell>
          <cell r="AH44">
            <v>0</v>
          </cell>
          <cell r="AI44">
            <v>0</v>
          </cell>
          <cell r="AJ44">
            <v>2049</v>
          </cell>
          <cell r="AK44">
            <v>771.6</v>
          </cell>
          <cell r="AL44">
            <v>1277.4000000000001</v>
          </cell>
          <cell r="AM44">
            <v>1904</v>
          </cell>
          <cell r="AN44">
            <v>176</v>
          </cell>
          <cell r="AO44">
            <v>418</v>
          </cell>
          <cell r="AP44">
            <v>595.6</v>
          </cell>
          <cell r="AQ44">
            <v>859.40000000000009</v>
          </cell>
        </row>
        <row r="45">
          <cell r="D45">
            <v>67.833333333333343</v>
          </cell>
          <cell r="E45">
            <v>20</v>
          </cell>
          <cell r="F45">
            <v>47.833333333333343</v>
          </cell>
          <cell r="L45">
            <v>336.7</v>
          </cell>
          <cell r="N45">
            <v>400.83333333333331</v>
          </cell>
          <cell r="P45">
            <v>2175</v>
          </cell>
          <cell r="R45">
            <v>55.666666666666664</v>
          </cell>
          <cell r="S45">
            <v>7897</v>
          </cell>
          <cell r="T45">
            <v>24</v>
          </cell>
          <cell r="U45">
            <v>31.666666666666664</v>
          </cell>
          <cell r="V45">
            <v>45.633333333333333</v>
          </cell>
          <cell r="X45">
            <v>19</v>
          </cell>
          <cell r="Y45">
            <v>26.633333333333333</v>
          </cell>
          <cell r="Z45">
            <v>187.79999999999998</v>
          </cell>
          <cell r="AA45">
            <v>125.2</v>
          </cell>
          <cell r="AB45">
            <v>62.59999999999998</v>
          </cell>
          <cell r="AC45">
            <v>1464</v>
          </cell>
          <cell r="AF45">
            <v>4071.2424242424245</v>
          </cell>
          <cell r="AG45">
            <v>3280.4969696969697</v>
          </cell>
          <cell r="AH45">
            <v>790.74545454545455</v>
          </cell>
          <cell r="AJ45">
            <v>1085.8666666666666</v>
          </cell>
          <cell r="AK45">
            <v>407.7</v>
          </cell>
          <cell r="AL45">
            <v>678.16666666666652</v>
          </cell>
          <cell r="AM45">
            <v>0</v>
          </cell>
        </row>
        <row r="46">
          <cell r="D46">
            <v>0</v>
          </cell>
          <cell r="E46">
            <v>0</v>
          </cell>
          <cell r="F46">
            <v>0</v>
          </cell>
          <cell r="L46">
            <v>0</v>
          </cell>
          <cell r="R46">
            <v>56.666666666666664</v>
          </cell>
          <cell r="T46">
            <v>24</v>
          </cell>
          <cell r="U46">
            <v>32.666666666666664</v>
          </cell>
          <cell r="V46">
            <v>160</v>
          </cell>
          <cell r="X46">
            <v>65</v>
          </cell>
          <cell r="Y46">
            <v>95</v>
          </cell>
          <cell r="AB46">
            <v>0</v>
          </cell>
          <cell r="AJ46">
            <v>216.66666666666666</v>
          </cell>
          <cell r="AK46">
            <v>89</v>
          </cell>
          <cell r="AL46">
            <v>127.66666666666666</v>
          </cell>
          <cell r="AM46">
            <v>0</v>
          </cell>
        </row>
        <row r="47">
          <cell r="D47">
            <v>343.60666666666663</v>
          </cell>
          <cell r="E47">
            <v>103</v>
          </cell>
          <cell r="F47">
            <v>240.60666666666663</v>
          </cell>
          <cell r="L47">
            <v>9.6199999999999992</v>
          </cell>
          <cell r="N47">
            <v>33.333333333333336</v>
          </cell>
          <cell r="P47">
            <v>353</v>
          </cell>
          <cell r="R47">
            <v>32.666666666666664</v>
          </cell>
          <cell r="S47">
            <v>486</v>
          </cell>
          <cell r="T47">
            <v>15</v>
          </cell>
          <cell r="U47">
            <v>17.666666666666664</v>
          </cell>
          <cell r="V47">
            <v>32.56</v>
          </cell>
          <cell r="X47">
            <v>13</v>
          </cell>
          <cell r="Y47">
            <v>19.560000000000002</v>
          </cell>
          <cell r="Z47">
            <v>17.266666666666666</v>
          </cell>
          <cell r="AA47">
            <v>17.266666666666666</v>
          </cell>
          <cell r="AB47">
            <v>0</v>
          </cell>
          <cell r="AC47">
            <v>299</v>
          </cell>
          <cell r="AD47">
            <v>114</v>
          </cell>
          <cell r="AE47">
            <v>185</v>
          </cell>
          <cell r="AF47">
            <v>226.33333333333334</v>
          </cell>
          <cell r="AG47">
            <v>155</v>
          </cell>
          <cell r="AH47">
            <v>71.333333333333343</v>
          </cell>
          <cell r="AJ47">
            <v>469.05333333333328</v>
          </cell>
          <cell r="AK47">
            <v>140.62</v>
          </cell>
          <cell r="AL47">
            <v>328.43333333333328</v>
          </cell>
          <cell r="AM47">
            <v>0</v>
          </cell>
          <cell r="AN47">
            <v>167</v>
          </cell>
          <cell r="AO47">
            <v>420</v>
          </cell>
          <cell r="AP47">
            <v>611.6</v>
          </cell>
          <cell r="AQ47">
            <v>800.06666666666661</v>
          </cell>
        </row>
        <row r="48">
          <cell r="D48">
            <v>1</v>
          </cell>
          <cell r="E48">
            <v>0</v>
          </cell>
          <cell r="F48">
            <v>1</v>
          </cell>
          <cell r="L48">
            <v>35</v>
          </cell>
          <cell r="M48">
            <v>48</v>
          </cell>
          <cell r="N48">
            <v>424</v>
          </cell>
          <cell r="O48">
            <v>524</v>
          </cell>
          <cell r="P48">
            <v>330.72</v>
          </cell>
          <cell r="Q48">
            <v>93.279999999999973</v>
          </cell>
          <cell r="R48">
            <v>926</v>
          </cell>
          <cell r="S48">
            <v>927</v>
          </cell>
          <cell r="T48">
            <v>396</v>
          </cell>
          <cell r="U48">
            <v>530</v>
          </cell>
          <cell r="V48">
            <v>67</v>
          </cell>
          <cell r="W48">
            <v>62</v>
          </cell>
          <cell r="X48">
            <v>27</v>
          </cell>
          <cell r="Y48">
            <v>40</v>
          </cell>
          <cell r="Z48">
            <v>162.33333333333334</v>
          </cell>
          <cell r="AA48">
            <v>112</v>
          </cell>
          <cell r="AB48">
            <v>50.333333333333343</v>
          </cell>
          <cell r="AC48">
            <v>101</v>
          </cell>
          <cell r="AD48">
            <v>71</v>
          </cell>
          <cell r="AE48">
            <v>30</v>
          </cell>
          <cell r="AF48">
            <v>206.95333333333335</v>
          </cell>
          <cell r="AG48">
            <v>0</v>
          </cell>
          <cell r="AH48">
            <v>0</v>
          </cell>
          <cell r="AI48">
            <v>0</v>
          </cell>
          <cell r="AJ48">
            <v>1566</v>
          </cell>
          <cell r="AK48">
            <v>460</v>
          </cell>
          <cell r="AL48">
            <v>1106</v>
          </cell>
          <cell r="AM48">
            <v>1650</v>
          </cell>
          <cell r="AN48">
            <v>423</v>
          </cell>
          <cell r="AO48">
            <v>714</v>
          </cell>
          <cell r="AP48">
            <v>37</v>
          </cell>
          <cell r="AQ48">
            <v>392</v>
          </cell>
        </row>
        <row r="49">
          <cell r="D49">
            <v>0</v>
          </cell>
          <cell r="E49">
            <v>0</v>
          </cell>
          <cell r="F49">
            <v>0</v>
          </cell>
          <cell r="N49">
            <v>22</v>
          </cell>
          <cell r="O49">
            <v>20</v>
          </cell>
          <cell r="P49">
            <v>22</v>
          </cell>
          <cell r="Q49">
            <v>0</v>
          </cell>
          <cell r="R49">
            <v>839</v>
          </cell>
          <cell r="S49">
            <v>838</v>
          </cell>
          <cell r="T49">
            <v>359</v>
          </cell>
          <cell r="U49">
            <v>480</v>
          </cell>
          <cell r="V49">
            <v>14</v>
          </cell>
          <cell r="W49">
            <v>7</v>
          </cell>
          <cell r="X49">
            <v>6</v>
          </cell>
          <cell r="Y49">
            <v>8</v>
          </cell>
          <cell r="Z49">
            <v>0</v>
          </cell>
          <cell r="AA49">
            <v>0</v>
          </cell>
          <cell r="AB49">
            <v>0</v>
          </cell>
          <cell r="AC49">
            <v>0</v>
          </cell>
          <cell r="AD49">
            <v>74</v>
          </cell>
          <cell r="AE49">
            <v>121</v>
          </cell>
          <cell r="AH49">
            <v>0</v>
          </cell>
          <cell r="AJ49">
            <v>875</v>
          </cell>
          <cell r="AK49">
            <v>365</v>
          </cell>
          <cell r="AL49">
            <v>510</v>
          </cell>
          <cell r="AM49">
            <v>865</v>
          </cell>
          <cell r="AN49">
            <v>365</v>
          </cell>
          <cell r="AO49">
            <v>495</v>
          </cell>
          <cell r="AP49">
            <v>0</v>
          </cell>
          <cell r="AQ49">
            <v>15</v>
          </cell>
        </row>
        <row r="50">
          <cell r="D50">
            <v>0</v>
          </cell>
          <cell r="E50">
            <v>0</v>
          </cell>
          <cell r="F50">
            <v>0</v>
          </cell>
          <cell r="L50">
            <v>0</v>
          </cell>
          <cell r="N50">
            <v>15905</v>
          </cell>
          <cell r="O50">
            <v>21044</v>
          </cell>
          <cell r="P50">
            <v>15905</v>
          </cell>
          <cell r="Q50">
            <v>0</v>
          </cell>
          <cell r="R50">
            <v>42454</v>
          </cell>
          <cell r="S50">
            <v>31171</v>
          </cell>
          <cell r="T50">
            <v>27692</v>
          </cell>
          <cell r="U50">
            <v>14762</v>
          </cell>
          <cell r="V50">
            <v>33739</v>
          </cell>
          <cell r="W50">
            <v>25487</v>
          </cell>
          <cell r="X50">
            <v>21106</v>
          </cell>
          <cell r="Y50">
            <v>12633</v>
          </cell>
          <cell r="Z50">
            <v>0</v>
          </cell>
          <cell r="AA50">
            <v>0</v>
          </cell>
          <cell r="AB50">
            <v>0</v>
          </cell>
          <cell r="AC50">
            <v>0</v>
          </cell>
          <cell r="AD50">
            <v>11</v>
          </cell>
          <cell r="AE50">
            <v>18</v>
          </cell>
          <cell r="AF50">
            <v>17.266666666666666</v>
          </cell>
          <cell r="AG50">
            <v>11.824742268041236</v>
          </cell>
          <cell r="AH50">
            <v>5.4419243986254298</v>
          </cell>
          <cell r="AJ50">
            <v>92098</v>
          </cell>
          <cell r="AK50">
            <v>48798</v>
          </cell>
          <cell r="AL50">
            <v>43300</v>
          </cell>
          <cell r="AM50">
            <v>77702</v>
          </cell>
          <cell r="AN50">
            <v>48798</v>
          </cell>
          <cell r="AO50">
            <v>43300</v>
          </cell>
          <cell r="AP50">
            <v>0</v>
          </cell>
          <cell r="AQ50">
            <v>0</v>
          </cell>
        </row>
        <row r="51">
          <cell r="D51">
            <v>0</v>
          </cell>
          <cell r="E51">
            <v>0</v>
          </cell>
          <cell r="F51">
            <v>0</v>
          </cell>
          <cell r="L51">
            <v>0</v>
          </cell>
          <cell r="N51">
            <v>15905</v>
          </cell>
          <cell r="O51">
            <v>21044</v>
          </cell>
          <cell r="P51">
            <v>15905</v>
          </cell>
          <cell r="Q51">
            <v>0</v>
          </cell>
          <cell r="R51">
            <v>42454</v>
          </cell>
          <cell r="S51">
            <v>31171</v>
          </cell>
          <cell r="T51">
            <v>27692</v>
          </cell>
          <cell r="U51">
            <v>14762</v>
          </cell>
          <cell r="V51">
            <v>33739</v>
          </cell>
          <cell r="W51">
            <v>25487</v>
          </cell>
          <cell r="X51">
            <v>21106</v>
          </cell>
          <cell r="Y51">
            <v>12633</v>
          </cell>
          <cell r="Z51">
            <v>0</v>
          </cell>
          <cell r="AA51">
            <v>0</v>
          </cell>
          <cell r="AB51">
            <v>0</v>
          </cell>
          <cell r="AC51">
            <v>0</v>
          </cell>
          <cell r="AD51">
            <v>26</v>
          </cell>
          <cell r="AE51">
            <v>41</v>
          </cell>
          <cell r="AF51">
            <v>0</v>
          </cell>
          <cell r="AG51">
            <v>111.66666666666667</v>
          </cell>
          <cell r="AH51">
            <v>50.666666666666671</v>
          </cell>
          <cell r="AJ51">
            <v>92098</v>
          </cell>
          <cell r="AK51">
            <v>48798</v>
          </cell>
          <cell r="AL51">
            <v>43300</v>
          </cell>
          <cell r="AM51">
            <v>77702</v>
          </cell>
          <cell r="AN51">
            <v>48798</v>
          </cell>
          <cell r="AO51">
            <v>43300</v>
          </cell>
          <cell r="AP51">
            <v>0</v>
          </cell>
          <cell r="AQ51">
            <v>0</v>
          </cell>
        </row>
        <row r="52">
          <cell r="D52">
            <v>0</v>
          </cell>
          <cell r="E52">
            <v>0</v>
          </cell>
          <cell r="F52">
            <v>0</v>
          </cell>
          <cell r="P52">
            <v>0</v>
          </cell>
          <cell r="Q52">
            <v>0</v>
          </cell>
          <cell r="R52">
            <v>0</v>
          </cell>
          <cell r="S52">
            <v>22</v>
          </cell>
          <cell r="T52">
            <v>0</v>
          </cell>
          <cell r="U52">
            <v>0</v>
          </cell>
          <cell r="V52">
            <v>0</v>
          </cell>
          <cell r="X52">
            <v>0</v>
          </cell>
          <cell r="Y52">
            <v>0</v>
          </cell>
          <cell r="Z52">
            <v>0</v>
          </cell>
          <cell r="AA52">
            <v>0</v>
          </cell>
          <cell r="AB52">
            <v>0</v>
          </cell>
          <cell r="AC52">
            <v>0</v>
          </cell>
          <cell r="AD52">
            <v>5</v>
          </cell>
          <cell r="AE52">
            <v>8</v>
          </cell>
          <cell r="AH52">
            <v>0</v>
          </cell>
          <cell r="AJ52">
            <v>0</v>
          </cell>
          <cell r="AK52">
            <v>0</v>
          </cell>
          <cell r="AL52">
            <v>0</v>
          </cell>
          <cell r="AM52">
            <v>0</v>
          </cell>
          <cell r="AN52">
            <v>348</v>
          </cell>
          <cell r="AO52">
            <v>0</v>
          </cell>
          <cell r="AP52">
            <v>0</v>
          </cell>
          <cell r="AQ52">
            <v>15</v>
          </cell>
        </row>
        <row r="53">
          <cell r="D53">
            <v>7</v>
          </cell>
          <cell r="E53">
            <v>2</v>
          </cell>
          <cell r="F53">
            <v>5</v>
          </cell>
          <cell r="L53">
            <v>59</v>
          </cell>
          <cell r="M53">
            <v>46</v>
          </cell>
          <cell r="N53">
            <v>3197</v>
          </cell>
          <cell r="O53">
            <v>3166</v>
          </cell>
          <cell r="P53">
            <v>3197</v>
          </cell>
          <cell r="Q53">
            <v>0</v>
          </cell>
          <cell r="R53">
            <v>0</v>
          </cell>
          <cell r="S53">
            <v>19250</v>
          </cell>
          <cell r="T53">
            <v>0</v>
          </cell>
          <cell r="U53">
            <v>0</v>
          </cell>
          <cell r="V53">
            <v>0</v>
          </cell>
          <cell r="X53">
            <v>0</v>
          </cell>
          <cell r="Y53">
            <v>0</v>
          </cell>
          <cell r="Z53">
            <v>890</v>
          </cell>
          <cell r="AA53">
            <v>442</v>
          </cell>
          <cell r="AB53">
            <v>448</v>
          </cell>
          <cell r="AC53">
            <v>612</v>
          </cell>
          <cell r="AD53">
            <v>199</v>
          </cell>
          <cell r="AE53">
            <v>413</v>
          </cell>
          <cell r="AH53">
            <v>0</v>
          </cell>
          <cell r="AJ53">
            <v>3705</v>
          </cell>
          <cell r="AK53">
            <v>61</v>
          </cell>
          <cell r="AL53">
            <v>3644</v>
          </cell>
          <cell r="AM53">
            <v>3420</v>
          </cell>
          <cell r="AN53">
            <v>0</v>
          </cell>
          <cell r="AO53">
            <v>1087</v>
          </cell>
          <cell r="AP53">
            <v>61</v>
          </cell>
          <cell r="AQ53">
            <v>2557</v>
          </cell>
        </row>
        <row r="54">
          <cell r="D54">
            <v>260.72727272727275</v>
          </cell>
          <cell r="E54">
            <v>78</v>
          </cell>
          <cell r="F54">
            <v>182.72727272727275</v>
          </cell>
          <cell r="L54">
            <v>475.72727272727275</v>
          </cell>
          <cell r="M54">
            <v>444</v>
          </cell>
          <cell r="N54">
            <v>890.4545454545455</v>
          </cell>
          <cell r="O54">
            <v>772</v>
          </cell>
          <cell r="P54">
            <v>436.32272727272726</v>
          </cell>
          <cell r="Q54">
            <v>454.13181818181823</v>
          </cell>
          <cell r="R54">
            <v>282.90909090909093</v>
          </cell>
          <cell r="S54">
            <v>253</v>
          </cell>
          <cell r="T54">
            <v>121</v>
          </cell>
          <cell r="U54">
            <v>161.90909090909093</v>
          </cell>
          <cell r="V54">
            <v>248.63636363636363</v>
          </cell>
          <cell r="W54">
            <v>218</v>
          </cell>
          <cell r="X54">
            <v>101</v>
          </cell>
          <cell r="Y54">
            <v>147.63636363636363</v>
          </cell>
          <cell r="Z54">
            <v>958.5454545454545</v>
          </cell>
          <cell r="AA54">
            <v>958.5454545454545</v>
          </cell>
          <cell r="AB54">
            <v>0</v>
          </cell>
          <cell r="AC54">
            <v>870</v>
          </cell>
          <cell r="AD54">
            <v>870</v>
          </cell>
          <cell r="AE54">
            <v>13842.727272727279</v>
          </cell>
          <cell r="AG54">
            <v>0</v>
          </cell>
          <cell r="AH54">
            <v>0</v>
          </cell>
          <cell r="AI54">
            <v>0</v>
          </cell>
          <cell r="AJ54">
            <v>3056.909090909091</v>
          </cell>
          <cell r="AK54">
            <v>867.81818181818187</v>
          </cell>
          <cell r="AL54">
            <v>2189.090909090909</v>
          </cell>
          <cell r="AM54">
            <v>3034</v>
          </cell>
          <cell r="AN54">
            <v>222</v>
          </cell>
          <cell r="AO54">
            <v>612</v>
          </cell>
          <cell r="AP54">
            <v>645.81818181818187</v>
          </cell>
          <cell r="AQ54">
            <v>1577.090909090909</v>
          </cell>
        </row>
        <row r="55">
          <cell r="D55">
            <v>14</v>
          </cell>
          <cell r="E55">
            <v>4</v>
          </cell>
          <cell r="F55">
            <v>10</v>
          </cell>
          <cell r="L55">
            <v>26</v>
          </cell>
          <cell r="M55">
            <v>23</v>
          </cell>
          <cell r="N55">
            <v>49</v>
          </cell>
          <cell r="O55">
            <v>43</v>
          </cell>
          <cell r="P55">
            <v>24</v>
          </cell>
          <cell r="Q55">
            <v>25</v>
          </cell>
          <cell r="R55">
            <v>16</v>
          </cell>
          <cell r="S55">
            <v>14</v>
          </cell>
          <cell r="T55">
            <v>7</v>
          </cell>
          <cell r="U55">
            <v>9</v>
          </cell>
          <cell r="V55">
            <v>14</v>
          </cell>
          <cell r="W55">
            <v>12</v>
          </cell>
          <cell r="X55">
            <v>6</v>
          </cell>
          <cell r="Y55">
            <v>8</v>
          </cell>
          <cell r="Z55">
            <v>53</v>
          </cell>
          <cell r="AA55">
            <v>53</v>
          </cell>
          <cell r="AB55">
            <v>0</v>
          </cell>
          <cell r="AC55">
            <v>48</v>
          </cell>
          <cell r="AD55">
            <v>48</v>
          </cell>
          <cell r="AF55">
            <v>0</v>
          </cell>
          <cell r="AG55">
            <v>0</v>
          </cell>
          <cell r="AH55">
            <v>0</v>
          </cell>
          <cell r="AJ55">
            <v>167</v>
          </cell>
          <cell r="AK55">
            <v>47</v>
          </cell>
          <cell r="AL55">
            <v>120</v>
          </cell>
          <cell r="AM55">
            <v>166</v>
          </cell>
          <cell r="AN55">
            <v>13</v>
          </cell>
          <cell r="AO55">
            <v>26</v>
          </cell>
          <cell r="AP55">
            <v>34</v>
          </cell>
          <cell r="AQ55">
            <v>94</v>
          </cell>
        </row>
        <row r="56">
          <cell r="D56">
            <v>83</v>
          </cell>
          <cell r="E56">
            <v>44</v>
          </cell>
          <cell r="F56">
            <v>39</v>
          </cell>
          <cell r="L56">
            <v>152</v>
          </cell>
          <cell r="M56">
            <v>138</v>
          </cell>
          <cell r="N56">
            <v>285</v>
          </cell>
          <cell r="O56">
            <v>118</v>
          </cell>
          <cell r="P56">
            <v>140</v>
          </cell>
          <cell r="Q56">
            <v>145</v>
          </cell>
          <cell r="R56">
            <v>91</v>
          </cell>
          <cell r="S56">
            <v>79</v>
          </cell>
          <cell r="T56">
            <v>39</v>
          </cell>
          <cell r="U56">
            <v>52</v>
          </cell>
          <cell r="V56">
            <v>80</v>
          </cell>
          <cell r="W56">
            <v>68</v>
          </cell>
          <cell r="X56">
            <v>33</v>
          </cell>
          <cell r="Y56">
            <v>47</v>
          </cell>
          <cell r="Z56">
            <v>307</v>
          </cell>
          <cell r="AA56">
            <v>307</v>
          </cell>
          <cell r="AB56">
            <v>0</v>
          </cell>
          <cell r="AC56">
            <v>278</v>
          </cell>
          <cell r="AD56">
            <v>278</v>
          </cell>
          <cell r="AE56">
            <v>0</v>
          </cell>
          <cell r="AF56">
            <v>0</v>
          </cell>
          <cell r="AG56">
            <v>0</v>
          </cell>
          <cell r="AH56">
            <v>448</v>
          </cell>
          <cell r="AJ56">
            <v>978</v>
          </cell>
          <cell r="AK56">
            <v>290</v>
          </cell>
          <cell r="AL56">
            <v>688</v>
          </cell>
          <cell r="AM56">
            <v>832</v>
          </cell>
          <cell r="AN56">
            <v>0</v>
          </cell>
          <cell r="AO56">
            <v>0</v>
          </cell>
          <cell r="AP56">
            <v>0</v>
          </cell>
          <cell r="AQ56">
            <v>0</v>
          </cell>
        </row>
        <row r="57">
          <cell r="D57">
            <v>0</v>
          </cell>
          <cell r="E57">
            <v>0</v>
          </cell>
          <cell r="F57">
            <v>0</v>
          </cell>
          <cell r="L57">
            <v>0</v>
          </cell>
          <cell r="N57">
            <v>0</v>
          </cell>
          <cell r="P57">
            <v>0</v>
          </cell>
          <cell r="Q57">
            <v>0</v>
          </cell>
          <cell r="R57">
            <v>0</v>
          </cell>
          <cell r="S57">
            <v>816</v>
          </cell>
          <cell r="T57">
            <v>0</v>
          </cell>
          <cell r="U57">
            <v>0</v>
          </cell>
          <cell r="V57">
            <v>0</v>
          </cell>
          <cell r="X57">
            <v>0</v>
          </cell>
          <cell r="Y57">
            <v>0</v>
          </cell>
          <cell r="Z57">
            <v>0</v>
          </cell>
          <cell r="AA57">
            <v>0</v>
          </cell>
          <cell r="AB57">
            <v>0</v>
          </cell>
          <cell r="AC57">
            <v>0</v>
          </cell>
          <cell r="AD57">
            <v>80</v>
          </cell>
          <cell r="AE57">
            <v>130</v>
          </cell>
          <cell r="AF57">
            <v>960.90909090909088</v>
          </cell>
          <cell r="AG57">
            <v>0</v>
          </cell>
          <cell r="AH57">
            <v>153.74545454545455</v>
          </cell>
          <cell r="AJ57">
            <v>0</v>
          </cell>
          <cell r="AK57">
            <v>0</v>
          </cell>
          <cell r="AL57">
            <v>0</v>
          </cell>
          <cell r="AM57">
            <v>0</v>
          </cell>
          <cell r="AN57">
            <v>0</v>
          </cell>
          <cell r="AO57">
            <v>0</v>
          </cell>
          <cell r="AP57">
            <v>0</v>
          </cell>
          <cell r="AQ57">
            <v>0</v>
          </cell>
        </row>
        <row r="58">
          <cell r="D58">
            <v>87</v>
          </cell>
          <cell r="E58">
            <v>26</v>
          </cell>
          <cell r="F58">
            <v>61</v>
          </cell>
          <cell r="L58">
            <v>586</v>
          </cell>
          <cell r="M58">
            <v>598</v>
          </cell>
          <cell r="N58">
            <v>1427</v>
          </cell>
          <cell r="O58">
            <v>1295</v>
          </cell>
          <cell r="P58">
            <v>228.32</v>
          </cell>
          <cell r="Q58">
            <v>1198.68</v>
          </cell>
          <cell r="R58">
            <v>662</v>
          </cell>
          <cell r="S58">
            <v>688</v>
          </cell>
          <cell r="T58">
            <v>283</v>
          </cell>
          <cell r="U58">
            <v>379</v>
          </cell>
          <cell r="V58">
            <v>733</v>
          </cell>
          <cell r="W58">
            <v>736</v>
          </cell>
          <cell r="X58">
            <v>298</v>
          </cell>
          <cell r="Y58">
            <v>435</v>
          </cell>
          <cell r="Z58">
            <v>586.33333333333337</v>
          </cell>
          <cell r="AA58">
            <v>506</v>
          </cell>
          <cell r="AB58">
            <v>80.333333333333371</v>
          </cell>
          <cell r="AC58">
            <v>574</v>
          </cell>
          <cell r="AD58">
            <v>494</v>
          </cell>
          <cell r="AE58">
            <v>80</v>
          </cell>
          <cell r="AF58">
            <v>53</v>
          </cell>
          <cell r="AG58">
            <v>0</v>
          </cell>
          <cell r="AH58">
            <v>9</v>
          </cell>
          <cell r="AJ58">
            <v>4012</v>
          </cell>
          <cell r="AK58">
            <v>1203</v>
          </cell>
          <cell r="AL58">
            <v>2809</v>
          </cell>
          <cell r="AM58">
            <v>3918</v>
          </cell>
          <cell r="AN58">
            <v>581</v>
          </cell>
          <cell r="AO58">
            <v>1299</v>
          </cell>
          <cell r="AP58">
            <v>622</v>
          </cell>
          <cell r="AQ58">
            <v>1510</v>
          </cell>
        </row>
        <row r="59">
          <cell r="D59">
            <v>0</v>
          </cell>
          <cell r="F59">
            <v>92</v>
          </cell>
          <cell r="L59">
            <v>0</v>
          </cell>
          <cell r="N59">
            <v>0</v>
          </cell>
          <cell r="P59">
            <v>144</v>
          </cell>
          <cell r="R59">
            <v>0</v>
          </cell>
          <cell r="S59">
            <v>261</v>
          </cell>
          <cell r="T59">
            <v>128</v>
          </cell>
          <cell r="U59">
            <v>133</v>
          </cell>
          <cell r="V59">
            <v>0</v>
          </cell>
          <cell r="X59">
            <v>76</v>
          </cell>
          <cell r="Y59">
            <v>33</v>
          </cell>
          <cell r="Z59">
            <v>0</v>
          </cell>
          <cell r="AA59">
            <v>0</v>
          </cell>
          <cell r="AB59">
            <v>0</v>
          </cell>
          <cell r="AC59">
            <v>0</v>
          </cell>
          <cell r="AD59">
            <v>26</v>
          </cell>
          <cell r="AE59">
            <v>41</v>
          </cell>
          <cell r="AF59">
            <v>307</v>
          </cell>
          <cell r="AG59">
            <v>258</v>
          </cell>
          <cell r="AH59">
            <v>49</v>
          </cell>
          <cell r="AI59">
            <v>0</v>
          </cell>
          <cell r="AK59">
            <v>970</v>
          </cell>
          <cell r="AL59">
            <v>293</v>
          </cell>
          <cell r="AM59">
            <v>0</v>
          </cell>
          <cell r="AN59">
            <v>0</v>
          </cell>
          <cell r="AO59">
            <v>0</v>
          </cell>
          <cell r="AP59">
            <v>0</v>
          </cell>
          <cell r="AQ59">
            <v>0</v>
          </cell>
        </row>
        <row r="60">
          <cell r="D60">
            <v>87</v>
          </cell>
          <cell r="E60">
            <v>26</v>
          </cell>
          <cell r="F60">
            <v>61</v>
          </cell>
          <cell r="L60">
            <v>432</v>
          </cell>
          <cell r="N60">
            <v>1663</v>
          </cell>
          <cell r="P60">
            <v>266.08</v>
          </cell>
          <cell r="Q60">
            <v>1396.92</v>
          </cell>
          <cell r="R60">
            <v>123</v>
          </cell>
          <cell r="T60">
            <v>53</v>
          </cell>
          <cell r="U60">
            <v>70</v>
          </cell>
          <cell r="V60">
            <v>99</v>
          </cell>
          <cell r="X60">
            <v>40</v>
          </cell>
          <cell r="Y60">
            <v>59</v>
          </cell>
          <cell r="Z60">
            <v>74</v>
          </cell>
          <cell r="AA60">
            <v>74</v>
          </cell>
          <cell r="AB60">
            <v>0</v>
          </cell>
          <cell r="AC60">
            <v>0</v>
          </cell>
          <cell r="AG60">
            <v>0</v>
          </cell>
          <cell r="AH60">
            <v>0</v>
          </cell>
          <cell r="AJ60">
            <v>2489</v>
          </cell>
          <cell r="AK60">
            <v>551</v>
          </cell>
          <cell r="AL60">
            <v>1938</v>
          </cell>
          <cell r="AM60">
            <v>0</v>
          </cell>
          <cell r="AO60">
            <v>586</v>
          </cell>
        </row>
        <row r="61">
          <cell r="D61">
            <v>0</v>
          </cell>
          <cell r="E61">
            <v>0</v>
          </cell>
          <cell r="F61">
            <v>87.333333333333329</v>
          </cell>
          <cell r="L61">
            <v>0</v>
          </cell>
          <cell r="N61">
            <v>0</v>
          </cell>
          <cell r="P61">
            <v>0</v>
          </cell>
          <cell r="Q61">
            <v>0</v>
          </cell>
          <cell r="R61">
            <v>0</v>
          </cell>
          <cell r="S61">
            <v>1427</v>
          </cell>
          <cell r="T61">
            <v>0</v>
          </cell>
          <cell r="U61">
            <v>0</v>
          </cell>
          <cell r="V61">
            <v>0</v>
          </cell>
          <cell r="X61">
            <v>0</v>
          </cell>
          <cell r="Y61">
            <v>0</v>
          </cell>
          <cell r="Z61">
            <v>401</v>
          </cell>
          <cell r="AB61">
            <v>0</v>
          </cell>
          <cell r="AC61">
            <v>0</v>
          </cell>
          <cell r="AD61">
            <v>280</v>
          </cell>
          <cell r="AE61">
            <v>454</v>
          </cell>
          <cell r="AF61">
            <v>586.33333333333337</v>
          </cell>
          <cell r="AG61">
            <v>0</v>
          </cell>
          <cell r="AH61">
            <v>56</v>
          </cell>
          <cell r="AJ61">
            <v>0</v>
          </cell>
          <cell r="AK61">
            <v>0</v>
          </cell>
          <cell r="AL61">
            <v>0</v>
          </cell>
          <cell r="AM61">
            <v>0</v>
          </cell>
          <cell r="AN61">
            <v>587</v>
          </cell>
          <cell r="AO61">
            <v>0</v>
          </cell>
          <cell r="AP61">
            <v>637</v>
          </cell>
          <cell r="AQ61">
            <v>1519.666666666667</v>
          </cell>
        </row>
        <row r="62">
          <cell r="D62">
            <v>0</v>
          </cell>
          <cell r="E62">
            <v>0</v>
          </cell>
          <cell r="F62">
            <v>0</v>
          </cell>
          <cell r="L62">
            <v>154</v>
          </cell>
          <cell r="N62">
            <v>-236</v>
          </cell>
          <cell r="P62">
            <v>-37.759999999999991</v>
          </cell>
          <cell r="Q62">
            <v>-198.24</v>
          </cell>
          <cell r="R62">
            <v>539</v>
          </cell>
          <cell r="T62">
            <v>230</v>
          </cell>
          <cell r="U62">
            <v>309</v>
          </cell>
          <cell r="V62">
            <v>634</v>
          </cell>
          <cell r="X62">
            <v>258</v>
          </cell>
          <cell r="Y62">
            <v>376</v>
          </cell>
          <cell r="Z62">
            <v>512.33333333333337</v>
          </cell>
          <cell r="AA62">
            <v>432</v>
          </cell>
          <cell r="AB62">
            <v>80.333333333333371</v>
          </cell>
          <cell r="AC62">
            <v>0</v>
          </cell>
          <cell r="AH62">
            <v>0</v>
          </cell>
          <cell r="AI62">
            <v>0</v>
          </cell>
          <cell r="AJ62">
            <v>1523</v>
          </cell>
          <cell r="AK62">
            <v>652</v>
          </cell>
          <cell r="AL62">
            <v>871</v>
          </cell>
          <cell r="AM62">
            <v>0</v>
          </cell>
          <cell r="AN62">
            <v>59</v>
          </cell>
          <cell r="AO62">
            <v>134</v>
          </cell>
          <cell r="AP62">
            <v>64</v>
          </cell>
          <cell r="AQ62">
            <v>152</v>
          </cell>
        </row>
        <row r="63">
          <cell r="D63">
            <v>63</v>
          </cell>
          <cell r="E63">
            <v>19</v>
          </cell>
          <cell r="F63">
            <v>44</v>
          </cell>
          <cell r="L63">
            <v>396</v>
          </cell>
          <cell r="M63">
            <v>391</v>
          </cell>
          <cell r="N63">
            <v>776</v>
          </cell>
          <cell r="O63">
            <v>615</v>
          </cell>
          <cell r="P63">
            <v>194</v>
          </cell>
          <cell r="Q63">
            <v>582</v>
          </cell>
          <cell r="R63">
            <v>527</v>
          </cell>
          <cell r="S63">
            <v>513</v>
          </cell>
          <cell r="T63">
            <v>225</v>
          </cell>
          <cell r="U63">
            <v>302</v>
          </cell>
          <cell r="V63">
            <v>417</v>
          </cell>
          <cell r="W63">
            <v>415</v>
          </cell>
          <cell r="X63">
            <v>129</v>
          </cell>
          <cell r="Y63">
            <v>288</v>
          </cell>
          <cell r="Z63">
            <v>265</v>
          </cell>
          <cell r="AA63">
            <v>265</v>
          </cell>
          <cell r="AB63">
            <v>0</v>
          </cell>
          <cell r="AC63">
            <v>381</v>
          </cell>
          <cell r="AD63">
            <v>381</v>
          </cell>
          <cell r="AF63">
            <v>250</v>
          </cell>
          <cell r="AG63">
            <v>0</v>
          </cell>
          <cell r="AH63">
            <v>0</v>
          </cell>
          <cell r="AJ63">
            <v>2450</v>
          </cell>
          <cell r="AK63">
            <v>773</v>
          </cell>
          <cell r="AL63">
            <v>1677</v>
          </cell>
          <cell r="AM63">
            <v>2322</v>
          </cell>
          <cell r="AN63">
            <v>354</v>
          </cell>
          <cell r="AO63">
            <v>854</v>
          </cell>
          <cell r="AP63">
            <v>419</v>
          </cell>
          <cell r="AQ63">
            <v>823</v>
          </cell>
        </row>
        <row r="64">
          <cell r="F64">
            <v>0</v>
          </cell>
          <cell r="L64">
            <v>52</v>
          </cell>
          <cell r="M64">
            <v>50</v>
          </cell>
          <cell r="N64">
            <v>335</v>
          </cell>
          <cell r="P64">
            <v>83.75</v>
          </cell>
          <cell r="Q64">
            <v>251.25</v>
          </cell>
          <cell r="R64">
            <v>192</v>
          </cell>
          <cell r="S64">
            <v>195</v>
          </cell>
          <cell r="T64">
            <v>82</v>
          </cell>
          <cell r="U64">
            <v>110</v>
          </cell>
          <cell r="V64">
            <v>144</v>
          </cell>
          <cell r="W64">
            <v>143</v>
          </cell>
          <cell r="X64">
            <v>59</v>
          </cell>
          <cell r="Y64">
            <v>85</v>
          </cell>
          <cell r="Z64">
            <v>88</v>
          </cell>
          <cell r="AA64">
            <v>88</v>
          </cell>
          <cell r="AB64">
            <v>0</v>
          </cell>
          <cell r="AC64">
            <v>97</v>
          </cell>
          <cell r="AD64">
            <v>97</v>
          </cell>
          <cell r="AF64">
            <v>0</v>
          </cell>
          <cell r="AG64">
            <v>0</v>
          </cell>
          <cell r="AH64">
            <v>0</v>
          </cell>
          <cell r="AJ64">
            <v>811</v>
          </cell>
          <cell r="AK64">
            <v>193</v>
          </cell>
          <cell r="AL64">
            <v>618</v>
          </cell>
          <cell r="AM64">
            <v>485</v>
          </cell>
          <cell r="AO64">
            <v>0</v>
          </cell>
        </row>
        <row r="65">
          <cell r="D65">
            <v>0</v>
          </cell>
          <cell r="F65">
            <v>19.333333333333329</v>
          </cell>
          <cell r="L65">
            <v>3</v>
          </cell>
          <cell r="M65">
            <v>3</v>
          </cell>
          <cell r="N65">
            <v>18</v>
          </cell>
          <cell r="P65">
            <v>4.5</v>
          </cell>
          <cell r="Q65">
            <v>13.5</v>
          </cell>
          <cell r="R65">
            <v>11</v>
          </cell>
          <cell r="S65">
            <v>11</v>
          </cell>
          <cell r="T65">
            <v>5</v>
          </cell>
          <cell r="U65">
            <v>6</v>
          </cell>
          <cell r="V65">
            <v>8</v>
          </cell>
          <cell r="W65">
            <v>8</v>
          </cell>
          <cell r="X65">
            <v>3</v>
          </cell>
          <cell r="Y65">
            <v>5</v>
          </cell>
          <cell r="Z65">
            <v>5</v>
          </cell>
          <cell r="AA65">
            <v>5</v>
          </cell>
          <cell r="AB65">
            <v>0</v>
          </cell>
          <cell r="AC65">
            <v>5</v>
          </cell>
          <cell r="AD65">
            <v>5</v>
          </cell>
          <cell r="AE65">
            <v>454</v>
          </cell>
          <cell r="AF65">
            <v>336.33333333333337</v>
          </cell>
          <cell r="AG65">
            <v>0</v>
          </cell>
          <cell r="AH65">
            <v>56</v>
          </cell>
          <cell r="AI65">
            <v>0</v>
          </cell>
          <cell r="AJ65">
            <v>45</v>
          </cell>
          <cell r="AK65">
            <v>11</v>
          </cell>
          <cell r="AL65">
            <v>34</v>
          </cell>
          <cell r="AM65">
            <v>27</v>
          </cell>
          <cell r="AN65">
            <v>528</v>
          </cell>
          <cell r="AO65">
            <v>953</v>
          </cell>
          <cell r="AP65">
            <v>573</v>
          </cell>
          <cell r="AQ65">
            <v>1367.666666666667</v>
          </cell>
        </row>
        <row r="66">
          <cell r="D66">
            <v>0</v>
          </cell>
          <cell r="F66">
            <v>63</v>
          </cell>
          <cell r="L66">
            <v>17</v>
          </cell>
          <cell r="M66">
            <v>16</v>
          </cell>
          <cell r="N66">
            <v>107</v>
          </cell>
          <cell r="P66">
            <v>26.75</v>
          </cell>
          <cell r="Q66">
            <v>80.25</v>
          </cell>
          <cell r="R66">
            <v>61</v>
          </cell>
          <cell r="S66">
            <v>61</v>
          </cell>
          <cell r="T66">
            <v>26</v>
          </cell>
          <cell r="U66">
            <v>35</v>
          </cell>
          <cell r="V66">
            <v>46</v>
          </cell>
          <cell r="W66">
            <v>45</v>
          </cell>
          <cell r="X66">
            <v>19</v>
          </cell>
          <cell r="Y66">
            <v>27</v>
          </cell>
          <cell r="Z66">
            <v>28</v>
          </cell>
          <cell r="AA66">
            <v>28</v>
          </cell>
          <cell r="AB66">
            <v>0</v>
          </cell>
          <cell r="AC66">
            <v>31</v>
          </cell>
          <cell r="AD66">
            <v>31</v>
          </cell>
          <cell r="AE66">
            <v>297</v>
          </cell>
          <cell r="AF66">
            <v>506</v>
          </cell>
          <cell r="AG66">
            <v>0</v>
          </cell>
          <cell r="AH66">
            <v>0</v>
          </cell>
          <cell r="AJ66">
            <v>259</v>
          </cell>
          <cell r="AK66">
            <v>62</v>
          </cell>
          <cell r="AL66">
            <v>197</v>
          </cell>
          <cell r="AM66">
            <v>153</v>
          </cell>
          <cell r="AN66">
            <v>422</v>
          </cell>
          <cell r="AO66">
            <v>852</v>
          </cell>
          <cell r="AP66">
            <v>400</v>
          </cell>
          <cell r="AQ66">
            <v>1014</v>
          </cell>
        </row>
        <row r="67">
          <cell r="D67">
            <v>0</v>
          </cell>
          <cell r="F67">
            <v>0</v>
          </cell>
          <cell r="L67">
            <v>0</v>
          </cell>
          <cell r="N67">
            <v>0</v>
          </cell>
          <cell r="P67">
            <v>0</v>
          </cell>
          <cell r="Q67">
            <v>0</v>
          </cell>
          <cell r="R67">
            <v>0</v>
          </cell>
          <cell r="S67">
            <v>296</v>
          </cell>
          <cell r="T67">
            <v>0</v>
          </cell>
          <cell r="U67">
            <v>0</v>
          </cell>
          <cell r="V67">
            <v>0</v>
          </cell>
          <cell r="X67">
            <v>0</v>
          </cell>
          <cell r="Y67">
            <v>0</v>
          </cell>
          <cell r="Z67">
            <v>0</v>
          </cell>
          <cell r="AA67">
            <v>0</v>
          </cell>
          <cell r="AB67">
            <v>0</v>
          </cell>
          <cell r="AC67">
            <v>0</v>
          </cell>
          <cell r="AD67">
            <v>55</v>
          </cell>
          <cell r="AE67">
            <v>89</v>
          </cell>
          <cell r="AF67">
            <v>85.090909090909093</v>
          </cell>
          <cell r="AG67">
            <v>0</v>
          </cell>
          <cell r="AH67">
            <v>0</v>
          </cell>
          <cell r="AJ67">
            <v>0</v>
          </cell>
          <cell r="AK67">
            <v>0</v>
          </cell>
          <cell r="AL67">
            <v>0</v>
          </cell>
          <cell r="AM67">
            <v>0</v>
          </cell>
        </row>
        <row r="68">
          <cell r="D68">
            <v>63</v>
          </cell>
          <cell r="F68">
            <v>0</v>
          </cell>
          <cell r="L68">
            <v>283</v>
          </cell>
          <cell r="N68">
            <v>776</v>
          </cell>
          <cell r="P68">
            <v>194</v>
          </cell>
          <cell r="Q68">
            <v>582</v>
          </cell>
          <cell r="R68">
            <v>527</v>
          </cell>
          <cell r="S68">
            <v>16</v>
          </cell>
          <cell r="T68">
            <v>225</v>
          </cell>
          <cell r="U68">
            <v>302</v>
          </cell>
          <cell r="V68">
            <v>417</v>
          </cell>
          <cell r="X68">
            <v>170</v>
          </cell>
          <cell r="Y68">
            <v>247</v>
          </cell>
          <cell r="Z68">
            <v>265</v>
          </cell>
          <cell r="AA68">
            <v>265</v>
          </cell>
          <cell r="AB68">
            <v>0</v>
          </cell>
          <cell r="AC68">
            <v>0</v>
          </cell>
          <cell r="AD68">
            <v>3</v>
          </cell>
          <cell r="AE68">
            <v>5</v>
          </cell>
          <cell r="AF68">
            <v>5</v>
          </cell>
          <cell r="AG68">
            <v>0</v>
          </cell>
          <cell r="AH68">
            <v>0</v>
          </cell>
          <cell r="AJ68">
            <v>2337</v>
          </cell>
          <cell r="AK68">
            <v>688</v>
          </cell>
          <cell r="AL68">
            <v>1649</v>
          </cell>
          <cell r="AM68">
            <v>0</v>
          </cell>
        </row>
        <row r="69">
          <cell r="D69">
            <v>0</v>
          </cell>
          <cell r="F69">
            <v>0</v>
          </cell>
          <cell r="L69">
            <v>0</v>
          </cell>
          <cell r="N69">
            <v>0</v>
          </cell>
          <cell r="P69">
            <v>0</v>
          </cell>
          <cell r="Q69">
            <v>0</v>
          </cell>
          <cell r="R69">
            <v>0</v>
          </cell>
          <cell r="S69">
            <v>95</v>
          </cell>
          <cell r="U69">
            <v>0</v>
          </cell>
          <cell r="V69">
            <v>0</v>
          </cell>
          <cell r="X69">
            <v>0</v>
          </cell>
          <cell r="Y69">
            <v>0</v>
          </cell>
          <cell r="Z69">
            <v>36</v>
          </cell>
          <cell r="AB69">
            <v>0</v>
          </cell>
          <cell r="AC69">
            <v>0</v>
          </cell>
          <cell r="AD69">
            <v>17</v>
          </cell>
          <cell r="AE69">
            <v>28</v>
          </cell>
          <cell r="AF69">
            <v>27</v>
          </cell>
          <cell r="AG69">
            <v>0</v>
          </cell>
          <cell r="AH69">
            <v>0</v>
          </cell>
          <cell r="AJ69">
            <v>0</v>
          </cell>
          <cell r="AK69">
            <v>0</v>
          </cell>
          <cell r="AL69">
            <v>0</v>
          </cell>
          <cell r="AM69">
            <v>0</v>
          </cell>
        </row>
        <row r="70">
          <cell r="D70">
            <v>1454</v>
          </cell>
          <cell r="E70">
            <v>434</v>
          </cell>
          <cell r="F70">
            <v>1020</v>
          </cell>
          <cell r="L70">
            <v>70</v>
          </cell>
          <cell r="M70">
            <v>104</v>
          </cell>
          <cell r="N70">
            <v>180</v>
          </cell>
          <cell r="O70">
            <v>332</v>
          </cell>
          <cell r="P70">
            <v>74.58</v>
          </cell>
          <cell r="Q70">
            <v>105.42</v>
          </cell>
          <cell r="R70">
            <v>82</v>
          </cell>
          <cell r="S70">
            <v>104</v>
          </cell>
          <cell r="T70">
            <v>35</v>
          </cell>
          <cell r="U70">
            <v>47</v>
          </cell>
          <cell r="V70">
            <v>51</v>
          </cell>
          <cell r="W70">
            <v>80</v>
          </cell>
          <cell r="X70">
            <v>21</v>
          </cell>
          <cell r="Y70">
            <v>30</v>
          </cell>
          <cell r="Z70">
            <v>169.66666666666669</v>
          </cell>
          <cell r="AA70">
            <v>161</v>
          </cell>
          <cell r="AB70">
            <v>8.6666666666666856</v>
          </cell>
          <cell r="AC70">
            <v>444</v>
          </cell>
          <cell r="AD70">
            <v>222</v>
          </cell>
          <cell r="AE70">
            <v>222</v>
          </cell>
          <cell r="AF70">
            <v>996</v>
          </cell>
          <cell r="AG70">
            <v>0</v>
          </cell>
          <cell r="AH70">
            <v>0</v>
          </cell>
          <cell r="AI70">
            <v>0</v>
          </cell>
          <cell r="AJ70">
            <v>3325</v>
          </cell>
          <cell r="AK70">
            <v>1255.3661129568104</v>
          </cell>
          <cell r="AL70">
            <v>2069.6338870431896</v>
          </cell>
          <cell r="AM70">
            <v>3588</v>
          </cell>
          <cell r="AN70">
            <v>56</v>
          </cell>
          <cell r="AO70">
            <v>138</v>
          </cell>
          <cell r="AP70">
            <v>1199.3661129568104</v>
          </cell>
          <cell r="AQ70">
            <v>1931.6338870431896</v>
          </cell>
        </row>
        <row r="71">
          <cell r="D71">
            <v>62</v>
          </cell>
          <cell r="E71">
            <v>19</v>
          </cell>
          <cell r="F71">
            <v>43</v>
          </cell>
          <cell r="P71">
            <v>0</v>
          </cell>
          <cell r="Q71">
            <v>0</v>
          </cell>
          <cell r="S71">
            <v>719</v>
          </cell>
          <cell r="T71">
            <v>0</v>
          </cell>
          <cell r="U71">
            <v>0</v>
          </cell>
          <cell r="X71">
            <v>550</v>
          </cell>
          <cell r="Y71">
            <v>239</v>
          </cell>
          <cell r="Z71">
            <v>311</v>
          </cell>
          <cell r="AB71">
            <v>0</v>
          </cell>
          <cell r="AC71">
            <v>0</v>
          </cell>
          <cell r="AD71">
            <v>183</v>
          </cell>
          <cell r="AE71">
            <v>297</v>
          </cell>
          <cell r="AF71">
            <v>506</v>
          </cell>
          <cell r="AG71">
            <v>0</v>
          </cell>
          <cell r="AH71">
            <v>0</v>
          </cell>
          <cell r="AJ71">
            <v>62</v>
          </cell>
          <cell r="AK71">
            <v>19</v>
          </cell>
          <cell r="AL71">
            <v>43</v>
          </cell>
          <cell r="AM71">
            <v>-5</v>
          </cell>
          <cell r="AN71">
            <v>0</v>
          </cell>
          <cell r="AO71">
            <v>0</v>
          </cell>
          <cell r="AP71">
            <v>19</v>
          </cell>
          <cell r="AQ71">
            <v>43</v>
          </cell>
        </row>
        <row r="72">
          <cell r="D72">
            <v>1392</v>
          </cell>
          <cell r="E72">
            <v>415</v>
          </cell>
          <cell r="F72">
            <v>977</v>
          </cell>
          <cell r="L72">
            <v>70</v>
          </cell>
          <cell r="M72">
            <v>104</v>
          </cell>
          <cell r="N72">
            <v>180</v>
          </cell>
          <cell r="O72">
            <v>332</v>
          </cell>
          <cell r="P72">
            <v>74.58</v>
          </cell>
          <cell r="Q72">
            <v>105.42</v>
          </cell>
          <cell r="R72">
            <v>82</v>
          </cell>
          <cell r="S72">
            <v>104</v>
          </cell>
          <cell r="T72">
            <v>35</v>
          </cell>
          <cell r="U72">
            <v>47</v>
          </cell>
          <cell r="V72">
            <v>51</v>
          </cell>
          <cell r="W72">
            <v>80</v>
          </cell>
          <cell r="X72">
            <v>21</v>
          </cell>
          <cell r="Y72">
            <v>30</v>
          </cell>
          <cell r="Z72">
            <v>169.66666666666669</v>
          </cell>
          <cell r="AA72">
            <v>161</v>
          </cell>
          <cell r="AB72">
            <v>8.6666666666666856</v>
          </cell>
          <cell r="AC72">
            <v>444</v>
          </cell>
          <cell r="AD72">
            <v>222</v>
          </cell>
          <cell r="AE72">
            <v>222</v>
          </cell>
          <cell r="AF72">
            <v>996</v>
          </cell>
          <cell r="AH72">
            <v>0</v>
          </cell>
          <cell r="AI72">
            <v>3263</v>
          </cell>
          <cell r="AJ72">
            <v>3263</v>
          </cell>
          <cell r="AK72">
            <v>1236.3661129568104</v>
          </cell>
          <cell r="AL72">
            <v>2026.6338870431896</v>
          </cell>
          <cell r="AM72">
            <v>3593</v>
          </cell>
          <cell r="AN72">
            <v>56</v>
          </cell>
          <cell r="AO72">
            <v>138</v>
          </cell>
          <cell r="AP72">
            <v>1180.3661129568104</v>
          </cell>
          <cell r="AQ72">
            <v>1888.6338870431896</v>
          </cell>
        </row>
        <row r="73">
          <cell r="D73">
            <v>383</v>
          </cell>
          <cell r="E73">
            <v>114</v>
          </cell>
          <cell r="F73">
            <v>269</v>
          </cell>
          <cell r="L73">
            <v>44</v>
          </cell>
          <cell r="M73">
            <v>52</v>
          </cell>
          <cell r="N73">
            <v>113</v>
          </cell>
          <cell r="O73">
            <v>114</v>
          </cell>
          <cell r="P73">
            <v>74.58</v>
          </cell>
          <cell r="Q73">
            <v>38.42</v>
          </cell>
          <cell r="R73">
            <v>45</v>
          </cell>
          <cell r="S73">
            <v>49</v>
          </cell>
          <cell r="T73">
            <v>19</v>
          </cell>
          <cell r="U73">
            <v>26</v>
          </cell>
          <cell r="V73">
            <v>27</v>
          </cell>
          <cell r="W73">
            <v>27</v>
          </cell>
          <cell r="X73">
            <v>21</v>
          </cell>
          <cell r="Y73">
            <v>30</v>
          </cell>
          <cell r="Z73">
            <v>105.66666666666667</v>
          </cell>
          <cell r="AA73">
            <v>97</v>
          </cell>
          <cell r="AB73">
            <v>8.6666666666666714</v>
          </cell>
          <cell r="AC73">
            <v>333</v>
          </cell>
          <cell r="AD73">
            <v>111</v>
          </cell>
          <cell r="AE73">
            <v>222</v>
          </cell>
          <cell r="AF73">
            <v>105.66666666666667</v>
          </cell>
          <cell r="AG73">
            <v>0</v>
          </cell>
          <cell r="AH73">
            <v>9</v>
          </cell>
          <cell r="AI73">
            <v>1236.3661129568106</v>
          </cell>
          <cell r="AJ73">
            <v>762</v>
          </cell>
          <cell r="AK73">
            <v>238</v>
          </cell>
          <cell r="AL73">
            <v>524</v>
          </cell>
          <cell r="AM73">
            <v>1369</v>
          </cell>
          <cell r="AN73">
            <v>40</v>
          </cell>
          <cell r="AO73">
            <v>92</v>
          </cell>
          <cell r="AP73">
            <v>378</v>
          </cell>
          <cell r="AQ73">
            <v>524</v>
          </cell>
        </row>
        <row r="74">
          <cell r="E74">
            <v>0</v>
          </cell>
          <cell r="F74">
            <v>0</v>
          </cell>
          <cell r="N74">
            <v>0</v>
          </cell>
          <cell r="P74">
            <v>0</v>
          </cell>
          <cell r="T74">
            <v>0</v>
          </cell>
          <cell r="U74">
            <v>0</v>
          </cell>
          <cell r="Y74">
            <v>0</v>
          </cell>
          <cell r="Z74">
            <v>0</v>
          </cell>
          <cell r="AC74">
            <v>0</v>
          </cell>
          <cell r="AE74">
            <v>0</v>
          </cell>
          <cell r="AG74">
            <v>0</v>
          </cell>
          <cell r="AH74">
            <v>0</v>
          </cell>
          <cell r="AJ74">
            <v>269</v>
          </cell>
          <cell r="AK74">
            <v>83</v>
          </cell>
          <cell r="AL74">
            <v>186</v>
          </cell>
          <cell r="AM74">
            <v>0</v>
          </cell>
          <cell r="AN74">
            <v>0</v>
          </cell>
          <cell r="AO74">
            <v>0</v>
          </cell>
          <cell r="AP74">
            <v>29</v>
          </cell>
          <cell r="AQ74">
            <v>186</v>
          </cell>
        </row>
        <row r="75">
          <cell r="D75">
            <v>348</v>
          </cell>
          <cell r="E75">
            <v>104</v>
          </cell>
          <cell r="F75">
            <v>244</v>
          </cell>
          <cell r="P75">
            <v>45</v>
          </cell>
          <cell r="R75">
            <v>0</v>
          </cell>
          <cell r="S75">
            <v>110</v>
          </cell>
          <cell r="T75">
            <v>72.600000000000009</v>
          </cell>
          <cell r="U75">
            <v>37.399999999999991</v>
          </cell>
          <cell r="V75">
            <v>0</v>
          </cell>
          <cell r="X75">
            <v>68</v>
          </cell>
          <cell r="Y75">
            <v>30</v>
          </cell>
          <cell r="Z75">
            <v>38</v>
          </cell>
          <cell r="AC75">
            <v>0</v>
          </cell>
          <cell r="AD75">
            <v>10</v>
          </cell>
          <cell r="AE75">
            <v>17</v>
          </cell>
          <cell r="AF75">
            <v>105.66666666666667</v>
          </cell>
          <cell r="AG75">
            <v>96.666666666666671</v>
          </cell>
          <cell r="AH75">
            <v>9</v>
          </cell>
          <cell r="AI75">
            <v>0</v>
          </cell>
          <cell r="AJ75">
            <v>348</v>
          </cell>
          <cell r="AK75">
            <v>104</v>
          </cell>
          <cell r="AL75">
            <v>244</v>
          </cell>
          <cell r="AM75">
            <v>0</v>
          </cell>
          <cell r="AN75">
            <v>40</v>
          </cell>
          <cell r="AO75">
            <v>92</v>
          </cell>
          <cell r="AP75">
            <v>349</v>
          </cell>
          <cell r="AQ75">
            <v>570.33333333333348</v>
          </cell>
        </row>
        <row r="76">
          <cell r="E76">
            <v>0</v>
          </cell>
          <cell r="F76">
            <v>0</v>
          </cell>
          <cell r="N76">
            <v>12</v>
          </cell>
          <cell r="P76">
            <v>45</v>
          </cell>
          <cell r="R76">
            <v>0</v>
          </cell>
          <cell r="S76">
            <v>110</v>
          </cell>
          <cell r="T76">
            <v>72.600000000000009</v>
          </cell>
          <cell r="U76">
            <v>37.399999999999991</v>
          </cell>
          <cell r="V76">
            <v>0</v>
          </cell>
          <cell r="X76">
            <v>68</v>
          </cell>
          <cell r="Y76">
            <v>30</v>
          </cell>
          <cell r="Z76">
            <v>6</v>
          </cell>
          <cell r="AA76">
            <v>6</v>
          </cell>
          <cell r="AC76">
            <v>0</v>
          </cell>
          <cell r="AD76">
            <v>10</v>
          </cell>
          <cell r="AE76">
            <v>17</v>
          </cell>
          <cell r="AF76">
            <v>105.66666666666667</v>
          </cell>
          <cell r="AG76">
            <v>0</v>
          </cell>
          <cell r="AH76">
            <v>9</v>
          </cell>
          <cell r="AJ76">
            <v>18</v>
          </cell>
          <cell r="AK76">
            <v>0</v>
          </cell>
          <cell r="AL76">
            <v>18</v>
          </cell>
          <cell r="AM76">
            <v>0</v>
          </cell>
          <cell r="AQ76">
            <v>476.33333333333337</v>
          </cell>
        </row>
        <row r="77">
          <cell r="E77">
            <v>0</v>
          </cell>
          <cell r="F77">
            <v>0</v>
          </cell>
          <cell r="M77">
            <v>42</v>
          </cell>
          <cell r="O77">
            <v>118</v>
          </cell>
          <cell r="P77">
            <v>0</v>
          </cell>
          <cell r="S77">
            <v>36</v>
          </cell>
          <cell r="W77">
            <v>32</v>
          </cell>
          <cell r="AC77">
            <v>92</v>
          </cell>
          <cell r="AD77">
            <v>92</v>
          </cell>
          <cell r="AE77">
            <v>0</v>
          </cell>
          <cell r="AF77">
            <v>362</v>
          </cell>
          <cell r="AJ77">
            <v>362</v>
          </cell>
          <cell r="AK77">
            <v>108.07884828349945</v>
          </cell>
          <cell r="AL77">
            <v>253.92115171650056</v>
          </cell>
          <cell r="AM77">
            <v>572</v>
          </cell>
          <cell r="AQ77">
            <v>186</v>
          </cell>
        </row>
        <row r="78">
          <cell r="D78">
            <v>286</v>
          </cell>
          <cell r="E78">
            <v>85</v>
          </cell>
          <cell r="F78">
            <v>201</v>
          </cell>
          <cell r="L78">
            <v>12</v>
          </cell>
          <cell r="M78">
            <v>8</v>
          </cell>
          <cell r="N78">
            <v>30</v>
          </cell>
          <cell r="O78">
            <v>87</v>
          </cell>
          <cell r="R78">
            <v>19</v>
          </cell>
          <cell r="S78">
            <v>18</v>
          </cell>
          <cell r="V78">
            <v>5</v>
          </cell>
          <cell r="W78">
            <v>21</v>
          </cell>
          <cell r="Z78">
            <v>34</v>
          </cell>
          <cell r="AA78">
            <v>34</v>
          </cell>
          <cell r="AB78">
            <v>0</v>
          </cell>
          <cell r="AC78">
            <v>4</v>
          </cell>
          <cell r="AD78">
            <v>4</v>
          </cell>
          <cell r="AF78">
            <v>39</v>
          </cell>
          <cell r="AJ78">
            <v>427</v>
          </cell>
          <cell r="AK78">
            <v>139.643853820598</v>
          </cell>
          <cell r="AL78">
            <v>287.356146179402</v>
          </cell>
          <cell r="AM78">
            <v>1538</v>
          </cell>
        </row>
        <row r="79">
          <cell r="D79">
            <v>375</v>
          </cell>
          <cell r="E79">
            <v>112</v>
          </cell>
          <cell r="F79">
            <v>263</v>
          </cell>
          <cell r="L79">
            <v>14</v>
          </cell>
          <cell r="M79">
            <v>2</v>
          </cell>
          <cell r="N79">
            <v>37</v>
          </cell>
          <cell r="O79">
            <v>13</v>
          </cell>
          <cell r="P79">
            <v>14.700000000000003</v>
          </cell>
          <cell r="R79">
            <v>18</v>
          </cell>
          <cell r="S79">
            <v>1</v>
          </cell>
          <cell r="V79">
            <v>19</v>
          </cell>
          <cell r="Z79">
            <v>30</v>
          </cell>
          <cell r="AA79">
            <v>30</v>
          </cell>
          <cell r="AB79">
            <v>0</v>
          </cell>
          <cell r="AC79">
            <v>15</v>
          </cell>
          <cell r="AD79">
            <v>15</v>
          </cell>
          <cell r="AF79">
            <v>595</v>
          </cell>
          <cell r="AH79">
            <v>0</v>
          </cell>
          <cell r="AJ79">
            <v>1095</v>
          </cell>
          <cell r="AK79">
            <v>563.64341085271315</v>
          </cell>
          <cell r="AL79">
            <v>531.35658914728685</v>
          </cell>
          <cell r="AM79">
            <v>114</v>
          </cell>
        </row>
        <row r="80">
          <cell r="D80">
            <v>2457.727272727273</v>
          </cell>
          <cell r="E80">
            <v>787</v>
          </cell>
          <cell r="F80">
            <v>1670.7272727272727</v>
          </cell>
          <cell r="L80">
            <v>2187.727272727273</v>
          </cell>
          <cell r="M80">
            <v>2144</v>
          </cell>
          <cell r="N80">
            <v>23632.454545454544</v>
          </cell>
          <cell r="O80">
            <v>28492</v>
          </cell>
          <cell r="P80">
            <v>20779.44272727273</v>
          </cell>
          <cell r="Q80">
            <v>2853.0118181818184</v>
          </cell>
          <cell r="R80">
            <v>45197.909090909088</v>
          </cell>
          <cell r="S80">
            <v>33842</v>
          </cell>
          <cell r="T80">
            <v>28865</v>
          </cell>
          <cell r="U80">
            <v>16332.90909090909</v>
          </cell>
          <cell r="V80">
            <v>35616.63636363636</v>
          </cell>
          <cell r="W80">
            <v>27187</v>
          </cell>
          <cell r="X80">
            <v>21830</v>
          </cell>
          <cell r="Y80">
            <v>13786.636363636364</v>
          </cell>
          <cell r="Z80">
            <v>3618.212121212121</v>
          </cell>
          <cell r="AA80">
            <v>2959.5454545454545</v>
          </cell>
          <cell r="AB80">
            <v>658.66666666666674</v>
          </cell>
          <cell r="AC80" t="str">
            <v/>
          </cell>
          <cell r="AD80">
            <v>2792</v>
          </cell>
          <cell r="AE80">
            <v>818</v>
          </cell>
          <cell r="AF80">
            <v>996</v>
          </cell>
          <cell r="AG80">
            <v>0</v>
          </cell>
          <cell r="AH80">
            <v>846.74545454545455</v>
          </cell>
          <cell r="AI80">
            <v>0</v>
          </cell>
          <cell r="AJ80">
            <v>113406.90909090909</v>
          </cell>
          <cell r="AK80">
            <v>54526.784294774996</v>
          </cell>
          <cell r="AL80">
            <v>58880.1247961341</v>
          </cell>
          <cell r="AM80">
            <v>98536</v>
          </cell>
          <cell r="AN80">
            <v>50623</v>
          </cell>
          <cell r="AO80">
            <v>48448</v>
          </cell>
          <cell r="AP80">
            <v>3613.7842947749923</v>
          </cell>
          <cell r="AQ80">
            <v>9744.1247961340996</v>
          </cell>
        </row>
        <row r="81">
          <cell r="D81">
            <v>2457.727272727273</v>
          </cell>
          <cell r="E81">
            <v>787</v>
          </cell>
          <cell r="F81">
            <v>1670.7272727272727</v>
          </cell>
          <cell r="L81">
            <v>2187.727272727273</v>
          </cell>
          <cell r="N81">
            <v>7727.4545454545441</v>
          </cell>
          <cell r="O81">
            <v>7448</v>
          </cell>
          <cell r="P81">
            <v>502</v>
          </cell>
          <cell r="Q81">
            <v>0</v>
          </cell>
          <cell r="R81">
            <v>2743.9090909090883</v>
          </cell>
          <cell r="S81">
            <v>1112</v>
          </cell>
          <cell r="T81">
            <v>399.84</v>
          </cell>
          <cell r="U81">
            <v>416.16</v>
          </cell>
          <cell r="V81">
            <v>1877.6363636363603</v>
          </cell>
          <cell r="W81">
            <v>0</v>
          </cell>
          <cell r="X81">
            <v>436</v>
          </cell>
          <cell r="Y81">
            <v>189</v>
          </cell>
          <cell r="Z81">
            <v>3618.212121212121</v>
          </cell>
          <cell r="AA81">
            <v>2959.5454545454545</v>
          </cell>
          <cell r="AB81">
            <v>658.66666666666674</v>
          </cell>
          <cell r="AC81">
            <v>354</v>
          </cell>
          <cell r="AD81">
            <v>135</v>
          </cell>
          <cell r="AE81">
            <v>219</v>
          </cell>
          <cell r="AF81">
            <v>1046</v>
          </cell>
          <cell r="AG81">
            <v>0</v>
          </cell>
          <cell r="AH81">
            <v>153.74545454545455</v>
          </cell>
          <cell r="AI81">
            <v>0</v>
          </cell>
          <cell r="AJ81">
            <v>21308.909090909088</v>
          </cell>
          <cell r="AK81">
            <v>5728.7842947749959</v>
          </cell>
          <cell r="AL81">
            <v>15580.1247961341</v>
          </cell>
          <cell r="AM81">
            <v>20834</v>
          </cell>
          <cell r="AN81">
            <v>1825</v>
          </cell>
          <cell r="AO81">
            <v>5148</v>
          </cell>
          <cell r="AP81">
            <v>3613.7842947749923</v>
          </cell>
          <cell r="AQ81">
            <v>9744.1247961340996</v>
          </cell>
        </row>
        <row r="82">
          <cell r="AG82">
            <v>0</v>
          </cell>
          <cell r="AL82">
            <v>57353.122727272712</v>
          </cell>
          <cell r="AM82">
            <v>0</v>
          </cell>
        </row>
        <row r="83">
          <cell r="D83">
            <v>0</v>
          </cell>
          <cell r="E83">
            <v>0</v>
          </cell>
          <cell r="F83">
            <v>0</v>
          </cell>
          <cell r="AG83">
            <v>0</v>
          </cell>
          <cell r="AJ83">
            <v>0</v>
          </cell>
          <cell r="AK83">
            <v>0</v>
          </cell>
          <cell r="AL83">
            <v>0</v>
          </cell>
          <cell r="AM83">
            <v>0</v>
          </cell>
          <cell r="AN83">
            <v>0</v>
          </cell>
          <cell r="AO83">
            <v>0</v>
          </cell>
          <cell r="AP83">
            <v>0</v>
          </cell>
          <cell r="AQ83">
            <v>0</v>
          </cell>
        </row>
        <row r="84">
          <cell r="D84">
            <v>2457.727272727273</v>
          </cell>
          <cell r="E84">
            <v>787</v>
          </cell>
          <cell r="F84">
            <v>1670.7272727272727</v>
          </cell>
          <cell r="L84">
            <v>2187.727272727273</v>
          </cell>
          <cell r="M84">
            <v>2144</v>
          </cell>
          <cell r="N84">
            <v>23632.454545454544</v>
          </cell>
          <cell r="O84">
            <v>28492</v>
          </cell>
          <cell r="P84">
            <v>20779.44272727273</v>
          </cell>
          <cell r="Q84">
            <v>2853.0118181818184</v>
          </cell>
          <cell r="R84">
            <v>45197.909090909088</v>
          </cell>
          <cell r="S84">
            <v>33842</v>
          </cell>
          <cell r="T84">
            <v>28865</v>
          </cell>
          <cell r="U84">
            <v>16332.90909090909</v>
          </cell>
          <cell r="V84">
            <v>35616.63636363636</v>
          </cell>
          <cell r="W84">
            <v>27187</v>
          </cell>
          <cell r="X84">
            <v>21830</v>
          </cell>
          <cell r="Y84">
            <v>13786.636363636364</v>
          </cell>
          <cell r="Z84">
            <v>3618.212121212121</v>
          </cell>
          <cell r="AA84">
            <v>2959.5454545454545</v>
          </cell>
          <cell r="AB84">
            <v>658.66666666666674</v>
          </cell>
          <cell r="AC84" t="e">
            <v>#VALUE!</v>
          </cell>
          <cell r="AD84">
            <v>2792</v>
          </cell>
          <cell r="AE84">
            <v>818</v>
          </cell>
          <cell r="AF84">
            <v>996</v>
          </cell>
          <cell r="AG84">
            <v>0</v>
          </cell>
          <cell r="AH84">
            <v>846.74545454545455</v>
          </cell>
          <cell r="AI84">
            <v>0</v>
          </cell>
          <cell r="AJ84">
            <v>113406.90909090909</v>
          </cell>
          <cell r="AK84">
            <v>54526.784294774996</v>
          </cell>
          <cell r="AL84">
            <v>58880.1247961341</v>
          </cell>
          <cell r="AM84">
            <v>98536</v>
          </cell>
          <cell r="AN84">
            <v>50623</v>
          </cell>
          <cell r="AO84">
            <v>48448</v>
          </cell>
          <cell r="AP84">
            <v>3613.7842947749923</v>
          </cell>
          <cell r="AQ84">
            <v>9744.1247961340996</v>
          </cell>
        </row>
        <row r="85">
          <cell r="D85">
            <v>0</v>
          </cell>
          <cell r="E85">
            <v>0</v>
          </cell>
          <cell r="F85">
            <v>0</v>
          </cell>
          <cell r="AG85">
            <v>0</v>
          </cell>
          <cell r="AH85">
            <v>0</v>
          </cell>
          <cell r="AK85">
            <v>834</v>
          </cell>
          <cell r="AL85">
            <v>0</v>
          </cell>
          <cell r="AM85">
            <v>0</v>
          </cell>
          <cell r="AN85">
            <v>0</v>
          </cell>
          <cell r="AO85">
            <v>0</v>
          </cell>
          <cell r="AP85">
            <v>0</v>
          </cell>
          <cell r="AQ85">
            <v>0</v>
          </cell>
        </row>
        <row r="86">
          <cell r="D86">
            <v>1166</v>
          </cell>
          <cell r="E86">
            <v>590</v>
          </cell>
          <cell r="F86">
            <v>576</v>
          </cell>
          <cell r="AG86">
            <v>0</v>
          </cell>
          <cell r="AH86">
            <v>0</v>
          </cell>
          <cell r="AJ86">
            <v>1166</v>
          </cell>
          <cell r="AK86">
            <v>590</v>
          </cell>
          <cell r="AL86">
            <v>576</v>
          </cell>
          <cell r="AM86">
            <v>1516</v>
          </cell>
          <cell r="AN86">
            <v>0</v>
          </cell>
          <cell r="AO86">
            <v>0</v>
          </cell>
          <cell r="AP86">
            <v>590</v>
          </cell>
          <cell r="AQ86">
            <v>576</v>
          </cell>
        </row>
        <row r="87">
          <cell r="D87">
            <v>600</v>
          </cell>
          <cell r="E87">
            <v>179</v>
          </cell>
          <cell r="F87">
            <v>421</v>
          </cell>
          <cell r="N87">
            <v>0</v>
          </cell>
          <cell r="P87">
            <v>0</v>
          </cell>
          <cell r="Q87">
            <v>0</v>
          </cell>
          <cell r="R87">
            <v>0</v>
          </cell>
          <cell r="S87">
            <v>0</v>
          </cell>
          <cell r="T87">
            <v>0</v>
          </cell>
          <cell r="U87">
            <v>0</v>
          </cell>
          <cell r="V87">
            <v>0</v>
          </cell>
          <cell r="W87">
            <v>0</v>
          </cell>
          <cell r="X87">
            <v>0</v>
          </cell>
          <cell r="Y87">
            <v>0</v>
          </cell>
          <cell r="Z87">
            <v>0</v>
          </cell>
          <cell r="AA87">
            <v>0</v>
          </cell>
          <cell r="AB87">
            <v>0</v>
          </cell>
          <cell r="AC87">
            <v>0</v>
          </cell>
          <cell r="AD87">
            <v>0</v>
          </cell>
          <cell r="AE87">
            <v>0</v>
          </cell>
          <cell r="AF87">
            <v>0</v>
          </cell>
          <cell r="AG87">
            <v>0</v>
          </cell>
          <cell r="AH87">
            <v>0</v>
          </cell>
          <cell r="AJ87">
            <v>600</v>
          </cell>
          <cell r="AK87">
            <v>179</v>
          </cell>
          <cell r="AL87">
            <v>421</v>
          </cell>
          <cell r="AM87">
            <v>287</v>
          </cell>
          <cell r="AN87">
            <v>0</v>
          </cell>
          <cell r="AO87">
            <v>0</v>
          </cell>
          <cell r="AP87">
            <v>179</v>
          </cell>
          <cell r="AQ87">
            <v>421</v>
          </cell>
        </row>
        <row r="88">
          <cell r="D88">
            <v>15</v>
          </cell>
          <cell r="E88">
            <v>4</v>
          </cell>
          <cell r="F88">
            <v>11</v>
          </cell>
          <cell r="L88">
            <v>61</v>
          </cell>
          <cell r="M88">
            <v>1</v>
          </cell>
          <cell r="P88">
            <v>60</v>
          </cell>
          <cell r="R88">
            <v>150</v>
          </cell>
          <cell r="S88">
            <v>1</v>
          </cell>
          <cell r="T88">
            <v>72</v>
          </cell>
          <cell r="U88">
            <v>78</v>
          </cell>
          <cell r="V88">
            <v>27</v>
          </cell>
          <cell r="X88">
            <v>11</v>
          </cell>
          <cell r="Y88">
            <v>16</v>
          </cell>
          <cell r="Z88">
            <v>12.333333333333334</v>
          </cell>
          <cell r="AA88">
            <v>0</v>
          </cell>
          <cell r="AB88">
            <v>12.333333333333334</v>
          </cell>
          <cell r="AC88">
            <v>28</v>
          </cell>
          <cell r="AD88">
            <v>16</v>
          </cell>
          <cell r="AE88">
            <v>28</v>
          </cell>
          <cell r="AF88">
            <v>12</v>
          </cell>
          <cell r="AG88">
            <v>11</v>
          </cell>
          <cell r="AH88">
            <v>1</v>
          </cell>
          <cell r="AJ88">
            <v>225.2</v>
          </cell>
          <cell r="AK88">
            <v>148</v>
          </cell>
          <cell r="AL88">
            <v>77.199999999999989</v>
          </cell>
          <cell r="AM88">
            <v>12</v>
          </cell>
          <cell r="AN88">
            <v>83</v>
          </cell>
          <cell r="AO88">
            <v>94</v>
          </cell>
          <cell r="AP88">
            <v>65</v>
          </cell>
          <cell r="AQ88">
            <v>-16.800000000000011</v>
          </cell>
        </row>
        <row r="89">
          <cell r="D89">
            <v>4238.727272727273</v>
          </cell>
          <cell r="E89">
            <v>1560</v>
          </cell>
          <cell r="F89">
            <v>2678.727272727273</v>
          </cell>
          <cell r="L89">
            <v>2248.727272727273</v>
          </cell>
          <cell r="M89">
            <v>2145</v>
          </cell>
          <cell r="N89">
            <v>23632.454545454544</v>
          </cell>
          <cell r="O89">
            <v>28492</v>
          </cell>
          <cell r="P89">
            <v>20779.44272727273</v>
          </cell>
          <cell r="Q89">
            <v>2853.0118181818184</v>
          </cell>
          <cell r="R89">
            <v>45347.909090909088</v>
          </cell>
          <cell r="S89">
            <v>33842</v>
          </cell>
          <cell r="T89">
            <v>28937</v>
          </cell>
          <cell r="U89">
            <v>16410.909090909088</v>
          </cell>
          <cell r="V89">
            <v>35643.63636363636</v>
          </cell>
          <cell r="W89">
            <v>27187</v>
          </cell>
          <cell r="X89">
            <v>21841</v>
          </cell>
          <cell r="Y89">
            <v>13802.636363636364</v>
          </cell>
          <cell r="Z89">
            <v>3630.5454545454545</v>
          </cell>
          <cell r="AA89">
            <v>2959.5454545454545</v>
          </cell>
          <cell r="AB89">
            <v>671.00000000000011</v>
          </cell>
          <cell r="AC89" t="e">
            <v>#VALUE!</v>
          </cell>
          <cell r="AD89">
            <v>2792</v>
          </cell>
          <cell r="AE89">
            <v>846</v>
          </cell>
          <cell r="AF89">
            <v>996</v>
          </cell>
          <cell r="AG89">
            <v>0</v>
          </cell>
          <cell r="AJ89">
            <v>115399.10909090909</v>
          </cell>
          <cell r="AK89">
            <v>55443.784294774996</v>
          </cell>
          <cell r="AL89">
            <v>59955.324796134097</v>
          </cell>
          <cell r="AM89">
            <v>100351</v>
          </cell>
          <cell r="AN89">
            <v>50706</v>
          </cell>
          <cell r="AO89">
            <v>48542</v>
          </cell>
          <cell r="AP89">
            <v>4447.7842947749923</v>
          </cell>
          <cell r="AQ89">
            <v>10724.3247961341</v>
          </cell>
        </row>
        <row r="90">
          <cell r="D90">
            <v>4238.727272727273</v>
          </cell>
          <cell r="E90">
            <v>1560</v>
          </cell>
          <cell r="F90">
            <v>2678.727272727273</v>
          </cell>
          <cell r="L90">
            <v>2248.727272727273</v>
          </cell>
          <cell r="M90">
            <v>2145</v>
          </cell>
          <cell r="N90">
            <v>7727.4545454545441</v>
          </cell>
          <cell r="O90">
            <v>7448</v>
          </cell>
          <cell r="P90">
            <v>4874.4427272727298</v>
          </cell>
          <cell r="Q90">
            <v>2853.0118181818184</v>
          </cell>
          <cell r="R90">
            <v>2893.9090909090883</v>
          </cell>
          <cell r="S90">
            <v>2671</v>
          </cell>
          <cell r="T90">
            <v>1245</v>
          </cell>
          <cell r="U90">
            <v>1648.9090909090883</v>
          </cell>
          <cell r="V90">
            <v>1904.6363636363603</v>
          </cell>
          <cell r="W90">
            <v>1700</v>
          </cell>
          <cell r="X90">
            <v>735</v>
          </cell>
          <cell r="Y90">
            <v>1169.636363636364</v>
          </cell>
          <cell r="Z90">
            <v>3630.5454545454545</v>
          </cell>
          <cell r="AA90">
            <v>2959.5454545454545</v>
          </cell>
          <cell r="AB90">
            <v>671.00000000000011</v>
          </cell>
          <cell r="AC90" t="e">
            <v>#VALUE!</v>
          </cell>
          <cell r="AD90">
            <v>2792</v>
          </cell>
          <cell r="AE90">
            <v>846</v>
          </cell>
          <cell r="AF90">
            <v>996</v>
          </cell>
          <cell r="AG90">
            <v>0</v>
          </cell>
          <cell r="AJ90">
            <v>23302.109090909085</v>
          </cell>
          <cell r="AK90">
            <v>6645.7842947749959</v>
          </cell>
          <cell r="AL90">
            <v>16655.324796134097</v>
          </cell>
          <cell r="AM90">
            <v>22649</v>
          </cell>
          <cell r="AN90">
            <v>1908</v>
          </cell>
          <cell r="AO90">
            <v>5242</v>
          </cell>
          <cell r="AP90">
            <v>4447.7842947749923</v>
          </cell>
          <cell r="AQ90">
            <v>10724.3247961341</v>
          </cell>
        </row>
        <row r="91">
          <cell r="D91">
            <v>202</v>
          </cell>
          <cell r="F91">
            <v>4323.0000000000009</v>
          </cell>
          <cell r="L91">
            <v>432</v>
          </cell>
          <cell r="N91">
            <v>1663</v>
          </cell>
          <cell r="P91">
            <v>2117</v>
          </cell>
          <cell r="Q91">
            <v>0</v>
          </cell>
          <cell r="R91">
            <v>123</v>
          </cell>
          <cell r="S91">
            <v>26672</v>
          </cell>
          <cell r="T91">
            <v>23991.85</v>
          </cell>
          <cell r="U91">
            <v>2679.15</v>
          </cell>
          <cell r="V91">
            <v>99</v>
          </cell>
          <cell r="W91">
            <v>0</v>
          </cell>
          <cell r="X91">
            <v>47372.181818181816</v>
          </cell>
          <cell r="Y91">
            <v>31246.25</v>
          </cell>
          <cell r="Z91">
            <v>74</v>
          </cell>
          <cell r="AA91">
            <v>74</v>
          </cell>
          <cell r="AB91">
            <v>0</v>
          </cell>
          <cell r="AC91">
            <v>38073</v>
          </cell>
          <cell r="AD91">
            <v>23048.272727272721</v>
          </cell>
          <cell r="AE91">
            <v>15024.727272727279</v>
          </cell>
          <cell r="AF91">
            <v>0</v>
          </cell>
          <cell r="AG91">
            <v>0</v>
          </cell>
          <cell r="AH91">
            <v>847.74545454545455</v>
          </cell>
          <cell r="AI91">
            <v>0</v>
          </cell>
          <cell r="AJ91">
            <v>2605</v>
          </cell>
          <cell r="AK91">
            <v>115399.1090909091</v>
          </cell>
          <cell r="AL91">
            <v>54938.514270702588</v>
          </cell>
          <cell r="AM91">
            <v>2605</v>
          </cell>
          <cell r="AN91">
            <v>100351</v>
          </cell>
          <cell r="AO91">
            <v>52743</v>
          </cell>
          <cell r="AP91">
            <v>3319.7203422122484</v>
          </cell>
          <cell r="AQ91">
            <v>8590.5498152297569</v>
          </cell>
        </row>
        <row r="92">
          <cell r="D92">
            <v>87</v>
          </cell>
          <cell r="F92">
            <v>4323.0000000000009</v>
          </cell>
          <cell r="L92">
            <v>432</v>
          </cell>
          <cell r="N92">
            <v>1663</v>
          </cell>
          <cell r="P92">
            <v>2117</v>
          </cell>
          <cell r="Q92">
            <v>0</v>
          </cell>
          <cell r="R92">
            <v>123</v>
          </cell>
          <cell r="S92">
            <v>7422</v>
          </cell>
          <cell r="T92">
            <v>4741.8499999999985</v>
          </cell>
          <cell r="U92">
            <v>2679.15</v>
          </cell>
          <cell r="V92">
            <v>99</v>
          </cell>
          <cell r="W92">
            <v>0</v>
          </cell>
          <cell r="X92">
            <v>2775.1818181818162</v>
          </cell>
          <cell r="Y92">
            <v>1205</v>
          </cell>
          <cell r="Z92">
            <v>74</v>
          </cell>
          <cell r="AA92">
            <v>74</v>
          </cell>
          <cell r="AB92">
            <v>0</v>
          </cell>
          <cell r="AC92">
            <v>1922</v>
          </cell>
          <cell r="AD92">
            <v>740</v>
          </cell>
          <cell r="AE92">
            <v>1182</v>
          </cell>
          <cell r="AF92">
            <v>0</v>
          </cell>
          <cell r="AG92">
            <v>0</v>
          </cell>
          <cell r="AH92">
            <v>847.74545454545455</v>
          </cell>
          <cell r="AI92">
            <v>0</v>
          </cell>
          <cell r="AJ92">
            <v>2489</v>
          </cell>
          <cell r="AK92">
            <v>115399.1090909091</v>
          </cell>
          <cell r="AL92">
            <v>6596.1999999999971</v>
          </cell>
          <cell r="AM92">
            <v>2489</v>
          </cell>
          <cell r="AN92">
            <v>1886</v>
          </cell>
          <cell r="AO92">
            <v>5095</v>
          </cell>
          <cell r="AP92">
            <v>3319.7203422122484</v>
          </cell>
          <cell r="AQ92">
            <v>8590.0725425024775</v>
          </cell>
        </row>
        <row r="93">
          <cell r="D93">
            <v>0</v>
          </cell>
          <cell r="F93">
            <v>357</v>
          </cell>
          <cell r="L93">
            <v>0</v>
          </cell>
          <cell r="N93">
            <v>0</v>
          </cell>
          <cell r="P93">
            <v>350</v>
          </cell>
          <cell r="R93">
            <v>0</v>
          </cell>
          <cell r="S93">
            <v>920</v>
          </cell>
          <cell r="V93">
            <v>0</v>
          </cell>
          <cell r="X93">
            <v>110</v>
          </cell>
          <cell r="Y93">
            <v>47372.181818181816</v>
          </cell>
          <cell r="Z93">
            <v>0</v>
          </cell>
          <cell r="AA93">
            <v>0</v>
          </cell>
          <cell r="AC93">
            <v>80</v>
          </cell>
          <cell r="AD93">
            <v>38073</v>
          </cell>
          <cell r="AF93">
            <v>0</v>
          </cell>
          <cell r="AG93">
            <v>0</v>
          </cell>
          <cell r="AH93">
            <v>0</v>
          </cell>
          <cell r="AI93">
            <v>269</v>
          </cell>
          <cell r="AJ93">
            <v>1</v>
          </cell>
          <cell r="AK93">
            <v>2349</v>
          </cell>
          <cell r="AL93">
            <v>122256.01212121213</v>
          </cell>
          <cell r="AM93">
            <v>1</v>
          </cell>
        </row>
        <row r="94">
          <cell r="D94">
            <v>115</v>
          </cell>
          <cell r="F94">
            <v>68</v>
          </cell>
          <cell r="L94">
            <v>0</v>
          </cell>
          <cell r="N94">
            <v>0</v>
          </cell>
          <cell r="P94">
            <v>350</v>
          </cell>
          <cell r="R94">
            <v>0</v>
          </cell>
          <cell r="S94">
            <v>920</v>
          </cell>
          <cell r="V94">
            <v>0</v>
          </cell>
          <cell r="X94">
            <v>110</v>
          </cell>
          <cell r="Z94">
            <v>0</v>
          </cell>
          <cell r="AA94">
            <v>0</v>
          </cell>
          <cell r="AC94">
            <v>80</v>
          </cell>
          <cell r="AF94">
            <v>0</v>
          </cell>
          <cell r="AG94">
            <v>0</v>
          </cell>
          <cell r="AH94">
            <v>0</v>
          </cell>
          <cell r="AI94">
            <v>5</v>
          </cell>
          <cell r="AJ94">
            <v>115</v>
          </cell>
          <cell r="AK94">
            <v>1796</v>
          </cell>
          <cell r="AL94">
            <v>122256.01212121212</v>
          </cell>
          <cell r="AM94">
            <v>115</v>
          </cell>
        </row>
        <row r="95">
          <cell r="P95">
            <v>0</v>
          </cell>
          <cell r="AG95">
            <v>0</v>
          </cell>
          <cell r="AJ95">
            <v>0</v>
          </cell>
          <cell r="AK95">
            <v>0</v>
          </cell>
          <cell r="AM95">
            <v>0</v>
          </cell>
        </row>
        <row r="96">
          <cell r="F96">
            <v>289</v>
          </cell>
          <cell r="S96">
            <v>0</v>
          </cell>
          <cell r="X96">
            <v>0</v>
          </cell>
          <cell r="AC96">
            <v>0</v>
          </cell>
          <cell r="AF96">
            <v>0</v>
          </cell>
          <cell r="AG96">
            <v>0</v>
          </cell>
          <cell r="AH96">
            <v>0</v>
          </cell>
          <cell r="AI96">
            <v>264</v>
          </cell>
          <cell r="AJ96">
            <v>0</v>
          </cell>
          <cell r="AK96">
            <v>553</v>
          </cell>
          <cell r="AM96">
            <v>0</v>
          </cell>
        </row>
        <row r="97">
          <cell r="D97">
            <v>115</v>
          </cell>
          <cell r="L97">
            <v>0</v>
          </cell>
          <cell r="N97">
            <v>0</v>
          </cell>
          <cell r="P97">
            <v>0</v>
          </cell>
          <cell r="R97">
            <v>0</v>
          </cell>
          <cell r="S97">
            <v>0</v>
          </cell>
          <cell r="V97">
            <v>5</v>
          </cell>
          <cell r="Z97">
            <v>0</v>
          </cell>
          <cell r="AA97">
            <v>0</v>
          </cell>
          <cell r="AF97">
            <v>39</v>
          </cell>
          <cell r="AG97">
            <v>0</v>
          </cell>
          <cell r="AJ97">
            <v>160</v>
          </cell>
          <cell r="AM97">
            <v>160</v>
          </cell>
        </row>
        <row r="98">
          <cell r="D98">
            <v>115</v>
          </cell>
          <cell r="L98">
            <v>0</v>
          </cell>
          <cell r="N98">
            <v>0</v>
          </cell>
          <cell r="R98">
            <v>0</v>
          </cell>
          <cell r="S98">
            <v>0</v>
          </cell>
          <cell r="V98">
            <v>0</v>
          </cell>
          <cell r="X98">
            <v>0</v>
          </cell>
          <cell r="Z98">
            <v>0</v>
          </cell>
          <cell r="AA98">
            <v>0</v>
          </cell>
          <cell r="AF98">
            <v>0</v>
          </cell>
          <cell r="AG98">
            <v>0</v>
          </cell>
          <cell r="AJ98">
            <v>116</v>
          </cell>
          <cell r="AM98">
            <v>116</v>
          </cell>
        </row>
        <row r="99">
          <cell r="L99">
            <v>0</v>
          </cell>
          <cell r="N99">
            <v>0</v>
          </cell>
          <cell r="R99">
            <v>0</v>
          </cell>
          <cell r="V99">
            <v>0</v>
          </cell>
          <cell r="Z99">
            <v>0</v>
          </cell>
          <cell r="AA99">
            <v>0</v>
          </cell>
          <cell r="AF99">
            <v>0</v>
          </cell>
          <cell r="AG99">
            <v>0</v>
          </cell>
          <cell r="AJ99">
            <v>0</v>
          </cell>
          <cell r="AM99">
            <v>0</v>
          </cell>
        </row>
        <row r="100">
          <cell r="D100">
            <v>0</v>
          </cell>
          <cell r="L100">
            <v>0</v>
          </cell>
          <cell r="N100">
            <v>0</v>
          </cell>
          <cell r="R100">
            <v>0</v>
          </cell>
          <cell r="V100">
            <v>5</v>
          </cell>
          <cell r="Z100">
            <v>0</v>
          </cell>
          <cell r="AA100">
            <v>0</v>
          </cell>
          <cell r="AF100">
            <v>39</v>
          </cell>
          <cell r="AG100">
            <v>0</v>
          </cell>
          <cell r="AJ100">
            <v>44</v>
          </cell>
          <cell r="AK100">
            <v>0</v>
          </cell>
          <cell r="AM100">
            <v>44</v>
          </cell>
        </row>
        <row r="101">
          <cell r="D101">
            <v>31</v>
          </cell>
          <cell r="L101">
            <v>0</v>
          </cell>
          <cell r="N101">
            <v>123</v>
          </cell>
          <cell r="R101">
            <v>0</v>
          </cell>
          <cell r="V101">
            <v>19</v>
          </cell>
          <cell r="Z101">
            <v>0</v>
          </cell>
          <cell r="AA101">
            <v>0</v>
          </cell>
          <cell r="AF101">
            <v>595</v>
          </cell>
          <cell r="AG101">
            <v>0</v>
          </cell>
          <cell r="AJ101">
            <v>768</v>
          </cell>
          <cell r="AK101">
            <v>0</v>
          </cell>
          <cell r="AM101">
            <v>768</v>
          </cell>
        </row>
        <row r="102">
          <cell r="D102">
            <v>31</v>
          </cell>
          <cell r="F102">
            <v>575.33333333333326</v>
          </cell>
          <cell r="L102">
            <v>0</v>
          </cell>
          <cell r="N102">
            <v>123</v>
          </cell>
          <cell r="P102">
            <v>7</v>
          </cell>
          <cell r="S102">
            <v>30</v>
          </cell>
          <cell r="V102">
            <v>0</v>
          </cell>
          <cell r="X102">
            <v>18</v>
          </cell>
          <cell r="Z102">
            <v>0</v>
          </cell>
          <cell r="AA102">
            <v>0</v>
          </cell>
          <cell r="AC102">
            <v>5</v>
          </cell>
          <cell r="AF102">
            <v>33.666666666666664</v>
          </cell>
          <cell r="AG102">
            <v>0</v>
          </cell>
          <cell r="AH102">
            <v>0</v>
          </cell>
          <cell r="AI102">
            <v>343</v>
          </cell>
          <cell r="AJ102">
            <v>154</v>
          </cell>
          <cell r="AK102">
            <v>1014.3333333333333</v>
          </cell>
          <cell r="AM102">
            <v>154</v>
          </cell>
        </row>
        <row r="103">
          <cell r="D103">
            <v>0</v>
          </cell>
          <cell r="F103">
            <v>289</v>
          </cell>
          <cell r="L103">
            <v>0</v>
          </cell>
          <cell r="N103">
            <v>0</v>
          </cell>
          <cell r="P103">
            <v>0</v>
          </cell>
          <cell r="R103">
            <v>0</v>
          </cell>
          <cell r="V103">
            <v>19</v>
          </cell>
          <cell r="X103">
            <v>0</v>
          </cell>
          <cell r="Z103">
            <v>0</v>
          </cell>
          <cell r="AA103">
            <v>0</v>
          </cell>
          <cell r="AC103">
            <v>0</v>
          </cell>
          <cell r="AF103">
            <v>595</v>
          </cell>
          <cell r="AG103">
            <v>0</v>
          </cell>
          <cell r="AH103">
            <v>0</v>
          </cell>
          <cell r="AI103">
            <v>264</v>
          </cell>
          <cell r="AJ103">
            <v>614</v>
          </cell>
          <cell r="AK103">
            <v>553</v>
          </cell>
          <cell r="AM103">
            <v>614</v>
          </cell>
        </row>
        <row r="104">
          <cell r="D104">
            <v>605.41409090909156</v>
          </cell>
          <cell r="F104">
            <v>0</v>
          </cell>
          <cell r="L104">
            <v>0</v>
          </cell>
          <cell r="N104">
            <v>197</v>
          </cell>
          <cell r="P104" t="str">
            <v/>
          </cell>
          <cell r="S104">
            <v>0</v>
          </cell>
          <cell r="V104">
            <v>0</v>
          </cell>
          <cell r="X104">
            <v>0</v>
          </cell>
          <cell r="Z104">
            <v>0</v>
          </cell>
          <cell r="AA104">
            <v>0</v>
          </cell>
          <cell r="AC104">
            <v>0</v>
          </cell>
          <cell r="AF104">
            <v>0</v>
          </cell>
          <cell r="AG104">
            <v>0</v>
          </cell>
          <cell r="AH104">
            <v>0</v>
          </cell>
          <cell r="AI104">
            <v>0</v>
          </cell>
          <cell r="AJ104">
            <v>802.41409090909156</v>
          </cell>
          <cell r="AK104">
            <v>0</v>
          </cell>
          <cell r="AL104">
            <v>0</v>
          </cell>
          <cell r="AM104">
            <v>802.41409090909156</v>
          </cell>
        </row>
        <row r="105">
          <cell r="D105">
            <v>0</v>
          </cell>
          <cell r="F105">
            <v>286.33333333333331</v>
          </cell>
          <cell r="L105">
            <v>0</v>
          </cell>
          <cell r="N105">
            <v>197</v>
          </cell>
          <cell r="P105">
            <v>7</v>
          </cell>
          <cell r="S105">
            <v>30</v>
          </cell>
          <cell r="X105">
            <v>18</v>
          </cell>
          <cell r="AC105">
            <v>5</v>
          </cell>
          <cell r="AF105">
            <v>33.666666666666664</v>
          </cell>
          <cell r="AG105">
            <v>0</v>
          </cell>
          <cell r="AH105">
            <v>0</v>
          </cell>
          <cell r="AI105">
            <v>79</v>
          </cell>
          <cell r="AJ105">
            <v>197</v>
          </cell>
          <cell r="AK105">
            <v>461.33333333333331</v>
          </cell>
          <cell r="AM105">
            <v>197</v>
          </cell>
        </row>
        <row r="106">
          <cell r="D106">
            <v>0</v>
          </cell>
          <cell r="F106">
            <v>375</v>
          </cell>
          <cell r="P106">
            <v>14</v>
          </cell>
          <cell r="R106">
            <v>0</v>
          </cell>
          <cell r="S106">
            <v>157</v>
          </cell>
          <cell r="V106">
            <v>0</v>
          </cell>
          <cell r="X106">
            <v>17.666666666666668</v>
          </cell>
          <cell r="Z106">
            <v>0</v>
          </cell>
          <cell r="AA106">
            <v>0</v>
          </cell>
          <cell r="AC106">
            <v>19</v>
          </cell>
          <cell r="AF106">
            <v>30.333333333333332</v>
          </cell>
          <cell r="AG106">
            <v>0</v>
          </cell>
          <cell r="AH106">
            <v>0</v>
          </cell>
          <cell r="AI106">
            <v>843</v>
          </cell>
          <cell r="AJ106">
            <v>0</v>
          </cell>
          <cell r="AK106">
            <v>0</v>
          </cell>
          <cell r="AL106">
            <v>0</v>
          </cell>
          <cell r="AM106">
            <v>0</v>
          </cell>
        </row>
        <row r="107">
          <cell r="F107">
            <v>0</v>
          </cell>
          <cell r="L107">
            <v>0</v>
          </cell>
          <cell r="N107">
            <v>0</v>
          </cell>
          <cell r="P107">
            <v>0</v>
          </cell>
          <cell r="R107">
            <v>0</v>
          </cell>
          <cell r="S107">
            <v>120</v>
          </cell>
          <cell r="V107">
            <v>0</v>
          </cell>
          <cell r="Z107">
            <v>0</v>
          </cell>
          <cell r="AA107">
            <v>0</v>
          </cell>
          <cell r="AC107">
            <v>0</v>
          </cell>
          <cell r="AF107">
            <v>0</v>
          </cell>
          <cell r="AG107">
            <v>0</v>
          </cell>
          <cell r="AH107">
            <v>0</v>
          </cell>
          <cell r="AI107">
            <v>0</v>
          </cell>
          <cell r="AJ107">
            <v>0</v>
          </cell>
          <cell r="AK107">
            <v>120</v>
          </cell>
          <cell r="AM107">
            <v>0</v>
          </cell>
        </row>
        <row r="108">
          <cell r="D108">
            <v>0</v>
          </cell>
          <cell r="F108">
            <v>375</v>
          </cell>
          <cell r="L108">
            <v>0</v>
          </cell>
          <cell r="N108">
            <v>0</v>
          </cell>
          <cell r="P108">
            <v>14</v>
          </cell>
          <cell r="R108">
            <v>0</v>
          </cell>
          <cell r="S108">
            <v>37</v>
          </cell>
          <cell r="V108">
            <v>38</v>
          </cell>
          <cell r="X108">
            <v>17.666666666666668</v>
          </cell>
          <cell r="Z108">
            <v>0</v>
          </cell>
          <cell r="AA108">
            <v>0</v>
          </cell>
          <cell r="AC108">
            <v>19</v>
          </cell>
          <cell r="AF108">
            <v>363</v>
          </cell>
          <cell r="AG108">
            <v>0</v>
          </cell>
          <cell r="AH108">
            <v>0</v>
          </cell>
          <cell r="AI108">
            <v>843</v>
          </cell>
          <cell r="AJ108">
            <v>401</v>
          </cell>
          <cell r="AK108">
            <v>1343</v>
          </cell>
          <cell r="AM108">
            <v>401</v>
          </cell>
        </row>
        <row r="109">
          <cell r="D109">
            <v>2</v>
          </cell>
          <cell r="F109">
            <v>0</v>
          </cell>
          <cell r="L109">
            <v>0</v>
          </cell>
          <cell r="N109">
            <v>7</v>
          </cell>
          <cell r="P109">
            <v>0</v>
          </cell>
          <cell r="R109">
            <v>28</v>
          </cell>
          <cell r="S109">
            <v>250</v>
          </cell>
          <cell r="V109">
            <v>0</v>
          </cell>
          <cell r="Z109">
            <v>0</v>
          </cell>
          <cell r="AA109">
            <v>0</v>
          </cell>
          <cell r="AC109">
            <v>0</v>
          </cell>
          <cell r="AF109">
            <v>7</v>
          </cell>
          <cell r="AG109">
            <v>0</v>
          </cell>
          <cell r="AH109">
            <v>0</v>
          </cell>
          <cell r="AJ109">
            <v>44</v>
          </cell>
          <cell r="AK109">
            <v>250</v>
          </cell>
          <cell r="AM109">
            <v>44</v>
          </cell>
        </row>
        <row r="110">
          <cell r="D110">
            <v>401.20704545454578</v>
          </cell>
          <cell r="F110">
            <v>0</v>
          </cell>
          <cell r="P110">
            <v>0</v>
          </cell>
          <cell r="S110">
            <v>250</v>
          </cell>
          <cell r="AG110">
            <v>0</v>
          </cell>
          <cell r="AH110">
            <v>0</v>
          </cell>
          <cell r="AJ110">
            <v>401.20704545454578</v>
          </cell>
          <cell r="AK110">
            <v>250</v>
          </cell>
          <cell r="AM110">
            <v>401.20704545454578</v>
          </cell>
        </row>
        <row r="111">
          <cell r="D111">
            <v>0</v>
          </cell>
          <cell r="F111">
            <v>0</v>
          </cell>
          <cell r="P111">
            <v>0</v>
          </cell>
          <cell r="S111">
            <v>0</v>
          </cell>
          <cell r="X111">
            <v>0</v>
          </cell>
          <cell r="AC111">
            <v>0</v>
          </cell>
          <cell r="AF111">
            <v>0</v>
          </cell>
          <cell r="AG111">
            <v>0</v>
          </cell>
          <cell r="AH111">
            <v>0</v>
          </cell>
          <cell r="AJ111">
            <v>0</v>
          </cell>
          <cell r="AK111">
            <v>1722.5197727272771</v>
          </cell>
          <cell r="AL111">
            <v>0</v>
          </cell>
          <cell r="AM111">
            <v>0</v>
          </cell>
        </row>
        <row r="112">
          <cell r="D112">
            <v>3725</v>
          </cell>
          <cell r="P112">
            <v>0</v>
          </cell>
          <cell r="S112">
            <v>0</v>
          </cell>
          <cell r="X112">
            <v>0</v>
          </cell>
          <cell r="AC112">
            <v>0</v>
          </cell>
          <cell r="AF112">
            <v>0</v>
          </cell>
          <cell r="AG112">
            <v>0</v>
          </cell>
          <cell r="AH112">
            <v>0</v>
          </cell>
          <cell r="AJ112">
            <v>3725</v>
          </cell>
          <cell r="AK112">
            <v>0</v>
          </cell>
          <cell r="AM112">
            <v>3725</v>
          </cell>
        </row>
        <row r="113">
          <cell r="F113">
            <v>196</v>
          </cell>
          <cell r="P113">
            <v>273</v>
          </cell>
          <cell r="S113">
            <v>538</v>
          </cell>
          <cell r="X113">
            <v>237</v>
          </cell>
          <cell r="AC113">
            <v>172</v>
          </cell>
          <cell r="AF113">
            <v>535</v>
          </cell>
          <cell r="AG113">
            <v>535</v>
          </cell>
          <cell r="AH113">
            <v>0</v>
          </cell>
          <cell r="AI113">
            <v>952</v>
          </cell>
          <cell r="AJ113">
            <v>-3990</v>
          </cell>
          <cell r="AK113">
            <v>2987</v>
          </cell>
          <cell r="AM113">
            <v>0</v>
          </cell>
        </row>
        <row r="114">
          <cell r="D114">
            <v>0</v>
          </cell>
          <cell r="F114">
            <v>2</v>
          </cell>
          <cell r="P114">
            <v>0</v>
          </cell>
          <cell r="S114">
            <v>7</v>
          </cell>
          <cell r="X114">
            <v>40</v>
          </cell>
          <cell r="AC114">
            <v>0</v>
          </cell>
          <cell r="AF114">
            <v>0</v>
          </cell>
          <cell r="AG114">
            <v>0</v>
          </cell>
          <cell r="AH114">
            <v>0</v>
          </cell>
          <cell r="AI114">
            <v>6.7</v>
          </cell>
          <cell r="AJ114">
            <v>0</v>
          </cell>
          <cell r="AK114">
            <v>55.7</v>
          </cell>
        </row>
        <row r="115">
          <cell r="D115">
            <v>4879.6211363636376</v>
          </cell>
          <cell r="E115">
            <v>0</v>
          </cell>
          <cell r="F115">
            <v>0</v>
          </cell>
          <cell r="L115">
            <v>0</v>
          </cell>
          <cell r="N115">
            <v>327</v>
          </cell>
          <cell r="P115" t="e">
            <v>#VALUE!</v>
          </cell>
          <cell r="Q115">
            <v>0</v>
          </cell>
          <cell r="R115">
            <v>28</v>
          </cell>
          <cell r="T115">
            <v>0</v>
          </cell>
          <cell r="U115">
            <v>0</v>
          </cell>
          <cell r="V115">
            <v>62</v>
          </cell>
          <cell r="X115">
            <v>0</v>
          </cell>
          <cell r="Y115">
            <v>0</v>
          </cell>
          <cell r="Z115">
            <v>0</v>
          </cell>
          <cell r="AA115">
            <v>0</v>
          </cell>
          <cell r="AB115">
            <v>0</v>
          </cell>
          <cell r="AF115">
            <v>1004</v>
          </cell>
          <cell r="AG115">
            <v>0</v>
          </cell>
          <cell r="AJ115">
            <v>6301.6211363636376</v>
          </cell>
          <cell r="AK115">
            <v>588.33333333333337</v>
          </cell>
          <cell r="AN115">
            <v>0</v>
          </cell>
          <cell r="AO115">
            <v>0</v>
          </cell>
          <cell r="AP115">
            <v>0</v>
          </cell>
          <cell r="AQ115">
            <v>0</v>
          </cell>
        </row>
        <row r="116">
          <cell r="D116">
            <v>868.41409090909156</v>
          </cell>
          <cell r="E116">
            <v>0</v>
          </cell>
          <cell r="F116">
            <v>0</v>
          </cell>
          <cell r="L116">
            <v>0</v>
          </cell>
          <cell r="N116">
            <v>327</v>
          </cell>
          <cell r="R116">
            <v>28</v>
          </cell>
          <cell r="S116">
            <v>0</v>
          </cell>
          <cell r="T116">
            <v>0</v>
          </cell>
          <cell r="U116">
            <v>0</v>
          </cell>
          <cell r="V116">
            <v>62</v>
          </cell>
          <cell r="X116">
            <v>0</v>
          </cell>
          <cell r="Z116">
            <v>0</v>
          </cell>
          <cell r="AA116">
            <v>0</v>
          </cell>
          <cell r="AF116">
            <v>1004</v>
          </cell>
          <cell r="AG116">
            <v>0</v>
          </cell>
          <cell r="AJ116">
            <v>8024.1409090909146</v>
          </cell>
          <cell r="AK116">
            <v>0</v>
          </cell>
        </row>
        <row r="117">
          <cell r="F117">
            <v>5733.333333333333</v>
          </cell>
          <cell r="AG117">
            <v>0</v>
          </cell>
          <cell r="AJ117">
            <v>8024.1409090909146</v>
          </cell>
          <cell r="AK117">
            <v>5733.333333333333</v>
          </cell>
        </row>
        <row r="118">
          <cell r="F118">
            <v>0</v>
          </cell>
          <cell r="AG118">
            <v>0</v>
          </cell>
          <cell r="AJ118">
            <v>8024.1409090909146</v>
          </cell>
          <cell r="AK118">
            <v>6301.6211363636376</v>
          </cell>
        </row>
        <row r="119">
          <cell r="F119">
            <v>-20223</v>
          </cell>
          <cell r="AG119">
            <v>0</v>
          </cell>
          <cell r="AJ119">
            <v>11463.140909090915</v>
          </cell>
          <cell r="AK119">
            <v>3558.2157052250041</v>
          </cell>
          <cell r="AL119">
            <v>7039.6752038659033</v>
          </cell>
        </row>
        <row r="120">
          <cell r="F120">
            <v>0</v>
          </cell>
          <cell r="AG120">
            <v>0</v>
          </cell>
          <cell r="AK120">
            <v>-3990</v>
          </cell>
        </row>
        <row r="121">
          <cell r="F121">
            <v>7470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0</v>
          </cell>
          <cell r="AH121">
            <v>0</v>
          </cell>
          <cell r="AI121">
            <v>2144.6999999999998</v>
          </cell>
          <cell r="AJ121">
            <v>3439</v>
          </cell>
          <cell r="AK121">
            <v>12091.699999999999</v>
          </cell>
          <cell r="AN121">
            <v>0</v>
          </cell>
          <cell r="AO121">
            <v>0</v>
          </cell>
          <cell r="AP121">
            <v>0</v>
          </cell>
          <cell r="AQ121">
            <v>0</v>
          </cell>
        </row>
        <row r="122">
          <cell r="F122">
            <v>7470</v>
          </cell>
          <cell r="P122">
            <v>294</v>
          </cell>
          <cell r="S122">
            <v>982</v>
          </cell>
          <cell r="X122">
            <v>312.66666666666669</v>
          </cell>
          <cell r="Y122">
            <v>0</v>
          </cell>
          <cell r="Z122">
            <v>0</v>
          </cell>
          <cell r="AC122">
            <v>196</v>
          </cell>
          <cell r="AD122">
            <v>0</v>
          </cell>
          <cell r="AE122">
            <v>0</v>
          </cell>
          <cell r="AF122">
            <v>599</v>
          </cell>
          <cell r="AG122">
            <v>0</v>
          </cell>
          <cell r="AH122">
            <v>0</v>
          </cell>
          <cell r="AI122">
            <v>2144.6999999999998</v>
          </cell>
          <cell r="AJ122">
            <v>0</v>
          </cell>
          <cell r="AK122">
            <v>-8131.3000000000011</v>
          </cell>
        </row>
        <row r="123">
          <cell r="AG123">
            <v>0</v>
          </cell>
          <cell r="AK123">
            <v>-8308.373484848491</v>
          </cell>
          <cell r="AL123">
            <v>12091.699999999997</v>
          </cell>
        </row>
        <row r="124">
          <cell r="AG124">
            <v>0</v>
          </cell>
          <cell r="AJ124">
            <v>66995</v>
          </cell>
          <cell r="AK124">
            <v>-4318.373484848491</v>
          </cell>
          <cell r="AL124">
            <v>66995</v>
          </cell>
          <cell r="AN124">
            <v>0</v>
          </cell>
          <cell r="AP124">
            <v>0</v>
          </cell>
        </row>
        <row r="125">
          <cell r="AG125">
            <v>0</v>
          </cell>
          <cell r="AJ125">
            <v>7039.6752038659033</v>
          </cell>
          <cell r="AK125">
            <v>-6480.7621212121303</v>
          </cell>
          <cell r="AL125">
            <v>-3043.7227272727177</v>
          </cell>
          <cell r="AM125">
            <v>-4302.289393939398</v>
          </cell>
          <cell r="AN125">
            <v>0</v>
          </cell>
        </row>
        <row r="126">
          <cell r="AG126">
            <v>0</v>
          </cell>
          <cell r="AJ126">
            <v>35.409999999999997</v>
          </cell>
          <cell r="AN126" t="e">
            <v>#DIV/0!</v>
          </cell>
        </row>
        <row r="127">
          <cell r="AG127">
            <v>0</v>
          </cell>
          <cell r="AJ127">
            <v>31.69</v>
          </cell>
          <cell r="AK127">
            <v>-2162.3886363636389</v>
          </cell>
          <cell r="AN127" t="e">
            <v>#DIV/0!</v>
          </cell>
        </row>
        <row r="128">
          <cell r="AG128">
            <v>0</v>
          </cell>
          <cell r="AJ128">
            <v>0</v>
          </cell>
          <cell r="AN128">
            <v>0</v>
          </cell>
        </row>
        <row r="129">
          <cell r="AG129">
            <v>0</v>
          </cell>
        </row>
        <row r="130">
          <cell r="AG130">
            <v>0</v>
          </cell>
          <cell r="AJ130">
            <v>9.5299999999999994</v>
          </cell>
          <cell r="AK130">
            <v>59008</v>
          </cell>
          <cell r="AM130">
            <v>59008</v>
          </cell>
          <cell r="AN130" t="e">
            <v>#DIV/0!</v>
          </cell>
          <cell r="AP130">
            <v>0</v>
          </cell>
        </row>
        <row r="131">
          <cell r="AG131">
            <v>0</v>
          </cell>
          <cell r="AJ131">
            <v>0</v>
          </cell>
          <cell r="AK131">
            <v>-4302.289393939398</v>
          </cell>
          <cell r="AN131">
            <v>0</v>
          </cell>
        </row>
        <row r="132">
          <cell r="AG132">
            <v>0</v>
          </cell>
          <cell r="AJ132">
            <v>8.9600000000000009</v>
          </cell>
          <cell r="AK132">
            <v>35.549999999999997</v>
          </cell>
          <cell r="AN132" t="e">
            <v>#DIV/0!</v>
          </cell>
        </row>
        <row r="133">
          <cell r="AG133">
            <v>0</v>
          </cell>
          <cell r="AJ133">
            <v>59002</v>
          </cell>
          <cell r="AK133">
            <v>59002</v>
          </cell>
          <cell r="AN133" t="e">
            <v>#DIV/0!</v>
          </cell>
        </row>
        <row r="134">
          <cell r="AG134">
            <v>0</v>
          </cell>
          <cell r="AK134">
            <v>0</v>
          </cell>
          <cell r="AN134">
            <v>0</v>
          </cell>
        </row>
        <row r="135">
          <cell r="AG135">
            <v>0</v>
          </cell>
          <cell r="AJ135">
            <v>865.25</v>
          </cell>
        </row>
        <row r="136">
          <cell r="AG136">
            <v>0</v>
          </cell>
          <cell r="AJ136">
            <v>0</v>
          </cell>
          <cell r="AK136">
            <v>11.69</v>
          </cell>
          <cell r="AN136" t="e">
            <v>#DIV/0!</v>
          </cell>
        </row>
        <row r="137">
          <cell r="AG137">
            <v>0</v>
          </cell>
        </row>
        <row r="138">
          <cell r="AG138">
            <v>0</v>
          </cell>
          <cell r="AJ138">
            <v>125997</v>
          </cell>
          <cell r="AK138">
            <v>59002</v>
          </cell>
          <cell r="AL138">
            <v>66995</v>
          </cell>
          <cell r="AN138">
            <v>0</v>
          </cell>
        </row>
        <row r="139">
          <cell r="AG139">
            <v>0</v>
          </cell>
          <cell r="AJ139">
            <v>0</v>
          </cell>
          <cell r="AK139">
            <v>0</v>
          </cell>
          <cell r="AL139">
            <v>55902</v>
          </cell>
        </row>
        <row r="140">
          <cell r="AG140">
            <v>0</v>
          </cell>
          <cell r="AJ140">
            <v>125997</v>
          </cell>
          <cell r="AK140">
            <v>59002</v>
          </cell>
          <cell r="AL140">
            <v>66995</v>
          </cell>
        </row>
        <row r="141">
          <cell r="AG141">
            <v>0</v>
          </cell>
          <cell r="AJ141">
            <v>300</v>
          </cell>
          <cell r="AN141">
            <v>1908</v>
          </cell>
          <cell r="AO141">
            <v>5242</v>
          </cell>
          <cell r="AP141">
            <v>4447.7842947749923</v>
          </cell>
          <cell r="AQ141">
            <v>10724.3247961341</v>
          </cell>
        </row>
        <row r="142">
          <cell r="AG142">
            <v>0</v>
          </cell>
          <cell r="AK142">
            <v>17273.857142857141</v>
          </cell>
          <cell r="AL142">
            <v>20710.896536796539</v>
          </cell>
          <cell r="AM142">
            <v>-4302.289393939398</v>
          </cell>
        </row>
        <row r="143">
          <cell r="S143">
            <v>0</v>
          </cell>
          <cell r="AG143">
            <v>0</v>
          </cell>
          <cell r="AK143">
            <v>865.25</v>
          </cell>
          <cell r="AL143">
            <v>16408.607142857141</v>
          </cell>
        </row>
        <row r="144">
          <cell r="AG144">
            <v>0</v>
          </cell>
        </row>
        <row r="145">
          <cell r="AG145">
            <v>0</v>
          </cell>
          <cell r="AJ145">
            <v>0</v>
          </cell>
          <cell r="AK145">
            <v>114910</v>
          </cell>
          <cell r="AL145">
            <v>55902</v>
          </cell>
          <cell r="AM145">
            <v>59008</v>
          </cell>
          <cell r="AN145">
            <v>0</v>
          </cell>
        </row>
        <row r="146">
          <cell r="AG146">
            <v>0</v>
          </cell>
          <cell r="AK146">
            <v>0</v>
          </cell>
        </row>
        <row r="147">
          <cell r="AG147">
            <v>0</v>
          </cell>
          <cell r="AJ147">
            <v>9.93</v>
          </cell>
          <cell r="AK147">
            <v>6.42</v>
          </cell>
          <cell r="AL147">
            <v>11.74</v>
          </cell>
          <cell r="AM147">
            <v>59008</v>
          </cell>
        </row>
        <row r="148">
          <cell r="AG148">
            <v>0</v>
          </cell>
          <cell r="AK148">
            <v>138664.61926406925</v>
          </cell>
          <cell r="AL148">
            <v>79656.619264069261</v>
          </cell>
          <cell r="AM148">
            <v>59008</v>
          </cell>
          <cell r="AN148">
            <v>1886</v>
          </cell>
          <cell r="AO148">
            <v>5095</v>
          </cell>
          <cell r="AP148">
            <v>3319.7203422122484</v>
          </cell>
          <cell r="AQ148">
            <v>8590.0725425024775</v>
          </cell>
        </row>
        <row r="149">
          <cell r="D149">
            <v>0</v>
          </cell>
          <cell r="L149">
            <v>0</v>
          </cell>
          <cell r="N149">
            <v>0</v>
          </cell>
          <cell r="R149">
            <v>0</v>
          </cell>
          <cell r="V149">
            <v>0</v>
          </cell>
          <cell r="AF149">
            <v>0</v>
          </cell>
          <cell r="AG149">
            <v>0</v>
          </cell>
          <cell r="AJ149">
            <v>0</v>
          </cell>
          <cell r="AK149">
            <v>-5.3</v>
          </cell>
          <cell r="AL149">
            <v>-5.2</v>
          </cell>
          <cell r="AM149">
            <v>-6.8</v>
          </cell>
        </row>
        <row r="150">
          <cell r="D150">
            <v>63</v>
          </cell>
          <cell r="L150">
            <v>396</v>
          </cell>
          <cell r="N150">
            <v>776</v>
          </cell>
          <cell r="R150">
            <v>527</v>
          </cell>
          <cell r="V150">
            <v>417</v>
          </cell>
          <cell r="Z150">
            <v>265</v>
          </cell>
          <cell r="AA150">
            <v>265</v>
          </cell>
          <cell r="AG150">
            <v>0</v>
          </cell>
          <cell r="AJ150">
            <v>2463</v>
          </cell>
          <cell r="AK150">
            <v>14.129249632100526</v>
          </cell>
          <cell r="AL150">
            <v>35.135537539544195</v>
          </cell>
          <cell r="AM150">
            <v>-6.7955610930302432</v>
          </cell>
        </row>
        <row r="151">
          <cell r="D151">
            <v>63</v>
          </cell>
          <cell r="L151">
            <v>145</v>
          </cell>
          <cell r="N151">
            <v>211</v>
          </cell>
          <cell r="R151">
            <v>226</v>
          </cell>
          <cell r="V151">
            <v>198</v>
          </cell>
          <cell r="Z151">
            <v>84</v>
          </cell>
          <cell r="AA151">
            <v>84</v>
          </cell>
          <cell r="AG151">
            <v>0</v>
          </cell>
          <cell r="AJ151">
            <v>946</v>
          </cell>
          <cell r="AL151">
            <v>16.65759499457743</v>
          </cell>
          <cell r="AM151">
            <v>35.546987951807232</v>
          </cell>
        </row>
        <row r="152">
          <cell r="L152">
            <v>283</v>
          </cell>
          <cell r="N152">
            <v>314</v>
          </cell>
          <cell r="R152">
            <v>263</v>
          </cell>
          <cell r="V152">
            <v>219</v>
          </cell>
          <cell r="Z152">
            <v>133</v>
          </cell>
          <cell r="AA152">
            <v>133</v>
          </cell>
          <cell r="AJ152">
            <v>1212</v>
          </cell>
        </row>
        <row r="153">
          <cell r="F153">
            <v>0</v>
          </cell>
          <cell r="L153">
            <v>72</v>
          </cell>
          <cell r="N153">
            <v>460</v>
          </cell>
          <cell r="P153">
            <v>0</v>
          </cell>
          <cell r="R153">
            <v>264</v>
          </cell>
          <cell r="S153">
            <v>0</v>
          </cell>
          <cell r="V153">
            <v>198</v>
          </cell>
          <cell r="X153">
            <v>0</v>
          </cell>
          <cell r="Z153">
            <v>121</v>
          </cell>
          <cell r="AA153">
            <v>121</v>
          </cell>
          <cell r="AC153">
            <v>0</v>
          </cell>
          <cell r="AI153">
            <v>0</v>
          </cell>
          <cell r="AJ153">
            <v>1115</v>
          </cell>
          <cell r="AK153">
            <v>0</v>
          </cell>
        </row>
        <row r="154">
          <cell r="F154">
            <v>63</v>
          </cell>
          <cell r="P154">
            <v>370</v>
          </cell>
          <cell r="S154">
            <v>719</v>
          </cell>
          <cell r="X154">
            <v>550</v>
          </cell>
          <cell r="AC154">
            <v>480</v>
          </cell>
          <cell r="AF154">
            <v>506</v>
          </cell>
          <cell r="AG154">
            <v>506</v>
          </cell>
          <cell r="AH154">
            <v>0</v>
          </cell>
          <cell r="AJ154">
            <v>0</v>
          </cell>
          <cell r="AK154">
            <v>2688</v>
          </cell>
        </row>
        <row r="155">
          <cell r="F155">
            <v>63</v>
          </cell>
          <cell r="L155">
            <v>0</v>
          </cell>
          <cell r="P155">
            <v>160</v>
          </cell>
          <cell r="S155">
            <v>215</v>
          </cell>
          <cell r="V155">
            <v>369</v>
          </cell>
          <cell r="X155">
            <v>225</v>
          </cell>
          <cell r="AC155">
            <v>250</v>
          </cell>
          <cell r="AF155">
            <v>300</v>
          </cell>
          <cell r="AG155">
            <v>300</v>
          </cell>
          <cell r="AH155">
            <v>0</v>
          </cell>
          <cell r="AJ155">
            <v>369</v>
          </cell>
          <cell r="AK155">
            <v>913</v>
          </cell>
        </row>
        <row r="156">
          <cell r="F156">
            <v>63</v>
          </cell>
          <cell r="L156">
            <v>0</v>
          </cell>
          <cell r="N156">
            <v>0</v>
          </cell>
          <cell r="P156">
            <v>40</v>
          </cell>
          <cell r="R156">
            <v>0</v>
          </cell>
          <cell r="S156">
            <v>93</v>
          </cell>
          <cell r="V156">
            <v>0</v>
          </cell>
          <cell r="X156">
            <v>49</v>
          </cell>
          <cell r="AC156">
            <v>65</v>
          </cell>
          <cell r="AF156">
            <v>30</v>
          </cell>
          <cell r="AG156">
            <v>30</v>
          </cell>
          <cell r="AH156">
            <v>0</v>
          </cell>
          <cell r="AI156">
            <v>125</v>
          </cell>
          <cell r="AJ156">
            <v>0</v>
          </cell>
          <cell r="AK156">
            <v>465</v>
          </cell>
        </row>
        <row r="157">
          <cell r="D157">
            <v>17.179166666666667</v>
          </cell>
          <cell r="L157">
            <v>502</v>
          </cell>
          <cell r="N157">
            <v>1041.8333333333333</v>
          </cell>
          <cell r="R157">
            <v>213</v>
          </cell>
          <cell r="AJ157">
            <v>1774.0124999999998</v>
          </cell>
          <cell r="AK157">
            <v>0</v>
          </cell>
        </row>
        <row r="158">
          <cell r="L158">
            <v>0</v>
          </cell>
          <cell r="N158">
            <v>0</v>
          </cell>
          <cell r="R158">
            <v>0</v>
          </cell>
          <cell r="AJ158">
            <v>0</v>
          </cell>
          <cell r="AK158">
            <v>0</v>
          </cell>
        </row>
        <row r="159">
          <cell r="D159">
            <v>0</v>
          </cell>
          <cell r="F159">
            <v>14.170833333333334</v>
          </cell>
          <cell r="L159">
            <v>396</v>
          </cell>
          <cell r="N159">
            <v>776</v>
          </cell>
          <cell r="R159">
            <v>527</v>
          </cell>
          <cell r="V159">
            <v>417</v>
          </cell>
          <cell r="Z159">
            <v>265</v>
          </cell>
          <cell r="AA159">
            <v>265</v>
          </cell>
          <cell r="AJ159">
            <v>2381</v>
          </cell>
          <cell r="AK159">
            <v>14.170833333333334</v>
          </cell>
        </row>
        <row r="160">
          <cell r="L160">
            <v>396</v>
          </cell>
          <cell r="N160">
            <v>776</v>
          </cell>
          <cell r="P160">
            <v>73</v>
          </cell>
          <cell r="R160">
            <v>527</v>
          </cell>
          <cell r="S160">
            <v>407</v>
          </cell>
          <cell r="V160">
            <v>417</v>
          </cell>
          <cell r="X160">
            <v>271.81818181818181</v>
          </cell>
          <cell r="AC160">
            <v>197</v>
          </cell>
          <cell r="AG160">
            <v>117.09090909090909</v>
          </cell>
          <cell r="AJ160">
            <v>2135</v>
          </cell>
          <cell r="AK160">
            <v>948.81818181818176</v>
          </cell>
        </row>
        <row r="161">
          <cell r="D161">
            <v>80</v>
          </cell>
          <cell r="F161">
            <v>-396</v>
          </cell>
          <cell r="L161">
            <v>0</v>
          </cell>
          <cell r="N161">
            <v>0</v>
          </cell>
          <cell r="R161">
            <v>0</v>
          </cell>
          <cell r="S161">
            <v>312</v>
          </cell>
          <cell r="V161">
            <v>0</v>
          </cell>
          <cell r="X161">
            <v>278.18181818181819</v>
          </cell>
          <cell r="AC161">
            <v>283</v>
          </cell>
          <cell r="AJ161">
            <v>80</v>
          </cell>
          <cell r="AK161">
            <v>477.18181818181819</v>
          </cell>
        </row>
        <row r="162">
          <cell r="L162">
            <v>0</v>
          </cell>
          <cell r="N162">
            <v>0</v>
          </cell>
          <cell r="R162">
            <v>1530</v>
          </cell>
          <cell r="S162">
            <v>719</v>
          </cell>
          <cell r="V162">
            <v>0</v>
          </cell>
          <cell r="X162">
            <v>550</v>
          </cell>
          <cell r="Z162">
            <v>0</v>
          </cell>
          <cell r="AA162">
            <v>0</v>
          </cell>
          <cell r="AC162">
            <v>480</v>
          </cell>
          <cell r="AJ162">
            <v>1530</v>
          </cell>
        </row>
        <row r="163">
          <cell r="F163">
            <v>459</v>
          </cell>
          <cell r="L163">
            <v>0</v>
          </cell>
          <cell r="P163">
            <v>0</v>
          </cell>
          <cell r="S163">
            <v>0</v>
          </cell>
          <cell r="X163">
            <v>0</v>
          </cell>
          <cell r="AC163">
            <v>0</v>
          </cell>
          <cell r="AJ163">
            <v>0</v>
          </cell>
          <cell r="AK163">
            <v>459</v>
          </cell>
        </row>
        <row r="164">
          <cell r="D164">
            <v>233</v>
          </cell>
          <cell r="E164">
            <v>0</v>
          </cell>
          <cell r="F164">
            <v>0</v>
          </cell>
          <cell r="L164">
            <v>432</v>
          </cell>
          <cell r="N164">
            <v>1983</v>
          </cell>
          <cell r="P164">
            <v>0</v>
          </cell>
          <cell r="Q164">
            <v>0</v>
          </cell>
          <cell r="R164">
            <v>123</v>
          </cell>
          <cell r="S164">
            <v>296</v>
          </cell>
          <cell r="T164">
            <v>0</v>
          </cell>
          <cell r="U164">
            <v>0</v>
          </cell>
          <cell r="V164">
            <v>99</v>
          </cell>
          <cell r="X164">
            <v>0</v>
          </cell>
          <cell r="Y164">
            <v>0</v>
          </cell>
          <cell r="Z164">
            <v>74</v>
          </cell>
          <cell r="AA164">
            <v>74</v>
          </cell>
          <cell r="AC164">
            <v>444</v>
          </cell>
          <cell r="AF164">
            <v>0</v>
          </cell>
          <cell r="AG164">
            <v>0</v>
          </cell>
          <cell r="AH164">
            <v>0</v>
          </cell>
          <cell r="AJ164">
            <v>2956</v>
          </cell>
          <cell r="AK164">
            <v>1365</v>
          </cell>
        </row>
        <row r="165">
          <cell r="D165">
            <v>357.72727272727275</v>
          </cell>
          <cell r="E165">
            <v>126</v>
          </cell>
          <cell r="F165">
            <v>231.72727272727275</v>
          </cell>
          <cell r="L165">
            <v>725.72727272727275</v>
          </cell>
          <cell r="M165">
            <v>674</v>
          </cell>
          <cell r="N165">
            <v>1684.4545454545455</v>
          </cell>
          <cell r="O165">
            <v>933</v>
          </cell>
          <cell r="P165">
            <v>715.32272727272721</v>
          </cell>
          <cell r="Q165">
            <v>969.13181818181829</v>
          </cell>
          <cell r="R165">
            <v>653.90909090909099</v>
          </cell>
          <cell r="S165">
            <v>613</v>
          </cell>
          <cell r="T165">
            <v>280</v>
          </cell>
          <cell r="U165">
            <v>373.90909090909093</v>
          </cell>
          <cell r="V165">
            <v>578.63636363636363</v>
          </cell>
          <cell r="W165">
            <v>494</v>
          </cell>
          <cell r="X165">
            <v>221</v>
          </cell>
          <cell r="Y165">
            <v>319.63636363636363</v>
          </cell>
          <cell r="Z165">
            <v>1439.5454545454545</v>
          </cell>
          <cell r="AA165">
            <v>1439.5454545454545</v>
          </cell>
          <cell r="AB165">
            <v>0</v>
          </cell>
          <cell r="AC165">
            <v>1329</v>
          </cell>
          <cell r="AD165">
            <v>1329</v>
          </cell>
          <cell r="AE165">
            <v>0</v>
          </cell>
          <cell r="AF165">
            <v>363</v>
          </cell>
          <cell r="AG165">
            <v>0</v>
          </cell>
          <cell r="AH165">
            <v>0</v>
          </cell>
          <cell r="AI165">
            <v>0</v>
          </cell>
          <cell r="AJ165">
            <v>5717.909090909091</v>
          </cell>
          <cell r="AK165">
            <v>1470.818181818182</v>
          </cell>
          <cell r="AL165">
            <v>3846.090909090909</v>
          </cell>
        </row>
        <row r="166">
          <cell r="D166">
            <v>1888.0000000000002</v>
          </cell>
          <cell r="E166">
            <v>-130</v>
          </cell>
          <cell r="F166">
            <v>-242.72727272727275</v>
          </cell>
          <cell r="L166">
            <v>480.00000000000023</v>
          </cell>
          <cell r="M166">
            <v>-675</v>
          </cell>
          <cell r="N166">
            <v>3817.9999999999986</v>
          </cell>
          <cell r="O166">
            <v>-953</v>
          </cell>
          <cell r="P166">
            <v>20079.88</v>
          </cell>
          <cell r="Q166">
            <v>2082.1200000000003</v>
          </cell>
          <cell r="R166">
            <v>61.999999999997272</v>
          </cell>
          <cell r="S166">
            <v>-1451</v>
          </cell>
          <cell r="T166">
            <v>-711</v>
          </cell>
          <cell r="U166">
            <v>-931.90909090909099</v>
          </cell>
          <cell r="V166">
            <v>177.9999999999967</v>
          </cell>
          <cell r="W166">
            <v>1199</v>
          </cell>
          <cell r="X166">
            <v>-238</v>
          </cell>
          <cell r="Y166">
            <v>-343.63636363636363</v>
          </cell>
          <cell r="Z166">
            <v>1327.3333333333333</v>
          </cell>
          <cell r="AA166">
            <v>749</v>
          </cell>
          <cell r="AB166">
            <v>578.33333333333337</v>
          </cell>
          <cell r="AC166" t="e">
            <v>#VALUE!</v>
          </cell>
          <cell r="AD166">
            <v>1463</v>
          </cell>
          <cell r="AE166">
            <v>0</v>
          </cell>
          <cell r="AF166">
            <v>-965</v>
          </cell>
          <cell r="AG166">
            <v>0</v>
          </cell>
          <cell r="AH166">
            <v>0</v>
          </cell>
          <cell r="AI166">
            <v>0</v>
          </cell>
          <cell r="AJ166">
            <v>-12895.109090909093</v>
          </cell>
          <cell r="AK166">
            <v>-1983.818181818182</v>
          </cell>
          <cell r="AL166">
            <v>-2541.2909090909088</v>
          </cell>
        </row>
        <row r="167">
          <cell r="D167">
            <v>17</v>
          </cell>
          <cell r="E167">
            <v>4</v>
          </cell>
          <cell r="F167">
            <v>11</v>
          </cell>
          <cell r="L167">
            <v>61</v>
          </cell>
          <cell r="M167">
            <v>1</v>
          </cell>
          <cell r="N167">
            <v>29</v>
          </cell>
          <cell r="O167">
            <v>20</v>
          </cell>
          <cell r="P167">
            <v>22</v>
          </cell>
          <cell r="Q167">
            <v>0</v>
          </cell>
          <cell r="R167">
            <v>1017</v>
          </cell>
          <cell r="S167">
            <v>838</v>
          </cell>
          <cell r="T167">
            <v>431</v>
          </cell>
          <cell r="U167">
            <v>558</v>
          </cell>
          <cell r="V167">
            <v>41</v>
          </cell>
          <cell r="W167">
            <v>7</v>
          </cell>
          <cell r="X167">
            <v>17</v>
          </cell>
          <cell r="Y167">
            <v>24</v>
          </cell>
          <cell r="Z167">
            <v>12.333333333333334</v>
          </cell>
          <cell r="AA167">
            <v>0</v>
          </cell>
          <cell r="AB167">
            <v>12.333333333333334</v>
          </cell>
          <cell r="AC167">
            <v>28</v>
          </cell>
          <cell r="AD167">
            <v>0</v>
          </cell>
          <cell r="AE167">
            <v>0</v>
          </cell>
          <cell r="AF167">
            <v>7</v>
          </cell>
          <cell r="AG167">
            <v>0</v>
          </cell>
          <cell r="AH167">
            <v>0</v>
          </cell>
          <cell r="AI167">
            <v>0</v>
          </cell>
          <cell r="AJ167">
            <v>1144.2</v>
          </cell>
          <cell r="AK167">
            <v>513</v>
          </cell>
          <cell r="AL167">
            <v>587.20000000000005</v>
          </cell>
        </row>
        <row r="168">
          <cell r="F168">
            <v>0</v>
          </cell>
          <cell r="P168">
            <v>2000</v>
          </cell>
          <cell r="S168">
            <v>2000</v>
          </cell>
          <cell r="AC168">
            <v>1000</v>
          </cell>
          <cell r="AF168">
            <v>100</v>
          </cell>
          <cell r="AG168">
            <v>100</v>
          </cell>
          <cell r="AK168">
            <v>5100</v>
          </cell>
        </row>
        <row r="169">
          <cell r="AK169">
            <v>0</v>
          </cell>
        </row>
        <row r="170">
          <cell r="F170">
            <v>5733.333333333333</v>
          </cell>
          <cell r="AC170">
            <v>200</v>
          </cell>
          <cell r="AK170">
            <v>5933.333333333333</v>
          </cell>
        </row>
        <row r="171">
          <cell r="F171">
            <v>592</v>
          </cell>
          <cell r="P171">
            <v>964</v>
          </cell>
          <cell r="Q171">
            <v>0</v>
          </cell>
          <cell r="R171">
            <v>0</v>
          </cell>
          <cell r="S171">
            <v>2067</v>
          </cell>
          <cell r="T171">
            <v>549.83999999999992</v>
          </cell>
          <cell r="U171">
            <v>572.16000000000008</v>
          </cell>
          <cell r="V171">
            <v>0</v>
          </cell>
          <cell r="W171">
            <v>0</v>
          </cell>
          <cell r="X171">
            <v>836</v>
          </cell>
          <cell r="AA171">
            <v>0</v>
          </cell>
          <cell r="AB171">
            <v>0</v>
          </cell>
          <cell r="AC171">
            <v>658</v>
          </cell>
          <cell r="AF171">
            <v>1973</v>
          </cell>
          <cell r="AG171">
            <v>1761.2545454545452</v>
          </cell>
          <cell r="AH171">
            <v>211.74545454545455</v>
          </cell>
          <cell r="AJ171">
            <v>0</v>
          </cell>
          <cell r="AK171">
            <v>7270.2545454545452</v>
          </cell>
          <cell r="AN171">
            <v>194</v>
          </cell>
          <cell r="AO171">
            <v>566</v>
          </cell>
          <cell r="AP171">
            <v>773</v>
          </cell>
          <cell r="AQ171">
            <v>1666.3454545454542</v>
          </cell>
        </row>
        <row r="172">
          <cell r="F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O174">
            <v>1507.2</v>
          </cell>
        </row>
        <row r="175">
          <cell r="AN175" t="str">
            <v>ОЧИК.18.02.</v>
          </cell>
        </row>
        <row r="178">
          <cell r="F178" t="str">
            <v>АПАРАТ ВСЬОГО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P183">
            <v>0</v>
          </cell>
          <cell r="S183">
            <v>0</v>
          </cell>
          <cell r="X183">
            <v>0</v>
          </cell>
          <cell r="AC183">
            <v>0</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AK186">
            <v>46778</v>
          </cell>
        </row>
        <row r="187">
          <cell r="X187">
            <v>0</v>
          </cell>
          <cell r="AC187">
            <v>0</v>
          </cell>
          <cell r="AK187">
            <v>0</v>
          </cell>
        </row>
        <row r="188">
          <cell r="X188">
            <v>0</v>
          </cell>
          <cell r="AC188">
            <v>0</v>
          </cell>
          <cell r="AK188">
            <v>0</v>
          </cell>
        </row>
        <row r="189">
          <cell r="X189">
            <v>82.5</v>
          </cell>
          <cell r="AC189">
            <v>82.5</v>
          </cell>
          <cell r="AO189" t="e">
            <v>#REF!</v>
          </cell>
        </row>
        <row r="190">
          <cell r="X190">
            <v>0</v>
          </cell>
          <cell r="AC190">
            <v>0</v>
          </cell>
          <cell r="AK190">
            <v>0</v>
          </cell>
          <cell r="AN190" t="str">
            <v>ОЧИК.18.02.</v>
          </cell>
        </row>
        <row r="191">
          <cell r="S191">
            <v>0</v>
          </cell>
          <cell r="X191">
            <v>0</v>
          </cell>
          <cell r="AC191">
            <v>0</v>
          </cell>
          <cell r="AK191">
            <v>0</v>
          </cell>
        </row>
        <row r="193">
          <cell r="D193" t="str">
            <v>АПАРАТ ВСЬОГО</v>
          </cell>
          <cell r="E193" t="str">
            <v>АПАРАТ ЕЛЕКТРО</v>
          </cell>
          <cell r="F193" t="str">
            <v>АПАРАТ ТЕПЛО</v>
          </cell>
          <cell r="L193" t="str">
            <v>ККМ</v>
          </cell>
          <cell r="N193" t="str">
            <v>КТМ</v>
          </cell>
          <cell r="R193" t="str">
            <v>ТЕЦ-5 ВСЬОГО</v>
          </cell>
          <cell r="T193" t="str">
            <v>Е/Е</v>
          </cell>
          <cell r="U193" t="str">
            <v xml:space="preserve"> Т/Е</v>
          </cell>
          <cell r="V193" t="str">
            <v>ТЕЦ-6 ВСЬОГО</v>
          </cell>
          <cell r="X193" t="str">
            <v>Е/Е</v>
          </cell>
          <cell r="Y193" t="str">
            <v xml:space="preserve"> Т/Е</v>
          </cell>
          <cell r="AC193">
            <v>36.700000000000003</v>
          </cell>
          <cell r="AF193" t="str">
            <v xml:space="preserve">ДОП.ВИР. </v>
          </cell>
          <cell r="AG193" t="str">
            <v>ДОП.ВИР. СТ.ОРГ.</v>
          </cell>
          <cell r="AJ193" t="str">
            <v>АК КЕ ВСЬОГО</v>
          </cell>
          <cell r="AK193" t="str">
            <v>Е/Е</v>
          </cell>
          <cell r="AL193" t="str">
            <v xml:space="preserve"> Т/Е</v>
          </cell>
          <cell r="AN193" t="str">
            <v>СТАНЦІї ЕЛЕКТРО</v>
          </cell>
          <cell r="AO193" t="str">
            <v>СТАНЦІІ ТЕПЛОВІ</v>
          </cell>
          <cell r="AP193" t="str">
            <v>МЕРЕЖІ ЕЛЕКТРО</v>
          </cell>
          <cell r="AQ193" t="str">
            <v>МЕРЕЖІ ТЕПЛОВІ</v>
          </cell>
        </row>
        <row r="194">
          <cell r="D194">
            <v>2.78</v>
          </cell>
          <cell r="N194">
            <v>3.427</v>
          </cell>
          <cell r="P194">
            <v>3.427</v>
          </cell>
          <cell r="Q194">
            <v>3.427</v>
          </cell>
          <cell r="R194">
            <v>3.427</v>
          </cell>
          <cell r="T194">
            <v>3.427</v>
          </cell>
          <cell r="U194">
            <v>3.427</v>
          </cell>
          <cell r="V194">
            <v>3.427</v>
          </cell>
          <cell r="X194">
            <v>3.427</v>
          </cell>
          <cell r="Y194">
            <v>3.427</v>
          </cell>
          <cell r="AA194">
            <v>3.427</v>
          </cell>
          <cell r="AC194">
            <v>50.6</v>
          </cell>
          <cell r="AF194">
            <v>3.427</v>
          </cell>
          <cell r="AG194">
            <v>3.427</v>
          </cell>
          <cell r="AH194">
            <v>3.427</v>
          </cell>
          <cell r="AI194">
            <v>3.427</v>
          </cell>
          <cell r="AJ194">
            <v>3.427</v>
          </cell>
          <cell r="AK194">
            <v>112.5</v>
          </cell>
          <cell r="AN194">
            <v>2.1804999999999999</v>
          </cell>
          <cell r="AO194">
            <v>2.1804999999999999</v>
          </cell>
          <cell r="AP194">
            <v>2.1804999999999999</v>
          </cell>
          <cell r="AQ194">
            <v>1.905</v>
          </cell>
        </row>
        <row r="195">
          <cell r="F195">
            <v>75</v>
          </cell>
          <cell r="P195">
            <v>75</v>
          </cell>
          <cell r="AJ195">
            <v>0</v>
          </cell>
          <cell r="AN195" t="e">
            <v>#DIV/0!</v>
          </cell>
          <cell r="AQ195">
            <v>75</v>
          </cell>
        </row>
        <row r="196">
          <cell r="N196">
            <v>112.4</v>
          </cell>
          <cell r="R196">
            <v>81.3</v>
          </cell>
          <cell r="S196">
            <v>653</v>
          </cell>
          <cell r="V196">
            <v>66</v>
          </cell>
          <cell r="X196">
            <v>653</v>
          </cell>
          <cell r="AC196">
            <v>653</v>
          </cell>
          <cell r="AJ196">
            <v>259.70000000000005</v>
          </cell>
          <cell r="AK196">
            <v>653</v>
          </cell>
          <cell r="AN196">
            <v>221.49122807017542</v>
          </cell>
        </row>
        <row r="197">
          <cell r="N197">
            <v>129.19999999999999</v>
          </cell>
          <cell r="R197">
            <v>93.5</v>
          </cell>
          <cell r="S197">
            <v>0</v>
          </cell>
          <cell r="V197">
            <v>75.900000000000006</v>
          </cell>
          <cell r="X197">
            <v>29254</v>
          </cell>
          <cell r="AC197">
            <v>23966</v>
          </cell>
          <cell r="AJ197">
            <v>298.60000000000002</v>
          </cell>
          <cell r="AK197">
            <v>53220</v>
          </cell>
          <cell r="AN197">
            <v>252.49999999999997</v>
          </cell>
        </row>
        <row r="198">
          <cell r="L198">
            <v>0</v>
          </cell>
          <cell r="AK198">
            <v>53220</v>
          </cell>
          <cell r="AN198">
            <v>66</v>
          </cell>
        </row>
        <row r="199">
          <cell r="L199">
            <v>0</v>
          </cell>
          <cell r="N199">
            <v>141.5</v>
          </cell>
          <cell r="R199">
            <v>141.5</v>
          </cell>
          <cell r="S199">
            <v>114.9</v>
          </cell>
          <cell r="V199">
            <v>141.5</v>
          </cell>
          <cell r="W199">
            <v>178</v>
          </cell>
          <cell r="X199">
            <v>153.5</v>
          </cell>
          <cell r="Y199">
            <v>66.599999999999994</v>
          </cell>
          <cell r="Z199">
            <v>178</v>
          </cell>
          <cell r="AA199">
            <v>141.5</v>
          </cell>
          <cell r="AB199">
            <v>141.5</v>
          </cell>
          <cell r="AC199">
            <v>141.5</v>
          </cell>
          <cell r="AD199">
            <v>178</v>
          </cell>
          <cell r="AE199">
            <v>76.300000000000011</v>
          </cell>
          <cell r="AF199">
            <v>178</v>
          </cell>
          <cell r="AG199">
            <v>178</v>
          </cell>
          <cell r="AI199">
            <v>178</v>
          </cell>
          <cell r="AJ199">
            <v>141.5</v>
          </cell>
          <cell r="AK199">
            <v>391.79999999999995</v>
          </cell>
          <cell r="AL199">
            <v>113.69999999999999</v>
          </cell>
          <cell r="AM199">
            <v>178</v>
          </cell>
          <cell r="AN199">
            <v>178</v>
          </cell>
          <cell r="AO199">
            <v>74.900000000000006</v>
          </cell>
          <cell r="AP199">
            <v>281.5</v>
          </cell>
        </row>
        <row r="200">
          <cell r="N200">
            <v>15905</v>
          </cell>
          <cell r="R200">
            <v>11504</v>
          </cell>
          <cell r="S200">
            <v>19250</v>
          </cell>
          <cell r="V200">
            <v>9339</v>
          </cell>
          <cell r="X200">
            <v>44597</v>
          </cell>
          <cell r="Y200">
            <v>30041.25</v>
          </cell>
          <cell r="Z200">
            <v>14555.750000000002</v>
          </cell>
          <cell r="AA200">
            <v>14555.750000000004</v>
          </cell>
          <cell r="AC200">
            <v>36151</v>
          </cell>
          <cell r="AD200">
            <v>22308.272727272721</v>
          </cell>
          <cell r="AE200">
            <v>13842.727272727279</v>
          </cell>
          <cell r="AJ200">
            <v>36748</v>
          </cell>
          <cell r="AK200">
            <v>99998</v>
          </cell>
          <cell r="AL200">
            <v>52349.522727272721</v>
          </cell>
          <cell r="AM200">
            <v>47648.477272727279</v>
          </cell>
          <cell r="AN200">
            <v>39425</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v>36748</v>
          </cell>
          <cell r="AK201">
            <v>255.23</v>
          </cell>
          <cell r="AL201">
            <v>460.42</v>
          </cell>
          <cell r="AM201">
            <v>171.34</v>
          </cell>
          <cell r="AN201">
            <v>41.55</v>
          </cell>
          <cell r="AO201">
            <v>41.55</v>
          </cell>
          <cell r="AP201">
            <v>41.55</v>
          </cell>
          <cell r="AQ201" t="str">
            <v/>
          </cell>
        </row>
        <row r="202">
          <cell r="N202">
            <v>0</v>
          </cell>
          <cell r="R202">
            <v>0</v>
          </cell>
          <cell r="V202">
            <v>0</v>
          </cell>
          <cell r="AJ202">
            <v>0</v>
          </cell>
          <cell r="AM202">
            <v>0</v>
          </cell>
          <cell r="AN202">
            <v>52</v>
          </cell>
          <cell r="AO202">
            <v>52</v>
          </cell>
        </row>
        <row r="203">
          <cell r="N203">
            <v>0</v>
          </cell>
          <cell r="R203">
            <v>0</v>
          </cell>
          <cell r="V203">
            <v>0</v>
          </cell>
          <cell r="X203">
            <v>44597</v>
          </cell>
          <cell r="AC203">
            <v>36151</v>
          </cell>
          <cell r="AJ203">
            <v>0</v>
          </cell>
          <cell r="AK203">
            <v>99998</v>
          </cell>
          <cell r="AL203">
            <v>52349.522727272721</v>
          </cell>
          <cell r="AM203">
            <v>47648.477272727279</v>
          </cell>
          <cell r="AN203">
            <v>14862</v>
          </cell>
          <cell r="AO203">
            <v>3164.427048260382</v>
          </cell>
          <cell r="AP203">
            <v>11697.572951739618</v>
          </cell>
        </row>
        <row r="205">
          <cell r="N205">
            <v>141.5</v>
          </cell>
          <cell r="R205">
            <v>141.5</v>
          </cell>
          <cell r="V205">
            <v>141.5</v>
          </cell>
          <cell r="AJ205">
            <v>141.5</v>
          </cell>
          <cell r="AK205">
            <v>99998</v>
          </cell>
        </row>
        <row r="206">
          <cell r="N206">
            <v>0</v>
          </cell>
          <cell r="R206">
            <v>0</v>
          </cell>
          <cell r="V206">
            <v>0</v>
          </cell>
          <cell r="AJ206">
            <v>0</v>
          </cell>
        </row>
        <row r="207">
          <cell r="AJ207">
            <v>0</v>
          </cell>
        </row>
        <row r="208">
          <cell r="N208">
            <v>0</v>
          </cell>
          <cell r="R208">
            <v>61.9</v>
          </cell>
          <cell r="V208">
            <v>48.8</v>
          </cell>
          <cell r="AJ208">
            <v>110.69999999999999</v>
          </cell>
          <cell r="AN208">
            <v>75.839416058394164</v>
          </cell>
        </row>
        <row r="209">
          <cell r="N209">
            <v>0</v>
          </cell>
          <cell r="R209">
            <v>85.5</v>
          </cell>
          <cell r="V209">
            <v>67.400000000000006</v>
          </cell>
          <cell r="AJ209">
            <v>152.9</v>
          </cell>
          <cell r="AN209">
            <v>103.9</v>
          </cell>
        </row>
        <row r="210">
          <cell r="D210">
            <v>75</v>
          </cell>
          <cell r="L210">
            <v>75</v>
          </cell>
          <cell r="N210">
            <v>82</v>
          </cell>
          <cell r="R210">
            <v>82</v>
          </cell>
          <cell r="V210">
            <v>82</v>
          </cell>
          <cell r="AG210">
            <v>0</v>
          </cell>
          <cell r="AJ210">
            <v>82</v>
          </cell>
          <cell r="AN210">
            <v>89.557440953909662</v>
          </cell>
          <cell r="AQ210">
            <v>75</v>
          </cell>
        </row>
        <row r="211">
          <cell r="N211">
            <v>500</v>
          </cell>
          <cell r="P211">
            <v>0</v>
          </cell>
          <cell r="Q211">
            <v>0</v>
          </cell>
          <cell r="R211">
            <v>500</v>
          </cell>
          <cell r="S211">
            <v>500</v>
          </cell>
          <cell r="V211">
            <v>500</v>
          </cell>
          <cell r="W211">
            <v>458</v>
          </cell>
          <cell r="Z211">
            <v>458</v>
          </cell>
          <cell r="AA211">
            <v>458</v>
          </cell>
          <cell r="AB211">
            <v>458</v>
          </cell>
          <cell r="AC211">
            <v>458</v>
          </cell>
          <cell r="AD211">
            <v>458</v>
          </cell>
          <cell r="AF211">
            <v>458</v>
          </cell>
          <cell r="AG211">
            <v>458</v>
          </cell>
          <cell r="AI211">
            <v>458</v>
          </cell>
          <cell r="AJ211">
            <v>500</v>
          </cell>
          <cell r="AN211">
            <v>195.28</v>
          </cell>
        </row>
        <row r="212">
          <cell r="N212">
            <v>0</v>
          </cell>
          <cell r="R212">
            <v>30950</v>
          </cell>
          <cell r="V212">
            <v>24400</v>
          </cell>
          <cell r="AJ212">
            <v>55350</v>
          </cell>
          <cell r="AN212">
            <v>14810</v>
          </cell>
        </row>
        <row r="214">
          <cell r="N214">
            <v>129.19999999999999</v>
          </cell>
          <cell r="R214">
            <v>179</v>
          </cell>
          <cell r="T214">
            <v>76.5</v>
          </cell>
          <cell r="U214">
            <v>102.5</v>
          </cell>
          <cell r="V214">
            <v>143.30000000000001</v>
          </cell>
          <cell r="X214">
            <v>58.3</v>
          </cell>
          <cell r="Y214">
            <v>85.000000000000014</v>
          </cell>
          <cell r="AJ214">
            <v>451.5</v>
          </cell>
          <cell r="AK214">
            <v>134.80000000000001</v>
          </cell>
          <cell r="AL214">
            <v>316.7</v>
          </cell>
          <cell r="AN214">
            <v>356.4</v>
          </cell>
          <cell r="AO214">
            <v>74.900000000000006</v>
          </cell>
          <cell r="AP214">
            <v>281.5</v>
          </cell>
        </row>
        <row r="215">
          <cell r="N215">
            <v>15905</v>
          </cell>
          <cell r="R215">
            <v>42454</v>
          </cell>
          <cell r="T215">
            <v>27692</v>
          </cell>
          <cell r="U215">
            <v>14762</v>
          </cell>
          <cell r="V215">
            <v>33739</v>
          </cell>
          <cell r="X215">
            <v>21106</v>
          </cell>
          <cell r="Y215">
            <v>12633</v>
          </cell>
          <cell r="AJ215">
            <v>92098</v>
          </cell>
          <cell r="AK215">
            <v>48798</v>
          </cell>
          <cell r="AL215">
            <v>43300</v>
          </cell>
          <cell r="AN215">
            <v>54235</v>
          </cell>
          <cell r="AO215">
            <v>11397.871773288442</v>
          </cell>
          <cell r="AP215">
            <v>42837.12822671156</v>
          </cell>
        </row>
        <row r="216">
          <cell r="N216">
            <v>123.1</v>
          </cell>
          <cell r="R216">
            <v>237.17</v>
          </cell>
          <cell r="T216">
            <v>361.99</v>
          </cell>
          <cell r="U216">
            <v>144.02000000000001</v>
          </cell>
          <cell r="V216">
            <v>235.44</v>
          </cell>
          <cell r="X216">
            <v>362.02</v>
          </cell>
          <cell r="Y216">
            <v>148.62</v>
          </cell>
          <cell r="AF216" t="str">
            <v/>
          </cell>
          <cell r="AG216" t="str">
            <v/>
          </cell>
          <cell r="AJ216">
            <v>203.98</v>
          </cell>
          <cell r="AK216">
            <v>362</v>
          </cell>
          <cell r="AL216">
            <v>136.72</v>
          </cell>
          <cell r="AN216">
            <v>152.16999999999999</v>
          </cell>
          <cell r="AO216">
            <v>152.16999999999999</v>
          </cell>
          <cell r="AP216">
            <v>152.16999999999999</v>
          </cell>
          <cell r="AQ216" t="str">
            <v/>
          </cell>
        </row>
        <row r="217">
          <cell r="AJ217">
            <v>0</v>
          </cell>
          <cell r="AK217">
            <v>0</v>
          </cell>
          <cell r="AL217">
            <v>0</v>
          </cell>
          <cell r="AN217">
            <v>52</v>
          </cell>
          <cell r="AO217">
            <v>52</v>
          </cell>
        </row>
        <row r="218">
          <cell r="R218">
            <v>42455</v>
          </cell>
          <cell r="V218">
            <v>33739</v>
          </cell>
          <cell r="AJ218">
            <v>92098</v>
          </cell>
          <cell r="AK218">
            <v>48798</v>
          </cell>
          <cell r="AL218">
            <v>43300</v>
          </cell>
          <cell r="AN218">
            <v>54287</v>
          </cell>
          <cell r="AO218">
            <v>11449.871773288442</v>
          </cell>
          <cell r="AP218">
            <v>42837.12822671156</v>
          </cell>
        </row>
        <row r="221">
          <cell r="AJ221">
            <v>92098</v>
          </cell>
          <cell r="AO221">
            <v>1507.2</v>
          </cell>
        </row>
        <row r="236">
          <cell r="AG236" t="str">
            <v xml:space="preserve">         Затверджую</v>
          </cell>
        </row>
        <row r="237">
          <cell r="AG237" t="str">
            <v xml:space="preserve"> Голова правління </v>
          </cell>
        </row>
        <row r="238">
          <cell r="AG238" t="str">
            <v xml:space="preserve">                        І.В.Плачков</v>
          </cell>
        </row>
        <row r="239">
          <cell r="D239" t="str">
            <v>ВИКОН.ДИР.</v>
          </cell>
          <cell r="L239" t="str">
            <v>ККМ</v>
          </cell>
          <cell r="N239" t="str">
            <v>КТМ</v>
          </cell>
          <cell r="R239" t="str">
            <v>ТЕЦ-5 ВСЬОГО</v>
          </cell>
          <cell r="V239" t="str">
            <v>ТЕЦ-6 ВСЬОГО</v>
          </cell>
          <cell r="AA239" t="str">
            <v>ТРМ ВСЬОГО</v>
          </cell>
          <cell r="AG239" t="str">
            <v xml:space="preserve">   "_____" ________2000 р.</v>
          </cell>
        </row>
        <row r="240">
          <cell r="D240">
            <v>3546.727272727273</v>
          </cell>
          <cell r="L240">
            <v>2094.727272727273</v>
          </cell>
          <cell r="N240">
            <v>8290.4545454545441</v>
          </cell>
          <cell r="R240">
            <v>2382.9090909090883</v>
          </cell>
          <cell r="V240">
            <v>-72</v>
          </cell>
          <cell r="AA240">
            <v>2527.5454545454545</v>
          </cell>
        </row>
        <row r="242">
          <cell r="D242">
            <v>9597.141363636365</v>
          </cell>
          <cell r="L242">
            <v>2094.727272727273</v>
          </cell>
          <cell r="N242">
            <v>8290.4545454545441</v>
          </cell>
          <cell r="R242">
            <v>2382.9090909090883</v>
          </cell>
          <cell r="V242">
            <v>-72</v>
          </cell>
          <cell r="AA242">
            <v>2527.5454545454545</v>
          </cell>
        </row>
        <row r="243">
          <cell r="D243">
            <v>4089.3529545454548</v>
          </cell>
          <cell r="F243" t="str">
            <v>РОЗРАХУНОК ФІНАНСОВИХ ПОТОКІВ НА   лютий  2000 року</v>
          </cell>
          <cell r="L243">
            <v>645.68000000000029</v>
          </cell>
          <cell r="N243">
            <v>3164.8333333333326</v>
          </cell>
          <cell r="R243">
            <v>1767.9999999999977</v>
          </cell>
          <cell r="V243">
            <v>36754.003030303029</v>
          </cell>
          <cell r="AA243">
            <v>655.5333333333333</v>
          </cell>
        </row>
        <row r="244">
          <cell r="D244">
            <v>58857.621136363639</v>
          </cell>
          <cell r="F244" t="str">
            <v>ПО ФІЛІАЛАХ АК КИЇВЕНЕРГО</v>
          </cell>
          <cell r="L244">
            <v>0</v>
          </cell>
          <cell r="N244">
            <v>0</v>
          </cell>
          <cell r="R244">
            <v>0</v>
          </cell>
          <cell r="V244">
            <v>35616.63636363636</v>
          </cell>
          <cell r="AA244">
            <v>0</v>
          </cell>
        </row>
        <row r="245">
          <cell r="D245">
            <v>48798</v>
          </cell>
        </row>
        <row r="246">
          <cell r="D246">
            <v>0</v>
          </cell>
        </row>
        <row r="247">
          <cell r="D247">
            <v>5266</v>
          </cell>
          <cell r="L247">
            <v>0</v>
          </cell>
          <cell r="N247">
            <v>0</v>
          </cell>
          <cell r="R247">
            <v>0</v>
          </cell>
          <cell r="V247">
            <v>35616.63636363636</v>
          </cell>
          <cell r="AA247">
            <v>0</v>
          </cell>
        </row>
        <row r="248">
          <cell r="D248">
            <v>0</v>
          </cell>
        </row>
        <row r="249">
          <cell r="D249">
            <v>0</v>
          </cell>
          <cell r="AI249" t="str">
            <v>ТИС.ГРН.</v>
          </cell>
          <cell r="AK249" t="str">
            <v>тис.грн.</v>
          </cell>
        </row>
        <row r="250">
          <cell r="D250">
            <v>0</v>
          </cell>
          <cell r="F250" t="str">
            <v>ВИКОН.ДИР.</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D251">
            <v>3500</v>
          </cell>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2">
          <cell r="D252">
            <v>0</v>
          </cell>
        </row>
        <row r="253">
          <cell r="D253">
            <v>1766</v>
          </cell>
          <cell r="F253">
            <v>40160.608095238102</v>
          </cell>
          <cell r="L253">
            <v>0</v>
          </cell>
          <cell r="N253">
            <v>0</v>
          </cell>
          <cell r="P253">
            <v>2175</v>
          </cell>
          <cell r="Q253">
            <v>0</v>
          </cell>
          <cell r="R253">
            <v>0</v>
          </cell>
          <cell r="S253">
            <v>7897</v>
          </cell>
          <cell r="T253">
            <v>4513.5299999999988</v>
          </cell>
          <cell r="U253">
            <v>1480.47</v>
          </cell>
          <cell r="V253">
            <v>35616.63636363636</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D254">
            <v>4731.6211363636376</v>
          </cell>
          <cell r="F254">
            <v>31766.748095238101</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D255">
            <v>62</v>
          </cell>
          <cell r="F255">
            <v>118194.27476190477</v>
          </cell>
          <cell r="L255">
            <v>0</v>
          </cell>
          <cell r="N255">
            <v>0</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D256">
            <v>62404.348409090911</v>
          </cell>
          <cell r="F256">
            <v>99998</v>
          </cell>
          <cell r="L256">
            <v>2094.727272727273</v>
          </cell>
          <cell r="N256">
            <v>8290.4545454545441</v>
          </cell>
          <cell r="R256">
            <v>2382.9090909090883</v>
          </cell>
          <cell r="V256">
            <v>35544.63636363636</v>
          </cell>
          <cell r="AA256">
            <v>2527.5454545454545</v>
          </cell>
          <cell r="AK256">
            <v>99998</v>
          </cell>
        </row>
        <row r="257">
          <cell r="D257">
            <v>1362.1672727272726</v>
          </cell>
          <cell r="F257">
            <v>0</v>
          </cell>
          <cell r="L257">
            <v>1781.0472727272727</v>
          </cell>
          <cell r="N257">
            <v>6107.621212121212</v>
          </cell>
          <cell r="R257">
            <v>1817.909090909091</v>
          </cell>
          <cell r="V257">
            <v>35634.829696969697</v>
          </cell>
          <cell r="AA257">
            <v>2055.0121212121212</v>
          </cell>
          <cell r="AK257">
            <v>0</v>
          </cell>
        </row>
        <row r="258">
          <cell r="D258">
            <v>357.72727272727275</v>
          </cell>
          <cell r="F258">
            <v>11812.941428571428</v>
          </cell>
          <cell r="L258">
            <v>725.72727272727275</v>
          </cell>
          <cell r="N258">
            <v>1684.4545454545455</v>
          </cell>
          <cell r="P258">
            <v>0</v>
          </cell>
          <cell r="Q258">
            <v>0</v>
          </cell>
          <cell r="R258">
            <v>653.90909090909099</v>
          </cell>
          <cell r="S258">
            <v>0</v>
          </cell>
          <cell r="T258">
            <v>0</v>
          </cell>
          <cell r="U258">
            <v>0</v>
          </cell>
          <cell r="V258">
            <v>1465.6363636363635</v>
          </cell>
          <cell r="W258">
            <v>0</v>
          </cell>
          <cell r="X258">
            <v>0</v>
          </cell>
          <cell r="Y258">
            <v>0</v>
          </cell>
          <cell r="Z258">
            <v>0</v>
          </cell>
          <cell r="AA258">
            <v>1439.5454545454545</v>
          </cell>
          <cell r="AB258">
            <v>0</v>
          </cell>
          <cell r="AC258">
            <v>0</v>
          </cell>
          <cell r="AD258">
            <v>0</v>
          </cell>
          <cell r="AE258">
            <v>0</v>
          </cell>
          <cell r="AF258">
            <v>0</v>
          </cell>
          <cell r="AG258">
            <v>0</v>
          </cell>
          <cell r="AH258">
            <v>0</v>
          </cell>
          <cell r="AI258">
            <v>0</v>
          </cell>
          <cell r="AK258">
            <v>11812.941428571428</v>
          </cell>
        </row>
        <row r="259">
          <cell r="D259">
            <v>0</v>
          </cell>
          <cell r="F259">
            <v>825</v>
          </cell>
          <cell r="L259">
            <v>0</v>
          </cell>
          <cell r="N259">
            <v>22</v>
          </cell>
          <cell r="R259">
            <v>839</v>
          </cell>
          <cell r="V259">
            <v>32.56</v>
          </cell>
          <cell r="AA259">
            <v>0</v>
          </cell>
          <cell r="AK259">
            <v>825</v>
          </cell>
        </row>
        <row r="260">
          <cell r="D260">
            <v>997.43999999999994</v>
          </cell>
          <cell r="F260">
            <v>0</v>
          </cell>
          <cell r="L260">
            <v>696.31999999999994</v>
          </cell>
          <cell r="N260">
            <v>804.16666666666663</v>
          </cell>
          <cell r="R260">
            <v>268.33333333333331</v>
          </cell>
          <cell r="V260">
            <v>130.63333333333333</v>
          </cell>
          <cell r="AA260">
            <v>173.46666666666667</v>
          </cell>
          <cell r="AK260">
            <v>0</v>
          </cell>
        </row>
        <row r="261">
          <cell r="D261">
            <v>67.833333333333343</v>
          </cell>
          <cell r="F261">
            <v>4663.9414285714283</v>
          </cell>
          <cell r="L261">
            <v>336.7</v>
          </cell>
          <cell r="N261">
            <v>400.83333333333331</v>
          </cell>
          <cell r="R261">
            <v>55.666666666666664</v>
          </cell>
          <cell r="V261">
            <v>0</v>
          </cell>
          <cell r="AA261">
            <v>125.2</v>
          </cell>
          <cell r="AK261">
            <v>4663.9414285714283</v>
          </cell>
        </row>
        <row r="262">
          <cell r="D262">
            <v>343.60666666666663</v>
          </cell>
          <cell r="F262">
            <v>3500</v>
          </cell>
          <cell r="L262">
            <v>9.6199999999999992</v>
          </cell>
          <cell r="N262">
            <v>33.333333333333336</v>
          </cell>
          <cell r="R262">
            <v>32.666666666666664</v>
          </cell>
          <cell r="V262">
            <v>45.633333333333333</v>
          </cell>
          <cell r="AA262">
            <v>17.266666666666666</v>
          </cell>
          <cell r="AK262">
            <v>3500</v>
          </cell>
        </row>
        <row r="263">
          <cell r="F263">
            <v>0</v>
          </cell>
          <cell r="L263">
            <v>220</v>
          </cell>
          <cell r="N263">
            <v>120</v>
          </cell>
          <cell r="R263">
            <v>130</v>
          </cell>
          <cell r="V263">
            <v>85</v>
          </cell>
          <cell r="AA263">
            <v>0</v>
          </cell>
          <cell r="AK263">
            <v>0</v>
          </cell>
        </row>
        <row r="264">
          <cell r="D264">
            <v>586</v>
          </cell>
          <cell r="F264">
            <v>2824</v>
          </cell>
          <cell r="L264">
            <v>130</v>
          </cell>
          <cell r="N264">
            <v>250</v>
          </cell>
          <cell r="P264">
            <v>0</v>
          </cell>
          <cell r="R264">
            <v>50</v>
          </cell>
          <cell r="S264">
            <v>0</v>
          </cell>
          <cell r="V264">
            <v>0</v>
          </cell>
          <cell r="X264">
            <v>0</v>
          </cell>
          <cell r="AA264">
            <v>31</v>
          </cell>
          <cell r="AC264">
            <v>0</v>
          </cell>
          <cell r="AF264">
            <v>0</v>
          </cell>
          <cell r="AG264">
            <v>0</v>
          </cell>
          <cell r="AH264">
            <v>0</v>
          </cell>
          <cell r="AI264">
            <v>0</v>
          </cell>
          <cell r="AK264">
            <v>2824</v>
          </cell>
        </row>
        <row r="265">
          <cell r="D265">
            <v>7</v>
          </cell>
          <cell r="F265">
            <v>6321.6666666666661</v>
          </cell>
          <cell r="L265">
            <v>59</v>
          </cell>
          <cell r="N265">
            <v>3197</v>
          </cell>
          <cell r="R265">
            <v>56.666666666666664</v>
          </cell>
          <cell r="V265">
            <v>34006</v>
          </cell>
          <cell r="AA265">
            <v>442</v>
          </cell>
          <cell r="AK265">
            <v>6321.6666666666661</v>
          </cell>
        </row>
        <row r="266">
          <cell r="D266">
            <v>0</v>
          </cell>
          <cell r="F266">
            <v>61.666666666666664</v>
          </cell>
          <cell r="L266">
            <v>0</v>
          </cell>
          <cell r="N266">
            <v>0</v>
          </cell>
          <cell r="P266">
            <v>0</v>
          </cell>
          <cell r="R266">
            <v>56.666666666666664</v>
          </cell>
          <cell r="S266">
            <v>0</v>
          </cell>
          <cell r="V266">
            <v>267</v>
          </cell>
          <cell r="X266">
            <v>0</v>
          </cell>
          <cell r="AA266">
            <v>0</v>
          </cell>
          <cell r="AC266">
            <v>0</v>
          </cell>
          <cell r="AF266">
            <v>0</v>
          </cell>
          <cell r="AG266">
            <v>0</v>
          </cell>
          <cell r="AH266">
            <v>0</v>
          </cell>
          <cell r="AI266">
            <v>0</v>
          </cell>
          <cell r="AK266">
            <v>61.666666666666664</v>
          </cell>
        </row>
        <row r="267">
          <cell r="D267">
            <v>7</v>
          </cell>
          <cell r="F267">
            <v>120758.6080952381</v>
          </cell>
          <cell r="L267">
            <v>59</v>
          </cell>
          <cell r="N267">
            <v>3197</v>
          </cell>
          <cell r="P267">
            <v>2175</v>
          </cell>
          <cell r="Q267">
            <v>0</v>
          </cell>
          <cell r="R267">
            <v>0</v>
          </cell>
          <cell r="S267">
            <v>7897</v>
          </cell>
          <cell r="T267">
            <v>0</v>
          </cell>
          <cell r="U267">
            <v>0</v>
          </cell>
          <cell r="V267">
            <v>33739</v>
          </cell>
          <cell r="W267">
            <v>0</v>
          </cell>
          <cell r="X267">
            <v>2489.8484848484827</v>
          </cell>
          <cell r="Y267">
            <v>0</v>
          </cell>
          <cell r="Z267">
            <v>0</v>
          </cell>
          <cell r="AA267">
            <v>442</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L269">
            <v>300</v>
          </cell>
          <cell r="N269">
            <v>400</v>
          </cell>
          <cell r="P269">
            <v>964</v>
          </cell>
          <cell r="R269">
            <v>0</v>
          </cell>
          <cell r="S269">
            <v>2067</v>
          </cell>
          <cell r="T269">
            <v>549.83999999999992</v>
          </cell>
          <cell r="U269">
            <v>572.16000000000008</v>
          </cell>
          <cell r="V269">
            <v>0</v>
          </cell>
          <cell r="X269">
            <v>836</v>
          </cell>
          <cell r="Y269">
            <v>142</v>
          </cell>
          <cell r="Z269">
            <v>185.18181818181819</v>
          </cell>
          <cell r="AA269">
            <v>0</v>
          </cell>
          <cell r="AC269">
            <v>658</v>
          </cell>
          <cell r="AD269">
            <v>111</v>
          </cell>
          <cell r="AE269">
            <v>178</v>
          </cell>
          <cell r="AF269">
            <v>1973</v>
          </cell>
          <cell r="AG269">
            <v>1761.2545454545452</v>
          </cell>
          <cell r="AH269">
            <v>211.74545454545455</v>
          </cell>
          <cell r="AI269">
            <v>952</v>
          </cell>
          <cell r="AK269">
            <v>7482</v>
          </cell>
        </row>
        <row r="270">
          <cell r="D270">
            <v>61042.181136363637</v>
          </cell>
          <cell r="F270">
            <v>0</v>
          </cell>
          <cell r="L270">
            <v>313.68000000000029</v>
          </cell>
          <cell r="N270">
            <v>2182.8333333333321</v>
          </cell>
          <cell r="P270">
            <v>0</v>
          </cell>
          <cell r="Q270">
            <v>0</v>
          </cell>
          <cell r="R270">
            <v>564.99999999999727</v>
          </cell>
          <cell r="S270">
            <v>22</v>
          </cell>
          <cell r="T270">
            <v>22</v>
          </cell>
          <cell r="U270">
            <v>0</v>
          </cell>
          <cell r="V270">
            <v>-90.193333333336341</v>
          </cell>
          <cell r="W270">
            <v>0</v>
          </cell>
          <cell r="X270">
            <v>790</v>
          </cell>
          <cell r="Y270">
            <v>343</v>
          </cell>
          <cell r="Z270">
            <v>447</v>
          </cell>
          <cell r="AA270">
            <v>472.5333333333333</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D272">
            <v>1503.7391666666665</v>
          </cell>
          <cell r="F272">
            <v>67.833333333333329</v>
          </cell>
          <cell r="L272">
            <v>-12.319999999999993</v>
          </cell>
          <cell r="N272">
            <v>465.66666666666663</v>
          </cell>
          <cell r="P272">
            <v>336.7</v>
          </cell>
          <cell r="R272">
            <v>128.00000000000003</v>
          </cell>
          <cell r="S272">
            <v>367</v>
          </cell>
          <cell r="V272">
            <v>648.44303030302694</v>
          </cell>
          <cell r="X272">
            <v>32</v>
          </cell>
          <cell r="AA272">
            <v>133.5333333333333</v>
          </cell>
          <cell r="AC272">
            <v>32</v>
          </cell>
          <cell r="AF272">
            <v>206.95333333333335</v>
          </cell>
          <cell r="AG272">
            <v>141.72798232695141</v>
          </cell>
          <cell r="AH272">
            <v>65.225351006381942</v>
          </cell>
          <cell r="AI272">
            <v>0</v>
          </cell>
          <cell r="AK272">
            <v>1096.4866666666667</v>
          </cell>
        </row>
        <row r="273">
          <cell r="D273">
            <v>17.179166666666667</v>
          </cell>
          <cell r="F273">
            <v>417.35999999999996</v>
          </cell>
          <cell r="L273">
            <v>-18</v>
          </cell>
          <cell r="N273">
            <v>521.83333333333326</v>
          </cell>
          <cell r="P273">
            <v>4</v>
          </cell>
          <cell r="R273">
            <v>83</v>
          </cell>
          <cell r="S273">
            <v>80</v>
          </cell>
          <cell r="V273">
            <v>284</v>
          </cell>
          <cell r="X273">
            <v>35</v>
          </cell>
          <cell r="AA273">
            <v>0</v>
          </cell>
          <cell r="AC273">
            <v>29</v>
          </cell>
          <cell r="AF273">
            <v>17.266666666666666</v>
          </cell>
          <cell r="AG273">
            <v>11.824742268041236</v>
          </cell>
          <cell r="AH273">
            <v>5.4419243986254298</v>
          </cell>
          <cell r="AI273">
            <v>0</v>
          </cell>
          <cell r="AK273">
            <v>582.62666666666655</v>
          </cell>
        </row>
        <row r="274">
          <cell r="D274">
            <v>0</v>
          </cell>
          <cell r="F274">
            <v>100</v>
          </cell>
          <cell r="L274">
            <v>-202</v>
          </cell>
          <cell r="N274">
            <v>-710</v>
          </cell>
          <cell r="P274">
            <v>250</v>
          </cell>
          <cell r="R274">
            <v>-314</v>
          </cell>
          <cell r="S274">
            <v>50</v>
          </cell>
          <cell r="V274">
            <v>-1195</v>
          </cell>
          <cell r="X274">
            <v>10</v>
          </cell>
          <cell r="AA274">
            <v>-152</v>
          </cell>
          <cell r="AC274">
            <v>60</v>
          </cell>
          <cell r="AF274">
            <v>250</v>
          </cell>
          <cell r="AG274">
            <v>250</v>
          </cell>
          <cell r="AK274">
            <v>720</v>
          </cell>
        </row>
        <row r="275">
          <cell r="D275">
            <v>0</v>
          </cell>
          <cell r="F275">
            <v>63</v>
          </cell>
          <cell r="L275">
            <v>0</v>
          </cell>
          <cell r="N275">
            <v>0</v>
          </cell>
          <cell r="P275">
            <v>40</v>
          </cell>
          <cell r="R275">
            <v>0</v>
          </cell>
          <cell r="S275">
            <v>93</v>
          </cell>
          <cell r="V275">
            <v>-5</v>
          </cell>
          <cell r="X275">
            <v>49</v>
          </cell>
          <cell r="AA275">
            <v>0</v>
          </cell>
          <cell r="AC275">
            <v>65</v>
          </cell>
          <cell r="AF275">
            <v>30</v>
          </cell>
          <cell r="AG275">
            <v>30</v>
          </cell>
          <cell r="AH275">
            <v>0</v>
          </cell>
          <cell r="AK275">
            <v>340</v>
          </cell>
        </row>
        <row r="276">
          <cell r="D276">
            <v>0</v>
          </cell>
          <cell r="F276">
            <v>7</v>
          </cell>
          <cell r="L276">
            <v>0</v>
          </cell>
          <cell r="N276">
            <v>0</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D277">
            <v>1469.56</v>
          </cell>
          <cell r="F277">
            <v>0</v>
          </cell>
          <cell r="L277">
            <v>146.68</v>
          </cell>
          <cell r="N277">
            <v>646.83333333333337</v>
          </cell>
          <cell r="P277">
            <v>1</v>
          </cell>
          <cell r="R277">
            <v>181.00000000000003</v>
          </cell>
          <cell r="S277">
            <v>0</v>
          </cell>
          <cell r="V277">
            <v>1564.4430303030269</v>
          </cell>
          <cell r="X277">
            <v>46</v>
          </cell>
          <cell r="AA277">
            <v>285.5333333333333</v>
          </cell>
          <cell r="AC277">
            <v>195</v>
          </cell>
          <cell r="AF277">
            <v>0</v>
          </cell>
          <cell r="AG277">
            <v>0</v>
          </cell>
          <cell r="AH277">
            <v>0</v>
          </cell>
          <cell r="AI277">
            <v>0</v>
          </cell>
          <cell r="AK277">
            <v>242</v>
          </cell>
        </row>
        <row r="278">
          <cell r="D278">
            <v>76.56</v>
          </cell>
          <cell r="F278">
            <v>7</v>
          </cell>
          <cell r="L278">
            <v>41.680000000000014</v>
          </cell>
          <cell r="N278">
            <v>64.833333333333343</v>
          </cell>
          <cell r="P278">
            <v>56</v>
          </cell>
          <cell r="R278">
            <v>12.000000000000021</v>
          </cell>
          <cell r="S278">
            <v>3154</v>
          </cell>
          <cell r="V278">
            <v>1020.0030303030269</v>
          </cell>
          <cell r="X278">
            <v>0</v>
          </cell>
          <cell r="AA278">
            <v>12.533333333333331</v>
          </cell>
          <cell r="AC278">
            <v>0</v>
          </cell>
          <cell r="AF278">
            <v>890</v>
          </cell>
          <cell r="AG278">
            <v>442</v>
          </cell>
          <cell r="AH278">
            <v>448</v>
          </cell>
          <cell r="AI278">
            <v>0</v>
          </cell>
          <cell r="AK278">
            <v>4107</v>
          </cell>
        </row>
        <row r="279">
          <cell r="D279">
            <v>1</v>
          </cell>
          <cell r="L279">
            <v>35</v>
          </cell>
          <cell r="N279">
            <v>402</v>
          </cell>
          <cell r="R279">
            <v>87</v>
          </cell>
          <cell r="V279">
            <v>127.44</v>
          </cell>
          <cell r="AA279">
            <v>112</v>
          </cell>
          <cell r="AK279">
            <v>269</v>
          </cell>
        </row>
        <row r="280">
          <cell r="D280">
            <v>1392</v>
          </cell>
          <cell r="L280">
            <v>70</v>
          </cell>
          <cell r="N280">
            <v>180</v>
          </cell>
          <cell r="R280">
            <v>82</v>
          </cell>
          <cell r="S280">
            <v>250</v>
          </cell>
          <cell r="V280">
            <v>417</v>
          </cell>
          <cell r="AA280">
            <v>161</v>
          </cell>
          <cell r="AH280">
            <v>0</v>
          </cell>
          <cell r="AI280">
            <v>0</v>
          </cell>
          <cell r="AK280">
            <v>250</v>
          </cell>
        </row>
        <row r="281">
          <cell r="F281">
            <v>119511.41476190477</v>
          </cell>
          <cell r="L281">
            <v>0</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D282">
            <v>17</v>
          </cell>
          <cell r="L282">
            <v>61</v>
          </cell>
          <cell r="N282">
            <v>7</v>
          </cell>
          <cell r="R282">
            <v>178</v>
          </cell>
          <cell r="V282">
            <v>0</v>
          </cell>
          <cell r="AA282">
            <v>0</v>
          </cell>
          <cell r="AK282">
            <v>0</v>
          </cell>
        </row>
        <row r="283">
          <cell r="D283">
            <v>61042.181136363637</v>
          </cell>
          <cell r="F283">
            <v>1482.14</v>
          </cell>
          <cell r="L283">
            <v>313.68000000000029</v>
          </cell>
          <cell r="N283">
            <v>2182.8333333333321</v>
          </cell>
          <cell r="P283">
            <v>523.29999999999995</v>
          </cell>
          <cell r="Q283">
            <v>0</v>
          </cell>
          <cell r="R283">
            <v>564.99999999999727</v>
          </cell>
          <cell r="S283">
            <v>1814</v>
          </cell>
          <cell r="T283">
            <v>0</v>
          </cell>
          <cell r="U283">
            <v>0</v>
          </cell>
          <cell r="V283">
            <v>-90.193333333336341</v>
          </cell>
          <cell r="W283">
            <v>0</v>
          </cell>
          <cell r="X283">
            <v>691.84848484848487</v>
          </cell>
          <cell r="Y283">
            <v>0</v>
          </cell>
          <cell r="Z283">
            <v>0</v>
          </cell>
          <cell r="AA283">
            <v>472.5333333333333</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A284">
            <v>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D286">
            <v>61042.181136363637</v>
          </cell>
          <cell r="F286">
            <v>375</v>
          </cell>
          <cell r="L286">
            <v>313.68000000000029</v>
          </cell>
          <cell r="N286">
            <v>2182.8333333333321</v>
          </cell>
          <cell r="P286">
            <v>14</v>
          </cell>
          <cell r="R286">
            <v>564.99999999999727</v>
          </cell>
          <cell r="S286">
            <v>37</v>
          </cell>
          <cell r="V286">
            <v>-90.193333333336341</v>
          </cell>
          <cell r="X286">
            <v>17.666666666666668</v>
          </cell>
          <cell r="AA286">
            <v>472.5333333333333</v>
          </cell>
          <cell r="AC286">
            <v>19</v>
          </cell>
          <cell r="AF286">
            <v>30.333333333333332</v>
          </cell>
          <cell r="AG286">
            <v>30.333333333333332</v>
          </cell>
          <cell r="AH286">
            <v>0</v>
          </cell>
          <cell r="AI286">
            <v>843</v>
          </cell>
          <cell r="AK286">
            <v>500</v>
          </cell>
        </row>
        <row r="287">
          <cell r="D287">
            <v>0</v>
          </cell>
          <cell r="F287">
            <v>286.33333333333326</v>
          </cell>
          <cell r="P287">
            <v>7</v>
          </cell>
          <cell r="S287">
            <v>30</v>
          </cell>
          <cell r="X287">
            <v>18</v>
          </cell>
          <cell r="AC287">
            <v>5</v>
          </cell>
          <cell r="AF287">
            <v>33.666666666666664</v>
          </cell>
          <cell r="AG287">
            <v>33.666666666666664</v>
          </cell>
          <cell r="AH287">
            <v>0</v>
          </cell>
          <cell r="AI287">
            <v>79</v>
          </cell>
          <cell r="AK287">
            <v>382.33333333333326</v>
          </cell>
        </row>
        <row r="288">
          <cell r="D288">
            <v>0</v>
          </cell>
          <cell r="F288">
            <v>386.1400000000001</v>
          </cell>
          <cell r="L288">
            <v>0</v>
          </cell>
          <cell r="N288">
            <v>0</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D289">
            <v>0</v>
          </cell>
          <cell r="F289">
            <v>2.4733333333334144</v>
          </cell>
          <cell r="L289">
            <v>0</v>
          </cell>
          <cell r="N289">
            <v>0</v>
          </cell>
          <cell r="P289">
            <v>11.300000000000011</v>
          </cell>
          <cell r="R289">
            <v>0</v>
          </cell>
          <cell r="S289">
            <v>39</v>
          </cell>
          <cell r="V289">
            <v>0</v>
          </cell>
          <cell r="X289">
            <v>10</v>
          </cell>
          <cell r="AA289">
            <v>0</v>
          </cell>
          <cell r="AC289">
            <v>43</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D291">
            <v>61042.181136363637</v>
          </cell>
          <cell r="F291">
            <v>382.66666666666669</v>
          </cell>
          <cell r="L291">
            <v>313.68000000000029</v>
          </cell>
          <cell r="N291">
            <v>2182.8333333333321</v>
          </cell>
          <cell r="P291">
            <v>45</v>
          </cell>
          <cell r="R291">
            <v>564.99999999999727</v>
          </cell>
          <cell r="S291">
            <v>110</v>
          </cell>
          <cell r="V291">
            <v>-90.193333333336341</v>
          </cell>
          <cell r="X291">
            <v>68</v>
          </cell>
          <cell r="AA291">
            <v>472.5333333333333</v>
          </cell>
          <cell r="AC291">
            <v>27</v>
          </cell>
          <cell r="AF291">
            <v>105.66666666666667</v>
          </cell>
          <cell r="AG291">
            <v>96.666666666666671</v>
          </cell>
          <cell r="AH291">
            <v>9</v>
          </cell>
          <cell r="AI291">
            <v>0</v>
          </cell>
          <cell r="AK291">
            <v>791.33333333333337</v>
          </cell>
        </row>
        <row r="292">
          <cell r="P292">
            <v>0</v>
          </cell>
          <cell r="AF292">
            <v>0</v>
          </cell>
          <cell r="AG292">
            <v>0</v>
          </cell>
          <cell r="AH292">
            <v>0</v>
          </cell>
          <cell r="AI292">
            <v>0</v>
          </cell>
          <cell r="AK292">
            <v>0</v>
          </cell>
        </row>
        <row r="293">
          <cell r="F293">
            <v>14.666666666666666</v>
          </cell>
          <cell r="L293">
            <v>300</v>
          </cell>
          <cell r="P293">
            <v>60</v>
          </cell>
          <cell r="S293">
            <v>8</v>
          </cell>
          <cell r="X293">
            <v>150</v>
          </cell>
          <cell r="AC293">
            <v>26</v>
          </cell>
          <cell r="AF293">
            <v>12</v>
          </cell>
          <cell r="AG293">
            <v>11</v>
          </cell>
          <cell r="AH293">
            <v>1</v>
          </cell>
          <cell r="AI293">
            <v>6.7</v>
          </cell>
          <cell r="AK293">
            <v>270.66666666666669</v>
          </cell>
        </row>
        <row r="294">
          <cell r="F294">
            <v>119511.41476190477</v>
          </cell>
          <cell r="N294">
            <v>400</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V295">
            <v>417</v>
          </cell>
          <cell r="AH295">
            <v>191</v>
          </cell>
          <cell r="AK295">
            <v>0</v>
          </cell>
        </row>
        <row r="296">
          <cell r="D296">
            <v>990</v>
          </cell>
        </row>
        <row r="297">
          <cell r="F297">
            <v>119511.41476190477</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K297">
            <v>123773.91900432901</v>
          </cell>
        </row>
        <row r="298">
          <cell r="F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D300">
            <v>61042.181136363637</v>
          </cell>
          <cell r="F300">
            <v>0</v>
          </cell>
          <cell r="L300">
            <v>313.68000000000029</v>
          </cell>
          <cell r="N300">
            <v>2182.8333333333321</v>
          </cell>
          <cell r="P300">
            <v>0</v>
          </cell>
          <cell r="R300">
            <v>564.99999999999727</v>
          </cell>
          <cell r="S300">
            <v>296</v>
          </cell>
          <cell r="V300">
            <v>-90.193333333336341</v>
          </cell>
          <cell r="X300">
            <v>625</v>
          </cell>
          <cell r="AA300">
            <v>472.5333333333333</v>
          </cell>
          <cell r="AC300">
            <v>444</v>
          </cell>
          <cell r="AF300">
            <v>180</v>
          </cell>
          <cell r="AG300">
            <v>180</v>
          </cell>
          <cell r="AH300">
            <v>0</v>
          </cell>
          <cell r="AI300">
            <v>0</v>
          </cell>
          <cell r="AK300">
            <v>1545</v>
          </cell>
        </row>
        <row r="301">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AK303">
            <v>0</v>
          </cell>
        </row>
        <row r="304">
          <cell r="P304">
            <v>0</v>
          </cell>
          <cell r="AK304">
            <v>0</v>
          </cell>
        </row>
        <row r="305">
          <cell r="S305">
            <v>0</v>
          </cell>
          <cell r="AK305">
            <v>0</v>
          </cell>
        </row>
        <row r="306">
          <cell r="F306">
            <v>5733.333333333333</v>
          </cell>
          <cell r="AK306">
            <v>5733.333333333333</v>
          </cell>
        </row>
        <row r="307">
          <cell r="S307">
            <v>0</v>
          </cell>
        </row>
        <row r="308">
          <cell r="F308">
            <v>0</v>
          </cell>
          <cell r="AK308">
            <v>0</v>
          </cell>
        </row>
        <row r="309">
          <cell r="AK309">
            <v>0</v>
          </cell>
        </row>
        <row r="311">
          <cell r="AK311">
            <v>0</v>
          </cell>
        </row>
        <row r="312">
          <cell r="S312">
            <v>0</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21">
          <cell r="T321" t="str">
            <v>ФМЗ ( з відрахуван)</v>
          </cell>
          <cell r="V321">
            <v>25</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P381">
            <v>0</v>
          </cell>
          <cell r="X381">
            <v>0</v>
          </cell>
          <cell r="Y381">
            <v>0</v>
          </cell>
          <cell r="AC381">
            <v>3.6666666666666665</v>
          </cell>
          <cell r="AD381">
            <v>1</v>
          </cell>
          <cell r="AK381">
            <v>46</v>
          </cell>
          <cell r="AL381">
            <v>12</v>
          </cell>
        </row>
        <row r="382">
          <cell r="F382">
            <v>0</v>
          </cell>
          <cell r="P382">
            <v>0.66666666666666663</v>
          </cell>
          <cell r="X382">
            <v>146.66666666666666</v>
          </cell>
          <cell r="Y382">
            <v>64</v>
          </cell>
          <cell r="AC382">
            <v>280.66666666666669</v>
          </cell>
          <cell r="AD382">
            <v>107</v>
          </cell>
          <cell r="AK382">
            <v>428</v>
          </cell>
          <cell r="AL382">
            <v>171.66666666666669</v>
          </cell>
        </row>
        <row r="383">
          <cell r="F383">
            <v>0</v>
          </cell>
          <cell r="P383">
            <v>2</v>
          </cell>
          <cell r="X383">
            <v>0</v>
          </cell>
          <cell r="Y383">
            <v>0</v>
          </cell>
          <cell r="AC383">
            <v>25</v>
          </cell>
          <cell r="AD383">
            <v>10</v>
          </cell>
          <cell r="AK383">
            <v>33.666666666666671</v>
          </cell>
          <cell r="AL383">
            <v>15</v>
          </cell>
        </row>
        <row r="384">
          <cell r="F384">
            <v>0</v>
          </cell>
          <cell r="P384">
            <v>0</v>
          </cell>
          <cell r="X384">
            <v>25.333333333333332</v>
          </cell>
          <cell r="Y384">
            <v>11</v>
          </cell>
          <cell r="AC384">
            <v>0.66666666666666663</v>
          </cell>
          <cell r="AD384">
            <v>0</v>
          </cell>
          <cell r="AK384">
            <v>26</v>
          </cell>
          <cell r="AL384">
            <v>11</v>
          </cell>
        </row>
        <row r="385">
          <cell r="F385">
            <v>120.63333333333333</v>
          </cell>
          <cell r="P385">
            <v>0</v>
          </cell>
          <cell r="X385">
            <v>0</v>
          </cell>
          <cell r="Y385">
            <v>0</v>
          </cell>
          <cell r="AC385">
            <v>0</v>
          </cell>
          <cell r="AD385">
            <v>0</v>
          </cell>
          <cell r="AK385">
            <v>120.63333333333333</v>
          </cell>
          <cell r="AL385">
            <v>37</v>
          </cell>
        </row>
        <row r="386">
          <cell r="F386">
            <v>8.6666666666666661</v>
          </cell>
          <cell r="P386">
            <v>0</v>
          </cell>
          <cell r="X386">
            <v>0</v>
          </cell>
          <cell r="Y386">
            <v>0</v>
          </cell>
          <cell r="AC386">
            <v>0</v>
          </cell>
          <cell r="AD386">
            <v>0</v>
          </cell>
          <cell r="AK386">
            <v>8.6666666666666661</v>
          </cell>
          <cell r="AL386">
            <v>0</v>
          </cell>
        </row>
        <row r="387">
          <cell r="F387">
            <v>0</v>
          </cell>
          <cell r="P387">
            <v>5.333333333333333</v>
          </cell>
          <cell r="X387">
            <v>0</v>
          </cell>
          <cell r="Y387">
            <v>0</v>
          </cell>
          <cell r="AC387">
            <v>0</v>
          </cell>
          <cell r="AD387">
            <v>0</v>
          </cell>
          <cell r="AK387">
            <v>22</v>
          </cell>
          <cell r="AL387">
            <v>15.333333333333332</v>
          </cell>
        </row>
        <row r="388">
          <cell r="F388">
            <v>5.333333333333333</v>
          </cell>
          <cell r="P388">
            <v>0</v>
          </cell>
          <cell r="X388">
            <v>0</v>
          </cell>
          <cell r="Y388">
            <v>0</v>
          </cell>
          <cell r="AC388">
            <v>0</v>
          </cell>
          <cell r="AD388">
            <v>0</v>
          </cell>
          <cell r="AK388">
            <v>5.333333333333333</v>
          </cell>
          <cell r="AL388">
            <v>2</v>
          </cell>
        </row>
        <row r="389">
          <cell r="F389">
            <v>0.33333333333333331</v>
          </cell>
          <cell r="P389">
            <v>4.333333333333333</v>
          </cell>
          <cell r="X389">
            <v>0</v>
          </cell>
          <cell r="Y389">
            <v>0</v>
          </cell>
          <cell r="AC389">
            <v>0</v>
          </cell>
          <cell r="AD389">
            <v>0</v>
          </cell>
          <cell r="AK389">
            <v>4.6666666666666661</v>
          </cell>
          <cell r="AL389">
            <v>4.333333333333333</v>
          </cell>
        </row>
        <row r="390">
          <cell r="F390">
            <v>0.33333333333333331</v>
          </cell>
          <cell r="P390">
            <v>2</v>
          </cell>
          <cell r="X390">
            <v>10</v>
          </cell>
          <cell r="Y390">
            <v>4</v>
          </cell>
          <cell r="AC390">
            <v>13.666666666666666</v>
          </cell>
          <cell r="AD390">
            <v>5</v>
          </cell>
          <cell r="AK390">
            <v>26</v>
          </cell>
          <cell r="AL390">
            <v>11</v>
          </cell>
        </row>
        <row r="391">
          <cell r="F391">
            <v>0</v>
          </cell>
          <cell r="P391">
            <v>0</v>
          </cell>
          <cell r="X391">
            <v>0</v>
          </cell>
          <cell r="Y391">
            <v>0</v>
          </cell>
          <cell r="AC391">
            <v>0</v>
          </cell>
          <cell r="AD391">
            <v>0</v>
          </cell>
          <cell r="AK391">
            <v>0</v>
          </cell>
        </row>
        <row r="392">
          <cell r="F392">
            <v>1.1666666666666667</v>
          </cell>
          <cell r="P392">
            <v>20.5</v>
          </cell>
          <cell r="X392">
            <v>522.33333333333337</v>
          </cell>
          <cell r="Y392">
            <v>227</v>
          </cell>
          <cell r="AC392">
            <v>43</v>
          </cell>
          <cell r="AD392">
            <v>16</v>
          </cell>
          <cell r="AK392">
            <v>587.33333333333337</v>
          </cell>
          <cell r="AL392">
            <v>263.5</v>
          </cell>
          <cell r="AM392">
            <v>263.83333333333331</v>
          </cell>
        </row>
        <row r="393">
          <cell r="F393">
            <v>0</v>
          </cell>
          <cell r="P393">
            <v>0</v>
          </cell>
          <cell r="X393">
            <v>0</v>
          </cell>
          <cell r="Y393">
            <v>0</v>
          </cell>
          <cell r="AC393">
            <v>0</v>
          </cell>
          <cell r="AD393">
            <v>0</v>
          </cell>
          <cell r="AK393">
            <v>0</v>
          </cell>
          <cell r="AL393">
            <v>0</v>
          </cell>
        </row>
        <row r="394">
          <cell r="F394">
            <v>0</v>
          </cell>
          <cell r="P394">
            <v>0</v>
          </cell>
          <cell r="X394">
            <v>480.66666666666669</v>
          </cell>
          <cell r="Y394">
            <v>209</v>
          </cell>
          <cell r="AC394">
            <v>11</v>
          </cell>
          <cell r="AD394">
            <v>4</v>
          </cell>
          <cell r="AK394">
            <v>491.66666666666669</v>
          </cell>
          <cell r="AL394">
            <v>213</v>
          </cell>
        </row>
        <row r="395">
          <cell r="F395">
            <v>0</v>
          </cell>
          <cell r="P395">
            <v>0</v>
          </cell>
          <cell r="X395">
            <v>0</v>
          </cell>
          <cell r="Y395">
            <v>0</v>
          </cell>
          <cell r="AC395">
            <v>0</v>
          </cell>
          <cell r="AD395">
            <v>0</v>
          </cell>
          <cell r="AK395">
            <v>0</v>
          </cell>
          <cell r="AL395">
            <v>0</v>
          </cell>
        </row>
        <row r="396">
          <cell r="F396">
            <v>1.1666666666666667</v>
          </cell>
          <cell r="P396">
            <v>15.833333333333334</v>
          </cell>
          <cell r="X396">
            <v>41.666666666666664</v>
          </cell>
          <cell r="Y396">
            <v>18</v>
          </cell>
          <cell r="AC396">
            <v>32</v>
          </cell>
          <cell r="AD396">
            <v>12</v>
          </cell>
          <cell r="AK396">
            <v>91</v>
          </cell>
          <cell r="AL396">
            <v>50.833333333333336</v>
          </cell>
        </row>
        <row r="397">
          <cell r="F397">
            <v>0</v>
          </cell>
          <cell r="P397">
            <v>4.666666666666667</v>
          </cell>
          <cell r="X397">
            <v>0</v>
          </cell>
          <cell r="Y397">
            <v>0</v>
          </cell>
          <cell r="AC397">
            <v>0</v>
          </cell>
          <cell r="AD397">
            <v>0</v>
          </cell>
          <cell r="AK397">
            <v>4.666666666666667</v>
          </cell>
          <cell r="AL397">
            <v>0</v>
          </cell>
        </row>
        <row r="398">
          <cell r="F398">
            <v>0</v>
          </cell>
          <cell r="P398">
            <v>0</v>
          </cell>
          <cell r="X398">
            <v>0</v>
          </cell>
          <cell r="Y398">
            <v>0</v>
          </cell>
          <cell r="AC398">
            <v>0</v>
          </cell>
          <cell r="AD398">
            <v>0</v>
          </cell>
          <cell r="AK398">
            <v>0</v>
          </cell>
        </row>
        <row r="399">
          <cell r="F399">
            <v>10</v>
          </cell>
          <cell r="P399">
            <v>39</v>
          </cell>
          <cell r="X399">
            <v>0</v>
          </cell>
          <cell r="Y399">
            <v>0</v>
          </cell>
          <cell r="AC399">
            <v>0</v>
          </cell>
          <cell r="AD399">
            <v>0</v>
          </cell>
          <cell r="AK399">
            <v>49</v>
          </cell>
          <cell r="AL399">
            <v>42</v>
          </cell>
          <cell r="AM399">
            <v>42</v>
          </cell>
        </row>
        <row r="400">
          <cell r="F400">
            <v>2.6666666666666665</v>
          </cell>
          <cell r="P400">
            <v>3.3333333333333335</v>
          </cell>
          <cell r="X400">
            <v>0</v>
          </cell>
          <cell r="Y400">
            <v>0</v>
          </cell>
          <cell r="AC400">
            <v>0</v>
          </cell>
          <cell r="AD400">
            <v>0</v>
          </cell>
          <cell r="AK400">
            <v>6</v>
          </cell>
          <cell r="AL400">
            <v>4.3333333333333339</v>
          </cell>
        </row>
        <row r="401">
          <cell r="F401">
            <v>7.333333333333333</v>
          </cell>
          <cell r="P401">
            <v>35.666666666666664</v>
          </cell>
          <cell r="X401">
            <v>0</v>
          </cell>
          <cell r="Y401">
            <v>0</v>
          </cell>
          <cell r="AC401">
            <v>0</v>
          </cell>
          <cell r="AD401">
            <v>0</v>
          </cell>
          <cell r="AK401">
            <v>43</v>
          </cell>
          <cell r="AL401">
            <v>37.666666666666664</v>
          </cell>
        </row>
        <row r="402">
          <cell r="F402">
            <v>0</v>
          </cell>
          <cell r="P402">
            <v>0</v>
          </cell>
          <cell r="X402">
            <v>0</v>
          </cell>
          <cell r="Y402">
            <v>0</v>
          </cell>
          <cell r="AC402">
            <v>0</v>
          </cell>
          <cell r="AD402">
            <v>0</v>
          </cell>
          <cell r="AK402">
            <v>0</v>
          </cell>
        </row>
        <row r="403">
          <cell r="F403">
            <v>206.33333333333329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P404">
            <v>0</v>
          </cell>
          <cell r="X404">
            <v>0</v>
          </cell>
          <cell r="Y404">
            <v>0</v>
          </cell>
          <cell r="AC404">
            <v>0</v>
          </cell>
          <cell r="AD404">
            <v>0</v>
          </cell>
          <cell r="AK404">
            <v>1350</v>
          </cell>
          <cell r="AL404">
            <v>0</v>
          </cell>
        </row>
        <row r="405">
          <cell r="F405">
            <v>0</v>
          </cell>
          <cell r="P405">
            <v>0</v>
          </cell>
          <cell r="X405">
            <v>0</v>
          </cell>
          <cell r="Y405">
            <v>0</v>
          </cell>
          <cell r="AC405">
            <v>0</v>
          </cell>
          <cell r="AD405">
            <v>0</v>
          </cell>
          <cell r="AK405">
            <v>95</v>
          </cell>
          <cell r="AL405">
            <v>95</v>
          </cell>
        </row>
        <row r="406">
          <cell r="F406">
            <v>0</v>
          </cell>
          <cell r="P406">
            <v>0</v>
          </cell>
          <cell r="X406">
            <v>0</v>
          </cell>
          <cell r="Y406">
            <v>0</v>
          </cell>
          <cell r="AC406">
            <v>0</v>
          </cell>
          <cell r="AD406">
            <v>0</v>
          </cell>
          <cell r="AK406">
            <v>0</v>
          </cell>
          <cell r="AL406">
            <v>0</v>
          </cell>
        </row>
        <row r="407">
          <cell r="F407">
            <v>0</v>
          </cell>
          <cell r="P407">
            <v>12.333333333333334</v>
          </cell>
          <cell r="X407">
            <v>0</v>
          </cell>
          <cell r="Y407">
            <v>0</v>
          </cell>
          <cell r="AC407">
            <v>0</v>
          </cell>
          <cell r="AD407">
            <v>0</v>
          </cell>
          <cell r="AK407">
            <v>12.333333333333334</v>
          </cell>
          <cell r="AL407">
            <v>12.333333333333334</v>
          </cell>
        </row>
        <row r="408">
          <cell r="F408">
            <v>0</v>
          </cell>
          <cell r="P408">
            <v>0</v>
          </cell>
          <cell r="X408">
            <v>0</v>
          </cell>
          <cell r="Y408">
            <v>0</v>
          </cell>
          <cell r="AC408">
            <v>0</v>
          </cell>
          <cell r="AD408">
            <v>0</v>
          </cell>
          <cell r="AK408">
            <v>0</v>
          </cell>
          <cell r="AL408">
            <v>0</v>
          </cell>
        </row>
        <row r="409">
          <cell r="F409">
            <v>1.6666666666666667</v>
          </cell>
          <cell r="P409">
            <v>5</v>
          </cell>
          <cell r="X409">
            <v>3</v>
          </cell>
          <cell r="Y409">
            <v>1</v>
          </cell>
          <cell r="AC409">
            <v>3</v>
          </cell>
          <cell r="AD409">
            <v>1</v>
          </cell>
          <cell r="AK409">
            <v>57.666666666666664</v>
          </cell>
          <cell r="AL409">
            <v>47</v>
          </cell>
        </row>
        <row r="410">
          <cell r="F410">
            <v>0</v>
          </cell>
          <cell r="P410">
            <v>0</v>
          </cell>
          <cell r="X410">
            <v>0</v>
          </cell>
          <cell r="Y410">
            <v>0</v>
          </cell>
          <cell r="AC410">
            <v>0</v>
          </cell>
          <cell r="AD410">
            <v>0</v>
          </cell>
          <cell r="AK410">
            <v>4</v>
          </cell>
          <cell r="AL410">
            <v>0</v>
          </cell>
        </row>
        <row r="411">
          <cell r="F411">
            <v>0</v>
          </cell>
          <cell r="P411">
            <v>0</v>
          </cell>
          <cell r="X411">
            <v>0</v>
          </cell>
          <cell r="Y411">
            <v>0</v>
          </cell>
          <cell r="AC411">
            <v>0</v>
          </cell>
          <cell r="AD411">
            <v>0</v>
          </cell>
          <cell r="AK411">
            <v>0</v>
          </cell>
          <cell r="AL411">
            <v>0</v>
          </cell>
        </row>
        <row r="412">
          <cell r="F412">
            <v>0</v>
          </cell>
          <cell r="P412">
            <v>18.5</v>
          </cell>
          <cell r="X412">
            <v>4.5</v>
          </cell>
          <cell r="Y412">
            <v>2</v>
          </cell>
          <cell r="AC412">
            <v>1.3333333333333333</v>
          </cell>
          <cell r="AD412">
            <v>1</v>
          </cell>
          <cell r="AK412">
            <v>28.5</v>
          </cell>
          <cell r="AL412">
            <v>25.5</v>
          </cell>
        </row>
        <row r="413">
          <cell r="F413">
            <v>0</v>
          </cell>
          <cell r="P413">
            <v>1.3333333333333333</v>
          </cell>
          <cell r="X413">
            <v>0</v>
          </cell>
          <cell r="Y413">
            <v>0</v>
          </cell>
          <cell r="AC413">
            <v>1.6666666666666667</v>
          </cell>
          <cell r="AD413">
            <v>1</v>
          </cell>
          <cell r="AK413">
            <v>69</v>
          </cell>
          <cell r="AL413">
            <v>52.333333333333336</v>
          </cell>
        </row>
        <row r="414">
          <cell r="F414">
            <v>177</v>
          </cell>
          <cell r="P414">
            <v>0</v>
          </cell>
          <cell r="X414">
            <v>0</v>
          </cell>
          <cell r="Y414">
            <v>0</v>
          </cell>
          <cell r="AC414">
            <v>0</v>
          </cell>
          <cell r="AD414">
            <v>0</v>
          </cell>
          <cell r="AK414">
            <v>177</v>
          </cell>
          <cell r="AL414">
            <v>51</v>
          </cell>
        </row>
        <row r="415">
          <cell r="F415">
            <v>0</v>
          </cell>
          <cell r="P415">
            <v>0</v>
          </cell>
          <cell r="X415">
            <v>10</v>
          </cell>
          <cell r="Y415">
            <v>4</v>
          </cell>
          <cell r="AC415">
            <v>7.666666666666667</v>
          </cell>
          <cell r="AD415">
            <v>3</v>
          </cell>
          <cell r="AK415">
            <v>17.666666666666668</v>
          </cell>
          <cell r="AL415">
            <v>7</v>
          </cell>
        </row>
        <row r="416">
          <cell r="F416">
            <v>0.66666666666666663</v>
          </cell>
          <cell r="P416">
            <v>2</v>
          </cell>
          <cell r="X416">
            <v>1.3333333333333333</v>
          </cell>
          <cell r="Y416">
            <v>1</v>
          </cell>
          <cell r="AC416">
            <v>1</v>
          </cell>
          <cell r="AD416">
            <v>0</v>
          </cell>
          <cell r="AK416">
            <v>6</v>
          </cell>
          <cell r="AL416">
            <v>3</v>
          </cell>
        </row>
        <row r="417">
          <cell r="F417">
            <v>2.6666666666666665</v>
          </cell>
          <cell r="P417">
            <v>0.33333333333333331</v>
          </cell>
          <cell r="X417">
            <v>1</v>
          </cell>
          <cell r="Y417">
            <v>0</v>
          </cell>
          <cell r="AC417">
            <v>0.66666666666666663</v>
          </cell>
          <cell r="AD417">
            <v>0</v>
          </cell>
          <cell r="AK417">
            <v>9.3333333333333339</v>
          </cell>
          <cell r="AL417">
            <v>3.3333333333333335</v>
          </cell>
        </row>
        <row r="418">
          <cell r="F418">
            <v>0</v>
          </cell>
          <cell r="P418">
            <v>2.3333333333333335</v>
          </cell>
          <cell r="X418">
            <v>6</v>
          </cell>
          <cell r="Y418">
            <v>3</v>
          </cell>
          <cell r="AC418">
            <v>5</v>
          </cell>
          <cell r="AD418">
            <v>2</v>
          </cell>
          <cell r="AK418">
            <v>13.333333333333334</v>
          </cell>
          <cell r="AL418">
            <v>7.3333333333333339</v>
          </cell>
        </row>
        <row r="419">
          <cell r="F419">
            <v>0</v>
          </cell>
          <cell r="P419">
            <v>0</v>
          </cell>
          <cell r="X419">
            <v>0</v>
          </cell>
          <cell r="Y419">
            <v>0</v>
          </cell>
          <cell r="AC419">
            <v>0</v>
          </cell>
          <cell r="AD419">
            <v>0</v>
          </cell>
          <cell r="AK419">
            <v>0</v>
          </cell>
          <cell r="AL419">
            <v>0</v>
          </cell>
        </row>
        <row r="420">
          <cell r="F420">
            <v>0</v>
          </cell>
          <cell r="P420">
            <v>0</v>
          </cell>
          <cell r="X420">
            <v>0</v>
          </cell>
          <cell r="Y420">
            <v>0</v>
          </cell>
          <cell r="AC420">
            <v>0</v>
          </cell>
          <cell r="AD420">
            <v>0</v>
          </cell>
          <cell r="AK420">
            <v>0</v>
          </cell>
          <cell r="AL420">
            <v>0</v>
          </cell>
        </row>
        <row r="421">
          <cell r="F421">
            <v>9.6666666666666661</v>
          </cell>
          <cell r="P421">
            <v>1</v>
          </cell>
          <cell r="X421">
            <v>0</v>
          </cell>
          <cell r="Y421">
            <v>0</v>
          </cell>
          <cell r="AC421">
            <v>0</v>
          </cell>
          <cell r="AD421">
            <v>0</v>
          </cell>
          <cell r="AK421">
            <v>12</v>
          </cell>
          <cell r="AL421">
            <v>5</v>
          </cell>
        </row>
        <row r="422">
          <cell r="F422">
            <v>0</v>
          </cell>
          <cell r="P422">
            <v>0</v>
          </cell>
          <cell r="X422">
            <v>0</v>
          </cell>
          <cell r="Y422">
            <v>0</v>
          </cell>
          <cell r="AC422">
            <v>0</v>
          </cell>
          <cell r="AD422">
            <v>0</v>
          </cell>
          <cell r="AK422">
            <v>0</v>
          </cell>
          <cell r="AL422">
            <v>0</v>
          </cell>
        </row>
        <row r="423">
          <cell r="F423">
            <v>2.3333333333333335</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P425">
            <v>4.666666666666667</v>
          </cell>
          <cell r="X425">
            <v>3</v>
          </cell>
          <cell r="Y425">
            <v>1</v>
          </cell>
          <cell r="AC425">
            <v>2</v>
          </cell>
          <cell r="AD425">
            <v>1</v>
          </cell>
          <cell r="AK425">
            <v>33</v>
          </cell>
          <cell r="AL425">
            <v>18.666666666666668</v>
          </cell>
        </row>
        <row r="426">
          <cell r="F426">
            <v>0</v>
          </cell>
          <cell r="P426">
            <v>0</v>
          </cell>
          <cell r="X426">
            <v>0</v>
          </cell>
          <cell r="Y426">
            <v>0</v>
          </cell>
          <cell r="AC426">
            <v>0</v>
          </cell>
          <cell r="AD426">
            <v>0</v>
          </cell>
          <cell r="AK426">
            <v>0</v>
          </cell>
          <cell r="AL426">
            <v>0</v>
          </cell>
        </row>
        <row r="427">
          <cell r="F427">
            <v>0</v>
          </cell>
          <cell r="P427">
            <v>0</v>
          </cell>
          <cell r="X427">
            <v>0</v>
          </cell>
          <cell r="Y427">
            <v>0</v>
          </cell>
          <cell r="AC427">
            <v>0</v>
          </cell>
          <cell r="AD427">
            <v>0</v>
          </cell>
          <cell r="AK427">
            <v>0</v>
          </cell>
          <cell r="AL427">
            <v>53</v>
          </cell>
        </row>
        <row r="428">
          <cell r="F428">
            <v>1</v>
          </cell>
          <cell r="P428">
            <v>0</v>
          </cell>
          <cell r="X428">
            <v>0</v>
          </cell>
          <cell r="Y428">
            <v>0</v>
          </cell>
          <cell r="AC428">
            <v>0</v>
          </cell>
          <cell r="AD428">
            <v>0</v>
          </cell>
          <cell r="AK428">
            <v>1</v>
          </cell>
          <cell r="AL428">
            <v>1</v>
          </cell>
        </row>
        <row r="429">
          <cell r="F429">
            <v>0</v>
          </cell>
          <cell r="P429">
            <v>0</v>
          </cell>
          <cell r="X429">
            <v>0</v>
          </cell>
          <cell r="Y429">
            <v>0</v>
          </cell>
          <cell r="AC429">
            <v>0</v>
          </cell>
          <cell r="AD429">
            <v>0</v>
          </cell>
          <cell r="AK429">
            <v>0</v>
          </cell>
          <cell r="AL429">
            <v>0</v>
          </cell>
        </row>
        <row r="430">
          <cell r="F430">
            <v>0</v>
          </cell>
          <cell r="P430">
            <v>0</v>
          </cell>
          <cell r="X430">
            <v>0</v>
          </cell>
          <cell r="Y430">
            <v>0</v>
          </cell>
          <cell r="AC430">
            <v>0</v>
          </cell>
          <cell r="AD430">
            <v>0</v>
          </cell>
          <cell r="AK430">
            <v>0</v>
          </cell>
          <cell r="AL430">
            <v>0</v>
          </cell>
        </row>
        <row r="431">
          <cell r="F431">
            <v>2.6666666666666665</v>
          </cell>
          <cell r="P431">
            <v>1</v>
          </cell>
          <cell r="X431">
            <v>4</v>
          </cell>
          <cell r="Y431">
            <v>2</v>
          </cell>
          <cell r="AC431">
            <v>2</v>
          </cell>
          <cell r="AD431">
            <v>1</v>
          </cell>
          <cell r="AK431">
            <v>15.666666666666666</v>
          </cell>
          <cell r="AL431">
            <v>8</v>
          </cell>
        </row>
        <row r="432">
          <cell r="F432">
            <v>0</v>
          </cell>
          <cell r="P432">
            <v>0</v>
          </cell>
          <cell r="X432">
            <v>0</v>
          </cell>
          <cell r="Y432">
            <v>0</v>
          </cell>
          <cell r="AC432">
            <v>0</v>
          </cell>
          <cell r="AD432">
            <v>0</v>
          </cell>
          <cell r="AK432">
            <v>0</v>
          </cell>
          <cell r="AL432">
            <v>0</v>
          </cell>
        </row>
        <row r="433">
          <cell r="F433">
            <v>0</v>
          </cell>
          <cell r="P433">
            <v>0</v>
          </cell>
          <cell r="X433">
            <v>3.3333333333333335</v>
          </cell>
          <cell r="Y433">
            <v>1</v>
          </cell>
          <cell r="AC433">
            <v>0</v>
          </cell>
          <cell r="AD433">
            <v>0</v>
          </cell>
          <cell r="AK433">
            <v>3.3333333333333335</v>
          </cell>
          <cell r="AL433">
            <v>1</v>
          </cell>
        </row>
        <row r="434">
          <cell r="F434">
            <v>0.33333333333333331</v>
          </cell>
          <cell r="P434">
            <v>0.33333333333333331</v>
          </cell>
          <cell r="X434">
            <v>0.33333333333333331</v>
          </cell>
          <cell r="Y434">
            <v>0</v>
          </cell>
          <cell r="AC434">
            <v>0.33333333333333331</v>
          </cell>
          <cell r="AD434">
            <v>0</v>
          </cell>
          <cell r="AK434">
            <v>1.9999999999999998</v>
          </cell>
          <cell r="AL434">
            <v>0.33333333333333331</v>
          </cell>
        </row>
        <row r="435">
          <cell r="F435">
            <v>0</v>
          </cell>
          <cell r="P435">
            <v>0</v>
          </cell>
          <cell r="X435">
            <v>0</v>
          </cell>
          <cell r="Y435">
            <v>0</v>
          </cell>
          <cell r="AC435">
            <v>0</v>
          </cell>
          <cell r="AD435">
            <v>0</v>
          </cell>
          <cell r="AK435">
            <v>0</v>
          </cell>
          <cell r="AL435">
            <v>0</v>
          </cell>
        </row>
        <row r="436">
          <cell r="F436">
            <v>0</v>
          </cell>
          <cell r="P436">
            <v>0</v>
          </cell>
          <cell r="X436">
            <v>0</v>
          </cell>
          <cell r="Y436">
            <v>0</v>
          </cell>
          <cell r="AC436">
            <v>0</v>
          </cell>
          <cell r="AD436">
            <v>0</v>
          </cell>
          <cell r="AK436">
            <v>0</v>
          </cell>
          <cell r="AL436">
            <v>0</v>
          </cell>
        </row>
        <row r="437">
          <cell r="F437">
            <v>0</v>
          </cell>
          <cell r="P437">
            <v>0</v>
          </cell>
          <cell r="X437">
            <v>0</v>
          </cell>
          <cell r="Y437">
            <v>0</v>
          </cell>
          <cell r="AC437">
            <v>0</v>
          </cell>
          <cell r="AD437">
            <v>0</v>
          </cell>
          <cell r="AK437">
            <v>0</v>
          </cell>
          <cell r="AL437">
            <v>0</v>
          </cell>
        </row>
        <row r="438">
          <cell r="F438">
            <v>0</v>
          </cell>
          <cell r="P438">
            <v>0</v>
          </cell>
          <cell r="X438">
            <v>0</v>
          </cell>
          <cell r="Y438">
            <v>0</v>
          </cell>
          <cell r="AC438">
            <v>0</v>
          </cell>
          <cell r="AD438">
            <v>0</v>
          </cell>
          <cell r="AK438">
            <v>0</v>
          </cell>
          <cell r="AL438">
            <v>0</v>
          </cell>
        </row>
        <row r="439">
          <cell r="F439">
            <v>0</v>
          </cell>
          <cell r="P439">
            <v>0</v>
          </cell>
          <cell r="X439">
            <v>0</v>
          </cell>
          <cell r="Y439">
            <v>0</v>
          </cell>
          <cell r="AC439">
            <v>0</v>
          </cell>
          <cell r="AD439">
            <v>0</v>
          </cell>
          <cell r="AK439">
            <v>0</v>
          </cell>
          <cell r="AL439">
            <v>0</v>
          </cell>
        </row>
        <row r="440">
          <cell r="F440">
            <v>0</v>
          </cell>
          <cell r="P440">
            <v>0</v>
          </cell>
          <cell r="X440">
            <v>0</v>
          </cell>
          <cell r="Y440">
            <v>0</v>
          </cell>
          <cell r="AC440">
            <v>0</v>
          </cell>
          <cell r="AD440">
            <v>0</v>
          </cell>
          <cell r="AK440">
            <v>0</v>
          </cell>
          <cell r="AL440">
            <v>0</v>
          </cell>
        </row>
        <row r="441">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4" refreshError="1">
        <row r="21">
          <cell r="AI21" t="str">
            <v xml:space="preserve">         Затверджую</v>
          </cell>
        </row>
        <row r="22">
          <cell r="AI22" t="str">
            <v xml:space="preserve"> Голова правління </v>
          </cell>
        </row>
        <row r="23">
          <cell r="AI23" t="str">
            <v xml:space="preserve"> Голова правління </v>
          </cell>
        </row>
        <row r="24">
          <cell r="AI24" t="str">
            <v xml:space="preserve">                        І.В.Плачков</v>
          </cell>
        </row>
        <row r="25">
          <cell r="AI25" t="str">
            <v xml:space="preserve">   "_____" ________2000 р.</v>
          </cell>
        </row>
        <row r="26">
          <cell r="AI26" t="str">
            <v xml:space="preserve">   "_____" ________2000 р.</v>
          </cell>
        </row>
        <row r="31">
          <cell r="Q31" t="str">
            <v>КТМ</v>
          </cell>
          <cell r="V31" t="str">
            <v xml:space="preserve">ТЕЦ-5 </v>
          </cell>
          <cell r="AA31"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cell r="AN33" t="str">
            <v>СТАНЦІї ЕЛЕКТРО</v>
          </cell>
          <cell r="AO33" t="str">
            <v>СТАНЦІІ ТЕПЛОВІ</v>
          </cell>
          <cell r="AP33" t="str">
            <v>МЕРЕЖІ ЕЛЕКТРО</v>
          </cell>
          <cell r="AQ33" t="str">
            <v>МЕРЕЖІ ТЕПЛОВІ</v>
          </cell>
        </row>
        <row r="34">
          <cell r="AL34">
            <v>605</v>
          </cell>
        </row>
        <row r="35">
          <cell r="AL35">
            <v>536.20000000000005</v>
          </cell>
        </row>
        <row r="36">
          <cell r="AL36">
            <v>0</v>
          </cell>
        </row>
        <row r="38">
          <cell r="AL38">
            <v>0</v>
          </cell>
        </row>
        <row r="39">
          <cell r="AL39">
            <v>0</v>
          </cell>
        </row>
        <row r="40">
          <cell r="AL40">
            <v>478.2</v>
          </cell>
        </row>
        <row r="41">
          <cell r="P41">
            <v>0</v>
          </cell>
          <cell r="AL41">
            <v>478.2</v>
          </cell>
        </row>
        <row r="42">
          <cell r="AM42">
            <v>1840</v>
          </cell>
        </row>
        <row r="43">
          <cell r="AM43">
            <v>0</v>
          </cell>
        </row>
        <row r="44">
          <cell r="AM44">
            <v>1660</v>
          </cell>
        </row>
        <row r="45">
          <cell r="F45">
            <v>2564.3333333333339</v>
          </cell>
          <cell r="P45">
            <v>2175</v>
          </cell>
          <cell r="S45">
            <v>7897</v>
          </cell>
          <cell r="T45">
            <v>4513.5299999999988</v>
          </cell>
          <cell r="U45">
            <v>1480.47</v>
          </cell>
          <cell r="X45">
            <v>2489.8484848484827</v>
          </cell>
          <cell r="AC45">
            <v>1464</v>
          </cell>
          <cell r="AF45">
            <v>4071.2424242424245</v>
          </cell>
          <cell r="AG45">
            <v>3280.4969696969697</v>
          </cell>
          <cell r="AH45">
            <v>790.74545454545455</v>
          </cell>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487.66666666666669</v>
          </cell>
          <cell r="G47">
            <v>231</v>
          </cell>
          <cell r="H47">
            <v>256.66666666666669</v>
          </cell>
          <cell r="P47">
            <v>353</v>
          </cell>
          <cell r="S47">
            <v>486</v>
          </cell>
          <cell r="T47">
            <v>243</v>
          </cell>
          <cell r="U47">
            <v>243</v>
          </cell>
          <cell r="X47">
            <v>123</v>
          </cell>
          <cell r="Y47">
            <v>53</v>
          </cell>
          <cell r="Z47">
            <v>70</v>
          </cell>
          <cell r="AC47">
            <v>299</v>
          </cell>
          <cell r="AD47">
            <v>114</v>
          </cell>
          <cell r="AE47">
            <v>185</v>
          </cell>
          <cell r="AF47">
            <v>226.33333333333334</v>
          </cell>
          <cell r="AG47">
            <v>155</v>
          </cell>
          <cell r="AH47">
            <v>71.333333333333343</v>
          </cell>
          <cell r="AI47">
            <v>0.45600000000000002</v>
          </cell>
          <cell r="AK47">
            <v>1998.6666666666667</v>
          </cell>
          <cell r="AL47">
            <v>778.6</v>
          </cell>
          <cell r="AM47">
            <v>1220.0666666666666</v>
          </cell>
          <cell r="AN47">
            <v>167</v>
          </cell>
          <cell r="AO47">
            <v>420</v>
          </cell>
          <cell r="AP47">
            <v>611.6</v>
          </cell>
          <cell r="AQ47">
            <v>800.06666666666661</v>
          </cell>
        </row>
        <row r="48">
          <cell r="F48">
            <v>67.833333333333329</v>
          </cell>
          <cell r="G48">
            <v>32</v>
          </cell>
          <cell r="P48">
            <v>336.7</v>
          </cell>
          <cell r="S48">
            <v>367</v>
          </cell>
          <cell r="X48">
            <v>32</v>
          </cell>
          <cell r="Y48">
            <v>14</v>
          </cell>
          <cell r="Z48">
            <v>18</v>
          </cell>
          <cell r="AC48">
            <v>32</v>
          </cell>
          <cell r="AD48">
            <v>12</v>
          </cell>
          <cell r="AE48">
            <v>20</v>
          </cell>
          <cell r="AF48">
            <v>206.95333333333335</v>
          </cell>
          <cell r="AG48">
            <v>141.72798232695141</v>
          </cell>
          <cell r="AH48">
            <v>65.225351006381942</v>
          </cell>
          <cell r="AK48">
            <v>1031.2613156602847</v>
          </cell>
          <cell r="AL48">
            <v>402.7</v>
          </cell>
          <cell r="AM48">
            <v>628.56131566028466</v>
          </cell>
        </row>
        <row r="49">
          <cell r="F49">
            <v>0</v>
          </cell>
          <cell r="G49">
            <v>0</v>
          </cell>
          <cell r="H49">
            <v>120.376</v>
          </cell>
          <cell r="P49">
            <v>1</v>
          </cell>
          <cell r="S49">
            <v>558.61599999999999</v>
          </cell>
          <cell r="T49">
            <v>279.30799999999999</v>
          </cell>
          <cell r="U49">
            <v>279.30799999999999</v>
          </cell>
          <cell r="X49">
            <v>46</v>
          </cell>
          <cell r="Y49">
            <v>20</v>
          </cell>
          <cell r="Z49">
            <v>26</v>
          </cell>
          <cell r="AC49">
            <v>195</v>
          </cell>
          <cell r="AD49">
            <v>74</v>
          </cell>
          <cell r="AE49">
            <v>121</v>
          </cell>
          <cell r="AF49">
            <v>303.20800000000003</v>
          </cell>
          <cell r="AG49">
            <v>220.68</v>
          </cell>
          <cell r="AH49">
            <v>0</v>
          </cell>
          <cell r="AK49">
            <v>242</v>
          </cell>
          <cell r="AL49">
            <v>95</v>
          </cell>
          <cell r="AM49">
            <v>147</v>
          </cell>
        </row>
        <row r="50">
          <cell r="F50">
            <v>417.35999999999996</v>
          </cell>
          <cell r="G50">
            <v>197</v>
          </cell>
          <cell r="H50">
            <v>36.833333333333329</v>
          </cell>
          <cell r="P50">
            <v>4</v>
          </cell>
          <cell r="S50">
            <v>80</v>
          </cell>
          <cell r="X50">
            <v>35</v>
          </cell>
          <cell r="Y50">
            <v>15</v>
          </cell>
          <cell r="Z50">
            <v>20</v>
          </cell>
          <cell r="AC50">
            <v>29</v>
          </cell>
          <cell r="AD50">
            <v>11</v>
          </cell>
          <cell r="AE50">
            <v>18</v>
          </cell>
          <cell r="AF50">
            <v>17.266666666666666</v>
          </cell>
          <cell r="AG50">
            <v>11.824742268041236</v>
          </cell>
          <cell r="AH50">
            <v>5.4419243986254298</v>
          </cell>
          <cell r="AK50">
            <v>577.18474226804119</v>
          </cell>
          <cell r="AL50">
            <v>227</v>
          </cell>
          <cell r="AM50">
            <v>350.18474226804119</v>
          </cell>
        </row>
        <row r="51">
          <cell r="F51">
            <v>1</v>
          </cell>
          <cell r="G51">
            <v>0</v>
          </cell>
          <cell r="H51">
            <v>1</v>
          </cell>
          <cell r="P51">
            <v>29</v>
          </cell>
          <cell r="S51">
            <v>403</v>
          </cell>
          <cell r="T51">
            <v>314.34000000000003</v>
          </cell>
          <cell r="U51">
            <v>88.659999999999968</v>
          </cell>
          <cell r="X51">
            <v>889</v>
          </cell>
          <cell r="Y51">
            <v>386</v>
          </cell>
          <cell r="Z51">
            <v>503</v>
          </cell>
          <cell r="AC51">
            <v>67</v>
          </cell>
          <cell r="AD51">
            <v>26</v>
          </cell>
          <cell r="AE51">
            <v>41</v>
          </cell>
          <cell r="AF51">
            <v>162.33333333333334</v>
          </cell>
          <cell r="AG51">
            <v>111.66666666666667</v>
          </cell>
          <cell r="AH51">
            <v>50.666666666666671</v>
          </cell>
          <cell r="AK51">
            <v>1501.6666666666667</v>
          </cell>
          <cell r="AL51">
            <v>442</v>
          </cell>
          <cell r="AM51">
            <v>1059.6666666666667</v>
          </cell>
          <cell r="AN51">
            <v>412</v>
          </cell>
          <cell r="AO51">
            <v>681</v>
          </cell>
          <cell r="AP51">
            <v>30</v>
          </cell>
          <cell r="AQ51">
            <v>378.66666666666674</v>
          </cell>
        </row>
        <row r="52">
          <cell r="F52">
            <v>0</v>
          </cell>
          <cell r="G52">
            <v>0</v>
          </cell>
          <cell r="H52">
            <v>0</v>
          </cell>
          <cell r="P52">
            <v>4</v>
          </cell>
          <cell r="S52">
            <v>22</v>
          </cell>
          <cell r="T52">
            <v>22</v>
          </cell>
          <cell r="U52">
            <v>0</v>
          </cell>
          <cell r="X52">
            <v>790</v>
          </cell>
          <cell r="Y52">
            <v>343</v>
          </cell>
          <cell r="Z52">
            <v>447</v>
          </cell>
          <cell r="AC52">
            <v>13</v>
          </cell>
          <cell r="AD52">
            <v>5</v>
          </cell>
          <cell r="AE52">
            <v>8</v>
          </cell>
          <cell r="AF52">
            <v>7.8735999999999997</v>
          </cell>
          <cell r="AG52">
            <v>5.7305415688240409</v>
          </cell>
          <cell r="AH52">
            <v>0</v>
          </cell>
          <cell r="AK52">
            <v>825</v>
          </cell>
          <cell r="AL52">
            <v>348</v>
          </cell>
          <cell r="AM52">
            <v>477</v>
          </cell>
          <cell r="AN52">
            <v>348</v>
          </cell>
          <cell r="AO52">
            <v>462</v>
          </cell>
          <cell r="AP52">
            <v>0</v>
          </cell>
          <cell r="AQ52">
            <v>15</v>
          </cell>
        </row>
        <row r="53">
          <cell r="F53">
            <v>0</v>
          </cell>
          <cell r="G53">
            <v>0</v>
          </cell>
          <cell r="H53">
            <v>0</v>
          </cell>
          <cell r="P53">
            <v>0</v>
          </cell>
          <cell r="S53">
            <v>19250</v>
          </cell>
          <cell r="T53">
            <v>19250</v>
          </cell>
          <cell r="U53">
            <v>0</v>
          </cell>
          <cell r="X53">
            <v>44597</v>
          </cell>
          <cell r="Y53">
            <v>30041.25</v>
          </cell>
          <cell r="Z53">
            <v>14555.75</v>
          </cell>
          <cell r="AC53">
            <v>36151</v>
          </cell>
          <cell r="AD53">
            <v>22308.272727272721</v>
          </cell>
          <cell r="AE53">
            <v>13842.727272727279</v>
          </cell>
          <cell r="AF53">
            <v>120.024</v>
          </cell>
          <cell r="AG53">
            <v>96.92</v>
          </cell>
          <cell r="AH53">
            <v>0</v>
          </cell>
          <cell r="AK53">
            <v>99998</v>
          </cell>
          <cell r="AL53">
            <v>52349.522727272721</v>
          </cell>
          <cell r="AM53">
            <v>47648.477272727279</v>
          </cell>
          <cell r="AN53">
            <v>52349.522727272721</v>
          </cell>
          <cell r="AO53">
            <v>47648</v>
          </cell>
          <cell r="AP53">
            <v>0</v>
          </cell>
          <cell r="AQ53">
            <v>0.47727272727934178</v>
          </cell>
        </row>
        <row r="54">
          <cell r="F54">
            <v>0</v>
          </cell>
          <cell r="G54">
            <v>0</v>
          </cell>
          <cell r="H54">
            <v>0</v>
          </cell>
          <cell r="P54">
            <v>0</v>
          </cell>
          <cell r="S54">
            <v>19250</v>
          </cell>
          <cell r="T54">
            <v>19250</v>
          </cell>
          <cell r="U54">
            <v>0</v>
          </cell>
          <cell r="X54">
            <v>44597</v>
          </cell>
          <cell r="Y54">
            <v>30041.25</v>
          </cell>
          <cell r="Z54">
            <v>14555.75</v>
          </cell>
          <cell r="AC54">
            <v>36151</v>
          </cell>
          <cell r="AD54">
            <v>22308.272727272721</v>
          </cell>
          <cell r="AE54">
            <v>13842.727272727279</v>
          </cell>
          <cell r="AH54">
            <v>0</v>
          </cell>
          <cell r="AI54">
            <v>0</v>
          </cell>
          <cell r="AK54">
            <v>99998</v>
          </cell>
          <cell r="AL54">
            <v>52349.522727272721</v>
          </cell>
          <cell r="AM54">
            <v>47648.477272727279</v>
          </cell>
          <cell r="AN54">
            <v>52349.522727272721</v>
          </cell>
          <cell r="AO54">
            <v>47648</v>
          </cell>
          <cell r="AP54">
            <v>0</v>
          </cell>
          <cell r="AQ54">
            <v>0.47727272727934178</v>
          </cell>
        </row>
        <row r="55">
          <cell r="F55">
            <v>0</v>
          </cell>
          <cell r="G55">
            <v>0</v>
          </cell>
          <cell r="H55">
            <v>0</v>
          </cell>
          <cell r="P55">
            <v>0</v>
          </cell>
          <cell r="S55">
            <v>19250</v>
          </cell>
          <cell r="T55">
            <v>0</v>
          </cell>
          <cell r="U55">
            <v>0</v>
          </cell>
          <cell r="X55">
            <v>44597</v>
          </cell>
          <cell r="Y55">
            <v>30041.25</v>
          </cell>
          <cell r="Z55">
            <v>14555.75</v>
          </cell>
          <cell r="AC55">
            <v>36151</v>
          </cell>
          <cell r="AD55">
            <v>22308.272727272721</v>
          </cell>
          <cell r="AE55">
            <v>13842.727272727279</v>
          </cell>
          <cell r="AH55">
            <v>0</v>
          </cell>
          <cell r="AK55">
            <v>0</v>
          </cell>
          <cell r="AL55">
            <v>0</v>
          </cell>
          <cell r="AM55">
            <v>0</v>
          </cell>
          <cell r="AO55">
            <v>0</v>
          </cell>
        </row>
        <row r="56">
          <cell r="F56">
            <v>7</v>
          </cell>
          <cell r="G56">
            <v>3</v>
          </cell>
          <cell r="H56">
            <v>4</v>
          </cell>
          <cell r="P56">
            <v>56</v>
          </cell>
          <cell r="S56">
            <v>3154</v>
          </cell>
          <cell r="T56">
            <v>3154</v>
          </cell>
          <cell r="U56">
            <v>0</v>
          </cell>
          <cell r="X56">
            <v>0</v>
          </cell>
          <cell r="Y56">
            <v>0</v>
          </cell>
          <cell r="Z56">
            <v>0</v>
          </cell>
          <cell r="AC56">
            <v>0</v>
          </cell>
          <cell r="AD56">
            <v>0</v>
          </cell>
          <cell r="AE56">
            <v>0</v>
          </cell>
          <cell r="AF56">
            <v>890</v>
          </cell>
          <cell r="AG56">
            <v>442</v>
          </cell>
          <cell r="AH56">
            <v>448</v>
          </cell>
          <cell r="AI56">
            <v>0</v>
          </cell>
          <cell r="AK56">
            <v>3659</v>
          </cell>
          <cell r="AL56">
            <v>59</v>
          </cell>
          <cell r="AM56">
            <v>3600</v>
          </cell>
          <cell r="AN56">
            <v>0</v>
          </cell>
          <cell r="AO56">
            <v>1072</v>
          </cell>
          <cell r="AP56">
            <v>59</v>
          </cell>
          <cell r="AQ56">
            <v>2528</v>
          </cell>
        </row>
        <row r="57">
          <cell r="F57">
            <v>288</v>
          </cell>
          <cell r="G57">
            <v>136</v>
          </cell>
          <cell r="H57">
            <v>152</v>
          </cell>
          <cell r="P57">
            <v>449</v>
          </cell>
          <cell r="S57">
            <v>816</v>
          </cell>
          <cell r="T57">
            <v>399.84</v>
          </cell>
          <cell r="U57">
            <v>416.16</v>
          </cell>
          <cell r="X57">
            <v>238.18181818181819</v>
          </cell>
          <cell r="Y57">
            <v>103</v>
          </cell>
          <cell r="Z57">
            <v>135.18181818181819</v>
          </cell>
          <cell r="AC57">
            <v>210</v>
          </cell>
          <cell r="AD57">
            <v>80</v>
          </cell>
          <cell r="AE57">
            <v>130</v>
          </cell>
          <cell r="AF57">
            <v>960.90909090909088</v>
          </cell>
          <cell r="AG57">
            <v>807.16363636363633</v>
          </cell>
          <cell r="AH57">
            <v>153.74545454545455</v>
          </cell>
          <cell r="AK57">
            <v>3032.3454545454542</v>
          </cell>
          <cell r="AL57">
            <v>915</v>
          </cell>
          <cell r="AM57">
            <v>2117.3454545454542</v>
          </cell>
          <cell r="AN57">
            <v>183</v>
          </cell>
          <cell r="AO57">
            <v>543</v>
          </cell>
          <cell r="AP57">
            <v>732</v>
          </cell>
          <cell r="AQ57">
            <v>1574.3454545454542</v>
          </cell>
        </row>
        <row r="58">
          <cell r="F58">
            <v>16</v>
          </cell>
          <cell r="G58">
            <v>8</v>
          </cell>
          <cell r="H58">
            <v>8</v>
          </cell>
          <cell r="P58">
            <v>25</v>
          </cell>
          <cell r="S58">
            <v>45</v>
          </cell>
          <cell r="T58">
            <v>22</v>
          </cell>
          <cell r="U58">
            <v>23</v>
          </cell>
          <cell r="X58">
            <v>13</v>
          </cell>
          <cell r="Y58">
            <v>6</v>
          </cell>
          <cell r="Z58">
            <v>7</v>
          </cell>
          <cell r="AC58">
            <v>12</v>
          </cell>
          <cell r="AD58">
            <v>5</v>
          </cell>
          <cell r="AE58">
            <v>7</v>
          </cell>
          <cell r="AF58">
            <v>53</v>
          </cell>
          <cell r="AG58">
            <v>44</v>
          </cell>
          <cell r="AH58">
            <v>9</v>
          </cell>
          <cell r="AK58">
            <v>167</v>
          </cell>
          <cell r="AL58">
            <v>52</v>
          </cell>
          <cell r="AM58">
            <v>115</v>
          </cell>
          <cell r="AN58">
            <v>11</v>
          </cell>
          <cell r="AO58">
            <v>23</v>
          </cell>
          <cell r="AP58">
            <v>41</v>
          </cell>
          <cell r="AQ58">
            <v>92</v>
          </cell>
        </row>
        <row r="59">
          <cell r="F59">
            <v>92</v>
          </cell>
          <cell r="G59">
            <v>43</v>
          </cell>
          <cell r="H59">
            <v>49</v>
          </cell>
          <cell r="P59">
            <v>144</v>
          </cell>
          <cell r="S59">
            <v>261</v>
          </cell>
          <cell r="T59">
            <v>128</v>
          </cell>
          <cell r="U59">
            <v>133</v>
          </cell>
          <cell r="X59">
            <v>76</v>
          </cell>
          <cell r="Y59">
            <v>33</v>
          </cell>
          <cell r="Z59">
            <v>43</v>
          </cell>
          <cell r="AC59">
            <v>67</v>
          </cell>
          <cell r="AD59">
            <v>26</v>
          </cell>
          <cell r="AE59">
            <v>41</v>
          </cell>
          <cell r="AF59">
            <v>307</v>
          </cell>
          <cell r="AG59">
            <v>258</v>
          </cell>
          <cell r="AH59">
            <v>49</v>
          </cell>
          <cell r="AI59">
            <v>0</v>
          </cell>
          <cell r="AK59">
            <v>970</v>
          </cell>
          <cell r="AL59">
            <v>293</v>
          </cell>
          <cell r="AM59">
            <v>677</v>
          </cell>
          <cell r="AN59">
            <v>0</v>
          </cell>
          <cell r="AO59">
            <v>0</v>
          </cell>
          <cell r="AP59">
            <v>0</v>
          </cell>
          <cell r="AQ59">
            <v>0</v>
          </cell>
        </row>
        <row r="60">
          <cell r="F60">
            <v>20</v>
          </cell>
          <cell r="G60">
            <v>0</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0</v>
          </cell>
          <cell r="AI60">
            <v>38</v>
          </cell>
          <cell r="AK60">
            <v>0</v>
          </cell>
          <cell r="AL60">
            <v>81</v>
          </cell>
          <cell r="AM60">
            <v>195</v>
          </cell>
        </row>
        <row r="61">
          <cell r="F61">
            <v>87.333333333333329</v>
          </cell>
          <cell r="G61">
            <v>41</v>
          </cell>
          <cell r="H61">
            <v>46.333333333333329</v>
          </cell>
          <cell r="P61">
            <v>586</v>
          </cell>
          <cell r="S61">
            <v>1427</v>
          </cell>
          <cell r="T61">
            <v>228.32</v>
          </cell>
          <cell r="U61">
            <v>1198.68</v>
          </cell>
          <cell r="X61">
            <v>708</v>
          </cell>
          <cell r="Y61">
            <v>307</v>
          </cell>
          <cell r="Z61">
            <v>401</v>
          </cell>
          <cell r="AC61">
            <v>734</v>
          </cell>
          <cell r="AD61">
            <v>280</v>
          </cell>
          <cell r="AE61">
            <v>454</v>
          </cell>
          <cell r="AF61">
            <v>586.33333333333337</v>
          </cell>
          <cell r="AG61">
            <v>530.33333333333337</v>
          </cell>
          <cell r="AH61">
            <v>56</v>
          </cell>
          <cell r="AI61">
            <v>222</v>
          </cell>
          <cell r="AK61">
            <v>4083.666666666667</v>
          </cell>
          <cell r="AL61">
            <v>1224</v>
          </cell>
          <cell r="AM61">
            <v>2859.666666666667</v>
          </cell>
          <cell r="AN61">
            <v>587</v>
          </cell>
          <cell r="AO61">
            <v>1340</v>
          </cell>
          <cell r="AP61">
            <v>637</v>
          </cell>
          <cell r="AQ61">
            <v>1519.666666666667</v>
          </cell>
        </row>
        <row r="62">
          <cell r="G62">
            <v>0</v>
          </cell>
          <cell r="T62">
            <v>23</v>
          </cell>
          <cell r="U62">
            <v>120</v>
          </cell>
          <cell r="AH62">
            <v>0</v>
          </cell>
          <cell r="AI62">
            <v>0</v>
          </cell>
          <cell r="AJ62">
            <v>0</v>
          </cell>
          <cell r="AK62">
            <v>0</v>
          </cell>
          <cell r="AN62">
            <v>59</v>
          </cell>
          <cell r="AO62">
            <v>134</v>
          </cell>
          <cell r="AP62">
            <v>64</v>
          </cell>
          <cell r="AQ62">
            <v>152</v>
          </cell>
        </row>
        <row r="63">
          <cell r="F63">
            <v>68</v>
          </cell>
          <cell r="G63">
            <v>32</v>
          </cell>
          <cell r="H63">
            <v>36</v>
          </cell>
          <cell r="P63">
            <v>350</v>
          </cell>
          <cell r="S63">
            <v>920</v>
          </cell>
          <cell r="T63">
            <v>228.32</v>
          </cell>
          <cell r="U63">
            <v>1198.68</v>
          </cell>
          <cell r="X63">
            <v>110</v>
          </cell>
          <cell r="Y63">
            <v>307</v>
          </cell>
          <cell r="Z63">
            <v>401</v>
          </cell>
          <cell r="AC63">
            <v>80</v>
          </cell>
          <cell r="AD63">
            <v>31</v>
          </cell>
          <cell r="AE63">
            <v>454</v>
          </cell>
          <cell r="AF63">
            <v>250</v>
          </cell>
          <cell r="AG63">
            <v>250</v>
          </cell>
          <cell r="AH63">
            <v>0</v>
          </cell>
          <cell r="AK63">
            <v>1791</v>
          </cell>
          <cell r="AL63">
            <v>426</v>
          </cell>
          <cell r="AM63">
            <v>1365</v>
          </cell>
          <cell r="AO63">
            <v>253</v>
          </cell>
        </row>
        <row r="64">
          <cell r="F64">
            <v>0</v>
          </cell>
          <cell r="G64">
            <v>0</v>
          </cell>
          <cell r="P64">
            <v>0</v>
          </cell>
          <cell r="S64">
            <v>0</v>
          </cell>
          <cell r="T64">
            <v>23</v>
          </cell>
          <cell r="U64">
            <v>120</v>
          </cell>
          <cell r="AC64">
            <v>0</v>
          </cell>
          <cell r="AD64">
            <v>0</v>
          </cell>
          <cell r="AF64">
            <v>0</v>
          </cell>
          <cell r="AG64">
            <v>0</v>
          </cell>
          <cell r="AH64">
            <v>0</v>
          </cell>
          <cell r="AI64">
            <v>0</v>
          </cell>
          <cell r="AJ64">
            <v>0</v>
          </cell>
          <cell r="AK64">
            <v>0</v>
          </cell>
          <cell r="AL64">
            <v>0</v>
          </cell>
          <cell r="AM64">
            <v>0</v>
          </cell>
          <cell r="AO64">
            <v>0</v>
          </cell>
        </row>
        <row r="65">
          <cell r="F65">
            <v>19.333333333333329</v>
          </cell>
          <cell r="G65">
            <v>9</v>
          </cell>
          <cell r="H65">
            <v>10.333333333333329</v>
          </cell>
          <cell r="P65">
            <v>236</v>
          </cell>
          <cell r="S65">
            <v>507</v>
          </cell>
          <cell r="T65">
            <v>205.32</v>
          </cell>
          <cell r="U65">
            <v>1078.68</v>
          </cell>
          <cell r="X65">
            <v>598</v>
          </cell>
          <cell r="Y65">
            <v>307</v>
          </cell>
          <cell r="Z65">
            <v>401</v>
          </cell>
          <cell r="AC65">
            <v>654</v>
          </cell>
          <cell r="AD65">
            <v>249</v>
          </cell>
          <cell r="AE65">
            <v>454</v>
          </cell>
          <cell r="AF65">
            <v>336.33333333333337</v>
          </cell>
          <cell r="AG65">
            <v>280.33333333333337</v>
          </cell>
          <cell r="AH65">
            <v>56</v>
          </cell>
          <cell r="AI65">
            <v>0</v>
          </cell>
          <cell r="AJ65">
            <v>0</v>
          </cell>
          <cell r="AK65">
            <v>2292.6666666666665</v>
          </cell>
          <cell r="AL65">
            <v>798</v>
          </cell>
          <cell r="AM65">
            <v>1494.666666666667</v>
          </cell>
          <cell r="AN65">
            <v>528</v>
          </cell>
          <cell r="AO65">
            <v>953</v>
          </cell>
          <cell r="AP65">
            <v>573</v>
          </cell>
          <cell r="AQ65">
            <v>1367.666666666667</v>
          </cell>
        </row>
        <row r="66">
          <cell r="F66">
            <v>63</v>
          </cell>
          <cell r="G66">
            <v>30</v>
          </cell>
          <cell r="H66">
            <v>33</v>
          </cell>
          <cell r="P66">
            <v>370</v>
          </cell>
          <cell r="S66">
            <v>719</v>
          </cell>
          <cell r="T66">
            <v>179.75</v>
          </cell>
          <cell r="U66">
            <v>539.25</v>
          </cell>
          <cell r="X66">
            <v>550</v>
          </cell>
          <cell r="Y66">
            <v>239</v>
          </cell>
          <cell r="Z66">
            <v>311</v>
          </cell>
          <cell r="AC66">
            <v>480</v>
          </cell>
          <cell r="AD66">
            <v>183</v>
          </cell>
          <cell r="AE66">
            <v>297</v>
          </cell>
          <cell r="AF66">
            <v>506</v>
          </cell>
          <cell r="AG66">
            <v>506</v>
          </cell>
          <cell r="AH66">
            <v>0</v>
          </cell>
          <cell r="AK66">
            <v>2688</v>
          </cell>
          <cell r="AL66">
            <v>822</v>
          </cell>
          <cell r="AM66">
            <v>1866</v>
          </cell>
          <cell r="AN66">
            <v>422</v>
          </cell>
          <cell r="AO66">
            <v>852</v>
          </cell>
          <cell r="AP66">
            <v>400</v>
          </cell>
          <cell r="AQ66">
            <v>1014</v>
          </cell>
        </row>
        <row r="67">
          <cell r="F67">
            <v>0</v>
          </cell>
          <cell r="G67">
            <v>0</v>
          </cell>
          <cell r="H67">
            <v>10.333333333333329</v>
          </cell>
          <cell r="P67">
            <v>53</v>
          </cell>
          <cell r="S67">
            <v>296</v>
          </cell>
          <cell r="T67">
            <v>205.32</v>
          </cell>
          <cell r="U67">
            <v>1078.68</v>
          </cell>
          <cell r="X67">
            <v>197.81818181818181</v>
          </cell>
          <cell r="Y67">
            <v>86</v>
          </cell>
          <cell r="Z67">
            <v>111.81818181818181</v>
          </cell>
          <cell r="AC67">
            <v>144</v>
          </cell>
          <cell r="AD67">
            <v>55</v>
          </cell>
          <cell r="AE67">
            <v>89</v>
          </cell>
          <cell r="AF67">
            <v>85.090909090909093</v>
          </cell>
          <cell r="AG67">
            <v>85.090909090909093</v>
          </cell>
          <cell r="AH67">
            <v>0</v>
          </cell>
          <cell r="AI67">
            <v>0</v>
          </cell>
          <cell r="AJ67">
            <v>0</v>
          </cell>
          <cell r="AK67">
            <v>775.90909090909088</v>
          </cell>
          <cell r="AL67">
            <v>194</v>
          </cell>
          <cell r="AM67">
            <v>581.90909090909088</v>
          </cell>
        </row>
        <row r="68">
          <cell r="F68">
            <v>0</v>
          </cell>
          <cell r="G68">
            <v>0</v>
          </cell>
          <cell r="H68">
            <v>18.641999999999996</v>
          </cell>
          <cell r="P68">
            <v>3</v>
          </cell>
          <cell r="S68">
            <v>16</v>
          </cell>
          <cell r="T68">
            <v>125.15</v>
          </cell>
          <cell r="U68">
            <v>375.45000000000005</v>
          </cell>
          <cell r="X68">
            <v>11</v>
          </cell>
          <cell r="Y68">
            <v>5</v>
          </cell>
          <cell r="Z68">
            <v>6</v>
          </cell>
          <cell r="AC68">
            <v>8</v>
          </cell>
          <cell r="AD68">
            <v>3</v>
          </cell>
          <cell r="AE68">
            <v>5</v>
          </cell>
          <cell r="AF68">
            <v>5</v>
          </cell>
          <cell r="AG68">
            <v>5</v>
          </cell>
          <cell r="AH68">
            <v>0</v>
          </cell>
          <cell r="AK68">
            <v>43</v>
          </cell>
          <cell r="AL68">
            <v>11</v>
          </cell>
          <cell r="AM68">
            <v>32</v>
          </cell>
        </row>
        <row r="69">
          <cell r="F69">
            <v>0</v>
          </cell>
          <cell r="G69">
            <v>0</v>
          </cell>
          <cell r="P69">
            <v>17</v>
          </cell>
          <cell r="S69">
            <v>95</v>
          </cell>
          <cell r="X69">
            <v>63</v>
          </cell>
          <cell r="Y69">
            <v>27</v>
          </cell>
          <cell r="Z69">
            <v>36</v>
          </cell>
          <cell r="AC69">
            <v>45</v>
          </cell>
          <cell r="AD69">
            <v>17</v>
          </cell>
          <cell r="AE69">
            <v>28</v>
          </cell>
          <cell r="AF69">
            <v>27</v>
          </cell>
          <cell r="AG69">
            <v>27</v>
          </cell>
          <cell r="AH69">
            <v>0</v>
          </cell>
          <cell r="AK69">
            <v>247</v>
          </cell>
          <cell r="AL69">
            <v>61</v>
          </cell>
          <cell r="AM69">
            <v>186</v>
          </cell>
        </row>
        <row r="70">
          <cell r="F70">
            <v>0</v>
          </cell>
          <cell r="G70">
            <v>0</v>
          </cell>
          <cell r="P70">
            <v>3</v>
          </cell>
          <cell r="S70">
            <v>16</v>
          </cell>
          <cell r="X70">
            <v>11</v>
          </cell>
          <cell r="Y70">
            <v>5</v>
          </cell>
          <cell r="Z70">
            <v>6</v>
          </cell>
          <cell r="AC70">
            <v>8</v>
          </cell>
          <cell r="AD70">
            <v>3</v>
          </cell>
          <cell r="AE70">
            <v>5</v>
          </cell>
          <cell r="AF70">
            <v>5</v>
          </cell>
          <cell r="AG70">
            <v>5</v>
          </cell>
          <cell r="AH70">
            <v>0</v>
          </cell>
          <cell r="AK70">
            <v>0</v>
          </cell>
          <cell r="AL70">
            <v>0</v>
          </cell>
          <cell r="AM70">
            <v>0</v>
          </cell>
        </row>
        <row r="71">
          <cell r="F71">
            <v>63</v>
          </cell>
          <cell r="G71">
            <v>30</v>
          </cell>
          <cell r="P71">
            <v>370</v>
          </cell>
          <cell r="S71">
            <v>719</v>
          </cell>
          <cell r="X71">
            <v>550</v>
          </cell>
          <cell r="Y71">
            <v>239</v>
          </cell>
          <cell r="Z71">
            <v>311</v>
          </cell>
          <cell r="AC71">
            <v>480</v>
          </cell>
          <cell r="AD71">
            <v>183</v>
          </cell>
          <cell r="AE71">
            <v>297</v>
          </cell>
          <cell r="AF71">
            <v>506</v>
          </cell>
          <cell r="AG71">
            <v>506</v>
          </cell>
          <cell r="AH71">
            <v>0</v>
          </cell>
          <cell r="AK71">
            <v>2688</v>
          </cell>
          <cell r="AL71">
            <v>832</v>
          </cell>
          <cell r="AM71">
            <v>1856</v>
          </cell>
        </row>
        <row r="72">
          <cell r="F72">
            <v>0</v>
          </cell>
          <cell r="G72">
            <v>0</v>
          </cell>
          <cell r="P72">
            <v>0</v>
          </cell>
          <cell r="S72">
            <v>0</v>
          </cell>
          <cell r="X72">
            <v>0</v>
          </cell>
          <cell r="Z72">
            <v>0</v>
          </cell>
          <cell r="AC72">
            <v>0</v>
          </cell>
          <cell r="AD72">
            <v>0</v>
          </cell>
          <cell r="AE72">
            <v>0</v>
          </cell>
          <cell r="AH72">
            <v>0</v>
          </cell>
          <cell r="AK72">
            <v>0</v>
          </cell>
          <cell r="AL72">
            <v>0</v>
          </cell>
          <cell r="AM72">
            <v>0</v>
          </cell>
        </row>
        <row r="73">
          <cell r="F73">
            <v>444.33333333333337</v>
          </cell>
          <cell r="G73">
            <v>210</v>
          </cell>
          <cell r="H73">
            <v>234.33333333333334</v>
          </cell>
          <cell r="P73">
            <v>45</v>
          </cell>
          <cell r="S73">
            <v>110</v>
          </cell>
          <cell r="T73">
            <v>72.600000000000009</v>
          </cell>
          <cell r="U73">
            <v>37.399999999999991</v>
          </cell>
          <cell r="X73">
            <v>68</v>
          </cell>
          <cell r="Y73">
            <v>30</v>
          </cell>
          <cell r="Z73">
            <v>38</v>
          </cell>
          <cell r="AC73">
            <v>27</v>
          </cell>
          <cell r="AD73">
            <v>10</v>
          </cell>
          <cell r="AE73">
            <v>17</v>
          </cell>
          <cell r="AF73">
            <v>105.66666666666667</v>
          </cell>
          <cell r="AG73">
            <v>96.666666666666671</v>
          </cell>
          <cell r="AH73">
            <v>9</v>
          </cell>
          <cell r="AI73">
            <v>0</v>
          </cell>
          <cell r="AK73">
            <v>1113</v>
          </cell>
          <cell r="AL73">
            <v>418</v>
          </cell>
          <cell r="AM73">
            <v>695</v>
          </cell>
          <cell r="AN73">
            <v>40</v>
          </cell>
          <cell r="AO73">
            <v>92</v>
          </cell>
          <cell r="AP73">
            <v>378</v>
          </cell>
          <cell r="AQ73">
            <v>603</v>
          </cell>
        </row>
        <row r="74">
          <cell r="F74">
            <v>61.666666666666664</v>
          </cell>
          <cell r="G74">
            <v>29</v>
          </cell>
          <cell r="H74">
            <v>32.666666666666664</v>
          </cell>
          <cell r="P74">
            <v>0</v>
          </cell>
          <cell r="S74">
            <v>0</v>
          </cell>
          <cell r="T74">
            <v>0</v>
          </cell>
          <cell r="U74">
            <v>0</v>
          </cell>
          <cell r="X74">
            <v>0</v>
          </cell>
          <cell r="Y74">
            <v>0</v>
          </cell>
          <cell r="Z74">
            <v>0</v>
          </cell>
          <cell r="AC74">
            <v>0</v>
          </cell>
          <cell r="AD74">
            <v>0</v>
          </cell>
          <cell r="AE74">
            <v>0</v>
          </cell>
          <cell r="AH74">
            <v>0</v>
          </cell>
          <cell r="AK74">
            <v>61.666666666666664</v>
          </cell>
          <cell r="AL74">
            <v>29</v>
          </cell>
          <cell r="AM74">
            <v>32.666666666666664</v>
          </cell>
          <cell r="AN74">
            <v>0</v>
          </cell>
          <cell r="AO74">
            <v>0</v>
          </cell>
          <cell r="AP74">
            <v>29</v>
          </cell>
          <cell r="AQ74">
            <v>32.666666666666664</v>
          </cell>
        </row>
        <row r="75">
          <cell r="F75">
            <v>382.66666666666669</v>
          </cell>
          <cell r="G75">
            <v>181</v>
          </cell>
          <cell r="H75">
            <v>201.66666666666669</v>
          </cell>
          <cell r="P75">
            <v>45</v>
          </cell>
          <cell r="S75">
            <v>110</v>
          </cell>
          <cell r="T75">
            <v>72.600000000000009</v>
          </cell>
          <cell r="U75">
            <v>37.399999999999991</v>
          </cell>
          <cell r="X75">
            <v>68</v>
          </cell>
          <cell r="Y75">
            <v>30</v>
          </cell>
          <cell r="Z75">
            <v>38</v>
          </cell>
          <cell r="AC75">
            <v>27</v>
          </cell>
          <cell r="AD75">
            <v>10</v>
          </cell>
          <cell r="AE75">
            <v>17</v>
          </cell>
          <cell r="AF75">
            <v>105.66666666666667</v>
          </cell>
          <cell r="AG75">
            <v>96.666666666666671</v>
          </cell>
          <cell r="AH75">
            <v>9</v>
          </cell>
          <cell r="AI75">
            <v>370</v>
          </cell>
          <cell r="AK75">
            <v>1051.3333333333335</v>
          </cell>
          <cell r="AL75">
            <v>389</v>
          </cell>
          <cell r="AM75">
            <v>662.33333333333348</v>
          </cell>
          <cell r="AN75">
            <v>40</v>
          </cell>
          <cell r="AO75">
            <v>92</v>
          </cell>
          <cell r="AP75">
            <v>349</v>
          </cell>
          <cell r="AQ75">
            <v>570.33333333333348</v>
          </cell>
        </row>
        <row r="76">
          <cell r="F76">
            <v>382.66666666666669</v>
          </cell>
          <cell r="G76">
            <v>181</v>
          </cell>
          <cell r="H76">
            <v>201.66666666666669</v>
          </cell>
          <cell r="P76">
            <v>45</v>
          </cell>
          <cell r="S76">
            <v>110</v>
          </cell>
          <cell r="T76">
            <v>72.600000000000009</v>
          </cell>
          <cell r="U76">
            <v>37.399999999999991</v>
          </cell>
          <cell r="X76">
            <v>68</v>
          </cell>
          <cell r="Y76">
            <v>30</v>
          </cell>
          <cell r="Z76">
            <v>38</v>
          </cell>
          <cell r="AC76">
            <v>27</v>
          </cell>
          <cell r="AD76">
            <v>10</v>
          </cell>
          <cell r="AE76">
            <v>17</v>
          </cell>
          <cell r="AF76">
            <v>105.66666666666667</v>
          </cell>
          <cell r="AG76">
            <v>96.666666666666671</v>
          </cell>
          <cell r="AH76">
            <v>9</v>
          </cell>
          <cell r="AK76">
            <v>782.33333333333337</v>
          </cell>
          <cell r="AL76">
            <v>306</v>
          </cell>
          <cell r="AM76">
            <v>476.33333333333337</v>
          </cell>
          <cell r="AQ76">
            <v>476.33333333333337</v>
          </cell>
        </row>
        <row r="77">
          <cell r="F77">
            <v>0</v>
          </cell>
          <cell r="G77">
            <v>474</v>
          </cell>
          <cell r="H77">
            <v>0</v>
          </cell>
          <cell r="P77">
            <v>0</v>
          </cell>
          <cell r="S77">
            <v>0</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269</v>
          </cell>
          <cell r="AL77">
            <v>83</v>
          </cell>
          <cell r="AM77">
            <v>186</v>
          </cell>
          <cell r="AQ77">
            <v>186</v>
          </cell>
        </row>
        <row r="78">
          <cell r="F78">
            <v>0</v>
          </cell>
          <cell r="G78">
            <v>80</v>
          </cell>
          <cell r="H78">
            <v>0</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0</v>
          </cell>
          <cell r="AL78">
            <v>0</v>
          </cell>
          <cell r="AM78">
            <v>0</v>
          </cell>
        </row>
        <row r="79">
          <cell r="F79">
            <v>1</v>
          </cell>
          <cell r="G79">
            <v>0</v>
          </cell>
          <cell r="H79">
            <v>1</v>
          </cell>
          <cell r="P79">
            <v>14.700000000000003</v>
          </cell>
          <cell r="S79">
            <v>0</v>
          </cell>
          <cell r="Y79">
            <v>0</v>
          </cell>
          <cell r="Z79">
            <v>0</v>
          </cell>
          <cell r="AH79">
            <v>0</v>
          </cell>
          <cell r="AK79">
            <v>15.700000000000003</v>
          </cell>
          <cell r="AL79">
            <v>14.700000000000003</v>
          </cell>
          <cell r="AM79">
            <v>1</v>
          </cell>
        </row>
        <row r="80">
          <cell r="F80">
            <v>1486.3333333333335</v>
          </cell>
          <cell r="G80">
            <v>702</v>
          </cell>
          <cell r="H80">
            <v>784.33333333333337</v>
          </cell>
          <cell r="P80">
            <v>2057</v>
          </cell>
          <cell r="Q80">
            <v>0</v>
          </cell>
          <cell r="R80">
            <v>0</v>
          </cell>
          <cell r="S80">
            <v>26671</v>
          </cell>
          <cell r="T80">
            <v>23991.85</v>
          </cell>
          <cell r="U80">
            <v>2679.15</v>
          </cell>
          <cell r="X80">
            <v>47262.181818181816</v>
          </cell>
          <cell r="Y80">
            <v>31198.25</v>
          </cell>
          <cell r="Z80">
            <v>16063.931818181818</v>
          </cell>
          <cell r="AA80">
            <v>0</v>
          </cell>
          <cell r="AB80">
            <v>0</v>
          </cell>
          <cell r="AC80">
            <v>38047</v>
          </cell>
          <cell r="AD80">
            <v>23032.272727272721</v>
          </cell>
          <cell r="AE80">
            <v>15014.727272727279</v>
          </cell>
          <cell r="AF80">
            <v>3797.5757575757575</v>
          </cell>
          <cell r="AG80">
            <v>2950.8303030303032</v>
          </cell>
          <cell r="AH80">
            <v>846.74545454545455</v>
          </cell>
          <cell r="AI80">
            <v>0</v>
          </cell>
          <cell r="AK80">
            <v>119211.34545454546</v>
          </cell>
          <cell r="AL80">
            <v>57353.122727272719</v>
          </cell>
          <cell r="AM80">
            <v>61858.222727272732</v>
          </cell>
          <cell r="AN80">
            <v>54171.522727272721</v>
          </cell>
          <cell r="AO80">
            <v>52671</v>
          </cell>
          <cell r="AP80">
            <v>2888.6</v>
          </cell>
          <cell r="AQ80">
            <v>8510.2227272727341</v>
          </cell>
        </row>
        <row r="81">
          <cell r="F81">
            <v>288</v>
          </cell>
          <cell r="G81">
            <v>136</v>
          </cell>
          <cell r="H81">
            <v>152</v>
          </cell>
          <cell r="P81">
            <v>502</v>
          </cell>
          <cell r="Q81">
            <v>0</v>
          </cell>
          <cell r="R81">
            <v>0</v>
          </cell>
          <cell r="S81">
            <v>1112</v>
          </cell>
          <cell r="T81">
            <v>399.84</v>
          </cell>
          <cell r="U81">
            <v>416.16</v>
          </cell>
          <cell r="V81">
            <v>0</v>
          </cell>
          <cell r="W81">
            <v>0</v>
          </cell>
          <cell r="X81">
            <v>436</v>
          </cell>
          <cell r="Y81">
            <v>189</v>
          </cell>
          <cell r="Z81">
            <v>247</v>
          </cell>
          <cell r="AA81">
            <v>0</v>
          </cell>
          <cell r="AB81">
            <v>0</v>
          </cell>
          <cell r="AC81">
            <v>354</v>
          </cell>
          <cell r="AD81">
            <v>135</v>
          </cell>
          <cell r="AE81">
            <v>219</v>
          </cell>
          <cell r="AF81">
            <v>1046</v>
          </cell>
          <cell r="AG81">
            <v>892.25454545454545</v>
          </cell>
          <cell r="AH81">
            <v>153.74545454545455</v>
          </cell>
          <cell r="AI81">
            <v>0</v>
          </cell>
          <cell r="AK81">
            <v>3808.2545454545452</v>
          </cell>
          <cell r="AL81">
            <v>1109</v>
          </cell>
          <cell r="AM81">
            <v>2699.2545454545452</v>
          </cell>
        </row>
        <row r="82">
          <cell r="F82">
            <v>0</v>
          </cell>
          <cell r="H82">
            <v>0</v>
          </cell>
          <cell r="AK82">
            <v>0</v>
          </cell>
          <cell r="AL82">
            <v>57353.122727272712</v>
          </cell>
          <cell r="AM82">
            <v>0</v>
          </cell>
        </row>
        <row r="83">
          <cell r="F83">
            <v>0</v>
          </cell>
          <cell r="G83">
            <v>0</v>
          </cell>
          <cell r="H83">
            <v>1</v>
          </cell>
          <cell r="AH83">
            <v>0</v>
          </cell>
          <cell r="AK83">
            <v>0</v>
          </cell>
          <cell r="AL83">
            <v>0</v>
          </cell>
          <cell r="AM83">
            <v>0</v>
          </cell>
          <cell r="AN83">
            <v>0</v>
          </cell>
          <cell r="AO83">
            <v>0</v>
          </cell>
          <cell r="AP83">
            <v>0</v>
          </cell>
          <cell r="AQ83">
            <v>0</v>
          </cell>
        </row>
        <row r="84">
          <cell r="F84">
            <v>1486.3333333333335</v>
          </cell>
          <cell r="G84">
            <v>702</v>
          </cell>
          <cell r="H84">
            <v>784.33333333333337</v>
          </cell>
          <cell r="P84">
            <v>2057</v>
          </cell>
          <cell r="Q84">
            <v>0</v>
          </cell>
          <cell r="R84">
            <v>0</v>
          </cell>
          <cell r="S84">
            <v>26671</v>
          </cell>
          <cell r="T84">
            <v>23991.85</v>
          </cell>
          <cell r="U84">
            <v>2679.15</v>
          </cell>
          <cell r="V84">
            <v>0</v>
          </cell>
          <cell r="W84">
            <v>0</v>
          </cell>
          <cell r="X84">
            <v>47262.181818181816</v>
          </cell>
          <cell r="Y84">
            <v>31198.25</v>
          </cell>
          <cell r="Z84">
            <v>16063.931818181818</v>
          </cell>
          <cell r="AA84">
            <v>0</v>
          </cell>
          <cell r="AB84">
            <v>0</v>
          </cell>
          <cell r="AC84">
            <v>38047</v>
          </cell>
          <cell r="AD84">
            <v>23032.272727272721</v>
          </cell>
          <cell r="AE84">
            <v>15014.727272727279</v>
          </cell>
          <cell r="AF84">
            <v>3797.5757575757575</v>
          </cell>
          <cell r="AG84">
            <v>2950.8303030303032</v>
          </cell>
          <cell r="AH84">
            <v>846.74545454545455</v>
          </cell>
          <cell r="AI84">
            <v>0</v>
          </cell>
          <cell r="AK84">
            <v>119211.34545454546</v>
          </cell>
          <cell r="AL84">
            <v>57353.122727272719</v>
          </cell>
          <cell r="AM84">
            <v>61858.222727272732</v>
          </cell>
          <cell r="AN84">
            <v>54171.522727272721</v>
          </cell>
          <cell r="AO84">
            <v>52671</v>
          </cell>
          <cell r="AP84">
            <v>2888.6</v>
          </cell>
          <cell r="AQ84">
            <v>8510.2227272727341</v>
          </cell>
        </row>
        <row r="85">
          <cell r="F85">
            <v>834</v>
          </cell>
          <cell r="G85">
            <v>480.6</v>
          </cell>
          <cell r="H85">
            <v>353.4</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0</v>
          </cell>
          <cell r="AI85">
            <v>692.36363636363637</v>
          </cell>
          <cell r="AK85">
            <v>834</v>
          </cell>
          <cell r="AL85">
            <v>480.6</v>
          </cell>
          <cell r="AM85">
            <v>353.4</v>
          </cell>
          <cell r="AN85">
            <v>0</v>
          </cell>
          <cell r="AO85">
            <v>0</v>
          </cell>
          <cell r="AP85">
            <v>138.99756689287395</v>
          </cell>
          <cell r="AQ85">
            <v>22.724226359558756</v>
          </cell>
        </row>
        <row r="86">
          <cell r="F86">
            <v>1390</v>
          </cell>
          <cell r="G86">
            <v>810</v>
          </cell>
          <cell r="H86">
            <v>580</v>
          </cell>
          <cell r="AH86">
            <v>0</v>
          </cell>
          <cell r="AK86">
            <v>1390</v>
          </cell>
          <cell r="AL86">
            <v>810</v>
          </cell>
          <cell r="AM86">
            <v>580</v>
          </cell>
          <cell r="AN86">
            <v>0</v>
          </cell>
          <cell r="AO86">
            <v>0</v>
          </cell>
          <cell r="AP86">
            <v>228.12277531937434</v>
          </cell>
          <cell r="AQ86">
            <v>36.936194930798187</v>
          </cell>
        </row>
        <row r="87">
          <cell r="F87">
            <v>600</v>
          </cell>
          <cell r="G87">
            <v>174</v>
          </cell>
          <cell r="H87">
            <v>426</v>
          </cell>
          <cell r="S87">
            <v>0</v>
          </cell>
          <cell r="T87">
            <v>0</v>
          </cell>
          <cell r="U87">
            <v>0</v>
          </cell>
          <cell r="X87">
            <v>0</v>
          </cell>
          <cell r="Y87">
            <v>0</v>
          </cell>
          <cell r="Z87">
            <v>0</v>
          </cell>
          <cell r="AA87">
            <v>0</v>
          </cell>
          <cell r="AB87">
            <v>0</v>
          </cell>
          <cell r="AC87">
            <v>0</v>
          </cell>
          <cell r="AD87">
            <v>0</v>
          </cell>
          <cell r="AE87">
            <v>0</v>
          </cell>
          <cell r="AF87">
            <v>0</v>
          </cell>
          <cell r="AG87">
            <v>0</v>
          </cell>
          <cell r="AH87">
            <v>0</v>
          </cell>
          <cell r="AK87">
            <v>600</v>
          </cell>
          <cell r="AL87">
            <v>174</v>
          </cell>
          <cell r="AM87">
            <v>426</v>
          </cell>
          <cell r="AN87">
            <v>0</v>
          </cell>
          <cell r="AO87">
            <v>0</v>
          </cell>
          <cell r="AP87">
            <v>0</v>
          </cell>
          <cell r="AQ87">
            <v>0</v>
          </cell>
        </row>
        <row r="88">
          <cell r="F88">
            <v>12.666666666666666</v>
          </cell>
          <cell r="G88">
            <v>4</v>
          </cell>
          <cell r="H88">
            <v>8.6666666666666661</v>
          </cell>
          <cell r="P88">
            <v>60</v>
          </cell>
          <cell r="Q88">
            <v>0</v>
          </cell>
          <cell r="R88">
            <v>0</v>
          </cell>
          <cell r="S88">
            <v>1</v>
          </cell>
          <cell r="T88">
            <v>24329.410276363637</v>
          </cell>
          <cell r="U88">
            <v>2847.2304509090909</v>
          </cell>
          <cell r="V88">
            <v>0</v>
          </cell>
          <cell r="W88">
            <v>0</v>
          </cell>
          <cell r="X88">
            <v>110</v>
          </cell>
          <cell r="Y88">
            <v>48</v>
          </cell>
          <cell r="Z88">
            <v>62</v>
          </cell>
          <cell r="AA88">
            <v>0</v>
          </cell>
          <cell r="AB88">
            <v>0</v>
          </cell>
          <cell r="AC88">
            <v>26</v>
          </cell>
          <cell r="AD88">
            <v>16</v>
          </cell>
          <cell r="AE88">
            <v>10</v>
          </cell>
          <cell r="AF88">
            <v>12</v>
          </cell>
          <cell r="AG88">
            <v>11</v>
          </cell>
          <cell r="AH88">
            <v>1</v>
          </cell>
          <cell r="AI88">
            <v>1322.3636363636365</v>
          </cell>
          <cell r="AK88">
            <v>220.66666666666669</v>
          </cell>
          <cell r="AL88">
            <v>128</v>
          </cell>
          <cell r="AM88">
            <v>92.666666666666686</v>
          </cell>
          <cell r="AN88">
            <v>64</v>
          </cell>
          <cell r="AO88">
            <v>72</v>
          </cell>
          <cell r="AP88">
            <v>64</v>
          </cell>
          <cell r="AQ88">
            <v>20.666666666666686</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4323.0000000000009</v>
          </cell>
          <cell r="G91">
            <v>2170.6</v>
          </cell>
          <cell r="H91">
            <v>2152.4</v>
          </cell>
          <cell r="P91">
            <v>2117</v>
          </cell>
          <cell r="Q91">
            <v>0</v>
          </cell>
          <cell r="R91">
            <v>0</v>
          </cell>
          <cell r="S91">
            <v>26672</v>
          </cell>
          <cell r="T91">
            <v>23991.85</v>
          </cell>
          <cell r="U91">
            <v>2679.15</v>
          </cell>
          <cell r="V91">
            <v>0</v>
          </cell>
          <cell r="W91">
            <v>0</v>
          </cell>
          <cell r="X91">
            <v>47372.181818181816</v>
          </cell>
          <cell r="Y91">
            <v>31246.25</v>
          </cell>
          <cell r="Z91">
            <v>16125.931818181818</v>
          </cell>
          <cell r="AA91">
            <v>0</v>
          </cell>
          <cell r="AB91">
            <v>0</v>
          </cell>
          <cell r="AC91">
            <v>38073</v>
          </cell>
          <cell r="AD91">
            <v>23048.272727272721</v>
          </cell>
          <cell r="AE91">
            <v>15024.727272727279</v>
          </cell>
          <cell r="AF91">
            <v>3808.5757575757575</v>
          </cell>
          <cell r="AG91">
            <v>2961.8303030303032</v>
          </cell>
          <cell r="AH91">
            <v>847.74545454545455</v>
          </cell>
          <cell r="AI91">
            <v>0</v>
          </cell>
          <cell r="AJ91">
            <v>0</v>
          </cell>
          <cell r="AK91">
            <v>122256.01212121213</v>
          </cell>
          <cell r="AL91">
            <v>58945.722727272718</v>
          </cell>
          <cell r="AM91">
            <v>63310.289393939398</v>
          </cell>
          <cell r="AN91">
            <v>54235.522727272721</v>
          </cell>
          <cell r="AO91">
            <v>52743</v>
          </cell>
          <cell r="AP91">
            <v>3319.7203422122484</v>
          </cell>
          <cell r="AQ91">
            <v>8590.5498152297569</v>
          </cell>
        </row>
        <row r="92">
          <cell r="F92">
            <v>4323.0000000000009</v>
          </cell>
          <cell r="G92">
            <v>2170.6</v>
          </cell>
          <cell r="H92">
            <v>2152.4</v>
          </cell>
          <cell r="P92">
            <v>2117</v>
          </cell>
          <cell r="Q92">
            <v>0</v>
          </cell>
          <cell r="R92">
            <v>0</v>
          </cell>
          <cell r="S92">
            <v>7422</v>
          </cell>
          <cell r="T92">
            <v>4741.8499999999985</v>
          </cell>
          <cell r="U92">
            <v>2679.15</v>
          </cell>
          <cell r="V92">
            <v>0</v>
          </cell>
          <cell r="W92">
            <v>0</v>
          </cell>
          <cell r="X92">
            <v>2775.1818181818162</v>
          </cell>
          <cell r="Y92">
            <v>1205</v>
          </cell>
          <cell r="Z92">
            <v>1570.181818181818</v>
          </cell>
          <cell r="AA92">
            <v>0</v>
          </cell>
          <cell r="AB92">
            <v>0</v>
          </cell>
          <cell r="AC92">
            <v>1922</v>
          </cell>
          <cell r="AD92">
            <v>740</v>
          </cell>
          <cell r="AE92">
            <v>1182</v>
          </cell>
          <cell r="AF92">
            <v>3808.5757575757575</v>
          </cell>
          <cell r="AG92">
            <v>2961.8303030303032</v>
          </cell>
          <cell r="AH92">
            <v>847.74545454545455</v>
          </cell>
          <cell r="AI92">
            <v>0</v>
          </cell>
          <cell r="AJ92">
            <v>0</v>
          </cell>
          <cell r="AK92">
            <v>22258.01212121213</v>
          </cell>
          <cell r="AL92">
            <v>6596.1999999999971</v>
          </cell>
          <cell r="AM92">
            <v>15661.812121212119</v>
          </cell>
          <cell r="AN92">
            <v>1886</v>
          </cell>
          <cell r="AO92">
            <v>5095</v>
          </cell>
          <cell r="AP92">
            <v>3319.7203422122484</v>
          </cell>
          <cell r="AQ92">
            <v>8590.0725425024775</v>
          </cell>
        </row>
        <row r="93">
          <cell r="F93">
            <v>357</v>
          </cell>
          <cell r="G93">
            <v>4323</v>
          </cell>
          <cell r="P93">
            <v>350</v>
          </cell>
          <cell r="S93">
            <v>920</v>
          </cell>
          <cell r="X93">
            <v>110</v>
          </cell>
          <cell r="Y93">
            <v>47372.181818181816</v>
          </cell>
          <cell r="AC93">
            <v>80</v>
          </cell>
          <cell r="AD93">
            <v>38073</v>
          </cell>
          <cell r="AF93">
            <v>250</v>
          </cell>
          <cell r="AG93">
            <v>250</v>
          </cell>
          <cell r="AH93">
            <v>0</v>
          </cell>
          <cell r="AI93">
            <v>269</v>
          </cell>
          <cell r="AJ93">
            <v>0</v>
          </cell>
          <cell r="AK93">
            <v>2349</v>
          </cell>
          <cell r="AL93">
            <v>122256.01212121213</v>
          </cell>
        </row>
        <row r="94">
          <cell r="F94">
            <v>68</v>
          </cell>
          <cell r="P94">
            <v>350</v>
          </cell>
          <cell r="S94">
            <v>920</v>
          </cell>
          <cell r="X94">
            <v>110</v>
          </cell>
          <cell r="AC94">
            <v>80</v>
          </cell>
          <cell r="AF94">
            <v>250</v>
          </cell>
          <cell r="AG94">
            <v>250</v>
          </cell>
          <cell r="AH94">
            <v>0</v>
          </cell>
          <cell r="AI94">
            <v>5</v>
          </cell>
          <cell r="AK94">
            <v>1796</v>
          </cell>
          <cell r="AL94">
            <v>122256.01212121212</v>
          </cell>
          <cell r="AM94">
            <v>58945.722727272718</v>
          </cell>
        </row>
        <row r="95">
          <cell r="F95">
            <v>3715.6352121212121</v>
          </cell>
          <cell r="G95">
            <v>1632</v>
          </cell>
          <cell r="H95">
            <v>2083.6352121212117</v>
          </cell>
          <cell r="P95">
            <v>0</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0</v>
          </cell>
          <cell r="AL95">
            <v>58830.66674564944</v>
          </cell>
          <cell r="AM95">
            <v>65411.053799805093</v>
          </cell>
        </row>
        <row r="96">
          <cell r="F96">
            <v>289</v>
          </cell>
          <cell r="G96">
            <v>1632</v>
          </cell>
          <cell r="H96">
            <v>2083.6352121212117</v>
          </cell>
          <cell r="P96">
            <v>2235.8934545454545</v>
          </cell>
          <cell r="Q96">
            <v>0</v>
          </cell>
          <cell r="R96">
            <v>0</v>
          </cell>
          <cell r="S96">
            <v>0</v>
          </cell>
          <cell r="T96">
            <v>5079.4102763636365</v>
          </cell>
          <cell r="U96">
            <v>2847.2304509090909</v>
          </cell>
          <cell r="V96">
            <v>0</v>
          </cell>
          <cell r="W96">
            <v>0</v>
          </cell>
          <cell r="X96">
            <v>0</v>
          </cell>
          <cell r="Y96">
            <v>1135</v>
          </cell>
          <cell r="Z96">
            <v>1483.5127272727277</v>
          </cell>
          <cell r="AA96">
            <v>0</v>
          </cell>
          <cell r="AB96">
            <v>0</v>
          </cell>
          <cell r="AC96">
            <v>0</v>
          </cell>
          <cell r="AD96">
            <v>680</v>
          </cell>
          <cell r="AE96">
            <v>1085.2709090909102</v>
          </cell>
          <cell r="AF96">
            <v>0</v>
          </cell>
          <cell r="AG96">
            <v>0</v>
          </cell>
          <cell r="AH96">
            <v>0</v>
          </cell>
          <cell r="AI96">
            <v>264</v>
          </cell>
          <cell r="AJ96">
            <v>0</v>
          </cell>
          <cell r="AK96">
            <v>553</v>
          </cell>
          <cell r="AL96">
            <v>6481.144018376719</v>
          </cell>
          <cell r="AM96">
            <v>17762.576527077814</v>
          </cell>
        </row>
        <row r="97">
          <cell r="F97">
            <v>674.74900000000002</v>
          </cell>
          <cell r="G97">
            <v>3715.6352121212117</v>
          </cell>
          <cell r="P97">
            <v>0</v>
          </cell>
          <cell r="S97">
            <v>0</v>
          </cell>
          <cell r="X97">
            <v>-121.73</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0</v>
          </cell>
          <cell r="X98">
            <v>0</v>
          </cell>
          <cell r="AC98">
            <v>-32.44</v>
          </cell>
          <cell r="AF98">
            <v>491.25</v>
          </cell>
          <cell r="AG98">
            <v>491.25</v>
          </cell>
          <cell r="AH98">
            <v>0</v>
          </cell>
          <cell r="AI98">
            <v>391.28499999999997</v>
          </cell>
          <cell r="AK98">
            <v>1288.95</v>
          </cell>
          <cell r="AL98">
            <v>124241.72054545453</v>
          </cell>
          <cell r="AM98">
            <v>58755.067797563897</v>
          </cell>
        </row>
        <row r="99">
          <cell r="P99">
            <v>0</v>
          </cell>
          <cell r="AK99">
            <v>0</v>
          </cell>
        </row>
        <row r="100">
          <cell r="F100">
            <v>606.74900000000002</v>
          </cell>
          <cell r="S100">
            <v>0</v>
          </cell>
          <cell r="X100">
            <v>0</v>
          </cell>
          <cell r="AC100">
            <v>0</v>
          </cell>
          <cell r="AF100">
            <v>0</v>
          </cell>
          <cell r="AG100">
            <v>0</v>
          </cell>
          <cell r="AH100">
            <v>0</v>
          </cell>
          <cell r="AI100">
            <v>67.847999999999999</v>
          </cell>
          <cell r="AK100">
            <v>0</v>
          </cell>
        </row>
        <row r="101">
          <cell r="P101">
            <v>0</v>
          </cell>
          <cell r="S101">
            <v>0</v>
          </cell>
          <cell r="AK101">
            <v>0</v>
          </cell>
        </row>
        <row r="102">
          <cell r="F102">
            <v>575.33333333333326</v>
          </cell>
          <cell r="P102">
            <v>7</v>
          </cell>
          <cell r="S102">
            <v>30</v>
          </cell>
          <cell r="X102">
            <v>18</v>
          </cell>
          <cell r="AC102">
            <v>5</v>
          </cell>
          <cell r="AF102">
            <v>33.666666666666664</v>
          </cell>
          <cell r="AG102">
            <v>33.666666666666664</v>
          </cell>
          <cell r="AH102">
            <v>0</v>
          </cell>
          <cell r="AI102">
            <v>343</v>
          </cell>
          <cell r="AK102">
            <v>1014.3333333333333</v>
          </cell>
        </row>
        <row r="103">
          <cell r="F103">
            <v>289</v>
          </cell>
          <cell r="P103">
            <v>0</v>
          </cell>
          <cell r="X103">
            <v>0</v>
          </cell>
          <cell r="AC103">
            <v>0</v>
          </cell>
          <cell r="AF103">
            <v>0</v>
          </cell>
          <cell r="AG103">
            <v>0</v>
          </cell>
          <cell r="AH103">
            <v>0</v>
          </cell>
          <cell r="AI103">
            <v>264</v>
          </cell>
          <cell r="AK103">
            <v>553</v>
          </cell>
        </row>
        <row r="104">
          <cell r="F104">
            <v>0</v>
          </cell>
          <cell r="P104">
            <v>0</v>
          </cell>
          <cell r="S104">
            <v>0</v>
          </cell>
          <cell r="X104">
            <v>0</v>
          </cell>
          <cell r="AC104">
            <v>0</v>
          </cell>
          <cell r="AF104">
            <v>0</v>
          </cell>
          <cell r="AG104">
            <v>0</v>
          </cell>
          <cell r="AH104">
            <v>0</v>
          </cell>
          <cell r="AI104">
            <v>0</v>
          </cell>
          <cell r="AK104">
            <v>0</v>
          </cell>
        </row>
        <row r="105">
          <cell r="F105">
            <v>286.33333333333331</v>
          </cell>
          <cell r="P105">
            <v>7</v>
          </cell>
          <cell r="S105">
            <v>30</v>
          </cell>
          <cell r="X105">
            <v>18</v>
          </cell>
          <cell r="AC105">
            <v>5</v>
          </cell>
          <cell r="AF105">
            <v>33.666666666666664</v>
          </cell>
          <cell r="AG105">
            <v>33.666666666666664</v>
          </cell>
          <cell r="AH105">
            <v>0</v>
          </cell>
          <cell r="AI105">
            <v>79</v>
          </cell>
          <cell r="AK105">
            <v>461.33333333333331</v>
          </cell>
        </row>
        <row r="106">
          <cell r="F106">
            <v>375</v>
          </cell>
          <cell r="G106">
            <v>244</v>
          </cell>
          <cell r="H106">
            <v>598.31700000000001</v>
          </cell>
          <cell r="P106">
            <v>14</v>
          </cell>
          <cell r="S106">
            <v>157</v>
          </cell>
          <cell r="X106">
            <v>17.666666666666668</v>
          </cell>
          <cell r="AC106">
            <v>19</v>
          </cell>
          <cell r="AF106">
            <v>30.333333333333332</v>
          </cell>
          <cell r="AG106">
            <v>30.333333333333332</v>
          </cell>
          <cell r="AH106">
            <v>0</v>
          </cell>
          <cell r="AI106">
            <v>843</v>
          </cell>
          <cell r="AK106">
            <v>1462.9999999999998</v>
          </cell>
        </row>
        <row r="107">
          <cell r="F107">
            <v>0</v>
          </cell>
          <cell r="G107">
            <v>176</v>
          </cell>
          <cell r="H107">
            <v>430.74900000000002</v>
          </cell>
          <cell r="P107">
            <v>0</v>
          </cell>
          <cell r="S107">
            <v>120</v>
          </cell>
          <cell r="X107">
            <v>0</v>
          </cell>
          <cell r="AC107">
            <v>0</v>
          </cell>
          <cell r="AF107">
            <v>0</v>
          </cell>
          <cell r="AG107">
            <v>0</v>
          </cell>
          <cell r="AH107">
            <v>0</v>
          </cell>
          <cell r="AI107">
            <v>0</v>
          </cell>
          <cell r="AK107">
            <v>120</v>
          </cell>
        </row>
        <row r="108">
          <cell r="F108">
            <v>375</v>
          </cell>
          <cell r="G108">
            <v>68</v>
          </cell>
          <cell r="H108">
            <v>168</v>
          </cell>
          <cell r="P108">
            <v>14</v>
          </cell>
          <cell r="S108">
            <v>37</v>
          </cell>
          <cell r="X108">
            <v>17.666666666666668</v>
          </cell>
          <cell r="AC108">
            <v>19</v>
          </cell>
          <cell r="AF108">
            <v>30.333333333333332</v>
          </cell>
          <cell r="AG108">
            <v>30.333333333333332</v>
          </cell>
          <cell r="AH108">
            <v>0</v>
          </cell>
          <cell r="AI108">
            <v>843</v>
          </cell>
          <cell r="AK108">
            <v>1343</v>
          </cell>
        </row>
        <row r="109">
          <cell r="F109">
            <v>0</v>
          </cell>
          <cell r="G109">
            <v>0</v>
          </cell>
          <cell r="H109">
            <v>-0.43200000000001637</v>
          </cell>
          <cell r="P109">
            <v>0</v>
          </cell>
          <cell r="S109">
            <v>250</v>
          </cell>
          <cell r="X109">
            <v>-0.3360000000000003</v>
          </cell>
          <cell r="AC109">
            <v>0</v>
          </cell>
          <cell r="AF109">
            <v>0</v>
          </cell>
          <cell r="AG109">
            <v>0</v>
          </cell>
          <cell r="AH109">
            <v>0</v>
          </cell>
          <cell r="AI109">
            <v>88.560000000000016</v>
          </cell>
          <cell r="AK109">
            <v>250</v>
          </cell>
          <cell r="AL109">
            <v>25.641990811638593</v>
          </cell>
          <cell r="AM109">
            <v>0</v>
          </cell>
        </row>
        <row r="110">
          <cell r="F110">
            <v>0</v>
          </cell>
          <cell r="G110">
            <v>163</v>
          </cell>
          <cell r="H110">
            <v>397.5</v>
          </cell>
          <cell r="P110">
            <v>0</v>
          </cell>
          <cell r="S110">
            <v>250</v>
          </cell>
          <cell r="X110">
            <v>-0.42800000000000082</v>
          </cell>
          <cell r="AC110">
            <v>30.067999999999998</v>
          </cell>
          <cell r="AF110">
            <v>0.28399999999999892</v>
          </cell>
          <cell r="AG110">
            <v>0.28399999999999892</v>
          </cell>
          <cell r="AH110">
            <v>0</v>
          </cell>
          <cell r="AI110">
            <v>336.596</v>
          </cell>
          <cell r="AK110">
            <v>250</v>
          </cell>
        </row>
        <row r="111">
          <cell r="F111">
            <v>0</v>
          </cell>
          <cell r="G111">
            <v>163</v>
          </cell>
          <cell r="H111">
            <v>398</v>
          </cell>
          <cell r="P111">
            <v>0</v>
          </cell>
          <cell r="S111">
            <v>0</v>
          </cell>
          <cell r="X111">
            <v>0</v>
          </cell>
          <cell r="AC111">
            <v>0</v>
          </cell>
          <cell r="AF111">
            <v>0</v>
          </cell>
          <cell r="AG111">
            <v>0</v>
          </cell>
          <cell r="AH111">
            <v>0</v>
          </cell>
          <cell r="AI111">
            <v>56</v>
          </cell>
          <cell r="AK111">
            <v>0</v>
          </cell>
          <cell r="AL111">
            <v>0</v>
          </cell>
          <cell r="AM111">
            <v>0</v>
          </cell>
        </row>
        <row r="112">
          <cell r="F112">
            <v>-0.5</v>
          </cell>
          <cell r="G112">
            <v>0</v>
          </cell>
          <cell r="H112">
            <v>-0.5</v>
          </cell>
          <cell r="P112">
            <v>0</v>
          </cell>
          <cell r="S112">
            <v>0</v>
          </cell>
          <cell r="X112">
            <v>0</v>
          </cell>
          <cell r="AC112">
            <v>0</v>
          </cell>
          <cell r="AF112">
            <v>0</v>
          </cell>
          <cell r="AG112">
            <v>0</v>
          </cell>
          <cell r="AH112">
            <v>0</v>
          </cell>
          <cell r="AI112">
            <v>280.596</v>
          </cell>
          <cell r="AK112">
            <v>0</v>
          </cell>
          <cell r="AL112">
            <v>89.844474732006134</v>
          </cell>
          <cell r="AM112">
            <v>219.75152526799388</v>
          </cell>
        </row>
        <row r="113">
          <cell r="F113">
            <v>196</v>
          </cell>
          <cell r="G113">
            <v>0</v>
          </cell>
          <cell r="H113">
            <v>0</v>
          </cell>
          <cell r="P113">
            <v>273</v>
          </cell>
          <cell r="S113">
            <v>538</v>
          </cell>
          <cell r="X113">
            <v>237</v>
          </cell>
          <cell r="AC113">
            <v>172</v>
          </cell>
          <cell r="AF113">
            <v>535</v>
          </cell>
          <cell r="AG113">
            <v>535</v>
          </cell>
          <cell r="AH113">
            <v>0</v>
          </cell>
          <cell r="AI113">
            <v>952</v>
          </cell>
          <cell r="AK113">
            <v>2987</v>
          </cell>
          <cell r="AM113">
            <v>0</v>
          </cell>
        </row>
        <row r="114">
          <cell r="F114">
            <v>2</v>
          </cell>
          <cell r="G114">
            <v>0</v>
          </cell>
          <cell r="H114">
            <v>0</v>
          </cell>
          <cell r="P114">
            <v>0</v>
          </cell>
          <cell r="S114">
            <v>7</v>
          </cell>
          <cell r="X114">
            <v>40</v>
          </cell>
          <cell r="AC114">
            <v>0</v>
          </cell>
          <cell r="AF114">
            <v>0</v>
          </cell>
          <cell r="AG114">
            <v>0</v>
          </cell>
          <cell r="AH114">
            <v>0</v>
          </cell>
          <cell r="AI114">
            <v>6.7</v>
          </cell>
          <cell r="AK114">
            <v>55.7</v>
          </cell>
        </row>
        <row r="115">
          <cell r="F115">
            <v>588.33333333333337</v>
          </cell>
          <cell r="G115">
            <v>0</v>
          </cell>
          <cell r="H115">
            <v>0</v>
          </cell>
          <cell r="P115">
            <v>0</v>
          </cell>
          <cell r="S115">
            <v>0</v>
          </cell>
          <cell r="X115">
            <v>0</v>
          </cell>
          <cell r="AC115">
            <v>0</v>
          </cell>
          <cell r="AF115">
            <v>0</v>
          </cell>
          <cell r="AG115">
            <v>0</v>
          </cell>
          <cell r="AH115">
            <v>0</v>
          </cell>
          <cell r="AK115">
            <v>588.33333333333337</v>
          </cell>
          <cell r="AL115">
            <v>0</v>
          </cell>
          <cell r="AM115">
            <v>0</v>
          </cell>
        </row>
        <row r="116">
          <cell r="F116">
            <v>0</v>
          </cell>
          <cell r="G116">
            <v>0</v>
          </cell>
          <cell r="H116">
            <v>0</v>
          </cell>
          <cell r="P116">
            <v>0</v>
          </cell>
          <cell r="S116">
            <v>0</v>
          </cell>
          <cell r="X116">
            <v>0</v>
          </cell>
          <cell r="AC116">
            <v>0</v>
          </cell>
          <cell r="AF116">
            <v>0</v>
          </cell>
          <cell r="AG116">
            <v>0</v>
          </cell>
          <cell r="AH116">
            <v>0</v>
          </cell>
          <cell r="AK116">
            <v>0</v>
          </cell>
        </row>
        <row r="117">
          <cell r="F117">
            <v>5733.333333333333</v>
          </cell>
          <cell r="G117">
            <v>0</v>
          </cell>
          <cell r="H117">
            <v>0</v>
          </cell>
          <cell r="P117">
            <v>0</v>
          </cell>
          <cell r="S117">
            <v>0</v>
          </cell>
          <cell r="X117">
            <v>0</v>
          </cell>
          <cell r="AC117">
            <v>0</v>
          </cell>
          <cell r="AF117">
            <v>0</v>
          </cell>
          <cell r="AG117">
            <v>0</v>
          </cell>
          <cell r="AH117">
            <v>0</v>
          </cell>
          <cell r="AI117">
            <v>952</v>
          </cell>
          <cell r="AK117">
            <v>5733.333333333333</v>
          </cell>
          <cell r="AL117">
            <v>276.26952526799386</v>
          </cell>
          <cell r="AM117">
            <v>675.73047473200609</v>
          </cell>
        </row>
        <row r="118">
          <cell r="F118">
            <v>0</v>
          </cell>
          <cell r="P118">
            <v>0</v>
          </cell>
          <cell r="X118">
            <v>0</v>
          </cell>
          <cell r="AC118">
            <v>0</v>
          </cell>
          <cell r="AF118">
            <v>0</v>
          </cell>
          <cell r="AG118">
            <v>0</v>
          </cell>
          <cell r="AH118">
            <v>0</v>
          </cell>
          <cell r="AI118">
            <v>6.7</v>
          </cell>
          <cell r="AK118">
            <v>0</v>
          </cell>
        </row>
        <row r="119">
          <cell r="F119">
            <v>-20223</v>
          </cell>
          <cell r="AK119">
            <v>-20223</v>
          </cell>
          <cell r="AL119">
            <v>-20400.07348484849</v>
          </cell>
        </row>
        <row r="120">
          <cell r="F120">
            <v>0</v>
          </cell>
          <cell r="S120">
            <v>0</v>
          </cell>
          <cell r="X120">
            <v>0</v>
          </cell>
          <cell r="AK120">
            <v>-3990</v>
          </cell>
        </row>
        <row r="121">
          <cell r="F121">
            <v>7470</v>
          </cell>
          <cell r="G121">
            <v>0</v>
          </cell>
          <cell r="H121">
            <v>0</v>
          </cell>
          <cell r="P121">
            <v>294</v>
          </cell>
          <cell r="Q121">
            <v>0</v>
          </cell>
          <cell r="R121">
            <v>0</v>
          </cell>
          <cell r="S121">
            <v>982</v>
          </cell>
          <cell r="T121">
            <v>0</v>
          </cell>
          <cell r="U121">
            <v>0</v>
          </cell>
          <cell r="V121">
            <v>0</v>
          </cell>
          <cell r="W121">
            <v>0</v>
          </cell>
          <cell r="X121">
            <v>312.66666666666669</v>
          </cell>
          <cell r="Y121">
            <v>0</v>
          </cell>
          <cell r="Z121">
            <v>0</v>
          </cell>
          <cell r="AA121">
            <v>0</v>
          </cell>
          <cell r="AB121">
            <v>0</v>
          </cell>
          <cell r="AC121">
            <v>196</v>
          </cell>
          <cell r="AD121">
            <v>0</v>
          </cell>
          <cell r="AE121">
            <v>0</v>
          </cell>
          <cell r="AF121">
            <v>599</v>
          </cell>
          <cell r="AG121">
            <v>599</v>
          </cell>
          <cell r="AH121">
            <v>0</v>
          </cell>
          <cell r="AI121">
            <v>2144.6999999999998</v>
          </cell>
          <cell r="AJ121">
            <v>0</v>
          </cell>
          <cell r="AK121">
            <v>12091.699999999999</v>
          </cell>
          <cell r="AN121">
            <v>0</v>
          </cell>
          <cell r="AO121">
            <v>0</v>
          </cell>
          <cell r="AP121">
            <v>0</v>
          </cell>
          <cell r="AQ121">
            <v>0</v>
          </cell>
        </row>
        <row r="122">
          <cell r="F122">
            <v>7470</v>
          </cell>
          <cell r="G122">
            <v>0</v>
          </cell>
          <cell r="H122">
            <v>0</v>
          </cell>
          <cell r="P122">
            <v>294</v>
          </cell>
          <cell r="S122">
            <v>982</v>
          </cell>
          <cell r="X122">
            <v>312.66666666666669</v>
          </cell>
          <cell r="Y122">
            <v>0</v>
          </cell>
          <cell r="Z122">
            <v>0</v>
          </cell>
          <cell r="AC122">
            <v>196</v>
          </cell>
          <cell r="AD122">
            <v>0</v>
          </cell>
          <cell r="AE122">
            <v>0</v>
          </cell>
          <cell r="AF122">
            <v>599</v>
          </cell>
          <cell r="AG122">
            <v>599</v>
          </cell>
          <cell r="AH122">
            <v>0</v>
          </cell>
          <cell r="AI122">
            <v>2144.6999999999998</v>
          </cell>
          <cell r="AJ122">
            <v>0</v>
          </cell>
          <cell r="AK122">
            <v>-8131.3000000000011</v>
          </cell>
        </row>
        <row r="123">
          <cell r="F123">
            <v>-13094</v>
          </cell>
          <cell r="AK123">
            <v>-8308.373484848491</v>
          </cell>
          <cell r="AL123">
            <v>12091.699999999997</v>
          </cell>
        </row>
        <row r="124">
          <cell r="F124">
            <v>0</v>
          </cell>
          <cell r="AK124">
            <v>-4318.373484848491</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-6480.7621212121303</v>
          </cell>
          <cell r="AL125">
            <v>-3043.7227272727177</v>
          </cell>
          <cell r="AM125">
            <v>-4302.289393939398</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-2162.3886363636389</v>
          </cell>
          <cell r="AL127">
            <v>7980.1429999999991</v>
          </cell>
          <cell r="AN127">
            <v>0</v>
          </cell>
        </row>
        <row r="128">
          <cell r="AK128">
            <v>0</v>
          </cell>
        </row>
        <row r="129">
          <cell r="AK129">
            <v>-8466.4705454545474</v>
          </cell>
          <cell r="AL129">
            <v>-2928.6667456494397</v>
          </cell>
          <cell r="AM129">
            <v>-6403.0537998050931</v>
          </cell>
        </row>
        <row r="130">
          <cell r="AK130">
            <v>59008</v>
          </cell>
          <cell r="AM130">
            <v>59008</v>
          </cell>
          <cell r="AN130">
            <v>0</v>
          </cell>
          <cell r="AP130">
            <v>0</v>
          </cell>
        </row>
        <row r="131">
          <cell r="AK131">
            <v>-4302.289393939398</v>
          </cell>
          <cell r="AN131">
            <v>0</v>
          </cell>
        </row>
        <row r="132">
          <cell r="AK132">
            <v>35.549999999999997</v>
          </cell>
          <cell r="AN132" t="e">
            <v>#DIV/0!</v>
          </cell>
        </row>
        <row r="133">
          <cell r="AK133">
            <v>38.14</v>
          </cell>
          <cell r="AN133" t="e">
            <v>#DIV/0!</v>
          </cell>
        </row>
        <row r="134">
          <cell r="AK134">
            <v>0</v>
          </cell>
          <cell r="AM134">
            <v>59008</v>
          </cell>
          <cell r="AN134">
            <v>0</v>
          </cell>
        </row>
        <row r="135">
          <cell r="AK135">
            <v>-6403.0537998050931</v>
          </cell>
        </row>
        <row r="136">
          <cell r="AK136">
            <v>11.69</v>
          </cell>
          <cell r="AN136" t="e">
            <v>#DIV/0!</v>
          </cell>
        </row>
        <row r="137">
          <cell r="AK137">
            <v>39.4</v>
          </cell>
        </row>
        <row r="138">
          <cell r="AJ138">
            <v>0</v>
          </cell>
          <cell r="AK138">
            <v>12.33</v>
          </cell>
          <cell r="AN138" t="e">
            <v>#DIV/0!</v>
          </cell>
        </row>
        <row r="139">
          <cell r="AK139">
            <v>55902</v>
          </cell>
          <cell r="AL139">
            <v>55902</v>
          </cell>
        </row>
        <row r="140">
          <cell r="AK140">
            <v>11.69</v>
          </cell>
        </row>
        <row r="141">
          <cell r="AJ141">
            <v>300</v>
          </cell>
        </row>
        <row r="142">
          <cell r="AJ142">
            <v>0</v>
          </cell>
          <cell r="AK142">
            <v>17273.857142857141</v>
          </cell>
          <cell r="AL142">
            <v>20710.896536796539</v>
          </cell>
          <cell r="AM142">
            <v>-4302.289393939398</v>
          </cell>
        </row>
        <row r="143">
          <cell r="S143">
            <v>0</v>
          </cell>
          <cell r="AK143">
            <v>865.25</v>
          </cell>
          <cell r="AL143">
            <v>16408.607142857141</v>
          </cell>
        </row>
        <row r="145">
          <cell r="AJ145">
            <v>0</v>
          </cell>
          <cell r="AK145">
            <v>114910</v>
          </cell>
          <cell r="AL145">
            <v>55902</v>
          </cell>
          <cell r="AM145">
            <v>59008</v>
          </cell>
          <cell r="AN145">
            <v>0</v>
          </cell>
        </row>
        <row r="146">
          <cell r="AK146">
            <v>0</v>
          </cell>
          <cell r="AL146">
            <v>16936.579514090809</v>
          </cell>
          <cell r="AM146">
            <v>-6403.0537998050931</v>
          </cell>
        </row>
        <row r="147">
          <cell r="S147">
            <v>0</v>
          </cell>
          <cell r="AH147">
            <v>7980.143</v>
          </cell>
          <cell r="AK147">
            <v>114910</v>
          </cell>
          <cell r="AL147">
            <v>55902</v>
          </cell>
          <cell r="AM147">
            <v>59008</v>
          </cell>
        </row>
        <row r="148">
          <cell r="AK148">
            <v>138664.61926406925</v>
          </cell>
          <cell r="AL148">
            <v>79656.619264069261</v>
          </cell>
          <cell r="AM148">
            <v>59008</v>
          </cell>
          <cell r="AN148">
            <v>1886</v>
          </cell>
          <cell r="AO148">
            <v>5095</v>
          </cell>
          <cell r="AP148">
            <v>3319.7203422122484</v>
          </cell>
          <cell r="AQ148">
            <v>8590.0725425024775</v>
          </cell>
        </row>
        <row r="149">
          <cell r="AJ149">
            <v>0</v>
          </cell>
          <cell r="AK149">
            <v>-5.3</v>
          </cell>
          <cell r="AL149">
            <v>-5.2</v>
          </cell>
          <cell r="AM149">
            <v>-6.8</v>
          </cell>
        </row>
        <row r="150">
          <cell r="AK150">
            <v>14.129249632100526</v>
          </cell>
          <cell r="AL150">
            <v>35.135537539544195</v>
          </cell>
          <cell r="AM150">
            <v>-6.7955610930302432</v>
          </cell>
        </row>
        <row r="151">
          <cell r="AK151">
            <v>114910</v>
          </cell>
          <cell r="AL151">
            <v>16.65759499457743</v>
          </cell>
          <cell r="AM151">
            <v>35.546987951807232</v>
          </cell>
        </row>
        <row r="152">
          <cell r="AK152">
            <v>134775.24625974026</v>
          </cell>
          <cell r="AL152">
            <v>75767.246259740248</v>
          </cell>
          <cell r="AM152">
            <v>59008</v>
          </cell>
        </row>
        <row r="153">
          <cell r="F153">
            <v>0</v>
          </cell>
          <cell r="P153">
            <v>0</v>
          </cell>
          <cell r="S153">
            <v>0</v>
          </cell>
          <cell r="X153">
            <v>0</v>
          </cell>
          <cell r="AC153">
            <v>0</v>
          </cell>
          <cell r="AI153">
            <v>0</v>
          </cell>
          <cell r="AJ153">
            <v>142</v>
          </cell>
          <cell r="AK153">
            <v>0</v>
          </cell>
          <cell r="AL153">
            <v>-5</v>
          </cell>
          <cell r="AM153">
            <v>-9.8000000000000007</v>
          </cell>
        </row>
        <row r="154">
          <cell r="F154">
            <v>63</v>
          </cell>
          <cell r="P154">
            <v>370</v>
          </cell>
          <cell r="S154">
            <v>719</v>
          </cell>
          <cell r="X154">
            <v>550</v>
          </cell>
          <cell r="AC154">
            <v>480</v>
          </cell>
          <cell r="AF154">
            <v>506</v>
          </cell>
          <cell r="AG154">
            <v>506</v>
          </cell>
          <cell r="AH154">
            <v>0</v>
          </cell>
          <cell r="AK154">
            <v>2688</v>
          </cell>
          <cell r="AL154">
            <v>28.788692107323904</v>
          </cell>
          <cell r="AM154">
            <v>-9.7889476286409742</v>
          </cell>
        </row>
        <row r="155">
          <cell r="F155">
            <v>63</v>
          </cell>
          <cell r="P155">
            <v>160</v>
          </cell>
          <cell r="S155">
            <v>215</v>
          </cell>
          <cell r="X155">
            <v>225</v>
          </cell>
          <cell r="AC155">
            <v>250</v>
          </cell>
          <cell r="AF155">
            <v>300</v>
          </cell>
          <cell r="AG155">
            <v>300</v>
          </cell>
          <cell r="AH155">
            <v>0</v>
          </cell>
          <cell r="AK155">
            <v>913</v>
          </cell>
          <cell r="AL155">
            <v>15.84425894181101</v>
          </cell>
          <cell r="AM155">
            <v>35.546987951807232</v>
          </cell>
        </row>
        <row r="156">
          <cell r="F156">
            <v>63</v>
          </cell>
          <cell r="P156">
            <v>40</v>
          </cell>
          <cell r="S156">
            <v>93</v>
          </cell>
          <cell r="X156">
            <v>49</v>
          </cell>
          <cell r="AC156">
            <v>65</v>
          </cell>
          <cell r="AF156">
            <v>30</v>
          </cell>
          <cell r="AG156">
            <v>30</v>
          </cell>
          <cell r="AH156">
            <v>0</v>
          </cell>
          <cell r="AI156">
            <v>125</v>
          </cell>
          <cell r="AK156">
            <v>465</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0</v>
          </cell>
        </row>
        <row r="159">
          <cell r="F159">
            <v>14.170833333333334</v>
          </cell>
          <cell r="P159">
            <v>48</v>
          </cell>
          <cell r="S159">
            <v>64.5</v>
          </cell>
          <cell r="X159">
            <v>82.5</v>
          </cell>
          <cell r="AC159">
            <v>75</v>
          </cell>
          <cell r="AF159">
            <v>90</v>
          </cell>
          <cell r="AG159">
            <v>90</v>
          </cell>
          <cell r="AH159">
            <v>0</v>
          </cell>
          <cell r="AK159">
            <v>14.170833333333334</v>
          </cell>
        </row>
        <row r="160">
          <cell r="F160">
            <v>269.642</v>
          </cell>
          <cell r="P160">
            <v>73</v>
          </cell>
          <cell r="S160">
            <v>407</v>
          </cell>
          <cell r="X160">
            <v>271.81818181818181</v>
          </cell>
          <cell r="AC160">
            <v>197</v>
          </cell>
          <cell r="AF160">
            <v>9</v>
          </cell>
          <cell r="AG160">
            <v>117.09090909090909</v>
          </cell>
          <cell r="AH160">
            <v>0</v>
          </cell>
          <cell r="AI160">
            <v>125</v>
          </cell>
          <cell r="AK160">
            <v>948.81818181818176</v>
          </cell>
        </row>
        <row r="161">
          <cell r="F161">
            <v>-396</v>
          </cell>
          <cell r="S161">
            <v>312</v>
          </cell>
          <cell r="X161">
            <v>278.18181818181819</v>
          </cell>
          <cell r="AC161">
            <v>283</v>
          </cell>
          <cell r="AK161">
            <v>477.18181818181819</v>
          </cell>
        </row>
        <row r="162">
          <cell r="S162">
            <v>719</v>
          </cell>
          <cell r="X162">
            <v>550</v>
          </cell>
          <cell r="AC162">
            <v>480</v>
          </cell>
          <cell r="AK162">
            <v>0</v>
          </cell>
        </row>
        <row r="163">
          <cell r="F163">
            <v>459</v>
          </cell>
          <cell r="P163">
            <v>0</v>
          </cell>
          <cell r="S163">
            <v>0</v>
          </cell>
          <cell r="X163">
            <v>0</v>
          </cell>
          <cell r="AC163">
            <v>0</v>
          </cell>
          <cell r="AK163">
            <v>459</v>
          </cell>
        </row>
        <row r="164">
          <cell r="P164">
            <v>73</v>
          </cell>
          <cell r="S164">
            <v>296</v>
          </cell>
          <cell r="X164">
            <v>625</v>
          </cell>
          <cell r="AC164">
            <v>444</v>
          </cell>
          <cell r="AF164">
            <v>180</v>
          </cell>
          <cell r="AG164">
            <v>180</v>
          </cell>
          <cell r="AH164">
            <v>0</v>
          </cell>
          <cell r="AK164">
            <v>1365</v>
          </cell>
        </row>
        <row r="165">
          <cell r="F165">
            <v>357</v>
          </cell>
          <cell r="G165">
            <v>4323</v>
          </cell>
          <cell r="H165">
            <v>0</v>
          </cell>
          <cell r="P165">
            <v>2350</v>
          </cell>
          <cell r="Q165">
            <v>0</v>
          </cell>
          <cell r="R165">
            <v>0</v>
          </cell>
          <cell r="S165">
            <v>3290</v>
          </cell>
          <cell r="T165">
            <v>0</v>
          </cell>
          <cell r="U165">
            <v>0</v>
          </cell>
          <cell r="V165">
            <v>0</v>
          </cell>
          <cell r="W165">
            <v>0</v>
          </cell>
          <cell r="X165">
            <v>110</v>
          </cell>
          <cell r="Y165">
            <v>47372.181818181816</v>
          </cell>
          <cell r="Z165">
            <v>0</v>
          </cell>
          <cell r="AA165">
            <v>0</v>
          </cell>
          <cell r="AB165">
            <v>0</v>
          </cell>
          <cell r="AC165">
            <v>1080</v>
          </cell>
          <cell r="AD165">
            <v>38073</v>
          </cell>
          <cell r="AE165">
            <v>0</v>
          </cell>
          <cell r="AF165">
            <v>350</v>
          </cell>
          <cell r="AG165">
            <v>350</v>
          </cell>
          <cell r="AH165">
            <v>0</v>
          </cell>
          <cell r="AI165">
            <v>269</v>
          </cell>
          <cell r="AJ165">
            <v>0</v>
          </cell>
          <cell r="AK165">
            <v>7819</v>
          </cell>
        </row>
        <row r="166">
          <cell r="F166">
            <v>357</v>
          </cell>
          <cell r="G166">
            <v>4323</v>
          </cell>
          <cell r="H166">
            <v>0</v>
          </cell>
          <cell r="P166">
            <v>350</v>
          </cell>
          <cell r="Q166">
            <v>0</v>
          </cell>
          <cell r="R166">
            <v>0</v>
          </cell>
          <cell r="S166">
            <v>1040</v>
          </cell>
          <cell r="T166">
            <v>0</v>
          </cell>
          <cell r="U166">
            <v>0</v>
          </cell>
          <cell r="V166">
            <v>0</v>
          </cell>
          <cell r="W166">
            <v>0</v>
          </cell>
          <cell r="X166">
            <v>110</v>
          </cell>
          <cell r="Y166">
            <v>47372.181818181816</v>
          </cell>
          <cell r="Z166">
            <v>0</v>
          </cell>
          <cell r="AA166">
            <v>0</v>
          </cell>
          <cell r="AB166">
            <v>0</v>
          </cell>
          <cell r="AC166">
            <v>80</v>
          </cell>
          <cell r="AD166">
            <v>38073</v>
          </cell>
          <cell r="AE166">
            <v>0</v>
          </cell>
          <cell r="AF166">
            <v>250</v>
          </cell>
          <cell r="AG166">
            <v>250</v>
          </cell>
          <cell r="AH166">
            <v>0</v>
          </cell>
          <cell r="AI166">
            <v>269</v>
          </cell>
          <cell r="AJ166">
            <v>0</v>
          </cell>
          <cell r="AK166">
            <v>2469</v>
          </cell>
        </row>
        <row r="167">
          <cell r="F167">
            <v>0</v>
          </cell>
          <cell r="G167">
            <v>0</v>
          </cell>
          <cell r="H167">
            <v>0</v>
          </cell>
          <cell r="P167">
            <v>0</v>
          </cell>
          <cell r="R167">
            <v>0</v>
          </cell>
          <cell r="S167">
            <v>250</v>
          </cell>
          <cell r="T167">
            <v>0</v>
          </cell>
          <cell r="U167">
            <v>0</v>
          </cell>
          <cell r="V167">
            <v>0</v>
          </cell>
          <cell r="W167">
            <v>0</v>
          </cell>
          <cell r="X167">
            <v>0</v>
          </cell>
          <cell r="Y167">
            <v>0</v>
          </cell>
          <cell r="Z167">
            <v>0</v>
          </cell>
          <cell r="AA167">
            <v>0</v>
          </cell>
          <cell r="AB167">
            <v>0</v>
          </cell>
          <cell r="AC167">
            <v>0</v>
          </cell>
          <cell r="AE167">
            <v>0</v>
          </cell>
          <cell r="AF167">
            <v>0</v>
          </cell>
          <cell r="AG167">
            <v>0</v>
          </cell>
          <cell r="AH167">
            <v>0</v>
          </cell>
          <cell r="AI167">
            <v>0</v>
          </cell>
          <cell r="AJ167">
            <v>0</v>
          </cell>
          <cell r="AK167">
            <v>250</v>
          </cell>
        </row>
        <row r="168">
          <cell r="F168">
            <v>0</v>
          </cell>
          <cell r="P168">
            <v>2000</v>
          </cell>
          <cell r="S168">
            <v>2000</v>
          </cell>
          <cell r="X168">
            <v>0</v>
          </cell>
          <cell r="AC168">
            <v>1000</v>
          </cell>
          <cell r="AF168">
            <v>100</v>
          </cell>
          <cell r="AG168">
            <v>100</v>
          </cell>
          <cell r="AH168">
            <v>0</v>
          </cell>
          <cell r="AK168">
            <v>5100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0</v>
          </cell>
        </row>
        <row r="170">
          <cell r="F170">
            <v>5733.333333333333</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200</v>
          </cell>
          <cell r="AD170">
            <v>37916.270909090912</v>
          </cell>
          <cell r="AE170">
            <v>0</v>
          </cell>
          <cell r="AF170">
            <v>491.25</v>
          </cell>
          <cell r="AG170">
            <v>491.25</v>
          </cell>
          <cell r="AH170">
            <v>0</v>
          </cell>
          <cell r="AI170">
            <v>515.13300000000004</v>
          </cell>
          <cell r="AJ170">
            <v>0</v>
          </cell>
          <cell r="AK170">
            <v>5933.333333333333</v>
          </cell>
        </row>
        <row r="171">
          <cell r="F171">
            <v>592</v>
          </cell>
          <cell r="G171">
            <v>0</v>
          </cell>
          <cell r="H171">
            <v>0</v>
          </cell>
          <cell r="P171">
            <v>964</v>
          </cell>
          <cell r="Q171">
            <v>0</v>
          </cell>
          <cell r="R171">
            <v>0</v>
          </cell>
          <cell r="S171">
            <v>2067</v>
          </cell>
          <cell r="T171">
            <v>549.83999999999992</v>
          </cell>
          <cell r="U171">
            <v>572.16000000000008</v>
          </cell>
          <cell r="V171">
            <v>0</v>
          </cell>
          <cell r="W171">
            <v>0</v>
          </cell>
          <cell r="X171">
            <v>836</v>
          </cell>
          <cell r="Y171">
            <v>0</v>
          </cell>
          <cell r="Z171">
            <v>0</v>
          </cell>
          <cell r="AA171">
            <v>0</v>
          </cell>
          <cell r="AB171">
            <v>0</v>
          </cell>
          <cell r="AC171">
            <v>658</v>
          </cell>
          <cell r="AE171">
            <v>0</v>
          </cell>
          <cell r="AF171">
            <v>1973</v>
          </cell>
          <cell r="AG171">
            <v>1761.2545454545452</v>
          </cell>
          <cell r="AH171">
            <v>211.74545454545455</v>
          </cell>
          <cell r="AI171">
            <v>0</v>
          </cell>
          <cell r="AJ171">
            <v>0</v>
          </cell>
          <cell r="AK171">
            <v>7270.2545454545452</v>
          </cell>
          <cell r="AN171">
            <v>194</v>
          </cell>
          <cell r="AO171">
            <v>566</v>
          </cell>
          <cell r="AP171">
            <v>773</v>
          </cell>
          <cell r="AQ171">
            <v>1666.3454545454542</v>
          </cell>
        </row>
        <row r="172">
          <cell r="F172">
            <v>0</v>
          </cell>
          <cell r="G172">
            <v>0</v>
          </cell>
          <cell r="H172">
            <v>0</v>
          </cell>
          <cell r="P172">
            <v>73</v>
          </cell>
          <cell r="Q172">
            <v>0</v>
          </cell>
          <cell r="R172">
            <v>0</v>
          </cell>
          <cell r="S172">
            <v>407</v>
          </cell>
          <cell r="T172">
            <v>0</v>
          </cell>
          <cell r="U172">
            <v>0</v>
          </cell>
          <cell r="V172">
            <v>0</v>
          </cell>
          <cell r="W172">
            <v>0</v>
          </cell>
          <cell r="X172">
            <v>271.81818181818181</v>
          </cell>
          <cell r="Y172">
            <v>118</v>
          </cell>
          <cell r="Z172">
            <v>153.81818181818181</v>
          </cell>
          <cell r="AA172">
            <v>0</v>
          </cell>
          <cell r="AB172">
            <v>0</v>
          </cell>
          <cell r="AC172">
            <v>197</v>
          </cell>
          <cell r="AD172">
            <v>75</v>
          </cell>
          <cell r="AE172">
            <v>122</v>
          </cell>
          <cell r="AF172">
            <v>117.09090909090909</v>
          </cell>
          <cell r="AG172">
            <v>117.09090909090909</v>
          </cell>
          <cell r="AH172">
            <v>0</v>
          </cell>
          <cell r="AK172">
            <v>0</v>
          </cell>
        </row>
        <row r="173">
          <cell r="F173">
            <v>14.666666666666666</v>
          </cell>
          <cell r="P173">
            <v>60</v>
          </cell>
          <cell r="Q173">
            <v>0</v>
          </cell>
          <cell r="R173">
            <v>0</v>
          </cell>
          <cell r="S173">
            <v>30</v>
          </cell>
          <cell r="T173">
            <v>22</v>
          </cell>
          <cell r="U173">
            <v>0</v>
          </cell>
          <cell r="V173">
            <v>0</v>
          </cell>
          <cell r="W173">
            <v>0</v>
          </cell>
          <cell r="X173">
            <v>940</v>
          </cell>
          <cell r="AA173">
            <v>0</v>
          </cell>
          <cell r="AB173">
            <v>0</v>
          </cell>
          <cell r="AC173">
            <v>39</v>
          </cell>
          <cell r="AF173">
            <v>12</v>
          </cell>
          <cell r="AG173">
            <v>11</v>
          </cell>
          <cell r="AH173">
            <v>1</v>
          </cell>
          <cell r="AI173">
            <v>6.7</v>
          </cell>
          <cell r="AJ173">
            <v>0</v>
          </cell>
          <cell r="AK173">
            <v>1101.3666666666668</v>
          </cell>
          <cell r="AN173">
            <v>412</v>
          </cell>
          <cell r="AO173">
            <v>534</v>
          </cell>
          <cell r="AP173">
            <v>64</v>
          </cell>
          <cell r="AQ173">
            <v>35.666666666666686</v>
          </cell>
        </row>
        <row r="174">
          <cell r="F174">
            <v>1162.6666666666672</v>
          </cell>
          <cell r="P174">
            <v>-1510</v>
          </cell>
          <cell r="S174">
            <v>2161</v>
          </cell>
          <cell r="X174">
            <v>307.99999999999801</v>
          </cell>
          <cell r="AC174">
            <v>-615</v>
          </cell>
          <cell r="AF174">
            <v>1317</v>
          </cell>
          <cell r="AG174">
            <v>739.00000000000011</v>
          </cell>
          <cell r="AH174">
            <v>578</v>
          </cell>
          <cell r="AK174">
            <v>4683.4666666666662</v>
          </cell>
          <cell r="AO174">
            <v>1507.2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cell r="AN175" t="str">
            <v>ОЧИК.18.02.</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t="str">
            <v>АПАРАТ ВСЬОГО</v>
          </cell>
          <cell r="G178" t="str">
            <v>АПАРАТ ЕЛЕКТРО</v>
          </cell>
          <cell r="H178" t="str">
            <v>АПАРАТ ТЕПЛО</v>
          </cell>
          <cell r="P178" t="str">
            <v>ККМ</v>
          </cell>
          <cell r="S178" t="str">
            <v>КТМ</v>
          </cell>
          <cell r="X178" t="str">
            <v>ТЕЦ-5 ВСЬОГО</v>
          </cell>
          <cell r="Y178" t="str">
            <v>Е/Е</v>
          </cell>
          <cell r="Z178" t="str">
            <v xml:space="preserve"> Т/Е</v>
          </cell>
          <cell r="AC178" t="str">
            <v>ТЕЦ-6 ВСЬОГО</v>
          </cell>
          <cell r="AD178" t="str">
            <v>Е/Е</v>
          </cell>
          <cell r="AE178" t="str">
            <v xml:space="preserve"> Т/Е</v>
          </cell>
          <cell r="AF178" t="str">
            <v>Е/Е</v>
          </cell>
          <cell r="AG178" t="str">
            <v xml:space="preserve"> Т/Е</v>
          </cell>
          <cell r="AH178">
            <v>433.02400000000011</v>
          </cell>
          <cell r="AI178" t="str">
            <v xml:space="preserve">ДОП.ВИР. </v>
          </cell>
          <cell r="AJ178" t="str">
            <v>ДОП.ВИР. СТ.ОРГ.</v>
          </cell>
          <cell r="AK178" t="str">
            <v>АК КЕ ВСЬОГО</v>
          </cell>
          <cell r="AL178" t="str">
            <v>Е/Е</v>
          </cell>
          <cell r="AM178" t="str">
            <v xml:space="preserve"> Т/Е</v>
          </cell>
          <cell r="AN178" t="str">
            <v>СТАНЦІї ЕЛЕКТРО</v>
          </cell>
          <cell r="AO178" t="str">
            <v>СТАНЦІІ ТЕПЛОВІ</v>
          </cell>
          <cell r="AP178" t="str">
            <v>МЕРЕЖІ ЕЛЕКТРО</v>
          </cell>
          <cell r="AQ178" t="str">
            <v>МЕРЕЖІ ТЕПЛОВІ</v>
          </cell>
        </row>
        <row r="181">
          <cell r="S181">
            <v>100</v>
          </cell>
          <cell r="X181">
            <v>79.7</v>
          </cell>
          <cell r="AC181">
            <v>63.3</v>
          </cell>
          <cell r="AK181">
            <v>243</v>
          </cell>
          <cell r="AN181">
            <v>221.49122807017542</v>
          </cell>
        </row>
        <row r="182">
          <cell r="S182">
            <v>114.9</v>
          </cell>
          <cell r="X182">
            <v>91.6</v>
          </cell>
          <cell r="AC182">
            <v>72.8</v>
          </cell>
          <cell r="AK182">
            <v>279.29999999999995</v>
          </cell>
          <cell r="AN182">
            <v>252.49999999999997</v>
          </cell>
        </row>
        <row r="183">
          <cell r="F183" t="str">
            <v>АПАРАТ ВСЬОГО</v>
          </cell>
          <cell r="G183" t="str">
            <v>АПАРАТ ЕЛЕКТРО</v>
          </cell>
          <cell r="H183" t="str">
            <v>АПАРАТ ТЕПЛО</v>
          </cell>
          <cell r="P183">
            <v>0</v>
          </cell>
          <cell r="S183">
            <v>0</v>
          </cell>
          <cell r="X183">
            <v>0</v>
          </cell>
          <cell r="Y183" t="str">
            <v>Е/Е</v>
          </cell>
          <cell r="Z183" t="str">
            <v xml:space="preserve"> Т/Е</v>
          </cell>
          <cell r="AC183">
            <v>0</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cell r="AN183">
            <v>66</v>
          </cell>
        </row>
        <row r="184">
          <cell r="P184">
            <v>0</v>
          </cell>
          <cell r="S184">
            <v>192.5</v>
          </cell>
          <cell r="X184">
            <v>192.5</v>
          </cell>
          <cell r="AC184">
            <v>192.5</v>
          </cell>
          <cell r="AK184">
            <v>192.5</v>
          </cell>
          <cell r="AN184">
            <v>0</v>
          </cell>
        </row>
        <row r="185">
          <cell r="S185">
            <v>19250</v>
          </cell>
          <cell r="X185">
            <v>15343</v>
          </cell>
          <cell r="AC185">
            <v>12185</v>
          </cell>
          <cell r="AK185">
            <v>46778</v>
          </cell>
          <cell r="AN185">
            <v>0</v>
          </cell>
        </row>
        <row r="186">
          <cell r="S186">
            <v>100</v>
          </cell>
          <cell r="X186">
            <v>79.7</v>
          </cell>
          <cell r="AC186">
            <v>63.3</v>
          </cell>
          <cell r="AK186">
            <v>46778</v>
          </cell>
        </row>
        <row r="187">
          <cell r="S187">
            <v>114.9</v>
          </cell>
          <cell r="X187">
            <v>0</v>
          </cell>
          <cell r="AC187">
            <v>0</v>
          </cell>
          <cell r="AK187">
            <v>0</v>
          </cell>
        </row>
        <row r="188">
          <cell r="P188">
            <v>0</v>
          </cell>
          <cell r="S188">
            <v>0</v>
          </cell>
          <cell r="X188">
            <v>0</v>
          </cell>
          <cell r="AC188">
            <v>0</v>
          </cell>
          <cell r="AK188">
            <v>0</v>
          </cell>
        </row>
        <row r="189">
          <cell r="P189">
            <v>0</v>
          </cell>
          <cell r="S189">
            <v>192.5</v>
          </cell>
          <cell r="X189">
            <v>82.5</v>
          </cell>
          <cell r="AC189">
            <v>82.5</v>
          </cell>
          <cell r="AK189">
            <v>192.5</v>
          </cell>
        </row>
        <row r="190">
          <cell r="S190">
            <v>19250</v>
          </cell>
          <cell r="X190">
            <v>0</v>
          </cell>
          <cell r="AC190">
            <v>0</v>
          </cell>
          <cell r="AK190">
            <v>0</v>
          </cell>
        </row>
        <row r="191">
          <cell r="S191">
            <v>0</v>
          </cell>
          <cell r="X191">
            <v>0</v>
          </cell>
          <cell r="AC191">
            <v>0</v>
          </cell>
          <cell r="AK191">
            <v>0</v>
          </cell>
        </row>
        <row r="192">
          <cell r="X192">
            <v>0</v>
          </cell>
          <cell r="AC192">
            <v>0</v>
          </cell>
          <cell r="AK192">
            <v>0</v>
          </cell>
        </row>
        <row r="193">
          <cell r="X193">
            <v>44.8</v>
          </cell>
          <cell r="AC193">
            <v>36.700000000000003</v>
          </cell>
          <cell r="AK193">
            <v>81.5</v>
          </cell>
          <cell r="AN193">
            <v>75.839416058394164</v>
          </cell>
        </row>
        <row r="194">
          <cell r="X194">
            <v>61.9</v>
          </cell>
          <cell r="AC194">
            <v>50.6</v>
          </cell>
          <cell r="AK194">
            <v>112.5</v>
          </cell>
          <cell r="AN194">
            <v>103.9</v>
          </cell>
        </row>
        <row r="195">
          <cell r="F195">
            <v>75</v>
          </cell>
          <cell r="P195">
            <v>75</v>
          </cell>
          <cell r="X195">
            <v>0</v>
          </cell>
          <cell r="AC195">
            <v>0</v>
          </cell>
          <cell r="AJ195">
            <v>0</v>
          </cell>
          <cell r="AK195">
            <v>0</v>
          </cell>
          <cell r="AN195" t="e">
            <v>#DIV/0!</v>
          </cell>
          <cell r="AQ195">
            <v>75</v>
          </cell>
        </row>
        <row r="196">
          <cell r="S196">
            <v>653</v>
          </cell>
          <cell r="X196">
            <v>653</v>
          </cell>
          <cell r="AC196">
            <v>653</v>
          </cell>
          <cell r="AK196">
            <v>653</v>
          </cell>
          <cell r="AN196">
            <v>195.28</v>
          </cell>
        </row>
        <row r="197">
          <cell r="S197">
            <v>0</v>
          </cell>
          <cell r="X197">
            <v>29254</v>
          </cell>
          <cell r="AC197">
            <v>23966</v>
          </cell>
          <cell r="AK197">
            <v>53220</v>
          </cell>
          <cell r="AN197">
            <v>14810</v>
          </cell>
        </row>
        <row r="198">
          <cell r="X198">
            <v>44.8</v>
          </cell>
          <cell r="AC198">
            <v>36.700000000000003</v>
          </cell>
          <cell r="AK198">
            <v>53220</v>
          </cell>
        </row>
        <row r="199">
          <cell r="S199">
            <v>114.9</v>
          </cell>
          <cell r="X199">
            <v>153.5</v>
          </cell>
          <cell r="Y199">
            <v>66.599999999999994</v>
          </cell>
          <cell r="Z199">
            <v>86.9</v>
          </cell>
          <cell r="AC199">
            <v>123.4</v>
          </cell>
          <cell r="AD199">
            <v>47.1</v>
          </cell>
          <cell r="AE199">
            <v>76.300000000000011</v>
          </cell>
          <cell r="AK199">
            <v>391.79999999999995</v>
          </cell>
          <cell r="AL199">
            <v>113.69999999999999</v>
          </cell>
          <cell r="AM199">
            <v>278.10000000000002</v>
          </cell>
          <cell r="AN199">
            <v>356.4</v>
          </cell>
          <cell r="AO199">
            <v>74.900000000000006</v>
          </cell>
          <cell r="AP199">
            <v>281.5</v>
          </cell>
        </row>
        <row r="200">
          <cell r="F200">
            <v>75</v>
          </cell>
          <cell r="P200">
            <v>75</v>
          </cell>
          <cell r="S200">
            <v>19250</v>
          </cell>
          <cell r="X200">
            <v>44597</v>
          </cell>
          <cell r="Y200">
            <v>30041.25</v>
          </cell>
          <cell r="Z200">
            <v>14555.750000000002</v>
          </cell>
          <cell r="AA200">
            <v>14555.750000000004</v>
          </cell>
          <cell r="AC200">
            <v>36151</v>
          </cell>
          <cell r="AD200">
            <v>22308.272727272721</v>
          </cell>
          <cell r="AE200">
            <v>13842.727272727279</v>
          </cell>
          <cell r="AJ200">
            <v>0</v>
          </cell>
          <cell r="AK200">
            <v>99998</v>
          </cell>
          <cell r="AL200">
            <v>52349.522727272721</v>
          </cell>
          <cell r="AM200">
            <v>47648.477272727279</v>
          </cell>
          <cell r="AN200">
            <v>14810</v>
          </cell>
          <cell r="AO200">
            <v>3112.427048260382</v>
          </cell>
          <cell r="AP200">
            <v>11697.572951739618</v>
          </cell>
        </row>
        <row r="201">
          <cell r="S201">
            <v>167.54</v>
          </cell>
          <cell r="X201">
            <v>290.52999999999997</v>
          </cell>
          <cell r="Y201">
            <v>451.07</v>
          </cell>
          <cell r="Z201">
            <v>167.5</v>
          </cell>
          <cell r="AC201">
            <v>292.95999999999998</v>
          </cell>
          <cell r="AD201">
            <v>473.64</v>
          </cell>
          <cell r="AE201">
            <v>181.42</v>
          </cell>
          <cell r="AI201" t="str">
            <v/>
          </cell>
          <cell r="AJ201" t="str">
            <v/>
          </cell>
          <cell r="AK201">
            <v>255.23</v>
          </cell>
          <cell r="AL201">
            <v>460.42</v>
          </cell>
          <cell r="AM201">
            <v>171.34</v>
          </cell>
          <cell r="AN201">
            <v>41.55</v>
          </cell>
          <cell r="AO201">
            <v>41.55</v>
          </cell>
          <cell r="AP201">
            <v>41.55</v>
          </cell>
          <cell r="AQ201" t="str">
            <v/>
          </cell>
        </row>
        <row r="202">
          <cell r="S202">
            <v>0</v>
          </cell>
          <cell r="X202">
            <v>29254</v>
          </cell>
          <cell r="AC202">
            <v>23966</v>
          </cell>
          <cell r="AK202">
            <v>53220</v>
          </cell>
          <cell r="AM202">
            <v>0</v>
          </cell>
          <cell r="AN202">
            <v>52</v>
          </cell>
          <cell r="AO202">
            <v>52</v>
          </cell>
        </row>
        <row r="203">
          <cell r="X203">
            <v>44597</v>
          </cell>
          <cell r="AC203">
            <v>36151</v>
          </cell>
          <cell r="AK203">
            <v>99998</v>
          </cell>
          <cell r="AL203">
            <v>52349.522727272721</v>
          </cell>
          <cell r="AM203">
            <v>47648.477272727279</v>
          </cell>
          <cell r="AN203">
            <v>14862</v>
          </cell>
          <cell r="AO203">
            <v>3164.427048260382</v>
          </cell>
          <cell r="AP203">
            <v>11697.572951739618</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C206">
            <v>292.95999999999998</v>
          </cell>
          <cell r="AD206">
            <v>473.64</v>
          </cell>
          <cell r="AE206">
            <v>181.42</v>
          </cell>
          <cell r="AI206" t="str">
            <v/>
          </cell>
          <cell r="AJ206" t="str">
            <v/>
          </cell>
          <cell r="AK206">
            <v>255.23</v>
          </cell>
          <cell r="AL206">
            <v>460.42</v>
          </cell>
          <cell r="AM206">
            <v>171.34</v>
          </cell>
        </row>
        <row r="207">
          <cell r="AM207">
            <v>0</v>
          </cell>
        </row>
        <row r="208">
          <cell r="X208">
            <v>44597</v>
          </cell>
          <cell r="AC208">
            <v>36151</v>
          </cell>
          <cell r="AK208">
            <v>99998</v>
          </cell>
          <cell r="AL208">
            <v>52349.522727272721</v>
          </cell>
          <cell r="AM208">
            <v>47648.477272727279</v>
          </cell>
        </row>
        <row r="209">
          <cell r="G209" t="str">
            <v xml:space="preserve"> В.О.НОВОСАД</v>
          </cell>
        </row>
        <row r="210">
          <cell r="AK210">
            <v>99998</v>
          </cell>
        </row>
        <row r="212">
          <cell r="G212" t="str">
            <v>Б.В.ЯЩЕНКО</v>
          </cell>
        </row>
        <row r="213">
          <cell r="G213" t="str">
            <v>М.В.ТЕРПИЛО</v>
          </cell>
        </row>
        <row r="214">
          <cell r="G214" t="str">
            <v xml:space="preserve">В.І.МИРГОРОДСЬКИЙ                                  </v>
          </cell>
        </row>
        <row r="215">
          <cell r="G215" t="str">
            <v xml:space="preserve">М.І.ШЕВЧЕНКО                                 </v>
          </cell>
        </row>
        <row r="216">
          <cell r="G216" t="str">
            <v>В.Ю.МОНТЬЕВ</v>
          </cell>
        </row>
        <row r="217">
          <cell r="G217" t="str">
            <v xml:space="preserve">О.М.НИКОЛЕНКО      </v>
          </cell>
        </row>
        <row r="218">
          <cell r="G218" t="str">
            <v>М.В.ТЕРПИЛО</v>
          </cell>
        </row>
        <row r="219">
          <cell r="G219" t="str">
            <v xml:space="preserve">В.І.МИРГОРОДСЬКИЙ                                  </v>
          </cell>
        </row>
        <row r="220">
          <cell r="G220" t="str">
            <v xml:space="preserve">М.І.ШЕВЧЕНКО                                 </v>
          </cell>
        </row>
        <row r="221">
          <cell r="G221" t="str">
            <v>В.Ю.МОНТЬЕВ</v>
          </cell>
          <cell r="AO221">
            <v>1507.2</v>
          </cell>
        </row>
        <row r="222">
          <cell r="G222" t="str">
            <v xml:space="preserve">О.М.НИКОЛЕНКО      </v>
          </cell>
        </row>
        <row r="236">
          <cell r="AG236" t="str">
            <v xml:space="preserve">         Затверджую</v>
          </cell>
        </row>
        <row r="237">
          <cell r="AG237" t="str">
            <v xml:space="preserve"> Голова правління </v>
          </cell>
        </row>
        <row r="238">
          <cell r="AG238" t="str">
            <v xml:space="preserve">                        І.В.Плачков</v>
          </cell>
        </row>
        <row r="239">
          <cell r="AG239" t="str">
            <v xml:space="preserve">   "_____" ________2000 р.</v>
          </cell>
        </row>
        <row r="241">
          <cell r="AG241" t="str">
            <v xml:space="preserve">         Затверджую</v>
          </cell>
        </row>
        <row r="242">
          <cell r="AG242" t="str">
            <v xml:space="preserve"> Голова правління -</v>
          </cell>
        </row>
        <row r="243">
          <cell r="F243" t="str">
            <v>РОЗРАХУНОК ФІНАНСОВИХ ПОТОКІВ НА   лютий  2000 року</v>
          </cell>
          <cell r="AG243" t="str">
            <v xml:space="preserve"> генеральний директор</v>
          </cell>
        </row>
        <row r="244">
          <cell r="F244" t="str">
            <v>ПО ФІЛІАЛАХ АК КИЇВЕНЕРГО</v>
          </cell>
          <cell r="AG244" t="str">
            <v xml:space="preserve">                        І.В.Плачков</v>
          </cell>
        </row>
        <row r="245">
          <cell r="AG245" t="str">
            <v xml:space="preserve">   "_____" ________2000 р.</v>
          </cell>
        </row>
        <row r="249">
          <cell r="F249" t="str">
            <v>РОЗРАХУНОК ФІНАНСОВИХ ПОТОКІВ НА   лютий  2000 року</v>
          </cell>
          <cell r="AI249" t="str">
            <v>ТИС.ГРН.</v>
          </cell>
          <cell r="AK249" t="str">
            <v>тис.грн.</v>
          </cell>
        </row>
        <row r="250">
          <cell r="F250" t="str">
            <v>ВИКОН.ДИР.</v>
          </cell>
          <cell r="G250" t="str">
            <v>АПАРАТ ЕЛЕКТРО</v>
          </cell>
          <cell r="H250" t="str">
            <v>АПАРАТ ТЕПЛО</v>
          </cell>
          <cell r="P250" t="str">
            <v>КМ</v>
          </cell>
          <cell r="Q250" t="str">
            <v>ТМ</v>
          </cell>
          <cell r="S250" t="str">
            <v>КТМ</v>
          </cell>
          <cell r="T250" t="str">
            <v>ВИРОБН</v>
          </cell>
          <cell r="U250" t="str">
            <v>ПЕРЕД</v>
          </cell>
          <cell r="X250" t="str">
            <v>ТЕЦ-5 ВСЬОГО</v>
          </cell>
          <cell r="Y250" t="str">
            <v>Е/Е</v>
          </cell>
          <cell r="Z250" t="str">
            <v xml:space="preserve"> Т/Е</v>
          </cell>
          <cell r="AC250" t="str">
            <v>ТЕЦ-6 ВСЬОГО</v>
          </cell>
          <cell r="AD250" t="str">
            <v>Е/Е</v>
          </cell>
          <cell r="AE250" t="str">
            <v xml:space="preserve"> Т/Е</v>
          </cell>
          <cell r="AF250" t="str">
            <v>ТРМ ВСЬОГО</v>
          </cell>
          <cell r="AG250" t="str">
            <v>ТРМ  АК КЕ</v>
          </cell>
          <cell r="AH250" t="str">
            <v>ТРМ СТОР</v>
          </cell>
          <cell r="AI250" t="str">
            <v xml:space="preserve">ДОП.ВИР. </v>
          </cell>
          <cell r="AJ250" t="str">
            <v>ДОП.ВИР. СТ.ОРГ.</v>
          </cell>
          <cell r="AK250" t="str">
            <v>АК КЕ ВСЬОГО</v>
          </cell>
          <cell r="AL250" t="str">
            <v>АК КЕ ВСЬОГО</v>
          </cell>
          <cell r="AM250" t="str">
            <v xml:space="preserve"> Т/Е</v>
          </cell>
          <cell r="AN250" t="str">
            <v>СТАНЦІї ЕЛЕКТРО</v>
          </cell>
          <cell r="AO250" t="str">
            <v>СТАНЦІІ ТЕПЛОВІ</v>
          </cell>
          <cell r="AP250" t="str">
            <v>МЕРЕЖІ ЕЛЕКТРО</v>
          </cell>
          <cell r="AQ250" t="str">
            <v>МЕРЕЖІ ТЕПЛОВІ</v>
          </cell>
        </row>
        <row r="251">
          <cell r="F251">
            <v>2564.3333333333339</v>
          </cell>
          <cell r="P251">
            <v>2175</v>
          </cell>
          <cell r="S251">
            <v>7897</v>
          </cell>
          <cell r="X251">
            <v>2489.8484848484827</v>
          </cell>
          <cell r="AC251">
            <v>1464</v>
          </cell>
          <cell r="AF251">
            <v>4071.242424242424</v>
          </cell>
          <cell r="AG251">
            <v>3280.4969696969697</v>
          </cell>
          <cell r="AH251">
            <v>791.74545454545455</v>
          </cell>
          <cell r="AJ251">
            <v>7599</v>
          </cell>
          <cell r="AK251">
            <v>21493.757575757576</v>
          </cell>
        </row>
        <row r="253">
          <cell r="F253">
            <v>40160.608095238102</v>
          </cell>
          <cell r="G253">
            <v>2161.6</v>
          </cell>
          <cell r="H253">
            <v>2142.0666666666666</v>
          </cell>
          <cell r="P253">
            <v>2175</v>
          </cell>
          <cell r="Q253">
            <v>0</v>
          </cell>
          <cell r="R253">
            <v>0</v>
          </cell>
          <cell r="S253">
            <v>7897</v>
          </cell>
          <cell r="T253">
            <v>4513.5299999999988</v>
          </cell>
          <cell r="U253">
            <v>1480.47</v>
          </cell>
          <cell r="V253">
            <v>0</v>
          </cell>
          <cell r="W253">
            <v>0</v>
          </cell>
          <cell r="X253">
            <v>2489.8484848484827</v>
          </cell>
          <cell r="Y253">
            <v>898</v>
          </cell>
          <cell r="Z253">
            <v>1169.181818181818</v>
          </cell>
          <cell r="AA253">
            <v>0</v>
          </cell>
          <cell r="AB253">
            <v>0</v>
          </cell>
          <cell r="AC253">
            <v>1464</v>
          </cell>
          <cell r="AD253">
            <v>491</v>
          </cell>
          <cell r="AE253">
            <v>728</v>
          </cell>
          <cell r="AF253">
            <v>4071.242424242424</v>
          </cell>
          <cell r="AG253">
            <v>3280.4969696969697</v>
          </cell>
          <cell r="AH253">
            <v>791.74545454545455</v>
          </cell>
          <cell r="AI253">
            <v>2144.6999999999998</v>
          </cell>
          <cell r="AJ253">
            <v>0</v>
          </cell>
          <cell r="AK253">
            <v>139067.65354978354</v>
          </cell>
          <cell r="AM253">
            <v>111785.25</v>
          </cell>
        </row>
        <row r="254">
          <cell r="F254">
            <v>31766.748095238101</v>
          </cell>
          <cell r="G254">
            <v>1974.6</v>
          </cell>
          <cell r="H254">
            <v>1933.0666666666666</v>
          </cell>
          <cell r="P254">
            <v>306.29999999999995</v>
          </cell>
          <cell r="S254">
            <v>1960</v>
          </cell>
          <cell r="T254">
            <v>3735.369999999999</v>
          </cell>
          <cell r="U254">
            <v>-290.37000000000012</v>
          </cell>
          <cell r="X254">
            <v>1301.6666666666645</v>
          </cell>
          <cell r="Y254">
            <v>449</v>
          </cell>
          <cell r="Z254">
            <v>582.99999999999977</v>
          </cell>
          <cell r="AC254">
            <v>272</v>
          </cell>
          <cell r="AD254">
            <v>131</v>
          </cell>
          <cell r="AE254">
            <v>96</v>
          </cell>
          <cell r="AF254">
            <v>375.11333333333289</v>
          </cell>
          <cell r="AG254">
            <v>314.78060873834113</v>
          </cell>
          <cell r="AH254">
            <v>61.332724594992555</v>
          </cell>
          <cell r="AI254">
            <v>1192.6999999999998</v>
          </cell>
          <cell r="AJ254">
            <v>-2455</v>
          </cell>
          <cell r="AK254">
            <v>121038.78264069262</v>
          </cell>
          <cell r="AM254">
            <v>36916.748095238101</v>
          </cell>
        </row>
        <row r="255">
          <cell r="F255">
            <v>118194.27476190477</v>
          </cell>
          <cell r="P255">
            <v>0</v>
          </cell>
          <cell r="Q255">
            <v>0</v>
          </cell>
          <cell r="R255">
            <v>0</v>
          </cell>
          <cell r="S255">
            <v>0</v>
          </cell>
          <cell r="T255">
            <v>0</v>
          </cell>
          <cell r="U255">
            <v>0</v>
          </cell>
          <cell r="V255">
            <v>0</v>
          </cell>
          <cell r="W255">
            <v>0</v>
          </cell>
          <cell r="X255">
            <v>0</v>
          </cell>
          <cell r="Y255">
            <v>0</v>
          </cell>
          <cell r="Z255">
            <v>0</v>
          </cell>
          <cell r="AA255">
            <v>0</v>
          </cell>
          <cell r="AB255">
            <v>0</v>
          </cell>
          <cell r="AC255">
            <v>0</v>
          </cell>
          <cell r="AD255">
            <v>0</v>
          </cell>
          <cell r="AE255">
            <v>0</v>
          </cell>
          <cell r="AF255">
            <v>0</v>
          </cell>
          <cell r="AG255">
            <v>0</v>
          </cell>
          <cell r="AH255">
            <v>0</v>
          </cell>
          <cell r="AI255">
            <v>0</v>
          </cell>
          <cell r="AK255">
            <v>118194.27476190477</v>
          </cell>
        </row>
        <row r="256">
          <cell r="F256">
            <v>99998</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v>99998</v>
          </cell>
          <cell r="AL256" t="str">
            <v>АК КЕ ВСЬОГО</v>
          </cell>
          <cell r="AM256" t="str">
            <v xml:space="preserve"> Т/Е</v>
          </cell>
        </row>
        <row r="257">
          <cell r="F257">
            <v>0</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0</v>
          </cell>
        </row>
        <row r="258">
          <cell r="F258">
            <v>11812.941428571428</v>
          </cell>
          <cell r="P258">
            <v>0</v>
          </cell>
          <cell r="Q258">
            <v>0</v>
          </cell>
          <cell r="R258">
            <v>0</v>
          </cell>
          <cell r="S258">
            <v>0</v>
          </cell>
          <cell r="T258">
            <v>0</v>
          </cell>
          <cell r="U258">
            <v>0</v>
          </cell>
          <cell r="V258">
            <v>0</v>
          </cell>
          <cell r="W258">
            <v>0</v>
          </cell>
          <cell r="X258">
            <v>0</v>
          </cell>
          <cell r="Y258">
            <v>0</v>
          </cell>
          <cell r="Z258">
            <v>0</v>
          </cell>
          <cell r="AA258">
            <v>0</v>
          </cell>
          <cell r="AB258">
            <v>0</v>
          </cell>
          <cell r="AC258">
            <v>0</v>
          </cell>
          <cell r="AD258">
            <v>0</v>
          </cell>
          <cell r="AE258">
            <v>0</v>
          </cell>
          <cell r="AF258">
            <v>0</v>
          </cell>
          <cell r="AG258">
            <v>0</v>
          </cell>
          <cell r="AH258">
            <v>0</v>
          </cell>
          <cell r="AI258">
            <v>0</v>
          </cell>
          <cell r="AK258">
            <v>11812.941428571428</v>
          </cell>
        </row>
        <row r="259">
          <cell r="F259">
            <v>825</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825</v>
          </cell>
          <cell r="AM259">
            <v>111785.25</v>
          </cell>
        </row>
        <row r="260">
          <cell r="F260">
            <v>0</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0</v>
          </cell>
          <cell r="AM260">
            <v>23577.368640000012</v>
          </cell>
        </row>
        <row r="261">
          <cell r="F261">
            <v>4663.9414285714283</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4663.9414285714283</v>
          </cell>
        </row>
        <row r="262">
          <cell r="F262">
            <v>3500</v>
          </cell>
          <cell r="AK262">
            <v>3500</v>
          </cell>
        </row>
        <row r="263">
          <cell r="F263">
            <v>0</v>
          </cell>
          <cell r="AK263">
            <v>0</v>
          </cell>
        </row>
        <row r="264">
          <cell r="F264">
            <v>2824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2824</v>
          </cell>
        </row>
        <row r="265">
          <cell r="F265">
            <v>6321.6666666666661</v>
          </cell>
          <cell r="AK265">
            <v>6321.6666666666661</v>
          </cell>
        </row>
        <row r="266">
          <cell r="F266">
            <v>61.666666666666664</v>
          </cell>
          <cell r="P266">
            <v>0</v>
          </cell>
          <cell r="S266">
            <v>0</v>
          </cell>
          <cell r="X266">
            <v>0</v>
          </cell>
          <cell r="AC266">
            <v>0</v>
          </cell>
          <cell r="AF266">
            <v>0</v>
          </cell>
          <cell r="AG266">
            <v>0</v>
          </cell>
          <cell r="AH266">
            <v>0</v>
          </cell>
          <cell r="AI266">
            <v>0</v>
          </cell>
          <cell r="AK266">
            <v>61.666666666666664</v>
          </cell>
        </row>
        <row r="267">
          <cell r="F267">
            <v>120758.6080952381</v>
          </cell>
          <cell r="P267">
            <v>2175</v>
          </cell>
          <cell r="Q267">
            <v>0</v>
          </cell>
          <cell r="R267">
            <v>0</v>
          </cell>
          <cell r="S267">
            <v>7897</v>
          </cell>
          <cell r="T267">
            <v>0</v>
          </cell>
          <cell r="U267">
            <v>0</v>
          </cell>
          <cell r="V267">
            <v>0</v>
          </cell>
          <cell r="W267">
            <v>0</v>
          </cell>
          <cell r="X267">
            <v>2489.8484848484827</v>
          </cell>
          <cell r="Y267">
            <v>0</v>
          </cell>
          <cell r="Z267">
            <v>0</v>
          </cell>
          <cell r="AA267">
            <v>0</v>
          </cell>
          <cell r="AB267">
            <v>0</v>
          </cell>
          <cell r="AC267">
            <v>1464</v>
          </cell>
          <cell r="AD267">
            <v>0</v>
          </cell>
          <cell r="AE267">
            <v>0</v>
          </cell>
          <cell r="AF267">
            <v>4071.242424242424</v>
          </cell>
          <cell r="AG267">
            <v>3280.4969696969697</v>
          </cell>
          <cell r="AH267">
            <v>791.74545454545455</v>
          </cell>
          <cell r="AI267">
            <v>0</v>
          </cell>
          <cell r="AK267">
            <v>139688.03233766233</v>
          </cell>
        </row>
        <row r="268">
          <cell r="F268">
            <v>1247.1933333333332</v>
          </cell>
          <cell r="P268">
            <v>1651.7</v>
          </cell>
          <cell r="Q268">
            <v>0</v>
          </cell>
          <cell r="R268">
            <v>0</v>
          </cell>
          <cell r="S268">
            <v>6083</v>
          </cell>
          <cell r="T268">
            <v>571.83999999999992</v>
          </cell>
          <cell r="U268">
            <v>572.16000000000008</v>
          </cell>
          <cell r="V268">
            <v>0</v>
          </cell>
          <cell r="W268">
            <v>0</v>
          </cell>
          <cell r="X268">
            <v>1798</v>
          </cell>
          <cell r="Y268">
            <v>485</v>
          </cell>
          <cell r="Z268">
            <v>632.18181818181824</v>
          </cell>
          <cell r="AA268">
            <v>0</v>
          </cell>
          <cell r="AB268">
            <v>0</v>
          </cell>
          <cell r="AC268">
            <v>1052</v>
          </cell>
          <cell r="AD268">
            <v>116</v>
          </cell>
          <cell r="AE268">
            <v>186</v>
          </cell>
          <cell r="AF268">
            <v>3367.2200000000003</v>
          </cell>
          <cell r="AG268">
            <v>2636.8072700495377</v>
          </cell>
          <cell r="AH268">
            <v>730.41272995046188</v>
          </cell>
          <cell r="AI268">
            <v>952</v>
          </cell>
          <cell r="AK268">
            <v>15914.113333333335</v>
          </cell>
        </row>
        <row r="269">
          <cell r="F269">
            <v>592</v>
          </cell>
          <cell r="G269">
            <v>187</v>
          </cell>
          <cell r="H269">
            <v>209</v>
          </cell>
          <cell r="P269">
            <v>964</v>
          </cell>
          <cell r="S269">
            <v>2067</v>
          </cell>
          <cell r="T269">
            <v>549.83999999999992</v>
          </cell>
          <cell r="U269">
            <v>572.16000000000008</v>
          </cell>
          <cell r="X269">
            <v>836</v>
          </cell>
          <cell r="Y269">
            <v>142</v>
          </cell>
          <cell r="Z269">
            <v>185.18181818181819</v>
          </cell>
          <cell r="AC269">
            <v>658</v>
          </cell>
          <cell r="AD269">
            <v>111</v>
          </cell>
          <cell r="AE269">
            <v>178</v>
          </cell>
          <cell r="AF269">
            <v>1973</v>
          </cell>
          <cell r="AG269">
            <v>1761.2545454545452</v>
          </cell>
          <cell r="AH269">
            <v>211.74545454545455</v>
          </cell>
          <cell r="AI269">
            <v>952</v>
          </cell>
          <cell r="AK269">
            <v>7482</v>
          </cell>
        </row>
        <row r="270">
          <cell r="F270">
            <v>0</v>
          </cell>
          <cell r="P270">
            <v>0</v>
          </cell>
          <cell r="Q270">
            <v>0</v>
          </cell>
          <cell r="R270">
            <v>0</v>
          </cell>
          <cell r="S270">
            <v>22</v>
          </cell>
          <cell r="T270">
            <v>22</v>
          </cell>
          <cell r="U270">
            <v>0</v>
          </cell>
          <cell r="V270">
            <v>0</v>
          </cell>
          <cell r="W270">
            <v>0</v>
          </cell>
          <cell r="X270">
            <v>790</v>
          </cell>
          <cell r="Y270">
            <v>343</v>
          </cell>
          <cell r="Z270">
            <v>447</v>
          </cell>
          <cell r="AA270">
            <v>0</v>
          </cell>
          <cell r="AB270">
            <v>0</v>
          </cell>
          <cell r="AC270">
            <v>13</v>
          </cell>
          <cell r="AD270">
            <v>5</v>
          </cell>
          <cell r="AE270">
            <v>8</v>
          </cell>
          <cell r="AF270">
            <v>0</v>
          </cell>
          <cell r="AG270">
            <v>0</v>
          </cell>
          <cell r="AH270">
            <v>0</v>
          </cell>
          <cell r="AI270">
            <v>0</v>
          </cell>
          <cell r="AK270">
            <v>825</v>
          </cell>
        </row>
        <row r="271">
          <cell r="F271">
            <v>648.19333333333327</v>
          </cell>
          <cell r="P271">
            <v>630.70000000000005</v>
          </cell>
          <cell r="Q271">
            <v>0</v>
          </cell>
          <cell r="R271">
            <v>0</v>
          </cell>
          <cell r="S271">
            <v>590</v>
          </cell>
          <cell r="T271">
            <v>0</v>
          </cell>
          <cell r="U271">
            <v>0</v>
          </cell>
          <cell r="V271">
            <v>0</v>
          </cell>
          <cell r="W271">
            <v>0</v>
          </cell>
          <cell r="X271">
            <v>126</v>
          </cell>
          <cell r="Y271">
            <v>0</v>
          </cell>
          <cell r="Z271">
            <v>0</v>
          </cell>
          <cell r="AA271">
            <v>0</v>
          </cell>
          <cell r="AB271">
            <v>0</v>
          </cell>
          <cell r="AC271">
            <v>186</v>
          </cell>
          <cell r="AD271">
            <v>0</v>
          </cell>
          <cell r="AE271">
            <v>0</v>
          </cell>
          <cell r="AF271">
            <v>504.22</v>
          </cell>
          <cell r="AG271">
            <v>433.55272459499264</v>
          </cell>
          <cell r="AH271">
            <v>70.667275405007373</v>
          </cell>
          <cell r="AI271">
            <v>0</v>
          </cell>
          <cell r="AK271">
            <v>2739.1133333333337</v>
          </cell>
        </row>
        <row r="272">
          <cell r="F272">
            <v>67.833333333333329</v>
          </cell>
          <cell r="P272">
            <v>336.7</v>
          </cell>
          <cell r="S272">
            <v>367</v>
          </cell>
          <cell r="X272">
            <v>32</v>
          </cell>
          <cell r="AC272">
            <v>32</v>
          </cell>
          <cell r="AF272">
            <v>206.95333333333335</v>
          </cell>
          <cell r="AG272">
            <v>141.72798232695141</v>
          </cell>
          <cell r="AH272">
            <v>65.225351006381942</v>
          </cell>
          <cell r="AI272">
            <v>0</v>
          </cell>
          <cell r="AK272">
            <v>1096.4866666666667</v>
          </cell>
        </row>
        <row r="273">
          <cell r="F273">
            <v>417.35999999999996</v>
          </cell>
          <cell r="P273">
            <v>4</v>
          </cell>
          <cell r="Q273">
            <v>0</v>
          </cell>
          <cell r="R273">
            <v>0</v>
          </cell>
          <cell r="S273">
            <v>80</v>
          </cell>
          <cell r="T273">
            <v>0</v>
          </cell>
          <cell r="U273">
            <v>0</v>
          </cell>
          <cell r="V273">
            <v>0</v>
          </cell>
          <cell r="W273">
            <v>0</v>
          </cell>
          <cell r="X273">
            <v>35</v>
          </cell>
          <cell r="Y273">
            <v>0</v>
          </cell>
          <cell r="Z273">
            <v>0</v>
          </cell>
          <cell r="AA273">
            <v>0</v>
          </cell>
          <cell r="AB273">
            <v>0</v>
          </cell>
          <cell r="AC273">
            <v>29</v>
          </cell>
          <cell r="AD273">
            <v>0</v>
          </cell>
          <cell r="AE273">
            <v>0</v>
          </cell>
          <cell r="AF273">
            <v>17.266666666666666</v>
          </cell>
          <cell r="AG273">
            <v>11.824742268041236</v>
          </cell>
          <cell r="AH273">
            <v>5.4419243986254298</v>
          </cell>
          <cell r="AI273">
            <v>0</v>
          </cell>
          <cell r="AK273">
            <v>582.62666666666655</v>
          </cell>
        </row>
        <row r="274">
          <cell r="F274">
            <v>100</v>
          </cell>
          <cell r="P274">
            <v>250</v>
          </cell>
          <cell r="Q274">
            <v>0</v>
          </cell>
          <cell r="R274">
            <v>0</v>
          </cell>
          <cell r="S274">
            <v>50</v>
          </cell>
          <cell r="T274">
            <v>835.56363636363631</v>
          </cell>
          <cell r="U274">
            <v>846.70909090909095</v>
          </cell>
          <cell r="V274">
            <v>0</v>
          </cell>
          <cell r="W274">
            <v>0</v>
          </cell>
          <cell r="X274">
            <v>10</v>
          </cell>
          <cell r="Y274">
            <v>588</v>
          </cell>
          <cell r="Z274">
            <v>768</v>
          </cell>
          <cell r="AA274">
            <v>0</v>
          </cell>
          <cell r="AB274">
            <v>0</v>
          </cell>
          <cell r="AC274">
            <v>60</v>
          </cell>
          <cell r="AD274">
            <v>181</v>
          </cell>
          <cell r="AE274">
            <v>292.09090909090912</v>
          </cell>
          <cell r="AF274">
            <v>250</v>
          </cell>
          <cell r="AG274">
            <v>250</v>
          </cell>
          <cell r="AH274">
            <v>633.11927828850958</v>
          </cell>
          <cell r="AI274">
            <v>1904.3636363636365</v>
          </cell>
          <cell r="AK274">
            <v>720</v>
          </cell>
        </row>
        <row r="275">
          <cell r="F275">
            <v>63</v>
          </cell>
          <cell r="G275">
            <v>233</v>
          </cell>
          <cell r="H275">
            <v>274.45454545454538</v>
          </cell>
          <cell r="P275">
            <v>40</v>
          </cell>
          <cell r="S275">
            <v>93</v>
          </cell>
          <cell r="T275">
            <v>813.56363636363631</v>
          </cell>
          <cell r="U275">
            <v>846.70909090909095</v>
          </cell>
          <cell r="X275">
            <v>49</v>
          </cell>
          <cell r="Y275">
            <v>245</v>
          </cell>
          <cell r="Z275">
            <v>321</v>
          </cell>
          <cell r="AC275">
            <v>65</v>
          </cell>
          <cell r="AD275">
            <v>176</v>
          </cell>
          <cell r="AE275">
            <v>284.09090909090912</v>
          </cell>
          <cell r="AF275">
            <v>30</v>
          </cell>
          <cell r="AG275">
            <v>30</v>
          </cell>
          <cell r="AH275">
            <v>0</v>
          </cell>
          <cell r="AI275">
            <v>1904.3636363636365</v>
          </cell>
          <cell r="AK275">
            <v>340</v>
          </cell>
        </row>
        <row r="276">
          <cell r="F276">
            <v>7</v>
          </cell>
          <cell r="P276">
            <v>57</v>
          </cell>
          <cell r="Q276">
            <v>0</v>
          </cell>
          <cell r="R276">
            <v>0</v>
          </cell>
          <cell r="S276">
            <v>3154</v>
          </cell>
          <cell r="T276">
            <v>0</v>
          </cell>
          <cell r="U276">
            <v>0</v>
          </cell>
          <cell r="V276">
            <v>0</v>
          </cell>
          <cell r="W276">
            <v>0</v>
          </cell>
          <cell r="X276">
            <v>46</v>
          </cell>
          <cell r="Y276">
            <v>0</v>
          </cell>
          <cell r="Z276">
            <v>0</v>
          </cell>
          <cell r="AA276">
            <v>0</v>
          </cell>
          <cell r="AB276">
            <v>0</v>
          </cell>
          <cell r="AC276">
            <v>195</v>
          </cell>
          <cell r="AD276">
            <v>0</v>
          </cell>
          <cell r="AE276">
            <v>0</v>
          </cell>
          <cell r="AF276">
            <v>890</v>
          </cell>
          <cell r="AG276">
            <v>442</v>
          </cell>
          <cell r="AH276">
            <v>448</v>
          </cell>
          <cell r="AI276">
            <v>0</v>
          </cell>
          <cell r="AK276">
            <v>4618</v>
          </cell>
        </row>
        <row r="277">
          <cell r="F277">
            <v>0</v>
          </cell>
          <cell r="P277">
            <v>1</v>
          </cell>
          <cell r="Q277">
            <v>0</v>
          </cell>
          <cell r="R277">
            <v>0</v>
          </cell>
          <cell r="S277">
            <v>0</v>
          </cell>
          <cell r="T277">
            <v>0</v>
          </cell>
          <cell r="U277">
            <v>0</v>
          </cell>
          <cell r="V277">
            <v>0</v>
          </cell>
          <cell r="W277">
            <v>0</v>
          </cell>
          <cell r="X277">
            <v>46</v>
          </cell>
          <cell r="Y277">
            <v>0</v>
          </cell>
          <cell r="Z277">
            <v>0</v>
          </cell>
          <cell r="AA277">
            <v>0</v>
          </cell>
          <cell r="AB277">
            <v>0</v>
          </cell>
          <cell r="AC277">
            <v>195</v>
          </cell>
          <cell r="AD277">
            <v>0</v>
          </cell>
          <cell r="AE277">
            <v>0</v>
          </cell>
          <cell r="AF277">
            <v>0</v>
          </cell>
          <cell r="AG277">
            <v>0</v>
          </cell>
          <cell r="AH277">
            <v>0</v>
          </cell>
          <cell r="AI277">
            <v>0</v>
          </cell>
          <cell r="AK277">
            <v>242</v>
          </cell>
        </row>
        <row r="278">
          <cell r="F278">
            <v>7</v>
          </cell>
          <cell r="P278">
            <v>56</v>
          </cell>
          <cell r="S278">
            <v>3154</v>
          </cell>
          <cell r="X278">
            <v>0</v>
          </cell>
          <cell r="AC278">
            <v>0</v>
          </cell>
          <cell r="AF278">
            <v>890</v>
          </cell>
          <cell r="AG278">
            <v>442</v>
          </cell>
          <cell r="AH278">
            <v>448</v>
          </cell>
          <cell r="AI278">
            <v>0</v>
          </cell>
          <cell r="AK278">
            <v>4107</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269</v>
          </cell>
        </row>
        <row r="280">
          <cell r="F280">
            <v>25.7</v>
          </cell>
          <cell r="P280">
            <v>64.25</v>
          </cell>
          <cell r="S280">
            <v>250</v>
          </cell>
          <cell r="X280">
            <v>2.5700000000000003</v>
          </cell>
          <cell r="AC280">
            <v>15.42</v>
          </cell>
          <cell r="AF280">
            <v>64.25</v>
          </cell>
          <cell r="AG280">
            <v>64.25</v>
          </cell>
          <cell r="AH280">
            <v>0</v>
          </cell>
          <cell r="AI280">
            <v>0</v>
          </cell>
          <cell r="AK280">
            <v>250</v>
          </cell>
        </row>
        <row r="281">
          <cell r="F281">
            <v>119511.41476190477</v>
          </cell>
          <cell r="P281">
            <v>523.29999999999995</v>
          </cell>
          <cell r="Q281">
            <v>0</v>
          </cell>
          <cell r="R281">
            <v>0</v>
          </cell>
          <cell r="S281">
            <v>1814</v>
          </cell>
          <cell r="T281">
            <v>-571.83999999999992</v>
          </cell>
          <cell r="U281">
            <v>-572.16000000000008</v>
          </cell>
          <cell r="V281">
            <v>0</v>
          </cell>
          <cell r="W281">
            <v>0</v>
          </cell>
          <cell r="X281">
            <v>691.84848484848271</v>
          </cell>
          <cell r="Y281">
            <v>-485</v>
          </cell>
          <cell r="Z281">
            <v>-632.18181818181824</v>
          </cell>
          <cell r="AA281">
            <v>0</v>
          </cell>
          <cell r="AB281">
            <v>0</v>
          </cell>
          <cell r="AC281">
            <v>412</v>
          </cell>
          <cell r="AD281">
            <v>-116</v>
          </cell>
          <cell r="AE281">
            <v>-186</v>
          </cell>
          <cell r="AF281">
            <v>704.02242424242377</v>
          </cell>
          <cell r="AG281">
            <v>643.68969964743201</v>
          </cell>
          <cell r="AH281">
            <v>61.332724594992669</v>
          </cell>
          <cell r="AI281">
            <v>-952</v>
          </cell>
          <cell r="AK281">
            <v>123773.91900432901</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0</v>
          </cell>
        </row>
        <row r="283">
          <cell r="F283">
            <v>1482.14</v>
          </cell>
          <cell r="P283">
            <v>523.29999999999995</v>
          </cell>
          <cell r="Q283">
            <v>0</v>
          </cell>
          <cell r="R283">
            <v>0</v>
          </cell>
          <cell r="S283">
            <v>1814</v>
          </cell>
          <cell r="T283">
            <v>0</v>
          </cell>
          <cell r="U283">
            <v>0</v>
          </cell>
          <cell r="V283">
            <v>0</v>
          </cell>
          <cell r="W283">
            <v>0</v>
          </cell>
          <cell r="X283">
            <v>691.84848484848487</v>
          </cell>
          <cell r="Y283">
            <v>0</v>
          </cell>
          <cell r="Z283">
            <v>0</v>
          </cell>
          <cell r="AA283">
            <v>0</v>
          </cell>
          <cell r="AB283">
            <v>0</v>
          </cell>
          <cell r="AC283">
            <v>412</v>
          </cell>
          <cell r="AD283">
            <v>0</v>
          </cell>
          <cell r="AE283">
            <v>0</v>
          </cell>
          <cell r="AF283">
            <v>705.02242424242422</v>
          </cell>
          <cell r="AG283">
            <v>643.68969964743155</v>
          </cell>
          <cell r="AH283">
            <v>61.332724594992641</v>
          </cell>
          <cell r="AI283">
            <v>1197.7</v>
          </cell>
          <cell r="AK283">
            <v>5745.6442424242432</v>
          </cell>
        </row>
        <row r="284">
          <cell r="F284">
            <v>357</v>
          </cell>
          <cell r="P284">
            <v>100</v>
          </cell>
          <cell r="S284">
            <v>990</v>
          </cell>
          <cell r="X284">
            <v>100</v>
          </cell>
          <cell r="AC284">
            <v>20</v>
          </cell>
          <cell r="AF284">
            <v>0</v>
          </cell>
          <cell r="AG284">
            <v>0</v>
          </cell>
          <cell r="AH284">
            <v>0</v>
          </cell>
          <cell r="AI284">
            <v>269</v>
          </cell>
          <cell r="AK284">
            <v>1580</v>
          </cell>
        </row>
        <row r="285">
          <cell r="F285">
            <v>63</v>
          </cell>
          <cell r="P285">
            <v>257</v>
          </cell>
          <cell r="Q285">
            <v>0</v>
          </cell>
          <cell r="R285">
            <v>0</v>
          </cell>
          <cell r="S285">
            <v>219</v>
          </cell>
          <cell r="T285">
            <v>0</v>
          </cell>
          <cell r="U285">
            <v>0</v>
          </cell>
          <cell r="V285">
            <v>0</v>
          </cell>
          <cell r="W285">
            <v>0</v>
          </cell>
          <cell r="X285">
            <v>229.18181818181819</v>
          </cell>
          <cell r="Y285">
            <v>0</v>
          </cell>
          <cell r="Z285">
            <v>0</v>
          </cell>
          <cell r="AA285">
            <v>0</v>
          </cell>
          <cell r="AB285">
            <v>0</v>
          </cell>
          <cell r="AC285">
            <v>218</v>
          </cell>
          <cell r="AD285">
            <v>0</v>
          </cell>
          <cell r="AE285">
            <v>0</v>
          </cell>
          <cell r="AF285">
            <v>358.90909090909088</v>
          </cell>
          <cell r="AG285">
            <v>358.90909090909088</v>
          </cell>
          <cell r="AH285">
            <v>0</v>
          </cell>
          <cell r="AI285">
            <v>0</v>
          </cell>
          <cell r="AK285">
            <v>1345.090909090909</v>
          </cell>
        </row>
        <row r="286">
          <cell r="F286">
            <v>375</v>
          </cell>
          <cell r="P286">
            <v>14</v>
          </cell>
          <cell r="S286">
            <v>37</v>
          </cell>
          <cell r="X286">
            <v>17.666666666666668</v>
          </cell>
          <cell r="AC286">
            <v>19</v>
          </cell>
          <cell r="AF286">
            <v>30.333333333333332</v>
          </cell>
          <cell r="AG286">
            <v>30.333333333333332</v>
          </cell>
          <cell r="AH286">
            <v>0</v>
          </cell>
          <cell r="AI286">
            <v>843</v>
          </cell>
          <cell r="AK286">
            <v>500</v>
          </cell>
        </row>
        <row r="287">
          <cell r="F287">
            <v>286.33333333333326</v>
          </cell>
          <cell r="P287">
            <v>7</v>
          </cell>
          <cell r="Q287">
            <v>0</v>
          </cell>
          <cell r="R287">
            <v>0</v>
          </cell>
          <cell r="S287">
            <v>30</v>
          </cell>
          <cell r="T287">
            <v>-835.56363636363631</v>
          </cell>
          <cell r="U287">
            <v>-846.70909090909095</v>
          </cell>
          <cell r="V287">
            <v>0</v>
          </cell>
          <cell r="W287">
            <v>0</v>
          </cell>
          <cell r="X287">
            <v>18</v>
          </cell>
          <cell r="Y287">
            <v>-588</v>
          </cell>
          <cell r="Z287">
            <v>-768</v>
          </cell>
          <cell r="AA287">
            <v>0</v>
          </cell>
          <cell r="AB287">
            <v>0</v>
          </cell>
          <cell r="AC287">
            <v>5</v>
          </cell>
          <cell r="AD287">
            <v>-181</v>
          </cell>
          <cell r="AE287">
            <v>-292.09090909090912</v>
          </cell>
          <cell r="AF287">
            <v>33.666666666666664</v>
          </cell>
          <cell r="AG287">
            <v>33.666666666666664</v>
          </cell>
          <cell r="AH287">
            <v>0</v>
          </cell>
          <cell r="AI287">
            <v>79</v>
          </cell>
          <cell r="AK287">
            <v>382.33333333333326</v>
          </cell>
        </row>
        <row r="288">
          <cell r="F288">
            <v>386.1400000000001</v>
          </cell>
          <cell r="P288">
            <v>85.300000000000011</v>
          </cell>
          <cell r="Q288">
            <v>0</v>
          </cell>
          <cell r="R288">
            <v>0</v>
          </cell>
          <cell r="S288">
            <v>530</v>
          </cell>
          <cell r="T288">
            <v>0</v>
          </cell>
          <cell r="U288">
            <v>0</v>
          </cell>
          <cell r="V288">
            <v>0</v>
          </cell>
          <cell r="W288">
            <v>0</v>
          </cell>
          <cell r="X288">
            <v>177</v>
          </cell>
          <cell r="Y288">
            <v>0</v>
          </cell>
          <cell r="Z288">
            <v>0</v>
          </cell>
          <cell r="AA288">
            <v>0</v>
          </cell>
          <cell r="AB288">
            <v>0</v>
          </cell>
          <cell r="AC288">
            <v>124</v>
          </cell>
          <cell r="AD288">
            <v>0</v>
          </cell>
          <cell r="AE288">
            <v>0</v>
          </cell>
          <cell r="AF288">
            <v>270.11333333333334</v>
          </cell>
          <cell r="AG288">
            <v>209.7806087383407</v>
          </cell>
          <cell r="AH288">
            <v>60.332724594992641</v>
          </cell>
          <cell r="AI288">
            <v>0</v>
          </cell>
          <cell r="AK288">
            <v>1667.5533333333333</v>
          </cell>
        </row>
        <row r="289">
          <cell r="F289">
            <v>2.4733333333334144</v>
          </cell>
          <cell r="P289">
            <v>11.300000000000011</v>
          </cell>
          <cell r="Q289">
            <v>0</v>
          </cell>
          <cell r="R289">
            <v>0</v>
          </cell>
          <cell r="S289">
            <v>39</v>
          </cell>
          <cell r="T289">
            <v>0</v>
          </cell>
          <cell r="U289">
            <v>0</v>
          </cell>
          <cell r="V289">
            <v>0</v>
          </cell>
          <cell r="W289">
            <v>0</v>
          </cell>
          <cell r="X289">
            <v>10</v>
          </cell>
          <cell r="Y289">
            <v>0</v>
          </cell>
          <cell r="Z289">
            <v>0</v>
          </cell>
          <cell r="AA289">
            <v>0</v>
          </cell>
          <cell r="AB289">
            <v>0</v>
          </cell>
          <cell r="AC289">
            <v>43</v>
          </cell>
          <cell r="AD289">
            <v>0</v>
          </cell>
          <cell r="AE289">
            <v>0</v>
          </cell>
          <cell r="AF289">
            <v>2.1133333333333297</v>
          </cell>
          <cell r="AG289">
            <v>1.4472754050073586</v>
          </cell>
          <cell r="AH289">
            <v>0.6660579283259711</v>
          </cell>
          <cell r="AI289">
            <v>0</v>
          </cell>
          <cell r="AK289">
            <v>148.88666666666677</v>
          </cell>
        </row>
        <row r="290">
          <cell r="F290">
            <v>1</v>
          </cell>
          <cell r="P290">
            <v>29</v>
          </cell>
          <cell r="S290">
            <v>381</v>
          </cell>
          <cell r="X290">
            <v>99</v>
          </cell>
          <cell r="AC290">
            <v>54</v>
          </cell>
          <cell r="AF290">
            <v>162.33333333333334</v>
          </cell>
          <cell r="AG290">
            <v>111.66666666666667</v>
          </cell>
          <cell r="AH290">
            <v>50.666666666666671</v>
          </cell>
          <cell r="AI290">
            <v>0</v>
          </cell>
          <cell r="AK290">
            <v>727.33333333333337</v>
          </cell>
        </row>
        <row r="291">
          <cell r="F291">
            <v>382.66666666666669</v>
          </cell>
          <cell r="P291">
            <v>45</v>
          </cell>
          <cell r="Q291">
            <v>0</v>
          </cell>
          <cell r="R291">
            <v>0</v>
          </cell>
          <cell r="S291">
            <v>110</v>
          </cell>
          <cell r="T291">
            <v>0</v>
          </cell>
          <cell r="U291">
            <v>0</v>
          </cell>
          <cell r="V291">
            <v>0</v>
          </cell>
          <cell r="W291">
            <v>0</v>
          </cell>
          <cell r="X291">
            <v>68</v>
          </cell>
          <cell r="Y291">
            <v>0</v>
          </cell>
          <cell r="Z291">
            <v>0</v>
          </cell>
          <cell r="AA291">
            <v>0</v>
          </cell>
          <cell r="AB291">
            <v>0</v>
          </cell>
          <cell r="AC291">
            <v>27</v>
          </cell>
          <cell r="AD291">
            <v>0</v>
          </cell>
          <cell r="AE291">
            <v>0</v>
          </cell>
          <cell r="AF291">
            <v>105.66666666666667</v>
          </cell>
          <cell r="AG291">
            <v>96.666666666666671</v>
          </cell>
          <cell r="AH291">
            <v>9</v>
          </cell>
          <cell r="AI291">
            <v>0</v>
          </cell>
          <cell r="AK291">
            <v>791.33333333333337</v>
          </cell>
        </row>
        <row r="292">
          <cell r="F292">
            <v>-0.5</v>
          </cell>
          <cell r="P292">
            <v>0</v>
          </cell>
          <cell r="S292">
            <v>-0.23600000000000065</v>
          </cell>
          <cell r="X292">
            <v>-0.42800000000000082</v>
          </cell>
          <cell r="AC292">
            <v>30.067999999999998</v>
          </cell>
          <cell r="AF292">
            <v>0</v>
          </cell>
          <cell r="AG292">
            <v>0</v>
          </cell>
          <cell r="AH292">
            <v>0</v>
          </cell>
          <cell r="AI292">
            <v>0</v>
          </cell>
          <cell r="AK292">
            <v>0</v>
          </cell>
        </row>
        <row r="293">
          <cell r="F293">
            <v>14.666666666666666</v>
          </cell>
          <cell r="P293">
            <v>60</v>
          </cell>
          <cell r="S293">
            <v>8</v>
          </cell>
          <cell r="X293">
            <v>150</v>
          </cell>
          <cell r="AC293">
            <v>26</v>
          </cell>
          <cell r="AF293">
            <v>12</v>
          </cell>
          <cell r="AG293">
            <v>11</v>
          </cell>
          <cell r="AH293">
            <v>1</v>
          </cell>
          <cell r="AI293">
            <v>6.7</v>
          </cell>
          <cell r="AK293">
            <v>270.66666666666669</v>
          </cell>
        </row>
        <row r="294">
          <cell r="F294">
            <v>119511.41476190477</v>
          </cell>
          <cell r="P294">
            <v>523.29999999999995</v>
          </cell>
          <cell r="Q294">
            <v>0</v>
          </cell>
          <cell r="R294">
            <v>0</v>
          </cell>
          <cell r="S294">
            <v>1814</v>
          </cell>
          <cell r="T294">
            <v>-571.83999999999992</v>
          </cell>
          <cell r="U294">
            <v>-572.16000000000008</v>
          </cell>
          <cell r="V294">
            <v>0</v>
          </cell>
          <cell r="W294">
            <v>0</v>
          </cell>
          <cell r="X294">
            <v>691.84848484848271</v>
          </cell>
          <cell r="Y294">
            <v>-485</v>
          </cell>
          <cell r="Z294">
            <v>-632.18181818181824</v>
          </cell>
          <cell r="AA294">
            <v>0</v>
          </cell>
          <cell r="AB294">
            <v>0</v>
          </cell>
          <cell r="AC294">
            <v>412</v>
          </cell>
          <cell r="AD294">
            <v>-116</v>
          </cell>
          <cell r="AE294">
            <v>-186</v>
          </cell>
          <cell r="AF294">
            <v>704.02242424242377</v>
          </cell>
          <cell r="AG294">
            <v>643.68969964743201</v>
          </cell>
          <cell r="AH294">
            <v>61.332724594992669</v>
          </cell>
          <cell r="AI294">
            <v>-952</v>
          </cell>
          <cell r="AK294">
            <v>123773.91900432901</v>
          </cell>
        </row>
        <row r="295">
          <cell r="F295">
            <v>14.226506666666666</v>
          </cell>
          <cell r="P295">
            <v>413.43280000000004</v>
          </cell>
          <cell r="S295">
            <v>31.26400000000001</v>
          </cell>
          <cell r="X295">
            <v>4.5600000000000023</v>
          </cell>
          <cell r="AC295">
            <v>54</v>
          </cell>
          <cell r="AF295">
            <v>220.96368000000001</v>
          </cell>
          <cell r="AG295">
            <v>150.26695828850956</v>
          </cell>
          <cell r="AH295">
            <v>191</v>
          </cell>
          <cell r="AI295">
            <v>0</v>
          </cell>
          <cell r="AK295">
            <v>0</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119511.41476190477</v>
          </cell>
          <cell r="G297">
            <v>0</v>
          </cell>
          <cell r="H297">
            <v>0</v>
          </cell>
          <cell r="P297">
            <v>523.29999999999995</v>
          </cell>
          <cell r="Q297">
            <v>0</v>
          </cell>
          <cell r="R297">
            <v>0</v>
          </cell>
          <cell r="S297">
            <v>1814</v>
          </cell>
          <cell r="T297">
            <v>-571.83999999999992</v>
          </cell>
          <cell r="U297">
            <v>-572.16000000000008</v>
          </cell>
          <cell r="V297">
            <v>0</v>
          </cell>
          <cell r="W297">
            <v>0</v>
          </cell>
          <cell r="X297">
            <v>691.84848484848271</v>
          </cell>
          <cell r="Y297">
            <v>-485</v>
          </cell>
          <cell r="Z297">
            <v>-632.18181818181824</v>
          </cell>
          <cell r="AA297">
            <v>0</v>
          </cell>
          <cell r="AB297">
            <v>0</v>
          </cell>
          <cell r="AC297">
            <v>412</v>
          </cell>
          <cell r="AF297">
            <v>704.02242424242377</v>
          </cell>
          <cell r="AG297">
            <v>451.6896996474311</v>
          </cell>
          <cell r="AH297">
            <v>252.33272459499267</v>
          </cell>
          <cell r="AI297">
            <v>370</v>
          </cell>
          <cell r="AK297">
            <v>123773.91900432901</v>
          </cell>
        </row>
        <row r="298">
          <cell r="F298">
            <v>0</v>
          </cell>
          <cell r="P298">
            <v>0</v>
          </cell>
          <cell r="AF298">
            <v>0</v>
          </cell>
          <cell r="AG298">
            <v>0</v>
          </cell>
          <cell r="AH298">
            <v>0</v>
          </cell>
          <cell r="AI298">
            <v>0</v>
          </cell>
          <cell r="AK298">
            <v>0</v>
          </cell>
        </row>
        <row r="299">
          <cell r="F299">
            <v>0</v>
          </cell>
          <cell r="P299">
            <v>0</v>
          </cell>
          <cell r="Q299">
            <v>0</v>
          </cell>
          <cell r="R299">
            <v>0</v>
          </cell>
          <cell r="S299">
            <v>296</v>
          </cell>
          <cell r="T299">
            <v>0</v>
          </cell>
          <cell r="U299">
            <v>0</v>
          </cell>
          <cell r="V299">
            <v>0</v>
          </cell>
          <cell r="W299">
            <v>0</v>
          </cell>
          <cell r="X299">
            <v>625</v>
          </cell>
          <cell r="Y299">
            <v>0</v>
          </cell>
          <cell r="Z299">
            <v>0</v>
          </cell>
          <cell r="AA299">
            <v>0</v>
          </cell>
          <cell r="AB299">
            <v>0</v>
          </cell>
          <cell r="AC299">
            <v>444</v>
          </cell>
          <cell r="AD299">
            <v>0</v>
          </cell>
          <cell r="AE299">
            <v>0</v>
          </cell>
          <cell r="AF299">
            <v>180</v>
          </cell>
          <cell r="AG299">
            <v>180</v>
          </cell>
          <cell r="AH299">
            <v>0</v>
          </cell>
          <cell r="AI299">
            <v>0</v>
          </cell>
          <cell r="AK299">
            <v>1545</v>
          </cell>
        </row>
        <row r="300">
          <cell r="F300">
            <v>0</v>
          </cell>
          <cell r="P300">
            <v>0</v>
          </cell>
          <cell r="Q300">
            <v>0</v>
          </cell>
          <cell r="R300">
            <v>0</v>
          </cell>
          <cell r="S300">
            <v>296</v>
          </cell>
          <cell r="T300">
            <v>-835.56363636363631</v>
          </cell>
          <cell r="U300">
            <v>-846.70909090909095</v>
          </cell>
          <cell r="V300">
            <v>0</v>
          </cell>
          <cell r="W300">
            <v>0</v>
          </cell>
          <cell r="X300">
            <v>625</v>
          </cell>
          <cell r="Y300">
            <v>-588</v>
          </cell>
          <cell r="Z300">
            <v>-768</v>
          </cell>
          <cell r="AA300">
            <v>0</v>
          </cell>
          <cell r="AB300">
            <v>0</v>
          </cell>
          <cell r="AC300">
            <v>444</v>
          </cell>
          <cell r="AD300">
            <v>-181</v>
          </cell>
          <cell r="AE300">
            <v>-292.09090909090912</v>
          </cell>
          <cell r="AF300">
            <v>180</v>
          </cell>
          <cell r="AG300">
            <v>180</v>
          </cell>
          <cell r="AH300">
            <v>0</v>
          </cell>
          <cell r="AI300">
            <v>0</v>
          </cell>
          <cell r="AK300">
            <v>1545</v>
          </cell>
        </row>
        <row r="301">
          <cell r="AH301">
            <v>191</v>
          </cell>
          <cell r="AK301">
            <v>0</v>
          </cell>
        </row>
        <row r="302">
          <cell r="F302">
            <v>119511.41476190477</v>
          </cell>
          <cell r="P302">
            <v>523.29999999999995</v>
          </cell>
          <cell r="Q302">
            <v>0</v>
          </cell>
          <cell r="R302">
            <v>0</v>
          </cell>
          <cell r="S302">
            <v>2110</v>
          </cell>
          <cell r="T302">
            <v>-571.83999999999992</v>
          </cell>
          <cell r="U302">
            <v>-572.16000000000008</v>
          </cell>
          <cell r="V302">
            <v>0</v>
          </cell>
          <cell r="W302">
            <v>0</v>
          </cell>
          <cell r="X302">
            <v>1316.8484848484827</v>
          </cell>
          <cell r="Y302">
            <v>-485</v>
          </cell>
          <cell r="Z302">
            <v>-632.18181818181824</v>
          </cell>
          <cell r="AA302">
            <v>0</v>
          </cell>
          <cell r="AB302">
            <v>0</v>
          </cell>
          <cell r="AC302">
            <v>856</v>
          </cell>
          <cell r="AD302">
            <v>-116</v>
          </cell>
          <cell r="AE302">
            <v>-186</v>
          </cell>
          <cell r="AF302">
            <v>884.02242424242377</v>
          </cell>
          <cell r="AG302">
            <v>631.6896996474311</v>
          </cell>
          <cell r="AH302">
            <v>252.33272459499267</v>
          </cell>
          <cell r="AI302">
            <v>-952</v>
          </cell>
          <cell r="AK302">
            <v>125318.91900432901</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0</v>
          </cell>
        </row>
        <row r="304">
          <cell r="F304">
            <v>0</v>
          </cell>
          <cell r="P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5733.333333333333</v>
          </cell>
          <cell r="P306">
            <v>0</v>
          </cell>
          <cell r="S306">
            <v>0</v>
          </cell>
          <cell r="X306">
            <v>0</v>
          </cell>
          <cell r="AC306">
            <v>0</v>
          </cell>
          <cell r="AF306">
            <v>0</v>
          </cell>
          <cell r="AG306">
            <v>0</v>
          </cell>
          <cell r="AH306">
            <v>0</v>
          </cell>
          <cell r="AI306">
            <v>0</v>
          </cell>
          <cell r="AK306">
            <v>5733.333333333333</v>
          </cell>
        </row>
        <row r="307">
          <cell r="S307">
            <v>0</v>
          </cell>
          <cell r="AK307">
            <v>0</v>
          </cell>
        </row>
        <row r="308">
          <cell r="F308">
            <v>0</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0</v>
          </cell>
        </row>
        <row r="309">
          <cell r="AK309">
            <v>0</v>
          </cell>
        </row>
        <row r="310">
          <cell r="P310">
            <v>0</v>
          </cell>
          <cell r="AK310">
            <v>0</v>
          </cell>
        </row>
        <row r="311">
          <cell r="S311">
            <v>0</v>
          </cell>
          <cell r="AK311">
            <v>0</v>
          </cell>
        </row>
        <row r="312">
          <cell r="F312">
            <v>4483.4666666666662</v>
          </cell>
          <cell r="S312">
            <v>0</v>
          </cell>
          <cell r="AK312">
            <v>4483.4666666666662</v>
          </cell>
        </row>
        <row r="313">
          <cell r="F313">
            <v>119511.41476190477</v>
          </cell>
          <cell r="P313">
            <v>523.29999999999995</v>
          </cell>
          <cell r="Q313">
            <v>0</v>
          </cell>
          <cell r="R313">
            <v>0</v>
          </cell>
          <cell r="S313">
            <v>2110</v>
          </cell>
          <cell r="T313">
            <v>-571.83999999999992</v>
          </cell>
          <cell r="U313">
            <v>-572.16000000000008</v>
          </cell>
          <cell r="V313">
            <v>0</v>
          </cell>
          <cell r="W313">
            <v>0</v>
          </cell>
          <cell r="X313">
            <v>1316.8484848484827</v>
          </cell>
          <cell r="Y313">
            <v>-485</v>
          </cell>
          <cell r="Z313">
            <v>-632.18181818181824</v>
          </cell>
          <cell r="AA313">
            <v>0</v>
          </cell>
          <cell r="AB313">
            <v>0</v>
          </cell>
          <cell r="AC313">
            <v>856</v>
          </cell>
          <cell r="AD313">
            <v>-116</v>
          </cell>
          <cell r="AE313">
            <v>-186</v>
          </cell>
          <cell r="AF313">
            <v>884.02242424242377</v>
          </cell>
          <cell r="AG313">
            <v>631.6896996474311</v>
          </cell>
          <cell r="AH313">
            <v>252.33272459499267</v>
          </cell>
          <cell r="AI313">
            <v>-952</v>
          </cell>
          <cell r="AK313">
            <v>125318.91900432901</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2">
          <cell r="AJ322">
            <v>2455</v>
          </cell>
          <cell r="AK322">
            <v>7482</v>
          </cell>
          <cell r="AM322">
            <v>6461</v>
          </cell>
        </row>
        <row r="323">
          <cell r="F323">
            <v>161.45454545454544</v>
          </cell>
          <cell r="P323">
            <v>263.45454545454544</v>
          </cell>
          <cell r="S323">
            <v>563.72727272727275</v>
          </cell>
          <cell r="X323">
            <v>227.63636363636363</v>
          </cell>
          <cell r="AC323">
            <v>178.90909090909091</v>
          </cell>
          <cell r="AF323">
            <v>537.90909090909088</v>
          </cell>
          <cell r="AG323">
            <v>479.90909090909088</v>
          </cell>
          <cell r="AH323">
            <v>58</v>
          </cell>
          <cell r="AI323">
            <v>259.63636363636363</v>
          </cell>
          <cell r="AK323">
            <v>2040</v>
          </cell>
          <cell r="AM323">
            <v>1761.7272727272725</v>
          </cell>
        </row>
        <row r="324">
          <cell r="AJ324">
            <v>36</v>
          </cell>
          <cell r="AK324">
            <v>11812.941428571428</v>
          </cell>
          <cell r="AM324">
            <v>11812.941428571428</v>
          </cell>
        </row>
        <row r="325">
          <cell r="AK325">
            <v>825</v>
          </cell>
          <cell r="AM325">
            <v>825</v>
          </cell>
        </row>
        <row r="326">
          <cell r="AJ326">
            <v>36</v>
          </cell>
          <cell r="AK326">
            <v>270.66666666666669</v>
          </cell>
          <cell r="AM326">
            <v>265.36666666666662</v>
          </cell>
        </row>
        <row r="327">
          <cell r="AK327">
            <v>4663.9414285714283</v>
          </cell>
          <cell r="AM327">
            <v>4663.9414285714283</v>
          </cell>
        </row>
        <row r="328">
          <cell r="AJ328">
            <v>2455</v>
          </cell>
          <cell r="AK328">
            <v>3500</v>
          </cell>
          <cell r="AM328">
            <v>3500</v>
          </cell>
        </row>
        <row r="329">
          <cell r="AK329">
            <v>0</v>
          </cell>
        </row>
        <row r="330">
          <cell r="AK330">
            <v>2824</v>
          </cell>
          <cell r="AM330">
            <v>2824</v>
          </cell>
        </row>
        <row r="331">
          <cell r="AK331">
            <v>6321.6666666666661</v>
          </cell>
        </row>
        <row r="332">
          <cell r="AK332">
            <v>0</v>
          </cell>
          <cell r="AM332">
            <v>0</v>
          </cell>
        </row>
        <row r="333">
          <cell r="AK333">
            <v>1580</v>
          </cell>
          <cell r="AM333">
            <v>1849</v>
          </cell>
        </row>
        <row r="334">
          <cell r="AK334">
            <v>1345.090909090909</v>
          </cell>
          <cell r="AM334">
            <v>986.18181818181824</v>
          </cell>
        </row>
        <row r="335">
          <cell r="AK335">
            <v>1545</v>
          </cell>
          <cell r="AM335">
            <v>1365</v>
          </cell>
        </row>
        <row r="336">
          <cell r="AK336">
            <v>1545</v>
          </cell>
          <cell r="AM336">
            <v>1365</v>
          </cell>
        </row>
        <row r="337">
          <cell r="AK337">
            <v>0</v>
          </cell>
          <cell r="AM337">
            <v>0</v>
          </cell>
        </row>
        <row r="338">
          <cell r="AK338">
            <v>2739.1133333333337</v>
          </cell>
          <cell r="AM338">
            <v>2234.8933333333334</v>
          </cell>
        </row>
        <row r="339">
          <cell r="AK339">
            <v>1096.4866666666667</v>
          </cell>
          <cell r="AM339">
            <v>889.5333333333333</v>
          </cell>
        </row>
        <row r="340">
          <cell r="AK340">
            <v>582.62666666666655</v>
          </cell>
          <cell r="AM340">
            <v>565.3599999999999</v>
          </cell>
        </row>
        <row r="341">
          <cell r="AK341">
            <v>720</v>
          </cell>
        </row>
        <row r="342">
          <cell r="AK342">
            <v>340</v>
          </cell>
        </row>
        <row r="343">
          <cell r="AK343">
            <v>0</v>
          </cell>
          <cell r="AM343">
            <v>0</v>
          </cell>
        </row>
        <row r="344">
          <cell r="AK344">
            <v>242</v>
          </cell>
          <cell r="AM344">
            <v>242</v>
          </cell>
        </row>
        <row r="345">
          <cell r="AK345">
            <v>4107</v>
          </cell>
          <cell r="AM345">
            <v>3217</v>
          </cell>
        </row>
        <row r="346">
          <cell r="P346">
            <v>225</v>
          </cell>
          <cell r="S346">
            <v>296</v>
          </cell>
          <cell r="X346">
            <v>56</v>
          </cell>
          <cell r="AC346">
            <v>33</v>
          </cell>
          <cell r="AF346">
            <v>88.909090909090907</v>
          </cell>
          <cell r="AG346">
            <v>88.909090909090907</v>
          </cell>
          <cell r="AH346">
            <v>0</v>
          </cell>
          <cell r="AK346">
            <v>698.90909090909088</v>
          </cell>
        </row>
        <row r="347">
          <cell r="AK347">
            <v>0</v>
          </cell>
        </row>
        <row r="348">
          <cell r="F348">
            <v>0</v>
          </cell>
          <cell r="P348">
            <v>0</v>
          </cell>
          <cell r="S348">
            <v>0</v>
          </cell>
          <cell r="X348">
            <v>0</v>
          </cell>
          <cell r="AC348">
            <v>0</v>
          </cell>
          <cell r="AF348">
            <v>0</v>
          </cell>
          <cell r="AG348">
            <v>0</v>
          </cell>
          <cell r="AH348">
            <v>0</v>
          </cell>
          <cell r="AI348">
            <v>0</v>
          </cell>
          <cell r="AK348">
            <v>269</v>
          </cell>
          <cell r="AM348">
            <v>269</v>
          </cell>
        </row>
        <row r="349">
          <cell r="AK349">
            <v>61.666666666666664</v>
          </cell>
          <cell r="AM349">
            <v>61.666666666666664</v>
          </cell>
        </row>
        <row r="350">
          <cell r="AK350">
            <v>500</v>
          </cell>
          <cell r="AM350">
            <v>1312.6666666666667</v>
          </cell>
        </row>
        <row r="351">
          <cell r="AK351">
            <v>382.33333333333326</v>
          </cell>
          <cell r="AM351">
            <v>427.66666666666657</v>
          </cell>
        </row>
        <row r="352">
          <cell r="AJ352">
            <v>-2491</v>
          </cell>
          <cell r="AK352">
            <v>1667.5533333333333</v>
          </cell>
          <cell r="AM352" t="e">
            <v>#REF!</v>
          </cell>
        </row>
        <row r="353">
          <cell r="AK353">
            <v>148.88666666666677</v>
          </cell>
        </row>
        <row r="354">
          <cell r="AK354">
            <v>727.33333333333337</v>
          </cell>
        </row>
        <row r="355">
          <cell r="AK355">
            <v>791.33333333333337</v>
          </cell>
        </row>
        <row r="356">
          <cell r="F356">
            <v>19.333333333333329</v>
          </cell>
          <cell r="P356">
            <v>236</v>
          </cell>
          <cell r="S356">
            <v>507</v>
          </cell>
          <cell r="T356">
            <v>228.32</v>
          </cell>
          <cell r="U356">
            <v>1198.68</v>
          </cell>
          <cell r="X356">
            <v>598</v>
          </cell>
          <cell r="Y356">
            <v>307</v>
          </cell>
          <cell r="Z356">
            <v>401</v>
          </cell>
          <cell r="AC356">
            <v>654</v>
          </cell>
          <cell r="AD356">
            <v>249</v>
          </cell>
          <cell r="AE356">
            <v>454</v>
          </cell>
          <cell r="AF356">
            <v>336.33333333333337</v>
          </cell>
          <cell r="AG356">
            <v>280.33333333333337</v>
          </cell>
          <cell r="AH356">
            <v>56</v>
          </cell>
          <cell r="AI356">
            <v>0</v>
          </cell>
          <cell r="AK356">
            <v>2348.6666666666665</v>
          </cell>
          <cell r="AM356">
            <v>2012.3333333333333</v>
          </cell>
        </row>
        <row r="365">
          <cell r="F365">
            <v>-20223</v>
          </cell>
        </row>
        <row r="377">
          <cell r="F377" t="str">
            <v>лютий</v>
          </cell>
          <cell r="P377" t="str">
            <v>лютий</v>
          </cell>
          <cell r="X377" t="str">
            <v>лютий</v>
          </cell>
          <cell r="AC377" t="str">
            <v>лютий</v>
          </cell>
        </row>
        <row r="378">
          <cell r="F378" t="str">
            <v>АППАРАТ</v>
          </cell>
          <cell r="P378" t="str">
            <v>ККМ</v>
          </cell>
          <cell r="X378" t="str">
            <v>ТЕЦ5</v>
          </cell>
          <cell r="AC378" t="str">
            <v>ТЕЦ6</v>
          </cell>
          <cell r="AK378" t="str">
            <v>АК "КЕ"</v>
          </cell>
          <cell r="AL378" t="str">
            <v>Е/Е</v>
          </cell>
        </row>
        <row r="379">
          <cell r="F379" t="str">
            <v>ПЛАН</v>
          </cell>
          <cell r="P379" t="str">
            <v>ПЛАН</v>
          </cell>
          <cell r="X379" t="str">
            <v>ПЛАН</v>
          </cell>
          <cell r="AC379" t="str">
            <v>ПЛАН</v>
          </cell>
          <cell r="AK379" t="str">
            <v>ПЛАН</v>
          </cell>
          <cell r="AL379" t="str">
            <v>ПЛАН</v>
          </cell>
        </row>
        <row r="380">
          <cell r="F380">
            <v>164.3</v>
          </cell>
          <cell r="G380">
            <v>48</v>
          </cell>
          <cell r="H380">
            <v>48</v>
          </cell>
          <cell r="P380">
            <v>14.333333333333332</v>
          </cell>
          <cell r="S380">
            <v>14.333333333333332</v>
          </cell>
          <cell r="X380">
            <v>182</v>
          </cell>
          <cell r="Y380">
            <v>79</v>
          </cell>
          <cell r="Z380">
            <v>79</v>
          </cell>
          <cell r="AC380">
            <v>323.66666666666674</v>
          </cell>
          <cell r="AD380">
            <v>124</v>
          </cell>
          <cell r="AE380">
            <v>123</v>
          </cell>
          <cell r="AK380">
            <v>735.30000000000018</v>
          </cell>
          <cell r="AL380">
            <v>292.93333333333334</v>
          </cell>
          <cell r="AM380">
            <v>279.33333333333331</v>
          </cell>
        </row>
        <row r="381">
          <cell r="F381">
            <v>29</v>
          </cell>
          <cell r="G381">
            <v>8</v>
          </cell>
          <cell r="P381">
            <v>0</v>
          </cell>
          <cell r="X381">
            <v>0</v>
          </cell>
          <cell r="Y381">
            <v>0</v>
          </cell>
          <cell r="AC381">
            <v>3.6666666666666665</v>
          </cell>
          <cell r="AD381">
            <v>1</v>
          </cell>
          <cell r="AK381">
            <v>46</v>
          </cell>
          <cell r="AL381">
            <v>12</v>
          </cell>
        </row>
        <row r="382">
          <cell r="F382">
            <v>0</v>
          </cell>
          <cell r="G382">
            <v>0</v>
          </cell>
          <cell r="P382">
            <v>0.66666666666666663</v>
          </cell>
          <cell r="X382">
            <v>146.66666666666666</v>
          </cell>
          <cell r="Y382">
            <v>64</v>
          </cell>
          <cell r="AC382">
            <v>280.66666666666669</v>
          </cell>
          <cell r="AD382">
            <v>107</v>
          </cell>
          <cell r="AK382">
            <v>428</v>
          </cell>
          <cell r="AL382">
            <v>171.66666666666669</v>
          </cell>
        </row>
        <row r="383">
          <cell r="F383">
            <v>0</v>
          </cell>
          <cell r="G383">
            <v>0</v>
          </cell>
          <cell r="P383">
            <v>2</v>
          </cell>
          <cell r="X383">
            <v>0</v>
          </cell>
          <cell r="Y383">
            <v>0</v>
          </cell>
          <cell r="AC383">
            <v>25</v>
          </cell>
          <cell r="AD383">
            <v>10</v>
          </cell>
          <cell r="AK383">
            <v>33.666666666666671</v>
          </cell>
          <cell r="AL383">
            <v>15</v>
          </cell>
        </row>
        <row r="384">
          <cell r="F384">
            <v>0</v>
          </cell>
          <cell r="G384">
            <v>0</v>
          </cell>
          <cell r="P384">
            <v>0</v>
          </cell>
          <cell r="X384">
            <v>25.333333333333332</v>
          </cell>
          <cell r="Y384">
            <v>11</v>
          </cell>
          <cell r="AC384">
            <v>0.66666666666666663</v>
          </cell>
          <cell r="AD384">
            <v>0</v>
          </cell>
          <cell r="AK384">
            <v>26</v>
          </cell>
          <cell r="AL384">
            <v>11</v>
          </cell>
        </row>
        <row r="385">
          <cell r="F385">
            <v>120.63333333333333</v>
          </cell>
          <cell r="G385">
            <v>35</v>
          </cell>
          <cell r="P385">
            <v>0</v>
          </cell>
          <cell r="X385">
            <v>0</v>
          </cell>
          <cell r="Y385">
            <v>0</v>
          </cell>
          <cell r="AC385">
            <v>0</v>
          </cell>
          <cell r="AD385">
            <v>0</v>
          </cell>
          <cell r="AK385">
            <v>120.63333333333333</v>
          </cell>
          <cell r="AL385">
            <v>37</v>
          </cell>
        </row>
        <row r="386">
          <cell r="F386">
            <v>8.6666666666666661</v>
          </cell>
          <cell r="G386">
            <v>3</v>
          </cell>
          <cell r="P386">
            <v>0</v>
          </cell>
          <cell r="X386">
            <v>0</v>
          </cell>
          <cell r="Y386">
            <v>0</v>
          </cell>
          <cell r="AC386">
            <v>0</v>
          </cell>
          <cell r="AD386">
            <v>0</v>
          </cell>
          <cell r="AK386">
            <v>8.6666666666666661</v>
          </cell>
          <cell r="AL386">
            <v>0</v>
          </cell>
        </row>
        <row r="387">
          <cell r="F387">
            <v>0</v>
          </cell>
          <cell r="G387">
            <v>0</v>
          </cell>
          <cell r="P387">
            <v>5.333333333333333</v>
          </cell>
          <cell r="X387">
            <v>0</v>
          </cell>
          <cell r="Y387">
            <v>0</v>
          </cell>
          <cell r="AC387">
            <v>0</v>
          </cell>
          <cell r="AD387">
            <v>0</v>
          </cell>
          <cell r="AK387">
            <v>22</v>
          </cell>
          <cell r="AL387">
            <v>15.333333333333332</v>
          </cell>
        </row>
        <row r="388">
          <cell r="F388">
            <v>5.333333333333333</v>
          </cell>
          <cell r="G388">
            <v>2</v>
          </cell>
          <cell r="P388">
            <v>0</v>
          </cell>
          <cell r="X388">
            <v>0</v>
          </cell>
          <cell r="Y388">
            <v>0</v>
          </cell>
          <cell r="AC388">
            <v>0</v>
          </cell>
          <cell r="AD388">
            <v>0</v>
          </cell>
          <cell r="AK388">
            <v>5.333333333333333</v>
          </cell>
          <cell r="AL388">
            <v>2</v>
          </cell>
        </row>
        <row r="389">
          <cell r="F389">
            <v>0.33333333333333331</v>
          </cell>
          <cell r="G389">
            <v>0</v>
          </cell>
          <cell r="P389">
            <v>4.333333333333333</v>
          </cell>
          <cell r="X389">
            <v>0</v>
          </cell>
          <cell r="Y389">
            <v>0</v>
          </cell>
          <cell r="AC389">
            <v>0</v>
          </cell>
          <cell r="AD389">
            <v>0</v>
          </cell>
          <cell r="AK389">
            <v>4.6666666666666661</v>
          </cell>
          <cell r="AL389">
            <v>4.333333333333333</v>
          </cell>
        </row>
        <row r="390">
          <cell r="F390">
            <v>0.33333333333333331</v>
          </cell>
          <cell r="G390">
            <v>0</v>
          </cell>
          <cell r="P390">
            <v>2</v>
          </cell>
          <cell r="X390">
            <v>10</v>
          </cell>
          <cell r="Y390">
            <v>4</v>
          </cell>
          <cell r="AC390">
            <v>13.666666666666666</v>
          </cell>
          <cell r="AD390">
            <v>5</v>
          </cell>
          <cell r="AK390">
            <v>26</v>
          </cell>
          <cell r="AL390">
            <v>11</v>
          </cell>
        </row>
        <row r="391">
          <cell r="F391">
            <v>0</v>
          </cell>
          <cell r="G391">
            <v>0</v>
          </cell>
          <cell r="P391">
            <v>0</v>
          </cell>
          <cell r="X391">
            <v>0</v>
          </cell>
          <cell r="Y391">
            <v>0</v>
          </cell>
          <cell r="AC391">
            <v>0</v>
          </cell>
          <cell r="AD391">
            <v>0</v>
          </cell>
          <cell r="AK391">
            <v>0</v>
          </cell>
        </row>
        <row r="392">
          <cell r="F392">
            <v>1.1666666666666667</v>
          </cell>
          <cell r="G392">
            <v>0</v>
          </cell>
          <cell r="P392">
            <v>20.5</v>
          </cell>
          <cell r="X392">
            <v>522.33333333333337</v>
          </cell>
          <cell r="Y392">
            <v>227</v>
          </cell>
          <cell r="AC392">
            <v>43</v>
          </cell>
          <cell r="AD392">
            <v>16</v>
          </cell>
          <cell r="AK392">
            <v>587.33333333333337</v>
          </cell>
          <cell r="AL392">
            <v>263.5</v>
          </cell>
          <cell r="AM392">
            <v>263.83333333333331</v>
          </cell>
        </row>
        <row r="393">
          <cell r="F393">
            <v>0</v>
          </cell>
          <cell r="G393">
            <v>0</v>
          </cell>
          <cell r="P393">
            <v>0</v>
          </cell>
          <cell r="X393">
            <v>0</v>
          </cell>
          <cell r="Y393">
            <v>0</v>
          </cell>
          <cell r="AC393">
            <v>0</v>
          </cell>
          <cell r="AD393">
            <v>0</v>
          </cell>
          <cell r="AK393">
            <v>0</v>
          </cell>
          <cell r="AL393">
            <v>0</v>
          </cell>
        </row>
        <row r="394">
          <cell r="F394">
            <v>0</v>
          </cell>
          <cell r="G394">
            <v>0</v>
          </cell>
          <cell r="P394">
            <v>0</v>
          </cell>
          <cell r="X394">
            <v>480.66666666666669</v>
          </cell>
          <cell r="Y394">
            <v>209</v>
          </cell>
          <cell r="AC394">
            <v>11</v>
          </cell>
          <cell r="AD394">
            <v>4</v>
          </cell>
          <cell r="AK394">
            <v>491.66666666666669</v>
          </cell>
          <cell r="AL394">
            <v>213</v>
          </cell>
        </row>
        <row r="395">
          <cell r="F395">
            <v>0</v>
          </cell>
          <cell r="G395">
            <v>0</v>
          </cell>
          <cell r="P395">
            <v>0</v>
          </cell>
          <cell r="X395">
            <v>0</v>
          </cell>
          <cell r="Y395">
            <v>0</v>
          </cell>
          <cell r="AC395">
            <v>0</v>
          </cell>
          <cell r="AD395">
            <v>0</v>
          </cell>
          <cell r="AK395">
            <v>0</v>
          </cell>
          <cell r="AL395">
            <v>0</v>
          </cell>
        </row>
        <row r="396">
          <cell r="F396">
            <v>1.1666666666666667</v>
          </cell>
          <cell r="G396">
            <v>0</v>
          </cell>
          <cell r="P396">
            <v>15.833333333333334</v>
          </cell>
          <cell r="X396">
            <v>41.666666666666664</v>
          </cell>
          <cell r="Y396">
            <v>18</v>
          </cell>
          <cell r="AC396">
            <v>32</v>
          </cell>
          <cell r="AD396">
            <v>12</v>
          </cell>
          <cell r="AK396">
            <v>91</v>
          </cell>
          <cell r="AL396">
            <v>50.833333333333336</v>
          </cell>
        </row>
        <row r="397">
          <cell r="F397">
            <v>0</v>
          </cell>
          <cell r="G397">
            <v>0</v>
          </cell>
          <cell r="P397">
            <v>4.666666666666667</v>
          </cell>
          <cell r="X397">
            <v>0</v>
          </cell>
          <cell r="Y397">
            <v>0</v>
          </cell>
          <cell r="AC397">
            <v>0</v>
          </cell>
          <cell r="AD397">
            <v>0</v>
          </cell>
          <cell r="AK397">
            <v>4.666666666666667</v>
          </cell>
          <cell r="AL397">
            <v>0</v>
          </cell>
        </row>
        <row r="398">
          <cell r="F398">
            <v>0</v>
          </cell>
          <cell r="G398">
            <v>0</v>
          </cell>
          <cell r="P398">
            <v>0</v>
          </cell>
          <cell r="X398">
            <v>0</v>
          </cell>
          <cell r="Y398">
            <v>0</v>
          </cell>
          <cell r="AC398">
            <v>0</v>
          </cell>
          <cell r="AD398">
            <v>0</v>
          </cell>
          <cell r="AK398">
            <v>0</v>
          </cell>
        </row>
        <row r="399">
          <cell r="F399">
            <v>10</v>
          </cell>
          <cell r="G399">
            <v>3</v>
          </cell>
          <cell r="P399">
            <v>39</v>
          </cell>
          <cell r="X399">
            <v>0</v>
          </cell>
          <cell r="Y399">
            <v>0</v>
          </cell>
          <cell r="AC399">
            <v>0</v>
          </cell>
          <cell r="AD399">
            <v>0</v>
          </cell>
          <cell r="AK399">
            <v>49</v>
          </cell>
          <cell r="AL399">
            <v>42</v>
          </cell>
          <cell r="AM399">
            <v>42</v>
          </cell>
        </row>
        <row r="400">
          <cell r="F400">
            <v>2.6666666666666665</v>
          </cell>
          <cell r="G400">
            <v>1</v>
          </cell>
          <cell r="P400">
            <v>3.3333333333333335</v>
          </cell>
          <cell r="X400">
            <v>0</v>
          </cell>
          <cell r="Y400">
            <v>0</v>
          </cell>
          <cell r="AC400">
            <v>0</v>
          </cell>
          <cell r="AD400">
            <v>0</v>
          </cell>
          <cell r="AK400">
            <v>6</v>
          </cell>
          <cell r="AL400">
            <v>4.3333333333333339</v>
          </cell>
        </row>
        <row r="401">
          <cell r="F401">
            <v>7.333333333333333</v>
          </cell>
          <cell r="G401">
            <v>2</v>
          </cell>
          <cell r="P401">
            <v>35.666666666666664</v>
          </cell>
          <cell r="X401">
            <v>0</v>
          </cell>
          <cell r="Y401">
            <v>0</v>
          </cell>
          <cell r="AC401">
            <v>0</v>
          </cell>
          <cell r="AD401">
            <v>0</v>
          </cell>
          <cell r="AK401">
            <v>43</v>
          </cell>
          <cell r="AL401">
            <v>37.666666666666664</v>
          </cell>
        </row>
        <row r="402">
          <cell r="F402">
            <v>0</v>
          </cell>
          <cell r="G402">
            <v>0</v>
          </cell>
          <cell r="P402">
            <v>0</v>
          </cell>
          <cell r="X402">
            <v>0</v>
          </cell>
          <cell r="Y402">
            <v>0</v>
          </cell>
          <cell r="AC402">
            <v>0</v>
          </cell>
          <cell r="AD402">
            <v>0</v>
          </cell>
          <cell r="AK402">
            <v>0</v>
          </cell>
        </row>
        <row r="403">
          <cell r="F403">
            <v>206.33333333333329</v>
          </cell>
          <cell r="G403">
            <v>60</v>
          </cell>
          <cell r="H403">
            <v>59</v>
          </cell>
          <cell r="P403">
            <v>50.166666666666671</v>
          </cell>
          <cell r="S403">
            <v>50.166666666666671</v>
          </cell>
          <cell r="X403">
            <v>37.833333333333343</v>
          </cell>
          <cell r="Y403">
            <v>16</v>
          </cell>
          <cell r="AC403">
            <v>26.000000000000004</v>
          </cell>
          <cell r="AD403">
            <v>10</v>
          </cell>
          <cell r="AK403">
            <v>1965.0000000000002</v>
          </cell>
          <cell r="AL403">
            <v>395.16666666666663</v>
          </cell>
          <cell r="AM403">
            <v>395.16666666666663</v>
          </cell>
        </row>
        <row r="404">
          <cell r="F404">
            <v>0</v>
          </cell>
          <cell r="G404">
            <v>0</v>
          </cell>
          <cell r="P404">
            <v>0</v>
          </cell>
          <cell r="X404">
            <v>0</v>
          </cell>
          <cell r="Y404">
            <v>0</v>
          </cell>
          <cell r="AC404">
            <v>0</v>
          </cell>
          <cell r="AD404">
            <v>0</v>
          </cell>
          <cell r="AK404">
            <v>1350</v>
          </cell>
          <cell r="AL404">
            <v>0</v>
          </cell>
        </row>
        <row r="405">
          <cell r="F405">
            <v>0</v>
          </cell>
          <cell r="G405">
            <v>0</v>
          </cell>
          <cell r="P405">
            <v>0</v>
          </cell>
          <cell r="X405">
            <v>0</v>
          </cell>
          <cell r="Y405">
            <v>0</v>
          </cell>
          <cell r="AC405">
            <v>0</v>
          </cell>
          <cell r="AD405">
            <v>0</v>
          </cell>
          <cell r="AK405">
            <v>95</v>
          </cell>
          <cell r="AL405">
            <v>95</v>
          </cell>
        </row>
        <row r="406">
          <cell r="F406">
            <v>0</v>
          </cell>
          <cell r="G406">
            <v>0</v>
          </cell>
          <cell r="P406">
            <v>0</v>
          </cell>
          <cell r="X406">
            <v>0</v>
          </cell>
          <cell r="Y406">
            <v>0</v>
          </cell>
          <cell r="AC406">
            <v>0</v>
          </cell>
          <cell r="AD406">
            <v>0</v>
          </cell>
          <cell r="AK406">
            <v>0</v>
          </cell>
          <cell r="AL406">
            <v>0</v>
          </cell>
        </row>
        <row r="407">
          <cell r="F407">
            <v>0</v>
          </cell>
          <cell r="G407">
            <v>0</v>
          </cell>
          <cell r="P407">
            <v>12.333333333333334</v>
          </cell>
          <cell r="X407">
            <v>0</v>
          </cell>
          <cell r="Y407">
            <v>0</v>
          </cell>
          <cell r="AC407">
            <v>0</v>
          </cell>
          <cell r="AD407">
            <v>0</v>
          </cell>
          <cell r="AK407">
            <v>12.333333333333334</v>
          </cell>
          <cell r="AL407">
            <v>12.333333333333334</v>
          </cell>
        </row>
        <row r="408">
          <cell r="F408">
            <v>0</v>
          </cell>
          <cell r="G408">
            <v>0</v>
          </cell>
          <cell r="P408">
            <v>0</v>
          </cell>
          <cell r="X408">
            <v>0</v>
          </cell>
          <cell r="Y408">
            <v>0</v>
          </cell>
          <cell r="AC408">
            <v>0</v>
          </cell>
          <cell r="AD408">
            <v>0</v>
          </cell>
          <cell r="AK408">
            <v>0</v>
          </cell>
          <cell r="AL408">
            <v>0</v>
          </cell>
        </row>
        <row r="409">
          <cell r="F409">
            <v>1.6666666666666667</v>
          </cell>
          <cell r="G409">
            <v>0</v>
          </cell>
          <cell r="P409">
            <v>5</v>
          </cell>
          <cell r="X409">
            <v>3</v>
          </cell>
          <cell r="Y409">
            <v>1</v>
          </cell>
          <cell r="AC409">
            <v>3</v>
          </cell>
          <cell r="AD409">
            <v>1</v>
          </cell>
          <cell r="AK409">
            <v>57.666666666666664</v>
          </cell>
          <cell r="AL409">
            <v>47</v>
          </cell>
        </row>
        <row r="410">
          <cell r="F410">
            <v>0</v>
          </cell>
          <cell r="G410">
            <v>0</v>
          </cell>
          <cell r="P410">
            <v>0</v>
          </cell>
          <cell r="X410">
            <v>0</v>
          </cell>
          <cell r="Y410">
            <v>0</v>
          </cell>
          <cell r="AC410">
            <v>0</v>
          </cell>
          <cell r="AD410">
            <v>0</v>
          </cell>
          <cell r="AK410">
            <v>4</v>
          </cell>
          <cell r="AL410">
            <v>0</v>
          </cell>
        </row>
        <row r="411">
          <cell r="F411">
            <v>0</v>
          </cell>
          <cell r="G411">
            <v>0</v>
          </cell>
          <cell r="P411">
            <v>0</v>
          </cell>
          <cell r="X411">
            <v>0</v>
          </cell>
          <cell r="Y411">
            <v>0</v>
          </cell>
          <cell r="AC411">
            <v>0</v>
          </cell>
          <cell r="AD411">
            <v>0</v>
          </cell>
          <cell r="AK411">
            <v>0</v>
          </cell>
          <cell r="AL411">
            <v>0</v>
          </cell>
        </row>
        <row r="412">
          <cell r="F412">
            <v>0</v>
          </cell>
          <cell r="G412">
            <v>0</v>
          </cell>
          <cell r="P412">
            <v>18.5</v>
          </cell>
          <cell r="X412">
            <v>4.5</v>
          </cell>
          <cell r="Y412">
            <v>2</v>
          </cell>
          <cell r="AC412">
            <v>1.3333333333333333</v>
          </cell>
          <cell r="AD412">
            <v>1</v>
          </cell>
          <cell r="AK412">
            <v>28.5</v>
          </cell>
          <cell r="AL412">
            <v>25.5</v>
          </cell>
        </row>
        <row r="413">
          <cell r="F413">
            <v>0</v>
          </cell>
          <cell r="G413">
            <v>0</v>
          </cell>
          <cell r="P413">
            <v>1.3333333333333333</v>
          </cell>
          <cell r="X413">
            <v>0</v>
          </cell>
          <cell r="Y413">
            <v>0</v>
          </cell>
          <cell r="AC413">
            <v>1.6666666666666667</v>
          </cell>
          <cell r="AD413">
            <v>1</v>
          </cell>
          <cell r="AK413">
            <v>69</v>
          </cell>
          <cell r="AL413">
            <v>52.333333333333336</v>
          </cell>
        </row>
        <row r="414">
          <cell r="F414">
            <v>177</v>
          </cell>
          <cell r="G414">
            <v>51</v>
          </cell>
          <cell r="P414">
            <v>0</v>
          </cell>
          <cell r="X414">
            <v>0</v>
          </cell>
          <cell r="Y414">
            <v>0</v>
          </cell>
          <cell r="AC414">
            <v>0</v>
          </cell>
          <cell r="AD414">
            <v>0</v>
          </cell>
          <cell r="AK414">
            <v>177</v>
          </cell>
          <cell r="AL414">
            <v>51</v>
          </cell>
        </row>
        <row r="415">
          <cell r="F415">
            <v>0</v>
          </cell>
          <cell r="G415">
            <v>0</v>
          </cell>
          <cell r="P415">
            <v>0</v>
          </cell>
          <cell r="X415">
            <v>10</v>
          </cell>
          <cell r="Y415">
            <v>4</v>
          </cell>
          <cell r="AC415">
            <v>7.666666666666667</v>
          </cell>
          <cell r="AD415">
            <v>3</v>
          </cell>
          <cell r="AK415">
            <v>17.666666666666668</v>
          </cell>
          <cell r="AL415">
            <v>7</v>
          </cell>
        </row>
        <row r="416">
          <cell r="F416">
            <v>0.66666666666666663</v>
          </cell>
          <cell r="G416">
            <v>0</v>
          </cell>
          <cell r="P416">
            <v>2</v>
          </cell>
          <cell r="X416">
            <v>1.3333333333333333</v>
          </cell>
          <cell r="Y416">
            <v>1</v>
          </cell>
          <cell r="AC416">
            <v>1</v>
          </cell>
          <cell r="AD416">
            <v>0</v>
          </cell>
          <cell r="AK416">
            <v>6</v>
          </cell>
          <cell r="AL416">
            <v>3</v>
          </cell>
        </row>
        <row r="417">
          <cell r="F417">
            <v>2.6666666666666665</v>
          </cell>
          <cell r="G417">
            <v>1</v>
          </cell>
          <cell r="P417">
            <v>0.33333333333333331</v>
          </cell>
          <cell r="X417">
            <v>1</v>
          </cell>
          <cell r="Y417">
            <v>0</v>
          </cell>
          <cell r="AC417">
            <v>0.66666666666666663</v>
          </cell>
          <cell r="AD417">
            <v>0</v>
          </cell>
          <cell r="AK417">
            <v>9.3333333333333339</v>
          </cell>
          <cell r="AL417">
            <v>3.3333333333333335</v>
          </cell>
        </row>
        <row r="418">
          <cell r="F418">
            <v>0</v>
          </cell>
          <cell r="G418">
            <v>0</v>
          </cell>
          <cell r="P418">
            <v>2.3333333333333335</v>
          </cell>
          <cell r="X418">
            <v>6</v>
          </cell>
          <cell r="Y418">
            <v>3</v>
          </cell>
          <cell r="AC418">
            <v>5</v>
          </cell>
          <cell r="AD418">
            <v>2</v>
          </cell>
          <cell r="AK418">
            <v>13.333333333333334</v>
          </cell>
          <cell r="AL418">
            <v>7.3333333333333339</v>
          </cell>
        </row>
        <row r="419">
          <cell r="F419">
            <v>0</v>
          </cell>
          <cell r="G419">
            <v>0</v>
          </cell>
          <cell r="P419">
            <v>0</v>
          </cell>
          <cell r="X419">
            <v>0</v>
          </cell>
          <cell r="Y419">
            <v>0</v>
          </cell>
          <cell r="AC419">
            <v>0</v>
          </cell>
          <cell r="AD419">
            <v>0</v>
          </cell>
          <cell r="AK419">
            <v>0</v>
          </cell>
          <cell r="AL419">
            <v>0</v>
          </cell>
        </row>
        <row r="420">
          <cell r="F420">
            <v>0</v>
          </cell>
          <cell r="G420">
            <v>0</v>
          </cell>
          <cell r="P420">
            <v>0</v>
          </cell>
          <cell r="X420">
            <v>0</v>
          </cell>
          <cell r="Y420">
            <v>0</v>
          </cell>
          <cell r="AC420">
            <v>0</v>
          </cell>
          <cell r="AD420">
            <v>0</v>
          </cell>
          <cell r="AK420">
            <v>0</v>
          </cell>
          <cell r="AL420">
            <v>0</v>
          </cell>
        </row>
        <row r="421">
          <cell r="F421">
            <v>9.6666666666666661</v>
          </cell>
          <cell r="G421">
            <v>3</v>
          </cell>
          <cell r="P421">
            <v>1</v>
          </cell>
          <cell r="X421">
            <v>0</v>
          </cell>
          <cell r="Y421">
            <v>0</v>
          </cell>
          <cell r="AC421">
            <v>0</v>
          </cell>
          <cell r="AD421">
            <v>0</v>
          </cell>
          <cell r="AK421">
            <v>12</v>
          </cell>
          <cell r="AL421">
            <v>5</v>
          </cell>
        </row>
        <row r="422">
          <cell r="F422">
            <v>0</v>
          </cell>
          <cell r="G422">
            <v>0</v>
          </cell>
          <cell r="P422">
            <v>0</v>
          </cell>
          <cell r="X422">
            <v>0</v>
          </cell>
          <cell r="Y422">
            <v>0</v>
          </cell>
          <cell r="AC422">
            <v>0</v>
          </cell>
          <cell r="AD422">
            <v>0</v>
          </cell>
          <cell r="AK422">
            <v>0</v>
          </cell>
          <cell r="AL422">
            <v>0</v>
          </cell>
        </row>
        <row r="423">
          <cell r="F423">
            <v>2.3333333333333335</v>
          </cell>
          <cell r="G423">
            <v>1</v>
          </cell>
          <cell r="P423">
            <v>0.66666666666666663</v>
          </cell>
          <cell r="X423">
            <v>0.66666666666666663</v>
          </cell>
          <cell r="Y423">
            <v>0</v>
          </cell>
          <cell r="AC423">
            <v>0.66666666666666663</v>
          </cell>
          <cell r="AD423">
            <v>0</v>
          </cell>
          <cell r="AK423">
            <v>4.333333333333333</v>
          </cell>
          <cell r="AL423">
            <v>1.6666666666666665</v>
          </cell>
        </row>
        <row r="424">
          <cell r="F424">
            <v>1.6666666666666667</v>
          </cell>
          <cell r="G424">
            <v>0</v>
          </cell>
          <cell r="P424">
            <v>0.66666666666666663</v>
          </cell>
          <cell r="X424">
            <v>0.66666666666666663</v>
          </cell>
          <cell r="Y424">
            <v>0</v>
          </cell>
          <cell r="AC424">
            <v>0.66666666666666663</v>
          </cell>
          <cell r="AD424">
            <v>0</v>
          </cell>
          <cell r="AK424">
            <v>3.6666666666666665</v>
          </cell>
          <cell r="AL424">
            <v>0.66666666666666663</v>
          </cell>
        </row>
        <row r="425">
          <cell r="F425">
            <v>6.666666666666667</v>
          </cell>
          <cell r="G425">
            <v>2</v>
          </cell>
          <cell r="P425">
            <v>4.666666666666667</v>
          </cell>
          <cell r="X425">
            <v>3</v>
          </cell>
          <cell r="Y425">
            <v>1</v>
          </cell>
          <cell r="AC425">
            <v>2</v>
          </cell>
          <cell r="AD425">
            <v>1</v>
          </cell>
          <cell r="AK425">
            <v>33</v>
          </cell>
          <cell r="AL425">
            <v>18.666666666666668</v>
          </cell>
        </row>
        <row r="426">
          <cell r="F426">
            <v>0</v>
          </cell>
          <cell r="G426">
            <v>0</v>
          </cell>
          <cell r="P426">
            <v>0</v>
          </cell>
          <cell r="X426">
            <v>0</v>
          </cell>
          <cell r="Y426">
            <v>0</v>
          </cell>
          <cell r="AC426">
            <v>0</v>
          </cell>
          <cell r="AD426">
            <v>0</v>
          </cell>
          <cell r="AK426">
            <v>0</v>
          </cell>
          <cell r="AL426">
            <v>0</v>
          </cell>
        </row>
        <row r="427">
          <cell r="F427">
            <v>0</v>
          </cell>
          <cell r="G427">
            <v>0</v>
          </cell>
          <cell r="P427">
            <v>0</v>
          </cell>
          <cell r="X427">
            <v>0</v>
          </cell>
          <cell r="Y427">
            <v>0</v>
          </cell>
          <cell r="AC427">
            <v>0</v>
          </cell>
          <cell r="AD427">
            <v>0</v>
          </cell>
          <cell r="AK427">
            <v>0</v>
          </cell>
          <cell r="AL427">
            <v>53</v>
          </cell>
        </row>
        <row r="428">
          <cell r="F428">
            <v>1</v>
          </cell>
          <cell r="G428">
            <v>0</v>
          </cell>
          <cell r="P428">
            <v>0</v>
          </cell>
          <cell r="X428">
            <v>0</v>
          </cell>
          <cell r="Y428">
            <v>0</v>
          </cell>
          <cell r="AC428">
            <v>0</v>
          </cell>
          <cell r="AD428">
            <v>0</v>
          </cell>
          <cell r="AK428">
            <v>1</v>
          </cell>
          <cell r="AL428">
            <v>1</v>
          </cell>
        </row>
        <row r="429">
          <cell r="F429">
            <v>0</v>
          </cell>
          <cell r="G429">
            <v>0</v>
          </cell>
          <cell r="P429">
            <v>0</v>
          </cell>
          <cell r="X429">
            <v>0</v>
          </cell>
          <cell r="Y429">
            <v>0</v>
          </cell>
          <cell r="AC429">
            <v>0</v>
          </cell>
          <cell r="AD429">
            <v>0</v>
          </cell>
          <cell r="AK429">
            <v>0</v>
          </cell>
          <cell r="AL429">
            <v>0</v>
          </cell>
        </row>
        <row r="430">
          <cell r="F430">
            <v>0</v>
          </cell>
          <cell r="G430">
            <v>0</v>
          </cell>
          <cell r="P430">
            <v>0</v>
          </cell>
          <cell r="X430">
            <v>0</v>
          </cell>
          <cell r="Y430">
            <v>0</v>
          </cell>
          <cell r="AC430">
            <v>0</v>
          </cell>
          <cell r="AD430">
            <v>0</v>
          </cell>
          <cell r="AK430">
            <v>0</v>
          </cell>
          <cell r="AL430">
            <v>0</v>
          </cell>
        </row>
        <row r="431">
          <cell r="F431">
            <v>2.6666666666666665</v>
          </cell>
          <cell r="G431">
            <v>1</v>
          </cell>
          <cell r="P431">
            <v>1</v>
          </cell>
          <cell r="X431">
            <v>4</v>
          </cell>
          <cell r="Y431">
            <v>2</v>
          </cell>
          <cell r="AC431">
            <v>2</v>
          </cell>
          <cell r="AD431">
            <v>1</v>
          </cell>
          <cell r="AK431">
            <v>15.666666666666666</v>
          </cell>
          <cell r="AL431">
            <v>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3.3333333333333335</v>
          </cell>
          <cell r="Y433">
            <v>1</v>
          </cell>
          <cell r="AC433">
            <v>0</v>
          </cell>
          <cell r="AD433">
            <v>0</v>
          </cell>
          <cell r="AK433">
            <v>3.3333333333333335</v>
          </cell>
          <cell r="AL433">
            <v>1</v>
          </cell>
        </row>
        <row r="434">
          <cell r="F434">
            <v>0.33333333333333331</v>
          </cell>
          <cell r="G434">
            <v>0</v>
          </cell>
          <cell r="P434">
            <v>0.33333333333333331</v>
          </cell>
          <cell r="X434">
            <v>0.33333333333333331</v>
          </cell>
          <cell r="Y434">
            <v>0</v>
          </cell>
          <cell r="AC434">
            <v>0.33333333333333331</v>
          </cell>
          <cell r="AD434">
            <v>0</v>
          </cell>
          <cell r="AK434">
            <v>1.9999999999999998</v>
          </cell>
          <cell r="AL434">
            <v>0.33333333333333331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0</v>
          </cell>
          <cell r="G437">
            <v>0</v>
          </cell>
          <cell r="P437">
            <v>0</v>
          </cell>
          <cell r="X437">
            <v>0</v>
          </cell>
          <cell r="Y437">
            <v>0</v>
          </cell>
          <cell r="AC437">
            <v>0</v>
          </cell>
          <cell r="AD437">
            <v>0</v>
          </cell>
          <cell r="AK437">
            <v>0</v>
          </cell>
          <cell r="AL437">
            <v>0</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0</v>
          </cell>
          <cell r="G440">
            <v>0</v>
          </cell>
          <cell r="P440">
            <v>0</v>
          </cell>
          <cell r="X440">
            <v>0</v>
          </cell>
          <cell r="Y440">
            <v>0</v>
          </cell>
          <cell r="AC440">
            <v>0</v>
          </cell>
          <cell r="AD440">
            <v>0</v>
          </cell>
          <cell r="AK440">
            <v>0</v>
          </cell>
          <cell r="AL440">
            <v>0</v>
          </cell>
        </row>
        <row r="441">
          <cell r="G441">
            <v>0</v>
          </cell>
          <cell r="P441">
            <v>0</v>
          </cell>
          <cell r="X441">
            <v>0</v>
          </cell>
          <cell r="Y441">
            <v>0</v>
          </cell>
          <cell r="AC441">
            <v>0</v>
          </cell>
          <cell r="AD441">
            <v>0</v>
          </cell>
          <cell r="AK441">
            <v>0</v>
          </cell>
          <cell r="AL441">
            <v>2</v>
          </cell>
        </row>
        <row r="442">
          <cell r="P442">
            <v>0</v>
          </cell>
          <cell r="X442">
            <v>0</v>
          </cell>
          <cell r="Y442">
            <v>0</v>
          </cell>
          <cell r="AC442">
            <v>0</v>
          </cell>
          <cell r="AD442">
            <v>0</v>
          </cell>
          <cell r="AK442">
            <v>0</v>
          </cell>
          <cell r="AL442">
            <v>0</v>
          </cell>
        </row>
      </sheetData>
      <sheetData sheetId="5" refreshError="1">
        <row r="21">
          <cell r="AI21" t="str">
            <v xml:space="preserve">         Затверджую</v>
          </cell>
        </row>
        <row r="22">
          <cell r="AI22" t="str">
            <v xml:space="preserve"> Голова правління -</v>
          </cell>
        </row>
        <row r="23">
          <cell r="AI23" t="str">
            <v xml:space="preserve"> Голова правління </v>
          </cell>
        </row>
        <row r="25">
          <cell r="AI25" t="str">
            <v xml:space="preserve">                        І.В.Плачков</v>
          </cell>
        </row>
        <row r="26">
          <cell r="AI26" t="str">
            <v xml:space="preserve">   "_____" ________2000 р.</v>
          </cell>
        </row>
        <row r="31">
          <cell r="Q31" t="str">
            <v>КТМ</v>
          </cell>
          <cell r="V31" t="str">
            <v xml:space="preserve">ТЕЦ-5 </v>
          </cell>
          <cell r="AA31" t="str">
            <v xml:space="preserve">ТЕЦ-6 </v>
          </cell>
        </row>
        <row r="32">
          <cell r="Q32" t="str">
            <v>КТМ</v>
          </cell>
          <cell r="V32" t="str">
            <v xml:space="preserve">ТЕЦ-5 </v>
          </cell>
          <cell r="AA32" t="str">
            <v xml:space="preserve">ТЕЦ-6 </v>
          </cell>
        </row>
        <row r="33">
          <cell r="F33" t="str">
            <v>ВИКОН.ДИР.</v>
          </cell>
          <cell r="G33" t="str">
            <v>Е/Е</v>
          </cell>
          <cell r="H33" t="str">
            <v xml:space="preserve"> Т/Е</v>
          </cell>
          <cell r="P33" t="str">
            <v xml:space="preserve">КМ </v>
          </cell>
          <cell r="S33" t="str">
            <v xml:space="preserve">ТМ </v>
          </cell>
          <cell r="T33" t="str">
            <v>ВИРОБН</v>
          </cell>
          <cell r="U33" t="str">
            <v>ПЕРЕД</v>
          </cell>
          <cell r="X33" t="str">
            <v>ТЕЦ-5 ВСЬОГО</v>
          </cell>
          <cell r="Y33" t="str">
            <v>Е/Е</v>
          </cell>
          <cell r="Z33" t="str">
            <v xml:space="preserve"> Т/Е</v>
          </cell>
          <cell r="AC33" t="str">
            <v>ТЕЦ-6 ВСЬОГО</v>
          </cell>
          <cell r="AD33" t="str">
            <v>Е/Е</v>
          </cell>
          <cell r="AE33" t="str">
            <v xml:space="preserve"> Т/Е</v>
          </cell>
          <cell r="AF33" t="str">
            <v>ТРМ ВСЬОГО</v>
          </cell>
          <cell r="AG33" t="str">
            <v>ТРМ  АК КЕ</v>
          </cell>
          <cell r="AH33" t="str">
            <v>ТРМ СТОР</v>
          </cell>
          <cell r="AI33" t="str">
            <v xml:space="preserve">ДОП.ВИР. </v>
          </cell>
          <cell r="AJ33" t="str">
            <v>ДОП.ВИР. СТ.ОРГ.</v>
          </cell>
          <cell r="AK33" t="str">
            <v>АК КЕ ВСЬОГО</v>
          </cell>
          <cell r="AL33" t="str">
            <v xml:space="preserve"> Е/Е</v>
          </cell>
          <cell r="AM33" t="str">
            <v xml:space="preserve"> Т/Е</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v>605</v>
          </cell>
          <cell r="AM34" t="str">
            <v xml:space="preserve"> Т/Е</v>
          </cell>
        </row>
        <row r="35">
          <cell r="AL35">
            <v>536.20000000000005</v>
          </cell>
        </row>
        <row r="36">
          <cell r="AL36">
            <v>0</v>
          </cell>
        </row>
        <row r="37">
          <cell r="AL37">
            <v>0</v>
          </cell>
        </row>
        <row r="38">
          <cell r="AL38">
            <v>0</v>
          </cell>
        </row>
        <row r="39">
          <cell r="AL39">
            <v>0</v>
          </cell>
        </row>
        <row r="40">
          <cell r="AL40">
            <v>478.2</v>
          </cell>
        </row>
        <row r="41">
          <cell r="P41">
            <v>0</v>
          </cell>
          <cell r="AL41">
            <v>478.2</v>
          </cell>
        </row>
        <row r="42">
          <cell r="P42">
            <v>0</v>
          </cell>
          <cell r="AL42">
            <v>395.6</v>
          </cell>
          <cell r="AM42">
            <v>1840</v>
          </cell>
        </row>
        <row r="43">
          <cell r="AM43">
            <v>0</v>
          </cell>
        </row>
        <row r="44">
          <cell r="AM44">
            <v>0</v>
          </cell>
        </row>
        <row r="45">
          <cell r="AM45">
            <v>1660</v>
          </cell>
        </row>
        <row r="46">
          <cell r="F46">
            <v>3350.1188787878787</v>
          </cell>
          <cell r="P46">
            <v>2181.2434545454544</v>
          </cell>
          <cell r="S46">
            <v>6535.468727272726</v>
          </cell>
          <cell r="T46">
            <v>4851.0902763636368</v>
          </cell>
          <cell r="U46">
            <v>1648.5504509090908</v>
          </cell>
          <cell r="X46">
            <v>1789.018727272733</v>
          </cell>
          <cell r="AC46">
            <v>1029.1789090909119</v>
          </cell>
          <cell r="AF46">
            <v>4502.9056363636373</v>
          </cell>
          <cell r="AG46">
            <v>3771.8816363636361</v>
          </cell>
          <cell r="AH46">
            <v>731.02400000000011</v>
          </cell>
        </row>
        <row r="47">
          <cell r="F47">
            <v>0.45600000000000002</v>
          </cell>
          <cell r="P47">
            <v>0.45600000000000002</v>
          </cell>
          <cell r="S47">
            <v>0.45600000000000002</v>
          </cell>
          <cell r="X47">
            <v>0.45600000000000002</v>
          </cell>
          <cell r="AC47">
            <v>0.45600000000000002</v>
          </cell>
          <cell r="AF47">
            <v>0.45600000000000002</v>
          </cell>
          <cell r="AG47">
            <v>0.45600000000000002</v>
          </cell>
          <cell r="AH47">
            <v>0.8</v>
          </cell>
          <cell r="AI47">
            <v>0.45600000000000002</v>
          </cell>
        </row>
        <row r="49">
          <cell r="F49">
            <v>222.376</v>
          </cell>
          <cell r="G49">
            <v>102</v>
          </cell>
          <cell r="H49">
            <v>120.376</v>
          </cell>
          <cell r="P49">
            <v>571.96800000000007</v>
          </cell>
          <cell r="S49">
            <v>558.61599999999999</v>
          </cell>
          <cell r="T49">
            <v>279.30799999999999</v>
          </cell>
          <cell r="U49">
            <v>279.30799999999999</v>
          </cell>
          <cell r="X49">
            <v>56.088000000000001</v>
          </cell>
          <cell r="Y49">
            <v>24</v>
          </cell>
          <cell r="Z49">
            <v>32.088000000000001</v>
          </cell>
          <cell r="AC49">
            <v>81.343999999999994</v>
          </cell>
          <cell r="AD49">
            <v>31</v>
          </cell>
          <cell r="AE49">
            <v>50.343999999999994</v>
          </cell>
          <cell r="AF49">
            <v>303.20800000000003</v>
          </cell>
          <cell r="AG49">
            <v>220.68</v>
          </cell>
          <cell r="AH49">
            <v>82.52800000000002</v>
          </cell>
          <cell r="AK49">
            <v>1754.3920000000003</v>
          </cell>
          <cell r="AL49">
            <v>756.5680000000001</v>
          </cell>
          <cell r="AM49">
            <v>997.82400000000018</v>
          </cell>
        </row>
        <row r="50">
          <cell r="F50">
            <v>67.833333333333329</v>
          </cell>
          <cell r="G50">
            <v>31</v>
          </cell>
          <cell r="H50">
            <v>36.833333333333329</v>
          </cell>
          <cell r="P50">
            <v>153.5352</v>
          </cell>
          <cell r="S50">
            <v>447.35199999999998</v>
          </cell>
          <cell r="X50">
            <v>14.592000000000001</v>
          </cell>
          <cell r="Y50">
            <v>6</v>
          </cell>
          <cell r="Z50">
            <v>8.5920000000000005</v>
          </cell>
          <cell r="AC50">
            <v>14.592000000000001</v>
          </cell>
          <cell r="AD50">
            <v>6</v>
          </cell>
          <cell r="AE50">
            <v>8.5920000000000005</v>
          </cell>
          <cell r="AF50">
            <v>74.370720000000006</v>
          </cell>
          <cell r="AG50">
            <v>64.682500142666413</v>
          </cell>
          <cell r="AH50">
            <v>9.6882198573335927</v>
          </cell>
          <cell r="AK50">
            <v>805.9070334759997</v>
          </cell>
          <cell r="AL50">
            <v>204.5352</v>
          </cell>
          <cell r="AM50">
            <v>601.37183347599967</v>
          </cell>
        </row>
        <row r="51">
          <cell r="F51">
            <v>0</v>
          </cell>
          <cell r="G51">
            <v>0</v>
          </cell>
          <cell r="H51">
            <v>0</v>
          </cell>
          <cell r="P51">
            <v>1</v>
          </cell>
          <cell r="X51">
            <v>20.975999999999999</v>
          </cell>
          <cell r="Y51">
            <v>9</v>
          </cell>
          <cell r="Z51">
            <v>11.975999999999999</v>
          </cell>
          <cell r="AC51">
            <v>-0.47200000000000841</v>
          </cell>
          <cell r="AD51">
            <v>0</v>
          </cell>
          <cell r="AE51">
            <v>-0.47200000000000841</v>
          </cell>
          <cell r="AH51">
            <v>0</v>
          </cell>
          <cell r="AK51">
            <v>21.503999999999991</v>
          </cell>
          <cell r="AL51">
            <v>10</v>
          </cell>
          <cell r="AM51">
            <v>11.503999999999991</v>
          </cell>
        </row>
        <row r="52">
          <cell r="F52">
            <v>140.31616</v>
          </cell>
          <cell r="G52">
            <v>64</v>
          </cell>
          <cell r="H52">
            <v>76.316159999999996</v>
          </cell>
          <cell r="P52">
            <v>4</v>
          </cell>
          <cell r="S52">
            <v>80</v>
          </cell>
          <cell r="X52">
            <v>15.96</v>
          </cell>
          <cell r="Y52">
            <v>7</v>
          </cell>
          <cell r="Z52">
            <v>8.9600000000000009</v>
          </cell>
          <cell r="AC52">
            <v>13.224</v>
          </cell>
          <cell r="AD52">
            <v>5</v>
          </cell>
          <cell r="AE52">
            <v>8.2240000000000002</v>
          </cell>
          <cell r="AF52">
            <v>7.8735999999999997</v>
          </cell>
          <cell r="AG52">
            <v>5.7305415688240409</v>
          </cell>
          <cell r="AH52">
            <v>2.1430584311759588</v>
          </cell>
          <cell r="AK52">
            <v>259.23070156882403</v>
          </cell>
          <cell r="AL52">
            <v>80</v>
          </cell>
          <cell r="AM52">
            <v>179.23070156882403</v>
          </cell>
        </row>
        <row r="53">
          <cell r="F53">
            <v>1</v>
          </cell>
          <cell r="G53">
            <v>0</v>
          </cell>
          <cell r="H53">
            <v>1</v>
          </cell>
          <cell r="P53">
            <v>13.224</v>
          </cell>
          <cell r="S53">
            <v>463.76800000000003</v>
          </cell>
          <cell r="T53">
            <v>361.73904000000005</v>
          </cell>
          <cell r="U53">
            <v>102.02895999999998</v>
          </cell>
          <cell r="X53">
            <v>835.14400000000001</v>
          </cell>
          <cell r="Y53">
            <v>362</v>
          </cell>
          <cell r="Z53">
            <v>473.14400000000001</v>
          </cell>
          <cell r="AC53">
            <v>92.623999999999995</v>
          </cell>
          <cell r="AD53">
            <v>35</v>
          </cell>
          <cell r="AE53">
            <v>57.623999999999995</v>
          </cell>
          <cell r="AF53">
            <v>120.024</v>
          </cell>
          <cell r="AG53">
            <v>96.92</v>
          </cell>
          <cell r="AH53">
            <v>23.103999999999999</v>
          </cell>
          <cell r="AK53">
            <v>1503.68</v>
          </cell>
          <cell r="AL53">
            <v>411.22399999999999</v>
          </cell>
          <cell r="AM53">
            <v>1092.4560000000001</v>
          </cell>
        </row>
        <row r="54">
          <cell r="F54">
            <v>0</v>
          </cell>
          <cell r="G54">
            <v>0</v>
          </cell>
          <cell r="H54">
            <v>0</v>
          </cell>
          <cell r="S54">
            <v>22</v>
          </cell>
          <cell r="T54">
            <v>22</v>
          </cell>
          <cell r="U54">
            <v>0</v>
          </cell>
          <cell r="X54">
            <v>790</v>
          </cell>
          <cell r="Y54">
            <v>343</v>
          </cell>
          <cell r="Z54">
            <v>447</v>
          </cell>
          <cell r="AC54">
            <v>13</v>
          </cell>
          <cell r="AD54">
            <v>5</v>
          </cell>
          <cell r="AE54">
            <v>8</v>
          </cell>
          <cell r="AH54">
            <v>0</v>
          </cell>
          <cell r="AK54">
            <v>825</v>
          </cell>
          <cell r="AL54">
            <v>348</v>
          </cell>
          <cell r="AM54">
            <v>477</v>
          </cell>
        </row>
        <row r="55">
          <cell r="F55">
            <v>0</v>
          </cell>
          <cell r="G55">
            <v>0</v>
          </cell>
          <cell r="H55">
            <v>0</v>
          </cell>
          <cell r="P55">
            <v>0</v>
          </cell>
          <cell r="S55">
            <v>19250</v>
          </cell>
          <cell r="T55">
            <v>19250</v>
          </cell>
          <cell r="U55">
            <v>0</v>
          </cell>
          <cell r="X55">
            <v>44597</v>
          </cell>
          <cell r="Y55">
            <v>30041.25</v>
          </cell>
          <cell r="Z55">
            <v>14555.75</v>
          </cell>
          <cell r="AC55">
            <v>36151</v>
          </cell>
          <cell r="AD55">
            <v>22308.272727272721</v>
          </cell>
          <cell r="AE55">
            <v>13842.727272727279</v>
          </cell>
          <cell r="AH55">
            <v>0</v>
          </cell>
          <cell r="AK55">
            <v>99998</v>
          </cell>
          <cell r="AL55">
            <v>52349.522727272721</v>
          </cell>
          <cell r="AM55">
            <v>47648.477272727279</v>
          </cell>
        </row>
        <row r="56">
          <cell r="F56">
            <v>0</v>
          </cell>
          <cell r="G56">
            <v>0</v>
          </cell>
          <cell r="H56">
            <v>0</v>
          </cell>
          <cell r="P56">
            <v>0</v>
          </cell>
          <cell r="S56">
            <v>19250</v>
          </cell>
          <cell r="T56">
            <v>19250</v>
          </cell>
          <cell r="U56">
            <v>0</v>
          </cell>
          <cell r="X56">
            <v>44597</v>
          </cell>
          <cell r="Y56">
            <v>30041.25</v>
          </cell>
          <cell r="Z56">
            <v>14555.75</v>
          </cell>
          <cell r="AC56">
            <v>36151</v>
          </cell>
          <cell r="AD56">
            <v>22308.272727272721</v>
          </cell>
          <cell r="AE56">
            <v>13842.727272727279</v>
          </cell>
          <cell r="AF56">
            <v>0</v>
          </cell>
          <cell r="AG56">
            <v>0</v>
          </cell>
          <cell r="AH56">
            <v>0</v>
          </cell>
          <cell r="AI56">
            <v>0</v>
          </cell>
          <cell r="AK56">
            <v>99998</v>
          </cell>
          <cell r="AL56">
            <v>52349.522727272721</v>
          </cell>
          <cell r="AM56">
            <v>47648.477272727279</v>
          </cell>
        </row>
        <row r="57">
          <cell r="F57">
            <v>0</v>
          </cell>
          <cell r="G57">
            <v>0</v>
          </cell>
          <cell r="H57">
            <v>0</v>
          </cell>
          <cell r="T57">
            <v>0</v>
          </cell>
          <cell r="U57">
            <v>0</v>
          </cell>
          <cell r="AF57">
            <v>0</v>
          </cell>
          <cell r="AH57">
            <v>0</v>
          </cell>
          <cell r="AK57">
            <v>0</v>
          </cell>
          <cell r="AL57">
            <v>0</v>
          </cell>
          <cell r="AM57">
            <v>0</v>
          </cell>
        </row>
        <row r="58">
          <cell r="F58">
            <v>7</v>
          </cell>
          <cell r="G58">
            <v>3</v>
          </cell>
          <cell r="H58">
            <v>4</v>
          </cell>
          <cell r="P58">
            <v>25.536000000000001</v>
          </cell>
          <cell r="S58">
            <v>3238.2240000000002</v>
          </cell>
          <cell r="T58">
            <v>3238.2240000000002</v>
          </cell>
          <cell r="U58">
            <v>0</v>
          </cell>
          <cell r="X58">
            <v>0</v>
          </cell>
          <cell r="Y58">
            <v>0</v>
          </cell>
          <cell r="Z58">
            <v>0</v>
          </cell>
          <cell r="AC58">
            <v>0</v>
          </cell>
          <cell r="AD58">
            <v>0</v>
          </cell>
          <cell r="AE58">
            <v>0</v>
          </cell>
          <cell r="AF58">
            <v>625.84</v>
          </cell>
          <cell r="AG58">
            <v>301.55200000000002</v>
          </cell>
          <cell r="AH58">
            <v>324.28800000000001</v>
          </cell>
          <cell r="AK58">
            <v>3572.3120000000004</v>
          </cell>
          <cell r="AL58">
            <v>28.536000000000001</v>
          </cell>
          <cell r="AM58">
            <v>3543.7760000000003</v>
          </cell>
        </row>
        <row r="59">
          <cell r="F59">
            <v>369.45454545454538</v>
          </cell>
          <cell r="G59">
            <v>170</v>
          </cell>
          <cell r="H59">
            <v>199.45454545454538</v>
          </cell>
          <cell r="P59">
            <v>615.5454545454545</v>
          </cell>
          <cell r="S59">
            <v>1207.2727272727273</v>
          </cell>
          <cell r="T59">
            <v>591.56363636363631</v>
          </cell>
          <cell r="U59">
            <v>615.70909090909095</v>
          </cell>
          <cell r="X59">
            <v>411</v>
          </cell>
          <cell r="Y59">
            <v>178</v>
          </cell>
          <cell r="Z59">
            <v>233</v>
          </cell>
          <cell r="AC59">
            <v>335.09090909090912</v>
          </cell>
          <cell r="AD59">
            <v>128</v>
          </cell>
          <cell r="AE59">
            <v>207.09090909090912</v>
          </cell>
          <cell r="AF59">
            <v>1350</v>
          </cell>
          <cell r="AG59">
            <v>1134</v>
          </cell>
          <cell r="AH59">
            <v>216</v>
          </cell>
          <cell r="AI59">
            <v>692.36363636363637</v>
          </cell>
          <cell r="AK59">
            <v>5049.8181818181811</v>
          </cell>
          <cell r="AL59">
            <v>1479.1960183767228</v>
          </cell>
          <cell r="AM59">
            <v>3570.6221634414583</v>
          </cell>
        </row>
        <row r="60">
          <cell r="F60">
            <v>20</v>
          </cell>
          <cell r="G60">
            <v>9</v>
          </cell>
          <cell r="H60">
            <v>11</v>
          </cell>
          <cell r="P60">
            <v>34</v>
          </cell>
          <cell r="S60">
            <v>66</v>
          </cell>
          <cell r="T60">
            <v>33</v>
          </cell>
          <cell r="U60">
            <v>34</v>
          </cell>
          <cell r="X60">
            <v>23</v>
          </cell>
          <cell r="Y60">
            <v>10</v>
          </cell>
          <cell r="Z60">
            <v>13</v>
          </cell>
          <cell r="AC60">
            <v>18</v>
          </cell>
          <cell r="AD60">
            <v>7</v>
          </cell>
          <cell r="AE60">
            <v>11</v>
          </cell>
          <cell r="AF60">
            <v>74</v>
          </cell>
          <cell r="AG60">
            <v>62</v>
          </cell>
          <cell r="AH60">
            <v>12</v>
          </cell>
          <cell r="AI60">
            <v>38</v>
          </cell>
          <cell r="AK60">
            <v>276</v>
          </cell>
          <cell r="AL60">
            <v>81</v>
          </cell>
          <cell r="AM60">
            <v>195</v>
          </cell>
        </row>
        <row r="61">
          <cell r="F61">
            <v>118</v>
          </cell>
          <cell r="G61">
            <v>54</v>
          </cell>
          <cell r="H61">
            <v>64</v>
          </cell>
          <cell r="P61">
            <v>197</v>
          </cell>
          <cell r="S61">
            <v>386</v>
          </cell>
          <cell r="T61">
            <v>189</v>
          </cell>
          <cell r="U61">
            <v>197</v>
          </cell>
          <cell r="X61">
            <v>132</v>
          </cell>
          <cell r="Y61">
            <v>57</v>
          </cell>
          <cell r="Z61">
            <v>75</v>
          </cell>
          <cell r="AC61">
            <v>107</v>
          </cell>
          <cell r="AD61">
            <v>41</v>
          </cell>
          <cell r="AE61">
            <v>66</v>
          </cell>
          <cell r="AF61">
            <v>432</v>
          </cell>
          <cell r="AG61">
            <v>363</v>
          </cell>
          <cell r="AH61">
            <v>69</v>
          </cell>
          <cell r="AI61">
            <v>222</v>
          </cell>
          <cell r="AK61">
            <v>1616</v>
          </cell>
          <cell r="AL61">
            <v>473</v>
          </cell>
          <cell r="AM61">
            <v>1143</v>
          </cell>
        </row>
        <row r="62">
          <cell r="F62">
            <v>0</v>
          </cell>
          <cell r="G62">
            <v>0</v>
          </cell>
          <cell r="P62">
            <v>0</v>
          </cell>
          <cell r="X62">
            <v>0</v>
          </cell>
          <cell r="AH62">
            <v>0</v>
          </cell>
          <cell r="AK62">
            <v>0</v>
          </cell>
        </row>
        <row r="63">
          <cell r="F63">
            <v>87.333333333333329</v>
          </cell>
          <cell r="G63">
            <v>40</v>
          </cell>
          <cell r="H63">
            <v>47.333333333333329</v>
          </cell>
          <cell r="P63">
            <v>610</v>
          </cell>
          <cell r="S63">
            <v>1427</v>
          </cell>
          <cell r="T63">
            <v>228.32</v>
          </cell>
          <cell r="U63">
            <v>1198.68</v>
          </cell>
          <cell r="X63">
            <v>708</v>
          </cell>
          <cell r="Y63">
            <v>307</v>
          </cell>
          <cell r="Z63">
            <v>401</v>
          </cell>
          <cell r="AC63">
            <v>734</v>
          </cell>
          <cell r="AD63">
            <v>280</v>
          </cell>
          <cell r="AE63">
            <v>454</v>
          </cell>
          <cell r="AF63">
            <v>586.33333333333337</v>
          </cell>
          <cell r="AG63">
            <v>530.33333333333337</v>
          </cell>
          <cell r="AH63">
            <v>56</v>
          </cell>
          <cell r="AK63">
            <v>4108.666666666667</v>
          </cell>
          <cell r="AL63">
            <v>1248</v>
          </cell>
          <cell r="AM63">
            <v>2860.666666666667</v>
          </cell>
        </row>
        <row r="64">
          <cell r="G64">
            <v>0</v>
          </cell>
          <cell r="T64">
            <v>23</v>
          </cell>
          <cell r="U64">
            <v>120</v>
          </cell>
          <cell r="AH64">
            <v>0</v>
          </cell>
          <cell r="AI64">
            <v>0</v>
          </cell>
          <cell r="AJ64">
            <v>0</v>
          </cell>
          <cell r="AK64">
            <v>0</v>
          </cell>
        </row>
        <row r="65">
          <cell r="F65">
            <v>68</v>
          </cell>
          <cell r="G65">
            <v>31</v>
          </cell>
          <cell r="H65">
            <v>37</v>
          </cell>
          <cell r="P65">
            <v>554.95000000000005</v>
          </cell>
          <cell r="S65">
            <v>-65.706000000000017</v>
          </cell>
          <cell r="X65">
            <v>-121.73</v>
          </cell>
          <cell r="AC65">
            <v>-32.44</v>
          </cell>
          <cell r="AD65">
            <v>-12</v>
          </cell>
          <cell r="AF65">
            <v>491.25</v>
          </cell>
          <cell r="AG65">
            <v>491.25</v>
          </cell>
          <cell r="AH65">
            <v>0</v>
          </cell>
          <cell r="AK65">
            <v>897.66499999999996</v>
          </cell>
          <cell r="AL65">
            <v>586.95000000000005</v>
          </cell>
          <cell r="AM65">
            <v>310.71499999999992</v>
          </cell>
        </row>
        <row r="66">
          <cell r="F66">
            <v>0</v>
          </cell>
          <cell r="G66">
            <v>0</v>
          </cell>
          <cell r="P66">
            <v>0</v>
          </cell>
          <cell r="S66">
            <v>0</v>
          </cell>
          <cell r="X66">
            <v>0</v>
          </cell>
          <cell r="AC66">
            <v>0</v>
          </cell>
          <cell r="AD66">
            <v>0</v>
          </cell>
          <cell r="AF66">
            <v>0</v>
          </cell>
          <cell r="AG66">
            <v>0</v>
          </cell>
          <cell r="AH66">
            <v>0</v>
          </cell>
          <cell r="AK66">
            <v>0</v>
          </cell>
          <cell r="AL66">
            <v>0</v>
          </cell>
          <cell r="AM66">
            <v>0</v>
          </cell>
        </row>
        <row r="67">
          <cell r="F67">
            <v>19.333333333333329</v>
          </cell>
          <cell r="G67">
            <v>9</v>
          </cell>
          <cell r="H67">
            <v>10.333333333333329</v>
          </cell>
          <cell r="P67">
            <v>55.049999999999955</v>
          </cell>
          <cell r="S67">
            <v>1492.7060000000001</v>
          </cell>
          <cell r="T67">
            <v>205.32</v>
          </cell>
          <cell r="U67">
            <v>1078.68</v>
          </cell>
          <cell r="X67">
            <v>829.73</v>
          </cell>
          <cell r="Y67">
            <v>307</v>
          </cell>
          <cell r="Z67">
            <v>401</v>
          </cell>
          <cell r="AC67">
            <v>766.44</v>
          </cell>
          <cell r="AD67">
            <v>292</v>
          </cell>
          <cell r="AE67">
            <v>454</v>
          </cell>
          <cell r="AF67">
            <v>95.083333333333371</v>
          </cell>
          <cell r="AG67">
            <v>39.083333333333371</v>
          </cell>
          <cell r="AH67">
            <v>56</v>
          </cell>
          <cell r="AI67">
            <v>0</v>
          </cell>
          <cell r="AJ67">
            <v>0</v>
          </cell>
          <cell r="AK67">
            <v>3210.001666666667</v>
          </cell>
          <cell r="AL67">
            <v>661.05</v>
          </cell>
          <cell r="AM67">
            <v>2549.9516666666668</v>
          </cell>
        </row>
        <row r="68">
          <cell r="F68">
            <v>33.641999999999996</v>
          </cell>
          <cell r="G68">
            <v>15</v>
          </cell>
          <cell r="H68">
            <v>18.641999999999996</v>
          </cell>
          <cell r="P68">
            <v>200.1</v>
          </cell>
          <cell r="S68">
            <v>500.6</v>
          </cell>
          <cell r="T68">
            <v>125.15</v>
          </cell>
          <cell r="U68">
            <v>375.45000000000005</v>
          </cell>
          <cell r="X68">
            <v>370.27272727272725</v>
          </cell>
          <cell r="Y68">
            <v>161</v>
          </cell>
          <cell r="Z68">
            <v>209.27272727272725</v>
          </cell>
          <cell r="AC68">
            <v>296.89999999999998</v>
          </cell>
          <cell r="AD68">
            <v>113</v>
          </cell>
          <cell r="AE68">
            <v>183.89999999999998</v>
          </cell>
          <cell r="AF68">
            <v>1020.7636363636364</v>
          </cell>
          <cell r="AG68">
            <v>1020.7636363636364</v>
          </cell>
          <cell r="AH68">
            <v>0</v>
          </cell>
          <cell r="AK68">
            <v>2423.2783636363638</v>
          </cell>
          <cell r="AL68">
            <v>490.1</v>
          </cell>
          <cell r="AM68">
            <v>1933.1783636363639</v>
          </cell>
        </row>
        <row r="69">
          <cell r="F69">
            <v>0</v>
          </cell>
          <cell r="G69">
            <v>0</v>
          </cell>
          <cell r="H69">
            <v>0</v>
          </cell>
          <cell r="P69">
            <v>53</v>
          </cell>
          <cell r="S69">
            <v>296</v>
          </cell>
          <cell r="X69">
            <v>197.81818181818181</v>
          </cell>
          <cell r="Y69">
            <v>86</v>
          </cell>
          <cell r="Z69">
            <v>111.81818181818181</v>
          </cell>
          <cell r="AC69">
            <v>144</v>
          </cell>
          <cell r="AD69">
            <v>55</v>
          </cell>
          <cell r="AE69">
            <v>89</v>
          </cell>
          <cell r="AF69">
            <v>85.090909090909093</v>
          </cell>
          <cell r="AG69">
            <v>85.090909090909093</v>
          </cell>
          <cell r="AH69">
            <v>0</v>
          </cell>
          <cell r="AK69">
            <v>775.90909090909088</v>
          </cell>
          <cell r="AL69">
            <v>194</v>
          </cell>
          <cell r="AM69">
            <v>581.90909090909088</v>
          </cell>
        </row>
        <row r="70">
          <cell r="F70">
            <v>0</v>
          </cell>
          <cell r="G70">
            <v>0</v>
          </cell>
          <cell r="H70">
            <v>0</v>
          </cell>
          <cell r="P70">
            <v>3</v>
          </cell>
          <cell r="S70">
            <v>16</v>
          </cell>
          <cell r="X70">
            <v>11</v>
          </cell>
          <cell r="Y70">
            <v>5</v>
          </cell>
          <cell r="Z70">
            <v>6</v>
          </cell>
          <cell r="AC70">
            <v>8</v>
          </cell>
          <cell r="AD70">
            <v>3</v>
          </cell>
          <cell r="AE70">
            <v>5</v>
          </cell>
          <cell r="AF70">
            <v>5</v>
          </cell>
          <cell r="AG70">
            <v>5</v>
          </cell>
          <cell r="AH70">
            <v>0</v>
          </cell>
          <cell r="AK70">
            <v>43</v>
          </cell>
          <cell r="AL70">
            <v>11</v>
          </cell>
          <cell r="AM70">
            <v>32</v>
          </cell>
        </row>
        <row r="71">
          <cell r="F71">
            <v>0</v>
          </cell>
          <cell r="G71">
            <v>0</v>
          </cell>
          <cell r="H71">
            <v>0</v>
          </cell>
          <cell r="P71">
            <v>17</v>
          </cell>
          <cell r="S71">
            <v>95</v>
          </cell>
          <cell r="X71">
            <v>63</v>
          </cell>
          <cell r="Y71">
            <v>27</v>
          </cell>
          <cell r="Z71">
            <v>36</v>
          </cell>
          <cell r="AC71">
            <v>45</v>
          </cell>
          <cell r="AD71">
            <v>17</v>
          </cell>
          <cell r="AE71">
            <v>28</v>
          </cell>
          <cell r="AF71">
            <v>27</v>
          </cell>
          <cell r="AG71">
            <v>27</v>
          </cell>
          <cell r="AH71">
            <v>0</v>
          </cell>
          <cell r="AK71">
            <v>247</v>
          </cell>
          <cell r="AL71">
            <v>61</v>
          </cell>
          <cell r="AM71">
            <v>186</v>
          </cell>
        </row>
        <row r="72">
          <cell r="F72">
            <v>0</v>
          </cell>
          <cell r="G72">
            <v>0</v>
          </cell>
          <cell r="X72">
            <v>0</v>
          </cell>
          <cell r="AC72">
            <v>0</v>
          </cell>
          <cell r="AF72">
            <v>0</v>
          </cell>
          <cell r="AG72">
            <v>0</v>
          </cell>
          <cell r="AH72">
            <v>0</v>
          </cell>
          <cell r="AK72">
            <v>0</v>
          </cell>
          <cell r="AL72">
            <v>0</v>
          </cell>
          <cell r="AM72">
            <v>0</v>
          </cell>
        </row>
        <row r="73">
          <cell r="F73">
            <v>33.641999999999996</v>
          </cell>
          <cell r="G73">
            <v>15</v>
          </cell>
          <cell r="P73">
            <v>200.1</v>
          </cell>
          <cell r="S73">
            <v>500.6</v>
          </cell>
          <cell r="X73">
            <v>370.27272727272725</v>
          </cell>
          <cell r="Y73">
            <v>161</v>
          </cell>
          <cell r="Z73">
            <v>209.27272727272725</v>
          </cell>
          <cell r="AC73">
            <v>296.89999999999998</v>
          </cell>
          <cell r="AD73">
            <v>113</v>
          </cell>
          <cell r="AE73">
            <v>183.89999999999998</v>
          </cell>
          <cell r="AF73">
            <v>1020.7636363636364</v>
          </cell>
          <cell r="AG73">
            <v>1020.7636363636364</v>
          </cell>
          <cell r="AH73">
            <v>0</v>
          </cell>
          <cell r="AK73">
            <v>2423.2783636363638</v>
          </cell>
          <cell r="AL73">
            <v>499.1</v>
          </cell>
          <cell r="AM73">
            <v>1924.1783636363639</v>
          </cell>
        </row>
        <row r="74">
          <cell r="F74">
            <v>0</v>
          </cell>
          <cell r="G74">
            <v>0</v>
          </cell>
          <cell r="P74">
            <v>0</v>
          </cell>
          <cell r="S74">
            <v>0</v>
          </cell>
          <cell r="X74">
            <v>0</v>
          </cell>
          <cell r="Z74">
            <v>0</v>
          </cell>
          <cell r="AC74">
            <v>0</v>
          </cell>
          <cell r="AD74">
            <v>0</v>
          </cell>
          <cell r="AE74">
            <v>0</v>
          </cell>
          <cell r="AH74">
            <v>0</v>
          </cell>
          <cell r="AK74">
            <v>0</v>
          </cell>
          <cell r="AL74">
            <v>0</v>
          </cell>
          <cell r="AM74">
            <v>0</v>
          </cell>
        </row>
        <row r="75">
          <cell r="F75">
            <v>1093.1626666666668</v>
          </cell>
          <cell r="G75">
            <v>502</v>
          </cell>
          <cell r="H75">
            <v>591.16266666666672</v>
          </cell>
          <cell r="P75">
            <v>28.52</v>
          </cell>
          <cell r="S75">
            <v>78.16</v>
          </cell>
          <cell r="T75">
            <v>33.105600000000003</v>
          </cell>
          <cell r="U75">
            <v>45.054399999999994</v>
          </cell>
          <cell r="X75">
            <v>47.008000000000003</v>
          </cell>
          <cell r="Y75">
            <v>20</v>
          </cell>
          <cell r="Z75">
            <v>27.008000000000003</v>
          </cell>
          <cell r="AC75">
            <v>74.311999999999998</v>
          </cell>
          <cell r="AD75">
            <v>29</v>
          </cell>
          <cell r="AE75">
            <v>45.311999999999998</v>
          </cell>
          <cell r="AF75">
            <v>74.183999999999997</v>
          </cell>
          <cell r="AG75">
            <v>70.080000000000013</v>
          </cell>
          <cell r="AH75">
            <v>4.103999999999985</v>
          </cell>
          <cell r="AI75">
            <v>370</v>
          </cell>
          <cell r="AK75">
            <v>2154.9066666666668</v>
          </cell>
          <cell r="AL75">
            <v>804.52</v>
          </cell>
          <cell r="AM75">
            <v>1350.3866666666668</v>
          </cell>
        </row>
        <row r="76">
          <cell r="F76">
            <v>61.6666666666667</v>
          </cell>
          <cell r="G76">
            <v>28</v>
          </cell>
          <cell r="H76">
            <v>33.6666666666667</v>
          </cell>
          <cell r="P76">
            <v>0</v>
          </cell>
          <cell r="T76">
            <v>0</v>
          </cell>
          <cell r="U76">
            <v>0</v>
          </cell>
          <cell r="Y76">
            <v>0</v>
          </cell>
          <cell r="Z76">
            <v>0</v>
          </cell>
          <cell r="AE76">
            <v>0</v>
          </cell>
          <cell r="AH76">
            <v>0</v>
          </cell>
          <cell r="AK76">
            <v>61.6666666666667</v>
          </cell>
          <cell r="AL76">
            <v>28</v>
          </cell>
          <cell r="AM76">
            <v>33.6666666666667</v>
          </cell>
        </row>
        <row r="77">
          <cell r="F77">
            <v>1031.4960000000001</v>
          </cell>
          <cell r="G77">
            <v>474</v>
          </cell>
          <cell r="H77">
            <v>557.49599999999998</v>
          </cell>
          <cell r="P77">
            <v>28.52</v>
          </cell>
          <cell r="S77">
            <v>78.16</v>
          </cell>
          <cell r="T77">
            <v>33.105600000000003</v>
          </cell>
          <cell r="U77">
            <v>17.054400000000001</v>
          </cell>
          <cell r="X77">
            <v>47.008000000000003</v>
          </cell>
          <cell r="Y77">
            <v>20</v>
          </cell>
          <cell r="Z77">
            <v>27.008000000000003</v>
          </cell>
          <cell r="AC77">
            <v>74.311999999999998</v>
          </cell>
          <cell r="AD77">
            <v>29</v>
          </cell>
          <cell r="AE77">
            <v>45.311999999999998</v>
          </cell>
          <cell r="AF77">
            <v>74.183999999999997</v>
          </cell>
          <cell r="AG77">
            <v>70.080000000000013</v>
          </cell>
          <cell r="AH77">
            <v>4.1039999999999992</v>
          </cell>
          <cell r="AI77">
            <v>370</v>
          </cell>
          <cell r="AK77">
            <v>2093.2399999999998</v>
          </cell>
          <cell r="AL77">
            <v>776.52</v>
          </cell>
          <cell r="AM77">
            <v>1316.7199999999998</v>
          </cell>
        </row>
        <row r="78">
          <cell r="F78">
            <v>174.49600000000001</v>
          </cell>
          <cell r="G78">
            <v>80</v>
          </cell>
          <cell r="H78">
            <v>94.496000000000009</v>
          </cell>
          <cell r="P78">
            <v>20.52</v>
          </cell>
          <cell r="S78">
            <v>50.160000000000004</v>
          </cell>
          <cell r="T78">
            <v>33.105600000000003</v>
          </cell>
          <cell r="U78">
            <v>17.054400000000001</v>
          </cell>
          <cell r="X78">
            <v>31.008000000000003</v>
          </cell>
          <cell r="Y78">
            <v>13</v>
          </cell>
          <cell r="Z78">
            <v>18.008000000000003</v>
          </cell>
          <cell r="AC78">
            <v>12.312000000000001</v>
          </cell>
          <cell r="AD78">
            <v>5</v>
          </cell>
          <cell r="AE78">
            <v>7.3120000000000012</v>
          </cell>
          <cell r="AF78">
            <v>48.184000000000005</v>
          </cell>
          <cell r="AG78">
            <v>44.080000000000005</v>
          </cell>
          <cell r="AH78">
            <v>4.1039999999999992</v>
          </cell>
          <cell r="AK78">
            <v>599.57600000000002</v>
          </cell>
          <cell r="AL78">
            <v>257.52</v>
          </cell>
          <cell r="AM78">
            <v>342.05600000000004</v>
          </cell>
        </row>
        <row r="79">
          <cell r="F79">
            <v>0</v>
          </cell>
          <cell r="H79">
            <v>0</v>
          </cell>
          <cell r="P79">
            <v>0</v>
          </cell>
          <cell r="S79">
            <v>0</v>
          </cell>
          <cell r="Y79">
            <v>0</v>
          </cell>
          <cell r="Z79">
            <v>0</v>
          </cell>
          <cell r="AK79">
            <v>122.664</v>
          </cell>
          <cell r="AL79">
            <v>83</v>
          </cell>
          <cell r="AM79">
            <v>39.664000000000001</v>
          </cell>
        </row>
        <row r="80">
          <cell r="F80">
            <v>307</v>
          </cell>
          <cell r="G80">
            <v>141</v>
          </cell>
          <cell r="H80">
            <v>166</v>
          </cell>
          <cell r="P80">
            <v>3</v>
          </cell>
          <cell r="S80">
            <v>14</v>
          </cell>
          <cell r="X80">
            <v>-9</v>
          </cell>
          <cell r="Y80">
            <v>-4</v>
          </cell>
          <cell r="Z80">
            <v>-5</v>
          </cell>
          <cell r="AC80">
            <v>25</v>
          </cell>
          <cell r="AD80">
            <v>10</v>
          </cell>
          <cell r="AE80">
            <v>15</v>
          </cell>
          <cell r="AF80">
            <v>15</v>
          </cell>
          <cell r="AG80">
            <v>15</v>
          </cell>
          <cell r="AH80">
            <v>0</v>
          </cell>
          <cell r="AI80">
            <v>89</v>
          </cell>
          <cell r="AK80">
            <v>445</v>
          </cell>
          <cell r="AL80">
            <v>151</v>
          </cell>
          <cell r="AM80">
            <v>294</v>
          </cell>
        </row>
        <row r="81">
          <cell r="F81">
            <v>550</v>
          </cell>
          <cell r="G81">
            <v>253</v>
          </cell>
          <cell r="H81">
            <v>297</v>
          </cell>
          <cell r="P81">
            <v>5</v>
          </cell>
          <cell r="S81">
            <v>14</v>
          </cell>
          <cell r="X81">
            <v>25</v>
          </cell>
          <cell r="Y81">
            <v>11</v>
          </cell>
          <cell r="Z81">
            <v>14</v>
          </cell>
          <cell r="AC81">
            <v>37</v>
          </cell>
          <cell r="AD81">
            <v>14</v>
          </cell>
          <cell r="AE81">
            <v>23</v>
          </cell>
          <cell r="AF81">
            <v>11</v>
          </cell>
          <cell r="AG81">
            <v>11</v>
          </cell>
          <cell r="AH81">
            <v>0</v>
          </cell>
          <cell r="AI81">
            <v>281</v>
          </cell>
          <cell r="AK81">
            <v>926</v>
          </cell>
          <cell r="AL81">
            <v>285</v>
          </cell>
          <cell r="AM81">
            <v>641</v>
          </cell>
        </row>
        <row r="82">
          <cell r="F82">
            <v>0</v>
          </cell>
          <cell r="H82">
            <v>0</v>
          </cell>
          <cell r="Y82">
            <v>0</v>
          </cell>
          <cell r="Z82">
            <v>0</v>
          </cell>
          <cell r="AK82">
            <v>0</v>
          </cell>
          <cell r="AL82">
            <v>0</v>
          </cell>
          <cell r="AM82">
            <v>0</v>
          </cell>
        </row>
        <row r="83">
          <cell r="F83">
            <v>1</v>
          </cell>
          <cell r="G83">
            <v>0</v>
          </cell>
          <cell r="H83">
            <v>1</v>
          </cell>
          <cell r="P83">
            <v>3.1</v>
          </cell>
          <cell r="S83">
            <v>7.5</v>
          </cell>
          <cell r="X83">
            <v>3.1</v>
          </cell>
          <cell r="Y83">
            <v>1</v>
          </cell>
          <cell r="Z83">
            <v>2.1</v>
          </cell>
          <cell r="AC83">
            <v>1.7</v>
          </cell>
          <cell r="AF83">
            <v>4.8</v>
          </cell>
          <cell r="AH83">
            <v>0</v>
          </cell>
          <cell r="AK83">
            <v>1</v>
          </cell>
          <cell r="AL83">
            <v>0</v>
          </cell>
          <cell r="AM83">
            <v>1</v>
          </cell>
        </row>
        <row r="84">
          <cell r="F84">
            <v>1951.9685454545456</v>
          </cell>
          <cell r="G84">
            <v>895</v>
          </cell>
          <cell r="H84">
            <v>1056.9685454545454</v>
          </cell>
          <cell r="P84">
            <v>2295.8934545454545</v>
          </cell>
          <cell r="Q84">
            <v>0</v>
          </cell>
          <cell r="R84">
            <v>0</v>
          </cell>
          <cell r="S84">
            <v>27175.640727272727</v>
          </cell>
          <cell r="T84">
            <v>24329.410276363637</v>
          </cell>
          <cell r="U84">
            <v>2847.2304509090909</v>
          </cell>
          <cell r="X84">
            <v>47179.512727272733</v>
          </cell>
          <cell r="Y84">
            <v>31160.25</v>
          </cell>
          <cell r="Z84">
            <v>16019.262727272728</v>
          </cell>
          <cell r="AA84">
            <v>0</v>
          </cell>
          <cell r="AB84">
            <v>0</v>
          </cell>
          <cell r="AC84">
            <v>37890.270909090912</v>
          </cell>
          <cell r="AD84">
            <v>22972.272727272721</v>
          </cell>
          <cell r="AE84">
            <v>14917.99818181819</v>
          </cell>
          <cell r="AF84">
            <v>4586.3529696969699</v>
          </cell>
          <cell r="AG84">
            <v>3799.3289696969696</v>
          </cell>
          <cell r="AH84">
            <v>787.02400000000011</v>
          </cell>
          <cell r="AI84">
            <v>1322.3636363636365</v>
          </cell>
          <cell r="AK84">
            <v>122457.05387878788</v>
          </cell>
          <cell r="AL84">
            <v>58121.66674564944</v>
          </cell>
          <cell r="AM84">
            <v>64335.387133138429</v>
          </cell>
        </row>
        <row r="85">
          <cell r="F85">
            <v>369.45454545454538</v>
          </cell>
          <cell r="G85">
            <v>170</v>
          </cell>
          <cell r="H85">
            <v>199.45454545454538</v>
          </cell>
          <cell r="P85">
            <v>668.5454545454545</v>
          </cell>
          <cell r="Q85">
            <v>0</v>
          </cell>
          <cell r="R85">
            <v>0</v>
          </cell>
          <cell r="S85">
            <v>1503.2727272727273</v>
          </cell>
          <cell r="T85">
            <v>591.56363636363631</v>
          </cell>
          <cell r="U85">
            <v>615.70909090909095</v>
          </cell>
          <cell r="V85">
            <v>0</v>
          </cell>
          <cell r="W85">
            <v>0</v>
          </cell>
          <cell r="X85">
            <v>608.81818181818176</v>
          </cell>
          <cell r="Y85">
            <v>264</v>
          </cell>
          <cell r="Z85">
            <v>344.81818181818181</v>
          </cell>
          <cell r="AA85">
            <v>0</v>
          </cell>
          <cell r="AB85">
            <v>0</v>
          </cell>
          <cell r="AC85">
            <v>479.09090909090912</v>
          </cell>
          <cell r="AD85">
            <v>183</v>
          </cell>
          <cell r="AE85">
            <v>296.09090909090912</v>
          </cell>
          <cell r="AF85">
            <v>1435.090909090909</v>
          </cell>
          <cell r="AG85">
            <v>1219.090909090909</v>
          </cell>
          <cell r="AH85">
            <v>216</v>
          </cell>
          <cell r="AI85">
            <v>692.36363636363637</v>
          </cell>
          <cell r="AK85">
            <v>5825.7272727272721</v>
          </cell>
          <cell r="AL85">
            <v>1673.1960183767228</v>
          </cell>
          <cell r="AM85">
            <v>4152.5312543505488</v>
          </cell>
        </row>
        <row r="86">
          <cell r="AL86">
            <v>58046.067797563905</v>
          </cell>
        </row>
        <row r="87">
          <cell r="F87">
            <v>0</v>
          </cell>
          <cell r="G87">
            <v>0</v>
          </cell>
          <cell r="AK87">
            <v>0</v>
          </cell>
          <cell r="AL87">
            <v>0</v>
          </cell>
          <cell r="AM87">
            <v>0</v>
          </cell>
        </row>
        <row r="88">
          <cell r="F88">
            <v>1951.9685454545456</v>
          </cell>
          <cell r="G88">
            <v>895</v>
          </cell>
          <cell r="H88">
            <v>1056.9685454545454</v>
          </cell>
          <cell r="P88">
            <v>2295.8934545454545</v>
          </cell>
          <cell r="Q88">
            <v>0</v>
          </cell>
          <cell r="R88">
            <v>0</v>
          </cell>
          <cell r="S88">
            <v>27175.640727272727</v>
          </cell>
          <cell r="T88">
            <v>24329.410276363637</v>
          </cell>
          <cell r="U88">
            <v>2847.2304509090909</v>
          </cell>
          <cell r="V88">
            <v>0</v>
          </cell>
          <cell r="W88">
            <v>0</v>
          </cell>
          <cell r="X88">
            <v>47179.512727272733</v>
          </cell>
          <cell r="Y88">
            <v>31160.25</v>
          </cell>
          <cell r="Z88">
            <v>16019.262727272728</v>
          </cell>
          <cell r="AA88">
            <v>0</v>
          </cell>
          <cell r="AB88">
            <v>0</v>
          </cell>
          <cell r="AC88">
            <v>37890.270909090912</v>
          </cell>
          <cell r="AD88">
            <v>22972.272727272721</v>
          </cell>
          <cell r="AE88">
            <v>14917.99818181819</v>
          </cell>
          <cell r="AF88">
            <v>4586.3529696969699</v>
          </cell>
          <cell r="AG88">
            <v>3799.3289696969696</v>
          </cell>
          <cell r="AH88">
            <v>787.02400000000011</v>
          </cell>
          <cell r="AI88">
            <v>1322.3636363636365</v>
          </cell>
          <cell r="AK88">
            <v>122457.05387878788</v>
          </cell>
          <cell r="AL88">
            <v>58121.66674564944</v>
          </cell>
          <cell r="AM88">
            <v>64335.387133138429</v>
          </cell>
        </row>
        <row r="89">
          <cell r="F89">
            <v>0</v>
          </cell>
          <cell r="G89">
            <v>0</v>
          </cell>
          <cell r="H89">
            <v>0</v>
          </cell>
          <cell r="AH89">
            <v>0</v>
          </cell>
          <cell r="AM89">
            <v>0</v>
          </cell>
        </row>
        <row r="90">
          <cell r="F90">
            <v>1149</v>
          </cell>
          <cell r="G90">
            <v>559</v>
          </cell>
          <cell r="H90">
            <v>590</v>
          </cell>
          <cell r="AH90">
            <v>0</v>
          </cell>
          <cell r="AK90">
            <v>1149</v>
          </cell>
          <cell r="AL90">
            <v>559</v>
          </cell>
          <cell r="AM90">
            <v>590</v>
          </cell>
        </row>
        <row r="91">
          <cell r="F91">
            <v>600</v>
          </cell>
          <cell r="G91">
            <v>174</v>
          </cell>
          <cell r="H91">
            <v>426</v>
          </cell>
          <cell r="S91">
            <v>0</v>
          </cell>
          <cell r="T91">
            <v>0</v>
          </cell>
          <cell r="U91">
            <v>0</v>
          </cell>
          <cell r="X91">
            <v>0</v>
          </cell>
          <cell r="Y91">
            <v>0</v>
          </cell>
          <cell r="Z91">
            <v>0</v>
          </cell>
          <cell r="AA91">
            <v>0</v>
          </cell>
          <cell r="AB91">
            <v>0</v>
          </cell>
          <cell r="AC91">
            <v>0</v>
          </cell>
          <cell r="AD91">
            <v>0</v>
          </cell>
          <cell r="AE91">
            <v>0</v>
          </cell>
          <cell r="AF91">
            <v>0</v>
          </cell>
          <cell r="AG91">
            <v>0</v>
          </cell>
          <cell r="AH91">
            <v>0</v>
          </cell>
          <cell r="AK91">
            <v>600</v>
          </cell>
          <cell r="AL91">
            <v>174</v>
          </cell>
          <cell r="AM91">
            <v>426</v>
          </cell>
        </row>
        <row r="92">
          <cell r="F92">
            <v>14.666666666666666</v>
          </cell>
          <cell r="G92">
            <v>4</v>
          </cell>
          <cell r="H92">
            <v>10.666666666666666</v>
          </cell>
          <cell r="P92">
            <v>-60</v>
          </cell>
          <cell r="S92">
            <v>8</v>
          </cell>
          <cell r="X92">
            <v>36</v>
          </cell>
          <cell r="Y92">
            <v>16</v>
          </cell>
          <cell r="Z92">
            <v>20</v>
          </cell>
          <cell r="AC92">
            <v>26</v>
          </cell>
          <cell r="AD92">
            <v>16</v>
          </cell>
          <cell r="AE92">
            <v>10</v>
          </cell>
          <cell r="AF92">
            <v>12</v>
          </cell>
          <cell r="AG92">
            <v>11</v>
          </cell>
          <cell r="AH92">
            <v>1</v>
          </cell>
          <cell r="AI92">
            <v>7</v>
          </cell>
          <cell r="AK92">
            <v>35.666666666666664</v>
          </cell>
          <cell r="AL92">
            <v>-24</v>
          </cell>
          <cell r="AM92">
            <v>59.666666666666664</v>
          </cell>
        </row>
        <row r="95">
          <cell r="F95">
            <v>3715.6352121212121</v>
          </cell>
          <cell r="G95">
            <v>1632</v>
          </cell>
          <cell r="H95">
            <v>2083.6352121212117</v>
          </cell>
          <cell r="P95">
            <v>2235.8934545454545</v>
          </cell>
          <cell r="Q95">
            <v>0</v>
          </cell>
          <cell r="R95">
            <v>0</v>
          </cell>
          <cell r="S95">
            <v>27183.640727272727</v>
          </cell>
          <cell r="T95">
            <v>24329.410276363637</v>
          </cell>
          <cell r="U95">
            <v>2847.2304509090909</v>
          </cell>
          <cell r="V95">
            <v>0</v>
          </cell>
          <cell r="W95">
            <v>0</v>
          </cell>
          <cell r="X95">
            <v>47215.512727272733</v>
          </cell>
          <cell r="Y95">
            <v>31176.25</v>
          </cell>
          <cell r="Z95">
            <v>16039.262727272728</v>
          </cell>
          <cell r="AA95">
            <v>0</v>
          </cell>
          <cell r="AB95">
            <v>0</v>
          </cell>
          <cell r="AC95">
            <v>37916.270909090912</v>
          </cell>
          <cell r="AD95">
            <v>22988.272727272721</v>
          </cell>
          <cell r="AE95">
            <v>14927.99818181819</v>
          </cell>
          <cell r="AF95">
            <v>4597.3529696969699</v>
          </cell>
          <cell r="AG95">
            <v>3810.3289696969696</v>
          </cell>
          <cell r="AH95">
            <v>788.02400000000011</v>
          </cell>
          <cell r="AI95">
            <v>1329.3636363636365</v>
          </cell>
          <cell r="AJ95">
            <v>0</v>
          </cell>
          <cell r="AK95">
            <v>124241.72054545455</v>
          </cell>
          <cell r="AL95">
            <v>58830.66674564944</v>
          </cell>
          <cell r="AM95">
            <v>65411.053799805093</v>
          </cell>
        </row>
        <row r="96">
          <cell r="F96">
            <v>3715.6352121212121</v>
          </cell>
          <cell r="G96">
            <v>1632</v>
          </cell>
          <cell r="H96">
            <v>2083.6352121212117</v>
          </cell>
          <cell r="P96">
            <v>2235.8934545454545</v>
          </cell>
          <cell r="Q96">
            <v>0</v>
          </cell>
          <cell r="R96">
            <v>0</v>
          </cell>
          <cell r="S96">
            <v>7933.6407272727265</v>
          </cell>
          <cell r="T96">
            <v>5079.4102763636365</v>
          </cell>
          <cell r="U96">
            <v>2847.2304509090909</v>
          </cell>
          <cell r="V96">
            <v>0</v>
          </cell>
          <cell r="W96">
            <v>0</v>
          </cell>
          <cell r="X96">
            <v>2618.5127272727332</v>
          </cell>
          <cell r="Y96">
            <v>1135</v>
          </cell>
          <cell r="Z96">
            <v>1483.5127272727277</v>
          </cell>
          <cell r="AA96">
            <v>0</v>
          </cell>
          <cell r="AB96">
            <v>0</v>
          </cell>
          <cell r="AC96">
            <v>1765.270909090912</v>
          </cell>
          <cell r="AD96">
            <v>680</v>
          </cell>
          <cell r="AE96">
            <v>1085.2709090909102</v>
          </cell>
          <cell r="AF96">
            <v>4597.3529696969699</v>
          </cell>
          <cell r="AG96">
            <v>3810.3289696969696</v>
          </cell>
          <cell r="AH96">
            <v>788.02400000000011</v>
          </cell>
          <cell r="AI96">
            <v>1329.3636363636365</v>
          </cell>
          <cell r="AJ96">
            <v>0</v>
          </cell>
          <cell r="AK96">
            <v>24243.720545454547</v>
          </cell>
          <cell r="AL96">
            <v>6481.144018376719</v>
          </cell>
          <cell r="AM96">
            <v>17762.576527077814</v>
          </cell>
        </row>
        <row r="97">
          <cell r="F97">
            <v>674.74900000000002</v>
          </cell>
          <cell r="G97">
            <v>3715.6352121212117</v>
          </cell>
          <cell r="P97">
            <v>554.95000000000005</v>
          </cell>
          <cell r="S97">
            <v>-65.706000000000017</v>
          </cell>
          <cell r="X97">
            <v>-121.73</v>
          </cell>
          <cell r="Y97">
            <v>25490.454545454544</v>
          </cell>
          <cell r="AA97">
            <v>47215.512727272726</v>
          </cell>
          <cell r="AC97">
            <v>-32.44</v>
          </cell>
          <cell r="AD97">
            <v>37916.270909090912</v>
          </cell>
          <cell r="AF97">
            <v>491.25</v>
          </cell>
          <cell r="AG97">
            <v>491.25</v>
          </cell>
          <cell r="AH97">
            <v>0</v>
          </cell>
          <cell r="AI97">
            <v>459.13299999999998</v>
          </cell>
          <cell r="AJ97">
            <v>0</v>
          </cell>
          <cell r="AK97">
            <v>1963.5469999999998</v>
          </cell>
          <cell r="AL97">
            <v>122917.35690909091</v>
          </cell>
        </row>
        <row r="98">
          <cell r="F98">
            <v>68</v>
          </cell>
          <cell r="P98">
            <v>554.95000000000005</v>
          </cell>
          <cell r="S98">
            <v>-65.706000000000017</v>
          </cell>
          <cell r="X98">
            <v>-121.73</v>
          </cell>
          <cell r="AC98">
            <v>-32.44</v>
          </cell>
          <cell r="AF98">
            <v>491.25</v>
          </cell>
          <cell r="AG98">
            <v>491.25</v>
          </cell>
          <cell r="AH98">
            <v>0</v>
          </cell>
          <cell r="AI98">
            <v>391.28499999999997</v>
          </cell>
          <cell r="AK98">
            <v>1288.95</v>
          </cell>
          <cell r="AL98">
            <v>124241.72054545453</v>
          </cell>
          <cell r="AM98">
            <v>58755.067797563897</v>
          </cell>
        </row>
        <row r="99">
          <cell r="F99">
            <v>0</v>
          </cell>
          <cell r="P99">
            <v>0</v>
          </cell>
          <cell r="X99">
            <v>0</v>
          </cell>
          <cell r="AK99">
            <v>0</v>
          </cell>
        </row>
        <row r="100">
          <cell r="F100">
            <v>606.74900000000002</v>
          </cell>
          <cell r="P100">
            <v>0</v>
          </cell>
          <cell r="S100">
            <v>0</v>
          </cell>
          <cell r="X100">
            <v>0</v>
          </cell>
          <cell r="AC100">
            <v>0</v>
          </cell>
          <cell r="AF100">
            <v>0</v>
          </cell>
          <cell r="AG100">
            <v>0</v>
          </cell>
          <cell r="AH100">
            <v>0</v>
          </cell>
          <cell r="AI100">
            <v>67.847999999999999</v>
          </cell>
          <cell r="AK100">
            <v>674.59699999999998</v>
          </cell>
        </row>
        <row r="101">
          <cell r="P101">
            <v>0</v>
          </cell>
          <cell r="S101">
            <v>0</v>
          </cell>
        </row>
        <row r="102">
          <cell r="S102">
            <v>0</v>
          </cell>
          <cell r="X102">
            <v>0</v>
          </cell>
        </row>
        <row r="104">
          <cell r="AK104">
            <v>0</v>
          </cell>
        </row>
        <row r="105">
          <cell r="AK105">
            <v>0</v>
          </cell>
        </row>
        <row r="106">
          <cell r="F106">
            <v>842.31700000000001</v>
          </cell>
          <cell r="G106">
            <v>244</v>
          </cell>
          <cell r="H106">
            <v>598.31700000000001</v>
          </cell>
          <cell r="P106">
            <v>0.19200000000000017</v>
          </cell>
          <cell r="S106">
            <v>-0.32000000000000028</v>
          </cell>
          <cell r="X106">
            <v>-0.3360000000000003</v>
          </cell>
          <cell r="AC106">
            <v>0.28000000000000114</v>
          </cell>
          <cell r="AF106">
            <v>0.35200000000000031</v>
          </cell>
          <cell r="AG106">
            <v>0.35200000000000031</v>
          </cell>
          <cell r="AH106">
            <v>0</v>
          </cell>
          <cell r="AI106">
            <v>156.40800000000002</v>
          </cell>
          <cell r="AK106">
            <v>998.95699999999988</v>
          </cell>
        </row>
        <row r="107">
          <cell r="F107">
            <v>606.74900000000002</v>
          </cell>
          <cell r="G107">
            <v>176</v>
          </cell>
          <cell r="H107">
            <v>430.74900000000002</v>
          </cell>
          <cell r="P107">
            <v>0</v>
          </cell>
          <cell r="S107">
            <v>0</v>
          </cell>
          <cell r="X107">
            <v>0</v>
          </cell>
          <cell r="AC107">
            <v>0</v>
          </cell>
          <cell r="AF107">
            <v>0</v>
          </cell>
          <cell r="AG107">
            <v>0</v>
          </cell>
          <cell r="AH107">
            <v>0</v>
          </cell>
          <cell r="AI107">
            <v>67.847999999999999</v>
          </cell>
          <cell r="AK107">
            <v>674.59699999999998</v>
          </cell>
        </row>
        <row r="108">
          <cell r="F108">
            <v>236</v>
          </cell>
          <cell r="G108">
            <v>68</v>
          </cell>
          <cell r="H108">
            <v>168</v>
          </cell>
          <cell r="P108">
            <v>0</v>
          </cell>
          <cell r="S108">
            <v>0</v>
          </cell>
          <cell r="X108">
            <v>0</v>
          </cell>
          <cell r="AC108">
            <v>0</v>
          </cell>
          <cell r="AF108">
            <v>0</v>
          </cell>
          <cell r="AG108">
            <v>0</v>
          </cell>
          <cell r="AH108">
            <v>0</v>
          </cell>
          <cell r="AI108">
            <v>0</v>
          </cell>
          <cell r="AK108">
            <v>236</v>
          </cell>
        </row>
        <row r="109">
          <cell r="F109">
            <v>-0.43200000000001637</v>
          </cell>
          <cell r="G109">
            <v>0</v>
          </cell>
          <cell r="H109">
            <v>-0.43200000000001637</v>
          </cell>
          <cell r="P109">
            <v>0.19200000000000017</v>
          </cell>
          <cell r="S109">
            <v>-0.32000000000000028</v>
          </cell>
          <cell r="X109">
            <v>-0.3360000000000003</v>
          </cell>
          <cell r="AC109">
            <v>0.28000000000000114</v>
          </cell>
          <cell r="AF109">
            <v>0.35200000000000031</v>
          </cell>
          <cell r="AG109">
            <v>0.35200000000000031</v>
          </cell>
          <cell r="AH109">
            <v>0</v>
          </cell>
          <cell r="AI109">
            <v>88.560000000000016</v>
          </cell>
          <cell r="AK109">
            <v>88.36</v>
          </cell>
          <cell r="AL109">
            <v>25.641990811638593</v>
          </cell>
          <cell r="AM109">
            <v>62.718009188361407</v>
          </cell>
        </row>
        <row r="110">
          <cell r="F110">
            <v>560.5</v>
          </cell>
          <cell r="G110">
            <v>163</v>
          </cell>
          <cell r="H110">
            <v>397.5</v>
          </cell>
          <cell r="P110">
            <v>0.20800000000000018</v>
          </cell>
          <cell r="S110">
            <v>30.603999999999999</v>
          </cell>
          <cell r="X110">
            <v>-0.42800000000000082</v>
          </cell>
          <cell r="AC110">
            <v>30.067999999999998</v>
          </cell>
          <cell r="AF110">
            <v>0.28399999999999892</v>
          </cell>
          <cell r="AG110">
            <v>0.28399999999999892</v>
          </cell>
          <cell r="AH110">
            <v>0</v>
          </cell>
          <cell r="AI110">
            <v>336.596</v>
          </cell>
          <cell r="AK110">
            <v>957.43600000000004</v>
          </cell>
        </row>
        <row r="111">
          <cell r="F111">
            <v>561</v>
          </cell>
          <cell r="G111">
            <v>163</v>
          </cell>
          <cell r="H111">
            <v>398</v>
          </cell>
          <cell r="P111">
            <v>0</v>
          </cell>
          <cell r="S111">
            <v>30.84</v>
          </cell>
          <cell r="AC111">
            <v>0</v>
          </cell>
          <cell r="AF111">
            <v>0</v>
          </cell>
          <cell r="AG111">
            <v>0</v>
          </cell>
          <cell r="AH111">
            <v>0</v>
          </cell>
          <cell r="AI111">
            <v>56</v>
          </cell>
          <cell r="AK111">
            <v>647.84</v>
          </cell>
        </row>
        <row r="112">
          <cell r="F112">
            <v>-0.5</v>
          </cell>
          <cell r="G112">
            <v>0</v>
          </cell>
          <cell r="H112">
            <v>-0.5</v>
          </cell>
          <cell r="P112">
            <v>0.20800000000000018</v>
          </cell>
          <cell r="S112">
            <v>-0.23600000000000065</v>
          </cell>
          <cell r="X112">
            <v>-0.42800000000000082</v>
          </cell>
          <cell r="AC112">
            <v>30.067999999999998</v>
          </cell>
          <cell r="AF112">
            <v>0.28399999999999892</v>
          </cell>
          <cell r="AG112">
            <v>0.28399999999999892</v>
          </cell>
          <cell r="AH112">
            <v>0</v>
          </cell>
          <cell r="AI112">
            <v>280.596</v>
          </cell>
          <cell r="AK112">
            <v>309.596</v>
          </cell>
          <cell r="AL112">
            <v>89.844474732006134</v>
          </cell>
          <cell r="AM112">
            <v>219.75152526799388</v>
          </cell>
        </row>
        <row r="113">
          <cell r="F113">
            <v>0</v>
          </cell>
          <cell r="G113">
            <v>0</v>
          </cell>
          <cell r="H113">
            <v>0</v>
          </cell>
          <cell r="P113">
            <v>0</v>
          </cell>
          <cell r="S113">
            <v>64.25</v>
          </cell>
          <cell r="AC113">
            <v>0</v>
          </cell>
          <cell r="AF113">
            <v>0</v>
          </cell>
          <cell r="AG113">
            <v>0</v>
          </cell>
          <cell r="AH113">
            <v>0</v>
          </cell>
          <cell r="AK113">
            <v>64.25</v>
          </cell>
          <cell r="AM113">
            <v>0</v>
          </cell>
        </row>
        <row r="114">
          <cell r="F114">
            <v>0</v>
          </cell>
          <cell r="G114">
            <v>0</v>
          </cell>
          <cell r="H114">
            <v>0</v>
          </cell>
          <cell r="P114">
            <v>0</v>
          </cell>
          <cell r="S114">
            <v>64.25</v>
          </cell>
          <cell r="AH114">
            <v>0</v>
          </cell>
          <cell r="AK114">
            <v>64.25</v>
          </cell>
        </row>
        <row r="115">
          <cell r="F115">
            <v>0</v>
          </cell>
          <cell r="G115">
            <v>0</v>
          </cell>
          <cell r="H115">
            <v>0</v>
          </cell>
          <cell r="P115">
            <v>0</v>
          </cell>
          <cell r="S115">
            <v>0</v>
          </cell>
          <cell r="X115">
            <v>0</v>
          </cell>
          <cell r="AC115">
            <v>0</v>
          </cell>
          <cell r="AF115">
            <v>0</v>
          </cell>
          <cell r="AG115">
            <v>0</v>
          </cell>
          <cell r="AH115">
            <v>0</v>
          </cell>
          <cell r="AK115">
            <v>0</v>
          </cell>
          <cell r="AL115">
            <v>0</v>
          </cell>
          <cell r="AM115">
            <v>0</v>
          </cell>
        </row>
        <row r="116">
          <cell r="G116">
            <v>0</v>
          </cell>
          <cell r="H116">
            <v>0</v>
          </cell>
          <cell r="P116">
            <v>0</v>
          </cell>
          <cell r="S116">
            <v>0</v>
          </cell>
          <cell r="X116">
            <v>0</v>
          </cell>
          <cell r="AC116">
            <v>0</v>
          </cell>
          <cell r="AF116">
            <v>0</v>
          </cell>
          <cell r="AG116">
            <v>0</v>
          </cell>
          <cell r="AH116">
            <v>0</v>
          </cell>
          <cell r="AK116">
            <v>0</v>
          </cell>
        </row>
        <row r="117">
          <cell r="F117">
            <v>0</v>
          </cell>
          <cell r="G117">
            <v>0</v>
          </cell>
          <cell r="H117">
            <v>0</v>
          </cell>
          <cell r="P117">
            <v>0</v>
          </cell>
          <cell r="S117">
            <v>0</v>
          </cell>
          <cell r="X117">
            <v>0</v>
          </cell>
          <cell r="AC117">
            <v>0</v>
          </cell>
          <cell r="AF117">
            <v>0</v>
          </cell>
          <cell r="AG117">
            <v>0</v>
          </cell>
          <cell r="AH117">
            <v>0</v>
          </cell>
          <cell r="AI117">
            <v>952</v>
          </cell>
          <cell r="AK117">
            <v>952</v>
          </cell>
          <cell r="AL117">
            <v>276.26952526799386</v>
          </cell>
          <cell r="AM117">
            <v>675.73047473200609</v>
          </cell>
        </row>
        <row r="118">
          <cell r="F118">
            <v>0</v>
          </cell>
          <cell r="P118">
            <v>0</v>
          </cell>
          <cell r="X118">
            <v>0</v>
          </cell>
          <cell r="AC118">
            <v>0</v>
          </cell>
          <cell r="AF118">
            <v>0</v>
          </cell>
          <cell r="AG118">
            <v>0</v>
          </cell>
          <cell r="AH118">
            <v>0</v>
          </cell>
          <cell r="AI118">
            <v>6.7</v>
          </cell>
          <cell r="AK118">
            <v>6.7</v>
          </cell>
        </row>
        <row r="119">
          <cell r="F119">
            <v>516.33333333333337</v>
          </cell>
          <cell r="AK119">
            <v>516.33333333333337</v>
          </cell>
        </row>
        <row r="120">
          <cell r="F120">
            <v>0</v>
          </cell>
          <cell r="S120">
            <v>0</v>
          </cell>
          <cell r="X120">
            <v>0</v>
          </cell>
          <cell r="AF120">
            <v>0</v>
          </cell>
          <cell r="AK120">
            <v>0</v>
          </cell>
        </row>
        <row r="121">
          <cell r="F121">
            <v>4483.4666666666662</v>
          </cell>
          <cell r="AK121">
            <v>4483.4666666666662</v>
          </cell>
        </row>
        <row r="122">
          <cell r="F122">
            <v>0</v>
          </cell>
          <cell r="AK122">
            <v>0</v>
          </cell>
        </row>
        <row r="123">
          <cell r="F123">
            <v>-13094</v>
          </cell>
          <cell r="AK123">
            <v>-13094</v>
          </cell>
          <cell r="AL123">
            <v>-17847.22298181818</v>
          </cell>
        </row>
        <row r="124">
          <cell r="F124">
            <v>0</v>
          </cell>
          <cell r="AK124">
            <v>-3990</v>
          </cell>
        </row>
        <row r="125">
          <cell r="F125">
            <v>6402.6170000000002</v>
          </cell>
          <cell r="G125">
            <v>407</v>
          </cell>
          <cell r="H125">
            <v>995.81700000000001</v>
          </cell>
          <cell r="P125">
            <v>0.40000000000000036</v>
          </cell>
          <cell r="Q125">
            <v>0</v>
          </cell>
          <cell r="R125">
            <v>0</v>
          </cell>
          <cell r="S125">
            <v>94.533999999999992</v>
          </cell>
          <cell r="T125">
            <v>0</v>
          </cell>
          <cell r="U125">
            <v>0</v>
          </cell>
          <cell r="V125">
            <v>0</v>
          </cell>
          <cell r="W125">
            <v>0</v>
          </cell>
          <cell r="X125">
            <v>0.23599999999999888</v>
          </cell>
          <cell r="Y125">
            <v>0</v>
          </cell>
          <cell r="Z125">
            <v>0</v>
          </cell>
          <cell r="AA125">
            <v>0</v>
          </cell>
          <cell r="AB125">
            <v>0</v>
          </cell>
          <cell r="AC125">
            <v>30.347999999999999</v>
          </cell>
          <cell r="AD125">
            <v>0</v>
          </cell>
          <cell r="AE125">
            <v>0</v>
          </cell>
          <cell r="AF125">
            <v>0.63599999999999923</v>
          </cell>
          <cell r="AG125">
            <v>0.63599999999999923</v>
          </cell>
          <cell r="AH125">
            <v>0</v>
          </cell>
          <cell r="AI125">
            <v>1451.704</v>
          </cell>
          <cell r="AJ125">
            <v>0</v>
          </cell>
          <cell r="AK125">
            <v>7979.143</v>
          </cell>
        </row>
        <row r="126">
          <cell r="F126">
            <v>6402.6170000000002</v>
          </cell>
          <cell r="G126">
            <v>407</v>
          </cell>
          <cell r="H126">
            <v>995.81700000000001</v>
          </cell>
          <cell r="P126">
            <v>0.40000000000000036</v>
          </cell>
          <cell r="S126">
            <v>94.533999999999992</v>
          </cell>
          <cell r="X126">
            <v>-0.76400000000000112</v>
          </cell>
          <cell r="Y126">
            <v>0</v>
          </cell>
          <cell r="Z126">
            <v>0</v>
          </cell>
          <cell r="AC126">
            <v>30.347999999999999</v>
          </cell>
          <cell r="AD126">
            <v>0</v>
          </cell>
          <cell r="AE126">
            <v>0</v>
          </cell>
          <cell r="AF126">
            <v>0.63599999999999923</v>
          </cell>
          <cell r="AG126">
            <v>0.63599999999999923</v>
          </cell>
          <cell r="AH126">
            <v>0</v>
          </cell>
          <cell r="AI126">
            <v>1451.7040000000002</v>
          </cell>
          <cell r="AJ126">
            <v>0</v>
          </cell>
          <cell r="AK126">
            <v>-5114.857</v>
          </cell>
        </row>
        <row r="127">
          <cell r="AK127">
            <v>-9868.0799818181822</v>
          </cell>
          <cell r="AL127">
            <v>7980.1429999999991</v>
          </cell>
        </row>
        <row r="128">
          <cell r="AK128">
            <v>0</v>
          </cell>
        </row>
        <row r="129">
          <cell r="AK129">
            <v>-8466.4705454545474</v>
          </cell>
          <cell r="AL129">
            <v>-2928.6667456494397</v>
          </cell>
          <cell r="AM129">
            <v>-6403.0537998050931</v>
          </cell>
        </row>
        <row r="131">
          <cell r="AK131">
            <v>-2588.3905636363647</v>
          </cell>
        </row>
        <row r="134">
          <cell r="AK134">
            <v>59008</v>
          </cell>
          <cell r="AM134">
            <v>59008</v>
          </cell>
        </row>
        <row r="135">
          <cell r="AK135">
            <v>-6403.0537998050931</v>
          </cell>
        </row>
        <row r="136">
          <cell r="AK136">
            <v>35.549999999999997</v>
          </cell>
        </row>
        <row r="137">
          <cell r="AK137">
            <v>39.4</v>
          </cell>
        </row>
        <row r="138">
          <cell r="AK138">
            <v>0</v>
          </cell>
        </row>
        <row r="140">
          <cell r="AK140">
            <v>11.69</v>
          </cell>
        </row>
        <row r="142">
          <cell r="AJ142">
            <v>0</v>
          </cell>
          <cell r="AK142">
            <v>12.3</v>
          </cell>
        </row>
        <row r="143">
          <cell r="AK143">
            <v>55902</v>
          </cell>
          <cell r="AL143">
            <v>55902</v>
          </cell>
        </row>
        <row r="145">
          <cell r="AJ145">
            <v>300</v>
          </cell>
        </row>
        <row r="146">
          <cell r="AK146">
            <v>11398.775714285715</v>
          </cell>
          <cell r="AL146">
            <v>16936.579514090809</v>
          </cell>
          <cell r="AM146">
            <v>-6403.0537998050931</v>
          </cell>
        </row>
        <row r="147">
          <cell r="S147">
            <v>0</v>
          </cell>
          <cell r="AH147">
            <v>7980.143</v>
          </cell>
          <cell r="AK147">
            <v>865.25</v>
          </cell>
          <cell r="AL147">
            <v>10533.525714285715</v>
          </cell>
        </row>
        <row r="149">
          <cell r="AJ149">
            <v>0</v>
          </cell>
          <cell r="AK149">
            <v>114910</v>
          </cell>
          <cell r="AL149">
            <v>55902</v>
          </cell>
          <cell r="AM149">
            <v>59008</v>
          </cell>
        </row>
        <row r="150">
          <cell r="AK150">
            <v>0</v>
          </cell>
        </row>
        <row r="151">
          <cell r="AK151">
            <v>114910</v>
          </cell>
          <cell r="AL151">
            <v>55902</v>
          </cell>
          <cell r="AM151">
            <v>59008</v>
          </cell>
        </row>
        <row r="152">
          <cell r="AK152">
            <v>134775.24625974026</v>
          </cell>
          <cell r="AL152">
            <v>75767.246259740248</v>
          </cell>
          <cell r="AM152">
            <v>59008</v>
          </cell>
        </row>
        <row r="153">
          <cell r="AK153">
            <v>-6.8</v>
          </cell>
          <cell r="AL153">
            <v>-5</v>
          </cell>
          <cell r="AM153">
            <v>-9.8000000000000007</v>
          </cell>
        </row>
        <row r="154">
          <cell r="AK154">
            <v>9.1746763198722832</v>
          </cell>
          <cell r="AL154">
            <v>28.788692107323904</v>
          </cell>
          <cell r="AM154">
            <v>-9.7889476286409742</v>
          </cell>
        </row>
        <row r="155">
          <cell r="AL155">
            <v>15.84425894181101</v>
          </cell>
          <cell r="AM155">
            <v>35.546987951807232</v>
          </cell>
        </row>
        <row r="157">
          <cell r="F157">
            <v>0</v>
          </cell>
          <cell r="P157">
            <v>0</v>
          </cell>
          <cell r="S157">
            <v>0</v>
          </cell>
          <cell r="X157">
            <v>0</v>
          </cell>
          <cell r="AC157">
            <v>0</v>
          </cell>
          <cell r="AI157">
            <v>0</v>
          </cell>
          <cell r="AJ157">
            <v>142</v>
          </cell>
          <cell r="AK157">
            <v>0</v>
          </cell>
        </row>
        <row r="158">
          <cell r="F158">
            <v>269.642</v>
          </cell>
          <cell r="P158">
            <v>200.1</v>
          </cell>
          <cell r="S158">
            <v>500.6</v>
          </cell>
          <cell r="X158">
            <v>370.27272727272725</v>
          </cell>
          <cell r="AC158">
            <v>296.89999999999998</v>
          </cell>
          <cell r="AF158">
            <v>1020.7636363636364</v>
          </cell>
          <cell r="AG158">
            <v>1020.7636363636364</v>
          </cell>
          <cell r="AH158">
            <v>0</v>
          </cell>
          <cell r="AI158">
            <v>132.79999999999998</v>
          </cell>
          <cell r="AK158">
            <v>2791.078363636364</v>
          </cell>
        </row>
        <row r="159">
          <cell r="F159">
            <v>269.642</v>
          </cell>
          <cell r="P159">
            <v>48</v>
          </cell>
          <cell r="S159">
            <v>64.5</v>
          </cell>
          <cell r="X159">
            <v>82.5</v>
          </cell>
          <cell r="AC159">
            <v>75</v>
          </cell>
          <cell r="AF159">
            <v>90</v>
          </cell>
          <cell r="AG159">
            <v>90</v>
          </cell>
          <cell r="AH159">
            <v>0</v>
          </cell>
          <cell r="AK159">
            <v>629.64200000000005</v>
          </cell>
        </row>
        <row r="160">
          <cell r="F160">
            <v>269.642</v>
          </cell>
          <cell r="P160">
            <v>12</v>
          </cell>
          <cell r="S160">
            <v>27.9</v>
          </cell>
          <cell r="X160">
            <v>14.7</v>
          </cell>
          <cell r="AC160">
            <v>19.5</v>
          </cell>
          <cell r="AF160">
            <v>9</v>
          </cell>
          <cell r="AG160">
            <v>9</v>
          </cell>
          <cell r="AH160">
            <v>0</v>
          </cell>
          <cell r="AI160">
            <v>125</v>
          </cell>
          <cell r="AK160">
            <v>477.74199999999996</v>
          </cell>
        </row>
        <row r="161">
          <cell r="AK161">
            <v>0</v>
          </cell>
        </row>
        <row r="162">
          <cell r="AK162">
            <v>0</v>
          </cell>
        </row>
        <row r="163">
          <cell r="F163">
            <v>14.170833333333334</v>
          </cell>
          <cell r="AK163">
            <v>14.170833333333334</v>
          </cell>
        </row>
        <row r="164">
          <cell r="P164">
            <v>73</v>
          </cell>
          <cell r="S164">
            <v>407</v>
          </cell>
          <cell r="X164">
            <v>271.81818181818181</v>
          </cell>
          <cell r="AC164">
            <v>197</v>
          </cell>
          <cell r="AF164">
            <v>117.09090909090909</v>
          </cell>
          <cell r="AG164">
            <v>117.09090909090909</v>
          </cell>
          <cell r="AK164">
            <v>1065.9090909090908</v>
          </cell>
        </row>
        <row r="165">
          <cell r="F165">
            <v>-189.358</v>
          </cell>
          <cell r="S165">
            <v>93.600000000000023</v>
          </cell>
          <cell r="X165">
            <v>98.454545454545439</v>
          </cell>
          <cell r="AC165">
            <v>99.899999999999977</v>
          </cell>
          <cell r="AK165">
            <v>102.59654545454543</v>
          </cell>
        </row>
        <row r="166">
          <cell r="S166">
            <v>500.6</v>
          </cell>
          <cell r="X166">
            <v>370.27272727272725</v>
          </cell>
          <cell r="AC166">
            <v>296.89999999999998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674.74900000000002</v>
          </cell>
          <cell r="G169">
            <v>3715.6352121212117</v>
          </cell>
          <cell r="H169">
            <v>0</v>
          </cell>
          <cell r="P169">
            <v>554.95000000000005</v>
          </cell>
          <cell r="Q169">
            <v>0</v>
          </cell>
          <cell r="R169">
            <v>0</v>
          </cell>
          <cell r="S169">
            <v>29.383999999999986</v>
          </cell>
          <cell r="T169">
            <v>0</v>
          </cell>
          <cell r="U169">
            <v>0</v>
          </cell>
          <cell r="V169">
            <v>0</v>
          </cell>
          <cell r="W169">
            <v>0</v>
          </cell>
          <cell r="X169">
            <v>-121.73</v>
          </cell>
          <cell r="Y169">
            <v>0</v>
          </cell>
          <cell r="Z169">
            <v>0</v>
          </cell>
          <cell r="AA169">
            <v>47215.512727272726</v>
          </cell>
          <cell r="AB169">
            <v>0</v>
          </cell>
          <cell r="AC169">
            <v>-32.44</v>
          </cell>
          <cell r="AD169">
            <v>37916.270909090912</v>
          </cell>
          <cell r="AE169">
            <v>0</v>
          </cell>
          <cell r="AF169">
            <v>491.25</v>
          </cell>
          <cell r="AG169">
            <v>491.25</v>
          </cell>
          <cell r="AH169">
            <v>0</v>
          </cell>
          <cell r="AI169">
            <v>515.13300000000004</v>
          </cell>
          <cell r="AJ169">
            <v>0</v>
          </cell>
          <cell r="AK169">
            <v>2114.6369999999997</v>
          </cell>
        </row>
        <row r="170">
          <cell r="F170">
            <v>674.74900000000002</v>
          </cell>
          <cell r="G170">
            <v>3715.6352121212117</v>
          </cell>
          <cell r="H170">
            <v>0</v>
          </cell>
          <cell r="P170">
            <v>554.95000000000005</v>
          </cell>
          <cell r="Q170">
            <v>0</v>
          </cell>
          <cell r="R170">
            <v>0</v>
          </cell>
          <cell r="S170">
            <v>-34.866000000000014</v>
          </cell>
          <cell r="T170">
            <v>0</v>
          </cell>
          <cell r="U170">
            <v>0</v>
          </cell>
          <cell r="V170">
            <v>0</v>
          </cell>
          <cell r="W170">
            <v>0</v>
          </cell>
          <cell r="X170">
            <v>-121.73</v>
          </cell>
          <cell r="Y170">
            <v>0</v>
          </cell>
          <cell r="Z170">
            <v>0</v>
          </cell>
          <cell r="AA170">
            <v>47215.512727272726</v>
          </cell>
          <cell r="AB170">
            <v>0</v>
          </cell>
          <cell r="AC170">
            <v>-32.44</v>
          </cell>
          <cell r="AD170">
            <v>37916.270909090912</v>
          </cell>
          <cell r="AE170">
            <v>0</v>
          </cell>
          <cell r="AF170">
            <v>491.25</v>
          </cell>
          <cell r="AG170">
            <v>491.25</v>
          </cell>
          <cell r="AH170">
            <v>0</v>
          </cell>
          <cell r="AI170">
            <v>515.13300000000004</v>
          </cell>
          <cell r="AJ170">
            <v>0</v>
          </cell>
          <cell r="AK170">
            <v>2050.3869999999997</v>
          </cell>
        </row>
        <row r="171">
          <cell r="F171">
            <v>0</v>
          </cell>
          <cell r="G171">
            <v>0</v>
          </cell>
          <cell r="H171">
            <v>0</v>
          </cell>
          <cell r="P171">
            <v>0</v>
          </cell>
          <cell r="R171">
            <v>0</v>
          </cell>
          <cell r="S171">
            <v>64.25</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64.25</v>
          </cell>
        </row>
        <row r="172">
          <cell r="F172">
            <v>0</v>
          </cell>
          <cell r="P172">
            <v>0</v>
          </cell>
          <cell r="S172">
            <v>0</v>
          </cell>
          <cell r="AC172">
            <v>0</v>
          </cell>
          <cell r="AF172">
            <v>0</v>
          </cell>
          <cell r="AG172">
            <v>0</v>
          </cell>
          <cell r="AK172">
            <v>0</v>
          </cell>
        </row>
        <row r="173">
          <cell r="AK173">
            <v>0</v>
          </cell>
        </row>
        <row r="174">
          <cell r="F174">
            <v>4483.4666666666662</v>
          </cell>
          <cell r="AC174">
            <v>200</v>
          </cell>
          <cell r="AK174">
            <v>4683.4666666666662</v>
          </cell>
        </row>
        <row r="175">
          <cell r="F175">
            <v>507.45454545454538</v>
          </cell>
          <cell r="P175">
            <v>919.5454545454545</v>
          </cell>
          <cell r="Q175">
            <v>0</v>
          </cell>
          <cell r="R175">
            <v>0</v>
          </cell>
          <cell r="S175">
            <v>2066.272727272727</v>
          </cell>
          <cell r="T175">
            <v>813.56363636363631</v>
          </cell>
          <cell r="U175">
            <v>846.70909090909095</v>
          </cell>
          <cell r="V175">
            <v>0</v>
          </cell>
          <cell r="W175">
            <v>0</v>
          </cell>
          <cell r="X175">
            <v>837.81818181818176</v>
          </cell>
          <cell r="AA175">
            <v>0</v>
          </cell>
          <cell r="AB175">
            <v>0</v>
          </cell>
          <cell r="AC175">
            <v>657.09090909090912</v>
          </cell>
          <cell r="AF175">
            <v>1973.090909090909</v>
          </cell>
          <cell r="AG175">
            <v>1676.090909090909</v>
          </cell>
          <cell r="AH175">
            <v>297</v>
          </cell>
          <cell r="AJ175">
            <v>0</v>
          </cell>
          <cell r="AK175">
            <v>7055.363636363636</v>
          </cell>
        </row>
        <row r="176">
          <cell r="F176">
            <v>0</v>
          </cell>
          <cell r="G176">
            <v>0</v>
          </cell>
          <cell r="H176">
            <v>0</v>
          </cell>
          <cell r="P176">
            <v>73</v>
          </cell>
          <cell r="Q176">
            <v>0</v>
          </cell>
          <cell r="R176">
            <v>0</v>
          </cell>
          <cell r="S176">
            <v>407</v>
          </cell>
          <cell r="T176">
            <v>0</v>
          </cell>
          <cell r="U176">
            <v>0</v>
          </cell>
          <cell r="V176">
            <v>0</v>
          </cell>
          <cell r="W176">
            <v>0</v>
          </cell>
          <cell r="X176">
            <v>271.81818181818181</v>
          </cell>
          <cell r="Y176">
            <v>118</v>
          </cell>
          <cell r="Z176">
            <v>153.81818181818181</v>
          </cell>
          <cell r="AA176">
            <v>0</v>
          </cell>
          <cell r="AB176">
            <v>0</v>
          </cell>
          <cell r="AC176">
            <v>197</v>
          </cell>
          <cell r="AD176">
            <v>75</v>
          </cell>
          <cell r="AE176">
            <v>122</v>
          </cell>
          <cell r="AF176">
            <v>117.09090909090909</v>
          </cell>
          <cell r="AG176">
            <v>117.09090909090909</v>
          </cell>
          <cell r="AH176">
            <v>0</v>
          </cell>
        </row>
        <row r="177">
          <cell r="F177">
            <v>14.666666666666666</v>
          </cell>
          <cell r="P177">
            <v>-60</v>
          </cell>
          <cell r="Q177">
            <v>0</v>
          </cell>
          <cell r="R177">
            <v>0</v>
          </cell>
          <cell r="S177">
            <v>30</v>
          </cell>
          <cell r="T177">
            <v>22</v>
          </cell>
          <cell r="U177">
            <v>0</v>
          </cell>
          <cell r="V177">
            <v>0</v>
          </cell>
          <cell r="W177">
            <v>0</v>
          </cell>
          <cell r="X177">
            <v>826</v>
          </cell>
          <cell r="AA177">
            <v>0</v>
          </cell>
          <cell r="AB177">
            <v>0</v>
          </cell>
          <cell r="AC177">
            <v>39</v>
          </cell>
          <cell r="AF177">
            <v>12</v>
          </cell>
          <cell r="AG177">
            <v>11</v>
          </cell>
          <cell r="AH177">
            <v>1</v>
          </cell>
          <cell r="AI177">
            <v>13.7</v>
          </cell>
          <cell r="AJ177">
            <v>0</v>
          </cell>
          <cell r="AK177">
            <v>874.36666666666667</v>
          </cell>
        </row>
        <row r="178">
          <cell r="F178">
            <v>1884.1066666666668</v>
          </cell>
          <cell r="P178">
            <v>639.43999999999983</v>
          </cell>
          <cell r="S178">
            <v>4316.4479999999985</v>
          </cell>
          <cell r="X178">
            <v>148.90400000000596</v>
          </cell>
          <cell r="AC178">
            <v>235.56000000000279</v>
          </cell>
          <cell r="AF178">
            <v>1122.6080000000011</v>
          </cell>
          <cell r="AG178">
            <v>689.58399999999995</v>
          </cell>
          <cell r="AH178">
            <v>433.02400000000011</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row>
        <row r="183">
          <cell r="F183" t="str">
            <v>АПАРАТ ВСЬОГО</v>
          </cell>
          <cell r="G183" t="str">
            <v>АПАРАТ ЕЛЕКТРО</v>
          </cell>
          <cell r="H183" t="str">
            <v>АПАРАТ ТЕПЛО</v>
          </cell>
          <cell r="P183" t="str">
            <v>ККМ</v>
          </cell>
          <cell r="S183" t="str">
            <v>КТМ</v>
          </cell>
          <cell r="X183" t="str">
            <v>ТЕЦ-5 ВСЬОГО</v>
          </cell>
          <cell r="Y183" t="str">
            <v>Е/Е</v>
          </cell>
          <cell r="Z183" t="str">
            <v xml:space="preserve"> Т/Е</v>
          </cell>
          <cell r="AC183" t="str">
            <v>ТЕЦ-6 ВСЬОГО</v>
          </cell>
          <cell r="AD183" t="str">
            <v>Е/Е</v>
          </cell>
          <cell r="AE183" t="str">
            <v xml:space="preserve"> Т/Е</v>
          </cell>
          <cell r="AF183" t="str">
            <v>Е/Е</v>
          </cell>
          <cell r="AG183" t="str">
            <v xml:space="preserve"> Т/Е</v>
          </cell>
          <cell r="AI183" t="str">
            <v xml:space="preserve">ДОП.ВИР. </v>
          </cell>
          <cell r="AJ183" t="str">
            <v>ДОП.ВИР. СТ.ОРГ.</v>
          </cell>
          <cell r="AK183" t="str">
            <v>АК КЕ ВСЬОГО</v>
          </cell>
          <cell r="AL183" t="str">
            <v>Е/Е</v>
          </cell>
          <cell r="AM183" t="str">
            <v xml:space="preserve"> Т/Е</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row>
        <row r="186">
          <cell r="S186">
            <v>100</v>
          </cell>
          <cell r="X186">
            <v>79.7</v>
          </cell>
          <cell r="AC186">
            <v>63.3</v>
          </cell>
          <cell r="AK186">
            <v>243</v>
          </cell>
        </row>
        <row r="187">
          <cell r="S187">
            <v>114.9</v>
          </cell>
          <cell r="X187">
            <v>91.6</v>
          </cell>
          <cell r="AC187">
            <v>72.8</v>
          </cell>
          <cell r="AK187">
            <v>279.29999999999995</v>
          </cell>
        </row>
        <row r="188">
          <cell r="P188">
            <v>0</v>
          </cell>
          <cell r="S188">
            <v>0</v>
          </cell>
          <cell r="X188">
            <v>0</v>
          </cell>
          <cell r="AC188">
            <v>0</v>
          </cell>
          <cell r="AK188">
            <v>298.60000000000002</v>
          </cell>
        </row>
        <row r="189">
          <cell r="P189">
            <v>0</v>
          </cell>
          <cell r="S189">
            <v>192.5</v>
          </cell>
          <cell r="X189">
            <v>192.5</v>
          </cell>
          <cell r="AC189">
            <v>192.5</v>
          </cell>
          <cell r="AK189">
            <v>192.5</v>
          </cell>
        </row>
        <row r="190">
          <cell r="P190">
            <v>0</v>
          </cell>
          <cell r="S190">
            <v>19250</v>
          </cell>
          <cell r="X190">
            <v>15343</v>
          </cell>
          <cell r="AC190">
            <v>12185</v>
          </cell>
          <cell r="AK190">
            <v>46778</v>
          </cell>
        </row>
        <row r="191">
          <cell r="S191">
            <v>18925</v>
          </cell>
          <cell r="X191">
            <v>17350</v>
          </cell>
          <cell r="AC191">
            <v>14237</v>
          </cell>
          <cell r="AK191">
            <v>46778</v>
          </cell>
        </row>
        <row r="192">
          <cell r="X192">
            <v>0</v>
          </cell>
          <cell r="AC192">
            <v>0</v>
          </cell>
          <cell r="AK192">
            <v>0</v>
          </cell>
        </row>
        <row r="193">
          <cell r="X193">
            <v>0</v>
          </cell>
          <cell r="AC193">
            <v>0</v>
          </cell>
          <cell r="AK193">
            <v>0</v>
          </cell>
        </row>
        <row r="194">
          <cell r="X194">
            <v>82.5</v>
          </cell>
          <cell r="AC194">
            <v>82.5</v>
          </cell>
          <cell r="AK194">
            <v>0</v>
          </cell>
        </row>
        <row r="195">
          <cell r="X195">
            <v>0</v>
          </cell>
          <cell r="AC195">
            <v>0</v>
          </cell>
          <cell r="AK195">
            <v>0</v>
          </cell>
        </row>
        <row r="196">
          <cell r="S196">
            <v>0</v>
          </cell>
          <cell r="X196">
            <v>0</v>
          </cell>
          <cell r="AC196">
            <v>0</v>
          </cell>
          <cell r="AK196">
            <v>0</v>
          </cell>
        </row>
        <row r="197">
          <cell r="S197">
            <v>0</v>
          </cell>
          <cell r="X197">
            <v>0</v>
          </cell>
          <cell r="AC197">
            <v>0</v>
          </cell>
          <cell r="AK197">
            <v>0</v>
          </cell>
        </row>
        <row r="198">
          <cell r="X198">
            <v>44.8</v>
          </cell>
          <cell r="AC198">
            <v>36.700000000000003</v>
          </cell>
          <cell r="AK198">
            <v>81.5</v>
          </cell>
        </row>
        <row r="199">
          <cell r="X199">
            <v>61.9</v>
          </cell>
          <cell r="AC199">
            <v>50.6</v>
          </cell>
          <cell r="AK199">
            <v>112.5</v>
          </cell>
        </row>
        <row r="200">
          <cell r="F200">
            <v>75</v>
          </cell>
          <cell r="P200">
            <v>75</v>
          </cell>
          <cell r="X200">
            <v>18.5</v>
          </cell>
          <cell r="AC200">
            <v>22.2</v>
          </cell>
          <cell r="AJ200">
            <v>0</v>
          </cell>
          <cell r="AK200">
            <v>40.700000000000003</v>
          </cell>
        </row>
        <row r="201">
          <cell r="F201">
            <v>75</v>
          </cell>
          <cell r="P201">
            <v>75</v>
          </cell>
          <cell r="S201">
            <v>653</v>
          </cell>
          <cell r="X201">
            <v>653</v>
          </cell>
          <cell r="AC201">
            <v>653</v>
          </cell>
          <cell r="AJ201">
            <v>0</v>
          </cell>
          <cell r="AK201">
            <v>653</v>
          </cell>
        </row>
        <row r="202">
          <cell r="S202">
            <v>0</v>
          </cell>
          <cell r="X202">
            <v>29254</v>
          </cell>
          <cell r="AC202">
            <v>23966</v>
          </cell>
          <cell r="AK202">
            <v>53220</v>
          </cell>
        </row>
        <row r="203">
          <cell r="S203">
            <v>0</v>
          </cell>
          <cell r="X203">
            <v>5159</v>
          </cell>
          <cell r="AC203">
            <v>6200</v>
          </cell>
          <cell r="AK203">
            <v>53220</v>
          </cell>
        </row>
        <row r="204">
          <cell r="S204">
            <v>114.9</v>
          </cell>
          <cell r="X204">
            <v>153.5</v>
          </cell>
          <cell r="Y204">
            <v>66.599999999999994</v>
          </cell>
          <cell r="Z204">
            <v>86.9</v>
          </cell>
          <cell r="AC204">
            <v>123.4</v>
          </cell>
          <cell r="AD204">
            <v>47.1</v>
          </cell>
          <cell r="AE204">
            <v>76.300000000000011</v>
          </cell>
          <cell r="AK204">
            <v>391.79999999999995</v>
          </cell>
          <cell r="AL204">
            <v>113.69999999999999</v>
          </cell>
          <cell r="AM204">
            <v>278.10000000000002</v>
          </cell>
        </row>
        <row r="205">
          <cell r="S205">
            <v>19250</v>
          </cell>
          <cell r="X205">
            <v>44597</v>
          </cell>
          <cell r="Y205">
            <v>30041.25</v>
          </cell>
          <cell r="Z205">
            <v>14555.750000000002</v>
          </cell>
          <cell r="AA205">
            <v>14555.750000000004</v>
          </cell>
          <cell r="AC205">
            <v>36151</v>
          </cell>
          <cell r="AD205">
            <v>22308.272727272721</v>
          </cell>
          <cell r="AE205">
            <v>13842.727272727279</v>
          </cell>
          <cell r="AK205">
            <v>99998</v>
          </cell>
          <cell r="AL205">
            <v>52349.522727272721</v>
          </cell>
          <cell r="AM205">
            <v>47648.477272727279</v>
          </cell>
        </row>
        <row r="206">
          <cell r="S206">
            <v>167.54</v>
          </cell>
          <cell r="X206">
            <v>290.52999999999997</v>
          </cell>
          <cell r="Y206">
            <v>451.07</v>
          </cell>
          <cell r="Z206">
            <v>167.5</v>
          </cell>
          <cell r="AA206">
            <v>14133.90243902439</v>
          </cell>
          <cell r="AC206">
            <v>292.95999999999998</v>
          </cell>
          <cell r="AD206">
            <v>473.64</v>
          </cell>
          <cell r="AE206">
            <v>181.42</v>
          </cell>
          <cell r="AI206" t="str">
            <v/>
          </cell>
          <cell r="AJ206" t="str">
            <v/>
          </cell>
          <cell r="AK206">
            <v>255.23</v>
          </cell>
          <cell r="AL206">
            <v>460.42</v>
          </cell>
          <cell r="AM206">
            <v>171.34</v>
          </cell>
        </row>
        <row r="207">
          <cell r="S207">
            <v>169.12</v>
          </cell>
          <cell r="X207">
            <v>186.02</v>
          </cell>
          <cell r="Y207">
            <v>223.34</v>
          </cell>
          <cell r="Z207">
            <v>169.27</v>
          </cell>
          <cell r="AC207">
            <v>192.08</v>
          </cell>
          <cell r="AD207">
            <v>239.38</v>
          </cell>
          <cell r="AE207">
            <v>169.09</v>
          </cell>
          <cell r="AI207" t="str">
            <v/>
          </cell>
          <cell r="AJ207" t="str">
            <v/>
          </cell>
          <cell r="AK207">
            <v>182.35</v>
          </cell>
          <cell r="AL207">
            <v>231.06</v>
          </cell>
          <cell r="AM207">
            <v>0</v>
          </cell>
        </row>
        <row r="208">
          <cell r="X208">
            <v>44597</v>
          </cell>
          <cell r="AC208">
            <v>36151</v>
          </cell>
          <cell r="AK208">
            <v>99998</v>
          </cell>
          <cell r="AL208">
            <v>52349.522727272721</v>
          </cell>
          <cell r="AM208">
            <v>47648.477272727279</v>
          </cell>
        </row>
        <row r="209">
          <cell r="X209">
            <v>22509</v>
          </cell>
          <cell r="AC209">
            <v>20437</v>
          </cell>
          <cell r="AK209">
            <v>61870</v>
          </cell>
          <cell r="AL209">
            <v>16705.574995654941</v>
          </cell>
          <cell r="AM209">
            <v>45164.425004345059</v>
          </cell>
        </row>
        <row r="210">
          <cell r="AK210">
            <v>99998</v>
          </cell>
        </row>
        <row r="211">
          <cell r="AK211">
            <v>61871</v>
          </cell>
        </row>
        <row r="214">
          <cell r="G214" t="str">
            <v xml:space="preserve"> В.О.НОВОСАД</v>
          </cell>
        </row>
        <row r="217">
          <cell r="G217" t="str">
            <v>Б.В.ЯЩЕНКО</v>
          </cell>
        </row>
        <row r="218">
          <cell r="G218" t="str">
            <v>М.В.ТЕРПИЛО</v>
          </cell>
        </row>
        <row r="219">
          <cell r="G219" t="str">
            <v xml:space="preserve">В.І.МИРГОРОДСЬКИЙ                                  </v>
          </cell>
        </row>
        <row r="220">
          <cell r="G220" t="str">
            <v xml:space="preserve">М.І.ШЕВЧЕНКО                                 </v>
          </cell>
        </row>
        <row r="221">
          <cell r="G221" t="str">
            <v>В.Ю.МОНТЬЕВ</v>
          </cell>
        </row>
        <row r="222">
          <cell r="G222" t="str">
            <v xml:space="preserve">О.М.НИКОЛЕНКО      </v>
          </cell>
        </row>
        <row r="223">
          <cell r="G223" t="str">
            <v xml:space="preserve">О.М.НИКОЛЕНКО      </v>
          </cell>
        </row>
        <row r="241">
          <cell r="AG241" t="str">
            <v xml:space="preserve">         Затверджую</v>
          </cell>
        </row>
        <row r="242">
          <cell r="AG242" t="str">
            <v xml:space="preserve"> Голова правління -</v>
          </cell>
        </row>
        <row r="243">
          <cell r="AG243" t="str">
            <v xml:space="preserve"> генеральний директор</v>
          </cell>
        </row>
        <row r="244">
          <cell r="AG244" t="str">
            <v xml:space="preserve">                        І.В.Плачков</v>
          </cell>
        </row>
        <row r="245">
          <cell r="AG245" t="str">
            <v xml:space="preserve">   "_____" ________2000 р.</v>
          </cell>
        </row>
        <row r="249">
          <cell r="F249" t="str">
            <v>РОЗРАХУНОК ФІНАНСОВИХ ПОТОКІВ НА   лютий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ВСЬОГО</v>
          </cell>
          <cell r="AL256" t="str">
            <v>АК КЕ ВСЬОГО</v>
          </cell>
          <cell r="AM256" t="str">
            <v xml:space="preserve"> Т/Е</v>
          </cell>
        </row>
        <row r="257">
          <cell r="F257">
            <v>3288.4522121212117</v>
          </cell>
          <cell r="P257">
            <v>2181.2434545454548</v>
          </cell>
          <cell r="S257">
            <v>6535.468727272726</v>
          </cell>
          <cell r="X257">
            <v>1789.0187272727333</v>
          </cell>
          <cell r="AC257">
            <v>1029.1789090909119</v>
          </cell>
          <cell r="AF257">
            <v>4502.9056363636373</v>
          </cell>
          <cell r="AG257">
            <v>3771.8816363636361</v>
          </cell>
          <cell r="AH257">
            <v>732.02400000000011</v>
          </cell>
          <cell r="AJ257">
            <v>7599</v>
          </cell>
          <cell r="AK257">
            <v>20158.351575757581</v>
          </cell>
        </row>
        <row r="259">
          <cell r="F259">
            <v>26692.918878787881</v>
          </cell>
          <cell r="G259">
            <v>2030</v>
          </cell>
          <cell r="H259">
            <v>3069.1188787878782</v>
          </cell>
          <cell r="P259">
            <v>2181.2434545454548</v>
          </cell>
          <cell r="Q259">
            <v>0</v>
          </cell>
          <cell r="R259">
            <v>0</v>
          </cell>
          <cell r="S259">
            <v>6535.468727272726</v>
          </cell>
          <cell r="T259">
            <v>4851.0902763636368</v>
          </cell>
          <cell r="U259">
            <v>1648.5504509090908</v>
          </cell>
          <cell r="V259">
            <v>0</v>
          </cell>
          <cell r="W259">
            <v>0</v>
          </cell>
          <cell r="X259">
            <v>1789.0187272727333</v>
          </cell>
          <cell r="Y259">
            <v>828</v>
          </cell>
          <cell r="Z259">
            <v>1082.5127272727277</v>
          </cell>
          <cell r="AA259">
            <v>0</v>
          </cell>
          <cell r="AB259">
            <v>0</v>
          </cell>
          <cell r="AC259">
            <v>1029.1789090909119</v>
          </cell>
          <cell r="AD259">
            <v>388</v>
          </cell>
          <cell r="AE259">
            <v>631.27090909091021</v>
          </cell>
          <cell r="AF259">
            <v>4502.9056363636373</v>
          </cell>
          <cell r="AG259">
            <v>3771.8816363636361</v>
          </cell>
          <cell r="AH259">
            <v>732.02400000000011</v>
          </cell>
          <cell r="AI259">
            <v>2781.0676363636367</v>
          </cell>
          <cell r="AJ259">
            <v>0</v>
          </cell>
          <cell r="AK259">
            <v>142110.86187878789</v>
          </cell>
          <cell r="AM259">
            <v>111785.25</v>
          </cell>
        </row>
        <row r="260">
          <cell r="F260">
            <v>19850.172840000007</v>
          </cell>
          <cell r="G260">
            <v>1797</v>
          </cell>
          <cell r="H260">
            <v>2794.6643333333327</v>
          </cell>
          <cell r="P260">
            <v>898.27680000000021</v>
          </cell>
          <cell r="S260">
            <v>625.06999999999891</v>
          </cell>
          <cell r="T260">
            <v>4037.5266400000005</v>
          </cell>
          <cell r="U260">
            <v>801.8413599999999</v>
          </cell>
          <cell r="X260">
            <v>813.34800000000598</v>
          </cell>
          <cell r="Y260">
            <v>583</v>
          </cell>
          <cell r="Z260">
            <v>761.51272727272772</v>
          </cell>
          <cell r="AC260">
            <v>248.92400000000279</v>
          </cell>
          <cell r="AD260">
            <v>212</v>
          </cell>
          <cell r="AE260">
            <v>347.18000000000109</v>
          </cell>
          <cell r="AF260">
            <v>862.80768000000114</v>
          </cell>
          <cell r="AG260">
            <v>764.90295828850901</v>
          </cell>
          <cell r="AH260">
            <v>98.904721711490538</v>
          </cell>
          <cell r="AI260">
            <v>743.90400000000022</v>
          </cell>
          <cell r="AJ260">
            <v>-2455</v>
          </cell>
          <cell r="AK260">
            <v>134758.49824242425</v>
          </cell>
          <cell r="AM260">
            <v>23577.368640000012</v>
          </cell>
        </row>
        <row r="261">
          <cell r="F261">
            <v>111133.46666666667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111133.46666666667</v>
          </cell>
        </row>
        <row r="262">
          <cell r="F262">
            <v>99998</v>
          </cell>
          <cell r="AK262">
            <v>99998</v>
          </cell>
        </row>
        <row r="263">
          <cell r="F263">
            <v>0</v>
          </cell>
          <cell r="AK263">
            <v>0</v>
          </cell>
        </row>
        <row r="264">
          <cell r="F264">
            <v>6074</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6074</v>
          </cell>
        </row>
        <row r="265">
          <cell r="F265">
            <v>825</v>
          </cell>
          <cell r="AK265">
            <v>825</v>
          </cell>
        </row>
        <row r="266">
          <cell r="F266">
            <v>0</v>
          </cell>
          <cell r="AK266">
            <v>0</v>
          </cell>
        </row>
        <row r="267">
          <cell r="F267">
            <v>0</v>
          </cell>
          <cell r="AK267">
            <v>0</v>
          </cell>
        </row>
        <row r="268">
          <cell r="F268">
            <v>3500</v>
          </cell>
          <cell r="AK268">
            <v>3500</v>
          </cell>
        </row>
        <row r="269">
          <cell r="F269">
            <v>0</v>
          </cell>
          <cell r="AK269">
            <v>0</v>
          </cell>
        </row>
        <row r="270">
          <cell r="F270">
            <v>1749</v>
          </cell>
          <cell r="P270">
            <v>0</v>
          </cell>
          <cell r="S270">
            <v>0</v>
          </cell>
          <cell r="X270">
            <v>0</v>
          </cell>
          <cell r="AC270">
            <v>0</v>
          </cell>
          <cell r="AF270">
            <v>0</v>
          </cell>
          <cell r="AG270">
            <v>0</v>
          </cell>
          <cell r="AH270">
            <v>0</v>
          </cell>
          <cell r="AI270">
            <v>0</v>
          </cell>
          <cell r="AK270">
            <v>1749</v>
          </cell>
        </row>
        <row r="271">
          <cell r="F271">
            <v>4999.7999999999993</v>
          </cell>
          <cell r="AK271">
            <v>4999.7999999999993</v>
          </cell>
        </row>
        <row r="272">
          <cell r="F272">
            <v>61.6666666666667</v>
          </cell>
          <cell r="P272">
            <v>0</v>
          </cell>
          <cell r="S272">
            <v>0</v>
          </cell>
          <cell r="X272">
            <v>0</v>
          </cell>
          <cell r="AC272">
            <v>0</v>
          </cell>
          <cell r="AF272">
            <v>0</v>
          </cell>
          <cell r="AG272">
            <v>0</v>
          </cell>
          <cell r="AH272">
            <v>0</v>
          </cell>
          <cell r="AI272">
            <v>0</v>
          </cell>
          <cell r="AK272">
            <v>61.6666666666667</v>
          </cell>
        </row>
        <row r="273">
          <cell r="F273">
            <v>114421.91887878788</v>
          </cell>
          <cell r="P273">
            <v>2181.2434545454548</v>
          </cell>
          <cell r="Q273">
            <v>0</v>
          </cell>
          <cell r="R273">
            <v>0</v>
          </cell>
          <cell r="S273">
            <v>6535.468727272726</v>
          </cell>
          <cell r="T273">
            <v>0</v>
          </cell>
          <cell r="U273">
            <v>0</v>
          </cell>
          <cell r="V273">
            <v>0</v>
          </cell>
          <cell r="W273">
            <v>0</v>
          </cell>
          <cell r="X273">
            <v>1789.0187272727333</v>
          </cell>
          <cell r="Y273">
            <v>0</v>
          </cell>
          <cell r="Z273">
            <v>0</v>
          </cell>
          <cell r="AA273">
            <v>0</v>
          </cell>
          <cell r="AB273">
            <v>0</v>
          </cell>
          <cell r="AC273">
            <v>1029.1789090909119</v>
          </cell>
          <cell r="AD273">
            <v>0</v>
          </cell>
          <cell r="AE273">
            <v>0</v>
          </cell>
          <cell r="AF273">
            <v>4502.9056363636373</v>
          </cell>
          <cell r="AG273">
            <v>3771.8816363636361</v>
          </cell>
          <cell r="AH273">
            <v>732.02400000000011</v>
          </cell>
          <cell r="AI273">
            <v>0</v>
          </cell>
          <cell r="AK273">
            <v>131291.81824242428</v>
          </cell>
        </row>
        <row r="274">
          <cell r="F274">
            <v>1017.9460387878787</v>
          </cell>
          <cell r="P274">
            <v>1179.8666545454546</v>
          </cell>
          <cell r="Q274">
            <v>0</v>
          </cell>
          <cell r="R274">
            <v>0</v>
          </cell>
          <cell r="S274">
            <v>5958.848727272727</v>
          </cell>
          <cell r="T274">
            <v>835.56363636363631</v>
          </cell>
          <cell r="U274">
            <v>846.70909090909095</v>
          </cell>
          <cell r="V274">
            <v>0</v>
          </cell>
          <cell r="W274">
            <v>0</v>
          </cell>
          <cell r="X274">
            <v>1696.6161818181818</v>
          </cell>
          <cell r="Y274">
            <v>588</v>
          </cell>
          <cell r="Z274">
            <v>768</v>
          </cell>
          <cell r="AA274">
            <v>0</v>
          </cell>
          <cell r="AB274">
            <v>0</v>
          </cell>
          <cell r="AC274">
            <v>732.35490909090913</v>
          </cell>
          <cell r="AD274">
            <v>181</v>
          </cell>
          <cell r="AE274">
            <v>292.09090909090912</v>
          </cell>
          <cell r="AF274">
            <v>2754.4252290909089</v>
          </cell>
          <cell r="AG274">
            <v>2121.3059508023994</v>
          </cell>
          <cell r="AH274">
            <v>633.11927828850958</v>
          </cell>
          <cell r="AI274">
            <v>1904.3636363636365</v>
          </cell>
          <cell r="AK274">
            <v>13897.13264969697</v>
          </cell>
        </row>
        <row r="275">
          <cell r="F275">
            <v>507.45454545454538</v>
          </cell>
          <cell r="G275">
            <v>233</v>
          </cell>
          <cell r="H275">
            <v>274.45454545454538</v>
          </cell>
          <cell r="P275">
            <v>919.5454545454545</v>
          </cell>
          <cell r="S275">
            <v>2066.272727272727</v>
          </cell>
          <cell r="T275">
            <v>813.56363636363631</v>
          </cell>
          <cell r="U275">
            <v>846.70909090909095</v>
          </cell>
          <cell r="X275">
            <v>837.81818181818176</v>
          </cell>
          <cell r="Y275">
            <v>245</v>
          </cell>
          <cell r="Z275">
            <v>321</v>
          </cell>
          <cell r="AC275">
            <v>657.09090909090912</v>
          </cell>
          <cell r="AD275">
            <v>176</v>
          </cell>
          <cell r="AE275">
            <v>284.09090909090912</v>
          </cell>
          <cell r="AF275">
            <v>1973.090909090909</v>
          </cell>
          <cell r="AG275">
            <v>1676.090909090909</v>
          </cell>
          <cell r="AH275">
            <v>297</v>
          </cell>
          <cell r="AI275">
            <v>1904.3636363636365</v>
          </cell>
          <cell r="AK275">
            <v>7352.363636363636</v>
          </cell>
        </row>
        <row r="276">
          <cell r="F276">
            <v>0</v>
          </cell>
          <cell r="P276">
            <v>0</v>
          </cell>
          <cell r="Q276">
            <v>0</v>
          </cell>
          <cell r="R276">
            <v>0</v>
          </cell>
          <cell r="S276">
            <v>22</v>
          </cell>
          <cell r="T276">
            <v>22</v>
          </cell>
          <cell r="U276">
            <v>0</v>
          </cell>
          <cell r="V276">
            <v>0</v>
          </cell>
          <cell r="W276">
            <v>0</v>
          </cell>
          <cell r="X276">
            <v>790</v>
          </cell>
          <cell r="Y276">
            <v>343</v>
          </cell>
          <cell r="Z276">
            <v>447</v>
          </cell>
          <cell r="AA276">
            <v>0</v>
          </cell>
          <cell r="AB276">
            <v>0</v>
          </cell>
          <cell r="AC276">
            <v>13</v>
          </cell>
          <cell r="AD276">
            <v>5</v>
          </cell>
          <cell r="AE276">
            <v>8</v>
          </cell>
          <cell r="AF276">
            <v>0</v>
          </cell>
          <cell r="AG276">
            <v>0</v>
          </cell>
          <cell r="AH276">
            <v>0</v>
          </cell>
          <cell r="AI276">
            <v>0</v>
          </cell>
          <cell r="AK276">
            <v>825</v>
          </cell>
        </row>
        <row r="277">
          <cell r="F277">
            <v>503.49149333333332</v>
          </cell>
          <cell r="P277">
            <v>233.7852</v>
          </cell>
          <cell r="Q277">
            <v>0</v>
          </cell>
          <cell r="R277">
            <v>0</v>
          </cell>
          <cell r="S277">
            <v>568.10199999999998</v>
          </cell>
          <cell r="T277">
            <v>0</v>
          </cell>
          <cell r="U277">
            <v>0</v>
          </cell>
          <cell r="V277">
            <v>0</v>
          </cell>
          <cell r="W277">
            <v>0</v>
          </cell>
          <cell r="X277">
            <v>47.822000000000003</v>
          </cell>
          <cell r="Y277">
            <v>0</v>
          </cell>
          <cell r="Z277">
            <v>0</v>
          </cell>
          <cell r="AA277">
            <v>0</v>
          </cell>
          <cell r="AB277">
            <v>0</v>
          </cell>
          <cell r="AC277">
            <v>62.736000000000004</v>
          </cell>
          <cell r="AD277">
            <v>0</v>
          </cell>
          <cell r="AE277">
            <v>0</v>
          </cell>
          <cell r="AF277">
            <v>155.49432000000002</v>
          </cell>
          <cell r="AG277">
            <v>143.66304171149045</v>
          </cell>
          <cell r="AH277">
            <v>11.831278288509552</v>
          </cell>
          <cell r="AI277">
            <v>0</v>
          </cell>
          <cell r="AK277">
            <v>1614.7510133333335</v>
          </cell>
        </row>
        <row r="278">
          <cell r="F278">
            <v>67.833333333333329</v>
          </cell>
          <cell r="P278">
            <v>153.5352</v>
          </cell>
          <cell r="S278">
            <v>447.35199999999998</v>
          </cell>
          <cell r="X278">
            <v>14.592000000000001</v>
          </cell>
          <cell r="AC278">
            <v>14.592000000000001</v>
          </cell>
          <cell r="AF278">
            <v>74.370720000000006</v>
          </cell>
          <cell r="AG278">
            <v>64.682500142666413</v>
          </cell>
          <cell r="AH278">
            <v>9.6882198573335927</v>
          </cell>
          <cell r="AI278">
            <v>0</v>
          </cell>
          <cell r="AK278">
            <v>815.59525333333329</v>
          </cell>
        </row>
        <row r="279">
          <cell r="F279">
            <v>140.31616</v>
          </cell>
          <cell r="P279">
            <v>4</v>
          </cell>
          <cell r="S279">
            <v>80</v>
          </cell>
          <cell r="X279">
            <v>15.96</v>
          </cell>
          <cell r="AC279">
            <v>13.224</v>
          </cell>
          <cell r="AF279">
            <v>7.8735999999999997</v>
          </cell>
          <cell r="AG279">
            <v>5.7305415688240409</v>
          </cell>
          <cell r="AH279">
            <v>2.1430584311759588</v>
          </cell>
          <cell r="AI279">
            <v>0</v>
          </cell>
          <cell r="AK279">
            <v>261.37376</v>
          </cell>
        </row>
        <row r="280">
          <cell r="F280">
            <v>25.7</v>
          </cell>
          <cell r="P280">
            <v>64.25</v>
          </cell>
          <cell r="S280">
            <v>12.85</v>
          </cell>
          <cell r="X280">
            <v>2.5700000000000003</v>
          </cell>
          <cell r="AC280">
            <v>15.42</v>
          </cell>
          <cell r="AF280">
            <v>64.25</v>
          </cell>
          <cell r="AG280">
            <v>64.25</v>
          </cell>
          <cell r="AK280">
            <v>185.04000000000002</v>
          </cell>
        </row>
        <row r="281">
          <cell r="F281">
            <v>269.642</v>
          </cell>
          <cell r="P281">
            <v>12</v>
          </cell>
          <cell r="S281">
            <v>27.9</v>
          </cell>
          <cell r="X281">
            <v>14.7</v>
          </cell>
          <cell r="AC281">
            <v>19.5</v>
          </cell>
          <cell r="AF281">
            <v>9</v>
          </cell>
          <cell r="AG281">
            <v>9</v>
          </cell>
          <cell r="AH281">
            <v>0</v>
          </cell>
          <cell r="AK281">
            <v>352.74199999999996</v>
          </cell>
        </row>
        <row r="282">
          <cell r="F282">
            <v>7</v>
          </cell>
          <cell r="P282">
            <v>26.536000000000001</v>
          </cell>
          <cell r="Q282">
            <v>0</v>
          </cell>
          <cell r="R282">
            <v>0</v>
          </cell>
          <cell r="S282">
            <v>3238.2240000000002</v>
          </cell>
          <cell r="T282">
            <v>0</v>
          </cell>
          <cell r="U282">
            <v>0</v>
          </cell>
          <cell r="V282">
            <v>0</v>
          </cell>
          <cell r="W282">
            <v>0</v>
          </cell>
          <cell r="X282">
            <v>20.975999999999999</v>
          </cell>
          <cell r="Y282">
            <v>0</v>
          </cell>
          <cell r="Z282">
            <v>0</v>
          </cell>
          <cell r="AA282">
            <v>0</v>
          </cell>
          <cell r="AB282">
            <v>0</v>
          </cell>
          <cell r="AC282">
            <v>-0.47200000000000841</v>
          </cell>
          <cell r="AD282">
            <v>0</v>
          </cell>
          <cell r="AE282">
            <v>0</v>
          </cell>
          <cell r="AF282">
            <v>625.84</v>
          </cell>
          <cell r="AG282">
            <v>301.55200000000002</v>
          </cell>
          <cell r="AH282">
            <v>324.28800000000001</v>
          </cell>
          <cell r="AI282">
            <v>0</v>
          </cell>
          <cell r="AK282">
            <v>4040.768</v>
          </cell>
        </row>
        <row r="283">
          <cell r="F283">
            <v>0</v>
          </cell>
          <cell r="P283">
            <v>1</v>
          </cell>
          <cell r="S283">
            <v>0</v>
          </cell>
          <cell r="X283">
            <v>20.975999999999999</v>
          </cell>
          <cell r="AC283">
            <v>-0.47200000000000841</v>
          </cell>
          <cell r="AF283">
            <v>0</v>
          </cell>
          <cell r="AG283">
            <v>0</v>
          </cell>
          <cell r="AH283">
            <v>0</v>
          </cell>
          <cell r="AI283">
            <v>0</v>
          </cell>
          <cell r="AK283">
            <v>21.503999999999991</v>
          </cell>
        </row>
        <row r="284">
          <cell r="F284">
            <v>7</v>
          </cell>
          <cell r="P284">
            <v>25.536000000000001</v>
          </cell>
          <cell r="S284">
            <v>3238.2240000000002</v>
          </cell>
          <cell r="X284">
            <v>0</v>
          </cell>
          <cell r="AC284">
            <v>0</v>
          </cell>
          <cell r="AF284">
            <v>625.84</v>
          </cell>
          <cell r="AG284">
            <v>301.55200000000002</v>
          </cell>
          <cell r="AH284">
            <v>324.28800000000001</v>
          </cell>
          <cell r="AI284">
            <v>0</v>
          </cell>
          <cell r="AK284">
            <v>3896.6000000000004</v>
          </cell>
        </row>
        <row r="285">
          <cell r="AK285">
            <v>122.664</v>
          </cell>
        </row>
        <row r="286">
          <cell r="S286">
            <v>64.25</v>
          </cell>
          <cell r="AH286">
            <v>0</v>
          </cell>
          <cell r="AI286">
            <v>0</v>
          </cell>
          <cell r="AK286">
            <v>64.25</v>
          </cell>
        </row>
        <row r="287">
          <cell r="F287">
            <v>113403.97284</v>
          </cell>
          <cell r="P287">
            <v>1001.3768000000002</v>
          </cell>
          <cell r="Q287">
            <v>0</v>
          </cell>
          <cell r="R287">
            <v>0</v>
          </cell>
          <cell r="S287">
            <v>576.61999999999898</v>
          </cell>
          <cell r="T287">
            <v>-835.56363636363631</v>
          </cell>
          <cell r="U287">
            <v>-846.70909090909095</v>
          </cell>
          <cell r="V287">
            <v>0</v>
          </cell>
          <cell r="W287">
            <v>0</v>
          </cell>
          <cell r="X287">
            <v>92.4025454545515</v>
          </cell>
          <cell r="Y287">
            <v>-588</v>
          </cell>
          <cell r="Z287">
            <v>-768</v>
          </cell>
          <cell r="AA287">
            <v>0</v>
          </cell>
          <cell r="AB287">
            <v>0</v>
          </cell>
          <cell r="AC287">
            <v>296.8240000000028</v>
          </cell>
          <cell r="AD287">
            <v>-181</v>
          </cell>
          <cell r="AE287">
            <v>-292.09090909090912</v>
          </cell>
          <cell r="AF287">
            <v>1748.4804072727284</v>
          </cell>
          <cell r="AG287">
            <v>1650.5756855612367</v>
          </cell>
          <cell r="AH287">
            <v>98.904721711490538</v>
          </cell>
          <cell r="AI287">
            <v>-1904.3636363636365</v>
          </cell>
          <cell r="AK287">
            <v>117394.68559272728</v>
          </cell>
        </row>
        <row r="288">
          <cell r="AK288">
            <v>0</v>
          </cell>
        </row>
        <row r="289">
          <cell r="F289">
            <v>2004.8481733333335</v>
          </cell>
          <cell r="P289">
            <v>1001.3768</v>
          </cell>
          <cell r="Q289">
            <v>0</v>
          </cell>
          <cell r="R289">
            <v>0</v>
          </cell>
          <cell r="S289">
            <v>576.62</v>
          </cell>
          <cell r="T289">
            <v>0</v>
          </cell>
          <cell r="U289">
            <v>0</v>
          </cell>
          <cell r="V289">
            <v>0</v>
          </cell>
          <cell r="W289">
            <v>0</v>
          </cell>
          <cell r="X289">
            <v>91.402545454545447</v>
          </cell>
          <cell r="Y289">
            <v>0</v>
          </cell>
          <cell r="Z289">
            <v>0</v>
          </cell>
          <cell r="AA289">
            <v>0</v>
          </cell>
          <cell r="AB289">
            <v>0</v>
          </cell>
          <cell r="AC289">
            <v>296.82399999999996</v>
          </cell>
          <cell r="AD289">
            <v>0</v>
          </cell>
          <cell r="AE289">
            <v>0</v>
          </cell>
          <cell r="AF289">
            <v>1749.4804072727275</v>
          </cell>
          <cell r="AG289">
            <v>1650.5756855612369</v>
          </cell>
          <cell r="AH289">
            <v>98.904721711490453</v>
          </cell>
          <cell r="AI289">
            <v>1400.789</v>
          </cell>
          <cell r="AK289">
            <v>6118.2249260606059</v>
          </cell>
        </row>
        <row r="290">
          <cell r="F290">
            <v>674.74900000000002</v>
          </cell>
          <cell r="P290">
            <v>490.70000000000005</v>
          </cell>
          <cell r="S290">
            <v>-47.716000000000015</v>
          </cell>
          <cell r="X290">
            <v>-124.30000000000001</v>
          </cell>
          <cell r="AC290">
            <v>-47.86</v>
          </cell>
          <cell r="AF290">
            <v>427</v>
          </cell>
          <cell r="AG290">
            <v>427</v>
          </cell>
          <cell r="AH290">
            <v>0</v>
          </cell>
          <cell r="AI290">
            <v>515.13300000000004</v>
          </cell>
          <cell r="AK290">
            <v>1375.9139999999998</v>
          </cell>
        </row>
        <row r="291">
          <cell r="F291">
            <v>269.642</v>
          </cell>
          <cell r="P291">
            <v>115.1</v>
          </cell>
          <cell r="Q291">
            <v>0</v>
          </cell>
          <cell r="R291">
            <v>0</v>
          </cell>
          <cell r="S291">
            <v>65.700000000000017</v>
          </cell>
          <cell r="T291">
            <v>0</v>
          </cell>
          <cell r="U291">
            <v>0</v>
          </cell>
          <cell r="V291">
            <v>0</v>
          </cell>
          <cell r="W291">
            <v>0</v>
          </cell>
          <cell r="X291">
            <v>83.754545454545436</v>
          </cell>
          <cell r="Y291">
            <v>0</v>
          </cell>
          <cell r="Z291">
            <v>0</v>
          </cell>
          <cell r="AA291">
            <v>0</v>
          </cell>
          <cell r="AB291">
            <v>0</v>
          </cell>
          <cell r="AC291">
            <v>80.399999999999977</v>
          </cell>
          <cell r="AD291">
            <v>0</v>
          </cell>
          <cell r="AE291">
            <v>0</v>
          </cell>
          <cell r="AF291">
            <v>894.67272727272723</v>
          </cell>
          <cell r="AG291">
            <v>894.67272727272723</v>
          </cell>
          <cell r="AH291">
            <v>0</v>
          </cell>
          <cell r="AI291">
            <v>132.79999999999998</v>
          </cell>
          <cell r="AK291">
            <v>1509.2692727272727</v>
          </cell>
        </row>
        <row r="292">
          <cell r="F292">
            <v>-0.5</v>
          </cell>
          <cell r="P292">
            <v>0.20800000000000018</v>
          </cell>
          <cell r="S292">
            <v>-0.23600000000000065</v>
          </cell>
          <cell r="X292">
            <v>-0.42800000000000082</v>
          </cell>
          <cell r="AC292">
            <v>30.067999999999998</v>
          </cell>
          <cell r="AF292">
            <v>0.28399999999999892</v>
          </cell>
          <cell r="AG292">
            <v>0.28399999999999892</v>
          </cell>
          <cell r="AH292">
            <v>0</v>
          </cell>
          <cell r="AI292">
            <v>280.596</v>
          </cell>
          <cell r="AK292">
            <v>28.999999999999996</v>
          </cell>
        </row>
        <row r="293">
          <cell r="F293">
            <v>-0.43200000000001637</v>
          </cell>
          <cell r="P293">
            <v>0.19200000000000017</v>
          </cell>
          <cell r="S293">
            <v>-0.32000000000000028</v>
          </cell>
          <cell r="X293">
            <v>-0.3360000000000003</v>
          </cell>
          <cell r="AC293">
            <v>0.28000000000000114</v>
          </cell>
          <cell r="AF293">
            <v>0.35200000000000031</v>
          </cell>
          <cell r="AG293">
            <v>0.35200000000000031</v>
          </cell>
          <cell r="AH293">
            <v>0</v>
          </cell>
          <cell r="AI293">
            <v>88.560000000000016</v>
          </cell>
          <cell r="AK293">
            <v>-0.20000000000001528</v>
          </cell>
        </row>
        <row r="294">
          <cell r="F294">
            <v>1046.7225066666667</v>
          </cell>
          <cell r="P294">
            <v>455.17680000000001</v>
          </cell>
          <cell r="Q294">
            <v>0</v>
          </cell>
          <cell r="R294">
            <v>0</v>
          </cell>
          <cell r="S294">
            <v>551.19200000000001</v>
          </cell>
          <cell r="T294">
            <v>0</v>
          </cell>
          <cell r="U294">
            <v>0</v>
          </cell>
          <cell r="V294">
            <v>0</v>
          </cell>
          <cell r="W294">
            <v>0</v>
          </cell>
          <cell r="X294">
            <v>96.712000000000018</v>
          </cell>
          <cell r="Y294">
            <v>0</v>
          </cell>
          <cell r="Z294">
            <v>0</v>
          </cell>
          <cell r="AA294">
            <v>0</v>
          </cell>
          <cell r="AB294">
            <v>0</v>
          </cell>
          <cell r="AC294">
            <v>207.93599999999998</v>
          </cell>
          <cell r="AD294">
            <v>0</v>
          </cell>
          <cell r="AE294">
            <v>0</v>
          </cell>
          <cell r="AF294">
            <v>415.17168000000004</v>
          </cell>
          <cell r="AG294">
            <v>317.26695828850961</v>
          </cell>
          <cell r="AH294">
            <v>97.904721711490453</v>
          </cell>
          <cell r="AI294">
            <v>370</v>
          </cell>
          <cell r="AK294">
            <v>3167.574986666667</v>
          </cell>
        </row>
        <row r="295">
          <cell r="F295">
            <v>14.226506666666666</v>
          </cell>
          <cell r="P295">
            <v>413.43280000000004</v>
          </cell>
          <cell r="S295">
            <v>31.26400000000001</v>
          </cell>
          <cell r="X295">
            <v>4.5600000000000023</v>
          </cell>
          <cell r="AC295">
            <v>54</v>
          </cell>
          <cell r="AF295">
            <v>220.96368000000001</v>
          </cell>
          <cell r="AG295">
            <v>150.26695828850956</v>
          </cell>
          <cell r="AH295">
            <v>70.696721711490468</v>
          </cell>
          <cell r="AI295">
            <v>0</v>
          </cell>
          <cell r="AK295">
            <v>738.44698666666682</v>
          </cell>
        </row>
        <row r="296">
          <cell r="F296">
            <v>1</v>
          </cell>
          <cell r="P296">
            <v>13.224</v>
          </cell>
          <cell r="S296">
            <v>441.76800000000003</v>
          </cell>
          <cell r="X296">
            <v>45.144000000000005</v>
          </cell>
          <cell r="AC296">
            <v>79.623999999999995</v>
          </cell>
          <cell r="AF296">
            <v>120.024</v>
          </cell>
          <cell r="AG296">
            <v>96.92</v>
          </cell>
          <cell r="AH296">
            <v>23.103999999999999</v>
          </cell>
          <cell r="AI296">
            <v>0</v>
          </cell>
          <cell r="AK296">
            <v>701.78399999999999</v>
          </cell>
        </row>
        <row r="297">
          <cell r="F297">
            <v>1031.4960000000001</v>
          </cell>
          <cell r="P297">
            <v>28.52</v>
          </cell>
          <cell r="S297">
            <v>78.16</v>
          </cell>
          <cell r="X297">
            <v>47.008000000000003</v>
          </cell>
          <cell r="AC297">
            <v>74.311999999999998</v>
          </cell>
          <cell r="AF297">
            <v>74.183999999999997</v>
          </cell>
          <cell r="AG297">
            <v>70.080000000000013</v>
          </cell>
          <cell r="AH297">
            <v>4.103999999999985</v>
          </cell>
          <cell r="AI297">
            <v>370</v>
          </cell>
          <cell r="AK297">
            <v>1727.3440000000001</v>
          </cell>
        </row>
        <row r="298">
          <cell r="P298">
            <v>0</v>
          </cell>
          <cell r="AF298">
            <v>0</v>
          </cell>
          <cell r="AG298">
            <v>0</v>
          </cell>
          <cell r="AH298">
            <v>0</v>
          </cell>
          <cell r="AI298">
            <v>0</v>
          </cell>
          <cell r="AK298">
            <v>0</v>
          </cell>
        </row>
        <row r="299">
          <cell r="F299">
            <v>14.666666666666666</v>
          </cell>
          <cell r="P299">
            <v>-60</v>
          </cell>
          <cell r="S299">
            <v>8</v>
          </cell>
          <cell r="X299">
            <v>36</v>
          </cell>
          <cell r="AC299">
            <v>26</v>
          </cell>
          <cell r="AF299">
            <v>12</v>
          </cell>
          <cell r="AG299">
            <v>11</v>
          </cell>
          <cell r="AH299">
            <v>1</v>
          </cell>
          <cell r="AI299">
            <v>13.7</v>
          </cell>
          <cell r="AK299">
            <v>36.666666666666664</v>
          </cell>
        </row>
        <row r="300">
          <cell r="F300">
            <v>113403.97284</v>
          </cell>
          <cell r="P300">
            <v>1001.3768000000002</v>
          </cell>
          <cell r="Q300">
            <v>0</v>
          </cell>
          <cell r="R300">
            <v>0</v>
          </cell>
          <cell r="S300">
            <v>576.61999999999898</v>
          </cell>
          <cell r="T300">
            <v>-835.56363636363631</v>
          </cell>
          <cell r="U300">
            <v>-846.70909090909095</v>
          </cell>
          <cell r="V300">
            <v>0</v>
          </cell>
          <cell r="W300">
            <v>0</v>
          </cell>
          <cell r="X300">
            <v>92.4025454545515</v>
          </cell>
          <cell r="Y300">
            <v>-588</v>
          </cell>
          <cell r="Z300">
            <v>-768</v>
          </cell>
          <cell r="AA300">
            <v>0</v>
          </cell>
          <cell r="AB300">
            <v>0</v>
          </cell>
          <cell r="AC300">
            <v>296.8240000000028</v>
          </cell>
          <cell r="AD300">
            <v>-181</v>
          </cell>
          <cell r="AE300">
            <v>-292.09090909090912</v>
          </cell>
          <cell r="AF300">
            <v>1748.4804072727284</v>
          </cell>
          <cell r="AG300">
            <v>1650.5756855612367</v>
          </cell>
          <cell r="AH300">
            <v>98.904721711490538</v>
          </cell>
          <cell r="AI300">
            <v>-1904.3636363636365</v>
          </cell>
          <cell r="AK300">
            <v>117394.68559272728</v>
          </cell>
        </row>
        <row r="301">
          <cell r="AH301">
            <v>191</v>
          </cell>
          <cell r="AK301">
            <v>0</v>
          </cell>
        </row>
        <row r="303">
          <cell r="F303">
            <v>113403.97284</v>
          </cell>
          <cell r="G303">
            <v>0</v>
          </cell>
          <cell r="H303">
            <v>0</v>
          </cell>
          <cell r="P303">
            <v>1001.3768000000002</v>
          </cell>
          <cell r="Q303">
            <v>0</v>
          </cell>
          <cell r="R303">
            <v>0</v>
          </cell>
          <cell r="S303">
            <v>576.61999999999898</v>
          </cell>
          <cell r="T303">
            <v>-835.56363636363631</v>
          </cell>
          <cell r="U303">
            <v>-846.70909090909095</v>
          </cell>
          <cell r="V303">
            <v>0</v>
          </cell>
          <cell r="W303">
            <v>0</v>
          </cell>
          <cell r="X303">
            <v>92.4025454545515</v>
          </cell>
          <cell r="Y303">
            <v>-588</v>
          </cell>
          <cell r="Z303">
            <v>-768</v>
          </cell>
          <cell r="AA303">
            <v>0</v>
          </cell>
          <cell r="AB303">
            <v>0</v>
          </cell>
          <cell r="AC303">
            <v>296.8240000000028</v>
          </cell>
          <cell r="AF303">
            <v>1748.4804072727284</v>
          </cell>
          <cell r="AG303">
            <v>1458.5756855612378</v>
          </cell>
          <cell r="AH303">
            <v>289.90472171149054</v>
          </cell>
          <cell r="AK303">
            <v>117394.68559272728</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113403.97284</v>
          </cell>
          <cell r="P308">
            <v>1001.3768000000002</v>
          </cell>
          <cell r="Q308">
            <v>0</v>
          </cell>
          <cell r="R308">
            <v>0</v>
          </cell>
          <cell r="S308">
            <v>576.61999999999898</v>
          </cell>
          <cell r="T308">
            <v>-835.56363636363631</v>
          </cell>
          <cell r="U308">
            <v>-846.70909090909095</v>
          </cell>
          <cell r="V308">
            <v>0</v>
          </cell>
          <cell r="W308">
            <v>0</v>
          </cell>
          <cell r="X308">
            <v>92.4025454545515</v>
          </cell>
          <cell r="Y308">
            <v>-588</v>
          </cell>
          <cell r="Z308">
            <v>-768</v>
          </cell>
          <cell r="AA308">
            <v>0</v>
          </cell>
          <cell r="AB308">
            <v>0</v>
          </cell>
          <cell r="AC308">
            <v>296.8240000000028</v>
          </cell>
          <cell r="AD308">
            <v>-181</v>
          </cell>
          <cell r="AE308">
            <v>-292.09090909090912</v>
          </cell>
          <cell r="AF308">
            <v>1748.4804072727284</v>
          </cell>
          <cell r="AG308">
            <v>1458.5756855612378</v>
          </cell>
          <cell r="AH308">
            <v>289.90472171149054</v>
          </cell>
          <cell r="AI308">
            <v>-1904.3636363636365</v>
          </cell>
          <cell r="AK308">
            <v>117394.68559272728</v>
          </cell>
        </row>
        <row r="309">
          <cell r="AK309">
            <v>0</v>
          </cell>
        </row>
        <row r="310">
          <cell r="P310">
            <v>0</v>
          </cell>
          <cell r="AK310">
            <v>0</v>
          </cell>
        </row>
        <row r="311">
          <cell r="S311">
            <v>0</v>
          </cell>
          <cell r="AK311">
            <v>0</v>
          </cell>
        </row>
        <row r="312">
          <cell r="F312">
            <v>4483.4666666666662</v>
          </cell>
          <cell r="AK312">
            <v>4483.4666666666662</v>
          </cell>
        </row>
        <row r="313">
          <cell r="S313">
            <v>0</v>
          </cell>
        </row>
        <row r="314">
          <cell r="F314">
            <v>0</v>
          </cell>
          <cell r="AK314">
            <v>0</v>
          </cell>
        </row>
        <row r="315">
          <cell r="AK315">
            <v>0</v>
          </cell>
        </row>
        <row r="317">
          <cell r="AK317">
            <v>0</v>
          </cell>
        </row>
        <row r="318">
          <cell r="S318">
            <v>0</v>
          </cell>
        </row>
        <row r="319">
          <cell r="F319">
            <v>113403.97284</v>
          </cell>
          <cell r="P319">
            <v>1001.3768000000002</v>
          </cell>
          <cell r="Q319">
            <v>0</v>
          </cell>
          <cell r="R319">
            <v>0</v>
          </cell>
          <cell r="S319">
            <v>576.61999999999898</v>
          </cell>
          <cell r="T319">
            <v>-835.56363636363631</v>
          </cell>
          <cell r="U319">
            <v>-846.70909090909095</v>
          </cell>
          <cell r="V319">
            <v>0</v>
          </cell>
          <cell r="W319">
            <v>0</v>
          </cell>
          <cell r="X319">
            <v>92.4025454545515</v>
          </cell>
          <cell r="Y319">
            <v>-588</v>
          </cell>
          <cell r="Z319">
            <v>-768</v>
          </cell>
          <cell r="AA319">
            <v>0</v>
          </cell>
          <cell r="AB319">
            <v>0</v>
          </cell>
          <cell r="AC319">
            <v>296.8240000000028</v>
          </cell>
          <cell r="AD319">
            <v>-181</v>
          </cell>
          <cell r="AE319">
            <v>-292.09090909090912</v>
          </cell>
          <cell r="AF319">
            <v>1748.4804072727284</v>
          </cell>
          <cell r="AG319">
            <v>1458.5756855612378</v>
          </cell>
          <cell r="AH319">
            <v>289.90472171149054</v>
          </cell>
          <cell r="AI319">
            <v>-1904.3636363636365</v>
          </cell>
          <cell r="AK319">
            <v>117394.68559272728</v>
          </cell>
        </row>
        <row r="328">
          <cell r="AJ328">
            <v>2455</v>
          </cell>
          <cell r="AK328">
            <v>7352.363636363636</v>
          </cell>
          <cell r="AM328">
            <v>7283.636363636364</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K331">
            <v>791.6</v>
          </cell>
          <cell r="AM331">
            <v>791.6</v>
          </cell>
        </row>
        <row r="332">
          <cell r="AJ332">
            <v>36</v>
          </cell>
          <cell r="AK332">
            <v>120.26666666666665</v>
          </cell>
          <cell r="AM332">
            <v>108.26666666666667</v>
          </cell>
        </row>
        <row r="333">
          <cell r="AK333">
            <v>4126.5514285714289</v>
          </cell>
          <cell r="AM333">
            <v>4126.5514285714289</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2183.5999999999995</v>
          </cell>
          <cell r="AM339">
            <v>2302</v>
          </cell>
        </row>
        <row r="340">
          <cell r="AK340">
            <v>2830.0727272727277</v>
          </cell>
          <cell r="AM340">
            <v>2501.0727272727272</v>
          </cell>
        </row>
        <row r="341">
          <cell r="AK341">
            <v>0</v>
          </cell>
          <cell r="AM341">
            <v>0</v>
          </cell>
        </row>
        <row r="342">
          <cell r="AK342">
            <v>0</v>
          </cell>
          <cell r="AM342">
            <v>0</v>
          </cell>
        </row>
        <row r="343">
          <cell r="AK343">
            <v>0</v>
          </cell>
          <cell r="AM343">
            <v>0</v>
          </cell>
        </row>
        <row r="344">
          <cell r="AK344">
            <v>4067.2</v>
          </cell>
          <cell r="AM344">
            <v>3105.4</v>
          </cell>
        </row>
        <row r="345">
          <cell r="AK345">
            <v>1424</v>
          </cell>
          <cell r="AM345">
            <v>988</v>
          </cell>
        </row>
        <row r="346">
          <cell r="AK346">
            <v>302.40000000000003</v>
          </cell>
          <cell r="AM346">
            <v>276.8</v>
          </cell>
        </row>
        <row r="347">
          <cell r="AK347">
            <v>1444.2</v>
          </cell>
        </row>
        <row r="348">
          <cell r="AK348">
            <v>896.6</v>
          </cell>
        </row>
        <row r="349">
          <cell r="AK349">
            <v>0</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3376.9666666666672</v>
          </cell>
          <cell r="AM358" t="e">
            <v>#REF!</v>
          </cell>
        </row>
        <row r="359">
          <cell r="AK359">
            <v>607.40000000000009</v>
          </cell>
        </row>
        <row r="360">
          <cell r="AK360">
            <v>691.86666666666667</v>
          </cell>
        </row>
        <row r="361">
          <cell r="AK361">
            <v>2077.6999999999998</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6"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7"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3281.3333333333321</v>
          </cell>
          <cell r="P46">
            <v>2113</v>
          </cell>
          <cell r="S46">
            <v>9843.2727272727279</v>
          </cell>
          <cell r="T46">
            <v>4622.9436363636387</v>
          </cell>
          <cell r="U46">
            <v>1761.3290909090908</v>
          </cell>
          <cell r="X46">
            <v>2228.8181818181802</v>
          </cell>
          <cell r="AC46">
            <v>1415</v>
          </cell>
          <cell r="AF46">
            <v>3580.2</v>
          </cell>
          <cell r="AG46">
            <v>2592.2999999999997</v>
          </cell>
          <cell r="AH46">
            <v>987.90000000000009</v>
          </cell>
        </row>
        <row r="47">
          <cell r="F47">
            <v>1</v>
          </cell>
          <cell r="P47">
            <v>1</v>
          </cell>
          <cell r="S47">
            <v>1</v>
          </cell>
          <cell r="X47">
            <v>1</v>
          </cell>
          <cell r="AC47">
            <v>1</v>
          </cell>
          <cell r="AF47">
            <v>1</v>
          </cell>
          <cell r="AG47">
            <v>1</v>
          </cell>
          <cell r="AH47">
            <v>1</v>
          </cell>
        </row>
        <row r="49">
          <cell r="F49">
            <v>256</v>
          </cell>
          <cell r="G49">
            <v>71</v>
          </cell>
          <cell r="H49">
            <v>185</v>
          </cell>
          <cell r="P49">
            <v>502</v>
          </cell>
          <cell r="S49">
            <v>413</v>
          </cell>
          <cell r="T49">
            <v>206.5</v>
          </cell>
          <cell r="U49">
            <v>206.5</v>
          </cell>
          <cell r="X49">
            <v>258</v>
          </cell>
          <cell r="Y49">
            <v>80</v>
          </cell>
          <cell r="Z49">
            <v>178</v>
          </cell>
          <cell r="AC49">
            <v>218</v>
          </cell>
          <cell r="AD49">
            <v>71</v>
          </cell>
          <cell r="AE49">
            <v>147</v>
          </cell>
          <cell r="AF49">
            <v>336</v>
          </cell>
          <cell r="AG49">
            <v>300</v>
          </cell>
          <cell r="AH49">
            <v>36</v>
          </cell>
          <cell r="AK49">
            <v>2095</v>
          </cell>
          <cell r="AL49">
            <v>842</v>
          </cell>
          <cell r="AM49">
            <v>1253</v>
          </cell>
          <cell r="AN49">
            <v>151</v>
          </cell>
          <cell r="AO49">
            <v>465</v>
          </cell>
          <cell r="AP49">
            <v>691</v>
          </cell>
          <cell r="AQ49">
            <v>788</v>
          </cell>
        </row>
        <row r="50">
          <cell r="F50">
            <v>158</v>
          </cell>
          <cell r="G50">
            <v>44</v>
          </cell>
          <cell r="P50">
            <v>56</v>
          </cell>
          <cell r="S50">
            <v>400.83333333333331</v>
          </cell>
          <cell r="X50">
            <v>75</v>
          </cell>
          <cell r="Y50">
            <v>23</v>
          </cell>
          <cell r="Z50">
            <v>52</v>
          </cell>
          <cell r="AC50">
            <v>40</v>
          </cell>
          <cell r="AD50">
            <v>13</v>
          </cell>
          <cell r="AE50">
            <v>27</v>
          </cell>
          <cell r="AF50">
            <v>295</v>
          </cell>
          <cell r="AG50">
            <v>263</v>
          </cell>
          <cell r="AH50">
            <v>32</v>
          </cell>
          <cell r="AK50">
            <v>1026.8333333333333</v>
          </cell>
          <cell r="AL50">
            <v>167</v>
          </cell>
          <cell r="AM50">
            <v>859.83333333333326</v>
          </cell>
        </row>
        <row r="51">
          <cell r="G51">
            <v>0</v>
          </cell>
          <cell r="P51">
            <v>1</v>
          </cell>
          <cell r="X51">
            <v>18</v>
          </cell>
          <cell r="Y51">
            <v>6</v>
          </cell>
          <cell r="Z51">
            <v>12</v>
          </cell>
          <cell r="AC51">
            <v>47</v>
          </cell>
          <cell r="AD51">
            <v>15</v>
          </cell>
          <cell r="AE51">
            <v>32</v>
          </cell>
          <cell r="AH51">
            <v>0</v>
          </cell>
          <cell r="AK51">
            <v>66</v>
          </cell>
          <cell r="AL51">
            <v>22</v>
          </cell>
          <cell r="AM51">
            <v>44</v>
          </cell>
        </row>
        <row r="52">
          <cell r="F52">
            <v>98</v>
          </cell>
          <cell r="G52">
            <v>27</v>
          </cell>
          <cell r="P52">
            <v>10</v>
          </cell>
          <cell r="X52">
            <v>0</v>
          </cell>
          <cell r="Y52">
            <v>0</v>
          </cell>
          <cell r="Z52">
            <v>0</v>
          </cell>
          <cell r="AC52">
            <v>20</v>
          </cell>
          <cell r="AD52">
            <v>7</v>
          </cell>
          <cell r="AE52">
            <v>13</v>
          </cell>
          <cell r="AF52">
            <v>32</v>
          </cell>
          <cell r="AG52">
            <v>32</v>
          </cell>
          <cell r="AH52">
            <v>0</v>
          </cell>
          <cell r="AK52">
            <v>160</v>
          </cell>
          <cell r="AL52">
            <v>44</v>
          </cell>
          <cell r="AM52">
            <v>116</v>
          </cell>
        </row>
        <row r="53">
          <cell r="F53">
            <v>10.333333333333334</v>
          </cell>
          <cell r="G53">
            <v>3</v>
          </cell>
          <cell r="H53">
            <v>7.3333333333333339</v>
          </cell>
          <cell r="P53">
            <v>56</v>
          </cell>
          <cell r="S53">
            <v>384</v>
          </cell>
          <cell r="T53">
            <v>299.52</v>
          </cell>
          <cell r="U53">
            <v>84.480000000000018</v>
          </cell>
          <cell r="X53">
            <v>607</v>
          </cell>
          <cell r="Y53">
            <v>188</v>
          </cell>
          <cell r="Z53">
            <v>419</v>
          </cell>
          <cell r="AC53">
            <v>95</v>
          </cell>
          <cell r="AD53">
            <v>31</v>
          </cell>
          <cell r="AE53">
            <v>64</v>
          </cell>
          <cell r="AF53">
            <v>205</v>
          </cell>
          <cell r="AG53">
            <v>201</v>
          </cell>
          <cell r="AH53">
            <v>4</v>
          </cell>
          <cell r="AK53">
            <v>1358.3333333333333</v>
          </cell>
          <cell r="AL53">
            <v>281</v>
          </cell>
          <cell r="AM53">
            <v>1077.3333333333333</v>
          </cell>
          <cell r="AN53">
            <v>219</v>
          </cell>
          <cell r="AO53">
            <v>614</v>
          </cell>
          <cell r="AP53">
            <v>62</v>
          </cell>
          <cell r="AQ53">
            <v>463.33333333333326</v>
          </cell>
        </row>
        <row r="54">
          <cell r="F54">
            <v>0</v>
          </cell>
          <cell r="G54">
            <v>0</v>
          </cell>
          <cell r="H54">
            <v>0</v>
          </cell>
          <cell r="S54">
            <v>21</v>
          </cell>
          <cell r="T54">
            <v>21</v>
          </cell>
          <cell r="U54">
            <v>0</v>
          </cell>
          <cell r="X54">
            <v>477</v>
          </cell>
          <cell r="Y54">
            <v>148</v>
          </cell>
          <cell r="Z54">
            <v>329</v>
          </cell>
          <cell r="AC54">
            <v>14</v>
          </cell>
          <cell r="AD54">
            <v>5</v>
          </cell>
          <cell r="AE54">
            <v>9</v>
          </cell>
          <cell r="AH54">
            <v>0</v>
          </cell>
          <cell r="AK54">
            <v>512</v>
          </cell>
          <cell r="AL54">
            <v>153</v>
          </cell>
          <cell r="AM54">
            <v>359</v>
          </cell>
          <cell r="AN54">
            <v>153</v>
          </cell>
          <cell r="AO54">
            <v>345</v>
          </cell>
          <cell r="AP54">
            <v>0</v>
          </cell>
          <cell r="AQ54">
            <v>14</v>
          </cell>
        </row>
        <row r="55">
          <cell r="F55">
            <v>0</v>
          </cell>
          <cell r="G55">
            <v>0</v>
          </cell>
          <cell r="H55">
            <v>0</v>
          </cell>
          <cell r="S55">
            <v>18925</v>
          </cell>
          <cell r="T55">
            <v>18925</v>
          </cell>
          <cell r="U55">
            <v>0</v>
          </cell>
          <cell r="X55">
            <v>26100</v>
          </cell>
          <cell r="Y55">
            <v>11966.09756097561</v>
          </cell>
          <cell r="Z55">
            <v>14133.90243902439</v>
          </cell>
          <cell r="AC55">
            <v>24751</v>
          </cell>
          <cell r="AD55">
            <v>12644.477434679333</v>
          </cell>
          <cell r="AE55">
            <v>12106.522565320667</v>
          </cell>
          <cell r="AH55">
            <v>0</v>
          </cell>
          <cell r="AK55">
            <v>69776</v>
          </cell>
          <cell r="AL55">
            <v>24610.574995654941</v>
          </cell>
          <cell r="AM55">
            <v>45165.425004345059</v>
          </cell>
          <cell r="AN55">
            <v>24610.574995654941</v>
          </cell>
          <cell r="AO55">
            <v>45165</v>
          </cell>
          <cell r="AP55">
            <v>0</v>
          </cell>
          <cell r="AQ55">
            <v>0.42500434505927842</v>
          </cell>
        </row>
        <row r="56">
          <cell r="F56">
            <v>0</v>
          </cell>
          <cell r="G56">
            <v>0</v>
          </cell>
          <cell r="H56">
            <v>0</v>
          </cell>
          <cell r="P56">
            <v>0</v>
          </cell>
          <cell r="S56">
            <v>18925</v>
          </cell>
          <cell r="T56">
            <v>18925</v>
          </cell>
          <cell r="U56">
            <v>0</v>
          </cell>
          <cell r="X56">
            <v>26100</v>
          </cell>
          <cell r="Y56">
            <v>11966.09756097561</v>
          </cell>
          <cell r="Z56">
            <v>14133.90243902439</v>
          </cell>
          <cell r="AC56">
            <v>24751</v>
          </cell>
          <cell r="AD56">
            <v>12644.477434679333</v>
          </cell>
          <cell r="AE56">
            <v>12106.522565320667</v>
          </cell>
          <cell r="AF56">
            <v>0</v>
          </cell>
          <cell r="AG56">
            <v>0</v>
          </cell>
          <cell r="AH56">
            <v>0</v>
          </cell>
          <cell r="AI56">
            <v>0</v>
          </cell>
          <cell r="AK56">
            <v>69776</v>
          </cell>
          <cell r="AL56">
            <v>24610.574995654941</v>
          </cell>
          <cell r="AM56">
            <v>45165.425004345059</v>
          </cell>
          <cell r="AN56">
            <v>24610.574995654941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3</v>
          </cell>
          <cell r="G58">
            <v>1</v>
          </cell>
          <cell r="H58">
            <v>2</v>
          </cell>
          <cell r="P58">
            <v>91</v>
          </cell>
          <cell r="S58">
            <v>3156</v>
          </cell>
          <cell r="T58">
            <v>3156</v>
          </cell>
          <cell r="U58">
            <v>0</v>
          </cell>
          <cell r="X58">
            <v>0</v>
          </cell>
          <cell r="Y58">
            <v>0</v>
          </cell>
          <cell r="Z58">
            <v>0</v>
          </cell>
          <cell r="AC58">
            <v>0</v>
          </cell>
          <cell r="AD58">
            <v>0</v>
          </cell>
          <cell r="AE58">
            <v>0</v>
          </cell>
          <cell r="AF58">
            <v>1154</v>
          </cell>
          <cell r="AG58">
            <v>403.9</v>
          </cell>
          <cell r="AH58">
            <v>750.1</v>
          </cell>
          <cell r="AK58">
            <v>3653.9</v>
          </cell>
          <cell r="AL58">
            <v>92</v>
          </cell>
          <cell r="AM58">
            <v>3561.9</v>
          </cell>
          <cell r="AN58">
            <v>0</v>
          </cell>
          <cell r="AO58">
            <v>1073</v>
          </cell>
          <cell r="AP58">
            <v>92</v>
          </cell>
          <cell r="AQ58">
            <v>2488.9</v>
          </cell>
        </row>
        <row r="59">
          <cell r="F59">
            <v>281</v>
          </cell>
          <cell r="G59">
            <v>78</v>
          </cell>
          <cell r="H59">
            <v>203</v>
          </cell>
          <cell r="P59">
            <v>477</v>
          </cell>
          <cell r="S59">
            <v>928.27272727272725</v>
          </cell>
          <cell r="T59">
            <v>454.85363636363633</v>
          </cell>
          <cell r="U59">
            <v>473.41909090909093</v>
          </cell>
          <cell r="X59">
            <v>272.81818181818181</v>
          </cell>
          <cell r="Y59">
            <v>85</v>
          </cell>
          <cell r="Z59">
            <v>187.81818181818181</v>
          </cell>
          <cell r="AC59">
            <v>249</v>
          </cell>
          <cell r="AD59">
            <v>81</v>
          </cell>
          <cell r="AE59">
            <v>168</v>
          </cell>
          <cell r="AF59">
            <v>959</v>
          </cell>
          <cell r="AG59">
            <v>844</v>
          </cell>
          <cell r="AH59">
            <v>115</v>
          </cell>
          <cell r="AI59">
            <v>279</v>
          </cell>
          <cell r="AK59">
            <v>3573.090909090909</v>
          </cell>
          <cell r="AL59">
            <v>992.13269689737467</v>
          </cell>
          <cell r="AM59">
            <v>2580.9582121935346</v>
          </cell>
          <cell r="AN59">
            <v>166</v>
          </cell>
          <cell r="AO59">
            <v>671</v>
          </cell>
          <cell r="AP59">
            <v>826.13269689737467</v>
          </cell>
          <cell r="AQ59">
            <v>1909.9582121935346</v>
          </cell>
        </row>
        <row r="60">
          <cell r="F60">
            <v>15</v>
          </cell>
          <cell r="G60">
            <v>4</v>
          </cell>
          <cell r="H60">
            <v>11</v>
          </cell>
          <cell r="P60">
            <v>26</v>
          </cell>
          <cell r="S60">
            <v>51</v>
          </cell>
          <cell r="T60">
            <v>25</v>
          </cell>
          <cell r="U60">
            <v>26</v>
          </cell>
          <cell r="X60">
            <v>15</v>
          </cell>
          <cell r="Y60">
            <v>5</v>
          </cell>
          <cell r="Z60">
            <v>10</v>
          </cell>
          <cell r="AC60">
            <v>14</v>
          </cell>
          <cell r="AD60">
            <v>5</v>
          </cell>
          <cell r="AE60">
            <v>9</v>
          </cell>
          <cell r="AF60">
            <v>53</v>
          </cell>
          <cell r="AG60">
            <v>46</v>
          </cell>
          <cell r="AH60">
            <v>7</v>
          </cell>
          <cell r="AK60">
            <v>181</v>
          </cell>
          <cell r="AL60">
            <v>55</v>
          </cell>
          <cell r="AM60">
            <v>126</v>
          </cell>
          <cell r="AN60">
            <v>10</v>
          </cell>
          <cell r="AO60">
            <v>28</v>
          </cell>
          <cell r="AP60">
            <v>45</v>
          </cell>
          <cell r="AQ60">
            <v>98</v>
          </cell>
        </row>
        <row r="61">
          <cell r="F61">
            <v>88</v>
          </cell>
          <cell r="G61">
            <v>24</v>
          </cell>
          <cell r="H61">
            <v>64</v>
          </cell>
          <cell r="P61">
            <v>153</v>
          </cell>
          <cell r="S61">
            <v>297</v>
          </cell>
          <cell r="T61">
            <v>146</v>
          </cell>
          <cell r="U61">
            <v>151</v>
          </cell>
          <cell r="X61">
            <v>87</v>
          </cell>
          <cell r="Y61">
            <v>27</v>
          </cell>
          <cell r="Z61">
            <v>60</v>
          </cell>
          <cell r="AC61">
            <v>80</v>
          </cell>
          <cell r="AD61">
            <v>26</v>
          </cell>
          <cell r="AE61">
            <v>54</v>
          </cell>
          <cell r="AF61">
            <v>307</v>
          </cell>
          <cell r="AG61">
            <v>270</v>
          </cell>
          <cell r="AH61">
            <v>37</v>
          </cell>
          <cell r="AI61">
            <v>0</v>
          </cell>
          <cell r="AK61">
            <v>1053</v>
          </cell>
          <cell r="AL61">
            <v>317</v>
          </cell>
          <cell r="AM61">
            <v>736</v>
          </cell>
          <cell r="AN61">
            <v>0</v>
          </cell>
          <cell r="AO61">
            <v>0</v>
          </cell>
          <cell r="AP61">
            <v>0</v>
          </cell>
          <cell r="AQ61">
            <v>0</v>
          </cell>
        </row>
        <row r="62">
          <cell r="F62">
            <v>0</v>
          </cell>
          <cell r="G62">
            <v>0</v>
          </cell>
          <cell r="P62">
            <v>0</v>
          </cell>
          <cell r="X62">
            <v>0</v>
          </cell>
          <cell r="AH62">
            <v>0</v>
          </cell>
          <cell r="AK62">
            <v>0</v>
          </cell>
        </row>
        <row r="63">
          <cell r="F63">
            <v>87.333333333333329</v>
          </cell>
          <cell r="G63">
            <v>24</v>
          </cell>
          <cell r="H63">
            <v>63.333333333333329</v>
          </cell>
          <cell r="P63">
            <v>586</v>
          </cell>
          <cell r="S63">
            <v>1295</v>
          </cell>
          <cell r="T63">
            <v>207.20000000000002</v>
          </cell>
          <cell r="U63">
            <v>1087.8</v>
          </cell>
          <cell r="X63">
            <v>615</v>
          </cell>
          <cell r="Y63">
            <v>191</v>
          </cell>
          <cell r="Z63">
            <v>424</v>
          </cell>
          <cell r="AC63">
            <v>734</v>
          </cell>
          <cell r="AD63">
            <v>240</v>
          </cell>
          <cell r="AE63">
            <v>494</v>
          </cell>
          <cell r="AF63">
            <v>553</v>
          </cell>
          <cell r="AG63">
            <v>538</v>
          </cell>
          <cell r="AH63">
            <v>15</v>
          </cell>
          <cell r="AK63">
            <v>3865.3333333333335</v>
          </cell>
          <cell r="AL63">
            <v>1049</v>
          </cell>
          <cell r="AM63">
            <v>2816.3333333333335</v>
          </cell>
          <cell r="AN63">
            <v>431</v>
          </cell>
          <cell r="AO63">
            <v>1358</v>
          </cell>
          <cell r="AP63">
            <v>618</v>
          </cell>
          <cell r="AQ63">
            <v>1458.3333333333335</v>
          </cell>
        </row>
        <row r="64">
          <cell r="G64">
            <v>0</v>
          </cell>
          <cell r="T64">
            <v>21</v>
          </cell>
          <cell r="U64">
            <v>109</v>
          </cell>
          <cell r="AH64">
            <v>0</v>
          </cell>
          <cell r="AI64">
            <v>0</v>
          </cell>
          <cell r="AJ64">
            <v>0</v>
          </cell>
          <cell r="AK64">
            <v>0</v>
          </cell>
          <cell r="AN64">
            <v>43</v>
          </cell>
          <cell r="AO64">
            <v>136</v>
          </cell>
          <cell r="AP64">
            <v>62</v>
          </cell>
          <cell r="AQ64">
            <v>146</v>
          </cell>
        </row>
        <row r="65">
          <cell r="F65">
            <v>87</v>
          </cell>
          <cell r="G65">
            <v>24</v>
          </cell>
          <cell r="H65">
            <v>63</v>
          </cell>
          <cell r="P65">
            <v>284</v>
          </cell>
          <cell r="S65">
            <v>2905</v>
          </cell>
          <cell r="X65">
            <v>219</v>
          </cell>
          <cell r="AC65">
            <v>199</v>
          </cell>
          <cell r="AF65">
            <v>67.2</v>
          </cell>
          <cell r="AG65">
            <v>67.2</v>
          </cell>
          <cell r="AH65">
            <v>0</v>
          </cell>
          <cell r="AK65">
            <v>3783.2</v>
          </cell>
          <cell r="AL65">
            <v>308</v>
          </cell>
          <cell r="AM65">
            <v>3475.2</v>
          </cell>
          <cell r="AO65">
            <v>799</v>
          </cell>
        </row>
        <row r="66">
          <cell r="F66">
            <v>0</v>
          </cell>
          <cell r="G66">
            <v>0</v>
          </cell>
          <cell r="P66">
            <v>0</v>
          </cell>
          <cell r="S66">
            <v>0</v>
          </cell>
          <cell r="X66">
            <v>0</v>
          </cell>
          <cell r="AC66">
            <v>0</v>
          </cell>
          <cell r="AD66">
            <v>0</v>
          </cell>
          <cell r="AH66">
            <v>0</v>
          </cell>
          <cell r="AK66">
            <v>0</v>
          </cell>
          <cell r="AL66">
            <v>0</v>
          </cell>
          <cell r="AM66">
            <v>0</v>
          </cell>
          <cell r="AO66">
            <v>0</v>
          </cell>
        </row>
        <row r="67">
          <cell r="G67">
            <v>0</v>
          </cell>
          <cell r="H67">
            <v>0.3333333333333286</v>
          </cell>
          <cell r="P67">
            <v>302</v>
          </cell>
          <cell r="S67">
            <v>-1610</v>
          </cell>
          <cell r="T67">
            <v>186.20000000000002</v>
          </cell>
          <cell r="U67">
            <v>978.8</v>
          </cell>
          <cell r="X67">
            <v>396</v>
          </cell>
          <cell r="Y67">
            <v>191</v>
          </cell>
          <cell r="Z67">
            <v>424</v>
          </cell>
          <cell r="AC67">
            <v>535</v>
          </cell>
          <cell r="AD67">
            <v>240</v>
          </cell>
          <cell r="AE67">
            <v>494</v>
          </cell>
          <cell r="AF67">
            <v>485.8</v>
          </cell>
          <cell r="AG67">
            <v>470.8</v>
          </cell>
          <cell r="AH67">
            <v>15</v>
          </cell>
          <cell r="AI67">
            <v>0</v>
          </cell>
          <cell r="AJ67">
            <v>0</v>
          </cell>
          <cell r="AK67">
            <v>81.800000000000011</v>
          </cell>
          <cell r="AN67">
            <v>388</v>
          </cell>
          <cell r="AO67">
            <v>423</v>
          </cell>
          <cell r="AP67">
            <v>556</v>
          </cell>
          <cell r="AQ67">
            <v>1312.3333333333335</v>
          </cell>
        </row>
        <row r="68">
          <cell r="F68">
            <v>92</v>
          </cell>
          <cell r="G68">
            <v>26</v>
          </cell>
          <cell r="H68">
            <v>66</v>
          </cell>
          <cell r="P68">
            <v>353</v>
          </cell>
          <cell r="S68">
            <v>873</v>
          </cell>
          <cell r="T68">
            <v>218.25</v>
          </cell>
          <cell r="U68">
            <v>654.75</v>
          </cell>
          <cell r="X68">
            <v>638</v>
          </cell>
          <cell r="Y68">
            <v>198</v>
          </cell>
          <cell r="Z68">
            <v>440</v>
          </cell>
          <cell r="AC68">
            <v>449</v>
          </cell>
          <cell r="AD68">
            <v>147</v>
          </cell>
          <cell r="AE68">
            <v>302</v>
          </cell>
          <cell r="AF68">
            <v>260</v>
          </cell>
          <cell r="AG68">
            <v>260</v>
          </cell>
          <cell r="AH68">
            <v>0</v>
          </cell>
          <cell r="AK68">
            <v>2665</v>
          </cell>
          <cell r="AL68">
            <v>724</v>
          </cell>
          <cell r="AM68">
            <v>1941</v>
          </cell>
          <cell r="AN68">
            <v>345</v>
          </cell>
          <cell r="AO68">
            <v>1039</v>
          </cell>
          <cell r="AP68">
            <v>379</v>
          </cell>
          <cell r="AQ68">
            <v>902</v>
          </cell>
        </row>
        <row r="69">
          <cell r="G69">
            <v>0</v>
          </cell>
          <cell r="H69">
            <v>0</v>
          </cell>
          <cell r="P69">
            <v>51</v>
          </cell>
          <cell r="S69">
            <v>296.72727272727275</v>
          </cell>
          <cell r="X69">
            <v>202.18181818181819</v>
          </cell>
          <cell r="Y69">
            <v>63</v>
          </cell>
          <cell r="Z69">
            <v>139.18181818181819</v>
          </cell>
          <cell r="AC69">
            <v>144</v>
          </cell>
          <cell r="AD69">
            <v>47</v>
          </cell>
          <cell r="AE69">
            <v>97</v>
          </cell>
          <cell r="AF69">
            <v>88</v>
          </cell>
          <cell r="AG69">
            <v>88</v>
          </cell>
          <cell r="AH69">
            <v>0</v>
          </cell>
          <cell r="AK69">
            <v>781.90909090909099</v>
          </cell>
          <cell r="AL69">
            <v>161</v>
          </cell>
          <cell r="AM69">
            <v>620.90909090909099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47</v>
          </cell>
          <cell r="AD71">
            <v>15</v>
          </cell>
          <cell r="AE71">
            <v>32</v>
          </cell>
          <cell r="AF71">
            <v>28</v>
          </cell>
          <cell r="AG71">
            <v>28</v>
          </cell>
          <cell r="AH71">
            <v>0</v>
          </cell>
          <cell r="AK71">
            <v>251</v>
          </cell>
          <cell r="AL71">
            <v>51</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353</v>
          </cell>
          <cell r="S73">
            <v>0</v>
          </cell>
          <cell r="X73">
            <v>0</v>
          </cell>
          <cell r="Y73">
            <v>0</v>
          </cell>
          <cell r="Z73">
            <v>0</v>
          </cell>
          <cell r="AC73">
            <v>0</v>
          </cell>
          <cell r="AD73">
            <v>0</v>
          </cell>
          <cell r="AE73">
            <v>0</v>
          </cell>
          <cell r="AF73">
            <v>0</v>
          </cell>
          <cell r="AG73">
            <v>0</v>
          </cell>
          <cell r="AH73">
            <v>0</v>
          </cell>
          <cell r="AK73">
            <v>353</v>
          </cell>
          <cell r="AL73">
            <v>353</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1748</v>
          </cell>
          <cell r="G75">
            <v>484</v>
          </cell>
          <cell r="H75">
            <v>1264</v>
          </cell>
          <cell r="P75">
            <v>110</v>
          </cell>
          <cell r="S75">
            <v>282</v>
          </cell>
          <cell r="T75">
            <v>116.82000000000001</v>
          </cell>
          <cell r="U75">
            <v>165.18</v>
          </cell>
          <cell r="X75">
            <v>115</v>
          </cell>
          <cell r="Y75">
            <v>36</v>
          </cell>
          <cell r="Z75">
            <v>79</v>
          </cell>
          <cell r="AC75">
            <v>84</v>
          </cell>
          <cell r="AD75">
            <v>27</v>
          </cell>
          <cell r="AE75">
            <v>57</v>
          </cell>
          <cell r="AF75">
            <v>225</v>
          </cell>
          <cell r="AG75">
            <v>186.2</v>
          </cell>
          <cell r="AH75">
            <v>38.800000000000011</v>
          </cell>
          <cell r="AI75">
            <v>633.66666666666663</v>
          </cell>
          <cell r="AK75">
            <v>3637.5333333333328</v>
          </cell>
          <cell r="AL75">
            <v>1134.6765314240254</v>
          </cell>
          <cell r="AM75">
            <v>2502.8568019093073</v>
          </cell>
          <cell r="AN75">
            <v>63</v>
          </cell>
          <cell r="AO75">
            <v>232</v>
          </cell>
          <cell r="AP75">
            <v>1071.6765314240254</v>
          </cell>
          <cell r="AQ75">
            <v>2270.8568019093073</v>
          </cell>
        </row>
        <row r="76">
          <cell r="F76">
            <v>105</v>
          </cell>
          <cell r="G76">
            <v>29</v>
          </cell>
          <cell r="H76">
            <v>76</v>
          </cell>
          <cell r="T76">
            <v>0</v>
          </cell>
          <cell r="U76">
            <v>0</v>
          </cell>
          <cell r="Y76">
            <v>0</v>
          </cell>
          <cell r="Z76">
            <v>0</v>
          </cell>
          <cell r="AE76">
            <v>0</v>
          </cell>
          <cell r="AH76">
            <v>0</v>
          </cell>
          <cell r="AK76">
            <v>105</v>
          </cell>
          <cell r="AL76">
            <v>29</v>
          </cell>
          <cell r="AM76">
            <v>76</v>
          </cell>
          <cell r="AN76">
            <v>0</v>
          </cell>
          <cell r="AO76">
            <v>0</v>
          </cell>
          <cell r="AP76">
            <v>29</v>
          </cell>
          <cell r="AQ76">
            <v>76</v>
          </cell>
        </row>
        <row r="77">
          <cell r="F77">
            <v>1643</v>
          </cell>
          <cell r="G77">
            <v>455</v>
          </cell>
          <cell r="H77">
            <v>1188</v>
          </cell>
          <cell r="P77">
            <v>110</v>
          </cell>
          <cell r="S77">
            <v>282</v>
          </cell>
          <cell r="T77">
            <v>116.82000000000001</v>
          </cell>
          <cell r="U77">
            <v>165.18</v>
          </cell>
          <cell r="X77">
            <v>115</v>
          </cell>
          <cell r="Y77">
            <v>36</v>
          </cell>
          <cell r="Z77">
            <v>79</v>
          </cell>
          <cell r="AC77">
            <v>84</v>
          </cell>
          <cell r="AD77">
            <v>27</v>
          </cell>
          <cell r="AE77">
            <v>57</v>
          </cell>
          <cell r="AF77">
            <v>225</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row>
        <row r="78">
          <cell r="F78">
            <v>591</v>
          </cell>
          <cell r="G78">
            <v>164</v>
          </cell>
          <cell r="H78">
            <v>427</v>
          </cell>
          <cell r="P78">
            <v>66</v>
          </cell>
          <cell r="S78">
            <v>177</v>
          </cell>
          <cell r="T78">
            <v>116.82000000000001</v>
          </cell>
          <cell r="U78">
            <v>60.179999999999993</v>
          </cell>
          <cell r="X78">
            <v>56</v>
          </cell>
          <cell r="Y78">
            <v>17</v>
          </cell>
          <cell r="Z78">
            <v>39</v>
          </cell>
          <cell r="AC78">
            <v>43</v>
          </cell>
          <cell r="AD78">
            <v>27</v>
          </cell>
          <cell r="AE78">
            <v>16</v>
          </cell>
          <cell r="AF78">
            <v>163</v>
          </cell>
          <cell r="AG78">
            <v>149</v>
          </cell>
          <cell r="AH78">
            <v>14</v>
          </cell>
          <cell r="AK78">
            <v>1182</v>
          </cell>
          <cell r="AL78">
            <v>331</v>
          </cell>
          <cell r="AM78">
            <v>851</v>
          </cell>
          <cell r="AQ78">
            <v>851</v>
          </cell>
        </row>
        <row r="79">
          <cell r="H79">
            <v>0</v>
          </cell>
          <cell r="S79">
            <v>0</v>
          </cell>
          <cell r="AK79">
            <v>363.66666666666663</v>
          </cell>
          <cell r="AL79">
            <v>158</v>
          </cell>
          <cell r="AM79">
            <v>205.66666666666663</v>
          </cell>
          <cell r="AQ79">
            <v>205.66666666666663</v>
          </cell>
        </row>
        <row r="80">
          <cell r="F80">
            <v>442</v>
          </cell>
          <cell r="G80">
            <v>123</v>
          </cell>
          <cell r="H80">
            <v>319</v>
          </cell>
          <cell r="P80">
            <v>20</v>
          </cell>
          <cell r="S80">
            <v>46</v>
          </cell>
          <cell r="X80">
            <v>48</v>
          </cell>
          <cell r="Y80">
            <v>15</v>
          </cell>
          <cell r="Z80">
            <v>33</v>
          </cell>
          <cell r="AC80">
            <v>9</v>
          </cell>
          <cell r="AD80">
            <v>3</v>
          </cell>
          <cell r="AE80">
            <v>6</v>
          </cell>
          <cell r="AF80">
            <v>12</v>
          </cell>
          <cell r="AG80">
            <v>7.1999999999999993</v>
          </cell>
          <cell r="AH80">
            <v>4.8000000000000007</v>
          </cell>
          <cell r="AI80">
            <v>39</v>
          </cell>
          <cell r="AK80">
            <v>615.20000000000005</v>
          </cell>
          <cell r="AL80">
            <v>178.67446300715991</v>
          </cell>
          <cell r="AM80">
            <v>436.5255369928401</v>
          </cell>
        </row>
        <row r="81">
          <cell r="F81">
            <v>610</v>
          </cell>
          <cell r="G81">
            <v>169</v>
          </cell>
          <cell r="H81">
            <v>441</v>
          </cell>
          <cell r="P81">
            <v>24</v>
          </cell>
          <cell r="S81">
            <v>59</v>
          </cell>
          <cell r="X81">
            <v>11</v>
          </cell>
          <cell r="Y81">
            <v>3</v>
          </cell>
          <cell r="Z81">
            <v>8</v>
          </cell>
          <cell r="AC81">
            <v>32</v>
          </cell>
          <cell r="AD81">
            <v>10</v>
          </cell>
          <cell r="AE81">
            <v>22</v>
          </cell>
          <cell r="AF81">
            <v>50</v>
          </cell>
          <cell r="AG81">
            <v>30</v>
          </cell>
          <cell r="AH81">
            <v>20</v>
          </cell>
          <cell r="AI81">
            <v>594.66666666666663</v>
          </cell>
          <cell r="AK81">
            <v>1371.6666666666665</v>
          </cell>
          <cell r="AL81">
            <v>451.00206841686554</v>
          </cell>
          <cell r="AM81">
            <v>920.66459824980097</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D83">
            <v>1</v>
          </cell>
          <cell r="AE83">
            <v>0.7</v>
          </cell>
          <cell r="AF83">
            <v>4.8</v>
          </cell>
          <cell r="AH83">
            <v>4.8</v>
          </cell>
          <cell r="AK83">
            <v>35.800000000000004</v>
          </cell>
          <cell r="AL83">
            <v>6.1</v>
          </cell>
          <cell r="AM83">
            <v>29.700000000000003</v>
          </cell>
        </row>
        <row r="84">
          <cell r="F84">
            <v>2580.6666666666665</v>
          </cell>
          <cell r="G84">
            <v>715</v>
          </cell>
          <cell r="H84">
            <v>1865.6666666666667</v>
          </cell>
          <cell r="P84">
            <v>2354</v>
          </cell>
          <cell r="Q84">
            <v>0</v>
          </cell>
          <cell r="R84">
            <v>0</v>
          </cell>
          <cell r="S84">
            <v>26604.272727272728</v>
          </cell>
          <cell r="T84">
            <v>23755.143636363639</v>
          </cell>
          <cell r="U84">
            <v>2849.1290909090908</v>
          </cell>
          <cell r="X84">
            <v>28707.81818181818</v>
          </cell>
          <cell r="Y84">
            <v>12776.09756097561</v>
          </cell>
          <cell r="Z84">
            <v>15931.720620842572</v>
          </cell>
          <cell r="AA84">
            <v>0</v>
          </cell>
          <cell r="AB84">
            <v>0</v>
          </cell>
          <cell r="AC84">
            <v>26674</v>
          </cell>
          <cell r="AD84">
            <v>13272.477434679333</v>
          </cell>
          <cell r="AE84">
            <v>13401.522565320667</v>
          </cell>
          <cell r="AF84">
            <v>4052</v>
          </cell>
          <cell r="AG84">
            <v>3049.1</v>
          </cell>
          <cell r="AH84">
            <v>1002.9000000000001</v>
          </cell>
          <cell r="AI84">
            <v>912.66666666666663</v>
          </cell>
          <cell r="AK84">
            <v>91858.190909090888</v>
          </cell>
          <cell r="AL84">
            <v>30097.38422397634</v>
          </cell>
          <cell r="AM84">
            <v>61760.806685114578</v>
          </cell>
          <cell r="AN84">
            <v>25995.574995654941</v>
          </cell>
          <cell r="AO84">
            <v>50645</v>
          </cell>
          <cell r="AP84">
            <v>3784.8092283214</v>
          </cell>
          <cell r="AQ84">
            <v>10379.806685114569</v>
          </cell>
        </row>
        <row r="85">
          <cell r="F85">
            <v>281</v>
          </cell>
          <cell r="G85">
            <v>78</v>
          </cell>
          <cell r="H85">
            <v>203</v>
          </cell>
          <cell r="P85">
            <v>528</v>
          </cell>
          <cell r="Q85">
            <v>0</v>
          </cell>
          <cell r="R85">
            <v>0</v>
          </cell>
          <cell r="T85">
            <v>454.85363636363633</v>
          </cell>
          <cell r="U85">
            <v>473.41909090909093</v>
          </cell>
          <cell r="V85">
            <v>0</v>
          </cell>
          <cell r="W85">
            <v>0</v>
          </cell>
          <cell r="Y85">
            <v>148</v>
          </cell>
          <cell r="Z85">
            <v>327</v>
          </cell>
          <cell r="AA85">
            <v>0</v>
          </cell>
          <cell r="AB85">
            <v>0</v>
          </cell>
          <cell r="AD85">
            <v>128</v>
          </cell>
          <cell r="AE85">
            <v>265</v>
          </cell>
          <cell r="AH85">
            <v>115</v>
          </cell>
          <cell r="AI85">
            <v>279</v>
          </cell>
          <cell r="AK85">
            <v>4355</v>
          </cell>
          <cell r="AL85">
            <v>1153.1326968973747</v>
          </cell>
          <cell r="AM85">
            <v>3201.8673031026256</v>
          </cell>
        </row>
        <row r="86">
          <cell r="AL86">
            <v>29644.574995654941</v>
          </cell>
        </row>
        <row r="87">
          <cell r="F87">
            <v>11292</v>
          </cell>
          <cell r="G87">
            <v>11292</v>
          </cell>
          <cell r="AK87">
            <v>11292</v>
          </cell>
          <cell r="AL87">
            <v>11292</v>
          </cell>
          <cell r="AM87">
            <v>0</v>
          </cell>
          <cell r="AN87">
            <v>0</v>
          </cell>
          <cell r="AO87">
            <v>0</v>
          </cell>
          <cell r="AP87">
            <v>0</v>
          </cell>
          <cell r="AQ87">
            <v>0</v>
          </cell>
        </row>
        <row r="88">
          <cell r="F88">
            <v>13872.666666666666</v>
          </cell>
          <cell r="G88">
            <v>12007</v>
          </cell>
          <cell r="H88">
            <v>1865.6666666666667</v>
          </cell>
          <cell r="P88">
            <v>2354</v>
          </cell>
          <cell r="Q88">
            <v>0</v>
          </cell>
          <cell r="R88">
            <v>0</v>
          </cell>
          <cell r="S88">
            <v>26604.272727272728</v>
          </cell>
          <cell r="T88">
            <v>23755.143636363639</v>
          </cell>
          <cell r="U88">
            <v>2849.1290909090908</v>
          </cell>
          <cell r="V88">
            <v>0</v>
          </cell>
          <cell r="W88">
            <v>0</v>
          </cell>
          <cell r="X88">
            <v>28707.81818181818</v>
          </cell>
          <cell r="Y88">
            <v>12776.09756097561</v>
          </cell>
          <cell r="Z88">
            <v>15931.720620842572</v>
          </cell>
          <cell r="AA88">
            <v>0</v>
          </cell>
          <cell r="AB88">
            <v>0</v>
          </cell>
          <cell r="AC88">
            <v>26674</v>
          </cell>
          <cell r="AD88">
            <v>13272.477434679333</v>
          </cell>
          <cell r="AE88">
            <v>13401.522565320667</v>
          </cell>
          <cell r="AF88">
            <v>4052</v>
          </cell>
          <cell r="AG88">
            <v>3049.1</v>
          </cell>
          <cell r="AH88">
            <v>1002.9000000000001</v>
          </cell>
          <cell r="AI88">
            <v>912.66666666666663</v>
          </cell>
          <cell r="AK88">
            <v>103150.19090909089</v>
          </cell>
          <cell r="AL88">
            <v>41389.38422397634</v>
          </cell>
          <cell r="AM88">
            <v>61760.806685114578</v>
          </cell>
          <cell r="AN88">
            <v>25995.574995654941</v>
          </cell>
          <cell r="AO88">
            <v>50645</v>
          </cell>
          <cell r="AP88">
            <v>3784.8092283214</v>
          </cell>
          <cell r="AQ88">
            <v>10379.806685114569</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232.62193611480285</v>
          </cell>
          <cell r="AQ90">
            <v>38.001908588179916</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61</v>
          </cell>
          <cell r="S92">
            <v>7</v>
          </cell>
          <cell r="X92">
            <v>17</v>
          </cell>
          <cell r="Y92">
            <v>5</v>
          </cell>
          <cell r="Z92">
            <v>12</v>
          </cell>
          <cell r="AC92">
            <v>27</v>
          </cell>
          <cell r="AD92">
            <v>14</v>
          </cell>
          <cell r="AE92">
            <v>13</v>
          </cell>
          <cell r="AF92">
            <v>15</v>
          </cell>
          <cell r="AG92">
            <v>14</v>
          </cell>
          <cell r="AH92">
            <v>1</v>
          </cell>
          <cell r="AK92">
            <v>144.66666666666666</v>
          </cell>
          <cell r="AL92">
            <v>84</v>
          </cell>
          <cell r="AM92">
            <v>60.666666666666657</v>
          </cell>
          <cell r="AN92">
            <v>19</v>
          </cell>
          <cell r="AO92">
            <v>27</v>
          </cell>
          <cell r="AP92">
            <v>65</v>
          </cell>
          <cell r="AQ92">
            <v>33.666666666666657</v>
          </cell>
        </row>
        <row r="95">
          <cell r="F95">
            <v>15881.333333333332</v>
          </cell>
          <cell r="G95">
            <v>12949</v>
          </cell>
          <cell r="H95">
            <v>2932.3333333333335</v>
          </cell>
          <cell r="P95">
            <v>2415</v>
          </cell>
          <cell r="Q95">
            <v>0</v>
          </cell>
          <cell r="R95">
            <v>0</v>
          </cell>
          <cell r="S95">
            <v>26611.272727272728</v>
          </cell>
          <cell r="T95">
            <v>23755.143636363639</v>
          </cell>
          <cell r="U95">
            <v>2849.1290909090908</v>
          </cell>
          <cell r="V95">
            <v>0</v>
          </cell>
          <cell r="W95">
            <v>0</v>
          </cell>
          <cell r="X95">
            <v>28724.81818181818</v>
          </cell>
          <cell r="Y95">
            <v>12781.09756097561</v>
          </cell>
          <cell r="Z95">
            <v>15943.720620842572</v>
          </cell>
          <cell r="AA95">
            <v>0</v>
          </cell>
          <cell r="AB95">
            <v>0</v>
          </cell>
          <cell r="AC95">
            <v>26701</v>
          </cell>
          <cell r="AD95">
            <v>13286.477434679333</v>
          </cell>
          <cell r="AE95">
            <v>13414.522565320667</v>
          </cell>
          <cell r="AF95">
            <v>4066</v>
          </cell>
          <cell r="AG95">
            <v>3063.1</v>
          </cell>
          <cell r="AH95">
            <v>1003.9000000000001</v>
          </cell>
          <cell r="AI95">
            <v>912.66666666666663</v>
          </cell>
          <cell r="AJ95">
            <v>0</v>
          </cell>
          <cell r="AK95">
            <v>105284.85757575756</v>
          </cell>
          <cell r="AL95">
            <v>42411.38422397634</v>
          </cell>
          <cell r="AM95">
            <v>62873.473351781242</v>
          </cell>
          <cell r="AN95">
            <v>26014.574995654941</v>
          </cell>
          <cell r="AO95">
            <v>50672</v>
          </cell>
          <cell r="AP95">
            <v>4082.4311644362028</v>
          </cell>
          <cell r="AQ95">
            <v>10450.475260369414</v>
          </cell>
        </row>
        <row r="96">
          <cell r="F96">
            <v>4589.3333333333321</v>
          </cell>
          <cell r="G96">
            <v>1657</v>
          </cell>
          <cell r="H96">
            <v>2932.3333333333335</v>
          </cell>
          <cell r="P96">
            <v>2415</v>
          </cell>
          <cell r="Q96">
            <v>0</v>
          </cell>
          <cell r="R96">
            <v>0</v>
          </cell>
          <cell r="S96">
            <v>7686.2727272727279</v>
          </cell>
          <cell r="T96">
            <v>4830.1436363636385</v>
          </cell>
          <cell r="U96">
            <v>2849.1290909090908</v>
          </cell>
          <cell r="V96">
            <v>0</v>
          </cell>
          <cell r="W96">
            <v>0</v>
          </cell>
          <cell r="X96">
            <v>2624.8181818181802</v>
          </cell>
          <cell r="Y96">
            <v>815</v>
          </cell>
          <cell r="Z96">
            <v>1809.818181818182</v>
          </cell>
          <cell r="AA96">
            <v>0</v>
          </cell>
          <cell r="AB96">
            <v>0</v>
          </cell>
          <cell r="AC96">
            <v>1950</v>
          </cell>
          <cell r="AD96">
            <v>642</v>
          </cell>
          <cell r="AE96">
            <v>1308</v>
          </cell>
          <cell r="AF96">
            <v>4066</v>
          </cell>
          <cell r="AG96">
            <v>3063.1</v>
          </cell>
          <cell r="AH96">
            <v>1003.9000000000001</v>
          </cell>
          <cell r="AI96">
            <v>912.66666666666663</v>
          </cell>
          <cell r="AJ96">
            <v>0</v>
          </cell>
          <cell r="AK96">
            <v>24216.85757575756</v>
          </cell>
          <cell r="AL96">
            <v>6508.8092283213991</v>
          </cell>
          <cell r="AM96">
            <v>17708.048347436183</v>
          </cell>
          <cell r="AN96">
            <v>1404</v>
          </cell>
          <cell r="AO96">
            <v>5507</v>
          </cell>
          <cell r="AP96">
            <v>4082.4311644362028</v>
          </cell>
          <cell r="AQ96">
            <v>10450.050256024355</v>
          </cell>
        </row>
        <row r="97">
          <cell r="F97">
            <v>424</v>
          </cell>
          <cell r="G97">
            <v>15881.333333333334</v>
          </cell>
          <cell r="P97">
            <v>284</v>
          </cell>
          <cell r="S97">
            <v>2905</v>
          </cell>
          <cell r="X97">
            <v>219</v>
          </cell>
          <cell r="Y97">
            <v>28724.818181818184</v>
          </cell>
          <cell r="AC97">
            <v>199</v>
          </cell>
          <cell r="AD97">
            <v>26701</v>
          </cell>
          <cell r="AF97">
            <v>67.2</v>
          </cell>
          <cell r="AG97">
            <v>67.2</v>
          </cell>
          <cell r="AH97">
            <v>0</v>
          </cell>
          <cell r="AI97">
            <v>54.400000000000006</v>
          </cell>
          <cell r="AJ97">
            <v>0</v>
          </cell>
          <cell r="AK97">
            <v>4174.5999999999995</v>
          </cell>
          <cell r="AL97">
            <v>105284.85757575759</v>
          </cell>
        </row>
        <row r="98">
          <cell r="F98">
            <v>87</v>
          </cell>
          <cell r="P98">
            <v>284</v>
          </cell>
          <cell r="S98">
            <v>2905</v>
          </cell>
          <cell r="X98">
            <v>219</v>
          </cell>
          <cell r="AC98">
            <v>199</v>
          </cell>
          <cell r="AF98">
            <v>67.2</v>
          </cell>
          <cell r="AG98">
            <v>67.2</v>
          </cell>
          <cell r="AH98">
            <v>0</v>
          </cell>
          <cell r="AI98">
            <v>54.400000000000006</v>
          </cell>
          <cell r="AK98">
            <v>3837.6</v>
          </cell>
          <cell r="AL98">
            <v>105284.85757575757</v>
          </cell>
          <cell r="AM98">
            <v>42403.574995654941</v>
          </cell>
        </row>
        <row r="99">
          <cell r="F99">
            <v>0</v>
          </cell>
          <cell r="P99">
            <v>0</v>
          </cell>
          <cell r="X99">
            <v>0</v>
          </cell>
          <cell r="AK99">
            <v>0</v>
          </cell>
        </row>
        <row r="100">
          <cell r="F100">
            <v>337</v>
          </cell>
          <cell r="P100">
            <v>0</v>
          </cell>
          <cell r="S100">
            <v>0</v>
          </cell>
          <cell r="X100">
            <v>0</v>
          </cell>
          <cell r="AC100">
            <v>0</v>
          </cell>
          <cell r="AF100">
            <v>0</v>
          </cell>
          <cell r="AG100">
            <v>0</v>
          </cell>
          <cell r="AH100">
            <v>0</v>
          </cell>
          <cell r="AI100">
            <v>0</v>
          </cell>
          <cell r="AK100">
            <v>337</v>
          </cell>
        </row>
        <row r="101">
          <cell r="P101">
            <v>0</v>
          </cell>
          <cell r="S101">
            <v>0</v>
          </cell>
        </row>
        <row r="102">
          <cell r="S102">
            <v>0</v>
          </cell>
          <cell r="X102">
            <v>0</v>
          </cell>
        </row>
        <row r="104">
          <cell r="AK104">
            <v>0</v>
          </cell>
        </row>
        <row r="105">
          <cell r="AK105">
            <v>0</v>
          </cell>
        </row>
        <row r="106">
          <cell r="F106">
            <v>787</v>
          </cell>
          <cell r="P106">
            <v>0</v>
          </cell>
          <cell r="S106">
            <v>0</v>
          </cell>
          <cell r="X106">
            <v>0</v>
          </cell>
          <cell r="AC106">
            <v>0</v>
          </cell>
          <cell r="AF106">
            <v>0</v>
          </cell>
          <cell r="AG106">
            <v>0</v>
          </cell>
          <cell r="AH106">
            <v>0</v>
          </cell>
          <cell r="AI106">
            <v>0</v>
          </cell>
          <cell r="AK106">
            <v>787</v>
          </cell>
        </row>
        <row r="107">
          <cell r="F107">
            <v>337</v>
          </cell>
          <cell r="S107">
            <v>0</v>
          </cell>
          <cell r="AC107">
            <v>0</v>
          </cell>
          <cell r="AF107">
            <v>0</v>
          </cell>
          <cell r="AG107">
            <v>0</v>
          </cell>
          <cell r="AH107">
            <v>0</v>
          </cell>
          <cell r="AI107">
            <v>0</v>
          </cell>
          <cell r="AK107">
            <v>337</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216</v>
          </cell>
          <cell r="X110">
            <v>0</v>
          </cell>
          <cell r="AC110">
            <v>0</v>
          </cell>
          <cell r="AF110">
            <v>0</v>
          </cell>
          <cell r="AG110">
            <v>0</v>
          </cell>
          <cell r="AH110">
            <v>0</v>
          </cell>
          <cell r="AI110">
            <v>64</v>
          </cell>
          <cell r="AK110">
            <v>280</v>
          </cell>
        </row>
        <row r="111">
          <cell r="F111">
            <v>0</v>
          </cell>
          <cell r="P111">
            <v>0</v>
          </cell>
          <cell r="S111">
            <v>216</v>
          </cell>
          <cell r="AC111">
            <v>0</v>
          </cell>
          <cell r="AF111">
            <v>0</v>
          </cell>
          <cell r="AG111">
            <v>0</v>
          </cell>
          <cell r="AH111">
            <v>0</v>
          </cell>
          <cell r="AI111">
            <v>64</v>
          </cell>
          <cell r="AK111">
            <v>280</v>
          </cell>
        </row>
        <row r="112">
          <cell r="F112">
            <v>0</v>
          </cell>
          <cell r="P112">
            <v>0</v>
          </cell>
          <cell r="S112">
            <v>0</v>
          </cell>
          <cell r="X112">
            <v>0</v>
          </cell>
          <cell r="AC112">
            <v>0</v>
          </cell>
          <cell r="AF112">
            <v>0</v>
          </cell>
          <cell r="AG112">
            <v>0</v>
          </cell>
          <cell r="AH112">
            <v>0</v>
          </cell>
          <cell r="AK112">
            <v>0</v>
          </cell>
        </row>
        <row r="113">
          <cell r="F113">
            <v>0</v>
          </cell>
          <cell r="P113">
            <v>0</v>
          </cell>
          <cell r="S113">
            <v>331</v>
          </cell>
          <cell r="AC113">
            <v>0</v>
          </cell>
          <cell r="AG113">
            <v>0</v>
          </cell>
          <cell r="AH113">
            <v>0</v>
          </cell>
          <cell r="AK113">
            <v>331</v>
          </cell>
          <cell r="AM113">
            <v>0</v>
          </cell>
        </row>
        <row r="114">
          <cell r="F114">
            <v>0</v>
          </cell>
          <cell r="P114">
            <v>0</v>
          </cell>
          <cell r="S114">
            <v>331</v>
          </cell>
          <cell r="AH114">
            <v>0</v>
          </cell>
          <cell r="AK114">
            <v>331</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-12062.791969696958</v>
          </cell>
        </row>
        <row r="124">
          <cell r="F124">
            <v>0</v>
          </cell>
        </row>
        <row r="125">
          <cell r="F125">
            <v>10029.666666666666</v>
          </cell>
          <cell r="G125">
            <v>0</v>
          </cell>
          <cell r="H125">
            <v>0</v>
          </cell>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v>0</v>
          </cell>
          <cell r="AQ125">
            <v>0</v>
          </cell>
        </row>
        <row r="126">
          <cell r="F126">
            <v>10029.666666666666</v>
          </cell>
          <cell r="G126">
            <v>0</v>
          </cell>
          <cell r="H126">
            <v>0</v>
          </cell>
          <cell r="P126">
            <v>0</v>
          </cell>
          <cell r="S126">
            <v>547</v>
          </cell>
          <cell r="X126">
            <v>0</v>
          </cell>
          <cell r="Y126">
            <v>0</v>
          </cell>
          <cell r="Z126">
            <v>0</v>
          </cell>
          <cell r="AC126">
            <v>0</v>
          </cell>
          <cell r="AD126">
            <v>0</v>
          </cell>
          <cell r="AE126">
            <v>0</v>
          </cell>
          <cell r="AF126">
            <v>0</v>
          </cell>
          <cell r="AG126">
            <v>0</v>
          </cell>
          <cell r="AH126">
            <v>0</v>
          </cell>
          <cell r="AI126">
            <v>64</v>
          </cell>
          <cell r="AJ126">
            <v>0</v>
          </cell>
          <cell r="AK126">
            <v>5998.6666666666661</v>
          </cell>
        </row>
        <row r="127">
          <cell r="AK127">
            <v>-1422.1253030302919</v>
          </cell>
          <cell r="AL127">
            <v>10640.666666666666</v>
          </cell>
        </row>
        <row r="128">
          <cell r="AK128">
            <v>-1422.1253030302919</v>
          </cell>
        </row>
        <row r="129">
          <cell r="AK129">
            <v>-2031.60757575756</v>
          </cell>
          <cell r="AL129">
            <v>3974.6157760236601</v>
          </cell>
          <cell r="AM129">
            <v>-6871.4733517812419</v>
          </cell>
        </row>
        <row r="131">
          <cell r="AK131">
            <v>-609.48227272726797</v>
          </cell>
          <cell r="AN131">
            <v>0</v>
          </cell>
        </row>
        <row r="134">
          <cell r="AK134">
            <v>56002</v>
          </cell>
          <cell r="AM134">
            <v>56002</v>
          </cell>
          <cell r="AN134">
            <v>0</v>
          </cell>
          <cell r="AP134">
            <v>0</v>
          </cell>
        </row>
        <row r="135">
          <cell r="AK135">
            <v>-6871.4733517812419</v>
          </cell>
          <cell r="AN135">
            <v>0</v>
          </cell>
        </row>
        <row r="136">
          <cell r="AK136">
            <v>35.44</v>
          </cell>
          <cell r="AN136" t="e">
            <v>#DIV/0!</v>
          </cell>
        </row>
        <row r="137">
          <cell r="AK137">
            <v>39.79</v>
          </cell>
          <cell r="AN137" t="e">
            <v>#DIV/0!</v>
          </cell>
        </row>
        <row r="138">
          <cell r="AK138">
            <v>0</v>
          </cell>
          <cell r="AN138">
            <v>0</v>
          </cell>
        </row>
        <row r="140">
          <cell r="AK140">
            <v>10.96</v>
          </cell>
          <cell r="AN140" t="e">
            <v>#DIV/0!</v>
          </cell>
        </row>
        <row r="142">
          <cell r="AJ142">
            <v>0</v>
          </cell>
          <cell r="AK142">
            <v>10.72</v>
          </cell>
          <cell r="AN142" t="e">
            <v>#DIV/0!</v>
          </cell>
        </row>
        <row r="143">
          <cell r="AK143">
            <v>43363</v>
          </cell>
          <cell r="AL143">
            <v>43363</v>
          </cell>
        </row>
        <row r="145">
          <cell r="AJ145">
            <v>300</v>
          </cell>
        </row>
        <row r="146">
          <cell r="AK146">
            <v>15200.952380952382</v>
          </cell>
          <cell r="AL146">
            <v>-42411.38422397634</v>
          </cell>
          <cell r="AM146">
            <v>-62873.473351781242</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1404</v>
          </cell>
          <cell r="AO152">
            <v>5507</v>
          </cell>
          <cell r="AP152">
            <v>4082.4311644362028</v>
          </cell>
          <cell r="AQ152">
            <v>10450.050256024355</v>
          </cell>
        </row>
        <row r="153">
          <cell r="AK153">
            <v>-1.9</v>
          </cell>
          <cell r="AL153">
            <v>9.4</v>
          </cell>
          <cell r="AM153">
            <v>-10.9</v>
          </cell>
        </row>
        <row r="154">
          <cell r="AK154">
            <v>14.437928426710897</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542</v>
          </cell>
          <cell r="P158">
            <v>353</v>
          </cell>
          <cell r="S158">
            <v>873</v>
          </cell>
          <cell r="X158">
            <v>638</v>
          </cell>
          <cell r="AC158">
            <v>449</v>
          </cell>
          <cell r="AF158">
            <v>260</v>
          </cell>
          <cell r="AG158">
            <v>260</v>
          </cell>
          <cell r="AH158">
            <v>0</v>
          </cell>
          <cell r="AK158">
            <v>3115</v>
          </cell>
        </row>
        <row r="159">
          <cell r="F159">
            <v>542</v>
          </cell>
          <cell r="P159">
            <v>169</v>
          </cell>
          <cell r="S159">
            <v>315</v>
          </cell>
          <cell r="X159">
            <v>320</v>
          </cell>
          <cell r="AC159">
            <v>231</v>
          </cell>
          <cell r="AF159">
            <v>67.2</v>
          </cell>
          <cell r="AG159">
            <v>67.2</v>
          </cell>
          <cell r="AH159">
            <v>0</v>
          </cell>
          <cell r="AK159">
            <v>1577</v>
          </cell>
        </row>
        <row r="160">
          <cell r="F160">
            <v>542</v>
          </cell>
          <cell r="P160">
            <v>56</v>
          </cell>
          <cell r="S160">
            <v>190.4</v>
          </cell>
          <cell r="X160">
            <v>101.36000000000001</v>
          </cell>
          <cell r="AC160">
            <v>72.8</v>
          </cell>
          <cell r="AF160">
            <v>56</v>
          </cell>
          <cell r="AG160">
            <v>56</v>
          </cell>
          <cell r="AH160">
            <v>0</v>
          </cell>
          <cell r="AI160">
            <v>436.44</v>
          </cell>
          <cell r="AK160">
            <v>1455</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199</v>
          </cell>
          <cell r="AG164">
            <v>121</v>
          </cell>
          <cell r="AK164">
            <v>955.90909090909099</v>
          </cell>
        </row>
        <row r="165">
          <cell r="F165">
            <v>83</v>
          </cell>
          <cell r="S165">
            <v>464.27272727272725</v>
          </cell>
          <cell r="X165">
            <v>359.81818181818181</v>
          </cell>
          <cell r="AC165">
            <v>250</v>
          </cell>
          <cell r="AK165">
            <v>1157.090909090909</v>
          </cell>
        </row>
        <row r="166">
          <cell r="S166">
            <v>873</v>
          </cell>
          <cell r="X166">
            <v>638</v>
          </cell>
          <cell r="AC166">
            <v>449</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424</v>
          </cell>
          <cell r="G169">
            <v>15881.333333333334</v>
          </cell>
          <cell r="H169">
            <v>0</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F170">
            <v>424</v>
          </cell>
          <cell r="G170">
            <v>15881.333333333334</v>
          </cell>
          <cell r="H170">
            <v>0</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F171">
            <v>0</v>
          </cell>
          <cell r="G171">
            <v>0</v>
          </cell>
          <cell r="H171">
            <v>0</v>
          </cell>
          <cell r="P171">
            <v>0</v>
          </cell>
          <cell r="R171">
            <v>0</v>
          </cell>
          <cell r="S171">
            <v>331</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331</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542</v>
          </cell>
          <cell r="AF175">
            <v>1440</v>
          </cell>
          <cell r="AG175">
            <v>1281</v>
          </cell>
          <cell r="AH175">
            <v>159</v>
          </cell>
          <cell r="AJ175">
            <v>0</v>
          </cell>
          <cell r="AK175">
            <v>5605</v>
          </cell>
          <cell r="AN175">
            <v>176</v>
          </cell>
          <cell r="AO175">
            <v>699</v>
          </cell>
          <cell r="AP175">
            <v>871.13269689737467</v>
          </cell>
          <cell r="AQ175">
            <v>2007.9582121935346</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row>
        <row r="177">
          <cell r="F177">
            <v>18.666666666666664</v>
          </cell>
          <cell r="P177">
            <v>61</v>
          </cell>
          <cell r="Q177">
            <v>0</v>
          </cell>
          <cell r="R177">
            <v>0</v>
          </cell>
          <cell r="S177">
            <v>28</v>
          </cell>
          <cell r="T177">
            <v>21</v>
          </cell>
          <cell r="U177">
            <v>0</v>
          </cell>
          <cell r="V177">
            <v>0</v>
          </cell>
          <cell r="W177">
            <v>0</v>
          </cell>
          <cell r="X177">
            <v>494</v>
          </cell>
          <cell r="AA177">
            <v>0</v>
          </cell>
          <cell r="AB177">
            <v>0</v>
          </cell>
          <cell r="AC177">
            <v>41</v>
          </cell>
          <cell r="AF177">
            <v>15</v>
          </cell>
          <cell r="AG177">
            <v>14</v>
          </cell>
          <cell r="AH177">
            <v>1</v>
          </cell>
          <cell r="AI177">
            <v>0</v>
          </cell>
          <cell r="AJ177">
            <v>0</v>
          </cell>
          <cell r="AK177">
            <v>47.18439393939866</v>
          </cell>
          <cell r="AN177">
            <v>172</v>
          </cell>
          <cell r="AO177">
            <v>372</v>
          </cell>
          <cell r="AP177">
            <v>65</v>
          </cell>
          <cell r="AQ177">
            <v>47.666666666666657</v>
          </cell>
        </row>
        <row r="180">
          <cell r="F180">
            <v>1912.6666666666656</v>
          </cell>
          <cell r="P180">
            <v>759</v>
          </cell>
          <cell r="S180">
            <v>4214.0000000000009</v>
          </cell>
          <cell r="X180">
            <v>502.99999999999835</v>
          </cell>
          <cell r="AC180">
            <v>383</v>
          </cell>
          <cell r="AF180">
            <v>1919</v>
          </cell>
          <cell r="AG180">
            <v>1091.0999999999999</v>
          </cell>
          <cell r="AH180">
            <v>827.90000000000009</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N189">
            <v>66</v>
          </cell>
        </row>
        <row r="190">
          <cell r="P190">
            <v>0</v>
          </cell>
          <cell r="S190">
            <v>194.5</v>
          </cell>
          <cell r="X190">
            <v>194.5</v>
          </cell>
          <cell r="AC190">
            <v>194.5</v>
          </cell>
          <cell r="AK190">
            <v>194.5</v>
          </cell>
          <cell r="AN190">
            <v>0</v>
          </cell>
        </row>
        <row r="191">
          <cell r="S191">
            <v>18925</v>
          </cell>
          <cell r="X191">
            <v>17350</v>
          </cell>
          <cell r="AC191">
            <v>14237</v>
          </cell>
          <cell r="AK191">
            <v>50512</v>
          </cell>
          <cell r="AN191">
            <v>0</v>
          </cell>
        </row>
        <row r="192">
          <cell r="AK192">
            <v>50512</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AJ201">
            <v>0</v>
          </cell>
          <cell r="AN201" t="e">
            <v>#DIV/0!</v>
          </cell>
          <cell r="AQ201">
            <v>75</v>
          </cell>
        </row>
        <row r="202">
          <cell r="S202">
            <v>653</v>
          </cell>
          <cell r="X202">
            <v>653</v>
          </cell>
          <cell r="AC202">
            <v>653</v>
          </cell>
          <cell r="AK202">
            <v>653</v>
          </cell>
          <cell r="AN202">
            <v>195.28</v>
          </cell>
        </row>
        <row r="203">
          <cell r="S203">
            <v>0</v>
          </cell>
          <cell r="X203">
            <v>8750</v>
          </cell>
          <cell r="AC203">
            <v>10514</v>
          </cell>
          <cell r="AK203">
            <v>19264</v>
          </cell>
          <cell r="AN203">
            <v>14810</v>
          </cell>
        </row>
        <row r="204">
          <cell r="AK204">
            <v>19264</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row>
        <row r="207">
          <cell r="S207">
            <v>169.12</v>
          </cell>
          <cell r="X207">
            <v>215.7</v>
          </cell>
          <cell r="Y207">
            <v>319.10000000000002</v>
          </cell>
          <cell r="Z207">
            <v>169.27</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AM208">
            <v>0</v>
          </cell>
          <cell r="AN208">
            <v>52</v>
          </cell>
          <cell r="AO208">
            <v>52</v>
          </cell>
        </row>
        <row r="209">
          <cell r="X209">
            <v>26100</v>
          </cell>
          <cell r="AC209">
            <v>24751</v>
          </cell>
          <cell r="AK209">
            <v>69776</v>
          </cell>
          <cell r="AL209">
            <v>24610.574995654941</v>
          </cell>
          <cell r="AM209">
            <v>45165.425004345059</v>
          </cell>
          <cell r="AN209">
            <v>14862</v>
          </cell>
          <cell r="AO209">
            <v>3164.427048260382</v>
          </cell>
          <cell r="AP209">
            <v>11697.572951739618</v>
          </cell>
        </row>
        <row r="211">
          <cell r="AK211">
            <v>69776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3281.3333333333321</v>
          </cell>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9">
          <cell r="F259">
            <v>22223.257142857143</v>
          </cell>
          <cell r="G259">
            <v>1657</v>
          </cell>
          <cell r="H259">
            <v>2932</v>
          </cell>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M259">
            <v>100230.25</v>
          </cell>
        </row>
        <row r="260">
          <cell r="F260">
            <v>11037.590476190477</v>
          </cell>
          <cell r="G260">
            <v>1551</v>
          </cell>
          <cell r="H260">
            <v>2654</v>
          </cell>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F261">
            <v>100507.92380952381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F262">
            <v>69776</v>
          </cell>
          <cell r="AK262">
            <v>69776</v>
          </cell>
        </row>
        <row r="263">
          <cell r="F263">
            <v>11292</v>
          </cell>
          <cell r="AK263">
            <v>11292</v>
          </cell>
        </row>
        <row r="264">
          <cell r="F264">
            <v>10092.257142857143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F265">
            <v>498</v>
          </cell>
          <cell r="AK265">
            <v>498</v>
          </cell>
        </row>
        <row r="266">
          <cell r="F266">
            <v>0</v>
          </cell>
          <cell r="AK266">
            <v>0</v>
          </cell>
        </row>
        <row r="267">
          <cell r="F267">
            <v>4104.2571428571437</v>
          </cell>
          <cell r="AK267">
            <v>4104.2571428571437</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103789.25714285714</v>
          </cell>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F274">
            <v>1445</v>
          </cell>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F275">
            <v>384</v>
          </cell>
          <cell r="G275">
            <v>106</v>
          </cell>
          <cell r="H275">
            <v>278</v>
          </cell>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F276">
            <v>0</v>
          </cell>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F277">
            <v>1058</v>
          </cell>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F278">
            <v>158</v>
          </cell>
          <cell r="P278">
            <v>56</v>
          </cell>
          <cell r="S278">
            <v>400.83333333333331</v>
          </cell>
          <cell r="X278">
            <v>75</v>
          </cell>
          <cell r="AC278">
            <v>40</v>
          </cell>
          <cell r="AF278">
            <v>295</v>
          </cell>
          <cell r="AG278">
            <v>263</v>
          </cell>
          <cell r="AH278">
            <v>32</v>
          </cell>
          <cell r="AI278">
            <v>0</v>
          </cell>
          <cell r="AK278">
            <v>1058.8333333333333</v>
          </cell>
        </row>
        <row r="279">
          <cell r="F279">
            <v>298</v>
          </cell>
          <cell r="P279">
            <v>10</v>
          </cell>
          <cell r="S279">
            <v>0</v>
          </cell>
          <cell r="X279">
            <v>0</v>
          </cell>
          <cell r="AC279">
            <v>20</v>
          </cell>
          <cell r="AF279">
            <v>32</v>
          </cell>
          <cell r="AG279">
            <v>32</v>
          </cell>
          <cell r="AH279">
            <v>0</v>
          </cell>
          <cell r="AI279">
            <v>0</v>
          </cell>
          <cell r="AK279">
            <v>360</v>
          </cell>
        </row>
        <row r="280">
          <cell r="F280">
            <v>60</v>
          </cell>
          <cell r="P280">
            <v>190</v>
          </cell>
          <cell r="S280">
            <v>690</v>
          </cell>
          <cell r="X280">
            <v>0</v>
          </cell>
          <cell r="AC280">
            <v>60</v>
          </cell>
          <cell r="AF280">
            <v>67.2</v>
          </cell>
          <cell r="AG280">
            <v>67.2</v>
          </cell>
          <cell r="AK280">
            <v>1067.2</v>
          </cell>
        </row>
        <row r="281">
          <cell r="F281">
            <v>542</v>
          </cell>
          <cell r="P281">
            <v>65</v>
          </cell>
          <cell r="S281">
            <v>48</v>
          </cell>
          <cell r="X281">
            <v>101</v>
          </cell>
          <cell r="AC281">
            <v>43</v>
          </cell>
          <cell r="AF281">
            <v>56</v>
          </cell>
          <cell r="AG281">
            <v>56</v>
          </cell>
          <cell r="AH281">
            <v>0</v>
          </cell>
          <cell r="AK281">
            <v>855</v>
          </cell>
        </row>
        <row r="282">
          <cell r="F282">
            <v>3</v>
          </cell>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F283">
            <v>0</v>
          </cell>
          <cell r="P283">
            <v>1</v>
          </cell>
          <cell r="S283">
            <v>0</v>
          </cell>
          <cell r="X283">
            <v>18</v>
          </cell>
          <cell r="AC283">
            <v>47</v>
          </cell>
          <cell r="AF283">
            <v>0</v>
          </cell>
          <cell r="AG283">
            <v>0</v>
          </cell>
          <cell r="AH283">
            <v>0</v>
          </cell>
          <cell r="AI283">
            <v>0</v>
          </cell>
          <cell r="AK283">
            <v>66</v>
          </cell>
        </row>
        <row r="284">
          <cell r="F284">
            <v>3</v>
          </cell>
          <cell r="P284">
            <v>91</v>
          </cell>
          <cell r="S284">
            <v>3156</v>
          </cell>
          <cell r="X284">
            <v>0</v>
          </cell>
          <cell r="AC284">
            <v>0</v>
          </cell>
          <cell r="AF284">
            <v>1154</v>
          </cell>
          <cell r="AG284">
            <v>403.9</v>
          </cell>
          <cell r="AH284">
            <v>750.1</v>
          </cell>
          <cell r="AI284">
            <v>0</v>
          </cell>
          <cell r="AK284">
            <v>4404</v>
          </cell>
        </row>
        <row r="285">
          <cell r="AK285">
            <v>363.66666666666663</v>
          </cell>
        </row>
        <row r="286">
          <cell r="S286">
            <v>250</v>
          </cell>
          <cell r="AH286">
            <v>0</v>
          </cell>
          <cell r="AI286">
            <v>0</v>
          </cell>
          <cell r="AK286">
            <v>250</v>
          </cell>
        </row>
        <row r="287">
          <cell r="F287">
            <v>102344.25714285714</v>
          </cell>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F289">
            <v>2637.9999999999995</v>
          </cell>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F290">
            <v>424</v>
          </cell>
          <cell r="P290">
            <v>94</v>
          </cell>
          <cell r="S290">
            <v>2512</v>
          </cell>
          <cell r="X290">
            <v>219</v>
          </cell>
          <cell r="AC290">
            <v>139</v>
          </cell>
          <cell r="AF290">
            <v>0</v>
          </cell>
          <cell r="AG290">
            <v>0</v>
          </cell>
          <cell r="AH290">
            <v>0</v>
          </cell>
          <cell r="AI290">
            <v>118.4</v>
          </cell>
          <cell r="AK290">
            <v>3410</v>
          </cell>
        </row>
        <row r="291">
          <cell r="F291">
            <v>542</v>
          </cell>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1653.3333333333333</v>
          </cell>
          <cell r="P294">
            <v>601</v>
          </cell>
          <cell r="Q294">
            <v>0</v>
          </cell>
          <cell r="R294">
            <v>0</v>
          </cell>
          <cell r="S294">
            <v>657.16666666666674</v>
          </cell>
          <cell r="T294">
            <v>0</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F295">
            <v>0</v>
          </cell>
          <cell r="P295">
            <v>435</v>
          </cell>
          <cell r="S295">
            <v>12.166666666666686</v>
          </cell>
          <cell r="X295">
            <v>165</v>
          </cell>
          <cell r="AC295">
            <v>111</v>
          </cell>
          <cell r="AF295">
            <v>9</v>
          </cell>
          <cell r="AG295">
            <v>5</v>
          </cell>
          <cell r="AH295">
            <v>4</v>
          </cell>
          <cell r="AI295">
            <v>0</v>
          </cell>
          <cell r="AK295">
            <v>846.16666666666674</v>
          </cell>
        </row>
        <row r="296">
          <cell r="F296">
            <v>10.333333333333334</v>
          </cell>
          <cell r="P296">
            <v>56</v>
          </cell>
          <cell r="S296">
            <v>363</v>
          </cell>
          <cell r="X296">
            <v>130</v>
          </cell>
          <cell r="AC296">
            <v>95</v>
          </cell>
          <cell r="AF296">
            <v>205</v>
          </cell>
          <cell r="AG296">
            <v>201</v>
          </cell>
          <cell r="AH296">
            <v>4</v>
          </cell>
          <cell r="AI296">
            <v>0</v>
          </cell>
          <cell r="AK296">
            <v>864.33333333333326</v>
          </cell>
        </row>
        <row r="297">
          <cell r="F297">
            <v>1643</v>
          </cell>
          <cell r="P297">
            <v>110</v>
          </cell>
          <cell r="S297">
            <v>282</v>
          </cell>
          <cell r="X297">
            <v>115</v>
          </cell>
          <cell r="AC297">
            <v>84</v>
          </cell>
          <cell r="AF297">
            <v>225</v>
          </cell>
          <cell r="AG297">
            <v>186.2</v>
          </cell>
          <cell r="AH297">
            <v>38.800000000000011</v>
          </cell>
          <cell r="AI297">
            <v>633.66666666666663</v>
          </cell>
          <cell r="AK297">
            <v>2574</v>
          </cell>
        </row>
        <row r="298">
          <cell r="P298">
            <v>0</v>
          </cell>
          <cell r="AF298">
            <v>0</v>
          </cell>
          <cell r="AG298">
            <v>0</v>
          </cell>
          <cell r="AH298">
            <v>0</v>
          </cell>
          <cell r="AI298">
            <v>0</v>
          </cell>
          <cell r="AK298">
            <v>0</v>
          </cell>
        </row>
        <row r="299">
          <cell r="F299">
            <v>18.666666666666664</v>
          </cell>
          <cell r="P299">
            <v>61</v>
          </cell>
          <cell r="S299">
            <v>7</v>
          </cell>
          <cell r="X299">
            <v>17</v>
          </cell>
          <cell r="AC299">
            <v>27</v>
          </cell>
          <cell r="AF299">
            <v>15</v>
          </cell>
          <cell r="AG299">
            <v>14</v>
          </cell>
          <cell r="AH299">
            <v>1</v>
          </cell>
          <cell r="AI299">
            <v>0</v>
          </cell>
          <cell r="AK299">
            <v>145.66666666666666</v>
          </cell>
        </row>
        <row r="300">
          <cell r="F300">
            <v>102344.25714285714</v>
          </cell>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AH301">
            <v>191</v>
          </cell>
          <cell r="AK301">
            <v>0</v>
          </cell>
        </row>
        <row r="303">
          <cell r="F303">
            <v>102344.25714285714</v>
          </cell>
          <cell r="G303">
            <v>0</v>
          </cell>
          <cell r="H303">
            <v>0</v>
          </cell>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F303">
            <v>536</v>
          </cell>
          <cell r="AG303">
            <v>297.19999999999993</v>
          </cell>
          <cell r="AH303">
            <v>238.80000000000007</v>
          </cell>
          <cell r="AK303">
            <v>109270.51471861471</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102344.25714285714</v>
          </cell>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AK309">
            <v>0</v>
          </cell>
        </row>
        <row r="310">
          <cell r="P310">
            <v>0</v>
          </cell>
          <cell r="AK310">
            <v>0</v>
          </cell>
        </row>
        <row r="311">
          <cell r="S311">
            <v>0</v>
          </cell>
          <cell r="AK311">
            <v>0</v>
          </cell>
        </row>
        <row r="312">
          <cell r="F312">
            <v>8992</v>
          </cell>
          <cell r="AK312">
            <v>8992</v>
          </cell>
        </row>
        <row r="313">
          <cell r="S313">
            <v>0</v>
          </cell>
        </row>
        <row r="314">
          <cell r="F314">
            <v>0</v>
          </cell>
          <cell r="AK314">
            <v>0</v>
          </cell>
        </row>
        <row r="315">
          <cell r="AK315">
            <v>0</v>
          </cell>
        </row>
        <row r="317">
          <cell r="AK317">
            <v>0</v>
          </cell>
        </row>
        <row r="318">
          <cell r="S318">
            <v>0</v>
          </cell>
        </row>
        <row r="319">
          <cell r="F319">
            <v>102344.25714285714</v>
          </cell>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8">
          <cell r="AJ328">
            <v>2455</v>
          </cell>
          <cell r="AK328">
            <v>5764</v>
          </cell>
          <cell r="AM328">
            <v>4603</v>
          </cell>
        </row>
        <row r="329">
          <cell r="F329">
            <v>103</v>
          </cell>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K331">
            <v>498</v>
          </cell>
          <cell r="AM331">
            <v>498</v>
          </cell>
        </row>
        <row r="332">
          <cell r="AJ332">
            <v>36</v>
          </cell>
          <cell r="AK332">
            <v>145.66666666666666</v>
          </cell>
          <cell r="AM332">
            <v>130.66666666666666</v>
          </cell>
        </row>
        <row r="333">
          <cell r="AK333">
            <v>4104.2571428571437</v>
          </cell>
          <cell r="AM333">
            <v>4104.2571428571437</v>
          </cell>
        </row>
        <row r="334">
          <cell r="AK334">
            <v>3500</v>
          </cell>
          <cell r="AM334">
            <v>3500</v>
          </cell>
        </row>
        <row r="335">
          <cell r="AK335">
            <v>0</v>
          </cell>
        </row>
        <row r="336">
          <cell r="AK336">
            <v>1990</v>
          </cell>
          <cell r="AM336">
            <v>1990</v>
          </cell>
        </row>
        <row r="337">
          <cell r="AK337">
            <v>9242.6666666666661</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row>
        <row r="348">
          <cell r="AK348">
            <v>855</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row>
        <row r="353">
          <cell r="AK353">
            <v>0</v>
          </cell>
        </row>
        <row r="354">
          <cell r="F354">
            <v>0</v>
          </cell>
          <cell r="P354">
            <v>0</v>
          </cell>
          <cell r="S354">
            <v>0</v>
          </cell>
          <cell r="X354">
            <v>0</v>
          </cell>
          <cell r="AC354">
            <v>0</v>
          </cell>
          <cell r="AF354">
            <v>0</v>
          </cell>
          <cell r="AG354">
            <v>0</v>
          </cell>
          <cell r="AH354">
            <v>0</v>
          </cell>
          <cell r="AI354">
            <v>0</v>
          </cell>
          <cell r="AK354">
            <v>363.66666666666663</v>
          </cell>
          <cell r="AM354">
            <v>363.66666666666663</v>
          </cell>
        </row>
        <row r="355">
          <cell r="AK355">
            <v>105</v>
          </cell>
          <cell r="AM355">
            <v>105</v>
          </cell>
        </row>
        <row r="356">
          <cell r="AK356">
            <v>0</v>
          </cell>
          <cell r="AM356">
            <v>0</v>
          </cell>
        </row>
        <row r="357">
          <cell r="AK357">
            <v>0</v>
          </cell>
          <cell r="AM357">
            <v>0</v>
          </cell>
        </row>
        <row r="358">
          <cell r="AJ358">
            <v>-2491</v>
          </cell>
          <cell r="AK358">
            <v>4284.5</v>
          </cell>
          <cell r="AM358" t="e">
            <v>#REF!</v>
          </cell>
        </row>
        <row r="359">
          <cell r="AK359">
            <v>846.16666666666674</v>
          </cell>
        </row>
        <row r="360">
          <cell r="AK360">
            <v>864.33333333333326</v>
          </cell>
        </row>
        <row r="361">
          <cell r="AK361">
            <v>2574</v>
          </cell>
        </row>
        <row r="362">
          <cell r="F362">
            <v>0</v>
          </cell>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71">
          <cell r="F371">
            <v>-4642</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P389">
            <v>2</v>
          </cell>
          <cell r="X389">
            <v>0</v>
          </cell>
          <cell r="Y389">
            <v>0</v>
          </cell>
          <cell r="AC389">
            <v>25</v>
          </cell>
          <cell r="AD389">
            <v>8</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8" refreshError="1">
        <row r="13">
          <cell r="C13" t="str">
            <v>І.В.ПЛАЧКОВ</v>
          </cell>
        </row>
        <row r="25">
          <cell r="X25" t="str">
            <v>ЗАТВЕРДЖУЮ</v>
          </cell>
        </row>
        <row r="26">
          <cell r="X26" t="str">
            <v>В.О. ГЕНЕРАЛЬНОГО ДИРЕКТОРА  КЕ</v>
          </cell>
        </row>
        <row r="27">
          <cell r="Y27" t="str">
            <v>ЯЩЕНКО Б.В.</v>
          </cell>
        </row>
        <row r="31">
          <cell r="C31" t="str">
            <v>ВИКОН.ДИР.</v>
          </cell>
          <cell r="D31" t="str">
            <v>Е/Е</v>
          </cell>
          <cell r="E31" t="str">
            <v xml:space="preserve"> Т/Е</v>
          </cell>
          <cell r="I31" t="str">
            <v>ККМ розр.</v>
          </cell>
          <cell r="J31" t="str">
            <v>ККМ розп. коштів</v>
          </cell>
          <cell r="K31" t="str">
            <v>КТМ розр.</v>
          </cell>
          <cell r="L31" t="str">
            <v>ВИРОБН</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t="str">
            <v>ТРМ  СТОР.</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row>
        <row r="32">
          <cell r="P32">
            <v>313</v>
          </cell>
          <cell r="T32">
            <v>166</v>
          </cell>
          <cell r="AJ32">
            <v>479</v>
          </cell>
        </row>
        <row r="33">
          <cell r="P33">
            <v>283.95999999999998</v>
          </cell>
          <cell r="T33">
            <v>143.30000000000001</v>
          </cell>
          <cell r="AJ33">
            <v>427.26</v>
          </cell>
        </row>
        <row r="34">
          <cell r="AJ34">
            <v>0</v>
          </cell>
        </row>
        <row r="35">
          <cell r="AJ35">
            <v>75</v>
          </cell>
        </row>
        <row r="36">
          <cell r="AJ36">
            <v>0</v>
          </cell>
        </row>
        <row r="37">
          <cell r="AJ37">
            <v>0</v>
          </cell>
        </row>
        <row r="38">
          <cell r="AJ38">
            <v>451.8</v>
          </cell>
        </row>
        <row r="39">
          <cell r="I39">
            <v>0</v>
          </cell>
          <cell r="AJ39">
            <v>451.8</v>
          </cell>
        </row>
        <row r="40">
          <cell r="K40">
            <v>788</v>
          </cell>
          <cell r="Q40">
            <v>519</v>
          </cell>
          <cell r="U40">
            <v>415</v>
          </cell>
          <cell r="AK40">
            <v>1722</v>
          </cell>
        </row>
        <row r="41">
          <cell r="AK41">
            <v>0</v>
          </cell>
        </row>
        <row r="42">
          <cell r="K42">
            <v>788</v>
          </cell>
          <cell r="Q42">
            <v>519</v>
          </cell>
          <cell r="U42">
            <v>415</v>
          </cell>
          <cell r="AK42">
            <v>1519</v>
          </cell>
        </row>
        <row r="43">
          <cell r="C43">
            <v>14292.169805900916</v>
          </cell>
          <cell r="I43">
            <v>2832.727272727273</v>
          </cell>
          <cell r="J43">
            <v>0</v>
          </cell>
          <cell r="K43">
            <v>9868.7272727272721</v>
          </cell>
          <cell r="L43">
            <v>5352.8863636363612</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I45">
            <v>725.72727272727275</v>
          </cell>
          <cell r="J45">
            <v>0</v>
          </cell>
          <cell r="K45">
            <v>1685.4545454545455</v>
          </cell>
          <cell r="L45">
            <v>728.25818181818181</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7">
          <cell r="C47">
            <v>414</v>
          </cell>
          <cell r="D47">
            <v>88</v>
          </cell>
          <cell r="E47">
            <v>326</v>
          </cell>
          <cell r="I47">
            <v>463</v>
          </cell>
          <cell r="K47">
            <v>777</v>
          </cell>
          <cell r="L47">
            <v>388.5</v>
          </cell>
          <cell r="M47">
            <v>388.5</v>
          </cell>
          <cell r="O47">
            <v>258</v>
          </cell>
          <cell r="P47">
            <v>80</v>
          </cell>
          <cell r="Q47">
            <v>178</v>
          </cell>
          <cell r="S47">
            <v>218</v>
          </cell>
          <cell r="T47">
            <v>71</v>
          </cell>
          <cell r="U47">
            <v>147</v>
          </cell>
          <cell r="W47">
            <v>340</v>
          </cell>
          <cell r="X47">
            <v>239</v>
          </cell>
          <cell r="Y47">
            <v>101</v>
          </cell>
          <cell r="AG47">
            <v>0</v>
          </cell>
          <cell r="AH47">
            <v>2517</v>
          </cell>
          <cell r="AJ47">
            <v>820</v>
          </cell>
          <cell r="AK47">
            <v>1697</v>
          </cell>
          <cell r="AL47">
            <v>151</v>
          </cell>
          <cell r="AM47">
            <v>589</v>
          </cell>
          <cell r="AN47">
            <v>669</v>
          </cell>
          <cell r="AO47">
            <v>1108</v>
          </cell>
        </row>
        <row r="48">
          <cell r="C48">
            <v>158</v>
          </cell>
          <cell r="D48">
            <v>0</v>
          </cell>
          <cell r="I48">
            <v>337</v>
          </cell>
          <cell r="K48">
            <v>218</v>
          </cell>
          <cell r="O48">
            <v>75</v>
          </cell>
          <cell r="S48">
            <v>120</v>
          </cell>
          <cell r="Y48">
            <v>0</v>
          </cell>
          <cell r="AH48">
            <v>942</v>
          </cell>
        </row>
        <row r="49">
          <cell r="I49">
            <v>1</v>
          </cell>
          <cell r="O49">
            <v>110</v>
          </cell>
          <cell r="S49">
            <v>0</v>
          </cell>
          <cell r="Y49">
            <v>0</v>
          </cell>
          <cell r="AH49">
            <v>111</v>
          </cell>
        </row>
        <row r="50">
          <cell r="C50">
            <v>256</v>
          </cell>
          <cell r="D50">
            <v>55</v>
          </cell>
          <cell r="I50">
            <v>10</v>
          </cell>
          <cell r="Y50">
            <v>0</v>
          </cell>
          <cell r="AH50">
            <v>266</v>
          </cell>
        </row>
        <row r="51">
          <cell r="C51">
            <v>29</v>
          </cell>
          <cell r="D51">
            <v>6</v>
          </cell>
          <cell r="E51">
            <v>23</v>
          </cell>
          <cell r="I51">
            <v>56</v>
          </cell>
          <cell r="K51">
            <v>664</v>
          </cell>
          <cell r="L51">
            <v>517.92000000000007</v>
          </cell>
          <cell r="M51">
            <v>146.07999999999993</v>
          </cell>
          <cell r="O51">
            <v>777</v>
          </cell>
          <cell r="P51">
            <v>241</v>
          </cell>
          <cell r="Q51">
            <v>536</v>
          </cell>
          <cell r="S51">
            <v>95</v>
          </cell>
          <cell r="T51">
            <v>31</v>
          </cell>
          <cell r="U51">
            <v>64</v>
          </cell>
          <cell r="W51">
            <v>251</v>
          </cell>
          <cell r="X51">
            <v>172</v>
          </cell>
          <cell r="Y51">
            <v>79</v>
          </cell>
          <cell r="AG51">
            <v>0</v>
          </cell>
          <cell r="AH51">
            <v>1798</v>
          </cell>
          <cell r="AJ51">
            <v>337</v>
          </cell>
          <cell r="AK51">
            <v>1461</v>
          </cell>
          <cell r="AL51">
            <v>272</v>
          </cell>
          <cell r="AM51">
            <v>826</v>
          </cell>
          <cell r="AN51">
            <v>65</v>
          </cell>
          <cell r="AO51">
            <v>635</v>
          </cell>
        </row>
        <row r="52">
          <cell r="C52">
            <v>0</v>
          </cell>
          <cell r="D52">
            <v>0</v>
          </cell>
          <cell r="E52">
            <v>0</v>
          </cell>
          <cell r="K52">
            <v>22</v>
          </cell>
          <cell r="L52">
            <v>22</v>
          </cell>
          <cell r="M52">
            <v>0</v>
          </cell>
          <cell r="O52">
            <v>647</v>
          </cell>
          <cell r="P52">
            <v>201</v>
          </cell>
          <cell r="Q52">
            <v>446</v>
          </cell>
          <cell r="S52">
            <v>14</v>
          </cell>
          <cell r="T52">
            <v>5</v>
          </cell>
          <cell r="U52">
            <v>9</v>
          </cell>
          <cell r="Y52">
            <v>0</v>
          </cell>
          <cell r="AH52">
            <v>683</v>
          </cell>
          <cell r="AJ52">
            <v>206</v>
          </cell>
          <cell r="AK52">
            <v>477</v>
          </cell>
          <cell r="AL52">
            <v>206</v>
          </cell>
          <cell r="AM52">
            <v>462</v>
          </cell>
          <cell r="AN52">
            <v>0</v>
          </cell>
          <cell r="AO52">
            <v>15</v>
          </cell>
        </row>
        <row r="53">
          <cell r="C53">
            <v>0</v>
          </cell>
          <cell r="D53">
            <v>0</v>
          </cell>
          <cell r="E53">
            <v>0</v>
          </cell>
          <cell r="K53">
            <v>18926</v>
          </cell>
          <cell r="L53">
            <v>18926</v>
          </cell>
          <cell r="M53">
            <v>0</v>
          </cell>
          <cell r="O53">
            <v>22508</v>
          </cell>
          <cell r="P53">
            <v>8374.9121951219513</v>
          </cell>
          <cell r="Q53">
            <v>14133.087804878049</v>
          </cell>
          <cell r="S53">
            <v>20436</v>
          </cell>
          <cell r="T53">
            <v>8329.4774346793329</v>
          </cell>
          <cell r="U53">
            <v>12106.522565320667</v>
          </cell>
          <cell r="Y53">
            <v>0</v>
          </cell>
          <cell r="AG53">
            <v>0</v>
          </cell>
          <cell r="AH53">
            <v>61870</v>
          </cell>
          <cell r="AJ53">
            <v>16704.389629801284</v>
          </cell>
          <cell r="AK53">
            <v>45165.610370198716</v>
          </cell>
          <cell r="AL53">
            <v>16704.389629801284</v>
          </cell>
          <cell r="AM53">
            <v>45166</v>
          </cell>
          <cell r="AN53">
            <v>0</v>
          </cell>
          <cell r="AO53">
            <v>-0.38962980128417257</v>
          </cell>
        </row>
        <row r="54">
          <cell r="C54">
            <v>0</v>
          </cell>
          <cell r="D54">
            <v>0</v>
          </cell>
          <cell r="E54">
            <v>0</v>
          </cell>
          <cell r="I54">
            <v>0</v>
          </cell>
          <cell r="K54">
            <v>18926</v>
          </cell>
          <cell r="L54">
            <v>18926</v>
          </cell>
          <cell r="M54">
            <v>0</v>
          </cell>
          <cell r="O54">
            <v>22508</v>
          </cell>
          <cell r="P54">
            <v>8374.9121951219513</v>
          </cell>
          <cell r="Q54">
            <v>14133.087804878049</v>
          </cell>
          <cell r="S54">
            <v>20436</v>
          </cell>
          <cell r="T54">
            <v>8329.4774346793329</v>
          </cell>
          <cell r="U54">
            <v>12106.522565320667</v>
          </cell>
          <cell r="W54">
            <v>0</v>
          </cell>
          <cell r="X54">
            <v>0</v>
          </cell>
          <cell r="Y54">
            <v>0</v>
          </cell>
          <cell r="AH54">
            <v>61870</v>
          </cell>
          <cell r="AJ54">
            <v>16704.389629801284</v>
          </cell>
          <cell r="AK54">
            <v>45165.610370198716</v>
          </cell>
          <cell r="AL54">
            <v>16704.389629801284</v>
          </cell>
          <cell r="AM54">
            <v>45166</v>
          </cell>
          <cell r="AN54">
            <v>0</v>
          </cell>
          <cell r="AO54">
            <v>-0.38962980128417257</v>
          </cell>
        </row>
        <row r="55">
          <cell r="C55">
            <v>0</v>
          </cell>
          <cell r="D55">
            <v>0</v>
          </cell>
          <cell r="E55">
            <v>0</v>
          </cell>
          <cell r="L55">
            <v>0</v>
          </cell>
          <cell r="M55">
            <v>0</v>
          </cell>
          <cell r="W55">
            <v>0</v>
          </cell>
          <cell r="Y55">
            <v>0</v>
          </cell>
          <cell r="AH55">
            <v>0</v>
          </cell>
          <cell r="AJ55">
            <v>0</v>
          </cell>
          <cell r="AK55">
            <v>0</v>
          </cell>
          <cell r="AM55">
            <v>0</v>
          </cell>
        </row>
        <row r="56">
          <cell r="C56">
            <v>3</v>
          </cell>
          <cell r="D56">
            <v>1</v>
          </cell>
          <cell r="E56">
            <v>2</v>
          </cell>
          <cell r="I56">
            <v>91</v>
          </cell>
          <cell r="K56">
            <v>3197</v>
          </cell>
          <cell r="L56">
            <v>3197</v>
          </cell>
          <cell r="M56">
            <v>0</v>
          </cell>
          <cell r="O56">
            <v>0</v>
          </cell>
          <cell r="P56">
            <v>0</v>
          </cell>
          <cell r="Q56">
            <v>0</v>
          </cell>
          <cell r="S56">
            <v>0</v>
          </cell>
          <cell r="T56">
            <v>0</v>
          </cell>
          <cell r="U56">
            <v>0</v>
          </cell>
          <cell r="W56">
            <v>1374</v>
          </cell>
          <cell r="X56">
            <v>682</v>
          </cell>
          <cell r="Y56">
            <v>692</v>
          </cell>
          <cell r="AG56">
            <v>0</v>
          </cell>
          <cell r="AH56">
            <v>3973</v>
          </cell>
          <cell r="AJ56">
            <v>92</v>
          </cell>
          <cell r="AK56">
            <v>3881</v>
          </cell>
          <cell r="AL56">
            <v>0</v>
          </cell>
          <cell r="AM56">
            <v>1087</v>
          </cell>
          <cell r="AN56">
            <v>92</v>
          </cell>
          <cell r="AO56">
            <v>2794</v>
          </cell>
        </row>
        <row r="57">
          <cell r="C57">
            <v>298.54545454545456</v>
          </cell>
          <cell r="D57">
            <v>64</v>
          </cell>
          <cell r="E57">
            <v>234.54545454545456</v>
          </cell>
          <cell r="I57">
            <v>477.72727272727275</v>
          </cell>
          <cell r="K57">
            <v>928.72727272727275</v>
          </cell>
          <cell r="L57">
            <v>455.07636363636362</v>
          </cell>
          <cell r="M57">
            <v>473.65090909090912</v>
          </cell>
          <cell r="O57">
            <v>272.72727272727275</v>
          </cell>
          <cell r="P57">
            <v>85</v>
          </cell>
          <cell r="Q57">
            <v>187.72727272727275</v>
          </cell>
          <cell r="S57">
            <v>248.63636363636363</v>
          </cell>
          <cell r="T57">
            <v>81</v>
          </cell>
          <cell r="U57">
            <v>167.63636363636363</v>
          </cell>
          <cell r="W57">
            <v>958.5454545454545</v>
          </cell>
          <cell r="X57">
            <v>814.76363636363635</v>
          </cell>
          <cell r="Y57">
            <v>143.78181818181815</v>
          </cell>
          <cell r="AG57">
            <v>0</v>
          </cell>
          <cell r="AH57">
            <v>3265.1272727272726</v>
          </cell>
          <cell r="AJ57">
            <v>854.72727272727275</v>
          </cell>
          <cell r="AK57">
            <v>2410.3999999999996</v>
          </cell>
          <cell r="AL57">
            <v>166</v>
          </cell>
          <cell r="AM57">
            <v>671</v>
          </cell>
          <cell r="AN57">
            <v>688.72727272727275</v>
          </cell>
          <cell r="AO57">
            <v>1739.3999999999996</v>
          </cell>
        </row>
        <row r="58">
          <cell r="C58">
            <v>16</v>
          </cell>
          <cell r="D58">
            <v>3</v>
          </cell>
          <cell r="E58">
            <v>13</v>
          </cell>
          <cell r="I58">
            <v>26</v>
          </cell>
          <cell r="K58">
            <v>51</v>
          </cell>
          <cell r="L58">
            <v>164</v>
          </cell>
          <cell r="M58">
            <v>-113</v>
          </cell>
          <cell r="O58">
            <v>15</v>
          </cell>
          <cell r="P58">
            <v>5</v>
          </cell>
          <cell r="Q58">
            <v>10</v>
          </cell>
          <cell r="S58">
            <v>14</v>
          </cell>
          <cell r="T58">
            <v>5</v>
          </cell>
          <cell r="U58">
            <v>9</v>
          </cell>
          <cell r="W58">
            <v>53</v>
          </cell>
          <cell r="X58">
            <v>45</v>
          </cell>
          <cell r="Y58">
            <v>8</v>
          </cell>
          <cell r="AG58">
            <v>0</v>
          </cell>
          <cell r="AH58">
            <v>179</v>
          </cell>
          <cell r="AJ58">
            <v>47</v>
          </cell>
          <cell r="AK58">
            <v>132</v>
          </cell>
          <cell r="AL58">
            <v>10</v>
          </cell>
          <cell r="AM58">
            <v>28</v>
          </cell>
          <cell r="AN58">
            <v>37</v>
          </cell>
          <cell r="AO58">
            <v>104</v>
          </cell>
        </row>
        <row r="59">
          <cell r="C59">
            <v>96</v>
          </cell>
          <cell r="D59">
            <v>0</v>
          </cell>
          <cell r="E59">
            <v>0</v>
          </cell>
          <cell r="I59">
            <v>153</v>
          </cell>
          <cell r="K59">
            <v>297</v>
          </cell>
          <cell r="L59">
            <v>7</v>
          </cell>
          <cell r="M59">
            <v>290</v>
          </cell>
          <cell r="O59">
            <v>87</v>
          </cell>
          <cell r="P59">
            <v>27</v>
          </cell>
          <cell r="Q59">
            <v>60</v>
          </cell>
          <cell r="S59">
            <v>80</v>
          </cell>
          <cell r="T59">
            <v>26</v>
          </cell>
          <cell r="U59">
            <v>54</v>
          </cell>
          <cell r="W59">
            <v>307</v>
          </cell>
          <cell r="X59">
            <v>261</v>
          </cell>
          <cell r="Y59">
            <v>46</v>
          </cell>
          <cell r="AG59">
            <v>0</v>
          </cell>
          <cell r="AH59">
            <v>1046</v>
          </cell>
          <cell r="AJ59">
            <v>253</v>
          </cell>
          <cell r="AK59">
            <v>793</v>
          </cell>
          <cell r="AL59">
            <v>0</v>
          </cell>
          <cell r="AM59">
            <v>0</v>
          </cell>
          <cell r="AN59">
            <v>0</v>
          </cell>
          <cell r="AO59">
            <v>0</v>
          </cell>
        </row>
        <row r="60">
          <cell r="C60">
            <v>0</v>
          </cell>
          <cell r="D60">
            <v>0</v>
          </cell>
          <cell r="E60">
            <v>0</v>
          </cell>
          <cell r="I60">
            <v>0</v>
          </cell>
          <cell r="L60">
            <v>0</v>
          </cell>
          <cell r="M60">
            <v>0</v>
          </cell>
          <cell r="O60">
            <v>0</v>
          </cell>
          <cell r="P60">
            <v>0</v>
          </cell>
          <cell r="Q60">
            <v>0</v>
          </cell>
          <cell r="T60">
            <v>0</v>
          </cell>
          <cell r="U60">
            <v>0</v>
          </cell>
          <cell r="AG60">
            <v>0</v>
          </cell>
          <cell r="AH60">
            <v>0</v>
          </cell>
          <cell r="AJ60">
            <v>0</v>
          </cell>
          <cell r="AK60">
            <v>0</v>
          </cell>
          <cell r="AL60">
            <v>0</v>
          </cell>
          <cell r="AM60">
            <v>0</v>
          </cell>
          <cell r="AN60">
            <v>0</v>
          </cell>
          <cell r="AO60">
            <v>0</v>
          </cell>
        </row>
        <row r="61">
          <cell r="C61">
            <v>87.333333333333329</v>
          </cell>
          <cell r="D61">
            <v>19</v>
          </cell>
          <cell r="E61">
            <v>68.333333333333329</v>
          </cell>
          <cell r="I61">
            <v>598</v>
          </cell>
          <cell r="K61">
            <v>1295</v>
          </cell>
          <cell r="L61">
            <v>207.20000000000002</v>
          </cell>
          <cell r="M61">
            <v>1087.8</v>
          </cell>
          <cell r="O61">
            <v>688</v>
          </cell>
          <cell r="P61">
            <v>213</v>
          </cell>
          <cell r="Q61">
            <v>475</v>
          </cell>
          <cell r="S61">
            <v>734</v>
          </cell>
          <cell r="T61">
            <v>240</v>
          </cell>
          <cell r="U61">
            <v>494</v>
          </cell>
          <cell r="W61">
            <v>574</v>
          </cell>
          <cell r="X61">
            <v>494</v>
          </cell>
          <cell r="Y61">
            <v>80</v>
          </cell>
          <cell r="AG61">
            <v>0</v>
          </cell>
          <cell r="AH61">
            <v>3906.3333333333335</v>
          </cell>
          <cell r="AJ61">
            <v>1078</v>
          </cell>
          <cell r="AK61">
            <v>2828.3333333333335</v>
          </cell>
          <cell r="AL61">
            <v>453</v>
          </cell>
          <cell r="AM61">
            <v>1409</v>
          </cell>
          <cell r="AN61">
            <v>625</v>
          </cell>
          <cell r="AO61">
            <v>1419.3333333333335</v>
          </cell>
        </row>
        <row r="62">
          <cell r="W62">
            <v>57</v>
          </cell>
          <cell r="AH62">
            <v>0</v>
          </cell>
          <cell r="AJ62">
            <v>0</v>
          </cell>
        </row>
        <row r="63">
          <cell r="C63">
            <v>87.333333333333329</v>
          </cell>
          <cell r="D63">
            <v>19</v>
          </cell>
          <cell r="E63">
            <v>68.333333333333329</v>
          </cell>
          <cell r="I63">
            <v>626</v>
          </cell>
          <cell r="K63">
            <v>1802</v>
          </cell>
          <cell r="L63">
            <v>288.32</v>
          </cell>
          <cell r="M63">
            <v>1513.68</v>
          </cell>
          <cell r="O63">
            <v>219</v>
          </cell>
          <cell r="P63">
            <v>68</v>
          </cell>
          <cell r="Q63">
            <v>151</v>
          </cell>
          <cell r="S63">
            <v>176</v>
          </cell>
          <cell r="T63">
            <v>58</v>
          </cell>
          <cell r="U63">
            <v>118</v>
          </cell>
          <cell r="W63">
            <v>84</v>
          </cell>
          <cell r="X63">
            <v>84</v>
          </cell>
          <cell r="Y63">
            <v>0</v>
          </cell>
          <cell r="AH63">
            <v>2994.3333333333335</v>
          </cell>
          <cell r="AJ63">
            <v>771</v>
          </cell>
          <cell r="AK63">
            <v>2223.3333333333335</v>
          </cell>
          <cell r="AM63">
            <v>765</v>
          </cell>
        </row>
        <row r="64">
          <cell r="C64">
            <v>0</v>
          </cell>
          <cell r="D64">
            <v>0</v>
          </cell>
          <cell r="I64">
            <v>0</v>
          </cell>
          <cell r="K64">
            <v>0</v>
          </cell>
          <cell r="L64">
            <v>0</v>
          </cell>
          <cell r="M64">
            <v>0</v>
          </cell>
          <cell r="O64">
            <v>0</v>
          </cell>
          <cell r="P64">
            <v>0</v>
          </cell>
          <cell r="Q64">
            <v>0</v>
          </cell>
          <cell r="S64">
            <v>0</v>
          </cell>
          <cell r="T64">
            <v>0</v>
          </cell>
          <cell r="U64">
            <v>0</v>
          </cell>
          <cell r="Y64">
            <v>0</v>
          </cell>
          <cell r="AH64">
            <v>0</v>
          </cell>
          <cell r="AJ64">
            <v>0</v>
          </cell>
          <cell r="AK64">
            <v>0</v>
          </cell>
          <cell r="AM64">
            <v>0</v>
          </cell>
        </row>
        <row r="65">
          <cell r="I65">
            <v>-28</v>
          </cell>
          <cell r="K65">
            <v>-507</v>
          </cell>
          <cell r="L65">
            <v>-81.119999999999976</v>
          </cell>
          <cell r="M65">
            <v>-425.88000000000011</v>
          </cell>
          <cell r="O65">
            <v>469</v>
          </cell>
          <cell r="P65">
            <v>145</v>
          </cell>
          <cell r="Q65">
            <v>324</v>
          </cell>
          <cell r="S65">
            <v>558</v>
          </cell>
          <cell r="T65">
            <v>182</v>
          </cell>
          <cell r="U65">
            <v>376</v>
          </cell>
          <cell r="W65">
            <v>433</v>
          </cell>
          <cell r="X65">
            <v>410</v>
          </cell>
          <cell r="Y65">
            <v>80</v>
          </cell>
          <cell r="AH65">
            <v>912</v>
          </cell>
          <cell r="AJ65">
            <v>307</v>
          </cell>
        </row>
        <row r="66">
          <cell r="C66">
            <v>0</v>
          </cell>
          <cell r="D66">
            <v>0</v>
          </cell>
          <cell r="E66">
            <v>0</v>
          </cell>
          <cell r="I66">
            <v>384</v>
          </cell>
          <cell r="K66">
            <v>873</v>
          </cell>
          <cell r="L66">
            <v>218.25</v>
          </cell>
          <cell r="M66">
            <v>654.75</v>
          </cell>
          <cell r="O66">
            <v>638</v>
          </cell>
          <cell r="P66">
            <v>198</v>
          </cell>
          <cell r="Q66">
            <v>440</v>
          </cell>
          <cell r="S66">
            <v>449</v>
          </cell>
          <cell r="T66">
            <v>147</v>
          </cell>
          <cell r="U66">
            <v>302</v>
          </cell>
          <cell r="W66">
            <v>272</v>
          </cell>
          <cell r="X66">
            <v>272</v>
          </cell>
          <cell r="Y66">
            <v>0</v>
          </cell>
          <cell r="AH66">
            <v>2616</v>
          </cell>
          <cell r="AJ66">
            <v>729</v>
          </cell>
          <cell r="AK66">
            <v>1887</v>
          </cell>
          <cell r="AL66">
            <v>345</v>
          </cell>
          <cell r="AM66">
            <v>1039</v>
          </cell>
          <cell r="AN66">
            <v>384</v>
          </cell>
          <cell r="AO66">
            <v>848</v>
          </cell>
        </row>
        <row r="67">
          <cell r="I67">
            <v>50</v>
          </cell>
          <cell r="K67">
            <v>296.72727272727275</v>
          </cell>
          <cell r="L67">
            <v>74.181818181818187</v>
          </cell>
          <cell r="M67">
            <v>222.54545454545456</v>
          </cell>
          <cell r="O67">
            <v>202.18181818181819</v>
          </cell>
          <cell r="P67">
            <v>63</v>
          </cell>
          <cell r="Q67">
            <v>139.18181818181819</v>
          </cell>
          <cell r="S67">
            <v>144</v>
          </cell>
          <cell r="T67">
            <v>47</v>
          </cell>
          <cell r="U67">
            <v>97</v>
          </cell>
          <cell r="W67">
            <v>88</v>
          </cell>
          <cell r="X67">
            <v>0</v>
          </cell>
          <cell r="Y67">
            <v>88</v>
          </cell>
          <cell r="AH67">
            <v>692.90909090909099</v>
          </cell>
          <cell r="AJ67">
            <v>160</v>
          </cell>
          <cell r="AK67">
            <v>532.90909090909099</v>
          </cell>
        </row>
        <row r="68">
          <cell r="C68">
            <v>0</v>
          </cell>
          <cell r="I68">
            <v>3</v>
          </cell>
          <cell r="K68">
            <v>17</v>
          </cell>
          <cell r="L68">
            <v>4.25</v>
          </cell>
          <cell r="M68">
            <v>12.75</v>
          </cell>
          <cell r="O68">
            <v>11</v>
          </cell>
          <cell r="P68">
            <v>3</v>
          </cell>
          <cell r="Q68">
            <v>8</v>
          </cell>
          <cell r="S68">
            <v>8</v>
          </cell>
          <cell r="T68">
            <v>3</v>
          </cell>
          <cell r="U68">
            <v>5</v>
          </cell>
          <cell r="W68">
            <v>5</v>
          </cell>
          <cell r="X68">
            <v>0</v>
          </cell>
          <cell r="Y68">
            <v>5</v>
          </cell>
          <cell r="AH68">
            <v>39</v>
          </cell>
          <cell r="AJ68">
            <v>9</v>
          </cell>
          <cell r="AK68">
            <v>30</v>
          </cell>
        </row>
        <row r="69">
          <cell r="C69">
            <v>0</v>
          </cell>
          <cell r="I69">
            <v>16</v>
          </cell>
          <cell r="K69">
            <v>95</v>
          </cell>
          <cell r="L69">
            <v>23.75</v>
          </cell>
          <cell r="M69">
            <v>71.25</v>
          </cell>
          <cell r="O69">
            <v>65</v>
          </cell>
          <cell r="P69">
            <v>20</v>
          </cell>
          <cell r="Q69">
            <v>45</v>
          </cell>
          <cell r="S69">
            <v>47</v>
          </cell>
          <cell r="T69">
            <v>15</v>
          </cell>
          <cell r="U69">
            <v>32</v>
          </cell>
          <cell r="W69">
            <v>28</v>
          </cell>
          <cell r="X69">
            <v>0</v>
          </cell>
          <cell r="Y69">
            <v>28</v>
          </cell>
          <cell r="AH69">
            <v>223</v>
          </cell>
          <cell r="AJ69">
            <v>51</v>
          </cell>
          <cell r="AK69">
            <v>172</v>
          </cell>
        </row>
        <row r="70">
          <cell r="C70">
            <v>0</v>
          </cell>
          <cell r="L70">
            <v>0</v>
          </cell>
          <cell r="M70">
            <v>0</v>
          </cell>
          <cell r="O70">
            <v>0</v>
          </cell>
          <cell r="P70">
            <v>0</v>
          </cell>
          <cell r="Q70">
            <v>0</v>
          </cell>
          <cell r="S70">
            <v>0</v>
          </cell>
          <cell r="T70">
            <v>0</v>
          </cell>
          <cell r="U70">
            <v>0</v>
          </cell>
          <cell r="W70">
            <v>0</v>
          </cell>
          <cell r="X70">
            <v>0</v>
          </cell>
          <cell r="Y70">
            <v>0</v>
          </cell>
          <cell r="AH70">
            <v>0</v>
          </cell>
          <cell r="AJ70">
            <v>0</v>
          </cell>
          <cell r="AK70">
            <v>0</v>
          </cell>
        </row>
        <row r="71">
          <cell r="I71">
            <v>384</v>
          </cell>
          <cell r="K71">
            <v>873</v>
          </cell>
          <cell r="L71">
            <v>218.25</v>
          </cell>
          <cell r="M71">
            <v>654.75</v>
          </cell>
          <cell r="O71">
            <v>638</v>
          </cell>
          <cell r="P71">
            <v>198</v>
          </cell>
          <cell r="Q71">
            <v>440</v>
          </cell>
          <cell r="S71">
            <v>449</v>
          </cell>
          <cell r="T71">
            <v>147</v>
          </cell>
          <cell r="U71">
            <v>302</v>
          </cell>
          <cell r="W71">
            <v>272</v>
          </cell>
          <cell r="X71">
            <v>272</v>
          </cell>
          <cell r="Y71">
            <v>0</v>
          </cell>
          <cell r="AH71">
            <v>2616</v>
          </cell>
          <cell r="AJ71">
            <v>729</v>
          </cell>
          <cell r="AK71">
            <v>1887</v>
          </cell>
        </row>
        <row r="72">
          <cell r="I72">
            <v>0</v>
          </cell>
          <cell r="K72">
            <v>0</v>
          </cell>
          <cell r="L72">
            <v>0</v>
          </cell>
          <cell r="M72">
            <v>0</v>
          </cell>
          <cell r="O72">
            <v>0</v>
          </cell>
          <cell r="Q72">
            <v>0</v>
          </cell>
          <cell r="S72">
            <v>0</v>
          </cell>
          <cell r="T72">
            <v>0</v>
          </cell>
          <cell r="U72">
            <v>0</v>
          </cell>
          <cell r="Y72">
            <v>0</v>
          </cell>
          <cell r="AH72">
            <v>0</v>
          </cell>
          <cell r="AJ72">
            <v>0</v>
          </cell>
          <cell r="AK72">
            <v>0</v>
          </cell>
        </row>
        <row r="73">
          <cell r="C73">
            <v>1774</v>
          </cell>
          <cell r="D73">
            <v>377</v>
          </cell>
          <cell r="E73">
            <v>1397</v>
          </cell>
          <cell r="I73">
            <v>164</v>
          </cell>
          <cell r="K73">
            <v>282</v>
          </cell>
          <cell r="L73">
            <v>116.82000000000001</v>
          </cell>
          <cell r="M73">
            <v>60.179999999999993</v>
          </cell>
          <cell r="O73">
            <v>114</v>
          </cell>
          <cell r="P73">
            <v>37</v>
          </cell>
          <cell r="Q73">
            <v>80.099999999999994</v>
          </cell>
          <cell r="S73">
            <v>84</v>
          </cell>
          <cell r="T73">
            <v>28</v>
          </cell>
          <cell r="U73">
            <v>57.7</v>
          </cell>
          <cell r="W73">
            <v>225</v>
          </cell>
          <cell r="X73">
            <v>186.2</v>
          </cell>
          <cell r="Y73">
            <v>38.799999999999997</v>
          </cell>
          <cell r="AG73">
            <v>0</v>
          </cell>
          <cell r="AH73">
            <v>3086.8666666666663</v>
          </cell>
          <cell r="AJ73">
            <v>832</v>
          </cell>
          <cell r="AK73">
            <v>2254.8666666666663</v>
          </cell>
          <cell r="AL73">
            <v>65</v>
          </cell>
          <cell r="AM73">
            <v>234</v>
          </cell>
          <cell r="AN73">
            <v>767</v>
          </cell>
          <cell r="AO73">
            <v>2020.8666666666663</v>
          </cell>
        </row>
        <row r="74">
          <cell r="C74">
            <v>105</v>
          </cell>
          <cell r="D74">
            <v>22</v>
          </cell>
          <cell r="E74">
            <v>83</v>
          </cell>
          <cell r="P74">
            <v>0</v>
          </cell>
          <cell r="Q74">
            <v>0</v>
          </cell>
          <cell r="AH74">
            <v>105</v>
          </cell>
          <cell r="AJ74">
            <v>22</v>
          </cell>
          <cell r="AK74">
            <v>83</v>
          </cell>
          <cell r="AL74">
            <v>0</v>
          </cell>
          <cell r="AM74">
            <v>0</v>
          </cell>
          <cell r="AN74">
            <v>22</v>
          </cell>
          <cell r="AO74">
            <v>83</v>
          </cell>
        </row>
        <row r="75">
          <cell r="C75">
            <v>1669</v>
          </cell>
          <cell r="D75">
            <v>355</v>
          </cell>
          <cell r="E75">
            <v>1314</v>
          </cell>
          <cell r="I75">
            <v>164</v>
          </cell>
          <cell r="K75">
            <v>282</v>
          </cell>
          <cell r="L75">
            <v>116.82000000000001</v>
          </cell>
          <cell r="M75">
            <v>60.179999999999993</v>
          </cell>
          <cell r="O75">
            <v>114</v>
          </cell>
          <cell r="P75">
            <v>37</v>
          </cell>
          <cell r="Q75">
            <v>80.099999999999994</v>
          </cell>
          <cell r="S75">
            <v>84</v>
          </cell>
          <cell r="T75">
            <v>28</v>
          </cell>
          <cell r="U75">
            <v>57.7</v>
          </cell>
          <cell r="W75">
            <v>225</v>
          </cell>
          <cell r="X75">
            <v>186.2</v>
          </cell>
          <cell r="Y75">
            <v>38.799999999999997</v>
          </cell>
          <cell r="AG75">
            <v>0</v>
          </cell>
          <cell r="AH75">
            <v>2981.8666666666663</v>
          </cell>
          <cell r="AJ75">
            <v>810</v>
          </cell>
          <cell r="AK75">
            <v>2171.8666666666663</v>
          </cell>
          <cell r="AL75">
            <v>65</v>
          </cell>
          <cell r="AM75">
            <v>234</v>
          </cell>
          <cell r="AN75">
            <v>745</v>
          </cell>
          <cell r="AO75">
            <v>1937.8666666666663</v>
          </cell>
        </row>
        <row r="76">
          <cell r="C76">
            <v>617</v>
          </cell>
          <cell r="D76">
            <v>131</v>
          </cell>
          <cell r="E76">
            <v>486</v>
          </cell>
          <cell r="I76">
            <v>66</v>
          </cell>
          <cell r="K76">
            <v>177</v>
          </cell>
          <cell r="L76">
            <v>116.82000000000001</v>
          </cell>
          <cell r="M76">
            <v>60.179999999999993</v>
          </cell>
          <cell r="O76">
            <v>74</v>
          </cell>
          <cell r="P76">
            <v>23</v>
          </cell>
          <cell r="Q76">
            <v>51</v>
          </cell>
          <cell r="S76">
            <v>43</v>
          </cell>
          <cell r="T76">
            <v>14</v>
          </cell>
          <cell r="U76">
            <v>29</v>
          </cell>
          <cell r="W76">
            <v>163</v>
          </cell>
          <cell r="X76">
            <v>149</v>
          </cell>
          <cell r="Y76">
            <v>14</v>
          </cell>
          <cell r="AH76">
            <v>1230</v>
          </cell>
          <cell r="AJ76">
            <v>295</v>
          </cell>
          <cell r="AK76">
            <v>935</v>
          </cell>
          <cell r="AO76">
            <v>935</v>
          </cell>
        </row>
        <row r="77">
          <cell r="D77">
            <v>0</v>
          </cell>
          <cell r="E77">
            <v>0</v>
          </cell>
          <cell r="K77">
            <v>0</v>
          </cell>
          <cell r="P77">
            <v>0</v>
          </cell>
          <cell r="Q77">
            <v>0</v>
          </cell>
          <cell r="T77">
            <v>0</v>
          </cell>
          <cell r="U77">
            <v>0</v>
          </cell>
          <cell r="Y77">
            <v>0</v>
          </cell>
          <cell r="AH77">
            <v>363.66666666666663</v>
          </cell>
          <cell r="AJ77">
            <v>158</v>
          </cell>
          <cell r="AK77">
            <v>205.66666666666663</v>
          </cell>
          <cell r="AO77">
            <v>205.66666666666663</v>
          </cell>
        </row>
        <row r="78">
          <cell r="C78">
            <v>442</v>
          </cell>
          <cell r="D78">
            <v>94</v>
          </cell>
          <cell r="E78">
            <v>348</v>
          </cell>
          <cell r="I78">
            <v>20</v>
          </cell>
          <cell r="K78">
            <v>46</v>
          </cell>
          <cell r="O78">
            <v>12</v>
          </cell>
          <cell r="P78">
            <v>4</v>
          </cell>
          <cell r="Q78">
            <v>8</v>
          </cell>
          <cell r="S78">
            <v>9</v>
          </cell>
          <cell r="T78">
            <v>3</v>
          </cell>
          <cell r="U78">
            <v>6</v>
          </cell>
          <cell r="W78">
            <v>12</v>
          </cell>
          <cell r="X78">
            <v>7.1999999999999993</v>
          </cell>
          <cell r="Y78">
            <v>4.8000000000000007</v>
          </cell>
          <cell r="AH78">
            <v>540.20000000000005</v>
          </cell>
          <cell r="AJ78">
            <v>123</v>
          </cell>
          <cell r="AK78">
            <v>417.20000000000005</v>
          </cell>
        </row>
        <row r="79">
          <cell r="C79">
            <v>610</v>
          </cell>
          <cell r="D79">
            <v>130</v>
          </cell>
          <cell r="E79">
            <v>480</v>
          </cell>
          <cell r="I79">
            <v>78</v>
          </cell>
          <cell r="K79">
            <v>59</v>
          </cell>
          <cell r="O79">
            <v>28</v>
          </cell>
          <cell r="P79">
            <v>9</v>
          </cell>
          <cell r="Q79">
            <v>19</v>
          </cell>
          <cell r="S79">
            <v>32</v>
          </cell>
          <cell r="T79">
            <v>10</v>
          </cell>
          <cell r="U79">
            <v>22</v>
          </cell>
          <cell r="W79">
            <v>50</v>
          </cell>
          <cell r="X79">
            <v>30</v>
          </cell>
          <cell r="Y79">
            <v>20</v>
          </cell>
          <cell r="AH79">
            <v>848</v>
          </cell>
        </row>
        <row r="80">
          <cell r="D80">
            <v>0</v>
          </cell>
          <cell r="E80">
            <v>0</v>
          </cell>
          <cell r="P80">
            <v>0</v>
          </cell>
          <cell r="Q80">
            <v>0</v>
          </cell>
          <cell r="T80">
            <v>0</v>
          </cell>
          <cell r="U80">
            <v>0</v>
          </cell>
          <cell r="AH80">
            <v>0</v>
          </cell>
        </row>
        <row r="81">
          <cell r="C81">
            <v>19.399999999999999</v>
          </cell>
          <cell r="D81">
            <v>4</v>
          </cell>
          <cell r="E81">
            <v>15.399999999999999</v>
          </cell>
          <cell r="I81">
            <v>3.1</v>
          </cell>
          <cell r="K81">
            <v>7.5</v>
          </cell>
          <cell r="O81">
            <v>3.1</v>
          </cell>
          <cell r="P81">
            <v>1</v>
          </cell>
          <cell r="Q81">
            <v>2.1</v>
          </cell>
          <cell r="S81">
            <v>1.7</v>
          </cell>
          <cell r="T81">
            <v>1</v>
          </cell>
          <cell r="U81">
            <v>0.7</v>
          </cell>
          <cell r="W81">
            <v>4.8</v>
          </cell>
          <cell r="Y81">
            <v>4.8</v>
          </cell>
          <cell r="AH81">
            <v>35.800000000000004</v>
          </cell>
          <cell r="AJ81">
            <v>10.1</v>
          </cell>
          <cell r="AK81">
            <v>25.700000000000003</v>
          </cell>
        </row>
        <row r="82">
          <cell r="C82">
            <v>2717.878787878788</v>
          </cell>
          <cell r="D82">
            <v>558</v>
          </cell>
          <cell r="E82">
            <v>2063.878787878788</v>
          </cell>
          <cell r="I82">
            <v>2412.727272727273</v>
          </cell>
          <cell r="J82">
            <v>0</v>
          </cell>
          <cell r="K82">
            <v>27290.727272727272</v>
          </cell>
          <cell r="L82">
            <v>24197.766363636361</v>
          </cell>
          <cell r="M82">
            <v>2987.9609090909089</v>
          </cell>
          <cell r="N82">
            <v>0</v>
          </cell>
          <cell r="O82">
            <v>25357.727272727272</v>
          </cell>
          <cell r="P82">
            <v>9260.9121951219513</v>
          </cell>
          <cell r="Q82">
            <v>16099.915077605321</v>
          </cell>
          <cell r="R82">
            <v>0</v>
          </cell>
          <cell r="S82">
            <v>22358.636363636364</v>
          </cell>
          <cell r="T82">
            <v>8958.4774346793329</v>
          </cell>
          <cell r="U82">
            <v>13401.858928957032</v>
          </cell>
          <cell r="V82">
            <v>0</v>
          </cell>
          <cell r="W82">
            <v>4354.545454545454</v>
          </cell>
          <cell r="X82">
            <v>3165.9636363636364</v>
          </cell>
          <cell r="Y82">
            <v>1188.5818181818181</v>
          </cell>
          <cell r="AA82">
            <v>0</v>
          </cell>
          <cell r="AB82">
            <v>0</v>
          </cell>
          <cell r="AC82">
            <v>0</v>
          </cell>
          <cell r="AH82">
            <v>84257.327272727271</v>
          </cell>
          <cell r="AI82">
            <v>3671.5454545454545</v>
          </cell>
          <cell r="AJ82">
            <v>21747.116902528556</v>
          </cell>
          <cell r="AK82">
            <v>62510.210370198722</v>
          </cell>
          <cell r="AL82">
            <v>18166.389629801284</v>
          </cell>
          <cell r="AM82">
            <v>51049</v>
          </cell>
          <cell r="AN82">
            <v>3327.727272727273</v>
          </cell>
          <cell r="AO82">
            <v>10668.210370198716</v>
          </cell>
        </row>
        <row r="83">
          <cell r="C83">
            <v>2612.878787878788</v>
          </cell>
          <cell r="D83">
            <v>536</v>
          </cell>
          <cell r="E83">
            <v>1980.878787878788</v>
          </cell>
          <cell r="Y83">
            <v>0</v>
          </cell>
          <cell r="AH83">
            <v>22387.327272727271</v>
          </cell>
          <cell r="AI83">
            <v>2612.878787878788</v>
          </cell>
          <cell r="AJ83">
            <v>5042.7272727272721</v>
          </cell>
          <cell r="AK83">
            <v>17344.600000000006</v>
          </cell>
          <cell r="AL83">
            <v>1462</v>
          </cell>
          <cell r="AM83">
            <v>5883</v>
          </cell>
          <cell r="AN83">
            <v>3327.727272727273</v>
          </cell>
          <cell r="AO83">
            <v>10668.6</v>
          </cell>
        </row>
        <row r="84">
          <cell r="Y84">
            <v>0</v>
          </cell>
          <cell r="AI84">
            <v>0</v>
          </cell>
        </row>
        <row r="85">
          <cell r="C85">
            <v>11292</v>
          </cell>
          <cell r="D85">
            <v>11292</v>
          </cell>
          <cell r="Y85">
            <v>0</v>
          </cell>
          <cell r="AH85">
            <v>11292</v>
          </cell>
          <cell r="AI85">
            <v>11292</v>
          </cell>
          <cell r="AJ85">
            <v>11292</v>
          </cell>
          <cell r="AK85">
            <v>0</v>
          </cell>
          <cell r="AL85">
            <v>0</v>
          </cell>
          <cell r="AM85">
            <v>0</v>
          </cell>
          <cell r="AN85">
            <v>0</v>
          </cell>
          <cell r="AO85">
            <v>0</v>
          </cell>
        </row>
        <row r="86">
          <cell r="C86">
            <v>14009.878787878788</v>
          </cell>
          <cell r="D86">
            <v>11850</v>
          </cell>
          <cell r="E86">
            <v>2063.878787878788</v>
          </cell>
          <cell r="I86">
            <v>2412.727272727273</v>
          </cell>
          <cell r="J86">
            <v>0</v>
          </cell>
          <cell r="K86">
            <v>27290.727272727272</v>
          </cell>
          <cell r="L86">
            <v>24197.766363636361</v>
          </cell>
          <cell r="M86">
            <v>2987.9609090909089</v>
          </cell>
          <cell r="N86">
            <v>0</v>
          </cell>
          <cell r="O86">
            <v>25357.727272727272</v>
          </cell>
          <cell r="P86">
            <v>9260.9121951219513</v>
          </cell>
          <cell r="Q86">
            <v>16099.915077605321</v>
          </cell>
          <cell r="R86">
            <v>0</v>
          </cell>
          <cell r="S86">
            <v>22358.636363636364</v>
          </cell>
          <cell r="T86">
            <v>8958.4774346793329</v>
          </cell>
          <cell r="U86">
            <v>13401.858928957032</v>
          </cell>
          <cell r="V86">
            <v>0</v>
          </cell>
          <cell r="W86">
            <v>4354.545454545454</v>
          </cell>
          <cell r="X86">
            <v>3165.9636363636364</v>
          </cell>
          <cell r="Y86">
            <v>1188.5818181818181</v>
          </cell>
          <cell r="AA86">
            <v>0</v>
          </cell>
          <cell r="AB86">
            <v>0</v>
          </cell>
          <cell r="AC86">
            <v>0</v>
          </cell>
          <cell r="AG86">
            <v>0</v>
          </cell>
          <cell r="AH86">
            <v>95549.327272727271</v>
          </cell>
          <cell r="AI86">
            <v>14963.545454545454</v>
          </cell>
          <cell r="AJ86">
            <v>33039.116902528556</v>
          </cell>
          <cell r="AK86">
            <v>62510.210370198722</v>
          </cell>
          <cell r="AL86">
            <v>18166.389629801284</v>
          </cell>
          <cell r="AM86">
            <v>51049</v>
          </cell>
          <cell r="AN86">
            <v>3327.727272727273</v>
          </cell>
          <cell r="AO86">
            <v>10668.210370198716</v>
          </cell>
        </row>
        <row r="87">
          <cell r="C87">
            <v>0</v>
          </cell>
          <cell r="D87">
            <v>0</v>
          </cell>
          <cell r="E87">
            <v>0</v>
          </cell>
          <cell r="Y87">
            <v>0</v>
          </cell>
          <cell r="AL87">
            <v>0</v>
          </cell>
          <cell r="AM87">
            <v>0</v>
          </cell>
          <cell r="AN87">
            <v>0</v>
          </cell>
          <cell r="AO87">
            <v>0</v>
          </cell>
        </row>
        <row r="88">
          <cell r="C88">
            <v>1022</v>
          </cell>
          <cell r="D88">
            <v>462</v>
          </cell>
          <cell r="E88">
            <v>560</v>
          </cell>
          <cell r="Y88">
            <v>0</v>
          </cell>
          <cell r="AH88">
            <v>1022</v>
          </cell>
          <cell r="AI88">
            <v>1022</v>
          </cell>
          <cell r="AJ88">
            <v>462</v>
          </cell>
          <cell r="AK88">
            <v>560</v>
          </cell>
          <cell r="AL88">
            <v>0</v>
          </cell>
          <cell r="AM88">
            <v>0</v>
          </cell>
          <cell r="AN88">
            <v>462</v>
          </cell>
          <cell r="AO88">
            <v>560</v>
          </cell>
        </row>
        <row r="89">
          <cell r="C89">
            <v>600</v>
          </cell>
          <cell r="D89">
            <v>126</v>
          </cell>
          <cell r="E89">
            <v>474</v>
          </cell>
          <cell r="K89">
            <v>0</v>
          </cell>
          <cell r="L89">
            <v>0</v>
          </cell>
          <cell r="M89">
            <v>0</v>
          </cell>
          <cell r="N89">
            <v>0</v>
          </cell>
          <cell r="O89">
            <v>0</v>
          </cell>
          <cell r="P89">
            <v>0</v>
          </cell>
          <cell r="Q89">
            <v>0</v>
          </cell>
          <cell r="R89">
            <v>0</v>
          </cell>
          <cell r="S89">
            <v>0</v>
          </cell>
          <cell r="T89">
            <v>0</v>
          </cell>
          <cell r="U89">
            <v>0</v>
          </cell>
          <cell r="V89">
            <v>0</v>
          </cell>
          <cell r="Y89">
            <v>0</v>
          </cell>
          <cell r="AH89">
            <v>600</v>
          </cell>
          <cell r="AI89">
            <v>600</v>
          </cell>
          <cell r="AJ89">
            <v>126</v>
          </cell>
          <cell r="AK89">
            <v>474</v>
          </cell>
          <cell r="AL89">
            <v>0</v>
          </cell>
          <cell r="AM89">
            <v>0</v>
          </cell>
          <cell r="AN89">
            <v>126</v>
          </cell>
          <cell r="AO89">
            <v>474</v>
          </cell>
        </row>
        <row r="90">
          <cell r="C90">
            <v>13</v>
          </cell>
          <cell r="D90">
            <v>3</v>
          </cell>
          <cell r="E90">
            <v>10</v>
          </cell>
          <cell r="I90">
            <v>61</v>
          </cell>
          <cell r="J90">
            <v>0</v>
          </cell>
          <cell r="K90">
            <v>7</v>
          </cell>
          <cell r="N90">
            <v>0</v>
          </cell>
          <cell r="O90">
            <v>36</v>
          </cell>
          <cell r="P90">
            <v>11</v>
          </cell>
          <cell r="Q90">
            <v>25</v>
          </cell>
          <cell r="R90">
            <v>0</v>
          </cell>
          <cell r="S90">
            <v>27</v>
          </cell>
          <cell r="T90">
            <v>0</v>
          </cell>
          <cell r="U90">
            <v>0</v>
          </cell>
          <cell r="V90">
            <v>0</v>
          </cell>
          <cell r="W90">
            <v>17</v>
          </cell>
          <cell r="X90">
            <v>16</v>
          </cell>
          <cell r="Y90">
            <v>1</v>
          </cell>
          <cell r="AA90">
            <v>10</v>
          </cell>
          <cell r="AB90">
            <v>4</v>
          </cell>
          <cell r="AC90">
            <v>14</v>
          </cell>
          <cell r="AH90">
            <v>160</v>
          </cell>
          <cell r="AI90">
            <v>23</v>
          </cell>
          <cell r="AJ90">
            <v>75</v>
          </cell>
          <cell r="AK90">
            <v>85</v>
          </cell>
          <cell r="AL90">
            <v>11</v>
          </cell>
          <cell r="AM90">
            <v>27</v>
          </cell>
          <cell r="AN90">
            <v>64</v>
          </cell>
          <cell r="AO90">
            <v>58</v>
          </cell>
        </row>
        <row r="93">
          <cell r="C93">
            <v>15644.878787878788</v>
          </cell>
          <cell r="D93">
            <v>12441</v>
          </cell>
          <cell r="E93">
            <v>3107.878787878788</v>
          </cell>
          <cell r="I93">
            <v>2473.727272727273</v>
          </cell>
          <cell r="J93">
            <v>0</v>
          </cell>
          <cell r="K93">
            <v>27297.727272727272</v>
          </cell>
          <cell r="L93">
            <v>24197.766363636361</v>
          </cell>
          <cell r="M93">
            <v>2987.9609090909089</v>
          </cell>
          <cell r="N93">
            <v>0</v>
          </cell>
          <cell r="O93">
            <v>25393.727272727272</v>
          </cell>
          <cell r="P93">
            <v>9271.9121951219513</v>
          </cell>
          <cell r="Q93">
            <v>16124.915077605321</v>
          </cell>
          <cell r="R93">
            <v>0</v>
          </cell>
          <cell r="S93">
            <v>22385.636363636364</v>
          </cell>
          <cell r="T93">
            <v>8958.4774346793329</v>
          </cell>
          <cell r="U93">
            <v>13401.858928957032</v>
          </cell>
          <cell r="V93">
            <v>0</v>
          </cell>
          <cell r="W93">
            <v>4371.545454545454</v>
          </cell>
          <cell r="X93">
            <v>3181.9636363636364</v>
          </cell>
          <cell r="Y93">
            <v>1189.5818181818181</v>
          </cell>
          <cell r="AA93">
            <v>10</v>
          </cell>
          <cell r="AB93">
            <v>4</v>
          </cell>
          <cell r="AC93">
            <v>14</v>
          </cell>
          <cell r="AD93">
            <v>0</v>
          </cell>
          <cell r="AE93">
            <v>0</v>
          </cell>
          <cell r="AF93">
            <v>0</v>
          </cell>
          <cell r="AG93">
            <v>0</v>
          </cell>
          <cell r="AH93">
            <v>97330.327272727271</v>
          </cell>
          <cell r="AI93">
            <v>16607.545454545456</v>
          </cell>
          <cell r="AJ93">
            <v>33702.116902528556</v>
          </cell>
          <cell r="AK93">
            <v>63629.210370198722</v>
          </cell>
          <cell r="AL93">
            <v>18177.389629801284</v>
          </cell>
          <cell r="AM93">
            <v>51076</v>
          </cell>
          <cell r="AN93">
            <v>3979.727272727273</v>
          </cell>
          <cell r="AO93">
            <v>11760.210370198716</v>
          </cell>
        </row>
        <row r="94">
          <cell r="C94">
            <v>4352.878787878788</v>
          </cell>
          <cell r="D94">
            <v>1149</v>
          </cell>
          <cell r="E94">
            <v>3107.878787878788</v>
          </cell>
          <cell r="I94">
            <v>2473.727272727273</v>
          </cell>
          <cell r="J94">
            <v>0</v>
          </cell>
          <cell r="K94">
            <v>8371.7272727272721</v>
          </cell>
          <cell r="L94">
            <v>5271.7663636363613</v>
          </cell>
          <cell r="M94">
            <v>2987.9609090909089</v>
          </cell>
          <cell r="N94">
            <v>0</v>
          </cell>
          <cell r="O94">
            <v>2885.7272727272721</v>
          </cell>
          <cell r="P94">
            <v>897</v>
          </cell>
          <cell r="Q94">
            <v>1991.8272727272724</v>
          </cell>
          <cell r="R94">
            <v>0</v>
          </cell>
          <cell r="S94">
            <v>1949.636363636364</v>
          </cell>
          <cell r="T94">
            <v>629</v>
          </cell>
          <cell r="U94">
            <v>1295.3363636363647</v>
          </cell>
          <cell r="V94">
            <v>0</v>
          </cell>
          <cell r="W94">
            <v>4371.545454545454</v>
          </cell>
          <cell r="X94">
            <v>3181.9636363636364</v>
          </cell>
          <cell r="Y94">
            <v>1189.5818181818181</v>
          </cell>
          <cell r="AA94">
            <v>10</v>
          </cell>
          <cell r="AB94">
            <v>4</v>
          </cell>
          <cell r="AC94">
            <v>14</v>
          </cell>
          <cell r="AG94">
            <v>0</v>
          </cell>
          <cell r="AH94">
            <v>24168.327272727271</v>
          </cell>
          <cell r="AI94">
            <v>5315.5454545454559</v>
          </cell>
          <cell r="AJ94">
            <v>5705.7272727272721</v>
          </cell>
          <cell r="AK94">
            <v>18463.600000000006</v>
          </cell>
          <cell r="AL94">
            <v>1473</v>
          </cell>
          <cell r="AM94">
            <v>5910</v>
          </cell>
          <cell r="AN94">
            <v>3979.727272727273</v>
          </cell>
          <cell r="AO94">
            <v>11760.6</v>
          </cell>
        </row>
        <row r="95">
          <cell r="M95">
            <v>0</v>
          </cell>
          <cell r="AJ95">
            <v>97331.327272727271</v>
          </cell>
        </row>
        <row r="96">
          <cell r="I96">
            <v>527.72727272727275</v>
          </cell>
          <cell r="J96">
            <v>0</v>
          </cell>
          <cell r="K96">
            <v>1225.4545454545455</v>
          </cell>
          <cell r="L96">
            <v>529.25818181818181</v>
          </cell>
          <cell r="M96">
            <v>696.19636363636369</v>
          </cell>
          <cell r="N96">
            <v>0</v>
          </cell>
          <cell r="O96">
            <v>474.90909090909093</v>
          </cell>
          <cell r="P96">
            <v>148</v>
          </cell>
          <cell r="Q96">
            <v>326.90909090909093</v>
          </cell>
          <cell r="S96">
            <v>392.63636363636363</v>
          </cell>
          <cell r="W96">
            <v>1046.5454545454545</v>
          </cell>
          <cell r="X96">
            <v>814.76363636363635</v>
          </cell>
          <cell r="Y96">
            <v>231.78181818181815</v>
          </cell>
        </row>
        <row r="97">
          <cell r="C97">
            <v>474</v>
          </cell>
          <cell r="D97">
            <v>101</v>
          </cell>
          <cell r="I97">
            <v>626</v>
          </cell>
          <cell r="K97">
            <v>2576</v>
          </cell>
          <cell r="N97">
            <v>570</v>
          </cell>
          <cell r="O97">
            <v>219</v>
          </cell>
          <cell r="R97">
            <v>169</v>
          </cell>
          <cell r="S97">
            <v>176</v>
          </cell>
          <cell r="W97">
            <v>84</v>
          </cell>
          <cell r="X97">
            <v>84</v>
          </cell>
          <cell r="Y97">
            <v>0</v>
          </cell>
          <cell r="AA97">
            <v>0</v>
          </cell>
          <cell r="AC97">
            <v>0</v>
          </cell>
          <cell r="AG97">
            <v>68</v>
          </cell>
          <cell r="AH97">
            <v>4245</v>
          </cell>
          <cell r="AI97">
            <v>1303</v>
          </cell>
        </row>
        <row r="98">
          <cell r="C98">
            <v>87.333333333333329</v>
          </cell>
          <cell r="D98">
            <v>19</v>
          </cell>
          <cell r="I98">
            <v>626</v>
          </cell>
          <cell r="K98">
            <v>1802</v>
          </cell>
          <cell r="N98">
            <v>570</v>
          </cell>
          <cell r="O98">
            <v>219</v>
          </cell>
          <cell r="R98">
            <v>169</v>
          </cell>
          <cell r="S98">
            <v>176</v>
          </cell>
          <cell r="W98">
            <v>84</v>
          </cell>
          <cell r="X98">
            <v>84</v>
          </cell>
          <cell r="Y98">
            <v>0</v>
          </cell>
          <cell r="AH98">
            <v>3004.3333333333335</v>
          </cell>
          <cell r="AI98">
            <v>836.33333333333337</v>
          </cell>
        </row>
        <row r="99">
          <cell r="C99">
            <v>0</v>
          </cell>
          <cell r="D99">
            <v>0</v>
          </cell>
          <cell r="I99">
            <v>0</v>
          </cell>
          <cell r="W99">
            <v>0</v>
          </cell>
          <cell r="X99">
            <v>0</v>
          </cell>
          <cell r="Y99">
            <v>0</v>
          </cell>
          <cell r="AH99">
            <v>0</v>
          </cell>
          <cell r="AI99">
            <v>0</v>
          </cell>
        </row>
        <row r="100">
          <cell r="C100">
            <v>386.66666666666669</v>
          </cell>
          <cell r="D100">
            <v>82</v>
          </cell>
          <cell r="I100">
            <v>0</v>
          </cell>
          <cell r="K100">
            <v>774</v>
          </cell>
          <cell r="O100">
            <v>0</v>
          </cell>
          <cell r="S100">
            <v>0</v>
          </cell>
          <cell r="W100">
            <v>0</v>
          </cell>
          <cell r="X100">
            <v>0</v>
          </cell>
          <cell r="Y100">
            <v>0</v>
          </cell>
          <cell r="AH100">
            <v>1172.6666666666667</v>
          </cell>
          <cell r="AI100">
            <v>398.66666666666669</v>
          </cell>
        </row>
        <row r="101">
          <cell r="D101">
            <v>0</v>
          </cell>
          <cell r="AH101">
            <v>0</v>
          </cell>
          <cell r="AI101">
            <v>0</v>
          </cell>
        </row>
        <row r="102">
          <cell r="D102">
            <v>0</v>
          </cell>
          <cell r="AH102">
            <v>0</v>
          </cell>
          <cell r="AI102">
            <v>0</v>
          </cell>
        </row>
        <row r="103">
          <cell r="D103">
            <v>0</v>
          </cell>
          <cell r="AH103">
            <v>0</v>
          </cell>
          <cell r="AI103">
            <v>0</v>
          </cell>
        </row>
        <row r="104">
          <cell r="D104">
            <v>0</v>
          </cell>
          <cell r="AH104">
            <v>0</v>
          </cell>
          <cell r="AI104">
            <v>0</v>
          </cell>
        </row>
        <row r="105">
          <cell r="C105">
            <v>386.66666666666669</v>
          </cell>
          <cell r="D105">
            <v>82</v>
          </cell>
          <cell r="I105">
            <v>0</v>
          </cell>
          <cell r="K105">
            <v>774</v>
          </cell>
          <cell r="O105">
            <v>0</v>
          </cell>
          <cell r="R105">
            <v>10</v>
          </cell>
          <cell r="S105">
            <v>0</v>
          </cell>
          <cell r="W105">
            <v>0</v>
          </cell>
          <cell r="Y105">
            <v>0</v>
          </cell>
          <cell r="AA105">
            <v>69</v>
          </cell>
          <cell r="AB105">
            <v>0</v>
          </cell>
          <cell r="AC105">
            <v>69</v>
          </cell>
          <cell r="AG105">
            <v>0</v>
          </cell>
          <cell r="AH105">
            <v>1160.6666666666667</v>
          </cell>
          <cell r="AI105">
            <v>465.66666666666669</v>
          </cell>
        </row>
        <row r="106">
          <cell r="C106">
            <v>386.66666666666669</v>
          </cell>
          <cell r="D106">
            <v>82</v>
          </cell>
          <cell r="K106">
            <v>774</v>
          </cell>
          <cell r="S106">
            <v>0</v>
          </cell>
          <cell r="W106">
            <v>0</v>
          </cell>
          <cell r="Y106">
            <v>0</v>
          </cell>
          <cell r="AG106">
            <v>0</v>
          </cell>
          <cell r="AH106">
            <v>1160.6666666666667</v>
          </cell>
          <cell r="AI106">
            <v>386.66666666666669</v>
          </cell>
        </row>
        <row r="107">
          <cell r="D107">
            <v>0</v>
          </cell>
          <cell r="I107">
            <v>0</v>
          </cell>
          <cell r="K107">
            <v>0</v>
          </cell>
          <cell r="S107">
            <v>0</v>
          </cell>
          <cell r="W107">
            <v>0</v>
          </cell>
          <cell r="Y107">
            <v>0</v>
          </cell>
          <cell r="AH107">
            <v>0</v>
          </cell>
          <cell r="AI107">
            <v>0</v>
          </cell>
        </row>
        <row r="108">
          <cell r="C108">
            <v>0</v>
          </cell>
          <cell r="D108">
            <v>0</v>
          </cell>
          <cell r="I108">
            <v>0</v>
          </cell>
          <cell r="K108">
            <v>0</v>
          </cell>
          <cell r="O108">
            <v>0</v>
          </cell>
          <cell r="R108">
            <v>10</v>
          </cell>
          <cell r="S108">
            <v>0</v>
          </cell>
          <cell r="W108">
            <v>0</v>
          </cell>
          <cell r="Y108">
            <v>0</v>
          </cell>
          <cell r="AA108">
            <v>69</v>
          </cell>
          <cell r="AB108">
            <v>0</v>
          </cell>
          <cell r="AC108">
            <v>69</v>
          </cell>
          <cell r="AH108">
            <v>0</v>
          </cell>
          <cell r="AI108">
            <v>79</v>
          </cell>
        </row>
        <row r="109">
          <cell r="C109">
            <v>0</v>
          </cell>
          <cell r="D109">
            <v>0</v>
          </cell>
          <cell r="I109">
            <v>0</v>
          </cell>
          <cell r="K109">
            <v>216</v>
          </cell>
          <cell r="O109">
            <v>28</v>
          </cell>
          <cell r="R109">
            <v>22</v>
          </cell>
          <cell r="S109">
            <v>0</v>
          </cell>
          <cell r="W109">
            <v>0</v>
          </cell>
          <cell r="Y109">
            <v>0</v>
          </cell>
          <cell r="AA109">
            <v>16</v>
          </cell>
          <cell r="AB109">
            <v>3</v>
          </cell>
          <cell r="AC109">
            <v>19</v>
          </cell>
          <cell r="AG109">
            <v>875</v>
          </cell>
          <cell r="AH109">
            <v>1119</v>
          </cell>
          <cell r="AI109">
            <v>913</v>
          </cell>
        </row>
        <row r="110">
          <cell r="C110">
            <v>0</v>
          </cell>
          <cell r="D110">
            <v>0</v>
          </cell>
          <cell r="I110">
            <v>0</v>
          </cell>
          <cell r="K110">
            <v>216</v>
          </cell>
          <cell r="S110">
            <v>0</v>
          </cell>
          <cell r="W110">
            <v>0</v>
          </cell>
          <cell r="Y110">
            <v>0</v>
          </cell>
          <cell r="AG110">
            <v>80</v>
          </cell>
          <cell r="AH110">
            <v>296</v>
          </cell>
          <cell r="AI110">
            <v>80</v>
          </cell>
        </row>
        <row r="111">
          <cell r="C111">
            <v>0</v>
          </cell>
          <cell r="D111">
            <v>0</v>
          </cell>
          <cell r="I111">
            <v>0</v>
          </cell>
          <cell r="K111">
            <v>0</v>
          </cell>
          <cell r="O111">
            <v>28</v>
          </cell>
          <cell r="R111">
            <v>22</v>
          </cell>
          <cell r="S111">
            <v>0</v>
          </cell>
          <cell r="W111">
            <v>0</v>
          </cell>
          <cell r="Y111">
            <v>0</v>
          </cell>
          <cell r="AA111">
            <v>16</v>
          </cell>
          <cell r="AB111">
            <v>3</v>
          </cell>
          <cell r="AC111">
            <v>19</v>
          </cell>
          <cell r="AG111">
            <v>795</v>
          </cell>
          <cell r="AH111">
            <v>823</v>
          </cell>
          <cell r="AI111">
            <v>833</v>
          </cell>
        </row>
        <row r="112">
          <cell r="C112">
            <v>247.29101802212824</v>
          </cell>
          <cell r="D112">
            <v>53</v>
          </cell>
          <cell r="I112">
            <v>331</v>
          </cell>
          <cell r="S112">
            <v>0</v>
          </cell>
          <cell r="Y112">
            <v>0</v>
          </cell>
          <cell r="AH112">
            <v>578.29101802212824</v>
          </cell>
          <cell r="AI112">
            <v>247.29101802212824</v>
          </cell>
        </row>
        <row r="113">
          <cell r="C113">
            <v>0</v>
          </cell>
          <cell r="D113">
            <v>0</v>
          </cell>
          <cell r="I113">
            <v>331</v>
          </cell>
          <cell r="Y113">
            <v>0</v>
          </cell>
          <cell r="AH113">
            <v>331</v>
          </cell>
          <cell r="AI113">
            <v>0</v>
          </cell>
        </row>
        <row r="114">
          <cell r="C114">
            <v>0</v>
          </cell>
          <cell r="D114">
            <v>0</v>
          </cell>
          <cell r="I114">
            <v>0</v>
          </cell>
          <cell r="K114">
            <v>0</v>
          </cell>
          <cell r="S114">
            <v>0</v>
          </cell>
          <cell r="Y114">
            <v>0</v>
          </cell>
          <cell r="AI114">
            <v>0</v>
          </cell>
        </row>
        <row r="115">
          <cell r="D115">
            <v>0</v>
          </cell>
          <cell r="I115">
            <v>0</v>
          </cell>
          <cell r="K115">
            <v>0</v>
          </cell>
          <cell r="S115">
            <v>0</v>
          </cell>
          <cell r="Y115">
            <v>0</v>
          </cell>
          <cell r="AH115">
            <v>0</v>
          </cell>
          <cell r="AI115">
            <v>0</v>
          </cell>
        </row>
        <row r="116">
          <cell r="C116">
            <v>0</v>
          </cell>
          <cell r="D116">
            <v>0</v>
          </cell>
          <cell r="I116">
            <v>0</v>
          </cell>
          <cell r="K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W119">
            <v>0</v>
          </cell>
          <cell r="X119">
            <v>0</v>
          </cell>
          <cell r="Y119">
            <v>0</v>
          </cell>
          <cell r="AH119">
            <v>0</v>
          </cell>
          <cell r="AI119">
            <v>0</v>
          </cell>
        </row>
        <row r="120">
          <cell r="C120">
            <v>8992</v>
          </cell>
          <cell r="D120">
            <v>1916</v>
          </cell>
          <cell r="Y120">
            <v>0</v>
          </cell>
          <cell r="AH120">
            <v>8992</v>
          </cell>
          <cell r="AI120">
            <v>8992</v>
          </cell>
        </row>
        <row r="121">
          <cell r="C121">
            <v>0</v>
          </cell>
          <cell r="D121">
            <v>0</v>
          </cell>
          <cell r="Y121">
            <v>0</v>
          </cell>
          <cell r="AI121">
            <v>0</v>
          </cell>
        </row>
        <row r="122">
          <cell r="C122">
            <v>0</v>
          </cell>
          <cell r="Y122">
            <v>0</v>
          </cell>
        </row>
        <row r="123">
          <cell r="C123">
            <v>9939.2910180221279</v>
          </cell>
          <cell r="D123">
            <v>2118</v>
          </cell>
          <cell r="E123">
            <v>0</v>
          </cell>
          <cell r="I123">
            <v>331</v>
          </cell>
          <cell r="K123">
            <v>990</v>
          </cell>
          <cell r="L123">
            <v>0</v>
          </cell>
          <cell r="M123">
            <v>0</v>
          </cell>
          <cell r="N123">
            <v>0</v>
          </cell>
          <cell r="O123">
            <v>28</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11658.166018022128</v>
          </cell>
          <cell r="AJ123">
            <v>11288.291018022128</v>
          </cell>
          <cell r="AK123">
            <v>3108</v>
          </cell>
          <cell r="AL123">
            <v>0</v>
          </cell>
          <cell r="AM123">
            <v>0</v>
          </cell>
          <cell r="AN123">
            <v>0</v>
          </cell>
          <cell r="AO123">
            <v>0</v>
          </cell>
        </row>
        <row r="124">
          <cell r="C124">
            <v>9939.2910180221279</v>
          </cell>
          <cell r="D124">
            <v>2118</v>
          </cell>
          <cell r="E124">
            <v>0</v>
          </cell>
          <cell r="I124">
            <v>331</v>
          </cell>
          <cell r="J124">
            <v>0</v>
          </cell>
          <cell r="K124">
            <v>990</v>
          </cell>
          <cell r="L124">
            <v>0</v>
          </cell>
          <cell r="M124">
            <v>0</v>
          </cell>
          <cell r="N124">
            <v>0</v>
          </cell>
          <cell r="O124">
            <v>28</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11658.16601802213</v>
          </cell>
        </row>
        <row r="125">
          <cell r="Y125">
            <v>0</v>
          </cell>
          <cell r="AH125">
            <v>4171.9101802212826</v>
          </cell>
        </row>
        <row r="126">
          <cell r="Y126">
            <v>0</v>
          </cell>
          <cell r="AH126">
            <v>4171.9101802212826</v>
          </cell>
        </row>
        <row r="127">
          <cell r="AH127">
            <v>5782.9101802212826</v>
          </cell>
          <cell r="AI127">
            <v>86505.691998403097</v>
          </cell>
          <cell r="AJ127">
            <v>12543.870550420004</v>
          </cell>
          <cell r="AK127">
            <v>-7627.2103701987216</v>
          </cell>
        </row>
        <row r="129">
          <cell r="AH129">
            <v>1611</v>
          </cell>
          <cell r="AL129">
            <v>0</v>
          </cell>
        </row>
        <row r="132">
          <cell r="AH132">
            <v>56002</v>
          </cell>
          <cell r="AK132">
            <v>56002</v>
          </cell>
          <cell r="AL132">
            <v>0</v>
          </cell>
          <cell r="AN132">
            <v>0</v>
          </cell>
        </row>
        <row r="133">
          <cell r="AH133">
            <v>-7627.2103701987216</v>
          </cell>
          <cell r="AL133">
            <v>0</v>
          </cell>
        </row>
        <row r="134">
          <cell r="AH134">
            <v>36.869999999999997</v>
          </cell>
          <cell r="AL134" t="e">
            <v>#DIV/0!</v>
          </cell>
        </row>
        <row r="135">
          <cell r="AH135">
            <v>41.89</v>
          </cell>
          <cell r="AL135" t="e">
            <v>#DIV/0!</v>
          </cell>
        </row>
        <row r="136">
          <cell r="AH136">
            <v>0</v>
          </cell>
          <cell r="AL136">
            <v>0</v>
          </cell>
        </row>
        <row r="138">
          <cell r="AH138">
            <v>10.24</v>
          </cell>
          <cell r="AL138" t="e">
            <v>#DIV/0!</v>
          </cell>
        </row>
        <row r="140">
          <cell r="AG140">
            <v>0</v>
          </cell>
          <cell r="AH140">
            <v>7.46</v>
          </cell>
          <cell r="AL140" t="e">
            <v>#DIV/0!</v>
          </cell>
        </row>
        <row r="141">
          <cell r="AH141">
            <v>46245.987452948561</v>
          </cell>
          <cell r="AJ141">
            <v>46245.987452948561</v>
          </cell>
        </row>
        <row r="143">
          <cell r="AH143">
            <v>865.25</v>
          </cell>
          <cell r="AI143">
            <v>865.25</v>
          </cell>
        </row>
        <row r="144">
          <cell r="K144">
            <v>0</v>
          </cell>
          <cell r="AH144">
            <v>0</v>
          </cell>
        </row>
        <row r="146">
          <cell r="AG146">
            <v>0</v>
          </cell>
          <cell r="AH146">
            <v>102247.98745294855</v>
          </cell>
          <cell r="AJ146">
            <v>46245.987452948561</v>
          </cell>
          <cell r="AK146">
            <v>56002</v>
          </cell>
          <cell r="AL146">
            <v>0</v>
          </cell>
        </row>
        <row r="147">
          <cell r="AH147">
            <v>0</v>
          </cell>
          <cell r="AJ147">
            <v>0</v>
          </cell>
        </row>
        <row r="148">
          <cell r="AH148">
            <v>102247.98745294855</v>
          </cell>
          <cell r="AI148">
            <v>102247.98745294855</v>
          </cell>
          <cell r="AJ148">
            <v>46245.987452948561</v>
          </cell>
          <cell r="AK148">
            <v>56002</v>
          </cell>
        </row>
        <row r="149">
          <cell r="AL149">
            <v>1473</v>
          </cell>
          <cell r="AM149">
            <v>5910</v>
          </cell>
          <cell r="AN149">
            <v>3979.727272727273</v>
          </cell>
          <cell r="AO149">
            <v>11760.6</v>
          </cell>
        </row>
        <row r="156">
          <cell r="AH156">
            <v>5.9</v>
          </cell>
          <cell r="AI156">
            <v>520.9</v>
          </cell>
          <cell r="AJ156">
            <v>37.200000000000003</v>
          </cell>
          <cell r="AK156">
            <v>-12</v>
          </cell>
        </row>
        <row r="157">
          <cell r="C157">
            <v>0</v>
          </cell>
          <cell r="I157">
            <v>0</v>
          </cell>
          <cell r="K157">
            <v>0</v>
          </cell>
          <cell r="O157">
            <v>0</v>
          </cell>
          <cell r="S157">
            <v>0</v>
          </cell>
          <cell r="W157">
            <v>0</v>
          </cell>
          <cell r="X157">
            <v>0</v>
          </cell>
          <cell r="Y157">
            <v>0</v>
          </cell>
          <cell r="AG157">
            <v>0</v>
          </cell>
          <cell r="AH157">
            <v>0</v>
          </cell>
        </row>
        <row r="158">
          <cell r="C158">
            <v>260</v>
          </cell>
          <cell r="I158">
            <v>384</v>
          </cell>
          <cell r="J158">
            <v>424</v>
          </cell>
          <cell r="K158">
            <v>873</v>
          </cell>
          <cell r="N158">
            <v>481</v>
          </cell>
          <cell r="O158">
            <v>638</v>
          </cell>
          <cell r="R158">
            <v>620</v>
          </cell>
          <cell r="S158">
            <v>449</v>
          </cell>
          <cell r="V158">
            <v>408</v>
          </cell>
          <cell r="W158">
            <v>272</v>
          </cell>
          <cell r="X158">
            <v>272</v>
          </cell>
          <cell r="Y158">
            <v>0</v>
          </cell>
          <cell r="AA158">
            <v>98</v>
          </cell>
          <cell r="AB158">
            <v>183</v>
          </cell>
          <cell r="AC158">
            <v>281</v>
          </cell>
          <cell r="AH158">
            <v>2876</v>
          </cell>
          <cell r="AI158">
            <v>2291</v>
          </cell>
        </row>
        <row r="159">
          <cell r="C159">
            <v>0</v>
          </cell>
          <cell r="I159">
            <v>180</v>
          </cell>
          <cell r="J159">
            <v>184</v>
          </cell>
          <cell r="K159">
            <v>315</v>
          </cell>
          <cell r="N159">
            <v>0</v>
          </cell>
          <cell r="O159">
            <v>320</v>
          </cell>
          <cell r="R159">
            <v>359</v>
          </cell>
          <cell r="S159">
            <v>231</v>
          </cell>
          <cell r="V159">
            <v>192</v>
          </cell>
          <cell r="W159">
            <v>84</v>
          </cell>
          <cell r="X159">
            <v>84</v>
          </cell>
          <cell r="Y159">
            <v>0</v>
          </cell>
          <cell r="AH159">
            <v>1130</v>
          </cell>
          <cell r="AI159">
            <v>735</v>
          </cell>
        </row>
        <row r="160">
          <cell r="I160">
            <v>70</v>
          </cell>
          <cell r="K160">
            <v>238</v>
          </cell>
          <cell r="N160">
            <v>238</v>
          </cell>
          <cell r="O160">
            <v>126.7</v>
          </cell>
          <cell r="S160">
            <v>91</v>
          </cell>
          <cell r="W160">
            <v>70</v>
          </cell>
          <cell r="X160">
            <v>70</v>
          </cell>
          <cell r="Y160">
            <v>0</v>
          </cell>
          <cell r="AH160">
            <v>595.70000000000005</v>
          </cell>
          <cell r="AI160">
            <v>238</v>
          </cell>
        </row>
        <row r="161">
          <cell r="I161">
            <v>0</v>
          </cell>
          <cell r="K161">
            <v>0</v>
          </cell>
          <cell r="N161">
            <v>0</v>
          </cell>
          <cell r="O161">
            <v>0</v>
          </cell>
          <cell r="S161">
            <v>0</v>
          </cell>
          <cell r="Y161">
            <v>0</v>
          </cell>
          <cell r="AH161">
            <v>0</v>
          </cell>
          <cell r="AI161">
            <v>0</v>
          </cell>
        </row>
        <row r="162">
          <cell r="I162">
            <v>0</v>
          </cell>
          <cell r="K162">
            <v>0</v>
          </cell>
          <cell r="N162">
            <v>0</v>
          </cell>
          <cell r="O162">
            <v>0</v>
          </cell>
          <cell r="S162">
            <v>0</v>
          </cell>
          <cell r="Y162">
            <v>0</v>
          </cell>
          <cell r="AH162">
            <v>0</v>
          </cell>
          <cell r="AI162">
            <v>0</v>
          </cell>
        </row>
        <row r="163">
          <cell r="AH163">
            <v>0</v>
          </cell>
          <cell r="AI163">
            <v>0</v>
          </cell>
        </row>
        <row r="164">
          <cell r="AH164">
            <v>0</v>
          </cell>
          <cell r="AI164">
            <v>0</v>
          </cell>
        </row>
        <row r="165">
          <cell r="D165">
            <v>0</v>
          </cell>
          <cell r="E165">
            <v>0</v>
          </cell>
          <cell r="I165">
            <v>384</v>
          </cell>
          <cell r="K165">
            <v>873</v>
          </cell>
          <cell r="N165">
            <v>873</v>
          </cell>
          <cell r="O165">
            <v>638</v>
          </cell>
          <cell r="R165">
            <v>620</v>
          </cell>
          <cell r="S165">
            <v>449</v>
          </cell>
          <cell r="W165">
            <v>272</v>
          </cell>
          <cell r="X165">
            <v>272</v>
          </cell>
          <cell r="Y165">
            <v>0</v>
          </cell>
          <cell r="AH165">
            <v>2616</v>
          </cell>
          <cell r="AI165">
            <v>1493</v>
          </cell>
        </row>
        <row r="166">
          <cell r="I166">
            <v>0</v>
          </cell>
          <cell r="K166">
            <v>873</v>
          </cell>
          <cell r="N166">
            <v>873</v>
          </cell>
          <cell r="O166">
            <v>638</v>
          </cell>
          <cell r="S166">
            <v>449</v>
          </cell>
          <cell r="W166">
            <v>272</v>
          </cell>
          <cell r="X166">
            <v>272</v>
          </cell>
          <cell r="Y166">
            <v>0</v>
          </cell>
          <cell r="AH166">
            <v>2232</v>
          </cell>
          <cell r="AI166">
            <v>873</v>
          </cell>
        </row>
        <row r="167">
          <cell r="I167">
            <v>0</v>
          </cell>
          <cell r="K167">
            <v>0</v>
          </cell>
          <cell r="N167">
            <v>0</v>
          </cell>
          <cell r="O167">
            <v>0</v>
          </cell>
          <cell r="S167">
            <v>0</v>
          </cell>
          <cell r="Y167">
            <v>0</v>
          </cell>
          <cell r="AH167">
            <v>0</v>
          </cell>
          <cell r="AI167">
            <v>0</v>
          </cell>
        </row>
        <row r="168">
          <cell r="I168">
            <v>0</v>
          </cell>
          <cell r="N168">
            <v>0</v>
          </cell>
          <cell r="O168">
            <v>1219</v>
          </cell>
          <cell r="S168">
            <v>380</v>
          </cell>
          <cell r="W168">
            <v>302</v>
          </cell>
          <cell r="X168">
            <v>100</v>
          </cell>
          <cell r="Y168">
            <v>202</v>
          </cell>
          <cell r="AA168">
            <v>100</v>
          </cell>
          <cell r="AC168">
            <v>100</v>
          </cell>
          <cell r="AH168">
            <v>1699</v>
          </cell>
          <cell r="AI168">
            <v>100</v>
          </cell>
        </row>
        <row r="169">
          <cell r="C169">
            <v>474</v>
          </cell>
          <cell r="I169">
            <v>957</v>
          </cell>
          <cell r="J169">
            <v>0</v>
          </cell>
          <cell r="K169">
            <v>2792</v>
          </cell>
          <cell r="L169">
            <v>0</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I170">
            <v>626</v>
          </cell>
          <cell r="O170">
            <v>219</v>
          </cell>
          <cell r="S170">
            <v>176</v>
          </cell>
          <cell r="X170">
            <v>84</v>
          </cell>
          <cell r="AH170">
            <v>1192.3333333333335</v>
          </cell>
        </row>
        <row r="171">
          <cell r="C171">
            <v>0</v>
          </cell>
          <cell r="I171">
            <v>115</v>
          </cell>
          <cell r="AH171">
            <v>115</v>
          </cell>
        </row>
        <row r="172">
          <cell r="C172">
            <v>73</v>
          </cell>
          <cell r="I172">
            <v>0</v>
          </cell>
          <cell r="O172">
            <v>0</v>
          </cell>
          <cell r="S172">
            <v>0</v>
          </cell>
          <cell r="X172">
            <v>0</v>
          </cell>
          <cell r="AH172">
            <v>73</v>
          </cell>
        </row>
        <row r="187">
          <cell r="AL187" t="str">
            <v>ОЧИК.18.02.</v>
          </cell>
        </row>
        <row r="189">
          <cell r="C189" t="str">
            <v>АПАРАТ ВСЬОГО</v>
          </cell>
          <cell r="D189" t="str">
            <v>АПАРАТ ЕЛЕКТРО</v>
          </cell>
          <cell r="E189" t="str">
            <v>АПАРАТ ТЕПЛО</v>
          </cell>
          <cell r="I189" t="str">
            <v>ККМ</v>
          </cell>
          <cell r="K189" t="str">
            <v>КТМ</v>
          </cell>
          <cell r="O189" t="str">
            <v>ТЕЦ-5 ВСЬОГО</v>
          </cell>
          <cell r="P189" t="str">
            <v>Е/Е</v>
          </cell>
          <cell r="Q189" t="str">
            <v xml:space="preserve"> Т/Е</v>
          </cell>
          <cell r="S189" t="str">
            <v>ТЕЦ-6 ВСЬОГО</v>
          </cell>
          <cell r="T189" t="str">
            <v>Е/Е</v>
          </cell>
          <cell r="U189" t="str">
            <v xml:space="preserve"> Т/Е</v>
          </cell>
          <cell r="X189" t="str">
            <v xml:space="preserve">ДОП.ВИР. </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str">
            <v>МЕРЕЖІ ТЕПЛОВІ</v>
          </cell>
        </row>
        <row r="190">
          <cell r="AL190">
            <v>1.954</v>
          </cell>
          <cell r="AM190">
            <v>1.954</v>
          </cell>
          <cell r="AN190">
            <v>1.954</v>
          </cell>
          <cell r="AO190">
            <v>1.905</v>
          </cell>
        </row>
        <row r="192">
          <cell r="K192">
            <v>97.3</v>
          </cell>
          <cell r="O192">
            <v>89.2</v>
          </cell>
          <cell r="S192">
            <v>73.2</v>
          </cell>
          <cell r="AH192">
            <v>259.7</v>
          </cell>
          <cell r="AL192">
            <v>221.49122807017542</v>
          </cell>
        </row>
        <row r="193">
          <cell r="K193">
            <v>111.9</v>
          </cell>
          <cell r="O193">
            <v>102.5</v>
          </cell>
          <cell r="S193">
            <v>84.2</v>
          </cell>
          <cell r="AH193">
            <v>298.60000000000002</v>
          </cell>
          <cell r="AL193">
            <v>252.49999999999997</v>
          </cell>
        </row>
        <row r="194">
          <cell r="I194">
            <v>0</v>
          </cell>
          <cell r="K194">
            <v>0</v>
          </cell>
          <cell r="O194">
            <v>0</v>
          </cell>
          <cell r="S194">
            <v>0</v>
          </cell>
          <cell r="AH194">
            <v>0</v>
          </cell>
          <cell r="AL194">
            <v>66</v>
          </cell>
        </row>
        <row r="195">
          <cell r="I195">
            <v>0</v>
          </cell>
          <cell r="K195">
            <v>194.5</v>
          </cell>
          <cell r="O195">
            <v>194.5</v>
          </cell>
          <cell r="S195">
            <v>194.5</v>
          </cell>
          <cell r="AH195">
            <v>194.5</v>
          </cell>
          <cell r="AL195">
            <v>128.964</v>
          </cell>
        </row>
        <row r="196">
          <cell r="K196">
            <v>18926</v>
          </cell>
          <cell r="O196">
            <v>17349</v>
          </cell>
          <cell r="S196">
            <v>14237</v>
          </cell>
          <cell r="AH196">
            <v>50512</v>
          </cell>
          <cell r="AL196">
            <v>28564</v>
          </cell>
        </row>
        <row r="197">
          <cell r="AH197">
            <v>50512</v>
          </cell>
        </row>
        <row r="198">
          <cell r="K198">
            <v>0</v>
          </cell>
          <cell r="O198">
            <v>13.4</v>
          </cell>
          <cell r="S198">
            <v>16.100000000000001</v>
          </cell>
          <cell r="AH198">
            <v>29.5</v>
          </cell>
          <cell r="AL198">
            <v>75.839416058394164</v>
          </cell>
        </row>
        <row r="199">
          <cell r="K199">
            <v>0</v>
          </cell>
          <cell r="O199">
            <v>18.5</v>
          </cell>
          <cell r="S199">
            <v>22.2</v>
          </cell>
          <cell r="AH199">
            <v>40.700000000000003</v>
          </cell>
          <cell r="AL199">
            <v>103.9</v>
          </cell>
        </row>
        <row r="200">
          <cell r="AG200">
            <v>0</v>
          </cell>
          <cell r="AH200">
            <v>0</v>
          </cell>
          <cell r="AL200">
            <v>99.938587512794271</v>
          </cell>
          <cell r="AO200">
            <v>75</v>
          </cell>
        </row>
        <row r="201">
          <cell r="K201">
            <v>385</v>
          </cell>
          <cell r="O201">
            <v>385</v>
          </cell>
          <cell r="S201">
            <v>385</v>
          </cell>
          <cell r="AH201">
            <v>385</v>
          </cell>
          <cell r="AL201">
            <v>195.28</v>
          </cell>
        </row>
        <row r="202">
          <cell r="K202">
            <v>0</v>
          </cell>
          <cell r="O202">
            <v>5159</v>
          </cell>
          <cell r="S202">
            <v>6199</v>
          </cell>
          <cell r="AH202">
            <v>11358</v>
          </cell>
          <cell r="AL202">
            <v>14810</v>
          </cell>
        </row>
        <row r="203">
          <cell r="AH203">
            <v>11358</v>
          </cell>
        </row>
        <row r="204">
          <cell r="K204">
            <v>111.9</v>
          </cell>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row>
        <row r="205">
          <cell r="K205">
            <v>18926</v>
          </cell>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K206">
            <v>169.13</v>
          </cell>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25">
          <cell r="S225" t="str">
            <v>ЗАТВЕРДЖУЮ</v>
          </cell>
        </row>
        <row r="226">
          <cell r="S226" t="str">
            <v>ГОЛОВА ПРАЛІННЯ АК КЕ</v>
          </cell>
        </row>
        <row r="227">
          <cell r="S227" t="str">
            <v xml:space="preserve">                        І.В.ПЛАЧКОВ</v>
          </cell>
          <cell r="T227" t="str">
            <v xml:space="preserve">      І.В.ПЛАЧКОВ</v>
          </cell>
        </row>
        <row r="234">
          <cell r="C234" t="str">
            <v>ПОТРЕБА   В КОШТАХ НА  березень 1999 року</v>
          </cell>
        </row>
        <row r="235">
          <cell r="C235" t="str">
            <v>ПО ФІЛІАЛАХ АК КИЇВЕНЕРГО</v>
          </cell>
        </row>
        <row r="238">
          <cell r="X238" t="str">
            <v>ТИС.ГРН.</v>
          </cell>
        </row>
        <row r="239">
          <cell r="C239" t="str">
            <v>ВИКОН.ДИР.</v>
          </cell>
          <cell r="D239" t="str">
            <v>АПАРАТ ЕЛЕКТРО</v>
          </cell>
          <cell r="E239" t="str">
            <v>АПАРАТ ТЕПЛО</v>
          </cell>
          <cell r="I239" t="str">
            <v>ККМ</v>
          </cell>
          <cell r="J239" t="str">
            <v>ККМ1</v>
          </cell>
          <cell r="K239" t="str">
            <v>КТМ</v>
          </cell>
          <cell r="L239" t="str">
            <v>ВИРОБН</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row>
        <row r="242">
          <cell r="C242">
            <v>19431.169805900914</v>
          </cell>
          <cell r="D242">
            <v>3267</v>
          </cell>
          <cell r="E242">
            <v>3107.878787878788</v>
          </cell>
          <cell r="I242">
            <v>2832.727272727273</v>
          </cell>
          <cell r="J242">
            <v>0</v>
          </cell>
          <cell r="K242">
            <v>9868.7272727272721</v>
          </cell>
          <cell r="L242">
            <v>5352.8863636363612</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row>
        <row r="243">
          <cell r="C243">
            <v>11362.33333333333</v>
          </cell>
          <cell r="D243">
            <v>2503</v>
          </cell>
          <cell r="E243">
            <v>1824.3333333333335</v>
          </cell>
          <cell r="I243">
            <v>990</v>
          </cell>
          <cell r="J243">
            <v>-692</v>
          </cell>
          <cell r="K243">
            <v>3812.2727272727261</v>
          </cell>
          <cell r="L243">
            <v>1397.6281818181797</v>
          </cell>
          <cell r="M243">
            <v>2448.6445454545456</v>
          </cell>
          <cell r="N243">
            <v>-619</v>
          </cell>
          <cell r="O243">
            <v>507.81818181818107</v>
          </cell>
          <cell r="P243">
            <v>348</v>
          </cell>
          <cell r="Q243">
            <v>771.91818181818144</v>
          </cell>
          <cell r="R243">
            <v>-379</v>
          </cell>
          <cell r="S243">
            <v>375.00000000000034</v>
          </cell>
          <cell r="T243">
            <v>265</v>
          </cell>
          <cell r="U243">
            <v>545.70000000000107</v>
          </cell>
          <cell r="V243">
            <v>-379</v>
          </cell>
          <cell r="X243">
            <v>885.2</v>
          </cell>
          <cell r="Y243">
            <v>98.799999999999955</v>
          </cell>
          <cell r="Z243">
            <v>983.99999999999955</v>
          </cell>
          <cell r="AA243">
            <v>95</v>
          </cell>
          <cell r="AB243">
            <v>7</v>
          </cell>
          <cell r="AC243">
            <v>102</v>
          </cell>
          <cell r="AG243">
            <v>625</v>
          </cell>
          <cell r="AH243">
            <v>18826.624242424241</v>
          </cell>
          <cell r="AJ243">
            <v>18795.624242424237</v>
          </cell>
        </row>
        <row r="244">
          <cell r="AJ244">
            <v>0</v>
          </cell>
        </row>
        <row r="245">
          <cell r="C245">
            <v>410.54545454545456</v>
          </cell>
          <cell r="D245">
            <v>67</v>
          </cell>
          <cell r="E245">
            <v>247.54545454545456</v>
          </cell>
          <cell r="I245">
            <v>725.72727272727275</v>
          </cell>
          <cell r="J245">
            <v>0</v>
          </cell>
          <cell r="K245">
            <v>1685.4545454545455</v>
          </cell>
          <cell r="L245">
            <v>728.25818181818181</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row>
        <row r="246">
          <cell r="C246">
            <v>112</v>
          </cell>
          <cell r="D246">
            <v>3</v>
          </cell>
          <cell r="E246">
            <v>13</v>
          </cell>
          <cell r="I246">
            <v>198</v>
          </cell>
          <cell r="J246">
            <v>0</v>
          </cell>
          <cell r="K246">
            <v>460</v>
          </cell>
          <cell r="L246">
            <v>199</v>
          </cell>
          <cell r="M246">
            <v>261</v>
          </cell>
          <cell r="N246">
            <v>0</v>
          </cell>
          <cell r="O246">
            <v>178</v>
          </cell>
          <cell r="P246">
            <v>55</v>
          </cell>
          <cell r="Q246">
            <v>123</v>
          </cell>
          <cell r="R246">
            <v>24.81818181818182</v>
          </cell>
          <cell r="S246">
            <v>149</v>
          </cell>
          <cell r="T246">
            <v>49</v>
          </cell>
          <cell r="U246">
            <v>100</v>
          </cell>
          <cell r="V246">
            <v>0</v>
          </cell>
          <cell r="X246">
            <v>306</v>
          </cell>
          <cell r="Y246">
            <v>87</v>
          </cell>
          <cell r="Z246">
            <v>393</v>
          </cell>
          <cell r="AA246">
            <v>34.875</v>
          </cell>
          <cell r="AB246">
            <v>17.488636363636363</v>
          </cell>
          <cell r="AC246">
            <v>52.36363636363636</v>
          </cell>
          <cell r="AG246">
            <v>138.54545454545453</v>
          </cell>
          <cell r="AH246">
            <v>1625.5454545454545</v>
          </cell>
          <cell r="AJ246">
            <v>1625.5454545454545</v>
          </cell>
        </row>
        <row r="247">
          <cell r="C247">
            <v>7021.2910180221279</v>
          </cell>
          <cell r="D247">
            <v>644</v>
          </cell>
          <cell r="E247">
            <v>1044</v>
          </cell>
          <cell r="I247">
            <v>61</v>
          </cell>
          <cell r="J247">
            <v>0</v>
          </cell>
          <cell r="K247">
            <v>29</v>
          </cell>
          <cell r="L247">
            <v>22</v>
          </cell>
          <cell r="M247">
            <v>0</v>
          </cell>
          <cell r="N247">
            <v>0</v>
          </cell>
          <cell r="O247">
            <v>683</v>
          </cell>
          <cell r="P247">
            <v>212</v>
          </cell>
          <cell r="Q247">
            <v>471</v>
          </cell>
          <cell r="R247">
            <v>0</v>
          </cell>
          <cell r="S247">
            <v>41</v>
          </cell>
          <cell r="T247">
            <v>5</v>
          </cell>
          <cell r="U247">
            <v>9</v>
          </cell>
          <cell r="V247">
            <v>0</v>
          </cell>
          <cell r="X247">
            <v>16</v>
          </cell>
          <cell r="Y247">
            <v>1</v>
          </cell>
          <cell r="Z247">
            <v>17</v>
          </cell>
          <cell r="AA247">
            <v>10</v>
          </cell>
          <cell r="AB247">
            <v>4</v>
          </cell>
          <cell r="AC247">
            <v>14</v>
          </cell>
          <cell r="AG247">
            <v>0</v>
          </cell>
          <cell r="AH247">
            <v>7851.2910180221279</v>
          </cell>
          <cell r="AJ247">
            <v>7851.2910180221279</v>
          </cell>
        </row>
        <row r="248">
          <cell r="C248">
            <v>0</v>
          </cell>
          <cell r="D248">
            <v>0</v>
          </cell>
          <cell r="E248">
            <v>0</v>
          </cell>
          <cell r="I248">
            <v>0</v>
          </cell>
          <cell r="J248">
            <v>0</v>
          </cell>
          <cell r="K248">
            <v>22</v>
          </cell>
          <cell r="L248">
            <v>22</v>
          </cell>
          <cell r="M248">
            <v>0</v>
          </cell>
          <cell r="N248">
            <v>0</v>
          </cell>
          <cell r="O248">
            <v>647</v>
          </cell>
          <cell r="P248">
            <v>201</v>
          </cell>
          <cell r="Q248">
            <v>446</v>
          </cell>
          <cell r="R248">
            <v>0</v>
          </cell>
          <cell r="S248">
            <v>14</v>
          </cell>
          <cell r="T248">
            <v>5</v>
          </cell>
          <cell r="U248">
            <v>9</v>
          </cell>
          <cell r="V248">
            <v>0</v>
          </cell>
          <cell r="X248">
            <v>0</v>
          </cell>
          <cell r="Y248">
            <v>0</v>
          </cell>
          <cell r="Z248">
            <v>0</v>
          </cell>
          <cell r="AA248">
            <v>0</v>
          </cell>
          <cell r="AB248">
            <v>0</v>
          </cell>
          <cell r="AC248">
            <v>0</v>
          </cell>
          <cell r="AG248">
            <v>0</v>
          </cell>
          <cell r="AH248">
            <v>683</v>
          </cell>
          <cell r="AJ248">
            <v>683</v>
          </cell>
        </row>
        <row r="249">
          <cell r="C249">
            <v>13</v>
          </cell>
          <cell r="D249">
            <v>3</v>
          </cell>
          <cell r="E249">
            <v>10</v>
          </cell>
          <cell r="I249">
            <v>61</v>
          </cell>
          <cell r="J249">
            <v>0</v>
          </cell>
          <cell r="K249">
            <v>7</v>
          </cell>
          <cell r="L249">
            <v>0</v>
          </cell>
          <cell r="M249">
            <v>0</v>
          </cell>
          <cell r="N249">
            <v>0</v>
          </cell>
          <cell r="O249">
            <v>36</v>
          </cell>
          <cell r="P249">
            <v>11</v>
          </cell>
          <cell r="Q249">
            <v>25</v>
          </cell>
          <cell r="R249">
            <v>0</v>
          </cell>
          <cell r="S249">
            <v>27</v>
          </cell>
          <cell r="T249">
            <v>0</v>
          </cell>
          <cell r="U249">
            <v>0</v>
          </cell>
          <cell r="V249">
            <v>0</v>
          </cell>
          <cell r="X249">
            <v>16</v>
          </cell>
          <cell r="Y249">
            <v>1</v>
          </cell>
          <cell r="Z249">
            <v>17</v>
          </cell>
          <cell r="AA249">
            <v>10</v>
          </cell>
          <cell r="AB249">
            <v>4</v>
          </cell>
          <cell r="AC249">
            <v>14</v>
          </cell>
          <cell r="AG249">
            <v>0</v>
          </cell>
          <cell r="AH249">
            <v>160</v>
          </cell>
          <cell r="AJ249">
            <v>160</v>
          </cell>
        </row>
        <row r="250">
          <cell r="C250">
            <v>1611</v>
          </cell>
          <cell r="AH250">
            <v>1611</v>
          </cell>
          <cell r="AJ250">
            <v>1611</v>
          </cell>
        </row>
        <row r="251">
          <cell r="C251">
            <v>3528</v>
          </cell>
          <cell r="AH251">
            <v>3528</v>
          </cell>
          <cell r="AJ251">
            <v>3528</v>
          </cell>
        </row>
        <row r="252">
          <cell r="C252">
            <v>0</v>
          </cell>
          <cell r="AH252">
            <v>0</v>
          </cell>
          <cell r="AJ252">
            <v>0</v>
          </cell>
        </row>
        <row r="253">
          <cell r="C253">
            <v>1869.2910180221284</v>
          </cell>
          <cell r="D253">
            <v>641</v>
          </cell>
          <cell r="E253">
            <v>1034</v>
          </cell>
          <cell r="I253">
            <v>0</v>
          </cell>
          <cell r="J253">
            <v>0</v>
          </cell>
          <cell r="K253">
            <v>0</v>
          </cell>
          <cell r="L253">
            <v>0</v>
          </cell>
          <cell r="M253">
            <v>0</v>
          </cell>
          <cell r="N253">
            <v>0</v>
          </cell>
          <cell r="O253">
            <v>0</v>
          </cell>
          <cell r="P253">
            <v>0</v>
          </cell>
          <cell r="Q253">
            <v>0</v>
          </cell>
          <cell r="R253">
            <v>0</v>
          </cell>
          <cell r="S253">
            <v>0</v>
          </cell>
          <cell r="T253">
            <v>0</v>
          </cell>
          <cell r="U253">
            <v>0</v>
          </cell>
          <cell r="V253">
            <v>0</v>
          </cell>
          <cell r="X253">
            <v>0</v>
          </cell>
          <cell r="Y253">
            <v>0</v>
          </cell>
          <cell r="Z253">
            <v>0</v>
          </cell>
          <cell r="AA253">
            <v>0</v>
          </cell>
          <cell r="AB253">
            <v>0</v>
          </cell>
          <cell r="AC253">
            <v>0</v>
          </cell>
          <cell r="AG253">
            <v>0</v>
          </cell>
          <cell r="AH253">
            <v>1869.2910180221284</v>
          </cell>
          <cell r="AJ253">
            <v>1869.2910180221284</v>
          </cell>
        </row>
        <row r="254">
          <cell r="AJ254">
            <v>0</v>
          </cell>
        </row>
        <row r="255">
          <cell r="C255">
            <v>474</v>
          </cell>
          <cell r="I255">
            <v>957</v>
          </cell>
          <cell r="J255">
            <v>0</v>
          </cell>
          <cell r="K255">
            <v>2792</v>
          </cell>
          <cell r="L255">
            <v>0</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I256">
            <v>180</v>
          </cell>
          <cell r="J256">
            <v>184</v>
          </cell>
          <cell r="K256">
            <v>315</v>
          </cell>
          <cell r="L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I257">
            <v>72</v>
          </cell>
          <cell r="J257">
            <v>72</v>
          </cell>
          <cell r="K257">
            <v>376</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I259">
            <v>0</v>
          </cell>
          <cell r="J259">
            <v>0</v>
          </cell>
          <cell r="K259">
            <v>0</v>
          </cell>
          <cell r="L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I262">
            <v>337</v>
          </cell>
          <cell r="J262">
            <v>0</v>
          </cell>
          <cell r="K262">
            <v>218</v>
          </cell>
          <cell r="L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I263">
            <v>8</v>
          </cell>
          <cell r="J263">
            <v>8</v>
          </cell>
          <cell r="K263">
            <v>39</v>
          </cell>
          <cell r="L263">
            <v>8</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I264">
            <v>500</v>
          </cell>
          <cell r="J264">
            <v>500</v>
          </cell>
          <cell r="K264">
            <v>580</v>
          </cell>
          <cell r="N264">
            <v>580</v>
          </cell>
          <cell r="O264">
            <v>80</v>
          </cell>
          <cell r="R264">
            <v>0</v>
          </cell>
          <cell r="S264">
            <v>70</v>
          </cell>
          <cell r="V264">
            <v>70</v>
          </cell>
          <cell r="AG264">
            <v>250</v>
          </cell>
          <cell r="AH264">
            <v>1480</v>
          </cell>
          <cell r="AJ264">
            <v>1480</v>
          </cell>
        </row>
        <row r="265">
          <cell r="C265">
            <v>0</v>
          </cell>
          <cell r="I265">
            <v>63</v>
          </cell>
          <cell r="J265">
            <v>63</v>
          </cell>
          <cell r="K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I267">
            <v>1</v>
          </cell>
          <cell r="J267">
            <v>0</v>
          </cell>
          <cell r="K267">
            <v>0</v>
          </cell>
          <cell r="L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I268">
            <v>91</v>
          </cell>
          <cell r="J268">
            <v>0</v>
          </cell>
          <cell r="K268">
            <v>3197</v>
          </cell>
          <cell r="L268">
            <v>3197</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I269">
            <v>0</v>
          </cell>
          <cell r="J269">
            <v>0</v>
          </cell>
          <cell r="K269">
            <v>0</v>
          </cell>
          <cell r="L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I270">
            <v>0</v>
          </cell>
          <cell r="J270">
            <v>0</v>
          </cell>
          <cell r="K270">
            <v>0</v>
          </cell>
          <cell r="L270">
            <v>0</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I271">
            <v>0</v>
          </cell>
          <cell r="J271">
            <v>0</v>
          </cell>
          <cell r="K271">
            <v>0</v>
          </cell>
          <cell r="L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I272">
            <v>0</v>
          </cell>
          <cell r="J272">
            <v>0</v>
          </cell>
          <cell r="K272">
            <v>0</v>
          </cell>
          <cell r="L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I273">
            <v>472</v>
          </cell>
          <cell r="J273">
            <v>-192</v>
          </cell>
          <cell r="K273">
            <v>1615.2727272727261</v>
          </cell>
          <cell r="L273">
            <v>1419.6281818181797</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I274">
            <v>-28</v>
          </cell>
          <cell r="J274">
            <v>0</v>
          </cell>
          <cell r="K274">
            <v>-507</v>
          </cell>
          <cell r="L274">
            <v>-81.119999999999976</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I285" t="str">
            <v>лютий</v>
          </cell>
          <cell r="O285" t="str">
            <v>лютий</v>
          </cell>
          <cell r="S285" t="str">
            <v>лютий</v>
          </cell>
        </row>
        <row r="286">
          <cell r="C286" t="str">
            <v>АППАРАТ</v>
          </cell>
          <cell r="I286" t="str">
            <v>ККМ</v>
          </cell>
          <cell r="O286" t="str">
            <v>ТЕЦ5</v>
          </cell>
          <cell r="S286" t="str">
            <v>ТЕЦ6</v>
          </cell>
          <cell r="AH286" t="str">
            <v>АК "КЕ"</v>
          </cell>
          <cell r="AJ286" t="str">
            <v>Е/Е</v>
          </cell>
        </row>
        <row r="287">
          <cell r="C287" t="str">
            <v>ПЛАН</v>
          </cell>
          <cell r="I287" t="str">
            <v>ПЛАН</v>
          </cell>
          <cell r="O287" t="str">
            <v>ПЛАН</v>
          </cell>
          <cell r="S287" t="str">
            <v>ПЛАН</v>
          </cell>
          <cell r="AH287" t="str">
            <v>ПЛАН</v>
          </cell>
          <cell r="AJ287" t="str">
            <v>ПЛАН</v>
          </cell>
        </row>
        <row r="288">
          <cell r="C288">
            <v>164.3</v>
          </cell>
          <cell r="D288">
            <v>35</v>
          </cell>
          <cell r="E288">
            <v>35</v>
          </cell>
          <cell r="I288">
            <v>14.333333333333332</v>
          </cell>
          <cell r="K288">
            <v>14.333333333333332</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I289">
            <v>0</v>
          </cell>
          <cell r="O289">
            <v>0</v>
          </cell>
          <cell r="P289">
            <v>0</v>
          </cell>
          <cell r="S289">
            <v>3.6666666666666665</v>
          </cell>
          <cell r="T289">
            <v>1</v>
          </cell>
          <cell r="AH289">
            <v>46</v>
          </cell>
          <cell r="AJ289">
            <v>10</v>
          </cell>
        </row>
        <row r="290">
          <cell r="C290">
            <v>0</v>
          </cell>
          <cell r="D290">
            <v>0</v>
          </cell>
          <cell r="I290">
            <v>0.66666666666666663</v>
          </cell>
          <cell r="O290">
            <v>146.66666666666666</v>
          </cell>
          <cell r="P290">
            <v>45</v>
          </cell>
          <cell r="S290">
            <v>280.66666666666669</v>
          </cell>
          <cell r="T290">
            <v>92</v>
          </cell>
          <cell r="AH290">
            <v>428</v>
          </cell>
          <cell r="AJ290">
            <v>137.66666666666666</v>
          </cell>
        </row>
        <row r="291">
          <cell r="C291">
            <v>0</v>
          </cell>
          <cell r="D291">
            <v>0</v>
          </cell>
          <cell r="I291">
            <v>2</v>
          </cell>
          <cell r="O291">
            <v>0</v>
          </cell>
          <cell r="P291">
            <v>0</v>
          </cell>
          <cell r="S291">
            <v>25</v>
          </cell>
          <cell r="T291">
            <v>8</v>
          </cell>
          <cell r="AH291">
            <v>33.666666666666671</v>
          </cell>
          <cell r="AJ291">
            <v>13</v>
          </cell>
        </row>
        <row r="292">
          <cell r="C292">
            <v>0</v>
          </cell>
          <cell r="D292">
            <v>0</v>
          </cell>
          <cell r="I292">
            <v>0</v>
          </cell>
          <cell r="O292">
            <v>25.333333333333332</v>
          </cell>
          <cell r="P292">
            <v>8</v>
          </cell>
          <cell r="S292">
            <v>0.66666666666666663</v>
          </cell>
          <cell r="T292">
            <v>0</v>
          </cell>
          <cell r="AH292">
            <v>26</v>
          </cell>
          <cell r="AJ292">
            <v>8</v>
          </cell>
        </row>
        <row r="293">
          <cell r="C293">
            <v>120.63333333333333</v>
          </cell>
          <cell r="D293">
            <v>26</v>
          </cell>
          <cell r="I293">
            <v>0</v>
          </cell>
          <cell r="O293">
            <v>0</v>
          </cell>
          <cell r="P293">
            <v>0</v>
          </cell>
          <cell r="S293">
            <v>0</v>
          </cell>
          <cell r="T293">
            <v>0</v>
          </cell>
          <cell r="AH293">
            <v>120.63333333333333</v>
          </cell>
          <cell r="AJ293">
            <v>28</v>
          </cell>
        </row>
        <row r="294">
          <cell r="C294">
            <v>8.6666666666666661</v>
          </cell>
          <cell r="D294">
            <v>2</v>
          </cell>
          <cell r="I294">
            <v>0</v>
          </cell>
          <cell r="O294">
            <v>0</v>
          </cell>
          <cell r="P294">
            <v>0</v>
          </cell>
          <cell r="S294">
            <v>0</v>
          </cell>
          <cell r="T294">
            <v>0</v>
          </cell>
          <cell r="AH294">
            <v>8.6666666666666661</v>
          </cell>
          <cell r="AJ294">
            <v>0</v>
          </cell>
        </row>
        <row r="295">
          <cell r="C295">
            <v>0</v>
          </cell>
          <cell r="D295">
            <v>0</v>
          </cell>
          <cell r="I295">
            <v>5.333333333333333</v>
          </cell>
          <cell r="O295">
            <v>0</v>
          </cell>
          <cell r="P295">
            <v>0</v>
          </cell>
          <cell r="S295">
            <v>0</v>
          </cell>
          <cell r="T295">
            <v>0</v>
          </cell>
          <cell r="AH295">
            <v>22</v>
          </cell>
          <cell r="AJ295">
            <v>15.333333333333332</v>
          </cell>
        </row>
        <row r="296">
          <cell r="C296">
            <v>5.333333333333333</v>
          </cell>
          <cell r="D296">
            <v>1</v>
          </cell>
          <cell r="I296">
            <v>0</v>
          </cell>
          <cell r="O296">
            <v>0</v>
          </cell>
          <cell r="P296">
            <v>0</v>
          </cell>
          <cell r="S296">
            <v>0</v>
          </cell>
          <cell r="T296">
            <v>0</v>
          </cell>
          <cell r="AH296">
            <v>5.333333333333333</v>
          </cell>
          <cell r="AJ296">
            <v>1</v>
          </cell>
        </row>
        <row r="297">
          <cell r="C297">
            <v>0.33333333333333331</v>
          </cell>
          <cell r="D297">
            <v>0</v>
          </cell>
          <cell r="I297">
            <v>4.333333333333333</v>
          </cell>
          <cell r="O297">
            <v>0</v>
          </cell>
          <cell r="P297">
            <v>0</v>
          </cell>
          <cell r="S297">
            <v>0</v>
          </cell>
          <cell r="T297">
            <v>0</v>
          </cell>
          <cell r="AH297">
            <v>4.6666666666666661</v>
          </cell>
          <cell r="AJ297">
            <v>4.333333333333333</v>
          </cell>
        </row>
        <row r="298">
          <cell r="C298">
            <v>0.33333333333333331</v>
          </cell>
          <cell r="D298">
            <v>0</v>
          </cell>
          <cell r="I298">
            <v>2</v>
          </cell>
          <cell r="O298">
            <v>10</v>
          </cell>
          <cell r="P298">
            <v>3</v>
          </cell>
          <cell r="S298">
            <v>13.666666666666666</v>
          </cell>
          <cell r="T298">
            <v>4</v>
          </cell>
          <cell r="AH298">
            <v>26</v>
          </cell>
          <cell r="AJ298">
            <v>9</v>
          </cell>
        </row>
        <row r="299">
          <cell r="C299">
            <v>0</v>
          </cell>
          <cell r="D299">
            <v>0</v>
          </cell>
          <cell r="I299">
            <v>0</v>
          </cell>
          <cell r="O299">
            <v>0</v>
          </cell>
          <cell r="P299">
            <v>0</v>
          </cell>
          <cell r="S299">
            <v>0</v>
          </cell>
          <cell r="T299">
            <v>0</v>
          </cell>
          <cell r="AH299">
            <v>0</v>
          </cell>
        </row>
        <row r="300">
          <cell r="C300">
            <v>1.1666666666666667</v>
          </cell>
          <cell r="D300">
            <v>0</v>
          </cell>
          <cell r="I300">
            <v>20.5</v>
          </cell>
          <cell r="O300">
            <v>522.33333333333337</v>
          </cell>
          <cell r="P300">
            <v>162</v>
          </cell>
          <cell r="S300">
            <v>43</v>
          </cell>
          <cell r="T300">
            <v>14</v>
          </cell>
          <cell r="AH300">
            <v>587.33333333333337</v>
          </cell>
          <cell r="AJ300">
            <v>196.5</v>
          </cell>
          <cell r="AK300">
            <v>196.83333333333334</v>
          </cell>
        </row>
        <row r="301">
          <cell r="C301">
            <v>0</v>
          </cell>
          <cell r="D301">
            <v>0</v>
          </cell>
          <cell r="I301">
            <v>0</v>
          </cell>
          <cell r="O301">
            <v>0</v>
          </cell>
          <cell r="P301">
            <v>0</v>
          </cell>
          <cell r="S301">
            <v>0</v>
          </cell>
          <cell r="T301">
            <v>0</v>
          </cell>
          <cell r="AH301">
            <v>0</v>
          </cell>
          <cell r="AJ301">
            <v>0</v>
          </cell>
        </row>
        <row r="302">
          <cell r="C302">
            <v>0</v>
          </cell>
          <cell r="D302">
            <v>0</v>
          </cell>
          <cell r="I302">
            <v>0</v>
          </cell>
          <cell r="O302">
            <v>480.66666666666669</v>
          </cell>
          <cell r="P302">
            <v>149</v>
          </cell>
          <cell r="S302">
            <v>11</v>
          </cell>
          <cell r="T302">
            <v>4</v>
          </cell>
          <cell r="AH302">
            <v>491.66666666666669</v>
          </cell>
          <cell r="AJ302">
            <v>153</v>
          </cell>
        </row>
        <row r="303">
          <cell r="C303">
            <v>0</v>
          </cell>
          <cell r="D303">
            <v>0</v>
          </cell>
          <cell r="I303">
            <v>0</v>
          </cell>
          <cell r="O303">
            <v>0</v>
          </cell>
          <cell r="P303">
            <v>0</v>
          </cell>
          <cell r="S303">
            <v>0</v>
          </cell>
          <cell r="T303">
            <v>0</v>
          </cell>
          <cell r="AH303">
            <v>0</v>
          </cell>
          <cell r="AJ303">
            <v>0</v>
          </cell>
        </row>
        <row r="304">
          <cell r="C304">
            <v>1.1666666666666667</v>
          </cell>
          <cell r="D304">
            <v>0</v>
          </cell>
          <cell r="I304">
            <v>15.833333333333334</v>
          </cell>
          <cell r="O304">
            <v>41.666666666666664</v>
          </cell>
          <cell r="P304">
            <v>13</v>
          </cell>
          <cell r="S304">
            <v>32</v>
          </cell>
          <cell r="T304">
            <v>10</v>
          </cell>
          <cell r="AH304">
            <v>91</v>
          </cell>
          <cell r="AJ304">
            <v>43.833333333333336</v>
          </cell>
        </row>
        <row r="305">
          <cell r="C305">
            <v>0</v>
          </cell>
          <cell r="D305">
            <v>0</v>
          </cell>
          <cell r="I305">
            <v>4.666666666666667</v>
          </cell>
          <cell r="O305">
            <v>0</v>
          </cell>
          <cell r="P305">
            <v>0</v>
          </cell>
          <cell r="S305">
            <v>0</v>
          </cell>
          <cell r="T305">
            <v>0</v>
          </cell>
          <cell r="AH305">
            <v>4.666666666666667</v>
          </cell>
          <cell r="AJ305">
            <v>0</v>
          </cell>
        </row>
        <row r="306">
          <cell r="C306">
            <v>0</v>
          </cell>
          <cell r="D306">
            <v>0</v>
          </cell>
          <cell r="I306">
            <v>0</v>
          </cell>
          <cell r="O306">
            <v>0</v>
          </cell>
          <cell r="P306">
            <v>0</v>
          </cell>
          <cell r="S306">
            <v>0</v>
          </cell>
          <cell r="T306">
            <v>0</v>
          </cell>
          <cell r="AH306">
            <v>0</v>
          </cell>
        </row>
        <row r="307">
          <cell r="C307">
            <v>10</v>
          </cell>
          <cell r="D307">
            <v>2</v>
          </cell>
          <cell r="I307">
            <v>39</v>
          </cell>
          <cell r="O307">
            <v>0</v>
          </cell>
          <cell r="P307">
            <v>0</v>
          </cell>
          <cell r="S307">
            <v>0</v>
          </cell>
          <cell r="T307">
            <v>0</v>
          </cell>
          <cell r="AH307">
            <v>49</v>
          </cell>
          <cell r="AJ307">
            <v>41</v>
          </cell>
          <cell r="AK307">
            <v>42</v>
          </cell>
        </row>
        <row r="308">
          <cell r="C308">
            <v>2.6666666666666665</v>
          </cell>
          <cell r="D308">
            <v>1</v>
          </cell>
          <cell r="I308">
            <v>3.3333333333333335</v>
          </cell>
          <cell r="O308">
            <v>0</v>
          </cell>
          <cell r="P308">
            <v>0</v>
          </cell>
          <cell r="S308">
            <v>0</v>
          </cell>
          <cell r="T308">
            <v>0</v>
          </cell>
          <cell r="AH308">
            <v>6</v>
          </cell>
          <cell r="AJ308">
            <v>4.3333333333333339</v>
          </cell>
        </row>
        <row r="309">
          <cell r="C309">
            <v>7.333333333333333</v>
          </cell>
          <cell r="D309">
            <v>2</v>
          </cell>
          <cell r="I309">
            <v>35.666666666666664</v>
          </cell>
          <cell r="O309">
            <v>0</v>
          </cell>
          <cell r="P309">
            <v>0</v>
          </cell>
          <cell r="S309">
            <v>0</v>
          </cell>
          <cell r="T309">
            <v>0</v>
          </cell>
          <cell r="AH309">
            <v>43</v>
          </cell>
          <cell r="AJ309">
            <v>37.666666666666664</v>
          </cell>
        </row>
        <row r="310">
          <cell r="C310">
            <v>0</v>
          </cell>
          <cell r="D310">
            <v>0</v>
          </cell>
          <cell r="I310">
            <v>0</v>
          </cell>
          <cell r="O310">
            <v>0</v>
          </cell>
          <cell r="P310">
            <v>0</v>
          </cell>
          <cell r="S310">
            <v>0</v>
          </cell>
          <cell r="T310">
            <v>0</v>
          </cell>
          <cell r="AH310">
            <v>0</v>
          </cell>
        </row>
        <row r="311">
          <cell r="C311">
            <v>206.33333333333329</v>
          </cell>
          <cell r="D311">
            <v>44</v>
          </cell>
          <cell r="E311">
            <v>43</v>
          </cell>
          <cell r="I311">
            <v>50.166666666666671</v>
          </cell>
          <cell r="K311">
            <v>50.166666666666671</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I312">
            <v>0</v>
          </cell>
          <cell r="O312">
            <v>0</v>
          </cell>
          <cell r="P312">
            <v>0</v>
          </cell>
          <cell r="S312">
            <v>0</v>
          </cell>
          <cell r="T312">
            <v>0</v>
          </cell>
          <cell r="AH312">
            <v>1350</v>
          </cell>
          <cell r="AJ312">
            <v>0</v>
          </cell>
        </row>
        <row r="313">
          <cell r="C313">
            <v>0</v>
          </cell>
          <cell r="D313">
            <v>0</v>
          </cell>
          <cell r="I313">
            <v>0</v>
          </cell>
          <cell r="O313">
            <v>0</v>
          </cell>
          <cell r="P313">
            <v>0</v>
          </cell>
          <cell r="S313">
            <v>0</v>
          </cell>
          <cell r="T313">
            <v>0</v>
          </cell>
          <cell r="AH313">
            <v>95</v>
          </cell>
          <cell r="AJ313">
            <v>95</v>
          </cell>
        </row>
        <row r="314">
          <cell r="C314">
            <v>0</v>
          </cell>
          <cell r="D314">
            <v>0</v>
          </cell>
          <cell r="I314">
            <v>0</v>
          </cell>
          <cell r="O314">
            <v>0</v>
          </cell>
          <cell r="P314">
            <v>0</v>
          </cell>
          <cell r="S314">
            <v>0</v>
          </cell>
          <cell r="T314">
            <v>0</v>
          </cell>
          <cell r="AH314">
            <v>0</v>
          </cell>
          <cell r="AJ314">
            <v>0</v>
          </cell>
        </row>
        <row r="315">
          <cell r="C315">
            <v>0</v>
          </cell>
          <cell r="D315">
            <v>0</v>
          </cell>
          <cell r="I315">
            <v>12.333333333333334</v>
          </cell>
          <cell r="O315">
            <v>0</v>
          </cell>
          <cell r="P315">
            <v>0</v>
          </cell>
          <cell r="S315">
            <v>0</v>
          </cell>
          <cell r="T315">
            <v>0</v>
          </cell>
          <cell r="AH315">
            <v>12.333333333333334</v>
          </cell>
          <cell r="AJ315">
            <v>12.333333333333334</v>
          </cell>
        </row>
        <row r="316">
          <cell r="C316">
            <v>0</v>
          </cell>
          <cell r="D316">
            <v>0</v>
          </cell>
          <cell r="I316">
            <v>0</v>
          </cell>
          <cell r="O316">
            <v>0</v>
          </cell>
          <cell r="P316">
            <v>0</v>
          </cell>
          <cell r="S316">
            <v>0</v>
          </cell>
          <cell r="T316">
            <v>0</v>
          </cell>
          <cell r="AH316">
            <v>0</v>
          </cell>
          <cell r="AJ316">
            <v>0</v>
          </cell>
        </row>
        <row r="317">
          <cell r="C317">
            <v>1.6666666666666667</v>
          </cell>
          <cell r="D317">
            <v>0</v>
          </cell>
          <cell r="I317">
            <v>5</v>
          </cell>
          <cell r="O317">
            <v>3</v>
          </cell>
          <cell r="P317">
            <v>1</v>
          </cell>
          <cell r="S317">
            <v>3</v>
          </cell>
          <cell r="T317">
            <v>1</v>
          </cell>
          <cell r="AH317">
            <v>57.666666666666664</v>
          </cell>
          <cell r="AJ317">
            <v>47</v>
          </cell>
        </row>
        <row r="318">
          <cell r="C318">
            <v>0</v>
          </cell>
          <cell r="D318">
            <v>0</v>
          </cell>
          <cell r="I318">
            <v>0</v>
          </cell>
          <cell r="O318">
            <v>0</v>
          </cell>
          <cell r="P318">
            <v>0</v>
          </cell>
          <cell r="S318">
            <v>0</v>
          </cell>
          <cell r="T318">
            <v>0</v>
          </cell>
          <cell r="AH318">
            <v>4</v>
          </cell>
          <cell r="AJ318">
            <v>0</v>
          </cell>
        </row>
        <row r="319">
          <cell r="C319">
            <v>0</v>
          </cell>
          <cell r="D319">
            <v>0</v>
          </cell>
          <cell r="I319">
            <v>0</v>
          </cell>
          <cell r="O319">
            <v>0</v>
          </cell>
          <cell r="P319">
            <v>0</v>
          </cell>
          <cell r="S319">
            <v>0</v>
          </cell>
          <cell r="T319">
            <v>0</v>
          </cell>
          <cell r="AH319">
            <v>0</v>
          </cell>
          <cell r="AJ319">
            <v>0</v>
          </cell>
        </row>
        <row r="320">
          <cell r="C320">
            <v>0</v>
          </cell>
          <cell r="D320">
            <v>0</v>
          </cell>
          <cell r="I320">
            <v>18.5</v>
          </cell>
          <cell r="O320">
            <v>4.5</v>
          </cell>
          <cell r="P320">
            <v>1</v>
          </cell>
          <cell r="S320">
            <v>1.3333333333333333</v>
          </cell>
          <cell r="T320">
            <v>0</v>
          </cell>
          <cell r="AH320">
            <v>28.5</v>
          </cell>
          <cell r="AJ320">
            <v>23.5</v>
          </cell>
        </row>
        <row r="321">
          <cell r="C321">
            <v>0</v>
          </cell>
          <cell r="D321">
            <v>0</v>
          </cell>
          <cell r="I321">
            <v>1.3333333333333333</v>
          </cell>
          <cell r="O321">
            <v>0</v>
          </cell>
          <cell r="P321">
            <v>0</v>
          </cell>
          <cell r="S321">
            <v>1.6666666666666667</v>
          </cell>
          <cell r="T321">
            <v>1</v>
          </cell>
          <cell r="AH321">
            <v>69</v>
          </cell>
          <cell r="AJ321">
            <v>52.333333333333336</v>
          </cell>
        </row>
        <row r="322">
          <cell r="C322">
            <v>177</v>
          </cell>
          <cell r="D322">
            <v>38</v>
          </cell>
          <cell r="I322">
            <v>0</v>
          </cell>
          <cell r="O322">
            <v>0</v>
          </cell>
          <cell r="P322">
            <v>0</v>
          </cell>
          <cell r="S322">
            <v>0</v>
          </cell>
          <cell r="T322">
            <v>0</v>
          </cell>
          <cell r="AH322">
            <v>177</v>
          </cell>
          <cell r="AJ322">
            <v>38</v>
          </cell>
        </row>
        <row r="323">
          <cell r="C323">
            <v>0</v>
          </cell>
          <cell r="D323">
            <v>0</v>
          </cell>
          <cell r="I323">
            <v>0</v>
          </cell>
          <cell r="O323">
            <v>10</v>
          </cell>
          <cell r="P323">
            <v>3</v>
          </cell>
          <cell r="S323">
            <v>7.666666666666667</v>
          </cell>
          <cell r="T323">
            <v>3</v>
          </cell>
          <cell r="AH323">
            <v>17.666666666666668</v>
          </cell>
          <cell r="AJ323">
            <v>6</v>
          </cell>
        </row>
        <row r="324">
          <cell r="C324">
            <v>0.66666666666666663</v>
          </cell>
          <cell r="D324">
            <v>0</v>
          </cell>
          <cell r="I324">
            <v>2</v>
          </cell>
          <cell r="O324">
            <v>1.3333333333333333</v>
          </cell>
          <cell r="P324">
            <v>0</v>
          </cell>
          <cell r="S324">
            <v>1</v>
          </cell>
          <cell r="T324">
            <v>0</v>
          </cell>
          <cell r="AH324">
            <v>6</v>
          </cell>
          <cell r="AJ324">
            <v>2</v>
          </cell>
        </row>
        <row r="325">
          <cell r="C325">
            <v>2.6666666666666665</v>
          </cell>
          <cell r="D325">
            <v>1</v>
          </cell>
          <cell r="I325">
            <v>0.33333333333333331</v>
          </cell>
          <cell r="O325">
            <v>1</v>
          </cell>
          <cell r="P325">
            <v>0</v>
          </cell>
          <cell r="S325">
            <v>0.66666666666666663</v>
          </cell>
          <cell r="T325">
            <v>0</v>
          </cell>
          <cell r="AH325">
            <v>9.3333333333333339</v>
          </cell>
          <cell r="AJ325">
            <v>3.3333333333333335</v>
          </cell>
        </row>
        <row r="326">
          <cell r="C326">
            <v>0</v>
          </cell>
          <cell r="D326">
            <v>0</v>
          </cell>
          <cell r="I326">
            <v>2.3333333333333335</v>
          </cell>
          <cell r="O326">
            <v>6</v>
          </cell>
          <cell r="P326">
            <v>2</v>
          </cell>
          <cell r="S326">
            <v>5</v>
          </cell>
          <cell r="T326">
            <v>2</v>
          </cell>
          <cell r="AH326">
            <v>13.333333333333334</v>
          </cell>
          <cell r="AJ326">
            <v>6.3333333333333339</v>
          </cell>
        </row>
        <row r="327">
          <cell r="C327">
            <v>0</v>
          </cell>
          <cell r="D327">
            <v>0</v>
          </cell>
          <cell r="I327">
            <v>0</v>
          </cell>
          <cell r="O327">
            <v>0</v>
          </cell>
          <cell r="P327">
            <v>0</v>
          </cell>
          <cell r="S327">
            <v>0</v>
          </cell>
          <cell r="T327">
            <v>0</v>
          </cell>
          <cell r="AH327">
            <v>0</v>
          </cell>
          <cell r="AJ327">
            <v>0</v>
          </cell>
        </row>
        <row r="328">
          <cell r="C328">
            <v>0</v>
          </cell>
          <cell r="D328">
            <v>0</v>
          </cell>
          <cell r="I328">
            <v>0</v>
          </cell>
          <cell r="O328">
            <v>0</v>
          </cell>
          <cell r="P328">
            <v>0</v>
          </cell>
          <cell r="S328">
            <v>0</v>
          </cell>
          <cell r="T328">
            <v>0</v>
          </cell>
          <cell r="AH328">
            <v>0</v>
          </cell>
          <cell r="AJ328">
            <v>0</v>
          </cell>
        </row>
        <row r="329">
          <cell r="C329">
            <v>9.6666666666666661</v>
          </cell>
          <cell r="D329">
            <v>2</v>
          </cell>
          <cell r="I329">
            <v>1</v>
          </cell>
          <cell r="O329">
            <v>0</v>
          </cell>
          <cell r="P329">
            <v>0</v>
          </cell>
          <cell r="S329">
            <v>0</v>
          </cell>
          <cell r="T329">
            <v>0</v>
          </cell>
          <cell r="AH329">
            <v>12</v>
          </cell>
          <cell r="AJ329">
            <v>4</v>
          </cell>
        </row>
        <row r="330">
          <cell r="C330">
            <v>0</v>
          </cell>
          <cell r="D330">
            <v>0</v>
          </cell>
          <cell r="I330">
            <v>0</v>
          </cell>
          <cell r="O330">
            <v>0</v>
          </cell>
          <cell r="P330">
            <v>0</v>
          </cell>
          <cell r="S330">
            <v>0</v>
          </cell>
          <cell r="T330">
            <v>0</v>
          </cell>
          <cell r="AH330">
            <v>0</v>
          </cell>
          <cell r="AJ330">
            <v>0</v>
          </cell>
        </row>
        <row r="331">
          <cell r="C331">
            <v>2.3333333333333335</v>
          </cell>
          <cell r="D331">
            <v>0</v>
          </cell>
          <cell r="I331">
            <v>0.66666666666666663</v>
          </cell>
          <cell r="O331">
            <v>0.66666666666666663</v>
          </cell>
          <cell r="P331">
            <v>0</v>
          </cell>
          <cell r="S331">
            <v>0.66666666666666663</v>
          </cell>
          <cell r="T331">
            <v>0</v>
          </cell>
          <cell r="AH331">
            <v>4.333333333333333</v>
          </cell>
          <cell r="AJ331">
            <v>0.66666666666666663</v>
          </cell>
        </row>
        <row r="332">
          <cell r="C332">
            <v>1.6666666666666667</v>
          </cell>
          <cell r="D332">
            <v>0</v>
          </cell>
          <cell r="I332">
            <v>0.66666666666666663</v>
          </cell>
          <cell r="O332">
            <v>0.66666666666666663</v>
          </cell>
          <cell r="P332">
            <v>0</v>
          </cell>
          <cell r="S332">
            <v>0.66666666666666663</v>
          </cell>
          <cell r="T332">
            <v>0</v>
          </cell>
          <cell r="AH332">
            <v>3.6666666666666665</v>
          </cell>
          <cell r="AJ332">
            <v>0.66666666666666663</v>
          </cell>
        </row>
        <row r="333">
          <cell r="C333">
            <v>6.666666666666667</v>
          </cell>
          <cell r="D333">
            <v>1</v>
          </cell>
          <cell r="I333">
            <v>4.666666666666667</v>
          </cell>
          <cell r="O333">
            <v>3</v>
          </cell>
          <cell r="P333">
            <v>1</v>
          </cell>
          <cell r="S333">
            <v>2</v>
          </cell>
          <cell r="T333">
            <v>1</v>
          </cell>
          <cell r="AH333">
            <v>33</v>
          </cell>
          <cell r="AJ333">
            <v>17.666666666666668</v>
          </cell>
        </row>
        <row r="334">
          <cell r="C334">
            <v>0</v>
          </cell>
          <cell r="D334">
            <v>0</v>
          </cell>
          <cell r="I334">
            <v>0</v>
          </cell>
          <cell r="O334">
            <v>0</v>
          </cell>
          <cell r="P334">
            <v>0</v>
          </cell>
          <cell r="S334">
            <v>0</v>
          </cell>
          <cell r="T334">
            <v>0</v>
          </cell>
          <cell r="AH334">
            <v>0</v>
          </cell>
          <cell r="AJ334">
            <v>0</v>
          </cell>
        </row>
        <row r="335">
          <cell r="C335">
            <v>0</v>
          </cell>
          <cell r="D335">
            <v>0</v>
          </cell>
          <cell r="I335">
            <v>0</v>
          </cell>
          <cell r="O335">
            <v>0</v>
          </cell>
          <cell r="P335">
            <v>0</v>
          </cell>
          <cell r="S335">
            <v>0</v>
          </cell>
          <cell r="T335">
            <v>0</v>
          </cell>
          <cell r="AH335">
            <v>0</v>
          </cell>
          <cell r="AJ335">
            <v>53</v>
          </cell>
        </row>
        <row r="336">
          <cell r="C336">
            <v>1</v>
          </cell>
          <cell r="D336">
            <v>0</v>
          </cell>
          <cell r="I336">
            <v>0</v>
          </cell>
          <cell r="O336">
            <v>0</v>
          </cell>
          <cell r="P336">
            <v>0</v>
          </cell>
          <cell r="S336">
            <v>0</v>
          </cell>
          <cell r="T336">
            <v>0</v>
          </cell>
          <cell r="AH336">
            <v>1</v>
          </cell>
          <cell r="AJ336">
            <v>1</v>
          </cell>
        </row>
        <row r="337">
          <cell r="C337">
            <v>0</v>
          </cell>
          <cell r="D337">
            <v>0</v>
          </cell>
          <cell r="I337">
            <v>0</v>
          </cell>
          <cell r="O337">
            <v>0</v>
          </cell>
          <cell r="P337">
            <v>0</v>
          </cell>
          <cell r="S337">
            <v>0</v>
          </cell>
          <cell r="T337">
            <v>0</v>
          </cell>
          <cell r="AH337">
            <v>0</v>
          </cell>
          <cell r="AJ337">
            <v>0</v>
          </cell>
        </row>
        <row r="338">
          <cell r="C338">
            <v>0</v>
          </cell>
          <cell r="D338">
            <v>0</v>
          </cell>
          <cell r="I338">
            <v>0</v>
          </cell>
          <cell r="O338">
            <v>0</v>
          </cell>
          <cell r="P338">
            <v>0</v>
          </cell>
          <cell r="S338">
            <v>0</v>
          </cell>
          <cell r="T338">
            <v>0</v>
          </cell>
          <cell r="AH338">
            <v>0</v>
          </cell>
          <cell r="AJ338">
            <v>0</v>
          </cell>
        </row>
        <row r="339">
          <cell r="C339">
            <v>2.6666666666666665</v>
          </cell>
          <cell r="D339">
            <v>1</v>
          </cell>
          <cell r="I339">
            <v>1</v>
          </cell>
          <cell r="O339">
            <v>4</v>
          </cell>
          <cell r="P339">
            <v>1</v>
          </cell>
          <cell r="S339">
            <v>2</v>
          </cell>
          <cell r="T339">
            <v>1</v>
          </cell>
          <cell r="AH339">
            <v>15.666666666666666</v>
          </cell>
          <cell r="AJ339">
            <v>7</v>
          </cell>
        </row>
        <row r="340">
          <cell r="C340">
            <v>0</v>
          </cell>
          <cell r="D340">
            <v>0</v>
          </cell>
          <cell r="I340">
            <v>0</v>
          </cell>
          <cell r="O340">
            <v>0</v>
          </cell>
          <cell r="P340">
            <v>0</v>
          </cell>
          <cell r="S340">
            <v>0</v>
          </cell>
          <cell r="T340">
            <v>0</v>
          </cell>
          <cell r="AH340">
            <v>0</v>
          </cell>
          <cell r="AJ340">
            <v>0</v>
          </cell>
        </row>
        <row r="341">
          <cell r="C341">
            <v>0</v>
          </cell>
          <cell r="D341">
            <v>0</v>
          </cell>
          <cell r="I341">
            <v>0</v>
          </cell>
          <cell r="O341">
            <v>3.3333333333333335</v>
          </cell>
          <cell r="P341">
            <v>1</v>
          </cell>
          <cell r="S341">
            <v>0</v>
          </cell>
          <cell r="T341">
            <v>0</v>
          </cell>
          <cell r="AH341">
            <v>3.3333333333333335</v>
          </cell>
          <cell r="AJ341">
            <v>1</v>
          </cell>
        </row>
        <row r="342">
          <cell r="C342">
            <v>0.33333333333333331</v>
          </cell>
          <cell r="D342">
            <v>0</v>
          </cell>
          <cell r="I342">
            <v>0.33333333333333331</v>
          </cell>
          <cell r="O342">
            <v>0.33333333333333331</v>
          </cell>
          <cell r="P342">
            <v>0</v>
          </cell>
          <cell r="S342">
            <v>0.33333333333333331</v>
          </cell>
          <cell r="T342">
            <v>0</v>
          </cell>
          <cell r="AH342">
            <v>1.9999999999999998</v>
          </cell>
          <cell r="AJ342">
            <v>0.33333333333333331</v>
          </cell>
        </row>
        <row r="343">
          <cell r="C343">
            <v>0</v>
          </cell>
          <cell r="D343">
            <v>0</v>
          </cell>
          <cell r="I343">
            <v>0</v>
          </cell>
          <cell r="O343">
            <v>0</v>
          </cell>
          <cell r="P343">
            <v>0</v>
          </cell>
          <cell r="S343">
            <v>0</v>
          </cell>
          <cell r="T343">
            <v>0</v>
          </cell>
          <cell r="AH343">
            <v>0</v>
          </cell>
          <cell r="AJ343">
            <v>0</v>
          </cell>
        </row>
        <row r="344">
          <cell r="C344">
            <v>0</v>
          </cell>
          <cell r="D344">
            <v>0</v>
          </cell>
          <cell r="I344">
            <v>0</v>
          </cell>
          <cell r="O344">
            <v>0</v>
          </cell>
          <cell r="P344">
            <v>0</v>
          </cell>
          <cell r="S344">
            <v>0</v>
          </cell>
          <cell r="T344">
            <v>0</v>
          </cell>
          <cell r="AH344">
            <v>0</v>
          </cell>
          <cell r="AJ344">
            <v>0</v>
          </cell>
        </row>
        <row r="345">
          <cell r="C345">
            <v>0</v>
          </cell>
          <cell r="D345">
            <v>0</v>
          </cell>
          <cell r="I345">
            <v>0</v>
          </cell>
          <cell r="O345">
            <v>0</v>
          </cell>
          <cell r="P345">
            <v>0</v>
          </cell>
          <cell r="S345">
            <v>0</v>
          </cell>
          <cell r="T345">
            <v>0</v>
          </cell>
          <cell r="AH345">
            <v>0</v>
          </cell>
          <cell r="AJ345">
            <v>0</v>
          </cell>
        </row>
        <row r="346">
          <cell r="C346">
            <v>0</v>
          </cell>
          <cell r="D346">
            <v>0</v>
          </cell>
          <cell r="I346">
            <v>0</v>
          </cell>
          <cell r="O346">
            <v>0</v>
          </cell>
          <cell r="P346">
            <v>0</v>
          </cell>
          <cell r="S346">
            <v>0</v>
          </cell>
          <cell r="T346">
            <v>0</v>
          </cell>
          <cell r="AH346">
            <v>0</v>
          </cell>
          <cell r="AJ346">
            <v>0</v>
          </cell>
        </row>
        <row r="347">
          <cell r="C347">
            <v>0</v>
          </cell>
          <cell r="D347">
            <v>0</v>
          </cell>
          <cell r="I347">
            <v>0</v>
          </cell>
          <cell r="O347">
            <v>0</v>
          </cell>
          <cell r="P347">
            <v>0</v>
          </cell>
          <cell r="S347">
            <v>0</v>
          </cell>
          <cell r="T347">
            <v>0</v>
          </cell>
          <cell r="AH347">
            <v>0</v>
          </cell>
          <cell r="AJ347">
            <v>0</v>
          </cell>
        </row>
        <row r="348">
          <cell r="C348">
            <v>0</v>
          </cell>
          <cell r="D348">
            <v>0</v>
          </cell>
          <cell r="I348">
            <v>0</v>
          </cell>
          <cell r="O348">
            <v>0</v>
          </cell>
          <cell r="P348">
            <v>0</v>
          </cell>
          <cell r="S348">
            <v>0</v>
          </cell>
          <cell r="T348">
            <v>0</v>
          </cell>
          <cell r="AH348">
            <v>0</v>
          </cell>
          <cell r="AJ348">
            <v>0</v>
          </cell>
        </row>
        <row r="349">
          <cell r="D349">
            <v>0</v>
          </cell>
          <cell r="I349">
            <v>0</v>
          </cell>
          <cell r="O349">
            <v>0</v>
          </cell>
          <cell r="P349">
            <v>0</v>
          </cell>
          <cell r="S349">
            <v>0</v>
          </cell>
          <cell r="T349">
            <v>0</v>
          </cell>
          <cell r="AH349">
            <v>0</v>
          </cell>
          <cell r="AJ349">
            <v>2</v>
          </cell>
        </row>
        <row r="350">
          <cell r="I350">
            <v>0</v>
          </cell>
          <cell r="O350">
            <v>0</v>
          </cell>
          <cell r="P350">
            <v>0</v>
          </cell>
          <cell r="S350">
            <v>0</v>
          </cell>
          <cell r="T350">
            <v>0</v>
          </cell>
          <cell r="AH350">
            <v>0</v>
          </cell>
          <cell r="AJ350">
            <v>0</v>
          </cell>
        </row>
      </sheetData>
      <sheetData sheetId="9"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AI25" t="str">
            <v xml:space="preserve">                        І.В.Плачков</v>
          </cell>
        </row>
        <row r="26">
          <cell r="AI26" t="str">
            <v xml:space="preserve">   "_____" ________2000 р.</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M43">
            <v>1580</v>
          </cell>
        </row>
        <row r="44">
          <cell r="AM44">
            <v>0</v>
          </cell>
        </row>
        <row r="45">
          <cell r="AM45">
            <v>1580</v>
          </cell>
        </row>
        <row r="46">
          <cell r="F46">
            <v>14492.4</v>
          </cell>
          <cell r="P46">
            <v>2690.6333333333337</v>
          </cell>
          <cell r="S46">
            <v>7246.6333333333332</v>
          </cell>
          <cell r="T46">
            <v>3032.0786666666681</v>
          </cell>
          <cell r="U46">
            <v>2816.5546666666669</v>
          </cell>
          <cell r="X46">
            <v>2582.4666666666649</v>
          </cell>
          <cell r="AC46">
            <v>1595.0030303030289</v>
          </cell>
          <cell r="AF46">
            <v>3811.5939393939398</v>
          </cell>
          <cell r="AG46">
            <v>3064.6</v>
          </cell>
          <cell r="AH46">
            <v>746.99393939393951</v>
          </cell>
        </row>
        <row r="47">
          <cell r="F47">
            <v>0.8</v>
          </cell>
          <cell r="P47">
            <v>0.8</v>
          </cell>
          <cell r="S47">
            <v>0.8</v>
          </cell>
          <cell r="X47">
            <v>0.8</v>
          </cell>
          <cell r="AC47">
            <v>0.8</v>
          </cell>
          <cell r="AF47">
            <v>0.8</v>
          </cell>
          <cell r="AG47">
            <v>0.8</v>
          </cell>
          <cell r="AH47">
            <v>0.8</v>
          </cell>
        </row>
        <row r="49">
          <cell r="F49">
            <v>812</v>
          </cell>
          <cell r="G49">
            <v>213</v>
          </cell>
          <cell r="H49">
            <v>599</v>
          </cell>
          <cell r="P49">
            <v>460</v>
          </cell>
          <cell r="S49">
            <v>783.33333333333337</v>
          </cell>
          <cell r="T49">
            <v>391.66666666666669</v>
          </cell>
          <cell r="U49">
            <v>391.66666666666669</v>
          </cell>
          <cell r="X49">
            <v>204</v>
          </cell>
          <cell r="Y49">
            <v>95</v>
          </cell>
          <cell r="Z49">
            <v>109</v>
          </cell>
          <cell r="AC49">
            <v>136.33333333333331</v>
          </cell>
          <cell r="AD49">
            <v>64</v>
          </cell>
          <cell r="AE49">
            <v>72.333333333333314</v>
          </cell>
          <cell r="AF49">
            <v>306</v>
          </cell>
          <cell r="AG49">
            <v>209</v>
          </cell>
          <cell r="AH49">
            <v>97</v>
          </cell>
          <cell r="AI49">
            <v>70</v>
          </cell>
          <cell r="AK49">
            <v>2833.666666666667</v>
          </cell>
          <cell r="AL49">
            <v>885</v>
          </cell>
          <cell r="AM49">
            <v>1948.666666666667</v>
          </cell>
          <cell r="AN49">
            <v>1948.6666666666667</v>
          </cell>
          <cell r="AO49">
            <v>159</v>
          </cell>
          <cell r="AP49">
            <v>448</v>
          </cell>
          <cell r="AQ49">
            <v>726</v>
          </cell>
          <cell r="AR49">
            <v>1500.666666666667</v>
          </cell>
        </row>
        <row r="50">
          <cell r="F50">
            <v>160</v>
          </cell>
          <cell r="G50">
            <v>42</v>
          </cell>
          <cell r="P50">
            <v>56</v>
          </cell>
          <cell r="S50">
            <v>400.83333333333331</v>
          </cell>
          <cell r="X50">
            <v>60</v>
          </cell>
          <cell r="Y50">
            <v>28</v>
          </cell>
          <cell r="Z50">
            <v>32</v>
          </cell>
          <cell r="AC50">
            <v>40</v>
          </cell>
          <cell r="AD50">
            <v>19</v>
          </cell>
          <cell r="AE50">
            <v>21</v>
          </cell>
          <cell r="AF50">
            <v>236</v>
          </cell>
          <cell r="AG50">
            <v>204</v>
          </cell>
          <cell r="AH50">
            <v>32</v>
          </cell>
          <cell r="AK50">
            <v>954.83333333333326</v>
          </cell>
          <cell r="AL50">
            <v>176</v>
          </cell>
          <cell r="AM50">
            <v>778.83333333333326</v>
          </cell>
          <cell r="AN50">
            <v>660.83333333333326</v>
          </cell>
        </row>
        <row r="51">
          <cell r="G51">
            <v>0</v>
          </cell>
          <cell r="P51">
            <v>1</v>
          </cell>
          <cell r="X51">
            <v>16</v>
          </cell>
          <cell r="Y51">
            <v>7</v>
          </cell>
          <cell r="Z51">
            <v>9</v>
          </cell>
          <cell r="AC51">
            <v>47</v>
          </cell>
          <cell r="AD51">
            <v>22</v>
          </cell>
          <cell r="AE51">
            <v>25</v>
          </cell>
          <cell r="AH51">
            <v>0</v>
          </cell>
          <cell r="AK51">
            <v>64</v>
          </cell>
          <cell r="AL51">
            <v>30</v>
          </cell>
          <cell r="AM51">
            <v>34</v>
          </cell>
          <cell r="AN51">
            <v>34</v>
          </cell>
        </row>
        <row r="52">
          <cell r="F52">
            <v>613</v>
          </cell>
          <cell r="G52">
            <v>161</v>
          </cell>
          <cell r="P52">
            <v>10</v>
          </cell>
          <cell r="X52">
            <v>30</v>
          </cell>
          <cell r="Y52">
            <v>14</v>
          </cell>
          <cell r="Z52">
            <v>16</v>
          </cell>
          <cell r="AC52">
            <v>20</v>
          </cell>
          <cell r="AD52">
            <v>9</v>
          </cell>
          <cell r="AE52">
            <v>11</v>
          </cell>
          <cell r="AF52">
            <v>25.6</v>
          </cell>
          <cell r="AG52">
            <v>25.6</v>
          </cell>
          <cell r="AH52">
            <v>0</v>
          </cell>
          <cell r="AK52">
            <v>698.6</v>
          </cell>
          <cell r="AL52">
            <v>194</v>
          </cell>
          <cell r="AM52">
            <v>504.6</v>
          </cell>
          <cell r="AN52">
            <v>52.6</v>
          </cell>
        </row>
        <row r="53">
          <cell r="F53">
            <v>2</v>
          </cell>
          <cell r="G53">
            <v>1</v>
          </cell>
          <cell r="H53">
            <v>1</v>
          </cell>
          <cell r="P53">
            <v>53.666666666666664</v>
          </cell>
          <cell r="S53">
            <v>368.66666666666669</v>
          </cell>
          <cell r="T53">
            <v>287.56</v>
          </cell>
          <cell r="U53">
            <v>81.106666666666683</v>
          </cell>
          <cell r="X53">
            <v>950.66666666666663</v>
          </cell>
          <cell r="Y53">
            <v>443</v>
          </cell>
          <cell r="Z53">
            <v>507.66666666666663</v>
          </cell>
          <cell r="AC53">
            <v>84.333333333333329</v>
          </cell>
          <cell r="AD53">
            <v>40</v>
          </cell>
          <cell r="AE53">
            <v>44.333333333333329</v>
          </cell>
          <cell r="AF53">
            <v>189.33333333333334</v>
          </cell>
          <cell r="AG53">
            <v>110</v>
          </cell>
          <cell r="AH53">
            <v>79.333333333333343</v>
          </cell>
          <cell r="AI53">
            <v>36</v>
          </cell>
          <cell r="AK53">
            <v>1570.3333333333333</v>
          </cell>
          <cell r="AL53">
            <v>538.66666666666674</v>
          </cell>
          <cell r="AM53">
            <v>1031.6666666666665</v>
          </cell>
          <cell r="AN53">
            <v>1031.6666666666665</v>
          </cell>
          <cell r="AO53">
            <v>483</v>
          </cell>
          <cell r="AP53">
            <v>677</v>
          </cell>
          <cell r="AQ53">
            <v>55.666666666666742</v>
          </cell>
          <cell r="AR53">
            <v>354.66666666666652</v>
          </cell>
        </row>
        <row r="54">
          <cell r="F54">
            <v>0</v>
          </cell>
          <cell r="G54">
            <v>0</v>
          </cell>
          <cell r="H54">
            <v>0</v>
          </cell>
          <cell r="S54">
            <v>13.666666666666666</v>
          </cell>
          <cell r="T54">
            <v>13.666666666666666</v>
          </cell>
          <cell r="U54">
            <v>0</v>
          </cell>
          <cell r="X54">
            <v>757</v>
          </cell>
          <cell r="Y54">
            <v>353</v>
          </cell>
          <cell r="Z54">
            <v>404</v>
          </cell>
          <cell r="AC54">
            <v>13.333333333333334</v>
          </cell>
          <cell r="AD54">
            <v>6</v>
          </cell>
          <cell r="AE54">
            <v>7.3333333333333339</v>
          </cell>
          <cell r="AF54">
            <v>0.33333333333333331</v>
          </cell>
          <cell r="AH54">
            <v>0.33333333333333331</v>
          </cell>
          <cell r="AK54">
            <v>784</v>
          </cell>
          <cell r="AL54">
            <v>359</v>
          </cell>
          <cell r="AM54">
            <v>425</v>
          </cell>
          <cell r="AN54">
            <v>425</v>
          </cell>
          <cell r="AO54">
            <v>359</v>
          </cell>
          <cell r="AP54">
            <v>416</v>
          </cell>
          <cell r="AQ54">
            <v>0</v>
          </cell>
          <cell r="AR54">
            <v>9</v>
          </cell>
        </row>
        <row r="55">
          <cell r="F55">
            <v>0</v>
          </cell>
          <cell r="G55">
            <v>0</v>
          </cell>
          <cell r="H55">
            <v>0</v>
          </cell>
          <cell r="S55">
            <v>9278</v>
          </cell>
          <cell r="T55">
            <v>9278</v>
          </cell>
          <cell r="U55">
            <v>0</v>
          </cell>
          <cell r="X55">
            <v>14724</v>
          </cell>
          <cell r="Y55">
            <v>6861</v>
          </cell>
          <cell r="Z55">
            <v>7863</v>
          </cell>
          <cell r="AC55">
            <v>12954</v>
          </cell>
          <cell r="AD55">
            <v>6095</v>
          </cell>
          <cell r="AE55">
            <v>6859</v>
          </cell>
          <cell r="AH55">
            <v>0</v>
          </cell>
          <cell r="AK55">
            <v>36956</v>
          </cell>
          <cell r="AL55">
            <v>12956</v>
          </cell>
          <cell r="AM55">
            <v>24000</v>
          </cell>
          <cell r="AN55">
            <v>24000</v>
          </cell>
          <cell r="AO55">
            <v>12956</v>
          </cell>
          <cell r="AP55">
            <v>24000</v>
          </cell>
          <cell r="AQ55">
            <v>0</v>
          </cell>
          <cell r="AR55">
            <v>0</v>
          </cell>
        </row>
        <row r="56">
          <cell r="F56">
            <v>0</v>
          </cell>
          <cell r="G56">
            <v>0</v>
          </cell>
          <cell r="H56">
            <v>0</v>
          </cell>
          <cell r="P56">
            <v>0</v>
          </cell>
          <cell r="S56">
            <v>9278</v>
          </cell>
          <cell r="T56">
            <v>9278</v>
          </cell>
          <cell r="U56">
            <v>0</v>
          </cell>
          <cell r="X56">
            <v>14724</v>
          </cell>
          <cell r="Y56">
            <v>6861</v>
          </cell>
          <cell r="Z56">
            <v>7863</v>
          </cell>
          <cell r="AC56">
            <v>12954</v>
          </cell>
          <cell r="AD56">
            <v>6095</v>
          </cell>
          <cell r="AE56">
            <v>6859</v>
          </cell>
          <cell r="AF56">
            <v>0</v>
          </cell>
          <cell r="AG56">
            <v>0</v>
          </cell>
          <cell r="AH56">
            <v>0</v>
          </cell>
          <cell r="AI56">
            <v>0</v>
          </cell>
          <cell r="AK56">
            <v>36956</v>
          </cell>
          <cell r="AL56">
            <v>12956</v>
          </cell>
          <cell r="AM56">
            <v>24000</v>
          </cell>
          <cell r="AN56">
            <v>24000</v>
          </cell>
          <cell r="AO56">
            <v>12956</v>
          </cell>
          <cell r="AP56">
            <v>24000</v>
          </cell>
          <cell r="AQ56">
            <v>0</v>
          </cell>
          <cell r="AR56">
            <v>0</v>
          </cell>
        </row>
        <row r="57">
          <cell r="F57">
            <v>0</v>
          </cell>
          <cell r="G57">
            <v>0</v>
          </cell>
          <cell r="H57">
            <v>0</v>
          </cell>
          <cell r="T57">
            <v>0</v>
          </cell>
          <cell r="U57">
            <v>0</v>
          </cell>
          <cell r="AF57">
            <v>0</v>
          </cell>
          <cell r="AH57">
            <v>0</v>
          </cell>
          <cell r="AK57">
            <v>0</v>
          </cell>
          <cell r="AL57">
            <v>0</v>
          </cell>
          <cell r="AM57">
            <v>0</v>
          </cell>
          <cell r="AN57">
            <v>0</v>
          </cell>
          <cell r="AP57">
            <v>0</v>
          </cell>
        </row>
        <row r="58">
          <cell r="F58">
            <v>8</v>
          </cell>
          <cell r="G58">
            <v>2</v>
          </cell>
          <cell r="H58">
            <v>6</v>
          </cell>
          <cell r="P58">
            <v>21.666666666666668</v>
          </cell>
          <cell r="S58">
            <v>1148</v>
          </cell>
          <cell r="T58">
            <v>1148</v>
          </cell>
          <cell r="U58">
            <v>0</v>
          </cell>
          <cell r="X58">
            <v>0</v>
          </cell>
          <cell r="Y58">
            <v>0</v>
          </cell>
          <cell r="Z58">
            <v>0</v>
          </cell>
          <cell r="AC58">
            <v>0</v>
          </cell>
          <cell r="AD58">
            <v>0</v>
          </cell>
          <cell r="AE58">
            <v>0</v>
          </cell>
          <cell r="AF58">
            <v>675</v>
          </cell>
          <cell r="AG58">
            <v>241</v>
          </cell>
          <cell r="AH58">
            <v>434</v>
          </cell>
          <cell r="AI58">
            <v>241</v>
          </cell>
          <cell r="AK58">
            <v>1418.6666666666667</v>
          </cell>
          <cell r="AL58">
            <v>23.666666666666668</v>
          </cell>
          <cell r="AM58">
            <v>1395</v>
          </cell>
          <cell r="AN58">
            <v>1395</v>
          </cell>
          <cell r="AO58">
            <v>0</v>
          </cell>
          <cell r="AP58">
            <v>390</v>
          </cell>
          <cell r="AQ58">
            <v>23.666666666666668</v>
          </cell>
          <cell r="AR58">
            <v>1005</v>
          </cell>
        </row>
        <row r="59">
          <cell r="F59">
            <v>400</v>
          </cell>
          <cell r="G59">
            <v>105</v>
          </cell>
          <cell r="H59">
            <v>295</v>
          </cell>
          <cell r="P59">
            <v>512.9666666666667</v>
          </cell>
          <cell r="S59">
            <v>858.8</v>
          </cell>
          <cell r="T59">
            <v>420.81199999999995</v>
          </cell>
          <cell r="U59">
            <v>437.988</v>
          </cell>
          <cell r="X59">
            <v>277.8</v>
          </cell>
          <cell r="Y59">
            <v>129</v>
          </cell>
          <cell r="Z59">
            <v>148.80000000000001</v>
          </cell>
          <cell r="AC59">
            <v>254.33636363636361</v>
          </cell>
          <cell r="AD59">
            <v>120</v>
          </cell>
          <cell r="AE59">
            <v>134.33636363636361</v>
          </cell>
          <cell r="AF59">
            <v>903.92727272727279</v>
          </cell>
          <cell r="AG59">
            <v>844</v>
          </cell>
          <cell r="AH59">
            <v>59.927272727272793</v>
          </cell>
          <cell r="AI59">
            <v>274</v>
          </cell>
          <cell r="AK59">
            <v>3331.9030303030304</v>
          </cell>
          <cell r="AL59">
            <v>991.9666666666667</v>
          </cell>
          <cell r="AM59">
            <v>2339.9363636363637</v>
          </cell>
          <cell r="AN59">
            <v>2339.9363636363632</v>
          </cell>
          <cell r="AO59">
            <v>249</v>
          </cell>
          <cell r="AP59">
            <v>575</v>
          </cell>
          <cell r="AQ59">
            <v>742.9666666666667</v>
          </cell>
          <cell r="AR59">
            <v>1764.9363636363637</v>
          </cell>
        </row>
        <row r="60">
          <cell r="F60">
            <v>22</v>
          </cell>
          <cell r="G60">
            <v>6</v>
          </cell>
          <cell r="H60">
            <v>16</v>
          </cell>
          <cell r="P60">
            <v>28</v>
          </cell>
          <cell r="S60">
            <v>47</v>
          </cell>
          <cell r="T60">
            <v>23</v>
          </cell>
          <cell r="U60">
            <v>24</v>
          </cell>
          <cell r="X60">
            <v>15</v>
          </cell>
          <cell r="Y60">
            <v>7</v>
          </cell>
          <cell r="Z60">
            <v>8</v>
          </cell>
          <cell r="AC60">
            <v>14</v>
          </cell>
          <cell r="AD60">
            <v>7</v>
          </cell>
          <cell r="AE60">
            <v>7</v>
          </cell>
          <cell r="AF60">
            <v>50</v>
          </cell>
          <cell r="AG60">
            <v>46</v>
          </cell>
          <cell r="AH60">
            <v>4</v>
          </cell>
          <cell r="AI60">
            <v>15</v>
          </cell>
          <cell r="AK60">
            <v>182</v>
          </cell>
          <cell r="AL60">
            <v>55</v>
          </cell>
          <cell r="AM60">
            <v>127</v>
          </cell>
          <cell r="AN60">
            <v>127</v>
          </cell>
          <cell r="AO60">
            <v>14</v>
          </cell>
          <cell r="AP60">
            <v>25</v>
          </cell>
          <cell r="AQ60">
            <v>41</v>
          </cell>
          <cell r="AR60">
            <v>102</v>
          </cell>
        </row>
        <row r="61">
          <cell r="F61">
            <v>128</v>
          </cell>
          <cell r="G61">
            <v>34</v>
          </cell>
          <cell r="H61">
            <v>94</v>
          </cell>
          <cell r="P61">
            <v>164</v>
          </cell>
          <cell r="S61">
            <v>275</v>
          </cell>
          <cell r="T61">
            <v>135</v>
          </cell>
          <cell r="U61">
            <v>140</v>
          </cell>
          <cell r="X61">
            <v>89</v>
          </cell>
          <cell r="Y61">
            <v>41</v>
          </cell>
          <cell r="Z61">
            <v>48</v>
          </cell>
          <cell r="AC61">
            <v>81</v>
          </cell>
          <cell r="AD61">
            <v>38</v>
          </cell>
          <cell r="AE61">
            <v>43</v>
          </cell>
          <cell r="AF61">
            <v>289</v>
          </cell>
          <cell r="AG61">
            <v>270</v>
          </cell>
          <cell r="AH61">
            <v>19</v>
          </cell>
          <cell r="AI61">
            <v>88</v>
          </cell>
          <cell r="AK61">
            <v>1066</v>
          </cell>
          <cell r="AL61">
            <v>317</v>
          </cell>
          <cell r="AM61">
            <v>749</v>
          </cell>
          <cell r="AN61">
            <v>749</v>
          </cell>
          <cell r="AO61">
            <v>0</v>
          </cell>
          <cell r="AP61">
            <v>0</v>
          </cell>
          <cell r="AQ61">
            <v>0</v>
          </cell>
          <cell r="AR61">
            <v>0</v>
          </cell>
        </row>
        <row r="62">
          <cell r="F62">
            <v>0</v>
          </cell>
          <cell r="G62">
            <v>0</v>
          </cell>
          <cell r="P62">
            <v>0</v>
          </cell>
          <cell r="X62">
            <v>0</v>
          </cell>
          <cell r="AH62">
            <v>0</v>
          </cell>
          <cell r="AK62">
            <v>0</v>
          </cell>
          <cell r="AN62">
            <v>0</v>
          </cell>
        </row>
        <row r="63">
          <cell r="F63">
            <v>67</v>
          </cell>
          <cell r="G63">
            <v>18</v>
          </cell>
          <cell r="H63">
            <v>49</v>
          </cell>
          <cell r="P63">
            <v>458</v>
          </cell>
          <cell r="S63">
            <v>1126</v>
          </cell>
          <cell r="T63">
            <v>180.16</v>
          </cell>
          <cell r="U63">
            <v>945.84</v>
          </cell>
          <cell r="X63">
            <v>529.66666666666663</v>
          </cell>
          <cell r="Y63">
            <v>247</v>
          </cell>
          <cell r="Z63">
            <v>282.66666666666663</v>
          </cell>
          <cell r="AC63">
            <v>570</v>
          </cell>
          <cell r="AD63">
            <v>268</v>
          </cell>
          <cell r="AE63">
            <v>302</v>
          </cell>
          <cell r="AF63">
            <v>467</v>
          </cell>
          <cell r="AG63">
            <v>467</v>
          </cell>
          <cell r="AH63">
            <v>0</v>
          </cell>
          <cell r="AK63">
            <v>3225.6666666666665</v>
          </cell>
          <cell r="AL63">
            <v>999</v>
          </cell>
          <cell r="AM63">
            <v>2226.6666666666665</v>
          </cell>
          <cell r="AN63">
            <v>2228.6666666666665</v>
          </cell>
          <cell r="AO63">
            <v>515</v>
          </cell>
          <cell r="AP63">
            <v>968</v>
          </cell>
          <cell r="AQ63">
            <v>484</v>
          </cell>
          <cell r="AR63">
            <v>1258.6666666666665</v>
          </cell>
        </row>
        <row r="64">
          <cell r="G64">
            <v>0</v>
          </cell>
          <cell r="T64">
            <v>18</v>
          </cell>
          <cell r="U64">
            <v>95</v>
          </cell>
          <cell r="AH64">
            <v>0</v>
          </cell>
          <cell r="AI64">
            <v>0</v>
          </cell>
          <cell r="AJ64">
            <v>0</v>
          </cell>
          <cell r="AK64">
            <v>0</v>
          </cell>
          <cell r="AN64">
            <v>0</v>
          </cell>
          <cell r="AO64">
            <v>52</v>
          </cell>
          <cell r="AP64">
            <v>97</v>
          </cell>
          <cell r="AQ64">
            <v>48</v>
          </cell>
          <cell r="AR64">
            <v>126</v>
          </cell>
        </row>
        <row r="65">
          <cell r="F65">
            <v>84</v>
          </cell>
          <cell r="G65">
            <v>22</v>
          </cell>
          <cell r="H65">
            <v>62</v>
          </cell>
          <cell r="P65">
            <v>630</v>
          </cell>
          <cell r="S65">
            <v>1358</v>
          </cell>
          <cell r="X65">
            <v>100</v>
          </cell>
          <cell r="AC65">
            <v>130</v>
          </cell>
          <cell r="AF65">
            <v>508</v>
          </cell>
          <cell r="AG65">
            <v>508</v>
          </cell>
          <cell r="AH65">
            <v>0</v>
          </cell>
          <cell r="AK65">
            <v>2820</v>
          </cell>
          <cell r="AL65">
            <v>660</v>
          </cell>
          <cell r="AM65">
            <v>2160</v>
          </cell>
          <cell r="AN65">
            <v>1930</v>
          </cell>
          <cell r="AP65">
            <v>373</v>
          </cell>
        </row>
        <row r="66">
          <cell r="F66">
            <v>0</v>
          </cell>
          <cell r="G66">
            <v>0</v>
          </cell>
          <cell r="P66">
            <v>0</v>
          </cell>
          <cell r="S66">
            <v>0</v>
          </cell>
          <cell r="X66">
            <v>0</v>
          </cell>
          <cell r="AC66">
            <v>0</v>
          </cell>
          <cell r="AD66">
            <v>0</v>
          </cell>
          <cell r="AH66">
            <v>0</v>
          </cell>
          <cell r="AK66">
            <v>0</v>
          </cell>
          <cell r="AL66">
            <v>0</v>
          </cell>
          <cell r="AM66">
            <v>0</v>
          </cell>
          <cell r="AN66">
            <v>0</v>
          </cell>
          <cell r="AP66">
            <v>0</v>
          </cell>
        </row>
        <row r="67">
          <cell r="G67">
            <v>0</v>
          </cell>
          <cell r="H67">
            <v>-13</v>
          </cell>
          <cell r="P67">
            <v>-172</v>
          </cell>
          <cell r="S67">
            <v>-232</v>
          </cell>
          <cell r="T67">
            <v>162.16</v>
          </cell>
          <cell r="U67">
            <v>850.84</v>
          </cell>
          <cell r="X67">
            <v>429.66666666666663</v>
          </cell>
          <cell r="Y67">
            <v>247</v>
          </cell>
          <cell r="Z67">
            <v>282.66666666666663</v>
          </cell>
          <cell r="AC67">
            <v>440</v>
          </cell>
          <cell r="AD67">
            <v>268</v>
          </cell>
          <cell r="AE67">
            <v>302</v>
          </cell>
          <cell r="AF67">
            <v>-41</v>
          </cell>
          <cell r="AG67">
            <v>-41</v>
          </cell>
          <cell r="AH67">
            <v>0</v>
          </cell>
          <cell r="AI67">
            <v>0</v>
          </cell>
          <cell r="AJ67">
            <v>0</v>
          </cell>
          <cell r="AK67">
            <v>422.66666666666663</v>
          </cell>
          <cell r="AN67">
            <v>298.66666666666663</v>
          </cell>
          <cell r="AO67">
            <v>463</v>
          </cell>
          <cell r="AP67">
            <v>498</v>
          </cell>
          <cell r="AQ67">
            <v>436</v>
          </cell>
          <cell r="AR67">
            <v>1132.6666666666665</v>
          </cell>
        </row>
        <row r="68">
          <cell r="F68">
            <v>250</v>
          </cell>
          <cell r="G68">
            <v>65</v>
          </cell>
          <cell r="H68">
            <v>185</v>
          </cell>
          <cell r="P68">
            <v>727</v>
          </cell>
          <cell r="S68">
            <v>2102</v>
          </cell>
          <cell r="T68">
            <v>525.5</v>
          </cell>
          <cell r="U68">
            <v>1576.5</v>
          </cell>
          <cell r="X68">
            <v>838</v>
          </cell>
          <cell r="Y68">
            <v>390</v>
          </cell>
          <cell r="Z68">
            <v>448</v>
          </cell>
          <cell r="AC68">
            <v>783</v>
          </cell>
          <cell r="AD68">
            <v>368</v>
          </cell>
          <cell r="AE68">
            <v>415</v>
          </cell>
          <cell r="AF68">
            <v>652</v>
          </cell>
          <cell r="AG68">
            <v>652</v>
          </cell>
          <cell r="AH68">
            <v>0</v>
          </cell>
          <cell r="AK68">
            <v>5361</v>
          </cell>
          <cell r="AL68">
            <v>1550</v>
          </cell>
          <cell r="AM68">
            <v>3811</v>
          </cell>
          <cell r="AN68">
            <v>3802</v>
          </cell>
          <cell r="AO68">
            <v>758</v>
          </cell>
          <cell r="AP68">
            <v>1578</v>
          </cell>
          <cell r="AQ68">
            <v>792</v>
          </cell>
          <cell r="AR68">
            <v>2233</v>
          </cell>
        </row>
        <row r="69">
          <cell r="G69">
            <v>0</v>
          </cell>
          <cell r="H69">
            <v>0</v>
          </cell>
          <cell r="P69">
            <v>64.333333333333329</v>
          </cell>
          <cell r="S69">
            <v>408</v>
          </cell>
          <cell r="X69">
            <v>218</v>
          </cell>
          <cell r="Y69">
            <v>102</v>
          </cell>
          <cell r="Z69">
            <v>116</v>
          </cell>
          <cell r="AC69">
            <v>148.36363636363637</v>
          </cell>
          <cell r="AD69">
            <v>70</v>
          </cell>
          <cell r="AE69">
            <v>78.363636363636374</v>
          </cell>
          <cell r="AF69">
            <v>199.27272727272728</v>
          </cell>
          <cell r="AG69">
            <v>199.27272727272728</v>
          </cell>
          <cell r="AH69">
            <v>0</v>
          </cell>
          <cell r="AK69">
            <v>1037.969696969697</v>
          </cell>
          <cell r="AL69">
            <v>236.33333333333331</v>
          </cell>
          <cell r="AM69">
            <v>801.63636363636374</v>
          </cell>
          <cell r="AN69">
            <v>801.63636363636363</v>
          </cell>
        </row>
        <row r="70">
          <cell r="F70">
            <v>0</v>
          </cell>
          <cell r="G70">
            <v>0</v>
          </cell>
          <cell r="H70">
            <v>0</v>
          </cell>
          <cell r="P70">
            <v>4</v>
          </cell>
          <cell r="S70">
            <v>22</v>
          </cell>
          <cell r="X70">
            <v>12</v>
          </cell>
          <cell r="Y70">
            <v>6</v>
          </cell>
          <cell r="Z70">
            <v>6</v>
          </cell>
          <cell r="AC70">
            <v>8</v>
          </cell>
          <cell r="AD70">
            <v>4</v>
          </cell>
          <cell r="AE70">
            <v>4</v>
          </cell>
          <cell r="AF70">
            <v>11</v>
          </cell>
          <cell r="AG70">
            <v>11</v>
          </cell>
          <cell r="AH70">
            <v>0</v>
          </cell>
          <cell r="AK70">
            <v>57</v>
          </cell>
          <cell r="AL70">
            <v>14</v>
          </cell>
          <cell r="AM70">
            <v>43</v>
          </cell>
          <cell r="AN70">
            <v>43</v>
          </cell>
        </row>
        <row r="71">
          <cell r="F71">
            <v>0</v>
          </cell>
          <cell r="G71">
            <v>0</v>
          </cell>
          <cell r="H71">
            <v>0</v>
          </cell>
          <cell r="P71">
            <v>21</v>
          </cell>
          <cell r="S71">
            <v>130</v>
          </cell>
          <cell r="X71">
            <v>70</v>
          </cell>
          <cell r="Y71">
            <v>33</v>
          </cell>
          <cell r="Z71">
            <v>37</v>
          </cell>
          <cell r="AC71">
            <v>48</v>
          </cell>
          <cell r="AD71">
            <v>23</v>
          </cell>
          <cell r="AE71">
            <v>25</v>
          </cell>
          <cell r="AF71">
            <v>64</v>
          </cell>
          <cell r="AG71">
            <v>64</v>
          </cell>
          <cell r="AH71">
            <v>0</v>
          </cell>
          <cell r="AK71">
            <v>333</v>
          </cell>
          <cell r="AL71">
            <v>77</v>
          </cell>
          <cell r="AM71">
            <v>256</v>
          </cell>
          <cell r="AN71">
            <v>256</v>
          </cell>
        </row>
        <row r="72">
          <cell r="F72">
            <v>0</v>
          </cell>
          <cell r="G72">
            <v>0</v>
          </cell>
          <cell r="X72">
            <v>0</v>
          </cell>
          <cell r="AC72">
            <v>0</v>
          </cell>
          <cell r="AF72">
            <v>0</v>
          </cell>
          <cell r="AG72">
            <v>0</v>
          </cell>
          <cell r="AH72">
            <v>0</v>
          </cell>
          <cell r="AK72">
            <v>0</v>
          </cell>
          <cell r="AL72">
            <v>0</v>
          </cell>
          <cell r="AM72">
            <v>0</v>
          </cell>
          <cell r="AN72">
            <v>0</v>
          </cell>
        </row>
        <row r="73">
          <cell r="G73">
            <v>0</v>
          </cell>
          <cell r="P73">
            <v>650</v>
          </cell>
          <cell r="S73">
            <v>0</v>
          </cell>
          <cell r="X73">
            <v>0</v>
          </cell>
          <cell r="Y73">
            <v>0</v>
          </cell>
          <cell r="Z73">
            <v>0</v>
          </cell>
          <cell r="AC73">
            <v>0</v>
          </cell>
          <cell r="AD73">
            <v>0</v>
          </cell>
          <cell r="AE73">
            <v>0</v>
          </cell>
          <cell r="AF73">
            <v>0</v>
          </cell>
          <cell r="AG73">
            <v>0</v>
          </cell>
          <cell r="AH73">
            <v>0</v>
          </cell>
          <cell r="AK73">
            <v>650</v>
          </cell>
          <cell r="AL73">
            <v>650</v>
          </cell>
          <cell r="AM73">
            <v>0</v>
          </cell>
          <cell r="AN73">
            <v>0</v>
          </cell>
        </row>
        <row r="74">
          <cell r="G74">
            <v>0</v>
          </cell>
          <cell r="P74">
            <v>0</v>
          </cell>
          <cell r="S74">
            <v>0</v>
          </cell>
          <cell r="X74">
            <v>0</v>
          </cell>
          <cell r="Z74">
            <v>0</v>
          </cell>
          <cell r="AC74">
            <v>0</v>
          </cell>
          <cell r="AD74">
            <v>0</v>
          </cell>
          <cell r="AE74">
            <v>0</v>
          </cell>
          <cell r="AH74">
            <v>0</v>
          </cell>
          <cell r="AK74">
            <v>0</v>
          </cell>
          <cell r="AL74">
            <v>0</v>
          </cell>
          <cell r="AM74">
            <v>0</v>
          </cell>
          <cell r="AN74">
            <v>0</v>
          </cell>
        </row>
        <row r="75">
          <cell r="F75">
            <v>2199.4</v>
          </cell>
          <cell r="G75">
            <v>577</v>
          </cell>
          <cell r="H75">
            <v>1622.4</v>
          </cell>
          <cell r="P75">
            <v>92</v>
          </cell>
          <cell r="S75">
            <v>265.83333333333337</v>
          </cell>
          <cell r="T75">
            <v>100.54</v>
          </cell>
          <cell r="U75">
            <v>165.29333333333335</v>
          </cell>
          <cell r="X75">
            <v>79.666666666666671</v>
          </cell>
          <cell r="Y75">
            <v>37</v>
          </cell>
          <cell r="Z75">
            <v>42.666666666666671</v>
          </cell>
          <cell r="AC75">
            <v>85</v>
          </cell>
          <cell r="AD75">
            <v>40</v>
          </cell>
          <cell r="AE75">
            <v>45</v>
          </cell>
          <cell r="AF75">
            <v>226.33333333333331</v>
          </cell>
          <cell r="AG75">
            <v>172.6</v>
          </cell>
          <cell r="AH75">
            <v>53.73333333333332</v>
          </cell>
          <cell r="AI75">
            <v>59.2</v>
          </cell>
          <cell r="AK75">
            <v>3348.5</v>
          </cell>
          <cell r="AL75">
            <v>905.5</v>
          </cell>
          <cell r="AM75">
            <v>2443</v>
          </cell>
          <cell r="AN75">
            <v>2367.5</v>
          </cell>
          <cell r="AO75">
            <v>77</v>
          </cell>
          <cell r="AP75">
            <v>178</v>
          </cell>
          <cell r="AQ75">
            <v>828.5</v>
          </cell>
          <cell r="AR75">
            <v>2265</v>
          </cell>
        </row>
        <row r="76">
          <cell r="F76">
            <v>105</v>
          </cell>
          <cell r="G76">
            <v>28</v>
          </cell>
          <cell r="H76">
            <v>77</v>
          </cell>
          <cell r="T76">
            <v>0</v>
          </cell>
          <cell r="U76">
            <v>0</v>
          </cell>
          <cell r="Y76">
            <v>0</v>
          </cell>
          <cell r="Z76">
            <v>0</v>
          </cell>
          <cell r="AE76">
            <v>0</v>
          </cell>
          <cell r="AH76">
            <v>0</v>
          </cell>
          <cell r="AK76">
            <v>105</v>
          </cell>
          <cell r="AL76">
            <v>28</v>
          </cell>
          <cell r="AM76">
            <v>77</v>
          </cell>
          <cell r="AN76">
            <v>77</v>
          </cell>
          <cell r="AO76">
            <v>0</v>
          </cell>
          <cell r="AP76">
            <v>0</v>
          </cell>
          <cell r="AQ76">
            <v>28</v>
          </cell>
          <cell r="AR76">
            <v>77</v>
          </cell>
        </row>
        <row r="77">
          <cell r="F77">
            <v>2094.4</v>
          </cell>
          <cell r="G77">
            <v>549</v>
          </cell>
          <cell r="H77">
            <v>1545.4</v>
          </cell>
          <cell r="P77">
            <v>92</v>
          </cell>
          <cell r="S77">
            <v>265.83333333333337</v>
          </cell>
          <cell r="T77">
            <v>100.54</v>
          </cell>
          <cell r="U77">
            <v>165.29333333333335</v>
          </cell>
          <cell r="X77">
            <v>79.666666666666671</v>
          </cell>
          <cell r="Y77">
            <v>37</v>
          </cell>
          <cell r="Z77">
            <v>42.666666666666671</v>
          </cell>
          <cell r="AC77">
            <v>85</v>
          </cell>
          <cell r="AD77">
            <v>40</v>
          </cell>
          <cell r="AE77">
            <v>45</v>
          </cell>
          <cell r="AF77">
            <v>226.33333333333331</v>
          </cell>
          <cell r="AG77">
            <v>172.6</v>
          </cell>
          <cell r="AH77">
            <v>53.73333333333332</v>
          </cell>
          <cell r="AI77">
            <v>59</v>
          </cell>
          <cell r="AK77">
            <v>3243.5</v>
          </cell>
          <cell r="AL77">
            <v>877.5</v>
          </cell>
          <cell r="AM77">
            <v>2366</v>
          </cell>
          <cell r="AN77">
            <v>2290.5</v>
          </cell>
          <cell r="AO77">
            <v>77</v>
          </cell>
          <cell r="AP77">
            <v>178</v>
          </cell>
          <cell r="AQ77">
            <v>800.5</v>
          </cell>
          <cell r="AR77">
            <v>2188</v>
          </cell>
        </row>
        <row r="78">
          <cell r="F78">
            <v>696</v>
          </cell>
          <cell r="G78">
            <v>182</v>
          </cell>
          <cell r="H78">
            <v>514</v>
          </cell>
          <cell r="P78">
            <v>66</v>
          </cell>
          <cell r="S78">
            <v>152.33333333333334</v>
          </cell>
          <cell r="T78">
            <v>100.54</v>
          </cell>
          <cell r="U78">
            <v>51.793333333333337</v>
          </cell>
          <cell r="X78">
            <v>36</v>
          </cell>
          <cell r="Y78">
            <v>17</v>
          </cell>
          <cell r="Z78">
            <v>19</v>
          </cell>
          <cell r="AC78">
            <v>40</v>
          </cell>
          <cell r="AD78">
            <v>40</v>
          </cell>
          <cell r="AE78">
            <v>0</v>
          </cell>
          <cell r="AF78">
            <v>141</v>
          </cell>
          <cell r="AG78">
            <v>119.2</v>
          </cell>
          <cell r="AH78">
            <v>21.799999999999997</v>
          </cell>
          <cell r="AK78">
            <v>1109.5333333333333</v>
          </cell>
          <cell r="AL78">
            <v>305</v>
          </cell>
          <cell r="AM78">
            <v>804.5333333333333</v>
          </cell>
          <cell r="AN78">
            <v>804.53333333333342</v>
          </cell>
          <cell r="AR78">
            <v>804.5333333333333</v>
          </cell>
        </row>
        <row r="79">
          <cell r="H79">
            <v>0</v>
          </cell>
          <cell r="P79">
            <v>0</v>
          </cell>
          <cell r="S79">
            <v>0</v>
          </cell>
          <cell r="AK79">
            <v>442</v>
          </cell>
          <cell r="AL79">
            <v>158</v>
          </cell>
          <cell r="AM79">
            <v>284</v>
          </cell>
          <cell r="AN79">
            <v>206</v>
          </cell>
          <cell r="AR79">
            <v>284</v>
          </cell>
        </row>
        <row r="80">
          <cell r="F80">
            <v>823</v>
          </cell>
          <cell r="G80">
            <v>216</v>
          </cell>
          <cell r="H80">
            <v>607</v>
          </cell>
          <cell r="P80">
            <v>9</v>
          </cell>
          <cell r="S80">
            <v>40.333333333333336</v>
          </cell>
          <cell r="X80">
            <v>18.666666666666668</v>
          </cell>
          <cell r="AC80">
            <v>13</v>
          </cell>
          <cell r="AF80">
            <v>45.666666666666664</v>
          </cell>
          <cell r="AG80">
            <v>27.4</v>
          </cell>
          <cell r="AH80">
            <v>18.266666666666666</v>
          </cell>
          <cell r="AI80">
            <v>18.600000000000001</v>
          </cell>
          <cell r="AK80">
            <v>934.4</v>
          </cell>
          <cell r="AL80">
            <v>226.5</v>
          </cell>
          <cell r="AM80">
            <v>707.9</v>
          </cell>
          <cell r="AN80">
            <v>676.73333333333335</v>
          </cell>
        </row>
        <row r="81">
          <cell r="F81">
            <v>537</v>
          </cell>
          <cell r="G81">
            <v>141</v>
          </cell>
          <cell r="H81">
            <v>396</v>
          </cell>
          <cell r="P81">
            <v>17</v>
          </cell>
          <cell r="S81">
            <v>73.166666666666657</v>
          </cell>
          <cell r="X81">
            <v>25</v>
          </cell>
          <cell r="AC81">
            <v>32</v>
          </cell>
          <cell r="AF81">
            <v>39.666666666666664</v>
          </cell>
          <cell r="AG81">
            <v>26</v>
          </cell>
          <cell r="AH81">
            <v>13.666666666666664</v>
          </cell>
          <cell r="AI81">
            <v>15.3</v>
          </cell>
          <cell r="AK81">
            <v>734.46666666666658</v>
          </cell>
          <cell r="AL81">
            <v>162.77843783084342</v>
          </cell>
          <cell r="AM81">
            <v>571.68822883582311</v>
          </cell>
          <cell r="AN81">
            <v>506.16666666666663</v>
          </cell>
        </row>
        <row r="82">
          <cell r="H82">
            <v>0</v>
          </cell>
          <cell r="AK82">
            <v>0</v>
          </cell>
          <cell r="AL82">
            <v>0</v>
          </cell>
          <cell r="AM82">
            <v>0</v>
          </cell>
          <cell r="AN82">
            <v>0</v>
          </cell>
        </row>
        <row r="83">
          <cell r="F83">
            <v>19.399999999999999</v>
          </cell>
          <cell r="G83">
            <v>0</v>
          </cell>
          <cell r="H83">
            <v>19.399999999999999</v>
          </cell>
          <cell r="P83">
            <v>18</v>
          </cell>
          <cell r="S83">
            <v>7.5</v>
          </cell>
          <cell r="X83">
            <v>5</v>
          </cell>
          <cell r="AC83">
            <v>1.7</v>
          </cell>
          <cell r="AF83">
            <v>85</v>
          </cell>
          <cell r="AG83">
            <v>85</v>
          </cell>
          <cell r="AH83">
            <v>0</v>
          </cell>
          <cell r="AK83">
            <v>137.6</v>
          </cell>
          <cell r="AL83">
            <v>19</v>
          </cell>
          <cell r="AM83">
            <v>118.6</v>
          </cell>
          <cell r="AN83">
            <v>111.9</v>
          </cell>
        </row>
        <row r="84">
          <cell r="F84">
            <v>3888.4</v>
          </cell>
          <cell r="G84">
            <v>1021</v>
          </cell>
          <cell r="H84">
            <v>2867.4</v>
          </cell>
          <cell r="P84">
            <v>2517.3000000000002</v>
          </cell>
          <cell r="Q84">
            <v>0</v>
          </cell>
          <cell r="R84">
            <v>0</v>
          </cell>
          <cell r="S84">
            <v>16252.633333333333</v>
          </cell>
          <cell r="T84">
            <v>12490.238666666668</v>
          </cell>
          <cell r="U84">
            <v>3762.394666666667</v>
          </cell>
          <cell r="X84">
            <v>17707.8</v>
          </cell>
          <cell r="Y84">
            <v>8250</v>
          </cell>
          <cell r="Z84">
            <v>9457.7999999999975</v>
          </cell>
          <cell r="AA84">
            <v>0</v>
          </cell>
          <cell r="AB84">
            <v>0</v>
          </cell>
          <cell r="AC84">
            <v>14962.003030303029</v>
          </cell>
          <cell r="AD84">
            <v>7040</v>
          </cell>
          <cell r="AE84">
            <v>7922.0030303030308</v>
          </cell>
          <cell r="AF84">
            <v>3758.5939393939398</v>
          </cell>
          <cell r="AG84">
            <v>3011.6</v>
          </cell>
          <cell r="AH84">
            <v>746.99393939393951</v>
          </cell>
          <cell r="AI84">
            <v>783.2</v>
          </cell>
          <cell r="AK84">
            <v>59293.736363636359</v>
          </cell>
          <cell r="AL84">
            <v>19221.8</v>
          </cell>
          <cell r="AM84">
            <v>40071.936363636363</v>
          </cell>
          <cell r="AN84">
            <v>39989.436363636356</v>
          </cell>
          <cell r="AO84">
            <v>15211</v>
          </cell>
          <cell r="AP84">
            <v>28839</v>
          </cell>
          <cell r="AQ84">
            <v>3693.8</v>
          </cell>
          <cell r="AR84">
            <v>10483.936363636363</v>
          </cell>
        </row>
        <row r="85">
          <cell r="F85">
            <v>400</v>
          </cell>
          <cell r="G85">
            <v>105</v>
          </cell>
          <cell r="H85">
            <v>295</v>
          </cell>
          <cell r="P85">
            <v>577.30000000000007</v>
          </cell>
          <cell r="Q85">
            <v>0</v>
          </cell>
          <cell r="R85">
            <v>0</v>
          </cell>
          <cell r="T85">
            <v>420.81199999999995</v>
          </cell>
          <cell r="U85">
            <v>437.988</v>
          </cell>
          <cell r="V85">
            <v>0</v>
          </cell>
          <cell r="W85">
            <v>0</v>
          </cell>
          <cell r="Y85">
            <v>231</v>
          </cell>
          <cell r="Z85">
            <v>264.8</v>
          </cell>
          <cell r="AA85">
            <v>0</v>
          </cell>
          <cell r="AB85">
            <v>0</v>
          </cell>
          <cell r="AD85">
            <v>190</v>
          </cell>
          <cell r="AE85">
            <v>212.7</v>
          </cell>
          <cell r="AH85">
            <v>59.927272727272793</v>
          </cell>
          <cell r="AI85">
            <v>274</v>
          </cell>
          <cell r="AK85">
            <v>4369.8727272727274</v>
          </cell>
          <cell r="AL85">
            <v>1228.3</v>
          </cell>
          <cell r="AM85">
            <v>3141.5727272727272</v>
          </cell>
          <cell r="AN85">
            <v>831.5</v>
          </cell>
        </row>
        <row r="86">
          <cell r="AL86">
            <v>19221.8</v>
          </cell>
          <cell r="AN86">
            <v>0</v>
          </cell>
        </row>
        <row r="87">
          <cell r="F87">
            <v>9777</v>
          </cell>
          <cell r="G87">
            <v>9777</v>
          </cell>
          <cell r="AK87">
            <v>9777</v>
          </cell>
          <cell r="AL87">
            <v>9777</v>
          </cell>
          <cell r="AM87">
            <v>0</v>
          </cell>
          <cell r="AN87">
            <v>0</v>
          </cell>
          <cell r="AO87">
            <v>0</v>
          </cell>
          <cell r="AP87">
            <v>0</v>
          </cell>
          <cell r="AQ87">
            <v>0</v>
          </cell>
          <cell r="AR87">
            <v>0</v>
          </cell>
        </row>
        <row r="88">
          <cell r="F88">
            <v>13665.4</v>
          </cell>
          <cell r="G88">
            <v>10798</v>
          </cell>
          <cell r="H88">
            <v>2867.4</v>
          </cell>
          <cell r="P88">
            <v>2517.3000000000002</v>
          </cell>
          <cell r="Q88">
            <v>0</v>
          </cell>
          <cell r="R88">
            <v>0</v>
          </cell>
          <cell r="S88">
            <v>16252.633333333333</v>
          </cell>
          <cell r="T88">
            <v>12490.238666666668</v>
          </cell>
          <cell r="U88">
            <v>3762.394666666667</v>
          </cell>
          <cell r="V88">
            <v>0</v>
          </cell>
          <cell r="W88">
            <v>0</v>
          </cell>
          <cell r="X88">
            <v>17707.8</v>
          </cell>
          <cell r="Y88">
            <v>8250</v>
          </cell>
          <cell r="Z88">
            <v>9457.7999999999975</v>
          </cell>
          <cell r="AA88">
            <v>0</v>
          </cell>
          <cell r="AB88">
            <v>0</v>
          </cell>
          <cell r="AC88">
            <v>14962.003030303029</v>
          </cell>
          <cell r="AD88">
            <v>7040</v>
          </cell>
          <cell r="AE88">
            <v>7922.0030303030308</v>
          </cell>
          <cell r="AF88">
            <v>3758.5939393939398</v>
          </cell>
          <cell r="AG88">
            <v>3011.6</v>
          </cell>
          <cell r="AH88">
            <v>746.99393939393951</v>
          </cell>
          <cell r="AI88">
            <v>783.2</v>
          </cell>
          <cell r="AK88">
            <v>69070.736363636359</v>
          </cell>
          <cell r="AL88">
            <v>28998.799999999999</v>
          </cell>
          <cell r="AM88">
            <v>40071.936363636363</v>
          </cell>
          <cell r="AN88">
            <v>39989.436363636356</v>
          </cell>
          <cell r="AO88">
            <v>15211</v>
          </cell>
          <cell r="AP88">
            <v>28839</v>
          </cell>
          <cell r="AQ88">
            <v>3693.8</v>
          </cell>
          <cell r="AR88">
            <v>10483.936363636363</v>
          </cell>
        </row>
        <row r="89">
          <cell r="F89">
            <v>0</v>
          </cell>
          <cell r="G89">
            <v>0</v>
          </cell>
          <cell r="H89">
            <v>0</v>
          </cell>
          <cell r="AH89">
            <v>0</v>
          </cell>
          <cell r="AM89">
            <v>0</v>
          </cell>
          <cell r="AN89">
            <v>0</v>
          </cell>
          <cell r="AO89">
            <v>0</v>
          </cell>
          <cell r="AP89">
            <v>0</v>
          </cell>
          <cell r="AQ89">
            <v>0</v>
          </cell>
          <cell r="AR89">
            <v>-1</v>
          </cell>
        </row>
        <row r="90">
          <cell r="F90">
            <v>653</v>
          </cell>
          <cell r="G90">
            <v>380</v>
          </cell>
          <cell r="H90">
            <v>273</v>
          </cell>
          <cell r="AH90">
            <v>0</v>
          </cell>
          <cell r="AK90">
            <v>653</v>
          </cell>
          <cell r="AL90">
            <v>380</v>
          </cell>
          <cell r="AM90">
            <v>273</v>
          </cell>
          <cell r="AN90">
            <v>273</v>
          </cell>
          <cell r="AO90">
            <v>0</v>
          </cell>
          <cell r="AP90">
            <v>0</v>
          </cell>
          <cell r="AQ90">
            <v>91.858099597126753</v>
          </cell>
          <cell r="AR90">
            <v>33.178671326544126</v>
          </cell>
        </row>
        <row r="91">
          <cell r="F91">
            <v>600</v>
          </cell>
          <cell r="G91">
            <v>210</v>
          </cell>
          <cell r="H91">
            <v>390</v>
          </cell>
          <cell r="S91">
            <v>0</v>
          </cell>
          <cell r="T91">
            <v>0</v>
          </cell>
          <cell r="U91">
            <v>0</v>
          </cell>
          <cell r="X91">
            <v>0</v>
          </cell>
          <cell r="Y91">
            <v>0</v>
          </cell>
          <cell r="Z91">
            <v>0</v>
          </cell>
          <cell r="AA91">
            <v>0</v>
          </cell>
          <cell r="AB91">
            <v>0</v>
          </cell>
          <cell r="AC91">
            <v>0</v>
          </cell>
          <cell r="AD91">
            <v>0</v>
          </cell>
          <cell r="AE91">
            <v>0</v>
          </cell>
          <cell r="AH91">
            <v>0</v>
          </cell>
          <cell r="AK91">
            <v>600</v>
          </cell>
          <cell r="AL91">
            <v>210</v>
          </cell>
          <cell r="AM91">
            <v>390</v>
          </cell>
          <cell r="AN91">
            <v>390</v>
          </cell>
          <cell r="AO91">
            <v>0</v>
          </cell>
          <cell r="AP91">
            <v>0</v>
          </cell>
          <cell r="AQ91">
            <v>0</v>
          </cell>
          <cell r="AR91">
            <v>0</v>
          </cell>
        </row>
        <row r="92">
          <cell r="F92">
            <v>19</v>
          </cell>
          <cell r="G92">
            <v>7</v>
          </cell>
          <cell r="H92">
            <v>12</v>
          </cell>
          <cell r="P92">
            <v>1.3333333333333286</v>
          </cell>
          <cell r="S92">
            <v>0</v>
          </cell>
          <cell r="X92">
            <v>28.333333333333332</v>
          </cell>
          <cell r="Y92">
            <v>13</v>
          </cell>
          <cell r="Z92">
            <v>15.333333333333332</v>
          </cell>
          <cell r="AC92">
            <v>27</v>
          </cell>
          <cell r="AD92">
            <v>13</v>
          </cell>
          <cell r="AE92">
            <v>14</v>
          </cell>
          <cell r="AF92">
            <v>12</v>
          </cell>
          <cell r="AG92">
            <v>12</v>
          </cell>
          <cell r="AH92">
            <v>0</v>
          </cell>
          <cell r="AK92">
            <v>87.666666666666657</v>
          </cell>
          <cell r="AL92">
            <v>34.333333333333329</v>
          </cell>
          <cell r="AM92">
            <v>53.333333333333329</v>
          </cell>
          <cell r="AN92">
            <v>53.333333333333329</v>
          </cell>
          <cell r="AO92">
            <v>26</v>
          </cell>
          <cell r="AP92">
            <v>29</v>
          </cell>
          <cell r="AQ92">
            <v>8.3333333333333286</v>
          </cell>
          <cell r="AR92">
            <v>24.333333333333329</v>
          </cell>
        </row>
        <row r="93">
          <cell r="AN93">
            <v>0</v>
          </cell>
        </row>
        <row r="94">
          <cell r="AN94">
            <v>0</v>
          </cell>
        </row>
        <row r="95">
          <cell r="F95">
            <v>14937.4</v>
          </cell>
          <cell r="G95">
            <v>11395</v>
          </cell>
          <cell r="H95">
            <v>3542.4</v>
          </cell>
          <cell r="P95">
            <v>2518.6333333333337</v>
          </cell>
          <cell r="Q95">
            <v>0</v>
          </cell>
          <cell r="R95">
            <v>0</v>
          </cell>
          <cell r="S95">
            <v>16252.633333333333</v>
          </cell>
          <cell r="T95">
            <v>12490.238666666668</v>
          </cell>
          <cell r="U95">
            <v>3762.394666666667</v>
          </cell>
          <cell r="V95">
            <v>0</v>
          </cell>
          <cell r="W95">
            <v>0</v>
          </cell>
          <cell r="X95">
            <v>17736.133333333331</v>
          </cell>
          <cell r="Y95">
            <v>8263</v>
          </cell>
          <cell r="Z95">
            <v>9473.1333333333314</v>
          </cell>
          <cell r="AA95">
            <v>0</v>
          </cell>
          <cell r="AB95">
            <v>0</v>
          </cell>
          <cell r="AC95">
            <v>14989.003030303029</v>
          </cell>
          <cell r="AD95">
            <v>7053</v>
          </cell>
          <cell r="AE95">
            <v>7936.0030303030308</v>
          </cell>
          <cell r="AF95">
            <v>3770.5939393939398</v>
          </cell>
          <cell r="AG95">
            <v>3023.6</v>
          </cell>
          <cell r="AH95">
            <v>746.99393939393951</v>
          </cell>
          <cell r="AI95">
            <v>783.2</v>
          </cell>
          <cell r="AJ95">
            <v>0</v>
          </cell>
          <cell r="AK95">
            <v>70411.40303030303</v>
          </cell>
          <cell r="AL95">
            <v>29623.133333333331</v>
          </cell>
          <cell r="AM95">
            <v>40788.269696969699</v>
          </cell>
          <cell r="AN95">
            <v>40705.769696969692</v>
          </cell>
          <cell r="AO95">
            <v>15237</v>
          </cell>
          <cell r="AP95">
            <v>28868</v>
          </cell>
          <cell r="AQ95">
            <v>3793.9914329304606</v>
          </cell>
          <cell r="AR95">
            <v>10540.448368296242</v>
          </cell>
        </row>
        <row r="96">
          <cell r="F96">
            <v>5160.3999999999996</v>
          </cell>
          <cell r="G96">
            <v>1618</v>
          </cell>
          <cell r="H96">
            <v>3542.4</v>
          </cell>
          <cell r="P96">
            <v>2518.6333333333337</v>
          </cell>
          <cell r="Q96">
            <v>0</v>
          </cell>
          <cell r="R96">
            <v>0</v>
          </cell>
          <cell r="S96">
            <v>6974.6333333333332</v>
          </cell>
          <cell r="T96">
            <v>3212.238666666668</v>
          </cell>
          <cell r="U96">
            <v>3762.394666666667</v>
          </cell>
          <cell r="V96">
            <v>0</v>
          </cell>
          <cell r="W96">
            <v>0</v>
          </cell>
          <cell r="X96">
            <v>3012.1333333333314</v>
          </cell>
          <cell r="Y96">
            <v>1402</v>
          </cell>
          <cell r="Z96">
            <v>1610.1333333333314</v>
          </cell>
          <cell r="AA96">
            <v>0</v>
          </cell>
          <cell r="AB96">
            <v>0</v>
          </cell>
          <cell r="AC96">
            <v>2035.0030303030289</v>
          </cell>
          <cell r="AD96">
            <v>958</v>
          </cell>
          <cell r="AE96">
            <v>1077.0030303030308</v>
          </cell>
          <cell r="AF96">
            <v>3770.5939393939398</v>
          </cell>
          <cell r="AG96">
            <v>3023.6</v>
          </cell>
          <cell r="AH96">
            <v>746.99393939393951</v>
          </cell>
          <cell r="AI96">
            <v>783.2</v>
          </cell>
          <cell r="AJ96">
            <v>0</v>
          </cell>
          <cell r="AK96">
            <v>23678.40303030303</v>
          </cell>
          <cell r="AL96">
            <v>6890.1333333333314</v>
          </cell>
          <cell r="AM96">
            <v>16788.269696969699</v>
          </cell>
          <cell r="AN96">
            <v>16705.769696969695</v>
          </cell>
          <cell r="AO96">
            <v>2281</v>
          </cell>
          <cell r="AP96">
            <v>4868</v>
          </cell>
          <cell r="AQ96">
            <v>3793.9914329304606</v>
          </cell>
          <cell r="AR96">
            <v>10540.448368296242</v>
          </cell>
        </row>
        <row r="97">
          <cell r="F97">
            <v>1439</v>
          </cell>
          <cell r="G97">
            <v>14937.4</v>
          </cell>
          <cell r="P97">
            <v>630</v>
          </cell>
          <cell r="S97">
            <v>1544</v>
          </cell>
          <cell r="X97">
            <v>100</v>
          </cell>
          <cell r="Y97">
            <v>17736.133333333331</v>
          </cell>
          <cell r="AC97">
            <v>130</v>
          </cell>
          <cell r="AD97">
            <v>14989.003030303031</v>
          </cell>
          <cell r="AF97">
            <v>508</v>
          </cell>
          <cell r="AG97">
            <v>350</v>
          </cell>
          <cell r="AH97">
            <v>158</v>
          </cell>
          <cell r="AI97">
            <v>54.400000000000006</v>
          </cell>
          <cell r="AJ97">
            <v>0</v>
          </cell>
          <cell r="AK97">
            <v>4347.3999999999996</v>
          </cell>
          <cell r="AL97">
            <v>71194.603030303027</v>
          </cell>
        </row>
        <row r="98">
          <cell r="F98">
            <v>84</v>
          </cell>
          <cell r="P98">
            <v>630</v>
          </cell>
          <cell r="S98">
            <v>1358</v>
          </cell>
          <cell r="X98">
            <v>100</v>
          </cell>
          <cell r="AC98">
            <v>130</v>
          </cell>
          <cell r="AF98">
            <v>508</v>
          </cell>
          <cell r="AG98">
            <v>350</v>
          </cell>
          <cell r="AH98">
            <v>0</v>
          </cell>
          <cell r="AI98">
            <v>54.400000000000006</v>
          </cell>
          <cell r="AK98">
            <v>2716.4</v>
          </cell>
          <cell r="AL98">
            <v>70411.40303030303</v>
          </cell>
          <cell r="AM98">
            <v>29623.133333333331</v>
          </cell>
        </row>
        <row r="99">
          <cell r="F99">
            <v>0</v>
          </cell>
          <cell r="P99">
            <v>0</v>
          </cell>
          <cell r="X99">
            <v>0</v>
          </cell>
          <cell r="AK99">
            <v>0</v>
          </cell>
        </row>
        <row r="100">
          <cell r="F100">
            <v>1355</v>
          </cell>
          <cell r="P100">
            <v>0</v>
          </cell>
          <cell r="S100">
            <v>186</v>
          </cell>
          <cell r="X100">
            <v>0</v>
          </cell>
          <cell r="AC100">
            <v>0</v>
          </cell>
          <cell r="AF100">
            <v>0</v>
          </cell>
          <cell r="AG100">
            <v>0</v>
          </cell>
          <cell r="AH100">
            <v>158</v>
          </cell>
          <cell r="AI100">
            <v>0</v>
          </cell>
          <cell r="AK100">
            <v>1631</v>
          </cell>
        </row>
        <row r="101">
          <cell r="P101">
            <v>0</v>
          </cell>
          <cell r="S101">
            <v>0</v>
          </cell>
        </row>
        <row r="102">
          <cell r="S102">
            <v>0</v>
          </cell>
          <cell r="X102">
            <v>0</v>
          </cell>
        </row>
        <row r="104">
          <cell r="AK104">
            <v>0</v>
          </cell>
        </row>
        <row r="105">
          <cell r="AK105">
            <v>0</v>
          </cell>
        </row>
        <row r="106">
          <cell r="F106">
            <v>1755</v>
          </cell>
          <cell r="P106">
            <v>0</v>
          </cell>
          <cell r="S106">
            <v>0</v>
          </cell>
          <cell r="X106">
            <v>0</v>
          </cell>
          <cell r="AC106">
            <v>0</v>
          </cell>
          <cell r="AF106">
            <v>0</v>
          </cell>
          <cell r="AG106">
            <v>0</v>
          </cell>
          <cell r="AH106">
            <v>0</v>
          </cell>
          <cell r="AI106">
            <v>0</v>
          </cell>
          <cell r="AK106">
            <v>1755</v>
          </cell>
        </row>
        <row r="107">
          <cell r="F107">
            <v>1355</v>
          </cell>
          <cell r="AC107">
            <v>0</v>
          </cell>
          <cell r="AF107">
            <v>0</v>
          </cell>
          <cell r="AG107">
            <v>0</v>
          </cell>
          <cell r="AH107">
            <v>0</v>
          </cell>
          <cell r="AI107">
            <v>0</v>
          </cell>
          <cell r="AK107">
            <v>1355</v>
          </cell>
        </row>
        <row r="108">
          <cell r="F108">
            <v>400</v>
          </cell>
          <cell r="P108">
            <v>0</v>
          </cell>
          <cell r="S108">
            <v>0</v>
          </cell>
          <cell r="AC108">
            <v>0</v>
          </cell>
          <cell r="AF108">
            <v>0</v>
          </cell>
          <cell r="AG108">
            <v>0</v>
          </cell>
          <cell r="AH108">
            <v>0</v>
          </cell>
          <cell r="AI108">
            <v>0</v>
          </cell>
          <cell r="AK108">
            <v>400</v>
          </cell>
        </row>
        <row r="109">
          <cell r="F109">
            <v>0</v>
          </cell>
          <cell r="P109">
            <v>0</v>
          </cell>
          <cell r="S109">
            <v>0</v>
          </cell>
          <cell r="X109">
            <v>0</v>
          </cell>
          <cell r="AC109">
            <v>0</v>
          </cell>
          <cell r="AF109">
            <v>0</v>
          </cell>
          <cell r="AG109">
            <v>0</v>
          </cell>
          <cell r="AH109">
            <v>0</v>
          </cell>
          <cell r="AK109">
            <v>0</v>
          </cell>
        </row>
        <row r="110">
          <cell r="F110">
            <v>0</v>
          </cell>
          <cell r="P110">
            <v>0</v>
          </cell>
          <cell r="S110">
            <v>40</v>
          </cell>
          <cell r="X110">
            <v>0</v>
          </cell>
          <cell r="AC110">
            <v>0</v>
          </cell>
          <cell r="AF110">
            <v>0</v>
          </cell>
          <cell r="AG110">
            <v>0</v>
          </cell>
          <cell r="AH110">
            <v>0</v>
          </cell>
          <cell r="AI110">
            <v>64</v>
          </cell>
          <cell r="AK110">
            <v>104</v>
          </cell>
        </row>
        <row r="111">
          <cell r="F111">
            <v>0</v>
          </cell>
          <cell r="P111">
            <v>0</v>
          </cell>
          <cell r="S111">
            <v>40</v>
          </cell>
          <cell r="AC111">
            <v>0</v>
          </cell>
          <cell r="AF111">
            <v>0</v>
          </cell>
          <cell r="AG111">
            <v>0</v>
          </cell>
          <cell r="AH111">
            <v>0</v>
          </cell>
          <cell r="AI111">
            <v>64</v>
          </cell>
          <cell r="AK111">
            <v>104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AC113">
            <v>0</v>
          </cell>
          <cell r="AG113">
            <v>0</v>
          </cell>
          <cell r="AH113">
            <v>0</v>
          </cell>
          <cell r="AK113">
            <v>0</v>
          </cell>
          <cell r="AM113">
            <v>0</v>
          </cell>
        </row>
        <row r="114">
          <cell r="F114">
            <v>0</v>
          </cell>
          <cell r="P114">
            <v>0</v>
          </cell>
          <cell r="S114">
            <v>0</v>
          </cell>
          <cell r="AH114">
            <v>0</v>
          </cell>
          <cell r="AK114">
            <v>0</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S118">
            <v>0</v>
          </cell>
          <cell r="X118">
            <v>0</v>
          </cell>
          <cell r="AC118">
            <v>0</v>
          </cell>
          <cell r="AG118">
            <v>0</v>
          </cell>
          <cell r="AH118">
            <v>0</v>
          </cell>
          <cell r="AK118">
            <v>0</v>
          </cell>
        </row>
        <row r="119">
          <cell r="F119">
            <v>795</v>
          </cell>
          <cell r="AK119">
            <v>795</v>
          </cell>
        </row>
        <row r="120">
          <cell r="F120">
            <v>2982</v>
          </cell>
          <cell r="S120">
            <v>0</v>
          </cell>
          <cell r="X120">
            <v>0</v>
          </cell>
          <cell r="AF120">
            <v>0</v>
          </cell>
          <cell r="AK120">
            <v>2982</v>
          </cell>
        </row>
        <row r="121">
          <cell r="F121">
            <v>3800</v>
          </cell>
          <cell r="AK121">
            <v>3800</v>
          </cell>
        </row>
        <row r="122">
          <cell r="AK122">
            <v>0</v>
          </cell>
        </row>
        <row r="123">
          <cell r="AK123">
            <v>0</v>
          </cell>
          <cell r="AL123">
            <v>-12423.707121212121</v>
          </cell>
        </row>
        <row r="124">
          <cell r="F124">
            <v>0</v>
          </cell>
          <cell r="AK124">
            <v>0</v>
          </cell>
        </row>
        <row r="125">
          <cell r="F125">
            <v>9332</v>
          </cell>
          <cell r="G125">
            <v>0</v>
          </cell>
          <cell r="H125">
            <v>0</v>
          </cell>
          <cell r="P125">
            <v>0</v>
          </cell>
          <cell r="Q125">
            <v>0</v>
          </cell>
          <cell r="R125">
            <v>0</v>
          </cell>
          <cell r="S125">
            <v>40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9436</v>
          </cell>
          <cell r="AO125">
            <v>0</v>
          </cell>
          <cell r="AP125">
            <v>0</v>
          </cell>
          <cell r="AQ125">
            <v>0</v>
          </cell>
          <cell r="AR125">
            <v>0</v>
          </cell>
        </row>
        <row r="126">
          <cell r="F126">
            <v>9332</v>
          </cell>
          <cell r="G126">
            <v>0</v>
          </cell>
          <cell r="H126">
            <v>0</v>
          </cell>
          <cell r="P126">
            <v>0</v>
          </cell>
          <cell r="S126">
            <v>226</v>
          </cell>
          <cell r="X126">
            <v>0</v>
          </cell>
          <cell r="Y126">
            <v>0</v>
          </cell>
          <cell r="Z126">
            <v>0</v>
          </cell>
          <cell r="AC126">
            <v>0</v>
          </cell>
          <cell r="AD126">
            <v>0</v>
          </cell>
          <cell r="AE126">
            <v>0</v>
          </cell>
          <cell r="AF126">
            <v>0</v>
          </cell>
          <cell r="AG126">
            <v>0</v>
          </cell>
          <cell r="AH126">
            <v>158</v>
          </cell>
          <cell r="AI126">
            <v>64</v>
          </cell>
          <cell r="AJ126">
            <v>0</v>
          </cell>
          <cell r="AK126">
            <v>9436</v>
          </cell>
        </row>
        <row r="127">
          <cell r="AK127">
            <v>-2987.7071212121214</v>
          </cell>
          <cell r="AL127">
            <v>9526</v>
          </cell>
        </row>
        <row r="128">
          <cell r="AK128">
            <v>-2987.7071212121214</v>
          </cell>
        </row>
        <row r="129">
          <cell r="AK129">
            <v>-4268.1530303030304</v>
          </cell>
          <cell r="AL129">
            <v>8396.8666666666686</v>
          </cell>
          <cell r="AM129">
            <v>-13530.269696969699</v>
          </cell>
        </row>
        <row r="131">
          <cell r="AK131">
            <v>-1280.445909090909</v>
          </cell>
          <cell r="AO131">
            <v>0</v>
          </cell>
        </row>
        <row r="134">
          <cell r="AK134">
            <v>27258</v>
          </cell>
          <cell r="AM134">
            <v>27258</v>
          </cell>
          <cell r="AO134">
            <v>0</v>
          </cell>
          <cell r="AQ134">
            <v>0</v>
          </cell>
        </row>
        <row r="135">
          <cell r="AK135">
            <v>-13530.269696969699</v>
          </cell>
          <cell r="AO135">
            <v>0</v>
          </cell>
        </row>
        <row r="136">
          <cell r="AK136">
            <v>17.25</v>
          </cell>
          <cell r="AO136" t="e">
            <v>#DIV/0!</v>
          </cell>
        </row>
        <row r="137">
          <cell r="AK137">
            <v>25.82</v>
          </cell>
          <cell r="AO137" t="e">
            <v>#DIV/0!</v>
          </cell>
        </row>
        <row r="138">
          <cell r="AK138">
            <v>0</v>
          </cell>
          <cell r="AO138">
            <v>0</v>
          </cell>
        </row>
        <row r="140">
          <cell r="AK140">
            <v>9.61</v>
          </cell>
          <cell r="AO140" t="e">
            <v>#DIV/0!</v>
          </cell>
        </row>
        <row r="142">
          <cell r="AJ142">
            <v>0</v>
          </cell>
          <cell r="AK142">
            <v>7.49</v>
          </cell>
          <cell r="AO142" t="e">
            <v>#DIV/0!</v>
          </cell>
        </row>
        <row r="143">
          <cell r="AK143">
            <v>38020</v>
          </cell>
          <cell r="AL143">
            <v>38020</v>
          </cell>
        </row>
        <row r="145">
          <cell r="AJ145">
            <v>300</v>
          </cell>
        </row>
        <row r="146">
          <cell r="AK146">
            <v>13480</v>
          </cell>
          <cell r="AL146">
            <v>-29623.133333333331</v>
          </cell>
          <cell r="AM146">
            <v>-40788.269696969699</v>
          </cell>
        </row>
        <row r="147">
          <cell r="S147">
            <v>0</v>
          </cell>
          <cell r="AK147">
            <v>865.25</v>
          </cell>
        </row>
        <row r="149">
          <cell r="AJ149">
            <v>0</v>
          </cell>
          <cell r="AK149">
            <v>65278</v>
          </cell>
          <cell r="AL149">
            <v>38020</v>
          </cell>
          <cell r="AM149">
            <v>27258</v>
          </cell>
          <cell r="AO149">
            <v>0</v>
          </cell>
        </row>
        <row r="150">
          <cell r="AK150">
            <v>0</v>
          </cell>
        </row>
        <row r="151">
          <cell r="AK151">
            <v>65278</v>
          </cell>
          <cell r="AL151">
            <v>38020</v>
          </cell>
          <cell r="AM151">
            <v>27258</v>
          </cell>
        </row>
        <row r="152">
          <cell r="AK152">
            <v>0</v>
          </cell>
          <cell r="AO152">
            <v>2281</v>
          </cell>
          <cell r="AP152">
            <v>4868</v>
          </cell>
          <cell r="AQ152">
            <v>3793.9914329304606</v>
          </cell>
          <cell r="AR152">
            <v>10540.448368296242</v>
          </cell>
        </row>
        <row r="153">
          <cell r="AK153">
            <v>-6.1</v>
          </cell>
          <cell r="AL153">
            <v>28.3</v>
          </cell>
          <cell r="AM153">
            <v>-33.200000000000003</v>
          </cell>
        </row>
        <row r="154">
          <cell r="AK154">
            <v>19.144626324515361</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523.6</v>
          </cell>
          <cell r="P158">
            <v>650</v>
          </cell>
          <cell r="S158">
            <v>1609</v>
          </cell>
          <cell r="X158">
            <v>838</v>
          </cell>
          <cell r="AC158">
            <v>1283</v>
          </cell>
          <cell r="AF158">
            <v>652</v>
          </cell>
          <cell r="AG158">
            <v>652</v>
          </cell>
          <cell r="AH158">
            <v>0</v>
          </cell>
          <cell r="AK158">
            <v>5555.6</v>
          </cell>
        </row>
        <row r="159">
          <cell r="F159">
            <v>523.6</v>
          </cell>
          <cell r="P159">
            <v>505</v>
          </cell>
          <cell r="S159">
            <v>721</v>
          </cell>
          <cell r="X159">
            <v>468</v>
          </cell>
          <cell r="AC159">
            <v>1019</v>
          </cell>
          <cell r="AF159">
            <v>242</v>
          </cell>
          <cell r="AG159">
            <v>242</v>
          </cell>
          <cell r="AH159">
            <v>0</v>
          </cell>
          <cell r="AK159">
            <v>3236.6</v>
          </cell>
        </row>
        <row r="160">
          <cell r="F160">
            <v>523.6</v>
          </cell>
          <cell r="P160">
            <v>145</v>
          </cell>
          <cell r="S160">
            <v>145</v>
          </cell>
          <cell r="X160">
            <v>66</v>
          </cell>
          <cell r="AC160">
            <v>50</v>
          </cell>
          <cell r="AF160">
            <v>104</v>
          </cell>
          <cell r="AG160">
            <v>104</v>
          </cell>
          <cell r="AH160">
            <v>0</v>
          </cell>
          <cell r="AI160">
            <v>403</v>
          </cell>
          <cell r="AK160">
            <v>1436.6</v>
          </cell>
        </row>
        <row r="161">
          <cell r="AK161">
            <v>0</v>
          </cell>
        </row>
        <row r="162">
          <cell r="AK162">
            <v>0</v>
          </cell>
        </row>
        <row r="163">
          <cell r="F163">
            <v>14.170833333333334</v>
          </cell>
          <cell r="AK163">
            <v>14.170833333333334</v>
          </cell>
        </row>
        <row r="164">
          <cell r="P164">
            <v>89.333333333333329</v>
          </cell>
          <cell r="S164">
            <v>560</v>
          </cell>
          <cell r="X164">
            <v>300</v>
          </cell>
          <cell r="AC164">
            <v>204.36363636363637</v>
          </cell>
          <cell r="AF164">
            <v>274.27272727272725</v>
          </cell>
          <cell r="AG164">
            <v>274.27272727272725</v>
          </cell>
          <cell r="AK164">
            <v>1153.6969696969697</v>
          </cell>
        </row>
        <row r="165">
          <cell r="F165">
            <v>64.600000000000023</v>
          </cell>
          <cell r="S165">
            <v>1049</v>
          </cell>
          <cell r="X165">
            <v>538</v>
          </cell>
          <cell r="AC165">
            <v>1078.6363636363635</v>
          </cell>
          <cell r="AK165">
            <v>2730.2363636363634</v>
          </cell>
        </row>
        <row r="166">
          <cell r="S166">
            <v>1609</v>
          </cell>
          <cell r="X166">
            <v>838</v>
          </cell>
          <cell r="AC166">
            <v>1283</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1439</v>
          </cell>
          <cell r="G169">
            <v>14937.4</v>
          </cell>
          <cell r="H169">
            <v>0</v>
          </cell>
          <cell r="P169">
            <v>630</v>
          </cell>
          <cell r="Q169">
            <v>0</v>
          </cell>
          <cell r="R169">
            <v>0</v>
          </cell>
          <cell r="S169">
            <v>1584</v>
          </cell>
          <cell r="T169">
            <v>0</v>
          </cell>
          <cell r="U169">
            <v>0</v>
          </cell>
          <cell r="V169">
            <v>0</v>
          </cell>
          <cell r="W169">
            <v>0</v>
          </cell>
          <cell r="X169">
            <v>100</v>
          </cell>
          <cell r="Y169">
            <v>17736.133333333331</v>
          </cell>
          <cell r="Z169">
            <v>0</v>
          </cell>
          <cell r="AA169">
            <v>0</v>
          </cell>
          <cell r="AB169">
            <v>0</v>
          </cell>
          <cell r="AC169">
            <v>130</v>
          </cell>
          <cell r="AD169">
            <v>14989.003030303031</v>
          </cell>
          <cell r="AE169">
            <v>0</v>
          </cell>
          <cell r="AF169">
            <v>508</v>
          </cell>
          <cell r="AG169">
            <v>350</v>
          </cell>
          <cell r="AH169">
            <v>158</v>
          </cell>
          <cell r="AI169">
            <v>118.4</v>
          </cell>
          <cell r="AJ169">
            <v>0</v>
          </cell>
          <cell r="AK169">
            <v>4451.3999999999996</v>
          </cell>
        </row>
        <row r="170">
          <cell r="F170">
            <v>1439</v>
          </cell>
          <cell r="G170">
            <v>14937.4</v>
          </cell>
          <cell r="H170">
            <v>0</v>
          </cell>
          <cell r="P170">
            <v>630</v>
          </cell>
          <cell r="Q170">
            <v>0</v>
          </cell>
          <cell r="R170">
            <v>0</v>
          </cell>
          <cell r="S170">
            <v>1584</v>
          </cell>
          <cell r="T170">
            <v>0</v>
          </cell>
          <cell r="U170">
            <v>0</v>
          </cell>
          <cell r="V170">
            <v>0</v>
          </cell>
          <cell r="W170">
            <v>0</v>
          </cell>
          <cell r="X170">
            <v>100</v>
          </cell>
          <cell r="Y170">
            <v>17736.133333333331</v>
          </cell>
          <cell r="Z170">
            <v>0</v>
          </cell>
          <cell r="AA170">
            <v>0</v>
          </cell>
          <cell r="AB170">
            <v>0</v>
          </cell>
          <cell r="AC170">
            <v>130</v>
          </cell>
          <cell r="AD170">
            <v>14989.003030303031</v>
          </cell>
          <cell r="AE170">
            <v>0</v>
          </cell>
          <cell r="AF170">
            <v>508</v>
          </cell>
          <cell r="AG170">
            <v>350</v>
          </cell>
          <cell r="AH170">
            <v>158</v>
          </cell>
          <cell r="AI170">
            <v>118.4</v>
          </cell>
          <cell r="AJ170">
            <v>0</v>
          </cell>
          <cell r="AK170">
            <v>4451.3999999999996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AG172">
            <v>0</v>
          </cell>
          <cell r="AK172">
            <v>0</v>
          </cell>
        </row>
        <row r="173">
          <cell r="AK173">
            <v>0</v>
          </cell>
        </row>
        <row r="174">
          <cell r="F174">
            <v>3800</v>
          </cell>
          <cell r="AK174">
            <v>3800</v>
          </cell>
        </row>
        <row r="175">
          <cell r="F175">
            <v>550</v>
          </cell>
          <cell r="P175">
            <v>794.30000000000007</v>
          </cell>
          <cell r="Q175">
            <v>0</v>
          </cell>
          <cell r="R175">
            <v>0</v>
          </cell>
          <cell r="S175">
            <v>1740.8</v>
          </cell>
          <cell r="T175">
            <v>578.8119999999999</v>
          </cell>
          <cell r="U175">
            <v>601.98800000000006</v>
          </cell>
          <cell r="V175">
            <v>0</v>
          </cell>
          <cell r="W175">
            <v>0</v>
          </cell>
          <cell r="X175">
            <v>681.8</v>
          </cell>
          <cell r="AA175">
            <v>0</v>
          </cell>
          <cell r="AB175">
            <v>0</v>
          </cell>
          <cell r="AC175">
            <v>553.70000000000005</v>
          </cell>
          <cell r="AF175">
            <v>1517.2</v>
          </cell>
          <cell r="AG175">
            <v>1434.2727272727273</v>
          </cell>
          <cell r="AH175">
            <v>82.927272727272793</v>
          </cell>
          <cell r="AJ175">
            <v>0</v>
          </cell>
          <cell r="AK175">
            <v>6007.8727272727274</v>
          </cell>
          <cell r="AO175">
            <v>263</v>
          </cell>
          <cell r="AP175">
            <v>600</v>
          </cell>
          <cell r="AQ175">
            <v>783.9666666666667</v>
          </cell>
          <cell r="AR175">
            <v>1866.9363636363637</v>
          </cell>
        </row>
        <row r="176">
          <cell r="F176">
            <v>0</v>
          </cell>
          <cell r="G176">
            <v>0</v>
          </cell>
          <cell r="H176">
            <v>0</v>
          </cell>
          <cell r="P176">
            <v>89.333333333333329</v>
          </cell>
          <cell r="Q176">
            <v>0</v>
          </cell>
          <cell r="R176">
            <v>0</v>
          </cell>
          <cell r="S176">
            <v>560</v>
          </cell>
          <cell r="T176">
            <v>0</v>
          </cell>
          <cell r="U176">
            <v>0</v>
          </cell>
          <cell r="V176">
            <v>0</v>
          </cell>
          <cell r="W176">
            <v>0</v>
          </cell>
          <cell r="X176">
            <v>300</v>
          </cell>
          <cell r="Y176">
            <v>141</v>
          </cell>
          <cell r="Z176">
            <v>159</v>
          </cell>
          <cell r="AA176">
            <v>0</v>
          </cell>
          <cell r="AB176">
            <v>0</v>
          </cell>
          <cell r="AC176">
            <v>204.36363636363637</v>
          </cell>
          <cell r="AD176">
            <v>97</v>
          </cell>
          <cell r="AE176">
            <v>107.36363636363637</v>
          </cell>
          <cell r="AF176">
            <v>274.27272727272725</v>
          </cell>
          <cell r="AG176">
            <v>274.27272727272725</v>
          </cell>
          <cell r="AH176">
            <v>0</v>
          </cell>
        </row>
        <row r="177">
          <cell r="F177">
            <v>19</v>
          </cell>
          <cell r="P177">
            <v>1.3333333333333286</v>
          </cell>
          <cell r="Q177">
            <v>0</v>
          </cell>
          <cell r="R177">
            <v>0</v>
          </cell>
          <cell r="S177">
            <v>13.666666666666666</v>
          </cell>
          <cell r="T177">
            <v>13.666666666666666</v>
          </cell>
          <cell r="U177">
            <v>0</v>
          </cell>
          <cell r="V177">
            <v>0</v>
          </cell>
          <cell r="W177">
            <v>0</v>
          </cell>
          <cell r="X177">
            <v>785.33333333333337</v>
          </cell>
          <cell r="AA177">
            <v>0</v>
          </cell>
          <cell r="AB177">
            <v>0</v>
          </cell>
          <cell r="AC177">
            <v>40.333333333333336</v>
          </cell>
          <cell r="AF177">
            <v>12.333333333333334</v>
          </cell>
          <cell r="AG177">
            <v>12</v>
          </cell>
          <cell r="AH177">
            <v>0.33333333333333331</v>
          </cell>
          <cell r="AI177">
            <v>0</v>
          </cell>
          <cell r="AJ177">
            <v>0</v>
          </cell>
          <cell r="AK177">
            <v>-408.77924242424228</v>
          </cell>
          <cell r="AO177">
            <v>385</v>
          </cell>
          <cell r="AP177">
            <v>445</v>
          </cell>
          <cell r="AQ177">
            <v>8.3333333333333286</v>
          </cell>
          <cell r="AR177">
            <v>33.333333333333329</v>
          </cell>
        </row>
        <row r="180">
          <cell r="F180">
            <v>11960.8</v>
          </cell>
          <cell r="P180">
            <v>704.3333333333336</v>
          </cell>
          <cell r="S180">
            <v>2859.1666666666665</v>
          </cell>
          <cell r="X180">
            <v>477.33333333333155</v>
          </cell>
          <cell r="AC180">
            <v>-207.66666666666805</v>
          </cell>
          <cell r="AF180">
            <v>1396.3333333333337</v>
          </cell>
          <cell r="AG180">
            <v>890.59999999999991</v>
          </cell>
          <cell r="AH180">
            <v>505.73333333333341</v>
          </cell>
          <cell r="AP180">
            <v>1507.2</v>
          </cell>
        </row>
        <row r="181">
          <cell r="AO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S187">
            <v>47.7</v>
          </cell>
          <cell r="X187">
            <v>75.7</v>
          </cell>
          <cell r="AC187">
            <v>66.599999999999994</v>
          </cell>
          <cell r="AK187">
            <v>190</v>
          </cell>
          <cell r="AO187">
            <v>221.49122807017542</v>
          </cell>
        </row>
        <row r="188">
          <cell r="S188">
            <v>54.5</v>
          </cell>
          <cell r="X188">
            <v>86.7</v>
          </cell>
          <cell r="AC188">
            <v>76.3</v>
          </cell>
          <cell r="AK188">
            <v>217.5</v>
          </cell>
          <cell r="AO188">
            <v>252.49999999999997</v>
          </cell>
        </row>
        <row r="189">
          <cell r="P189">
            <v>0</v>
          </cell>
          <cell r="S189">
            <v>0</v>
          </cell>
          <cell r="X189">
            <v>0</v>
          </cell>
          <cell r="AC189">
            <v>0</v>
          </cell>
          <cell r="AO189">
            <v>66</v>
          </cell>
        </row>
        <row r="190">
          <cell r="P190">
            <v>0</v>
          </cell>
          <cell r="S190">
            <v>194.5</v>
          </cell>
          <cell r="X190">
            <v>194.5</v>
          </cell>
          <cell r="AC190">
            <v>194.5</v>
          </cell>
          <cell r="AK190">
            <v>194.5</v>
          </cell>
          <cell r="AO190">
            <v>0</v>
          </cell>
        </row>
        <row r="191">
          <cell r="S191">
            <v>9278</v>
          </cell>
          <cell r="X191">
            <v>14724</v>
          </cell>
          <cell r="AC191">
            <v>12954</v>
          </cell>
          <cell r="AK191">
            <v>36955</v>
          </cell>
          <cell r="AO191">
            <v>0</v>
          </cell>
        </row>
        <row r="192">
          <cell r="AK192">
            <v>36956</v>
          </cell>
        </row>
        <row r="193">
          <cell r="X193">
            <v>0</v>
          </cell>
          <cell r="AC193">
            <v>0</v>
          </cell>
          <cell r="AK193">
            <v>0</v>
          </cell>
        </row>
        <row r="194">
          <cell r="X194">
            <v>0</v>
          </cell>
          <cell r="AC194">
            <v>0</v>
          </cell>
          <cell r="AK194">
            <v>0</v>
          </cell>
        </row>
        <row r="195">
          <cell r="X195">
            <v>82.5</v>
          </cell>
          <cell r="AC195">
            <v>82.5</v>
          </cell>
        </row>
        <row r="196">
          <cell r="X196">
            <v>0</v>
          </cell>
          <cell r="AC196">
            <v>0</v>
          </cell>
          <cell r="AK196">
            <v>0</v>
          </cell>
        </row>
        <row r="197">
          <cell r="S197">
            <v>0</v>
          </cell>
          <cell r="X197">
            <v>0</v>
          </cell>
          <cell r="AC197">
            <v>0</v>
          </cell>
          <cell r="AK197">
            <v>0</v>
          </cell>
        </row>
        <row r="199">
          <cell r="X199">
            <v>0</v>
          </cell>
          <cell r="AC199">
            <v>0</v>
          </cell>
          <cell r="AK199">
            <v>0</v>
          </cell>
          <cell r="AO199">
            <v>75.839416058394164</v>
          </cell>
        </row>
        <row r="200">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AK204">
            <v>0</v>
          </cell>
        </row>
        <row r="205">
          <cell r="S205">
            <v>54.5</v>
          </cell>
          <cell r="X205">
            <v>86.7</v>
          </cell>
          <cell r="Y205">
            <v>40.4</v>
          </cell>
          <cell r="Z205">
            <v>46.300000000000004</v>
          </cell>
          <cell r="AC205">
            <v>76.3</v>
          </cell>
          <cell r="AD205">
            <v>35.9</v>
          </cell>
          <cell r="AE205">
            <v>40.4</v>
          </cell>
          <cell r="AK205">
            <v>217.5</v>
          </cell>
          <cell r="AL205">
            <v>76.3</v>
          </cell>
          <cell r="AM205">
            <v>141.19999999999999</v>
          </cell>
          <cell r="AO205">
            <v>356.4</v>
          </cell>
          <cell r="AP205">
            <v>74.900000000000006</v>
          </cell>
          <cell r="AQ205">
            <v>281.5</v>
          </cell>
        </row>
        <row r="206">
          <cell r="S206">
            <v>9278</v>
          </cell>
          <cell r="X206">
            <v>14724</v>
          </cell>
          <cell r="Y206">
            <v>6861</v>
          </cell>
          <cell r="Z206">
            <v>7863</v>
          </cell>
          <cell r="AA206">
            <v>7863</v>
          </cell>
          <cell r="AC206">
            <v>12954</v>
          </cell>
          <cell r="AD206">
            <v>6095</v>
          </cell>
          <cell r="AE206">
            <v>6859</v>
          </cell>
          <cell r="AK206">
            <v>36955</v>
          </cell>
          <cell r="AL206">
            <v>12956</v>
          </cell>
          <cell r="AM206">
            <v>24000</v>
          </cell>
          <cell r="AO206">
            <v>14810</v>
          </cell>
          <cell r="AP206">
            <v>3112.427048260382</v>
          </cell>
          <cell r="AQ206">
            <v>11697.572951739618</v>
          </cell>
        </row>
        <row r="207">
          <cell r="S207">
            <v>170.24</v>
          </cell>
          <cell r="X207">
            <v>169.83</v>
          </cell>
          <cell r="Y207">
            <v>169.83</v>
          </cell>
          <cell r="Z207">
            <v>169.83</v>
          </cell>
          <cell r="AC207">
            <v>169.78</v>
          </cell>
          <cell r="AD207">
            <v>169.78</v>
          </cell>
          <cell r="AE207">
            <v>169.78</v>
          </cell>
          <cell r="AI207" t="str">
            <v/>
          </cell>
          <cell r="AJ207" t="str">
            <v/>
          </cell>
          <cell r="AK207">
            <v>169.91</v>
          </cell>
          <cell r="AL207">
            <v>169.8</v>
          </cell>
          <cell r="AM207">
            <v>169.97</v>
          </cell>
          <cell r="AO207">
            <v>41.55</v>
          </cell>
          <cell r="AP207">
            <v>41.55</v>
          </cell>
          <cell r="AQ207">
            <v>41.55</v>
          </cell>
          <cell r="AR207" t="str">
            <v/>
          </cell>
        </row>
        <row r="208">
          <cell r="AM208">
            <v>0</v>
          </cell>
          <cell r="AO208">
            <v>52</v>
          </cell>
          <cell r="AP208">
            <v>52</v>
          </cell>
        </row>
        <row r="209">
          <cell r="X209">
            <v>14724</v>
          </cell>
          <cell r="AC209">
            <v>12954</v>
          </cell>
          <cell r="AK209">
            <v>36955</v>
          </cell>
          <cell r="AL209">
            <v>12956</v>
          </cell>
          <cell r="AM209">
            <v>23999</v>
          </cell>
          <cell r="AO209">
            <v>14862</v>
          </cell>
          <cell r="AP209">
            <v>3164.427048260382</v>
          </cell>
          <cell r="AQ209">
            <v>11697.572951739618</v>
          </cell>
        </row>
        <row r="211">
          <cell r="AK211">
            <v>36956</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7">
          <cell r="AP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9">
          <cell r="F249" t="str">
            <v>РОЗРАХУНОК ФІНАНСОВИХ ПОТОКІВ НА   березень  2000 року</v>
          </cell>
        </row>
        <row r="250">
          <cell r="F250"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5557.4</v>
          </cell>
          <cell r="P257">
            <v>2690.6333333333337</v>
          </cell>
          <cell r="S257">
            <v>7246.6333333333332</v>
          </cell>
          <cell r="X257">
            <v>2582.4666666666649</v>
          </cell>
          <cell r="AC257">
            <v>1595.0030303030289</v>
          </cell>
          <cell r="AF257">
            <v>3811.5939393939398</v>
          </cell>
          <cell r="AG257">
            <v>3064.6</v>
          </cell>
          <cell r="AH257">
            <v>746.99393939393951</v>
          </cell>
          <cell r="AJ257">
            <v>7599</v>
          </cell>
          <cell r="AK257">
            <v>24529.730303030297</v>
          </cell>
        </row>
        <row r="259">
          <cell r="F259">
            <v>21632</v>
          </cell>
          <cell r="G259">
            <v>1618</v>
          </cell>
          <cell r="H259">
            <v>3555.4</v>
          </cell>
          <cell r="P259">
            <v>2690.6333333333337</v>
          </cell>
          <cell r="Q259">
            <v>0</v>
          </cell>
          <cell r="R259">
            <v>0</v>
          </cell>
          <cell r="S259">
            <v>7246.6333333333332</v>
          </cell>
          <cell r="T259">
            <v>3032.0786666666681</v>
          </cell>
          <cell r="U259">
            <v>2816.5546666666669</v>
          </cell>
          <cell r="V259">
            <v>0</v>
          </cell>
          <cell r="W259">
            <v>0</v>
          </cell>
          <cell r="X259">
            <v>2582.4666666666649</v>
          </cell>
          <cell r="Y259">
            <v>1155</v>
          </cell>
          <cell r="Z259">
            <v>1327.4666666666649</v>
          </cell>
          <cell r="AA259">
            <v>0</v>
          </cell>
          <cell r="AB259">
            <v>0</v>
          </cell>
          <cell r="AC259">
            <v>1595.0030303030289</v>
          </cell>
          <cell r="AD259">
            <v>690</v>
          </cell>
          <cell r="AE259">
            <v>775.00303030303076</v>
          </cell>
          <cell r="AF259">
            <v>3811.5939393939398</v>
          </cell>
          <cell r="AG259">
            <v>3064.6</v>
          </cell>
          <cell r="AH259">
            <v>746.99393939393951</v>
          </cell>
          <cell r="AI259">
            <v>847.2</v>
          </cell>
          <cell r="AJ259">
            <v>0</v>
          </cell>
          <cell r="AK259">
            <v>84360.203030303033</v>
          </cell>
          <cell r="AM259">
            <v>66143.25</v>
          </cell>
        </row>
        <row r="260">
          <cell r="F260">
            <v>14152.066666666669</v>
          </cell>
          <cell r="G260">
            <v>1473</v>
          </cell>
          <cell r="H260">
            <v>3150.4</v>
          </cell>
          <cell r="P260">
            <v>892.00000000000045</v>
          </cell>
          <cell r="S260">
            <v>2623</v>
          </cell>
          <cell r="T260">
            <v>2273.1066666666684</v>
          </cell>
          <cell r="U260">
            <v>1268.7266666666667</v>
          </cell>
          <cell r="X260">
            <v>1222.6666666666649</v>
          </cell>
          <cell r="Y260">
            <v>731</v>
          </cell>
          <cell r="Z260">
            <v>839.99999999999841</v>
          </cell>
          <cell r="AC260">
            <v>-224.33333333333462</v>
          </cell>
          <cell r="AD260">
            <v>257</v>
          </cell>
          <cell r="AE260">
            <v>288.66666666666714</v>
          </cell>
          <cell r="AF260">
            <v>934.06666666666706</v>
          </cell>
          <cell r="AG260">
            <v>736</v>
          </cell>
          <cell r="AH260">
            <v>198.06666666666672</v>
          </cell>
          <cell r="AI260">
            <v>229.20000000000005</v>
          </cell>
          <cell r="AJ260">
            <v>-2455</v>
          </cell>
          <cell r="AK260">
            <v>69656.672727272729</v>
          </cell>
          <cell r="AM260">
            <v>19211.600000000002</v>
          </cell>
        </row>
        <row r="261">
          <cell r="F261">
            <v>60595.933333333334</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60595.933333333334</v>
          </cell>
        </row>
        <row r="262">
          <cell r="F262">
            <v>36956</v>
          </cell>
          <cell r="AK262">
            <v>36956</v>
          </cell>
        </row>
        <row r="263">
          <cell r="F263">
            <v>9777</v>
          </cell>
          <cell r="AK263">
            <v>9777</v>
          </cell>
        </row>
        <row r="264">
          <cell r="F264">
            <v>9162.9333333333343</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9162.9333333333343</v>
          </cell>
        </row>
        <row r="265">
          <cell r="F265">
            <v>770.33333333333337</v>
          </cell>
          <cell r="AK265">
            <v>770.33333333333337</v>
          </cell>
        </row>
        <row r="266">
          <cell r="F266">
            <v>0</v>
          </cell>
          <cell r="AK266">
            <v>0</v>
          </cell>
        </row>
        <row r="267">
          <cell r="F267">
            <v>3639.6</v>
          </cell>
          <cell r="AK267">
            <v>3639.6</v>
          </cell>
        </row>
        <row r="268">
          <cell r="F268">
            <v>3500</v>
          </cell>
          <cell r="AK268">
            <v>3500</v>
          </cell>
        </row>
        <row r="269">
          <cell r="F269">
            <v>0</v>
          </cell>
          <cell r="AK269">
            <v>0</v>
          </cell>
        </row>
        <row r="270">
          <cell r="F270">
            <v>1253</v>
          </cell>
          <cell r="P270">
            <v>0</v>
          </cell>
          <cell r="S270">
            <v>0</v>
          </cell>
          <cell r="X270">
            <v>0</v>
          </cell>
          <cell r="AC270">
            <v>0</v>
          </cell>
          <cell r="AF270">
            <v>0</v>
          </cell>
          <cell r="AG270">
            <v>0</v>
          </cell>
          <cell r="AH270">
            <v>0</v>
          </cell>
          <cell r="AI270">
            <v>0</v>
          </cell>
          <cell r="AK270">
            <v>1253</v>
          </cell>
        </row>
        <row r="271">
          <cell r="F271">
            <v>4595</v>
          </cell>
          <cell r="AK271">
            <v>4595</v>
          </cell>
        </row>
        <row r="272">
          <cell r="F272">
            <v>105</v>
          </cell>
          <cell r="P272">
            <v>0</v>
          </cell>
          <cell r="S272">
            <v>0</v>
          </cell>
          <cell r="X272">
            <v>0</v>
          </cell>
          <cell r="AC272">
            <v>0</v>
          </cell>
          <cell r="AF272">
            <v>0</v>
          </cell>
          <cell r="AG272">
            <v>0</v>
          </cell>
          <cell r="AH272">
            <v>0</v>
          </cell>
          <cell r="AI272">
            <v>0</v>
          </cell>
          <cell r="AK272">
            <v>105</v>
          </cell>
        </row>
        <row r="273">
          <cell r="F273">
            <v>66153.333333333328</v>
          </cell>
          <cell r="P273">
            <v>2690.6333333333337</v>
          </cell>
          <cell r="Q273">
            <v>0</v>
          </cell>
          <cell r="R273">
            <v>0</v>
          </cell>
          <cell r="S273">
            <v>7246.6333333333332</v>
          </cell>
          <cell r="T273">
            <v>0</v>
          </cell>
          <cell r="U273">
            <v>0</v>
          </cell>
          <cell r="V273">
            <v>0</v>
          </cell>
          <cell r="W273">
            <v>0</v>
          </cell>
          <cell r="X273">
            <v>2582.4666666666649</v>
          </cell>
          <cell r="Y273">
            <v>0</v>
          </cell>
          <cell r="Z273">
            <v>0</v>
          </cell>
          <cell r="AA273">
            <v>0</v>
          </cell>
          <cell r="AB273">
            <v>0</v>
          </cell>
          <cell r="AC273">
            <v>1595.0030303030289</v>
          </cell>
          <cell r="AD273">
            <v>0</v>
          </cell>
          <cell r="AE273">
            <v>0</v>
          </cell>
          <cell r="AF273">
            <v>3811.5939393939398</v>
          </cell>
          <cell r="AG273">
            <v>3064.6</v>
          </cell>
          <cell r="AH273">
            <v>746.99393939393951</v>
          </cell>
          <cell r="AI273">
            <v>0</v>
          </cell>
          <cell r="AK273">
            <v>85125.663636363606</v>
          </cell>
        </row>
        <row r="274">
          <cell r="F274">
            <v>2114.6</v>
          </cell>
          <cell r="P274">
            <v>1527.9666666666669</v>
          </cell>
          <cell r="Q274">
            <v>0</v>
          </cell>
          <cell r="R274">
            <v>0</v>
          </cell>
          <cell r="S274">
            <v>4128.3</v>
          </cell>
          <cell r="T274">
            <v>592.47866666666653</v>
          </cell>
          <cell r="U274">
            <v>601.98800000000006</v>
          </cell>
          <cell r="V274">
            <v>0</v>
          </cell>
          <cell r="W274">
            <v>0</v>
          </cell>
          <cell r="X274">
            <v>1710.8</v>
          </cell>
          <cell r="Y274">
            <v>530</v>
          </cell>
          <cell r="Z274">
            <v>608.79999999999995</v>
          </cell>
          <cell r="AA274">
            <v>0</v>
          </cell>
          <cell r="AB274">
            <v>0</v>
          </cell>
          <cell r="AC274">
            <v>840.03333333333342</v>
          </cell>
          <cell r="AD274">
            <v>171</v>
          </cell>
          <cell r="AE274">
            <v>191.66969696969696</v>
          </cell>
          <cell r="AF274">
            <v>2708.1333333333332</v>
          </cell>
          <cell r="AG274">
            <v>2158.8727272727274</v>
          </cell>
          <cell r="AH274">
            <v>549.26060606060616</v>
          </cell>
          <cell r="AI274">
            <v>618</v>
          </cell>
          <cell r="AK274">
            <v>13758.833333333332</v>
          </cell>
        </row>
        <row r="275">
          <cell r="F275">
            <v>550</v>
          </cell>
          <cell r="G275">
            <v>145</v>
          </cell>
          <cell r="H275">
            <v>405</v>
          </cell>
          <cell r="P275">
            <v>794.30000000000007</v>
          </cell>
          <cell r="S275">
            <v>1740.8</v>
          </cell>
          <cell r="T275">
            <v>578.8119999999999</v>
          </cell>
          <cell r="U275">
            <v>601.98800000000006</v>
          </cell>
          <cell r="X275">
            <v>681.8</v>
          </cell>
          <cell r="Y275">
            <v>177</v>
          </cell>
          <cell r="Z275">
            <v>204.8</v>
          </cell>
          <cell r="AC275">
            <v>553.70000000000005</v>
          </cell>
          <cell r="AD275">
            <v>165</v>
          </cell>
          <cell r="AE275">
            <v>184.33636363636361</v>
          </cell>
          <cell r="AF275">
            <v>1517.2</v>
          </cell>
          <cell r="AG275">
            <v>1434.2727272727273</v>
          </cell>
          <cell r="AH275">
            <v>82.927272727272793</v>
          </cell>
          <cell r="AI275">
            <v>377</v>
          </cell>
          <cell r="AK275">
            <v>6090.8</v>
          </cell>
        </row>
        <row r="276">
          <cell r="F276">
            <v>0</v>
          </cell>
          <cell r="P276">
            <v>0</v>
          </cell>
          <cell r="Q276">
            <v>0</v>
          </cell>
          <cell r="R276">
            <v>0</v>
          </cell>
          <cell r="S276">
            <v>13.666666666666666</v>
          </cell>
          <cell r="T276">
            <v>13.666666666666666</v>
          </cell>
          <cell r="U276">
            <v>0</v>
          </cell>
          <cell r="V276">
            <v>0</v>
          </cell>
          <cell r="W276">
            <v>0</v>
          </cell>
          <cell r="X276">
            <v>757</v>
          </cell>
          <cell r="Y276">
            <v>353</v>
          </cell>
          <cell r="Z276">
            <v>404</v>
          </cell>
          <cell r="AA276">
            <v>0</v>
          </cell>
          <cell r="AB276">
            <v>0</v>
          </cell>
          <cell r="AC276">
            <v>-0.66666666666666607</v>
          </cell>
          <cell r="AD276">
            <v>6</v>
          </cell>
          <cell r="AE276">
            <v>7.3333333333333339</v>
          </cell>
          <cell r="AF276">
            <v>0.33333333333333331</v>
          </cell>
          <cell r="AG276">
            <v>0</v>
          </cell>
          <cell r="AH276">
            <v>0.33333333333333331</v>
          </cell>
          <cell r="AI276">
            <v>0</v>
          </cell>
          <cell r="AK276">
            <v>770.33333333333337</v>
          </cell>
        </row>
        <row r="277">
          <cell r="F277">
            <v>1556.6</v>
          </cell>
          <cell r="P277">
            <v>711</v>
          </cell>
          <cell r="Q277">
            <v>0</v>
          </cell>
          <cell r="R277">
            <v>0</v>
          </cell>
          <cell r="S277">
            <v>975.83333333333326</v>
          </cell>
          <cell r="T277">
            <v>0</v>
          </cell>
          <cell r="U277">
            <v>0</v>
          </cell>
          <cell r="V277">
            <v>0</v>
          </cell>
          <cell r="W277">
            <v>0</v>
          </cell>
          <cell r="X277">
            <v>256</v>
          </cell>
          <cell r="Y277">
            <v>0</v>
          </cell>
          <cell r="Z277">
            <v>0</v>
          </cell>
          <cell r="AA277">
            <v>0</v>
          </cell>
          <cell r="AB277">
            <v>0</v>
          </cell>
          <cell r="AC277">
            <v>240</v>
          </cell>
          <cell r="AD277">
            <v>0</v>
          </cell>
          <cell r="AE277">
            <v>0</v>
          </cell>
          <cell r="AF277">
            <v>515.6</v>
          </cell>
          <cell r="AG277">
            <v>483.6</v>
          </cell>
          <cell r="AH277">
            <v>32</v>
          </cell>
          <cell r="AI277">
            <v>0</v>
          </cell>
          <cell r="AK277">
            <v>4289.0333333333338</v>
          </cell>
        </row>
        <row r="278">
          <cell r="F278">
            <v>160</v>
          </cell>
          <cell r="P278">
            <v>56</v>
          </cell>
          <cell r="S278">
            <v>400.83333333333331</v>
          </cell>
          <cell r="X278">
            <v>60</v>
          </cell>
          <cell r="AC278">
            <v>40</v>
          </cell>
          <cell r="AF278">
            <v>236</v>
          </cell>
          <cell r="AG278">
            <v>204</v>
          </cell>
          <cell r="AH278">
            <v>32</v>
          </cell>
          <cell r="AI278">
            <v>0</v>
          </cell>
          <cell r="AK278">
            <v>986.83333333333326</v>
          </cell>
        </row>
        <row r="279">
          <cell r="F279">
            <v>813</v>
          </cell>
          <cell r="P279">
            <v>10</v>
          </cell>
          <cell r="S279">
            <v>0</v>
          </cell>
          <cell r="X279">
            <v>30</v>
          </cell>
          <cell r="AC279">
            <v>20</v>
          </cell>
          <cell r="AF279">
            <v>25.6</v>
          </cell>
          <cell r="AG279">
            <v>25.6</v>
          </cell>
          <cell r="AH279">
            <v>0</v>
          </cell>
          <cell r="AI279">
            <v>0</v>
          </cell>
          <cell r="AK279">
            <v>898.6</v>
          </cell>
        </row>
        <row r="280">
          <cell r="F280">
            <v>60</v>
          </cell>
          <cell r="P280">
            <v>500</v>
          </cell>
          <cell r="S280">
            <v>430</v>
          </cell>
          <cell r="X280">
            <v>100</v>
          </cell>
          <cell r="AC280">
            <v>130</v>
          </cell>
          <cell r="AF280">
            <v>150</v>
          </cell>
          <cell r="AG280">
            <v>150</v>
          </cell>
          <cell r="AK280">
            <v>1370</v>
          </cell>
        </row>
        <row r="281">
          <cell r="F281">
            <v>523.6</v>
          </cell>
          <cell r="P281">
            <v>145</v>
          </cell>
          <cell r="S281">
            <v>145</v>
          </cell>
          <cell r="X281">
            <v>66</v>
          </cell>
          <cell r="AC281">
            <v>50</v>
          </cell>
          <cell r="AF281">
            <v>104</v>
          </cell>
          <cell r="AG281">
            <v>104</v>
          </cell>
          <cell r="AH281">
            <v>0</v>
          </cell>
          <cell r="AK281">
            <v>1033.5999999999999</v>
          </cell>
        </row>
        <row r="282">
          <cell r="F282">
            <v>8</v>
          </cell>
          <cell r="P282">
            <v>22.666666666666668</v>
          </cell>
          <cell r="Q282">
            <v>0</v>
          </cell>
          <cell r="R282">
            <v>0</v>
          </cell>
          <cell r="S282">
            <v>1148</v>
          </cell>
          <cell r="T282">
            <v>0</v>
          </cell>
          <cell r="U282">
            <v>0</v>
          </cell>
          <cell r="V282">
            <v>0</v>
          </cell>
          <cell r="W282">
            <v>0</v>
          </cell>
          <cell r="X282">
            <v>16</v>
          </cell>
          <cell r="Y282">
            <v>0</v>
          </cell>
          <cell r="Z282">
            <v>0</v>
          </cell>
          <cell r="AA282">
            <v>0</v>
          </cell>
          <cell r="AB282">
            <v>0</v>
          </cell>
          <cell r="AC282">
            <v>47</v>
          </cell>
          <cell r="AD282">
            <v>0</v>
          </cell>
          <cell r="AE282">
            <v>0</v>
          </cell>
          <cell r="AF282">
            <v>675</v>
          </cell>
          <cell r="AG282">
            <v>241</v>
          </cell>
          <cell r="AH282">
            <v>434</v>
          </cell>
          <cell r="AI282">
            <v>241</v>
          </cell>
          <cell r="AK282">
            <v>2358.666666666667</v>
          </cell>
        </row>
        <row r="283">
          <cell r="F283">
            <v>0</v>
          </cell>
          <cell r="P283">
            <v>1</v>
          </cell>
          <cell r="S283">
            <v>0</v>
          </cell>
          <cell r="X283">
            <v>16</v>
          </cell>
          <cell r="AC283">
            <v>47</v>
          </cell>
          <cell r="AF283">
            <v>0</v>
          </cell>
          <cell r="AG283">
            <v>0</v>
          </cell>
          <cell r="AH283">
            <v>0</v>
          </cell>
          <cell r="AI283">
            <v>0</v>
          </cell>
          <cell r="AK283">
            <v>64</v>
          </cell>
        </row>
        <row r="284">
          <cell r="F284">
            <v>8</v>
          </cell>
          <cell r="P284">
            <v>21.666666666666668</v>
          </cell>
          <cell r="S284">
            <v>1148</v>
          </cell>
          <cell r="X284">
            <v>0</v>
          </cell>
          <cell r="AC284">
            <v>0</v>
          </cell>
          <cell r="AF284">
            <v>675</v>
          </cell>
          <cell r="AG284">
            <v>241</v>
          </cell>
          <cell r="AH284">
            <v>434</v>
          </cell>
          <cell r="AI284">
            <v>241</v>
          </cell>
          <cell r="AK284">
            <v>1852.6666666666667</v>
          </cell>
        </row>
        <row r="285">
          <cell r="AK285">
            <v>442</v>
          </cell>
        </row>
        <row r="286">
          <cell r="S286">
            <v>250</v>
          </cell>
          <cell r="AH286">
            <v>0</v>
          </cell>
          <cell r="AI286">
            <v>0</v>
          </cell>
          <cell r="AK286">
            <v>250</v>
          </cell>
        </row>
        <row r="287">
          <cell r="F287">
            <v>64038.73333333333</v>
          </cell>
          <cell r="P287">
            <v>1162.6666666666667</v>
          </cell>
          <cell r="Q287">
            <v>0</v>
          </cell>
          <cell r="R287">
            <v>0</v>
          </cell>
          <cell r="S287">
            <v>3118.333333333333</v>
          </cell>
          <cell r="T287">
            <v>-592.47866666666653</v>
          </cell>
          <cell r="U287">
            <v>-601.98800000000006</v>
          </cell>
          <cell r="V287">
            <v>0</v>
          </cell>
          <cell r="W287">
            <v>0</v>
          </cell>
          <cell r="X287">
            <v>871.66666666666492</v>
          </cell>
          <cell r="Y287">
            <v>-530</v>
          </cell>
          <cell r="Z287">
            <v>-608.79999999999995</v>
          </cell>
          <cell r="AA287">
            <v>0</v>
          </cell>
          <cell r="AB287">
            <v>0</v>
          </cell>
          <cell r="AC287">
            <v>754.96969696969552</v>
          </cell>
          <cell r="AD287">
            <v>-171</v>
          </cell>
          <cell r="AE287">
            <v>-191.66969696969696</v>
          </cell>
          <cell r="AF287">
            <v>1103.4606060606066</v>
          </cell>
          <cell r="AG287">
            <v>905.72727272727252</v>
          </cell>
          <cell r="AH287">
            <v>197.73333333333335</v>
          </cell>
          <cell r="AI287">
            <v>-618</v>
          </cell>
          <cell r="AK287">
            <v>71366.830303030292</v>
          </cell>
        </row>
        <row r="288">
          <cell r="AK288">
            <v>0</v>
          </cell>
        </row>
        <row r="289">
          <cell r="F289">
            <v>4117</v>
          </cell>
          <cell r="P289">
            <v>1085.6666666666667</v>
          </cell>
          <cell r="Q289">
            <v>0</v>
          </cell>
          <cell r="R289">
            <v>0</v>
          </cell>
          <cell r="S289">
            <v>2811.3333333333335</v>
          </cell>
          <cell r="T289">
            <v>0</v>
          </cell>
          <cell r="U289">
            <v>0</v>
          </cell>
          <cell r="V289">
            <v>0</v>
          </cell>
          <cell r="W289">
            <v>0</v>
          </cell>
          <cell r="X289">
            <v>871.66666666666663</v>
          </cell>
          <cell r="Y289">
            <v>0</v>
          </cell>
          <cell r="Z289">
            <v>0</v>
          </cell>
          <cell r="AA289">
            <v>0</v>
          </cell>
          <cell r="AB289">
            <v>0</v>
          </cell>
          <cell r="AC289">
            <v>1254.30303030303</v>
          </cell>
          <cell r="AD289">
            <v>0</v>
          </cell>
          <cell r="AE289">
            <v>0</v>
          </cell>
          <cell r="AF289">
            <v>1103.4606060606061</v>
          </cell>
          <cell r="AG289">
            <v>747.72727272727275</v>
          </cell>
          <cell r="AH289">
            <v>355.73333333333335</v>
          </cell>
          <cell r="AI289">
            <v>283.60000000000002</v>
          </cell>
          <cell r="AK289">
            <v>11551.430303030302</v>
          </cell>
        </row>
        <row r="290">
          <cell r="F290">
            <v>1439</v>
          </cell>
          <cell r="P290">
            <v>130</v>
          </cell>
          <cell r="S290">
            <v>904</v>
          </cell>
          <cell r="X290">
            <v>0</v>
          </cell>
          <cell r="AC290">
            <v>0</v>
          </cell>
          <cell r="AF290">
            <v>358</v>
          </cell>
          <cell r="AG290">
            <v>200</v>
          </cell>
          <cell r="AH290">
            <v>158</v>
          </cell>
          <cell r="AI290">
            <v>118.4</v>
          </cell>
          <cell r="AK290">
            <v>2931</v>
          </cell>
        </row>
        <row r="291">
          <cell r="F291">
            <v>523.6</v>
          </cell>
          <cell r="P291">
            <v>415.66666666666663</v>
          </cell>
          <cell r="Q291">
            <v>0</v>
          </cell>
          <cell r="R291">
            <v>0</v>
          </cell>
          <cell r="S291">
            <v>904</v>
          </cell>
          <cell r="T291">
            <v>0</v>
          </cell>
          <cell r="U291">
            <v>0</v>
          </cell>
          <cell r="V291">
            <v>0</v>
          </cell>
          <cell r="W291">
            <v>0</v>
          </cell>
          <cell r="X291">
            <v>472</v>
          </cell>
          <cell r="Y291">
            <v>0</v>
          </cell>
          <cell r="Z291">
            <v>0</v>
          </cell>
          <cell r="AA291">
            <v>0</v>
          </cell>
          <cell r="AB291">
            <v>0</v>
          </cell>
          <cell r="AC291">
            <v>1028.6363636363635</v>
          </cell>
          <cell r="AD291">
            <v>0</v>
          </cell>
          <cell r="AE291">
            <v>0</v>
          </cell>
          <cell r="AF291">
            <v>273.72727272727275</v>
          </cell>
          <cell r="AG291">
            <v>273.72727272727275</v>
          </cell>
          <cell r="AH291">
            <v>0</v>
          </cell>
          <cell r="AI291">
            <v>0</v>
          </cell>
          <cell r="AK291">
            <v>3617.6303030303025</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2135.4</v>
          </cell>
          <cell r="P294">
            <v>538.66666666666674</v>
          </cell>
          <cell r="Q294">
            <v>0</v>
          </cell>
          <cell r="R294">
            <v>0</v>
          </cell>
          <cell r="S294">
            <v>1003.3333333333334</v>
          </cell>
          <cell r="T294">
            <v>0</v>
          </cell>
          <cell r="U294">
            <v>0</v>
          </cell>
          <cell r="V294">
            <v>0</v>
          </cell>
          <cell r="W294">
            <v>0</v>
          </cell>
          <cell r="X294">
            <v>371.33333333333331</v>
          </cell>
          <cell r="Y294">
            <v>0</v>
          </cell>
          <cell r="Z294">
            <v>0</v>
          </cell>
          <cell r="AA294">
            <v>0</v>
          </cell>
          <cell r="AB294">
            <v>0</v>
          </cell>
          <cell r="AC294">
            <v>198.66666666666663</v>
          </cell>
          <cell r="AD294">
            <v>0</v>
          </cell>
          <cell r="AE294">
            <v>0</v>
          </cell>
          <cell r="AF294">
            <v>459.73333333333335</v>
          </cell>
          <cell r="AG294">
            <v>262</v>
          </cell>
          <cell r="AH294">
            <v>197.73333333333332</v>
          </cell>
          <cell r="AI294">
            <v>165.2</v>
          </cell>
          <cell r="AK294">
            <v>4915.1333333333341</v>
          </cell>
        </row>
        <row r="295">
          <cell r="F295">
            <v>39</v>
          </cell>
          <cell r="P295">
            <v>393</v>
          </cell>
          <cell r="S295">
            <v>382.50000000000006</v>
          </cell>
          <cell r="X295">
            <v>98</v>
          </cell>
          <cell r="AC295">
            <v>29.333333333333314</v>
          </cell>
          <cell r="AF295">
            <v>44.4</v>
          </cell>
          <cell r="AG295">
            <v>-20.6</v>
          </cell>
          <cell r="AH295">
            <v>65</v>
          </cell>
          <cell r="AI295">
            <v>70</v>
          </cell>
          <cell r="AK295">
            <v>1181.2333333333333</v>
          </cell>
        </row>
        <row r="296">
          <cell r="F296">
            <v>2</v>
          </cell>
          <cell r="P296">
            <v>53.666666666666664</v>
          </cell>
          <cell r="S296">
            <v>355</v>
          </cell>
          <cell r="X296">
            <v>193.66666666666663</v>
          </cell>
          <cell r="AC296">
            <v>84.333333333333329</v>
          </cell>
          <cell r="AF296">
            <v>189</v>
          </cell>
          <cell r="AG296">
            <v>110</v>
          </cell>
          <cell r="AH296">
            <v>79.000000000000014</v>
          </cell>
          <cell r="AI296">
            <v>36</v>
          </cell>
          <cell r="AK296">
            <v>878.66666666666663</v>
          </cell>
        </row>
        <row r="297">
          <cell r="F297">
            <v>2094.4</v>
          </cell>
          <cell r="P297">
            <v>92</v>
          </cell>
          <cell r="S297">
            <v>265.83333333333337</v>
          </cell>
          <cell r="X297">
            <v>79.666666666666671</v>
          </cell>
          <cell r="AC297">
            <v>85</v>
          </cell>
          <cell r="AF297">
            <v>226.33333333333331</v>
          </cell>
          <cell r="AG297">
            <v>172.6</v>
          </cell>
          <cell r="AH297">
            <v>53.73333333333332</v>
          </cell>
          <cell r="AI297">
            <v>59.2</v>
          </cell>
          <cell r="AK297">
            <v>2855.2333333333336</v>
          </cell>
        </row>
        <row r="298">
          <cell r="P298">
            <v>0</v>
          </cell>
          <cell r="AF298">
            <v>0</v>
          </cell>
          <cell r="AG298">
            <v>0</v>
          </cell>
          <cell r="AH298">
            <v>0</v>
          </cell>
          <cell r="AI298">
            <v>0</v>
          </cell>
          <cell r="AK298">
            <v>0</v>
          </cell>
        </row>
        <row r="299">
          <cell r="F299">
            <v>19</v>
          </cell>
          <cell r="P299">
            <v>1.3333333333333286</v>
          </cell>
          <cell r="S299">
            <v>0</v>
          </cell>
          <cell r="X299">
            <v>28.333333333333332</v>
          </cell>
          <cell r="AC299">
            <v>27</v>
          </cell>
          <cell r="AF299">
            <v>12</v>
          </cell>
          <cell r="AG299">
            <v>12</v>
          </cell>
          <cell r="AH299">
            <v>0</v>
          </cell>
          <cell r="AI299">
            <v>0</v>
          </cell>
          <cell r="AK299">
            <v>87.666666666666657</v>
          </cell>
        </row>
        <row r="300">
          <cell r="F300">
            <v>64038.73333333333</v>
          </cell>
          <cell r="P300">
            <v>1162.6666666666667</v>
          </cell>
          <cell r="Q300">
            <v>0</v>
          </cell>
          <cell r="R300">
            <v>0</v>
          </cell>
          <cell r="S300">
            <v>3118.333333333333</v>
          </cell>
          <cell r="T300">
            <v>-592.47866666666653</v>
          </cell>
          <cell r="U300">
            <v>-601.98800000000006</v>
          </cell>
          <cell r="V300">
            <v>0</v>
          </cell>
          <cell r="W300">
            <v>0</v>
          </cell>
          <cell r="X300">
            <v>871.66666666666492</v>
          </cell>
          <cell r="Y300">
            <v>-530</v>
          </cell>
          <cell r="Z300">
            <v>-608.79999999999995</v>
          </cell>
          <cell r="AA300">
            <v>0</v>
          </cell>
          <cell r="AB300">
            <v>0</v>
          </cell>
          <cell r="AC300">
            <v>754.96969696969552</v>
          </cell>
          <cell r="AD300">
            <v>-171</v>
          </cell>
          <cell r="AE300">
            <v>-191.66969696969696</v>
          </cell>
          <cell r="AF300">
            <v>1103.4606060606066</v>
          </cell>
          <cell r="AG300">
            <v>905.72727272727252</v>
          </cell>
          <cell r="AH300">
            <v>197.73333333333335</v>
          </cell>
          <cell r="AI300">
            <v>-618</v>
          </cell>
          <cell r="AK300">
            <v>71366.830303030292</v>
          </cell>
        </row>
        <row r="301">
          <cell r="AH301">
            <v>191</v>
          </cell>
          <cell r="AK301">
            <v>0</v>
          </cell>
        </row>
        <row r="303">
          <cell r="F303">
            <v>64038.73333333333</v>
          </cell>
          <cell r="G303">
            <v>0</v>
          </cell>
          <cell r="H303">
            <v>0</v>
          </cell>
          <cell r="P303">
            <v>1162.6666666666667</v>
          </cell>
          <cell r="Q303">
            <v>0</v>
          </cell>
          <cell r="R303">
            <v>0</v>
          </cell>
          <cell r="S303">
            <v>3118.333333333333</v>
          </cell>
          <cell r="T303">
            <v>-592.47866666666653</v>
          </cell>
          <cell r="U303">
            <v>-601.98800000000006</v>
          </cell>
          <cell r="V303">
            <v>0</v>
          </cell>
          <cell r="W303">
            <v>0</v>
          </cell>
          <cell r="X303">
            <v>871.66666666666492</v>
          </cell>
          <cell r="Y303">
            <v>-530</v>
          </cell>
          <cell r="Z303">
            <v>-608.79999999999995</v>
          </cell>
          <cell r="AA303">
            <v>0</v>
          </cell>
          <cell r="AB303">
            <v>0</v>
          </cell>
          <cell r="AC303">
            <v>754.96969696969552</v>
          </cell>
          <cell r="AF303">
            <v>1103.4606060606066</v>
          </cell>
          <cell r="AG303">
            <v>714.7272727272732</v>
          </cell>
          <cell r="AH303">
            <v>388.73333333333335</v>
          </cell>
          <cell r="AK303">
            <v>71366.830303030292</v>
          </cell>
        </row>
        <row r="304">
          <cell r="F304">
            <v>0</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AK307">
            <v>0</v>
          </cell>
        </row>
        <row r="308">
          <cell r="F308">
            <v>64038.73333333333</v>
          </cell>
          <cell r="P308">
            <v>1162.6666666666667</v>
          </cell>
          <cell r="Q308">
            <v>0</v>
          </cell>
          <cell r="R308">
            <v>0</v>
          </cell>
          <cell r="S308">
            <v>3118.333333333333</v>
          </cell>
          <cell r="T308">
            <v>-592.47866666666653</v>
          </cell>
          <cell r="U308">
            <v>-601.98800000000006</v>
          </cell>
          <cell r="V308">
            <v>0</v>
          </cell>
          <cell r="W308">
            <v>0</v>
          </cell>
          <cell r="X308">
            <v>871.66666666666492</v>
          </cell>
          <cell r="Y308">
            <v>-530</v>
          </cell>
          <cell r="Z308">
            <v>-608.79999999999995</v>
          </cell>
          <cell r="AA308">
            <v>0</v>
          </cell>
          <cell r="AB308">
            <v>0</v>
          </cell>
          <cell r="AC308">
            <v>754.96969696969552</v>
          </cell>
          <cell r="AD308">
            <v>-171</v>
          </cell>
          <cell r="AE308">
            <v>-191.66969696969696</v>
          </cell>
          <cell r="AF308">
            <v>1103.4606060606066</v>
          </cell>
          <cell r="AG308">
            <v>714.7272727272732</v>
          </cell>
          <cell r="AH308">
            <v>388.73333333333335</v>
          </cell>
          <cell r="AI308">
            <v>-618</v>
          </cell>
          <cell r="AK308">
            <v>71366.830303030292</v>
          </cell>
        </row>
        <row r="309">
          <cell r="AK309">
            <v>0</v>
          </cell>
        </row>
        <row r="310">
          <cell r="P310">
            <v>0</v>
          </cell>
          <cell r="AK310">
            <v>0</v>
          </cell>
        </row>
        <row r="311">
          <cell r="S311">
            <v>0</v>
          </cell>
          <cell r="AK311">
            <v>0</v>
          </cell>
        </row>
        <row r="312">
          <cell r="F312">
            <v>3800</v>
          </cell>
          <cell r="AK312">
            <v>3800</v>
          </cell>
        </row>
        <row r="313">
          <cell r="S313">
            <v>0</v>
          </cell>
        </row>
        <row r="314">
          <cell r="F314">
            <v>0</v>
          </cell>
          <cell r="AK314">
            <v>0</v>
          </cell>
        </row>
        <row r="315">
          <cell r="AK315">
            <v>0</v>
          </cell>
        </row>
        <row r="317">
          <cell r="AK317">
            <v>0</v>
          </cell>
        </row>
        <row r="318">
          <cell r="S318">
            <v>0</v>
          </cell>
        </row>
        <row r="319">
          <cell r="F319">
            <v>64038.73333333333</v>
          </cell>
          <cell r="P319">
            <v>1162.6666666666667</v>
          </cell>
          <cell r="Q319">
            <v>0</v>
          </cell>
          <cell r="R319">
            <v>0</v>
          </cell>
          <cell r="S319">
            <v>3118.333333333333</v>
          </cell>
          <cell r="T319">
            <v>-592.47866666666653</v>
          </cell>
          <cell r="U319">
            <v>-601.98800000000006</v>
          </cell>
          <cell r="V319">
            <v>0</v>
          </cell>
          <cell r="W319">
            <v>0</v>
          </cell>
          <cell r="X319">
            <v>871.66666666666492</v>
          </cell>
          <cell r="Y319">
            <v>-530</v>
          </cell>
          <cell r="Z319">
            <v>-608.79999999999995</v>
          </cell>
          <cell r="AA319">
            <v>0</v>
          </cell>
          <cell r="AB319">
            <v>0</v>
          </cell>
          <cell r="AC319">
            <v>754.96969696969552</v>
          </cell>
          <cell r="AD319">
            <v>-171</v>
          </cell>
          <cell r="AE319">
            <v>-191.66969696969696</v>
          </cell>
          <cell r="AF319">
            <v>1103.4606060606066</v>
          </cell>
          <cell r="AG319">
            <v>714.7272727272732</v>
          </cell>
          <cell r="AH319">
            <v>388.73333333333335</v>
          </cell>
          <cell r="AI319">
            <v>-618</v>
          </cell>
          <cell r="AK319">
            <v>71366.830303030292</v>
          </cell>
        </row>
        <row r="328">
          <cell r="AJ328">
            <v>2455</v>
          </cell>
          <cell r="AK328">
            <v>6090.8</v>
          </cell>
          <cell r="AM328">
            <v>4950.6000000000004</v>
          </cell>
        </row>
        <row r="329">
          <cell r="F329">
            <v>150</v>
          </cell>
          <cell r="P329">
            <v>217</v>
          </cell>
          <cell r="S329">
            <v>474</v>
          </cell>
          <cell r="X329">
            <v>186</v>
          </cell>
          <cell r="AC329">
            <v>151</v>
          </cell>
          <cell r="AF329">
            <v>414</v>
          </cell>
          <cell r="AG329">
            <v>391</v>
          </cell>
          <cell r="AH329">
            <v>23</v>
          </cell>
          <cell r="AI329">
            <v>103</v>
          </cell>
          <cell r="AK329">
            <v>1661</v>
          </cell>
          <cell r="AM329">
            <v>1350</v>
          </cell>
        </row>
        <row r="330">
          <cell r="AJ330">
            <v>36</v>
          </cell>
          <cell r="AK330">
            <v>9162.9333333333343</v>
          </cell>
          <cell r="AM330">
            <v>9162.9333333333343</v>
          </cell>
        </row>
        <row r="331">
          <cell r="AK331">
            <v>770.33333333333337</v>
          </cell>
          <cell r="AM331">
            <v>770.33333333333337</v>
          </cell>
        </row>
        <row r="332">
          <cell r="AJ332">
            <v>36</v>
          </cell>
          <cell r="AK332">
            <v>87.666666666666657</v>
          </cell>
          <cell r="AM332">
            <v>75.666666666666657</v>
          </cell>
        </row>
        <row r="333">
          <cell r="AK333">
            <v>3639.6</v>
          </cell>
          <cell r="AM333">
            <v>3639.6</v>
          </cell>
        </row>
        <row r="334">
          <cell r="AK334">
            <v>3500</v>
          </cell>
          <cell r="AM334">
            <v>3500</v>
          </cell>
        </row>
        <row r="335">
          <cell r="AK335">
            <v>0</v>
          </cell>
        </row>
        <row r="336">
          <cell r="AK336">
            <v>1253</v>
          </cell>
          <cell r="AM336">
            <v>1253</v>
          </cell>
        </row>
        <row r="337">
          <cell r="AK337">
            <v>4595</v>
          </cell>
        </row>
        <row r="338">
          <cell r="AK338">
            <v>0</v>
          </cell>
          <cell r="AM338">
            <v>0</v>
          </cell>
        </row>
        <row r="339">
          <cell r="AK339">
            <v>2931</v>
          </cell>
          <cell r="AM339">
            <v>2691.4</v>
          </cell>
        </row>
        <row r="340">
          <cell r="AK340">
            <v>3617.6303030303025</v>
          </cell>
          <cell r="AM340">
            <v>3343.9030303030299</v>
          </cell>
        </row>
        <row r="341">
          <cell r="AK341">
            <v>0</v>
          </cell>
          <cell r="AM341">
            <v>0</v>
          </cell>
        </row>
        <row r="342">
          <cell r="AK342">
            <v>0</v>
          </cell>
          <cell r="AM342">
            <v>0</v>
          </cell>
        </row>
        <row r="343">
          <cell r="AK343">
            <v>0</v>
          </cell>
          <cell r="AM343">
            <v>0</v>
          </cell>
        </row>
        <row r="344">
          <cell r="AK344">
            <v>4289.0333333333338</v>
          </cell>
          <cell r="AM344">
            <v>3773.4333333333334</v>
          </cell>
        </row>
        <row r="345">
          <cell r="AK345">
            <v>986.83333333333326</v>
          </cell>
          <cell r="AM345">
            <v>750.83333333333326</v>
          </cell>
        </row>
        <row r="346">
          <cell r="AK346">
            <v>898.6</v>
          </cell>
          <cell r="AM346">
            <v>873</v>
          </cell>
        </row>
        <row r="347">
          <cell r="AK347">
            <v>1370</v>
          </cell>
        </row>
        <row r="348">
          <cell r="AK348">
            <v>1033.5999999999999</v>
          </cell>
        </row>
        <row r="349">
          <cell r="AK349">
            <v>0</v>
          </cell>
          <cell r="AM349">
            <v>0</v>
          </cell>
        </row>
        <row r="350">
          <cell r="AK350">
            <v>64</v>
          </cell>
          <cell r="AM350">
            <v>64</v>
          </cell>
        </row>
        <row r="351">
          <cell r="AK351">
            <v>1852.6666666666667</v>
          </cell>
          <cell r="AM351">
            <v>1418.6666666666667</v>
          </cell>
        </row>
        <row r="352">
          <cell r="P352">
            <v>225</v>
          </cell>
          <cell r="S352">
            <v>296</v>
          </cell>
          <cell r="X352">
            <v>56</v>
          </cell>
          <cell r="AC352">
            <v>59.636363636363626</v>
          </cell>
          <cell r="AF352">
            <v>135.72727272727272</v>
          </cell>
          <cell r="AG352">
            <v>135.72727272727272</v>
          </cell>
          <cell r="AH352">
            <v>0</v>
          </cell>
          <cell r="AK352">
            <v>772.36363636363637</v>
          </cell>
        </row>
        <row r="353">
          <cell r="AK353">
            <v>0</v>
          </cell>
        </row>
        <row r="354">
          <cell r="F354">
            <v>0</v>
          </cell>
          <cell r="P354">
            <v>0</v>
          </cell>
          <cell r="S354">
            <v>0</v>
          </cell>
          <cell r="X354">
            <v>0</v>
          </cell>
          <cell r="AC354">
            <v>0</v>
          </cell>
          <cell r="AF354">
            <v>0</v>
          </cell>
          <cell r="AG354">
            <v>0</v>
          </cell>
          <cell r="AH354">
            <v>0</v>
          </cell>
          <cell r="AI354">
            <v>0</v>
          </cell>
          <cell r="AK354">
            <v>442</v>
          </cell>
          <cell r="AM354">
            <v>442</v>
          </cell>
        </row>
        <row r="355">
          <cell r="AK355">
            <v>105</v>
          </cell>
          <cell r="AM355">
            <v>105</v>
          </cell>
        </row>
        <row r="356">
          <cell r="AK356">
            <v>0</v>
          </cell>
          <cell r="AM356">
            <v>0</v>
          </cell>
        </row>
        <row r="357">
          <cell r="AK357">
            <v>0</v>
          </cell>
          <cell r="AM357">
            <v>0</v>
          </cell>
        </row>
        <row r="358">
          <cell r="AJ358">
            <v>-2491</v>
          </cell>
          <cell r="AK358">
            <v>4915.1333333333341</v>
          </cell>
          <cell r="AM358" t="e">
            <v>#REF!</v>
          </cell>
        </row>
        <row r="359">
          <cell r="AK359">
            <v>1181.2333333333333</v>
          </cell>
        </row>
        <row r="360">
          <cell r="AK360">
            <v>878.66666666666663</v>
          </cell>
        </row>
        <row r="361">
          <cell r="AK361">
            <v>2855.2333333333336</v>
          </cell>
        </row>
        <row r="362">
          <cell r="F362">
            <v>0</v>
          </cell>
          <cell r="P362">
            <v>-172</v>
          </cell>
          <cell r="S362">
            <v>-232</v>
          </cell>
          <cell r="T362">
            <v>180.16</v>
          </cell>
          <cell r="U362">
            <v>945.84</v>
          </cell>
          <cell r="X362">
            <v>429.66666666666663</v>
          </cell>
          <cell r="Y362">
            <v>247</v>
          </cell>
          <cell r="Z362">
            <v>282.66666666666663</v>
          </cell>
          <cell r="AC362">
            <v>440</v>
          </cell>
          <cell r="AD362">
            <v>268</v>
          </cell>
          <cell r="AE362">
            <v>302</v>
          </cell>
          <cell r="AF362">
            <v>-41</v>
          </cell>
          <cell r="AG362">
            <v>-41</v>
          </cell>
          <cell r="AH362">
            <v>0</v>
          </cell>
          <cell r="AI362">
            <v>0</v>
          </cell>
          <cell r="AK362">
            <v>422.66666666666663</v>
          </cell>
          <cell r="AM362">
            <v>463.66666666666663</v>
          </cell>
        </row>
        <row r="371">
          <cell r="F371">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58</v>
          </cell>
          <cell r="H386">
            <v>57</v>
          </cell>
          <cell r="P386">
            <v>14.333333333333332</v>
          </cell>
          <cell r="S386">
            <v>14.333333333333332</v>
          </cell>
          <cell r="X386">
            <v>182</v>
          </cell>
          <cell r="Y386">
            <v>85</v>
          </cell>
          <cell r="Z386">
            <v>85</v>
          </cell>
          <cell r="AC386">
            <v>323.66666666666674</v>
          </cell>
          <cell r="AD386">
            <v>152</v>
          </cell>
          <cell r="AE386">
            <v>152</v>
          </cell>
          <cell r="AK386">
            <v>735.30000000000018</v>
          </cell>
          <cell r="AL386">
            <v>362.33333333333331</v>
          </cell>
          <cell r="AM386">
            <v>323.33333333333331</v>
          </cell>
        </row>
        <row r="387">
          <cell r="F387">
            <v>29</v>
          </cell>
          <cell r="G387">
            <v>10</v>
          </cell>
          <cell r="P387">
            <v>0</v>
          </cell>
          <cell r="X387">
            <v>0</v>
          </cell>
          <cell r="Y387">
            <v>0</v>
          </cell>
          <cell r="AC387">
            <v>3.6666666666666665</v>
          </cell>
          <cell r="AD387">
            <v>2</v>
          </cell>
          <cell r="AK387">
            <v>46</v>
          </cell>
          <cell r="AL387">
            <v>15</v>
          </cell>
        </row>
        <row r="388">
          <cell r="F388">
            <v>0</v>
          </cell>
          <cell r="G388">
            <v>0</v>
          </cell>
          <cell r="P388">
            <v>0.66666666666666663</v>
          </cell>
          <cell r="X388">
            <v>146.66666666666666</v>
          </cell>
          <cell r="Y388">
            <v>68</v>
          </cell>
          <cell r="AC388">
            <v>280.66666666666669</v>
          </cell>
          <cell r="AD388">
            <v>132</v>
          </cell>
          <cell r="AK388">
            <v>428</v>
          </cell>
          <cell r="AL388">
            <v>200.66666666666669</v>
          </cell>
        </row>
        <row r="389">
          <cell r="F389">
            <v>0</v>
          </cell>
          <cell r="G389">
            <v>0</v>
          </cell>
          <cell r="P389">
            <v>2</v>
          </cell>
          <cell r="X389">
            <v>0</v>
          </cell>
          <cell r="Y389">
            <v>0</v>
          </cell>
          <cell r="AC389">
            <v>25</v>
          </cell>
          <cell r="AD389">
            <v>12</v>
          </cell>
          <cell r="AK389">
            <v>33.666666666666671</v>
          </cell>
          <cell r="AL389">
            <v>17</v>
          </cell>
        </row>
        <row r="390">
          <cell r="F390">
            <v>0</v>
          </cell>
          <cell r="G390">
            <v>0</v>
          </cell>
          <cell r="P390">
            <v>0</v>
          </cell>
          <cell r="X390">
            <v>25.333333333333332</v>
          </cell>
          <cell r="Y390">
            <v>12</v>
          </cell>
          <cell r="AC390">
            <v>0.66666666666666663</v>
          </cell>
          <cell r="AD390">
            <v>0</v>
          </cell>
          <cell r="AK390">
            <v>26</v>
          </cell>
          <cell r="AL390">
            <v>12</v>
          </cell>
        </row>
        <row r="391">
          <cell r="F391">
            <v>120.63333333333333</v>
          </cell>
          <cell r="G391">
            <v>42</v>
          </cell>
          <cell r="P391">
            <v>0</v>
          </cell>
          <cell r="X391">
            <v>0</v>
          </cell>
          <cell r="Y391">
            <v>0</v>
          </cell>
          <cell r="AC391">
            <v>0</v>
          </cell>
          <cell r="AD391">
            <v>0</v>
          </cell>
          <cell r="AK391">
            <v>120.63333333333333</v>
          </cell>
          <cell r="AL391">
            <v>44</v>
          </cell>
        </row>
        <row r="392">
          <cell r="F392">
            <v>8.6666666666666661</v>
          </cell>
          <cell r="G392">
            <v>3</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2</v>
          </cell>
          <cell r="P394">
            <v>0</v>
          </cell>
          <cell r="X394">
            <v>0</v>
          </cell>
          <cell r="Y394">
            <v>0</v>
          </cell>
          <cell r="AC394">
            <v>0</v>
          </cell>
          <cell r="AD394">
            <v>0</v>
          </cell>
          <cell r="AK394">
            <v>5.333333333333333</v>
          </cell>
          <cell r="AL394">
            <v>2</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5</v>
          </cell>
          <cell r="AC396">
            <v>13.666666666666666</v>
          </cell>
          <cell r="AD396">
            <v>6</v>
          </cell>
          <cell r="AK396">
            <v>26</v>
          </cell>
          <cell r="AL396">
            <v>13</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243</v>
          </cell>
          <cell r="AC398">
            <v>43</v>
          </cell>
          <cell r="AD398">
            <v>20</v>
          </cell>
          <cell r="AK398">
            <v>587.33333333333337</v>
          </cell>
          <cell r="AL398">
            <v>283.5</v>
          </cell>
          <cell r="AM398">
            <v>283.83333333333331</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224</v>
          </cell>
          <cell r="AC400">
            <v>11</v>
          </cell>
          <cell r="AD400">
            <v>5</v>
          </cell>
          <cell r="AK400">
            <v>491.66666666666669</v>
          </cell>
          <cell r="AL400">
            <v>229</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19</v>
          </cell>
          <cell r="AC402">
            <v>32</v>
          </cell>
          <cell r="AD402">
            <v>15</v>
          </cell>
          <cell r="AK402">
            <v>91</v>
          </cell>
          <cell r="AL402">
            <v>54.833333333333336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4</v>
          </cell>
          <cell r="P405">
            <v>39</v>
          </cell>
          <cell r="X405">
            <v>0</v>
          </cell>
          <cell r="Y405">
            <v>0</v>
          </cell>
          <cell r="AC405">
            <v>0</v>
          </cell>
          <cell r="AD405">
            <v>0</v>
          </cell>
          <cell r="AK405">
            <v>49</v>
          </cell>
          <cell r="AL405">
            <v>43</v>
          </cell>
          <cell r="AM405">
            <v>43</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3</v>
          </cell>
          <cell r="P407">
            <v>35.666666666666664</v>
          </cell>
          <cell r="X407">
            <v>0</v>
          </cell>
          <cell r="Y407">
            <v>0</v>
          </cell>
          <cell r="AC407">
            <v>0</v>
          </cell>
          <cell r="AD407">
            <v>0</v>
          </cell>
          <cell r="AK407">
            <v>43</v>
          </cell>
          <cell r="AL407">
            <v>38.666666666666664</v>
          </cell>
        </row>
        <row r="408">
          <cell r="F408">
            <v>0</v>
          </cell>
          <cell r="G408">
            <v>0</v>
          </cell>
          <cell r="P408">
            <v>0</v>
          </cell>
          <cell r="X408">
            <v>0</v>
          </cell>
          <cell r="Y408">
            <v>0</v>
          </cell>
          <cell r="AC408">
            <v>0</v>
          </cell>
          <cell r="AD408">
            <v>0</v>
          </cell>
          <cell r="AK408">
            <v>0</v>
          </cell>
        </row>
        <row r="409">
          <cell r="F409">
            <v>206.33333333333329</v>
          </cell>
          <cell r="G409">
            <v>72</v>
          </cell>
          <cell r="H409">
            <v>72</v>
          </cell>
          <cell r="P409">
            <v>50.166666666666671</v>
          </cell>
          <cell r="S409">
            <v>50.166666666666671</v>
          </cell>
          <cell r="X409">
            <v>37.833333333333343</v>
          </cell>
          <cell r="Y409">
            <v>18</v>
          </cell>
          <cell r="AC409">
            <v>26.000000000000004</v>
          </cell>
          <cell r="AD409">
            <v>12</v>
          </cell>
          <cell r="AK409">
            <v>1965.0000000000002</v>
          </cell>
          <cell r="AL409">
            <v>411.16666666666663</v>
          </cell>
          <cell r="AM409">
            <v>411.16666666666663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1</v>
          </cell>
          <cell r="AC415">
            <v>3</v>
          </cell>
          <cell r="AD415">
            <v>1</v>
          </cell>
          <cell r="AK415">
            <v>57.666666666666664</v>
          </cell>
          <cell r="AL415">
            <v>48</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2</v>
          </cell>
          <cell r="AC418">
            <v>1.3333333333333333</v>
          </cell>
          <cell r="AD418">
            <v>1</v>
          </cell>
          <cell r="AK418">
            <v>28.5</v>
          </cell>
          <cell r="AL418">
            <v>25.5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62</v>
          </cell>
          <cell r="P420">
            <v>0</v>
          </cell>
          <cell r="X420">
            <v>0</v>
          </cell>
          <cell r="Y420">
            <v>0</v>
          </cell>
          <cell r="AC420">
            <v>0</v>
          </cell>
          <cell r="AD420">
            <v>0</v>
          </cell>
          <cell r="AK420">
            <v>177</v>
          </cell>
          <cell r="AL420">
            <v>62</v>
          </cell>
        </row>
        <row r="421">
          <cell r="F421">
            <v>0</v>
          </cell>
          <cell r="G421">
            <v>0</v>
          </cell>
          <cell r="P421">
            <v>0</v>
          </cell>
          <cell r="X421">
            <v>10</v>
          </cell>
          <cell r="Y421">
            <v>5</v>
          </cell>
          <cell r="AC421">
            <v>7.666666666666667</v>
          </cell>
          <cell r="AD421">
            <v>4</v>
          </cell>
          <cell r="AK421">
            <v>17.666666666666668</v>
          </cell>
          <cell r="AL421">
            <v>9</v>
          </cell>
        </row>
        <row r="422">
          <cell r="F422">
            <v>0.66666666666666663</v>
          </cell>
          <cell r="G422">
            <v>0</v>
          </cell>
          <cell r="P422">
            <v>2</v>
          </cell>
          <cell r="X422">
            <v>1.3333333333333333</v>
          </cell>
          <cell r="Y422">
            <v>1</v>
          </cell>
          <cell r="AC422">
            <v>1</v>
          </cell>
          <cell r="AD422">
            <v>0</v>
          </cell>
          <cell r="AK422">
            <v>6</v>
          </cell>
          <cell r="AL422">
            <v>3</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3</v>
          </cell>
          <cell r="AC424">
            <v>5</v>
          </cell>
          <cell r="AD424">
            <v>2</v>
          </cell>
          <cell r="AK424">
            <v>13.333333333333334</v>
          </cell>
          <cell r="AL424">
            <v>7.3333333333333339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3</v>
          </cell>
          <cell r="P427">
            <v>1</v>
          </cell>
          <cell r="X427">
            <v>0</v>
          </cell>
          <cell r="Y427">
            <v>0</v>
          </cell>
          <cell r="AC427">
            <v>0</v>
          </cell>
          <cell r="AD427">
            <v>0</v>
          </cell>
          <cell r="AK427">
            <v>12</v>
          </cell>
          <cell r="AL427">
            <v>5</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2</v>
          </cell>
          <cell r="P431">
            <v>4.666666666666667</v>
          </cell>
          <cell r="X431">
            <v>3</v>
          </cell>
          <cell r="Y431">
            <v>1</v>
          </cell>
          <cell r="AC431">
            <v>2</v>
          </cell>
          <cell r="AD431">
            <v>1</v>
          </cell>
          <cell r="AK431">
            <v>33</v>
          </cell>
          <cell r="AL431">
            <v>18.666666666666668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2</v>
          </cell>
          <cell r="AC437">
            <v>2</v>
          </cell>
          <cell r="AD437">
            <v>1</v>
          </cell>
          <cell r="AK437">
            <v>15.666666666666666</v>
          </cell>
          <cell r="AL437">
            <v>8</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0" refreshError="1"/>
      <sheetData sheetId="11"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v>336</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0</v>
          </cell>
        </row>
        <row r="38">
          <cell r="AL38">
            <v>336</v>
          </cell>
        </row>
        <row r="39">
          <cell r="AL39">
            <v>0</v>
          </cell>
        </row>
        <row r="40">
          <cell r="AL40">
            <v>0</v>
          </cell>
        </row>
        <row r="41">
          <cell r="AL41">
            <v>395.6</v>
          </cell>
        </row>
        <row r="42">
          <cell r="P42">
            <v>0</v>
          </cell>
          <cell r="AL42">
            <v>395.6</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X48">
            <v>3133.4075757575761</v>
          </cell>
          <cell r="AC48">
            <v>2333.3751515151525</v>
          </cell>
          <cell r="AF48">
            <v>4511.4533333333329</v>
          </cell>
          <cell r="AG48">
            <v>3609.54</v>
          </cell>
          <cell r="AH48">
            <v>856.9133333333333</v>
          </cell>
        </row>
        <row r="49">
          <cell r="F49">
            <v>759</v>
          </cell>
          <cell r="G49">
            <v>297</v>
          </cell>
          <cell r="H49">
            <v>462</v>
          </cell>
          <cell r="P49">
            <v>470</v>
          </cell>
          <cell r="S49">
            <v>885</v>
          </cell>
          <cell r="T49">
            <v>442.5</v>
          </cell>
          <cell r="U49">
            <v>442.5</v>
          </cell>
          <cell r="X49">
            <v>204</v>
          </cell>
          <cell r="Y49">
            <v>133</v>
          </cell>
          <cell r="Z49">
            <v>71</v>
          </cell>
          <cell r="AC49">
            <v>379.33333333333331</v>
          </cell>
          <cell r="AD49">
            <v>225</v>
          </cell>
          <cell r="AE49">
            <v>154.33333333333331</v>
          </cell>
          <cell r="AF49">
            <v>500</v>
          </cell>
          <cell r="AG49">
            <v>209</v>
          </cell>
          <cell r="AH49">
            <v>291</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0</v>
          </cell>
          <cell r="H51">
            <v>408</v>
          </cell>
          <cell r="P51">
            <v>0</v>
          </cell>
          <cell r="S51">
            <v>1069.6666666666665</v>
          </cell>
          <cell r="T51">
            <v>534.83333333333326</v>
          </cell>
          <cell r="U51">
            <v>534.83333333333326</v>
          </cell>
          <cell r="X51">
            <v>0</v>
          </cell>
          <cell r="Y51">
            <v>0</v>
          </cell>
          <cell r="Z51">
            <v>0</v>
          </cell>
          <cell r="AC51">
            <v>0</v>
          </cell>
          <cell r="AD51">
            <v>0</v>
          </cell>
          <cell r="AE51">
            <v>0</v>
          </cell>
          <cell r="AF51">
            <v>635.25</v>
          </cell>
          <cell r="AG51">
            <v>456.25</v>
          </cell>
          <cell r="AH51">
            <v>0</v>
          </cell>
          <cell r="AK51">
            <v>0</v>
          </cell>
          <cell r="AL51">
            <v>0</v>
          </cell>
          <cell r="AM51">
            <v>0</v>
          </cell>
          <cell r="AN51">
            <v>0</v>
          </cell>
          <cell r="AO51">
            <v>543</v>
          </cell>
          <cell r="AP51">
            <v>583</v>
          </cell>
          <cell r="AQ51">
            <v>519.59999999999991</v>
          </cell>
          <cell r="AR51">
            <v>1728.3000000000002</v>
          </cell>
        </row>
        <row r="52">
          <cell r="F52">
            <v>465</v>
          </cell>
          <cell r="G52">
            <v>182</v>
          </cell>
          <cell r="H52">
            <v>283</v>
          </cell>
          <cell r="P52">
            <v>20</v>
          </cell>
          <cell r="S52">
            <v>88</v>
          </cell>
          <cell r="X52">
            <v>65</v>
          </cell>
          <cell r="Y52">
            <v>43</v>
          </cell>
          <cell r="Z52">
            <v>22</v>
          </cell>
          <cell r="AC52">
            <v>66</v>
          </cell>
          <cell r="AD52">
            <v>39</v>
          </cell>
          <cell r="AE52">
            <v>27</v>
          </cell>
          <cell r="AF52">
            <v>26</v>
          </cell>
          <cell r="AG52">
            <v>0</v>
          </cell>
          <cell r="AH52">
            <v>26</v>
          </cell>
          <cell r="AK52">
            <v>704</v>
          </cell>
          <cell r="AL52">
            <v>284</v>
          </cell>
          <cell r="AM52">
            <v>420</v>
          </cell>
          <cell r="AN52">
            <v>420</v>
          </cell>
        </row>
        <row r="53">
          <cell r="F53">
            <v>20</v>
          </cell>
          <cell r="G53">
            <v>8</v>
          </cell>
          <cell r="H53">
            <v>12</v>
          </cell>
          <cell r="P53">
            <v>53.666666666666664</v>
          </cell>
          <cell r="S53">
            <v>368.66666666666669</v>
          </cell>
          <cell r="T53">
            <v>287.56</v>
          </cell>
          <cell r="U53">
            <v>81.106666666666683</v>
          </cell>
          <cell r="X53">
            <v>978.66666666666663</v>
          </cell>
          <cell r="Y53">
            <v>640</v>
          </cell>
          <cell r="Z53">
            <v>338.66666666666663</v>
          </cell>
          <cell r="AC53">
            <v>84.333333333333329</v>
          </cell>
          <cell r="AD53">
            <v>50</v>
          </cell>
          <cell r="AE53">
            <v>34.333333333333329</v>
          </cell>
          <cell r="AF53">
            <v>189.33333333333334</v>
          </cell>
          <cell r="AG53">
            <v>110</v>
          </cell>
          <cell r="AH53">
            <v>79.333333333333343</v>
          </cell>
          <cell r="AI53">
            <v>36</v>
          </cell>
          <cell r="AK53">
            <v>1615.3333333333333</v>
          </cell>
          <cell r="AL53">
            <v>751.66666666666663</v>
          </cell>
          <cell r="AM53">
            <v>863.66666666666663</v>
          </cell>
          <cell r="AN53">
            <v>863.66666666666663</v>
          </cell>
          <cell r="AO53">
            <v>690</v>
          </cell>
          <cell r="AP53">
            <v>498</v>
          </cell>
          <cell r="AQ53">
            <v>61.666666666666629</v>
          </cell>
          <cell r="AR53">
            <v>365.66666666666663</v>
          </cell>
        </row>
        <row r="54">
          <cell r="F54">
            <v>0</v>
          </cell>
          <cell r="G54">
            <v>0</v>
          </cell>
          <cell r="H54">
            <v>0</v>
          </cell>
          <cell r="P54">
            <v>30</v>
          </cell>
          <cell r="S54">
            <v>13.666666666666666</v>
          </cell>
          <cell r="T54">
            <v>13.666666666666666</v>
          </cell>
          <cell r="U54">
            <v>0</v>
          </cell>
          <cell r="X54">
            <v>757</v>
          </cell>
          <cell r="Y54">
            <v>495</v>
          </cell>
          <cell r="Z54">
            <v>262</v>
          </cell>
          <cell r="AC54">
            <v>13.333333333333334</v>
          </cell>
          <cell r="AD54">
            <v>8</v>
          </cell>
          <cell r="AE54">
            <v>5.3333333333333339</v>
          </cell>
          <cell r="AF54">
            <v>0.33333333333333331</v>
          </cell>
          <cell r="AG54">
            <v>3</v>
          </cell>
          <cell r="AH54">
            <v>0.33333333333333331</v>
          </cell>
          <cell r="AK54">
            <v>784</v>
          </cell>
          <cell r="AL54">
            <v>503</v>
          </cell>
          <cell r="AM54">
            <v>281</v>
          </cell>
          <cell r="AN54">
            <v>281</v>
          </cell>
          <cell r="AO54">
            <v>503</v>
          </cell>
          <cell r="AP54">
            <v>272</v>
          </cell>
          <cell r="AQ54">
            <v>0</v>
          </cell>
          <cell r="AR54">
            <v>9</v>
          </cell>
        </row>
        <row r="55">
          <cell r="F55">
            <v>0</v>
          </cell>
          <cell r="G55">
            <v>0</v>
          </cell>
          <cell r="H55">
            <v>0</v>
          </cell>
          <cell r="P55">
            <v>27.766666666666676</v>
          </cell>
          <cell r="S55">
            <v>2830</v>
          </cell>
          <cell r="T55">
            <v>2830</v>
          </cell>
          <cell r="U55">
            <v>0</v>
          </cell>
          <cell r="X55">
            <v>12455</v>
          </cell>
          <cell r="Y55">
            <v>8146</v>
          </cell>
          <cell r="Z55">
            <v>4309</v>
          </cell>
          <cell r="AC55">
            <v>10588</v>
          </cell>
          <cell r="AD55">
            <v>6279</v>
          </cell>
          <cell r="AE55">
            <v>4309</v>
          </cell>
          <cell r="AF55">
            <v>160.93333333333328</v>
          </cell>
          <cell r="AG55">
            <v>150</v>
          </cell>
          <cell r="AH55">
            <v>0</v>
          </cell>
          <cell r="AK55">
            <v>25873</v>
          </cell>
          <cell r="AL55">
            <v>14425</v>
          </cell>
          <cell r="AM55">
            <v>11448</v>
          </cell>
          <cell r="AN55">
            <v>11448</v>
          </cell>
          <cell r="AO55">
            <v>14425</v>
          </cell>
          <cell r="AP55">
            <v>11448</v>
          </cell>
          <cell r="AQ55">
            <v>0</v>
          </cell>
          <cell r="AR55">
            <v>0</v>
          </cell>
        </row>
        <row r="56">
          <cell r="F56">
            <v>0</v>
          </cell>
          <cell r="G56">
            <v>0</v>
          </cell>
          <cell r="H56">
            <v>0</v>
          </cell>
          <cell r="P56">
            <v>0</v>
          </cell>
          <cell r="S56">
            <v>2830</v>
          </cell>
          <cell r="T56">
            <v>2830</v>
          </cell>
          <cell r="U56">
            <v>0</v>
          </cell>
          <cell r="X56">
            <v>12455</v>
          </cell>
          <cell r="Y56">
            <v>8146</v>
          </cell>
          <cell r="Z56">
            <v>4309</v>
          </cell>
          <cell r="AC56">
            <v>10588</v>
          </cell>
          <cell r="AD56">
            <v>6279</v>
          </cell>
          <cell r="AE56">
            <v>4309</v>
          </cell>
          <cell r="AF56">
            <v>0</v>
          </cell>
          <cell r="AG56">
            <v>0</v>
          </cell>
          <cell r="AH56">
            <v>0</v>
          </cell>
          <cell r="AI56">
            <v>0</v>
          </cell>
          <cell r="AK56">
            <v>25873</v>
          </cell>
          <cell r="AL56">
            <v>14425</v>
          </cell>
          <cell r="AM56">
            <v>11448</v>
          </cell>
          <cell r="AN56">
            <v>11448</v>
          </cell>
          <cell r="AO56">
            <v>14425</v>
          </cell>
          <cell r="AP56">
            <v>11448</v>
          </cell>
          <cell r="AQ56">
            <v>0</v>
          </cell>
          <cell r="AR56">
            <v>0</v>
          </cell>
        </row>
        <row r="57">
          <cell r="F57">
            <v>0</v>
          </cell>
          <cell r="G57">
            <v>0</v>
          </cell>
          <cell r="H57">
            <v>0</v>
          </cell>
          <cell r="S57">
            <v>2945</v>
          </cell>
          <cell r="T57">
            <v>0</v>
          </cell>
          <cell r="U57">
            <v>0</v>
          </cell>
          <cell r="X57">
            <v>12359</v>
          </cell>
          <cell r="Y57">
            <v>8878</v>
          </cell>
          <cell r="Z57">
            <v>3481</v>
          </cell>
          <cell r="AC57">
            <v>10357</v>
          </cell>
          <cell r="AD57">
            <v>7369</v>
          </cell>
          <cell r="AE57">
            <v>2988</v>
          </cell>
          <cell r="AF57">
            <v>0</v>
          </cell>
          <cell r="AH57">
            <v>0</v>
          </cell>
          <cell r="AK57">
            <v>0</v>
          </cell>
          <cell r="AL57">
            <v>0</v>
          </cell>
          <cell r="AM57">
            <v>0</v>
          </cell>
          <cell r="AN57">
            <v>0</v>
          </cell>
          <cell r="AO57">
            <v>16247</v>
          </cell>
          <cell r="AP57">
            <v>0</v>
          </cell>
          <cell r="AQ57">
            <v>0</v>
          </cell>
          <cell r="AR57">
            <v>0</v>
          </cell>
        </row>
        <row r="58">
          <cell r="F58">
            <v>8</v>
          </cell>
          <cell r="G58">
            <v>3</v>
          </cell>
          <cell r="H58">
            <v>5</v>
          </cell>
          <cell r="P58">
            <v>21.666666666666668</v>
          </cell>
          <cell r="S58">
            <v>865.66666666666663</v>
          </cell>
          <cell r="T58">
            <v>865.66666666666663</v>
          </cell>
          <cell r="U58">
            <v>0</v>
          </cell>
          <cell r="X58">
            <v>0</v>
          </cell>
          <cell r="Y58">
            <v>0</v>
          </cell>
          <cell r="Z58">
            <v>0</v>
          </cell>
          <cell r="AC58">
            <v>0</v>
          </cell>
          <cell r="AD58">
            <v>0</v>
          </cell>
          <cell r="AE58">
            <v>0</v>
          </cell>
          <cell r="AF58">
            <v>539.33333333333337</v>
          </cell>
          <cell r="AG58">
            <v>241</v>
          </cell>
          <cell r="AH58">
            <v>298.33333333333337</v>
          </cell>
          <cell r="AI58">
            <v>241</v>
          </cell>
          <cell r="AK58">
            <v>1136.3333333333333</v>
          </cell>
          <cell r="AL58">
            <v>24.666666666666668</v>
          </cell>
          <cell r="AM58">
            <v>1111.6666666666665</v>
          </cell>
          <cell r="AN58">
            <v>1111.6666666666665</v>
          </cell>
          <cell r="AO58">
            <v>0</v>
          </cell>
          <cell r="AP58">
            <v>294</v>
          </cell>
          <cell r="AQ58">
            <v>24.666666666666668</v>
          </cell>
          <cell r="AR58">
            <v>817.66666666666652</v>
          </cell>
        </row>
        <row r="59">
          <cell r="F59">
            <v>367.1</v>
          </cell>
          <cell r="G59">
            <v>143</v>
          </cell>
          <cell r="H59">
            <v>224.10000000000002</v>
          </cell>
          <cell r="P59">
            <v>539.62000000000012</v>
          </cell>
          <cell r="S59">
            <v>924.09818181818162</v>
          </cell>
          <cell r="T59">
            <v>452.808109090909</v>
          </cell>
          <cell r="U59">
            <v>471.29007272727262</v>
          </cell>
          <cell r="X59">
            <v>315.83636363636361</v>
          </cell>
          <cell r="Y59">
            <v>207</v>
          </cell>
          <cell r="Z59">
            <v>108.83636363636361</v>
          </cell>
          <cell r="AC59">
            <v>277.36181818181819</v>
          </cell>
          <cell r="AD59">
            <v>164</v>
          </cell>
          <cell r="AE59">
            <v>113.36181818181819</v>
          </cell>
          <cell r="AF59">
            <v>957.89272727272737</v>
          </cell>
          <cell r="AG59">
            <v>844</v>
          </cell>
          <cell r="AH59">
            <v>113.89272727272737</v>
          </cell>
          <cell r="AI59">
            <v>274</v>
          </cell>
          <cell r="AK59">
            <v>3517.0163636363641</v>
          </cell>
          <cell r="AL59">
            <v>1221.6200000000001</v>
          </cell>
          <cell r="AM59">
            <v>2295.3963636363642</v>
          </cell>
          <cell r="AN59">
            <v>2295.3963636363633</v>
          </cell>
          <cell r="AO59">
            <v>371</v>
          </cell>
          <cell r="AP59">
            <v>536</v>
          </cell>
          <cell r="AQ59">
            <v>850.62000000000012</v>
          </cell>
          <cell r="AR59">
            <v>1759.3963636363642</v>
          </cell>
        </row>
        <row r="60">
          <cell r="F60">
            <v>20</v>
          </cell>
          <cell r="G60">
            <v>8</v>
          </cell>
          <cell r="H60">
            <v>12</v>
          </cell>
          <cell r="P60">
            <v>30</v>
          </cell>
          <cell r="S60">
            <v>51</v>
          </cell>
          <cell r="T60">
            <v>25</v>
          </cell>
          <cell r="U60">
            <v>26</v>
          </cell>
          <cell r="X60">
            <v>17</v>
          </cell>
          <cell r="Y60">
            <v>11</v>
          </cell>
          <cell r="Z60">
            <v>6</v>
          </cell>
          <cell r="AC60">
            <v>15</v>
          </cell>
          <cell r="AD60">
            <v>9</v>
          </cell>
          <cell r="AE60">
            <v>6</v>
          </cell>
          <cell r="AF60">
            <v>53</v>
          </cell>
          <cell r="AG60">
            <v>46</v>
          </cell>
          <cell r="AH60">
            <v>7</v>
          </cell>
          <cell r="AI60">
            <v>15</v>
          </cell>
          <cell r="AK60">
            <v>192</v>
          </cell>
          <cell r="AL60">
            <v>67</v>
          </cell>
          <cell r="AM60">
            <v>125</v>
          </cell>
          <cell r="AN60">
            <v>125</v>
          </cell>
          <cell r="AO60">
            <v>20</v>
          </cell>
          <cell r="AP60">
            <v>22</v>
          </cell>
          <cell r="AQ60">
            <v>47</v>
          </cell>
          <cell r="AR60">
            <v>103</v>
          </cell>
        </row>
        <row r="61">
          <cell r="F61">
            <v>117</v>
          </cell>
          <cell r="G61">
            <v>46</v>
          </cell>
          <cell r="H61">
            <v>71</v>
          </cell>
          <cell r="P61">
            <v>173</v>
          </cell>
          <cell r="S61">
            <v>296</v>
          </cell>
          <cell r="T61">
            <v>145</v>
          </cell>
          <cell r="U61">
            <v>151</v>
          </cell>
          <cell r="X61">
            <v>101</v>
          </cell>
          <cell r="Y61">
            <v>66</v>
          </cell>
          <cell r="Z61">
            <v>35</v>
          </cell>
          <cell r="AC61">
            <v>89</v>
          </cell>
          <cell r="AD61">
            <v>53</v>
          </cell>
          <cell r="AE61">
            <v>36</v>
          </cell>
          <cell r="AF61">
            <v>307</v>
          </cell>
          <cell r="AG61">
            <v>270</v>
          </cell>
          <cell r="AH61">
            <v>37</v>
          </cell>
          <cell r="AI61">
            <v>88</v>
          </cell>
          <cell r="AK61">
            <v>1126</v>
          </cell>
          <cell r="AL61">
            <v>391</v>
          </cell>
          <cell r="AM61">
            <v>735</v>
          </cell>
          <cell r="AN61">
            <v>734</v>
          </cell>
          <cell r="AO61">
            <v>0</v>
          </cell>
          <cell r="AP61">
            <v>0</v>
          </cell>
          <cell r="AQ61">
            <v>0</v>
          </cell>
          <cell r="AR61">
            <v>0</v>
          </cell>
        </row>
        <row r="62">
          <cell r="F62">
            <v>0</v>
          </cell>
          <cell r="G62">
            <v>0</v>
          </cell>
          <cell r="H62">
            <v>12</v>
          </cell>
          <cell r="P62">
            <v>0</v>
          </cell>
          <cell r="S62">
            <v>54</v>
          </cell>
          <cell r="T62">
            <v>26</v>
          </cell>
          <cell r="U62">
            <v>27</v>
          </cell>
          <cell r="X62">
            <v>0</v>
          </cell>
          <cell r="Y62">
            <v>11</v>
          </cell>
          <cell r="Z62">
            <v>5</v>
          </cell>
          <cell r="AC62">
            <v>16</v>
          </cell>
          <cell r="AD62">
            <v>11</v>
          </cell>
          <cell r="AE62">
            <v>5</v>
          </cell>
          <cell r="AF62">
            <v>61</v>
          </cell>
          <cell r="AG62">
            <v>55</v>
          </cell>
          <cell r="AH62">
            <v>0</v>
          </cell>
          <cell r="AK62">
            <v>0</v>
          </cell>
          <cell r="AL62">
            <v>74</v>
          </cell>
          <cell r="AM62">
            <v>135</v>
          </cell>
          <cell r="AN62">
            <v>0</v>
          </cell>
          <cell r="AO62">
            <v>22</v>
          </cell>
          <cell r="AP62">
            <v>20</v>
          </cell>
          <cell r="AQ62">
            <v>52</v>
          </cell>
          <cell r="AR62">
            <v>115</v>
          </cell>
        </row>
        <row r="63">
          <cell r="F63">
            <v>79</v>
          </cell>
          <cell r="G63">
            <v>31</v>
          </cell>
          <cell r="H63">
            <v>48</v>
          </cell>
          <cell r="P63">
            <v>573</v>
          </cell>
          <cell r="S63">
            <v>1126</v>
          </cell>
          <cell r="T63">
            <v>180.16</v>
          </cell>
          <cell r="U63">
            <v>945.84</v>
          </cell>
          <cell r="X63">
            <v>563</v>
          </cell>
          <cell r="Y63">
            <v>368</v>
          </cell>
          <cell r="Z63">
            <v>195</v>
          </cell>
          <cell r="AC63">
            <v>713</v>
          </cell>
          <cell r="AD63">
            <v>423</v>
          </cell>
          <cell r="AE63">
            <v>290</v>
          </cell>
          <cell r="AF63">
            <v>526</v>
          </cell>
          <cell r="AG63">
            <v>526</v>
          </cell>
          <cell r="AH63">
            <v>0</v>
          </cell>
          <cell r="AK63">
            <v>3590</v>
          </cell>
          <cell r="AL63">
            <v>1402</v>
          </cell>
          <cell r="AM63">
            <v>2188</v>
          </cell>
          <cell r="AN63">
            <v>2188</v>
          </cell>
          <cell r="AO63">
            <v>791</v>
          </cell>
          <cell r="AP63">
            <v>868</v>
          </cell>
          <cell r="AQ63">
            <v>611</v>
          </cell>
          <cell r="AR63">
            <v>1320</v>
          </cell>
        </row>
        <row r="64">
          <cell r="F64">
            <v>0</v>
          </cell>
          <cell r="G64">
            <v>0</v>
          </cell>
          <cell r="P64">
            <v>0</v>
          </cell>
          <cell r="T64">
            <v>18</v>
          </cell>
          <cell r="U64">
            <v>95</v>
          </cell>
          <cell r="X64">
            <v>0</v>
          </cell>
          <cell r="AH64">
            <v>0</v>
          </cell>
          <cell r="AI64">
            <v>0</v>
          </cell>
          <cell r="AJ64">
            <v>0</v>
          </cell>
          <cell r="AK64">
            <v>0</v>
          </cell>
          <cell r="AN64">
            <v>0</v>
          </cell>
          <cell r="AO64">
            <v>79</v>
          </cell>
          <cell r="AP64">
            <v>87</v>
          </cell>
          <cell r="AQ64">
            <v>61</v>
          </cell>
          <cell r="AR64">
            <v>132</v>
          </cell>
        </row>
        <row r="65">
          <cell r="F65">
            <v>0</v>
          </cell>
          <cell r="G65">
            <v>0</v>
          </cell>
          <cell r="H65">
            <v>0</v>
          </cell>
          <cell r="P65">
            <v>689</v>
          </cell>
          <cell r="S65">
            <v>2348</v>
          </cell>
          <cell r="T65">
            <v>87.84</v>
          </cell>
          <cell r="U65">
            <v>461.15999999999997</v>
          </cell>
          <cell r="X65">
            <v>218</v>
          </cell>
          <cell r="Y65">
            <v>359</v>
          </cell>
          <cell r="Z65">
            <v>141.33333333333337</v>
          </cell>
          <cell r="AC65">
            <v>195</v>
          </cell>
          <cell r="AD65">
            <v>289</v>
          </cell>
          <cell r="AE65">
            <v>117</v>
          </cell>
          <cell r="AF65">
            <v>400</v>
          </cell>
          <cell r="AG65">
            <v>400</v>
          </cell>
          <cell r="AH65">
            <v>0</v>
          </cell>
          <cell r="AK65">
            <v>3860</v>
          </cell>
          <cell r="AL65">
            <v>696</v>
          </cell>
          <cell r="AM65">
            <v>3164</v>
          </cell>
          <cell r="AN65">
            <v>2751</v>
          </cell>
          <cell r="AO65">
            <v>648</v>
          </cell>
          <cell r="AP65">
            <v>646</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0</v>
          </cell>
          <cell r="AQ66">
            <v>40</v>
          </cell>
          <cell r="AR66">
            <v>100</v>
          </cell>
        </row>
        <row r="67">
          <cell r="F67">
            <v>79</v>
          </cell>
          <cell r="G67">
            <v>31</v>
          </cell>
          <cell r="H67">
            <v>48</v>
          </cell>
          <cell r="P67">
            <v>-116</v>
          </cell>
          <cell r="S67">
            <v>-1222</v>
          </cell>
          <cell r="T67">
            <v>162.16</v>
          </cell>
          <cell r="U67">
            <v>850.84</v>
          </cell>
          <cell r="X67">
            <v>345</v>
          </cell>
          <cell r="Y67">
            <v>368</v>
          </cell>
          <cell r="Z67">
            <v>195</v>
          </cell>
          <cell r="AC67">
            <v>518</v>
          </cell>
          <cell r="AD67">
            <v>423</v>
          </cell>
          <cell r="AE67">
            <v>290</v>
          </cell>
          <cell r="AF67">
            <v>126</v>
          </cell>
          <cell r="AG67">
            <v>126</v>
          </cell>
          <cell r="AH67">
            <v>0</v>
          </cell>
          <cell r="AI67">
            <v>0</v>
          </cell>
          <cell r="AJ67">
            <v>0</v>
          </cell>
          <cell r="AK67">
            <v>-270</v>
          </cell>
          <cell r="AL67">
            <v>398</v>
          </cell>
          <cell r="AM67">
            <v>953</v>
          </cell>
          <cell r="AN67">
            <v>-563</v>
          </cell>
          <cell r="AO67">
            <v>712</v>
          </cell>
          <cell r="AP67">
            <v>135</v>
          </cell>
          <cell r="AQ67">
            <v>550</v>
          </cell>
          <cell r="AR67">
            <v>1188</v>
          </cell>
        </row>
        <row r="68">
          <cell r="F68">
            <v>340</v>
          </cell>
          <cell r="G68">
            <v>133</v>
          </cell>
          <cell r="H68">
            <v>207</v>
          </cell>
          <cell r="P68">
            <v>560</v>
          </cell>
          <cell r="S68">
            <v>1487</v>
          </cell>
          <cell r="T68">
            <v>371.75</v>
          </cell>
          <cell r="U68">
            <v>1115.25</v>
          </cell>
          <cell r="X68">
            <v>2754</v>
          </cell>
          <cell r="Y68">
            <v>1801</v>
          </cell>
          <cell r="Z68">
            <v>953</v>
          </cell>
          <cell r="AC68">
            <v>1364</v>
          </cell>
          <cell r="AD68">
            <v>809</v>
          </cell>
          <cell r="AE68">
            <v>555</v>
          </cell>
          <cell r="AF68">
            <v>1173</v>
          </cell>
          <cell r="AG68">
            <v>1100</v>
          </cell>
          <cell r="AH68">
            <v>73</v>
          </cell>
          <cell r="AK68">
            <v>7614</v>
          </cell>
          <cell r="AL68">
            <v>3310</v>
          </cell>
          <cell r="AM68">
            <v>4304</v>
          </cell>
          <cell r="AN68">
            <v>4304</v>
          </cell>
          <cell r="AO68">
            <v>2610</v>
          </cell>
          <cell r="AP68">
            <v>2014</v>
          </cell>
          <cell r="AQ68">
            <v>700</v>
          </cell>
          <cell r="AR68">
            <v>2290</v>
          </cell>
        </row>
        <row r="69">
          <cell r="G69">
            <v>0</v>
          </cell>
          <cell r="H69">
            <v>0</v>
          </cell>
          <cell r="P69">
            <v>90</v>
          </cell>
          <cell r="S69">
            <v>450.18181818181819</v>
          </cell>
          <cell r="T69">
            <v>78.84</v>
          </cell>
          <cell r="U69">
            <v>415.15999999999997</v>
          </cell>
          <cell r="X69">
            <v>220.36363636363637</v>
          </cell>
          <cell r="Y69">
            <v>144</v>
          </cell>
          <cell r="Z69">
            <v>76.363636363636374</v>
          </cell>
          <cell r="AC69">
            <v>149.81818181818181</v>
          </cell>
          <cell r="AD69">
            <v>89</v>
          </cell>
          <cell r="AE69">
            <v>60.818181818181813</v>
          </cell>
          <cell r="AF69">
            <v>224.72727272727272</v>
          </cell>
          <cell r="AG69">
            <v>224.72727272727272</v>
          </cell>
          <cell r="AH69">
            <v>0</v>
          </cell>
          <cell r="AK69">
            <v>1135.0909090909092</v>
          </cell>
          <cell r="AL69">
            <v>323</v>
          </cell>
          <cell r="AM69">
            <v>812.09090909090924</v>
          </cell>
          <cell r="AN69">
            <v>812.09090909090901</v>
          </cell>
          <cell r="AO69">
            <v>583</v>
          </cell>
          <cell r="AP69">
            <v>249</v>
          </cell>
          <cell r="AQ69">
            <v>362</v>
          </cell>
          <cell r="AR69">
            <v>898.33333333333348</v>
          </cell>
        </row>
        <row r="70">
          <cell r="F70">
            <v>0</v>
          </cell>
          <cell r="G70">
            <v>0</v>
          </cell>
          <cell r="H70">
            <v>0</v>
          </cell>
          <cell r="P70">
            <v>5</v>
          </cell>
          <cell r="S70">
            <v>25</v>
          </cell>
          <cell r="T70">
            <v>304.9375</v>
          </cell>
          <cell r="U70">
            <v>914.8125</v>
          </cell>
          <cell r="X70">
            <v>12</v>
          </cell>
          <cell r="Y70">
            <v>8</v>
          </cell>
          <cell r="Z70">
            <v>4</v>
          </cell>
          <cell r="AC70">
            <v>8</v>
          </cell>
          <cell r="AD70">
            <v>5</v>
          </cell>
          <cell r="AE70">
            <v>3</v>
          </cell>
          <cell r="AF70">
            <v>12</v>
          </cell>
          <cell r="AG70">
            <v>12</v>
          </cell>
          <cell r="AH70">
            <v>0</v>
          </cell>
          <cell r="AK70">
            <v>62</v>
          </cell>
          <cell r="AL70">
            <v>18</v>
          </cell>
          <cell r="AM70">
            <v>44</v>
          </cell>
          <cell r="AN70">
            <v>44</v>
          </cell>
          <cell r="AO70">
            <v>1816</v>
          </cell>
          <cell r="AP70">
            <v>1135</v>
          </cell>
          <cell r="AQ70">
            <v>835.59999999999991</v>
          </cell>
          <cell r="AR70">
            <v>1816.6</v>
          </cell>
        </row>
        <row r="71">
          <cell r="F71">
            <v>0</v>
          </cell>
          <cell r="G71">
            <v>0</v>
          </cell>
          <cell r="H71">
            <v>0</v>
          </cell>
          <cell r="P71">
            <v>29</v>
          </cell>
          <cell r="S71">
            <v>143</v>
          </cell>
          <cell r="X71">
            <v>71</v>
          </cell>
          <cell r="Y71">
            <v>46</v>
          </cell>
          <cell r="Z71">
            <v>25</v>
          </cell>
          <cell r="AC71">
            <v>49</v>
          </cell>
          <cell r="AD71">
            <v>29</v>
          </cell>
          <cell r="AE71">
            <v>20</v>
          </cell>
          <cell r="AF71">
            <v>72</v>
          </cell>
          <cell r="AG71">
            <v>72</v>
          </cell>
          <cell r="AH71">
            <v>0</v>
          </cell>
          <cell r="AK71">
            <v>364</v>
          </cell>
          <cell r="AL71">
            <v>104</v>
          </cell>
          <cell r="AM71">
            <v>260</v>
          </cell>
          <cell r="AN71">
            <v>260</v>
          </cell>
        </row>
        <row r="72">
          <cell r="F72">
            <v>0</v>
          </cell>
          <cell r="G72">
            <v>0</v>
          </cell>
          <cell r="H72">
            <v>0</v>
          </cell>
          <cell r="P72">
            <v>5</v>
          </cell>
          <cell r="S72">
            <v>23</v>
          </cell>
          <cell r="X72">
            <v>0</v>
          </cell>
          <cell r="Y72">
            <v>9</v>
          </cell>
          <cell r="Z72">
            <v>4</v>
          </cell>
          <cell r="AC72">
            <v>0</v>
          </cell>
          <cell r="AD72">
            <v>6</v>
          </cell>
          <cell r="AE72">
            <v>2</v>
          </cell>
          <cell r="AF72">
            <v>0</v>
          </cell>
          <cell r="AG72">
            <v>0</v>
          </cell>
          <cell r="AH72">
            <v>0</v>
          </cell>
          <cell r="AK72">
            <v>0</v>
          </cell>
          <cell r="AL72">
            <v>0</v>
          </cell>
          <cell r="AM72">
            <v>0</v>
          </cell>
          <cell r="AN72">
            <v>0</v>
          </cell>
        </row>
        <row r="73">
          <cell r="F73">
            <v>0</v>
          </cell>
          <cell r="G73">
            <v>0</v>
          </cell>
          <cell r="H73">
            <v>0</v>
          </cell>
          <cell r="P73">
            <v>810</v>
          </cell>
          <cell r="S73">
            <v>1487</v>
          </cell>
          <cell r="X73">
            <v>2754</v>
          </cell>
          <cell r="Y73">
            <v>1801</v>
          </cell>
          <cell r="Z73">
            <v>953</v>
          </cell>
          <cell r="AC73">
            <v>1364</v>
          </cell>
          <cell r="AD73">
            <v>809</v>
          </cell>
          <cell r="AE73">
            <v>555</v>
          </cell>
          <cell r="AF73">
            <v>1173</v>
          </cell>
          <cell r="AG73">
            <v>1100</v>
          </cell>
          <cell r="AH73">
            <v>73</v>
          </cell>
          <cell r="AK73">
            <v>7515</v>
          </cell>
          <cell r="AL73">
            <v>3420</v>
          </cell>
          <cell r="AM73">
            <v>4095</v>
          </cell>
          <cell r="AN73">
            <v>4095</v>
          </cell>
        </row>
        <row r="74">
          <cell r="F74">
            <v>0</v>
          </cell>
          <cell r="G74">
            <v>0</v>
          </cell>
          <cell r="P74">
            <v>0</v>
          </cell>
          <cell r="S74">
            <v>0</v>
          </cell>
          <cell r="X74">
            <v>0</v>
          </cell>
          <cell r="Z74">
            <v>0</v>
          </cell>
          <cell r="AC74">
            <v>0</v>
          </cell>
          <cell r="AD74">
            <v>0</v>
          </cell>
          <cell r="AE74">
            <v>0</v>
          </cell>
          <cell r="AF74">
            <v>0</v>
          </cell>
          <cell r="AG74">
            <v>0</v>
          </cell>
          <cell r="AH74">
            <v>0</v>
          </cell>
          <cell r="AK74">
            <v>0</v>
          </cell>
          <cell r="AL74">
            <v>0</v>
          </cell>
          <cell r="AM74">
            <v>0</v>
          </cell>
          <cell r="AN74">
            <v>0</v>
          </cell>
        </row>
        <row r="75">
          <cell r="F75">
            <v>1689</v>
          </cell>
          <cell r="G75">
            <v>660</v>
          </cell>
          <cell r="H75">
            <v>1029</v>
          </cell>
          <cell r="P75">
            <v>91.666666666666671</v>
          </cell>
          <cell r="S75">
            <v>425.33333333333337</v>
          </cell>
          <cell r="T75">
            <v>100.54</v>
          </cell>
          <cell r="U75">
            <v>324.79333333333335</v>
          </cell>
          <cell r="X75">
            <v>97.666666666666671</v>
          </cell>
          <cell r="Y75">
            <v>64</v>
          </cell>
          <cell r="Z75">
            <v>33.666666666666671</v>
          </cell>
          <cell r="AC75">
            <v>85.333333333333343</v>
          </cell>
          <cell r="AD75">
            <v>51</v>
          </cell>
          <cell r="AE75">
            <v>34.333333333333343</v>
          </cell>
          <cell r="AF75">
            <v>226.33333333333331</v>
          </cell>
          <cell r="AG75">
            <v>173</v>
          </cell>
          <cell r="AH75">
            <v>53.333333333333314</v>
          </cell>
          <cell r="AI75">
            <v>59.2</v>
          </cell>
          <cell r="AK75">
            <v>2997</v>
          </cell>
          <cell r="AL75">
            <v>1075.6666666666665</v>
          </cell>
          <cell r="AM75">
            <v>1921.3333333333335</v>
          </cell>
          <cell r="AN75">
            <v>1921.3333333333335</v>
          </cell>
          <cell r="AO75">
            <v>115</v>
          </cell>
          <cell r="AP75">
            <v>213</v>
          </cell>
          <cell r="AQ75">
            <v>960.66666666666652</v>
          </cell>
          <cell r="AR75">
            <v>1708.3333333333335</v>
          </cell>
        </row>
        <row r="76">
          <cell r="F76">
            <v>83</v>
          </cell>
          <cell r="G76">
            <v>32</v>
          </cell>
          <cell r="H76">
            <v>51</v>
          </cell>
          <cell r="P76">
            <v>289</v>
          </cell>
          <cell r="S76">
            <v>1765.45</v>
          </cell>
          <cell r="T76">
            <v>0</v>
          </cell>
          <cell r="U76">
            <v>0</v>
          </cell>
          <cell r="X76">
            <v>0</v>
          </cell>
          <cell r="Y76">
            <v>0</v>
          </cell>
          <cell r="Z76">
            <v>0</v>
          </cell>
          <cell r="AC76">
            <v>0</v>
          </cell>
          <cell r="AD76">
            <v>0</v>
          </cell>
          <cell r="AE76">
            <v>0</v>
          </cell>
          <cell r="AH76">
            <v>0</v>
          </cell>
          <cell r="AK76">
            <v>83</v>
          </cell>
          <cell r="AL76">
            <v>32</v>
          </cell>
          <cell r="AM76">
            <v>51</v>
          </cell>
          <cell r="AN76">
            <v>51</v>
          </cell>
          <cell r="AO76">
            <v>0</v>
          </cell>
          <cell r="AP76">
            <v>0</v>
          </cell>
          <cell r="AQ76">
            <v>32</v>
          </cell>
          <cell r="AR76">
            <v>51</v>
          </cell>
        </row>
        <row r="77">
          <cell r="F77">
            <v>1606</v>
          </cell>
          <cell r="G77">
            <v>628</v>
          </cell>
          <cell r="H77">
            <v>978</v>
          </cell>
          <cell r="P77">
            <v>91.666666666666671</v>
          </cell>
          <cell r="S77">
            <v>425.33333333333337</v>
          </cell>
          <cell r="T77">
            <v>100.54</v>
          </cell>
          <cell r="U77">
            <v>324.79333333333335</v>
          </cell>
          <cell r="X77">
            <v>97.666666666666671</v>
          </cell>
          <cell r="Y77">
            <v>64</v>
          </cell>
          <cell r="Z77">
            <v>33.666666666666671</v>
          </cell>
          <cell r="AC77">
            <v>85.333333333333343</v>
          </cell>
          <cell r="AD77">
            <v>51</v>
          </cell>
          <cell r="AE77">
            <v>34.333333333333343</v>
          </cell>
          <cell r="AF77">
            <v>226.33333333333331</v>
          </cell>
          <cell r="AG77">
            <v>172.4</v>
          </cell>
          <cell r="AH77">
            <v>53.933333333333309</v>
          </cell>
          <cell r="AI77">
            <v>59</v>
          </cell>
          <cell r="AK77">
            <v>2913.4</v>
          </cell>
          <cell r="AL77">
            <v>1043.6666666666665</v>
          </cell>
          <cell r="AM77">
            <v>1869.7333333333336</v>
          </cell>
          <cell r="AN77">
            <v>1869.7333333333336</v>
          </cell>
          <cell r="AO77">
            <v>115</v>
          </cell>
          <cell r="AP77">
            <v>213</v>
          </cell>
          <cell r="AQ77">
            <v>928.66666666666652</v>
          </cell>
          <cell r="AR77">
            <v>1656.7333333333336</v>
          </cell>
        </row>
        <row r="78">
          <cell r="F78">
            <v>550</v>
          </cell>
          <cell r="G78">
            <v>215</v>
          </cell>
          <cell r="H78">
            <v>335</v>
          </cell>
          <cell r="P78">
            <v>66</v>
          </cell>
          <cell r="S78">
            <v>152.33333333333334</v>
          </cell>
          <cell r="T78">
            <v>100.54</v>
          </cell>
          <cell r="U78">
            <v>51.793333333333337</v>
          </cell>
          <cell r="X78">
            <v>54</v>
          </cell>
          <cell r="Y78">
            <v>35</v>
          </cell>
          <cell r="Z78">
            <v>19</v>
          </cell>
          <cell r="AC78">
            <v>40</v>
          </cell>
          <cell r="AD78">
            <v>51</v>
          </cell>
          <cell r="AE78">
            <v>-11</v>
          </cell>
          <cell r="AF78">
            <v>141</v>
          </cell>
          <cell r="AG78">
            <v>119</v>
          </cell>
          <cell r="AH78">
            <v>22</v>
          </cell>
          <cell r="AK78">
            <v>981.33333333333337</v>
          </cell>
          <cell r="AL78">
            <v>367</v>
          </cell>
          <cell r="AM78">
            <v>614.33333333333337</v>
          </cell>
          <cell r="AN78">
            <v>614.33333333333337</v>
          </cell>
          <cell r="AO78">
            <v>0</v>
          </cell>
          <cell r="AP78">
            <v>0</v>
          </cell>
          <cell r="AQ78">
            <v>71</v>
          </cell>
          <cell r="AR78">
            <v>614.33333333333337</v>
          </cell>
        </row>
        <row r="79">
          <cell r="F79">
            <v>2822</v>
          </cell>
          <cell r="G79">
            <v>0</v>
          </cell>
          <cell r="H79">
            <v>0</v>
          </cell>
          <cell r="P79">
            <v>0</v>
          </cell>
          <cell r="S79">
            <v>0</v>
          </cell>
          <cell r="T79">
            <v>85.458999999999975</v>
          </cell>
          <cell r="U79">
            <v>145.96600000000001</v>
          </cell>
          <cell r="X79">
            <v>98.11666666666666</v>
          </cell>
          <cell r="Y79">
            <v>70</v>
          </cell>
          <cell r="Z79">
            <v>28.11666666666666</v>
          </cell>
          <cell r="AC79">
            <v>63.466666666666669</v>
          </cell>
          <cell r="AD79">
            <v>45</v>
          </cell>
          <cell r="AE79">
            <v>18.466666666666669</v>
          </cell>
          <cell r="AF79">
            <v>193.38333333333335</v>
          </cell>
          <cell r="AG79">
            <v>176.29000000000002</v>
          </cell>
          <cell r="AH79">
            <v>17.093333333333334</v>
          </cell>
          <cell r="AK79">
            <v>364</v>
          </cell>
          <cell r="AL79">
            <v>206</v>
          </cell>
          <cell r="AM79">
            <v>158</v>
          </cell>
          <cell r="AN79">
            <v>158</v>
          </cell>
          <cell r="AO79">
            <v>115</v>
          </cell>
          <cell r="AP79">
            <v>125</v>
          </cell>
          <cell r="AQ79">
            <v>1656.8833333333332</v>
          </cell>
          <cell r="AR79">
            <v>158</v>
          </cell>
        </row>
        <row r="80">
          <cell r="F80">
            <v>42</v>
          </cell>
          <cell r="G80">
            <v>16</v>
          </cell>
          <cell r="H80">
            <v>26</v>
          </cell>
          <cell r="P80">
            <v>8.6666666666666661</v>
          </cell>
          <cell r="S80">
            <v>222.33333333333334</v>
          </cell>
          <cell r="T80">
            <v>85.458999999999975</v>
          </cell>
          <cell r="U80">
            <v>44.024333333333317</v>
          </cell>
          <cell r="X80">
            <v>18.666666666666668</v>
          </cell>
          <cell r="Y80">
            <v>44</v>
          </cell>
          <cell r="Z80">
            <v>17</v>
          </cell>
          <cell r="AC80">
            <v>13.333333333333334</v>
          </cell>
          <cell r="AD80">
            <v>14</v>
          </cell>
          <cell r="AE80">
            <v>10.649999999999999</v>
          </cell>
          <cell r="AF80">
            <v>45.666666666666664</v>
          </cell>
          <cell r="AG80">
            <v>27.4</v>
          </cell>
          <cell r="AH80">
            <v>18.266666666666666</v>
          </cell>
          <cell r="AI80">
            <v>18.600000000000001</v>
          </cell>
          <cell r="AK80">
            <v>332.4</v>
          </cell>
          <cell r="AL80">
            <v>24.666666666666664</v>
          </cell>
          <cell r="AM80">
            <v>307.73333333333329</v>
          </cell>
          <cell r="AN80">
            <v>275.73333333333335</v>
          </cell>
          <cell r="AR80">
            <v>653.13333333333344</v>
          </cell>
        </row>
        <row r="81">
          <cell r="F81">
            <v>1014</v>
          </cell>
          <cell r="G81">
            <v>396</v>
          </cell>
          <cell r="H81">
            <v>618</v>
          </cell>
          <cell r="P81">
            <v>17</v>
          </cell>
          <cell r="S81">
            <v>50.666666666666664</v>
          </cell>
          <cell r="X81">
            <v>25</v>
          </cell>
          <cell r="AC81">
            <v>32</v>
          </cell>
          <cell r="AF81">
            <v>39.666666666666664</v>
          </cell>
          <cell r="AG81">
            <v>26</v>
          </cell>
          <cell r="AH81">
            <v>13.666666666666664</v>
          </cell>
          <cell r="AI81">
            <v>15.3</v>
          </cell>
          <cell r="AK81">
            <v>1179.9666666666667</v>
          </cell>
          <cell r="AL81">
            <v>418.82193059521194</v>
          </cell>
          <cell r="AM81">
            <v>761.14473607145476</v>
          </cell>
          <cell r="AN81">
            <v>694.66666666666663</v>
          </cell>
          <cell r="AR81">
            <v>194</v>
          </cell>
        </row>
        <row r="82">
          <cell r="F82">
            <v>265</v>
          </cell>
          <cell r="G82">
            <v>0</v>
          </cell>
          <cell r="H82">
            <v>0</v>
          </cell>
          <cell r="P82">
            <v>7.0833333333333348</v>
          </cell>
          <cell r="S82">
            <v>72</v>
          </cell>
          <cell r="X82">
            <v>15.866666666666662</v>
          </cell>
          <cell r="AC82">
            <v>11.616666666666664</v>
          </cell>
          <cell r="AF82">
            <v>38.816666666666677</v>
          </cell>
          <cell r="AG82">
            <v>23.290000000000006</v>
          </cell>
          <cell r="AH82">
            <v>15.526666666666671</v>
          </cell>
          <cell r="AK82">
            <v>0</v>
          </cell>
          <cell r="AL82">
            <v>0</v>
          </cell>
          <cell r="AM82">
            <v>0</v>
          </cell>
          <cell r="AN82">
            <v>0</v>
          </cell>
        </row>
        <row r="83">
          <cell r="F83">
            <v>0</v>
          </cell>
          <cell r="G83">
            <v>0</v>
          </cell>
          <cell r="H83">
            <v>0</v>
          </cell>
          <cell r="P83">
            <v>8</v>
          </cell>
          <cell r="S83">
            <v>60</v>
          </cell>
          <cell r="X83">
            <v>0</v>
          </cell>
          <cell r="AC83">
            <v>2</v>
          </cell>
          <cell r="AF83">
            <v>47</v>
          </cell>
          <cell r="AG83">
            <v>47</v>
          </cell>
          <cell r="AH83">
            <v>0</v>
          </cell>
          <cell r="AK83">
            <v>117</v>
          </cell>
          <cell r="AL83">
            <v>8</v>
          </cell>
          <cell r="AM83">
            <v>109</v>
          </cell>
          <cell r="AN83">
            <v>107</v>
          </cell>
        </row>
        <row r="84">
          <cell r="F84">
            <v>3399.1</v>
          </cell>
          <cell r="G84">
            <v>1329</v>
          </cell>
          <cell r="H84">
            <v>2070.1</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50696.016363636365</v>
          </cell>
          <cell r="AL84">
            <v>23823.62</v>
          </cell>
          <cell r="AM84">
            <v>26872.396363636362</v>
          </cell>
          <cell r="AN84">
            <v>26871.396363636362</v>
          </cell>
          <cell r="AO84">
            <v>19380</v>
          </cell>
          <cell r="AP84">
            <v>16419</v>
          </cell>
          <cell r="AQ84">
            <v>4052.62</v>
          </cell>
          <cell r="AR84">
            <v>9718.3963636363642</v>
          </cell>
        </row>
        <row r="85">
          <cell r="F85">
            <v>504.1</v>
          </cell>
          <cell r="G85">
            <v>143</v>
          </cell>
          <cell r="H85">
            <v>224.10000000000002</v>
          </cell>
          <cell r="P85">
            <v>629.62000000000012</v>
          </cell>
          <cell r="Q85">
            <v>0</v>
          </cell>
          <cell r="R85">
            <v>0</v>
          </cell>
          <cell r="S85">
            <v>7.5</v>
          </cell>
          <cell r="T85">
            <v>452.808109090909</v>
          </cell>
          <cell r="U85">
            <v>471.29007272727262</v>
          </cell>
          <cell r="V85">
            <v>0</v>
          </cell>
          <cell r="W85">
            <v>0</v>
          </cell>
          <cell r="X85">
            <v>5</v>
          </cell>
          <cell r="Y85">
            <v>351</v>
          </cell>
          <cell r="Z85">
            <v>185.2</v>
          </cell>
          <cell r="AA85">
            <v>0</v>
          </cell>
          <cell r="AB85">
            <v>0</v>
          </cell>
          <cell r="AC85">
            <v>1.7</v>
          </cell>
          <cell r="AD85">
            <v>253</v>
          </cell>
          <cell r="AE85">
            <v>174.18</v>
          </cell>
          <cell r="AF85">
            <v>85</v>
          </cell>
          <cell r="AG85">
            <v>85</v>
          </cell>
          <cell r="AH85">
            <v>113.89272727272737</v>
          </cell>
          <cell r="AI85">
            <v>274</v>
          </cell>
          <cell r="AK85">
            <v>4652.1072727272731</v>
          </cell>
          <cell r="AL85">
            <v>1544.6200000000001</v>
          </cell>
          <cell r="AM85">
            <v>3107.4872727272732</v>
          </cell>
          <cell r="AN85">
            <v>664.48</v>
          </cell>
        </row>
        <row r="86">
          <cell r="F86">
            <v>4573</v>
          </cell>
          <cell r="G86">
            <v>2426</v>
          </cell>
          <cell r="H86">
            <v>2147</v>
          </cell>
          <cell r="P86">
            <v>2143.7866666666664</v>
          </cell>
          <cell r="Q86">
            <v>0</v>
          </cell>
          <cell r="R86">
            <v>0</v>
          </cell>
          <cell r="S86">
            <v>8033.9989393939386</v>
          </cell>
          <cell r="T86">
            <v>5158.0368969696974</v>
          </cell>
          <cell r="U86">
            <v>2874.9620424242421</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23824.62</v>
          </cell>
          <cell r="AM86">
            <v>22746.654999999999</v>
          </cell>
          <cell r="AN86">
            <v>0</v>
          </cell>
          <cell r="AO86">
            <v>20189</v>
          </cell>
          <cell r="AP86">
            <v>12601</v>
          </cell>
          <cell r="AQ86">
            <v>4508.7866666666669</v>
          </cell>
          <cell r="AR86">
            <v>9356.6550000000025</v>
          </cell>
        </row>
        <row r="87">
          <cell r="F87">
            <v>7538</v>
          </cell>
          <cell r="G87">
            <v>7538</v>
          </cell>
          <cell r="H87">
            <v>223</v>
          </cell>
          <cell r="P87">
            <v>633.5200000000001</v>
          </cell>
          <cell r="Q87">
            <v>0</v>
          </cell>
          <cell r="R87">
            <v>0</v>
          </cell>
          <cell r="T87">
            <v>477.82706363636368</v>
          </cell>
          <cell r="U87">
            <v>497.33020909090914</v>
          </cell>
          <cell r="V87">
            <v>0</v>
          </cell>
          <cell r="W87">
            <v>0</v>
          </cell>
          <cell r="Y87">
            <v>389</v>
          </cell>
          <cell r="Z87">
            <v>153.15</v>
          </cell>
          <cell r="AA87">
            <v>0</v>
          </cell>
          <cell r="AB87">
            <v>0</v>
          </cell>
          <cell r="AD87">
            <v>314</v>
          </cell>
          <cell r="AE87">
            <v>126.86000000000001</v>
          </cell>
          <cell r="AH87">
            <v>109.07000000000016</v>
          </cell>
          <cell r="AK87">
            <v>7538</v>
          </cell>
          <cell r="AL87">
            <v>7538</v>
          </cell>
          <cell r="AM87">
            <v>0</v>
          </cell>
          <cell r="AN87">
            <v>0</v>
          </cell>
          <cell r="AO87">
            <v>0</v>
          </cell>
          <cell r="AP87">
            <v>0</v>
          </cell>
          <cell r="AQ87">
            <v>0</v>
          </cell>
          <cell r="AR87">
            <v>0</v>
          </cell>
        </row>
        <row r="88">
          <cell r="F88">
            <v>10937.1</v>
          </cell>
          <cell r="G88">
            <v>8867</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31361.62</v>
          </cell>
          <cell r="AM88">
            <v>26872.396363636362</v>
          </cell>
          <cell r="AN88">
            <v>26871.396363636362</v>
          </cell>
          <cell r="AO88">
            <v>19380</v>
          </cell>
          <cell r="AP88">
            <v>16419</v>
          </cell>
          <cell r="AQ88">
            <v>4052.62</v>
          </cell>
          <cell r="AR88">
            <v>9718.3963636363642</v>
          </cell>
        </row>
        <row r="89">
          <cell r="F89">
            <v>0</v>
          </cell>
          <cell r="G89">
            <v>0</v>
          </cell>
          <cell r="H89">
            <v>0</v>
          </cell>
          <cell r="AH89">
            <v>0</v>
          </cell>
          <cell r="AK89">
            <v>4189</v>
          </cell>
          <cell r="AL89">
            <v>4189</v>
          </cell>
          <cell r="AM89">
            <v>0</v>
          </cell>
          <cell r="AN89">
            <v>0</v>
          </cell>
          <cell r="AO89">
            <v>0</v>
          </cell>
          <cell r="AP89">
            <v>0</v>
          </cell>
          <cell r="AQ89">
            <v>0</v>
          </cell>
          <cell r="AR89">
            <v>-1</v>
          </cell>
        </row>
        <row r="90">
          <cell r="F90">
            <v>479</v>
          </cell>
          <cell r="G90">
            <v>378</v>
          </cell>
          <cell r="H90">
            <v>101</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0</v>
          </cell>
          <cell r="AK90">
            <v>479</v>
          </cell>
          <cell r="AL90">
            <v>378</v>
          </cell>
          <cell r="AM90">
            <v>101</v>
          </cell>
          <cell r="AN90">
            <v>101</v>
          </cell>
          <cell r="AO90">
            <v>0</v>
          </cell>
          <cell r="AP90">
            <v>0</v>
          </cell>
          <cell r="AQ90">
            <v>24.045096781680069</v>
          </cell>
          <cell r="AR90">
            <v>16.190126715398556</v>
          </cell>
        </row>
        <row r="91">
          <cell r="F91">
            <v>127</v>
          </cell>
          <cell r="G91">
            <v>70.766579973992179</v>
          </cell>
          <cell r="H91">
            <v>56.233420026007821</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56.233420026007821</v>
          </cell>
          <cell r="AN91">
            <v>56.233420026007821</v>
          </cell>
          <cell r="AO91">
            <v>0</v>
          </cell>
          <cell r="AP91">
            <v>0</v>
          </cell>
          <cell r="AQ91">
            <v>0</v>
          </cell>
          <cell r="AR91">
            <v>0</v>
          </cell>
        </row>
        <row r="92">
          <cell r="F92">
            <v>19</v>
          </cell>
          <cell r="G92">
            <v>10.58712613784135</v>
          </cell>
          <cell r="H92">
            <v>8.4128738621586496</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153.66666666666666</v>
          </cell>
          <cell r="AL92">
            <v>111.58712613784135</v>
          </cell>
          <cell r="AM92">
            <v>42.079540528825305</v>
          </cell>
          <cell r="AN92">
            <v>42.079540528825319</v>
          </cell>
          <cell r="AO92">
            <v>35</v>
          </cell>
          <cell r="AP92">
            <v>21</v>
          </cell>
          <cell r="AQ92">
            <v>76.587126137841352</v>
          </cell>
          <cell r="AR92">
            <v>21.079540528825305</v>
          </cell>
        </row>
        <row r="93">
          <cell r="F93">
            <v>67</v>
          </cell>
          <cell r="G93">
            <v>42.401178010471199</v>
          </cell>
          <cell r="H93">
            <v>24.598821989528801</v>
          </cell>
          <cell r="S93">
            <v>0</v>
          </cell>
          <cell r="T93">
            <v>0</v>
          </cell>
          <cell r="U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0</v>
          </cell>
          <cell r="AO93">
            <v>0</v>
          </cell>
          <cell r="AP93">
            <v>0</v>
          </cell>
          <cell r="AQ93">
            <v>0</v>
          </cell>
          <cell r="AR93">
            <v>0</v>
          </cell>
        </row>
        <row r="94">
          <cell r="F94">
            <v>11</v>
          </cell>
          <cell r="G94">
            <v>6.9613874345549736</v>
          </cell>
          <cell r="H94">
            <v>4.0386125654450264</v>
          </cell>
          <cell r="P94">
            <v>1</v>
          </cell>
          <cell r="S94">
            <v>81</v>
          </cell>
          <cell r="X94">
            <v>172</v>
          </cell>
          <cell r="Y94">
            <v>124</v>
          </cell>
          <cell r="Z94">
            <v>48</v>
          </cell>
          <cell r="AC94">
            <v>261</v>
          </cell>
          <cell r="AD94">
            <v>186</v>
          </cell>
          <cell r="AE94">
            <v>75</v>
          </cell>
          <cell r="AF94">
            <v>58</v>
          </cell>
          <cell r="AG94">
            <v>13</v>
          </cell>
          <cell r="AH94">
            <v>0</v>
          </cell>
          <cell r="AK94">
            <v>539</v>
          </cell>
          <cell r="AL94">
            <v>317.96138743455498</v>
          </cell>
          <cell r="AM94">
            <v>221.03861256544502</v>
          </cell>
          <cell r="AN94">
            <v>0</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27070.709324191201</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15622.709324191197</v>
          </cell>
          <cell r="AO96">
            <v>4990</v>
          </cell>
          <cell r="AP96">
            <v>4992</v>
          </cell>
          <cell r="AQ96">
            <v>4153.252222919521</v>
          </cell>
          <cell r="AR96">
            <v>9754.6660308805876</v>
          </cell>
        </row>
        <row r="97">
          <cell r="F97">
            <v>850</v>
          </cell>
          <cell r="G97">
            <v>11562.099999999999</v>
          </cell>
          <cell r="H97">
            <v>2263.6374345549739</v>
          </cell>
          <cell r="P97">
            <v>689</v>
          </cell>
          <cell r="Q97">
            <v>0</v>
          </cell>
          <cell r="R97">
            <v>0</v>
          </cell>
          <cell r="S97">
            <v>2408</v>
          </cell>
          <cell r="T97">
            <v>5158.0368969696974</v>
          </cell>
          <cell r="U97">
            <v>2874.9620424242421</v>
          </cell>
          <cell r="V97">
            <v>0</v>
          </cell>
          <cell r="W97">
            <v>0</v>
          </cell>
          <cell r="X97">
            <v>218</v>
          </cell>
          <cell r="Y97">
            <v>17514.503030303029</v>
          </cell>
          <cell r="Z97">
            <v>4504.2409090909096</v>
          </cell>
          <cell r="AA97">
            <v>0</v>
          </cell>
          <cell r="AB97">
            <v>0</v>
          </cell>
          <cell r="AC97">
            <v>195</v>
          </cell>
          <cell r="AD97">
            <v>13622.695151515152</v>
          </cell>
          <cell r="AE97">
            <v>3712.8751515151521</v>
          </cell>
          <cell r="AF97">
            <v>400</v>
          </cell>
          <cell r="AG97">
            <v>400</v>
          </cell>
          <cell r="AH97">
            <v>0</v>
          </cell>
          <cell r="AI97">
            <v>54.400000000000006</v>
          </cell>
          <cell r="AJ97">
            <v>0</v>
          </cell>
          <cell r="AK97">
            <v>4914.3999999999996</v>
          </cell>
          <cell r="AL97">
            <v>59776.883030303026</v>
          </cell>
          <cell r="AM97">
            <v>23080.292434554973</v>
          </cell>
          <cell r="AN97">
            <v>23081.292434554976</v>
          </cell>
          <cell r="AO97">
            <v>20499</v>
          </cell>
          <cell r="AP97">
            <v>12746</v>
          </cell>
          <cell r="AQ97">
            <v>4539.1670630816652</v>
          </cell>
          <cell r="AR97">
            <v>9446.6320413742123</v>
          </cell>
        </row>
        <row r="98">
          <cell r="F98">
            <v>0</v>
          </cell>
          <cell r="G98">
            <v>2806.3625654450261</v>
          </cell>
          <cell r="H98">
            <v>2263.6374345549739</v>
          </cell>
          <cell r="P98">
            <v>689</v>
          </cell>
          <cell r="Q98">
            <v>0</v>
          </cell>
          <cell r="R98">
            <v>0</v>
          </cell>
          <cell r="S98">
            <v>2348</v>
          </cell>
          <cell r="T98">
            <v>2213.0368969696974</v>
          </cell>
          <cell r="U98">
            <v>2874.9620424242421</v>
          </cell>
          <cell r="V98">
            <v>0</v>
          </cell>
          <cell r="W98">
            <v>0</v>
          </cell>
          <cell r="X98">
            <v>218</v>
          </cell>
          <cell r="Y98">
            <v>2602</v>
          </cell>
          <cell r="Z98">
            <v>1023.2409090909096</v>
          </cell>
          <cell r="AA98">
            <v>0</v>
          </cell>
          <cell r="AB98">
            <v>0</v>
          </cell>
          <cell r="AC98">
            <v>195</v>
          </cell>
          <cell r="AD98">
            <v>1785</v>
          </cell>
          <cell r="AE98">
            <v>724.87515151515208</v>
          </cell>
          <cell r="AF98">
            <v>400</v>
          </cell>
          <cell r="AG98">
            <v>400</v>
          </cell>
          <cell r="AH98">
            <v>0</v>
          </cell>
          <cell r="AI98">
            <v>54.400000000000006</v>
          </cell>
          <cell r="AK98">
            <v>3914.4</v>
          </cell>
          <cell r="AL98">
            <v>58993.683030303029</v>
          </cell>
          <cell r="AM98">
            <v>31922.973706111836</v>
          </cell>
          <cell r="AN98">
            <v>13667.292434554976</v>
          </cell>
          <cell r="AO98">
            <v>4252</v>
          </cell>
          <cell r="AP98">
            <v>3332</v>
          </cell>
          <cell r="AQ98">
            <v>4539.1670630816652</v>
          </cell>
          <cell r="AR98">
            <v>9446.6320413742123</v>
          </cell>
        </row>
        <row r="99">
          <cell r="F99">
            <v>0</v>
          </cell>
          <cell r="P99">
            <v>0</v>
          </cell>
          <cell r="S99">
            <v>1948.2</v>
          </cell>
          <cell r="X99">
            <v>0</v>
          </cell>
          <cell r="Y99">
            <v>15984.24090909091</v>
          </cell>
          <cell r="AC99">
            <v>229.5</v>
          </cell>
          <cell r="AD99">
            <v>12866.875151515153</v>
          </cell>
          <cell r="AF99">
            <v>202.29999999999998</v>
          </cell>
          <cell r="AG99">
            <v>119</v>
          </cell>
          <cell r="AH99">
            <v>83.299999999999983</v>
          </cell>
          <cell r="AK99">
            <v>0</v>
          </cell>
          <cell r="AL99">
            <v>53480.441666666673</v>
          </cell>
        </row>
        <row r="100">
          <cell r="F100">
            <v>850</v>
          </cell>
          <cell r="P100">
            <v>0</v>
          </cell>
          <cell r="S100">
            <v>60</v>
          </cell>
          <cell r="X100">
            <v>0</v>
          </cell>
          <cell r="AC100">
            <v>0</v>
          </cell>
          <cell r="AF100">
            <v>0</v>
          </cell>
          <cell r="AG100">
            <v>0</v>
          </cell>
          <cell r="AH100">
            <v>0</v>
          </cell>
          <cell r="AI100">
            <v>0</v>
          </cell>
          <cell r="AK100">
            <v>1000</v>
          </cell>
          <cell r="AL100">
            <v>53480.441666666666</v>
          </cell>
          <cell r="AM100">
            <v>30399.149232111693</v>
          </cell>
        </row>
        <row r="101">
          <cell r="F101">
            <v>0</v>
          </cell>
          <cell r="P101">
            <v>0</v>
          </cell>
          <cell r="S101">
            <v>0</v>
          </cell>
          <cell r="X101">
            <v>9</v>
          </cell>
          <cell r="AK101">
            <v>287</v>
          </cell>
        </row>
        <row r="102">
          <cell r="F102">
            <v>0</v>
          </cell>
          <cell r="P102">
            <v>344.5</v>
          </cell>
          <cell r="S102">
            <v>0</v>
          </cell>
          <cell r="X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X105">
            <v>0</v>
          </cell>
          <cell r="AK105">
            <v>0</v>
          </cell>
        </row>
        <row r="106">
          <cell r="F106">
            <v>850</v>
          </cell>
          <cell r="P106">
            <v>0</v>
          </cell>
          <cell r="S106">
            <v>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850</v>
          </cell>
        </row>
        <row r="108">
          <cell r="F108">
            <v>0</v>
          </cell>
          <cell r="P108">
            <v>0</v>
          </cell>
          <cell r="S108">
            <v>0</v>
          </cell>
          <cell r="AC108">
            <v>0</v>
          </cell>
          <cell r="AF108">
            <v>0</v>
          </cell>
          <cell r="AG108">
            <v>0</v>
          </cell>
          <cell r="AH108">
            <v>0</v>
          </cell>
          <cell r="AI108">
            <v>0</v>
          </cell>
          <cell r="AK108">
            <v>0</v>
          </cell>
        </row>
        <row r="109">
          <cell r="F109">
            <v>0</v>
          </cell>
          <cell r="P109">
            <v>0</v>
          </cell>
          <cell r="S109">
            <v>0</v>
          </cell>
          <cell r="X109">
            <v>0</v>
          </cell>
          <cell r="AC109">
            <v>0</v>
          </cell>
          <cell r="AF109">
            <v>0</v>
          </cell>
          <cell r="AG109">
            <v>0</v>
          </cell>
          <cell r="AH109">
            <v>0</v>
          </cell>
          <cell r="AK109">
            <v>0</v>
          </cell>
        </row>
        <row r="110">
          <cell r="F110">
            <v>0</v>
          </cell>
          <cell r="P110">
            <v>0</v>
          </cell>
          <cell r="S110">
            <v>60</v>
          </cell>
          <cell r="X110">
            <v>0</v>
          </cell>
          <cell r="AC110">
            <v>0</v>
          </cell>
          <cell r="AF110">
            <v>0</v>
          </cell>
          <cell r="AG110">
            <v>0</v>
          </cell>
          <cell r="AH110">
            <v>0</v>
          </cell>
          <cell r="AI110">
            <v>64</v>
          </cell>
          <cell r="AK110">
            <v>124</v>
          </cell>
        </row>
        <row r="111">
          <cell r="F111">
            <v>0</v>
          </cell>
          <cell r="P111">
            <v>0</v>
          </cell>
          <cell r="S111">
            <v>60</v>
          </cell>
          <cell r="AC111">
            <v>0</v>
          </cell>
          <cell r="AF111">
            <v>0</v>
          </cell>
          <cell r="AG111">
            <v>0</v>
          </cell>
          <cell r="AH111">
            <v>0</v>
          </cell>
          <cell r="AI111">
            <v>64</v>
          </cell>
          <cell r="AK111">
            <v>124</v>
          </cell>
        </row>
        <row r="112">
          <cell r="F112">
            <v>0</v>
          </cell>
          <cell r="P112">
            <v>0</v>
          </cell>
          <cell r="S112">
            <v>0</v>
          </cell>
          <cell r="X112">
            <v>0</v>
          </cell>
          <cell r="AC112">
            <v>0</v>
          </cell>
          <cell r="AF112">
            <v>0</v>
          </cell>
          <cell r="AG112">
            <v>0</v>
          </cell>
          <cell r="AH112">
            <v>0</v>
          </cell>
          <cell r="AK112">
            <v>0</v>
          </cell>
        </row>
        <row r="113">
          <cell r="F113">
            <v>0</v>
          </cell>
          <cell r="P113">
            <v>0</v>
          </cell>
          <cell r="S113">
            <v>0</v>
          </cell>
          <cell r="X113">
            <v>0</v>
          </cell>
          <cell r="AC113">
            <v>0</v>
          </cell>
          <cell r="AF113">
            <v>0</v>
          </cell>
          <cell r="AG113">
            <v>0</v>
          </cell>
          <cell r="AH113">
            <v>0</v>
          </cell>
          <cell r="AK113">
            <v>0</v>
          </cell>
          <cell r="AM113">
            <v>0</v>
          </cell>
        </row>
        <row r="114">
          <cell r="F114">
            <v>0</v>
          </cell>
          <cell r="P114">
            <v>0</v>
          </cell>
          <cell r="S114">
            <v>0</v>
          </cell>
          <cell r="AC114">
            <v>0</v>
          </cell>
          <cell r="AF114">
            <v>0</v>
          </cell>
          <cell r="AG114">
            <v>0</v>
          </cell>
          <cell r="AH114">
            <v>0</v>
          </cell>
          <cell r="AK114">
            <v>0</v>
          </cell>
        </row>
        <row r="115">
          <cell r="F115">
            <v>0</v>
          </cell>
          <cell r="P115">
            <v>0</v>
          </cell>
          <cell r="S115">
            <v>0</v>
          </cell>
          <cell r="X115">
            <v>0</v>
          </cell>
          <cell r="AC115">
            <v>0</v>
          </cell>
          <cell r="AF115">
            <v>0</v>
          </cell>
          <cell r="AG115">
            <v>0</v>
          </cell>
          <cell r="AH115">
            <v>0</v>
          </cell>
          <cell r="AK115">
            <v>0</v>
          </cell>
          <cell r="AL115">
            <v>0</v>
          </cell>
          <cell r="AM115">
            <v>0</v>
          </cell>
        </row>
        <row r="116">
          <cell r="F116">
            <v>0</v>
          </cell>
          <cell r="P116">
            <v>0</v>
          </cell>
          <cell r="S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C118">
            <v>0</v>
          </cell>
          <cell r="AG118">
            <v>0</v>
          </cell>
          <cell r="AH118">
            <v>0</v>
          </cell>
          <cell r="AK118">
            <v>0</v>
          </cell>
          <cell r="AL118">
            <v>0</v>
          </cell>
          <cell r="AM118">
            <v>0</v>
          </cell>
        </row>
        <row r="119">
          <cell r="F119">
            <v>700</v>
          </cell>
          <cell r="P119">
            <v>0</v>
          </cell>
          <cell r="S119">
            <v>0</v>
          </cell>
          <cell r="AC119">
            <v>0</v>
          </cell>
          <cell r="AG119">
            <v>0</v>
          </cell>
          <cell r="AH119">
            <v>0</v>
          </cell>
          <cell r="AK119">
            <v>700</v>
          </cell>
        </row>
        <row r="120">
          <cell r="F120">
            <v>1000</v>
          </cell>
          <cell r="P120">
            <v>0</v>
          </cell>
          <cell r="S120">
            <v>0</v>
          </cell>
          <cell r="X120">
            <v>0</v>
          </cell>
          <cell r="AC120">
            <v>0</v>
          </cell>
          <cell r="AF120">
            <v>0</v>
          </cell>
          <cell r="AG120">
            <v>0</v>
          </cell>
          <cell r="AH120">
            <v>0</v>
          </cell>
          <cell r="AK120">
            <v>1000</v>
          </cell>
        </row>
        <row r="121">
          <cell r="F121">
            <v>3500</v>
          </cell>
          <cell r="P121">
            <v>0</v>
          </cell>
          <cell r="S121">
            <v>0</v>
          </cell>
          <cell r="X121">
            <v>0</v>
          </cell>
          <cell r="AC121">
            <v>0</v>
          </cell>
          <cell r="AG121">
            <v>0</v>
          </cell>
          <cell r="AH121">
            <v>0</v>
          </cell>
          <cell r="AK121">
            <v>3500</v>
          </cell>
        </row>
        <row r="122">
          <cell r="F122">
            <v>595</v>
          </cell>
          <cell r="AK122">
            <v>0</v>
          </cell>
        </row>
        <row r="123">
          <cell r="S123">
            <v>0</v>
          </cell>
          <cell r="X123">
            <v>0</v>
          </cell>
          <cell r="AF123">
            <v>0</v>
          </cell>
          <cell r="AK123">
            <v>0</v>
          </cell>
          <cell r="AL123">
            <v>-13345.80312121212</v>
          </cell>
        </row>
        <row r="124">
          <cell r="F124">
            <v>0</v>
          </cell>
          <cell r="AK124">
            <v>0</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6174</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6174</v>
          </cell>
          <cell r="AL126">
            <v>-13112.934166666666</v>
          </cell>
        </row>
        <row r="127">
          <cell r="F127">
            <v>0</v>
          </cell>
          <cell r="AK127">
            <v>-7171.8031212121205</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-7171.8031212121205</v>
          </cell>
          <cell r="AO128">
            <v>0</v>
          </cell>
          <cell r="AP128">
            <v>0</v>
          </cell>
          <cell r="AQ128">
            <v>0</v>
          </cell>
          <cell r="AR128">
            <v>0</v>
          </cell>
        </row>
        <row r="129">
          <cell r="F129">
            <v>3863</v>
          </cell>
          <cell r="G129">
            <v>0</v>
          </cell>
          <cell r="H129">
            <v>0</v>
          </cell>
          <cell r="P129">
            <v>689</v>
          </cell>
          <cell r="S129">
            <v>2798.4</v>
          </cell>
          <cell r="X129">
            <v>0</v>
          </cell>
          <cell r="Y129">
            <v>0</v>
          </cell>
          <cell r="Z129">
            <v>0</v>
          </cell>
          <cell r="AC129">
            <v>0</v>
          </cell>
          <cell r="AD129">
            <v>0</v>
          </cell>
          <cell r="AE129">
            <v>0</v>
          </cell>
          <cell r="AF129">
            <v>0.29999999999998295</v>
          </cell>
          <cell r="AG129">
            <v>0</v>
          </cell>
          <cell r="AH129">
            <v>83.299999999999983</v>
          </cell>
          <cell r="AK129">
            <v>-10245.433030303029</v>
          </cell>
          <cell r="AL129">
            <v>5888.0262938881679</v>
          </cell>
          <cell r="AM129">
            <v>-16998.709324191197</v>
          </cell>
        </row>
        <row r="130">
          <cell r="AK130">
            <v>-7506.2341666666662</v>
          </cell>
          <cell r="AL130">
            <v>5716.7</v>
          </cell>
        </row>
        <row r="131">
          <cell r="AK131">
            <v>-3073.6299090909088</v>
          </cell>
          <cell r="AO131">
            <v>0</v>
          </cell>
        </row>
        <row r="132">
          <cell r="AK132">
            <v>-10723.191666666666</v>
          </cell>
          <cell r="AL132">
            <v>2697.850767888307</v>
          </cell>
          <cell r="AM132">
            <v>-14286.292434554973</v>
          </cell>
        </row>
        <row r="134">
          <cell r="AK134">
            <v>10073</v>
          </cell>
          <cell r="AM134">
            <v>10073</v>
          </cell>
          <cell r="AO134">
            <v>0</v>
          </cell>
          <cell r="AQ134">
            <v>0</v>
          </cell>
        </row>
        <row r="135">
          <cell r="AK135">
            <v>-16998.709324191197</v>
          </cell>
          <cell r="AO135">
            <v>0</v>
          </cell>
        </row>
        <row r="136">
          <cell r="AK136">
            <v>6.38</v>
          </cell>
          <cell r="AO136" t="e">
            <v>#DIV/0!</v>
          </cell>
        </row>
        <row r="137">
          <cell r="AK137">
            <v>17.13</v>
          </cell>
          <cell r="AM137">
            <v>8794</v>
          </cell>
          <cell r="AO137" t="e">
            <v>#DIV/0!</v>
          </cell>
          <cell r="AQ137">
            <v>0</v>
          </cell>
        </row>
        <row r="138">
          <cell r="AK138">
            <v>0</v>
          </cell>
          <cell r="AO138">
            <v>0</v>
          </cell>
        </row>
        <row r="139">
          <cell r="AK139">
            <v>5.57</v>
          </cell>
          <cell r="AO139" t="e">
            <v>#DIV/0!</v>
          </cell>
        </row>
        <row r="140">
          <cell r="AK140">
            <v>9.56</v>
          </cell>
          <cell r="AO140" t="e">
            <v>#DIV/0!</v>
          </cell>
        </row>
        <row r="141">
          <cell r="AK141">
            <v>0</v>
          </cell>
          <cell r="AO141">
            <v>0</v>
          </cell>
        </row>
        <row r="142">
          <cell r="AJ142">
            <v>0</v>
          </cell>
          <cell r="AK142">
            <v>8.07</v>
          </cell>
          <cell r="AO142" t="e">
            <v>#DIV/0!</v>
          </cell>
        </row>
        <row r="143">
          <cell r="AK143">
            <v>37810</v>
          </cell>
          <cell r="AL143">
            <v>37810</v>
          </cell>
          <cell r="AO143" t="e">
            <v>#DIV/0!</v>
          </cell>
        </row>
        <row r="145">
          <cell r="AJ145">
            <v>300</v>
          </cell>
          <cell r="AK145">
            <v>7.68</v>
          </cell>
          <cell r="AO145" t="e">
            <v>#DIV/0!</v>
          </cell>
        </row>
        <row r="146">
          <cell r="AK146">
            <v>8820</v>
          </cell>
          <cell r="AL146">
            <v>-31921.973706111832</v>
          </cell>
          <cell r="AM146">
            <v>-27071.709324191197</v>
          </cell>
        </row>
        <row r="147">
          <cell r="S147">
            <v>0</v>
          </cell>
          <cell r="AK147">
            <v>865.25</v>
          </cell>
        </row>
        <row r="149">
          <cell r="AJ149">
            <v>0</v>
          </cell>
          <cell r="AK149">
            <v>47883</v>
          </cell>
          <cell r="AL149">
            <v>37810</v>
          </cell>
          <cell r="AM149">
            <v>10073</v>
          </cell>
          <cell r="AO149">
            <v>0</v>
          </cell>
        </row>
        <row r="150">
          <cell r="S150">
            <v>0</v>
          </cell>
          <cell r="AK150">
            <v>0</v>
          </cell>
        </row>
        <row r="151">
          <cell r="AK151">
            <v>47883</v>
          </cell>
          <cell r="AL151">
            <v>37810</v>
          </cell>
          <cell r="AM151">
            <v>10073</v>
          </cell>
        </row>
        <row r="152">
          <cell r="AK152">
            <v>0</v>
          </cell>
          <cell r="AL152">
            <v>33098</v>
          </cell>
          <cell r="AM152">
            <v>8794</v>
          </cell>
          <cell r="AO152">
            <v>4990</v>
          </cell>
          <cell r="AP152">
            <v>4992</v>
          </cell>
          <cell r="AQ152">
            <v>4153.252222919521</v>
          </cell>
          <cell r="AR152">
            <v>9754.6660308805876</v>
          </cell>
        </row>
        <row r="153">
          <cell r="AK153">
            <v>-17.399999999999999</v>
          </cell>
          <cell r="AL153">
            <v>18.399999999999999</v>
          </cell>
          <cell r="AM153">
            <v>-62.8</v>
          </cell>
        </row>
        <row r="154">
          <cell r="AK154">
            <v>14.95075327890525</v>
          </cell>
          <cell r="AL154">
            <v>-100</v>
          </cell>
          <cell r="AM154">
            <v>-100</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0</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320</v>
          </cell>
          <cell r="P160">
            <v>160</v>
          </cell>
          <cell r="S160">
            <v>239</v>
          </cell>
          <cell r="X160">
            <v>107</v>
          </cell>
          <cell r="AC160">
            <v>72</v>
          </cell>
          <cell r="AF160">
            <v>125</v>
          </cell>
          <cell r="AG160">
            <v>125</v>
          </cell>
          <cell r="AH160">
            <v>0</v>
          </cell>
          <cell r="AI160">
            <v>210</v>
          </cell>
          <cell r="AK160">
            <v>1233</v>
          </cell>
        </row>
        <row r="161">
          <cell r="F161">
            <v>204</v>
          </cell>
          <cell r="P161">
            <v>110</v>
          </cell>
          <cell r="S161">
            <v>59</v>
          </cell>
          <cell r="X161">
            <v>74</v>
          </cell>
          <cell r="AB161">
            <v>9</v>
          </cell>
          <cell r="AC161">
            <v>34</v>
          </cell>
          <cell r="AF161">
            <v>115</v>
          </cell>
          <cell r="AG161">
            <v>115</v>
          </cell>
          <cell r="AH161">
            <v>0</v>
          </cell>
          <cell r="AK161">
            <v>277</v>
          </cell>
        </row>
        <row r="162">
          <cell r="F162">
            <v>204</v>
          </cell>
          <cell r="P162">
            <v>497.6</v>
          </cell>
          <cell r="S162">
            <v>916.75</v>
          </cell>
          <cell r="X162">
            <v>1694.1499999999999</v>
          </cell>
          <cell r="AF162">
            <v>242</v>
          </cell>
          <cell r="AG162">
            <v>242</v>
          </cell>
          <cell r="AH162">
            <v>0</v>
          </cell>
          <cell r="AK162">
            <v>0</v>
          </cell>
        </row>
        <row r="163">
          <cell r="F163">
            <v>14.170833333333334</v>
          </cell>
          <cell r="P163">
            <v>247</v>
          </cell>
          <cell r="S163">
            <v>303</v>
          </cell>
          <cell r="X163">
            <v>73</v>
          </cell>
          <cell r="AC163">
            <v>87</v>
          </cell>
          <cell r="AF163">
            <v>99</v>
          </cell>
          <cell r="AG163">
            <v>99</v>
          </cell>
          <cell r="AH163">
            <v>0</v>
          </cell>
          <cell r="AK163">
            <v>14.170833333333334</v>
          </cell>
        </row>
        <row r="164">
          <cell r="P164">
            <v>124</v>
          </cell>
          <cell r="S164">
            <v>618.18181818181824</v>
          </cell>
          <cell r="X164">
            <v>303.36363636363637</v>
          </cell>
          <cell r="AC164">
            <v>206.81818181818181</v>
          </cell>
          <cell r="AF164">
            <v>308.72727272727275</v>
          </cell>
          <cell r="AG164">
            <v>308.72727272727275</v>
          </cell>
          <cell r="AK164">
            <v>1252.3636363636363</v>
          </cell>
        </row>
        <row r="165">
          <cell r="F165">
            <v>260</v>
          </cell>
          <cell r="S165">
            <v>868.81818181818176</v>
          </cell>
          <cell r="X165">
            <v>2450.6363636363635</v>
          </cell>
          <cell r="AC165">
            <v>1157.1818181818182</v>
          </cell>
          <cell r="AK165">
            <v>4736.6363636363631</v>
          </cell>
        </row>
        <row r="166">
          <cell r="F166">
            <v>14.170833333333334</v>
          </cell>
          <cell r="S166">
            <v>1487</v>
          </cell>
          <cell r="X166">
            <v>2754</v>
          </cell>
          <cell r="AC166">
            <v>1364</v>
          </cell>
          <cell r="AK166">
            <v>14.170833333333334</v>
          </cell>
        </row>
        <row r="167">
          <cell r="F167">
            <v>60</v>
          </cell>
          <cell r="P167">
            <v>0</v>
          </cell>
          <cell r="S167">
            <v>0</v>
          </cell>
          <cell r="X167">
            <v>0</v>
          </cell>
          <cell r="AC167">
            <v>0</v>
          </cell>
          <cell r="AF167">
            <v>187</v>
          </cell>
          <cell r="AG167">
            <v>187</v>
          </cell>
          <cell r="AK167">
            <v>60</v>
          </cell>
        </row>
        <row r="168">
          <cell r="F168">
            <v>-255</v>
          </cell>
          <cell r="S168">
            <v>0</v>
          </cell>
          <cell r="X168">
            <v>0</v>
          </cell>
          <cell r="AC168">
            <v>0</v>
          </cell>
          <cell r="AF168">
            <v>0</v>
          </cell>
          <cell r="AG168">
            <v>0</v>
          </cell>
          <cell r="AH168">
            <v>0</v>
          </cell>
          <cell r="AK168">
            <v>0</v>
          </cell>
        </row>
        <row r="169">
          <cell r="F169">
            <v>850</v>
          </cell>
          <cell r="G169">
            <v>11562.099999999999</v>
          </cell>
          <cell r="H169">
            <v>0</v>
          </cell>
          <cell r="P169">
            <v>689</v>
          </cell>
          <cell r="Q169">
            <v>0</v>
          </cell>
          <cell r="R169">
            <v>0</v>
          </cell>
          <cell r="S169">
            <v>2468</v>
          </cell>
          <cell r="T169">
            <v>0</v>
          </cell>
          <cell r="U169">
            <v>0</v>
          </cell>
          <cell r="V169">
            <v>0</v>
          </cell>
          <cell r="W169">
            <v>0</v>
          </cell>
          <cell r="X169">
            <v>218</v>
          </cell>
          <cell r="Y169">
            <v>17514.503030303029</v>
          </cell>
          <cell r="Z169">
            <v>0</v>
          </cell>
          <cell r="AA169">
            <v>0</v>
          </cell>
          <cell r="AB169">
            <v>0</v>
          </cell>
          <cell r="AC169">
            <v>195</v>
          </cell>
          <cell r="AD169">
            <v>13622.695151515152</v>
          </cell>
          <cell r="AE169">
            <v>0</v>
          </cell>
          <cell r="AF169">
            <v>400</v>
          </cell>
          <cell r="AG169">
            <v>400</v>
          </cell>
          <cell r="AH169">
            <v>0</v>
          </cell>
          <cell r="AI169">
            <v>118.4</v>
          </cell>
          <cell r="AJ169">
            <v>0</v>
          </cell>
          <cell r="AK169">
            <v>5038.3999999999996</v>
          </cell>
        </row>
        <row r="170">
          <cell r="F170">
            <v>850</v>
          </cell>
          <cell r="G170">
            <v>11562.099999999999</v>
          </cell>
          <cell r="H170">
            <v>0</v>
          </cell>
          <cell r="P170">
            <v>689</v>
          </cell>
          <cell r="Q170">
            <v>0</v>
          </cell>
          <cell r="R170">
            <v>0</v>
          </cell>
          <cell r="S170">
            <v>2468</v>
          </cell>
          <cell r="T170">
            <v>0</v>
          </cell>
          <cell r="U170">
            <v>0</v>
          </cell>
          <cell r="V170">
            <v>0</v>
          </cell>
          <cell r="W170">
            <v>0</v>
          </cell>
          <cell r="X170">
            <v>218</v>
          </cell>
          <cell r="Y170">
            <v>17514.503030303029</v>
          </cell>
          <cell r="Z170">
            <v>0</v>
          </cell>
          <cell r="AA170">
            <v>0</v>
          </cell>
          <cell r="AB170">
            <v>0</v>
          </cell>
          <cell r="AC170">
            <v>195</v>
          </cell>
          <cell r="AD170">
            <v>13622.695151515152</v>
          </cell>
          <cell r="AE170">
            <v>0</v>
          </cell>
          <cell r="AF170">
            <v>400</v>
          </cell>
          <cell r="AG170">
            <v>400</v>
          </cell>
          <cell r="AH170">
            <v>0</v>
          </cell>
          <cell r="AI170">
            <v>118.4</v>
          </cell>
          <cell r="AJ170">
            <v>0</v>
          </cell>
          <cell r="AK170">
            <v>5038.3999999999996</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0</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0</v>
          </cell>
          <cell r="AH172">
            <v>83.299999999999983</v>
          </cell>
          <cell r="AK172">
            <v>0</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0</v>
          </cell>
        </row>
        <row r="174">
          <cell r="F174">
            <v>3500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3500</v>
          </cell>
        </row>
        <row r="175">
          <cell r="F175">
            <v>504.1</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1468.7272727272727</v>
          </cell>
          <cell r="AH175">
            <v>157.89272727272737</v>
          </cell>
          <cell r="AJ175">
            <v>0</v>
          </cell>
          <cell r="AK175">
            <v>6396.1072727272731</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19</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-2135.9632424242423</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8302</v>
          </cell>
          <cell r="P180">
            <v>386.99999999999977</v>
          </cell>
          <cell r="Q180">
            <v>0</v>
          </cell>
          <cell r="R180">
            <v>0</v>
          </cell>
          <cell r="S180">
            <v>2471</v>
          </cell>
          <cell r="T180">
            <v>13.666666666666666</v>
          </cell>
          <cell r="U180">
            <v>0</v>
          </cell>
          <cell r="V180">
            <v>0</v>
          </cell>
          <cell r="W180">
            <v>0</v>
          </cell>
          <cell r="X180">
            <v>523.33333333333189</v>
          </cell>
          <cell r="AA180">
            <v>0</v>
          </cell>
          <cell r="AB180">
            <v>0</v>
          </cell>
          <cell r="AC180">
            <v>535.66666666666731</v>
          </cell>
          <cell r="AF180">
            <v>1453.6666666666665</v>
          </cell>
          <cell r="AG180">
            <v>733</v>
          </cell>
          <cell r="AH180">
            <v>721.66666666666663</v>
          </cell>
          <cell r="AK180">
            <v>-2374.9574999999995</v>
          </cell>
          <cell r="AO180">
            <v>518</v>
          </cell>
          <cell r="AP180">
            <v>1507.2</v>
          </cell>
          <cell r="AQ180">
            <v>7.9613874345549789</v>
          </cell>
          <cell r="AR180">
            <v>85.038612565445021</v>
          </cell>
        </row>
        <row r="181">
          <cell r="AO181" t="str">
            <v>ОЧИК.18.02.</v>
          </cell>
        </row>
        <row r="183">
          <cell r="F183">
            <v>11799</v>
          </cell>
          <cell r="P183">
            <v>290.6666666666664</v>
          </cell>
          <cell r="S183">
            <v>1936.4249999999993</v>
          </cell>
          <cell r="X183">
            <v>497.51666666666711</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СТАНЦІї ЕЛЕКТРО</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v>14.7</v>
          </cell>
          <cell r="X187">
            <v>64.7</v>
          </cell>
          <cell r="Y187" t="str">
            <v>Е/Е</v>
          </cell>
          <cell r="Z187" t="str">
            <v xml:space="preserve"> Т/Е</v>
          </cell>
          <cell r="AC187">
            <v>55</v>
          </cell>
          <cell r="AD187" t="str">
            <v>Е/Е</v>
          </cell>
          <cell r="AE187" t="str">
            <v xml:space="preserve"> Т/Е</v>
          </cell>
          <cell r="AF187" t="str">
            <v>Е/Е</v>
          </cell>
          <cell r="AG187" t="str">
            <v xml:space="preserve"> Т/Е</v>
          </cell>
          <cell r="AK187">
            <v>134.4</v>
          </cell>
          <cell r="AL187" t="str">
            <v>Е/Е</v>
          </cell>
          <cell r="AM187" t="str">
            <v xml:space="preserve"> Т/Е</v>
          </cell>
          <cell r="AO187">
            <v>221.49122807017542</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192.5</v>
          </cell>
          <cell r="X190">
            <v>192.5</v>
          </cell>
          <cell r="AC190">
            <v>192.5</v>
          </cell>
          <cell r="AK190">
            <v>192.5</v>
          </cell>
          <cell r="AO190">
            <v>0</v>
          </cell>
        </row>
        <row r="191">
          <cell r="S191">
            <v>2830</v>
          </cell>
          <cell r="X191">
            <v>12455</v>
          </cell>
          <cell r="AC191">
            <v>10588</v>
          </cell>
          <cell r="AK191">
            <v>25872</v>
          </cell>
          <cell r="AO191">
            <v>0</v>
          </cell>
        </row>
        <row r="192">
          <cell r="P192">
            <v>0</v>
          </cell>
          <cell r="S192">
            <v>0</v>
          </cell>
          <cell r="X192">
            <v>0</v>
          </cell>
          <cell r="AC192">
            <v>0</v>
          </cell>
          <cell r="AK192">
            <v>25873</v>
          </cell>
          <cell r="AO192">
            <v>66</v>
          </cell>
        </row>
        <row r="193">
          <cell r="P193">
            <v>0</v>
          </cell>
          <cell r="S193">
            <v>192.5</v>
          </cell>
          <cell r="X193">
            <v>0</v>
          </cell>
          <cell r="AC193">
            <v>0</v>
          </cell>
          <cell r="AK193">
            <v>0</v>
          </cell>
          <cell r="AO193">
            <v>0</v>
          </cell>
        </row>
        <row r="194">
          <cell r="S194">
            <v>2945</v>
          </cell>
          <cell r="X194">
            <v>0</v>
          </cell>
          <cell r="AC194">
            <v>0</v>
          </cell>
          <cell r="AK194">
            <v>0</v>
          </cell>
          <cell r="AO194">
            <v>0</v>
          </cell>
        </row>
        <row r="195">
          <cell r="X195">
            <v>82.5</v>
          </cell>
          <cell r="AC195">
            <v>82.5</v>
          </cell>
          <cell r="AK195">
            <v>25661</v>
          </cell>
        </row>
        <row r="196">
          <cell r="X196">
            <v>0</v>
          </cell>
          <cell r="AC196">
            <v>0</v>
          </cell>
          <cell r="AK196">
            <v>0</v>
          </cell>
        </row>
        <row r="197">
          <cell r="S197">
            <v>0</v>
          </cell>
          <cell r="X197">
            <v>0</v>
          </cell>
          <cell r="AC197">
            <v>0</v>
          </cell>
          <cell r="AK197">
            <v>0</v>
          </cell>
        </row>
        <row r="198">
          <cell r="X198">
            <v>82.5</v>
          </cell>
          <cell r="AC198">
            <v>82.5</v>
          </cell>
        </row>
        <row r="199">
          <cell r="X199">
            <v>0</v>
          </cell>
          <cell r="AC199">
            <v>0</v>
          </cell>
          <cell r="AK199">
            <v>0</v>
          </cell>
          <cell r="AO199">
            <v>75.839416058394164</v>
          </cell>
        </row>
        <row r="200">
          <cell r="S200">
            <v>0</v>
          </cell>
          <cell r="X200">
            <v>0</v>
          </cell>
          <cell r="AC200">
            <v>0</v>
          </cell>
          <cell r="AK200">
            <v>0</v>
          </cell>
          <cell r="AO200">
            <v>103.9</v>
          </cell>
        </row>
        <row r="201">
          <cell r="F201">
            <v>75</v>
          </cell>
          <cell r="P201">
            <v>75</v>
          </cell>
          <cell r="AJ201">
            <v>0</v>
          </cell>
          <cell r="AO201" t="e">
            <v>#DIV/0!</v>
          </cell>
          <cell r="AR201">
            <v>75</v>
          </cell>
        </row>
        <row r="202">
          <cell r="S202">
            <v>385</v>
          </cell>
          <cell r="X202">
            <v>385</v>
          </cell>
          <cell r="AC202">
            <v>385</v>
          </cell>
          <cell r="AK202">
            <v>385</v>
          </cell>
          <cell r="AO202">
            <v>195.28</v>
          </cell>
        </row>
        <row r="203">
          <cell r="S203">
            <v>0</v>
          </cell>
          <cell r="X203">
            <v>0</v>
          </cell>
          <cell r="AC203">
            <v>0</v>
          </cell>
          <cell r="AK203">
            <v>0</v>
          </cell>
          <cell r="AO203">
            <v>14810</v>
          </cell>
        </row>
        <row r="204">
          <cell r="F204">
            <v>75</v>
          </cell>
          <cell r="P204">
            <v>75</v>
          </cell>
          <cell r="AK204">
            <v>0</v>
          </cell>
          <cell r="AO204" t="e">
            <v>#DIV/0!</v>
          </cell>
          <cell r="AR204">
            <v>75</v>
          </cell>
        </row>
        <row r="205">
          <cell r="S205">
            <v>16.899999999999999</v>
          </cell>
          <cell r="X205">
            <v>74</v>
          </cell>
          <cell r="Y205">
            <v>48.4</v>
          </cell>
          <cell r="Z205">
            <v>25.6</v>
          </cell>
          <cell r="AC205">
            <v>62.9</v>
          </cell>
          <cell r="AD205">
            <v>37.299999999999997</v>
          </cell>
          <cell r="AE205">
            <v>25.6</v>
          </cell>
          <cell r="AK205">
            <v>153.80000000000001</v>
          </cell>
          <cell r="AL205">
            <v>85.699999999999989</v>
          </cell>
          <cell r="AM205">
            <v>68.099999999999994</v>
          </cell>
          <cell r="AO205">
            <v>356.4</v>
          </cell>
          <cell r="AP205">
            <v>74.900000000000006</v>
          </cell>
          <cell r="AQ205">
            <v>281.5</v>
          </cell>
        </row>
        <row r="206">
          <cell r="S206">
            <v>2830</v>
          </cell>
          <cell r="X206">
            <v>12455</v>
          </cell>
          <cell r="Y206">
            <v>8146</v>
          </cell>
          <cell r="Z206">
            <v>4309</v>
          </cell>
          <cell r="AA206">
            <v>4309</v>
          </cell>
          <cell r="AC206">
            <v>10588</v>
          </cell>
          <cell r="AD206">
            <v>6279</v>
          </cell>
          <cell r="AE206">
            <v>4309</v>
          </cell>
          <cell r="AK206">
            <v>25872</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168.22</v>
          </cell>
          <cell r="AL207">
            <v>168.32</v>
          </cell>
          <cell r="AM207">
            <v>168.11</v>
          </cell>
          <cell r="AO207">
            <v>41.55</v>
          </cell>
          <cell r="AP207">
            <v>41.55</v>
          </cell>
          <cell r="AQ207">
            <v>41.55</v>
          </cell>
          <cell r="AR207" t="str">
            <v/>
          </cell>
        </row>
        <row r="208">
          <cell r="S208">
            <v>17.600000000000001</v>
          </cell>
          <cell r="X208">
            <v>73.5</v>
          </cell>
          <cell r="Y208">
            <v>52.8</v>
          </cell>
          <cell r="Z208">
            <v>20.700000000000003</v>
          </cell>
          <cell r="AC208">
            <v>61.7</v>
          </cell>
          <cell r="AD208">
            <v>43.9</v>
          </cell>
          <cell r="AE208">
            <v>17.8</v>
          </cell>
          <cell r="AK208">
            <v>152.79999999999998</v>
          </cell>
          <cell r="AL208">
            <v>96.699999999999989</v>
          </cell>
          <cell r="AM208">
            <v>0</v>
          </cell>
          <cell r="AO208">
            <v>52</v>
          </cell>
          <cell r="AP208">
            <v>52</v>
          </cell>
          <cell r="AQ208">
            <v>281.5</v>
          </cell>
        </row>
        <row r="209">
          <cell r="S209">
            <v>2945</v>
          </cell>
          <cell r="X209">
            <v>12455</v>
          </cell>
          <cell r="Y209">
            <v>8878</v>
          </cell>
          <cell r="Z209">
            <v>3481</v>
          </cell>
          <cell r="AA209">
            <v>3481</v>
          </cell>
          <cell r="AC209">
            <v>10588</v>
          </cell>
          <cell r="AD209">
            <v>7369</v>
          </cell>
          <cell r="AE209">
            <v>2988</v>
          </cell>
          <cell r="AK209">
            <v>25872</v>
          </cell>
          <cell r="AL209">
            <v>14425</v>
          </cell>
          <cell r="AM209">
            <v>11447</v>
          </cell>
          <cell r="AO209">
            <v>14862</v>
          </cell>
          <cell r="AP209">
            <v>3164.427048260382</v>
          </cell>
          <cell r="AQ209">
            <v>11697.572951739618</v>
          </cell>
        </row>
        <row r="210">
          <cell r="S210">
            <v>167.33</v>
          </cell>
          <cell r="X210">
            <v>168.15</v>
          </cell>
          <cell r="Y210">
            <v>168.14</v>
          </cell>
          <cell r="Z210">
            <v>168.16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X212">
            <v>12359</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X253">
            <v>3133.4075757575761</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t="str">
            <v>тис.грн.</v>
          </cell>
          <cell r="AM255">
            <v>42757.25</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O256" t="str">
            <v>СТАНЦІї ЕЛЕКТРО</v>
          </cell>
          <cell r="AP256" t="str">
            <v>СТАНЦІІ ТЕПЛОВІ</v>
          </cell>
          <cell r="AQ256" t="str">
            <v>МЕРЕЖІ ЕЛЕКТРО</v>
          </cell>
          <cell r="AR256" t="str">
            <v>МЕРЕЖІ ТЕПЛОВІ</v>
          </cell>
        </row>
        <row r="257">
          <cell r="F257">
            <v>4106.1000000000004</v>
          </cell>
          <cell r="P257">
            <v>2694.62</v>
          </cell>
          <cell r="Q257">
            <v>0</v>
          </cell>
          <cell r="R257">
            <v>0</v>
          </cell>
          <cell r="S257">
            <v>7710.7648484848487</v>
          </cell>
          <cell r="T257">
            <v>0</v>
          </cell>
          <cell r="U257">
            <v>0</v>
          </cell>
          <cell r="V257">
            <v>0</v>
          </cell>
          <cell r="W257">
            <v>0</v>
          </cell>
          <cell r="X257">
            <v>4714.5030303030289</v>
          </cell>
          <cell r="Y257">
            <v>0</v>
          </cell>
          <cell r="Z257">
            <v>0</v>
          </cell>
          <cell r="AA257">
            <v>0</v>
          </cell>
          <cell r="AB257">
            <v>0</v>
          </cell>
          <cell r="AC257">
            <v>2516.6951515151522</v>
          </cell>
          <cell r="AD257">
            <v>0</v>
          </cell>
          <cell r="AE257">
            <v>0</v>
          </cell>
          <cell r="AF257">
            <v>4357.5593939393939</v>
          </cell>
          <cell r="AG257">
            <v>3406</v>
          </cell>
          <cell r="AH257">
            <v>952.89272727272737</v>
          </cell>
          <cell r="AI257">
            <v>1531</v>
          </cell>
          <cell r="AJ257">
            <v>7599</v>
          </cell>
          <cell r="AK257">
            <v>27115.242424242424</v>
          </cell>
          <cell r="AL257" t="b">
            <v>1</v>
          </cell>
          <cell r="AM257" t="e">
            <v>#NULL!</v>
          </cell>
          <cell r="AN257" t="b">
            <v>1</v>
          </cell>
          <cell r="AO257">
            <v>0</v>
          </cell>
          <cell r="AP257">
            <v>0</v>
          </cell>
          <cell r="AQ257">
            <v>0</v>
          </cell>
          <cell r="AR257">
            <v>0</v>
          </cell>
        </row>
        <row r="258">
          <cell r="F258">
            <v>25661</v>
          </cell>
          <cell r="AK258">
            <v>25661</v>
          </cell>
        </row>
        <row r="259">
          <cell r="F259">
            <v>15876.5</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68422.28303030302</v>
          </cell>
          <cell r="AM259">
            <v>48748.25</v>
          </cell>
        </row>
        <row r="260">
          <cell r="F260">
            <v>9055.0666666666657</v>
          </cell>
          <cell r="G260">
            <v>1560.3537061118332</v>
          </cell>
          <cell r="H260">
            <v>1880.6462938881664</v>
          </cell>
          <cell r="P260">
            <v>390.33333333333326</v>
          </cell>
          <cell r="Q260">
            <v>0</v>
          </cell>
          <cell r="R260">
            <v>0</v>
          </cell>
          <cell r="S260">
            <v>2828</v>
          </cell>
          <cell r="T260">
            <v>1887.8566666666666</v>
          </cell>
          <cell r="U260">
            <v>1017.81</v>
          </cell>
          <cell r="V260">
            <v>0</v>
          </cell>
          <cell r="W260">
            <v>0</v>
          </cell>
          <cell r="X260">
            <v>1333.6666666666656</v>
          </cell>
          <cell r="Y260">
            <v>2289</v>
          </cell>
          <cell r="Z260">
            <v>1210.6666666666672</v>
          </cell>
          <cell r="AA260">
            <v>0</v>
          </cell>
          <cell r="AB260">
            <v>0</v>
          </cell>
          <cell r="AC260">
            <v>542.33333333333394</v>
          </cell>
          <cell r="AD260">
            <v>728</v>
          </cell>
          <cell r="AE260">
            <v>499.33333333333314</v>
          </cell>
          <cell r="AF260">
            <v>969.33333333333303</v>
          </cell>
          <cell r="AG260">
            <v>605</v>
          </cell>
          <cell r="AH260">
            <v>365.66666666666663</v>
          </cell>
          <cell r="AI260">
            <v>229.20000000000005</v>
          </cell>
          <cell r="AJ260">
            <v>-2455</v>
          </cell>
          <cell r="AK260">
            <v>50874.373939393932</v>
          </cell>
          <cell r="AM260">
            <v>14653.6</v>
          </cell>
        </row>
        <row r="261">
          <cell r="F261">
            <v>44951.733333333337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44951.733333333337</v>
          </cell>
        </row>
        <row r="262">
          <cell r="F262">
            <v>25873</v>
          </cell>
          <cell r="AK262">
            <v>25873</v>
          </cell>
        </row>
        <row r="263">
          <cell r="F263">
            <v>7538</v>
          </cell>
          <cell r="AK263">
            <v>7538</v>
          </cell>
        </row>
        <row r="264">
          <cell r="F264">
            <v>7257.7333333333336</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7257.7333333333336</v>
          </cell>
        </row>
        <row r="265">
          <cell r="F265">
            <v>770.33333333333337</v>
          </cell>
          <cell r="AK265">
            <v>770.33333333333337</v>
          </cell>
        </row>
        <row r="266">
          <cell r="F266">
            <v>0</v>
          </cell>
          <cell r="P266">
            <v>0</v>
          </cell>
          <cell r="S266">
            <v>0</v>
          </cell>
          <cell r="X266">
            <v>0</v>
          </cell>
          <cell r="AC266">
            <v>0</v>
          </cell>
          <cell r="AF266">
            <v>0</v>
          </cell>
          <cell r="AG266">
            <v>0</v>
          </cell>
          <cell r="AH266">
            <v>0</v>
          </cell>
          <cell r="AK266">
            <v>0</v>
          </cell>
        </row>
        <row r="267">
          <cell r="F267">
            <v>2381.4</v>
          </cell>
          <cell r="AK267">
            <v>2381.4</v>
          </cell>
        </row>
        <row r="268">
          <cell r="F268">
            <v>3500</v>
          </cell>
          <cell r="P268">
            <v>0</v>
          </cell>
          <cell r="S268">
            <v>0</v>
          </cell>
          <cell r="X268">
            <v>0</v>
          </cell>
          <cell r="AC268">
            <v>0</v>
          </cell>
          <cell r="AF268">
            <v>0</v>
          </cell>
          <cell r="AG268">
            <v>0</v>
          </cell>
          <cell r="AH268">
            <v>0</v>
          </cell>
          <cell r="AK268">
            <v>3500</v>
          </cell>
        </row>
        <row r="269">
          <cell r="F269">
            <v>0</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0</v>
          </cell>
        </row>
        <row r="270">
          <cell r="F270">
            <v>606</v>
          </cell>
          <cell r="P270">
            <v>0</v>
          </cell>
          <cell r="Q270">
            <v>0</v>
          </cell>
          <cell r="R270">
            <v>0</v>
          </cell>
          <cell r="S270">
            <v>0</v>
          </cell>
          <cell r="T270">
            <v>670.49373030303025</v>
          </cell>
          <cell r="U270">
            <v>683.33020909090919</v>
          </cell>
          <cell r="V270">
            <v>0</v>
          </cell>
          <cell r="W270">
            <v>0</v>
          </cell>
          <cell r="X270">
            <v>0</v>
          </cell>
          <cell r="Y270">
            <v>494</v>
          </cell>
          <cell r="Z270">
            <v>194.2409090909091</v>
          </cell>
          <cell r="AA270">
            <v>0</v>
          </cell>
          <cell r="AB270">
            <v>0</v>
          </cell>
          <cell r="AC270">
            <v>0</v>
          </cell>
          <cell r="AD270">
            <v>293</v>
          </cell>
          <cell r="AE270">
            <v>120.37515151515153</v>
          </cell>
          <cell r="AF270">
            <v>0</v>
          </cell>
          <cell r="AG270">
            <v>0</v>
          </cell>
          <cell r="AH270">
            <v>0</v>
          </cell>
          <cell r="AI270">
            <v>0</v>
          </cell>
          <cell r="AK270">
            <v>606</v>
          </cell>
        </row>
        <row r="271">
          <cell r="F271">
            <v>4200</v>
          </cell>
          <cell r="G271">
            <v>246</v>
          </cell>
          <cell r="H271">
            <v>307</v>
          </cell>
          <cell r="P271">
            <v>871.5200000000001</v>
          </cell>
          <cell r="S271">
            <v>1917.7936363636363</v>
          </cell>
          <cell r="T271">
            <v>656.82706363636362</v>
          </cell>
          <cell r="U271">
            <v>683.33020909090919</v>
          </cell>
          <cell r="X271">
            <v>745.15</v>
          </cell>
          <cell r="Y271">
            <v>295</v>
          </cell>
          <cell r="Z271">
            <v>116.2409090909091</v>
          </cell>
          <cell r="AC271">
            <v>606.86</v>
          </cell>
          <cell r="AD271">
            <v>284</v>
          </cell>
          <cell r="AE271">
            <v>116.0418181818182</v>
          </cell>
          <cell r="AF271">
            <v>1712.0700000000002</v>
          </cell>
          <cell r="AG271">
            <v>1562</v>
          </cell>
          <cell r="AH271">
            <v>150.07000000000016</v>
          </cell>
          <cell r="AK271">
            <v>4200</v>
          </cell>
        </row>
        <row r="272">
          <cell r="F272">
            <v>83</v>
          </cell>
          <cell r="P272">
            <v>0</v>
          </cell>
          <cell r="Q272">
            <v>0</v>
          </cell>
          <cell r="R272">
            <v>0</v>
          </cell>
          <cell r="S272">
            <v>0</v>
          </cell>
          <cell r="T272">
            <v>13.666666666666666</v>
          </cell>
          <cell r="U272">
            <v>0</v>
          </cell>
          <cell r="V272">
            <v>0</v>
          </cell>
          <cell r="W272">
            <v>0</v>
          </cell>
          <cell r="X272">
            <v>0</v>
          </cell>
          <cell r="Y272">
            <v>199</v>
          </cell>
          <cell r="Z272">
            <v>78</v>
          </cell>
          <cell r="AA272">
            <v>0</v>
          </cell>
          <cell r="AB272">
            <v>0</v>
          </cell>
          <cell r="AC272">
            <v>0</v>
          </cell>
          <cell r="AD272">
            <v>9</v>
          </cell>
          <cell r="AE272">
            <v>4.3333333333333339</v>
          </cell>
          <cell r="AF272">
            <v>0</v>
          </cell>
          <cell r="AG272">
            <v>0</v>
          </cell>
          <cell r="AH272">
            <v>0</v>
          </cell>
          <cell r="AI272">
            <v>0</v>
          </cell>
          <cell r="AK272">
            <v>83</v>
          </cell>
        </row>
        <row r="273">
          <cell r="F273">
            <v>49057.833333333336</v>
          </cell>
          <cell r="P273">
            <v>2694.62</v>
          </cell>
          <cell r="Q273">
            <v>0</v>
          </cell>
          <cell r="R273">
            <v>0</v>
          </cell>
          <cell r="S273">
            <v>7710.7648484848487</v>
          </cell>
          <cell r="T273">
            <v>0</v>
          </cell>
          <cell r="U273">
            <v>0</v>
          </cell>
          <cell r="V273">
            <v>0</v>
          </cell>
          <cell r="W273">
            <v>0</v>
          </cell>
          <cell r="X273">
            <v>4714.5030303030289</v>
          </cell>
          <cell r="Y273">
            <v>0</v>
          </cell>
          <cell r="Z273">
            <v>0</v>
          </cell>
          <cell r="AA273">
            <v>0</v>
          </cell>
          <cell r="AB273">
            <v>0</v>
          </cell>
          <cell r="AC273">
            <v>2516.6951515151522</v>
          </cell>
          <cell r="AD273">
            <v>0</v>
          </cell>
          <cell r="AE273">
            <v>0</v>
          </cell>
          <cell r="AF273">
            <v>4357.5593939393939</v>
          </cell>
          <cell r="AG273">
            <v>3406</v>
          </cell>
          <cell r="AH273">
            <v>952.89272727272737</v>
          </cell>
          <cell r="AI273">
            <v>0</v>
          </cell>
          <cell r="AK273">
            <v>72066.975757575754</v>
          </cell>
        </row>
        <row r="274">
          <cell r="F274">
            <v>1851.1</v>
          </cell>
          <cell r="P274">
            <v>1838.2866666666669</v>
          </cell>
          <cell r="Q274">
            <v>0</v>
          </cell>
          <cell r="R274">
            <v>0</v>
          </cell>
          <cell r="S274">
            <v>4395.6133333333337</v>
          </cell>
          <cell r="T274">
            <v>636.47477575757569</v>
          </cell>
          <cell r="U274">
            <v>648.29007272727267</v>
          </cell>
          <cell r="V274">
            <v>0</v>
          </cell>
          <cell r="W274">
            <v>0</v>
          </cell>
          <cell r="X274">
            <v>1835.2</v>
          </cell>
          <cell r="Y274">
            <v>779</v>
          </cell>
          <cell r="Z274">
            <v>411.83636363636361</v>
          </cell>
          <cell r="AA274">
            <v>0</v>
          </cell>
          <cell r="AB274">
            <v>9</v>
          </cell>
          <cell r="AC274">
            <v>884.51333333333343</v>
          </cell>
          <cell r="AD274">
            <v>234</v>
          </cell>
          <cell r="AE274">
            <v>160.69515151515154</v>
          </cell>
          <cell r="AF274">
            <v>2754.2866666666669</v>
          </cell>
          <cell r="AG274">
            <v>2239.727272727273</v>
          </cell>
          <cell r="AH274">
            <v>514.55939393939411</v>
          </cell>
          <cell r="AI274">
            <v>618</v>
          </cell>
          <cell r="AK274">
            <v>14299.000000000002</v>
          </cell>
        </row>
        <row r="275">
          <cell r="F275">
            <v>504.1</v>
          </cell>
          <cell r="G275">
            <v>197</v>
          </cell>
          <cell r="H275">
            <v>307.10000000000002</v>
          </cell>
          <cell r="P275">
            <v>866.62000000000012</v>
          </cell>
          <cell r="S275">
            <v>1889.28</v>
          </cell>
          <cell r="T275">
            <v>622.80810909090906</v>
          </cell>
          <cell r="U275">
            <v>648.29007272727267</v>
          </cell>
          <cell r="X275">
            <v>737.2</v>
          </cell>
          <cell r="Y275">
            <v>284</v>
          </cell>
          <cell r="Z275">
            <v>149.83636363636361</v>
          </cell>
          <cell r="AC275">
            <v>588.18000000000006</v>
          </cell>
          <cell r="AD275">
            <v>226</v>
          </cell>
          <cell r="AE275">
            <v>155.36181818181819</v>
          </cell>
          <cell r="AF275">
            <v>1626.6200000000001</v>
          </cell>
          <cell r="AG275">
            <v>1468.7272727272727</v>
          </cell>
          <cell r="AH275">
            <v>157.89272727272737</v>
          </cell>
          <cell r="AI275">
            <v>377</v>
          </cell>
          <cell r="AK275">
            <v>6554</v>
          </cell>
        </row>
        <row r="276">
          <cell r="F276">
            <v>0</v>
          </cell>
          <cell r="P276">
            <v>0</v>
          </cell>
          <cell r="Q276">
            <v>0</v>
          </cell>
          <cell r="R276">
            <v>0</v>
          </cell>
          <cell r="S276">
            <v>13.666666666666666</v>
          </cell>
          <cell r="T276">
            <v>13.666666666666666</v>
          </cell>
          <cell r="U276">
            <v>0</v>
          </cell>
          <cell r="V276">
            <v>0</v>
          </cell>
          <cell r="W276">
            <v>0</v>
          </cell>
          <cell r="X276">
            <v>757</v>
          </cell>
          <cell r="Y276">
            <v>495</v>
          </cell>
          <cell r="Z276">
            <v>262</v>
          </cell>
          <cell r="AA276">
            <v>0</v>
          </cell>
          <cell r="AB276">
            <v>0</v>
          </cell>
          <cell r="AC276">
            <v>-0.66666666666666607</v>
          </cell>
          <cell r="AD276">
            <v>8</v>
          </cell>
          <cell r="AE276">
            <v>5.3333333333333339</v>
          </cell>
          <cell r="AF276">
            <v>0.33333333333333331</v>
          </cell>
          <cell r="AG276">
            <v>0</v>
          </cell>
          <cell r="AH276">
            <v>0.33333333333333331</v>
          </cell>
          <cell r="AI276">
            <v>0</v>
          </cell>
          <cell r="AK276">
            <v>770.33333333333337</v>
          </cell>
        </row>
        <row r="277">
          <cell r="F277">
            <v>1339</v>
          </cell>
          <cell r="P277">
            <v>950</v>
          </cell>
          <cell r="Q277">
            <v>0</v>
          </cell>
          <cell r="R277">
            <v>0</v>
          </cell>
          <cell r="S277">
            <v>1377</v>
          </cell>
          <cell r="T277">
            <v>0</v>
          </cell>
          <cell r="U277">
            <v>0</v>
          </cell>
          <cell r="V277">
            <v>0</v>
          </cell>
          <cell r="W277">
            <v>0</v>
          </cell>
          <cell r="X277">
            <v>341</v>
          </cell>
          <cell r="Y277">
            <v>0</v>
          </cell>
          <cell r="Z277">
            <v>0</v>
          </cell>
          <cell r="AA277">
            <v>0</v>
          </cell>
          <cell r="AB277">
            <v>9</v>
          </cell>
          <cell r="AC277">
            <v>297</v>
          </cell>
          <cell r="AD277">
            <v>0</v>
          </cell>
          <cell r="AE277">
            <v>0</v>
          </cell>
          <cell r="AF277">
            <v>588</v>
          </cell>
          <cell r="AG277">
            <v>530</v>
          </cell>
          <cell r="AH277">
            <v>58</v>
          </cell>
          <cell r="AI277">
            <v>0</v>
          </cell>
          <cell r="AK277">
            <v>4926</v>
          </cell>
        </row>
        <row r="278">
          <cell r="F278">
            <v>294</v>
          </cell>
          <cell r="P278">
            <v>450</v>
          </cell>
          <cell r="Q278">
            <v>0</v>
          </cell>
          <cell r="R278">
            <v>0</v>
          </cell>
          <cell r="S278">
            <v>750</v>
          </cell>
          <cell r="T278">
            <v>0</v>
          </cell>
          <cell r="U278">
            <v>0</v>
          </cell>
          <cell r="V278">
            <v>0</v>
          </cell>
          <cell r="W278">
            <v>0</v>
          </cell>
          <cell r="X278">
            <v>102</v>
          </cell>
          <cell r="Y278">
            <v>0</v>
          </cell>
          <cell r="Z278">
            <v>0</v>
          </cell>
          <cell r="AA278">
            <v>0</v>
          </cell>
          <cell r="AB278">
            <v>0</v>
          </cell>
          <cell r="AC278">
            <v>97</v>
          </cell>
          <cell r="AD278">
            <v>0</v>
          </cell>
          <cell r="AE278">
            <v>0</v>
          </cell>
          <cell r="AF278">
            <v>447</v>
          </cell>
          <cell r="AG278">
            <v>415</v>
          </cell>
          <cell r="AH278">
            <v>32</v>
          </cell>
          <cell r="AI278">
            <v>0</v>
          </cell>
          <cell r="AK278">
            <v>2174</v>
          </cell>
        </row>
        <row r="279">
          <cell r="F279">
            <v>665</v>
          </cell>
          <cell r="P279">
            <v>20</v>
          </cell>
          <cell r="S279">
            <v>88</v>
          </cell>
          <cell r="X279">
            <v>65</v>
          </cell>
          <cell r="AC279">
            <v>66</v>
          </cell>
          <cell r="AF279">
            <v>26</v>
          </cell>
          <cell r="AG279">
            <v>0</v>
          </cell>
          <cell r="AH279">
            <v>26</v>
          </cell>
          <cell r="AI279">
            <v>0</v>
          </cell>
          <cell r="AK279">
            <v>930</v>
          </cell>
        </row>
        <row r="280">
          <cell r="F280">
            <v>60</v>
          </cell>
          <cell r="P280">
            <v>370</v>
          </cell>
          <cell r="S280">
            <v>480</v>
          </cell>
          <cell r="X280">
            <v>100</v>
          </cell>
          <cell r="AC280">
            <v>100</v>
          </cell>
          <cell r="AF280">
            <v>0</v>
          </cell>
          <cell r="AG280">
            <v>0</v>
          </cell>
          <cell r="AH280">
            <v>499.81666666666649</v>
          </cell>
          <cell r="AK280">
            <v>1110</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712</v>
          </cell>
        </row>
        <row r="282">
          <cell r="F282">
            <v>8</v>
          </cell>
          <cell r="P282">
            <v>21.666666666666668</v>
          </cell>
          <cell r="Q282">
            <v>0</v>
          </cell>
          <cell r="R282">
            <v>0</v>
          </cell>
          <cell r="S282">
            <v>865.66666666666663</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298.33333333333337</v>
          </cell>
          <cell r="AI282">
            <v>241</v>
          </cell>
          <cell r="AK282">
            <v>1798.6666666666665</v>
          </cell>
        </row>
        <row r="283">
          <cell r="F283">
            <v>0</v>
          </cell>
          <cell r="P283">
            <v>0</v>
          </cell>
          <cell r="Q283">
            <v>0</v>
          </cell>
          <cell r="R283">
            <v>0</v>
          </cell>
          <cell r="S283">
            <v>0</v>
          </cell>
          <cell r="T283">
            <v>-670.49373030303025</v>
          </cell>
          <cell r="U283">
            <v>-683.33020909090919</v>
          </cell>
          <cell r="V283">
            <v>0</v>
          </cell>
          <cell r="W283">
            <v>0</v>
          </cell>
          <cell r="X283">
            <v>0</v>
          </cell>
          <cell r="Y283">
            <v>-494</v>
          </cell>
          <cell r="Z283">
            <v>-194.2409090909091</v>
          </cell>
          <cell r="AA283">
            <v>0</v>
          </cell>
          <cell r="AB283">
            <v>0</v>
          </cell>
          <cell r="AC283">
            <v>0</v>
          </cell>
          <cell r="AD283">
            <v>-293</v>
          </cell>
          <cell r="AE283">
            <v>-120.37515151515153</v>
          </cell>
          <cell r="AF283">
            <v>0</v>
          </cell>
          <cell r="AG283">
            <v>0</v>
          </cell>
          <cell r="AH283">
            <v>0</v>
          </cell>
          <cell r="AI283">
            <v>0</v>
          </cell>
          <cell r="AK283">
            <v>0</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1434.6666666666665</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364</v>
          </cell>
        </row>
        <row r="286">
          <cell r="F286">
            <v>555</v>
          </cell>
          <cell r="P286">
            <v>205.5</v>
          </cell>
          <cell r="S286">
            <v>250</v>
          </cell>
          <cell r="X286">
            <v>-91.5</v>
          </cell>
          <cell r="AC286">
            <v>99.5</v>
          </cell>
          <cell r="AF286">
            <v>52.299999999999983</v>
          </cell>
          <cell r="AG286">
            <v>-31</v>
          </cell>
          <cell r="AH286">
            <v>0</v>
          </cell>
          <cell r="AI286">
            <v>0</v>
          </cell>
          <cell r="AK286">
            <v>250</v>
          </cell>
        </row>
        <row r="287">
          <cell r="F287">
            <v>47206.733333333337</v>
          </cell>
          <cell r="P287">
            <v>856.33333333333303</v>
          </cell>
          <cell r="Q287">
            <v>0</v>
          </cell>
          <cell r="R287">
            <v>0</v>
          </cell>
          <cell r="S287">
            <v>3315.151515151515</v>
          </cell>
          <cell r="T287">
            <v>-636.47477575757569</v>
          </cell>
          <cell r="U287">
            <v>-648.29007272727267</v>
          </cell>
          <cell r="V287">
            <v>0</v>
          </cell>
          <cell r="W287">
            <v>0</v>
          </cell>
          <cell r="X287">
            <v>2879.3030303030291</v>
          </cell>
          <cell r="Y287">
            <v>-779</v>
          </cell>
          <cell r="Z287">
            <v>-411.83636363636361</v>
          </cell>
          <cell r="AA287">
            <v>0</v>
          </cell>
          <cell r="AB287">
            <v>-9</v>
          </cell>
          <cell r="AC287">
            <v>1632.1818181818189</v>
          </cell>
          <cell r="AD287">
            <v>-234</v>
          </cell>
          <cell r="AE287">
            <v>-160.69515151515154</v>
          </cell>
          <cell r="AF287">
            <v>1603.272727272727</v>
          </cell>
          <cell r="AG287">
            <v>1166.272727272727</v>
          </cell>
          <cell r="AH287">
            <v>438.33333333333326</v>
          </cell>
          <cell r="AI287">
            <v>-618</v>
          </cell>
          <cell r="AK287">
            <v>57767.975757575761</v>
          </cell>
        </row>
        <row r="288">
          <cell r="F288">
            <v>0</v>
          </cell>
          <cell r="P288">
            <v>0</v>
          </cell>
          <cell r="S288">
            <v>0</v>
          </cell>
          <cell r="X288">
            <v>0</v>
          </cell>
          <cell r="AC288">
            <v>0</v>
          </cell>
          <cell r="AF288">
            <v>0</v>
          </cell>
          <cell r="AG288">
            <v>0</v>
          </cell>
          <cell r="AH288">
            <v>0</v>
          </cell>
          <cell r="AK288">
            <v>0</v>
          </cell>
        </row>
        <row r="289">
          <cell r="F289">
            <v>2815</v>
          </cell>
          <cell r="P289">
            <v>1106.3333333333333</v>
          </cell>
          <cell r="Q289">
            <v>0</v>
          </cell>
          <cell r="R289">
            <v>0</v>
          </cell>
          <cell r="S289">
            <v>3375.1515151515155</v>
          </cell>
          <cell r="T289">
            <v>0</v>
          </cell>
          <cell r="U289">
            <v>0</v>
          </cell>
          <cell r="V289">
            <v>0</v>
          </cell>
          <cell r="W289">
            <v>0</v>
          </cell>
          <cell r="X289">
            <v>2879.3030303030305</v>
          </cell>
          <cell r="Y289">
            <v>0</v>
          </cell>
          <cell r="Z289">
            <v>0</v>
          </cell>
          <cell r="AA289">
            <v>0</v>
          </cell>
          <cell r="AB289">
            <v>0</v>
          </cell>
          <cell r="AC289">
            <v>1631.5151515151515</v>
          </cell>
          <cell r="AD289">
            <v>0</v>
          </cell>
          <cell r="AE289">
            <v>0</v>
          </cell>
          <cell r="AF289">
            <v>1604.2727272727273</v>
          </cell>
          <cell r="AG289">
            <v>1166.2727272727273</v>
          </cell>
          <cell r="AH289">
            <v>438.33333333333331</v>
          </cell>
          <cell r="AI289">
            <v>283.60000000000002</v>
          </cell>
          <cell r="AK289">
            <v>13677.575757575758</v>
          </cell>
        </row>
        <row r="290">
          <cell r="F290">
            <v>850</v>
          </cell>
          <cell r="P290">
            <v>319</v>
          </cell>
          <cell r="Q290">
            <v>0</v>
          </cell>
          <cell r="R290">
            <v>0</v>
          </cell>
          <cell r="S290">
            <v>1738</v>
          </cell>
          <cell r="T290">
            <v>0</v>
          </cell>
          <cell r="U290">
            <v>0</v>
          </cell>
          <cell r="V290">
            <v>0</v>
          </cell>
          <cell r="W290">
            <v>0</v>
          </cell>
          <cell r="X290">
            <v>118</v>
          </cell>
          <cell r="Y290">
            <v>0</v>
          </cell>
          <cell r="Z290">
            <v>0</v>
          </cell>
          <cell r="AA290">
            <v>0</v>
          </cell>
          <cell r="AB290">
            <v>0</v>
          </cell>
          <cell r="AC290">
            <v>95</v>
          </cell>
          <cell r="AD290">
            <v>0</v>
          </cell>
          <cell r="AE290">
            <v>0</v>
          </cell>
          <cell r="AF290">
            <v>400</v>
          </cell>
          <cell r="AG290">
            <v>400</v>
          </cell>
          <cell r="AH290">
            <v>0</v>
          </cell>
          <cell r="AI290">
            <v>118.4</v>
          </cell>
          <cell r="AK290">
            <v>3620</v>
          </cell>
        </row>
        <row r="291">
          <cell r="F291">
            <v>320</v>
          </cell>
          <cell r="P291">
            <v>576</v>
          </cell>
          <cell r="Q291">
            <v>0</v>
          </cell>
          <cell r="R291">
            <v>0</v>
          </cell>
          <cell r="S291">
            <v>809.81818181818176</v>
          </cell>
          <cell r="T291">
            <v>0</v>
          </cell>
          <cell r="U291">
            <v>0</v>
          </cell>
          <cell r="V291">
            <v>0</v>
          </cell>
          <cell r="W291">
            <v>0</v>
          </cell>
          <cell r="X291">
            <v>2376.6363636363635</v>
          </cell>
          <cell r="Y291">
            <v>0</v>
          </cell>
          <cell r="Z291">
            <v>0</v>
          </cell>
          <cell r="AA291">
            <v>0</v>
          </cell>
          <cell r="AB291">
            <v>0</v>
          </cell>
          <cell r="AC291">
            <v>1123.1818181818182</v>
          </cell>
          <cell r="AD291">
            <v>0</v>
          </cell>
          <cell r="AE291">
            <v>0</v>
          </cell>
          <cell r="AF291">
            <v>749.27272727272725</v>
          </cell>
          <cell r="AG291">
            <v>676.27272727272725</v>
          </cell>
          <cell r="AH291">
            <v>73</v>
          </cell>
          <cell r="AI291">
            <v>0</v>
          </cell>
          <cell r="AK291">
            <v>5954.9090909090901</v>
          </cell>
        </row>
        <row r="292">
          <cell r="F292">
            <v>0</v>
          </cell>
          <cell r="P292">
            <v>0</v>
          </cell>
          <cell r="S292">
            <v>0</v>
          </cell>
          <cell r="X292">
            <v>0</v>
          </cell>
          <cell r="AC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1626</v>
          </cell>
          <cell r="P294">
            <v>145.33333333333334</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442.33333333333331</v>
          </cell>
          <cell r="AG294">
            <v>77</v>
          </cell>
          <cell r="AH294">
            <v>365.33333333333331</v>
          </cell>
          <cell r="AI294">
            <v>165.2</v>
          </cell>
          <cell r="AK294">
            <v>3949.3333333333335</v>
          </cell>
        </row>
        <row r="295">
          <cell r="F295">
            <v>0</v>
          </cell>
          <cell r="P295">
            <v>0</v>
          </cell>
          <cell r="S295">
            <v>47</v>
          </cell>
          <cell r="X295">
            <v>37</v>
          </cell>
          <cell r="AC295">
            <v>216.33333333333331</v>
          </cell>
          <cell r="AF295">
            <v>27</v>
          </cell>
          <cell r="AG295">
            <v>-206</v>
          </cell>
          <cell r="AH295">
            <v>233</v>
          </cell>
          <cell r="AI295">
            <v>70</v>
          </cell>
          <cell r="AK295">
            <v>422.33333333333331</v>
          </cell>
        </row>
        <row r="296">
          <cell r="F296">
            <v>20</v>
          </cell>
          <cell r="P296">
            <v>53.666666666666664</v>
          </cell>
          <cell r="Q296">
            <v>0</v>
          </cell>
          <cell r="R296">
            <v>0</v>
          </cell>
          <cell r="S296">
            <v>355</v>
          </cell>
          <cell r="T296">
            <v>-670.49373030303025</v>
          </cell>
          <cell r="U296">
            <v>-683.33020909090919</v>
          </cell>
          <cell r="V296">
            <v>0</v>
          </cell>
          <cell r="W296">
            <v>0</v>
          </cell>
          <cell r="X296">
            <v>221.66666666666663</v>
          </cell>
          <cell r="Y296">
            <v>-494</v>
          </cell>
          <cell r="Z296">
            <v>-194.2409090909091</v>
          </cell>
          <cell r="AA296">
            <v>0</v>
          </cell>
          <cell r="AB296">
            <v>0</v>
          </cell>
          <cell r="AC296">
            <v>84.333333333333329</v>
          </cell>
          <cell r="AD296">
            <v>-293</v>
          </cell>
          <cell r="AE296">
            <v>-120.37515151515153</v>
          </cell>
          <cell r="AF296">
            <v>189</v>
          </cell>
          <cell r="AG296">
            <v>110</v>
          </cell>
          <cell r="AH296">
            <v>79.000000000000014</v>
          </cell>
          <cell r="AI296">
            <v>36</v>
          </cell>
          <cell r="AK296">
            <v>923.66666666666663</v>
          </cell>
        </row>
        <row r="297">
          <cell r="F297">
            <v>1606</v>
          </cell>
          <cell r="P297">
            <v>91.666666666666671</v>
          </cell>
          <cell r="S297">
            <v>425.33333333333337</v>
          </cell>
          <cell r="X297">
            <v>97.666666666666671</v>
          </cell>
          <cell r="AC297">
            <v>85.333333333333343</v>
          </cell>
          <cell r="AF297">
            <v>226.33333333333331</v>
          </cell>
          <cell r="AG297">
            <v>173</v>
          </cell>
          <cell r="AH297">
            <v>53.333333333333314</v>
          </cell>
          <cell r="AI297">
            <v>59.2</v>
          </cell>
          <cell r="AK297">
            <v>2603.3333333333335</v>
          </cell>
        </row>
        <row r="298">
          <cell r="P298">
            <v>0</v>
          </cell>
          <cell r="AF298">
            <v>0</v>
          </cell>
          <cell r="AG298">
            <v>0</v>
          </cell>
          <cell r="AH298">
            <v>0</v>
          </cell>
          <cell r="AI298">
            <v>0</v>
          </cell>
          <cell r="AK298">
            <v>0</v>
          </cell>
        </row>
        <row r="299">
          <cell r="F299">
            <v>19</v>
          </cell>
          <cell r="G299">
            <v>0</v>
          </cell>
          <cell r="H299">
            <v>0</v>
          </cell>
          <cell r="P299">
            <v>66</v>
          </cell>
          <cell r="Q299">
            <v>0</v>
          </cell>
          <cell r="R299">
            <v>0</v>
          </cell>
          <cell r="S299">
            <v>0</v>
          </cell>
          <cell r="T299">
            <v>-670.49373030303025</v>
          </cell>
          <cell r="U299">
            <v>-683.33020909090919</v>
          </cell>
          <cell r="V299">
            <v>0</v>
          </cell>
          <cell r="W299">
            <v>0</v>
          </cell>
          <cell r="X299">
            <v>28.333333333333332</v>
          </cell>
          <cell r="Y299">
            <v>-494</v>
          </cell>
          <cell r="Z299">
            <v>-194.2409090909091</v>
          </cell>
          <cell r="AA299">
            <v>0</v>
          </cell>
          <cell r="AB299">
            <v>0</v>
          </cell>
          <cell r="AC299">
            <v>27.333333333333332</v>
          </cell>
          <cell r="AF299">
            <v>12.666666666666666</v>
          </cell>
          <cell r="AG299">
            <v>13</v>
          </cell>
          <cell r="AH299">
            <v>0</v>
          </cell>
          <cell r="AI299">
            <v>0</v>
          </cell>
          <cell r="AK299">
            <v>153.33333333333331</v>
          </cell>
        </row>
        <row r="300">
          <cell r="F300">
            <v>47206.733333333337</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57767.975757575761</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57767.975757575761</v>
          </cell>
        </row>
        <row r="304">
          <cell r="F304">
            <v>0</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47206.733333333337</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57767.975757575761</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0</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X325">
            <v>203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6554</v>
          </cell>
          <cell r="AM328">
            <v>5304.38</v>
          </cell>
        </row>
        <row r="329">
          <cell r="F329">
            <v>137</v>
          </cell>
          <cell r="P329">
            <v>237</v>
          </cell>
          <cell r="S329">
            <v>515</v>
          </cell>
          <cell r="X329">
            <v>201</v>
          </cell>
          <cell r="AC329">
            <v>161</v>
          </cell>
          <cell r="AF329">
            <v>444</v>
          </cell>
          <cell r="AG329">
            <v>400</v>
          </cell>
          <cell r="AH329">
            <v>44</v>
          </cell>
          <cell r="AI329">
            <v>103</v>
          </cell>
          <cell r="AK329">
            <v>1788</v>
          </cell>
          <cell r="AM329">
            <v>1447</v>
          </cell>
        </row>
        <row r="330">
          <cell r="AJ330">
            <v>36</v>
          </cell>
          <cell r="AK330">
            <v>7257.7333333333336</v>
          </cell>
          <cell r="AM330">
            <v>7257.7333333333336</v>
          </cell>
        </row>
        <row r="331">
          <cell r="AK331">
            <v>770.33333333333337</v>
          </cell>
          <cell r="AM331">
            <v>770.33333333333337</v>
          </cell>
        </row>
        <row r="332">
          <cell r="AJ332">
            <v>36</v>
          </cell>
          <cell r="AK332">
            <v>153.33333333333331</v>
          </cell>
          <cell r="AM332">
            <v>140.66666666666666</v>
          </cell>
        </row>
        <row r="333">
          <cell r="AK333">
            <v>2381.4</v>
          </cell>
          <cell r="AM333">
            <v>2381.4</v>
          </cell>
        </row>
        <row r="334">
          <cell r="AK334">
            <v>3500</v>
          </cell>
          <cell r="AM334">
            <v>3500</v>
          </cell>
        </row>
        <row r="335">
          <cell r="AK335">
            <v>0</v>
          </cell>
          <cell r="AM335">
            <v>2176.6999999999998</v>
          </cell>
        </row>
        <row r="336">
          <cell r="AK336">
            <v>606</v>
          </cell>
          <cell r="AM336">
            <v>606</v>
          </cell>
        </row>
        <row r="337">
          <cell r="AK337">
            <v>4200</v>
          </cell>
          <cell r="AM337">
            <v>0</v>
          </cell>
        </row>
        <row r="338">
          <cell r="AK338">
            <v>0</v>
          </cell>
          <cell r="AM338">
            <v>0</v>
          </cell>
        </row>
        <row r="339">
          <cell r="AK339">
            <v>3620</v>
          </cell>
          <cell r="AM339">
            <v>3338.4</v>
          </cell>
        </row>
        <row r="340">
          <cell r="AK340">
            <v>5954.9090909090901</v>
          </cell>
          <cell r="AM340">
            <v>5205.636363636364</v>
          </cell>
        </row>
        <row r="341">
          <cell r="AK341">
            <v>0</v>
          </cell>
          <cell r="AM341">
            <v>0</v>
          </cell>
        </row>
        <row r="342">
          <cell r="AK342">
            <v>0</v>
          </cell>
          <cell r="AM342">
            <v>0</v>
          </cell>
        </row>
        <row r="343">
          <cell r="AK343">
            <v>0</v>
          </cell>
          <cell r="AM343">
            <v>0</v>
          </cell>
        </row>
        <row r="344">
          <cell r="AK344">
            <v>4926</v>
          </cell>
          <cell r="AM344">
            <v>4338</v>
          </cell>
        </row>
        <row r="345">
          <cell r="AK345">
            <v>2174</v>
          </cell>
          <cell r="AM345">
            <v>1727</v>
          </cell>
        </row>
        <row r="346">
          <cell r="AK346">
            <v>930</v>
          </cell>
          <cell r="AM346">
            <v>904</v>
          </cell>
        </row>
        <row r="347">
          <cell r="AK347">
            <v>1110</v>
          </cell>
          <cell r="AM347">
            <v>89.416666666666657</v>
          </cell>
        </row>
        <row r="348">
          <cell r="P348">
            <v>225</v>
          </cell>
          <cell r="S348">
            <v>296</v>
          </cell>
          <cell r="X348">
            <v>56</v>
          </cell>
          <cell r="AC348">
            <v>561.88181818181829</v>
          </cell>
          <cell r="AF348">
            <v>470</v>
          </cell>
          <cell r="AG348">
            <v>470</v>
          </cell>
          <cell r="AH348">
            <v>0</v>
          </cell>
          <cell r="AK348">
            <v>712</v>
          </cell>
        </row>
        <row r="349">
          <cell r="AK349">
            <v>0</v>
          </cell>
          <cell r="AM349">
            <v>0</v>
          </cell>
        </row>
        <row r="350">
          <cell r="F350">
            <v>33</v>
          </cell>
          <cell r="P350">
            <v>0</v>
          </cell>
          <cell r="S350">
            <v>0</v>
          </cell>
          <cell r="X350">
            <v>0</v>
          </cell>
          <cell r="AC350">
            <v>0</v>
          </cell>
          <cell r="AF350">
            <v>0</v>
          </cell>
          <cell r="AG350">
            <v>0</v>
          </cell>
          <cell r="AH350">
            <v>0</v>
          </cell>
          <cell r="AK350">
            <v>0</v>
          </cell>
          <cell r="AM350">
            <v>0</v>
          </cell>
        </row>
        <row r="351">
          <cell r="AK351">
            <v>1434.6666666666665</v>
          </cell>
          <cell r="AM351">
            <v>1136.3333333333333</v>
          </cell>
        </row>
        <row r="352">
          <cell r="P352">
            <v>225</v>
          </cell>
          <cell r="S352">
            <v>296</v>
          </cell>
          <cell r="X352">
            <v>56</v>
          </cell>
          <cell r="AC352">
            <v>76.181818181818187</v>
          </cell>
          <cell r="AF352">
            <v>304.27272727272725</v>
          </cell>
          <cell r="AG352">
            <v>291.27272727272725</v>
          </cell>
          <cell r="AH352">
            <v>13</v>
          </cell>
          <cell r="AK352">
            <v>957.4545454545455</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364</v>
          </cell>
          <cell r="AM354">
            <v>364</v>
          </cell>
        </row>
        <row r="355">
          <cell r="AK355">
            <v>83</v>
          </cell>
          <cell r="AM355">
            <v>83</v>
          </cell>
        </row>
        <row r="356">
          <cell r="AK356">
            <v>0</v>
          </cell>
          <cell r="AM356">
            <v>0</v>
          </cell>
        </row>
        <row r="357">
          <cell r="AK357">
            <v>0</v>
          </cell>
          <cell r="AM357">
            <v>0</v>
          </cell>
        </row>
        <row r="358">
          <cell r="F358">
            <v>0</v>
          </cell>
          <cell r="P358">
            <v>0</v>
          </cell>
          <cell r="S358">
            <v>0</v>
          </cell>
          <cell r="T358">
            <v>87.84</v>
          </cell>
          <cell r="U358">
            <v>461.15999999999997</v>
          </cell>
          <cell r="X358">
            <v>491.83333333333337</v>
          </cell>
          <cell r="Y358">
            <v>359</v>
          </cell>
          <cell r="Z358">
            <v>141.33333333333337</v>
          </cell>
          <cell r="AC358">
            <v>176.5</v>
          </cell>
          <cell r="AD358">
            <v>289</v>
          </cell>
          <cell r="AE358">
            <v>117</v>
          </cell>
          <cell r="AF358">
            <v>383</v>
          </cell>
          <cell r="AG358">
            <v>383</v>
          </cell>
          <cell r="AH358">
            <v>0</v>
          </cell>
          <cell r="AJ358">
            <v>-2491</v>
          </cell>
          <cell r="AK358">
            <v>3949.3333333333335</v>
          </cell>
          <cell r="AM358" t="e">
            <v>#REF!</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K382" t="str">
            <v>АК "КЕ"</v>
          </cell>
          <cell r="AL382" t="str">
            <v>Е/Е</v>
          </cell>
        </row>
        <row r="383">
          <cell r="F383" t="str">
            <v>лютий</v>
          </cell>
          <cell r="P383" t="str">
            <v>лютий</v>
          </cell>
          <cell r="X383" t="str">
            <v>лютий</v>
          </cell>
          <cell r="AC383" t="str">
            <v>лютий</v>
          </cell>
          <cell r="AK383" t="str">
            <v>ПЛАН</v>
          </cell>
          <cell r="AL383" t="str">
            <v>ПЛАН</v>
          </cell>
        </row>
        <row r="384">
          <cell r="F384" t="str">
            <v>АППАРАТ</v>
          </cell>
          <cell r="G384">
            <v>104</v>
          </cell>
          <cell r="H384">
            <v>102</v>
          </cell>
          <cell r="P384" t="str">
            <v>ККМ</v>
          </cell>
          <cell r="S384">
            <v>14.333333333333332</v>
          </cell>
          <cell r="X384" t="str">
            <v>ТЕЦ5</v>
          </cell>
          <cell r="Y384">
            <v>131</v>
          </cell>
          <cell r="Z384">
            <v>130</v>
          </cell>
          <cell r="AC384" t="str">
            <v>ТЕЦ6</v>
          </cell>
          <cell r="AD384">
            <v>230</v>
          </cell>
          <cell r="AE384">
            <v>231</v>
          </cell>
          <cell r="AK384" t="str">
            <v>АК "КЕ"</v>
          </cell>
          <cell r="AL384" t="str">
            <v>Е/Е</v>
          </cell>
          <cell r="AM384">
            <v>490.33333333333331</v>
          </cell>
        </row>
        <row r="385">
          <cell r="F385" t="str">
            <v>ПЛАН</v>
          </cell>
          <cell r="G385">
            <v>18</v>
          </cell>
          <cell r="P385" t="str">
            <v>ПЛАН</v>
          </cell>
          <cell r="X385" t="str">
            <v>ПЛАН</v>
          </cell>
          <cell r="Y385">
            <v>0</v>
          </cell>
          <cell r="AC385" t="str">
            <v>ПЛАН</v>
          </cell>
          <cell r="AD385">
            <v>3</v>
          </cell>
          <cell r="AK385" t="str">
            <v>ПЛАН</v>
          </cell>
          <cell r="AL385" t="str">
            <v>ПЛАН</v>
          </cell>
        </row>
        <row r="386">
          <cell r="F386">
            <v>164.3</v>
          </cell>
          <cell r="G386">
            <v>92</v>
          </cell>
          <cell r="H386">
            <v>91</v>
          </cell>
          <cell r="P386">
            <v>14.333333333333332</v>
          </cell>
          <cell r="S386">
            <v>14.333333333333332</v>
          </cell>
          <cell r="X386">
            <v>182</v>
          </cell>
          <cell r="Y386">
            <v>119</v>
          </cell>
          <cell r="Z386">
            <v>120</v>
          </cell>
          <cell r="AC386">
            <v>323.66666666666674</v>
          </cell>
          <cell r="AD386">
            <v>192</v>
          </cell>
          <cell r="AE386">
            <v>191</v>
          </cell>
          <cell r="AK386">
            <v>735.30000000000018</v>
          </cell>
          <cell r="AL386">
            <v>447.33333333333337</v>
          </cell>
          <cell r="AM386">
            <v>429.33333333333331</v>
          </cell>
        </row>
        <row r="387">
          <cell r="F387">
            <v>29</v>
          </cell>
          <cell r="G387">
            <v>16</v>
          </cell>
          <cell r="P387">
            <v>0</v>
          </cell>
          <cell r="X387">
            <v>0</v>
          </cell>
          <cell r="Y387">
            <v>0</v>
          </cell>
          <cell r="AC387">
            <v>3.6666666666666665</v>
          </cell>
          <cell r="AD387">
            <v>2</v>
          </cell>
          <cell r="AK387">
            <v>46</v>
          </cell>
          <cell r="AL387">
            <v>21</v>
          </cell>
        </row>
        <row r="388">
          <cell r="F388">
            <v>0</v>
          </cell>
          <cell r="G388">
            <v>0</v>
          </cell>
          <cell r="P388">
            <v>0.66666666666666663</v>
          </cell>
          <cell r="X388">
            <v>146.66666666666666</v>
          </cell>
          <cell r="Y388">
            <v>96</v>
          </cell>
          <cell r="AC388">
            <v>280.66666666666669</v>
          </cell>
          <cell r="AD388">
            <v>166</v>
          </cell>
          <cell r="AK388">
            <v>428</v>
          </cell>
          <cell r="AL388">
            <v>262.66666666666669</v>
          </cell>
        </row>
        <row r="389">
          <cell r="F389">
            <v>0</v>
          </cell>
          <cell r="G389">
            <v>0</v>
          </cell>
          <cell r="P389">
            <v>2</v>
          </cell>
          <cell r="X389">
            <v>0</v>
          </cell>
          <cell r="Y389">
            <v>0</v>
          </cell>
          <cell r="AC389">
            <v>25</v>
          </cell>
          <cell r="AD389">
            <v>15</v>
          </cell>
          <cell r="AK389">
            <v>33.666666666666671</v>
          </cell>
          <cell r="AL389">
            <v>20</v>
          </cell>
        </row>
        <row r="390">
          <cell r="F390">
            <v>0</v>
          </cell>
          <cell r="G390">
            <v>0</v>
          </cell>
          <cell r="P390">
            <v>0</v>
          </cell>
          <cell r="X390">
            <v>25.333333333333332</v>
          </cell>
          <cell r="Y390">
            <v>17</v>
          </cell>
          <cell r="AC390">
            <v>0.66666666666666663</v>
          </cell>
          <cell r="AD390">
            <v>0</v>
          </cell>
          <cell r="AK390">
            <v>26</v>
          </cell>
          <cell r="AL390">
            <v>17</v>
          </cell>
        </row>
        <row r="391">
          <cell r="F391">
            <v>120.63333333333333</v>
          </cell>
          <cell r="G391">
            <v>67</v>
          </cell>
          <cell r="P391">
            <v>0</v>
          </cell>
          <cell r="X391">
            <v>0</v>
          </cell>
          <cell r="Y391">
            <v>0</v>
          </cell>
          <cell r="AC391">
            <v>0</v>
          </cell>
          <cell r="AD391">
            <v>0</v>
          </cell>
          <cell r="AK391">
            <v>120.63333333333333</v>
          </cell>
          <cell r="AL391">
            <v>69</v>
          </cell>
        </row>
        <row r="392">
          <cell r="F392">
            <v>8.6666666666666661</v>
          </cell>
          <cell r="G392">
            <v>5</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3</v>
          </cell>
          <cell r="P394">
            <v>0</v>
          </cell>
          <cell r="X394">
            <v>0</v>
          </cell>
          <cell r="Y394">
            <v>0</v>
          </cell>
          <cell r="AC394">
            <v>0</v>
          </cell>
          <cell r="AD394">
            <v>0</v>
          </cell>
          <cell r="AK394">
            <v>5.333333333333333</v>
          </cell>
          <cell r="AL394">
            <v>3</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7</v>
          </cell>
          <cell r="AC396">
            <v>13.666666666666666</v>
          </cell>
          <cell r="AD396">
            <v>8</v>
          </cell>
          <cell r="AK396">
            <v>26</v>
          </cell>
          <cell r="AL396">
            <v>17</v>
          </cell>
          <cell r="AM396">
            <v>427.83333333333337</v>
          </cell>
        </row>
        <row r="397">
          <cell r="F397">
            <v>0</v>
          </cell>
          <cell r="G397">
            <v>0</v>
          </cell>
          <cell r="P397">
            <v>0</v>
          </cell>
          <cell r="X397">
            <v>0</v>
          </cell>
          <cell r="Y397">
            <v>0</v>
          </cell>
          <cell r="AC397">
            <v>0</v>
          </cell>
          <cell r="AD397">
            <v>0</v>
          </cell>
          <cell r="AK397">
            <v>0</v>
          </cell>
          <cell r="AL397">
            <v>0</v>
          </cell>
        </row>
        <row r="398">
          <cell r="F398">
            <v>1.1666666666666667</v>
          </cell>
          <cell r="G398">
            <v>1</v>
          </cell>
          <cell r="P398">
            <v>20.5</v>
          </cell>
          <cell r="X398">
            <v>522.33333333333337</v>
          </cell>
          <cell r="Y398">
            <v>342</v>
          </cell>
          <cell r="AC398">
            <v>43</v>
          </cell>
          <cell r="AD398">
            <v>25</v>
          </cell>
          <cell r="AK398">
            <v>587.33333333333337</v>
          </cell>
          <cell r="AL398">
            <v>388.5</v>
          </cell>
          <cell r="AM398">
            <v>388.83333333333337</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314</v>
          </cell>
          <cell r="AC400">
            <v>11</v>
          </cell>
          <cell r="AD400">
            <v>7</v>
          </cell>
          <cell r="AK400">
            <v>491.66666666666669</v>
          </cell>
          <cell r="AL400">
            <v>321</v>
          </cell>
        </row>
        <row r="401">
          <cell r="F401">
            <v>0</v>
          </cell>
          <cell r="G401">
            <v>0</v>
          </cell>
          <cell r="P401">
            <v>0</v>
          </cell>
          <cell r="X401">
            <v>0</v>
          </cell>
          <cell r="Y401">
            <v>0</v>
          </cell>
          <cell r="AC401">
            <v>0</v>
          </cell>
          <cell r="AD401">
            <v>0</v>
          </cell>
          <cell r="AK401">
            <v>0</v>
          </cell>
          <cell r="AL401">
            <v>0</v>
          </cell>
        </row>
        <row r="402">
          <cell r="F402">
            <v>1.1666666666666667</v>
          </cell>
          <cell r="G402">
            <v>1</v>
          </cell>
          <cell r="P402">
            <v>15.833333333333334</v>
          </cell>
          <cell r="X402">
            <v>41.666666666666664</v>
          </cell>
          <cell r="Y402">
            <v>27</v>
          </cell>
          <cell r="AC402">
            <v>32</v>
          </cell>
          <cell r="AD402">
            <v>19</v>
          </cell>
          <cell r="AK402">
            <v>91</v>
          </cell>
          <cell r="AL402">
            <v>67.833333333333343</v>
          </cell>
        </row>
        <row r="403">
          <cell r="F403">
            <v>0</v>
          </cell>
          <cell r="G403">
            <v>0</v>
          </cell>
          <cell r="P403">
            <v>4.666666666666667</v>
          </cell>
          <cell r="X403">
            <v>0</v>
          </cell>
          <cell r="Y403">
            <v>0</v>
          </cell>
          <cell r="AC403">
            <v>0</v>
          </cell>
          <cell r="AD403">
            <v>0</v>
          </cell>
          <cell r="AK403">
            <v>4.666666666666667</v>
          </cell>
          <cell r="AL403">
            <v>0</v>
          </cell>
          <cell r="AM403">
            <v>46</v>
          </cell>
        </row>
        <row r="404">
          <cell r="F404">
            <v>0</v>
          </cell>
          <cell r="G404">
            <v>0</v>
          </cell>
          <cell r="P404">
            <v>0</v>
          </cell>
          <cell r="X404">
            <v>0</v>
          </cell>
          <cell r="Y404">
            <v>0</v>
          </cell>
          <cell r="AC404">
            <v>0</v>
          </cell>
          <cell r="AD404">
            <v>0</v>
          </cell>
          <cell r="AK404">
            <v>0</v>
          </cell>
          <cell r="AL404">
            <v>5.3333333333333339</v>
          </cell>
        </row>
        <row r="405">
          <cell r="F405">
            <v>10</v>
          </cell>
          <cell r="G405">
            <v>6</v>
          </cell>
          <cell r="P405">
            <v>39</v>
          </cell>
          <cell r="X405">
            <v>0</v>
          </cell>
          <cell r="Y405">
            <v>0</v>
          </cell>
          <cell r="AC405">
            <v>0</v>
          </cell>
          <cell r="AD405">
            <v>0</v>
          </cell>
          <cell r="AK405">
            <v>49</v>
          </cell>
          <cell r="AL405">
            <v>45</v>
          </cell>
          <cell r="AM405">
            <v>44</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4</v>
          </cell>
          <cell r="H407">
            <v>130</v>
          </cell>
          <cell r="P407">
            <v>35.666666666666664</v>
          </cell>
          <cell r="S407">
            <v>50.166666666666671</v>
          </cell>
          <cell r="X407">
            <v>0</v>
          </cell>
          <cell r="Y407">
            <v>0</v>
          </cell>
          <cell r="AC407">
            <v>0</v>
          </cell>
          <cell r="AD407">
            <v>0</v>
          </cell>
          <cell r="AK407">
            <v>43</v>
          </cell>
          <cell r="AL407">
            <v>39.666666666666664</v>
          </cell>
          <cell r="AM407">
            <v>481.16666666666663</v>
          </cell>
        </row>
        <row r="408">
          <cell r="F408">
            <v>0</v>
          </cell>
          <cell r="G408">
            <v>0</v>
          </cell>
          <cell r="P408">
            <v>0</v>
          </cell>
          <cell r="X408">
            <v>0</v>
          </cell>
          <cell r="Y408">
            <v>0</v>
          </cell>
          <cell r="AC408">
            <v>0</v>
          </cell>
          <cell r="AD408">
            <v>0</v>
          </cell>
          <cell r="AK408">
            <v>0</v>
          </cell>
          <cell r="AL408">
            <v>0</v>
          </cell>
        </row>
        <row r="409">
          <cell r="F409">
            <v>206.33333333333329</v>
          </cell>
          <cell r="G409">
            <v>115</v>
          </cell>
          <cell r="H409">
            <v>114</v>
          </cell>
          <cell r="P409">
            <v>50.166666666666671</v>
          </cell>
          <cell r="S409">
            <v>50.166666666666671</v>
          </cell>
          <cell r="X409">
            <v>37.833333333333343</v>
          </cell>
          <cell r="Y409">
            <v>25</v>
          </cell>
          <cell r="AC409">
            <v>26.000000000000004</v>
          </cell>
          <cell r="AD409">
            <v>15</v>
          </cell>
          <cell r="AK409">
            <v>1965.0000000000002</v>
          </cell>
          <cell r="AL409">
            <v>464.16666666666663</v>
          </cell>
          <cell r="AM409">
            <v>464.16666666666663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P412">
            <v>0</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1</v>
          </cell>
          <cell r="P415">
            <v>5</v>
          </cell>
          <cell r="X415">
            <v>3</v>
          </cell>
          <cell r="Y415">
            <v>2</v>
          </cell>
          <cell r="AC415">
            <v>3</v>
          </cell>
          <cell r="AD415">
            <v>2</v>
          </cell>
          <cell r="AK415">
            <v>57.666666666666664</v>
          </cell>
          <cell r="AL415">
            <v>50</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3</v>
          </cell>
          <cell r="AC418">
            <v>1.3333333333333333</v>
          </cell>
          <cell r="AD418">
            <v>1</v>
          </cell>
          <cell r="AK418">
            <v>28.5</v>
          </cell>
          <cell r="AL418">
            <v>26.5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99</v>
          </cell>
          <cell r="P420">
            <v>0</v>
          </cell>
          <cell r="X420">
            <v>0</v>
          </cell>
          <cell r="Y420">
            <v>0</v>
          </cell>
          <cell r="AC420">
            <v>0</v>
          </cell>
          <cell r="AD420">
            <v>0</v>
          </cell>
          <cell r="AK420">
            <v>177</v>
          </cell>
          <cell r="AL420">
            <v>99</v>
          </cell>
        </row>
        <row r="421">
          <cell r="F421">
            <v>0</v>
          </cell>
          <cell r="G421">
            <v>0</v>
          </cell>
          <cell r="P421">
            <v>0</v>
          </cell>
          <cell r="X421">
            <v>10</v>
          </cell>
          <cell r="Y421">
            <v>7</v>
          </cell>
          <cell r="AC421">
            <v>7.666666666666667</v>
          </cell>
          <cell r="AD421">
            <v>5</v>
          </cell>
          <cell r="AK421">
            <v>17.666666666666668</v>
          </cell>
          <cell r="AL421">
            <v>12</v>
          </cell>
        </row>
        <row r="422">
          <cell r="F422">
            <v>0.66666666666666663</v>
          </cell>
          <cell r="G422">
            <v>0</v>
          </cell>
          <cell r="P422">
            <v>2</v>
          </cell>
          <cell r="X422">
            <v>1.3333333333333333</v>
          </cell>
          <cell r="Y422">
            <v>1</v>
          </cell>
          <cell r="AC422">
            <v>1</v>
          </cell>
          <cell r="AD422">
            <v>1</v>
          </cell>
          <cell r="AK422">
            <v>6</v>
          </cell>
          <cell r="AL422">
            <v>4</v>
          </cell>
        </row>
        <row r="423">
          <cell r="F423">
            <v>2.6666666666666665</v>
          </cell>
          <cell r="G423">
            <v>1</v>
          </cell>
          <cell r="P423">
            <v>0.33333333333333331</v>
          </cell>
          <cell r="X423">
            <v>1</v>
          </cell>
          <cell r="Y423">
            <v>1</v>
          </cell>
          <cell r="AC423">
            <v>0.66666666666666663</v>
          </cell>
          <cell r="AD423">
            <v>0</v>
          </cell>
          <cell r="AK423">
            <v>9.3333333333333339</v>
          </cell>
          <cell r="AL423">
            <v>4.3333333333333339</v>
          </cell>
        </row>
        <row r="424">
          <cell r="F424">
            <v>0</v>
          </cell>
          <cell r="G424">
            <v>0</v>
          </cell>
          <cell r="P424">
            <v>2.3333333333333335</v>
          </cell>
          <cell r="X424">
            <v>6</v>
          </cell>
          <cell r="Y424">
            <v>4</v>
          </cell>
          <cell r="AC424">
            <v>5</v>
          </cell>
          <cell r="AD424">
            <v>3</v>
          </cell>
          <cell r="AK424">
            <v>13.333333333333334</v>
          </cell>
          <cell r="AL424">
            <v>9.3333333333333339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5</v>
          </cell>
          <cell r="P427">
            <v>1</v>
          </cell>
          <cell r="X427">
            <v>0</v>
          </cell>
          <cell r="Y427">
            <v>0</v>
          </cell>
          <cell r="AC427">
            <v>0</v>
          </cell>
          <cell r="AD427">
            <v>0</v>
          </cell>
          <cell r="AK427">
            <v>12</v>
          </cell>
          <cell r="AL427">
            <v>7</v>
          </cell>
        </row>
        <row r="428">
          <cell r="F428">
            <v>0</v>
          </cell>
          <cell r="G428">
            <v>0</v>
          </cell>
          <cell r="P428">
            <v>0</v>
          </cell>
          <cell r="X428">
            <v>0</v>
          </cell>
          <cell r="Y428">
            <v>0</v>
          </cell>
          <cell r="AC428">
            <v>0</v>
          </cell>
          <cell r="AD428">
            <v>0</v>
          </cell>
          <cell r="AK428">
            <v>0</v>
          </cell>
          <cell r="AL428">
            <v>0</v>
          </cell>
        </row>
        <row r="429">
          <cell r="F429">
            <v>2.3333333333333335</v>
          </cell>
          <cell r="G429">
            <v>1</v>
          </cell>
          <cell r="P429">
            <v>0.66666666666666663</v>
          </cell>
          <cell r="X429">
            <v>0.66666666666666663</v>
          </cell>
          <cell r="Y429">
            <v>0</v>
          </cell>
          <cell r="AC429">
            <v>0.66666666666666663</v>
          </cell>
          <cell r="AD429">
            <v>0</v>
          </cell>
          <cell r="AK429">
            <v>4.333333333333333</v>
          </cell>
          <cell r="AL429">
            <v>1.6666666666666665</v>
          </cell>
        </row>
        <row r="430">
          <cell r="F430">
            <v>1.6666666666666667</v>
          </cell>
          <cell r="G430">
            <v>1</v>
          </cell>
          <cell r="P430">
            <v>0.66666666666666663</v>
          </cell>
          <cell r="X430">
            <v>0.66666666666666663</v>
          </cell>
          <cell r="Y430">
            <v>0</v>
          </cell>
          <cell r="AC430">
            <v>0.66666666666666663</v>
          </cell>
          <cell r="AD430">
            <v>0</v>
          </cell>
          <cell r="AK430">
            <v>3.6666666666666665</v>
          </cell>
          <cell r="AL430">
            <v>1.6666666666666665</v>
          </cell>
        </row>
        <row r="431">
          <cell r="F431">
            <v>6.666666666666667</v>
          </cell>
          <cell r="G431">
            <v>4</v>
          </cell>
          <cell r="P431">
            <v>4.666666666666667</v>
          </cell>
          <cell r="X431">
            <v>3</v>
          </cell>
          <cell r="Y431">
            <v>2</v>
          </cell>
          <cell r="AC431">
            <v>2</v>
          </cell>
          <cell r="AD431">
            <v>1</v>
          </cell>
          <cell r="AK431">
            <v>33</v>
          </cell>
          <cell r="AL431">
            <v>21.666666666666668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1</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3</v>
          </cell>
          <cell r="AC437">
            <v>2</v>
          </cell>
          <cell r="AD437">
            <v>1</v>
          </cell>
          <cell r="AK437">
            <v>15.666666666666666</v>
          </cell>
          <cell r="AL437">
            <v>9</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2</v>
          </cell>
          <cell r="AC439">
            <v>0</v>
          </cell>
          <cell r="AD439">
            <v>0</v>
          </cell>
          <cell r="AK439">
            <v>3.3333333333333335</v>
          </cell>
          <cell r="AL439">
            <v>2</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2"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37211</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13122</v>
          </cell>
          <cell r="P48">
            <v>2489.2866666666664</v>
          </cell>
          <cell r="S48">
            <v>6569.1989393939384</v>
          </cell>
          <cell r="T48">
            <v>2125.1968969696973</v>
          </cell>
          <cell r="U48">
            <v>2413.8020424242422</v>
          </cell>
          <cell r="V48">
            <v>2576.1318181818187</v>
          </cell>
          <cell r="X48">
            <v>3133.4075757575761</v>
          </cell>
          <cell r="AA48">
            <v>2709.5690909090908</v>
          </cell>
          <cell r="AC48">
            <v>2333.3751515151525</v>
          </cell>
          <cell r="AF48">
            <v>4511.4533333333329</v>
          </cell>
          <cell r="AG48">
            <v>3609.54</v>
          </cell>
          <cell r="AH48">
            <v>856.9133333333333</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735</v>
          </cell>
          <cell r="G51">
            <v>327</v>
          </cell>
          <cell r="H51">
            <v>408</v>
          </cell>
          <cell r="P51">
            <v>145.6</v>
          </cell>
          <cell r="S51">
            <v>1069.6666666666665</v>
          </cell>
          <cell r="T51">
            <v>534.83333333333326</v>
          </cell>
          <cell r="U51">
            <v>534.83333333333326</v>
          </cell>
          <cell r="V51">
            <v>187</v>
          </cell>
          <cell r="W51">
            <v>152</v>
          </cell>
          <cell r="X51">
            <v>223.4</v>
          </cell>
          <cell r="Y51">
            <v>160</v>
          </cell>
          <cell r="Z51">
            <v>63.400000000000006</v>
          </cell>
          <cell r="AA51">
            <v>48</v>
          </cell>
          <cell r="AB51">
            <v>38</v>
          </cell>
          <cell r="AC51">
            <v>538.98333333333346</v>
          </cell>
          <cell r="AD51">
            <v>383</v>
          </cell>
          <cell r="AE51">
            <v>155.98333333333346</v>
          </cell>
          <cell r="AF51">
            <v>635.25</v>
          </cell>
          <cell r="AG51">
            <v>456.25</v>
          </cell>
          <cell r="AH51">
            <v>179</v>
          </cell>
          <cell r="AK51">
            <v>3373.9</v>
          </cell>
          <cell r="AL51">
            <v>1062.5999999999999</v>
          </cell>
          <cell r="AM51">
            <v>2311.3000000000002</v>
          </cell>
          <cell r="AN51">
            <v>2311.3000000000002</v>
          </cell>
          <cell r="AO51">
            <v>543</v>
          </cell>
          <cell r="AP51">
            <v>583</v>
          </cell>
          <cell r="AQ51">
            <v>519.59999999999991</v>
          </cell>
          <cell r="AR51">
            <v>1728.3000000000002</v>
          </cell>
        </row>
        <row r="52">
          <cell r="F52">
            <v>163</v>
          </cell>
          <cell r="G52">
            <v>72</v>
          </cell>
          <cell r="H52">
            <v>91</v>
          </cell>
          <cell r="P52">
            <v>118</v>
          </cell>
          <cell r="S52">
            <v>703</v>
          </cell>
          <cell r="V52">
            <v>132</v>
          </cell>
          <cell r="W52">
            <v>107</v>
          </cell>
          <cell r="X52">
            <v>128</v>
          </cell>
          <cell r="Y52">
            <v>92</v>
          </cell>
          <cell r="Z52">
            <v>36</v>
          </cell>
          <cell r="AA52">
            <v>100</v>
          </cell>
          <cell r="AB52">
            <v>79</v>
          </cell>
          <cell r="AC52">
            <v>89</v>
          </cell>
          <cell r="AD52">
            <v>63</v>
          </cell>
          <cell r="AE52">
            <v>26</v>
          </cell>
          <cell r="AF52">
            <v>616</v>
          </cell>
          <cell r="AG52">
            <v>616</v>
          </cell>
          <cell r="AH52">
            <v>0</v>
          </cell>
          <cell r="AK52">
            <v>1849</v>
          </cell>
          <cell r="AL52">
            <v>375</v>
          </cell>
          <cell r="AM52">
            <v>1474</v>
          </cell>
          <cell r="AN52">
            <v>1474</v>
          </cell>
        </row>
        <row r="53">
          <cell r="F53">
            <v>20</v>
          </cell>
          <cell r="G53">
            <v>0</v>
          </cell>
          <cell r="H53">
            <v>12</v>
          </cell>
          <cell r="P53">
            <v>0</v>
          </cell>
          <cell r="S53">
            <v>368.66666666666669</v>
          </cell>
          <cell r="T53">
            <v>287.56</v>
          </cell>
          <cell r="U53">
            <v>81.106666666666683</v>
          </cell>
          <cell r="V53">
            <v>0</v>
          </cell>
          <cell r="W53">
            <v>0</v>
          </cell>
          <cell r="X53">
            <v>2.5499999999999998</v>
          </cell>
          <cell r="Y53">
            <v>2</v>
          </cell>
          <cell r="Z53">
            <v>0.54999999999999982</v>
          </cell>
          <cell r="AA53">
            <v>-300</v>
          </cell>
          <cell r="AB53">
            <v>-238</v>
          </cell>
          <cell r="AC53">
            <v>0</v>
          </cell>
          <cell r="AD53">
            <v>0</v>
          </cell>
          <cell r="AE53">
            <v>0</v>
          </cell>
          <cell r="AF53">
            <v>189.33333333333334</v>
          </cell>
          <cell r="AG53">
            <v>110</v>
          </cell>
          <cell r="AH53">
            <v>0</v>
          </cell>
          <cell r="AI53">
            <v>36</v>
          </cell>
          <cell r="AK53">
            <v>2.5499999999999998</v>
          </cell>
          <cell r="AL53">
            <v>2</v>
          </cell>
          <cell r="AM53">
            <v>0.54999999999999982</v>
          </cell>
          <cell r="AN53">
            <v>0.54999999999999982</v>
          </cell>
          <cell r="AO53">
            <v>690</v>
          </cell>
          <cell r="AP53">
            <v>498</v>
          </cell>
          <cell r="AQ53">
            <v>61.666666666666629</v>
          </cell>
          <cell r="AR53">
            <v>365.66666666666663</v>
          </cell>
        </row>
        <row r="54">
          <cell r="F54">
            <v>561</v>
          </cell>
          <cell r="G54">
            <v>249</v>
          </cell>
          <cell r="H54">
            <v>312</v>
          </cell>
          <cell r="P54">
            <v>30</v>
          </cell>
          <cell r="S54">
            <v>79</v>
          </cell>
          <cell r="T54">
            <v>13.666666666666666</v>
          </cell>
          <cell r="U54">
            <v>0</v>
          </cell>
          <cell r="V54">
            <v>44</v>
          </cell>
          <cell r="W54">
            <v>36</v>
          </cell>
          <cell r="X54">
            <v>69</v>
          </cell>
          <cell r="Y54">
            <v>50</v>
          </cell>
          <cell r="Z54">
            <v>19</v>
          </cell>
          <cell r="AA54">
            <v>47</v>
          </cell>
          <cell r="AB54">
            <v>37</v>
          </cell>
          <cell r="AC54">
            <v>55</v>
          </cell>
          <cell r="AD54">
            <v>39</v>
          </cell>
          <cell r="AE54">
            <v>16</v>
          </cell>
          <cell r="AF54">
            <v>4</v>
          </cell>
          <cell r="AG54">
            <v>3</v>
          </cell>
          <cell r="AH54">
            <v>0</v>
          </cell>
          <cell r="AK54">
            <v>954</v>
          </cell>
          <cell r="AL54">
            <v>404</v>
          </cell>
          <cell r="AM54">
            <v>550</v>
          </cell>
          <cell r="AN54">
            <v>550</v>
          </cell>
          <cell r="AO54">
            <v>503</v>
          </cell>
          <cell r="AP54">
            <v>272</v>
          </cell>
          <cell r="AQ54">
            <v>0</v>
          </cell>
          <cell r="AR54">
            <v>9</v>
          </cell>
        </row>
        <row r="55">
          <cell r="F55">
            <v>1</v>
          </cell>
          <cell r="G55">
            <v>0</v>
          </cell>
          <cell r="H55">
            <v>1</v>
          </cell>
          <cell r="P55">
            <v>27.766666666666676</v>
          </cell>
          <cell r="S55">
            <v>613</v>
          </cell>
          <cell r="T55">
            <v>478.14000000000004</v>
          </cell>
          <cell r="U55">
            <v>134.85999999999996</v>
          </cell>
          <cell r="V55">
            <v>995</v>
          </cell>
          <cell r="W55">
            <v>807</v>
          </cell>
          <cell r="X55">
            <v>453</v>
          </cell>
          <cell r="Y55">
            <v>325</v>
          </cell>
          <cell r="Z55">
            <v>128</v>
          </cell>
          <cell r="AA55">
            <v>84</v>
          </cell>
          <cell r="AB55">
            <v>67</v>
          </cell>
          <cell r="AC55">
            <v>71.683333333333351</v>
          </cell>
          <cell r="AD55">
            <v>51</v>
          </cell>
          <cell r="AE55">
            <v>20.683333333333351</v>
          </cell>
          <cell r="AF55">
            <v>160.93333333333328</v>
          </cell>
          <cell r="AG55">
            <v>150</v>
          </cell>
          <cell r="AH55">
            <v>10.93333333333328</v>
          </cell>
          <cell r="AK55">
            <v>1316.45</v>
          </cell>
          <cell r="AL55">
            <v>403.76666666666665</v>
          </cell>
          <cell r="AM55">
            <v>912.68333333333339</v>
          </cell>
          <cell r="AN55">
            <v>912.68333333333339</v>
          </cell>
          <cell r="AO55">
            <v>376</v>
          </cell>
          <cell r="AP55">
            <v>357</v>
          </cell>
          <cell r="AQ55">
            <v>27.766666666666652</v>
          </cell>
          <cell r="AR55">
            <v>555.68333333333339</v>
          </cell>
        </row>
        <row r="56">
          <cell r="F56">
            <v>0</v>
          </cell>
          <cell r="G56">
            <v>0</v>
          </cell>
          <cell r="H56">
            <v>0</v>
          </cell>
          <cell r="P56">
            <v>0</v>
          </cell>
          <cell r="S56">
            <v>13.666666666666666</v>
          </cell>
          <cell r="T56">
            <v>13.666666666666666</v>
          </cell>
          <cell r="U56">
            <v>0</v>
          </cell>
          <cell r="V56">
            <v>910</v>
          </cell>
          <cell r="W56">
            <v>738</v>
          </cell>
          <cell r="X56">
            <v>277</v>
          </cell>
          <cell r="Y56">
            <v>199</v>
          </cell>
          <cell r="Z56">
            <v>78</v>
          </cell>
          <cell r="AA56">
            <v>13.333333333333334</v>
          </cell>
          <cell r="AB56">
            <v>11</v>
          </cell>
          <cell r="AC56">
            <v>13.333333333333334</v>
          </cell>
          <cell r="AD56">
            <v>9</v>
          </cell>
          <cell r="AE56">
            <v>4.3333333333333339</v>
          </cell>
          <cell r="AF56">
            <v>0.33333333333333331</v>
          </cell>
          <cell r="AG56">
            <v>2</v>
          </cell>
          <cell r="AH56">
            <v>0.33333333333333331</v>
          </cell>
          <cell r="AI56">
            <v>0</v>
          </cell>
          <cell r="AK56">
            <v>304</v>
          </cell>
          <cell r="AL56">
            <v>208</v>
          </cell>
          <cell r="AM56">
            <v>96</v>
          </cell>
          <cell r="AN56">
            <v>96</v>
          </cell>
          <cell r="AO56">
            <v>208</v>
          </cell>
          <cell r="AP56">
            <v>87</v>
          </cell>
          <cell r="AQ56">
            <v>0</v>
          </cell>
          <cell r="AR56">
            <v>9</v>
          </cell>
        </row>
        <row r="57">
          <cell r="F57">
            <v>0</v>
          </cell>
          <cell r="G57">
            <v>0</v>
          </cell>
          <cell r="H57">
            <v>0</v>
          </cell>
          <cell r="S57">
            <v>2945</v>
          </cell>
          <cell r="T57">
            <v>2945</v>
          </cell>
          <cell r="U57">
            <v>0</v>
          </cell>
          <cell r="V57">
            <v>11300</v>
          </cell>
          <cell r="W57">
            <v>9168</v>
          </cell>
          <cell r="X57">
            <v>12359</v>
          </cell>
          <cell r="Y57">
            <v>8878</v>
          </cell>
          <cell r="Z57">
            <v>3481</v>
          </cell>
          <cell r="AA57">
            <v>10588</v>
          </cell>
          <cell r="AB57">
            <v>8403</v>
          </cell>
          <cell r="AC57">
            <v>10357</v>
          </cell>
          <cell r="AD57">
            <v>7369</v>
          </cell>
          <cell r="AE57">
            <v>2988</v>
          </cell>
          <cell r="AF57">
            <v>0</v>
          </cell>
          <cell r="AH57">
            <v>0</v>
          </cell>
          <cell r="AK57">
            <v>25661</v>
          </cell>
          <cell r="AL57">
            <v>16247</v>
          </cell>
          <cell r="AM57">
            <v>9414</v>
          </cell>
          <cell r="AN57">
            <v>9414</v>
          </cell>
          <cell r="AO57">
            <v>16247</v>
          </cell>
          <cell r="AP57">
            <v>9414</v>
          </cell>
          <cell r="AQ57">
            <v>0</v>
          </cell>
          <cell r="AR57">
            <v>0</v>
          </cell>
        </row>
        <row r="58">
          <cell r="F58">
            <v>0</v>
          </cell>
          <cell r="G58">
            <v>0</v>
          </cell>
          <cell r="H58">
            <v>0</v>
          </cell>
          <cell r="P58">
            <v>0</v>
          </cell>
          <cell r="S58">
            <v>2945</v>
          </cell>
          <cell r="T58">
            <v>2945</v>
          </cell>
          <cell r="U58">
            <v>0</v>
          </cell>
          <cell r="V58">
            <v>11300</v>
          </cell>
          <cell r="W58">
            <v>9168</v>
          </cell>
          <cell r="X58">
            <v>12359</v>
          </cell>
          <cell r="Y58">
            <v>8878</v>
          </cell>
          <cell r="Z58">
            <v>3481</v>
          </cell>
          <cell r="AA58">
            <v>10588</v>
          </cell>
          <cell r="AB58">
            <v>8403</v>
          </cell>
          <cell r="AC58">
            <v>10357</v>
          </cell>
          <cell r="AD58">
            <v>7369</v>
          </cell>
          <cell r="AE58">
            <v>2988</v>
          </cell>
          <cell r="AF58">
            <v>0</v>
          </cell>
          <cell r="AG58">
            <v>0</v>
          </cell>
          <cell r="AH58">
            <v>0</v>
          </cell>
          <cell r="AI58">
            <v>241</v>
          </cell>
          <cell r="AK58">
            <v>25661</v>
          </cell>
          <cell r="AL58">
            <v>16247</v>
          </cell>
          <cell r="AM58">
            <v>9414</v>
          </cell>
          <cell r="AN58">
            <v>9414</v>
          </cell>
          <cell r="AO58">
            <v>16247</v>
          </cell>
          <cell r="AP58">
            <v>9414</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164</v>
          </cell>
          <cell r="AE59">
            <v>113.36181818181819</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18.416666666666661</v>
          </cell>
          <cell r="S60">
            <v>65</v>
          </cell>
          <cell r="T60">
            <v>65</v>
          </cell>
          <cell r="U60">
            <v>0</v>
          </cell>
          <cell r="V60">
            <v>0</v>
          </cell>
          <cell r="W60">
            <v>0</v>
          </cell>
          <cell r="X60">
            <v>0</v>
          </cell>
          <cell r="Y60">
            <v>0</v>
          </cell>
          <cell r="Z60">
            <v>0</v>
          </cell>
          <cell r="AA60">
            <v>0</v>
          </cell>
          <cell r="AB60">
            <v>0</v>
          </cell>
          <cell r="AC60">
            <v>0</v>
          </cell>
          <cell r="AD60">
            <v>0</v>
          </cell>
          <cell r="AE60">
            <v>0</v>
          </cell>
          <cell r="AF60">
            <v>837.81666666666649</v>
          </cell>
          <cell r="AG60">
            <v>338</v>
          </cell>
          <cell r="AH60">
            <v>499.81666666666649</v>
          </cell>
          <cell r="AI60">
            <v>15</v>
          </cell>
          <cell r="AK60">
            <v>427.41666666666663</v>
          </cell>
          <cell r="AL60">
            <v>21.416666666666661</v>
          </cell>
          <cell r="AM60">
            <v>405.99999999999994</v>
          </cell>
          <cell r="AN60">
            <v>406</v>
          </cell>
          <cell r="AO60">
            <v>0</v>
          </cell>
          <cell r="AP60">
            <v>22</v>
          </cell>
          <cell r="AQ60">
            <v>21.416666666666661</v>
          </cell>
          <cell r="AR60">
            <v>383.99999999999994</v>
          </cell>
        </row>
        <row r="61">
          <cell r="F61">
            <v>402</v>
          </cell>
          <cell r="G61">
            <v>179</v>
          </cell>
          <cell r="H61">
            <v>223</v>
          </cell>
          <cell r="P61">
            <v>543.5200000000001</v>
          </cell>
          <cell r="S61">
            <v>975.15727272727281</v>
          </cell>
          <cell r="T61">
            <v>477.82706363636368</v>
          </cell>
          <cell r="U61">
            <v>497.33020909090914</v>
          </cell>
          <cell r="V61">
            <v>191.13181818181818</v>
          </cell>
          <cell r="W61">
            <v>155</v>
          </cell>
          <cell r="X61">
            <v>299.2409090909091</v>
          </cell>
          <cell r="Y61">
            <v>215</v>
          </cell>
          <cell r="Z61">
            <v>84.240909090909099</v>
          </cell>
          <cell r="AA61">
            <v>277.5690909090909</v>
          </cell>
          <cell r="AB61">
            <v>220</v>
          </cell>
          <cell r="AC61">
            <v>291.0418181818182</v>
          </cell>
          <cell r="AD61">
            <v>207</v>
          </cell>
          <cell r="AE61">
            <v>84.041818181818201</v>
          </cell>
          <cell r="AF61">
            <v>1109.0700000000002</v>
          </cell>
          <cell r="AG61">
            <v>1000</v>
          </cell>
          <cell r="AH61">
            <v>109.07000000000016</v>
          </cell>
          <cell r="AI61">
            <v>88</v>
          </cell>
          <cell r="AK61">
            <v>3807.96</v>
          </cell>
          <cell r="AL61">
            <v>1344.52</v>
          </cell>
          <cell r="AM61">
            <v>2463.44</v>
          </cell>
          <cell r="AN61">
            <v>2463.44</v>
          </cell>
          <cell r="AO61">
            <v>422</v>
          </cell>
          <cell r="AP61">
            <v>500</v>
          </cell>
          <cell r="AQ61">
            <v>922.52</v>
          </cell>
          <cell r="AR61">
            <v>1963.44</v>
          </cell>
        </row>
        <row r="62">
          <cell r="F62">
            <v>22</v>
          </cell>
          <cell r="G62">
            <v>10</v>
          </cell>
          <cell r="H62">
            <v>12</v>
          </cell>
          <cell r="P62">
            <v>30</v>
          </cell>
          <cell r="S62">
            <v>54</v>
          </cell>
          <cell r="T62">
            <v>26</v>
          </cell>
          <cell r="U62">
            <v>27</v>
          </cell>
          <cell r="V62">
            <v>11</v>
          </cell>
          <cell r="W62">
            <v>9</v>
          </cell>
          <cell r="X62">
            <v>16</v>
          </cell>
          <cell r="Y62">
            <v>11</v>
          </cell>
          <cell r="Z62">
            <v>5</v>
          </cell>
          <cell r="AA62">
            <v>15</v>
          </cell>
          <cell r="AB62">
            <v>12</v>
          </cell>
          <cell r="AC62">
            <v>16</v>
          </cell>
          <cell r="AD62">
            <v>11</v>
          </cell>
          <cell r="AE62">
            <v>5</v>
          </cell>
          <cell r="AF62">
            <v>61</v>
          </cell>
          <cell r="AG62">
            <v>55</v>
          </cell>
          <cell r="AH62">
            <v>6</v>
          </cell>
          <cell r="AK62">
            <v>209</v>
          </cell>
          <cell r="AL62">
            <v>74</v>
          </cell>
          <cell r="AM62">
            <v>135</v>
          </cell>
          <cell r="AN62">
            <v>136</v>
          </cell>
          <cell r="AO62">
            <v>22</v>
          </cell>
          <cell r="AP62">
            <v>20</v>
          </cell>
          <cell r="AQ62">
            <v>52</v>
          </cell>
          <cell r="AR62">
            <v>115</v>
          </cell>
        </row>
        <row r="63">
          <cell r="F63">
            <v>129</v>
          </cell>
          <cell r="G63">
            <v>57</v>
          </cell>
          <cell r="H63">
            <v>72</v>
          </cell>
          <cell r="P63">
            <v>174</v>
          </cell>
          <cell r="S63">
            <v>312</v>
          </cell>
          <cell r="T63">
            <v>153</v>
          </cell>
          <cell r="U63">
            <v>159</v>
          </cell>
          <cell r="V63">
            <v>61</v>
          </cell>
          <cell r="W63">
            <v>49</v>
          </cell>
          <cell r="X63">
            <v>96</v>
          </cell>
          <cell r="Y63">
            <v>69</v>
          </cell>
          <cell r="Z63">
            <v>27</v>
          </cell>
          <cell r="AA63">
            <v>89</v>
          </cell>
          <cell r="AB63">
            <v>71</v>
          </cell>
          <cell r="AC63">
            <v>93</v>
          </cell>
          <cell r="AD63">
            <v>66</v>
          </cell>
          <cell r="AE63">
            <v>27</v>
          </cell>
          <cell r="AF63">
            <v>355</v>
          </cell>
          <cell r="AG63">
            <v>320</v>
          </cell>
          <cell r="AH63">
            <v>35</v>
          </cell>
          <cell r="AK63">
            <v>1219</v>
          </cell>
          <cell r="AL63">
            <v>430</v>
          </cell>
          <cell r="AM63">
            <v>789</v>
          </cell>
          <cell r="AN63">
            <v>789</v>
          </cell>
          <cell r="AO63">
            <v>0</v>
          </cell>
          <cell r="AP63">
            <v>0</v>
          </cell>
          <cell r="AQ63">
            <v>0</v>
          </cell>
          <cell r="AR63">
            <v>0</v>
          </cell>
        </row>
        <row r="64">
          <cell r="F64">
            <v>0</v>
          </cell>
          <cell r="G64">
            <v>0</v>
          </cell>
          <cell r="P64">
            <v>0</v>
          </cell>
          <cell r="T64">
            <v>18</v>
          </cell>
          <cell r="U64">
            <v>95</v>
          </cell>
          <cell r="V64">
            <v>0</v>
          </cell>
          <cell r="X64">
            <v>0</v>
          </cell>
          <cell r="AH64">
            <v>0</v>
          </cell>
          <cell r="AI64">
            <v>0</v>
          </cell>
          <cell r="AJ64">
            <v>0</v>
          </cell>
          <cell r="AK64">
            <v>0</v>
          </cell>
          <cell r="AN64">
            <v>0</v>
          </cell>
          <cell r="AO64">
            <v>79</v>
          </cell>
          <cell r="AP64">
            <v>87</v>
          </cell>
          <cell r="AQ64">
            <v>61</v>
          </cell>
          <cell r="AR64">
            <v>132</v>
          </cell>
        </row>
        <row r="65">
          <cell r="F65">
            <v>92</v>
          </cell>
          <cell r="G65">
            <v>41</v>
          </cell>
          <cell r="H65">
            <v>51</v>
          </cell>
          <cell r="P65">
            <v>361</v>
          </cell>
          <cell r="S65">
            <v>549</v>
          </cell>
          <cell r="T65">
            <v>87.84</v>
          </cell>
          <cell r="U65">
            <v>461.15999999999997</v>
          </cell>
          <cell r="V65">
            <v>551</v>
          </cell>
          <cell r="W65">
            <v>447</v>
          </cell>
          <cell r="X65">
            <v>500.33333333333337</v>
          </cell>
          <cell r="Y65">
            <v>359</v>
          </cell>
          <cell r="Z65">
            <v>141.33333333333337</v>
          </cell>
          <cell r="AA65">
            <v>573</v>
          </cell>
          <cell r="AB65">
            <v>455</v>
          </cell>
          <cell r="AC65">
            <v>406</v>
          </cell>
          <cell r="AD65">
            <v>289</v>
          </cell>
          <cell r="AE65">
            <v>117</v>
          </cell>
          <cell r="AF65">
            <v>585</v>
          </cell>
          <cell r="AG65">
            <v>585</v>
          </cell>
          <cell r="AH65">
            <v>0</v>
          </cell>
          <cell r="AK65">
            <v>2493.3333333333335</v>
          </cell>
          <cell r="AL65">
            <v>1050</v>
          </cell>
          <cell r="AM65">
            <v>1443.3333333333335</v>
          </cell>
          <cell r="AN65">
            <v>1443.3333333333335</v>
          </cell>
          <cell r="AO65">
            <v>648</v>
          </cell>
          <cell r="AP65">
            <v>445</v>
          </cell>
          <cell r="AQ65">
            <v>402</v>
          </cell>
          <cell r="AR65">
            <v>998.33333333333348</v>
          </cell>
        </row>
        <row r="66">
          <cell r="F66">
            <v>0</v>
          </cell>
          <cell r="G66">
            <v>0</v>
          </cell>
          <cell r="P66">
            <v>0</v>
          </cell>
          <cell r="S66">
            <v>0</v>
          </cell>
          <cell r="T66">
            <v>9</v>
          </cell>
          <cell r="U66">
            <v>46</v>
          </cell>
          <cell r="X66">
            <v>0</v>
          </cell>
          <cell r="AC66">
            <v>0</v>
          </cell>
          <cell r="AD66">
            <v>0</v>
          </cell>
          <cell r="AH66">
            <v>0</v>
          </cell>
          <cell r="AK66">
            <v>0</v>
          </cell>
          <cell r="AL66">
            <v>0</v>
          </cell>
          <cell r="AM66">
            <v>0</v>
          </cell>
          <cell r="AN66">
            <v>0</v>
          </cell>
          <cell r="AO66">
            <v>65</v>
          </cell>
          <cell r="AP66">
            <v>45</v>
          </cell>
          <cell r="AQ66">
            <v>40</v>
          </cell>
          <cell r="AR66">
            <v>100</v>
          </cell>
        </row>
        <row r="67">
          <cell r="F67">
            <v>84</v>
          </cell>
          <cell r="G67">
            <v>37</v>
          </cell>
          <cell r="H67">
            <v>47</v>
          </cell>
          <cell r="P67">
            <v>361</v>
          </cell>
          <cell r="S67">
            <v>549</v>
          </cell>
          <cell r="T67">
            <v>162.16</v>
          </cell>
          <cell r="U67">
            <v>850.84</v>
          </cell>
          <cell r="V67">
            <v>80</v>
          </cell>
          <cell r="X67">
            <v>8.5</v>
          </cell>
          <cell r="Y67">
            <v>368</v>
          </cell>
          <cell r="Z67">
            <v>195</v>
          </cell>
          <cell r="AA67">
            <v>300</v>
          </cell>
          <cell r="AC67">
            <v>229.5</v>
          </cell>
          <cell r="AD67">
            <v>423</v>
          </cell>
          <cell r="AE67">
            <v>290</v>
          </cell>
          <cell r="AF67">
            <v>202</v>
          </cell>
          <cell r="AG67">
            <v>119</v>
          </cell>
          <cell r="AH67">
            <v>83</v>
          </cell>
          <cell r="AI67">
            <v>0</v>
          </cell>
          <cell r="AJ67">
            <v>0</v>
          </cell>
          <cell r="AK67">
            <v>1351</v>
          </cell>
          <cell r="AL67">
            <v>398</v>
          </cell>
          <cell r="AM67">
            <v>953</v>
          </cell>
          <cell r="AN67">
            <v>715</v>
          </cell>
          <cell r="AO67">
            <v>712</v>
          </cell>
          <cell r="AP67">
            <v>151</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555</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4</v>
          </cell>
          <cell r="P69">
            <v>0</v>
          </cell>
          <cell r="S69">
            <v>0</v>
          </cell>
          <cell r="T69">
            <v>78.84</v>
          </cell>
          <cell r="U69">
            <v>415.15999999999997</v>
          </cell>
          <cell r="V69">
            <v>471</v>
          </cell>
          <cell r="W69">
            <v>447</v>
          </cell>
          <cell r="X69">
            <v>491.83333333333337</v>
          </cell>
          <cell r="Y69">
            <v>359</v>
          </cell>
          <cell r="Z69">
            <v>141.33333333333337</v>
          </cell>
          <cell r="AA69">
            <v>273</v>
          </cell>
          <cell r="AB69">
            <v>455</v>
          </cell>
          <cell r="AC69">
            <v>176.5</v>
          </cell>
          <cell r="AD69">
            <v>289</v>
          </cell>
          <cell r="AE69">
            <v>117</v>
          </cell>
          <cell r="AF69">
            <v>383</v>
          </cell>
          <cell r="AG69">
            <v>383</v>
          </cell>
          <cell r="AH69">
            <v>0</v>
          </cell>
          <cell r="AK69">
            <v>1051.3333333333335</v>
          </cell>
          <cell r="AL69">
            <v>323</v>
          </cell>
          <cell r="AM69">
            <v>812.09090909090924</v>
          </cell>
          <cell r="AN69">
            <v>645.33333333333337</v>
          </cell>
          <cell r="AO69">
            <v>583</v>
          </cell>
          <cell r="AP69">
            <v>249</v>
          </cell>
          <cell r="AQ69">
            <v>362</v>
          </cell>
          <cell r="AR69">
            <v>898.33333333333348</v>
          </cell>
        </row>
        <row r="70">
          <cell r="F70">
            <v>204</v>
          </cell>
          <cell r="G70">
            <v>91</v>
          </cell>
          <cell r="H70">
            <v>113</v>
          </cell>
          <cell r="P70">
            <v>744.6</v>
          </cell>
          <cell r="S70">
            <v>1219.75</v>
          </cell>
          <cell r="T70">
            <v>304.9375</v>
          </cell>
          <cell r="U70">
            <v>914.8125</v>
          </cell>
          <cell r="V70">
            <v>1070</v>
          </cell>
          <cell r="W70">
            <v>868</v>
          </cell>
          <cell r="X70">
            <v>1767.1499999999999</v>
          </cell>
          <cell r="Y70">
            <v>1269</v>
          </cell>
          <cell r="Z70">
            <v>498.14999999999986</v>
          </cell>
          <cell r="AA70">
            <v>1777</v>
          </cell>
          <cell r="AB70">
            <v>1410</v>
          </cell>
          <cell r="AC70">
            <v>768.7</v>
          </cell>
          <cell r="AD70">
            <v>547</v>
          </cell>
          <cell r="AE70">
            <v>221.70000000000005</v>
          </cell>
          <cell r="AF70">
            <v>899</v>
          </cell>
          <cell r="AG70">
            <v>899</v>
          </cell>
          <cell r="AH70">
            <v>0</v>
          </cell>
          <cell r="AK70">
            <v>5603.2</v>
          </cell>
          <cell r="AL70">
            <v>2651.6</v>
          </cell>
          <cell r="AM70">
            <v>2951.6</v>
          </cell>
          <cell r="AN70">
            <v>2951.6</v>
          </cell>
          <cell r="AO70">
            <v>1816</v>
          </cell>
          <cell r="AP70">
            <v>1135</v>
          </cell>
          <cell r="AQ70">
            <v>835.59999999999991</v>
          </cell>
          <cell r="AR70">
            <v>1816.6</v>
          </cell>
        </row>
        <row r="71">
          <cell r="F71">
            <v>0</v>
          </cell>
          <cell r="G71">
            <v>0</v>
          </cell>
          <cell r="H71">
            <v>0</v>
          </cell>
          <cell r="P71">
            <v>90</v>
          </cell>
          <cell r="S71">
            <v>419.63636363636363</v>
          </cell>
          <cell r="V71">
            <v>333.81818181818181</v>
          </cell>
          <cell r="W71">
            <v>271</v>
          </cell>
          <cell r="X71">
            <v>242.90909090909091</v>
          </cell>
          <cell r="Y71">
            <v>174</v>
          </cell>
          <cell r="Z71">
            <v>68.909090909090907</v>
          </cell>
          <cell r="AA71">
            <v>157.09090909090909</v>
          </cell>
          <cell r="AB71">
            <v>125</v>
          </cell>
          <cell r="AC71">
            <v>149.81818181818181</v>
          </cell>
          <cell r="AD71">
            <v>107</v>
          </cell>
          <cell r="AE71">
            <v>42.818181818181813</v>
          </cell>
          <cell r="AF71">
            <v>136</v>
          </cell>
          <cell r="AG71">
            <v>136</v>
          </cell>
          <cell r="AH71">
            <v>0</v>
          </cell>
          <cell r="AK71">
            <v>1038.3636363636363</v>
          </cell>
          <cell r="AL71">
            <v>371</v>
          </cell>
          <cell r="AM71">
            <v>667.36363636363626</v>
          </cell>
          <cell r="AN71">
            <v>667.36363636363626</v>
          </cell>
        </row>
        <row r="72">
          <cell r="F72">
            <v>0</v>
          </cell>
          <cell r="G72">
            <v>0</v>
          </cell>
          <cell r="H72">
            <v>0</v>
          </cell>
          <cell r="P72">
            <v>5</v>
          </cell>
          <cell r="S72">
            <v>23</v>
          </cell>
          <cell r="V72">
            <v>18</v>
          </cell>
          <cell r="W72">
            <v>15</v>
          </cell>
          <cell r="X72">
            <v>13</v>
          </cell>
          <cell r="Y72">
            <v>9</v>
          </cell>
          <cell r="Z72">
            <v>4</v>
          </cell>
          <cell r="AA72">
            <v>9</v>
          </cell>
          <cell r="AB72">
            <v>7</v>
          </cell>
          <cell r="AC72">
            <v>8</v>
          </cell>
          <cell r="AD72">
            <v>6</v>
          </cell>
          <cell r="AE72">
            <v>2</v>
          </cell>
          <cell r="AF72">
            <v>7</v>
          </cell>
          <cell r="AG72">
            <v>7</v>
          </cell>
          <cell r="AH72">
            <v>0</v>
          </cell>
          <cell r="AK72">
            <v>56</v>
          </cell>
          <cell r="AL72">
            <v>20</v>
          </cell>
          <cell r="AM72">
            <v>36</v>
          </cell>
          <cell r="AN72">
            <v>36</v>
          </cell>
        </row>
        <row r="73">
          <cell r="F73">
            <v>0</v>
          </cell>
          <cell r="G73">
            <v>0</v>
          </cell>
          <cell r="H73">
            <v>0</v>
          </cell>
          <cell r="P73">
            <v>29</v>
          </cell>
          <cell r="S73">
            <v>134</v>
          </cell>
          <cell r="V73">
            <v>107</v>
          </cell>
          <cell r="W73">
            <v>87</v>
          </cell>
          <cell r="X73">
            <v>78</v>
          </cell>
          <cell r="Y73">
            <v>56</v>
          </cell>
          <cell r="Z73">
            <v>22</v>
          </cell>
          <cell r="AA73">
            <v>50</v>
          </cell>
          <cell r="AB73">
            <v>40</v>
          </cell>
          <cell r="AC73">
            <v>49</v>
          </cell>
          <cell r="AD73">
            <v>35</v>
          </cell>
          <cell r="AE73">
            <v>14</v>
          </cell>
          <cell r="AF73">
            <v>44</v>
          </cell>
          <cell r="AG73">
            <v>44</v>
          </cell>
          <cell r="AH73">
            <v>0</v>
          </cell>
          <cell r="AK73">
            <v>334</v>
          </cell>
          <cell r="AL73">
            <v>120</v>
          </cell>
          <cell r="AM73">
            <v>214</v>
          </cell>
          <cell r="AN73">
            <v>214</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0</v>
          </cell>
          <cell r="AL74">
            <v>0</v>
          </cell>
          <cell r="AM74">
            <v>0</v>
          </cell>
          <cell r="AN74">
            <v>0</v>
          </cell>
        </row>
        <row r="75">
          <cell r="F75">
            <v>1689</v>
          </cell>
          <cell r="G75">
            <v>0</v>
          </cell>
          <cell r="H75">
            <v>1029</v>
          </cell>
          <cell r="P75">
            <v>744.6</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744.6</v>
          </cell>
          <cell r="AL75">
            <v>744.6</v>
          </cell>
          <cell r="AM75">
            <v>0</v>
          </cell>
          <cell r="AN75">
            <v>0</v>
          </cell>
          <cell r="AO75">
            <v>115</v>
          </cell>
          <cell r="AP75">
            <v>213</v>
          </cell>
          <cell r="AQ75">
            <v>960.66666666666652</v>
          </cell>
          <cell r="AR75">
            <v>1708.3333333333335</v>
          </cell>
        </row>
        <row r="76">
          <cell r="F76">
            <v>83</v>
          </cell>
          <cell r="G76">
            <v>0</v>
          </cell>
          <cell r="H76">
            <v>51</v>
          </cell>
          <cell r="P76">
            <v>289</v>
          </cell>
          <cell r="S76">
            <v>1765.45</v>
          </cell>
          <cell r="T76">
            <v>0</v>
          </cell>
          <cell r="U76">
            <v>0</v>
          </cell>
          <cell r="V76">
            <v>0</v>
          </cell>
          <cell r="X76">
            <v>0</v>
          </cell>
          <cell r="Y76">
            <v>0</v>
          </cell>
          <cell r="Z76">
            <v>0</v>
          </cell>
          <cell r="AA76">
            <v>0</v>
          </cell>
          <cell r="AB76">
            <v>0</v>
          </cell>
          <cell r="AC76">
            <v>0</v>
          </cell>
          <cell r="AD76">
            <v>0</v>
          </cell>
          <cell r="AE76">
            <v>0</v>
          </cell>
          <cell r="AH76">
            <v>0</v>
          </cell>
          <cell r="AK76">
            <v>2054.4499999999998</v>
          </cell>
          <cell r="AL76">
            <v>289</v>
          </cell>
          <cell r="AM76">
            <v>1765.4499999999998</v>
          </cell>
          <cell r="AN76">
            <v>1765.45</v>
          </cell>
          <cell r="AO76">
            <v>0</v>
          </cell>
          <cell r="AP76">
            <v>0</v>
          </cell>
          <cell r="AQ76">
            <v>32</v>
          </cell>
          <cell r="AR76">
            <v>51</v>
          </cell>
        </row>
        <row r="77">
          <cell r="F77">
            <v>2982</v>
          </cell>
          <cell r="G77">
            <v>1718</v>
          </cell>
          <cell r="H77">
            <v>1264</v>
          </cell>
          <cell r="P77">
            <v>98.883333333333326</v>
          </cell>
          <cell r="S77">
            <v>231.42499999999998</v>
          </cell>
          <cell r="T77">
            <v>85.458999999999975</v>
          </cell>
          <cell r="U77">
            <v>145.96600000000001</v>
          </cell>
          <cell r="V77">
            <v>110</v>
          </cell>
          <cell r="W77">
            <v>89</v>
          </cell>
          <cell r="X77">
            <v>98.11666666666666</v>
          </cell>
          <cell r="Y77">
            <v>70</v>
          </cell>
          <cell r="Z77">
            <v>28.11666666666666</v>
          </cell>
          <cell r="AA77">
            <v>119</v>
          </cell>
          <cell r="AB77">
            <v>80</v>
          </cell>
          <cell r="AC77">
            <v>63.466666666666669</v>
          </cell>
          <cell r="AD77">
            <v>45</v>
          </cell>
          <cell r="AE77">
            <v>18.466666666666669</v>
          </cell>
          <cell r="AF77">
            <v>193.38333333333335</v>
          </cell>
          <cell r="AG77">
            <v>176.29000000000002</v>
          </cell>
          <cell r="AH77">
            <v>17.093333333333334</v>
          </cell>
          <cell r="AI77">
            <v>59</v>
          </cell>
          <cell r="AK77">
            <v>4155.1816666666673</v>
          </cell>
          <cell r="AL77">
            <v>2234.8833333333332</v>
          </cell>
          <cell r="AM77">
            <v>1920.2983333333341</v>
          </cell>
          <cell r="AN77">
            <v>1920.2983333333332</v>
          </cell>
          <cell r="AO77">
            <v>115</v>
          </cell>
          <cell r="AP77">
            <v>125</v>
          </cell>
          <cell r="AQ77">
            <v>1727.8833333333332</v>
          </cell>
          <cell r="AR77">
            <v>1795.2983333333341</v>
          </cell>
        </row>
        <row r="78">
          <cell r="F78">
            <v>160</v>
          </cell>
          <cell r="G78">
            <v>71</v>
          </cell>
          <cell r="H78">
            <v>89</v>
          </cell>
          <cell r="P78">
            <v>66</v>
          </cell>
          <cell r="S78">
            <v>152.33333333333334</v>
          </cell>
          <cell r="T78">
            <v>0</v>
          </cell>
          <cell r="U78">
            <v>0</v>
          </cell>
          <cell r="W78">
            <v>0</v>
          </cell>
          <cell r="X78">
            <v>0</v>
          </cell>
          <cell r="Y78">
            <v>0</v>
          </cell>
          <cell r="Z78">
            <v>0</v>
          </cell>
          <cell r="AA78">
            <v>18</v>
          </cell>
          <cell r="AC78">
            <v>18</v>
          </cell>
          <cell r="AD78">
            <v>51</v>
          </cell>
          <cell r="AE78">
            <v>0</v>
          </cell>
          <cell r="AF78">
            <v>141</v>
          </cell>
          <cell r="AG78">
            <v>119</v>
          </cell>
          <cell r="AH78">
            <v>0</v>
          </cell>
          <cell r="AK78">
            <v>160</v>
          </cell>
          <cell r="AL78">
            <v>71</v>
          </cell>
          <cell r="AM78">
            <v>89</v>
          </cell>
          <cell r="AN78">
            <v>89</v>
          </cell>
          <cell r="AO78">
            <v>0</v>
          </cell>
          <cell r="AP78">
            <v>0</v>
          </cell>
          <cell r="AQ78">
            <v>71</v>
          </cell>
          <cell r="AR78">
            <v>89</v>
          </cell>
        </row>
        <row r="79">
          <cell r="F79">
            <v>2822</v>
          </cell>
          <cell r="G79">
            <v>1255</v>
          </cell>
          <cell r="H79">
            <v>1567</v>
          </cell>
          <cell r="P79">
            <v>98.883333333333326</v>
          </cell>
          <cell r="S79">
            <v>231.42499999999998</v>
          </cell>
          <cell r="T79">
            <v>85.458999999999975</v>
          </cell>
          <cell r="U79">
            <v>145.96600000000001</v>
          </cell>
          <cell r="V79">
            <v>110</v>
          </cell>
          <cell r="W79">
            <v>89</v>
          </cell>
          <cell r="X79">
            <v>98.11666666666666</v>
          </cell>
          <cell r="Y79">
            <v>70</v>
          </cell>
          <cell r="Z79">
            <v>28.11666666666666</v>
          </cell>
          <cell r="AA79">
            <v>101</v>
          </cell>
          <cell r="AB79">
            <v>80</v>
          </cell>
          <cell r="AC79">
            <v>63.466666666666669</v>
          </cell>
          <cell r="AD79">
            <v>45</v>
          </cell>
          <cell r="AE79">
            <v>18.466666666666669</v>
          </cell>
          <cell r="AF79">
            <v>193.38333333333335</v>
          </cell>
          <cell r="AG79">
            <v>176.29000000000002</v>
          </cell>
          <cell r="AH79">
            <v>17.093333333333334</v>
          </cell>
          <cell r="AK79">
            <v>3995.1816666666668</v>
          </cell>
          <cell r="AL79">
            <v>1771.8833333333332</v>
          </cell>
          <cell r="AM79">
            <v>2223.2983333333336</v>
          </cell>
          <cell r="AN79">
            <v>2223.2983333333332</v>
          </cell>
          <cell r="AO79">
            <v>115</v>
          </cell>
          <cell r="AP79">
            <v>125</v>
          </cell>
          <cell r="AQ79">
            <v>1656.8833333333332</v>
          </cell>
          <cell r="AR79">
            <v>2098.2983333333336</v>
          </cell>
        </row>
        <row r="80">
          <cell r="F80">
            <v>627</v>
          </cell>
          <cell r="G80">
            <v>279</v>
          </cell>
          <cell r="H80">
            <v>348</v>
          </cell>
          <cell r="P80">
            <v>63.75</v>
          </cell>
          <cell r="S80">
            <v>129.48333333333329</v>
          </cell>
          <cell r="T80">
            <v>85.458999999999975</v>
          </cell>
          <cell r="U80">
            <v>44.024333333333317</v>
          </cell>
          <cell r="V80">
            <v>74</v>
          </cell>
          <cell r="W80">
            <v>60</v>
          </cell>
          <cell r="X80">
            <v>61</v>
          </cell>
          <cell r="Y80">
            <v>44</v>
          </cell>
          <cell r="Z80">
            <v>17</v>
          </cell>
          <cell r="AA80">
            <v>36</v>
          </cell>
          <cell r="AB80">
            <v>29</v>
          </cell>
          <cell r="AC80">
            <v>24.65</v>
          </cell>
          <cell r="AD80">
            <v>14</v>
          </cell>
          <cell r="AE80">
            <v>10.649999999999999</v>
          </cell>
          <cell r="AF80">
            <v>119.85</v>
          </cell>
          <cell r="AG80">
            <v>127</v>
          </cell>
          <cell r="AH80">
            <v>-7.1500000000000057</v>
          </cell>
          <cell r="AI80">
            <v>18.600000000000001</v>
          </cell>
          <cell r="AK80">
            <v>1217.8833333333334</v>
          </cell>
          <cell r="AL80">
            <v>564.75</v>
          </cell>
          <cell r="AM80">
            <v>653.13333333333344</v>
          </cell>
          <cell r="AN80">
            <v>653.13333333333333</v>
          </cell>
          <cell r="AR80">
            <v>653.13333333333344</v>
          </cell>
        </row>
        <row r="81">
          <cell r="F81">
            <v>33</v>
          </cell>
          <cell r="G81">
            <v>15</v>
          </cell>
          <cell r="H81">
            <v>18</v>
          </cell>
          <cell r="P81">
            <v>0</v>
          </cell>
          <cell r="S81">
            <v>0</v>
          </cell>
          <cell r="X81">
            <v>25</v>
          </cell>
          <cell r="AC81">
            <v>32</v>
          </cell>
          <cell r="AF81">
            <v>39.666666666666664</v>
          </cell>
          <cell r="AG81">
            <v>26</v>
          </cell>
          <cell r="AH81">
            <v>13.666666666666664</v>
          </cell>
          <cell r="AI81">
            <v>15.3</v>
          </cell>
          <cell r="AK81">
            <v>342</v>
          </cell>
          <cell r="AL81">
            <v>148</v>
          </cell>
          <cell r="AM81">
            <v>194</v>
          </cell>
          <cell r="AN81">
            <v>194</v>
          </cell>
          <cell r="AR81">
            <v>194</v>
          </cell>
        </row>
        <row r="82">
          <cell r="F82">
            <v>265</v>
          </cell>
          <cell r="G82">
            <v>118</v>
          </cell>
          <cell r="H82">
            <v>147</v>
          </cell>
          <cell r="P82">
            <v>7.0833333333333348</v>
          </cell>
          <cell r="S82">
            <v>72</v>
          </cell>
          <cell r="T82">
            <v>33</v>
          </cell>
          <cell r="U82">
            <v>17</v>
          </cell>
          <cell r="V82">
            <v>11</v>
          </cell>
          <cell r="W82">
            <v>9</v>
          </cell>
          <cell r="X82">
            <v>15.866666666666662</v>
          </cell>
          <cell r="AA82">
            <v>26</v>
          </cell>
          <cell r="AB82">
            <v>21</v>
          </cell>
          <cell r="AC82">
            <v>11.616666666666664</v>
          </cell>
          <cell r="AF82">
            <v>38.816666666666677</v>
          </cell>
          <cell r="AG82">
            <v>23.290000000000006</v>
          </cell>
          <cell r="AH82">
            <v>15.526666666666671</v>
          </cell>
          <cell r="AK82">
            <v>397.85666666666668</v>
          </cell>
          <cell r="AL82">
            <v>127.08333333333333</v>
          </cell>
          <cell r="AM82">
            <v>270.77333333333337</v>
          </cell>
          <cell r="AN82">
            <v>243.29000000000002</v>
          </cell>
        </row>
        <row r="83">
          <cell r="F83">
            <v>535</v>
          </cell>
          <cell r="G83">
            <v>238</v>
          </cell>
          <cell r="H83">
            <v>297</v>
          </cell>
          <cell r="P83">
            <v>28.05</v>
          </cell>
          <cell r="S83">
            <v>29.941666666666681</v>
          </cell>
          <cell r="T83">
            <v>33.660000000000004</v>
          </cell>
          <cell r="U83">
            <v>17.339999999999996</v>
          </cell>
          <cell r="V83">
            <v>25</v>
          </cell>
          <cell r="W83">
            <v>20</v>
          </cell>
          <cell r="X83">
            <v>21.25</v>
          </cell>
          <cell r="AA83">
            <v>39</v>
          </cell>
          <cell r="AB83">
            <v>31</v>
          </cell>
          <cell r="AC83">
            <v>27.2</v>
          </cell>
          <cell r="AF83">
            <v>33.716666666666676</v>
          </cell>
          <cell r="AG83">
            <v>26</v>
          </cell>
          <cell r="AH83">
            <v>7.7166666666666757</v>
          </cell>
          <cell r="AK83">
            <v>675.44166666666672</v>
          </cell>
          <cell r="AL83">
            <v>270.05</v>
          </cell>
          <cell r="AM83">
            <v>405.39166666666671</v>
          </cell>
          <cell r="AN83">
            <v>356.94166666666666</v>
          </cell>
        </row>
        <row r="84">
          <cell r="F84">
            <v>881</v>
          </cell>
          <cell r="G84">
            <v>392</v>
          </cell>
          <cell r="H84">
            <v>489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392</v>
          </cell>
          <cell r="AM84">
            <v>489</v>
          </cell>
          <cell r="AN84">
            <v>489</v>
          </cell>
          <cell r="AO84">
            <v>19380</v>
          </cell>
          <cell r="AP84">
            <v>16419</v>
          </cell>
          <cell r="AQ84">
            <v>4052.62</v>
          </cell>
          <cell r="AR84">
            <v>9718.3963636363642</v>
          </cell>
        </row>
        <row r="85">
          <cell r="F85">
            <v>13</v>
          </cell>
          <cell r="G85">
            <v>0</v>
          </cell>
          <cell r="H85">
            <v>0</v>
          </cell>
          <cell r="P85">
            <v>18</v>
          </cell>
          <cell r="Q85">
            <v>0</v>
          </cell>
          <cell r="R85">
            <v>0</v>
          </cell>
          <cell r="S85">
            <v>7.5</v>
          </cell>
          <cell r="T85">
            <v>452.808109090909</v>
          </cell>
          <cell r="U85">
            <v>471.29007272727262</v>
          </cell>
          <cell r="V85">
            <v>0</v>
          </cell>
          <cell r="W85">
            <v>0</v>
          </cell>
          <cell r="X85">
            <v>5</v>
          </cell>
          <cell r="Y85">
            <v>351</v>
          </cell>
          <cell r="Z85">
            <v>185.2</v>
          </cell>
          <cell r="AA85">
            <v>4</v>
          </cell>
          <cell r="AB85">
            <v>0</v>
          </cell>
          <cell r="AC85">
            <v>1.7</v>
          </cell>
          <cell r="AD85">
            <v>253</v>
          </cell>
          <cell r="AE85">
            <v>174.18</v>
          </cell>
          <cell r="AF85">
            <v>85</v>
          </cell>
          <cell r="AG85">
            <v>85</v>
          </cell>
          <cell r="AH85">
            <v>0</v>
          </cell>
          <cell r="AI85">
            <v>274</v>
          </cell>
          <cell r="AK85">
            <v>118.2</v>
          </cell>
          <cell r="AL85">
            <v>19</v>
          </cell>
          <cell r="AM85">
            <v>99.2</v>
          </cell>
          <cell r="AN85">
            <v>92.5</v>
          </cell>
        </row>
        <row r="86">
          <cell r="F86">
            <v>4573</v>
          </cell>
          <cell r="G86">
            <v>2426</v>
          </cell>
          <cell r="H86">
            <v>2147</v>
          </cell>
          <cell r="P86">
            <v>2143.7866666666664</v>
          </cell>
          <cell r="Q86">
            <v>0</v>
          </cell>
          <cell r="R86">
            <v>0</v>
          </cell>
          <cell r="S86">
            <v>8033.9989393939386</v>
          </cell>
          <cell r="T86">
            <v>5158.0368969696974</v>
          </cell>
          <cell r="U86">
            <v>2874.9620424242421</v>
          </cell>
          <cell r="V86">
            <v>14476.131818181819</v>
          </cell>
          <cell r="W86">
            <v>11744</v>
          </cell>
          <cell r="X86">
            <v>15812.24090909091</v>
          </cell>
          <cell r="Y86">
            <v>11356</v>
          </cell>
          <cell r="Z86">
            <v>4456.2409090909096</v>
          </cell>
          <cell r="AA86">
            <v>0</v>
          </cell>
          <cell r="AB86">
            <v>0</v>
          </cell>
          <cell r="AC86">
            <v>12605.875151515153</v>
          </cell>
          <cell r="AD86">
            <v>8968</v>
          </cell>
          <cell r="AE86">
            <v>3637.8751515151521</v>
          </cell>
          <cell r="AF86">
            <v>4836.4533333333329</v>
          </cell>
          <cell r="AG86">
            <v>3979.54</v>
          </cell>
          <cell r="AH86">
            <v>856.9133333333333</v>
          </cell>
          <cell r="AK86">
            <v>48266.441666666666</v>
          </cell>
          <cell r="AL86">
            <v>25519.786666666667</v>
          </cell>
          <cell r="AM86">
            <v>22746.654999999999</v>
          </cell>
          <cell r="AN86">
            <v>22747.655000000002</v>
          </cell>
          <cell r="AO86">
            <v>20189</v>
          </cell>
          <cell r="AP86">
            <v>12601</v>
          </cell>
          <cell r="AQ86">
            <v>4508.7866666666669</v>
          </cell>
          <cell r="AR86">
            <v>9356.6550000000025</v>
          </cell>
        </row>
        <row r="87">
          <cell r="F87">
            <v>402</v>
          </cell>
          <cell r="G87">
            <v>179</v>
          </cell>
          <cell r="H87">
            <v>223</v>
          </cell>
          <cell r="P87">
            <v>633.5200000000001</v>
          </cell>
          <cell r="Q87">
            <v>0</v>
          </cell>
          <cell r="R87">
            <v>0</v>
          </cell>
          <cell r="T87">
            <v>477.82706363636368</v>
          </cell>
          <cell r="U87">
            <v>497.33020909090914</v>
          </cell>
          <cell r="V87">
            <v>0</v>
          </cell>
          <cell r="W87">
            <v>0</v>
          </cell>
          <cell r="X87">
            <v>98.949999999999989</v>
          </cell>
          <cell r="Y87">
            <v>389</v>
          </cell>
          <cell r="Z87">
            <v>153.15</v>
          </cell>
          <cell r="AA87">
            <v>0</v>
          </cell>
          <cell r="AB87">
            <v>0</v>
          </cell>
          <cell r="AC87">
            <v>89.66</v>
          </cell>
          <cell r="AD87">
            <v>314</v>
          </cell>
          <cell r="AE87">
            <v>126.86000000000001</v>
          </cell>
          <cell r="AH87">
            <v>109.07000000000016</v>
          </cell>
          <cell r="AK87">
            <v>4846.3236363636361</v>
          </cell>
          <cell r="AL87">
            <v>1715.52</v>
          </cell>
          <cell r="AM87">
            <v>3130.8036363636365</v>
          </cell>
          <cell r="AN87">
            <v>600.01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25518.786666666667</v>
          </cell>
          <cell r="AM88">
            <v>26872.396363636362</v>
          </cell>
          <cell r="AN88">
            <v>0</v>
          </cell>
          <cell r="AO88">
            <v>19380</v>
          </cell>
          <cell r="AP88">
            <v>16419</v>
          </cell>
          <cell r="AQ88">
            <v>4052.62</v>
          </cell>
          <cell r="AR88">
            <v>9718.3963636363642</v>
          </cell>
        </row>
        <row r="89">
          <cell r="F89">
            <v>4189</v>
          </cell>
          <cell r="G89">
            <v>4189</v>
          </cell>
          <cell r="H89">
            <v>0</v>
          </cell>
          <cell r="AA89" t="str">
            <v>`</v>
          </cell>
          <cell r="AH89">
            <v>0</v>
          </cell>
          <cell r="AK89">
            <v>4189</v>
          </cell>
          <cell r="AL89">
            <v>4189</v>
          </cell>
          <cell r="AM89">
            <v>0</v>
          </cell>
          <cell r="AN89">
            <v>0</v>
          </cell>
          <cell r="AO89">
            <v>0</v>
          </cell>
          <cell r="AP89">
            <v>0</v>
          </cell>
          <cell r="AQ89">
            <v>0</v>
          </cell>
          <cell r="AR89">
            <v>0</v>
          </cell>
        </row>
        <row r="90">
          <cell r="F90">
            <v>8762</v>
          </cell>
          <cell r="G90">
            <v>6615</v>
          </cell>
          <cell r="H90">
            <v>2147</v>
          </cell>
          <cell r="P90">
            <v>2143.7866666666664</v>
          </cell>
          <cell r="Q90">
            <v>0</v>
          </cell>
          <cell r="R90">
            <v>0</v>
          </cell>
          <cell r="S90">
            <v>8033.9989393939386</v>
          </cell>
          <cell r="T90">
            <v>5158.0368969696974</v>
          </cell>
          <cell r="U90">
            <v>2874.9620424242421</v>
          </cell>
          <cell r="V90">
            <v>0</v>
          </cell>
          <cell r="W90">
            <v>0</v>
          </cell>
          <cell r="X90">
            <v>15812.24090909091</v>
          </cell>
          <cell r="Y90">
            <v>11356</v>
          </cell>
          <cell r="Z90">
            <v>4456.2409090909096</v>
          </cell>
          <cell r="AA90">
            <v>0</v>
          </cell>
          <cell r="AB90">
            <v>0</v>
          </cell>
          <cell r="AC90">
            <v>12605.875151515153</v>
          </cell>
          <cell r="AD90">
            <v>8968</v>
          </cell>
          <cell r="AE90">
            <v>3637.8751515151521</v>
          </cell>
          <cell r="AF90">
            <v>4836.4533333333329</v>
          </cell>
          <cell r="AG90">
            <v>3979.54</v>
          </cell>
          <cell r="AH90">
            <v>856.9133333333333</v>
          </cell>
          <cell r="AK90">
            <v>52455.441666666666</v>
          </cell>
          <cell r="AL90">
            <v>29708.786666666667</v>
          </cell>
          <cell r="AM90">
            <v>22746.654999999999</v>
          </cell>
          <cell r="AN90">
            <v>22747.655000000002</v>
          </cell>
          <cell r="AO90">
            <v>20189</v>
          </cell>
          <cell r="AP90">
            <v>12601</v>
          </cell>
          <cell r="AQ90">
            <v>4508.7866666666669</v>
          </cell>
          <cell r="AR90">
            <v>9356.6550000000025</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419</v>
          </cell>
          <cell r="G92">
            <v>331</v>
          </cell>
          <cell r="H92">
            <v>88</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419</v>
          </cell>
          <cell r="AL92">
            <v>331</v>
          </cell>
          <cell r="AM92">
            <v>88</v>
          </cell>
          <cell r="AN92">
            <v>88</v>
          </cell>
          <cell r="AO92">
            <v>0</v>
          </cell>
          <cell r="AP92">
            <v>0</v>
          </cell>
          <cell r="AQ92">
            <v>22.41900898044376</v>
          </cell>
          <cell r="AR92">
            <v>14.93842880876316</v>
          </cell>
        </row>
        <row r="93">
          <cell r="F93">
            <v>67</v>
          </cell>
          <cell r="G93">
            <v>42.401178010471199</v>
          </cell>
          <cell r="H93">
            <v>24.598821989528801</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67</v>
          </cell>
          <cell r="AL93">
            <v>42.401178010471199</v>
          </cell>
          <cell r="AM93">
            <v>24.598821989528801</v>
          </cell>
          <cell r="AN93">
            <v>24.598821989528801</v>
          </cell>
          <cell r="AO93">
            <v>0</v>
          </cell>
          <cell r="AP93">
            <v>0</v>
          </cell>
          <cell r="AQ93">
            <v>0</v>
          </cell>
          <cell r="AR93">
            <v>0</v>
          </cell>
        </row>
        <row r="94">
          <cell r="F94">
            <v>11</v>
          </cell>
          <cell r="G94">
            <v>6.9613874345549736</v>
          </cell>
          <cell r="H94">
            <v>4.0386125654450264</v>
          </cell>
          <cell r="P94">
            <v>1</v>
          </cell>
          <cell r="S94">
            <v>81</v>
          </cell>
          <cell r="V94">
            <v>-129</v>
          </cell>
          <cell r="W94">
            <v>-105</v>
          </cell>
          <cell r="X94">
            <v>172</v>
          </cell>
          <cell r="Y94">
            <v>124</v>
          </cell>
          <cell r="Z94">
            <v>48</v>
          </cell>
          <cell r="AA94">
            <v>0</v>
          </cell>
          <cell r="AB94">
            <v>0</v>
          </cell>
          <cell r="AC94">
            <v>261</v>
          </cell>
          <cell r="AD94">
            <v>186</v>
          </cell>
          <cell r="AE94">
            <v>75</v>
          </cell>
          <cell r="AF94">
            <v>58</v>
          </cell>
          <cell r="AG94">
            <v>13</v>
          </cell>
          <cell r="AH94">
            <v>0</v>
          </cell>
          <cell r="AK94">
            <v>539</v>
          </cell>
          <cell r="AL94">
            <v>317.96138743455498</v>
          </cell>
          <cell r="AM94">
            <v>221.03861256544502</v>
          </cell>
          <cell r="AN94">
            <v>221.03861256544502</v>
          </cell>
          <cell r="AO94">
            <v>310</v>
          </cell>
          <cell r="AP94">
            <v>145</v>
          </cell>
          <cell r="AQ94">
            <v>7.9613874345549789</v>
          </cell>
          <cell r="AR94">
            <v>76.038612565445021</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9259</v>
          </cell>
          <cell r="G97">
            <v>6995.3625654450261</v>
          </cell>
          <cell r="H97">
            <v>2263.6374345549739</v>
          </cell>
          <cell r="P97">
            <v>2144.7866666666664</v>
          </cell>
          <cell r="Q97">
            <v>0</v>
          </cell>
          <cell r="R97">
            <v>0</v>
          </cell>
          <cell r="S97">
            <v>8114.9989393939386</v>
          </cell>
          <cell r="T97">
            <v>5158.0368969696974</v>
          </cell>
          <cell r="U97">
            <v>2874.9620424242421</v>
          </cell>
          <cell r="V97">
            <v>0</v>
          </cell>
          <cell r="W97">
            <v>0</v>
          </cell>
          <cell r="X97">
            <v>15984.24090909091</v>
          </cell>
          <cell r="Y97">
            <v>11480</v>
          </cell>
          <cell r="Z97">
            <v>4504.2409090909096</v>
          </cell>
          <cell r="AA97">
            <v>0</v>
          </cell>
          <cell r="AB97">
            <v>0</v>
          </cell>
          <cell r="AC97">
            <v>12866.875151515153</v>
          </cell>
          <cell r="AD97">
            <v>9154</v>
          </cell>
          <cell r="AE97">
            <v>3712.8751515151521</v>
          </cell>
          <cell r="AF97">
            <v>4894.4533333333329</v>
          </cell>
          <cell r="AG97">
            <v>3992.54</v>
          </cell>
          <cell r="AH97">
            <v>856.9133333333333</v>
          </cell>
          <cell r="AI97">
            <v>54.400000000000006</v>
          </cell>
          <cell r="AJ97">
            <v>0</v>
          </cell>
          <cell r="AK97">
            <v>53480.441666666666</v>
          </cell>
          <cell r="AL97">
            <v>30400.149232111693</v>
          </cell>
          <cell r="AM97">
            <v>23080.292434554973</v>
          </cell>
          <cell r="AN97">
            <v>23081.292434554976</v>
          </cell>
          <cell r="AO97">
            <v>20499</v>
          </cell>
          <cell r="AP97">
            <v>12746</v>
          </cell>
          <cell r="AQ97">
            <v>4539.1670630816652</v>
          </cell>
          <cell r="AR97">
            <v>9446.6320413742123</v>
          </cell>
        </row>
        <row r="98">
          <cell r="F98">
            <v>5070</v>
          </cell>
          <cell r="G98">
            <v>2806.3625654450261</v>
          </cell>
          <cell r="H98">
            <v>2263.6374345549739</v>
          </cell>
          <cell r="P98">
            <v>2144.7866666666664</v>
          </cell>
          <cell r="Q98">
            <v>0</v>
          </cell>
          <cell r="R98">
            <v>0</v>
          </cell>
          <cell r="S98">
            <v>5169.9989393939386</v>
          </cell>
          <cell r="T98">
            <v>2213.0368969696974</v>
          </cell>
          <cell r="U98">
            <v>2874.9620424242421</v>
          </cell>
          <cell r="V98">
            <v>0</v>
          </cell>
          <cell r="W98">
            <v>0</v>
          </cell>
          <cell r="X98">
            <v>3625.2409090909096</v>
          </cell>
          <cell r="Y98">
            <v>2602</v>
          </cell>
          <cell r="Z98">
            <v>1023.2409090909096</v>
          </cell>
          <cell r="AA98">
            <v>0</v>
          </cell>
          <cell r="AB98">
            <v>0</v>
          </cell>
          <cell r="AC98">
            <v>2509.8751515151525</v>
          </cell>
          <cell r="AD98">
            <v>1785</v>
          </cell>
          <cell r="AE98">
            <v>724.87515151515208</v>
          </cell>
          <cell r="AF98">
            <v>4894.4533333333329</v>
          </cell>
          <cell r="AG98">
            <v>3992.54</v>
          </cell>
          <cell r="AH98">
            <v>856.9133333333333</v>
          </cell>
          <cell r="AI98">
            <v>54.400000000000006</v>
          </cell>
          <cell r="AK98">
            <v>23630.441666666666</v>
          </cell>
          <cell r="AL98">
            <v>9964.149232111693</v>
          </cell>
          <cell r="AM98">
            <v>13666.292434554973</v>
          </cell>
          <cell r="AN98">
            <v>13667.292434554976</v>
          </cell>
          <cell r="AO98">
            <v>4252</v>
          </cell>
          <cell r="AP98">
            <v>3332</v>
          </cell>
          <cell r="AQ98">
            <v>4539.1670630816652</v>
          </cell>
          <cell r="AR98">
            <v>9446.6320413742123</v>
          </cell>
        </row>
        <row r="99">
          <cell r="F99">
            <v>555</v>
          </cell>
          <cell r="P99">
            <v>705.5</v>
          </cell>
          <cell r="S99">
            <v>1948.2</v>
          </cell>
          <cell r="V99">
            <v>80</v>
          </cell>
          <cell r="W99">
            <v>14347.131818181819</v>
          </cell>
          <cell r="X99">
            <v>8.5</v>
          </cell>
          <cell r="Y99">
            <v>15984.24090909091</v>
          </cell>
          <cell r="AA99">
            <v>300</v>
          </cell>
          <cell r="AC99">
            <v>229.5</v>
          </cell>
          <cell r="AD99">
            <v>12866.875151515153</v>
          </cell>
          <cell r="AF99">
            <v>202.29999999999998</v>
          </cell>
          <cell r="AG99">
            <v>119</v>
          </cell>
          <cell r="AH99">
            <v>83.299999999999983</v>
          </cell>
          <cell r="AK99">
            <v>3675.7</v>
          </cell>
          <cell r="AL99">
            <v>53480.441666666673</v>
          </cell>
        </row>
        <row r="100">
          <cell r="F100">
            <v>92</v>
          </cell>
          <cell r="P100">
            <v>361</v>
          </cell>
          <cell r="S100">
            <v>549</v>
          </cell>
          <cell r="V100">
            <v>80</v>
          </cell>
          <cell r="X100">
            <v>9</v>
          </cell>
          <cell r="AA100">
            <v>300</v>
          </cell>
          <cell r="AC100">
            <v>230</v>
          </cell>
          <cell r="AF100">
            <v>202</v>
          </cell>
          <cell r="AG100">
            <v>119</v>
          </cell>
          <cell r="AH100">
            <v>0</v>
          </cell>
          <cell r="AI100">
            <v>0</v>
          </cell>
          <cell r="AK100">
            <v>1360</v>
          </cell>
          <cell r="AL100">
            <v>53480.441666666666</v>
          </cell>
          <cell r="AM100">
            <v>30399.149232111693</v>
          </cell>
        </row>
        <row r="101">
          <cell r="F101">
            <v>0</v>
          </cell>
          <cell r="P101">
            <v>600</v>
          </cell>
          <cell r="S101">
            <v>278</v>
          </cell>
          <cell r="V101">
            <v>80</v>
          </cell>
          <cell r="X101">
            <v>9</v>
          </cell>
          <cell r="AA101">
            <v>300</v>
          </cell>
          <cell r="AF101">
            <v>0</v>
          </cell>
          <cell r="AK101">
            <v>287</v>
          </cell>
        </row>
        <row r="102">
          <cell r="F102">
            <v>463</v>
          </cell>
          <cell r="P102">
            <v>344.5</v>
          </cell>
          <cell r="S102">
            <v>1399.2</v>
          </cell>
          <cell r="V102">
            <v>0</v>
          </cell>
          <cell r="X102">
            <v>0</v>
          </cell>
          <cell r="AA102">
            <v>0</v>
          </cell>
          <cell r="AC102">
            <v>0</v>
          </cell>
          <cell r="AF102">
            <v>0.29999999999998295</v>
          </cell>
          <cell r="AG102">
            <v>0</v>
          </cell>
          <cell r="AH102">
            <v>83.299999999999983</v>
          </cell>
          <cell r="AK102">
            <v>2316.6999999999998</v>
          </cell>
        </row>
        <row r="103">
          <cell r="S103">
            <v>30</v>
          </cell>
        </row>
        <row r="104">
          <cell r="P104">
            <v>289</v>
          </cell>
          <cell r="S104">
            <v>1765.45</v>
          </cell>
          <cell r="AK104">
            <v>0</v>
          </cell>
        </row>
        <row r="105">
          <cell r="S105">
            <v>0</v>
          </cell>
          <cell r="V105">
            <v>0</v>
          </cell>
          <cell r="X105">
            <v>0</v>
          </cell>
          <cell r="AK105">
            <v>0</v>
          </cell>
        </row>
        <row r="106">
          <cell r="F106">
            <v>850</v>
          </cell>
          <cell r="P106">
            <v>550</v>
          </cell>
          <cell r="S106">
            <v>530</v>
          </cell>
          <cell r="X106">
            <v>0</v>
          </cell>
          <cell r="AC106">
            <v>0</v>
          </cell>
          <cell r="AF106">
            <v>0</v>
          </cell>
          <cell r="AG106">
            <v>0</v>
          </cell>
          <cell r="AH106">
            <v>0</v>
          </cell>
          <cell r="AI106">
            <v>0</v>
          </cell>
          <cell r="AK106">
            <v>850</v>
          </cell>
        </row>
        <row r="107">
          <cell r="F107">
            <v>850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463</v>
          </cell>
          <cell r="P109">
            <v>344.5</v>
          </cell>
          <cell r="S109">
            <v>1369.2</v>
          </cell>
          <cell r="V109">
            <v>0</v>
          </cell>
          <cell r="X109">
            <v>0</v>
          </cell>
          <cell r="AA109">
            <v>0</v>
          </cell>
          <cell r="AC109">
            <v>0</v>
          </cell>
          <cell r="AF109">
            <v>0</v>
          </cell>
          <cell r="AG109">
            <v>0</v>
          </cell>
          <cell r="AH109">
            <v>0</v>
          </cell>
          <cell r="AK109">
            <v>2176.6999999999998</v>
          </cell>
        </row>
        <row r="110">
          <cell r="F110">
            <v>463</v>
          </cell>
          <cell r="P110">
            <v>344.5</v>
          </cell>
          <cell r="S110">
            <v>1369.2</v>
          </cell>
          <cell r="X110">
            <v>0</v>
          </cell>
          <cell r="AA110">
            <v>0</v>
          </cell>
          <cell r="AC110">
            <v>0</v>
          </cell>
          <cell r="AF110">
            <v>0</v>
          </cell>
          <cell r="AG110">
            <v>0</v>
          </cell>
          <cell r="AH110">
            <v>0</v>
          </cell>
          <cell r="AI110">
            <v>64</v>
          </cell>
          <cell r="AK110">
            <v>2176.6999999999998</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30</v>
          </cell>
          <cell r="V113">
            <v>0</v>
          </cell>
          <cell r="X113">
            <v>0</v>
          </cell>
          <cell r="AA113">
            <v>0</v>
          </cell>
          <cell r="AC113">
            <v>0</v>
          </cell>
          <cell r="AF113">
            <v>0</v>
          </cell>
          <cell r="AG113">
            <v>0</v>
          </cell>
          <cell r="AH113">
            <v>0</v>
          </cell>
          <cell r="AK113">
            <v>30</v>
          </cell>
          <cell r="AM113">
            <v>0</v>
          </cell>
        </row>
        <row r="114">
          <cell r="F114">
            <v>0</v>
          </cell>
          <cell r="P114">
            <v>0</v>
          </cell>
          <cell r="S114">
            <v>30</v>
          </cell>
          <cell r="AA114">
            <v>0</v>
          </cell>
          <cell r="AC114">
            <v>0</v>
          </cell>
          <cell r="AF114">
            <v>0</v>
          </cell>
          <cell r="AG114">
            <v>0</v>
          </cell>
          <cell r="AH114">
            <v>0</v>
          </cell>
          <cell r="AK114">
            <v>30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AA116">
            <v>0</v>
          </cell>
          <cell r="AC116">
            <v>0</v>
          </cell>
          <cell r="AG116">
            <v>0</v>
          </cell>
          <cell r="AH116">
            <v>0</v>
          </cell>
          <cell r="AK116">
            <v>0</v>
          </cell>
          <cell r="AM116">
            <v>0</v>
          </cell>
        </row>
        <row r="117">
          <cell r="F117">
            <v>0</v>
          </cell>
          <cell r="P117">
            <v>0</v>
          </cell>
          <cell r="S117">
            <v>0</v>
          </cell>
          <cell r="AC117">
            <v>0</v>
          </cell>
          <cell r="AF117">
            <v>0</v>
          </cell>
          <cell r="AG117">
            <v>0</v>
          </cell>
          <cell r="AH117">
            <v>0</v>
          </cell>
          <cell r="AK117">
            <v>0</v>
          </cell>
        </row>
        <row r="118">
          <cell r="F118">
            <v>0</v>
          </cell>
          <cell r="P118">
            <v>0</v>
          </cell>
          <cell r="S118">
            <v>0</v>
          </cell>
          <cell r="X118">
            <v>0</v>
          </cell>
          <cell r="AA118">
            <v>0</v>
          </cell>
          <cell r="AC118">
            <v>0</v>
          </cell>
          <cell r="AG118">
            <v>0</v>
          </cell>
          <cell r="AH118">
            <v>0</v>
          </cell>
          <cell r="AK118">
            <v>0</v>
          </cell>
          <cell r="AL118">
            <v>0</v>
          </cell>
          <cell r="AM118">
            <v>0</v>
          </cell>
        </row>
        <row r="119">
          <cell r="F119">
            <v>700</v>
          </cell>
          <cell r="P119">
            <v>0</v>
          </cell>
          <cell r="S119">
            <v>0</v>
          </cell>
          <cell r="AA119">
            <v>0</v>
          </cell>
          <cell r="AC119">
            <v>0</v>
          </cell>
          <cell r="AG119">
            <v>0</v>
          </cell>
          <cell r="AH119">
            <v>0</v>
          </cell>
          <cell r="AK119">
            <v>0</v>
          </cell>
        </row>
        <row r="120">
          <cell r="F120">
            <v>0</v>
          </cell>
          <cell r="P120">
            <v>0</v>
          </cell>
          <cell r="S120">
            <v>0</v>
          </cell>
          <cell r="X120">
            <v>0</v>
          </cell>
          <cell r="AA120">
            <v>0</v>
          </cell>
          <cell r="AC120">
            <v>0</v>
          </cell>
          <cell r="AF120">
            <v>0</v>
          </cell>
          <cell r="AG120">
            <v>0</v>
          </cell>
          <cell r="AH120">
            <v>0</v>
          </cell>
          <cell r="AK120">
            <v>0</v>
          </cell>
        </row>
        <row r="121">
          <cell r="F121">
            <v>3500</v>
          </cell>
          <cell r="P121">
            <v>0</v>
          </cell>
          <cell r="S121">
            <v>0</v>
          </cell>
          <cell r="V121">
            <v>0</v>
          </cell>
          <cell r="X121">
            <v>0</v>
          </cell>
          <cell r="AA121">
            <v>0</v>
          </cell>
          <cell r="AC121">
            <v>0</v>
          </cell>
          <cell r="AG121">
            <v>0</v>
          </cell>
          <cell r="AH121">
            <v>0</v>
          </cell>
          <cell r="AK121">
            <v>0</v>
          </cell>
        </row>
        <row r="122">
          <cell r="F122">
            <v>595</v>
          </cell>
          <cell r="AK122">
            <v>595</v>
          </cell>
        </row>
        <row r="123">
          <cell r="S123">
            <v>0</v>
          </cell>
          <cell r="V123">
            <v>0</v>
          </cell>
          <cell r="X123">
            <v>0</v>
          </cell>
          <cell r="AF123">
            <v>0</v>
          </cell>
          <cell r="AK123">
            <v>0</v>
          </cell>
          <cell r="AL123">
            <v>-13345.80312121212</v>
          </cell>
        </row>
        <row r="124">
          <cell r="F124">
            <v>2805</v>
          </cell>
          <cell r="AK124">
            <v>2805</v>
          </cell>
        </row>
        <row r="125">
          <cell r="F125">
            <v>6050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6050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-13112.934166666666</v>
          </cell>
        </row>
        <row r="127">
          <cell r="F127">
            <v>0</v>
          </cell>
          <cell r="AK127">
            <v>0</v>
          </cell>
          <cell r="AL127">
            <v>6264</v>
          </cell>
        </row>
        <row r="128">
          <cell r="F128">
            <v>3863</v>
          </cell>
          <cell r="G128">
            <v>0</v>
          </cell>
          <cell r="H128">
            <v>0</v>
          </cell>
          <cell r="P128">
            <v>344.5</v>
          </cell>
          <cell r="Q128">
            <v>0</v>
          </cell>
          <cell r="R128">
            <v>0</v>
          </cell>
          <cell r="S128">
            <v>1399.2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5606.7</v>
          </cell>
          <cell r="AO128">
            <v>0</v>
          </cell>
          <cell r="AP128">
            <v>0</v>
          </cell>
          <cell r="AQ128">
            <v>0</v>
          </cell>
          <cell r="AR128">
            <v>0</v>
          </cell>
        </row>
        <row r="129">
          <cell r="F129">
            <v>3863</v>
          </cell>
          <cell r="G129">
            <v>0</v>
          </cell>
          <cell r="H129">
            <v>0</v>
          </cell>
          <cell r="P129">
            <v>689</v>
          </cell>
          <cell r="S129">
            <v>2798.4</v>
          </cell>
          <cell r="V129">
            <v>0</v>
          </cell>
          <cell r="W129">
            <v>0</v>
          </cell>
          <cell r="X129">
            <v>0</v>
          </cell>
          <cell r="Y129">
            <v>0</v>
          </cell>
          <cell r="Z129">
            <v>0</v>
          </cell>
          <cell r="AA129">
            <v>0</v>
          </cell>
          <cell r="AB129">
            <v>0</v>
          </cell>
          <cell r="AC129">
            <v>0</v>
          </cell>
          <cell r="AD129">
            <v>0</v>
          </cell>
          <cell r="AE129">
            <v>0</v>
          </cell>
          <cell r="AF129">
            <v>0.29999999999998295</v>
          </cell>
          <cell r="AG129">
            <v>0</v>
          </cell>
          <cell r="AH129">
            <v>83.299999999999983</v>
          </cell>
          <cell r="AK129">
            <v>5606.7</v>
          </cell>
          <cell r="AL129">
            <v>5888.0262938881679</v>
          </cell>
          <cell r="AM129">
            <v>-16998.709324191197</v>
          </cell>
        </row>
        <row r="130">
          <cell r="AK130">
            <v>-7506.2341666666662</v>
          </cell>
          <cell r="AL130">
            <v>5716.7</v>
          </cell>
        </row>
        <row r="131">
          <cell r="AK131">
            <v>-7506.2341666666662</v>
          </cell>
          <cell r="AO131">
            <v>0</v>
          </cell>
        </row>
        <row r="132">
          <cell r="AK132">
            <v>-10723.191666666666</v>
          </cell>
          <cell r="AL132">
            <v>2697.850767888307</v>
          </cell>
          <cell r="AM132">
            <v>-14286.292434554973</v>
          </cell>
        </row>
        <row r="134">
          <cell r="AK134">
            <v>-3216.9574999999995</v>
          </cell>
          <cell r="AM134">
            <v>10073</v>
          </cell>
          <cell r="AO134">
            <v>0</v>
          </cell>
          <cell r="AQ134">
            <v>0</v>
          </cell>
        </row>
        <row r="135">
          <cell r="AK135">
            <v>-16998.709324191197</v>
          </cell>
          <cell r="AO135">
            <v>0</v>
          </cell>
        </row>
        <row r="136">
          <cell r="AK136">
            <v>6.38</v>
          </cell>
          <cell r="AO136" t="e">
            <v>#DIV/0!</v>
          </cell>
        </row>
        <row r="137">
          <cell r="AK137">
            <v>8794</v>
          </cell>
          <cell r="AM137">
            <v>8794</v>
          </cell>
          <cell r="AO137">
            <v>0</v>
          </cell>
          <cell r="AQ137">
            <v>0</v>
          </cell>
        </row>
        <row r="138">
          <cell r="AK138">
            <v>-14286.292434554973</v>
          </cell>
          <cell r="AO138">
            <v>0</v>
          </cell>
        </row>
        <row r="139">
          <cell r="AK139">
            <v>5.57</v>
          </cell>
          <cell r="AO139" t="e">
            <v>#DIV/0!</v>
          </cell>
        </row>
        <row r="140">
          <cell r="AK140">
            <v>14.61</v>
          </cell>
          <cell r="AO140" t="e">
            <v>#DIV/0!</v>
          </cell>
        </row>
        <row r="141">
          <cell r="AK141">
            <v>0</v>
          </cell>
          <cell r="AO141">
            <v>0</v>
          </cell>
        </row>
        <row r="142">
          <cell r="AJ142">
            <v>0</v>
          </cell>
          <cell r="AK142">
            <v>8.07</v>
          </cell>
          <cell r="AO142" t="e">
            <v>#DIV/0!</v>
          </cell>
        </row>
        <row r="143">
          <cell r="AK143">
            <v>8.3699999999999992</v>
          </cell>
          <cell r="AL143">
            <v>37810</v>
          </cell>
          <cell r="AO143" t="e">
            <v>#DIV/0!</v>
          </cell>
        </row>
        <row r="145">
          <cell r="AJ145">
            <v>300</v>
          </cell>
          <cell r="AK145">
            <v>7.68</v>
          </cell>
          <cell r="AO145" t="e">
            <v>#DIV/0!</v>
          </cell>
        </row>
        <row r="146">
          <cell r="AK146">
            <v>33098</v>
          </cell>
          <cell r="AL146">
            <v>33098</v>
          </cell>
          <cell r="AM146">
            <v>-27071.709324191197</v>
          </cell>
        </row>
        <row r="147">
          <cell r="S147">
            <v>0</v>
          </cell>
          <cell r="AK147">
            <v>865.25</v>
          </cell>
        </row>
        <row r="149">
          <cell r="AJ149">
            <v>0</v>
          </cell>
          <cell r="AK149">
            <v>8009.5714285714284</v>
          </cell>
          <cell r="AL149">
            <v>-30400.149232111693</v>
          </cell>
          <cell r="AM149">
            <v>-23080.292434554973</v>
          </cell>
          <cell r="AO149">
            <v>0</v>
          </cell>
        </row>
        <row r="150">
          <cell r="S150">
            <v>0</v>
          </cell>
          <cell r="AK150">
            <v>865.25</v>
          </cell>
        </row>
        <row r="151">
          <cell r="AK151">
            <v>47883</v>
          </cell>
          <cell r="AL151">
            <v>37810</v>
          </cell>
          <cell r="AM151">
            <v>10073</v>
          </cell>
        </row>
        <row r="152">
          <cell r="AK152">
            <v>41892</v>
          </cell>
          <cell r="AL152">
            <v>33098</v>
          </cell>
          <cell r="AM152">
            <v>8794</v>
          </cell>
          <cell r="AO152">
            <v>0</v>
          </cell>
          <cell r="AP152">
            <v>4992</v>
          </cell>
          <cell r="AQ152">
            <v>4153.252222919521</v>
          </cell>
          <cell r="AR152">
            <v>9754.6660308805876</v>
          </cell>
        </row>
        <row r="153">
          <cell r="AK153">
            <v>0</v>
          </cell>
          <cell r="AL153">
            <v>18.399999999999999</v>
          </cell>
          <cell r="AM153">
            <v>-62.8</v>
          </cell>
        </row>
        <row r="154">
          <cell r="AK154">
            <v>41892</v>
          </cell>
          <cell r="AL154">
            <v>33098</v>
          </cell>
          <cell r="AM154">
            <v>8794</v>
          </cell>
        </row>
        <row r="155">
          <cell r="AK155">
            <v>0</v>
          </cell>
          <cell r="AL155">
            <v>0</v>
          </cell>
          <cell r="AM155">
            <v>0</v>
          </cell>
          <cell r="AO155">
            <v>4252</v>
          </cell>
          <cell r="AP155">
            <v>3332</v>
          </cell>
          <cell r="AQ155">
            <v>4539.1670630816652</v>
          </cell>
          <cell r="AR155">
            <v>9446.6320413742123</v>
          </cell>
        </row>
        <row r="156">
          <cell r="AK156">
            <v>-20.100000000000001</v>
          </cell>
          <cell r="AL156">
            <v>8.9</v>
          </cell>
          <cell r="AM156">
            <v>-61.9</v>
          </cell>
        </row>
        <row r="157">
          <cell r="F157">
            <v>0</v>
          </cell>
          <cell r="P157">
            <v>0</v>
          </cell>
          <cell r="S157">
            <v>0</v>
          </cell>
          <cell r="X157">
            <v>0</v>
          </cell>
          <cell r="AC157">
            <v>0</v>
          </cell>
          <cell r="AI157">
            <v>0</v>
          </cell>
          <cell r="AJ157">
            <v>142</v>
          </cell>
          <cell r="AK157">
            <v>14.976636652504762</v>
          </cell>
          <cell r="AL157">
            <v>-100</v>
          </cell>
          <cell r="AM157">
            <v>-100</v>
          </cell>
        </row>
        <row r="158">
          <cell r="F158">
            <v>320</v>
          </cell>
          <cell r="P158">
            <v>810</v>
          </cell>
          <cell r="S158">
            <v>1487</v>
          </cell>
          <cell r="X158">
            <v>2754</v>
          </cell>
          <cell r="AC158">
            <v>1364</v>
          </cell>
          <cell r="AF158">
            <v>1173</v>
          </cell>
          <cell r="AG158">
            <v>1100</v>
          </cell>
          <cell r="AH158">
            <v>73</v>
          </cell>
          <cell r="AK158">
            <v>7908</v>
          </cell>
          <cell r="AL158">
            <v>0</v>
          </cell>
          <cell r="AM158">
            <v>0</v>
          </cell>
        </row>
        <row r="159">
          <cell r="F159">
            <v>320</v>
          </cell>
          <cell r="P159">
            <v>390</v>
          </cell>
          <cell r="S159">
            <v>512</v>
          </cell>
          <cell r="X159">
            <v>2374</v>
          </cell>
          <cell r="AC159">
            <v>1081</v>
          </cell>
          <cell r="AF159">
            <v>560</v>
          </cell>
          <cell r="AG159">
            <v>500</v>
          </cell>
          <cell r="AH159">
            <v>60</v>
          </cell>
          <cell r="AK159">
            <v>4677</v>
          </cell>
        </row>
        <row r="160">
          <cell r="F160">
            <v>0</v>
          </cell>
          <cell r="P160">
            <v>0</v>
          </cell>
          <cell r="S160">
            <v>0</v>
          </cell>
          <cell r="V160">
            <v>0</v>
          </cell>
          <cell r="X160">
            <v>0</v>
          </cell>
          <cell r="AA160">
            <v>0</v>
          </cell>
          <cell r="AC160">
            <v>0</v>
          </cell>
          <cell r="AF160">
            <v>125</v>
          </cell>
          <cell r="AG160">
            <v>125</v>
          </cell>
          <cell r="AH160">
            <v>0</v>
          </cell>
          <cell r="AI160">
            <v>210</v>
          </cell>
          <cell r="AK160">
            <v>0</v>
          </cell>
        </row>
        <row r="161">
          <cell r="F161">
            <v>204</v>
          </cell>
          <cell r="P161">
            <v>744.6</v>
          </cell>
          <cell r="S161">
            <v>1219.75</v>
          </cell>
          <cell r="V161">
            <v>1070</v>
          </cell>
          <cell r="X161">
            <v>1767.1499999999999</v>
          </cell>
          <cell r="AA161">
            <v>1777</v>
          </cell>
          <cell r="AB161">
            <v>9</v>
          </cell>
          <cell r="AC161">
            <v>768.7</v>
          </cell>
          <cell r="AF161">
            <v>899</v>
          </cell>
          <cell r="AG161">
            <v>899</v>
          </cell>
          <cell r="AH161">
            <v>0</v>
          </cell>
          <cell r="AK161">
            <v>5603.2</v>
          </cell>
        </row>
        <row r="162">
          <cell r="F162">
            <v>204</v>
          </cell>
          <cell r="P162">
            <v>497.6</v>
          </cell>
          <cell r="S162">
            <v>916.75</v>
          </cell>
          <cell r="V162">
            <v>1070</v>
          </cell>
          <cell r="X162">
            <v>1694.1499999999999</v>
          </cell>
          <cell r="AA162">
            <v>1639</v>
          </cell>
          <cell r="AF162">
            <v>242</v>
          </cell>
          <cell r="AG162">
            <v>242</v>
          </cell>
          <cell r="AH162">
            <v>0</v>
          </cell>
          <cell r="AK162">
            <v>3312.5</v>
          </cell>
        </row>
        <row r="163">
          <cell r="F163">
            <v>204</v>
          </cell>
          <cell r="P163">
            <v>247</v>
          </cell>
          <cell r="S163">
            <v>303</v>
          </cell>
          <cell r="V163">
            <v>0</v>
          </cell>
          <cell r="X163">
            <v>73</v>
          </cell>
          <cell r="AA163">
            <v>138</v>
          </cell>
          <cell r="AC163">
            <v>87</v>
          </cell>
          <cell r="AF163">
            <v>99</v>
          </cell>
          <cell r="AG163">
            <v>99</v>
          </cell>
          <cell r="AH163">
            <v>0</v>
          </cell>
          <cell r="AK163">
            <v>1013</v>
          </cell>
        </row>
        <row r="164">
          <cell r="P164">
            <v>100</v>
          </cell>
          <cell r="S164">
            <v>107</v>
          </cell>
          <cell r="V164">
            <v>0</v>
          </cell>
          <cell r="X164">
            <v>54</v>
          </cell>
          <cell r="AA164">
            <v>12</v>
          </cell>
          <cell r="AC164">
            <v>206.81818181818181</v>
          </cell>
          <cell r="AF164">
            <v>92</v>
          </cell>
          <cell r="AG164">
            <v>308.72727272727275</v>
          </cell>
          <cell r="AK164">
            <v>161</v>
          </cell>
        </row>
        <row r="165">
          <cell r="F165">
            <v>260</v>
          </cell>
          <cell r="S165">
            <v>868.81818181818176</v>
          </cell>
          <cell r="X165">
            <v>2450.6363636363635</v>
          </cell>
          <cell r="AC165">
            <v>1157.1818181818182</v>
          </cell>
          <cell r="AK165">
            <v>0</v>
          </cell>
        </row>
        <row r="166">
          <cell r="F166">
            <v>14.170833333333334</v>
          </cell>
          <cell r="S166">
            <v>1487</v>
          </cell>
          <cell r="X166">
            <v>2754</v>
          </cell>
          <cell r="AC166">
            <v>1364</v>
          </cell>
          <cell r="AK166">
            <v>14.170833333333334</v>
          </cell>
        </row>
        <row r="167">
          <cell r="F167">
            <v>60</v>
          </cell>
          <cell r="P167">
            <v>124</v>
          </cell>
          <cell r="S167">
            <v>576.63636363636363</v>
          </cell>
          <cell r="V167">
            <v>458.81818181818181</v>
          </cell>
          <cell r="X167">
            <v>333.90909090909088</v>
          </cell>
          <cell r="AA167">
            <v>216.09090909090909</v>
          </cell>
          <cell r="AC167">
            <v>206.81818181818181</v>
          </cell>
          <cell r="AF167">
            <v>187</v>
          </cell>
          <cell r="AG167">
            <v>187</v>
          </cell>
          <cell r="AK167">
            <v>1241.3636363636363</v>
          </cell>
        </row>
        <row r="168">
          <cell r="F168">
            <v>-255</v>
          </cell>
          <cell r="S168">
            <v>643.11363636363637</v>
          </cell>
          <cell r="V168">
            <v>611.18181818181824</v>
          </cell>
          <cell r="X168">
            <v>1433.2409090909091</v>
          </cell>
          <cell r="AA168">
            <v>1560.909090909091</v>
          </cell>
          <cell r="AC168">
            <v>561.88181818181829</v>
          </cell>
          <cell r="AF168">
            <v>0</v>
          </cell>
          <cell r="AG168">
            <v>0</v>
          </cell>
          <cell r="AH168">
            <v>0</v>
          </cell>
          <cell r="AK168">
            <v>2383.2363636363639</v>
          </cell>
        </row>
        <row r="169">
          <cell r="F169">
            <v>850</v>
          </cell>
          <cell r="G169">
            <v>11562.099999999999</v>
          </cell>
          <cell r="H169">
            <v>0</v>
          </cell>
          <cell r="P169">
            <v>689</v>
          </cell>
          <cell r="Q169">
            <v>0</v>
          </cell>
          <cell r="R169">
            <v>0</v>
          </cell>
          <cell r="S169">
            <v>1219.75</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5038.3999999999996</v>
          </cell>
        </row>
        <row r="170">
          <cell r="F170">
            <v>459</v>
          </cell>
          <cell r="G170">
            <v>11562.099999999999</v>
          </cell>
          <cell r="H170">
            <v>0</v>
          </cell>
          <cell r="P170">
            <v>0</v>
          </cell>
          <cell r="Q170">
            <v>0</v>
          </cell>
          <cell r="R170">
            <v>0</v>
          </cell>
          <cell r="S170">
            <v>0</v>
          </cell>
          <cell r="T170">
            <v>0</v>
          </cell>
          <cell r="U170">
            <v>0</v>
          </cell>
          <cell r="V170">
            <v>0</v>
          </cell>
          <cell r="W170">
            <v>0</v>
          </cell>
          <cell r="X170">
            <v>0</v>
          </cell>
          <cell r="Y170">
            <v>17514.503030303029</v>
          </cell>
          <cell r="Z170">
            <v>0</v>
          </cell>
          <cell r="AA170">
            <v>0</v>
          </cell>
          <cell r="AB170">
            <v>0</v>
          </cell>
          <cell r="AC170">
            <v>0</v>
          </cell>
          <cell r="AD170">
            <v>13622.695151515152</v>
          </cell>
          <cell r="AE170">
            <v>0</v>
          </cell>
          <cell r="AF170">
            <v>400</v>
          </cell>
          <cell r="AG170">
            <v>400</v>
          </cell>
          <cell r="AH170">
            <v>0</v>
          </cell>
          <cell r="AI170">
            <v>118.4</v>
          </cell>
          <cell r="AJ170">
            <v>0</v>
          </cell>
          <cell r="AK170">
            <v>459</v>
          </cell>
        </row>
        <row r="171">
          <cell r="F171">
            <v>0</v>
          </cell>
          <cell r="G171">
            <v>0</v>
          </cell>
          <cell r="H171">
            <v>0</v>
          </cell>
          <cell r="P171">
            <v>0</v>
          </cell>
          <cell r="R171">
            <v>0</v>
          </cell>
          <cell r="S171">
            <v>0</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0</v>
          </cell>
        </row>
        <row r="172">
          <cell r="F172">
            <v>555</v>
          </cell>
          <cell r="G172">
            <v>0</v>
          </cell>
          <cell r="H172">
            <v>0</v>
          </cell>
          <cell r="P172">
            <v>705.5</v>
          </cell>
          <cell r="Q172">
            <v>0</v>
          </cell>
          <cell r="R172">
            <v>0</v>
          </cell>
          <cell r="S172">
            <v>1978.2</v>
          </cell>
          <cell r="T172">
            <v>0</v>
          </cell>
          <cell r="U172">
            <v>0</v>
          </cell>
          <cell r="V172">
            <v>0</v>
          </cell>
          <cell r="W172">
            <v>0</v>
          </cell>
          <cell r="X172">
            <v>8.5</v>
          </cell>
          <cell r="Y172">
            <v>15984.24090909091</v>
          </cell>
          <cell r="Z172">
            <v>0</v>
          </cell>
          <cell r="AA172">
            <v>0</v>
          </cell>
          <cell r="AB172">
            <v>0</v>
          </cell>
          <cell r="AC172">
            <v>229.5</v>
          </cell>
          <cell r="AD172">
            <v>12866.875151515153</v>
          </cell>
          <cell r="AE172">
            <v>0</v>
          </cell>
          <cell r="AF172">
            <v>202.29999999999998</v>
          </cell>
          <cell r="AG172">
            <v>119</v>
          </cell>
          <cell r="AH172">
            <v>83.299999999999983</v>
          </cell>
          <cell r="AK172">
            <v>3705.7</v>
          </cell>
        </row>
        <row r="173">
          <cell r="F173">
            <v>555</v>
          </cell>
          <cell r="G173">
            <v>0</v>
          </cell>
          <cell r="H173">
            <v>0</v>
          </cell>
          <cell r="P173">
            <v>705.5</v>
          </cell>
          <cell r="Q173">
            <v>0</v>
          </cell>
          <cell r="R173">
            <v>0</v>
          </cell>
          <cell r="S173">
            <v>1978.2</v>
          </cell>
          <cell r="T173">
            <v>0</v>
          </cell>
          <cell r="U173">
            <v>0</v>
          </cell>
          <cell r="V173">
            <v>0</v>
          </cell>
          <cell r="W173">
            <v>0</v>
          </cell>
          <cell r="X173">
            <v>8.5</v>
          </cell>
          <cell r="Y173">
            <v>15984.24090909091</v>
          </cell>
          <cell r="Z173">
            <v>0</v>
          </cell>
          <cell r="AA173">
            <v>0</v>
          </cell>
          <cell r="AB173">
            <v>0</v>
          </cell>
          <cell r="AC173">
            <v>229.5</v>
          </cell>
          <cell r="AD173">
            <v>12866.875151515153</v>
          </cell>
          <cell r="AE173">
            <v>0</v>
          </cell>
          <cell r="AF173">
            <v>202.29999999999998</v>
          </cell>
          <cell r="AG173">
            <v>119</v>
          </cell>
          <cell r="AH173">
            <v>83.299999999999983</v>
          </cell>
          <cell r="AK173">
            <v>3705.7</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P175">
            <v>866.62000000000012</v>
          </cell>
          <cell r="Q175">
            <v>0</v>
          </cell>
          <cell r="R175">
            <v>0</v>
          </cell>
          <cell r="S175">
            <v>1889.28</v>
          </cell>
          <cell r="T175">
            <v>622.80810909090906</v>
          </cell>
          <cell r="U175">
            <v>648.29007272727267</v>
          </cell>
          <cell r="V175">
            <v>0</v>
          </cell>
          <cell r="W175">
            <v>0</v>
          </cell>
          <cell r="X175">
            <v>737.2</v>
          </cell>
          <cell r="AA175">
            <v>0</v>
          </cell>
          <cell r="AB175">
            <v>0</v>
          </cell>
          <cell r="AC175">
            <v>588.18000000000006</v>
          </cell>
          <cell r="AF175">
            <v>1626.6200000000001</v>
          </cell>
          <cell r="AG175">
            <v>0</v>
          </cell>
          <cell r="AH175">
            <v>157.89272727272737</v>
          </cell>
          <cell r="AJ175">
            <v>0</v>
          </cell>
          <cell r="AK175">
            <v>0</v>
          </cell>
          <cell r="AO175">
            <v>391</v>
          </cell>
          <cell r="AP175">
            <v>558</v>
          </cell>
          <cell r="AQ175">
            <v>897.62000000000012</v>
          </cell>
          <cell r="AR175">
            <v>1862.3963636363642</v>
          </cell>
        </row>
        <row r="176">
          <cell r="F176">
            <v>0</v>
          </cell>
          <cell r="G176">
            <v>0</v>
          </cell>
          <cell r="H176">
            <v>0</v>
          </cell>
          <cell r="P176">
            <v>124</v>
          </cell>
          <cell r="Q176">
            <v>0</v>
          </cell>
          <cell r="R176">
            <v>0</v>
          </cell>
          <cell r="S176">
            <v>618.18181818181824</v>
          </cell>
          <cell r="T176">
            <v>0</v>
          </cell>
          <cell r="U176">
            <v>0</v>
          </cell>
          <cell r="V176">
            <v>0</v>
          </cell>
          <cell r="W176">
            <v>0</v>
          </cell>
          <cell r="X176">
            <v>303.36363636363637</v>
          </cell>
          <cell r="Y176">
            <v>198</v>
          </cell>
          <cell r="Z176">
            <v>105.36363636363637</v>
          </cell>
          <cell r="AA176">
            <v>0</v>
          </cell>
          <cell r="AB176">
            <v>0</v>
          </cell>
          <cell r="AC176">
            <v>206.81818181818181</v>
          </cell>
          <cell r="AD176">
            <v>123</v>
          </cell>
          <cell r="AE176">
            <v>83.818181818181813</v>
          </cell>
          <cell r="AF176">
            <v>308.72727272727275</v>
          </cell>
          <cell r="AG176">
            <v>308.72727272727275</v>
          </cell>
          <cell r="AH176">
            <v>0</v>
          </cell>
          <cell r="AK176">
            <v>0</v>
          </cell>
        </row>
        <row r="177">
          <cell r="F177">
            <v>2805</v>
          </cell>
          <cell r="P177">
            <v>66</v>
          </cell>
          <cell r="Q177">
            <v>0</v>
          </cell>
          <cell r="R177">
            <v>0</v>
          </cell>
          <cell r="S177">
            <v>13.666666666666666</v>
          </cell>
          <cell r="T177">
            <v>13.666666666666666</v>
          </cell>
          <cell r="U177">
            <v>0</v>
          </cell>
          <cell r="V177">
            <v>0</v>
          </cell>
          <cell r="W177">
            <v>0</v>
          </cell>
          <cell r="X177">
            <v>785.33333333333337</v>
          </cell>
          <cell r="AA177">
            <v>0</v>
          </cell>
          <cell r="AB177">
            <v>0</v>
          </cell>
          <cell r="AC177">
            <v>40.666666666666664</v>
          </cell>
          <cell r="AF177">
            <v>13</v>
          </cell>
          <cell r="AG177">
            <v>13</v>
          </cell>
          <cell r="AH177">
            <v>0.33333333333333331</v>
          </cell>
          <cell r="AI177">
            <v>0</v>
          </cell>
          <cell r="AJ177">
            <v>0</v>
          </cell>
          <cell r="AK177">
            <v>2805</v>
          </cell>
          <cell r="AO177">
            <v>538</v>
          </cell>
          <cell r="AP177">
            <v>293</v>
          </cell>
          <cell r="AQ177">
            <v>76.587126137841352</v>
          </cell>
          <cell r="AR177">
            <v>30.079540528825305</v>
          </cell>
        </row>
        <row r="178">
          <cell r="F178">
            <v>553</v>
          </cell>
          <cell r="P178">
            <v>871.5200000000001</v>
          </cell>
          <cell r="Q178">
            <v>0</v>
          </cell>
          <cell r="R178">
            <v>0</v>
          </cell>
          <cell r="S178">
            <v>1917.7936363636363</v>
          </cell>
          <cell r="T178">
            <v>656.82706363636362</v>
          </cell>
          <cell r="U178">
            <v>683.33020909090919</v>
          </cell>
          <cell r="V178">
            <v>0</v>
          </cell>
          <cell r="W178">
            <v>0</v>
          </cell>
          <cell r="X178">
            <v>745.15</v>
          </cell>
          <cell r="Y178">
            <v>0</v>
          </cell>
          <cell r="Z178">
            <v>0</v>
          </cell>
          <cell r="AA178">
            <v>0</v>
          </cell>
          <cell r="AB178">
            <v>0</v>
          </cell>
          <cell r="AC178">
            <v>606.86</v>
          </cell>
          <cell r="AF178">
            <v>1712.0700000000002</v>
          </cell>
          <cell r="AG178">
            <v>1562</v>
          </cell>
          <cell r="AH178">
            <v>150.07000000000016</v>
          </cell>
          <cell r="AK178">
            <v>6664.3236363636361</v>
          </cell>
          <cell r="AO178">
            <v>444</v>
          </cell>
          <cell r="AP178">
            <v>520</v>
          </cell>
          <cell r="AQ178">
            <v>974.52</v>
          </cell>
          <cell r="AR178">
            <v>2078.44</v>
          </cell>
        </row>
        <row r="179">
          <cell r="F179">
            <v>0</v>
          </cell>
          <cell r="G179">
            <v>0</v>
          </cell>
          <cell r="H179">
            <v>0</v>
          </cell>
          <cell r="P179">
            <v>124</v>
          </cell>
          <cell r="Q179">
            <v>0</v>
          </cell>
          <cell r="R179">
            <v>0</v>
          </cell>
          <cell r="S179">
            <v>576.63636363636363</v>
          </cell>
          <cell r="T179">
            <v>0</v>
          </cell>
          <cell r="U179">
            <v>0</v>
          </cell>
          <cell r="V179">
            <v>0</v>
          </cell>
          <cell r="W179">
            <v>0</v>
          </cell>
          <cell r="X179">
            <v>333.90909090909088</v>
          </cell>
          <cell r="Y179">
            <v>239</v>
          </cell>
          <cell r="Z179">
            <v>94.909090909090907</v>
          </cell>
          <cell r="AA179">
            <v>0</v>
          </cell>
          <cell r="AB179">
            <v>0</v>
          </cell>
          <cell r="AC179">
            <v>206.81818181818181</v>
          </cell>
          <cell r="AD179">
            <v>148</v>
          </cell>
          <cell r="AE179">
            <v>58.818181818181813</v>
          </cell>
          <cell r="AF179">
            <v>187</v>
          </cell>
          <cell r="AG179">
            <v>187</v>
          </cell>
          <cell r="AH179">
            <v>0</v>
          </cell>
        </row>
        <row r="180">
          <cell r="F180">
            <v>11</v>
          </cell>
          <cell r="P180">
            <v>1</v>
          </cell>
          <cell r="Q180">
            <v>0</v>
          </cell>
          <cell r="R180">
            <v>0</v>
          </cell>
          <cell r="S180">
            <v>93.666666666666671</v>
          </cell>
          <cell r="T180">
            <v>13.666666666666666</v>
          </cell>
          <cell r="U180">
            <v>0</v>
          </cell>
          <cell r="V180">
            <v>0</v>
          </cell>
          <cell r="W180">
            <v>0</v>
          </cell>
          <cell r="X180">
            <v>449</v>
          </cell>
          <cell r="Y180">
            <v>0</v>
          </cell>
          <cell r="Z180">
            <v>0</v>
          </cell>
          <cell r="AA180">
            <v>0</v>
          </cell>
          <cell r="AB180">
            <v>0</v>
          </cell>
          <cell r="AC180">
            <v>274.33333333333331</v>
          </cell>
          <cell r="AF180">
            <v>58.333333333333336</v>
          </cell>
          <cell r="AG180">
            <v>13</v>
          </cell>
          <cell r="AH180">
            <v>0.33333333333333331</v>
          </cell>
          <cell r="AK180">
            <v>-2374.9574999999995</v>
          </cell>
          <cell r="AO180">
            <v>518</v>
          </cell>
          <cell r="AP180">
            <v>232</v>
          </cell>
          <cell r="AQ180">
            <v>7.9613874345549789</v>
          </cell>
          <cell r="AR180">
            <v>85.038612565445021</v>
          </cell>
        </row>
        <row r="181">
          <cell r="AO181" t="str">
            <v>ОЧИК.18.02.</v>
          </cell>
        </row>
        <row r="183">
          <cell r="F183">
            <v>11799</v>
          </cell>
          <cell r="P183">
            <v>290.6666666666664</v>
          </cell>
          <cell r="S183">
            <v>1936.4249999999993</v>
          </cell>
          <cell r="V183">
            <v>382.00000000000051</v>
          </cell>
          <cell r="X183">
            <v>497.51666666666711</v>
          </cell>
          <cell r="AA183">
            <v>237.66666666666663</v>
          </cell>
          <cell r="AC183">
            <v>660.80000000000098</v>
          </cell>
          <cell r="AF183">
            <v>1826.7499999999993</v>
          </cell>
          <cell r="AG183">
            <v>1203.54</v>
          </cell>
          <cell r="AH183">
            <v>623.20999999999981</v>
          </cell>
          <cell r="AP183">
            <v>1507.2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ТЕЦ-5 ВСЬОГО</v>
          </cell>
          <cell r="Y187" t="str">
            <v>Е/Е</v>
          </cell>
          <cell r="Z187" t="str">
            <v xml:space="preserve"> Т/Е</v>
          </cell>
          <cell r="AA187" t="str">
            <v>ТЕЦ-6 ВСЬОГО</v>
          </cell>
          <cell r="AB187" t="str">
            <v>Е/Е</v>
          </cell>
          <cell r="AC187" t="str">
            <v>ТЕЦ-6 ВСЬОГО</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P190">
            <v>0</v>
          </cell>
          <cell r="S190">
            <v>15.3</v>
          </cell>
          <cell r="V190">
            <v>58.7</v>
          </cell>
          <cell r="X190">
            <v>64.2</v>
          </cell>
          <cell r="AA190">
            <v>55</v>
          </cell>
          <cell r="AC190">
            <v>53.8</v>
          </cell>
          <cell r="AK190">
            <v>133.30000000000001</v>
          </cell>
          <cell r="AO190">
            <v>221.49122807017542</v>
          </cell>
        </row>
        <row r="191">
          <cell r="S191">
            <v>17.600000000000001</v>
          </cell>
          <cell r="V191">
            <v>67.3</v>
          </cell>
          <cell r="X191">
            <v>73.5</v>
          </cell>
          <cell r="AA191">
            <v>63</v>
          </cell>
          <cell r="AC191">
            <v>61.7</v>
          </cell>
          <cell r="AK191">
            <v>152.79999999999998</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192.5</v>
          </cell>
          <cell r="AA193">
            <v>192.5</v>
          </cell>
          <cell r="AC193">
            <v>192.5</v>
          </cell>
          <cell r="AK193">
            <v>192.5</v>
          </cell>
          <cell r="AO193">
            <v>0</v>
          </cell>
        </row>
        <row r="194">
          <cell r="S194">
            <v>2945</v>
          </cell>
          <cell r="V194">
            <v>11300</v>
          </cell>
          <cell r="X194">
            <v>12359</v>
          </cell>
          <cell r="AA194">
            <v>10588</v>
          </cell>
          <cell r="AC194">
            <v>10357</v>
          </cell>
          <cell r="AK194">
            <v>25661</v>
          </cell>
          <cell r="AO194">
            <v>0</v>
          </cell>
        </row>
        <row r="195">
          <cell r="X195">
            <v>82.5</v>
          </cell>
          <cell r="AC195">
            <v>82.5</v>
          </cell>
          <cell r="AK195">
            <v>25661</v>
          </cell>
        </row>
        <row r="196">
          <cell r="V196">
            <v>0</v>
          </cell>
          <cell r="X196">
            <v>0</v>
          </cell>
          <cell r="AA196">
            <v>0</v>
          </cell>
          <cell r="AC196">
            <v>0</v>
          </cell>
          <cell r="AK196">
            <v>0</v>
          </cell>
        </row>
        <row r="197">
          <cell r="S197">
            <v>0</v>
          </cell>
          <cell r="V197">
            <v>0</v>
          </cell>
          <cell r="X197">
            <v>0</v>
          </cell>
          <cell r="AA197">
            <v>0</v>
          </cell>
          <cell r="AC197">
            <v>0</v>
          </cell>
          <cell r="AK197">
            <v>0</v>
          </cell>
        </row>
        <row r="198">
          <cell r="V198">
            <v>82.5</v>
          </cell>
          <cell r="X198">
            <v>82.5</v>
          </cell>
          <cell r="AA198">
            <v>82.5</v>
          </cell>
          <cell r="AC198">
            <v>82.5</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385</v>
          </cell>
          <cell r="Y205">
            <v>48.4</v>
          </cell>
          <cell r="Z205">
            <v>25.6</v>
          </cell>
          <cell r="AA205">
            <v>385</v>
          </cell>
          <cell r="AC205">
            <v>385</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v>41.55</v>
          </cell>
          <cell r="AP207">
            <v>41.55</v>
          </cell>
          <cell r="AQ207">
            <v>41.55</v>
          </cell>
          <cell r="AR207" t="str">
            <v/>
          </cell>
        </row>
        <row r="208">
          <cell r="S208">
            <v>17.600000000000001</v>
          </cell>
          <cell r="V208">
            <v>67.3</v>
          </cell>
          <cell r="W208">
            <v>54.6</v>
          </cell>
          <cell r="X208">
            <v>73.5</v>
          </cell>
          <cell r="Y208">
            <v>52.8</v>
          </cell>
          <cell r="Z208">
            <v>20.700000000000003</v>
          </cell>
          <cell r="AA208">
            <v>63</v>
          </cell>
          <cell r="AB208">
            <v>50</v>
          </cell>
          <cell r="AC208">
            <v>61.7</v>
          </cell>
          <cell r="AD208">
            <v>43.9</v>
          </cell>
          <cell r="AE208">
            <v>17.8</v>
          </cell>
          <cell r="AK208">
            <v>152.79999999999998</v>
          </cell>
          <cell r="AL208">
            <v>96.699999999999989</v>
          </cell>
          <cell r="AM208">
            <v>56.1</v>
          </cell>
          <cell r="AO208">
            <v>356.4</v>
          </cell>
          <cell r="AP208">
            <v>74.900000000000006</v>
          </cell>
          <cell r="AQ208">
            <v>281.5</v>
          </cell>
        </row>
        <row r="209">
          <cell r="S209">
            <v>2945</v>
          </cell>
          <cell r="V209">
            <v>11300</v>
          </cell>
          <cell r="W209">
            <v>9168</v>
          </cell>
          <cell r="X209">
            <v>12359</v>
          </cell>
          <cell r="Y209">
            <v>8878</v>
          </cell>
          <cell r="Z209">
            <v>3481</v>
          </cell>
          <cell r="AA209">
            <v>3481</v>
          </cell>
          <cell r="AB209">
            <v>8403</v>
          </cell>
          <cell r="AC209">
            <v>10357</v>
          </cell>
          <cell r="AD209">
            <v>7369</v>
          </cell>
          <cell r="AE209">
            <v>2988</v>
          </cell>
          <cell r="AK209">
            <v>25661</v>
          </cell>
          <cell r="AL209">
            <v>16247</v>
          </cell>
          <cell r="AM209">
            <v>9414</v>
          </cell>
          <cell r="AO209">
            <v>14810</v>
          </cell>
          <cell r="AP209">
            <v>3112.427048260382</v>
          </cell>
          <cell r="AQ209">
            <v>11697.572951739618</v>
          </cell>
        </row>
        <row r="210">
          <cell r="S210">
            <v>167.33</v>
          </cell>
          <cell r="V210">
            <v>167.9</v>
          </cell>
          <cell r="W210">
            <v>167.91</v>
          </cell>
          <cell r="X210">
            <v>168.15</v>
          </cell>
          <cell r="Y210">
            <v>168.14</v>
          </cell>
          <cell r="Z210">
            <v>168.16</v>
          </cell>
          <cell r="AA210">
            <v>168.06</v>
          </cell>
          <cell r="AB210">
            <v>168.06</v>
          </cell>
          <cell r="AC210">
            <v>167.86</v>
          </cell>
          <cell r="AD210">
            <v>167.86</v>
          </cell>
          <cell r="AE210">
            <v>167.87</v>
          </cell>
          <cell r="AK210">
            <v>167.94</v>
          </cell>
          <cell r="AL210">
            <v>168.01</v>
          </cell>
          <cell r="AM210">
            <v>167.81</v>
          </cell>
          <cell r="AO210">
            <v>41.55</v>
          </cell>
          <cell r="AP210">
            <v>41.55</v>
          </cell>
          <cell r="AQ210">
            <v>41.55</v>
          </cell>
          <cell r="AR210" t="str">
            <v/>
          </cell>
        </row>
        <row r="211">
          <cell r="AM211">
            <v>0</v>
          </cell>
          <cell r="AO211">
            <v>52</v>
          </cell>
          <cell r="AP211">
            <v>52</v>
          </cell>
        </row>
        <row r="212">
          <cell r="V212">
            <v>11300</v>
          </cell>
          <cell r="X212">
            <v>12359</v>
          </cell>
          <cell r="AA212">
            <v>10588</v>
          </cell>
          <cell r="AC212">
            <v>10357</v>
          </cell>
          <cell r="AK212">
            <v>25661</v>
          </cell>
          <cell r="AL212">
            <v>16247</v>
          </cell>
          <cell r="AM212">
            <v>9414</v>
          </cell>
          <cell r="AO212">
            <v>14862</v>
          </cell>
          <cell r="AP212">
            <v>3164.427048260382</v>
          </cell>
          <cell r="AQ212">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Затверджую</v>
          </cell>
        </row>
        <row r="243">
          <cell r="AG243" t="str">
            <v xml:space="preserve"> Голова правління </v>
          </cell>
        </row>
        <row r="244">
          <cell r="AG244" t="str">
            <v xml:space="preserve">                        І.В.Плачков</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9">
          <cell r="F249" t="str">
            <v>РОЗРАХУНОК ФІНАНСОВИХ ПОТОКІВ НА   березень  2000 року</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ТЕЦ-5 ВСЬОГО</v>
          </cell>
          <cell r="Y252" t="str">
            <v>Е/Е</v>
          </cell>
          <cell r="Z252" t="str">
            <v xml:space="preserve"> Т/Е</v>
          </cell>
          <cell r="AA252" t="str">
            <v>ТЕЦ-6 ВСЬОГО</v>
          </cell>
          <cell r="AB252" t="str">
            <v>Е/Е</v>
          </cell>
          <cell r="AC252" t="str">
            <v>ТЕЦ-6 ВСЬОГО</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4887</v>
          </cell>
          <cell r="P253">
            <v>2489.2866666666664</v>
          </cell>
          <cell r="S253">
            <v>6569.1989393939384</v>
          </cell>
          <cell r="V253">
            <v>2576.1318181818187</v>
          </cell>
          <cell r="X253">
            <v>3133.4075757575761</v>
          </cell>
          <cell r="AA253">
            <v>2709.5690909090908</v>
          </cell>
          <cell r="AC253">
            <v>2333.3751515151525</v>
          </cell>
          <cell r="AF253">
            <v>4511.4533333333329</v>
          </cell>
          <cell r="AG253">
            <v>3609.54</v>
          </cell>
          <cell r="AH253">
            <v>856.9133333333333</v>
          </cell>
          <cell r="AK253">
            <v>25151.721666666665</v>
          </cell>
        </row>
        <row r="255">
          <cell r="F255">
            <v>14595.584285714285</v>
          </cell>
          <cell r="G255">
            <v>2806.3625654450261</v>
          </cell>
          <cell r="H255">
            <v>2259.6374345549739</v>
          </cell>
          <cell r="P255">
            <v>2489.2866666666664</v>
          </cell>
          <cell r="Q255">
            <v>0</v>
          </cell>
          <cell r="R255">
            <v>0</v>
          </cell>
          <cell r="S255">
            <v>6569.1989393939384</v>
          </cell>
          <cell r="T255">
            <v>2125.1968969696973</v>
          </cell>
          <cell r="U255">
            <v>2413.8020424242422</v>
          </cell>
          <cell r="V255">
            <v>0</v>
          </cell>
          <cell r="W255">
            <v>0</v>
          </cell>
          <cell r="X255">
            <v>3133.4075757575761</v>
          </cell>
          <cell r="Y255">
            <v>2243</v>
          </cell>
          <cell r="Z255">
            <v>881.90757575757618</v>
          </cell>
          <cell r="AA255">
            <v>0</v>
          </cell>
          <cell r="AB255">
            <v>0</v>
          </cell>
          <cell r="AC255">
            <v>2333.3751515151525</v>
          </cell>
          <cell r="AD255">
            <v>1496</v>
          </cell>
          <cell r="AE255">
            <v>607.87515151515208</v>
          </cell>
          <cell r="AF255">
            <v>4511.4533333333329</v>
          </cell>
          <cell r="AG255">
            <v>3609.54</v>
          </cell>
          <cell r="AH255">
            <v>856.9133333333333</v>
          </cell>
          <cell r="AI255" t="str">
            <v>ТИС.ГРН.</v>
          </cell>
          <cell r="AK255">
            <v>61359.725952380955</v>
          </cell>
          <cell r="AM255">
            <v>42757.25</v>
          </cell>
        </row>
        <row r="256">
          <cell r="F256">
            <v>9158.2509523809513</v>
          </cell>
          <cell r="G256">
            <v>2560.3625654450261</v>
          </cell>
          <cell r="H256">
            <v>1952.6374345549739</v>
          </cell>
          <cell r="P256">
            <v>475.74999999999989</v>
          </cell>
          <cell r="Q256" t="str">
            <v>ТМ</v>
          </cell>
          <cell r="S256">
            <v>2876.2916666666656</v>
          </cell>
          <cell r="T256">
            <v>1380.5298333333337</v>
          </cell>
          <cell r="U256">
            <v>1269.3118333333332</v>
          </cell>
          <cell r="V256">
            <v>1033.0000000000005</v>
          </cell>
          <cell r="W256">
            <v>1364</v>
          </cell>
          <cell r="X256">
            <v>721.46666666666692</v>
          </cell>
          <cell r="Y256">
            <v>1589</v>
          </cell>
          <cell r="Z256">
            <v>624.33333333333371</v>
          </cell>
          <cell r="AA256">
            <v>624</v>
          </cell>
          <cell r="AB256">
            <v>1140</v>
          </cell>
          <cell r="AC256">
            <v>940.63333333333412</v>
          </cell>
          <cell r="AD256">
            <v>923</v>
          </cell>
          <cell r="AE256">
            <v>374.83333333333388</v>
          </cell>
          <cell r="AF256">
            <v>578.56666666666615</v>
          </cell>
          <cell r="AG256">
            <v>327.53999999999996</v>
          </cell>
          <cell r="AH256">
            <v>207.02666666666664</v>
          </cell>
          <cell r="AI256" t="str">
            <v xml:space="preserve">ДОП.ВИР. </v>
          </cell>
          <cell r="AJ256" t="str">
            <v>ДОП.ВИР. СТ.ОРГ.</v>
          </cell>
          <cell r="AK256">
            <v>45600.045952380948</v>
          </cell>
          <cell r="AL256" t="str">
            <v>АК КЕ ВСЬОГО</v>
          </cell>
          <cell r="AM256">
            <v>14494.392619047618</v>
          </cell>
          <cell r="AO256" t="str">
            <v>СТАНЦІї ЕЛЕКТРО</v>
          </cell>
          <cell r="AP256" t="str">
            <v>СТАНЦІІ ТЕПЛОВІ</v>
          </cell>
          <cell r="AQ256" t="str">
            <v>МЕРЕЖІ ЕЛЕКТРО</v>
          </cell>
          <cell r="AR256" t="str">
            <v>МЕРЕЖІ ТЕПЛОВІ</v>
          </cell>
        </row>
        <row r="257">
          <cell r="F257">
            <v>39848.917619047621</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J257">
            <v>7599</v>
          </cell>
          <cell r="AK257">
            <v>39848.917619047621</v>
          </cell>
        </row>
        <row r="258">
          <cell r="F258">
            <v>25661</v>
          </cell>
          <cell r="AK258">
            <v>25661</v>
          </cell>
        </row>
        <row r="259">
          <cell r="F259">
            <v>4189</v>
          </cell>
          <cell r="G259">
            <v>1757.3537061118332</v>
          </cell>
          <cell r="H259">
            <v>2187.7462938881663</v>
          </cell>
          <cell r="P259">
            <v>2694.62</v>
          </cell>
          <cell r="Q259">
            <v>0</v>
          </cell>
          <cell r="R259">
            <v>0</v>
          </cell>
          <cell r="S259">
            <v>7710.7648484848487</v>
          </cell>
          <cell r="T259">
            <v>2690.8247757575755</v>
          </cell>
          <cell r="U259">
            <v>2611.9400727272728</v>
          </cell>
          <cell r="V259">
            <v>0</v>
          </cell>
          <cell r="W259">
            <v>0</v>
          </cell>
          <cell r="X259">
            <v>4714.5030303030289</v>
          </cell>
          <cell r="Y259">
            <v>2941</v>
          </cell>
          <cell r="Z259">
            <v>1555.5030303030308</v>
          </cell>
          <cell r="AA259">
            <v>0</v>
          </cell>
          <cell r="AB259">
            <v>0</v>
          </cell>
          <cell r="AC259">
            <v>2516.6951515151522</v>
          </cell>
          <cell r="AD259">
            <v>1377</v>
          </cell>
          <cell r="AE259">
            <v>944.69515151515134</v>
          </cell>
          <cell r="AF259">
            <v>4357.5593939393939</v>
          </cell>
          <cell r="AG259">
            <v>3406</v>
          </cell>
          <cell r="AH259">
            <v>952.89272727272737</v>
          </cell>
          <cell r="AI259">
            <v>847.2</v>
          </cell>
          <cell r="AJ259">
            <v>0</v>
          </cell>
          <cell r="AK259">
            <v>4189</v>
          </cell>
          <cell r="AM259">
            <v>48748.25</v>
          </cell>
        </row>
        <row r="260">
          <cell r="F260">
            <v>6438.9176190476192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6438.9176190476192</v>
          </cell>
          <cell r="AM260">
            <v>14653.6</v>
          </cell>
        </row>
        <row r="261">
          <cell r="F261">
            <v>290.33333333333331</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290.33333333333331</v>
          </cell>
        </row>
        <row r="262">
          <cell r="F262">
            <v>0</v>
          </cell>
          <cell r="AK262">
            <v>0</v>
          </cell>
        </row>
        <row r="263">
          <cell r="F263">
            <v>2162.5842857142857</v>
          </cell>
          <cell r="AK263">
            <v>2162.5842857142857</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486</v>
          </cell>
          <cell r="P266">
            <v>0</v>
          </cell>
          <cell r="S266">
            <v>0</v>
          </cell>
          <cell r="V266">
            <v>0</v>
          </cell>
          <cell r="X266">
            <v>0</v>
          </cell>
          <cell r="AA266">
            <v>0</v>
          </cell>
          <cell r="AC266">
            <v>0</v>
          </cell>
          <cell r="AF266">
            <v>0</v>
          </cell>
          <cell r="AG266">
            <v>0</v>
          </cell>
          <cell r="AH266">
            <v>0</v>
          </cell>
          <cell r="AK266">
            <v>486</v>
          </cell>
        </row>
        <row r="267">
          <cell r="F267">
            <v>3400</v>
          </cell>
          <cell r="AK267">
            <v>3400</v>
          </cell>
        </row>
        <row r="268">
          <cell r="F268">
            <v>160</v>
          </cell>
          <cell r="P268">
            <v>0</v>
          </cell>
          <cell r="S268">
            <v>0</v>
          </cell>
          <cell r="V268">
            <v>0</v>
          </cell>
          <cell r="X268">
            <v>0</v>
          </cell>
          <cell r="AA268">
            <v>18</v>
          </cell>
          <cell r="AC268">
            <v>0</v>
          </cell>
          <cell r="AF268">
            <v>0</v>
          </cell>
          <cell r="AG268">
            <v>0</v>
          </cell>
          <cell r="AH268">
            <v>0</v>
          </cell>
          <cell r="AK268">
            <v>160</v>
          </cell>
        </row>
        <row r="269">
          <cell r="F269">
            <v>44735.917619047621</v>
          </cell>
          <cell r="P269">
            <v>2489.2866666666664</v>
          </cell>
          <cell r="Q269">
            <v>0</v>
          </cell>
          <cell r="R269">
            <v>0</v>
          </cell>
          <cell r="S269">
            <v>6569.1989393939384</v>
          </cell>
          <cell r="T269">
            <v>0</v>
          </cell>
          <cell r="U269">
            <v>0</v>
          </cell>
          <cell r="V269">
            <v>0</v>
          </cell>
          <cell r="W269">
            <v>0</v>
          </cell>
          <cell r="X269">
            <v>3133.4075757575761</v>
          </cell>
          <cell r="Y269">
            <v>0</v>
          </cell>
          <cell r="Z269">
            <v>0</v>
          </cell>
          <cell r="AA269">
            <v>0</v>
          </cell>
          <cell r="AB269">
            <v>0</v>
          </cell>
          <cell r="AC269">
            <v>2333.3751515151525</v>
          </cell>
          <cell r="AD269">
            <v>0</v>
          </cell>
          <cell r="AE269">
            <v>0</v>
          </cell>
          <cell r="AF269">
            <v>4511.4533333333329</v>
          </cell>
          <cell r="AG269">
            <v>3609.54</v>
          </cell>
          <cell r="AH269">
            <v>856.9133333333333</v>
          </cell>
          <cell r="AK269">
            <v>65000.639285714286</v>
          </cell>
        </row>
        <row r="270">
          <cell r="F270">
            <v>1747</v>
          </cell>
          <cell r="P270">
            <v>1682.9366666666667</v>
          </cell>
          <cell r="Q270">
            <v>0</v>
          </cell>
          <cell r="R270">
            <v>0</v>
          </cell>
          <cell r="S270">
            <v>3603.4603030303033</v>
          </cell>
          <cell r="T270">
            <v>670.49373030303025</v>
          </cell>
          <cell r="U270">
            <v>683.33020909090919</v>
          </cell>
          <cell r="V270">
            <v>0</v>
          </cell>
          <cell r="W270">
            <v>0</v>
          </cell>
          <cell r="X270">
            <v>1387.7</v>
          </cell>
          <cell r="Y270">
            <v>494</v>
          </cell>
          <cell r="Z270">
            <v>194.2409090909091</v>
          </cell>
          <cell r="AA270">
            <v>0</v>
          </cell>
          <cell r="AB270">
            <v>0</v>
          </cell>
          <cell r="AC270">
            <v>930.19333333333338</v>
          </cell>
          <cell r="AD270">
            <v>293</v>
          </cell>
          <cell r="AE270">
            <v>120.37515151515153</v>
          </cell>
          <cell r="AF270">
            <v>3419.2200000000003</v>
          </cell>
          <cell r="AG270">
            <v>2768</v>
          </cell>
          <cell r="AH270">
            <v>650.22</v>
          </cell>
          <cell r="AI270">
            <v>0</v>
          </cell>
          <cell r="AK270">
            <v>13676.510303030303</v>
          </cell>
        </row>
        <row r="271">
          <cell r="F271">
            <v>553</v>
          </cell>
          <cell r="G271">
            <v>246</v>
          </cell>
          <cell r="H271">
            <v>307</v>
          </cell>
          <cell r="P271">
            <v>871.5200000000001</v>
          </cell>
          <cell r="S271">
            <v>1917.7936363636363</v>
          </cell>
          <cell r="T271">
            <v>656.82706363636362</v>
          </cell>
          <cell r="U271">
            <v>683.33020909090919</v>
          </cell>
          <cell r="V271">
            <v>721.95</v>
          </cell>
          <cell r="W271">
            <v>213</v>
          </cell>
          <cell r="X271">
            <v>745.15</v>
          </cell>
          <cell r="Y271">
            <v>295</v>
          </cell>
          <cell r="Z271">
            <v>116.2409090909091</v>
          </cell>
          <cell r="AA271">
            <v>597.66</v>
          </cell>
          <cell r="AB271">
            <v>303</v>
          </cell>
          <cell r="AC271">
            <v>606.86</v>
          </cell>
          <cell r="AD271">
            <v>284</v>
          </cell>
          <cell r="AE271">
            <v>116.0418181818182</v>
          </cell>
          <cell r="AF271">
            <v>1712.0700000000002</v>
          </cell>
          <cell r="AG271">
            <v>1562</v>
          </cell>
          <cell r="AH271">
            <v>150.07000000000016</v>
          </cell>
          <cell r="AK271">
            <v>6814.3936363636367</v>
          </cell>
        </row>
        <row r="272">
          <cell r="F272">
            <v>0</v>
          </cell>
          <cell r="P272">
            <v>0</v>
          </cell>
          <cell r="Q272">
            <v>0</v>
          </cell>
          <cell r="R272">
            <v>0</v>
          </cell>
          <cell r="S272">
            <v>13.666666666666666</v>
          </cell>
          <cell r="T272">
            <v>13.666666666666666</v>
          </cell>
          <cell r="U272">
            <v>0</v>
          </cell>
          <cell r="V272">
            <v>0</v>
          </cell>
          <cell r="W272">
            <v>0</v>
          </cell>
          <cell r="X272">
            <v>277</v>
          </cell>
          <cell r="Y272">
            <v>199</v>
          </cell>
          <cell r="Z272">
            <v>78</v>
          </cell>
          <cell r="AA272">
            <v>0</v>
          </cell>
          <cell r="AB272">
            <v>0</v>
          </cell>
          <cell r="AC272">
            <v>-0.66666666666666607</v>
          </cell>
          <cell r="AD272">
            <v>9</v>
          </cell>
          <cell r="AE272">
            <v>4.3333333333333339</v>
          </cell>
          <cell r="AF272">
            <v>0.33333333333333331</v>
          </cell>
          <cell r="AG272">
            <v>0</v>
          </cell>
          <cell r="AH272">
            <v>0.33333333333333331</v>
          </cell>
          <cell r="AI272">
            <v>0</v>
          </cell>
          <cell r="AK272">
            <v>290.33333333333331</v>
          </cell>
        </row>
        <row r="273">
          <cell r="F273">
            <v>1188</v>
          </cell>
          <cell r="P273">
            <v>793</v>
          </cell>
          <cell r="Q273">
            <v>0</v>
          </cell>
          <cell r="R273">
            <v>0</v>
          </cell>
          <cell r="S273">
            <v>1357</v>
          </cell>
          <cell r="T273">
            <v>0</v>
          </cell>
          <cell r="U273">
            <v>0</v>
          </cell>
          <cell r="V273">
            <v>0</v>
          </cell>
          <cell r="W273">
            <v>0</v>
          </cell>
          <cell r="X273">
            <v>363</v>
          </cell>
          <cell r="Y273">
            <v>0</v>
          </cell>
          <cell r="Z273">
            <v>0</v>
          </cell>
          <cell r="AA273">
            <v>0</v>
          </cell>
          <cell r="AB273">
            <v>0</v>
          </cell>
          <cell r="AC273">
            <v>324</v>
          </cell>
          <cell r="AD273">
            <v>0</v>
          </cell>
          <cell r="AE273">
            <v>0</v>
          </cell>
          <cell r="AF273">
            <v>869</v>
          </cell>
          <cell r="AG273">
            <v>868</v>
          </cell>
          <cell r="AH273">
            <v>0</v>
          </cell>
          <cell r="AI273">
            <v>0</v>
          </cell>
          <cell r="AK273">
            <v>5083</v>
          </cell>
        </row>
        <row r="274">
          <cell r="F274">
            <v>163</v>
          </cell>
          <cell r="P274">
            <v>118</v>
          </cell>
          <cell r="Q274">
            <v>0</v>
          </cell>
          <cell r="R274">
            <v>0</v>
          </cell>
          <cell r="S274">
            <v>703</v>
          </cell>
          <cell r="T274">
            <v>636.47477575757569</v>
          </cell>
          <cell r="U274">
            <v>648.29007272727267</v>
          </cell>
          <cell r="V274">
            <v>132</v>
          </cell>
          <cell r="W274">
            <v>0</v>
          </cell>
          <cell r="X274">
            <v>128</v>
          </cell>
          <cell r="Y274">
            <v>779</v>
          </cell>
          <cell r="Z274">
            <v>411.83636363636361</v>
          </cell>
          <cell r="AA274">
            <v>100</v>
          </cell>
          <cell r="AB274">
            <v>9</v>
          </cell>
          <cell r="AC274">
            <v>89</v>
          </cell>
          <cell r="AD274">
            <v>234</v>
          </cell>
          <cell r="AE274">
            <v>160.69515151515154</v>
          </cell>
          <cell r="AF274">
            <v>616</v>
          </cell>
          <cell r="AG274">
            <v>616</v>
          </cell>
          <cell r="AH274">
            <v>0</v>
          </cell>
          <cell r="AI274">
            <v>618</v>
          </cell>
          <cell r="AK274">
            <v>1849</v>
          </cell>
        </row>
        <row r="275">
          <cell r="F275">
            <v>761</v>
          </cell>
          <cell r="G275">
            <v>197</v>
          </cell>
          <cell r="H275">
            <v>307.10000000000002</v>
          </cell>
          <cell r="P275">
            <v>30</v>
          </cell>
          <cell r="S275">
            <v>79</v>
          </cell>
          <cell r="T275">
            <v>622.80810909090906</v>
          </cell>
          <cell r="U275">
            <v>648.29007272727267</v>
          </cell>
          <cell r="V275">
            <v>44</v>
          </cell>
          <cell r="X275">
            <v>69</v>
          </cell>
          <cell r="Y275">
            <v>284</v>
          </cell>
          <cell r="Z275">
            <v>149.83636363636361</v>
          </cell>
          <cell r="AA275">
            <v>47</v>
          </cell>
          <cell r="AC275">
            <v>55</v>
          </cell>
          <cell r="AD275">
            <v>226</v>
          </cell>
          <cell r="AE275">
            <v>155.36181818181819</v>
          </cell>
          <cell r="AF275">
            <v>4</v>
          </cell>
          <cell r="AG275">
            <v>3</v>
          </cell>
          <cell r="AH275">
            <v>0</v>
          </cell>
          <cell r="AI275">
            <v>377</v>
          </cell>
          <cell r="AK275">
            <v>1155</v>
          </cell>
        </row>
        <row r="276">
          <cell r="F276">
            <v>60</v>
          </cell>
          <cell r="P276">
            <v>500</v>
          </cell>
          <cell r="Q276">
            <v>0</v>
          </cell>
          <cell r="R276">
            <v>0</v>
          </cell>
          <cell r="S276">
            <v>430</v>
          </cell>
          <cell r="T276">
            <v>13.666666666666666</v>
          </cell>
          <cell r="U276">
            <v>0</v>
          </cell>
          <cell r="V276">
            <v>100</v>
          </cell>
          <cell r="W276">
            <v>0</v>
          </cell>
          <cell r="X276">
            <v>100</v>
          </cell>
          <cell r="Y276">
            <v>495</v>
          </cell>
          <cell r="Z276">
            <v>262</v>
          </cell>
          <cell r="AA276">
            <v>130</v>
          </cell>
          <cell r="AB276">
            <v>0</v>
          </cell>
          <cell r="AC276">
            <v>130</v>
          </cell>
          <cell r="AD276">
            <v>8</v>
          </cell>
          <cell r="AE276">
            <v>5.3333333333333339</v>
          </cell>
          <cell r="AF276">
            <v>150</v>
          </cell>
          <cell r="AG276">
            <v>150</v>
          </cell>
          <cell r="AH276">
            <v>0.33333333333333331</v>
          </cell>
          <cell r="AI276">
            <v>0</v>
          </cell>
          <cell r="AK276">
            <v>1370</v>
          </cell>
        </row>
        <row r="277">
          <cell r="F277">
            <v>204</v>
          </cell>
          <cell r="P277">
            <v>145</v>
          </cell>
          <cell r="Q277">
            <v>0</v>
          </cell>
          <cell r="R277">
            <v>0</v>
          </cell>
          <cell r="S277">
            <v>145</v>
          </cell>
          <cell r="T277">
            <v>0</v>
          </cell>
          <cell r="U277">
            <v>0</v>
          </cell>
          <cell r="V277">
            <v>66</v>
          </cell>
          <cell r="W277">
            <v>0</v>
          </cell>
          <cell r="X277">
            <v>66</v>
          </cell>
          <cell r="Y277">
            <v>0</v>
          </cell>
          <cell r="Z277">
            <v>0</v>
          </cell>
          <cell r="AA277">
            <v>50</v>
          </cell>
          <cell r="AB277">
            <v>9</v>
          </cell>
          <cell r="AC277">
            <v>50</v>
          </cell>
          <cell r="AD277">
            <v>0</v>
          </cell>
          <cell r="AE277">
            <v>0</v>
          </cell>
          <cell r="AF277">
            <v>99</v>
          </cell>
          <cell r="AG277">
            <v>99</v>
          </cell>
          <cell r="AH277">
            <v>0</v>
          </cell>
          <cell r="AI277">
            <v>0</v>
          </cell>
          <cell r="AK277">
            <v>709</v>
          </cell>
        </row>
        <row r="278">
          <cell r="F278">
            <v>6</v>
          </cell>
          <cell r="P278">
            <v>18.416666666666661</v>
          </cell>
          <cell r="Q278">
            <v>0</v>
          </cell>
          <cell r="R278">
            <v>0</v>
          </cell>
          <cell r="S278">
            <v>65</v>
          </cell>
          <cell r="T278">
            <v>0</v>
          </cell>
          <cell r="U278">
            <v>0</v>
          </cell>
          <cell r="V278">
            <v>0</v>
          </cell>
          <cell r="W278">
            <v>0</v>
          </cell>
          <cell r="X278">
            <v>2.5499999999999998</v>
          </cell>
          <cell r="Y278">
            <v>0</v>
          </cell>
          <cell r="Z278">
            <v>0</v>
          </cell>
          <cell r="AA278">
            <v>0</v>
          </cell>
          <cell r="AB278">
            <v>0</v>
          </cell>
          <cell r="AC278">
            <v>0</v>
          </cell>
          <cell r="AD278">
            <v>0</v>
          </cell>
          <cell r="AE278">
            <v>0</v>
          </cell>
          <cell r="AF278">
            <v>837.81666666666649</v>
          </cell>
          <cell r="AG278">
            <v>338</v>
          </cell>
          <cell r="AH278">
            <v>499.81666666666649</v>
          </cell>
          <cell r="AI278">
            <v>0</v>
          </cell>
          <cell r="AK278">
            <v>1238.7833333333333</v>
          </cell>
        </row>
        <row r="279">
          <cell r="F279">
            <v>0</v>
          </cell>
          <cell r="P279">
            <v>0</v>
          </cell>
          <cell r="S279">
            <v>0</v>
          </cell>
          <cell r="V279">
            <v>0</v>
          </cell>
          <cell r="X279">
            <v>2.5499999999999998</v>
          </cell>
          <cell r="AA279">
            <v>-300</v>
          </cell>
          <cell r="AC279">
            <v>0</v>
          </cell>
          <cell r="AF279">
            <v>0</v>
          </cell>
          <cell r="AG279">
            <v>0</v>
          </cell>
          <cell r="AH279">
            <v>0</v>
          </cell>
          <cell r="AI279">
            <v>0</v>
          </cell>
          <cell r="AK279">
            <v>2.5499999999999998</v>
          </cell>
        </row>
        <row r="280">
          <cell r="F280">
            <v>6</v>
          </cell>
          <cell r="P280">
            <v>18.416666666666661</v>
          </cell>
          <cell r="S280">
            <v>65</v>
          </cell>
          <cell r="V280">
            <v>0</v>
          </cell>
          <cell r="X280">
            <v>0</v>
          </cell>
          <cell r="AA280">
            <v>0</v>
          </cell>
          <cell r="AC280">
            <v>0</v>
          </cell>
          <cell r="AF280">
            <v>837.81666666666649</v>
          </cell>
          <cell r="AG280">
            <v>338</v>
          </cell>
          <cell r="AH280">
            <v>499.81666666666649</v>
          </cell>
          <cell r="AK280">
            <v>927.23333333333312</v>
          </cell>
        </row>
        <row r="281">
          <cell r="F281">
            <v>320</v>
          </cell>
          <cell r="P281">
            <v>110</v>
          </cell>
          <cell r="Q281">
            <v>0</v>
          </cell>
          <cell r="R281">
            <v>0</v>
          </cell>
          <cell r="S281">
            <v>59</v>
          </cell>
          <cell r="T281">
            <v>0</v>
          </cell>
          <cell r="U281">
            <v>0</v>
          </cell>
          <cell r="V281">
            <v>0</v>
          </cell>
          <cell r="W281">
            <v>0</v>
          </cell>
          <cell r="X281">
            <v>74</v>
          </cell>
          <cell r="Y281">
            <v>0</v>
          </cell>
          <cell r="Z281">
            <v>0</v>
          </cell>
          <cell r="AA281">
            <v>0</v>
          </cell>
          <cell r="AB281">
            <v>9</v>
          </cell>
          <cell r="AC281">
            <v>34</v>
          </cell>
          <cell r="AD281">
            <v>0</v>
          </cell>
          <cell r="AE281">
            <v>0</v>
          </cell>
          <cell r="AF281">
            <v>115</v>
          </cell>
          <cell r="AG281">
            <v>115</v>
          </cell>
          <cell r="AH281">
            <v>0</v>
          </cell>
          <cell r="AI281">
            <v>0</v>
          </cell>
          <cell r="AJ281">
            <v>0</v>
          </cell>
          <cell r="AK281">
            <v>309</v>
          </cell>
        </row>
        <row r="282">
          <cell r="F282">
            <v>8</v>
          </cell>
          <cell r="P282">
            <v>21.666666666666668</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539.33333333333337</v>
          </cell>
          <cell r="AG282">
            <v>241</v>
          </cell>
          <cell r="AH282">
            <v>0</v>
          </cell>
          <cell r="AI282">
            <v>241</v>
          </cell>
          <cell r="AK282">
            <v>250</v>
          </cell>
        </row>
        <row r="283">
          <cell r="F283">
            <v>42988.917619047621</v>
          </cell>
          <cell r="P283">
            <v>806.34999999999968</v>
          </cell>
          <cell r="Q283">
            <v>0</v>
          </cell>
          <cell r="R283">
            <v>0</v>
          </cell>
          <cell r="S283">
            <v>2965.7386363636351</v>
          </cell>
          <cell r="T283">
            <v>-670.49373030303025</v>
          </cell>
          <cell r="U283">
            <v>-683.33020909090919</v>
          </cell>
          <cell r="V283">
            <v>0</v>
          </cell>
          <cell r="W283">
            <v>0</v>
          </cell>
          <cell r="X283">
            <v>1745.707575757576</v>
          </cell>
          <cell r="Y283">
            <v>-494</v>
          </cell>
          <cell r="Z283">
            <v>-194.2409090909091</v>
          </cell>
          <cell r="AA283">
            <v>0</v>
          </cell>
          <cell r="AB283">
            <v>0</v>
          </cell>
          <cell r="AC283">
            <v>1403.1818181818192</v>
          </cell>
          <cell r="AD283">
            <v>-293</v>
          </cell>
          <cell r="AE283">
            <v>-120.37515151515153</v>
          </cell>
          <cell r="AF283">
            <v>1092.2333333333327</v>
          </cell>
          <cell r="AG283">
            <v>841.54</v>
          </cell>
          <cell r="AH283">
            <v>206.69333333333327</v>
          </cell>
          <cell r="AI283">
            <v>0</v>
          </cell>
          <cell r="AK283">
            <v>51324.128982683971</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3571</v>
          </cell>
          <cell r="P285">
            <v>806.35</v>
          </cell>
          <cell r="Q285">
            <v>0</v>
          </cell>
          <cell r="R285">
            <v>0</v>
          </cell>
          <cell r="S285">
            <v>2995.738636363636</v>
          </cell>
          <cell r="T285">
            <v>0</v>
          </cell>
          <cell r="U285">
            <v>0</v>
          </cell>
          <cell r="V285">
            <v>0</v>
          </cell>
          <cell r="W285">
            <v>0</v>
          </cell>
          <cell r="X285">
            <v>1745.7075757575756</v>
          </cell>
          <cell r="Y285">
            <v>0</v>
          </cell>
          <cell r="Z285">
            <v>0</v>
          </cell>
          <cell r="AA285">
            <v>0</v>
          </cell>
          <cell r="AB285">
            <v>0</v>
          </cell>
          <cell r="AC285">
            <v>1402.5151515151517</v>
          </cell>
          <cell r="AD285">
            <v>0</v>
          </cell>
          <cell r="AE285">
            <v>0</v>
          </cell>
          <cell r="AF285">
            <v>1092.5333333333333</v>
          </cell>
          <cell r="AG285">
            <v>758.54</v>
          </cell>
          <cell r="AH285">
            <v>289.99333333333323</v>
          </cell>
          <cell r="AK285">
            <v>11935.844696969696</v>
          </cell>
        </row>
        <row r="286">
          <cell r="F286">
            <v>555</v>
          </cell>
          <cell r="P286">
            <v>205.5</v>
          </cell>
          <cell r="S286">
            <v>1298.2</v>
          </cell>
          <cell r="V286">
            <v>-20</v>
          </cell>
          <cell r="X286">
            <v>-91.5</v>
          </cell>
          <cell r="AA286">
            <v>170</v>
          </cell>
          <cell r="AC286">
            <v>99.5</v>
          </cell>
          <cell r="AF286">
            <v>52.299999999999983</v>
          </cell>
          <cell r="AG286">
            <v>-31</v>
          </cell>
          <cell r="AH286">
            <v>83.299999999999983</v>
          </cell>
          <cell r="AI286">
            <v>0</v>
          </cell>
          <cell r="AK286">
            <v>2229</v>
          </cell>
        </row>
        <row r="287">
          <cell r="F287">
            <v>204</v>
          </cell>
          <cell r="P287">
            <v>475.6</v>
          </cell>
          <cell r="Q287">
            <v>0</v>
          </cell>
          <cell r="R287">
            <v>0</v>
          </cell>
          <cell r="S287">
            <v>498.11363636363637</v>
          </cell>
          <cell r="T287">
            <v>0</v>
          </cell>
          <cell r="U287">
            <v>0</v>
          </cell>
          <cell r="V287">
            <v>0</v>
          </cell>
          <cell r="W287">
            <v>0</v>
          </cell>
          <cell r="X287">
            <v>1367.2409090909089</v>
          </cell>
          <cell r="Y287">
            <v>0</v>
          </cell>
          <cell r="Z287">
            <v>0</v>
          </cell>
          <cell r="AA287">
            <v>0</v>
          </cell>
          <cell r="AB287">
            <v>0</v>
          </cell>
          <cell r="AC287">
            <v>511.88181818181829</v>
          </cell>
          <cell r="AD287">
            <v>0</v>
          </cell>
          <cell r="AE287">
            <v>0</v>
          </cell>
          <cell r="AF287">
            <v>613</v>
          </cell>
          <cell r="AG287">
            <v>613</v>
          </cell>
          <cell r="AH287">
            <v>0</v>
          </cell>
          <cell r="AI287">
            <v>-618</v>
          </cell>
          <cell r="AK287">
            <v>3669.8363636363633</v>
          </cell>
        </row>
        <row r="288">
          <cell r="F288">
            <v>0</v>
          </cell>
          <cell r="P288">
            <v>0</v>
          </cell>
          <cell r="S288">
            <v>0</v>
          </cell>
          <cell r="V288">
            <v>0</v>
          </cell>
          <cell r="X288">
            <v>0</v>
          </cell>
          <cell r="AA288">
            <v>0</v>
          </cell>
          <cell r="AC288">
            <v>0</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0</v>
          </cell>
          <cell r="Y289">
            <v>0</v>
          </cell>
          <cell r="Z289">
            <v>0</v>
          </cell>
          <cell r="AA289">
            <v>0</v>
          </cell>
          <cell r="AB289">
            <v>0</v>
          </cell>
          <cell r="AC289">
            <v>0</v>
          </cell>
          <cell r="AD289">
            <v>0</v>
          </cell>
          <cell r="AE289">
            <v>0</v>
          </cell>
          <cell r="AF289">
            <v>0</v>
          </cell>
          <cell r="AG289">
            <v>0</v>
          </cell>
          <cell r="AH289">
            <v>0</v>
          </cell>
          <cell r="AI289">
            <v>283.60000000000002</v>
          </cell>
          <cell r="AK289">
            <v>0</v>
          </cell>
        </row>
        <row r="290">
          <cell r="F290">
            <v>2801</v>
          </cell>
          <cell r="P290">
            <v>124.25</v>
          </cell>
          <cell r="Q290">
            <v>0</v>
          </cell>
          <cell r="R290">
            <v>0</v>
          </cell>
          <cell r="S290">
            <v>1118.425</v>
          </cell>
          <cell r="T290">
            <v>0</v>
          </cell>
          <cell r="U290">
            <v>0</v>
          </cell>
          <cell r="V290">
            <v>0</v>
          </cell>
          <cell r="W290">
            <v>0</v>
          </cell>
          <cell r="X290">
            <v>297.96666666666664</v>
          </cell>
          <cell r="Y290">
            <v>0</v>
          </cell>
          <cell r="Z290">
            <v>0</v>
          </cell>
          <cell r="AA290">
            <v>0</v>
          </cell>
          <cell r="AB290">
            <v>0</v>
          </cell>
          <cell r="AC290">
            <v>530.13333333333344</v>
          </cell>
          <cell r="AD290">
            <v>0</v>
          </cell>
          <cell r="AE290">
            <v>0</v>
          </cell>
          <cell r="AF290">
            <v>369.23333333333329</v>
          </cell>
          <cell r="AG290">
            <v>163.54000000000002</v>
          </cell>
          <cell r="AH290">
            <v>206.69333333333327</v>
          </cell>
          <cell r="AI290">
            <v>118.4</v>
          </cell>
          <cell r="AK290">
            <v>5453.0083333333332</v>
          </cell>
        </row>
        <row r="291">
          <cell r="F291">
            <v>11</v>
          </cell>
          <cell r="P291">
            <v>-2.4000000000000057</v>
          </cell>
          <cell r="Q291">
            <v>0</v>
          </cell>
          <cell r="R291">
            <v>0</v>
          </cell>
          <cell r="S291">
            <v>287.66666666666652</v>
          </cell>
          <cell r="T291">
            <v>0</v>
          </cell>
          <cell r="U291">
            <v>0</v>
          </cell>
          <cell r="V291">
            <v>11</v>
          </cell>
          <cell r="W291">
            <v>0</v>
          </cell>
          <cell r="X291">
            <v>23.850000000000005</v>
          </cell>
          <cell r="Y291">
            <v>0</v>
          </cell>
          <cell r="Z291">
            <v>0</v>
          </cell>
          <cell r="AA291">
            <v>201</v>
          </cell>
          <cell r="AB291">
            <v>0</v>
          </cell>
          <cell r="AC291">
            <v>394.98333333333346</v>
          </cell>
          <cell r="AD291">
            <v>0</v>
          </cell>
          <cell r="AE291">
            <v>0</v>
          </cell>
          <cell r="AF291">
            <v>15.25</v>
          </cell>
          <cell r="AG291">
            <v>-162.75</v>
          </cell>
          <cell r="AH291">
            <v>179</v>
          </cell>
          <cell r="AI291">
            <v>0</v>
          </cell>
          <cell r="AK291">
            <v>746.35</v>
          </cell>
        </row>
        <row r="292">
          <cell r="F292">
            <v>1</v>
          </cell>
          <cell r="P292">
            <v>27.766666666666676</v>
          </cell>
          <cell r="S292">
            <v>599.33333333333337</v>
          </cell>
          <cell r="V292">
            <v>85</v>
          </cell>
          <cell r="X292">
            <v>176</v>
          </cell>
          <cell r="AA292">
            <v>84</v>
          </cell>
          <cell r="AC292">
            <v>71.683333333333351</v>
          </cell>
          <cell r="AF292">
            <v>160.59999999999994</v>
          </cell>
          <cell r="AG292">
            <v>150</v>
          </cell>
          <cell r="AH292">
            <v>10.599999999999946</v>
          </cell>
          <cell r="AI292">
            <v>0</v>
          </cell>
          <cell r="AK292">
            <v>1036.3833333333334</v>
          </cell>
        </row>
        <row r="293">
          <cell r="F293">
            <v>2789</v>
          </cell>
          <cell r="P293">
            <v>98.883333333333326</v>
          </cell>
          <cell r="S293">
            <v>231.42499999999998</v>
          </cell>
          <cell r="V293">
            <v>110</v>
          </cell>
          <cell r="X293">
            <v>98.11666666666666</v>
          </cell>
          <cell r="AA293">
            <v>101</v>
          </cell>
          <cell r="AC293">
            <v>63.466666666666669</v>
          </cell>
          <cell r="AF293">
            <v>193.38333333333335</v>
          </cell>
          <cell r="AG293">
            <v>176.29000000000002</v>
          </cell>
          <cell r="AH293">
            <v>17.093333333333334</v>
          </cell>
          <cell r="AI293">
            <v>0</v>
          </cell>
          <cell r="AK293">
            <v>3670.2750000000001</v>
          </cell>
        </row>
        <row r="294">
          <cell r="F294">
            <v>1626</v>
          </cell>
          <cell r="P294">
            <v>0</v>
          </cell>
          <cell r="Q294">
            <v>0</v>
          </cell>
          <cell r="R294">
            <v>0</v>
          </cell>
          <cell r="S294">
            <v>827.33333333333337</v>
          </cell>
          <cell r="T294">
            <v>0</v>
          </cell>
          <cell r="U294">
            <v>0</v>
          </cell>
          <cell r="V294">
            <v>0</v>
          </cell>
          <cell r="W294">
            <v>0</v>
          </cell>
          <cell r="X294">
            <v>356.33333333333331</v>
          </cell>
          <cell r="Y294">
            <v>0</v>
          </cell>
          <cell r="Z294">
            <v>0</v>
          </cell>
          <cell r="AA294">
            <v>0</v>
          </cell>
          <cell r="AB294">
            <v>0</v>
          </cell>
          <cell r="AC294">
            <v>386</v>
          </cell>
          <cell r="AD294">
            <v>0</v>
          </cell>
          <cell r="AE294">
            <v>0</v>
          </cell>
          <cell r="AF294">
            <v>0</v>
          </cell>
          <cell r="AG294">
            <v>0</v>
          </cell>
          <cell r="AH294">
            <v>0</v>
          </cell>
          <cell r="AI294">
            <v>165.2</v>
          </cell>
          <cell r="AK294">
            <v>0</v>
          </cell>
        </row>
        <row r="295">
          <cell r="F295">
            <v>11</v>
          </cell>
          <cell r="P295">
            <v>1</v>
          </cell>
          <cell r="S295">
            <v>81</v>
          </cell>
          <cell r="V295">
            <v>-129</v>
          </cell>
          <cell r="X295">
            <v>172</v>
          </cell>
          <cell r="AA295">
            <v>0</v>
          </cell>
          <cell r="AC295">
            <v>261</v>
          </cell>
          <cell r="AF295">
            <v>58</v>
          </cell>
          <cell r="AG295">
            <v>13</v>
          </cell>
          <cell r="AH295">
            <v>0</v>
          </cell>
          <cell r="AI295">
            <v>70</v>
          </cell>
          <cell r="AK295">
            <v>584</v>
          </cell>
        </row>
        <row r="296">
          <cell r="F296">
            <v>42988.917619047621</v>
          </cell>
          <cell r="P296">
            <v>806.34999999999968</v>
          </cell>
          <cell r="Q296">
            <v>0</v>
          </cell>
          <cell r="R296">
            <v>0</v>
          </cell>
          <cell r="S296">
            <v>2965.7386363636351</v>
          </cell>
          <cell r="T296">
            <v>-670.49373030303025</v>
          </cell>
          <cell r="U296">
            <v>-683.33020909090919</v>
          </cell>
          <cell r="V296">
            <v>0</v>
          </cell>
          <cell r="W296">
            <v>0</v>
          </cell>
          <cell r="X296">
            <v>1745.707575757576</v>
          </cell>
          <cell r="Y296">
            <v>-494</v>
          </cell>
          <cell r="Z296">
            <v>-194.2409090909091</v>
          </cell>
          <cell r="AA296">
            <v>0</v>
          </cell>
          <cell r="AB296">
            <v>0</v>
          </cell>
          <cell r="AC296">
            <v>1403.1818181818192</v>
          </cell>
          <cell r="AD296">
            <v>-293</v>
          </cell>
          <cell r="AE296">
            <v>-120.37515151515153</v>
          </cell>
          <cell r="AF296">
            <v>1092.2333333333327</v>
          </cell>
          <cell r="AG296">
            <v>841.54</v>
          </cell>
          <cell r="AH296">
            <v>206.69333333333327</v>
          </cell>
          <cell r="AI296">
            <v>36</v>
          </cell>
          <cell r="AK296">
            <v>51324.128982683971</v>
          </cell>
        </row>
        <row r="297">
          <cell r="F297">
            <v>1606</v>
          </cell>
          <cell r="P297">
            <v>91.666666666666671</v>
          </cell>
          <cell r="S297">
            <v>425.33333333333337</v>
          </cell>
          <cell r="X297">
            <v>97.666666666666671</v>
          </cell>
          <cell r="AC297">
            <v>85.333333333333343</v>
          </cell>
          <cell r="AF297">
            <v>226.33333333333331</v>
          </cell>
          <cell r="AG297">
            <v>173</v>
          </cell>
          <cell r="AH297">
            <v>191</v>
          </cell>
          <cell r="AI297">
            <v>59.2</v>
          </cell>
          <cell r="AK297">
            <v>0</v>
          </cell>
        </row>
        <row r="298">
          <cell r="P298">
            <v>0</v>
          </cell>
          <cell r="AF298">
            <v>0</v>
          </cell>
          <cell r="AG298">
            <v>0</v>
          </cell>
          <cell r="AH298">
            <v>0</v>
          </cell>
          <cell r="AI298">
            <v>0</v>
          </cell>
          <cell r="AK298">
            <v>0</v>
          </cell>
        </row>
        <row r="299">
          <cell r="F299">
            <v>42988.917619047621</v>
          </cell>
          <cell r="G299">
            <v>0</v>
          </cell>
          <cell r="H299">
            <v>0</v>
          </cell>
          <cell r="P299">
            <v>806.34999999999968</v>
          </cell>
          <cell r="Q299">
            <v>0</v>
          </cell>
          <cell r="R299">
            <v>0</v>
          </cell>
          <cell r="S299">
            <v>2965.7386363636351</v>
          </cell>
          <cell r="T299">
            <v>-670.49373030303025</v>
          </cell>
          <cell r="U299">
            <v>-683.33020909090919</v>
          </cell>
          <cell r="V299">
            <v>0</v>
          </cell>
          <cell r="W299">
            <v>0</v>
          </cell>
          <cell r="X299">
            <v>1745.707575757576</v>
          </cell>
          <cell r="Y299">
            <v>-494</v>
          </cell>
          <cell r="Z299">
            <v>-194.2409090909091</v>
          </cell>
          <cell r="AA299">
            <v>0</v>
          </cell>
          <cell r="AB299">
            <v>0</v>
          </cell>
          <cell r="AC299">
            <v>1403.1818181818192</v>
          </cell>
          <cell r="AF299">
            <v>1092.2333333333327</v>
          </cell>
          <cell r="AG299">
            <v>694.5399999999994</v>
          </cell>
          <cell r="AH299">
            <v>397.69333333333327</v>
          </cell>
          <cell r="AI299">
            <v>0</v>
          </cell>
          <cell r="AK299">
            <v>51324.128982683971</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438.33333333333326</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P302">
            <v>0</v>
          </cell>
          <cell r="S302">
            <v>0</v>
          </cell>
          <cell r="V302">
            <v>0</v>
          </cell>
          <cell r="X302">
            <v>0</v>
          </cell>
          <cell r="AA302">
            <v>0</v>
          </cell>
          <cell r="AC302">
            <v>0</v>
          </cell>
          <cell r="AF302">
            <v>0</v>
          </cell>
          <cell r="AG302">
            <v>0</v>
          </cell>
          <cell r="AH302">
            <v>0</v>
          </cell>
          <cell r="AK302">
            <v>0</v>
          </cell>
        </row>
        <row r="303">
          <cell r="F303">
            <v>47206.733333333337</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42988.917619047621</v>
          </cell>
          <cell r="P304">
            <v>806.34999999999968</v>
          </cell>
          <cell r="Q304">
            <v>0</v>
          </cell>
          <cell r="R304">
            <v>0</v>
          </cell>
          <cell r="S304">
            <v>2965.7386363636351</v>
          </cell>
          <cell r="T304">
            <v>-670.49373030303025</v>
          </cell>
          <cell r="U304">
            <v>-683.33020909090919</v>
          </cell>
          <cell r="V304">
            <v>0</v>
          </cell>
          <cell r="W304">
            <v>0</v>
          </cell>
          <cell r="X304">
            <v>1745.707575757576</v>
          </cell>
          <cell r="Y304">
            <v>-494</v>
          </cell>
          <cell r="Z304">
            <v>-194.2409090909091</v>
          </cell>
          <cell r="AA304">
            <v>0</v>
          </cell>
          <cell r="AB304">
            <v>0</v>
          </cell>
          <cell r="AC304">
            <v>1403.1818181818192</v>
          </cell>
          <cell r="AD304">
            <v>-293</v>
          </cell>
          <cell r="AE304">
            <v>-120.37515151515153</v>
          </cell>
          <cell r="AF304">
            <v>1092.2333333333327</v>
          </cell>
          <cell r="AG304">
            <v>694.5399999999994</v>
          </cell>
          <cell r="AH304">
            <v>397.69333333333327</v>
          </cell>
          <cell r="AK304">
            <v>51324.128982683971</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S307">
            <v>0</v>
          </cell>
          <cell r="AK307">
            <v>0</v>
          </cell>
        </row>
        <row r="308">
          <cell r="F308">
            <v>2805</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2805</v>
          </cell>
        </row>
        <row r="309">
          <cell r="S309">
            <v>0</v>
          </cell>
          <cell r="AK309">
            <v>0</v>
          </cell>
        </row>
        <row r="310">
          <cell r="F310">
            <v>0</v>
          </cell>
          <cell r="P310">
            <v>0</v>
          </cell>
          <cell r="AK310">
            <v>0</v>
          </cell>
        </row>
        <row r="311">
          <cell r="S311">
            <v>0</v>
          </cell>
          <cell r="AK311">
            <v>0</v>
          </cell>
        </row>
        <row r="312">
          <cell r="F312">
            <v>3500</v>
          </cell>
          <cell r="AK312">
            <v>3500</v>
          </cell>
        </row>
        <row r="313">
          <cell r="S313">
            <v>0</v>
          </cell>
          <cell r="AK313">
            <v>0</v>
          </cell>
        </row>
        <row r="314">
          <cell r="F314">
            <v>0</v>
          </cell>
          <cell r="S314">
            <v>0</v>
          </cell>
          <cell r="AK314">
            <v>0</v>
          </cell>
        </row>
        <row r="315">
          <cell r="F315">
            <v>42988.917619047621</v>
          </cell>
          <cell r="P315">
            <v>806.34999999999968</v>
          </cell>
          <cell r="Q315">
            <v>0</v>
          </cell>
          <cell r="R315">
            <v>0</v>
          </cell>
          <cell r="S315">
            <v>2965.7386363636351</v>
          </cell>
          <cell r="T315">
            <v>-670.49373030303025</v>
          </cell>
          <cell r="U315">
            <v>-683.33020909090919</v>
          </cell>
          <cell r="V315">
            <v>0</v>
          </cell>
          <cell r="W315">
            <v>0</v>
          </cell>
          <cell r="X315">
            <v>1745.707575757576</v>
          </cell>
          <cell r="Y315">
            <v>-494</v>
          </cell>
          <cell r="Z315">
            <v>-194.2409090909091</v>
          </cell>
          <cell r="AA315">
            <v>0</v>
          </cell>
          <cell r="AB315">
            <v>0</v>
          </cell>
          <cell r="AC315">
            <v>1403.1818181818192</v>
          </cell>
          <cell r="AD315">
            <v>-293</v>
          </cell>
          <cell r="AE315">
            <v>-120.37515151515153</v>
          </cell>
          <cell r="AF315">
            <v>1092.2333333333327</v>
          </cell>
          <cell r="AG315">
            <v>694.5399999999994</v>
          </cell>
          <cell r="AH315">
            <v>397.69333333333327</v>
          </cell>
          <cell r="AK315">
            <v>51324.128982683971</v>
          </cell>
        </row>
        <row r="317">
          <cell r="AK317">
            <v>0</v>
          </cell>
        </row>
        <row r="318">
          <cell r="S318">
            <v>0</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6814.3936363636367</v>
          </cell>
          <cell r="AM324">
            <v>5102.323636363637</v>
          </cell>
        </row>
        <row r="325">
          <cell r="F325">
            <v>151</v>
          </cell>
          <cell r="P325">
            <v>238</v>
          </cell>
          <cell r="S325">
            <v>523</v>
          </cell>
          <cell r="V325">
            <v>197</v>
          </cell>
          <cell r="X325">
            <v>203</v>
          </cell>
          <cell r="AA325">
            <v>163</v>
          </cell>
          <cell r="AC325">
            <v>166</v>
          </cell>
          <cell r="AF325">
            <v>467</v>
          </cell>
          <cell r="AG325">
            <v>426</v>
          </cell>
          <cell r="AH325">
            <v>41</v>
          </cell>
          <cell r="AK325">
            <v>1859</v>
          </cell>
          <cell r="AM325">
            <v>1392</v>
          </cell>
        </row>
        <row r="326">
          <cell r="AK326">
            <v>6438.9176190476192</v>
          </cell>
          <cell r="AM326">
            <v>6438.9176190476192</v>
          </cell>
        </row>
        <row r="327">
          <cell r="AK327">
            <v>290.33333333333331</v>
          </cell>
          <cell r="AM327">
            <v>290.33333333333331</v>
          </cell>
        </row>
        <row r="328">
          <cell r="AJ328">
            <v>2455</v>
          </cell>
          <cell r="AK328">
            <v>584</v>
          </cell>
          <cell r="AM328">
            <v>526</v>
          </cell>
        </row>
        <row r="329">
          <cell r="F329">
            <v>137</v>
          </cell>
          <cell r="P329">
            <v>237</v>
          </cell>
          <cell r="S329">
            <v>515</v>
          </cell>
          <cell r="X329">
            <v>201</v>
          </cell>
          <cell r="AC329">
            <v>161</v>
          </cell>
          <cell r="AF329">
            <v>444</v>
          </cell>
          <cell r="AG329">
            <v>400</v>
          </cell>
          <cell r="AH329">
            <v>44</v>
          </cell>
          <cell r="AI329">
            <v>103</v>
          </cell>
          <cell r="AK329">
            <v>2162.5842857142857</v>
          </cell>
          <cell r="AM329">
            <v>2162.5842857142857</v>
          </cell>
        </row>
        <row r="330">
          <cell r="AJ330">
            <v>36</v>
          </cell>
          <cell r="AK330">
            <v>3500</v>
          </cell>
          <cell r="AM330">
            <v>3500</v>
          </cell>
        </row>
        <row r="331">
          <cell r="AK331">
            <v>0</v>
          </cell>
          <cell r="AM331">
            <v>770.33333333333337</v>
          </cell>
        </row>
        <row r="332">
          <cell r="AJ332">
            <v>36</v>
          </cell>
          <cell r="AK332">
            <v>486</v>
          </cell>
          <cell r="AM332">
            <v>486</v>
          </cell>
        </row>
        <row r="333">
          <cell r="AK333">
            <v>3400</v>
          </cell>
          <cell r="AM333">
            <v>2381.4</v>
          </cell>
        </row>
        <row r="334">
          <cell r="AK334">
            <v>0</v>
          </cell>
          <cell r="AM334">
            <v>0</v>
          </cell>
        </row>
        <row r="335">
          <cell r="AK335">
            <v>2229</v>
          </cell>
          <cell r="AM335">
            <v>2176.6999999999998</v>
          </cell>
        </row>
        <row r="336">
          <cell r="AK336">
            <v>3669.8363636363633</v>
          </cell>
          <cell r="AM336">
            <v>3056.8363636363638</v>
          </cell>
        </row>
        <row r="337">
          <cell r="AK337">
            <v>0</v>
          </cell>
          <cell r="AM337">
            <v>0</v>
          </cell>
        </row>
        <row r="338">
          <cell r="AK338">
            <v>0</v>
          </cell>
          <cell r="AM338">
            <v>0</v>
          </cell>
        </row>
        <row r="339">
          <cell r="AK339">
            <v>0</v>
          </cell>
          <cell r="AM339">
            <v>0</v>
          </cell>
        </row>
        <row r="340">
          <cell r="AK340">
            <v>5083</v>
          </cell>
          <cell r="AM340">
            <v>4214</v>
          </cell>
        </row>
        <row r="341">
          <cell r="AK341">
            <v>1849</v>
          </cell>
          <cell r="AM341">
            <v>1233</v>
          </cell>
        </row>
        <row r="342">
          <cell r="AK342">
            <v>1155</v>
          </cell>
          <cell r="AM342">
            <v>1151</v>
          </cell>
        </row>
        <row r="343">
          <cell r="AK343">
            <v>1370</v>
          </cell>
          <cell r="AM343">
            <v>0</v>
          </cell>
        </row>
        <row r="344">
          <cell r="AK344">
            <v>709</v>
          </cell>
          <cell r="AM344">
            <v>4338</v>
          </cell>
        </row>
        <row r="345">
          <cell r="AK345">
            <v>0</v>
          </cell>
          <cell r="AM345">
            <v>0</v>
          </cell>
        </row>
        <row r="346">
          <cell r="AK346">
            <v>2.5499999999999998</v>
          </cell>
          <cell r="AM346">
            <v>2.5499999999999998</v>
          </cell>
        </row>
        <row r="347">
          <cell r="AK347">
            <v>927.23333333333312</v>
          </cell>
          <cell r="AM347">
            <v>89.416666666666657</v>
          </cell>
        </row>
        <row r="348">
          <cell r="P348">
            <v>225</v>
          </cell>
          <cell r="S348">
            <v>296</v>
          </cell>
          <cell r="V348">
            <v>56</v>
          </cell>
          <cell r="X348">
            <v>56</v>
          </cell>
          <cell r="AA348">
            <v>-78.090909090909093</v>
          </cell>
          <cell r="AC348">
            <v>561.88181818181829</v>
          </cell>
          <cell r="AF348">
            <v>470</v>
          </cell>
          <cell r="AG348">
            <v>470</v>
          </cell>
          <cell r="AH348">
            <v>0</v>
          </cell>
          <cell r="AK348">
            <v>1608.8818181818183</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342</v>
          </cell>
          <cell r="AM350">
            <v>342</v>
          </cell>
        </row>
        <row r="351">
          <cell r="AK351">
            <v>160</v>
          </cell>
          <cell r="AM351">
            <v>160</v>
          </cell>
        </row>
        <row r="352">
          <cell r="P352">
            <v>225</v>
          </cell>
          <cell r="S352">
            <v>296</v>
          </cell>
          <cell r="X352">
            <v>56</v>
          </cell>
          <cell r="AC352">
            <v>76.181818181818187</v>
          </cell>
          <cell r="AF352">
            <v>304.27272727272725</v>
          </cell>
          <cell r="AG352">
            <v>291.27272727272725</v>
          </cell>
          <cell r="AH352">
            <v>13</v>
          </cell>
          <cell r="AK352">
            <v>0</v>
          </cell>
          <cell r="AM352">
            <v>0</v>
          </cell>
        </row>
        <row r="353">
          <cell r="AK353">
            <v>0</v>
          </cell>
          <cell r="AM353">
            <v>0</v>
          </cell>
        </row>
        <row r="354">
          <cell r="F354">
            <v>0</v>
          </cell>
          <cell r="P354">
            <v>0</v>
          </cell>
          <cell r="S354">
            <v>0</v>
          </cell>
          <cell r="X354">
            <v>0</v>
          </cell>
          <cell r="AC354">
            <v>0</v>
          </cell>
          <cell r="AF354">
            <v>0</v>
          </cell>
          <cell r="AG354">
            <v>0</v>
          </cell>
          <cell r="AH354">
            <v>0</v>
          </cell>
          <cell r="AI354">
            <v>0</v>
          </cell>
          <cell r="AK354">
            <v>5453.0083333333332</v>
          </cell>
          <cell r="AM354" t="e">
            <v>#REF!</v>
          </cell>
        </row>
        <row r="355">
          <cell r="AK355">
            <v>746.35</v>
          </cell>
          <cell r="AM355">
            <v>83</v>
          </cell>
        </row>
        <row r="356">
          <cell r="AK356">
            <v>1036.3833333333334</v>
          </cell>
          <cell r="AM356">
            <v>0</v>
          </cell>
        </row>
        <row r="357">
          <cell r="AK357">
            <v>3670.2750000000001</v>
          </cell>
          <cell r="AM357">
            <v>0</v>
          </cell>
        </row>
        <row r="358">
          <cell r="F358">
            <v>0</v>
          </cell>
          <cell r="P358">
            <v>0</v>
          </cell>
          <cell r="S358">
            <v>0</v>
          </cell>
          <cell r="T358">
            <v>87.84</v>
          </cell>
          <cell r="U358">
            <v>461.15999999999997</v>
          </cell>
          <cell r="V358">
            <v>471</v>
          </cell>
          <cell r="W358">
            <v>447</v>
          </cell>
          <cell r="X358">
            <v>491.83333333333337</v>
          </cell>
          <cell r="Y358">
            <v>359</v>
          </cell>
          <cell r="Z358">
            <v>141.33333333333337</v>
          </cell>
          <cell r="AA358">
            <v>273</v>
          </cell>
          <cell r="AB358">
            <v>455</v>
          </cell>
          <cell r="AC358">
            <v>176.5</v>
          </cell>
          <cell r="AD358">
            <v>289</v>
          </cell>
          <cell r="AE358">
            <v>117</v>
          </cell>
          <cell r="AF358">
            <v>383</v>
          </cell>
          <cell r="AG358">
            <v>383</v>
          </cell>
          <cell r="AH358">
            <v>0</v>
          </cell>
          <cell r="AJ358">
            <v>-2491</v>
          </cell>
          <cell r="AK358">
            <v>1051.3333333333335</v>
          </cell>
          <cell r="AM358">
            <v>668.33333333333337</v>
          </cell>
        </row>
        <row r="359">
          <cell r="AK359">
            <v>422.33333333333331</v>
          </cell>
        </row>
        <row r="360">
          <cell r="AK360">
            <v>923.66666666666663</v>
          </cell>
        </row>
        <row r="361">
          <cell r="AK361">
            <v>2603.3333333333335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104</v>
          </cell>
          <cell r="H384">
            <v>102</v>
          </cell>
          <cell r="P384">
            <v>14.333333333333332</v>
          </cell>
          <cell r="S384">
            <v>14.333333333333332</v>
          </cell>
          <cell r="V384">
            <v>182</v>
          </cell>
          <cell r="W384">
            <v>148</v>
          </cell>
          <cell r="X384">
            <v>182</v>
          </cell>
          <cell r="Y384">
            <v>131</v>
          </cell>
          <cell r="Z384">
            <v>130</v>
          </cell>
          <cell r="AA384">
            <v>323.66666666666674</v>
          </cell>
          <cell r="AB384">
            <v>257</v>
          </cell>
          <cell r="AC384">
            <v>323.66666666666674</v>
          </cell>
          <cell r="AD384">
            <v>230</v>
          </cell>
          <cell r="AE384">
            <v>231</v>
          </cell>
          <cell r="AK384">
            <v>735.30000000000018</v>
          </cell>
          <cell r="AL384">
            <v>526.33333333333337</v>
          </cell>
          <cell r="AM384">
            <v>490.33333333333331</v>
          </cell>
        </row>
        <row r="385">
          <cell r="F385">
            <v>29</v>
          </cell>
          <cell r="G385">
            <v>18</v>
          </cell>
          <cell r="P385">
            <v>0</v>
          </cell>
          <cell r="V385">
            <v>0</v>
          </cell>
          <cell r="W385">
            <v>0</v>
          </cell>
          <cell r="X385">
            <v>0</v>
          </cell>
          <cell r="Y385">
            <v>0</v>
          </cell>
          <cell r="AA385">
            <v>3.6666666666666665</v>
          </cell>
          <cell r="AB385">
            <v>3</v>
          </cell>
          <cell r="AC385">
            <v>3.6666666666666665</v>
          </cell>
          <cell r="AD385">
            <v>3</v>
          </cell>
          <cell r="AK385">
            <v>46</v>
          </cell>
          <cell r="AL385">
            <v>24</v>
          </cell>
        </row>
        <row r="386">
          <cell r="F386">
            <v>0</v>
          </cell>
          <cell r="G386">
            <v>0</v>
          </cell>
          <cell r="H386">
            <v>91</v>
          </cell>
          <cell r="P386">
            <v>0.66666666666666663</v>
          </cell>
          <cell r="S386">
            <v>14.333333333333332</v>
          </cell>
          <cell r="V386">
            <v>146.66666666666666</v>
          </cell>
          <cell r="W386">
            <v>119</v>
          </cell>
          <cell r="X386">
            <v>146.66666666666666</v>
          </cell>
          <cell r="Y386">
            <v>105</v>
          </cell>
          <cell r="Z386">
            <v>120</v>
          </cell>
          <cell r="AA386">
            <v>280.66666666666669</v>
          </cell>
          <cell r="AB386">
            <v>223</v>
          </cell>
          <cell r="AC386">
            <v>280.66666666666669</v>
          </cell>
          <cell r="AD386">
            <v>200</v>
          </cell>
          <cell r="AE386">
            <v>191</v>
          </cell>
          <cell r="AK386">
            <v>428</v>
          </cell>
          <cell r="AL386">
            <v>305.66666666666669</v>
          </cell>
          <cell r="AM386">
            <v>429.33333333333331</v>
          </cell>
        </row>
        <row r="387">
          <cell r="F387">
            <v>0</v>
          </cell>
          <cell r="G387">
            <v>0</v>
          </cell>
          <cell r="P387">
            <v>2</v>
          </cell>
          <cell r="V387">
            <v>0</v>
          </cell>
          <cell r="W387">
            <v>0</v>
          </cell>
          <cell r="X387">
            <v>0</v>
          </cell>
          <cell r="Y387">
            <v>0</v>
          </cell>
          <cell r="AA387">
            <v>25</v>
          </cell>
          <cell r="AB387">
            <v>20</v>
          </cell>
          <cell r="AC387">
            <v>25</v>
          </cell>
          <cell r="AD387">
            <v>18</v>
          </cell>
          <cell r="AK387">
            <v>33.666666666666671</v>
          </cell>
          <cell r="AL387">
            <v>23</v>
          </cell>
        </row>
        <row r="388">
          <cell r="F388">
            <v>0</v>
          </cell>
          <cell r="G388">
            <v>0</v>
          </cell>
          <cell r="P388">
            <v>0</v>
          </cell>
          <cell r="V388">
            <v>25.333333333333332</v>
          </cell>
          <cell r="W388">
            <v>21</v>
          </cell>
          <cell r="X388">
            <v>25.333333333333332</v>
          </cell>
          <cell r="Y388">
            <v>18</v>
          </cell>
          <cell r="AA388">
            <v>0.66666666666666663</v>
          </cell>
          <cell r="AB388">
            <v>1</v>
          </cell>
          <cell r="AC388">
            <v>0.66666666666666663</v>
          </cell>
          <cell r="AD388">
            <v>0</v>
          </cell>
          <cell r="AK388">
            <v>26</v>
          </cell>
          <cell r="AL388">
            <v>18</v>
          </cell>
        </row>
        <row r="389">
          <cell r="F389">
            <v>120.63333333333333</v>
          </cell>
          <cell r="G389">
            <v>76</v>
          </cell>
          <cell r="P389">
            <v>0</v>
          </cell>
          <cell r="V389">
            <v>0</v>
          </cell>
          <cell r="W389">
            <v>0</v>
          </cell>
          <cell r="X389">
            <v>0</v>
          </cell>
          <cell r="Y389">
            <v>0</v>
          </cell>
          <cell r="AA389">
            <v>0</v>
          </cell>
          <cell r="AB389">
            <v>0</v>
          </cell>
          <cell r="AC389">
            <v>0</v>
          </cell>
          <cell r="AD389">
            <v>0</v>
          </cell>
          <cell r="AK389">
            <v>120.63333333333333</v>
          </cell>
          <cell r="AL389">
            <v>78</v>
          </cell>
        </row>
        <row r="390">
          <cell r="F390">
            <v>8.6666666666666661</v>
          </cell>
          <cell r="G390">
            <v>5</v>
          </cell>
          <cell r="P390">
            <v>0</v>
          </cell>
          <cell r="V390">
            <v>0</v>
          </cell>
          <cell r="W390">
            <v>0</v>
          </cell>
          <cell r="X390">
            <v>0</v>
          </cell>
          <cell r="Y390">
            <v>0</v>
          </cell>
          <cell r="AA390">
            <v>0</v>
          </cell>
          <cell r="AB390">
            <v>0</v>
          </cell>
          <cell r="AC390">
            <v>0</v>
          </cell>
          <cell r="AD390">
            <v>0</v>
          </cell>
          <cell r="AK390">
            <v>8.6666666666666661</v>
          </cell>
          <cell r="AL390">
            <v>0</v>
          </cell>
        </row>
        <row r="391">
          <cell r="F391">
            <v>0</v>
          </cell>
          <cell r="G391">
            <v>0</v>
          </cell>
          <cell r="P391">
            <v>5.333333333333333</v>
          </cell>
          <cell r="V391">
            <v>0</v>
          </cell>
          <cell r="W391">
            <v>0</v>
          </cell>
          <cell r="X391">
            <v>0</v>
          </cell>
          <cell r="Y391">
            <v>0</v>
          </cell>
          <cell r="AA391">
            <v>0</v>
          </cell>
          <cell r="AB391">
            <v>0</v>
          </cell>
          <cell r="AC391">
            <v>0</v>
          </cell>
          <cell r="AD391">
            <v>0</v>
          </cell>
          <cell r="AK391">
            <v>22</v>
          </cell>
          <cell r="AL391">
            <v>15.333333333333332</v>
          </cell>
        </row>
        <row r="392">
          <cell r="F392">
            <v>5.333333333333333</v>
          </cell>
          <cell r="G392">
            <v>3</v>
          </cell>
          <cell r="P392">
            <v>0</v>
          </cell>
          <cell r="V392">
            <v>0</v>
          </cell>
          <cell r="W392">
            <v>0</v>
          </cell>
          <cell r="X392">
            <v>0</v>
          </cell>
          <cell r="Y392">
            <v>0</v>
          </cell>
          <cell r="AA392">
            <v>0</v>
          </cell>
          <cell r="AB392">
            <v>0</v>
          </cell>
          <cell r="AC392">
            <v>0</v>
          </cell>
          <cell r="AD392">
            <v>0</v>
          </cell>
          <cell r="AK392">
            <v>5.333333333333333</v>
          </cell>
          <cell r="AL392">
            <v>3</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10</v>
          </cell>
          <cell r="Y394">
            <v>7</v>
          </cell>
          <cell r="AA394">
            <v>13.666666666666666</v>
          </cell>
          <cell r="AB394">
            <v>11</v>
          </cell>
          <cell r="AC394">
            <v>13.666666666666666</v>
          </cell>
          <cell r="AD394">
            <v>10</v>
          </cell>
          <cell r="AK394">
            <v>26</v>
          </cell>
          <cell r="AL394">
            <v>19</v>
          </cell>
        </row>
        <row r="395">
          <cell r="F395">
            <v>0</v>
          </cell>
          <cell r="G395">
            <v>0</v>
          </cell>
          <cell r="P395">
            <v>0</v>
          </cell>
          <cell r="V395">
            <v>0</v>
          </cell>
          <cell r="W395">
            <v>0</v>
          </cell>
          <cell r="X395">
            <v>0</v>
          </cell>
          <cell r="Y395">
            <v>0</v>
          </cell>
          <cell r="AA395">
            <v>0</v>
          </cell>
          <cell r="AB395">
            <v>0</v>
          </cell>
          <cell r="AC395">
            <v>0</v>
          </cell>
          <cell r="AD395">
            <v>0</v>
          </cell>
          <cell r="AK395">
            <v>0</v>
          </cell>
          <cell r="AL395">
            <v>4.333333333333333</v>
          </cell>
        </row>
        <row r="396">
          <cell r="F396">
            <v>1.1666666666666667</v>
          </cell>
          <cell r="G396">
            <v>1</v>
          </cell>
          <cell r="P396">
            <v>20.5</v>
          </cell>
          <cell r="V396">
            <v>522.33333333333337</v>
          </cell>
          <cell r="W396">
            <v>424</v>
          </cell>
          <cell r="X396">
            <v>522.33333333333337</v>
          </cell>
          <cell r="Y396">
            <v>375</v>
          </cell>
          <cell r="AA396">
            <v>43</v>
          </cell>
          <cell r="AB396">
            <v>34</v>
          </cell>
          <cell r="AC396">
            <v>43</v>
          </cell>
          <cell r="AD396">
            <v>31</v>
          </cell>
          <cell r="AK396">
            <v>587.33333333333337</v>
          </cell>
          <cell r="AL396">
            <v>427.5</v>
          </cell>
          <cell r="AM396">
            <v>427.83333333333337</v>
          </cell>
        </row>
        <row r="397">
          <cell r="F397">
            <v>0</v>
          </cell>
          <cell r="G397">
            <v>0</v>
          </cell>
          <cell r="P397">
            <v>0</v>
          </cell>
          <cell r="V397">
            <v>0</v>
          </cell>
          <cell r="W397">
            <v>0</v>
          </cell>
          <cell r="X397">
            <v>0</v>
          </cell>
          <cell r="Y397">
            <v>0</v>
          </cell>
          <cell r="AA397">
            <v>0</v>
          </cell>
          <cell r="AB397">
            <v>0</v>
          </cell>
          <cell r="AC397">
            <v>0</v>
          </cell>
          <cell r="AD397">
            <v>0</v>
          </cell>
          <cell r="AK397">
            <v>0</v>
          </cell>
          <cell r="AL397">
            <v>0</v>
          </cell>
        </row>
        <row r="398">
          <cell r="F398">
            <v>0</v>
          </cell>
          <cell r="G398">
            <v>0</v>
          </cell>
          <cell r="P398">
            <v>0</v>
          </cell>
          <cell r="V398">
            <v>480.66666666666669</v>
          </cell>
          <cell r="W398">
            <v>390</v>
          </cell>
          <cell r="X398">
            <v>480.66666666666669</v>
          </cell>
          <cell r="Y398">
            <v>345</v>
          </cell>
          <cell r="AA398">
            <v>11</v>
          </cell>
          <cell r="AB398">
            <v>9</v>
          </cell>
          <cell r="AC398">
            <v>11</v>
          </cell>
          <cell r="AD398">
            <v>8</v>
          </cell>
          <cell r="AK398">
            <v>491.66666666666669</v>
          </cell>
          <cell r="AL398">
            <v>353</v>
          </cell>
          <cell r="AM398">
            <v>388.83333333333337</v>
          </cell>
        </row>
        <row r="399">
          <cell r="F399">
            <v>0</v>
          </cell>
          <cell r="G399">
            <v>0</v>
          </cell>
          <cell r="P399">
            <v>0</v>
          </cell>
          <cell r="V399">
            <v>0</v>
          </cell>
          <cell r="W399">
            <v>0</v>
          </cell>
          <cell r="X399">
            <v>0</v>
          </cell>
          <cell r="Y399">
            <v>0</v>
          </cell>
          <cell r="AA399">
            <v>0</v>
          </cell>
          <cell r="AB399">
            <v>0</v>
          </cell>
          <cell r="AC399">
            <v>0</v>
          </cell>
          <cell r="AD399">
            <v>0</v>
          </cell>
          <cell r="AK399">
            <v>0</v>
          </cell>
          <cell r="AL399">
            <v>0</v>
          </cell>
        </row>
        <row r="400">
          <cell r="F400">
            <v>1.1666666666666667</v>
          </cell>
          <cell r="G400">
            <v>1</v>
          </cell>
          <cell r="P400">
            <v>15.833333333333334</v>
          </cell>
          <cell r="V400">
            <v>41.666666666666664</v>
          </cell>
          <cell r="W400">
            <v>34</v>
          </cell>
          <cell r="X400">
            <v>41.666666666666664</v>
          </cell>
          <cell r="Y400">
            <v>30</v>
          </cell>
          <cell r="AA400">
            <v>32</v>
          </cell>
          <cell r="AB400">
            <v>25</v>
          </cell>
          <cell r="AC400">
            <v>32</v>
          </cell>
          <cell r="AD400">
            <v>23</v>
          </cell>
          <cell r="AK400">
            <v>91</v>
          </cell>
          <cell r="AL400">
            <v>74.833333333333343</v>
          </cell>
        </row>
        <row r="401">
          <cell r="F401">
            <v>0</v>
          </cell>
          <cell r="G401">
            <v>0</v>
          </cell>
          <cell r="P401">
            <v>4.666666666666667</v>
          </cell>
          <cell r="V401">
            <v>0</v>
          </cell>
          <cell r="W401">
            <v>0</v>
          </cell>
          <cell r="X401">
            <v>0</v>
          </cell>
          <cell r="Y401">
            <v>0</v>
          </cell>
          <cell r="AA401">
            <v>0</v>
          </cell>
          <cell r="AB401">
            <v>0</v>
          </cell>
          <cell r="AC401">
            <v>0</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67.833333333333343</v>
          </cell>
        </row>
        <row r="403">
          <cell r="F403">
            <v>10</v>
          </cell>
          <cell r="G403">
            <v>6</v>
          </cell>
          <cell r="P403">
            <v>39</v>
          </cell>
          <cell r="V403">
            <v>0</v>
          </cell>
          <cell r="W403">
            <v>0</v>
          </cell>
          <cell r="X403">
            <v>0</v>
          </cell>
          <cell r="Y403">
            <v>0</v>
          </cell>
          <cell r="AA403">
            <v>0</v>
          </cell>
          <cell r="AB403">
            <v>0</v>
          </cell>
          <cell r="AC403">
            <v>0</v>
          </cell>
          <cell r="AD403">
            <v>0</v>
          </cell>
          <cell r="AK403">
            <v>49</v>
          </cell>
          <cell r="AL403">
            <v>45</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4.3333333333333339</v>
          </cell>
        </row>
        <row r="407">
          <cell r="F407">
            <v>206.33333333333329</v>
          </cell>
          <cell r="G407">
            <v>131</v>
          </cell>
          <cell r="H407">
            <v>130</v>
          </cell>
          <cell r="P407">
            <v>50.166666666666671</v>
          </cell>
          <cell r="S407">
            <v>50.166666666666671</v>
          </cell>
          <cell r="V407">
            <v>37.833333333333343</v>
          </cell>
          <cell r="W407">
            <v>31</v>
          </cell>
          <cell r="X407">
            <v>37.833333333333343</v>
          </cell>
          <cell r="Y407">
            <v>27</v>
          </cell>
          <cell r="AA407">
            <v>26.000000000000004</v>
          </cell>
          <cell r="AB407">
            <v>21</v>
          </cell>
          <cell r="AC407">
            <v>26.000000000000004</v>
          </cell>
          <cell r="AD407">
            <v>18</v>
          </cell>
          <cell r="AK407">
            <v>1965.0000000000002</v>
          </cell>
          <cell r="AL407">
            <v>481.16666666666663</v>
          </cell>
          <cell r="AM407">
            <v>481.16666666666663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P410">
            <v>0</v>
          </cell>
          <cell r="V410">
            <v>0</v>
          </cell>
          <cell r="W410">
            <v>0</v>
          </cell>
          <cell r="X410">
            <v>0</v>
          </cell>
          <cell r="Y410">
            <v>0</v>
          </cell>
          <cell r="AA410">
            <v>0</v>
          </cell>
          <cell r="AB410">
            <v>0</v>
          </cell>
          <cell r="AC410">
            <v>0</v>
          </cell>
          <cell r="AD410">
            <v>0</v>
          </cell>
          <cell r="AK410">
            <v>0</v>
          </cell>
          <cell r="AL410">
            <v>0</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3</v>
          </cell>
          <cell r="Y413">
            <v>2</v>
          </cell>
          <cell r="AA413">
            <v>3</v>
          </cell>
          <cell r="AB413">
            <v>2</v>
          </cell>
          <cell r="AC413">
            <v>3</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4.5</v>
          </cell>
          <cell r="Y416">
            <v>3</v>
          </cell>
          <cell r="AA416">
            <v>1.3333333333333333</v>
          </cell>
          <cell r="AB416">
            <v>1</v>
          </cell>
          <cell r="AC416">
            <v>1.3333333333333333</v>
          </cell>
          <cell r="AD416">
            <v>1</v>
          </cell>
          <cell r="AK416">
            <v>28.5</v>
          </cell>
          <cell r="AL416">
            <v>26.5</v>
          </cell>
        </row>
        <row r="417">
          <cell r="F417">
            <v>0</v>
          </cell>
          <cell r="G417">
            <v>0</v>
          </cell>
          <cell r="P417">
            <v>1.3333333333333333</v>
          </cell>
          <cell r="V417">
            <v>0</v>
          </cell>
          <cell r="W417">
            <v>0</v>
          </cell>
          <cell r="X417">
            <v>0</v>
          </cell>
          <cell r="Y417">
            <v>0</v>
          </cell>
          <cell r="AA417">
            <v>1.6666666666666667</v>
          </cell>
          <cell r="AB417">
            <v>1</v>
          </cell>
          <cell r="AC417">
            <v>1.6666666666666667</v>
          </cell>
          <cell r="AD417">
            <v>1</v>
          </cell>
          <cell r="AK417">
            <v>69</v>
          </cell>
          <cell r="AL417">
            <v>52.333333333333336</v>
          </cell>
        </row>
        <row r="418">
          <cell r="F418">
            <v>177</v>
          </cell>
          <cell r="G418">
            <v>112</v>
          </cell>
          <cell r="P418">
            <v>0</v>
          </cell>
          <cell r="V418">
            <v>0</v>
          </cell>
          <cell r="W418">
            <v>0</v>
          </cell>
          <cell r="X418">
            <v>0</v>
          </cell>
          <cell r="Y418">
            <v>0</v>
          </cell>
          <cell r="AA418">
            <v>0</v>
          </cell>
          <cell r="AB418">
            <v>0</v>
          </cell>
          <cell r="AC418">
            <v>0</v>
          </cell>
          <cell r="AD418">
            <v>0</v>
          </cell>
          <cell r="AK418">
            <v>177</v>
          </cell>
          <cell r="AL418">
            <v>112</v>
          </cell>
        </row>
        <row r="419">
          <cell r="F419">
            <v>0</v>
          </cell>
          <cell r="G419">
            <v>0</v>
          </cell>
          <cell r="P419">
            <v>0</v>
          </cell>
          <cell r="V419">
            <v>10</v>
          </cell>
          <cell r="W419">
            <v>8</v>
          </cell>
          <cell r="X419">
            <v>10</v>
          </cell>
          <cell r="Y419">
            <v>7</v>
          </cell>
          <cell r="AA419">
            <v>7.666666666666667</v>
          </cell>
          <cell r="AB419">
            <v>6</v>
          </cell>
          <cell r="AC419">
            <v>7.666666666666667</v>
          </cell>
          <cell r="AD419">
            <v>5</v>
          </cell>
          <cell r="AK419">
            <v>17.666666666666668</v>
          </cell>
          <cell r="AL419">
            <v>12</v>
          </cell>
        </row>
        <row r="420">
          <cell r="F420">
            <v>0.66666666666666663</v>
          </cell>
          <cell r="G420">
            <v>0</v>
          </cell>
          <cell r="P420">
            <v>2</v>
          </cell>
          <cell r="V420">
            <v>1.3333333333333333</v>
          </cell>
          <cell r="W420">
            <v>1</v>
          </cell>
          <cell r="X420">
            <v>1.3333333333333333</v>
          </cell>
          <cell r="Y420">
            <v>1</v>
          </cell>
          <cell r="AA420">
            <v>1</v>
          </cell>
          <cell r="AB420">
            <v>1</v>
          </cell>
          <cell r="AC420">
            <v>1</v>
          </cell>
          <cell r="AD420">
            <v>1</v>
          </cell>
          <cell r="AK420">
            <v>6</v>
          </cell>
          <cell r="AL420">
            <v>4</v>
          </cell>
        </row>
        <row r="421">
          <cell r="F421">
            <v>2.6666666666666665</v>
          </cell>
          <cell r="G421">
            <v>2</v>
          </cell>
          <cell r="P421">
            <v>0.33333333333333331</v>
          </cell>
          <cell r="V421">
            <v>1</v>
          </cell>
          <cell r="W421">
            <v>1</v>
          </cell>
          <cell r="X421">
            <v>1</v>
          </cell>
          <cell r="Y421">
            <v>1</v>
          </cell>
          <cell r="AA421">
            <v>0.66666666666666663</v>
          </cell>
          <cell r="AB421">
            <v>1</v>
          </cell>
          <cell r="AC421">
            <v>0.66666666666666663</v>
          </cell>
          <cell r="AD421">
            <v>0</v>
          </cell>
          <cell r="AK421">
            <v>9.3333333333333339</v>
          </cell>
          <cell r="AL421">
            <v>5.333333333333333</v>
          </cell>
        </row>
        <row r="422">
          <cell r="F422">
            <v>0</v>
          </cell>
          <cell r="G422">
            <v>0</v>
          </cell>
          <cell r="P422">
            <v>2.3333333333333335</v>
          </cell>
          <cell r="V422">
            <v>6</v>
          </cell>
          <cell r="W422">
            <v>5</v>
          </cell>
          <cell r="X422">
            <v>6</v>
          </cell>
          <cell r="Y422">
            <v>4</v>
          </cell>
          <cell r="AA422">
            <v>5</v>
          </cell>
          <cell r="AB422">
            <v>4</v>
          </cell>
          <cell r="AC422">
            <v>5</v>
          </cell>
          <cell r="AD422">
            <v>4</v>
          </cell>
          <cell r="AK422">
            <v>13.333333333333334</v>
          </cell>
          <cell r="AL422">
            <v>10.333333333333334</v>
          </cell>
        </row>
        <row r="423">
          <cell r="F423">
            <v>0</v>
          </cell>
          <cell r="G423">
            <v>0</v>
          </cell>
          <cell r="P423">
            <v>0</v>
          </cell>
          <cell r="V423">
            <v>0</v>
          </cell>
          <cell r="W423">
            <v>0</v>
          </cell>
          <cell r="X423">
            <v>0</v>
          </cell>
          <cell r="Y423">
            <v>0</v>
          </cell>
          <cell r="AA423">
            <v>0</v>
          </cell>
          <cell r="AB423">
            <v>0</v>
          </cell>
          <cell r="AC423">
            <v>0</v>
          </cell>
          <cell r="AD423">
            <v>0</v>
          </cell>
          <cell r="AK423">
            <v>0</v>
          </cell>
          <cell r="AL423">
            <v>0</v>
          </cell>
        </row>
        <row r="424">
          <cell r="F424">
            <v>0</v>
          </cell>
          <cell r="G424">
            <v>0</v>
          </cell>
          <cell r="P424">
            <v>0</v>
          </cell>
          <cell r="V424">
            <v>0</v>
          </cell>
          <cell r="W424">
            <v>0</v>
          </cell>
          <cell r="X424">
            <v>0</v>
          </cell>
          <cell r="Y424">
            <v>0</v>
          </cell>
          <cell r="AA424">
            <v>0</v>
          </cell>
          <cell r="AB424">
            <v>0</v>
          </cell>
          <cell r="AC424">
            <v>0</v>
          </cell>
          <cell r="AD424">
            <v>0</v>
          </cell>
          <cell r="AK424">
            <v>0</v>
          </cell>
          <cell r="AL424">
            <v>0</v>
          </cell>
        </row>
        <row r="425">
          <cell r="F425">
            <v>9.6666666666666661</v>
          </cell>
          <cell r="G425">
            <v>6</v>
          </cell>
          <cell r="P425">
            <v>1</v>
          </cell>
          <cell r="V425">
            <v>0</v>
          </cell>
          <cell r="W425">
            <v>0</v>
          </cell>
          <cell r="X425">
            <v>0</v>
          </cell>
          <cell r="Y425">
            <v>0</v>
          </cell>
          <cell r="AA425">
            <v>0</v>
          </cell>
          <cell r="AB425">
            <v>0</v>
          </cell>
          <cell r="AC425">
            <v>0</v>
          </cell>
          <cell r="AD425">
            <v>0</v>
          </cell>
          <cell r="AK425">
            <v>12</v>
          </cell>
          <cell r="AL425">
            <v>8</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1</v>
          </cell>
          <cell r="P427">
            <v>0.66666666666666663</v>
          </cell>
          <cell r="V427">
            <v>0.66666666666666663</v>
          </cell>
          <cell r="W427">
            <v>1</v>
          </cell>
          <cell r="X427">
            <v>0.66666666666666663</v>
          </cell>
          <cell r="Y427">
            <v>0</v>
          </cell>
          <cell r="AA427">
            <v>0.66666666666666663</v>
          </cell>
          <cell r="AB427">
            <v>1</v>
          </cell>
          <cell r="AC427">
            <v>0.66666666666666663</v>
          </cell>
          <cell r="AD427">
            <v>0</v>
          </cell>
          <cell r="AK427">
            <v>4.333333333333333</v>
          </cell>
          <cell r="AL427">
            <v>1.6666666666666665</v>
          </cell>
        </row>
        <row r="428">
          <cell r="F428">
            <v>1.6666666666666667</v>
          </cell>
          <cell r="G428">
            <v>1</v>
          </cell>
          <cell r="P428">
            <v>0.66666666666666663</v>
          </cell>
          <cell r="V428">
            <v>0.66666666666666663</v>
          </cell>
          <cell r="W428">
            <v>1</v>
          </cell>
          <cell r="X428">
            <v>0.66666666666666663</v>
          </cell>
          <cell r="Y428">
            <v>0</v>
          </cell>
          <cell r="AA428">
            <v>0.66666666666666663</v>
          </cell>
          <cell r="AB428">
            <v>1</v>
          </cell>
          <cell r="AC428">
            <v>0.66666666666666663</v>
          </cell>
          <cell r="AD428">
            <v>0</v>
          </cell>
          <cell r="AK428">
            <v>3.6666666666666665</v>
          </cell>
          <cell r="AL428">
            <v>1.6666666666666665</v>
          </cell>
        </row>
        <row r="429">
          <cell r="F429">
            <v>6.666666666666667</v>
          </cell>
          <cell r="G429">
            <v>4</v>
          </cell>
          <cell r="P429">
            <v>4.666666666666667</v>
          </cell>
          <cell r="V429">
            <v>3</v>
          </cell>
          <cell r="W429">
            <v>2</v>
          </cell>
          <cell r="X429">
            <v>3</v>
          </cell>
          <cell r="Y429">
            <v>2</v>
          </cell>
          <cell r="AA429">
            <v>2</v>
          </cell>
          <cell r="AB429">
            <v>2</v>
          </cell>
          <cell r="AC429">
            <v>2</v>
          </cell>
          <cell r="AD429">
            <v>1</v>
          </cell>
          <cell r="AK429">
            <v>33</v>
          </cell>
          <cell r="AL429">
            <v>21.666666666666668</v>
          </cell>
        </row>
        <row r="430">
          <cell r="F430">
            <v>0</v>
          </cell>
          <cell r="G430">
            <v>0</v>
          </cell>
          <cell r="P430">
            <v>0</v>
          </cell>
          <cell r="V430">
            <v>0</v>
          </cell>
          <cell r="W430">
            <v>0</v>
          </cell>
          <cell r="X430">
            <v>0</v>
          </cell>
          <cell r="Y430">
            <v>0</v>
          </cell>
          <cell r="AA430">
            <v>0</v>
          </cell>
          <cell r="AB430">
            <v>0</v>
          </cell>
          <cell r="AC430">
            <v>0</v>
          </cell>
          <cell r="AD430">
            <v>0</v>
          </cell>
          <cell r="AK430">
            <v>0</v>
          </cell>
          <cell r="AL430">
            <v>0</v>
          </cell>
        </row>
        <row r="431">
          <cell r="F431">
            <v>0</v>
          </cell>
          <cell r="G431">
            <v>0</v>
          </cell>
          <cell r="P431">
            <v>0</v>
          </cell>
          <cell r="V431">
            <v>0</v>
          </cell>
          <cell r="W431">
            <v>0</v>
          </cell>
          <cell r="X431">
            <v>0</v>
          </cell>
          <cell r="Y431">
            <v>0</v>
          </cell>
          <cell r="AA431">
            <v>0</v>
          </cell>
          <cell r="AB431">
            <v>0</v>
          </cell>
          <cell r="AC431">
            <v>0</v>
          </cell>
          <cell r="AD431">
            <v>0</v>
          </cell>
          <cell r="AK431">
            <v>0</v>
          </cell>
          <cell r="AL431">
            <v>53</v>
          </cell>
        </row>
        <row r="432">
          <cell r="F432">
            <v>1</v>
          </cell>
          <cell r="G432">
            <v>1</v>
          </cell>
          <cell r="P432">
            <v>0</v>
          </cell>
          <cell r="V432">
            <v>0</v>
          </cell>
          <cell r="W432">
            <v>0</v>
          </cell>
          <cell r="X432">
            <v>0</v>
          </cell>
          <cell r="Y432">
            <v>0</v>
          </cell>
          <cell r="AA432">
            <v>0</v>
          </cell>
          <cell r="AB432">
            <v>0</v>
          </cell>
          <cell r="AC432">
            <v>0</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4</v>
          </cell>
          <cell r="Y435">
            <v>3</v>
          </cell>
          <cell r="AA435">
            <v>2</v>
          </cell>
          <cell r="AB435">
            <v>2</v>
          </cell>
          <cell r="AC435">
            <v>2</v>
          </cell>
          <cell r="AD435">
            <v>1</v>
          </cell>
          <cell r="AK435">
            <v>15.666666666666666</v>
          </cell>
          <cell r="AL435">
            <v>10</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3.3333333333333335</v>
          </cell>
          <cell r="Y437">
            <v>2</v>
          </cell>
          <cell r="AA437">
            <v>0</v>
          </cell>
          <cell r="AB437">
            <v>0</v>
          </cell>
          <cell r="AC437">
            <v>0</v>
          </cell>
          <cell r="AD437">
            <v>0</v>
          </cell>
          <cell r="AK437">
            <v>3.3333333333333335</v>
          </cell>
          <cell r="AL437">
            <v>2</v>
          </cell>
        </row>
        <row r="438">
          <cell r="F438">
            <v>0.33333333333333331</v>
          </cell>
          <cell r="G438">
            <v>0</v>
          </cell>
          <cell r="P438">
            <v>0.33333333333333331</v>
          </cell>
          <cell r="V438">
            <v>0.33333333333333331</v>
          </cell>
          <cell r="W438">
            <v>0</v>
          </cell>
          <cell r="X438">
            <v>0.33333333333333331</v>
          </cell>
          <cell r="Y438">
            <v>0</v>
          </cell>
          <cell r="AA438">
            <v>0.33333333333333331</v>
          </cell>
          <cell r="AB438">
            <v>0</v>
          </cell>
          <cell r="AC438">
            <v>0.33333333333333331</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0</v>
          </cell>
          <cell r="Y440">
            <v>0</v>
          </cell>
          <cell r="AA440">
            <v>0</v>
          </cell>
          <cell r="AB440">
            <v>0</v>
          </cell>
          <cell r="AC440">
            <v>0</v>
          </cell>
          <cell r="AD440">
            <v>0</v>
          </cell>
          <cell r="AK440">
            <v>0</v>
          </cell>
          <cell r="AL440">
            <v>0</v>
          </cell>
        </row>
        <row r="441">
          <cell r="F441">
            <v>0</v>
          </cell>
          <cell r="G441">
            <v>0</v>
          </cell>
          <cell r="P441">
            <v>0</v>
          </cell>
          <cell r="V441">
            <v>0</v>
          </cell>
          <cell r="W441">
            <v>0</v>
          </cell>
          <cell r="X441">
            <v>0</v>
          </cell>
          <cell r="Y441">
            <v>0</v>
          </cell>
          <cell r="AA441">
            <v>0</v>
          </cell>
          <cell r="AB441">
            <v>0</v>
          </cell>
          <cell r="AC441">
            <v>0</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G447">
            <v>0</v>
          </cell>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sheetData>
      <sheetData sheetId="13"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v>2476</v>
          </cell>
          <cell r="G25">
            <v>968</v>
          </cell>
          <cell r="H25">
            <v>1508</v>
          </cell>
          <cell r="P25">
            <v>636.99999999999989</v>
          </cell>
          <cell r="Q25">
            <v>0</v>
          </cell>
          <cell r="R25">
            <v>0</v>
          </cell>
          <cell r="S25">
            <v>2544.666666666667</v>
          </cell>
          <cell r="T25">
            <v>1696.2666666666664</v>
          </cell>
          <cell r="U25">
            <v>848.40000000000009</v>
          </cell>
          <cell r="V25">
            <v>0</v>
          </cell>
          <cell r="W25">
            <v>0</v>
          </cell>
          <cell r="X25">
            <v>1280.3333333333333</v>
          </cell>
          <cell r="Y25">
            <v>837</v>
          </cell>
          <cell r="Z25">
            <v>443.33333333333331</v>
          </cell>
          <cell r="AA25">
            <v>0</v>
          </cell>
          <cell r="AB25">
            <v>0</v>
          </cell>
          <cell r="AC25">
            <v>549</v>
          </cell>
          <cell r="AD25">
            <v>326</v>
          </cell>
          <cell r="AE25">
            <v>222.99999999999997</v>
          </cell>
          <cell r="AF25">
            <v>1455</v>
          </cell>
          <cell r="AG25">
            <v>733</v>
          </cell>
          <cell r="AH25">
            <v>722</v>
          </cell>
          <cell r="AI25">
            <v>406.2</v>
          </cell>
          <cell r="AJ25">
            <v>0</v>
          </cell>
          <cell r="AK25">
            <v>8784</v>
          </cell>
          <cell r="AL25">
            <v>3007</v>
          </cell>
          <cell r="AM25">
            <v>5777</v>
          </cell>
          <cell r="AN25">
            <v>5777</v>
          </cell>
          <cell r="AO25">
            <v>1163</v>
          </cell>
          <cell r="AP25">
            <v>1531</v>
          </cell>
          <cell r="AQ25">
            <v>1843.9999999999998</v>
          </cell>
          <cell r="AR25">
            <v>4246</v>
          </cell>
        </row>
        <row r="26">
          <cell r="AI26" t="str">
            <v xml:space="preserve">   "_____" ________2000 р.</v>
          </cell>
        </row>
        <row r="30">
          <cell r="P30" t="str">
            <v>4мес</v>
          </cell>
          <cell r="S30" t="str">
            <v>4 мес</v>
          </cell>
          <cell r="X30" t="str">
            <v>4 мес</v>
          </cell>
          <cell r="AC30" t="str">
            <v>4 мес</v>
          </cell>
        </row>
        <row r="31">
          <cell r="P31">
            <v>9611</v>
          </cell>
          <cell r="S31">
            <v>29500</v>
          </cell>
          <cell r="X31">
            <v>9129</v>
          </cell>
          <cell r="AC31">
            <v>5177</v>
          </cell>
          <cell r="AF31">
            <v>15250</v>
          </cell>
        </row>
        <row r="32">
          <cell r="Q32" t="str">
            <v>КТМ</v>
          </cell>
          <cell r="V32" t="str">
            <v xml:space="preserve">ТЕЦ-5 </v>
          </cell>
          <cell r="AA32" t="str">
            <v xml:space="preserve">ТЕЦ-6 </v>
          </cell>
        </row>
        <row r="33">
          <cell r="P33">
            <v>12306</v>
          </cell>
          <cell r="S33">
            <v>52204</v>
          </cell>
          <cell r="X33">
            <v>13845</v>
          </cell>
          <cell r="AC33">
            <v>7693</v>
          </cell>
          <cell r="AF33">
            <v>19609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 xml:space="preserve">ТЕЦ-6 </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t="str">
            <v>ТЕЦ-5 ВСЬОГО</v>
          </cell>
          <cell r="W36" t="str">
            <v>Е/Е</v>
          </cell>
          <cell r="X36" t="str">
            <v xml:space="preserve"> Т/Е</v>
          </cell>
          <cell r="Y36" t="str">
            <v>Е/Е</v>
          </cell>
          <cell r="Z36" t="str">
            <v xml:space="preserve"> Т/Е</v>
          </cell>
          <cell r="AA36" t="str">
            <v>ТЕЦ-6 ВСЬОГО</v>
          </cell>
          <cell r="AB36" t="str">
            <v>Е/Е</v>
          </cell>
          <cell r="AC36" t="str">
            <v xml:space="preserve"> Т/Е</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AL37">
            <v>395</v>
          </cell>
        </row>
        <row r="38">
          <cell r="AL38">
            <v>336</v>
          </cell>
        </row>
        <row r="39">
          <cell r="AL39">
            <v>0</v>
          </cell>
        </row>
        <row r="40">
          <cell r="AL40">
            <v>0</v>
          </cell>
        </row>
        <row r="41">
          <cell r="AL41">
            <v>0</v>
          </cell>
        </row>
        <row r="42">
          <cell r="P42">
            <v>0</v>
          </cell>
          <cell r="AL42">
            <v>0</v>
          </cell>
        </row>
        <row r="43">
          <cell r="AL43">
            <v>395.6</v>
          </cell>
          <cell r="AM43">
            <v>1580</v>
          </cell>
        </row>
        <row r="44">
          <cell r="P44">
            <v>0</v>
          </cell>
          <cell r="AL44">
            <v>395.6</v>
          </cell>
          <cell r="AM44">
            <v>0</v>
          </cell>
        </row>
        <row r="45">
          <cell r="AM45">
            <v>1580</v>
          </cell>
        </row>
        <row r="46">
          <cell r="F46">
            <v>9995.1</v>
          </cell>
          <cell r="P46">
            <v>2694.62</v>
          </cell>
          <cell r="S46">
            <v>7710.7648484848487</v>
          </cell>
          <cell r="T46">
            <v>2690.8247757575755</v>
          </cell>
          <cell r="U46">
            <v>2611.9400727272728</v>
          </cell>
          <cell r="X46">
            <v>4714.5030303030289</v>
          </cell>
          <cell r="AC46">
            <v>2516.6951515151522</v>
          </cell>
          <cell r="AF46">
            <v>4357.5593939393939</v>
          </cell>
          <cell r="AG46">
            <v>3406</v>
          </cell>
          <cell r="AH46">
            <v>952.89272727272737</v>
          </cell>
          <cell r="AM46">
            <v>0</v>
          </cell>
        </row>
        <row r="47">
          <cell r="F47">
            <v>0.8</v>
          </cell>
          <cell r="AM47">
            <v>1580</v>
          </cell>
        </row>
        <row r="48">
          <cell r="F48">
            <v>14901</v>
          </cell>
          <cell r="P48">
            <v>3080.62</v>
          </cell>
          <cell r="S48">
            <v>8423.52</v>
          </cell>
          <cell r="T48">
            <v>2620.8347999999996</v>
          </cell>
          <cell r="U48">
            <v>2617.6851999999999</v>
          </cell>
          <cell r="V48">
            <v>2576.1318181818187</v>
          </cell>
          <cell r="X48">
            <v>1941.8530303030293</v>
          </cell>
          <cell r="AA48">
            <v>2709.5690909090908</v>
          </cell>
          <cell r="AC48">
            <v>1753.5509090909086</v>
          </cell>
          <cell r="AF48">
            <v>4466.8781818181815</v>
          </cell>
          <cell r="AG48">
            <v>3618.3</v>
          </cell>
          <cell r="AH48">
            <v>848.57818181818175</v>
          </cell>
        </row>
        <row r="49">
          <cell r="F49">
            <v>0.85</v>
          </cell>
          <cell r="G49">
            <v>297</v>
          </cell>
          <cell r="H49">
            <v>462</v>
          </cell>
          <cell r="P49">
            <v>0.85</v>
          </cell>
          <cell r="S49">
            <v>0.85</v>
          </cell>
          <cell r="T49">
            <v>442.5</v>
          </cell>
          <cell r="U49">
            <v>442.5</v>
          </cell>
          <cell r="X49">
            <v>0.85</v>
          </cell>
          <cell r="Y49">
            <v>133</v>
          </cell>
          <cell r="Z49">
            <v>71</v>
          </cell>
          <cell r="AC49">
            <v>0.85</v>
          </cell>
          <cell r="AD49">
            <v>225</v>
          </cell>
          <cell r="AE49">
            <v>154.33333333333331</v>
          </cell>
          <cell r="AF49">
            <v>0.85</v>
          </cell>
          <cell r="AG49">
            <v>0.85</v>
          </cell>
          <cell r="AH49">
            <v>0.85</v>
          </cell>
          <cell r="AI49">
            <v>70</v>
          </cell>
          <cell r="AK49">
            <v>3035.3333333333335</v>
          </cell>
          <cell r="AL49">
            <v>1155</v>
          </cell>
          <cell r="AM49">
            <v>1880.3333333333335</v>
          </cell>
          <cell r="AN49">
            <v>1880.3333333333333</v>
          </cell>
          <cell r="AO49">
            <v>358</v>
          </cell>
          <cell r="AP49">
            <v>526</v>
          </cell>
          <cell r="AQ49">
            <v>797</v>
          </cell>
          <cell r="AR49">
            <v>1354.3333333333335</v>
          </cell>
        </row>
        <row r="50">
          <cell r="F50">
            <v>294</v>
          </cell>
          <cell r="G50">
            <v>115</v>
          </cell>
          <cell r="H50">
            <v>179</v>
          </cell>
          <cell r="P50">
            <v>450</v>
          </cell>
          <cell r="S50">
            <v>750</v>
          </cell>
          <cell r="X50">
            <v>102</v>
          </cell>
          <cell r="Y50">
            <v>67</v>
          </cell>
          <cell r="Z50">
            <v>35</v>
          </cell>
          <cell r="AC50">
            <v>97</v>
          </cell>
          <cell r="AD50">
            <v>58</v>
          </cell>
          <cell r="AE50">
            <v>39</v>
          </cell>
          <cell r="AF50">
            <v>447</v>
          </cell>
          <cell r="AG50">
            <v>415</v>
          </cell>
          <cell r="AH50">
            <v>32</v>
          </cell>
          <cell r="AK50">
            <v>2142</v>
          </cell>
          <cell r="AL50">
            <v>721</v>
          </cell>
          <cell r="AM50">
            <v>1421</v>
          </cell>
          <cell r="AN50">
            <v>1421</v>
          </cell>
        </row>
        <row r="51">
          <cell r="F51">
            <v>702</v>
          </cell>
          <cell r="G51">
            <v>336</v>
          </cell>
          <cell r="H51">
            <v>366</v>
          </cell>
          <cell r="P51">
            <v>320</v>
          </cell>
          <cell r="S51">
            <v>913</v>
          </cell>
          <cell r="T51">
            <v>456.5</v>
          </cell>
          <cell r="U51">
            <v>456.5</v>
          </cell>
          <cell r="V51">
            <v>187</v>
          </cell>
          <cell r="W51">
            <v>152</v>
          </cell>
          <cell r="X51">
            <v>35</v>
          </cell>
          <cell r="Y51">
            <v>136</v>
          </cell>
          <cell r="Z51">
            <v>48</v>
          </cell>
          <cell r="AA51">
            <v>48</v>
          </cell>
          <cell r="AB51">
            <v>38</v>
          </cell>
          <cell r="AC51">
            <v>10</v>
          </cell>
          <cell r="AD51">
            <v>-123</v>
          </cell>
          <cell r="AE51">
            <v>-77</v>
          </cell>
          <cell r="AF51">
            <v>483</v>
          </cell>
          <cell r="AG51">
            <v>400</v>
          </cell>
          <cell r="AH51">
            <v>83</v>
          </cell>
          <cell r="AK51">
            <v>2749</v>
          </cell>
          <cell r="AL51">
            <v>887</v>
          </cell>
          <cell r="AM51">
            <v>1862</v>
          </cell>
          <cell r="AN51">
            <v>1862</v>
          </cell>
          <cell r="AO51">
            <v>190</v>
          </cell>
          <cell r="AP51">
            <v>355</v>
          </cell>
          <cell r="AQ51">
            <v>697</v>
          </cell>
          <cell r="AR51">
            <v>1507</v>
          </cell>
        </row>
        <row r="52">
          <cell r="F52">
            <v>138</v>
          </cell>
          <cell r="G52">
            <v>66</v>
          </cell>
          <cell r="H52">
            <v>72</v>
          </cell>
          <cell r="P52">
            <v>300</v>
          </cell>
          <cell r="S52">
            <v>636</v>
          </cell>
          <cell r="V52">
            <v>132</v>
          </cell>
          <cell r="W52">
            <v>107</v>
          </cell>
          <cell r="X52">
            <v>25</v>
          </cell>
          <cell r="Y52">
            <v>85</v>
          </cell>
          <cell r="Z52">
            <v>30</v>
          </cell>
          <cell r="AA52">
            <v>100</v>
          </cell>
          <cell r="AB52">
            <v>79</v>
          </cell>
          <cell r="AC52">
            <v>21</v>
          </cell>
          <cell r="AD52">
            <v>68</v>
          </cell>
          <cell r="AE52">
            <v>42</v>
          </cell>
          <cell r="AF52">
            <v>343</v>
          </cell>
          <cell r="AG52">
            <v>300</v>
          </cell>
          <cell r="AH52">
            <v>43</v>
          </cell>
          <cell r="AK52">
            <v>1660</v>
          </cell>
          <cell r="AL52">
            <v>576</v>
          </cell>
          <cell r="AM52">
            <v>1084</v>
          </cell>
          <cell r="AN52">
            <v>1084</v>
          </cell>
        </row>
        <row r="53">
          <cell r="F53">
            <v>20</v>
          </cell>
          <cell r="G53">
            <v>0</v>
          </cell>
          <cell r="H53">
            <v>12</v>
          </cell>
          <cell r="P53">
            <v>0</v>
          </cell>
          <cell r="S53">
            <v>368.66666666666669</v>
          </cell>
          <cell r="T53">
            <v>287.56</v>
          </cell>
          <cell r="U53">
            <v>81.106666666666683</v>
          </cell>
          <cell r="V53">
            <v>0</v>
          </cell>
          <cell r="W53">
            <v>0</v>
          </cell>
          <cell r="X53">
            <v>0</v>
          </cell>
          <cell r="Y53">
            <v>0</v>
          </cell>
          <cell r="Z53">
            <v>0</v>
          </cell>
          <cell r="AA53">
            <v>-300</v>
          </cell>
          <cell r="AB53">
            <v>-238</v>
          </cell>
          <cell r="AC53">
            <v>-62</v>
          </cell>
          <cell r="AD53">
            <v>0</v>
          </cell>
          <cell r="AE53">
            <v>0</v>
          </cell>
          <cell r="AF53">
            <v>189.33333333333334</v>
          </cell>
          <cell r="AG53">
            <v>110</v>
          </cell>
          <cell r="AH53">
            <v>0</v>
          </cell>
          <cell r="AI53">
            <v>36</v>
          </cell>
          <cell r="AK53">
            <v>-300</v>
          </cell>
          <cell r="AL53">
            <v>-238</v>
          </cell>
          <cell r="AM53">
            <v>-62</v>
          </cell>
          <cell r="AN53">
            <v>-62</v>
          </cell>
          <cell r="AO53">
            <v>690</v>
          </cell>
          <cell r="AP53">
            <v>498</v>
          </cell>
          <cell r="AQ53">
            <v>61.666666666666629</v>
          </cell>
          <cell r="AR53">
            <v>365.66666666666663</v>
          </cell>
        </row>
        <row r="54">
          <cell r="F54">
            <v>562</v>
          </cell>
          <cell r="G54">
            <v>269</v>
          </cell>
          <cell r="H54">
            <v>293</v>
          </cell>
          <cell r="P54">
            <v>7</v>
          </cell>
          <cell r="S54">
            <v>65</v>
          </cell>
          <cell r="T54">
            <v>13.666666666666666</v>
          </cell>
          <cell r="U54">
            <v>0</v>
          </cell>
          <cell r="V54">
            <v>44</v>
          </cell>
          <cell r="W54">
            <v>36</v>
          </cell>
          <cell r="X54">
            <v>8</v>
          </cell>
          <cell r="Y54">
            <v>42</v>
          </cell>
          <cell r="Z54">
            <v>15</v>
          </cell>
          <cell r="AA54">
            <v>47</v>
          </cell>
          <cell r="AB54">
            <v>37</v>
          </cell>
          <cell r="AC54">
            <v>10</v>
          </cell>
          <cell r="AD54">
            <v>38</v>
          </cell>
          <cell r="AE54">
            <v>24</v>
          </cell>
          <cell r="AF54">
            <v>25</v>
          </cell>
          <cell r="AG54">
            <v>30</v>
          </cell>
          <cell r="AH54">
            <v>2</v>
          </cell>
          <cell r="AK54">
            <v>864</v>
          </cell>
          <cell r="AL54">
            <v>374</v>
          </cell>
          <cell r="AM54">
            <v>490</v>
          </cell>
          <cell r="AN54">
            <v>490</v>
          </cell>
          <cell r="AO54">
            <v>503</v>
          </cell>
          <cell r="AP54">
            <v>272</v>
          </cell>
          <cell r="AQ54">
            <v>0</v>
          </cell>
          <cell r="AR54">
            <v>9</v>
          </cell>
        </row>
        <row r="55">
          <cell r="F55">
            <v>2</v>
          </cell>
          <cell r="G55">
            <v>1</v>
          </cell>
          <cell r="H55">
            <v>1</v>
          </cell>
          <cell r="P55">
            <v>42</v>
          </cell>
          <cell r="S55">
            <v>329</v>
          </cell>
          <cell r="T55">
            <v>256.62</v>
          </cell>
          <cell r="U55">
            <v>72.38</v>
          </cell>
          <cell r="V55">
            <v>995</v>
          </cell>
          <cell r="W55">
            <v>807</v>
          </cell>
          <cell r="X55">
            <v>188</v>
          </cell>
          <cell r="Y55">
            <v>311</v>
          </cell>
          <cell r="Z55">
            <v>110</v>
          </cell>
          <cell r="AA55">
            <v>84</v>
          </cell>
          <cell r="AB55">
            <v>67</v>
          </cell>
          <cell r="AC55">
            <v>17</v>
          </cell>
          <cell r="AD55">
            <v>52</v>
          </cell>
          <cell r="AE55">
            <v>32</v>
          </cell>
          <cell r="AF55">
            <v>196</v>
          </cell>
          <cell r="AG55">
            <v>135</v>
          </cell>
          <cell r="AH55">
            <v>61</v>
          </cell>
          <cell r="AK55">
            <v>1587</v>
          </cell>
          <cell r="AL55">
            <v>917</v>
          </cell>
          <cell r="AM55">
            <v>670</v>
          </cell>
          <cell r="AN55">
            <v>670</v>
          </cell>
          <cell r="AO55">
            <v>874</v>
          </cell>
          <cell r="AP55">
            <v>317</v>
          </cell>
          <cell r="AQ55">
            <v>43</v>
          </cell>
          <cell r="AR55">
            <v>353</v>
          </cell>
        </row>
        <row r="56">
          <cell r="F56">
            <v>0</v>
          </cell>
          <cell r="G56">
            <v>0</v>
          </cell>
          <cell r="H56">
            <v>0</v>
          </cell>
          <cell r="P56">
            <v>0</v>
          </cell>
          <cell r="S56">
            <v>10</v>
          </cell>
          <cell r="T56">
            <v>10</v>
          </cell>
          <cell r="U56">
            <v>0</v>
          </cell>
          <cell r="V56">
            <v>910</v>
          </cell>
          <cell r="W56">
            <v>738</v>
          </cell>
          <cell r="X56">
            <v>172</v>
          </cell>
          <cell r="Y56">
            <v>248</v>
          </cell>
          <cell r="Z56">
            <v>88</v>
          </cell>
          <cell r="AA56">
            <v>13.333333333333334</v>
          </cell>
          <cell r="AB56">
            <v>11</v>
          </cell>
          <cell r="AC56">
            <v>2.3333333333333339</v>
          </cell>
          <cell r="AD56">
            <v>8</v>
          </cell>
          <cell r="AE56">
            <v>5.3333333333333339</v>
          </cell>
          <cell r="AF56">
            <v>2</v>
          </cell>
          <cell r="AG56">
            <v>2</v>
          </cell>
          <cell r="AH56">
            <v>0</v>
          </cell>
          <cell r="AI56">
            <v>0</v>
          </cell>
          <cell r="AK56">
            <v>935.33333333333337</v>
          </cell>
          <cell r="AL56">
            <v>749</v>
          </cell>
          <cell r="AM56">
            <v>186.33333333333337</v>
          </cell>
          <cell r="AN56">
            <v>186.33333333333334</v>
          </cell>
          <cell r="AO56">
            <v>749</v>
          </cell>
          <cell r="AP56">
            <v>178</v>
          </cell>
          <cell r="AQ56">
            <v>0</v>
          </cell>
          <cell r="AR56">
            <v>8.3333333333333712</v>
          </cell>
        </row>
        <row r="57">
          <cell r="F57">
            <v>0</v>
          </cell>
          <cell r="G57">
            <v>0</v>
          </cell>
          <cell r="H57">
            <v>0</v>
          </cell>
          <cell r="S57">
            <v>2175</v>
          </cell>
          <cell r="T57">
            <v>2175</v>
          </cell>
          <cell r="U57">
            <v>0</v>
          </cell>
          <cell r="V57">
            <v>11300</v>
          </cell>
          <cell r="W57">
            <v>9168</v>
          </cell>
          <cell r="X57">
            <v>2132</v>
          </cell>
          <cell r="Y57">
            <v>9289</v>
          </cell>
          <cell r="Z57">
            <v>3281</v>
          </cell>
          <cell r="AA57">
            <v>10588</v>
          </cell>
          <cell r="AB57">
            <v>8403</v>
          </cell>
          <cell r="AC57">
            <v>2185</v>
          </cell>
          <cell r="AD57">
            <v>6867</v>
          </cell>
          <cell r="AE57">
            <v>4298</v>
          </cell>
          <cell r="AF57">
            <v>0</v>
          </cell>
          <cell r="AH57">
            <v>0</v>
          </cell>
          <cell r="AK57">
            <v>24063</v>
          </cell>
          <cell r="AL57">
            <v>17571</v>
          </cell>
          <cell r="AM57">
            <v>6492</v>
          </cell>
          <cell r="AN57">
            <v>6492</v>
          </cell>
          <cell r="AO57">
            <v>17571</v>
          </cell>
          <cell r="AP57">
            <v>6492</v>
          </cell>
          <cell r="AQ57">
            <v>0</v>
          </cell>
          <cell r="AR57">
            <v>0</v>
          </cell>
        </row>
        <row r="58">
          <cell r="F58">
            <v>0</v>
          </cell>
          <cell r="G58">
            <v>0</v>
          </cell>
          <cell r="H58">
            <v>0</v>
          </cell>
          <cell r="P58">
            <v>0</v>
          </cell>
          <cell r="S58">
            <v>2175</v>
          </cell>
          <cell r="T58">
            <v>2175</v>
          </cell>
          <cell r="U58">
            <v>0</v>
          </cell>
          <cell r="V58">
            <v>11300</v>
          </cell>
          <cell r="W58">
            <v>9168</v>
          </cell>
          <cell r="X58">
            <v>2132</v>
          </cell>
          <cell r="Y58">
            <v>9289</v>
          </cell>
          <cell r="Z58">
            <v>3281</v>
          </cell>
          <cell r="AA58">
            <v>10588</v>
          </cell>
          <cell r="AB58">
            <v>8403</v>
          </cell>
          <cell r="AC58">
            <v>2185</v>
          </cell>
          <cell r="AD58">
            <v>6867</v>
          </cell>
          <cell r="AE58">
            <v>4298</v>
          </cell>
          <cell r="AF58">
            <v>0</v>
          </cell>
          <cell r="AG58">
            <v>0</v>
          </cell>
          <cell r="AH58">
            <v>0</v>
          </cell>
          <cell r="AI58">
            <v>241</v>
          </cell>
          <cell r="AK58">
            <v>24063</v>
          </cell>
          <cell r="AL58">
            <v>17571</v>
          </cell>
          <cell r="AM58">
            <v>6492</v>
          </cell>
          <cell r="AN58">
            <v>6492</v>
          </cell>
          <cell r="AO58">
            <v>17571</v>
          </cell>
          <cell r="AP58">
            <v>6492</v>
          </cell>
          <cell r="AQ58">
            <v>0</v>
          </cell>
          <cell r="AR58">
            <v>0</v>
          </cell>
        </row>
        <row r="59">
          <cell r="F59">
            <v>0</v>
          </cell>
          <cell r="G59">
            <v>0</v>
          </cell>
          <cell r="H59">
            <v>0</v>
          </cell>
          <cell r="P59">
            <v>539.62000000000012</v>
          </cell>
          <cell r="S59">
            <v>924.09818181818162</v>
          </cell>
          <cell r="T59">
            <v>0</v>
          </cell>
          <cell r="U59">
            <v>0</v>
          </cell>
          <cell r="X59">
            <v>315.83636363636361</v>
          </cell>
          <cell r="Y59">
            <v>207</v>
          </cell>
          <cell r="Z59">
            <v>108.83636363636361</v>
          </cell>
          <cell r="AC59">
            <v>277.36181818181819</v>
          </cell>
          <cell r="AD59">
            <v>0</v>
          </cell>
          <cell r="AE59">
            <v>0</v>
          </cell>
          <cell r="AF59">
            <v>0</v>
          </cell>
          <cell r="AG59">
            <v>844</v>
          </cell>
          <cell r="AH59">
            <v>0</v>
          </cell>
          <cell r="AI59">
            <v>274</v>
          </cell>
          <cell r="AK59">
            <v>0</v>
          </cell>
          <cell r="AL59">
            <v>0</v>
          </cell>
          <cell r="AM59">
            <v>0</v>
          </cell>
          <cell r="AN59">
            <v>0</v>
          </cell>
          <cell r="AO59">
            <v>371</v>
          </cell>
          <cell r="AP59">
            <v>0</v>
          </cell>
          <cell r="AQ59">
            <v>850.62000000000012</v>
          </cell>
          <cell r="AR59">
            <v>1759.3963636363642</v>
          </cell>
        </row>
        <row r="60">
          <cell r="F60">
            <v>6</v>
          </cell>
          <cell r="G60">
            <v>3</v>
          </cell>
          <cell r="H60">
            <v>3</v>
          </cell>
          <cell r="P60">
            <v>15</v>
          </cell>
          <cell r="S60">
            <v>506</v>
          </cell>
          <cell r="T60">
            <v>506</v>
          </cell>
          <cell r="U60">
            <v>0</v>
          </cell>
          <cell r="V60">
            <v>0</v>
          </cell>
          <cell r="W60">
            <v>0</v>
          </cell>
          <cell r="X60">
            <v>0</v>
          </cell>
          <cell r="Y60">
            <v>0</v>
          </cell>
          <cell r="Z60">
            <v>0</v>
          </cell>
          <cell r="AA60">
            <v>0</v>
          </cell>
          <cell r="AB60">
            <v>0</v>
          </cell>
          <cell r="AC60">
            <v>0</v>
          </cell>
          <cell r="AD60">
            <v>0</v>
          </cell>
          <cell r="AE60">
            <v>0</v>
          </cell>
          <cell r="AF60">
            <v>670</v>
          </cell>
          <cell r="AG60">
            <v>253</v>
          </cell>
          <cell r="AH60">
            <v>417</v>
          </cell>
          <cell r="AI60">
            <v>15</v>
          </cell>
          <cell r="AK60">
            <v>780</v>
          </cell>
          <cell r="AL60">
            <v>18</v>
          </cell>
          <cell r="AM60">
            <v>762</v>
          </cell>
          <cell r="AN60">
            <v>762</v>
          </cell>
          <cell r="AO60">
            <v>0</v>
          </cell>
          <cell r="AP60">
            <v>172</v>
          </cell>
          <cell r="AQ60">
            <v>18</v>
          </cell>
          <cell r="AR60">
            <v>590</v>
          </cell>
        </row>
        <row r="61">
          <cell r="F61">
            <v>310</v>
          </cell>
          <cell r="G61">
            <v>148</v>
          </cell>
          <cell r="H61">
            <v>162</v>
          </cell>
          <cell r="P61">
            <v>604.62</v>
          </cell>
          <cell r="S61">
            <v>1050.52</v>
          </cell>
          <cell r="T61">
            <v>514.75479999999993</v>
          </cell>
          <cell r="U61">
            <v>535.76520000000005</v>
          </cell>
          <cell r="V61">
            <v>191.13181818181818</v>
          </cell>
          <cell r="W61">
            <v>155</v>
          </cell>
          <cell r="X61">
            <v>36.131818181818176</v>
          </cell>
          <cell r="Y61">
            <v>199</v>
          </cell>
          <cell r="Z61">
            <v>70.386363636363626</v>
          </cell>
          <cell r="AA61">
            <v>277.5690909090909</v>
          </cell>
          <cell r="AB61">
            <v>220</v>
          </cell>
          <cell r="AC61">
            <v>57.569090909090903</v>
          </cell>
          <cell r="AD61">
            <v>159</v>
          </cell>
          <cell r="AE61">
            <v>98.850909090909113</v>
          </cell>
          <cell r="AF61">
            <v>1135.8781818181817</v>
          </cell>
          <cell r="AG61">
            <v>969.3</v>
          </cell>
          <cell r="AH61">
            <v>166.57818181818175</v>
          </cell>
          <cell r="AI61">
            <v>88</v>
          </cell>
          <cell r="AK61">
            <v>3759.1409090909092</v>
          </cell>
          <cell r="AL61">
            <v>1360.62</v>
          </cell>
          <cell r="AM61">
            <v>2398.5209090909093</v>
          </cell>
          <cell r="AN61">
            <v>2398.5209090909093</v>
          </cell>
          <cell r="AO61">
            <v>375</v>
          </cell>
          <cell r="AP61">
            <v>451</v>
          </cell>
          <cell r="AQ61">
            <v>985.61999999999989</v>
          </cell>
          <cell r="AR61">
            <v>1947.5209090909093</v>
          </cell>
        </row>
        <row r="62">
          <cell r="F62">
            <v>17</v>
          </cell>
          <cell r="G62">
            <v>8</v>
          </cell>
          <cell r="H62">
            <v>9</v>
          </cell>
          <cell r="P62">
            <v>33</v>
          </cell>
          <cell r="S62">
            <v>58</v>
          </cell>
          <cell r="T62">
            <v>28</v>
          </cell>
          <cell r="U62">
            <v>29</v>
          </cell>
          <cell r="V62">
            <v>11</v>
          </cell>
          <cell r="W62">
            <v>9</v>
          </cell>
          <cell r="X62">
            <v>2</v>
          </cell>
          <cell r="Y62">
            <v>11</v>
          </cell>
          <cell r="Z62">
            <v>4</v>
          </cell>
          <cell r="AA62">
            <v>15</v>
          </cell>
          <cell r="AB62">
            <v>12</v>
          </cell>
          <cell r="AC62">
            <v>3</v>
          </cell>
          <cell r="AD62">
            <v>9</v>
          </cell>
          <cell r="AE62">
            <v>5</v>
          </cell>
          <cell r="AF62">
            <v>62</v>
          </cell>
          <cell r="AG62">
            <v>53</v>
          </cell>
          <cell r="AH62">
            <v>9</v>
          </cell>
          <cell r="AK62">
            <v>207</v>
          </cell>
          <cell r="AL62">
            <v>75</v>
          </cell>
          <cell r="AM62">
            <v>132</v>
          </cell>
          <cell r="AN62">
            <v>132</v>
          </cell>
          <cell r="AO62">
            <v>21</v>
          </cell>
          <cell r="AP62">
            <v>16</v>
          </cell>
          <cell r="AQ62">
            <v>54</v>
          </cell>
          <cell r="AR62">
            <v>116</v>
          </cell>
        </row>
        <row r="63">
          <cell r="F63">
            <v>99</v>
          </cell>
          <cell r="G63">
            <v>47</v>
          </cell>
          <cell r="H63">
            <v>52</v>
          </cell>
          <cell r="P63">
            <v>193</v>
          </cell>
          <cell r="S63">
            <v>337</v>
          </cell>
          <cell r="T63">
            <v>165</v>
          </cell>
          <cell r="U63">
            <v>171</v>
          </cell>
          <cell r="V63">
            <v>61</v>
          </cell>
          <cell r="W63">
            <v>49</v>
          </cell>
          <cell r="X63">
            <v>12</v>
          </cell>
          <cell r="Y63">
            <v>64</v>
          </cell>
          <cell r="Z63">
            <v>22</v>
          </cell>
          <cell r="AA63">
            <v>89</v>
          </cell>
          <cell r="AB63">
            <v>71</v>
          </cell>
          <cell r="AC63">
            <v>18</v>
          </cell>
          <cell r="AD63">
            <v>51</v>
          </cell>
          <cell r="AE63">
            <v>32</v>
          </cell>
          <cell r="AF63">
            <v>363</v>
          </cell>
          <cell r="AG63">
            <v>310</v>
          </cell>
          <cell r="AH63">
            <v>53</v>
          </cell>
          <cell r="AK63">
            <v>1203</v>
          </cell>
          <cell r="AL63">
            <v>435</v>
          </cell>
          <cell r="AM63">
            <v>768</v>
          </cell>
          <cell r="AN63">
            <v>768</v>
          </cell>
          <cell r="AO63">
            <v>0</v>
          </cell>
          <cell r="AP63">
            <v>0</v>
          </cell>
          <cell r="AQ63">
            <v>0</v>
          </cell>
          <cell r="AR63">
            <v>0</v>
          </cell>
        </row>
        <row r="64">
          <cell r="F64">
            <v>0</v>
          </cell>
          <cell r="G64">
            <v>0</v>
          </cell>
          <cell r="P64">
            <v>0</v>
          </cell>
          <cell r="T64">
            <v>18</v>
          </cell>
          <cell r="U64">
            <v>95</v>
          </cell>
          <cell r="V64">
            <v>0</v>
          </cell>
          <cell r="X64">
            <v>0</v>
          </cell>
          <cell r="AD64">
            <v>0</v>
          </cell>
          <cell r="AE64">
            <v>0</v>
          </cell>
          <cell r="AH64">
            <v>0</v>
          </cell>
          <cell r="AI64">
            <v>0</v>
          </cell>
          <cell r="AJ64">
            <v>0</v>
          </cell>
          <cell r="AK64">
            <v>0</v>
          </cell>
          <cell r="AN64">
            <v>0</v>
          </cell>
          <cell r="AO64">
            <v>79</v>
          </cell>
          <cell r="AP64">
            <v>87</v>
          </cell>
          <cell r="AQ64">
            <v>61</v>
          </cell>
          <cell r="AR64">
            <v>132</v>
          </cell>
        </row>
        <row r="65">
          <cell r="F65">
            <v>79</v>
          </cell>
          <cell r="G65">
            <v>38</v>
          </cell>
          <cell r="H65">
            <v>41</v>
          </cell>
          <cell r="P65">
            <v>464</v>
          </cell>
          <cell r="S65">
            <v>1018</v>
          </cell>
          <cell r="T65">
            <v>162.88</v>
          </cell>
          <cell r="U65">
            <v>855.12</v>
          </cell>
          <cell r="V65">
            <v>551</v>
          </cell>
          <cell r="W65">
            <v>447</v>
          </cell>
          <cell r="X65">
            <v>104</v>
          </cell>
          <cell r="Y65">
            <v>407</v>
          </cell>
          <cell r="Z65">
            <v>144</v>
          </cell>
          <cell r="AA65">
            <v>573</v>
          </cell>
          <cell r="AB65">
            <v>455</v>
          </cell>
          <cell r="AC65">
            <v>118</v>
          </cell>
          <cell r="AD65">
            <v>359</v>
          </cell>
          <cell r="AE65">
            <v>224.66666666666663</v>
          </cell>
          <cell r="AF65">
            <v>526</v>
          </cell>
          <cell r="AG65">
            <v>526</v>
          </cell>
          <cell r="AH65">
            <v>0</v>
          </cell>
          <cell r="AK65">
            <v>3211</v>
          </cell>
          <cell r="AL65">
            <v>1404</v>
          </cell>
          <cell r="AM65">
            <v>1807</v>
          </cell>
          <cell r="AN65">
            <v>1807</v>
          </cell>
          <cell r="AO65">
            <v>902</v>
          </cell>
          <cell r="AP65">
            <v>568</v>
          </cell>
          <cell r="AQ65">
            <v>502</v>
          </cell>
          <cell r="AR65">
            <v>1239</v>
          </cell>
        </row>
        <row r="66">
          <cell r="F66">
            <v>0</v>
          </cell>
          <cell r="G66">
            <v>0</v>
          </cell>
          <cell r="P66">
            <v>0</v>
          </cell>
          <cell r="S66">
            <v>0</v>
          </cell>
          <cell r="T66">
            <v>16</v>
          </cell>
          <cell r="U66">
            <v>86</v>
          </cell>
          <cell r="X66">
            <v>0</v>
          </cell>
          <cell r="AC66">
            <v>0</v>
          </cell>
          <cell r="AD66">
            <v>0</v>
          </cell>
          <cell r="AE66">
            <v>0</v>
          </cell>
          <cell r="AH66">
            <v>0</v>
          </cell>
          <cell r="AK66">
            <v>0</v>
          </cell>
          <cell r="AL66">
            <v>0</v>
          </cell>
          <cell r="AM66">
            <v>0</v>
          </cell>
          <cell r="AN66">
            <v>0</v>
          </cell>
          <cell r="AO66">
            <v>90</v>
          </cell>
          <cell r="AP66">
            <v>57</v>
          </cell>
          <cell r="AQ66">
            <v>50</v>
          </cell>
          <cell r="AR66">
            <v>124</v>
          </cell>
        </row>
        <row r="67">
          <cell r="F67">
            <v>84</v>
          </cell>
          <cell r="G67">
            <v>40</v>
          </cell>
          <cell r="H67">
            <v>44</v>
          </cell>
          <cell r="P67">
            <v>464</v>
          </cell>
          <cell r="S67">
            <v>1018</v>
          </cell>
          <cell r="T67">
            <v>162.16</v>
          </cell>
          <cell r="U67">
            <v>850.84</v>
          </cell>
          <cell r="V67">
            <v>80</v>
          </cell>
          <cell r="X67">
            <v>85</v>
          </cell>
          <cell r="Y67">
            <v>368</v>
          </cell>
          <cell r="Z67">
            <v>195</v>
          </cell>
          <cell r="AA67">
            <v>300</v>
          </cell>
          <cell r="AC67">
            <v>60</v>
          </cell>
          <cell r="AD67">
            <v>37</v>
          </cell>
          <cell r="AE67">
            <v>23</v>
          </cell>
          <cell r="AF67">
            <v>554</v>
          </cell>
          <cell r="AG67">
            <v>554</v>
          </cell>
          <cell r="AH67">
            <v>0</v>
          </cell>
          <cell r="AI67">
            <v>0</v>
          </cell>
          <cell r="AJ67">
            <v>0</v>
          </cell>
          <cell r="AK67">
            <v>2500</v>
          </cell>
          <cell r="AL67">
            <v>504</v>
          </cell>
          <cell r="AM67">
            <v>1996</v>
          </cell>
          <cell r="AN67">
            <v>1616</v>
          </cell>
          <cell r="AO67">
            <v>712</v>
          </cell>
          <cell r="AP67">
            <v>280</v>
          </cell>
          <cell r="AQ67">
            <v>550</v>
          </cell>
          <cell r="AR67">
            <v>1188</v>
          </cell>
        </row>
        <row r="68">
          <cell r="F68">
            <v>0</v>
          </cell>
          <cell r="G68">
            <v>0</v>
          </cell>
          <cell r="H68">
            <v>207</v>
          </cell>
          <cell r="P68">
            <v>0</v>
          </cell>
          <cell r="S68">
            <v>0</v>
          </cell>
          <cell r="T68">
            <v>371.75</v>
          </cell>
          <cell r="U68">
            <v>1115.25</v>
          </cell>
          <cell r="V68">
            <v>0</v>
          </cell>
          <cell r="X68">
            <v>0</v>
          </cell>
          <cell r="Y68">
            <v>1801</v>
          </cell>
          <cell r="Z68">
            <v>953</v>
          </cell>
          <cell r="AA68">
            <v>0</v>
          </cell>
          <cell r="AB68">
            <v>0</v>
          </cell>
          <cell r="AC68">
            <v>0</v>
          </cell>
          <cell r="AD68">
            <v>0</v>
          </cell>
          <cell r="AE68">
            <v>0</v>
          </cell>
          <cell r="AF68">
            <v>1173</v>
          </cell>
          <cell r="AG68">
            <v>1100</v>
          </cell>
          <cell r="AH68">
            <v>0</v>
          </cell>
          <cell r="AK68">
            <v>0</v>
          </cell>
          <cell r="AL68">
            <v>0</v>
          </cell>
          <cell r="AM68">
            <v>0</v>
          </cell>
          <cell r="AN68">
            <v>0</v>
          </cell>
          <cell r="AO68">
            <v>2610</v>
          </cell>
          <cell r="AP68">
            <v>0</v>
          </cell>
          <cell r="AQ68">
            <v>700</v>
          </cell>
          <cell r="AR68">
            <v>2290</v>
          </cell>
        </row>
        <row r="69">
          <cell r="F69">
            <v>0</v>
          </cell>
          <cell r="G69">
            <v>0</v>
          </cell>
          <cell r="H69">
            <v>0</v>
          </cell>
          <cell r="P69">
            <v>0</v>
          </cell>
          <cell r="S69">
            <v>0</v>
          </cell>
          <cell r="T69">
            <v>146.88</v>
          </cell>
          <cell r="U69">
            <v>769.12</v>
          </cell>
          <cell r="V69">
            <v>471</v>
          </cell>
          <cell r="W69">
            <v>447</v>
          </cell>
          <cell r="X69">
            <v>104</v>
          </cell>
          <cell r="Y69">
            <v>407</v>
          </cell>
          <cell r="Z69">
            <v>144</v>
          </cell>
          <cell r="AA69">
            <v>273</v>
          </cell>
          <cell r="AB69">
            <v>455</v>
          </cell>
          <cell r="AC69">
            <v>118</v>
          </cell>
          <cell r="AD69">
            <v>322</v>
          </cell>
          <cell r="AE69">
            <v>201.66666666666663</v>
          </cell>
          <cell r="AF69">
            <v>-28</v>
          </cell>
          <cell r="AG69">
            <v>-28</v>
          </cell>
          <cell r="AH69">
            <v>0</v>
          </cell>
          <cell r="AK69">
            <v>716</v>
          </cell>
          <cell r="AL69">
            <v>323</v>
          </cell>
          <cell r="AM69">
            <v>812.09090909090924</v>
          </cell>
          <cell r="AN69">
            <v>194</v>
          </cell>
          <cell r="AO69">
            <v>812</v>
          </cell>
          <cell r="AP69">
            <v>231</v>
          </cell>
          <cell r="AQ69">
            <v>452</v>
          </cell>
          <cell r="AR69">
            <v>1115</v>
          </cell>
        </row>
        <row r="70">
          <cell r="F70">
            <v>0</v>
          </cell>
          <cell r="G70">
            <v>0</v>
          </cell>
          <cell r="H70">
            <v>0</v>
          </cell>
          <cell r="P70">
            <v>890</v>
          </cell>
          <cell r="S70">
            <v>1440</v>
          </cell>
          <cell r="T70">
            <v>360</v>
          </cell>
          <cell r="U70">
            <v>1080</v>
          </cell>
          <cell r="V70">
            <v>1070</v>
          </cell>
          <cell r="W70">
            <v>868</v>
          </cell>
          <cell r="X70">
            <v>202</v>
          </cell>
          <cell r="Y70">
            <v>658</v>
          </cell>
          <cell r="Z70">
            <v>232.79999999999995</v>
          </cell>
          <cell r="AA70">
            <v>1777</v>
          </cell>
          <cell r="AB70">
            <v>1410</v>
          </cell>
          <cell r="AC70">
            <v>367</v>
          </cell>
          <cell r="AD70">
            <v>833</v>
          </cell>
          <cell r="AE70">
            <v>521.70000000000005</v>
          </cell>
          <cell r="AF70">
            <v>780</v>
          </cell>
          <cell r="AG70">
            <v>780</v>
          </cell>
          <cell r="AH70">
            <v>0</v>
          </cell>
          <cell r="AK70">
            <v>5957</v>
          </cell>
          <cell r="AL70">
            <v>3168</v>
          </cell>
          <cell r="AM70">
            <v>2789</v>
          </cell>
          <cell r="AN70">
            <v>2789</v>
          </cell>
          <cell r="AO70">
            <v>2278</v>
          </cell>
          <cell r="AP70">
            <v>1059</v>
          </cell>
          <cell r="AQ70">
            <v>890</v>
          </cell>
          <cell r="AR70">
            <v>1730</v>
          </cell>
        </row>
        <row r="71">
          <cell r="F71">
            <v>0</v>
          </cell>
          <cell r="G71">
            <v>0</v>
          </cell>
          <cell r="H71">
            <v>0</v>
          </cell>
          <cell r="P71">
            <v>65</v>
          </cell>
          <cell r="S71">
            <v>465</v>
          </cell>
          <cell r="V71">
            <v>333.81818181818181</v>
          </cell>
          <cell r="W71">
            <v>271</v>
          </cell>
          <cell r="X71">
            <v>62.818181818181813</v>
          </cell>
          <cell r="Y71">
            <v>145</v>
          </cell>
          <cell r="Z71">
            <v>51.363636363636374</v>
          </cell>
          <cell r="AA71">
            <v>157.09090909090909</v>
          </cell>
          <cell r="AB71">
            <v>125</v>
          </cell>
          <cell r="AC71">
            <v>32.090909090909093</v>
          </cell>
          <cell r="AD71">
            <v>81</v>
          </cell>
          <cell r="AE71">
            <v>49.909090909090907</v>
          </cell>
          <cell r="AF71">
            <v>218.18181818181819</v>
          </cell>
          <cell r="AG71">
            <v>218</v>
          </cell>
          <cell r="AH71">
            <v>0.18181818181818699</v>
          </cell>
          <cell r="AK71">
            <v>1238.909090909091</v>
          </cell>
          <cell r="AL71">
            <v>461</v>
          </cell>
          <cell r="AM71">
            <v>777.90909090909099</v>
          </cell>
          <cell r="AN71">
            <v>777.90909090909088</v>
          </cell>
        </row>
        <row r="72">
          <cell r="F72">
            <v>0</v>
          </cell>
          <cell r="G72">
            <v>0</v>
          </cell>
          <cell r="H72">
            <v>0</v>
          </cell>
          <cell r="P72">
            <v>4</v>
          </cell>
          <cell r="S72">
            <v>26</v>
          </cell>
          <cell r="V72">
            <v>18</v>
          </cell>
          <cell r="W72">
            <v>15</v>
          </cell>
          <cell r="X72">
            <v>3</v>
          </cell>
          <cell r="Y72">
            <v>8</v>
          </cell>
          <cell r="Z72">
            <v>3</v>
          </cell>
          <cell r="AA72">
            <v>9</v>
          </cell>
          <cell r="AB72">
            <v>7</v>
          </cell>
          <cell r="AC72">
            <v>2</v>
          </cell>
          <cell r="AD72">
            <v>4</v>
          </cell>
          <cell r="AE72">
            <v>3</v>
          </cell>
          <cell r="AF72">
            <v>12</v>
          </cell>
          <cell r="AG72">
            <v>12</v>
          </cell>
          <cell r="AH72">
            <v>0</v>
          </cell>
          <cell r="AK72">
            <v>69</v>
          </cell>
          <cell r="AL72">
            <v>26</v>
          </cell>
          <cell r="AM72">
            <v>43</v>
          </cell>
          <cell r="AN72">
            <v>43</v>
          </cell>
        </row>
        <row r="73">
          <cell r="F73">
            <v>0</v>
          </cell>
          <cell r="G73">
            <v>0</v>
          </cell>
          <cell r="H73">
            <v>0</v>
          </cell>
          <cell r="P73">
            <v>21</v>
          </cell>
          <cell r="S73">
            <v>149</v>
          </cell>
          <cell r="V73">
            <v>107</v>
          </cell>
          <cell r="W73">
            <v>87</v>
          </cell>
          <cell r="X73">
            <v>20</v>
          </cell>
          <cell r="Y73">
            <v>47</v>
          </cell>
          <cell r="Z73">
            <v>16</v>
          </cell>
          <cell r="AA73">
            <v>50</v>
          </cell>
          <cell r="AB73">
            <v>40</v>
          </cell>
          <cell r="AC73">
            <v>10</v>
          </cell>
          <cell r="AD73">
            <v>26</v>
          </cell>
          <cell r="AE73">
            <v>16</v>
          </cell>
          <cell r="AF73">
            <v>70</v>
          </cell>
          <cell r="AG73">
            <v>70</v>
          </cell>
          <cell r="AH73">
            <v>0</v>
          </cell>
          <cell r="AK73">
            <v>397</v>
          </cell>
          <cell r="AL73">
            <v>148</v>
          </cell>
          <cell r="AM73">
            <v>249</v>
          </cell>
          <cell r="AN73">
            <v>249</v>
          </cell>
        </row>
        <row r="74">
          <cell r="F74">
            <v>0</v>
          </cell>
          <cell r="G74">
            <v>0</v>
          </cell>
          <cell r="P74">
            <v>78</v>
          </cell>
          <cell r="S74">
            <v>0</v>
          </cell>
          <cell r="V74">
            <v>0</v>
          </cell>
          <cell r="X74">
            <v>0</v>
          </cell>
          <cell r="Z74">
            <v>0</v>
          </cell>
          <cell r="AA74">
            <v>0</v>
          </cell>
          <cell r="AC74">
            <v>0</v>
          </cell>
          <cell r="AD74">
            <v>0</v>
          </cell>
          <cell r="AE74">
            <v>0</v>
          </cell>
          <cell r="AF74">
            <v>0</v>
          </cell>
          <cell r="AG74">
            <v>0</v>
          </cell>
          <cell r="AH74">
            <v>0</v>
          </cell>
          <cell r="AK74">
            <v>78</v>
          </cell>
          <cell r="AL74">
            <v>78</v>
          </cell>
          <cell r="AM74">
            <v>0</v>
          </cell>
          <cell r="AN74">
            <v>0</v>
          </cell>
        </row>
        <row r="75">
          <cell r="F75">
            <v>1689</v>
          </cell>
          <cell r="G75">
            <v>0</v>
          </cell>
          <cell r="H75">
            <v>1029</v>
          </cell>
          <cell r="P75">
            <v>890</v>
          </cell>
          <cell r="S75">
            <v>0</v>
          </cell>
          <cell r="T75">
            <v>100.54</v>
          </cell>
          <cell r="U75">
            <v>324.79333333333335</v>
          </cell>
          <cell r="V75">
            <v>0</v>
          </cell>
          <cell r="W75">
            <v>0</v>
          </cell>
          <cell r="X75">
            <v>0</v>
          </cell>
          <cell r="Y75">
            <v>0</v>
          </cell>
          <cell r="Z75">
            <v>0</v>
          </cell>
          <cell r="AA75">
            <v>0</v>
          </cell>
          <cell r="AB75">
            <v>0</v>
          </cell>
          <cell r="AC75">
            <v>0</v>
          </cell>
          <cell r="AD75">
            <v>0</v>
          </cell>
          <cell r="AE75">
            <v>0</v>
          </cell>
          <cell r="AF75">
            <v>0</v>
          </cell>
          <cell r="AG75">
            <v>0</v>
          </cell>
          <cell r="AH75">
            <v>0</v>
          </cell>
          <cell r="AI75">
            <v>59.2</v>
          </cell>
          <cell r="AK75">
            <v>890</v>
          </cell>
          <cell r="AL75">
            <v>890</v>
          </cell>
          <cell r="AM75">
            <v>0</v>
          </cell>
          <cell r="AN75">
            <v>0</v>
          </cell>
          <cell r="AO75">
            <v>115</v>
          </cell>
          <cell r="AP75">
            <v>213</v>
          </cell>
          <cell r="AQ75">
            <v>960.66666666666652</v>
          </cell>
          <cell r="AR75">
            <v>1708.3333333333335</v>
          </cell>
        </row>
        <row r="76">
          <cell r="F76">
            <v>83</v>
          </cell>
          <cell r="G76">
            <v>0</v>
          </cell>
          <cell r="H76">
            <v>51</v>
          </cell>
          <cell r="P76">
            <v>570</v>
          </cell>
          <cell r="S76">
            <v>2910</v>
          </cell>
          <cell r="T76">
            <v>0</v>
          </cell>
          <cell r="U76">
            <v>0</v>
          </cell>
          <cell r="V76">
            <v>0</v>
          </cell>
          <cell r="X76">
            <v>0</v>
          </cell>
          <cell r="Y76">
            <v>0</v>
          </cell>
          <cell r="Z76">
            <v>0</v>
          </cell>
          <cell r="AA76">
            <v>0</v>
          </cell>
          <cell r="AB76">
            <v>0</v>
          </cell>
          <cell r="AC76">
            <v>0</v>
          </cell>
          <cell r="AD76">
            <v>185</v>
          </cell>
          <cell r="AE76">
            <v>115</v>
          </cell>
          <cell r="AH76">
            <v>0</v>
          </cell>
          <cell r="AK76">
            <v>3480</v>
          </cell>
          <cell r="AL76">
            <v>570</v>
          </cell>
          <cell r="AM76">
            <v>2910</v>
          </cell>
          <cell r="AN76">
            <v>2910</v>
          </cell>
          <cell r="AO76">
            <v>0</v>
          </cell>
          <cell r="AP76">
            <v>0</v>
          </cell>
          <cell r="AQ76">
            <v>32</v>
          </cell>
          <cell r="AR76">
            <v>51</v>
          </cell>
        </row>
        <row r="77">
          <cell r="F77">
            <v>2789</v>
          </cell>
          <cell r="G77">
            <v>1335</v>
          </cell>
          <cell r="H77">
            <v>1454</v>
          </cell>
          <cell r="P77">
            <v>151</v>
          </cell>
          <cell r="S77">
            <v>607</v>
          </cell>
          <cell r="T77">
            <v>333.96000000000004</v>
          </cell>
          <cell r="U77">
            <v>273.03999999999996</v>
          </cell>
          <cell r="V77">
            <v>110</v>
          </cell>
          <cell r="W77">
            <v>89</v>
          </cell>
          <cell r="X77">
            <v>21</v>
          </cell>
          <cell r="Y77">
            <v>89</v>
          </cell>
          <cell r="Z77">
            <v>31</v>
          </cell>
          <cell r="AA77">
            <v>119</v>
          </cell>
          <cell r="AB77">
            <v>80</v>
          </cell>
          <cell r="AC77">
            <v>39</v>
          </cell>
          <cell r="AD77">
            <v>62</v>
          </cell>
          <cell r="AE77">
            <v>38</v>
          </cell>
          <cell r="AF77">
            <v>210</v>
          </cell>
          <cell r="AG77">
            <v>151</v>
          </cell>
          <cell r="AH77">
            <v>59</v>
          </cell>
          <cell r="AI77">
            <v>59</v>
          </cell>
          <cell r="AK77">
            <v>4640</v>
          </cell>
          <cell r="AL77">
            <v>2547</v>
          </cell>
          <cell r="AM77">
            <v>2093</v>
          </cell>
          <cell r="AN77">
            <v>2515</v>
          </cell>
          <cell r="AO77">
            <v>169</v>
          </cell>
          <cell r="AP77">
            <v>266</v>
          </cell>
          <cell r="AQ77">
            <v>1956</v>
          </cell>
          <cell r="AR77">
            <v>1827</v>
          </cell>
        </row>
        <row r="78">
          <cell r="F78">
            <v>377</v>
          </cell>
          <cell r="G78">
            <v>180</v>
          </cell>
          <cell r="H78">
            <v>197</v>
          </cell>
          <cell r="P78">
            <v>66</v>
          </cell>
          <cell r="S78">
            <v>152.33333333333334</v>
          </cell>
          <cell r="T78">
            <v>0</v>
          </cell>
          <cell r="U78">
            <v>0</v>
          </cell>
          <cell r="W78">
            <v>0</v>
          </cell>
          <cell r="X78">
            <v>0</v>
          </cell>
          <cell r="Y78">
            <v>0</v>
          </cell>
          <cell r="Z78">
            <v>0</v>
          </cell>
          <cell r="AA78">
            <v>18</v>
          </cell>
          <cell r="AC78">
            <v>18</v>
          </cell>
          <cell r="AD78">
            <v>0</v>
          </cell>
          <cell r="AE78">
            <v>0</v>
          </cell>
          <cell r="AF78">
            <v>141</v>
          </cell>
          <cell r="AG78">
            <v>119</v>
          </cell>
          <cell r="AH78">
            <v>0</v>
          </cell>
          <cell r="AK78">
            <v>395</v>
          </cell>
          <cell r="AL78">
            <v>180</v>
          </cell>
          <cell r="AM78">
            <v>215</v>
          </cell>
          <cell r="AN78">
            <v>215</v>
          </cell>
          <cell r="AO78">
            <v>0</v>
          </cell>
          <cell r="AP78">
            <v>18</v>
          </cell>
          <cell r="AQ78">
            <v>180</v>
          </cell>
          <cell r="AR78">
            <v>197</v>
          </cell>
        </row>
        <row r="79">
          <cell r="F79">
            <v>2412</v>
          </cell>
          <cell r="G79">
            <v>1155</v>
          </cell>
          <cell r="H79">
            <v>1257</v>
          </cell>
          <cell r="P79">
            <v>151</v>
          </cell>
          <cell r="S79">
            <v>607</v>
          </cell>
          <cell r="T79">
            <v>333.96000000000004</v>
          </cell>
          <cell r="U79">
            <v>273.03999999999996</v>
          </cell>
          <cell r="V79">
            <v>110</v>
          </cell>
          <cell r="W79">
            <v>89</v>
          </cell>
          <cell r="X79">
            <v>21</v>
          </cell>
          <cell r="Y79">
            <v>89</v>
          </cell>
          <cell r="Z79">
            <v>31</v>
          </cell>
          <cell r="AA79">
            <v>101</v>
          </cell>
          <cell r="AB79">
            <v>80</v>
          </cell>
          <cell r="AC79">
            <v>21</v>
          </cell>
          <cell r="AD79">
            <v>62</v>
          </cell>
          <cell r="AE79">
            <v>38</v>
          </cell>
          <cell r="AF79">
            <v>210</v>
          </cell>
          <cell r="AG79">
            <v>151</v>
          </cell>
          <cell r="AH79">
            <v>59</v>
          </cell>
          <cell r="AK79">
            <v>4245</v>
          </cell>
          <cell r="AL79">
            <v>1945</v>
          </cell>
          <cell r="AM79">
            <v>2300</v>
          </cell>
          <cell r="AN79">
            <v>2300</v>
          </cell>
          <cell r="AO79">
            <v>169</v>
          </cell>
          <cell r="AP79">
            <v>248</v>
          </cell>
          <cell r="AQ79">
            <v>1776</v>
          </cell>
          <cell r="AR79">
            <v>2052</v>
          </cell>
        </row>
        <row r="80">
          <cell r="F80">
            <v>2412</v>
          </cell>
          <cell r="G80">
            <v>1155</v>
          </cell>
          <cell r="H80">
            <v>1257</v>
          </cell>
          <cell r="P80">
            <v>126</v>
          </cell>
          <cell r="S80">
            <v>506</v>
          </cell>
          <cell r="T80">
            <v>333.96000000000004</v>
          </cell>
          <cell r="U80">
            <v>172.03999999999996</v>
          </cell>
          <cell r="V80">
            <v>74</v>
          </cell>
          <cell r="W80">
            <v>60</v>
          </cell>
          <cell r="X80">
            <v>14</v>
          </cell>
          <cell r="Y80">
            <v>55</v>
          </cell>
          <cell r="Z80">
            <v>19</v>
          </cell>
          <cell r="AA80">
            <v>36</v>
          </cell>
          <cell r="AB80">
            <v>29</v>
          </cell>
          <cell r="AC80">
            <v>7</v>
          </cell>
          <cell r="AD80">
            <v>22</v>
          </cell>
          <cell r="AE80">
            <v>14</v>
          </cell>
          <cell r="AF80">
            <v>137</v>
          </cell>
          <cell r="AG80">
            <v>96</v>
          </cell>
          <cell r="AH80">
            <v>41</v>
          </cell>
          <cell r="AI80">
            <v>18.600000000000001</v>
          </cell>
          <cell r="AK80">
            <v>3548</v>
          </cell>
          <cell r="AL80">
            <v>1668</v>
          </cell>
          <cell r="AM80">
            <v>1880</v>
          </cell>
          <cell r="AN80">
            <v>1880</v>
          </cell>
          <cell r="AR80">
            <v>1880</v>
          </cell>
        </row>
        <row r="81">
          <cell r="F81">
            <v>33</v>
          </cell>
          <cell r="G81">
            <v>16</v>
          </cell>
          <cell r="H81">
            <v>17</v>
          </cell>
          <cell r="P81">
            <v>0</v>
          </cell>
          <cell r="S81">
            <v>0</v>
          </cell>
          <cell r="X81">
            <v>25</v>
          </cell>
          <cell r="AC81">
            <v>32</v>
          </cell>
          <cell r="AD81">
            <v>0</v>
          </cell>
          <cell r="AE81">
            <v>0</v>
          </cell>
          <cell r="AF81">
            <v>39.666666666666664</v>
          </cell>
          <cell r="AG81">
            <v>26</v>
          </cell>
          <cell r="AH81">
            <v>13.666666666666664</v>
          </cell>
          <cell r="AI81">
            <v>15.3</v>
          </cell>
          <cell r="AK81">
            <v>396</v>
          </cell>
          <cell r="AL81">
            <v>172</v>
          </cell>
          <cell r="AM81">
            <v>224</v>
          </cell>
          <cell r="AN81">
            <v>224</v>
          </cell>
          <cell r="AR81">
            <v>224</v>
          </cell>
        </row>
        <row r="82">
          <cell r="F82">
            <v>288</v>
          </cell>
          <cell r="G82">
            <v>138</v>
          </cell>
          <cell r="H82">
            <v>150</v>
          </cell>
          <cell r="P82">
            <v>4</v>
          </cell>
          <cell r="S82">
            <v>50</v>
          </cell>
          <cell r="T82">
            <v>33</v>
          </cell>
          <cell r="U82">
            <v>17</v>
          </cell>
          <cell r="V82">
            <v>11</v>
          </cell>
          <cell r="W82">
            <v>9</v>
          </cell>
          <cell r="X82">
            <v>2</v>
          </cell>
          <cell r="Y82">
            <v>16</v>
          </cell>
          <cell r="Z82">
            <v>5</v>
          </cell>
          <cell r="AA82">
            <v>26</v>
          </cell>
          <cell r="AB82">
            <v>21</v>
          </cell>
          <cell r="AC82">
            <v>5</v>
          </cell>
          <cell r="AD82">
            <v>15</v>
          </cell>
          <cell r="AE82">
            <v>10</v>
          </cell>
          <cell r="AF82">
            <v>33</v>
          </cell>
          <cell r="AG82">
            <v>25</v>
          </cell>
          <cell r="AH82">
            <v>8</v>
          </cell>
          <cell r="AK82">
            <v>408</v>
          </cell>
          <cell r="AL82">
            <v>174</v>
          </cell>
          <cell r="AM82">
            <v>234</v>
          </cell>
          <cell r="AN82">
            <v>234</v>
          </cell>
        </row>
        <row r="83">
          <cell r="F83">
            <v>483</v>
          </cell>
          <cell r="G83">
            <v>231</v>
          </cell>
          <cell r="H83">
            <v>252</v>
          </cell>
          <cell r="P83">
            <v>21</v>
          </cell>
          <cell r="S83">
            <v>51</v>
          </cell>
          <cell r="T83">
            <v>33.660000000000004</v>
          </cell>
          <cell r="U83">
            <v>17.339999999999996</v>
          </cell>
          <cell r="V83">
            <v>25</v>
          </cell>
          <cell r="W83">
            <v>20</v>
          </cell>
          <cell r="X83">
            <v>5</v>
          </cell>
          <cell r="Y83">
            <v>18</v>
          </cell>
          <cell r="Z83">
            <v>7</v>
          </cell>
          <cell r="AA83">
            <v>39</v>
          </cell>
          <cell r="AB83">
            <v>31</v>
          </cell>
          <cell r="AC83">
            <v>8</v>
          </cell>
          <cell r="AD83">
            <v>24</v>
          </cell>
          <cell r="AE83">
            <v>15</v>
          </cell>
          <cell r="AF83">
            <v>40</v>
          </cell>
          <cell r="AG83">
            <v>30</v>
          </cell>
          <cell r="AH83">
            <v>10</v>
          </cell>
          <cell r="AK83">
            <v>658</v>
          </cell>
          <cell r="AL83">
            <v>307</v>
          </cell>
          <cell r="AM83">
            <v>351</v>
          </cell>
          <cell r="AN83">
            <v>351</v>
          </cell>
        </row>
        <row r="84">
          <cell r="F84">
            <v>881</v>
          </cell>
          <cell r="G84">
            <v>422</v>
          </cell>
          <cell r="H84">
            <v>459</v>
          </cell>
          <cell r="P84">
            <v>2512.62</v>
          </cell>
          <cell r="Q84">
            <v>0</v>
          </cell>
          <cell r="R84">
            <v>0</v>
          </cell>
          <cell r="S84">
            <v>9258.7648484848487</v>
          </cell>
          <cell r="T84">
            <v>5700.9847757575753</v>
          </cell>
          <cell r="U84">
            <v>3557.7800727272729</v>
          </cell>
          <cell r="X84">
            <v>17486.169696969697</v>
          </cell>
          <cell r="Y84">
            <v>11436</v>
          </cell>
          <cell r="Z84">
            <v>6050.1696969696977</v>
          </cell>
          <cell r="AA84">
            <v>0</v>
          </cell>
          <cell r="AB84">
            <v>0</v>
          </cell>
          <cell r="AC84">
            <v>13595.361818181818</v>
          </cell>
          <cell r="AD84">
            <v>8063</v>
          </cell>
          <cell r="AE84">
            <v>5532.3618181818183</v>
          </cell>
          <cell r="AF84">
            <v>4470.8927272727269</v>
          </cell>
          <cell r="AG84">
            <v>3519</v>
          </cell>
          <cell r="AH84">
            <v>952.89272727272737</v>
          </cell>
          <cell r="AI84">
            <v>783.2</v>
          </cell>
          <cell r="AK84">
            <v>881</v>
          </cell>
          <cell r="AL84">
            <v>422</v>
          </cell>
          <cell r="AM84">
            <v>459</v>
          </cell>
          <cell r="AN84">
            <v>459</v>
          </cell>
          <cell r="AO84">
            <v>19380</v>
          </cell>
          <cell r="AP84">
            <v>16419</v>
          </cell>
          <cell r="AQ84">
            <v>4052.62</v>
          </cell>
          <cell r="AR84">
            <v>9718.3963636363642</v>
          </cell>
        </row>
        <row r="85">
          <cell r="F85">
            <v>13</v>
          </cell>
          <cell r="G85">
            <v>6</v>
          </cell>
          <cell r="H85">
            <v>7</v>
          </cell>
          <cell r="P85">
            <v>6</v>
          </cell>
          <cell r="Q85">
            <v>0</v>
          </cell>
          <cell r="R85">
            <v>0</v>
          </cell>
          <cell r="S85">
            <v>1</v>
          </cell>
          <cell r="T85">
            <v>452.808109090909</v>
          </cell>
          <cell r="U85">
            <v>471.29007272727262</v>
          </cell>
          <cell r="V85">
            <v>0</v>
          </cell>
          <cell r="W85">
            <v>0</v>
          </cell>
          <cell r="X85">
            <v>5</v>
          </cell>
          <cell r="Y85">
            <v>351</v>
          </cell>
          <cell r="Z85">
            <v>185.2</v>
          </cell>
          <cell r="AA85">
            <v>4</v>
          </cell>
          <cell r="AB85">
            <v>0</v>
          </cell>
          <cell r="AC85">
            <v>10</v>
          </cell>
          <cell r="AD85">
            <v>253</v>
          </cell>
          <cell r="AE85">
            <v>174.18</v>
          </cell>
          <cell r="AF85">
            <v>51</v>
          </cell>
          <cell r="AG85">
            <v>51</v>
          </cell>
          <cell r="AH85">
            <v>0</v>
          </cell>
          <cell r="AI85">
            <v>274</v>
          </cell>
          <cell r="AK85">
            <v>75</v>
          </cell>
          <cell r="AL85">
            <v>12</v>
          </cell>
          <cell r="AM85">
            <v>63</v>
          </cell>
          <cell r="AN85">
            <v>59</v>
          </cell>
        </row>
        <row r="86">
          <cell r="F86">
            <v>4004</v>
          </cell>
          <cell r="G86">
            <v>1916</v>
          </cell>
          <cell r="H86">
            <v>2088</v>
          </cell>
          <cell r="P86">
            <v>2712.62</v>
          </cell>
          <cell r="Q86">
            <v>0</v>
          </cell>
          <cell r="R86">
            <v>0</v>
          </cell>
          <cell r="S86">
            <v>8433.52</v>
          </cell>
          <cell r="T86">
            <v>4958.7147999999997</v>
          </cell>
          <cell r="U86">
            <v>3472.8051999999998</v>
          </cell>
          <cell r="V86">
            <v>14476.131818181819</v>
          </cell>
          <cell r="W86">
            <v>11744</v>
          </cell>
          <cell r="X86">
            <v>2732.1318181818183</v>
          </cell>
          <cell r="Y86">
            <v>0</v>
          </cell>
          <cell r="Z86">
            <v>0</v>
          </cell>
          <cell r="AA86">
            <v>13570.569090909092</v>
          </cell>
          <cell r="AB86">
            <v>10756</v>
          </cell>
          <cell r="AC86">
            <v>2814.5690909090908</v>
          </cell>
          <cell r="AD86">
            <v>8269</v>
          </cell>
          <cell r="AE86">
            <v>5173.217575757576</v>
          </cell>
          <cell r="AF86">
            <v>4425.8781818181815</v>
          </cell>
          <cell r="AG86">
            <v>3577.3</v>
          </cell>
          <cell r="AH86">
            <v>848.57818181818175</v>
          </cell>
          <cell r="AK86">
            <v>48156.140909090907</v>
          </cell>
          <cell r="AL86">
            <v>28382.62</v>
          </cell>
          <cell r="AM86">
            <v>19773.520909090908</v>
          </cell>
          <cell r="AN86">
            <v>20195.520909090908</v>
          </cell>
          <cell r="AO86">
            <v>22380</v>
          </cell>
          <cell r="AP86">
            <v>9696</v>
          </cell>
          <cell r="AQ86">
            <v>5145.62</v>
          </cell>
          <cell r="AR86">
            <v>9309.5209090909084</v>
          </cell>
        </row>
        <row r="87">
          <cell r="F87">
            <v>426</v>
          </cell>
          <cell r="G87">
            <v>203</v>
          </cell>
          <cell r="H87">
            <v>223</v>
          </cell>
          <cell r="P87">
            <v>669.62</v>
          </cell>
          <cell r="Q87">
            <v>0</v>
          </cell>
          <cell r="R87">
            <v>0</v>
          </cell>
          <cell r="T87">
            <v>514.75479999999993</v>
          </cell>
          <cell r="U87">
            <v>535.76520000000005</v>
          </cell>
          <cell r="V87">
            <v>0</v>
          </cell>
          <cell r="W87">
            <v>426</v>
          </cell>
          <cell r="X87">
            <v>98.949999999999989</v>
          </cell>
          <cell r="Y87">
            <v>0</v>
          </cell>
          <cell r="Z87">
            <v>0</v>
          </cell>
          <cell r="AA87">
            <v>0</v>
          </cell>
          <cell r="AB87">
            <v>345</v>
          </cell>
          <cell r="AC87">
            <v>89.66</v>
          </cell>
          <cell r="AD87">
            <v>314</v>
          </cell>
          <cell r="AE87">
            <v>126.86000000000001</v>
          </cell>
          <cell r="AH87">
            <v>166.75999999999993</v>
          </cell>
          <cell r="AK87">
            <v>4998.05</v>
          </cell>
          <cell r="AL87">
            <v>1821.62</v>
          </cell>
          <cell r="AM87">
            <v>3176.4300000000003</v>
          </cell>
          <cell r="AN87">
            <v>534.61</v>
          </cell>
          <cell r="AO87">
            <v>0</v>
          </cell>
          <cell r="AP87">
            <v>0</v>
          </cell>
          <cell r="AQ87">
            <v>0</v>
          </cell>
          <cell r="AR87">
            <v>0</v>
          </cell>
        </row>
        <row r="88">
          <cell r="F88">
            <v>10937.1</v>
          </cell>
          <cell r="G88">
            <v>0</v>
          </cell>
          <cell r="H88">
            <v>2070.1</v>
          </cell>
          <cell r="P88">
            <v>2512.62</v>
          </cell>
          <cell r="Q88">
            <v>0</v>
          </cell>
          <cell r="R88">
            <v>0</v>
          </cell>
          <cell r="S88">
            <v>9258.7648484848487</v>
          </cell>
          <cell r="T88">
            <v>5700.9847757575753</v>
          </cell>
          <cell r="U88">
            <v>3557.7800727272729</v>
          </cell>
          <cell r="V88">
            <v>0</v>
          </cell>
          <cell r="W88">
            <v>0</v>
          </cell>
          <cell r="X88">
            <v>17486.169696969697</v>
          </cell>
          <cell r="Y88">
            <v>11436</v>
          </cell>
          <cell r="Z88">
            <v>6050.1696969696977</v>
          </cell>
          <cell r="AA88">
            <v>0</v>
          </cell>
          <cell r="AB88">
            <v>0</v>
          </cell>
          <cell r="AC88">
            <v>13595.361818181818</v>
          </cell>
          <cell r="AD88">
            <v>8063</v>
          </cell>
          <cell r="AE88">
            <v>5532.3618181818183</v>
          </cell>
          <cell r="AF88">
            <v>4470.8927272727269</v>
          </cell>
          <cell r="AG88">
            <v>3519</v>
          </cell>
          <cell r="AH88">
            <v>952.89272727272737</v>
          </cell>
          <cell r="AI88">
            <v>783.2</v>
          </cell>
          <cell r="AK88">
            <v>58234.016363636365</v>
          </cell>
          <cell r="AL88">
            <v>27960.62</v>
          </cell>
          <cell r="AM88">
            <v>26872.396363636362</v>
          </cell>
          <cell r="AN88">
            <v>0</v>
          </cell>
          <cell r="AO88">
            <v>19380</v>
          </cell>
          <cell r="AP88">
            <v>16419</v>
          </cell>
          <cell r="AQ88">
            <v>4052.62</v>
          </cell>
          <cell r="AR88">
            <v>9718.3963636363642</v>
          </cell>
        </row>
        <row r="89">
          <cell r="F89">
            <v>6512</v>
          </cell>
          <cell r="G89">
            <v>6512</v>
          </cell>
          <cell r="H89">
            <v>0</v>
          </cell>
          <cell r="AA89" t="str">
            <v>`</v>
          </cell>
          <cell r="AH89">
            <v>0</v>
          </cell>
          <cell r="AK89">
            <v>6512</v>
          </cell>
          <cell r="AL89">
            <v>6512</v>
          </cell>
          <cell r="AM89">
            <v>0</v>
          </cell>
          <cell r="AN89">
            <v>0</v>
          </cell>
          <cell r="AO89">
            <v>0</v>
          </cell>
          <cell r="AP89">
            <v>0</v>
          </cell>
          <cell r="AQ89">
            <v>0</v>
          </cell>
          <cell r="AR89">
            <v>0</v>
          </cell>
        </row>
        <row r="90">
          <cell r="F90">
            <v>10516</v>
          </cell>
          <cell r="G90">
            <v>8428</v>
          </cell>
          <cell r="H90">
            <v>2088</v>
          </cell>
          <cell r="P90">
            <v>2712.62</v>
          </cell>
          <cell r="Q90">
            <v>0</v>
          </cell>
          <cell r="R90">
            <v>0</v>
          </cell>
          <cell r="S90">
            <v>8433.52</v>
          </cell>
          <cell r="T90">
            <v>4958.7147999999997</v>
          </cell>
          <cell r="U90">
            <v>3472.8051999999998</v>
          </cell>
          <cell r="V90">
            <v>14476.131818181819</v>
          </cell>
          <cell r="W90">
            <v>11744</v>
          </cell>
          <cell r="X90">
            <v>2732.1318181818183</v>
          </cell>
          <cell r="Y90">
            <v>0</v>
          </cell>
          <cell r="Z90">
            <v>0</v>
          </cell>
          <cell r="AA90">
            <v>13570.569090909092</v>
          </cell>
          <cell r="AB90">
            <v>10756</v>
          </cell>
          <cell r="AC90">
            <v>2814.5690909090908</v>
          </cell>
          <cell r="AD90">
            <v>8269</v>
          </cell>
          <cell r="AE90">
            <v>5173.217575757576</v>
          </cell>
          <cell r="AF90">
            <v>4425.8781818181815</v>
          </cell>
          <cell r="AG90">
            <v>3577.3</v>
          </cell>
          <cell r="AH90">
            <v>848.57818181818175</v>
          </cell>
          <cell r="AK90">
            <v>54668.140909090907</v>
          </cell>
          <cell r="AL90">
            <v>34894.619999999995</v>
          </cell>
          <cell r="AM90">
            <v>19773.520909090908</v>
          </cell>
          <cell r="AN90">
            <v>20195.520909090908</v>
          </cell>
          <cell r="AO90">
            <v>22380</v>
          </cell>
          <cell r="AP90">
            <v>9696</v>
          </cell>
          <cell r="AQ90">
            <v>5145.62</v>
          </cell>
          <cell r="AR90">
            <v>9309.5209090909084</v>
          </cell>
        </row>
        <row r="91">
          <cell r="F91">
            <v>0</v>
          </cell>
          <cell r="G91">
            <v>0</v>
          </cell>
          <cell r="H91">
            <v>0</v>
          </cell>
          <cell r="S91">
            <v>0</v>
          </cell>
          <cell r="T91">
            <v>0</v>
          </cell>
          <cell r="U91">
            <v>0</v>
          </cell>
          <cell r="X91">
            <v>0</v>
          </cell>
          <cell r="Y91">
            <v>0</v>
          </cell>
          <cell r="Z91">
            <v>0</v>
          </cell>
          <cell r="AA91">
            <v>0</v>
          </cell>
          <cell r="AB91">
            <v>0</v>
          </cell>
          <cell r="AC91">
            <v>0</v>
          </cell>
          <cell r="AD91">
            <v>0</v>
          </cell>
          <cell r="AE91">
            <v>0</v>
          </cell>
          <cell r="AH91">
            <v>0</v>
          </cell>
          <cell r="AK91">
            <v>127</v>
          </cell>
          <cell r="AL91">
            <v>70.766579973992179</v>
          </cell>
          <cell r="AM91">
            <v>0</v>
          </cell>
          <cell r="AN91">
            <v>0</v>
          </cell>
          <cell r="AO91">
            <v>0</v>
          </cell>
          <cell r="AP91">
            <v>0</v>
          </cell>
          <cell r="AQ91">
            <v>0</v>
          </cell>
          <cell r="AR91">
            <v>-1</v>
          </cell>
        </row>
        <row r="92">
          <cell r="F92">
            <v>401</v>
          </cell>
          <cell r="G92">
            <v>352</v>
          </cell>
          <cell r="H92">
            <v>49</v>
          </cell>
          <cell r="P92">
            <v>66</v>
          </cell>
          <cell r="S92">
            <v>0</v>
          </cell>
          <cell r="X92">
            <v>28.333333333333332</v>
          </cell>
          <cell r="Y92">
            <v>19</v>
          </cell>
          <cell r="Z92">
            <v>9.3333333333333321</v>
          </cell>
          <cell r="AC92">
            <v>27.333333333333332</v>
          </cell>
          <cell r="AD92">
            <v>16</v>
          </cell>
          <cell r="AE92">
            <v>11.333333333333332</v>
          </cell>
          <cell r="AF92">
            <v>12.666666666666666</v>
          </cell>
          <cell r="AG92">
            <v>13</v>
          </cell>
          <cell r="AH92">
            <v>0</v>
          </cell>
          <cell r="AK92">
            <v>401</v>
          </cell>
          <cell r="AL92">
            <v>352</v>
          </cell>
          <cell r="AM92">
            <v>49</v>
          </cell>
          <cell r="AN92">
            <v>49</v>
          </cell>
          <cell r="AO92">
            <v>0</v>
          </cell>
          <cell r="AP92">
            <v>0</v>
          </cell>
          <cell r="AQ92">
            <v>13.689745430207379</v>
          </cell>
          <cell r="AR92">
            <v>10.175080113302904</v>
          </cell>
        </row>
        <row r="93">
          <cell r="F93">
            <v>43</v>
          </cell>
          <cell r="G93">
            <v>31.409217877094964</v>
          </cell>
          <cell r="H93">
            <v>11.590782122905036</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43</v>
          </cell>
          <cell r="AL93">
            <v>31.409217877094964</v>
          </cell>
          <cell r="AM93">
            <v>11.590782122905036</v>
          </cell>
          <cell r="AN93">
            <v>11.590782122905036</v>
          </cell>
          <cell r="AO93">
            <v>0</v>
          </cell>
          <cell r="AP93">
            <v>0</v>
          </cell>
          <cell r="AQ93">
            <v>0</v>
          </cell>
          <cell r="AR93">
            <v>0</v>
          </cell>
        </row>
        <row r="94">
          <cell r="F94">
            <v>25</v>
          </cell>
          <cell r="G94">
            <v>18.261173184357538</v>
          </cell>
          <cell r="H94">
            <v>6.7388268156424616</v>
          </cell>
          <cell r="P94">
            <v>2</v>
          </cell>
          <cell r="S94">
            <v>7</v>
          </cell>
          <cell r="V94">
            <v>-129</v>
          </cell>
          <cell r="W94">
            <v>-105</v>
          </cell>
          <cell r="X94">
            <v>-24</v>
          </cell>
          <cell r="Y94">
            <v>-96</v>
          </cell>
          <cell r="Z94">
            <v>-33.333333333333343</v>
          </cell>
          <cell r="AA94">
            <v>0</v>
          </cell>
          <cell r="AB94">
            <v>0</v>
          </cell>
          <cell r="AC94">
            <v>0</v>
          </cell>
          <cell r="AD94">
            <v>0</v>
          </cell>
          <cell r="AE94">
            <v>0</v>
          </cell>
          <cell r="AF94">
            <v>13</v>
          </cell>
          <cell r="AG94">
            <v>13</v>
          </cell>
          <cell r="AH94">
            <v>0</v>
          </cell>
          <cell r="AK94">
            <v>-82</v>
          </cell>
          <cell r="AL94">
            <v>-84.738826815642454</v>
          </cell>
          <cell r="AM94">
            <v>2.7388268156424544</v>
          </cell>
          <cell r="AN94">
            <v>2.7388268156424616</v>
          </cell>
          <cell r="AO94">
            <v>-105</v>
          </cell>
          <cell r="AP94">
            <v>-22</v>
          </cell>
          <cell r="AQ94">
            <v>20.261173184357546</v>
          </cell>
          <cell r="AR94">
            <v>24.738826815642454</v>
          </cell>
        </row>
        <row r="95">
          <cell r="F95">
            <v>11562.1</v>
          </cell>
          <cell r="G95">
            <v>9326.3537061118332</v>
          </cell>
          <cell r="H95">
            <v>2235.7462938881663</v>
          </cell>
          <cell r="P95">
            <v>2578.62</v>
          </cell>
          <cell r="Q95">
            <v>0</v>
          </cell>
          <cell r="R95">
            <v>0</v>
          </cell>
          <cell r="S95">
            <v>9258.7648484848487</v>
          </cell>
          <cell r="T95">
            <v>5700.9847757575753</v>
          </cell>
          <cell r="U95">
            <v>3557.7800727272729</v>
          </cell>
          <cell r="V95">
            <v>0</v>
          </cell>
          <cell r="W95">
            <v>0</v>
          </cell>
          <cell r="X95">
            <v>17514.503030303029</v>
          </cell>
          <cell r="Y95">
            <v>11455</v>
          </cell>
          <cell r="Z95">
            <v>6059.5030303030308</v>
          </cell>
          <cell r="AA95">
            <v>0</v>
          </cell>
          <cell r="AB95">
            <v>0</v>
          </cell>
          <cell r="AC95">
            <v>13622.695151515152</v>
          </cell>
          <cell r="AD95">
            <v>8079</v>
          </cell>
          <cell r="AE95">
            <v>5543.6951515151513</v>
          </cell>
          <cell r="AF95">
            <v>4483.5593939393939</v>
          </cell>
          <cell r="AG95">
            <v>3532</v>
          </cell>
          <cell r="AH95">
            <v>952.89272727272737</v>
          </cell>
          <cell r="AI95">
            <v>783.2</v>
          </cell>
          <cell r="AJ95">
            <v>0</v>
          </cell>
          <cell r="AK95">
            <v>58993.683030303029</v>
          </cell>
          <cell r="AL95">
            <v>31921.973706111832</v>
          </cell>
          <cell r="AM95">
            <v>27071.709324191197</v>
          </cell>
          <cell r="AN95">
            <v>0</v>
          </cell>
          <cell r="AO95">
            <v>19415</v>
          </cell>
          <cell r="AP95">
            <v>16440</v>
          </cell>
          <cell r="AQ95">
            <v>4153.252222919521</v>
          </cell>
          <cell r="AR95">
            <v>9754.6660308805876</v>
          </cell>
        </row>
        <row r="96">
          <cell r="F96">
            <v>4024.1000000000004</v>
          </cell>
          <cell r="G96">
            <v>1788.3537061118332</v>
          </cell>
          <cell r="H96">
            <v>2235.7462938881663</v>
          </cell>
          <cell r="P96">
            <v>2578.62</v>
          </cell>
          <cell r="Q96">
            <v>0</v>
          </cell>
          <cell r="R96">
            <v>0</v>
          </cell>
          <cell r="S96">
            <v>6428.7648484848487</v>
          </cell>
          <cell r="T96">
            <v>2870.9847757575753</v>
          </cell>
          <cell r="U96">
            <v>3557.7800727272729</v>
          </cell>
          <cell r="V96">
            <v>0</v>
          </cell>
          <cell r="W96">
            <v>0</v>
          </cell>
          <cell r="X96">
            <v>5059.5030303030289</v>
          </cell>
          <cell r="Y96">
            <v>3309</v>
          </cell>
          <cell r="Z96">
            <v>1750.5030303030308</v>
          </cell>
          <cell r="AA96">
            <v>0</v>
          </cell>
          <cell r="AB96">
            <v>0</v>
          </cell>
          <cell r="AC96">
            <v>3034.6951515151522</v>
          </cell>
          <cell r="AD96">
            <v>1800</v>
          </cell>
          <cell r="AE96">
            <v>1234.6951515151513</v>
          </cell>
          <cell r="AF96">
            <v>4483.5593939393939</v>
          </cell>
          <cell r="AG96">
            <v>3532</v>
          </cell>
          <cell r="AH96">
            <v>952.89272727272737</v>
          </cell>
          <cell r="AI96">
            <v>783.2</v>
          </cell>
          <cell r="AJ96">
            <v>0</v>
          </cell>
          <cell r="AK96">
            <v>25582.683030303029</v>
          </cell>
          <cell r="AL96">
            <v>9958.9737061118321</v>
          </cell>
          <cell r="AM96">
            <v>15623.709324191197</v>
          </cell>
          <cell r="AN96">
            <v>0</v>
          </cell>
          <cell r="AO96">
            <v>4990</v>
          </cell>
          <cell r="AP96">
            <v>4992</v>
          </cell>
          <cell r="AQ96">
            <v>4153.252222919521</v>
          </cell>
          <cell r="AR96">
            <v>9754.6660308805876</v>
          </cell>
        </row>
        <row r="97">
          <cell r="F97">
            <v>10985</v>
          </cell>
          <cell r="G97">
            <v>8829.6703910614524</v>
          </cell>
          <cell r="H97">
            <v>2155.3296089385476</v>
          </cell>
          <cell r="P97">
            <v>2714.62</v>
          </cell>
          <cell r="Q97">
            <v>0</v>
          </cell>
          <cell r="R97">
            <v>0</v>
          </cell>
          <cell r="S97">
            <v>8440.52</v>
          </cell>
          <cell r="T97">
            <v>4958.7147999999997</v>
          </cell>
          <cell r="U97">
            <v>3472.8051999999998</v>
          </cell>
          <cell r="V97">
            <v>14347.131818181819</v>
          </cell>
          <cell r="W97">
            <v>11639</v>
          </cell>
          <cell r="X97">
            <v>2708.1318181818183</v>
          </cell>
          <cell r="Y97">
            <v>0</v>
          </cell>
          <cell r="Z97">
            <v>0</v>
          </cell>
          <cell r="AA97">
            <v>13570.569090909092</v>
          </cell>
          <cell r="AB97">
            <v>10756</v>
          </cell>
          <cell r="AC97">
            <v>2814.5690909090908</v>
          </cell>
          <cell r="AD97">
            <v>8269</v>
          </cell>
          <cell r="AE97">
            <v>5173.217575757576</v>
          </cell>
          <cell r="AF97">
            <v>4438.8781818181815</v>
          </cell>
          <cell r="AG97">
            <v>3590.3</v>
          </cell>
          <cell r="AH97">
            <v>848.57818181818175</v>
          </cell>
          <cell r="AI97">
            <v>54.400000000000006</v>
          </cell>
          <cell r="AJ97">
            <v>0</v>
          </cell>
          <cell r="AK97">
            <v>55030.140909090907</v>
          </cell>
          <cell r="AL97">
            <v>35193.290391061448</v>
          </cell>
          <cell r="AM97">
            <v>19836.850518029456</v>
          </cell>
          <cell r="AN97">
            <v>20258.850518029456</v>
          </cell>
          <cell r="AO97">
            <v>22275</v>
          </cell>
          <cell r="AP97">
            <v>9674</v>
          </cell>
          <cell r="AQ97">
            <v>5179.5709186145641</v>
          </cell>
          <cell r="AR97">
            <v>9343.4348160198533</v>
          </cell>
        </row>
        <row r="98">
          <cell r="F98">
            <v>4473</v>
          </cell>
          <cell r="G98">
            <v>2317.6703910614524</v>
          </cell>
          <cell r="H98">
            <v>2155.3296089385476</v>
          </cell>
          <cell r="P98">
            <v>2714.62</v>
          </cell>
          <cell r="Q98">
            <v>0</v>
          </cell>
          <cell r="R98">
            <v>0</v>
          </cell>
          <cell r="S98">
            <v>6265.52</v>
          </cell>
          <cell r="T98">
            <v>2783.7147999999997</v>
          </cell>
          <cell r="U98">
            <v>3472.8051999999998</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I98">
            <v>54.400000000000006</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0</v>
          </cell>
          <cell r="G99">
            <v>2573.3582491582492</v>
          </cell>
          <cell r="H99">
            <v>2944.8417508417506</v>
          </cell>
          <cell r="P99">
            <v>830</v>
          </cell>
          <cell r="Q99">
            <v>0</v>
          </cell>
          <cell r="R99">
            <v>0</v>
          </cell>
          <cell r="S99">
            <v>3176</v>
          </cell>
          <cell r="T99">
            <v>2384.0618606060607</v>
          </cell>
          <cell r="U99">
            <v>3467.8793515151519</v>
          </cell>
          <cell r="V99">
            <v>80</v>
          </cell>
          <cell r="W99">
            <v>14347.131818181819</v>
          </cell>
          <cell r="X99">
            <v>2407.8530303030293</v>
          </cell>
          <cell r="Y99">
            <v>1779</v>
          </cell>
          <cell r="Z99">
            <v>628.85303030302975</v>
          </cell>
          <cell r="AA99">
            <v>300</v>
          </cell>
          <cell r="AB99">
            <v>0</v>
          </cell>
          <cell r="AC99">
            <v>2277.2175757575751</v>
          </cell>
          <cell r="AD99">
            <v>1402</v>
          </cell>
          <cell r="AE99">
            <v>875.21757575757601</v>
          </cell>
          <cell r="AF99">
            <v>554</v>
          </cell>
          <cell r="AG99">
            <v>554</v>
          </cell>
          <cell r="AH99">
            <v>0</v>
          </cell>
          <cell r="AK99">
            <v>4982</v>
          </cell>
          <cell r="AL99">
            <v>55030.140909090915</v>
          </cell>
          <cell r="AM99">
            <v>14321.203569023572</v>
          </cell>
          <cell r="AN99">
            <v>14701.20356902357</v>
          </cell>
          <cell r="AO99">
            <v>3066</v>
          </cell>
          <cell r="AP99">
            <v>3316</v>
          </cell>
          <cell r="AQ99">
            <v>5168.7494313394982</v>
          </cell>
          <cell r="AR99">
            <v>10162.313669924872</v>
          </cell>
        </row>
        <row r="100">
          <cell r="F100">
            <v>0</v>
          </cell>
          <cell r="P100">
            <v>464</v>
          </cell>
          <cell r="S100">
            <v>1018</v>
          </cell>
          <cell r="V100">
            <v>80</v>
          </cell>
          <cell r="X100">
            <v>85</v>
          </cell>
          <cell r="AA100">
            <v>300</v>
          </cell>
          <cell r="AC100">
            <v>60</v>
          </cell>
          <cell r="AF100">
            <v>554</v>
          </cell>
          <cell r="AG100">
            <v>554</v>
          </cell>
          <cell r="AH100">
            <v>0</v>
          </cell>
          <cell r="AI100">
            <v>0</v>
          </cell>
          <cell r="AK100">
            <v>2416</v>
          </cell>
          <cell r="AL100">
            <v>55030.1409090909</v>
          </cell>
          <cell r="AM100">
            <v>34771.290391061455</v>
          </cell>
        </row>
        <row r="101">
          <cell r="F101">
            <v>0</v>
          </cell>
          <cell r="P101">
            <v>600</v>
          </cell>
          <cell r="S101">
            <v>730</v>
          </cell>
          <cell r="V101">
            <v>80</v>
          </cell>
          <cell r="X101">
            <v>100</v>
          </cell>
          <cell r="AA101">
            <v>300</v>
          </cell>
          <cell r="AC101">
            <v>60</v>
          </cell>
          <cell r="AF101">
            <v>0</v>
          </cell>
          <cell r="AG101">
            <v>0</v>
          </cell>
          <cell r="AH101">
            <v>0</v>
          </cell>
          <cell r="AK101">
            <v>1710</v>
          </cell>
          <cell r="AL101">
            <v>53285.681818181823</v>
          </cell>
          <cell r="AM101">
            <v>29773.478249158248</v>
          </cell>
        </row>
        <row r="102">
          <cell r="F102">
            <v>0</v>
          </cell>
          <cell r="P102">
            <v>366</v>
          </cell>
          <cell r="S102">
            <v>2158</v>
          </cell>
          <cell r="V102">
            <v>0</v>
          </cell>
          <cell r="X102">
            <v>100</v>
          </cell>
          <cell r="AA102">
            <v>0</v>
          </cell>
          <cell r="AC102">
            <v>60</v>
          </cell>
          <cell r="AF102">
            <v>0</v>
          </cell>
          <cell r="AG102">
            <v>0</v>
          </cell>
          <cell r="AH102">
            <v>0</v>
          </cell>
          <cell r="AK102">
            <v>2566</v>
          </cell>
        </row>
        <row r="103">
          <cell r="F103">
            <v>-1308</v>
          </cell>
          <cell r="P103">
            <v>1223</v>
          </cell>
          <cell r="S103">
            <v>0</v>
          </cell>
          <cell r="X103">
            <v>0</v>
          </cell>
          <cell r="AC103">
            <v>0</v>
          </cell>
          <cell r="AF103">
            <v>-904.4</v>
          </cell>
          <cell r="AG103">
            <v>0</v>
          </cell>
          <cell r="AH103">
            <v>-904.4</v>
          </cell>
          <cell r="AK103">
            <v>-78.200000000000045</v>
          </cell>
        </row>
        <row r="104">
          <cell r="P104">
            <v>570</v>
          </cell>
          <cell r="S104">
            <v>2910</v>
          </cell>
          <cell r="AK104">
            <v>0</v>
          </cell>
        </row>
        <row r="105">
          <cell r="P105">
            <v>1075</v>
          </cell>
          <cell r="S105">
            <v>0</v>
          </cell>
          <cell r="V105">
            <v>0</v>
          </cell>
          <cell r="X105">
            <v>0</v>
          </cell>
          <cell r="AC105">
            <v>300</v>
          </cell>
          <cell r="AK105">
            <v>1375</v>
          </cell>
        </row>
        <row r="106">
          <cell r="F106">
            <v>850</v>
          </cell>
          <cell r="P106">
            <v>550</v>
          </cell>
          <cell r="S106">
            <v>530</v>
          </cell>
          <cell r="X106">
            <v>0</v>
          </cell>
          <cell r="AC106">
            <v>0</v>
          </cell>
          <cell r="AF106">
            <v>0</v>
          </cell>
          <cell r="AG106">
            <v>0</v>
          </cell>
          <cell r="AH106">
            <v>0</v>
          </cell>
          <cell r="AI106">
            <v>0</v>
          </cell>
          <cell r="AK106">
            <v>850</v>
          </cell>
        </row>
        <row r="107">
          <cell r="F107">
            <v>850</v>
          </cell>
          <cell r="P107">
            <v>800</v>
          </cell>
          <cell r="S107">
            <v>0</v>
          </cell>
          <cell r="AC107">
            <v>0</v>
          </cell>
          <cell r="AF107">
            <v>0</v>
          </cell>
          <cell r="AG107">
            <v>0</v>
          </cell>
          <cell r="AH107">
            <v>0</v>
          </cell>
          <cell r="AI107">
            <v>0</v>
          </cell>
          <cell r="AK107">
            <v>0</v>
          </cell>
        </row>
        <row r="108">
          <cell r="F108">
            <v>0</v>
          </cell>
          <cell r="P108">
            <v>0</v>
          </cell>
          <cell r="S108">
            <v>0</v>
          </cell>
          <cell r="AC108">
            <v>0</v>
          </cell>
          <cell r="AF108">
            <v>0</v>
          </cell>
          <cell r="AG108">
            <v>0</v>
          </cell>
          <cell r="AH108">
            <v>0</v>
          </cell>
          <cell r="AI108">
            <v>0</v>
          </cell>
          <cell r="AK108">
            <v>0</v>
          </cell>
        </row>
        <row r="109">
          <cell r="F109">
            <v>0</v>
          </cell>
          <cell r="P109">
            <v>366</v>
          </cell>
          <cell r="S109">
            <v>2158</v>
          </cell>
          <cell r="V109">
            <v>0</v>
          </cell>
          <cell r="X109">
            <v>0</v>
          </cell>
          <cell r="AA109">
            <v>0</v>
          </cell>
          <cell r="AC109">
            <v>0</v>
          </cell>
          <cell r="AF109">
            <v>0</v>
          </cell>
          <cell r="AG109">
            <v>0</v>
          </cell>
          <cell r="AH109">
            <v>0</v>
          </cell>
          <cell r="AK109">
            <v>2524</v>
          </cell>
        </row>
        <row r="110">
          <cell r="F110">
            <v>0</v>
          </cell>
          <cell r="P110">
            <v>366</v>
          </cell>
          <cell r="S110">
            <v>2158</v>
          </cell>
          <cell r="X110">
            <v>0</v>
          </cell>
          <cell r="AA110">
            <v>0</v>
          </cell>
          <cell r="AC110">
            <v>0</v>
          </cell>
          <cell r="AF110">
            <v>0</v>
          </cell>
          <cell r="AG110">
            <v>0</v>
          </cell>
          <cell r="AH110">
            <v>0</v>
          </cell>
          <cell r="AI110">
            <v>64</v>
          </cell>
          <cell r="AK110">
            <v>2524</v>
          </cell>
        </row>
        <row r="111">
          <cell r="F111">
            <v>0</v>
          </cell>
          <cell r="P111">
            <v>0</v>
          </cell>
          <cell r="S111">
            <v>0</v>
          </cell>
          <cell r="AA111">
            <v>0</v>
          </cell>
          <cell r="AC111">
            <v>0</v>
          </cell>
          <cell r="AF111">
            <v>0</v>
          </cell>
          <cell r="AG111">
            <v>0</v>
          </cell>
          <cell r="AH111">
            <v>0</v>
          </cell>
          <cell r="AI111">
            <v>64</v>
          </cell>
          <cell r="AK111">
            <v>0</v>
          </cell>
        </row>
        <row r="112">
          <cell r="F112">
            <v>0</v>
          </cell>
          <cell r="P112">
            <v>0</v>
          </cell>
          <cell r="S112">
            <v>0</v>
          </cell>
          <cell r="V112">
            <v>0</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cell r="AM113">
            <v>0</v>
          </cell>
        </row>
        <row r="114">
          <cell r="F114">
            <v>0</v>
          </cell>
          <cell r="P114">
            <v>0</v>
          </cell>
          <cell r="S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cell r="AL115">
            <v>0</v>
          </cell>
          <cell r="AM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AC117">
            <v>0</v>
          </cell>
          <cell r="AF117">
            <v>0</v>
          </cell>
          <cell r="AG117">
            <v>0</v>
          </cell>
          <cell r="AH117">
            <v>0</v>
          </cell>
          <cell r="AK117">
            <v>0</v>
          </cell>
          <cell r="AM117">
            <v>0</v>
          </cell>
        </row>
        <row r="118">
          <cell r="F118">
            <v>0</v>
          </cell>
          <cell r="P118">
            <v>0</v>
          </cell>
          <cell r="S118">
            <v>0</v>
          </cell>
          <cell r="X118">
            <v>0</v>
          </cell>
          <cell r="AA118">
            <v>0</v>
          </cell>
          <cell r="AC118">
            <v>0</v>
          </cell>
          <cell r="AG118">
            <v>0</v>
          </cell>
          <cell r="AH118">
            <v>0</v>
          </cell>
          <cell r="AK118">
            <v>0</v>
          </cell>
          <cell r="AL118">
            <v>0</v>
          </cell>
          <cell r="AM118">
            <v>0</v>
          </cell>
        </row>
        <row r="119">
          <cell r="F119">
            <v>0</v>
          </cell>
          <cell r="P119">
            <v>0</v>
          </cell>
          <cell r="S119">
            <v>0</v>
          </cell>
          <cell r="AA119">
            <v>0</v>
          </cell>
          <cell r="AC119">
            <v>0</v>
          </cell>
          <cell r="AG119">
            <v>0</v>
          </cell>
          <cell r="AH119">
            <v>0</v>
          </cell>
          <cell r="AK119">
            <v>0</v>
          </cell>
          <cell r="AL119">
            <v>0</v>
          </cell>
          <cell r="AM119">
            <v>0</v>
          </cell>
        </row>
        <row r="120">
          <cell r="F120">
            <v>0</v>
          </cell>
          <cell r="P120">
            <v>0</v>
          </cell>
          <cell r="S120">
            <v>0</v>
          </cell>
          <cell r="X120">
            <v>0</v>
          </cell>
          <cell r="AA120">
            <v>0</v>
          </cell>
          <cell r="AC120">
            <v>0</v>
          </cell>
          <cell r="AF120">
            <v>0</v>
          </cell>
          <cell r="AG120">
            <v>0</v>
          </cell>
          <cell r="AH120">
            <v>0</v>
          </cell>
          <cell r="AK120">
            <v>0</v>
          </cell>
        </row>
        <row r="121">
          <cell r="F121">
            <v>0</v>
          </cell>
          <cell r="P121">
            <v>0</v>
          </cell>
          <cell r="S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595</v>
          </cell>
        </row>
        <row r="123">
          <cell r="F123">
            <v>100</v>
          </cell>
          <cell r="S123">
            <v>0</v>
          </cell>
          <cell r="V123">
            <v>0</v>
          </cell>
          <cell r="X123">
            <v>0</v>
          </cell>
          <cell r="AF123">
            <v>0</v>
          </cell>
          <cell r="AK123">
            <v>0</v>
          </cell>
          <cell r="AL123">
            <v>-13345.80312121212</v>
          </cell>
        </row>
        <row r="124">
          <cell r="F124">
            <v>3400</v>
          </cell>
          <cell r="S124">
            <v>0</v>
          </cell>
          <cell r="X124">
            <v>0</v>
          </cell>
          <cell r="AF124">
            <v>0</v>
          </cell>
          <cell r="AK124">
            <v>3400</v>
          </cell>
        </row>
        <row r="125">
          <cell r="F125">
            <v>3500</v>
          </cell>
          <cell r="G125">
            <v>0</v>
          </cell>
          <cell r="H125">
            <v>0</v>
          </cell>
          <cell r="P125">
            <v>0</v>
          </cell>
          <cell r="Q125">
            <v>0</v>
          </cell>
          <cell r="R125">
            <v>0</v>
          </cell>
          <cell r="S125">
            <v>60</v>
          </cell>
          <cell r="T125">
            <v>0</v>
          </cell>
          <cell r="U125">
            <v>0</v>
          </cell>
          <cell r="V125">
            <v>0</v>
          </cell>
          <cell r="W125">
            <v>0</v>
          </cell>
          <cell r="X125">
            <v>0</v>
          </cell>
          <cell r="Y125">
            <v>0</v>
          </cell>
          <cell r="Z125">
            <v>0</v>
          </cell>
          <cell r="AA125">
            <v>0</v>
          </cell>
          <cell r="AB125">
            <v>0</v>
          </cell>
          <cell r="AC125">
            <v>500</v>
          </cell>
          <cell r="AD125">
            <v>0</v>
          </cell>
          <cell r="AE125">
            <v>0</v>
          </cell>
          <cell r="AF125">
            <v>0</v>
          </cell>
          <cell r="AG125">
            <v>0</v>
          </cell>
          <cell r="AH125">
            <v>0</v>
          </cell>
          <cell r="AI125">
            <v>64</v>
          </cell>
          <cell r="AJ125">
            <v>0</v>
          </cell>
          <cell r="AK125">
            <v>0</v>
          </cell>
          <cell r="AO125">
            <v>0</v>
          </cell>
          <cell r="AP125">
            <v>0</v>
          </cell>
          <cell r="AQ125">
            <v>0</v>
          </cell>
          <cell r="AR125">
            <v>0</v>
          </cell>
        </row>
        <row r="126">
          <cell r="F126">
            <v>2000</v>
          </cell>
          <cell r="G126">
            <v>0</v>
          </cell>
          <cell r="H126">
            <v>0</v>
          </cell>
          <cell r="P126">
            <v>0</v>
          </cell>
          <cell r="S126">
            <v>120</v>
          </cell>
          <cell r="X126">
            <v>0</v>
          </cell>
          <cell r="Y126">
            <v>0</v>
          </cell>
          <cell r="Z126">
            <v>0</v>
          </cell>
          <cell r="AC126">
            <v>0</v>
          </cell>
          <cell r="AD126">
            <v>0</v>
          </cell>
          <cell r="AE126">
            <v>0</v>
          </cell>
          <cell r="AF126">
            <v>0</v>
          </cell>
          <cell r="AG126">
            <v>0</v>
          </cell>
          <cell r="AH126">
            <v>0</v>
          </cell>
          <cell r="AI126">
            <v>64</v>
          </cell>
          <cell r="AJ126">
            <v>0</v>
          </cell>
          <cell r="AK126">
            <v>0</v>
          </cell>
          <cell r="AL126">
            <v>-16343.423636363636</v>
          </cell>
        </row>
        <row r="127">
          <cell r="F127">
            <v>0</v>
          </cell>
          <cell r="AK127">
            <v>0</v>
          </cell>
          <cell r="AL127">
            <v>6264</v>
          </cell>
        </row>
        <row r="128">
          <cell r="F128">
            <v>3995</v>
          </cell>
          <cell r="G128">
            <v>0</v>
          </cell>
          <cell r="H128">
            <v>0</v>
          </cell>
          <cell r="P128">
            <v>366</v>
          </cell>
          <cell r="Q128">
            <v>0</v>
          </cell>
          <cell r="R128">
            <v>0</v>
          </cell>
          <cell r="S128">
            <v>2158</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6519</v>
          </cell>
          <cell r="AO128">
            <v>0</v>
          </cell>
          <cell r="AP128">
            <v>0</v>
          </cell>
          <cell r="AQ128">
            <v>0</v>
          </cell>
          <cell r="AR128">
            <v>0</v>
          </cell>
        </row>
        <row r="129">
          <cell r="F129">
            <v>3995</v>
          </cell>
          <cell r="G129">
            <v>0</v>
          </cell>
          <cell r="H129">
            <v>0</v>
          </cell>
          <cell r="P129">
            <v>732</v>
          </cell>
          <cell r="S129">
            <v>4316</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6519</v>
          </cell>
          <cell r="AL129">
            <v>-9671.302272727271</v>
          </cell>
          <cell r="AM129">
            <v>-16998.709324191197</v>
          </cell>
        </row>
        <row r="130">
          <cell r="F130">
            <v>0</v>
          </cell>
          <cell r="AK130">
            <v>-9824.4236363636355</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-9824.4236363636355</v>
          </cell>
          <cell r="AO131">
            <v>0</v>
          </cell>
          <cell r="AP131">
            <v>0</v>
          </cell>
          <cell r="AQ131">
            <v>0</v>
          </cell>
          <cell r="AR131">
            <v>0</v>
          </cell>
        </row>
        <row r="132">
          <cell r="F132">
            <v>2292</v>
          </cell>
          <cell r="G132">
            <v>0</v>
          </cell>
          <cell r="H132">
            <v>0</v>
          </cell>
          <cell r="P132">
            <v>2446</v>
          </cell>
          <cell r="S132">
            <v>0</v>
          </cell>
          <cell r="X132">
            <v>0</v>
          </cell>
          <cell r="Y132">
            <v>0</v>
          </cell>
          <cell r="Z132">
            <v>0</v>
          </cell>
          <cell r="AC132">
            <v>0</v>
          </cell>
          <cell r="AF132">
            <v>-904.4</v>
          </cell>
          <cell r="AG132">
            <v>0</v>
          </cell>
          <cell r="AH132">
            <v>-904.4</v>
          </cell>
          <cell r="AK132">
            <v>-14034.890909090907</v>
          </cell>
          <cell r="AL132">
            <v>35.709608938552265</v>
          </cell>
          <cell r="AM132">
            <v>-14935.850518029456</v>
          </cell>
        </row>
        <row r="133">
          <cell r="AK133">
            <v>-5656.302272727271</v>
          </cell>
          <cell r="AL133">
            <v>3521.8</v>
          </cell>
        </row>
        <row r="134">
          <cell r="AK134">
            <v>-4210.4672727272718</v>
          </cell>
          <cell r="AM134">
            <v>10073</v>
          </cell>
          <cell r="AO134">
            <v>0</v>
          </cell>
          <cell r="AQ134">
            <v>0</v>
          </cell>
        </row>
        <row r="135">
          <cell r="AK135">
            <v>-8080.4318181818162</v>
          </cell>
          <cell r="AL135">
            <v>6361.5217508417518</v>
          </cell>
          <cell r="AM135">
            <v>-15307.203569023572</v>
          </cell>
          <cell r="AO135">
            <v>0</v>
          </cell>
        </row>
        <row r="136">
          <cell r="AK136">
            <v>6.38</v>
          </cell>
          <cell r="AO136" t="e">
            <v>#DIV/0!</v>
          </cell>
        </row>
        <row r="137">
          <cell r="AK137">
            <v>4901</v>
          </cell>
          <cell r="AM137">
            <v>4901</v>
          </cell>
          <cell r="AO137">
            <v>0</v>
          </cell>
          <cell r="AQ137">
            <v>0</v>
          </cell>
        </row>
        <row r="138">
          <cell r="AK138">
            <v>-14935.850518029456</v>
          </cell>
          <cell r="AO138">
            <v>0</v>
          </cell>
        </row>
        <row r="139">
          <cell r="AK139">
            <v>3.1</v>
          </cell>
          <cell r="AO139" t="e">
            <v>#DIV/0!</v>
          </cell>
        </row>
        <row r="140">
          <cell r="AK140">
            <v>12.55</v>
          </cell>
          <cell r="AM140">
            <v>7825</v>
          </cell>
          <cell r="AO140" t="e">
            <v>#DIV/0!</v>
          </cell>
          <cell r="AQ140">
            <v>0</v>
          </cell>
        </row>
        <row r="141">
          <cell r="AK141">
            <v>0</v>
          </cell>
          <cell r="AO141">
            <v>0</v>
          </cell>
        </row>
        <row r="142">
          <cell r="AJ142">
            <v>0</v>
          </cell>
          <cell r="AK142">
            <v>4.95</v>
          </cell>
          <cell r="AO142" t="e">
            <v>#DIV/0!</v>
          </cell>
        </row>
        <row r="143">
          <cell r="AK143">
            <v>8.91</v>
          </cell>
          <cell r="AL143">
            <v>37810</v>
          </cell>
          <cell r="AO143" t="e">
            <v>#DIV/0!</v>
          </cell>
        </row>
        <row r="144">
          <cell r="AK144">
            <v>0</v>
          </cell>
          <cell r="AO144">
            <v>0</v>
          </cell>
        </row>
        <row r="145">
          <cell r="AJ145">
            <v>300</v>
          </cell>
          <cell r="AK145">
            <v>8.9</v>
          </cell>
          <cell r="AO145" t="e">
            <v>#DIV/0!</v>
          </cell>
        </row>
        <row r="146">
          <cell r="AK146">
            <v>35229</v>
          </cell>
          <cell r="AL146">
            <v>35229</v>
          </cell>
          <cell r="AM146">
            <v>-27071.709324191197</v>
          </cell>
          <cell r="AO146" t="e">
            <v>#DIV/0!</v>
          </cell>
        </row>
        <row r="147">
          <cell r="S147">
            <v>0</v>
          </cell>
          <cell r="AK147">
            <v>865.25</v>
          </cell>
        </row>
        <row r="148">
          <cell r="AK148">
            <v>7.62</v>
          </cell>
          <cell r="AO148" t="e">
            <v>#DIV/0!</v>
          </cell>
        </row>
        <row r="149">
          <cell r="AJ149">
            <v>0</v>
          </cell>
          <cell r="AK149">
            <v>9312.8571428571431</v>
          </cell>
          <cell r="AL149">
            <v>-35193.290391061448</v>
          </cell>
          <cell r="AM149">
            <v>-19836.850518029456</v>
          </cell>
          <cell r="AO149">
            <v>0</v>
          </cell>
        </row>
        <row r="150">
          <cell r="S150">
            <v>0</v>
          </cell>
          <cell r="AK150">
            <v>865.25</v>
          </cell>
        </row>
        <row r="151">
          <cell r="AK151">
            <v>47883</v>
          </cell>
          <cell r="AL151">
            <v>37810</v>
          </cell>
          <cell r="AM151">
            <v>10073</v>
          </cell>
        </row>
        <row r="152">
          <cell r="AK152">
            <v>40130</v>
          </cell>
          <cell r="AL152">
            <v>35229</v>
          </cell>
          <cell r="AM152">
            <v>4901</v>
          </cell>
          <cell r="AO152">
            <v>0</v>
          </cell>
          <cell r="AP152">
            <v>4992</v>
          </cell>
          <cell r="AQ152">
            <v>4153.252222919521</v>
          </cell>
          <cell r="AR152">
            <v>9754.6660308805876</v>
          </cell>
        </row>
        <row r="153">
          <cell r="S153">
            <v>0</v>
          </cell>
          <cell r="AK153">
            <v>0</v>
          </cell>
          <cell r="AL153">
            <v>18.399999999999999</v>
          </cell>
          <cell r="AM153">
            <v>-62.8</v>
          </cell>
        </row>
        <row r="154">
          <cell r="AK154">
            <v>40130</v>
          </cell>
          <cell r="AL154">
            <v>35229</v>
          </cell>
          <cell r="AM154">
            <v>4901</v>
          </cell>
        </row>
        <row r="155">
          <cell r="AK155">
            <v>0</v>
          </cell>
          <cell r="AL155">
            <v>36515</v>
          </cell>
          <cell r="AM155">
            <v>7825</v>
          </cell>
          <cell r="AO155">
            <v>4704</v>
          </cell>
          <cell r="AP155">
            <v>3182</v>
          </cell>
          <cell r="AQ155">
            <v>5179.5709186145641</v>
          </cell>
          <cell r="AR155">
            <v>9343.4348160198533</v>
          </cell>
        </row>
        <row r="156">
          <cell r="AK156">
            <v>-25.5</v>
          </cell>
          <cell r="AL156">
            <v>0.1</v>
          </cell>
          <cell r="AM156">
            <v>-75.3</v>
          </cell>
        </row>
        <row r="157">
          <cell r="F157">
            <v>0</v>
          </cell>
          <cell r="P157">
            <v>0</v>
          </cell>
          <cell r="S157">
            <v>0</v>
          </cell>
          <cell r="X157">
            <v>0</v>
          </cell>
          <cell r="AC157">
            <v>0</v>
          </cell>
          <cell r="AI157">
            <v>0</v>
          </cell>
          <cell r="AJ157">
            <v>142</v>
          </cell>
          <cell r="AK157">
            <v>16.923193342793478</v>
          </cell>
          <cell r="AL157">
            <v>-100</v>
          </cell>
          <cell r="AM157">
            <v>-100</v>
          </cell>
        </row>
        <row r="158">
          <cell r="F158">
            <v>320</v>
          </cell>
          <cell r="P158">
            <v>810</v>
          </cell>
          <cell r="S158">
            <v>1487</v>
          </cell>
          <cell r="X158">
            <v>2754</v>
          </cell>
          <cell r="AC158">
            <v>1364</v>
          </cell>
          <cell r="AF158">
            <v>1173</v>
          </cell>
          <cell r="AG158">
            <v>1100</v>
          </cell>
          <cell r="AH158">
            <v>73</v>
          </cell>
          <cell r="AK158">
            <v>0</v>
          </cell>
          <cell r="AL158">
            <v>0</v>
          </cell>
          <cell r="AM158">
            <v>0</v>
          </cell>
          <cell r="AO158">
            <v>3066</v>
          </cell>
          <cell r="AP158">
            <v>3316</v>
          </cell>
          <cell r="AQ158">
            <v>5168.7494313394982</v>
          </cell>
          <cell r="AR158">
            <v>10162.313669924872</v>
          </cell>
        </row>
        <row r="159">
          <cell r="F159">
            <v>320</v>
          </cell>
          <cell r="P159">
            <v>390</v>
          </cell>
          <cell r="S159">
            <v>512</v>
          </cell>
          <cell r="X159">
            <v>2374</v>
          </cell>
          <cell r="AC159">
            <v>1081</v>
          </cell>
          <cell r="AF159">
            <v>560</v>
          </cell>
          <cell r="AG159">
            <v>500</v>
          </cell>
          <cell r="AH159">
            <v>60</v>
          </cell>
          <cell r="AK159">
            <v>-15.2</v>
          </cell>
          <cell r="AL159">
            <v>21.1</v>
          </cell>
          <cell r="AM159">
            <v>-66.2</v>
          </cell>
        </row>
        <row r="160">
          <cell r="F160">
            <v>0</v>
          </cell>
          <cell r="P160">
            <v>0</v>
          </cell>
          <cell r="S160">
            <v>0</v>
          </cell>
          <cell r="V160">
            <v>0</v>
          </cell>
          <cell r="X160">
            <v>0</v>
          </cell>
          <cell r="AA160">
            <v>0</v>
          </cell>
          <cell r="AC160">
            <v>0</v>
          </cell>
          <cell r="AF160">
            <v>125</v>
          </cell>
          <cell r="AG160">
            <v>125</v>
          </cell>
          <cell r="AH160">
            <v>0</v>
          </cell>
          <cell r="AI160">
            <v>210</v>
          </cell>
          <cell r="AK160">
            <v>0</v>
          </cell>
          <cell r="AL160">
            <v>-100</v>
          </cell>
          <cell r="AM160">
            <v>-100</v>
          </cell>
        </row>
        <row r="161">
          <cell r="F161">
            <v>0</v>
          </cell>
          <cell r="P161">
            <v>890</v>
          </cell>
          <cell r="S161">
            <v>1440</v>
          </cell>
          <cell r="V161">
            <v>1070</v>
          </cell>
          <cell r="X161">
            <v>1767.1499999999999</v>
          </cell>
          <cell r="AA161">
            <v>1777</v>
          </cell>
          <cell r="AB161">
            <v>9</v>
          </cell>
          <cell r="AC161">
            <v>768.7</v>
          </cell>
          <cell r="AF161">
            <v>780</v>
          </cell>
          <cell r="AG161">
            <v>780</v>
          </cell>
          <cell r="AH161">
            <v>0</v>
          </cell>
          <cell r="AK161">
            <v>5957</v>
          </cell>
          <cell r="AL161">
            <v>0</v>
          </cell>
          <cell r="AM161">
            <v>0</v>
          </cell>
        </row>
        <row r="162">
          <cell r="F162">
            <v>0</v>
          </cell>
          <cell r="P162">
            <v>700</v>
          </cell>
          <cell r="S162">
            <v>1440</v>
          </cell>
          <cell r="V162">
            <v>1070</v>
          </cell>
          <cell r="X162">
            <v>1694.1499999999999</v>
          </cell>
          <cell r="AA162">
            <v>1639</v>
          </cell>
          <cell r="AF162">
            <v>730</v>
          </cell>
          <cell r="AG162">
            <v>730</v>
          </cell>
          <cell r="AH162">
            <v>0</v>
          </cell>
          <cell r="AK162">
            <v>4849</v>
          </cell>
        </row>
        <row r="163">
          <cell r="F163">
            <v>0</v>
          </cell>
          <cell r="P163">
            <v>190</v>
          </cell>
          <cell r="S163">
            <v>0</v>
          </cell>
          <cell r="V163">
            <v>0</v>
          </cell>
          <cell r="X163">
            <v>0</v>
          </cell>
          <cell r="AA163">
            <v>138</v>
          </cell>
          <cell r="AC163">
            <v>0</v>
          </cell>
          <cell r="AF163">
            <v>50</v>
          </cell>
          <cell r="AG163">
            <v>50</v>
          </cell>
          <cell r="AH163">
            <v>0</v>
          </cell>
          <cell r="AK163">
            <v>378</v>
          </cell>
        </row>
        <row r="164">
          <cell r="F164">
            <v>0</v>
          </cell>
          <cell r="P164">
            <v>100</v>
          </cell>
          <cell r="S164">
            <v>0</v>
          </cell>
          <cell r="V164">
            <v>0</v>
          </cell>
          <cell r="X164">
            <v>890.8</v>
          </cell>
          <cell r="AA164">
            <v>12</v>
          </cell>
          <cell r="AC164">
            <v>1354.7</v>
          </cell>
          <cell r="AF164">
            <v>10</v>
          </cell>
          <cell r="AG164">
            <v>665.35</v>
          </cell>
          <cell r="AH164">
            <v>0</v>
          </cell>
          <cell r="AK164">
            <v>112</v>
          </cell>
        </row>
        <row r="165">
          <cell r="F165">
            <v>0</v>
          </cell>
          <cell r="P165">
            <v>552.5</v>
          </cell>
          <cell r="S165">
            <v>1550.3999999999999</v>
          </cell>
          <cell r="X165">
            <v>693.59999999999991</v>
          </cell>
          <cell r="AC165">
            <v>1292.6500000000001</v>
          </cell>
          <cell r="AF165">
            <v>535.30000000000007</v>
          </cell>
          <cell r="AG165">
            <v>535.30000000000007</v>
          </cell>
          <cell r="AH165">
            <v>0</v>
          </cell>
          <cell r="AK165">
            <v>0</v>
          </cell>
        </row>
        <row r="166">
          <cell r="F166">
            <v>14.170833333333334</v>
          </cell>
          <cell r="P166">
            <v>119</v>
          </cell>
          <cell r="S166">
            <v>187</v>
          </cell>
          <cell r="X166">
            <v>197.2</v>
          </cell>
          <cell r="AC166">
            <v>62.05</v>
          </cell>
          <cell r="AF166">
            <v>130.04999999999998</v>
          </cell>
          <cell r="AG166">
            <v>130.04999999999998</v>
          </cell>
          <cell r="AH166">
            <v>0</v>
          </cell>
          <cell r="AK166">
            <v>14.170833333333334</v>
          </cell>
        </row>
        <row r="167">
          <cell r="F167">
            <v>295</v>
          </cell>
          <cell r="P167">
            <v>168</v>
          </cell>
          <cell r="S167">
            <v>640</v>
          </cell>
          <cell r="V167">
            <v>458.81818181818181</v>
          </cell>
          <cell r="X167">
            <v>154</v>
          </cell>
          <cell r="AA167">
            <v>216.09090909090909</v>
          </cell>
          <cell r="AC167">
            <v>22</v>
          </cell>
          <cell r="AF167">
            <v>300.18181818181819</v>
          </cell>
          <cell r="AG167">
            <v>300</v>
          </cell>
          <cell r="AK167">
            <v>1482.9090909090908</v>
          </cell>
        </row>
        <row r="168">
          <cell r="F168">
            <v>-459</v>
          </cell>
          <cell r="S168">
            <v>800</v>
          </cell>
          <cell r="V168">
            <v>611.18181818181824</v>
          </cell>
          <cell r="X168">
            <v>1433.2409090909091</v>
          </cell>
          <cell r="AA168">
            <v>1560.909090909091</v>
          </cell>
          <cell r="AC168">
            <v>561.88181818181829</v>
          </cell>
          <cell r="AF168">
            <v>0</v>
          </cell>
          <cell r="AG168">
            <v>0</v>
          </cell>
          <cell r="AH168">
            <v>0</v>
          </cell>
          <cell r="AK168">
            <v>2513.090909090909</v>
          </cell>
        </row>
        <row r="169">
          <cell r="F169">
            <v>14.170833333333334</v>
          </cell>
          <cell r="G169">
            <v>11562.099999999999</v>
          </cell>
          <cell r="H169">
            <v>0</v>
          </cell>
          <cell r="P169">
            <v>689</v>
          </cell>
          <cell r="Q169">
            <v>0</v>
          </cell>
          <cell r="R169">
            <v>0</v>
          </cell>
          <cell r="S169">
            <v>1440</v>
          </cell>
          <cell r="T169">
            <v>0</v>
          </cell>
          <cell r="U169">
            <v>0</v>
          </cell>
          <cell r="V169">
            <v>1070</v>
          </cell>
          <cell r="W169">
            <v>0</v>
          </cell>
          <cell r="X169">
            <v>1767.15</v>
          </cell>
          <cell r="Y169">
            <v>17514.503030303029</v>
          </cell>
          <cell r="Z169">
            <v>0</v>
          </cell>
          <cell r="AA169">
            <v>1777</v>
          </cell>
          <cell r="AB169">
            <v>0</v>
          </cell>
          <cell r="AC169">
            <v>768.7</v>
          </cell>
          <cell r="AD169">
            <v>13622.695151515152</v>
          </cell>
          <cell r="AE169">
            <v>0</v>
          </cell>
          <cell r="AF169">
            <v>400</v>
          </cell>
          <cell r="AG169">
            <v>400</v>
          </cell>
          <cell r="AH169">
            <v>0</v>
          </cell>
          <cell r="AI169">
            <v>118.4</v>
          </cell>
          <cell r="AJ169">
            <v>0</v>
          </cell>
          <cell r="AK169">
            <v>14.170833333333334</v>
          </cell>
        </row>
        <row r="170">
          <cell r="F170">
            <v>459</v>
          </cell>
          <cell r="G170">
            <v>11562.099999999999</v>
          </cell>
          <cell r="H170">
            <v>0</v>
          </cell>
          <cell r="P170">
            <v>0</v>
          </cell>
          <cell r="Q170">
            <v>0</v>
          </cell>
          <cell r="R170">
            <v>0</v>
          </cell>
          <cell r="S170">
            <v>0</v>
          </cell>
          <cell r="T170">
            <v>0</v>
          </cell>
          <cell r="U170">
            <v>0</v>
          </cell>
          <cell r="V170">
            <v>0</v>
          </cell>
          <cell r="W170">
            <v>0</v>
          </cell>
          <cell r="X170">
            <v>270.36363636363637</v>
          </cell>
          <cell r="Y170">
            <v>17514.503030303029</v>
          </cell>
          <cell r="Z170">
            <v>0</v>
          </cell>
          <cell r="AA170">
            <v>0</v>
          </cell>
          <cell r="AB170">
            <v>0</v>
          </cell>
          <cell r="AC170">
            <v>179.90909090909091</v>
          </cell>
          <cell r="AD170">
            <v>13622.695151515152</v>
          </cell>
          <cell r="AE170">
            <v>0</v>
          </cell>
          <cell r="AF170">
            <v>297.72727272727275</v>
          </cell>
          <cell r="AG170">
            <v>298</v>
          </cell>
          <cell r="AH170">
            <v>0</v>
          </cell>
          <cell r="AI170">
            <v>118.4</v>
          </cell>
          <cell r="AJ170">
            <v>0</v>
          </cell>
          <cell r="AK170">
            <v>459</v>
          </cell>
        </row>
        <row r="171">
          <cell r="F171">
            <v>-459</v>
          </cell>
          <cell r="G171">
            <v>0</v>
          </cell>
          <cell r="H171">
            <v>0</v>
          </cell>
          <cell r="P171">
            <v>0</v>
          </cell>
          <cell r="R171">
            <v>0</v>
          </cell>
          <cell r="S171">
            <v>0</v>
          </cell>
          <cell r="T171">
            <v>0</v>
          </cell>
          <cell r="U171">
            <v>0</v>
          </cell>
          <cell r="V171">
            <v>0</v>
          </cell>
          <cell r="W171">
            <v>0</v>
          </cell>
          <cell r="X171">
            <v>620.43636363636358</v>
          </cell>
          <cell r="Y171">
            <v>0</v>
          </cell>
          <cell r="Z171">
            <v>0</v>
          </cell>
          <cell r="AA171">
            <v>0</v>
          </cell>
          <cell r="AB171">
            <v>0</v>
          </cell>
          <cell r="AC171">
            <v>1174.7909090909091</v>
          </cell>
          <cell r="AE171">
            <v>0</v>
          </cell>
          <cell r="AF171">
            <v>0</v>
          </cell>
          <cell r="AG171">
            <v>0</v>
          </cell>
          <cell r="AH171">
            <v>0</v>
          </cell>
          <cell r="AI171">
            <v>0</v>
          </cell>
          <cell r="AJ171">
            <v>0</v>
          </cell>
          <cell r="AK171">
            <v>0</v>
          </cell>
        </row>
        <row r="172">
          <cell r="F172">
            <v>0</v>
          </cell>
          <cell r="G172">
            <v>0</v>
          </cell>
          <cell r="H172">
            <v>0</v>
          </cell>
          <cell r="P172">
            <v>830</v>
          </cell>
          <cell r="Q172">
            <v>0</v>
          </cell>
          <cell r="R172">
            <v>0</v>
          </cell>
          <cell r="S172">
            <v>3176</v>
          </cell>
          <cell r="T172">
            <v>0</v>
          </cell>
          <cell r="U172">
            <v>0</v>
          </cell>
          <cell r="V172">
            <v>80</v>
          </cell>
          <cell r="W172">
            <v>14347.131818181819</v>
          </cell>
          <cell r="X172">
            <v>0</v>
          </cell>
          <cell r="Y172">
            <v>0</v>
          </cell>
          <cell r="Z172">
            <v>0</v>
          </cell>
          <cell r="AA172">
            <v>300</v>
          </cell>
          <cell r="AB172">
            <v>0</v>
          </cell>
          <cell r="AC172">
            <v>0</v>
          </cell>
          <cell r="AD172">
            <v>12866.875151515153</v>
          </cell>
          <cell r="AE172">
            <v>0</v>
          </cell>
          <cell r="AF172">
            <v>554</v>
          </cell>
          <cell r="AG172">
            <v>554</v>
          </cell>
          <cell r="AH172">
            <v>0</v>
          </cell>
          <cell r="AK172">
            <v>4982</v>
          </cell>
        </row>
        <row r="173">
          <cell r="F173">
            <v>0</v>
          </cell>
          <cell r="G173">
            <v>0</v>
          </cell>
          <cell r="H173">
            <v>0</v>
          </cell>
          <cell r="P173">
            <v>830</v>
          </cell>
          <cell r="Q173">
            <v>0</v>
          </cell>
          <cell r="R173">
            <v>0</v>
          </cell>
          <cell r="S173">
            <v>3176</v>
          </cell>
          <cell r="T173">
            <v>0</v>
          </cell>
          <cell r="U173">
            <v>0</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4982</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K174">
            <v>0</v>
          </cell>
        </row>
        <row r="175">
          <cell r="F175">
            <v>0</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J175">
            <v>0</v>
          </cell>
          <cell r="AK175">
            <v>0</v>
          </cell>
          <cell r="AO175">
            <v>391</v>
          </cell>
          <cell r="AP175">
            <v>558</v>
          </cell>
          <cell r="AQ175">
            <v>897.62000000000012</v>
          </cell>
          <cell r="AR175">
            <v>1862.3963636363642</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D176">
            <v>123</v>
          </cell>
          <cell r="AE176">
            <v>83.818181818181813</v>
          </cell>
          <cell r="AF176">
            <v>-904.4</v>
          </cell>
          <cell r="AG176">
            <v>0</v>
          </cell>
          <cell r="AH176">
            <v>-904.4</v>
          </cell>
          <cell r="AK176">
            <v>0</v>
          </cell>
        </row>
        <row r="177">
          <cell r="F177">
            <v>3400</v>
          </cell>
          <cell r="G177">
            <v>0</v>
          </cell>
          <cell r="H177">
            <v>0</v>
          </cell>
          <cell r="P177">
            <v>0</v>
          </cell>
          <cell r="Q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I177">
            <v>0</v>
          </cell>
          <cell r="AJ177">
            <v>0</v>
          </cell>
          <cell r="AK177">
            <v>3400</v>
          </cell>
          <cell r="AO177">
            <v>538</v>
          </cell>
          <cell r="AP177">
            <v>293</v>
          </cell>
          <cell r="AQ177">
            <v>76.587126137841352</v>
          </cell>
          <cell r="AR177">
            <v>30.079540528825305</v>
          </cell>
        </row>
        <row r="178">
          <cell r="F178">
            <v>426</v>
          </cell>
          <cell r="P178">
            <v>920.62</v>
          </cell>
          <cell r="Q178">
            <v>0</v>
          </cell>
          <cell r="R178">
            <v>0</v>
          </cell>
          <cell r="S178">
            <v>2085.52</v>
          </cell>
          <cell r="T178">
            <v>707.75479999999993</v>
          </cell>
          <cell r="U178">
            <v>735.76520000000005</v>
          </cell>
          <cell r="V178">
            <v>721.95</v>
          </cell>
          <cell r="W178">
            <v>0</v>
          </cell>
          <cell r="X178">
            <v>745.15</v>
          </cell>
          <cell r="Y178">
            <v>0</v>
          </cell>
          <cell r="Z178">
            <v>0</v>
          </cell>
          <cell r="AA178">
            <v>597.66</v>
          </cell>
          <cell r="AB178">
            <v>0</v>
          </cell>
          <cell r="AC178">
            <v>606.86</v>
          </cell>
          <cell r="AF178">
            <v>1861.06</v>
          </cell>
          <cell r="AG178">
            <v>1632.3</v>
          </cell>
          <cell r="AH178">
            <v>228.75999999999993</v>
          </cell>
          <cell r="AK178">
            <v>6874.05</v>
          </cell>
          <cell r="AO178">
            <v>396</v>
          </cell>
          <cell r="AP178">
            <v>467</v>
          </cell>
          <cell r="AQ178">
            <v>1039.6199999999999</v>
          </cell>
          <cell r="AR178">
            <v>2063.5209090909093</v>
          </cell>
        </row>
        <row r="179">
          <cell r="F179">
            <v>0</v>
          </cell>
          <cell r="G179">
            <v>0</v>
          </cell>
          <cell r="H179">
            <v>0</v>
          </cell>
          <cell r="P179">
            <v>168</v>
          </cell>
          <cell r="Q179">
            <v>0</v>
          </cell>
          <cell r="R179">
            <v>0</v>
          </cell>
          <cell r="S179">
            <v>640</v>
          </cell>
          <cell r="T179">
            <v>0</v>
          </cell>
          <cell r="U179">
            <v>0</v>
          </cell>
          <cell r="V179">
            <v>458.81818181818181</v>
          </cell>
          <cell r="W179">
            <v>373</v>
          </cell>
          <cell r="X179">
            <v>85.818181818181813</v>
          </cell>
          <cell r="Y179">
            <v>0</v>
          </cell>
          <cell r="Z179">
            <v>0</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25</v>
          </cell>
          <cell r="P180">
            <v>2</v>
          </cell>
          <cell r="Q180">
            <v>0</v>
          </cell>
          <cell r="R180">
            <v>0</v>
          </cell>
          <cell r="S180">
            <v>17</v>
          </cell>
          <cell r="T180">
            <v>10</v>
          </cell>
          <cell r="U180">
            <v>0</v>
          </cell>
          <cell r="V180">
            <v>781</v>
          </cell>
          <cell r="W180">
            <v>0</v>
          </cell>
          <cell r="X180">
            <v>449</v>
          </cell>
          <cell r="Y180">
            <v>0</v>
          </cell>
          <cell r="Z180">
            <v>0</v>
          </cell>
          <cell r="AA180">
            <v>13.333333333333334</v>
          </cell>
          <cell r="AB180">
            <v>0</v>
          </cell>
          <cell r="AC180">
            <v>274.33333333333331</v>
          </cell>
          <cell r="AF180">
            <v>15</v>
          </cell>
          <cell r="AG180">
            <v>15</v>
          </cell>
          <cell r="AH180">
            <v>0</v>
          </cell>
          <cell r="AK180">
            <v>-3357.1339393939384</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14450</v>
          </cell>
          <cell r="P183">
            <v>527.99999999999989</v>
          </cell>
          <cell r="Q183">
            <v>0</v>
          </cell>
          <cell r="R183">
            <v>0</v>
          </cell>
          <cell r="S183">
            <v>2345.0000000000005</v>
          </cell>
          <cell r="T183">
            <v>10</v>
          </cell>
          <cell r="U183">
            <v>0</v>
          </cell>
          <cell r="V183">
            <v>382.00000000000051</v>
          </cell>
          <cell r="W183">
            <v>0</v>
          </cell>
          <cell r="X183">
            <v>206.66666666666666</v>
          </cell>
          <cell r="AA183">
            <v>237.66666666666663</v>
          </cell>
          <cell r="AB183">
            <v>0</v>
          </cell>
          <cell r="AC183">
            <v>13.333333333333334</v>
          </cell>
          <cell r="AF183">
            <v>1556.9999999999998</v>
          </cell>
          <cell r="AG183">
            <v>937.00000000000023</v>
          </cell>
          <cell r="AH183">
            <v>620</v>
          </cell>
          <cell r="AK183">
            <v>-2005.1295454545448</v>
          </cell>
          <cell r="AO183">
            <v>160</v>
          </cell>
          <cell r="AP183">
            <v>1507.2</v>
          </cell>
          <cell r="AQ183">
            <v>85.94410774410774</v>
          </cell>
          <cell r="AR183">
            <v>87.055892255892232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O184" t="str">
            <v>ОЧИК.18.02.</v>
          </cell>
          <cell r="AP184" t="str">
            <v>СТАНЦІІ ТЕПЛОВІ</v>
          </cell>
          <cell r="AQ184" t="str">
            <v>МЕРЕЖІ ЕЛЕКТРО</v>
          </cell>
          <cell r="AR184" t="str">
            <v>МЕРЕЖІ ТЕПЛОВІ</v>
          </cell>
        </row>
        <row r="186">
          <cell r="F186">
            <v>12898</v>
          </cell>
          <cell r="P186">
            <v>461.99999999999989</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16.899999999999999</v>
          </cell>
          <cell r="X188">
            <v>74</v>
          </cell>
          <cell r="AC188">
            <v>62.9</v>
          </cell>
          <cell r="AK188">
            <v>153.80000000000001</v>
          </cell>
          <cell r="AO188">
            <v>252.49999999999997</v>
          </cell>
        </row>
        <row r="189">
          <cell r="P189">
            <v>0</v>
          </cell>
          <cell r="S189">
            <v>0</v>
          </cell>
          <cell r="X189">
            <v>0</v>
          </cell>
          <cell r="AC189">
            <v>0</v>
          </cell>
          <cell r="AO189">
            <v>66</v>
          </cell>
        </row>
        <row r="190">
          <cell r="F190" t="str">
            <v>АПАРАТ ВСЬОГО</v>
          </cell>
          <cell r="G190" t="str">
            <v>АПАРАТ ЕЛЕКТРО</v>
          </cell>
          <cell r="H190" t="str">
            <v>АПАРАТ ТЕПЛО</v>
          </cell>
          <cell r="P190" t="str">
            <v>ККМ</v>
          </cell>
          <cell r="S190">
            <v>11.3</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v>125</v>
          </cell>
          <cell r="AL190" t="str">
            <v>Е/Е</v>
          </cell>
          <cell r="AM190" t="str">
            <v xml:space="preserve"> Т/Е</v>
          </cell>
          <cell r="AO190">
            <v>221.49122807017542</v>
          </cell>
          <cell r="AP190" t="str">
            <v>СТАНЦІІ ТЕПЛОВІ</v>
          </cell>
          <cell r="AQ190" t="str">
            <v>МЕРЕЖІ ЕЛЕКТРО</v>
          </cell>
          <cell r="AR190" t="str">
            <v>МЕРЕЖІ ТЕПЛОВІ</v>
          </cell>
        </row>
        <row r="191">
          <cell r="S191">
            <v>12.9</v>
          </cell>
          <cell r="V191">
            <v>67.3</v>
          </cell>
          <cell r="X191">
            <v>73.5</v>
          </cell>
          <cell r="AA191">
            <v>63</v>
          </cell>
          <cell r="AC191">
            <v>61.7</v>
          </cell>
          <cell r="AK191">
            <v>143.20000000000002</v>
          </cell>
          <cell r="AO191">
            <v>252.49999999999997</v>
          </cell>
        </row>
        <row r="192">
          <cell r="P192">
            <v>0</v>
          </cell>
          <cell r="S192">
            <v>0</v>
          </cell>
          <cell r="V192">
            <v>0</v>
          </cell>
          <cell r="X192">
            <v>0</v>
          </cell>
          <cell r="AA192">
            <v>0</v>
          </cell>
          <cell r="AC192">
            <v>0</v>
          </cell>
          <cell r="AK192">
            <v>25873</v>
          </cell>
          <cell r="AO192">
            <v>66</v>
          </cell>
        </row>
        <row r="193">
          <cell r="P193">
            <v>0</v>
          </cell>
          <cell r="S193">
            <v>192.5</v>
          </cell>
          <cell r="V193">
            <v>192.5</v>
          </cell>
          <cell r="X193">
            <v>65.3</v>
          </cell>
          <cell r="AA193">
            <v>192.5</v>
          </cell>
          <cell r="AC193">
            <v>58</v>
          </cell>
          <cell r="AK193">
            <v>192.5</v>
          </cell>
          <cell r="AO193">
            <v>0</v>
          </cell>
        </row>
        <row r="194">
          <cell r="S194">
            <v>2175</v>
          </cell>
          <cell r="V194">
            <v>11300</v>
          </cell>
          <cell r="X194">
            <v>74.7</v>
          </cell>
          <cell r="AA194">
            <v>10588</v>
          </cell>
          <cell r="AC194">
            <v>66.5</v>
          </cell>
          <cell r="AK194">
            <v>24063</v>
          </cell>
          <cell r="AO194">
            <v>0</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0</v>
          </cell>
          <cell r="AO196">
            <v>0</v>
          </cell>
        </row>
        <row r="197">
          <cell r="S197">
            <v>1232</v>
          </cell>
          <cell r="V197">
            <v>0</v>
          </cell>
          <cell r="X197">
            <v>12570</v>
          </cell>
          <cell r="AA197">
            <v>0</v>
          </cell>
          <cell r="AC197">
            <v>11165</v>
          </cell>
          <cell r="AK197">
            <v>0</v>
          </cell>
          <cell r="AO197">
            <v>0</v>
          </cell>
        </row>
        <row r="198">
          <cell r="V198">
            <v>82.5</v>
          </cell>
          <cell r="X198">
            <v>82.5</v>
          </cell>
          <cell r="AA198">
            <v>82.5</v>
          </cell>
          <cell r="AC198">
            <v>82.5</v>
          </cell>
          <cell r="AK198">
            <v>24967</v>
          </cell>
        </row>
        <row r="199">
          <cell r="V199">
            <v>0</v>
          </cell>
          <cell r="X199">
            <v>0</v>
          </cell>
          <cell r="AA199">
            <v>0</v>
          </cell>
          <cell r="AC199">
            <v>0</v>
          </cell>
          <cell r="AK199">
            <v>0</v>
          </cell>
          <cell r="AO199">
            <v>75.839416058394164</v>
          </cell>
        </row>
        <row r="200">
          <cell r="S200">
            <v>0</v>
          </cell>
          <cell r="V200">
            <v>0</v>
          </cell>
          <cell r="X200">
            <v>0</v>
          </cell>
          <cell r="AA200">
            <v>0</v>
          </cell>
          <cell r="AC200">
            <v>0</v>
          </cell>
          <cell r="AK200">
            <v>0</v>
          </cell>
          <cell r="AO200">
            <v>103.9</v>
          </cell>
        </row>
        <row r="201">
          <cell r="F201">
            <v>75</v>
          </cell>
          <cell r="P201">
            <v>75</v>
          </cell>
          <cell r="X201">
            <v>82.5</v>
          </cell>
          <cell r="AC201">
            <v>82.5</v>
          </cell>
          <cell r="AJ201">
            <v>0</v>
          </cell>
          <cell r="AO201" t="e">
            <v>#DIV/0!</v>
          </cell>
          <cell r="AR201">
            <v>75</v>
          </cell>
        </row>
        <row r="202">
          <cell r="S202">
            <v>385</v>
          </cell>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K204">
            <v>0</v>
          </cell>
          <cell r="AO204" t="e">
            <v>#DIV/0!</v>
          </cell>
          <cell r="AR204">
            <v>75</v>
          </cell>
        </row>
        <row r="205">
          <cell r="S205">
            <v>385</v>
          </cell>
          <cell r="V205">
            <v>385</v>
          </cell>
          <cell r="X205">
            <v>0</v>
          </cell>
          <cell r="Y205">
            <v>48.4</v>
          </cell>
          <cell r="Z205">
            <v>25.6</v>
          </cell>
          <cell r="AA205">
            <v>385</v>
          </cell>
          <cell r="AC205">
            <v>0</v>
          </cell>
          <cell r="AD205">
            <v>37.299999999999997</v>
          </cell>
          <cell r="AE205">
            <v>25.6</v>
          </cell>
          <cell r="AK205">
            <v>385</v>
          </cell>
          <cell r="AL205">
            <v>85.699999999999989</v>
          </cell>
          <cell r="AM205">
            <v>68.099999999999994</v>
          </cell>
          <cell r="AO205">
            <v>195.28</v>
          </cell>
          <cell r="AP205">
            <v>74.900000000000006</v>
          </cell>
          <cell r="AQ205">
            <v>281.5</v>
          </cell>
        </row>
        <row r="206">
          <cell r="S206">
            <v>0</v>
          </cell>
          <cell r="V206">
            <v>0</v>
          </cell>
          <cell r="X206">
            <v>0</v>
          </cell>
          <cell r="Y206">
            <v>8146</v>
          </cell>
          <cell r="Z206">
            <v>4309</v>
          </cell>
          <cell r="AA206">
            <v>0</v>
          </cell>
          <cell r="AC206">
            <v>0</v>
          </cell>
          <cell r="AD206">
            <v>6279</v>
          </cell>
          <cell r="AE206">
            <v>4309</v>
          </cell>
          <cell r="AK206">
            <v>0</v>
          </cell>
          <cell r="AL206">
            <v>14425</v>
          </cell>
          <cell r="AM206">
            <v>11448</v>
          </cell>
          <cell r="AO206">
            <v>14810</v>
          </cell>
          <cell r="AP206">
            <v>3112.427048260382</v>
          </cell>
          <cell r="AQ206">
            <v>11697.572951739618</v>
          </cell>
        </row>
        <row r="207">
          <cell r="F207">
            <v>75</v>
          </cell>
          <cell r="P207">
            <v>75</v>
          </cell>
          <cell r="S207">
            <v>167.46</v>
          </cell>
          <cell r="X207">
            <v>168.31</v>
          </cell>
          <cell r="Y207">
            <v>168.31</v>
          </cell>
          <cell r="Z207">
            <v>168.32</v>
          </cell>
          <cell r="AC207">
            <v>168.33</v>
          </cell>
          <cell r="AD207">
            <v>168.34</v>
          </cell>
          <cell r="AE207">
            <v>168.32</v>
          </cell>
          <cell r="AI207" t="str">
            <v/>
          </cell>
          <cell r="AJ207" t="str">
            <v/>
          </cell>
          <cell r="AK207">
            <v>0</v>
          </cell>
          <cell r="AL207">
            <v>168.32</v>
          </cell>
          <cell r="AM207">
            <v>168.11</v>
          </cell>
          <cell r="AO207" t="e">
            <v>#DIV/0!</v>
          </cell>
          <cell r="AP207">
            <v>41.55</v>
          </cell>
          <cell r="AQ207">
            <v>41.55</v>
          </cell>
          <cell r="AR207">
            <v>75</v>
          </cell>
        </row>
        <row r="208">
          <cell r="S208">
            <v>12.9</v>
          </cell>
          <cell r="V208">
            <v>67.3</v>
          </cell>
          <cell r="W208">
            <v>54.6</v>
          </cell>
          <cell r="X208">
            <v>12.699999999999996</v>
          </cell>
          <cell r="Y208">
            <v>52.8</v>
          </cell>
          <cell r="Z208">
            <v>20.700000000000003</v>
          </cell>
          <cell r="AA208">
            <v>63</v>
          </cell>
          <cell r="AB208">
            <v>50</v>
          </cell>
          <cell r="AC208">
            <v>13</v>
          </cell>
          <cell r="AD208">
            <v>43.9</v>
          </cell>
          <cell r="AE208">
            <v>17.8</v>
          </cell>
          <cell r="AK208">
            <v>143.20000000000002</v>
          </cell>
          <cell r="AL208">
            <v>104.6</v>
          </cell>
          <cell r="AM208">
            <v>38.599999999999994</v>
          </cell>
          <cell r="AO208">
            <v>356.4</v>
          </cell>
          <cell r="AP208">
            <v>74.900000000000006</v>
          </cell>
          <cell r="AQ208">
            <v>281.5</v>
          </cell>
        </row>
        <row r="209">
          <cell r="S209">
            <v>2175</v>
          </cell>
          <cell r="V209">
            <v>11300</v>
          </cell>
          <cell r="W209">
            <v>9168</v>
          </cell>
          <cell r="X209">
            <v>2132</v>
          </cell>
          <cell r="Y209">
            <v>2132</v>
          </cell>
          <cell r="Z209">
            <v>3481</v>
          </cell>
          <cell r="AA209">
            <v>10588</v>
          </cell>
          <cell r="AB209">
            <v>8403</v>
          </cell>
          <cell r="AC209">
            <v>2185</v>
          </cell>
          <cell r="AD209">
            <v>7369</v>
          </cell>
          <cell r="AE209">
            <v>2988</v>
          </cell>
          <cell r="AK209">
            <v>24063</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168.04</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0</v>
          </cell>
          <cell r="AO211">
            <v>52</v>
          </cell>
          <cell r="AP211">
            <v>52</v>
          </cell>
          <cell r="AQ211">
            <v>281.5</v>
          </cell>
        </row>
        <row r="212">
          <cell r="S212">
            <v>1232</v>
          </cell>
          <cell r="V212">
            <v>11300</v>
          </cell>
          <cell r="X212">
            <v>12570</v>
          </cell>
          <cell r="Y212">
            <v>9289</v>
          </cell>
          <cell r="Z212">
            <v>3281</v>
          </cell>
          <cell r="AA212">
            <v>10588</v>
          </cell>
          <cell r="AC212">
            <v>11165</v>
          </cell>
          <cell r="AD212">
            <v>6867</v>
          </cell>
          <cell r="AE212">
            <v>4298</v>
          </cell>
          <cell r="AK212">
            <v>24063</v>
          </cell>
          <cell r="AL212">
            <v>17571</v>
          </cell>
          <cell r="AM212">
            <v>6492</v>
          </cell>
          <cell r="AO212">
            <v>14862</v>
          </cell>
          <cell r="AP212">
            <v>3164.427048260382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cell r="AP223">
            <v>1507.2</v>
          </cell>
        </row>
        <row r="226">
          <cell r="AP226">
            <v>1507.2</v>
          </cell>
        </row>
        <row r="227">
          <cell r="AP227">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2">
          <cell r="AG242" t="str">
            <v xml:space="preserve"> Голова правління </v>
          </cell>
        </row>
        <row r="243">
          <cell r="AG243" t="str">
            <v xml:space="preserve">                        І.В.Плачков</v>
          </cell>
        </row>
        <row r="244">
          <cell r="AG244" t="str">
            <v xml:space="preserve">   "_____" ________2000 р.</v>
          </cell>
        </row>
        <row r="245">
          <cell r="F245" t="str">
            <v>РОЗРАХУНОК ФІНАНСОВИХ ПОТОКІВ НА   березень  2000 року</v>
          </cell>
          <cell r="AG245" t="str">
            <v xml:space="preserve">   "_____" ________2000 р.</v>
          </cell>
        </row>
        <row r="246">
          <cell r="F246" t="str">
            <v>ПО ФІЛІАЛАХ АК КИЇВЕНЕРГО</v>
          </cell>
        </row>
        <row r="248">
          <cell r="F248" t="str">
            <v>РОЗРАХУНОК ФІНАНСОВИХ ПОТОКІВ НА   березень  2000 року</v>
          </cell>
        </row>
        <row r="249">
          <cell r="F249" t="str">
            <v>ПО ФІЛІАЛАХ АК КИЇВЕНЕРГО</v>
          </cell>
        </row>
        <row r="250">
          <cell r="F250" t="str">
            <v>ПО ФІЛІАЛАХ АК КИЇВЕНЕРГО</v>
          </cell>
        </row>
        <row r="251">
          <cell r="AK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t="str">
            <v>ТЕЦ-5 ВСЬОГО</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v>3080.62</v>
          </cell>
          <cell r="S253">
            <v>8423.52</v>
          </cell>
          <cell r="V253">
            <v>2576.1318181818187</v>
          </cell>
          <cell r="X253">
            <v>3133.4075757575761</v>
          </cell>
          <cell r="AA253">
            <v>2709.5690909090908</v>
          </cell>
          <cell r="AC253">
            <v>2333.3751515151525</v>
          </cell>
          <cell r="AF253">
            <v>4466.8781818181815</v>
          </cell>
          <cell r="AG253">
            <v>3618.3</v>
          </cell>
          <cell r="AH253">
            <v>848.57818181818175</v>
          </cell>
          <cell r="AK253">
            <v>26332.719090909093</v>
          </cell>
        </row>
        <row r="254">
          <cell r="AK254" t="str">
            <v>тис.грн.</v>
          </cell>
        </row>
        <row r="255">
          <cell r="F255">
            <v>14482.471428571429</v>
          </cell>
          <cell r="G255">
            <v>2317.6703910614524</v>
          </cell>
          <cell r="H255">
            <v>2155.3296089385476</v>
          </cell>
          <cell r="P255">
            <v>3080.62</v>
          </cell>
          <cell r="Q255">
            <v>0</v>
          </cell>
          <cell r="R255">
            <v>0</v>
          </cell>
          <cell r="S255">
            <v>8423.52</v>
          </cell>
          <cell r="T255">
            <v>2620.8347999999996</v>
          </cell>
          <cell r="U255">
            <v>2617.6851999999999</v>
          </cell>
          <cell r="V255">
            <v>2576.1318181818187</v>
          </cell>
          <cell r="W255">
            <v>2024</v>
          </cell>
          <cell r="X255">
            <v>472.13181818181829</v>
          </cell>
          <cell r="Y255">
            <v>0</v>
          </cell>
          <cell r="Z255">
            <v>0</v>
          </cell>
          <cell r="AA255">
            <v>2709.5690909090908</v>
          </cell>
          <cell r="AB255">
            <v>1898</v>
          </cell>
          <cell r="AC255">
            <v>511.56909090909085</v>
          </cell>
          <cell r="AD255">
            <v>1496</v>
          </cell>
          <cell r="AE255">
            <v>607.87515151515208</v>
          </cell>
          <cell r="AF255">
            <v>4466.8781818181815</v>
          </cell>
          <cell r="AG255">
            <v>3618.3</v>
          </cell>
          <cell r="AH255">
            <v>848.57818181818175</v>
          </cell>
          <cell r="AI255" t="str">
            <v>ТИС.ГРН.</v>
          </cell>
          <cell r="AK255">
            <v>64105.612337662344</v>
          </cell>
          <cell r="AL255" t="str">
            <v>АК КЕ ВСЬОГО</v>
          </cell>
          <cell r="AM255">
            <v>40995.25</v>
          </cell>
          <cell r="AO255" t="str">
            <v>СТАНЦІї ЕЛЕКТРО</v>
          </cell>
          <cell r="AP255" t="str">
            <v>СТАНЦІІ ТЕПЛОВІ</v>
          </cell>
          <cell r="AQ255" t="str">
            <v>МЕРЕЖІ ЕЛЕКТРО</v>
          </cell>
          <cell r="AR255" t="str">
            <v>МЕРЕЖІ ТЕПЛОВІ</v>
          </cell>
        </row>
        <row r="256">
          <cell r="F256">
            <v>8174.138095238095</v>
          </cell>
          <cell r="G256">
            <v>2114.6703910614524</v>
          </cell>
          <cell r="H256">
            <v>1932.3296089385476</v>
          </cell>
          <cell r="P256">
            <v>605</v>
          </cell>
          <cell r="Q256" t="str">
            <v>ТМ</v>
          </cell>
          <cell r="S256">
            <v>4046</v>
          </cell>
          <cell r="T256">
            <v>1750.1999999999996</v>
          </cell>
          <cell r="U256">
            <v>1026.8</v>
          </cell>
          <cell r="V256">
            <v>1033.0000000000005</v>
          </cell>
          <cell r="W256">
            <v>1364</v>
          </cell>
          <cell r="X256">
            <v>318.00000000000011</v>
          </cell>
          <cell r="Y256">
            <v>1589</v>
          </cell>
          <cell r="Z256">
            <v>624.33333333333371</v>
          </cell>
          <cell r="AA256">
            <v>624</v>
          </cell>
          <cell r="AB256">
            <v>1140</v>
          </cell>
          <cell r="AC256">
            <v>314.99999999999994</v>
          </cell>
          <cell r="AD256">
            <v>923</v>
          </cell>
          <cell r="AE256">
            <v>374.83333333333388</v>
          </cell>
          <cell r="AF256">
            <v>987.99999999999977</v>
          </cell>
          <cell r="AG256">
            <v>823.00000000000023</v>
          </cell>
          <cell r="AH256">
            <v>158</v>
          </cell>
          <cell r="AI256" t="str">
            <v xml:space="preserve">ДОП.ВИР. </v>
          </cell>
          <cell r="AJ256" t="str">
            <v>ДОП.ВИР. СТ.ОРГ.</v>
          </cell>
          <cell r="AK256">
            <v>47832.559913419922</v>
          </cell>
          <cell r="AL256" t="str">
            <v>АК КЕ ВСЬОГО</v>
          </cell>
          <cell r="AM256">
            <v>14890.138095238095</v>
          </cell>
          <cell r="AO256" t="str">
            <v>СТАНЦІї ЕЛЕКТРО</v>
          </cell>
          <cell r="AP256" t="str">
            <v>СТАНЦІІ ТЕПЛОВІ</v>
          </cell>
          <cell r="AQ256" t="str">
            <v>МЕРЕЖІ ЕЛЕКТРО</v>
          </cell>
          <cell r="AR256" t="str">
            <v>МЕРЕЖІ ТЕПЛОВІ</v>
          </cell>
        </row>
        <row r="257">
          <cell r="F257">
            <v>42326.804761904765</v>
          </cell>
          <cell r="P257">
            <v>0</v>
          </cell>
          <cell r="Q257">
            <v>0</v>
          </cell>
          <cell r="R257">
            <v>0</v>
          </cell>
          <cell r="S257">
            <v>0</v>
          </cell>
          <cell r="T257">
            <v>0</v>
          </cell>
          <cell r="U257">
            <v>0</v>
          </cell>
          <cell r="V257">
            <v>0</v>
          </cell>
          <cell r="W257">
            <v>0</v>
          </cell>
          <cell r="X257">
            <v>0</v>
          </cell>
          <cell r="Y257">
            <v>0</v>
          </cell>
          <cell r="Z257">
            <v>0</v>
          </cell>
          <cell r="AA257">
            <v>18</v>
          </cell>
          <cell r="AB257">
            <v>0</v>
          </cell>
          <cell r="AC257">
            <v>0</v>
          </cell>
          <cell r="AD257">
            <v>0</v>
          </cell>
          <cell r="AE257">
            <v>0</v>
          </cell>
          <cell r="AF257">
            <v>0</v>
          </cell>
          <cell r="AG257">
            <v>0</v>
          </cell>
          <cell r="AH257">
            <v>0</v>
          </cell>
          <cell r="AJ257">
            <v>7599</v>
          </cell>
          <cell r="AK257">
            <v>42344.804761904765</v>
          </cell>
        </row>
        <row r="258">
          <cell r="F258">
            <v>24063</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24063</v>
          </cell>
          <cell r="AM258">
            <v>45205.25</v>
          </cell>
        </row>
        <row r="259">
          <cell r="F259">
            <v>6512</v>
          </cell>
          <cell r="G259">
            <v>2277.3582491582492</v>
          </cell>
          <cell r="H259">
            <v>2559.6417508417508</v>
          </cell>
          <cell r="P259">
            <v>1403</v>
          </cell>
          <cell r="Q259">
            <v>0</v>
          </cell>
          <cell r="R259">
            <v>0</v>
          </cell>
          <cell r="S259">
            <v>323.66666666666629</v>
          </cell>
          <cell r="T259">
            <v>1413.9233333333332</v>
          </cell>
          <cell r="U259">
            <v>1087.1433333333339</v>
          </cell>
          <cell r="V259">
            <v>0</v>
          </cell>
          <cell r="W259">
            <v>0</v>
          </cell>
          <cell r="X259">
            <v>474.66666666666572</v>
          </cell>
          <cell r="Y259">
            <v>691</v>
          </cell>
          <cell r="Z259">
            <v>244.46666666666613</v>
          </cell>
          <cell r="AA259">
            <v>0</v>
          </cell>
          <cell r="AB259">
            <v>0</v>
          </cell>
          <cell r="AC259">
            <v>-208.00000000000045</v>
          </cell>
          <cell r="AD259">
            <v>1377</v>
          </cell>
          <cell r="AE259">
            <v>944.69515151515134</v>
          </cell>
          <cell r="AF259">
            <v>428.71666666666636</v>
          </cell>
          <cell r="AG259">
            <v>373.04999999999984</v>
          </cell>
          <cell r="AH259">
            <v>136.66666666666663</v>
          </cell>
          <cell r="AI259">
            <v>847.2</v>
          </cell>
          <cell r="AJ259">
            <v>0</v>
          </cell>
          <cell r="AK259">
            <v>6512</v>
          </cell>
          <cell r="AM259">
            <v>9679.4428571428543</v>
          </cell>
        </row>
        <row r="260">
          <cell r="F260">
            <v>7379.804761904762</v>
          </cell>
          <cell r="G260">
            <v>1560.3537061118332</v>
          </cell>
          <cell r="H260">
            <v>1880.6462938881664</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v>229.20000000000005</v>
          </cell>
          <cell r="AJ260">
            <v>-2455</v>
          </cell>
          <cell r="AK260">
            <v>7379.804761904762</v>
          </cell>
          <cell r="AM260">
            <v>14653.6</v>
          </cell>
        </row>
        <row r="261">
          <cell r="F261">
            <v>921.33333333333337</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921.33333333333337</v>
          </cell>
        </row>
        <row r="262">
          <cell r="F262">
            <v>0</v>
          </cell>
          <cell r="AK262">
            <v>0</v>
          </cell>
        </row>
        <row r="263">
          <cell r="F263">
            <v>2514.4714285714285</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2514.4714285714285</v>
          </cell>
        </row>
        <row r="264">
          <cell r="F264">
            <v>3500</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3500</v>
          </cell>
        </row>
        <row r="265">
          <cell r="F265">
            <v>0</v>
          </cell>
          <cell r="AK265">
            <v>0</v>
          </cell>
        </row>
        <row r="266">
          <cell r="F266">
            <v>444</v>
          </cell>
          <cell r="P266">
            <v>0</v>
          </cell>
          <cell r="S266">
            <v>0</v>
          </cell>
          <cell r="V266">
            <v>0</v>
          </cell>
          <cell r="X266">
            <v>0</v>
          </cell>
          <cell r="AA266">
            <v>0</v>
          </cell>
          <cell r="AC266">
            <v>0</v>
          </cell>
          <cell r="AF266">
            <v>0</v>
          </cell>
          <cell r="AG266">
            <v>0</v>
          </cell>
          <cell r="AH266">
            <v>0</v>
          </cell>
          <cell r="AK266">
            <v>444</v>
          </cell>
        </row>
        <row r="267">
          <cell r="F267">
            <v>3995</v>
          </cell>
          <cell r="AK267">
            <v>3995</v>
          </cell>
        </row>
        <row r="268">
          <cell r="F268">
            <v>377</v>
          </cell>
          <cell r="P268">
            <v>0</v>
          </cell>
          <cell r="S268">
            <v>0</v>
          </cell>
          <cell r="V268">
            <v>0</v>
          </cell>
          <cell r="X268">
            <v>0</v>
          </cell>
          <cell r="AA268">
            <v>18</v>
          </cell>
          <cell r="AC268">
            <v>0</v>
          </cell>
          <cell r="AF268">
            <v>0</v>
          </cell>
          <cell r="AG268">
            <v>0</v>
          </cell>
          <cell r="AH268">
            <v>0</v>
          </cell>
          <cell r="AK268">
            <v>395</v>
          </cell>
        </row>
        <row r="269">
          <cell r="F269">
            <v>45978.804761904765</v>
          </cell>
          <cell r="P269">
            <v>3080.62</v>
          </cell>
          <cell r="Q269">
            <v>0</v>
          </cell>
          <cell r="R269">
            <v>0</v>
          </cell>
          <cell r="S269">
            <v>8423.52</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4466.8781818181815</v>
          </cell>
          <cell r="AG269">
            <v>3618.3</v>
          </cell>
          <cell r="AH269">
            <v>848.57818181818175</v>
          </cell>
          <cell r="AK269">
            <v>68677.523852813873</v>
          </cell>
        </row>
        <row r="270">
          <cell r="F270">
            <v>1392</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I270">
            <v>0</v>
          </cell>
          <cell r="AK270">
            <v>14200.143333333333</v>
          </cell>
        </row>
        <row r="271">
          <cell r="F271">
            <v>426</v>
          </cell>
          <cell r="G271">
            <v>203</v>
          </cell>
          <cell r="H271">
            <v>223</v>
          </cell>
          <cell r="P271">
            <v>998.62</v>
          </cell>
          <cell r="S271">
            <v>2085.52</v>
          </cell>
          <cell r="T271">
            <v>707.75479999999993</v>
          </cell>
          <cell r="U271">
            <v>735.76520000000005</v>
          </cell>
          <cell r="V271">
            <v>721.95</v>
          </cell>
          <cell r="W271">
            <v>213</v>
          </cell>
          <cell r="X271">
            <v>50.131818181818176</v>
          </cell>
          <cell r="Y271">
            <v>295</v>
          </cell>
          <cell r="Z271">
            <v>116.2409090909091</v>
          </cell>
          <cell r="AA271">
            <v>597.66</v>
          </cell>
          <cell r="AB271">
            <v>303</v>
          </cell>
          <cell r="AC271">
            <v>78.569090909090903</v>
          </cell>
          <cell r="AD271">
            <v>284</v>
          </cell>
          <cell r="AE271">
            <v>116.0418181818182</v>
          </cell>
          <cell r="AF271">
            <v>1861.06</v>
          </cell>
          <cell r="AG271">
            <v>1632.3</v>
          </cell>
          <cell r="AH271">
            <v>228.75999999999993</v>
          </cell>
          <cell r="AK271">
            <v>7180.8099999999995</v>
          </cell>
        </row>
        <row r="272">
          <cell r="F272">
            <v>0</v>
          </cell>
          <cell r="P272">
            <v>0</v>
          </cell>
          <cell r="Q272">
            <v>0</v>
          </cell>
          <cell r="R272">
            <v>0</v>
          </cell>
          <cell r="S272">
            <v>10</v>
          </cell>
          <cell r="T272">
            <v>10</v>
          </cell>
          <cell r="U272">
            <v>0</v>
          </cell>
          <cell r="V272">
            <v>910</v>
          </cell>
          <cell r="W272">
            <v>738</v>
          </cell>
          <cell r="X272">
            <v>172</v>
          </cell>
          <cell r="Y272">
            <v>0</v>
          </cell>
          <cell r="Z272">
            <v>0</v>
          </cell>
          <cell r="AA272">
            <v>-0.66666666666666607</v>
          </cell>
          <cell r="AB272">
            <v>11</v>
          </cell>
          <cell r="AC272">
            <v>2.3333333333333339</v>
          </cell>
          <cell r="AD272">
            <v>9</v>
          </cell>
          <cell r="AE272">
            <v>4.3333333333333339</v>
          </cell>
          <cell r="AF272">
            <v>2</v>
          </cell>
          <cell r="AG272">
            <v>2</v>
          </cell>
          <cell r="AH272">
            <v>0</v>
          </cell>
          <cell r="AI272">
            <v>0</v>
          </cell>
          <cell r="AK272">
            <v>921.33333333333337</v>
          </cell>
        </row>
        <row r="273">
          <cell r="F273">
            <v>960</v>
          </cell>
          <cell r="P273">
            <v>952</v>
          </cell>
          <cell r="Q273">
            <v>0</v>
          </cell>
          <cell r="R273">
            <v>0</v>
          </cell>
          <cell r="S273">
            <v>1276</v>
          </cell>
          <cell r="T273">
            <v>0</v>
          </cell>
          <cell r="U273">
            <v>0</v>
          </cell>
          <cell r="V273">
            <v>342</v>
          </cell>
          <cell r="W273">
            <v>0</v>
          </cell>
          <cell r="X273">
            <v>0</v>
          </cell>
          <cell r="Y273">
            <v>0</v>
          </cell>
          <cell r="Z273">
            <v>0</v>
          </cell>
          <cell r="AA273">
            <v>327</v>
          </cell>
          <cell r="AB273">
            <v>0</v>
          </cell>
          <cell r="AC273">
            <v>0</v>
          </cell>
          <cell r="AD273">
            <v>0</v>
          </cell>
          <cell r="AE273">
            <v>0</v>
          </cell>
          <cell r="AF273">
            <v>568</v>
          </cell>
          <cell r="AG273">
            <v>530</v>
          </cell>
          <cell r="AH273">
            <v>45</v>
          </cell>
          <cell r="AI273">
            <v>0</v>
          </cell>
          <cell r="AK273">
            <v>4588</v>
          </cell>
        </row>
        <row r="274">
          <cell r="F274">
            <v>138</v>
          </cell>
          <cell r="G274">
            <v>296</v>
          </cell>
          <cell r="H274">
            <v>388.2</v>
          </cell>
          <cell r="P274">
            <v>300</v>
          </cell>
          <cell r="Q274">
            <v>0</v>
          </cell>
          <cell r="R274">
            <v>0</v>
          </cell>
          <cell r="S274">
            <v>636</v>
          </cell>
          <cell r="T274">
            <v>644.3785272727273</v>
          </cell>
          <cell r="U274">
            <v>670.49601818181827</v>
          </cell>
          <cell r="V274">
            <v>132</v>
          </cell>
          <cell r="W274">
            <v>0</v>
          </cell>
          <cell r="X274">
            <v>640.75</v>
          </cell>
          <cell r="Y274">
            <v>274</v>
          </cell>
          <cell r="Z274">
            <v>96.386363636363626</v>
          </cell>
          <cell r="AA274">
            <v>100</v>
          </cell>
          <cell r="AB274">
            <v>9</v>
          </cell>
          <cell r="AC274">
            <v>534.76</v>
          </cell>
          <cell r="AD274">
            <v>234</v>
          </cell>
          <cell r="AE274">
            <v>160.69515151515154</v>
          </cell>
          <cell r="AF274">
            <v>343</v>
          </cell>
          <cell r="AG274">
            <v>300</v>
          </cell>
          <cell r="AH274">
            <v>43</v>
          </cell>
          <cell r="AI274">
            <v>618</v>
          </cell>
          <cell r="AK274">
            <v>1703</v>
          </cell>
        </row>
        <row r="275">
          <cell r="F275">
            <v>762</v>
          </cell>
          <cell r="G275">
            <v>197</v>
          </cell>
          <cell r="H275">
            <v>307.10000000000002</v>
          </cell>
          <cell r="P275">
            <v>7</v>
          </cell>
          <cell r="Q275">
            <v>0</v>
          </cell>
          <cell r="R275">
            <v>0</v>
          </cell>
          <cell r="S275">
            <v>65</v>
          </cell>
          <cell r="T275">
            <v>10</v>
          </cell>
          <cell r="U275">
            <v>0</v>
          </cell>
          <cell r="V275">
            <v>44</v>
          </cell>
          <cell r="W275">
            <v>0</v>
          </cell>
          <cell r="X275">
            <v>336</v>
          </cell>
          <cell r="Y275">
            <v>248</v>
          </cell>
          <cell r="Z275">
            <v>88</v>
          </cell>
          <cell r="AA275">
            <v>47</v>
          </cell>
          <cell r="AB275">
            <v>0</v>
          </cell>
          <cell r="AC275">
            <v>-0.66666666666666607</v>
          </cell>
          <cell r="AD275">
            <v>226</v>
          </cell>
          <cell r="AE275">
            <v>155.36181818181819</v>
          </cell>
          <cell r="AF275">
            <v>25</v>
          </cell>
          <cell r="AG275">
            <v>30</v>
          </cell>
          <cell r="AH275">
            <v>2</v>
          </cell>
          <cell r="AI275">
            <v>377</v>
          </cell>
          <cell r="AK275">
            <v>1059</v>
          </cell>
        </row>
        <row r="276">
          <cell r="F276">
            <v>60</v>
          </cell>
          <cell r="P276">
            <v>500</v>
          </cell>
          <cell r="Q276">
            <v>0</v>
          </cell>
          <cell r="R276">
            <v>0</v>
          </cell>
          <cell r="S276">
            <v>430</v>
          </cell>
          <cell r="T276">
            <v>0</v>
          </cell>
          <cell r="U276">
            <v>0</v>
          </cell>
          <cell r="V276">
            <v>100</v>
          </cell>
          <cell r="W276">
            <v>0</v>
          </cell>
          <cell r="X276">
            <v>338</v>
          </cell>
          <cell r="Y276">
            <v>0</v>
          </cell>
          <cell r="Z276">
            <v>0</v>
          </cell>
          <cell r="AA276">
            <v>130</v>
          </cell>
          <cell r="AB276">
            <v>0</v>
          </cell>
          <cell r="AC276">
            <v>352</v>
          </cell>
          <cell r="AD276">
            <v>8</v>
          </cell>
          <cell r="AE276">
            <v>5.3333333333333339</v>
          </cell>
          <cell r="AF276">
            <v>150</v>
          </cell>
          <cell r="AG276">
            <v>150</v>
          </cell>
          <cell r="AH276">
            <v>-369</v>
          </cell>
          <cell r="AI276">
            <v>0</v>
          </cell>
          <cell r="AK276">
            <v>1370</v>
          </cell>
        </row>
        <row r="277">
          <cell r="F277">
            <v>0</v>
          </cell>
          <cell r="P277">
            <v>145</v>
          </cell>
          <cell r="Q277">
            <v>0</v>
          </cell>
          <cell r="R277">
            <v>0</v>
          </cell>
          <cell r="S277">
            <v>145</v>
          </cell>
          <cell r="T277">
            <v>0</v>
          </cell>
          <cell r="U277">
            <v>0</v>
          </cell>
          <cell r="V277">
            <v>66</v>
          </cell>
          <cell r="W277">
            <v>0</v>
          </cell>
          <cell r="X277">
            <v>115</v>
          </cell>
          <cell r="Y277">
            <v>0</v>
          </cell>
          <cell r="Z277">
            <v>0</v>
          </cell>
          <cell r="AA277">
            <v>50</v>
          </cell>
          <cell r="AB277">
            <v>9</v>
          </cell>
          <cell r="AC277">
            <v>110</v>
          </cell>
          <cell r="AD277">
            <v>0</v>
          </cell>
          <cell r="AE277">
            <v>0</v>
          </cell>
          <cell r="AF277">
            <v>50</v>
          </cell>
          <cell r="AG277">
            <v>50</v>
          </cell>
          <cell r="AH277">
            <v>0</v>
          </cell>
          <cell r="AI277">
            <v>0</v>
          </cell>
          <cell r="AK277">
            <v>456</v>
          </cell>
        </row>
        <row r="278">
          <cell r="F278">
            <v>6</v>
          </cell>
          <cell r="P278">
            <v>15</v>
          </cell>
          <cell r="Q278">
            <v>0</v>
          </cell>
          <cell r="R278">
            <v>0</v>
          </cell>
          <cell r="S278">
            <v>506</v>
          </cell>
          <cell r="T278">
            <v>0</v>
          </cell>
          <cell r="U278">
            <v>0</v>
          </cell>
          <cell r="V278">
            <v>0</v>
          </cell>
          <cell r="W278">
            <v>0</v>
          </cell>
          <cell r="X278">
            <v>0</v>
          </cell>
          <cell r="Y278">
            <v>0</v>
          </cell>
          <cell r="Z278">
            <v>0</v>
          </cell>
          <cell r="AA278">
            <v>-300</v>
          </cell>
          <cell r="AB278">
            <v>0</v>
          </cell>
          <cell r="AC278">
            <v>0</v>
          </cell>
          <cell r="AD278">
            <v>0</v>
          </cell>
          <cell r="AE278">
            <v>0</v>
          </cell>
          <cell r="AF278">
            <v>670</v>
          </cell>
          <cell r="AG278">
            <v>253</v>
          </cell>
          <cell r="AH278">
            <v>417</v>
          </cell>
          <cell r="AI278">
            <v>0</v>
          </cell>
          <cell r="AK278">
            <v>1260</v>
          </cell>
        </row>
        <row r="279">
          <cell r="F279">
            <v>0</v>
          </cell>
          <cell r="P279">
            <v>0</v>
          </cell>
          <cell r="S279">
            <v>0</v>
          </cell>
          <cell r="V279">
            <v>0</v>
          </cell>
          <cell r="X279">
            <v>100</v>
          </cell>
          <cell r="AA279">
            <v>-300</v>
          </cell>
          <cell r="AC279">
            <v>130</v>
          </cell>
          <cell r="AF279">
            <v>0</v>
          </cell>
          <cell r="AG279">
            <v>0</v>
          </cell>
          <cell r="AH279">
            <v>0</v>
          </cell>
          <cell r="AI279">
            <v>0</v>
          </cell>
          <cell r="AK279">
            <v>-300</v>
          </cell>
        </row>
        <row r="280">
          <cell r="F280">
            <v>6</v>
          </cell>
          <cell r="P280">
            <v>15</v>
          </cell>
          <cell r="S280">
            <v>506</v>
          </cell>
          <cell r="V280">
            <v>0</v>
          </cell>
          <cell r="X280">
            <v>66</v>
          </cell>
          <cell r="AA280">
            <v>0</v>
          </cell>
          <cell r="AC280">
            <v>50</v>
          </cell>
          <cell r="AF280">
            <v>670</v>
          </cell>
          <cell r="AG280">
            <v>253</v>
          </cell>
          <cell r="AH280">
            <v>417</v>
          </cell>
          <cell r="AK280">
            <v>1197</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D281">
            <v>0</v>
          </cell>
          <cell r="AE281">
            <v>0</v>
          </cell>
          <cell r="AF281">
            <v>670</v>
          </cell>
          <cell r="AG281">
            <v>253</v>
          </cell>
          <cell r="AH281">
            <v>417</v>
          </cell>
          <cell r="AI281">
            <v>0</v>
          </cell>
          <cell r="AJ281">
            <v>0</v>
          </cell>
          <cell r="AK281">
            <v>363</v>
          </cell>
        </row>
        <row r="282">
          <cell r="F282">
            <v>0</v>
          </cell>
          <cell r="P282">
            <v>0</v>
          </cell>
          <cell r="Q282">
            <v>0</v>
          </cell>
          <cell r="R282">
            <v>0</v>
          </cell>
          <cell r="S282">
            <v>250</v>
          </cell>
          <cell r="T282">
            <v>0</v>
          </cell>
          <cell r="U282">
            <v>0</v>
          </cell>
          <cell r="V282">
            <v>0</v>
          </cell>
          <cell r="W282">
            <v>0</v>
          </cell>
          <cell r="X282">
            <v>0</v>
          </cell>
          <cell r="Y282">
            <v>0</v>
          </cell>
          <cell r="Z282">
            <v>0</v>
          </cell>
          <cell r="AA282">
            <v>0</v>
          </cell>
          <cell r="AB282">
            <v>0</v>
          </cell>
          <cell r="AC282">
            <v>0</v>
          </cell>
          <cell r="AD282">
            <v>0</v>
          </cell>
          <cell r="AE282">
            <v>0</v>
          </cell>
          <cell r="AF282">
            <v>0</v>
          </cell>
          <cell r="AG282">
            <v>0</v>
          </cell>
          <cell r="AH282">
            <v>0</v>
          </cell>
          <cell r="AI282">
            <v>241</v>
          </cell>
          <cell r="AK282">
            <v>250</v>
          </cell>
        </row>
        <row r="283">
          <cell r="F283">
            <v>44586.804761904765</v>
          </cell>
          <cell r="P283">
            <v>1115</v>
          </cell>
          <cell r="Q283">
            <v>0</v>
          </cell>
          <cell r="R283">
            <v>0</v>
          </cell>
          <cell r="S283">
            <v>4296</v>
          </cell>
          <cell r="T283">
            <v>-717.75479999999993</v>
          </cell>
          <cell r="U283">
            <v>-735.76520000000005</v>
          </cell>
          <cell r="V283">
            <v>602.1818181818187</v>
          </cell>
          <cell r="W283">
            <v>-951</v>
          </cell>
          <cell r="X283">
            <v>-222.13181818181818</v>
          </cell>
          <cell r="Y283">
            <v>0</v>
          </cell>
          <cell r="Z283">
            <v>0</v>
          </cell>
          <cell r="AA283">
            <v>2103.5757575757575</v>
          </cell>
          <cell r="AB283">
            <v>-314</v>
          </cell>
          <cell r="AC283">
            <v>-80.902424242424232</v>
          </cell>
          <cell r="AD283">
            <v>-293</v>
          </cell>
          <cell r="AE283">
            <v>-120.37515151515153</v>
          </cell>
          <cell r="AF283">
            <v>1365.8181818181815</v>
          </cell>
          <cell r="AG283">
            <v>1201</v>
          </cell>
          <cell r="AH283">
            <v>157.81818181818176</v>
          </cell>
          <cell r="AI283">
            <v>0</v>
          </cell>
          <cell r="AK283">
            <v>54477.380519480525</v>
          </cell>
        </row>
        <row r="284">
          <cell r="F284">
            <v>8</v>
          </cell>
          <cell r="P284">
            <v>21.666666666666668</v>
          </cell>
          <cell r="S284">
            <v>865.66666666666663</v>
          </cell>
          <cell r="X284">
            <v>0</v>
          </cell>
          <cell r="AC284">
            <v>0</v>
          </cell>
          <cell r="AF284">
            <v>539.33333333333337</v>
          </cell>
          <cell r="AG284">
            <v>241</v>
          </cell>
          <cell r="AH284">
            <v>298.33333333333337</v>
          </cell>
          <cell r="AI284">
            <v>241</v>
          </cell>
          <cell r="AK284">
            <v>0</v>
          </cell>
        </row>
        <row r="285">
          <cell r="F285">
            <v>2408</v>
          </cell>
          <cell r="P285">
            <v>1193</v>
          </cell>
          <cell r="Q285">
            <v>0</v>
          </cell>
          <cell r="R285">
            <v>0</v>
          </cell>
          <cell r="S285">
            <v>4296</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157.81818181818181</v>
          </cell>
          <cell r="AK285">
            <v>12339.90909090909</v>
          </cell>
        </row>
        <row r="286">
          <cell r="F286">
            <v>0</v>
          </cell>
          <cell r="P286">
            <v>330</v>
          </cell>
          <cell r="Q286">
            <v>0</v>
          </cell>
          <cell r="R286">
            <v>0</v>
          </cell>
          <cell r="S286">
            <v>2496</v>
          </cell>
          <cell r="T286">
            <v>-654.3785272727273</v>
          </cell>
          <cell r="U286">
            <v>-670.49601818181827</v>
          </cell>
          <cell r="V286">
            <v>-20</v>
          </cell>
          <cell r="W286">
            <v>0</v>
          </cell>
          <cell r="X286">
            <v>627.1030303030293</v>
          </cell>
          <cell r="Y286">
            <v>-522</v>
          </cell>
          <cell r="Z286">
            <v>-184.38636363636363</v>
          </cell>
          <cell r="AA286">
            <v>170</v>
          </cell>
          <cell r="AB286">
            <v>0</v>
          </cell>
          <cell r="AC286">
            <v>867.45757575757523</v>
          </cell>
          <cell r="AF286">
            <v>404</v>
          </cell>
          <cell r="AG286">
            <v>404</v>
          </cell>
          <cell r="AH286">
            <v>0</v>
          </cell>
          <cell r="AI286">
            <v>0</v>
          </cell>
          <cell r="AK286">
            <v>3422</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I287">
            <v>-618</v>
          </cell>
          <cell r="AK287">
            <v>3795.909090909091</v>
          </cell>
        </row>
        <row r="288">
          <cell r="F288">
            <v>0</v>
          </cell>
          <cell r="P288">
            <v>0</v>
          </cell>
          <cell r="Q288">
            <v>0</v>
          </cell>
          <cell r="R288">
            <v>0</v>
          </cell>
          <cell r="S288">
            <v>0</v>
          </cell>
          <cell r="T288">
            <v>0</v>
          </cell>
          <cell r="U288">
            <v>0</v>
          </cell>
          <cell r="V288">
            <v>0</v>
          </cell>
          <cell r="W288">
            <v>0</v>
          </cell>
          <cell r="X288">
            <v>627.10303030303021</v>
          </cell>
          <cell r="Y288">
            <v>0</v>
          </cell>
          <cell r="Z288">
            <v>0</v>
          </cell>
          <cell r="AA288">
            <v>0</v>
          </cell>
          <cell r="AB288">
            <v>0</v>
          </cell>
          <cell r="AC288">
            <v>866.79090909090905</v>
          </cell>
          <cell r="AF288">
            <v>0</v>
          </cell>
          <cell r="AG288">
            <v>0</v>
          </cell>
          <cell r="AH288">
            <v>0</v>
          </cell>
          <cell r="AK288">
            <v>0</v>
          </cell>
        </row>
        <row r="289">
          <cell r="F289">
            <v>0</v>
          </cell>
          <cell r="P289">
            <v>0</v>
          </cell>
          <cell r="Q289">
            <v>0</v>
          </cell>
          <cell r="R289">
            <v>0</v>
          </cell>
          <cell r="S289">
            <v>0</v>
          </cell>
          <cell r="T289">
            <v>0</v>
          </cell>
          <cell r="U289">
            <v>0</v>
          </cell>
          <cell r="V289">
            <v>0</v>
          </cell>
          <cell r="W289">
            <v>0</v>
          </cell>
          <cell r="X289">
            <v>-15</v>
          </cell>
          <cell r="Y289">
            <v>0</v>
          </cell>
          <cell r="Z289">
            <v>0</v>
          </cell>
          <cell r="AA289">
            <v>0</v>
          </cell>
          <cell r="AB289">
            <v>0</v>
          </cell>
          <cell r="AC289">
            <v>-70</v>
          </cell>
          <cell r="AD289">
            <v>0</v>
          </cell>
          <cell r="AE289">
            <v>0</v>
          </cell>
          <cell r="AF289">
            <v>0</v>
          </cell>
          <cell r="AG289">
            <v>0</v>
          </cell>
          <cell r="AH289">
            <v>0</v>
          </cell>
          <cell r="AI289">
            <v>283.60000000000002</v>
          </cell>
          <cell r="AK289">
            <v>0</v>
          </cell>
        </row>
        <row r="290">
          <cell r="F290">
            <v>2383</v>
          </cell>
          <cell r="P290">
            <v>206</v>
          </cell>
          <cell r="Q290">
            <v>0</v>
          </cell>
          <cell r="R290">
            <v>0</v>
          </cell>
          <cell r="S290">
            <v>1138</v>
          </cell>
          <cell r="T290">
            <v>0</v>
          </cell>
          <cell r="U290">
            <v>0</v>
          </cell>
          <cell r="V290">
            <v>206</v>
          </cell>
          <cell r="W290">
            <v>0</v>
          </cell>
          <cell r="X290">
            <v>0</v>
          </cell>
          <cell r="Y290">
            <v>0</v>
          </cell>
          <cell r="Z290">
            <v>0</v>
          </cell>
          <cell r="AA290">
            <v>386</v>
          </cell>
          <cell r="AB290">
            <v>0</v>
          </cell>
          <cell r="AC290">
            <v>0</v>
          </cell>
          <cell r="AD290">
            <v>0</v>
          </cell>
          <cell r="AE290">
            <v>0</v>
          </cell>
          <cell r="AF290">
            <v>519</v>
          </cell>
          <cell r="AG290">
            <v>354</v>
          </cell>
          <cell r="AH290">
            <v>158</v>
          </cell>
          <cell r="AI290">
            <v>118.4</v>
          </cell>
          <cell r="AK290">
            <v>5204</v>
          </cell>
        </row>
        <row r="291">
          <cell r="F291">
            <v>2</v>
          </cell>
          <cell r="P291">
            <v>13</v>
          </cell>
          <cell r="Q291">
            <v>0</v>
          </cell>
          <cell r="R291">
            <v>0</v>
          </cell>
          <cell r="S291">
            <v>212</v>
          </cell>
          <cell r="T291">
            <v>0</v>
          </cell>
          <cell r="U291">
            <v>0</v>
          </cell>
          <cell r="V291">
            <v>11</v>
          </cell>
          <cell r="W291">
            <v>0</v>
          </cell>
          <cell r="X291">
            <v>0</v>
          </cell>
          <cell r="Y291">
            <v>0</v>
          </cell>
          <cell r="Z291">
            <v>0</v>
          </cell>
          <cell r="AA291">
            <v>201</v>
          </cell>
          <cell r="AB291">
            <v>0</v>
          </cell>
          <cell r="AC291">
            <v>0</v>
          </cell>
          <cell r="AD291">
            <v>0</v>
          </cell>
          <cell r="AE291">
            <v>0</v>
          </cell>
          <cell r="AF291">
            <v>115</v>
          </cell>
          <cell r="AG291">
            <v>70</v>
          </cell>
          <cell r="AH291">
            <v>38</v>
          </cell>
          <cell r="AI291">
            <v>0</v>
          </cell>
          <cell r="AK291">
            <v>570</v>
          </cell>
        </row>
        <row r="292">
          <cell r="F292">
            <v>2</v>
          </cell>
          <cell r="P292">
            <v>42</v>
          </cell>
          <cell r="S292">
            <v>319</v>
          </cell>
          <cell r="V292">
            <v>85</v>
          </cell>
          <cell r="X292">
            <v>0</v>
          </cell>
          <cell r="AA292">
            <v>84</v>
          </cell>
          <cell r="AC292">
            <v>0</v>
          </cell>
          <cell r="AF292">
            <v>194</v>
          </cell>
          <cell r="AG292">
            <v>133</v>
          </cell>
          <cell r="AH292">
            <v>61</v>
          </cell>
          <cell r="AI292">
            <v>0</v>
          </cell>
          <cell r="AK292">
            <v>726</v>
          </cell>
        </row>
        <row r="293">
          <cell r="F293">
            <v>2379</v>
          </cell>
          <cell r="P293">
            <v>151</v>
          </cell>
          <cell r="Q293">
            <v>0</v>
          </cell>
          <cell r="R293">
            <v>0</v>
          </cell>
          <cell r="S293">
            <v>607</v>
          </cell>
          <cell r="T293">
            <v>0</v>
          </cell>
          <cell r="U293">
            <v>0</v>
          </cell>
          <cell r="V293">
            <v>110</v>
          </cell>
          <cell r="W293">
            <v>0</v>
          </cell>
          <cell r="X293">
            <v>217</v>
          </cell>
          <cell r="Y293">
            <v>0</v>
          </cell>
          <cell r="Z293">
            <v>0</v>
          </cell>
          <cell r="AA293">
            <v>101</v>
          </cell>
          <cell r="AB293">
            <v>0</v>
          </cell>
          <cell r="AC293">
            <v>-188</v>
          </cell>
          <cell r="AF293">
            <v>210</v>
          </cell>
          <cell r="AG293">
            <v>151</v>
          </cell>
          <cell r="AH293">
            <v>59</v>
          </cell>
          <cell r="AI293">
            <v>0</v>
          </cell>
          <cell r="AK293">
            <v>3908</v>
          </cell>
        </row>
        <row r="294">
          <cell r="F294">
            <v>100</v>
          </cell>
          <cell r="P294">
            <v>0</v>
          </cell>
          <cell r="Q294">
            <v>0</v>
          </cell>
          <cell r="R294">
            <v>0</v>
          </cell>
          <cell r="S294">
            <v>97.666666666666629</v>
          </cell>
          <cell r="T294">
            <v>0</v>
          </cell>
          <cell r="U294">
            <v>0</v>
          </cell>
          <cell r="V294">
            <v>0</v>
          </cell>
          <cell r="W294">
            <v>0</v>
          </cell>
          <cell r="X294">
            <v>12</v>
          </cell>
          <cell r="Y294">
            <v>0</v>
          </cell>
          <cell r="Z294">
            <v>0</v>
          </cell>
          <cell r="AA294">
            <v>0</v>
          </cell>
          <cell r="AB294">
            <v>0</v>
          </cell>
          <cell r="AC294">
            <v>-372</v>
          </cell>
          <cell r="AD294">
            <v>0</v>
          </cell>
          <cell r="AE294">
            <v>0</v>
          </cell>
          <cell r="AF294">
            <v>0</v>
          </cell>
          <cell r="AG294">
            <v>0</v>
          </cell>
          <cell r="AH294">
            <v>0</v>
          </cell>
          <cell r="AI294">
            <v>165.2</v>
          </cell>
          <cell r="AK294">
            <v>0</v>
          </cell>
        </row>
        <row r="295">
          <cell r="F295">
            <v>25</v>
          </cell>
          <cell r="P295">
            <v>2</v>
          </cell>
          <cell r="S295">
            <v>7</v>
          </cell>
          <cell r="V295">
            <v>-129</v>
          </cell>
          <cell r="X295">
            <v>85</v>
          </cell>
          <cell r="AA295">
            <v>0</v>
          </cell>
          <cell r="AC295">
            <v>84</v>
          </cell>
          <cell r="AF295">
            <v>13</v>
          </cell>
          <cell r="AG295">
            <v>13</v>
          </cell>
          <cell r="AH295">
            <v>0</v>
          </cell>
          <cell r="AI295">
            <v>70</v>
          </cell>
          <cell r="AK295">
            <v>-82</v>
          </cell>
        </row>
        <row r="296">
          <cell r="F296">
            <v>44586.804761904765</v>
          </cell>
          <cell r="P296">
            <v>1115</v>
          </cell>
          <cell r="Q296">
            <v>0</v>
          </cell>
          <cell r="R296">
            <v>0</v>
          </cell>
          <cell r="S296">
            <v>4296</v>
          </cell>
          <cell r="T296">
            <v>-717.75479999999993</v>
          </cell>
          <cell r="U296">
            <v>-735.76520000000005</v>
          </cell>
          <cell r="V296">
            <v>602.1818181818187</v>
          </cell>
          <cell r="W296">
            <v>-951</v>
          </cell>
          <cell r="X296">
            <v>-222.13181818181818</v>
          </cell>
          <cell r="Y296">
            <v>0</v>
          </cell>
          <cell r="Z296">
            <v>0</v>
          </cell>
          <cell r="AA296">
            <v>2103.5757575757575</v>
          </cell>
          <cell r="AB296">
            <v>-314</v>
          </cell>
          <cell r="AC296">
            <v>-80.902424242424232</v>
          </cell>
          <cell r="AD296">
            <v>-293</v>
          </cell>
          <cell r="AE296">
            <v>-120.37515151515153</v>
          </cell>
          <cell r="AF296">
            <v>1365.8181818181815</v>
          </cell>
          <cell r="AG296">
            <v>1201</v>
          </cell>
          <cell r="AH296">
            <v>157.81818181818176</v>
          </cell>
          <cell r="AI296">
            <v>36</v>
          </cell>
          <cell r="AK296">
            <v>54477.380519480525</v>
          </cell>
        </row>
        <row r="297">
          <cell r="F297">
            <v>1606</v>
          </cell>
          <cell r="P297">
            <v>0</v>
          </cell>
          <cell r="S297">
            <v>425.33333333333337</v>
          </cell>
          <cell r="X297">
            <v>97.666666666666671</v>
          </cell>
          <cell r="AC297">
            <v>85.333333333333343</v>
          </cell>
          <cell r="AF297">
            <v>0</v>
          </cell>
          <cell r="AG297">
            <v>0</v>
          </cell>
          <cell r="AH297">
            <v>191</v>
          </cell>
          <cell r="AI297">
            <v>59.2</v>
          </cell>
          <cell r="AK297">
            <v>0</v>
          </cell>
        </row>
        <row r="298">
          <cell r="F298">
            <v>37</v>
          </cell>
          <cell r="P298">
            <v>62</v>
          </cell>
          <cell r="S298">
            <v>81</v>
          </cell>
          <cell r="X298">
            <v>-129.33333333333334</v>
          </cell>
          <cell r="AC298">
            <v>0</v>
          </cell>
          <cell r="AF298">
            <v>8</v>
          </cell>
          <cell r="AG298">
            <v>7</v>
          </cell>
          <cell r="AH298">
            <v>1</v>
          </cell>
          <cell r="AI298">
            <v>0</v>
          </cell>
          <cell r="AK298">
            <v>58.666666666666657</v>
          </cell>
        </row>
        <row r="299">
          <cell r="F299">
            <v>44586.804761904765</v>
          </cell>
          <cell r="G299">
            <v>0</v>
          </cell>
          <cell r="H299">
            <v>0</v>
          </cell>
          <cell r="P299">
            <v>1115</v>
          </cell>
          <cell r="Q299">
            <v>0</v>
          </cell>
          <cell r="R299">
            <v>0</v>
          </cell>
          <cell r="S299">
            <v>4296</v>
          </cell>
          <cell r="T299">
            <v>-717.75479999999993</v>
          </cell>
          <cell r="U299">
            <v>-735.76520000000005</v>
          </cell>
          <cell r="V299">
            <v>602.1818181818187</v>
          </cell>
          <cell r="W299">
            <v>-951</v>
          </cell>
          <cell r="X299">
            <v>-222.13181818181818</v>
          </cell>
          <cell r="Y299">
            <v>0</v>
          </cell>
          <cell r="Z299">
            <v>0</v>
          </cell>
          <cell r="AA299">
            <v>2103.5757575757575</v>
          </cell>
          <cell r="AB299">
            <v>0</v>
          </cell>
          <cell r="AC299">
            <v>867.45757575757523</v>
          </cell>
          <cell r="AF299">
            <v>1365.8181818181815</v>
          </cell>
          <cell r="AG299">
            <v>1016.9999999999998</v>
          </cell>
          <cell r="AH299">
            <v>348.81818181818176</v>
          </cell>
          <cell r="AI299">
            <v>0</v>
          </cell>
          <cell r="AK299">
            <v>54477.380519480525</v>
          </cell>
        </row>
        <row r="300">
          <cell r="F300">
            <v>0</v>
          </cell>
          <cell r="P300">
            <v>856.33333333333303</v>
          </cell>
          <cell r="Q300">
            <v>0</v>
          </cell>
          <cell r="R300">
            <v>0</v>
          </cell>
          <cell r="S300">
            <v>3315.151515151515</v>
          </cell>
          <cell r="T300">
            <v>-636.47477575757569</v>
          </cell>
          <cell r="U300">
            <v>-648.29007272727267</v>
          </cell>
          <cell r="V300">
            <v>0</v>
          </cell>
          <cell r="W300">
            <v>0</v>
          </cell>
          <cell r="X300">
            <v>2879.3030303030291</v>
          </cell>
          <cell r="Y300">
            <v>-779</v>
          </cell>
          <cell r="Z300">
            <v>-411.83636363636361</v>
          </cell>
          <cell r="AA300">
            <v>0</v>
          </cell>
          <cell r="AB300">
            <v>-9</v>
          </cell>
          <cell r="AC300">
            <v>1632.1818181818189</v>
          </cell>
          <cell r="AD300">
            <v>-234</v>
          </cell>
          <cell r="AE300">
            <v>-160.69515151515154</v>
          </cell>
          <cell r="AF300">
            <v>1603.272727272727</v>
          </cell>
          <cell r="AG300">
            <v>1166.272727272727</v>
          </cell>
          <cell r="AH300">
            <v>191</v>
          </cell>
          <cell r="AI300">
            <v>-618</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0</v>
          </cell>
          <cell r="G302">
            <v>0</v>
          </cell>
          <cell r="H302">
            <v>0</v>
          </cell>
          <cell r="P302">
            <v>0</v>
          </cell>
          <cell r="Q302">
            <v>0</v>
          </cell>
          <cell r="R302">
            <v>0</v>
          </cell>
          <cell r="S302">
            <v>0</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0</v>
          </cell>
          <cell r="AG302">
            <v>0</v>
          </cell>
          <cell r="AH302">
            <v>0</v>
          </cell>
          <cell r="AK302">
            <v>0</v>
          </cell>
        </row>
        <row r="303">
          <cell r="F303">
            <v>0</v>
          </cell>
          <cell r="G303">
            <v>0</v>
          </cell>
          <cell r="H303">
            <v>0</v>
          </cell>
          <cell r="P303">
            <v>856.33333333333303</v>
          </cell>
          <cell r="Q303">
            <v>0</v>
          </cell>
          <cell r="R303">
            <v>0</v>
          </cell>
          <cell r="S303">
            <v>3315.151515151515</v>
          </cell>
          <cell r="T303">
            <v>-636.47477575757569</v>
          </cell>
          <cell r="U303">
            <v>-648.29007272727267</v>
          </cell>
          <cell r="V303">
            <v>0</v>
          </cell>
          <cell r="W303">
            <v>0</v>
          </cell>
          <cell r="X303">
            <v>2879.3030303030291</v>
          </cell>
          <cell r="Y303">
            <v>-779</v>
          </cell>
          <cell r="Z303">
            <v>-411.83636363636361</v>
          </cell>
          <cell r="AA303">
            <v>0</v>
          </cell>
          <cell r="AB303">
            <v>-9</v>
          </cell>
          <cell r="AC303">
            <v>1632.1818181818189</v>
          </cell>
          <cell r="AF303">
            <v>1603.272727272727</v>
          </cell>
          <cell r="AG303">
            <v>973.93939393939377</v>
          </cell>
          <cell r="AH303">
            <v>629.33333333333326</v>
          </cell>
          <cell r="AK303">
            <v>0</v>
          </cell>
        </row>
        <row r="304">
          <cell r="F304">
            <v>44586.804761904765</v>
          </cell>
          <cell r="P304">
            <v>1115</v>
          </cell>
          <cell r="Q304">
            <v>0</v>
          </cell>
          <cell r="R304">
            <v>0</v>
          </cell>
          <cell r="S304">
            <v>4296</v>
          </cell>
          <cell r="T304">
            <v>-717.75479999999993</v>
          </cell>
          <cell r="U304">
            <v>-735.76520000000005</v>
          </cell>
          <cell r="V304">
            <v>602.1818181818187</v>
          </cell>
          <cell r="W304">
            <v>-951</v>
          </cell>
          <cell r="X304">
            <v>-222.13181818181818</v>
          </cell>
          <cell r="Y304">
            <v>0</v>
          </cell>
          <cell r="Z304">
            <v>0</v>
          </cell>
          <cell r="AA304">
            <v>2103.5757575757575</v>
          </cell>
          <cell r="AB304">
            <v>-314</v>
          </cell>
          <cell r="AC304">
            <v>-80.902424242424232</v>
          </cell>
          <cell r="AD304">
            <v>-293</v>
          </cell>
          <cell r="AE304">
            <v>-120.37515151515153</v>
          </cell>
          <cell r="AF304">
            <v>1365.8181818181815</v>
          </cell>
          <cell r="AG304">
            <v>1016.9999999999998</v>
          </cell>
          <cell r="AH304">
            <v>348.81818181818176</v>
          </cell>
          <cell r="AK304">
            <v>54477.380519480525</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P306">
            <v>0</v>
          </cell>
          <cell r="S306">
            <v>0</v>
          </cell>
          <cell r="X306">
            <v>0</v>
          </cell>
          <cell r="AC306">
            <v>0</v>
          </cell>
          <cell r="AF306">
            <v>0</v>
          </cell>
          <cell r="AG306">
            <v>0</v>
          </cell>
          <cell r="AH306">
            <v>0</v>
          </cell>
          <cell r="AI306">
            <v>0</v>
          </cell>
          <cell r="AK306">
            <v>0</v>
          </cell>
        </row>
        <row r="307">
          <cell r="F307">
            <v>41158.976190476198</v>
          </cell>
          <cell r="P307">
            <v>1708.5</v>
          </cell>
          <cell r="Q307">
            <v>0</v>
          </cell>
          <cell r="R307">
            <v>0</v>
          </cell>
          <cell r="S307">
            <v>0</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0</v>
          </cell>
        </row>
        <row r="308">
          <cell r="F308">
            <v>3400</v>
          </cell>
          <cell r="P308">
            <v>856.33333333333303</v>
          </cell>
          <cell r="Q308">
            <v>0</v>
          </cell>
          <cell r="R308">
            <v>0</v>
          </cell>
          <cell r="S308">
            <v>3315.151515151515</v>
          </cell>
          <cell r="T308">
            <v>-636.47477575757569</v>
          </cell>
          <cell r="U308">
            <v>-648.29007272727267</v>
          </cell>
          <cell r="V308">
            <v>0</v>
          </cell>
          <cell r="W308">
            <v>0</v>
          </cell>
          <cell r="X308">
            <v>2879.3030303030291</v>
          </cell>
          <cell r="Y308">
            <v>-779</v>
          </cell>
          <cell r="Z308">
            <v>-411.83636363636361</v>
          </cell>
          <cell r="AA308">
            <v>0</v>
          </cell>
          <cell r="AB308">
            <v>-9</v>
          </cell>
          <cell r="AC308">
            <v>1632.1818181818189</v>
          </cell>
          <cell r="AD308">
            <v>-234</v>
          </cell>
          <cell r="AE308">
            <v>-160.69515151515154</v>
          </cell>
          <cell r="AF308">
            <v>1603.272727272727</v>
          </cell>
          <cell r="AG308">
            <v>973.93939393939377</v>
          </cell>
          <cell r="AH308">
            <v>629.33333333333326</v>
          </cell>
          <cell r="AI308">
            <v>-618</v>
          </cell>
          <cell r="AK308">
            <v>3400</v>
          </cell>
        </row>
        <row r="309">
          <cell r="P309">
            <v>0</v>
          </cell>
          <cell r="S309">
            <v>0</v>
          </cell>
          <cell r="AK309">
            <v>0</v>
          </cell>
        </row>
        <row r="310">
          <cell r="F310">
            <v>0</v>
          </cell>
          <cell r="P310">
            <v>0</v>
          </cell>
          <cell r="S310">
            <v>0</v>
          </cell>
          <cell r="AK310">
            <v>0</v>
          </cell>
        </row>
        <row r="311">
          <cell r="F311">
            <v>3500</v>
          </cell>
          <cell r="S311">
            <v>0</v>
          </cell>
          <cell r="AK311">
            <v>0</v>
          </cell>
        </row>
        <row r="312">
          <cell r="F312">
            <v>3500</v>
          </cell>
          <cell r="S312">
            <v>0</v>
          </cell>
          <cell r="AK312">
            <v>3500</v>
          </cell>
        </row>
        <row r="313">
          <cell r="F313">
            <v>0</v>
          </cell>
          <cell r="S313">
            <v>0</v>
          </cell>
          <cell r="AK313">
            <v>0</v>
          </cell>
        </row>
        <row r="314">
          <cell r="F314">
            <v>0</v>
          </cell>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cell r="AK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19">
          <cell r="F319">
            <v>47206.733333333337</v>
          </cell>
          <cell r="P319">
            <v>856.33333333333303</v>
          </cell>
          <cell r="Q319">
            <v>0</v>
          </cell>
          <cell r="R319">
            <v>0</v>
          </cell>
          <cell r="S319">
            <v>3315.151515151515</v>
          </cell>
          <cell r="T319">
            <v>-636.47477575757569</v>
          </cell>
          <cell r="U319">
            <v>-648.29007272727267</v>
          </cell>
          <cell r="V319">
            <v>0</v>
          </cell>
          <cell r="W319">
            <v>0</v>
          </cell>
          <cell r="X319">
            <v>2879.3030303030291</v>
          </cell>
          <cell r="Y319">
            <v>-779</v>
          </cell>
          <cell r="Z319">
            <v>-411.83636363636361</v>
          </cell>
          <cell r="AA319">
            <v>0</v>
          </cell>
          <cell r="AB319">
            <v>-9</v>
          </cell>
          <cell r="AC319">
            <v>1632.1818181818189</v>
          </cell>
          <cell r="AD319">
            <v>-234</v>
          </cell>
          <cell r="AE319">
            <v>-160.69515151515154</v>
          </cell>
          <cell r="AF319">
            <v>1603.272727272727</v>
          </cell>
          <cell r="AG319">
            <v>973.93939393939377</v>
          </cell>
          <cell r="AH319">
            <v>629.33333333333326</v>
          </cell>
          <cell r="AI319">
            <v>-618</v>
          </cell>
          <cell r="AK319">
            <v>57767.975757575761</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921.33333333333337</v>
          </cell>
          <cell r="AM327">
            <v>921.33333333333337</v>
          </cell>
        </row>
        <row r="328">
          <cell r="F328">
            <v>186</v>
          </cell>
          <cell r="P328">
            <v>348</v>
          </cell>
          <cell r="S328">
            <v>517</v>
          </cell>
          <cell r="X328">
            <v>175</v>
          </cell>
          <cell r="AC328">
            <v>146</v>
          </cell>
          <cell r="AF328">
            <v>470</v>
          </cell>
          <cell r="AG328">
            <v>407</v>
          </cell>
          <cell r="AH328">
            <v>63</v>
          </cell>
          <cell r="AJ328">
            <v>2455</v>
          </cell>
          <cell r="AK328">
            <v>-82</v>
          </cell>
          <cell r="AM328">
            <v>-95</v>
          </cell>
        </row>
        <row r="329">
          <cell r="F329">
            <v>137</v>
          </cell>
          <cell r="P329">
            <v>237</v>
          </cell>
          <cell r="S329">
            <v>515</v>
          </cell>
          <cell r="X329">
            <v>201</v>
          </cell>
          <cell r="AC329">
            <v>161</v>
          </cell>
          <cell r="AF329">
            <v>444</v>
          </cell>
          <cell r="AG329">
            <v>400</v>
          </cell>
          <cell r="AH329">
            <v>44</v>
          </cell>
          <cell r="AI329">
            <v>103</v>
          </cell>
          <cell r="AK329">
            <v>2514.4714285714285</v>
          </cell>
          <cell r="AM329">
            <v>2514.4714285714285</v>
          </cell>
        </row>
        <row r="330">
          <cell r="AJ330">
            <v>36</v>
          </cell>
          <cell r="AK330">
            <v>3500</v>
          </cell>
          <cell r="AM330">
            <v>3500</v>
          </cell>
        </row>
        <row r="331">
          <cell r="AK331">
            <v>0</v>
          </cell>
          <cell r="AM331">
            <v>50.666666666666657</v>
          </cell>
        </row>
        <row r="332">
          <cell r="AJ332">
            <v>36</v>
          </cell>
          <cell r="AK332">
            <v>444</v>
          </cell>
          <cell r="AM332">
            <v>444</v>
          </cell>
        </row>
        <row r="333">
          <cell r="AK333">
            <v>3995</v>
          </cell>
          <cell r="AM333">
            <v>3500</v>
          </cell>
        </row>
        <row r="334">
          <cell r="AK334">
            <v>0</v>
          </cell>
          <cell r="AM334">
            <v>0</v>
          </cell>
        </row>
        <row r="335">
          <cell r="AK335">
            <v>3422</v>
          </cell>
          <cell r="AM335">
            <v>3018</v>
          </cell>
        </row>
        <row r="336">
          <cell r="AK336">
            <v>3795.909090909091</v>
          </cell>
          <cell r="AM336">
            <v>3366.090909090909</v>
          </cell>
        </row>
        <row r="337">
          <cell r="AK337">
            <v>0</v>
          </cell>
          <cell r="AM337">
            <v>0</v>
          </cell>
        </row>
        <row r="338">
          <cell r="AK338">
            <v>0</v>
          </cell>
          <cell r="AM338">
            <v>0</v>
          </cell>
        </row>
        <row r="339">
          <cell r="AK339">
            <v>0</v>
          </cell>
          <cell r="AM339">
            <v>0</v>
          </cell>
        </row>
        <row r="340">
          <cell r="AK340">
            <v>4588</v>
          </cell>
          <cell r="AM340">
            <v>4020</v>
          </cell>
        </row>
        <row r="341">
          <cell r="AK341">
            <v>1703</v>
          </cell>
          <cell r="AM341">
            <v>1360</v>
          </cell>
        </row>
        <row r="342">
          <cell r="AK342">
            <v>1059</v>
          </cell>
          <cell r="AM342">
            <v>1034</v>
          </cell>
        </row>
        <row r="343">
          <cell r="AK343">
            <v>1370</v>
          </cell>
          <cell r="AM343">
            <v>4166</v>
          </cell>
        </row>
        <row r="344">
          <cell r="AK344">
            <v>456</v>
          </cell>
          <cell r="AM344">
            <v>1457</v>
          </cell>
        </row>
        <row r="345">
          <cell r="AK345">
            <v>0</v>
          </cell>
          <cell r="AM345">
            <v>0</v>
          </cell>
        </row>
        <row r="346">
          <cell r="AK346">
            <v>-300</v>
          </cell>
          <cell r="AM346">
            <v>-300</v>
          </cell>
        </row>
        <row r="347">
          <cell r="AK347">
            <v>1197</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248.72727272727269</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396</v>
          </cell>
          <cell r="AM350">
            <v>396</v>
          </cell>
        </row>
        <row r="351">
          <cell r="P351">
            <v>225</v>
          </cell>
          <cell r="S351">
            <v>296</v>
          </cell>
          <cell r="X351">
            <v>56</v>
          </cell>
          <cell r="AC351">
            <v>-117.85909090909095</v>
          </cell>
          <cell r="AF351">
            <v>-167.67727272727276</v>
          </cell>
          <cell r="AG351">
            <v>-167.95000000000005</v>
          </cell>
          <cell r="AH351">
            <v>0.27272727272728048</v>
          </cell>
          <cell r="AK351">
            <v>395</v>
          </cell>
          <cell r="AM351">
            <v>395</v>
          </cell>
        </row>
        <row r="352">
          <cell r="P352">
            <v>225</v>
          </cell>
          <cell r="S352">
            <v>296</v>
          </cell>
          <cell r="X352">
            <v>56</v>
          </cell>
          <cell r="AC352">
            <v>76.181818181818187</v>
          </cell>
          <cell r="AF352">
            <v>304.27272727272725</v>
          </cell>
          <cell r="AG352">
            <v>291.27272727272725</v>
          </cell>
          <cell r="AH352">
            <v>13</v>
          </cell>
          <cell r="AK352">
            <v>0</v>
          </cell>
          <cell r="AM352">
            <v>0</v>
          </cell>
        </row>
        <row r="353">
          <cell r="F353">
            <v>33</v>
          </cell>
          <cell r="P353">
            <v>0</v>
          </cell>
          <cell r="S353">
            <v>0</v>
          </cell>
          <cell r="X353">
            <v>0</v>
          </cell>
          <cell r="AC353">
            <v>0</v>
          </cell>
          <cell r="AF353">
            <v>0</v>
          </cell>
          <cell r="AG353">
            <v>0</v>
          </cell>
          <cell r="AH353">
            <v>0</v>
          </cell>
          <cell r="AK353">
            <v>0</v>
          </cell>
          <cell r="AM353">
            <v>0</v>
          </cell>
        </row>
        <row r="354">
          <cell r="F354">
            <v>0</v>
          </cell>
          <cell r="P354">
            <v>0</v>
          </cell>
          <cell r="S354">
            <v>0</v>
          </cell>
          <cell r="X354">
            <v>0</v>
          </cell>
          <cell r="AC354">
            <v>0</v>
          </cell>
          <cell r="AF354">
            <v>0</v>
          </cell>
          <cell r="AG354">
            <v>0</v>
          </cell>
          <cell r="AH354">
            <v>0</v>
          </cell>
          <cell r="AI354">
            <v>0</v>
          </cell>
          <cell r="AK354">
            <v>5204</v>
          </cell>
          <cell r="AM354" t="e">
            <v>#REF!</v>
          </cell>
        </row>
        <row r="355">
          <cell r="AK355">
            <v>570</v>
          </cell>
          <cell r="AM355">
            <v>0</v>
          </cell>
        </row>
        <row r="356">
          <cell r="AK356">
            <v>726</v>
          </cell>
          <cell r="AM356">
            <v>0</v>
          </cell>
        </row>
        <row r="357">
          <cell r="AK357">
            <v>3908</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J358">
            <v>-2491</v>
          </cell>
          <cell r="AK358">
            <v>716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2">
          <cell r="F362">
            <v>79</v>
          </cell>
          <cell r="P362">
            <v>-116</v>
          </cell>
          <cell r="S362">
            <v>-1222</v>
          </cell>
          <cell r="T362">
            <v>180.16</v>
          </cell>
          <cell r="U362">
            <v>945.84</v>
          </cell>
          <cell r="X362">
            <v>345</v>
          </cell>
          <cell r="Y362">
            <v>368</v>
          </cell>
          <cell r="Z362">
            <v>195</v>
          </cell>
          <cell r="AC362">
            <v>518</v>
          </cell>
          <cell r="AD362">
            <v>423</v>
          </cell>
          <cell r="AE362">
            <v>290</v>
          </cell>
          <cell r="AF362">
            <v>126</v>
          </cell>
          <cell r="AG362">
            <v>126</v>
          </cell>
          <cell r="AH362">
            <v>0</v>
          </cell>
          <cell r="AI362">
            <v>0</v>
          </cell>
          <cell r="AK362">
            <v>-270</v>
          </cell>
          <cell r="AM362">
            <v>-396</v>
          </cell>
        </row>
        <row r="367">
          <cell r="F367">
            <v>0</v>
          </cell>
        </row>
        <row r="370">
          <cell r="F370">
            <v>0</v>
          </cell>
        </row>
        <row r="371">
          <cell r="F371">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v>164.3</v>
          </cell>
          <cell r="G384">
            <v>120</v>
          </cell>
          <cell r="H384">
            <v>119</v>
          </cell>
          <cell r="P384">
            <v>14.333333333333332</v>
          </cell>
          <cell r="S384">
            <v>14.333333333333332</v>
          </cell>
          <cell r="V384">
            <v>182</v>
          </cell>
          <cell r="W384">
            <v>148</v>
          </cell>
          <cell r="X384">
            <v>148</v>
          </cell>
          <cell r="Y384">
            <v>131</v>
          </cell>
          <cell r="Z384">
            <v>130</v>
          </cell>
          <cell r="AA384">
            <v>323.66666666666674</v>
          </cell>
          <cell r="AB384">
            <v>257</v>
          </cell>
          <cell r="AC384">
            <v>258</v>
          </cell>
          <cell r="AD384">
            <v>230</v>
          </cell>
          <cell r="AE384">
            <v>231</v>
          </cell>
          <cell r="AK384">
            <v>735.30000000000018</v>
          </cell>
          <cell r="AL384">
            <v>580.33333333333337</v>
          </cell>
          <cell r="AM384">
            <v>551.33333333333337</v>
          </cell>
        </row>
        <row r="385">
          <cell r="F385">
            <v>29</v>
          </cell>
          <cell r="G385">
            <v>21</v>
          </cell>
          <cell r="P385">
            <v>0</v>
          </cell>
          <cell r="V385">
            <v>0</v>
          </cell>
          <cell r="W385">
            <v>0</v>
          </cell>
          <cell r="X385" t="str">
            <v>ТЕЦ5</v>
          </cell>
          <cell r="Y385">
            <v>0</v>
          </cell>
          <cell r="AA385">
            <v>3.6666666666666665</v>
          </cell>
          <cell r="AB385">
            <v>3</v>
          </cell>
          <cell r="AC385" t="str">
            <v>ТЕЦ6</v>
          </cell>
          <cell r="AD385">
            <v>3</v>
          </cell>
          <cell r="AK385">
            <v>46</v>
          </cell>
          <cell r="AL385">
            <v>27</v>
          </cell>
        </row>
        <row r="386">
          <cell r="F386">
            <v>0</v>
          </cell>
          <cell r="G386">
            <v>0</v>
          </cell>
          <cell r="H386">
            <v>91</v>
          </cell>
          <cell r="P386">
            <v>0.66666666666666663</v>
          </cell>
          <cell r="S386">
            <v>14.333333333333332</v>
          </cell>
          <cell r="V386">
            <v>146.66666666666666</v>
          </cell>
          <cell r="W386">
            <v>119</v>
          </cell>
          <cell r="X386" t="str">
            <v>ПЛАН</v>
          </cell>
          <cell r="Y386">
            <v>105</v>
          </cell>
          <cell r="Z386">
            <v>120</v>
          </cell>
          <cell r="AA386">
            <v>280.66666666666669</v>
          </cell>
          <cell r="AB386">
            <v>223</v>
          </cell>
          <cell r="AC386" t="str">
            <v>ПЛАН</v>
          </cell>
          <cell r="AD386">
            <v>200</v>
          </cell>
          <cell r="AE386">
            <v>191</v>
          </cell>
          <cell r="AK386">
            <v>428</v>
          </cell>
          <cell r="AL386">
            <v>342.66666666666669</v>
          </cell>
          <cell r="AM386">
            <v>429.33333333333331</v>
          </cell>
        </row>
        <row r="387">
          <cell r="F387">
            <v>0</v>
          </cell>
          <cell r="G387">
            <v>0</v>
          </cell>
          <cell r="H387">
            <v>106</v>
          </cell>
          <cell r="P387">
            <v>2</v>
          </cell>
          <cell r="S387">
            <v>14.333333333333332</v>
          </cell>
          <cell r="V387">
            <v>0</v>
          </cell>
          <cell r="W387">
            <v>0</v>
          </cell>
          <cell r="X387">
            <v>182</v>
          </cell>
          <cell r="Y387">
            <v>134</v>
          </cell>
          <cell r="Z387">
            <v>134</v>
          </cell>
          <cell r="AA387">
            <v>25</v>
          </cell>
          <cell r="AB387">
            <v>20</v>
          </cell>
          <cell r="AC387">
            <v>323.66666666666674</v>
          </cell>
          <cell r="AD387">
            <v>18</v>
          </cell>
          <cell r="AK387">
            <v>33.666666666666671</v>
          </cell>
          <cell r="AL387">
            <v>25</v>
          </cell>
          <cell r="AM387">
            <v>266.33333333333337</v>
          </cell>
        </row>
        <row r="388">
          <cell r="F388">
            <v>0</v>
          </cell>
          <cell r="G388">
            <v>0</v>
          </cell>
          <cell r="P388">
            <v>0</v>
          </cell>
          <cell r="V388">
            <v>25.333333333333332</v>
          </cell>
          <cell r="W388">
            <v>21</v>
          </cell>
          <cell r="X388">
            <v>0</v>
          </cell>
          <cell r="Y388">
            <v>0</v>
          </cell>
          <cell r="AA388">
            <v>0.66666666666666663</v>
          </cell>
          <cell r="AB388">
            <v>1</v>
          </cell>
          <cell r="AC388">
            <v>3.6666666666666665</v>
          </cell>
          <cell r="AD388">
            <v>0</v>
          </cell>
          <cell r="AK388">
            <v>26</v>
          </cell>
          <cell r="AL388">
            <v>22</v>
          </cell>
        </row>
        <row r="389">
          <cell r="F389">
            <v>120.63333333333333</v>
          </cell>
          <cell r="G389">
            <v>88</v>
          </cell>
          <cell r="P389">
            <v>0</v>
          </cell>
          <cell r="V389">
            <v>0</v>
          </cell>
          <cell r="W389">
            <v>0</v>
          </cell>
          <cell r="X389">
            <v>146.66666666666666</v>
          </cell>
          <cell r="Y389">
            <v>108</v>
          </cell>
          <cell r="AA389">
            <v>0</v>
          </cell>
          <cell r="AB389">
            <v>0</v>
          </cell>
          <cell r="AC389">
            <v>280.66666666666669</v>
          </cell>
          <cell r="AD389">
            <v>0</v>
          </cell>
          <cell r="AK389">
            <v>120.63333333333333</v>
          </cell>
          <cell r="AL389">
            <v>90</v>
          </cell>
        </row>
        <row r="390">
          <cell r="F390">
            <v>8.6666666666666661</v>
          </cell>
          <cell r="G390">
            <v>6</v>
          </cell>
          <cell r="P390">
            <v>0</v>
          </cell>
          <cell r="V390">
            <v>0</v>
          </cell>
          <cell r="W390">
            <v>0</v>
          </cell>
          <cell r="X390">
            <v>0</v>
          </cell>
          <cell r="Y390">
            <v>0</v>
          </cell>
          <cell r="AA390">
            <v>0</v>
          </cell>
          <cell r="AB390">
            <v>0</v>
          </cell>
          <cell r="AC390">
            <v>25</v>
          </cell>
          <cell r="AD390">
            <v>0</v>
          </cell>
          <cell r="AK390">
            <v>8.6666666666666661</v>
          </cell>
          <cell r="AL390">
            <v>0</v>
          </cell>
        </row>
        <row r="391">
          <cell r="F391">
            <v>0</v>
          </cell>
          <cell r="G391">
            <v>0</v>
          </cell>
          <cell r="P391">
            <v>5.333333333333333</v>
          </cell>
          <cell r="V391">
            <v>0</v>
          </cell>
          <cell r="W391">
            <v>0</v>
          </cell>
          <cell r="X391">
            <v>25.333333333333332</v>
          </cell>
          <cell r="Y391">
            <v>19</v>
          </cell>
          <cell r="AA391">
            <v>0</v>
          </cell>
          <cell r="AB391">
            <v>0</v>
          </cell>
          <cell r="AC391">
            <v>0.66666666666666663</v>
          </cell>
          <cell r="AD391">
            <v>0</v>
          </cell>
          <cell r="AK391">
            <v>22</v>
          </cell>
          <cell r="AL391">
            <v>15.333333333333332</v>
          </cell>
        </row>
        <row r="392">
          <cell r="F392">
            <v>5.333333333333333</v>
          </cell>
          <cell r="G392">
            <v>4</v>
          </cell>
          <cell r="P392">
            <v>0</v>
          </cell>
          <cell r="V392">
            <v>0</v>
          </cell>
          <cell r="W392">
            <v>0</v>
          </cell>
          <cell r="X392">
            <v>0</v>
          </cell>
          <cell r="Y392">
            <v>0</v>
          </cell>
          <cell r="AA392">
            <v>0</v>
          </cell>
          <cell r="AB392">
            <v>0</v>
          </cell>
          <cell r="AC392">
            <v>0</v>
          </cell>
          <cell r="AD392">
            <v>0</v>
          </cell>
          <cell r="AK392">
            <v>5.333333333333333</v>
          </cell>
          <cell r="AL392">
            <v>4</v>
          </cell>
        </row>
        <row r="393">
          <cell r="F393">
            <v>0.33333333333333331</v>
          </cell>
          <cell r="G393">
            <v>0</v>
          </cell>
          <cell r="P393">
            <v>4.333333333333333</v>
          </cell>
          <cell r="V393">
            <v>0</v>
          </cell>
          <cell r="W393">
            <v>0</v>
          </cell>
          <cell r="X393">
            <v>0</v>
          </cell>
          <cell r="Y393">
            <v>0</v>
          </cell>
          <cell r="AA393">
            <v>0</v>
          </cell>
          <cell r="AB393">
            <v>0</v>
          </cell>
          <cell r="AC393">
            <v>0</v>
          </cell>
          <cell r="AD393">
            <v>0</v>
          </cell>
          <cell r="AK393">
            <v>4.6666666666666661</v>
          </cell>
          <cell r="AL393">
            <v>4.333333333333333</v>
          </cell>
        </row>
        <row r="394">
          <cell r="F394">
            <v>0.33333333333333331</v>
          </cell>
          <cell r="G394">
            <v>0</v>
          </cell>
          <cell r="P394">
            <v>2</v>
          </cell>
          <cell r="V394">
            <v>10</v>
          </cell>
          <cell r="W394">
            <v>8</v>
          </cell>
          <cell r="X394">
            <v>0</v>
          </cell>
          <cell r="Y394">
            <v>0</v>
          </cell>
          <cell r="AA394">
            <v>13.666666666666666</v>
          </cell>
          <cell r="AB394">
            <v>11</v>
          </cell>
          <cell r="AC394">
            <v>0</v>
          </cell>
          <cell r="AD394">
            <v>10</v>
          </cell>
          <cell r="AK394">
            <v>26</v>
          </cell>
          <cell r="AL394">
            <v>21</v>
          </cell>
        </row>
        <row r="395">
          <cell r="F395">
            <v>0</v>
          </cell>
          <cell r="G395">
            <v>0</v>
          </cell>
          <cell r="P395">
            <v>0</v>
          </cell>
          <cell r="V395">
            <v>0</v>
          </cell>
          <cell r="W395">
            <v>0</v>
          </cell>
          <cell r="X395">
            <v>0</v>
          </cell>
          <cell r="Y395">
            <v>0</v>
          </cell>
          <cell r="AA395">
            <v>0</v>
          </cell>
          <cell r="AB395">
            <v>0</v>
          </cell>
          <cell r="AC395">
            <v>0</v>
          </cell>
          <cell r="AD395">
            <v>0</v>
          </cell>
          <cell r="AK395">
            <v>0</v>
          </cell>
          <cell r="AL395">
            <v>3</v>
          </cell>
        </row>
        <row r="396">
          <cell r="F396">
            <v>1.1666666666666667</v>
          </cell>
          <cell r="G396">
            <v>1</v>
          </cell>
          <cell r="P396">
            <v>20.5</v>
          </cell>
          <cell r="V396">
            <v>522.33333333333337</v>
          </cell>
          <cell r="W396">
            <v>424</v>
          </cell>
          <cell r="X396">
            <v>0</v>
          </cell>
          <cell r="Y396">
            <v>0</v>
          </cell>
          <cell r="AA396">
            <v>43</v>
          </cell>
          <cell r="AB396">
            <v>34</v>
          </cell>
          <cell r="AC396">
            <v>0</v>
          </cell>
          <cell r="AD396">
            <v>31</v>
          </cell>
          <cell r="AK396">
            <v>587.33333333333337</v>
          </cell>
          <cell r="AL396">
            <v>479.5</v>
          </cell>
          <cell r="AM396">
            <v>479.83333333333337</v>
          </cell>
        </row>
        <row r="397">
          <cell r="F397">
            <v>0</v>
          </cell>
          <cell r="G397">
            <v>0</v>
          </cell>
          <cell r="P397">
            <v>0</v>
          </cell>
          <cell r="V397">
            <v>0</v>
          </cell>
          <cell r="W397">
            <v>0</v>
          </cell>
          <cell r="X397">
            <v>10</v>
          </cell>
          <cell r="Y397">
            <v>7</v>
          </cell>
          <cell r="AA397">
            <v>0</v>
          </cell>
          <cell r="AB397">
            <v>0</v>
          </cell>
          <cell r="AC397">
            <v>13.666666666666666</v>
          </cell>
          <cell r="AD397">
            <v>0</v>
          </cell>
          <cell r="AK397">
            <v>0</v>
          </cell>
          <cell r="AL397">
            <v>0</v>
          </cell>
        </row>
        <row r="398">
          <cell r="F398">
            <v>0</v>
          </cell>
          <cell r="G398">
            <v>0</v>
          </cell>
          <cell r="P398">
            <v>0</v>
          </cell>
          <cell r="V398">
            <v>480.66666666666669</v>
          </cell>
          <cell r="W398">
            <v>390</v>
          </cell>
          <cell r="X398">
            <v>0</v>
          </cell>
          <cell r="Y398">
            <v>0</v>
          </cell>
          <cell r="AA398">
            <v>11</v>
          </cell>
          <cell r="AB398">
            <v>9</v>
          </cell>
          <cell r="AC398">
            <v>0</v>
          </cell>
          <cell r="AD398">
            <v>8</v>
          </cell>
          <cell r="AK398">
            <v>491.66666666666669</v>
          </cell>
          <cell r="AL398">
            <v>399</v>
          </cell>
          <cell r="AM398">
            <v>388.83333333333337</v>
          </cell>
        </row>
        <row r="399">
          <cell r="F399">
            <v>0</v>
          </cell>
          <cell r="G399">
            <v>0</v>
          </cell>
          <cell r="P399">
            <v>0</v>
          </cell>
          <cell r="V399">
            <v>0</v>
          </cell>
          <cell r="W399">
            <v>0</v>
          </cell>
          <cell r="X399">
            <v>522.33333333333337</v>
          </cell>
          <cell r="Y399">
            <v>386</v>
          </cell>
          <cell r="AA399">
            <v>0</v>
          </cell>
          <cell r="AB399">
            <v>0</v>
          </cell>
          <cell r="AC399">
            <v>43</v>
          </cell>
          <cell r="AD399">
            <v>0</v>
          </cell>
          <cell r="AK399">
            <v>0</v>
          </cell>
          <cell r="AL399">
            <v>0</v>
          </cell>
          <cell r="AM399">
            <v>407.83333333333331</v>
          </cell>
        </row>
        <row r="400">
          <cell r="F400">
            <v>1.1666666666666667</v>
          </cell>
          <cell r="G400">
            <v>1</v>
          </cell>
          <cell r="P400">
            <v>15.833333333333334</v>
          </cell>
          <cell r="V400">
            <v>41.666666666666664</v>
          </cell>
          <cell r="W400">
            <v>34</v>
          </cell>
          <cell r="X400">
            <v>0</v>
          </cell>
          <cell r="Y400">
            <v>0</v>
          </cell>
          <cell r="AA400">
            <v>32</v>
          </cell>
          <cell r="AB400">
            <v>25</v>
          </cell>
          <cell r="AC400">
            <v>0</v>
          </cell>
          <cell r="AD400">
            <v>23</v>
          </cell>
          <cell r="AK400">
            <v>91</v>
          </cell>
          <cell r="AL400">
            <v>80.833333333333343</v>
          </cell>
        </row>
        <row r="401">
          <cell r="F401">
            <v>0</v>
          </cell>
          <cell r="G401">
            <v>0</v>
          </cell>
          <cell r="P401">
            <v>4.666666666666667</v>
          </cell>
          <cell r="V401">
            <v>0</v>
          </cell>
          <cell r="W401">
            <v>0</v>
          </cell>
          <cell r="X401">
            <v>480.66666666666669</v>
          </cell>
          <cell r="Y401">
            <v>355</v>
          </cell>
          <cell r="AA401">
            <v>0</v>
          </cell>
          <cell r="AB401">
            <v>0</v>
          </cell>
          <cell r="AC401">
            <v>11</v>
          </cell>
          <cell r="AD401">
            <v>0</v>
          </cell>
          <cell r="AK401">
            <v>4.666666666666667</v>
          </cell>
          <cell r="AL401">
            <v>0</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10</v>
          </cell>
          <cell r="G403">
            <v>7</v>
          </cell>
          <cell r="P403">
            <v>39</v>
          </cell>
          <cell r="V403">
            <v>0</v>
          </cell>
          <cell r="W403">
            <v>0</v>
          </cell>
          <cell r="X403">
            <v>41.666666666666664</v>
          </cell>
          <cell r="Y403">
            <v>31</v>
          </cell>
          <cell r="AA403">
            <v>0</v>
          </cell>
          <cell r="AB403">
            <v>0</v>
          </cell>
          <cell r="AC403">
            <v>32</v>
          </cell>
          <cell r="AD403">
            <v>0</v>
          </cell>
          <cell r="AK403">
            <v>49</v>
          </cell>
          <cell r="AL403">
            <v>46</v>
          </cell>
          <cell r="AM403">
            <v>46</v>
          </cell>
        </row>
        <row r="404">
          <cell r="F404">
            <v>2.6666666666666665</v>
          </cell>
          <cell r="G404">
            <v>2</v>
          </cell>
          <cell r="P404">
            <v>3.3333333333333335</v>
          </cell>
          <cell r="V404">
            <v>0</v>
          </cell>
          <cell r="W404">
            <v>0</v>
          </cell>
          <cell r="X404">
            <v>0</v>
          </cell>
          <cell r="Y404">
            <v>0</v>
          </cell>
          <cell r="AA404">
            <v>0</v>
          </cell>
          <cell r="AB404">
            <v>0</v>
          </cell>
          <cell r="AC404">
            <v>0</v>
          </cell>
          <cell r="AD404">
            <v>0</v>
          </cell>
          <cell r="AK404">
            <v>6</v>
          </cell>
          <cell r="AL404">
            <v>5.3333333333333339</v>
          </cell>
        </row>
        <row r="405">
          <cell r="F405">
            <v>7.333333333333333</v>
          </cell>
          <cell r="G405">
            <v>5</v>
          </cell>
          <cell r="P405">
            <v>35.666666666666664</v>
          </cell>
          <cell r="V405">
            <v>0</v>
          </cell>
          <cell r="W405">
            <v>0</v>
          </cell>
          <cell r="X405">
            <v>0</v>
          </cell>
          <cell r="Y405">
            <v>0</v>
          </cell>
          <cell r="AA405">
            <v>0</v>
          </cell>
          <cell r="AB405">
            <v>0</v>
          </cell>
          <cell r="AC405">
            <v>0</v>
          </cell>
          <cell r="AD405">
            <v>0</v>
          </cell>
          <cell r="AK405">
            <v>43</v>
          </cell>
          <cell r="AL405">
            <v>40.666666666666664</v>
          </cell>
          <cell r="AM405">
            <v>44</v>
          </cell>
        </row>
        <row r="406">
          <cell r="F406">
            <v>0</v>
          </cell>
          <cell r="G406">
            <v>0</v>
          </cell>
          <cell r="P406">
            <v>0</v>
          </cell>
          <cell r="V406">
            <v>0</v>
          </cell>
          <cell r="W406">
            <v>0</v>
          </cell>
          <cell r="X406">
            <v>0</v>
          </cell>
          <cell r="Y406">
            <v>0</v>
          </cell>
          <cell r="AA406">
            <v>0</v>
          </cell>
          <cell r="AB406">
            <v>0</v>
          </cell>
          <cell r="AC406">
            <v>0</v>
          </cell>
          <cell r="AD406">
            <v>0</v>
          </cell>
          <cell r="AK406">
            <v>0</v>
          </cell>
          <cell r="AL406">
            <v>45</v>
          </cell>
          <cell r="AM406">
            <v>46</v>
          </cell>
        </row>
        <row r="407">
          <cell r="F407">
            <v>206.33333333333329</v>
          </cell>
          <cell r="G407">
            <v>151</v>
          </cell>
          <cell r="H407">
            <v>150</v>
          </cell>
          <cell r="P407">
            <v>50.166666666666671</v>
          </cell>
          <cell r="S407">
            <v>50.166666666666671</v>
          </cell>
          <cell r="V407">
            <v>37.833333333333343</v>
          </cell>
          <cell r="W407">
            <v>31</v>
          </cell>
          <cell r="X407">
            <v>0</v>
          </cell>
          <cell r="Y407">
            <v>0</v>
          </cell>
          <cell r="AA407">
            <v>26.000000000000004</v>
          </cell>
          <cell r="AB407">
            <v>21</v>
          </cell>
          <cell r="AC407">
            <v>0</v>
          </cell>
          <cell r="AD407">
            <v>18</v>
          </cell>
          <cell r="AK407">
            <v>1965.0000000000002</v>
          </cell>
          <cell r="AL407">
            <v>513.16666666666663</v>
          </cell>
          <cell r="AM407">
            <v>513.16666666666663</v>
          </cell>
        </row>
        <row r="408">
          <cell r="F408">
            <v>0</v>
          </cell>
          <cell r="G408">
            <v>0</v>
          </cell>
          <cell r="P408">
            <v>0</v>
          </cell>
          <cell r="V408">
            <v>0</v>
          </cell>
          <cell r="W408">
            <v>0</v>
          </cell>
          <cell r="X408">
            <v>0</v>
          </cell>
          <cell r="Y408">
            <v>0</v>
          </cell>
          <cell r="AA408">
            <v>0</v>
          </cell>
          <cell r="AB408">
            <v>0</v>
          </cell>
          <cell r="AC408">
            <v>0</v>
          </cell>
          <cell r="AD408">
            <v>0</v>
          </cell>
          <cell r="AK408">
            <v>1350</v>
          </cell>
          <cell r="AL408">
            <v>0</v>
          </cell>
        </row>
        <row r="409">
          <cell r="F409">
            <v>0</v>
          </cell>
          <cell r="G409">
            <v>0</v>
          </cell>
          <cell r="H409">
            <v>114</v>
          </cell>
          <cell r="P409">
            <v>0</v>
          </cell>
          <cell r="S409">
            <v>50.166666666666671</v>
          </cell>
          <cell r="V409">
            <v>0</v>
          </cell>
          <cell r="W409">
            <v>0</v>
          </cell>
          <cell r="X409">
            <v>0</v>
          </cell>
          <cell r="Y409">
            <v>0</v>
          </cell>
          <cell r="AA409">
            <v>0</v>
          </cell>
          <cell r="AB409">
            <v>0</v>
          </cell>
          <cell r="AC409">
            <v>0</v>
          </cell>
          <cell r="AD409">
            <v>0</v>
          </cell>
          <cell r="AK409">
            <v>95</v>
          </cell>
          <cell r="AL409">
            <v>95</v>
          </cell>
          <cell r="AM409">
            <v>464.16666666666663</v>
          </cell>
        </row>
        <row r="410">
          <cell r="F410">
            <v>0</v>
          </cell>
          <cell r="G410">
            <v>0</v>
          </cell>
          <cell r="H410">
            <v>134</v>
          </cell>
          <cell r="P410">
            <v>0</v>
          </cell>
          <cell r="S410">
            <v>50.166666666666671</v>
          </cell>
          <cell r="V410">
            <v>0</v>
          </cell>
          <cell r="W410">
            <v>0</v>
          </cell>
          <cell r="X410">
            <v>37.833333333333343</v>
          </cell>
          <cell r="Y410">
            <v>28</v>
          </cell>
          <cell r="AA410">
            <v>0</v>
          </cell>
          <cell r="AB410">
            <v>0</v>
          </cell>
          <cell r="AC410">
            <v>26.000000000000004</v>
          </cell>
          <cell r="AD410">
            <v>0</v>
          </cell>
          <cell r="AK410">
            <v>0</v>
          </cell>
          <cell r="AL410">
            <v>0</v>
          </cell>
          <cell r="AM410">
            <v>469.16666666666663</v>
          </cell>
        </row>
        <row r="411">
          <cell r="F411">
            <v>0</v>
          </cell>
          <cell r="G411">
            <v>0</v>
          </cell>
          <cell r="P411">
            <v>12.333333333333334</v>
          </cell>
          <cell r="V411">
            <v>0</v>
          </cell>
          <cell r="W411">
            <v>0</v>
          </cell>
          <cell r="X411">
            <v>0</v>
          </cell>
          <cell r="Y411">
            <v>0</v>
          </cell>
          <cell r="AA411">
            <v>0</v>
          </cell>
          <cell r="AB411">
            <v>0</v>
          </cell>
          <cell r="AC411">
            <v>0</v>
          </cell>
          <cell r="AD411">
            <v>0</v>
          </cell>
          <cell r="AK411">
            <v>12.333333333333334</v>
          </cell>
          <cell r="AL411">
            <v>12.333333333333334</v>
          </cell>
        </row>
        <row r="412">
          <cell r="F412">
            <v>0</v>
          </cell>
          <cell r="G412">
            <v>0</v>
          </cell>
          <cell r="P412">
            <v>0</v>
          </cell>
          <cell r="V412">
            <v>0</v>
          </cell>
          <cell r="W412">
            <v>0</v>
          </cell>
          <cell r="X412">
            <v>0</v>
          </cell>
          <cell r="Y412">
            <v>0</v>
          </cell>
          <cell r="AA412">
            <v>0</v>
          </cell>
          <cell r="AB412">
            <v>0</v>
          </cell>
          <cell r="AC412">
            <v>0</v>
          </cell>
          <cell r="AD412">
            <v>0</v>
          </cell>
          <cell r="AK412">
            <v>0</v>
          </cell>
          <cell r="AL412">
            <v>0</v>
          </cell>
        </row>
        <row r="413">
          <cell r="F413">
            <v>1.6666666666666667</v>
          </cell>
          <cell r="G413">
            <v>1</v>
          </cell>
          <cell r="P413">
            <v>5</v>
          </cell>
          <cell r="V413">
            <v>3</v>
          </cell>
          <cell r="W413">
            <v>2</v>
          </cell>
          <cell r="X413">
            <v>0</v>
          </cell>
          <cell r="Y413">
            <v>0</v>
          </cell>
          <cell r="AA413">
            <v>3</v>
          </cell>
          <cell r="AB413">
            <v>2</v>
          </cell>
          <cell r="AC413">
            <v>0</v>
          </cell>
          <cell r="AD413">
            <v>2</v>
          </cell>
          <cell r="AK413">
            <v>57.666666666666664</v>
          </cell>
          <cell r="AL413">
            <v>50</v>
          </cell>
        </row>
        <row r="414">
          <cell r="F414">
            <v>0</v>
          </cell>
          <cell r="G414">
            <v>0</v>
          </cell>
          <cell r="P414">
            <v>0</v>
          </cell>
          <cell r="V414">
            <v>0</v>
          </cell>
          <cell r="W414">
            <v>0</v>
          </cell>
          <cell r="X414">
            <v>0</v>
          </cell>
          <cell r="Y414">
            <v>0</v>
          </cell>
          <cell r="AA414">
            <v>0</v>
          </cell>
          <cell r="AB414">
            <v>0</v>
          </cell>
          <cell r="AC414">
            <v>0</v>
          </cell>
          <cell r="AD414">
            <v>0</v>
          </cell>
          <cell r="AK414">
            <v>4</v>
          </cell>
          <cell r="AL414">
            <v>0</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0</v>
          </cell>
          <cell r="G416">
            <v>0</v>
          </cell>
          <cell r="P416">
            <v>18.5</v>
          </cell>
          <cell r="V416">
            <v>4.5</v>
          </cell>
          <cell r="W416">
            <v>4</v>
          </cell>
          <cell r="X416">
            <v>3</v>
          </cell>
          <cell r="Y416">
            <v>2</v>
          </cell>
          <cell r="AA416">
            <v>1.3333333333333333</v>
          </cell>
          <cell r="AB416">
            <v>1</v>
          </cell>
          <cell r="AC416">
            <v>3</v>
          </cell>
          <cell r="AD416">
            <v>1</v>
          </cell>
          <cell r="AK416">
            <v>28.5</v>
          </cell>
          <cell r="AL416">
            <v>27.5</v>
          </cell>
        </row>
        <row r="417">
          <cell r="F417">
            <v>0</v>
          </cell>
          <cell r="G417">
            <v>0</v>
          </cell>
          <cell r="P417">
            <v>1.3333333333333333</v>
          </cell>
          <cell r="V417">
            <v>0</v>
          </cell>
          <cell r="W417">
            <v>0</v>
          </cell>
          <cell r="X417">
            <v>0</v>
          </cell>
          <cell r="Y417">
            <v>0</v>
          </cell>
          <cell r="AA417">
            <v>1.6666666666666667</v>
          </cell>
          <cell r="AB417">
            <v>1</v>
          </cell>
          <cell r="AC417">
            <v>0</v>
          </cell>
          <cell r="AD417">
            <v>1</v>
          </cell>
          <cell r="AK417">
            <v>69</v>
          </cell>
          <cell r="AL417">
            <v>52.333333333333336</v>
          </cell>
        </row>
        <row r="418">
          <cell r="F418">
            <v>177</v>
          </cell>
          <cell r="G418">
            <v>129</v>
          </cell>
          <cell r="P418">
            <v>0</v>
          </cell>
          <cell r="V418">
            <v>0</v>
          </cell>
          <cell r="W418">
            <v>0</v>
          </cell>
          <cell r="X418">
            <v>0</v>
          </cell>
          <cell r="Y418">
            <v>0</v>
          </cell>
          <cell r="AA418">
            <v>0</v>
          </cell>
          <cell r="AB418">
            <v>0</v>
          </cell>
          <cell r="AC418">
            <v>0</v>
          </cell>
          <cell r="AD418">
            <v>0</v>
          </cell>
          <cell r="AK418">
            <v>177</v>
          </cell>
          <cell r="AL418">
            <v>129</v>
          </cell>
        </row>
        <row r="419">
          <cell r="F419">
            <v>0</v>
          </cell>
          <cell r="G419">
            <v>0</v>
          </cell>
          <cell r="P419">
            <v>0</v>
          </cell>
          <cell r="V419">
            <v>10</v>
          </cell>
          <cell r="W419">
            <v>8</v>
          </cell>
          <cell r="X419">
            <v>4.5</v>
          </cell>
          <cell r="Y419">
            <v>3</v>
          </cell>
          <cell r="AA419">
            <v>7.666666666666667</v>
          </cell>
          <cell r="AB419">
            <v>6</v>
          </cell>
          <cell r="AC419">
            <v>1.3333333333333333</v>
          </cell>
          <cell r="AD419">
            <v>5</v>
          </cell>
          <cell r="AK419">
            <v>17.666666666666668</v>
          </cell>
          <cell r="AL419">
            <v>14</v>
          </cell>
        </row>
        <row r="420">
          <cell r="F420">
            <v>0.66666666666666663</v>
          </cell>
          <cell r="G420">
            <v>0</v>
          </cell>
          <cell r="P420">
            <v>2</v>
          </cell>
          <cell r="V420">
            <v>1.3333333333333333</v>
          </cell>
          <cell r="W420">
            <v>1</v>
          </cell>
          <cell r="X420">
            <v>0</v>
          </cell>
          <cell r="Y420">
            <v>0</v>
          </cell>
          <cell r="AA420">
            <v>1</v>
          </cell>
          <cell r="AB420">
            <v>1</v>
          </cell>
          <cell r="AC420">
            <v>1.6666666666666667</v>
          </cell>
          <cell r="AD420">
            <v>1</v>
          </cell>
          <cell r="AK420">
            <v>6</v>
          </cell>
          <cell r="AL420">
            <v>4</v>
          </cell>
        </row>
        <row r="421">
          <cell r="F421">
            <v>2.6666666666666665</v>
          </cell>
          <cell r="G421">
            <v>2</v>
          </cell>
          <cell r="P421">
            <v>0.33333333333333331</v>
          </cell>
          <cell r="V421">
            <v>1</v>
          </cell>
          <cell r="W421">
            <v>1</v>
          </cell>
          <cell r="X421">
            <v>0</v>
          </cell>
          <cell r="Y421">
            <v>0</v>
          </cell>
          <cell r="AA421">
            <v>0.66666666666666663</v>
          </cell>
          <cell r="AB421">
            <v>1</v>
          </cell>
          <cell r="AC421">
            <v>0</v>
          </cell>
          <cell r="AD421">
            <v>0</v>
          </cell>
          <cell r="AK421">
            <v>9.3333333333333339</v>
          </cell>
          <cell r="AL421">
            <v>6.333333333333333</v>
          </cell>
        </row>
        <row r="422">
          <cell r="F422">
            <v>0</v>
          </cell>
          <cell r="G422">
            <v>0</v>
          </cell>
          <cell r="P422">
            <v>2.3333333333333335</v>
          </cell>
          <cell r="V422">
            <v>6</v>
          </cell>
          <cell r="W422">
            <v>5</v>
          </cell>
          <cell r="X422">
            <v>10</v>
          </cell>
          <cell r="Y422">
            <v>7</v>
          </cell>
          <cell r="AA422">
            <v>5</v>
          </cell>
          <cell r="AB422">
            <v>4</v>
          </cell>
          <cell r="AC422">
            <v>7.666666666666667</v>
          </cell>
          <cell r="AD422">
            <v>4</v>
          </cell>
          <cell r="AK422">
            <v>13.333333333333334</v>
          </cell>
          <cell r="AL422">
            <v>11.333333333333334</v>
          </cell>
        </row>
        <row r="423">
          <cell r="F423">
            <v>0</v>
          </cell>
          <cell r="G423">
            <v>0</v>
          </cell>
          <cell r="P423">
            <v>0</v>
          </cell>
          <cell r="V423">
            <v>0</v>
          </cell>
          <cell r="W423">
            <v>0</v>
          </cell>
          <cell r="X423">
            <v>1.3333333333333333</v>
          </cell>
          <cell r="Y423">
            <v>1</v>
          </cell>
          <cell r="AA423">
            <v>0</v>
          </cell>
          <cell r="AB423">
            <v>0</v>
          </cell>
          <cell r="AC423">
            <v>1</v>
          </cell>
          <cell r="AD423">
            <v>0</v>
          </cell>
          <cell r="AK423">
            <v>0</v>
          </cell>
          <cell r="AL423">
            <v>0</v>
          </cell>
        </row>
        <row r="424">
          <cell r="F424">
            <v>0</v>
          </cell>
          <cell r="G424">
            <v>0</v>
          </cell>
          <cell r="P424">
            <v>0</v>
          </cell>
          <cell r="V424">
            <v>0</v>
          </cell>
          <cell r="W424">
            <v>0</v>
          </cell>
          <cell r="X424">
            <v>1</v>
          </cell>
          <cell r="Y424">
            <v>1</v>
          </cell>
          <cell r="AA424">
            <v>0</v>
          </cell>
          <cell r="AB424">
            <v>0</v>
          </cell>
          <cell r="AC424">
            <v>0.66666666666666663</v>
          </cell>
          <cell r="AD424">
            <v>0</v>
          </cell>
          <cell r="AK424">
            <v>0</v>
          </cell>
          <cell r="AL424">
            <v>0</v>
          </cell>
        </row>
        <row r="425">
          <cell r="F425">
            <v>9.6666666666666661</v>
          </cell>
          <cell r="G425">
            <v>7</v>
          </cell>
          <cell r="P425">
            <v>1</v>
          </cell>
          <cell r="V425">
            <v>0</v>
          </cell>
          <cell r="W425">
            <v>0</v>
          </cell>
          <cell r="X425">
            <v>6</v>
          </cell>
          <cell r="Y425">
            <v>4</v>
          </cell>
          <cell r="AA425">
            <v>0</v>
          </cell>
          <cell r="AB425">
            <v>0</v>
          </cell>
          <cell r="AC425">
            <v>5</v>
          </cell>
          <cell r="AD425">
            <v>0</v>
          </cell>
          <cell r="AK425">
            <v>12</v>
          </cell>
          <cell r="AL425">
            <v>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2.3333333333333335</v>
          </cell>
          <cell r="G427">
            <v>2</v>
          </cell>
          <cell r="P427">
            <v>0.66666666666666663</v>
          </cell>
          <cell r="V427">
            <v>0.66666666666666663</v>
          </cell>
          <cell r="W427">
            <v>1</v>
          </cell>
          <cell r="X427">
            <v>0</v>
          </cell>
          <cell r="Y427">
            <v>0</v>
          </cell>
          <cell r="AA427">
            <v>0.66666666666666663</v>
          </cell>
          <cell r="AB427">
            <v>1</v>
          </cell>
          <cell r="AC427">
            <v>0</v>
          </cell>
          <cell r="AD427">
            <v>0</v>
          </cell>
          <cell r="AK427">
            <v>4.333333333333333</v>
          </cell>
          <cell r="AL427">
            <v>4.6666666666666661</v>
          </cell>
        </row>
        <row r="428">
          <cell r="F428">
            <v>1.6666666666666667</v>
          </cell>
          <cell r="G428">
            <v>1</v>
          </cell>
          <cell r="P428">
            <v>0.66666666666666663</v>
          </cell>
          <cell r="V428">
            <v>0.66666666666666663</v>
          </cell>
          <cell r="W428">
            <v>1</v>
          </cell>
          <cell r="X428">
            <v>0</v>
          </cell>
          <cell r="Y428">
            <v>0</v>
          </cell>
          <cell r="AA428">
            <v>0.66666666666666663</v>
          </cell>
          <cell r="AB428">
            <v>1</v>
          </cell>
          <cell r="AC428">
            <v>0</v>
          </cell>
          <cell r="AD428">
            <v>0</v>
          </cell>
          <cell r="AK428">
            <v>3.6666666666666665</v>
          </cell>
          <cell r="AL428">
            <v>3.6666666666666665</v>
          </cell>
        </row>
        <row r="429">
          <cell r="F429">
            <v>6.666666666666667</v>
          </cell>
          <cell r="G429">
            <v>5</v>
          </cell>
          <cell r="P429">
            <v>4.666666666666667</v>
          </cell>
          <cell r="V429">
            <v>3</v>
          </cell>
          <cell r="W429">
            <v>2</v>
          </cell>
          <cell r="X429">
            <v>0</v>
          </cell>
          <cell r="Y429">
            <v>0</v>
          </cell>
          <cell r="AA429">
            <v>2</v>
          </cell>
          <cell r="AB429">
            <v>2</v>
          </cell>
          <cell r="AC429">
            <v>0</v>
          </cell>
          <cell r="AD429">
            <v>1</v>
          </cell>
          <cell r="AK429">
            <v>33</v>
          </cell>
          <cell r="AL429">
            <v>23.666666666666668</v>
          </cell>
        </row>
        <row r="430">
          <cell r="F430">
            <v>0</v>
          </cell>
          <cell r="G430">
            <v>0</v>
          </cell>
          <cell r="P430">
            <v>0</v>
          </cell>
          <cell r="V430">
            <v>0</v>
          </cell>
          <cell r="W430">
            <v>0</v>
          </cell>
          <cell r="X430">
            <v>0.66666666666666663</v>
          </cell>
          <cell r="Y430">
            <v>0</v>
          </cell>
          <cell r="AA430">
            <v>0</v>
          </cell>
          <cell r="AB430">
            <v>0</v>
          </cell>
          <cell r="AC430">
            <v>0.66666666666666663</v>
          </cell>
          <cell r="AD430">
            <v>0</v>
          </cell>
          <cell r="AK430">
            <v>0</v>
          </cell>
          <cell r="AL430">
            <v>0</v>
          </cell>
        </row>
        <row r="431">
          <cell r="F431">
            <v>0</v>
          </cell>
          <cell r="G431">
            <v>0</v>
          </cell>
          <cell r="P431">
            <v>0</v>
          </cell>
          <cell r="V431">
            <v>0</v>
          </cell>
          <cell r="W431">
            <v>0</v>
          </cell>
          <cell r="X431">
            <v>0.66666666666666663</v>
          </cell>
          <cell r="Y431">
            <v>0</v>
          </cell>
          <cell r="AA431">
            <v>0</v>
          </cell>
          <cell r="AB431">
            <v>0</v>
          </cell>
          <cell r="AC431">
            <v>0.66666666666666663</v>
          </cell>
          <cell r="AD431">
            <v>0</v>
          </cell>
          <cell r="AK431">
            <v>0</v>
          </cell>
          <cell r="AL431">
            <v>53</v>
          </cell>
        </row>
        <row r="432">
          <cell r="F432">
            <v>1</v>
          </cell>
          <cell r="G432">
            <v>1</v>
          </cell>
          <cell r="P432">
            <v>0</v>
          </cell>
          <cell r="V432">
            <v>0</v>
          </cell>
          <cell r="W432">
            <v>0</v>
          </cell>
          <cell r="X432">
            <v>3</v>
          </cell>
          <cell r="Y432">
            <v>2</v>
          </cell>
          <cell r="AA432">
            <v>0</v>
          </cell>
          <cell r="AB432">
            <v>0</v>
          </cell>
          <cell r="AC432">
            <v>2</v>
          </cell>
          <cell r="AD432">
            <v>0</v>
          </cell>
          <cell r="AK432">
            <v>1</v>
          </cell>
          <cell r="AL432">
            <v>1</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0</v>
          </cell>
        </row>
        <row r="435">
          <cell r="F435">
            <v>2.6666666666666665</v>
          </cell>
          <cell r="G435">
            <v>2</v>
          </cell>
          <cell r="P435">
            <v>1</v>
          </cell>
          <cell r="V435">
            <v>4</v>
          </cell>
          <cell r="W435">
            <v>3</v>
          </cell>
          <cell r="X435">
            <v>0</v>
          </cell>
          <cell r="Y435">
            <v>0</v>
          </cell>
          <cell r="AA435">
            <v>2</v>
          </cell>
          <cell r="AB435">
            <v>2</v>
          </cell>
          <cell r="AC435">
            <v>0</v>
          </cell>
          <cell r="AD435">
            <v>1</v>
          </cell>
          <cell r="AK435">
            <v>15.666666666666666</v>
          </cell>
          <cell r="AL435">
            <v>11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3.3333333333333335</v>
          </cell>
          <cell r="AL437">
            <v>3</v>
          </cell>
        </row>
        <row r="438">
          <cell r="F438">
            <v>0.33333333333333331</v>
          </cell>
          <cell r="G438">
            <v>0</v>
          </cell>
          <cell r="P438">
            <v>0.33333333333333331</v>
          </cell>
          <cell r="V438">
            <v>0.33333333333333331</v>
          </cell>
          <cell r="W438">
            <v>0</v>
          </cell>
          <cell r="X438">
            <v>4</v>
          </cell>
          <cell r="Y438">
            <v>3</v>
          </cell>
          <cell r="AA438">
            <v>0.33333333333333331</v>
          </cell>
          <cell r="AB438">
            <v>0</v>
          </cell>
          <cell r="AC438">
            <v>2</v>
          </cell>
          <cell r="AD438">
            <v>0</v>
          </cell>
          <cell r="AK438">
            <v>1.9999999999999998</v>
          </cell>
          <cell r="AL438">
            <v>0.33333333333333331</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0</v>
          </cell>
          <cell r="AL440">
            <v>0</v>
          </cell>
        </row>
        <row r="441">
          <cell r="F441">
            <v>0</v>
          </cell>
          <cell r="G441">
            <v>0</v>
          </cell>
          <cell r="P441">
            <v>0</v>
          </cell>
          <cell r="V441">
            <v>0</v>
          </cell>
          <cell r="W441">
            <v>0</v>
          </cell>
          <cell r="X441">
            <v>0.33333333333333331</v>
          </cell>
          <cell r="Y441">
            <v>0</v>
          </cell>
          <cell r="AA441">
            <v>0</v>
          </cell>
          <cell r="AB441">
            <v>0</v>
          </cell>
          <cell r="AC441">
            <v>0.33333333333333331</v>
          </cell>
          <cell r="AD441">
            <v>0</v>
          </cell>
          <cell r="AK441">
            <v>0</v>
          </cell>
          <cell r="AL441">
            <v>0</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2</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G448">
            <v>0</v>
          </cell>
          <cell r="P448">
            <v>0</v>
          </cell>
          <cell r="X448">
            <v>0</v>
          </cell>
          <cell r="Y448">
            <v>0</v>
          </cell>
          <cell r="AC448">
            <v>0</v>
          </cell>
          <cell r="AD448">
            <v>0</v>
          </cell>
          <cell r="AK448">
            <v>0</v>
          </cell>
          <cell r="AL448">
            <v>2</v>
          </cell>
        </row>
        <row r="449">
          <cell r="P449">
            <v>0</v>
          </cell>
          <cell r="X449">
            <v>0</v>
          </cell>
          <cell r="Y449">
            <v>0</v>
          </cell>
          <cell r="AC449">
            <v>0</v>
          </cell>
          <cell r="AK449">
            <v>0</v>
          </cell>
          <cell r="AL449">
            <v>0</v>
          </cell>
        </row>
      </sheetData>
      <sheetData sheetId="14" refreshError="1">
        <row r="8">
          <cell r="S8" t="str">
            <v>ЗАТВЕРДЖУЮ</v>
          </cell>
        </row>
        <row r="23">
          <cell r="U23" t="str">
            <v>ЗАТВЕРДЖУЮ</v>
          </cell>
        </row>
        <row r="24">
          <cell r="S24" t="str">
            <v>ЗАТВЕРДЖУЮ</v>
          </cell>
        </row>
        <row r="25">
          <cell r="S25" t="str">
            <v>ГОЛОВА ПРАЛІННЯ  КЕ</v>
          </cell>
        </row>
        <row r="27">
          <cell r="U27" t="str">
            <v>ЗАТВЕРДЖУЮ</v>
          </cell>
        </row>
        <row r="28">
          <cell r="S28" t="str">
            <v xml:space="preserve">                   ПЛАЧКОВ І.В.</v>
          </cell>
          <cell r="T28" t="str">
            <v>І.В.ПЛАЧКОВ</v>
          </cell>
          <cell r="U28" t="str">
            <v>ГОЛОВА ПРАЛІННЯ АК КЕ</v>
          </cell>
        </row>
        <row r="29">
          <cell r="U29" t="str">
            <v xml:space="preserve">                      ПЛАЧКОВ І.В.</v>
          </cell>
        </row>
        <row r="31">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Q32">
            <v>248</v>
          </cell>
          <cell r="V32">
            <v>391</v>
          </cell>
        </row>
        <row r="33">
          <cell r="P33">
            <v>12306</v>
          </cell>
          <cell r="Q33">
            <v>233.6</v>
          </cell>
          <cell r="S33">
            <v>52204</v>
          </cell>
          <cell r="V33">
            <v>363.9</v>
          </cell>
          <cell r="X33">
            <v>13845</v>
          </cell>
          <cell r="AC33">
            <v>7693</v>
          </cell>
          <cell r="AF33">
            <v>19609</v>
          </cell>
        </row>
        <row r="34">
          <cell r="Q34" t="str">
            <v>КТМ</v>
          </cell>
          <cell r="V34" t="str">
            <v xml:space="preserve">ТЕЦ-5 </v>
          </cell>
          <cell r="Y34" t="str">
            <v xml:space="preserve">ТЕЦ-6 </v>
          </cell>
          <cell r="AA34" t="str">
            <v xml:space="preserve">ТЕЦ-6 </v>
          </cell>
        </row>
        <row r="35">
          <cell r="V35">
            <v>0</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V36">
            <v>3</v>
          </cell>
          <cell r="W36" t="str">
            <v>Е/Е</v>
          </cell>
          <cell r="X36" t="str">
            <v>ТЕЦ-5 ВСЬОГО</v>
          </cell>
          <cell r="Y36" t="str">
            <v>Е/Е</v>
          </cell>
          <cell r="Z36" t="str">
            <v xml:space="preserve"> Т/Е</v>
          </cell>
          <cell r="AA36" t="str">
            <v>ТЕЦ-6 ВСЬОГО</v>
          </cell>
          <cell r="AB36" t="str">
            <v>Е/Е</v>
          </cell>
          <cell r="AC36" t="str">
            <v>ТЕЦ-6 ВСЬОГО</v>
          </cell>
          <cell r="AD36" t="str">
            <v>Е/Е</v>
          </cell>
          <cell r="AE36" t="str">
            <v xml:space="preserve"> Т/Е</v>
          </cell>
          <cell r="AF36" t="str">
            <v>ТРМ ВСЬОГО</v>
          </cell>
          <cell r="AG36" t="str">
            <v>ТРМ  АК КЕ</v>
          </cell>
          <cell r="AH36" t="str">
            <v>ТРМ СТОР</v>
          </cell>
          <cell r="AK36" t="str">
            <v>АК КЕ ВСЬОГО</v>
          </cell>
          <cell r="AL36" t="str">
            <v xml:space="preserve"> Е/Е</v>
          </cell>
          <cell r="AM36" t="str">
            <v xml:space="preserve"> Т/Е</v>
          </cell>
          <cell r="AO36" t="str">
            <v>СТАНЦІї ЕЛЕКТРО</v>
          </cell>
          <cell r="AP36" t="str">
            <v>СТАНЦІІ ТЕПЛОВІ</v>
          </cell>
          <cell r="AQ36" t="str">
            <v>МЕРЕЖІ ЕЛЕКТРО</v>
          </cell>
          <cell r="AR36" t="str">
            <v>МЕРЕЖІ ТЕПЛОВІ</v>
          </cell>
        </row>
        <row r="37">
          <cell r="V37">
            <v>0</v>
          </cell>
          <cell r="AL37">
            <v>395</v>
          </cell>
        </row>
        <row r="38">
          <cell r="V38">
            <v>334</v>
          </cell>
          <cell r="AL38">
            <v>336</v>
          </cell>
        </row>
        <row r="39">
          <cell r="V39">
            <v>331</v>
          </cell>
          <cell r="AL39">
            <v>0</v>
          </cell>
        </row>
        <row r="40">
          <cell r="R40">
            <v>67</v>
          </cell>
          <cell r="W40">
            <v>261</v>
          </cell>
        </row>
        <row r="41">
          <cell r="W41">
            <v>0</v>
          </cell>
          <cell r="AL41">
            <v>0</v>
          </cell>
        </row>
        <row r="42">
          <cell r="R42">
            <v>67</v>
          </cell>
          <cell r="W42">
            <v>171</v>
          </cell>
          <cell r="AL42">
            <v>0</v>
          </cell>
        </row>
        <row r="43">
          <cell r="AL43">
            <v>395.6</v>
          </cell>
        </row>
        <row r="44">
          <cell r="P44">
            <v>0</v>
          </cell>
          <cell r="Q44" t="e">
            <v>#REF!</v>
          </cell>
          <cell r="R44" t="e">
            <v>#REF!</v>
          </cell>
          <cell r="T44">
            <v>16</v>
          </cell>
          <cell r="U44" t="e">
            <v>#REF!</v>
          </cell>
          <cell r="V44" t="e">
            <v>#REF!</v>
          </cell>
          <cell r="W44" t="e">
            <v>#REF!</v>
          </cell>
          <cell r="X44" t="e">
            <v>#REF!</v>
          </cell>
          <cell r="Y44" t="str">
            <v/>
          </cell>
          <cell r="Z44" t="e">
            <v>#REF!</v>
          </cell>
          <cell r="AA44" t="e">
            <v>#REF!</v>
          </cell>
          <cell r="AL44">
            <v>395.6</v>
          </cell>
        </row>
        <row r="45">
          <cell r="P45" t="e">
            <v>#REF!</v>
          </cell>
          <cell r="Q45" t="e">
            <v>#REF!</v>
          </cell>
          <cell r="R45" t="e">
            <v>#REF!</v>
          </cell>
          <cell r="U45" t="e">
            <v>#REF!</v>
          </cell>
          <cell r="AM45">
            <v>1580</v>
          </cell>
        </row>
        <row r="46">
          <cell r="P46" t="e">
            <v>#REF!</v>
          </cell>
          <cell r="Q46" t="e">
            <v>#REF!</v>
          </cell>
          <cell r="R46" t="e">
            <v>#REF!</v>
          </cell>
          <cell r="U46" t="e">
            <v>#REF!</v>
          </cell>
          <cell r="AM46">
            <v>0</v>
          </cell>
        </row>
        <row r="47">
          <cell r="P47" t="e">
            <v>#REF!</v>
          </cell>
          <cell r="Q47" t="e">
            <v>#REF!</v>
          </cell>
          <cell r="U47" t="e">
            <v>#REF!</v>
          </cell>
          <cell r="AM47">
            <v>1580</v>
          </cell>
        </row>
        <row r="48">
          <cell r="F48">
            <v>12311.2</v>
          </cell>
          <cell r="P48">
            <v>3642.12</v>
          </cell>
          <cell r="Q48" t="e">
            <v>#REF!</v>
          </cell>
          <cell r="R48" t="e">
            <v>#REF!</v>
          </cell>
          <cell r="S48">
            <v>4914.9412121212117</v>
          </cell>
          <cell r="T48">
            <v>2221.1818606060606</v>
          </cell>
          <cell r="U48">
            <v>2612.759351515152</v>
          </cell>
          <cell r="V48" t="e">
            <v>#REF!</v>
          </cell>
          <cell r="W48" t="e">
            <v>#REF!</v>
          </cell>
          <cell r="X48">
            <v>1941.8530303030293</v>
          </cell>
          <cell r="Y48" t="e">
            <v>#REF!</v>
          </cell>
          <cell r="Z48" t="e">
            <v>#REF!</v>
          </cell>
          <cell r="AA48" t="e">
            <v>#REF!</v>
          </cell>
          <cell r="AC48">
            <v>1753.5509090909086</v>
          </cell>
          <cell r="AF48">
            <v>3698.0493939393937</v>
          </cell>
          <cell r="AG48">
            <v>3251.35</v>
          </cell>
          <cell r="AH48">
            <v>415.69939393939387</v>
          </cell>
        </row>
        <row r="49">
          <cell r="F49">
            <v>0.85</v>
          </cell>
          <cell r="P49" t="e">
            <v>#REF!</v>
          </cell>
          <cell r="Q49" t="e">
            <v>#REF!</v>
          </cell>
          <cell r="R49" t="e">
            <v>#REF!</v>
          </cell>
          <cell r="S49">
            <v>0.85</v>
          </cell>
          <cell r="U49" t="e">
            <v>#REF!</v>
          </cell>
          <cell r="V49" t="e">
            <v>#REF!</v>
          </cell>
          <cell r="W49" t="e">
            <v>#REF!</v>
          </cell>
          <cell r="X49" t="e">
            <v>#REF!</v>
          </cell>
          <cell r="Y49" t="e">
            <v>#REF!</v>
          </cell>
          <cell r="Z49" t="e">
            <v>#REF!</v>
          </cell>
          <cell r="AA49" t="e">
            <v>#REF!</v>
          </cell>
          <cell r="AC49">
            <v>0.85</v>
          </cell>
          <cell r="AF49">
            <v>0.85</v>
          </cell>
          <cell r="AG49">
            <v>0.85</v>
          </cell>
          <cell r="AH49">
            <v>0.85</v>
          </cell>
        </row>
        <row r="50">
          <cell r="P50" t="e">
            <v>#REF!</v>
          </cell>
          <cell r="Q50" t="e">
            <v>#REF!</v>
          </cell>
          <cell r="R50" t="e">
            <v>#REF!</v>
          </cell>
          <cell r="T50">
            <v>0</v>
          </cell>
          <cell r="U50" t="e">
            <v>#REF!</v>
          </cell>
          <cell r="V50" t="e">
            <v>#REF!</v>
          </cell>
          <cell r="W50" t="e">
            <v>#REF!</v>
          </cell>
          <cell r="X50" t="e">
            <v>#REF!</v>
          </cell>
          <cell r="Y50" t="e">
            <v>#REF!</v>
          </cell>
          <cell r="Z50" t="e">
            <v>#REF!</v>
          </cell>
          <cell r="AA50" t="e">
            <v>#REF!</v>
          </cell>
        </row>
        <row r="51">
          <cell r="F51">
            <v>743</v>
          </cell>
          <cell r="G51">
            <v>321</v>
          </cell>
          <cell r="H51">
            <v>422</v>
          </cell>
          <cell r="P51">
            <v>320</v>
          </cell>
          <cell r="Q51" t="e">
            <v>#REF!</v>
          </cell>
          <cell r="R51" t="e">
            <v>#REF!</v>
          </cell>
          <cell r="S51">
            <v>931.66666666666663</v>
          </cell>
          <cell r="T51">
            <v>465.83333333333331</v>
          </cell>
          <cell r="U51">
            <v>465.83333333333331</v>
          </cell>
          <cell r="V51" t="e">
            <v>#REF!</v>
          </cell>
          <cell r="W51" t="e">
            <v>#REF!</v>
          </cell>
          <cell r="X51">
            <v>184</v>
          </cell>
          <cell r="Y51">
            <v>136</v>
          </cell>
          <cell r="Z51">
            <v>48</v>
          </cell>
          <cell r="AA51" t="e">
            <v>#REF!</v>
          </cell>
          <cell r="AB51">
            <v>38</v>
          </cell>
          <cell r="AC51">
            <v>-200</v>
          </cell>
          <cell r="AD51">
            <v>-123</v>
          </cell>
          <cell r="AE51">
            <v>-77</v>
          </cell>
          <cell r="AF51">
            <v>490.33333333333331</v>
          </cell>
          <cell r="AG51">
            <v>814</v>
          </cell>
          <cell r="AH51">
            <v>-323.66666666666669</v>
          </cell>
          <cell r="AK51">
            <v>3009.6666666666665</v>
          </cell>
          <cell r="AL51">
            <v>717</v>
          </cell>
          <cell r="AM51">
            <v>2292.6666666666665</v>
          </cell>
          <cell r="AN51">
            <v>2292.6666666666665</v>
          </cell>
          <cell r="AO51">
            <v>13</v>
          </cell>
          <cell r="AP51">
            <v>288</v>
          </cell>
          <cell r="AQ51">
            <v>704</v>
          </cell>
          <cell r="AR51">
            <v>2004.6666666666665</v>
          </cell>
        </row>
        <row r="52">
          <cell r="F52">
            <v>122</v>
          </cell>
          <cell r="G52">
            <v>53</v>
          </cell>
          <cell r="H52">
            <v>69</v>
          </cell>
          <cell r="P52">
            <v>310</v>
          </cell>
          <cell r="Q52" t="e">
            <v>#REF!</v>
          </cell>
          <cell r="R52">
            <v>0</v>
          </cell>
          <cell r="S52">
            <v>750</v>
          </cell>
          <cell r="U52" t="e">
            <v>#REF!</v>
          </cell>
          <cell r="V52" t="e">
            <v>#REF!</v>
          </cell>
          <cell r="W52" t="e">
            <v>#REF!</v>
          </cell>
          <cell r="X52">
            <v>115</v>
          </cell>
          <cell r="Y52">
            <v>85</v>
          </cell>
          <cell r="Z52">
            <v>30</v>
          </cell>
          <cell r="AA52">
            <v>100</v>
          </cell>
          <cell r="AB52">
            <v>79</v>
          </cell>
          <cell r="AC52">
            <v>110</v>
          </cell>
          <cell r="AD52">
            <v>68</v>
          </cell>
          <cell r="AE52">
            <v>42</v>
          </cell>
          <cell r="AF52">
            <v>455</v>
          </cell>
          <cell r="AG52">
            <v>714</v>
          </cell>
          <cell r="AH52">
            <v>-371</v>
          </cell>
          <cell r="AK52">
            <v>2171</v>
          </cell>
          <cell r="AL52">
            <v>531</v>
          </cell>
          <cell r="AM52">
            <v>1640</v>
          </cell>
          <cell r="AN52">
            <v>1640</v>
          </cell>
        </row>
        <row r="53">
          <cell r="G53">
            <v>0</v>
          </cell>
          <cell r="P53">
            <v>0</v>
          </cell>
          <cell r="Q53" t="e">
            <v>#REF!</v>
          </cell>
          <cell r="R53" t="e">
            <v>#REF!</v>
          </cell>
          <cell r="T53">
            <v>29</v>
          </cell>
          <cell r="U53" t="e">
            <v>#REF!</v>
          </cell>
          <cell r="V53" t="e">
            <v>#REF!</v>
          </cell>
          <cell r="W53" t="e">
            <v>#REF!</v>
          </cell>
          <cell r="X53">
            <v>0</v>
          </cell>
          <cell r="Y53">
            <v>0</v>
          </cell>
          <cell r="Z53">
            <v>0</v>
          </cell>
          <cell r="AA53" t="e">
            <v>#REF!</v>
          </cell>
          <cell r="AB53">
            <v>-238</v>
          </cell>
          <cell r="AC53">
            <v>0</v>
          </cell>
          <cell r="AD53">
            <v>0</v>
          </cell>
          <cell r="AE53">
            <v>0</v>
          </cell>
          <cell r="AH53">
            <v>0</v>
          </cell>
          <cell r="AK53">
            <v>0</v>
          </cell>
          <cell r="AL53">
            <v>0</v>
          </cell>
          <cell r="AM53">
            <v>0</v>
          </cell>
          <cell r="AN53">
            <v>0</v>
          </cell>
        </row>
        <row r="54">
          <cell r="F54">
            <v>521</v>
          </cell>
          <cell r="G54">
            <v>225</v>
          </cell>
          <cell r="H54">
            <v>296</v>
          </cell>
          <cell r="P54">
            <v>9</v>
          </cell>
          <cell r="Q54" t="e">
            <v>#REF!</v>
          </cell>
          <cell r="R54" t="e">
            <v>#REF!</v>
          </cell>
          <cell r="S54">
            <v>84</v>
          </cell>
          <cell r="T54">
            <v>686</v>
          </cell>
          <cell r="U54" t="e">
            <v>#REF!</v>
          </cell>
          <cell r="V54" t="e">
            <v>#REF!</v>
          </cell>
          <cell r="W54" t="e">
            <v>#REF!</v>
          </cell>
          <cell r="X54">
            <v>57</v>
          </cell>
          <cell r="Y54">
            <v>42</v>
          </cell>
          <cell r="Z54">
            <v>15</v>
          </cell>
          <cell r="AA54" t="e">
            <v>#REF!</v>
          </cell>
          <cell r="AB54">
            <v>37</v>
          </cell>
          <cell r="AC54">
            <v>62</v>
          </cell>
          <cell r="AD54">
            <v>38</v>
          </cell>
          <cell r="AE54">
            <v>24</v>
          </cell>
          <cell r="AF54">
            <v>32</v>
          </cell>
          <cell r="AG54">
            <v>30</v>
          </cell>
          <cell r="AH54">
            <v>2</v>
          </cell>
          <cell r="AK54">
            <v>913</v>
          </cell>
          <cell r="AL54">
            <v>358</v>
          </cell>
          <cell r="AM54">
            <v>555</v>
          </cell>
          <cell r="AN54">
            <v>555</v>
          </cell>
        </row>
        <row r="55">
          <cell r="F55">
            <v>2</v>
          </cell>
          <cell r="G55">
            <v>1</v>
          </cell>
          <cell r="H55">
            <v>1</v>
          </cell>
          <cell r="P55">
            <v>42</v>
          </cell>
          <cell r="Q55" t="e">
            <v>#REF!</v>
          </cell>
          <cell r="R55" t="e">
            <v>#REF!</v>
          </cell>
          <cell r="S55">
            <v>329</v>
          </cell>
          <cell r="T55">
            <v>256.62</v>
          </cell>
          <cell r="U55">
            <v>72.38</v>
          </cell>
          <cell r="V55" t="e">
            <v>#REF!</v>
          </cell>
          <cell r="W55" t="e">
            <v>#REF!</v>
          </cell>
          <cell r="X55">
            <v>421</v>
          </cell>
          <cell r="Y55">
            <v>311</v>
          </cell>
          <cell r="Z55">
            <v>110</v>
          </cell>
          <cell r="AA55" t="e">
            <v>#REF!</v>
          </cell>
          <cell r="AB55">
            <v>67</v>
          </cell>
          <cell r="AC55">
            <v>84</v>
          </cell>
          <cell r="AD55">
            <v>52</v>
          </cell>
          <cell r="AE55">
            <v>32</v>
          </cell>
          <cell r="AF55">
            <v>196.33333333333334</v>
          </cell>
          <cell r="AG55">
            <v>135</v>
          </cell>
          <cell r="AH55">
            <v>61.333333333333343</v>
          </cell>
          <cell r="AK55">
            <v>1013</v>
          </cell>
          <cell r="AL55">
            <v>406</v>
          </cell>
          <cell r="AM55">
            <v>607</v>
          </cell>
          <cell r="AN55">
            <v>607</v>
          </cell>
          <cell r="AO55">
            <v>363</v>
          </cell>
          <cell r="AP55">
            <v>254</v>
          </cell>
          <cell r="AQ55">
            <v>43</v>
          </cell>
          <cell r="AR55">
            <v>353</v>
          </cell>
        </row>
        <row r="56">
          <cell r="F56">
            <v>0</v>
          </cell>
          <cell r="G56">
            <v>0</v>
          </cell>
          <cell r="H56">
            <v>0</v>
          </cell>
          <cell r="P56" t="e">
            <v>#REF!</v>
          </cell>
          <cell r="Q56" t="e">
            <v>#REF!</v>
          </cell>
          <cell r="R56" t="e">
            <v>#REF!</v>
          </cell>
          <cell r="S56">
            <v>10</v>
          </cell>
          <cell r="T56">
            <v>10</v>
          </cell>
          <cell r="U56">
            <v>0</v>
          </cell>
          <cell r="V56" t="e">
            <v>#REF!</v>
          </cell>
          <cell r="W56" t="e">
            <v>#REF!</v>
          </cell>
          <cell r="X56">
            <v>336</v>
          </cell>
          <cell r="Y56">
            <v>248</v>
          </cell>
          <cell r="Z56">
            <v>88</v>
          </cell>
          <cell r="AA56">
            <v>0</v>
          </cell>
          <cell r="AB56">
            <v>11</v>
          </cell>
          <cell r="AC56">
            <v>13.333333333333334</v>
          </cell>
          <cell r="AD56">
            <v>8</v>
          </cell>
          <cell r="AE56">
            <v>5.3333333333333339</v>
          </cell>
          <cell r="AF56">
            <v>2</v>
          </cell>
          <cell r="AG56">
            <v>2</v>
          </cell>
          <cell r="AH56">
            <v>0</v>
          </cell>
          <cell r="AK56">
            <v>361.33333333333331</v>
          </cell>
          <cell r="AL56">
            <v>256</v>
          </cell>
          <cell r="AM56">
            <v>105.33333333333331</v>
          </cell>
          <cell r="AN56">
            <v>105.33333333333333</v>
          </cell>
          <cell r="AO56">
            <v>256</v>
          </cell>
          <cell r="AP56">
            <v>97</v>
          </cell>
          <cell r="AQ56">
            <v>0</v>
          </cell>
          <cell r="AR56">
            <v>8.3333333333333144</v>
          </cell>
        </row>
        <row r="57">
          <cell r="F57">
            <v>0</v>
          </cell>
          <cell r="G57">
            <v>0</v>
          </cell>
          <cell r="H57">
            <v>0</v>
          </cell>
          <cell r="P57" t="e">
            <v>#REF!</v>
          </cell>
          <cell r="Q57" t="e">
            <v>#REF!</v>
          </cell>
          <cell r="R57" t="e">
            <v>#REF!</v>
          </cell>
          <cell r="S57">
            <v>1232</v>
          </cell>
          <cell r="T57">
            <v>1232</v>
          </cell>
          <cell r="U57">
            <v>0</v>
          </cell>
          <cell r="V57" t="e">
            <v>#REF!</v>
          </cell>
          <cell r="W57" t="e">
            <v>#REF!</v>
          </cell>
          <cell r="X57">
            <v>12570</v>
          </cell>
          <cell r="Y57">
            <v>9289</v>
          </cell>
          <cell r="Z57">
            <v>3281</v>
          </cell>
          <cell r="AA57" t="e">
            <v>#REF!</v>
          </cell>
          <cell r="AB57">
            <v>8403</v>
          </cell>
          <cell r="AC57">
            <v>11165</v>
          </cell>
          <cell r="AD57">
            <v>6867</v>
          </cell>
          <cell r="AE57">
            <v>4298</v>
          </cell>
          <cell r="AH57">
            <v>0</v>
          </cell>
          <cell r="AK57">
            <v>24967</v>
          </cell>
          <cell r="AL57">
            <v>16156</v>
          </cell>
          <cell r="AM57">
            <v>8811</v>
          </cell>
          <cell r="AN57">
            <v>8811</v>
          </cell>
          <cell r="AO57">
            <v>16156</v>
          </cell>
          <cell r="AP57">
            <v>8811</v>
          </cell>
          <cell r="AQ57">
            <v>0</v>
          </cell>
          <cell r="AR57">
            <v>0</v>
          </cell>
        </row>
        <row r="58">
          <cell r="F58">
            <v>0</v>
          </cell>
          <cell r="G58">
            <v>0</v>
          </cell>
          <cell r="H58">
            <v>0</v>
          </cell>
          <cell r="P58">
            <v>0</v>
          </cell>
          <cell r="Q58" t="e">
            <v>#REF!</v>
          </cell>
          <cell r="R58" t="e">
            <v>#REF!</v>
          </cell>
          <cell r="S58">
            <v>1232</v>
          </cell>
          <cell r="T58">
            <v>1232</v>
          </cell>
          <cell r="U58">
            <v>0</v>
          </cell>
          <cell r="V58" t="e">
            <v>#REF!</v>
          </cell>
          <cell r="W58" t="e">
            <v>#REF!</v>
          </cell>
          <cell r="X58">
            <v>12570</v>
          </cell>
          <cell r="Y58">
            <v>9289</v>
          </cell>
          <cell r="Z58">
            <v>3281</v>
          </cell>
          <cell r="AA58" t="e">
            <v>#REF!</v>
          </cell>
          <cell r="AB58">
            <v>8403</v>
          </cell>
          <cell r="AC58">
            <v>11165</v>
          </cell>
          <cell r="AD58">
            <v>6867</v>
          </cell>
          <cell r="AE58">
            <v>4298</v>
          </cell>
          <cell r="AF58">
            <v>0</v>
          </cell>
          <cell r="AG58">
            <v>0</v>
          </cell>
          <cell r="AH58">
            <v>0</v>
          </cell>
          <cell r="AK58">
            <v>24967</v>
          </cell>
          <cell r="AL58">
            <v>16156</v>
          </cell>
          <cell r="AM58">
            <v>8811</v>
          </cell>
          <cell r="AN58">
            <v>8811</v>
          </cell>
          <cell r="AO58">
            <v>16156</v>
          </cell>
          <cell r="AP58">
            <v>8811</v>
          </cell>
          <cell r="AQ58">
            <v>0</v>
          </cell>
          <cell r="AR58">
            <v>0</v>
          </cell>
        </row>
        <row r="59">
          <cell r="F59">
            <v>0</v>
          </cell>
          <cell r="G59">
            <v>0</v>
          </cell>
          <cell r="H59">
            <v>0</v>
          </cell>
          <cell r="P59" t="e">
            <v>#REF!</v>
          </cell>
          <cell r="Q59" t="e">
            <v>#REF!</v>
          </cell>
          <cell r="R59" t="e">
            <v>#REF!</v>
          </cell>
          <cell r="T59">
            <v>0</v>
          </cell>
          <cell r="U59">
            <v>0</v>
          </cell>
          <cell r="V59" t="e">
            <v>#REF!</v>
          </cell>
          <cell r="W59" t="e">
            <v>#REF!</v>
          </cell>
          <cell r="Y59" t="e">
            <v>#REF!</v>
          </cell>
          <cell r="AD59">
            <v>0</v>
          </cell>
          <cell r="AE59">
            <v>0</v>
          </cell>
          <cell r="AF59">
            <v>0</v>
          </cell>
          <cell r="AH59">
            <v>0</v>
          </cell>
          <cell r="AK59">
            <v>0</v>
          </cell>
          <cell r="AL59">
            <v>0</v>
          </cell>
          <cell r="AM59">
            <v>0</v>
          </cell>
          <cell r="AN59">
            <v>0</v>
          </cell>
          <cell r="AP59">
            <v>0</v>
          </cell>
        </row>
        <row r="60">
          <cell r="F60">
            <v>7</v>
          </cell>
          <cell r="G60">
            <v>3</v>
          </cell>
          <cell r="H60">
            <v>4</v>
          </cell>
          <cell r="P60">
            <v>14</v>
          </cell>
          <cell r="Q60" t="e">
            <v>#REF!</v>
          </cell>
          <cell r="R60" t="e">
            <v>#REF!</v>
          </cell>
          <cell r="S60">
            <v>420</v>
          </cell>
          <cell r="T60">
            <v>420</v>
          </cell>
          <cell r="U60">
            <v>0</v>
          </cell>
          <cell r="V60" t="e">
            <v>#REF!</v>
          </cell>
          <cell r="W60" t="e">
            <v>#REF!</v>
          </cell>
          <cell r="X60">
            <v>0</v>
          </cell>
          <cell r="Y60">
            <v>0</v>
          </cell>
          <cell r="Z60">
            <v>0</v>
          </cell>
          <cell r="AA60">
            <v>0</v>
          </cell>
          <cell r="AB60">
            <v>0</v>
          </cell>
          <cell r="AC60">
            <v>0</v>
          </cell>
          <cell r="AD60">
            <v>0</v>
          </cell>
          <cell r="AE60">
            <v>0</v>
          </cell>
          <cell r="AF60">
            <v>670</v>
          </cell>
          <cell r="AG60">
            <v>253</v>
          </cell>
          <cell r="AH60">
            <v>417</v>
          </cell>
          <cell r="AK60">
            <v>694</v>
          </cell>
          <cell r="AL60">
            <v>17</v>
          </cell>
          <cell r="AM60">
            <v>677</v>
          </cell>
          <cell r="AN60">
            <v>677</v>
          </cell>
          <cell r="AO60">
            <v>0</v>
          </cell>
          <cell r="AP60">
            <v>143</v>
          </cell>
          <cell r="AQ60">
            <v>17</v>
          </cell>
          <cell r="AR60">
            <v>534</v>
          </cell>
        </row>
        <row r="61">
          <cell r="F61">
            <v>498.2</v>
          </cell>
          <cell r="G61">
            <v>215</v>
          </cell>
          <cell r="H61">
            <v>283.2</v>
          </cell>
          <cell r="P61">
            <v>552.62</v>
          </cell>
          <cell r="Q61" t="e">
            <v>#REF!</v>
          </cell>
          <cell r="R61" t="e">
            <v>#REF!</v>
          </cell>
          <cell r="S61">
            <v>955.87454545454557</v>
          </cell>
          <cell r="T61">
            <v>468.3785272727273</v>
          </cell>
          <cell r="U61">
            <v>487.49601818181827</v>
          </cell>
          <cell r="V61" t="e">
            <v>#REF!</v>
          </cell>
          <cell r="W61" t="e">
            <v>#REF!</v>
          </cell>
          <cell r="X61">
            <v>269.38636363636363</v>
          </cell>
          <cell r="Y61">
            <v>199</v>
          </cell>
          <cell r="Z61">
            <v>70.386363636363626</v>
          </cell>
          <cell r="AA61" t="e">
            <v>#REF!</v>
          </cell>
          <cell r="AB61">
            <v>220</v>
          </cell>
          <cell r="AC61">
            <v>257.85090909090911</v>
          </cell>
          <cell r="AD61">
            <v>159</v>
          </cell>
          <cell r="AE61">
            <v>98.850909090909113</v>
          </cell>
          <cell r="AF61">
            <v>1038.0327272727272</v>
          </cell>
          <cell r="AG61">
            <v>870</v>
          </cell>
          <cell r="AH61">
            <v>168.03272727272724</v>
          </cell>
          <cell r="AK61">
            <v>3751.9318181818185</v>
          </cell>
          <cell r="AL61">
            <v>1350.62</v>
          </cell>
          <cell r="AM61">
            <v>2401.3118181818186</v>
          </cell>
          <cell r="AN61">
            <v>2401.3118181818186</v>
          </cell>
          <cell r="AO61">
            <v>358</v>
          </cell>
          <cell r="AP61">
            <v>494</v>
          </cell>
          <cell r="AQ61">
            <v>992.61999999999989</v>
          </cell>
          <cell r="AR61">
            <v>1907.3118181818186</v>
          </cell>
        </row>
        <row r="62">
          <cell r="F62">
            <v>27</v>
          </cell>
          <cell r="G62">
            <v>12</v>
          </cell>
          <cell r="H62">
            <v>15</v>
          </cell>
          <cell r="P62">
            <v>30</v>
          </cell>
          <cell r="Q62" t="e">
            <v>#REF!</v>
          </cell>
          <cell r="R62" t="e">
            <v>#REF!</v>
          </cell>
          <cell r="S62">
            <v>53</v>
          </cell>
          <cell r="T62">
            <v>26</v>
          </cell>
          <cell r="U62">
            <v>27</v>
          </cell>
          <cell r="V62" t="e">
            <v>#REF!</v>
          </cell>
          <cell r="W62" t="e">
            <v>#REF!</v>
          </cell>
          <cell r="X62">
            <v>15</v>
          </cell>
          <cell r="Y62">
            <v>11</v>
          </cell>
          <cell r="Z62">
            <v>4</v>
          </cell>
          <cell r="AA62">
            <v>15</v>
          </cell>
          <cell r="AB62">
            <v>12</v>
          </cell>
          <cell r="AC62">
            <v>14</v>
          </cell>
          <cell r="AD62">
            <v>9</v>
          </cell>
          <cell r="AE62">
            <v>5</v>
          </cell>
          <cell r="AF62">
            <v>57</v>
          </cell>
          <cell r="AG62">
            <v>48</v>
          </cell>
          <cell r="AH62">
            <v>9</v>
          </cell>
          <cell r="AK62">
            <v>206</v>
          </cell>
          <cell r="AL62">
            <v>74</v>
          </cell>
          <cell r="AM62">
            <v>132</v>
          </cell>
          <cell r="AN62">
            <v>132</v>
          </cell>
          <cell r="AO62">
            <v>20</v>
          </cell>
          <cell r="AP62">
            <v>19</v>
          </cell>
          <cell r="AQ62">
            <v>54</v>
          </cell>
          <cell r="AR62">
            <v>113</v>
          </cell>
        </row>
        <row r="63">
          <cell r="F63">
            <v>159</v>
          </cell>
          <cell r="G63">
            <v>69</v>
          </cell>
          <cell r="H63">
            <v>90</v>
          </cell>
          <cell r="P63">
            <v>177</v>
          </cell>
          <cell r="Q63" t="e">
            <v>#REF!</v>
          </cell>
          <cell r="R63" t="e">
            <v>#REF!</v>
          </cell>
          <cell r="S63">
            <v>306</v>
          </cell>
          <cell r="T63">
            <v>150</v>
          </cell>
          <cell r="U63">
            <v>156</v>
          </cell>
          <cell r="V63" t="e">
            <v>#REF!</v>
          </cell>
          <cell r="W63" t="e">
            <v>#REF!</v>
          </cell>
          <cell r="X63">
            <v>86</v>
          </cell>
          <cell r="Y63">
            <v>64</v>
          </cell>
          <cell r="Z63">
            <v>22</v>
          </cell>
          <cell r="AA63">
            <v>89</v>
          </cell>
          <cell r="AB63">
            <v>71</v>
          </cell>
          <cell r="AC63">
            <v>83</v>
          </cell>
          <cell r="AD63">
            <v>51</v>
          </cell>
          <cell r="AE63">
            <v>32</v>
          </cell>
          <cell r="AF63">
            <v>332</v>
          </cell>
          <cell r="AG63">
            <v>278</v>
          </cell>
          <cell r="AH63">
            <v>54</v>
          </cell>
          <cell r="AK63">
            <v>1200</v>
          </cell>
          <cell r="AL63">
            <v>432</v>
          </cell>
          <cell r="AM63">
            <v>768</v>
          </cell>
          <cell r="AN63">
            <v>767</v>
          </cell>
          <cell r="AO63">
            <v>0</v>
          </cell>
          <cell r="AP63">
            <v>0</v>
          </cell>
          <cell r="AQ63">
            <v>0</v>
          </cell>
          <cell r="AR63">
            <v>0</v>
          </cell>
        </row>
        <row r="64">
          <cell r="F64">
            <v>0</v>
          </cell>
          <cell r="G64">
            <v>0</v>
          </cell>
          <cell r="P64">
            <v>0</v>
          </cell>
          <cell r="Q64" t="e">
            <v>#REF!</v>
          </cell>
          <cell r="R64" t="e">
            <v>#REF!</v>
          </cell>
          <cell r="U64" t="e">
            <v>#REF!</v>
          </cell>
          <cell r="V64" t="e">
            <v>#REF!</v>
          </cell>
          <cell r="W64" t="e">
            <v>#REF!</v>
          </cell>
          <cell r="X64">
            <v>0</v>
          </cell>
          <cell r="AD64">
            <v>0</v>
          </cell>
          <cell r="AE64">
            <v>0</v>
          </cell>
          <cell r="AH64">
            <v>0</v>
          </cell>
          <cell r="AK64">
            <v>0</v>
          </cell>
          <cell r="AN64">
            <v>0</v>
          </cell>
        </row>
        <row r="65">
          <cell r="F65">
            <v>79</v>
          </cell>
          <cell r="G65">
            <v>34</v>
          </cell>
          <cell r="H65">
            <v>45</v>
          </cell>
          <cell r="P65">
            <v>464</v>
          </cell>
          <cell r="Q65" t="e">
            <v>#REF!</v>
          </cell>
          <cell r="R65" t="e">
            <v>#REF!</v>
          </cell>
          <cell r="S65">
            <v>1018</v>
          </cell>
          <cell r="T65">
            <v>162.88</v>
          </cell>
          <cell r="U65">
            <v>855.12</v>
          </cell>
          <cell r="V65" t="e">
            <v>#REF!</v>
          </cell>
          <cell r="W65" t="e">
            <v>#REF!</v>
          </cell>
          <cell r="X65">
            <v>551</v>
          </cell>
          <cell r="Y65">
            <v>407</v>
          </cell>
          <cell r="Z65">
            <v>144</v>
          </cell>
          <cell r="AA65">
            <v>573</v>
          </cell>
          <cell r="AB65">
            <v>455</v>
          </cell>
          <cell r="AC65">
            <v>583.66666666666663</v>
          </cell>
          <cell r="AD65">
            <v>359</v>
          </cell>
          <cell r="AE65">
            <v>224.66666666666663</v>
          </cell>
          <cell r="AF65">
            <v>526</v>
          </cell>
          <cell r="AG65">
            <v>526</v>
          </cell>
          <cell r="AH65">
            <v>0</v>
          </cell>
          <cell r="AK65">
            <v>3231.6666666666665</v>
          </cell>
          <cell r="AL65">
            <v>1271</v>
          </cell>
          <cell r="AM65">
            <v>1960.6666666666665</v>
          </cell>
          <cell r="AN65">
            <v>1960.6666666666665</v>
          </cell>
          <cell r="AO65">
            <v>766</v>
          </cell>
          <cell r="AP65">
            <v>715</v>
          </cell>
          <cell r="AQ65">
            <v>505</v>
          </cell>
          <cell r="AR65">
            <v>1245.6666666666665</v>
          </cell>
        </row>
        <row r="66">
          <cell r="G66">
            <v>0</v>
          </cell>
          <cell r="P66" t="e">
            <v>#REF!</v>
          </cell>
          <cell r="Q66" t="e">
            <v>#REF!</v>
          </cell>
          <cell r="R66" t="e">
            <v>#REF!</v>
          </cell>
          <cell r="T66">
            <v>16</v>
          </cell>
          <cell r="U66">
            <v>86</v>
          </cell>
          <cell r="V66" t="e">
            <v>#REF!</v>
          </cell>
          <cell r="W66" t="e">
            <v>#REF!</v>
          </cell>
          <cell r="AD66">
            <v>0</v>
          </cell>
          <cell r="AE66">
            <v>0</v>
          </cell>
          <cell r="AH66">
            <v>0</v>
          </cell>
          <cell r="AK66">
            <v>0</v>
          </cell>
          <cell r="AN66">
            <v>0</v>
          </cell>
          <cell r="AO66">
            <v>77</v>
          </cell>
          <cell r="AP66">
            <v>72</v>
          </cell>
          <cell r="AQ66">
            <v>51</v>
          </cell>
          <cell r="AR66">
            <v>125</v>
          </cell>
        </row>
        <row r="67">
          <cell r="F67">
            <v>84</v>
          </cell>
          <cell r="G67">
            <v>36</v>
          </cell>
          <cell r="H67">
            <v>48</v>
          </cell>
          <cell r="P67">
            <v>464</v>
          </cell>
          <cell r="Q67" t="e">
            <v>#REF!</v>
          </cell>
          <cell r="R67" t="e">
            <v>#REF!</v>
          </cell>
          <cell r="S67">
            <v>1018</v>
          </cell>
          <cell r="U67" t="e">
            <v>#REF!</v>
          </cell>
          <cell r="V67" t="e">
            <v>#REF!</v>
          </cell>
          <cell r="W67" t="e">
            <v>#REF!</v>
          </cell>
          <cell r="X67">
            <v>85</v>
          </cell>
          <cell r="AA67">
            <v>300</v>
          </cell>
          <cell r="AC67">
            <v>60</v>
          </cell>
          <cell r="AD67">
            <v>37</v>
          </cell>
          <cell r="AE67">
            <v>23</v>
          </cell>
          <cell r="AF67">
            <v>31</v>
          </cell>
          <cell r="AG67">
            <v>31</v>
          </cell>
          <cell r="AH67">
            <v>0</v>
          </cell>
          <cell r="AK67">
            <v>724</v>
          </cell>
          <cell r="AL67">
            <v>537</v>
          </cell>
          <cell r="AM67">
            <v>187</v>
          </cell>
          <cell r="AN67">
            <v>102</v>
          </cell>
          <cell r="AP67">
            <v>23</v>
          </cell>
        </row>
        <row r="68">
          <cell r="F68">
            <v>0</v>
          </cell>
          <cell r="G68">
            <v>0</v>
          </cell>
          <cell r="P68">
            <v>0</v>
          </cell>
          <cell r="Q68" t="e">
            <v>#REF!</v>
          </cell>
          <cell r="R68" t="e">
            <v>#REF!</v>
          </cell>
          <cell r="S68">
            <v>0</v>
          </cell>
          <cell r="T68">
            <v>12</v>
          </cell>
          <cell r="U68" t="e">
            <v>#REF!</v>
          </cell>
          <cell r="V68" t="e">
            <v>#REF!</v>
          </cell>
          <cell r="W68" t="e">
            <v>#REF!</v>
          </cell>
          <cell r="X68">
            <v>0</v>
          </cell>
          <cell r="Y68" t="e">
            <v>#REF!</v>
          </cell>
          <cell r="Z68" t="e">
            <v>#REF!</v>
          </cell>
          <cell r="AA68" t="e">
            <v>#REF!</v>
          </cell>
          <cell r="AB68">
            <v>0</v>
          </cell>
          <cell r="AC68">
            <v>0</v>
          </cell>
          <cell r="AD68">
            <v>0</v>
          </cell>
          <cell r="AE68">
            <v>0</v>
          </cell>
          <cell r="AH68">
            <v>0</v>
          </cell>
          <cell r="AK68">
            <v>0</v>
          </cell>
          <cell r="AL68">
            <v>0</v>
          </cell>
          <cell r="AM68">
            <v>0</v>
          </cell>
          <cell r="AN68">
            <v>0</v>
          </cell>
          <cell r="AP68">
            <v>0</v>
          </cell>
        </row>
        <row r="69">
          <cell r="F69">
            <v>0</v>
          </cell>
          <cell r="G69">
            <v>0</v>
          </cell>
          <cell r="H69">
            <v>-3</v>
          </cell>
          <cell r="P69">
            <v>0</v>
          </cell>
          <cell r="Q69" t="e">
            <v>#REF!</v>
          </cell>
          <cell r="S69">
            <v>1018</v>
          </cell>
          <cell r="T69">
            <v>146.88</v>
          </cell>
          <cell r="U69">
            <v>769.12</v>
          </cell>
          <cell r="V69" t="e">
            <v>#REF!</v>
          </cell>
          <cell r="W69" t="e">
            <v>#REF!</v>
          </cell>
          <cell r="X69">
            <v>466</v>
          </cell>
          <cell r="Y69">
            <v>407</v>
          </cell>
          <cell r="Z69">
            <v>144</v>
          </cell>
          <cell r="AA69" t="e">
            <v>#REF!</v>
          </cell>
          <cell r="AB69">
            <v>455</v>
          </cell>
          <cell r="AC69">
            <v>523.66666666666663</v>
          </cell>
          <cell r="AD69">
            <v>322</v>
          </cell>
          <cell r="AE69">
            <v>201.66666666666663</v>
          </cell>
          <cell r="AF69">
            <v>495</v>
          </cell>
          <cell r="AG69">
            <v>526</v>
          </cell>
          <cell r="AH69">
            <v>0</v>
          </cell>
          <cell r="AK69">
            <v>2543.6666666666665</v>
          </cell>
          <cell r="AN69">
            <v>1889.6666666666665</v>
          </cell>
          <cell r="AO69">
            <v>689</v>
          </cell>
          <cell r="AP69">
            <v>620</v>
          </cell>
          <cell r="AQ69">
            <v>454</v>
          </cell>
          <cell r="AR69">
            <v>1120.6666666666665</v>
          </cell>
        </row>
        <row r="70">
          <cell r="F70">
            <v>241</v>
          </cell>
          <cell r="G70">
            <v>104</v>
          </cell>
          <cell r="H70">
            <v>137</v>
          </cell>
          <cell r="P70">
            <v>671.5</v>
          </cell>
          <cell r="Q70" t="e">
            <v>#REF!</v>
          </cell>
          <cell r="R70" t="e">
            <v>#REF!</v>
          </cell>
          <cell r="S70">
            <v>1737.3999999999999</v>
          </cell>
          <cell r="T70">
            <v>434.34999999999997</v>
          </cell>
          <cell r="U70">
            <v>1303.05</v>
          </cell>
          <cell r="V70" t="e">
            <v>#REF!</v>
          </cell>
          <cell r="W70" t="e">
            <v>#REF!</v>
          </cell>
          <cell r="X70">
            <v>890.8</v>
          </cell>
          <cell r="Y70">
            <v>658</v>
          </cell>
          <cell r="Z70">
            <v>232.79999999999995</v>
          </cell>
          <cell r="AA70" t="e">
            <v>#REF!</v>
          </cell>
          <cell r="AB70">
            <v>1410</v>
          </cell>
          <cell r="AC70">
            <v>1354.7</v>
          </cell>
          <cell r="AD70">
            <v>833</v>
          </cell>
          <cell r="AE70">
            <v>521.70000000000005</v>
          </cell>
          <cell r="AF70">
            <v>665.35</v>
          </cell>
          <cell r="AG70">
            <v>665.35</v>
          </cell>
          <cell r="AH70">
            <v>0</v>
          </cell>
          <cell r="AK70">
            <v>5560.75</v>
          </cell>
          <cell r="AL70">
            <v>2266.5</v>
          </cell>
          <cell r="AM70">
            <v>3294.25</v>
          </cell>
          <cell r="AN70">
            <v>3294.2499999999995</v>
          </cell>
          <cell r="AO70">
            <v>1491</v>
          </cell>
          <cell r="AP70">
            <v>1345</v>
          </cell>
          <cell r="AQ70">
            <v>775.5</v>
          </cell>
          <cell r="AR70">
            <v>1949.25</v>
          </cell>
        </row>
        <row r="71">
          <cell r="G71">
            <v>0</v>
          </cell>
          <cell r="H71">
            <v>0</v>
          </cell>
          <cell r="P71">
            <v>55</v>
          </cell>
          <cell r="Q71" t="e">
            <v>#REF!</v>
          </cell>
          <cell r="R71" t="e">
            <v>#REF!</v>
          </cell>
          <cell r="S71">
            <v>422.54545454545456</v>
          </cell>
          <cell r="U71" t="e">
            <v>#REF!</v>
          </cell>
          <cell r="V71" t="e">
            <v>#REF!</v>
          </cell>
          <cell r="W71" t="e">
            <v>#REF!</v>
          </cell>
          <cell r="X71">
            <v>196.36363636363637</v>
          </cell>
          <cell r="Y71">
            <v>145</v>
          </cell>
          <cell r="Z71">
            <v>51.363636363636374</v>
          </cell>
          <cell r="AA71" t="e">
            <v>#REF!</v>
          </cell>
          <cell r="AB71">
            <v>125</v>
          </cell>
          <cell r="AC71">
            <v>130.90909090909091</v>
          </cell>
          <cell r="AD71">
            <v>81</v>
          </cell>
          <cell r="AE71">
            <v>49.909090909090907</v>
          </cell>
          <cell r="AF71">
            <v>216.72727272727272</v>
          </cell>
          <cell r="AG71">
            <v>217</v>
          </cell>
          <cell r="AH71">
            <v>-0.27272727272728048</v>
          </cell>
          <cell r="AK71">
            <v>1021.8181818181819</v>
          </cell>
          <cell r="AL71">
            <v>281</v>
          </cell>
          <cell r="AM71">
            <v>740.81818181818187</v>
          </cell>
          <cell r="AN71">
            <v>740.81818181818187</v>
          </cell>
        </row>
        <row r="72">
          <cell r="F72">
            <v>0</v>
          </cell>
          <cell r="G72">
            <v>0</v>
          </cell>
          <cell r="H72">
            <v>0</v>
          </cell>
          <cell r="P72">
            <v>3</v>
          </cell>
          <cell r="Q72" t="e">
            <v>#REF!</v>
          </cell>
          <cell r="S72">
            <v>23</v>
          </cell>
          <cell r="U72" t="e">
            <v>#REF!</v>
          </cell>
          <cell r="V72" t="e">
            <v>#REF!</v>
          </cell>
          <cell r="W72" t="e">
            <v>#REF!</v>
          </cell>
          <cell r="X72">
            <v>11</v>
          </cell>
          <cell r="Y72">
            <v>8</v>
          </cell>
          <cell r="Z72">
            <v>3</v>
          </cell>
          <cell r="AA72" t="e">
            <v>#REF!</v>
          </cell>
          <cell r="AB72">
            <v>7</v>
          </cell>
          <cell r="AC72">
            <v>7</v>
          </cell>
          <cell r="AD72">
            <v>4</v>
          </cell>
          <cell r="AE72">
            <v>3</v>
          </cell>
          <cell r="AF72">
            <v>12</v>
          </cell>
          <cell r="AG72">
            <v>12</v>
          </cell>
          <cell r="AH72">
            <v>0</v>
          </cell>
          <cell r="AK72">
            <v>56</v>
          </cell>
          <cell r="AL72">
            <v>15</v>
          </cell>
          <cell r="AM72">
            <v>41</v>
          </cell>
          <cell r="AN72">
            <v>41</v>
          </cell>
        </row>
        <row r="73">
          <cell r="F73">
            <v>0</v>
          </cell>
          <cell r="G73">
            <v>0</v>
          </cell>
          <cell r="H73">
            <v>0</v>
          </cell>
          <cell r="P73">
            <v>18</v>
          </cell>
          <cell r="Q73" t="e">
            <v>#REF!</v>
          </cell>
          <cell r="S73">
            <v>135</v>
          </cell>
          <cell r="U73" t="e">
            <v>#REF!</v>
          </cell>
          <cell r="V73" t="e">
            <v>#REF!</v>
          </cell>
          <cell r="W73" t="e">
            <v>#REF!</v>
          </cell>
          <cell r="X73">
            <v>63</v>
          </cell>
          <cell r="Y73">
            <v>47</v>
          </cell>
          <cell r="Z73">
            <v>16</v>
          </cell>
          <cell r="AA73">
            <v>50</v>
          </cell>
          <cell r="AB73">
            <v>40</v>
          </cell>
          <cell r="AC73">
            <v>42</v>
          </cell>
          <cell r="AD73">
            <v>26</v>
          </cell>
          <cell r="AE73">
            <v>16</v>
          </cell>
          <cell r="AF73">
            <v>69</v>
          </cell>
          <cell r="AG73">
            <v>69</v>
          </cell>
          <cell r="AH73">
            <v>0</v>
          </cell>
          <cell r="AK73">
            <v>327</v>
          </cell>
          <cell r="AL73">
            <v>91</v>
          </cell>
          <cell r="AM73">
            <v>236</v>
          </cell>
          <cell r="AN73">
            <v>236</v>
          </cell>
        </row>
        <row r="74">
          <cell r="F74">
            <v>0</v>
          </cell>
          <cell r="G74">
            <v>0</v>
          </cell>
          <cell r="P74">
            <v>120</v>
          </cell>
          <cell r="Q74" t="e">
            <v>#REF!</v>
          </cell>
          <cell r="R74" t="e">
            <v>#REF!</v>
          </cell>
          <cell r="U74" t="e">
            <v>#REF!</v>
          </cell>
          <cell r="V74" t="e">
            <v>#REF!</v>
          </cell>
          <cell r="W74" t="e">
            <v>#REF!</v>
          </cell>
          <cell r="X74">
            <v>0</v>
          </cell>
          <cell r="AA74">
            <v>0</v>
          </cell>
          <cell r="AC74">
            <v>0</v>
          </cell>
          <cell r="AD74">
            <v>0</v>
          </cell>
          <cell r="AE74">
            <v>0</v>
          </cell>
          <cell r="AF74">
            <v>0</v>
          </cell>
          <cell r="AG74">
            <v>0</v>
          </cell>
          <cell r="AH74">
            <v>0</v>
          </cell>
          <cell r="AK74">
            <v>120</v>
          </cell>
          <cell r="AL74">
            <v>120</v>
          </cell>
          <cell r="AM74">
            <v>0</v>
          </cell>
          <cell r="AN74">
            <v>0</v>
          </cell>
        </row>
        <row r="75">
          <cell r="G75">
            <v>0</v>
          </cell>
          <cell r="P75">
            <v>671.5</v>
          </cell>
          <cell r="Q75" t="e">
            <v>#REF!</v>
          </cell>
          <cell r="R75" t="e">
            <v>#REF!</v>
          </cell>
          <cell r="S75">
            <v>0</v>
          </cell>
          <cell r="T75">
            <v>1129</v>
          </cell>
          <cell r="U75" t="e">
            <v>#REF!</v>
          </cell>
          <cell r="V75" t="e">
            <v>#REF!</v>
          </cell>
          <cell r="W75" t="e">
            <v>#REF!</v>
          </cell>
          <cell r="X75">
            <v>0</v>
          </cell>
          <cell r="Y75">
            <v>0</v>
          </cell>
          <cell r="Z75">
            <v>0</v>
          </cell>
          <cell r="AA75" t="e">
            <v>#REF!</v>
          </cell>
          <cell r="AB75">
            <v>0</v>
          </cell>
          <cell r="AC75">
            <v>0</v>
          </cell>
          <cell r="AD75">
            <v>0</v>
          </cell>
          <cell r="AE75">
            <v>0</v>
          </cell>
          <cell r="AF75">
            <v>0</v>
          </cell>
          <cell r="AG75">
            <v>0</v>
          </cell>
          <cell r="AH75">
            <v>0</v>
          </cell>
          <cell r="AK75">
            <v>671.5</v>
          </cell>
          <cell r="AL75">
            <v>671.5</v>
          </cell>
          <cell r="AM75">
            <v>0</v>
          </cell>
          <cell r="AN75">
            <v>0</v>
          </cell>
        </row>
        <row r="76">
          <cell r="G76">
            <v>0</v>
          </cell>
          <cell r="P76">
            <v>1075</v>
          </cell>
          <cell r="S76">
            <v>0</v>
          </cell>
          <cell r="U76" t="e">
            <v>#REF!</v>
          </cell>
          <cell r="V76" t="e">
            <v>#REF!</v>
          </cell>
          <cell r="W76" t="e">
            <v>#REF!</v>
          </cell>
          <cell r="X76">
            <v>0</v>
          </cell>
          <cell r="Y76" t="e">
            <v>#VALUE!</v>
          </cell>
          <cell r="Z76">
            <v>0</v>
          </cell>
          <cell r="AA76" t="e">
            <v>#REF!</v>
          </cell>
          <cell r="AB76">
            <v>0</v>
          </cell>
          <cell r="AC76">
            <v>300</v>
          </cell>
          <cell r="AD76">
            <v>185</v>
          </cell>
          <cell r="AE76">
            <v>115</v>
          </cell>
          <cell r="AH76">
            <v>0</v>
          </cell>
          <cell r="AK76">
            <v>1375</v>
          </cell>
          <cell r="AL76">
            <v>1260</v>
          </cell>
          <cell r="AM76">
            <v>115</v>
          </cell>
          <cell r="AN76">
            <v>115</v>
          </cell>
        </row>
        <row r="77">
          <cell r="F77">
            <v>3252</v>
          </cell>
          <cell r="G77">
            <v>1406</v>
          </cell>
          <cell r="H77">
            <v>1846</v>
          </cell>
          <cell r="P77">
            <v>86</v>
          </cell>
          <cell r="S77">
            <v>101</v>
          </cell>
          <cell r="T77">
            <v>0</v>
          </cell>
          <cell r="U77">
            <v>101</v>
          </cell>
          <cell r="V77">
            <v>110</v>
          </cell>
          <cell r="W77">
            <v>89</v>
          </cell>
          <cell r="X77">
            <v>120</v>
          </cell>
          <cell r="Y77">
            <v>89</v>
          </cell>
          <cell r="Z77">
            <v>31</v>
          </cell>
          <cell r="AA77">
            <v>119</v>
          </cell>
          <cell r="AB77">
            <v>80</v>
          </cell>
          <cell r="AC77">
            <v>100</v>
          </cell>
          <cell r="AD77">
            <v>62</v>
          </cell>
          <cell r="AE77">
            <v>38</v>
          </cell>
          <cell r="AF77">
            <v>210</v>
          </cell>
          <cell r="AG77">
            <v>181</v>
          </cell>
          <cell r="AH77">
            <v>29</v>
          </cell>
          <cell r="AK77">
            <v>4541</v>
          </cell>
          <cell r="AL77">
            <v>2509</v>
          </cell>
          <cell r="AM77">
            <v>2032</v>
          </cell>
          <cell r="AN77">
            <v>2413</v>
          </cell>
          <cell r="AO77">
            <v>151</v>
          </cell>
          <cell r="AP77">
            <v>69</v>
          </cell>
          <cell r="AQ77">
            <v>1977</v>
          </cell>
          <cell r="AR77">
            <v>1963</v>
          </cell>
        </row>
        <row r="78">
          <cell r="F78">
            <v>316</v>
          </cell>
          <cell r="G78">
            <v>137</v>
          </cell>
          <cell r="H78">
            <v>179</v>
          </cell>
          <cell r="T78">
            <v>0</v>
          </cell>
          <cell r="U78">
            <v>0</v>
          </cell>
          <cell r="V78" t="e">
            <v>#REF!</v>
          </cell>
          <cell r="W78">
            <v>0</v>
          </cell>
          <cell r="X78">
            <v>0</v>
          </cell>
          <cell r="Y78">
            <v>0</v>
          </cell>
          <cell r="Z78">
            <v>0</v>
          </cell>
          <cell r="AA78">
            <v>0</v>
          </cell>
          <cell r="AC78">
            <v>18</v>
          </cell>
          <cell r="AD78">
            <v>0</v>
          </cell>
          <cell r="AE78">
            <v>0</v>
          </cell>
          <cell r="AH78">
            <v>0</v>
          </cell>
          <cell r="AK78">
            <v>316</v>
          </cell>
          <cell r="AL78">
            <v>137</v>
          </cell>
          <cell r="AM78">
            <v>179</v>
          </cell>
          <cell r="AN78">
            <v>179</v>
          </cell>
          <cell r="AO78">
            <v>0</v>
          </cell>
          <cell r="AP78">
            <v>0</v>
          </cell>
          <cell r="AQ78">
            <v>137</v>
          </cell>
          <cell r="AR78">
            <v>179</v>
          </cell>
        </row>
        <row r="79">
          <cell r="F79">
            <v>2936</v>
          </cell>
          <cell r="G79">
            <v>1269</v>
          </cell>
          <cell r="H79">
            <v>1667</v>
          </cell>
          <cell r="P79">
            <v>86</v>
          </cell>
          <cell r="Q79" t="e">
            <v>#REF!</v>
          </cell>
          <cell r="R79" t="e">
            <v>#REF!</v>
          </cell>
          <cell r="S79">
            <v>0</v>
          </cell>
          <cell r="T79">
            <v>0</v>
          </cell>
          <cell r="U79">
            <v>0</v>
          </cell>
          <cell r="V79" t="e">
            <v>#REF!</v>
          </cell>
          <cell r="W79" t="e">
            <v>#REF!</v>
          </cell>
          <cell r="X79">
            <v>120</v>
          </cell>
          <cell r="Y79">
            <v>89</v>
          </cell>
          <cell r="Z79">
            <v>31</v>
          </cell>
          <cell r="AA79" t="e">
            <v>#REF!</v>
          </cell>
          <cell r="AB79">
            <v>80</v>
          </cell>
          <cell r="AC79">
            <v>100</v>
          </cell>
          <cell r="AD79">
            <v>62</v>
          </cell>
          <cell r="AE79">
            <v>38</v>
          </cell>
          <cell r="AF79">
            <v>210</v>
          </cell>
          <cell r="AG79">
            <v>181</v>
          </cell>
          <cell r="AH79">
            <v>29</v>
          </cell>
          <cell r="AK79">
            <v>4124</v>
          </cell>
          <cell r="AL79">
            <v>1991</v>
          </cell>
          <cell r="AM79">
            <v>2133</v>
          </cell>
          <cell r="AN79">
            <v>2133</v>
          </cell>
          <cell r="AO79">
            <v>151</v>
          </cell>
          <cell r="AP79">
            <v>69</v>
          </cell>
          <cell r="AQ79">
            <v>1840</v>
          </cell>
          <cell r="AR79">
            <v>2064</v>
          </cell>
        </row>
        <row r="80">
          <cell r="F80">
            <v>191</v>
          </cell>
          <cell r="G80">
            <v>83</v>
          </cell>
          <cell r="H80">
            <v>108</v>
          </cell>
          <cell r="P80">
            <v>40</v>
          </cell>
          <cell r="S80">
            <v>0</v>
          </cell>
          <cell r="T80">
            <v>0</v>
          </cell>
          <cell r="U80">
            <v>0</v>
          </cell>
          <cell r="V80" t="e">
            <v>#REF!</v>
          </cell>
          <cell r="W80" t="e">
            <v>#REF!</v>
          </cell>
          <cell r="X80">
            <v>74</v>
          </cell>
          <cell r="Y80">
            <v>55</v>
          </cell>
          <cell r="Z80">
            <v>19</v>
          </cell>
          <cell r="AA80" t="e">
            <v>#REF!</v>
          </cell>
          <cell r="AB80">
            <v>29</v>
          </cell>
          <cell r="AC80">
            <v>36</v>
          </cell>
          <cell r="AD80">
            <v>22</v>
          </cell>
          <cell r="AE80">
            <v>14</v>
          </cell>
          <cell r="AF80">
            <v>138</v>
          </cell>
          <cell r="AG80">
            <v>96</v>
          </cell>
          <cell r="AH80">
            <v>42</v>
          </cell>
          <cell r="AK80">
            <v>770</v>
          </cell>
          <cell r="AL80">
            <v>522</v>
          </cell>
          <cell r="AM80">
            <v>248</v>
          </cell>
          <cell r="AN80">
            <v>248</v>
          </cell>
          <cell r="AR80">
            <v>248</v>
          </cell>
        </row>
        <row r="81">
          <cell r="F81">
            <v>33</v>
          </cell>
          <cell r="G81">
            <v>14</v>
          </cell>
          <cell r="H81">
            <v>19</v>
          </cell>
          <cell r="P81">
            <v>0</v>
          </cell>
          <cell r="S81">
            <v>0</v>
          </cell>
          <cell r="U81" t="e">
            <v>#REF!</v>
          </cell>
          <cell r="V81" t="e">
            <v>#REF!</v>
          </cell>
          <cell r="W81" t="e">
            <v>#REF!</v>
          </cell>
          <cell r="X81">
            <v>0</v>
          </cell>
          <cell r="Y81">
            <v>0</v>
          </cell>
          <cell r="Z81" t="e">
            <v>#REF!</v>
          </cell>
          <cell r="AA81" t="e">
            <v>#REF!</v>
          </cell>
          <cell r="AD81">
            <v>0</v>
          </cell>
          <cell r="AE81">
            <v>0</v>
          </cell>
          <cell r="AK81">
            <v>389</v>
          </cell>
          <cell r="AL81">
            <v>170</v>
          </cell>
          <cell r="AM81">
            <v>219</v>
          </cell>
          <cell r="AN81">
            <v>219</v>
          </cell>
          <cell r="AR81">
            <v>219</v>
          </cell>
        </row>
        <row r="82">
          <cell r="F82">
            <v>338</v>
          </cell>
          <cell r="G82">
            <v>146</v>
          </cell>
          <cell r="H82">
            <v>192</v>
          </cell>
          <cell r="P82">
            <v>25</v>
          </cell>
          <cell r="Q82" t="e">
            <v>#REF!</v>
          </cell>
          <cell r="R82" t="e">
            <v>#REF!</v>
          </cell>
          <cell r="S82">
            <v>50</v>
          </cell>
          <cell r="T82">
            <v>33</v>
          </cell>
          <cell r="U82">
            <v>17</v>
          </cell>
          <cell r="V82" t="e">
            <v>#REF!</v>
          </cell>
          <cell r="W82" t="e">
            <v>#REF!</v>
          </cell>
          <cell r="X82">
            <v>21</v>
          </cell>
          <cell r="Y82">
            <v>16</v>
          </cell>
          <cell r="Z82">
            <v>5</v>
          </cell>
          <cell r="AA82" t="e">
            <v>#REF!</v>
          </cell>
          <cell r="AB82">
            <v>21</v>
          </cell>
          <cell r="AC82">
            <v>25</v>
          </cell>
          <cell r="AD82">
            <v>15</v>
          </cell>
          <cell r="AE82">
            <v>10</v>
          </cell>
          <cell r="AF82">
            <v>32</v>
          </cell>
          <cell r="AG82">
            <v>55</v>
          </cell>
          <cell r="AH82">
            <v>-23</v>
          </cell>
          <cell r="AK82">
            <v>518</v>
          </cell>
          <cell r="AL82">
            <v>204</v>
          </cell>
          <cell r="AM82">
            <v>314</v>
          </cell>
          <cell r="AN82">
            <v>313</v>
          </cell>
        </row>
        <row r="83">
          <cell r="F83">
            <v>482</v>
          </cell>
          <cell r="G83">
            <v>208</v>
          </cell>
          <cell r="H83">
            <v>274</v>
          </cell>
          <cell r="P83">
            <v>21</v>
          </cell>
          <cell r="S83">
            <v>51</v>
          </cell>
          <cell r="T83">
            <v>33.660000000000004</v>
          </cell>
          <cell r="U83">
            <v>17.339999999999996</v>
          </cell>
          <cell r="V83" t="e">
            <v>#REF!</v>
          </cell>
          <cell r="W83" t="e">
            <v>#REF!</v>
          </cell>
          <cell r="X83">
            <v>25</v>
          </cell>
          <cell r="Y83">
            <v>18</v>
          </cell>
          <cell r="Z83">
            <v>7</v>
          </cell>
          <cell r="AA83" t="e">
            <v>#REF!</v>
          </cell>
          <cell r="AB83">
            <v>31</v>
          </cell>
          <cell r="AC83">
            <v>39</v>
          </cell>
          <cell r="AD83">
            <v>24</v>
          </cell>
          <cell r="AE83">
            <v>15</v>
          </cell>
          <cell r="AF83">
            <v>40</v>
          </cell>
          <cell r="AG83">
            <v>30</v>
          </cell>
          <cell r="AH83">
            <v>10</v>
          </cell>
          <cell r="AK83">
            <v>657</v>
          </cell>
          <cell r="AL83">
            <v>276</v>
          </cell>
          <cell r="AM83">
            <v>381</v>
          </cell>
          <cell r="AN83">
            <v>381</v>
          </cell>
        </row>
        <row r="84">
          <cell r="F84">
            <v>881</v>
          </cell>
          <cell r="G84">
            <v>381</v>
          </cell>
          <cell r="H84">
            <v>500</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cell r="AK84">
            <v>881</v>
          </cell>
          <cell r="AL84">
            <v>381</v>
          </cell>
          <cell r="AM84">
            <v>500</v>
          </cell>
          <cell r="AN84">
            <v>500</v>
          </cell>
        </row>
        <row r="85">
          <cell r="F85">
            <v>13</v>
          </cell>
          <cell r="G85">
            <v>0</v>
          </cell>
          <cell r="H85">
            <v>0</v>
          </cell>
          <cell r="P85">
            <v>14</v>
          </cell>
          <cell r="Q85" t="e">
            <v>#REF!</v>
          </cell>
          <cell r="R85" t="e">
            <v>#REF!</v>
          </cell>
          <cell r="S85">
            <v>1</v>
          </cell>
          <cell r="T85">
            <v>1129</v>
          </cell>
          <cell r="U85" t="e">
            <v>#REF!</v>
          </cell>
          <cell r="V85" t="e">
            <v>#REF!</v>
          </cell>
          <cell r="W85" t="e">
            <v>#REF!</v>
          </cell>
          <cell r="X85" t="e">
            <v>#REF!</v>
          </cell>
          <cell r="Y85" t="e">
            <v>#VALUE!</v>
          </cell>
          <cell r="Z85" t="e">
            <v>#REF!</v>
          </cell>
          <cell r="AA85" t="e">
            <v>#REF!</v>
          </cell>
          <cell r="AC85">
            <v>10</v>
          </cell>
          <cell r="AF85">
            <v>53</v>
          </cell>
          <cell r="AG85">
            <v>51</v>
          </cell>
          <cell r="AH85">
            <v>2</v>
          </cell>
          <cell r="AK85">
            <v>76</v>
          </cell>
          <cell r="AL85">
            <v>14</v>
          </cell>
          <cell r="AM85">
            <v>62</v>
          </cell>
          <cell r="AN85">
            <v>52</v>
          </cell>
        </row>
        <row r="86">
          <cell r="F86">
            <v>5008.2</v>
          </cell>
          <cell r="G86">
            <v>2165</v>
          </cell>
          <cell r="H86">
            <v>2843.2</v>
          </cell>
          <cell r="P86">
            <v>2357.12</v>
          </cell>
          <cell r="Q86">
            <v>0</v>
          </cell>
          <cell r="R86">
            <v>0</v>
          </cell>
          <cell r="S86">
            <v>7083.9412121212117</v>
          </cell>
          <cell r="T86">
            <v>3616.0618606060607</v>
          </cell>
          <cell r="U86">
            <v>3467.8793515151519</v>
          </cell>
          <cell r="V86" t="e">
            <v>#REF!</v>
          </cell>
          <cell r="W86" t="e">
            <v>#REF!</v>
          </cell>
          <cell r="X86">
            <v>15107.186363636363</v>
          </cell>
          <cell r="Y86">
            <v>11164</v>
          </cell>
          <cell r="Z86">
            <v>3943.1863636363632</v>
          </cell>
          <cell r="AA86">
            <v>0</v>
          </cell>
          <cell r="AB86">
            <v>0</v>
          </cell>
          <cell r="AC86">
            <v>13442.217575757575</v>
          </cell>
          <cell r="AD86">
            <v>8269</v>
          </cell>
          <cell r="AE86">
            <v>5173.217575757576</v>
          </cell>
          <cell r="AF86">
            <v>4185.0493939393937</v>
          </cell>
          <cell r="AG86">
            <v>3770.35</v>
          </cell>
          <cell r="AH86">
            <v>414.69939393939387</v>
          </cell>
          <cell r="AK86">
            <v>48175.015151515152</v>
          </cell>
          <cell r="AL86">
            <v>25199.119999999999</v>
          </cell>
          <cell r="AM86">
            <v>22975.895151515153</v>
          </cell>
          <cell r="AN86">
            <v>23355.895151515149</v>
          </cell>
          <cell r="AO86">
            <v>19318</v>
          </cell>
          <cell r="AP86">
            <v>12138</v>
          </cell>
          <cell r="AQ86">
            <v>5068.12</v>
          </cell>
          <cell r="AR86">
            <v>10069.895151515151</v>
          </cell>
        </row>
        <row r="87">
          <cell r="F87">
            <v>684.2</v>
          </cell>
          <cell r="G87">
            <v>296</v>
          </cell>
          <cell r="H87">
            <v>388.2</v>
          </cell>
          <cell r="P87">
            <v>607.62</v>
          </cell>
          <cell r="Q87">
            <v>0</v>
          </cell>
          <cell r="R87">
            <v>0</v>
          </cell>
          <cell r="S87" t="e">
            <v>#REF!</v>
          </cell>
          <cell r="T87">
            <v>468.3785272727273</v>
          </cell>
          <cell r="U87">
            <v>487.49601818181827</v>
          </cell>
          <cell r="V87">
            <v>0</v>
          </cell>
          <cell r="W87">
            <v>0</v>
          </cell>
          <cell r="X87">
            <v>98.949999999999989</v>
          </cell>
          <cell r="Y87">
            <v>344</v>
          </cell>
          <cell r="Z87">
            <v>121.75</v>
          </cell>
          <cell r="AA87">
            <v>0</v>
          </cell>
          <cell r="AB87">
            <v>0</v>
          </cell>
          <cell r="AC87">
            <v>89.66</v>
          </cell>
          <cell r="AD87">
            <v>314</v>
          </cell>
          <cell r="AE87">
            <v>126.86000000000001</v>
          </cell>
          <cell r="AH87">
            <v>167.75999999999996</v>
          </cell>
          <cell r="AK87">
            <v>4773.75</v>
          </cell>
          <cell r="AL87">
            <v>1631.62</v>
          </cell>
          <cell r="AM87">
            <v>3142.1300000000006</v>
          </cell>
          <cell r="AN87">
            <v>678.95</v>
          </cell>
        </row>
        <row r="88">
          <cell r="G88">
            <v>0</v>
          </cell>
          <cell r="P88" t="e">
            <v>#REF!</v>
          </cell>
          <cell r="S88" t="e">
            <v>#REF!</v>
          </cell>
          <cell r="U88" t="e">
            <v>#REF!</v>
          </cell>
          <cell r="AL88">
            <v>24819.119999999995</v>
          </cell>
          <cell r="AN88">
            <v>0</v>
          </cell>
        </row>
        <row r="89">
          <cell r="F89">
            <v>4580</v>
          </cell>
          <cell r="G89">
            <v>4580</v>
          </cell>
          <cell r="P89" t="e">
            <v>#REF!</v>
          </cell>
          <cell r="S89" t="e">
            <v>#REF!</v>
          </cell>
          <cell r="U89" t="e">
            <v>#REF!</v>
          </cell>
          <cell r="AA89" t="str">
            <v>`</v>
          </cell>
          <cell r="AK89">
            <v>4580</v>
          </cell>
          <cell r="AL89">
            <v>4580</v>
          </cell>
          <cell r="AM89">
            <v>0</v>
          </cell>
          <cell r="AN89">
            <v>0</v>
          </cell>
          <cell r="AO89">
            <v>0</v>
          </cell>
          <cell r="AP89">
            <v>0</v>
          </cell>
          <cell r="AQ89">
            <v>0</v>
          </cell>
          <cell r="AR89">
            <v>0</v>
          </cell>
        </row>
        <row r="90">
          <cell r="F90">
            <v>9588.2000000000007</v>
          </cell>
          <cell r="G90">
            <v>6745</v>
          </cell>
          <cell r="H90">
            <v>2843.2</v>
          </cell>
          <cell r="P90">
            <v>2357.12</v>
          </cell>
          <cell r="Q90">
            <v>0</v>
          </cell>
          <cell r="R90">
            <v>0</v>
          </cell>
          <cell r="S90">
            <v>7083.9412121212117</v>
          </cell>
          <cell r="T90">
            <v>3616.0618606060607</v>
          </cell>
          <cell r="U90">
            <v>3467.8793515151519</v>
          </cell>
          <cell r="V90">
            <v>0</v>
          </cell>
          <cell r="W90">
            <v>0</v>
          </cell>
          <cell r="X90">
            <v>15107.186363636363</v>
          </cell>
          <cell r="Y90">
            <v>11164</v>
          </cell>
          <cell r="Z90">
            <v>3943.1863636363632</v>
          </cell>
          <cell r="AA90">
            <v>0</v>
          </cell>
          <cell r="AB90">
            <v>0</v>
          </cell>
          <cell r="AC90">
            <v>13442.217575757575</v>
          </cell>
          <cell r="AD90">
            <v>8269</v>
          </cell>
          <cell r="AE90">
            <v>5173.217575757576</v>
          </cell>
          <cell r="AF90">
            <v>4185.0493939393937</v>
          </cell>
          <cell r="AG90">
            <v>3770.35</v>
          </cell>
          <cell r="AH90">
            <v>414.69939393939387</v>
          </cell>
          <cell r="AK90">
            <v>52755.015151515152</v>
          </cell>
          <cell r="AL90">
            <v>29779.119999999999</v>
          </cell>
          <cell r="AM90">
            <v>22975.895151515153</v>
          </cell>
          <cell r="AN90">
            <v>23355.895151515149</v>
          </cell>
          <cell r="AO90">
            <v>19318</v>
          </cell>
          <cell r="AP90">
            <v>12138</v>
          </cell>
          <cell r="AQ90">
            <v>5068.12</v>
          </cell>
          <cell r="AR90">
            <v>10069.895151515151</v>
          </cell>
        </row>
        <row r="91">
          <cell r="F91">
            <v>0</v>
          </cell>
          <cell r="G91">
            <v>0</v>
          </cell>
          <cell r="H91">
            <v>0</v>
          </cell>
          <cell r="P91" t="e">
            <v>#REF!</v>
          </cell>
          <cell r="S91" t="e">
            <v>#REF!</v>
          </cell>
          <cell r="U91" t="e">
            <v>#REF!</v>
          </cell>
          <cell r="AH91">
            <v>0</v>
          </cell>
          <cell r="AM91">
            <v>0</v>
          </cell>
          <cell r="AN91">
            <v>0</v>
          </cell>
          <cell r="AO91">
            <v>0</v>
          </cell>
          <cell r="AP91">
            <v>0</v>
          </cell>
          <cell r="AQ91">
            <v>0</v>
          </cell>
          <cell r="AR91">
            <v>-1</v>
          </cell>
        </row>
        <row r="92">
          <cell r="F92">
            <v>443</v>
          </cell>
          <cell r="G92">
            <v>365</v>
          </cell>
          <cell r="H92">
            <v>78</v>
          </cell>
          <cell r="P92" t="e">
            <v>#REF!</v>
          </cell>
          <cell r="S92" t="e">
            <v>#REF!</v>
          </cell>
          <cell r="U92" t="e">
            <v>#REF!</v>
          </cell>
          <cell r="AH92">
            <v>0</v>
          </cell>
          <cell r="AK92">
            <v>443</v>
          </cell>
          <cell r="AL92">
            <v>365</v>
          </cell>
          <cell r="AM92">
            <v>78</v>
          </cell>
          <cell r="AN92">
            <v>78</v>
          </cell>
          <cell r="AO92">
            <v>0</v>
          </cell>
          <cell r="AP92">
            <v>0</v>
          </cell>
          <cell r="AQ92">
            <v>14.685323595390063</v>
          </cell>
          <cell r="AR92">
            <v>14.69595948716276</v>
          </cell>
        </row>
        <row r="93">
          <cell r="F93">
            <v>30</v>
          </cell>
          <cell r="G93">
            <v>19.414141414141412</v>
          </cell>
          <cell r="H93">
            <v>10.585858585858588</v>
          </cell>
          <cell r="P93" t="e">
            <v>#REF!</v>
          </cell>
          <cell r="S93">
            <v>0</v>
          </cell>
          <cell r="T93">
            <v>0</v>
          </cell>
          <cell r="U93">
            <v>0</v>
          </cell>
          <cell r="V93">
            <v>0</v>
          </cell>
          <cell r="W93">
            <v>0</v>
          </cell>
          <cell r="X93">
            <v>0</v>
          </cell>
          <cell r="Y93">
            <v>0</v>
          </cell>
          <cell r="Z93">
            <v>0</v>
          </cell>
          <cell r="AA93">
            <v>0</v>
          </cell>
          <cell r="AB93">
            <v>0</v>
          </cell>
          <cell r="AC93">
            <v>0</v>
          </cell>
          <cell r="AD93">
            <v>0</v>
          </cell>
          <cell r="AE93">
            <v>0</v>
          </cell>
          <cell r="AH93">
            <v>0</v>
          </cell>
          <cell r="AK93">
            <v>30</v>
          </cell>
          <cell r="AL93">
            <v>19.414141414141412</v>
          </cell>
          <cell r="AM93">
            <v>10.585858585858588</v>
          </cell>
          <cell r="AN93">
            <v>10.585858585858588</v>
          </cell>
          <cell r="AO93">
            <v>0</v>
          </cell>
          <cell r="AP93">
            <v>0</v>
          </cell>
          <cell r="AQ93">
            <v>0</v>
          </cell>
          <cell r="AR93">
            <v>0</v>
          </cell>
        </row>
        <row r="94">
          <cell r="F94">
            <v>37</v>
          </cell>
          <cell r="G94">
            <v>23.944107744107743</v>
          </cell>
          <cell r="H94">
            <v>13.055892255892257</v>
          </cell>
          <cell r="P94">
            <v>62</v>
          </cell>
          <cell r="S94">
            <v>81</v>
          </cell>
          <cell r="U94" t="e">
            <v>#REF!</v>
          </cell>
          <cell r="V94">
            <v>-129</v>
          </cell>
          <cell r="W94">
            <v>-105</v>
          </cell>
          <cell r="X94">
            <v>-129.33333333333334</v>
          </cell>
          <cell r="Y94">
            <v>-96</v>
          </cell>
          <cell r="Z94">
            <v>-33.333333333333343</v>
          </cell>
          <cell r="AA94">
            <v>0</v>
          </cell>
          <cell r="AB94">
            <v>0</v>
          </cell>
          <cell r="AC94">
            <v>0</v>
          </cell>
          <cell r="AD94">
            <v>0</v>
          </cell>
          <cell r="AE94">
            <v>0</v>
          </cell>
          <cell r="AF94">
            <v>8</v>
          </cell>
          <cell r="AG94">
            <v>7</v>
          </cell>
          <cell r="AH94">
            <v>1</v>
          </cell>
          <cell r="AK94">
            <v>57.666666666666657</v>
          </cell>
          <cell r="AL94">
            <v>-10.05589225589226</v>
          </cell>
          <cell r="AM94">
            <v>67.722558922558918</v>
          </cell>
          <cell r="AN94">
            <v>67.722558922558918</v>
          </cell>
          <cell r="AO94">
            <v>-96</v>
          </cell>
          <cell r="AP94">
            <v>-11</v>
          </cell>
          <cell r="AQ94">
            <v>85.94410774410774</v>
          </cell>
          <cell r="AR94">
            <v>78.722558922558918</v>
          </cell>
        </row>
        <row r="95">
          <cell r="P95" t="e">
            <v>#REF!</v>
          </cell>
          <cell r="S95" t="e">
            <v>#REF!</v>
          </cell>
          <cell r="U95" t="e">
            <v>#REF!</v>
          </cell>
          <cell r="AN95">
            <v>0</v>
          </cell>
        </row>
        <row r="96">
          <cell r="P96" t="e">
            <v>#REF!</v>
          </cell>
          <cell r="S96" t="e">
            <v>#REF!</v>
          </cell>
          <cell r="U96" t="e">
            <v>#REF!</v>
          </cell>
          <cell r="AN96">
            <v>0</v>
          </cell>
        </row>
        <row r="97">
          <cell r="F97">
            <v>10098.200000000001</v>
          </cell>
          <cell r="G97">
            <v>7153.3582491582492</v>
          </cell>
          <cell r="H97">
            <v>2944.8417508417506</v>
          </cell>
          <cell r="P97">
            <v>2419.12</v>
          </cell>
          <cell r="Q97">
            <v>0</v>
          </cell>
          <cell r="R97">
            <v>0</v>
          </cell>
          <cell r="S97">
            <v>7164.9412121212117</v>
          </cell>
          <cell r="T97">
            <v>3616.0618606060607</v>
          </cell>
          <cell r="U97">
            <v>3467.8793515151519</v>
          </cell>
          <cell r="V97">
            <v>0</v>
          </cell>
          <cell r="W97">
            <v>0</v>
          </cell>
          <cell r="X97">
            <v>14977.853030303029</v>
          </cell>
          <cell r="Y97">
            <v>11068</v>
          </cell>
          <cell r="Z97">
            <v>3909.8530303030298</v>
          </cell>
          <cell r="AA97">
            <v>0</v>
          </cell>
          <cell r="AB97">
            <v>0</v>
          </cell>
          <cell r="AC97">
            <v>13442.217575757575</v>
          </cell>
          <cell r="AD97">
            <v>8269</v>
          </cell>
          <cell r="AE97">
            <v>5173.217575757576</v>
          </cell>
          <cell r="AF97">
            <v>4193.0493939393937</v>
          </cell>
          <cell r="AG97">
            <v>3777.35</v>
          </cell>
          <cell r="AH97">
            <v>415.69939393939387</v>
          </cell>
          <cell r="AK97">
            <v>53285.681818181816</v>
          </cell>
          <cell r="AL97">
            <v>30153.478249158248</v>
          </cell>
          <cell r="AM97">
            <v>23132.203569023572</v>
          </cell>
          <cell r="AN97">
            <v>23512.203569023568</v>
          </cell>
          <cell r="AO97">
            <v>19222</v>
          </cell>
          <cell r="AP97">
            <v>12127</v>
          </cell>
          <cell r="AQ97">
            <v>5168.7494313394982</v>
          </cell>
          <cell r="AR97">
            <v>10162.313669924872</v>
          </cell>
        </row>
        <row r="98">
          <cell r="F98">
            <v>4473</v>
          </cell>
          <cell r="G98">
            <v>2317.6703910614524</v>
          </cell>
          <cell r="H98">
            <v>2155.3296089385476</v>
          </cell>
          <cell r="P98" t="e">
            <v>#REF!</v>
          </cell>
          <cell r="Q98">
            <v>0</v>
          </cell>
          <cell r="R98">
            <v>0</v>
          </cell>
          <cell r="S98" t="e">
            <v>#REF!</v>
          </cell>
          <cell r="T98">
            <v>2783.7147999999997</v>
          </cell>
          <cell r="U98" t="e">
            <v>#REF!</v>
          </cell>
          <cell r="V98">
            <v>3047.1318181818187</v>
          </cell>
          <cell r="W98">
            <v>2471</v>
          </cell>
          <cell r="X98">
            <v>576.13181818181829</v>
          </cell>
          <cell r="Y98">
            <v>0</v>
          </cell>
          <cell r="Z98">
            <v>0</v>
          </cell>
          <cell r="AA98">
            <v>2982.5690909090908</v>
          </cell>
          <cell r="AB98">
            <v>2353</v>
          </cell>
          <cell r="AC98">
            <v>629.56909090909085</v>
          </cell>
          <cell r="AD98">
            <v>1785</v>
          </cell>
          <cell r="AE98">
            <v>724.87515151515208</v>
          </cell>
          <cell r="AF98">
            <v>4438.8781818181815</v>
          </cell>
          <cell r="AG98">
            <v>3590.3</v>
          </cell>
          <cell r="AH98">
            <v>848.57818181818175</v>
          </cell>
          <cell r="AK98">
            <v>24455.140909090907</v>
          </cell>
          <cell r="AL98">
            <v>11110.290391061448</v>
          </cell>
          <cell r="AM98">
            <v>13344.850518029456</v>
          </cell>
          <cell r="AN98">
            <v>13766.850518029456</v>
          </cell>
          <cell r="AO98">
            <v>4704</v>
          </cell>
          <cell r="AP98">
            <v>3182</v>
          </cell>
          <cell r="AQ98">
            <v>5179.5709186145641</v>
          </cell>
          <cell r="AR98">
            <v>9343.4348160198533</v>
          </cell>
        </row>
        <row r="99">
          <cell r="F99">
            <v>5518.2000000000007</v>
          </cell>
          <cell r="G99">
            <v>2573.3582491582492</v>
          </cell>
          <cell r="H99">
            <v>2944.8417508417506</v>
          </cell>
          <cell r="P99">
            <v>2419.12</v>
          </cell>
          <cell r="Q99">
            <v>0</v>
          </cell>
          <cell r="R99">
            <v>0</v>
          </cell>
          <cell r="S99">
            <v>5932.9412121212117</v>
          </cell>
          <cell r="T99">
            <v>2384.0618606060607</v>
          </cell>
          <cell r="U99">
            <v>3467.8793515151519</v>
          </cell>
          <cell r="V99">
            <v>0</v>
          </cell>
          <cell r="W99">
            <v>0</v>
          </cell>
          <cell r="X99">
            <v>2407.8530303030293</v>
          </cell>
          <cell r="Y99">
            <v>1779</v>
          </cell>
          <cell r="Z99">
            <v>628.85303030302975</v>
          </cell>
          <cell r="AA99">
            <v>0</v>
          </cell>
          <cell r="AB99">
            <v>0</v>
          </cell>
          <cell r="AC99">
            <v>2277.2175757575751</v>
          </cell>
          <cell r="AD99">
            <v>1402</v>
          </cell>
          <cell r="AE99">
            <v>875.21757575757601</v>
          </cell>
          <cell r="AF99">
            <v>4193.0493939393937</v>
          </cell>
          <cell r="AG99">
            <v>3777.35</v>
          </cell>
          <cell r="AH99">
            <v>415.69939393939387</v>
          </cell>
          <cell r="AK99">
            <v>23738.681818181816</v>
          </cell>
          <cell r="AL99">
            <v>9417.4782491582482</v>
          </cell>
          <cell r="AM99">
            <v>14321.203569023572</v>
          </cell>
          <cell r="AN99">
            <v>14701.20356902357</v>
          </cell>
          <cell r="AO99">
            <v>3066</v>
          </cell>
          <cell r="AP99">
            <v>3316</v>
          </cell>
          <cell r="AQ99">
            <v>5168.7494313394982</v>
          </cell>
          <cell r="AR99">
            <v>10162.313669924872</v>
          </cell>
        </row>
        <row r="100">
          <cell r="F100">
            <v>-1308</v>
          </cell>
          <cell r="P100">
            <v>1687</v>
          </cell>
          <cell r="S100">
            <v>4262</v>
          </cell>
          <cell r="U100" t="e">
            <v>#REF!</v>
          </cell>
          <cell r="V100">
            <v>80</v>
          </cell>
          <cell r="X100">
            <v>85</v>
          </cell>
          <cell r="AA100">
            <v>300</v>
          </cell>
          <cell r="AC100">
            <v>60</v>
          </cell>
          <cell r="AF100">
            <v>-904.4</v>
          </cell>
          <cell r="AG100">
            <v>0</v>
          </cell>
          <cell r="AH100">
            <v>-904.4</v>
          </cell>
          <cell r="AK100">
            <v>4792.8</v>
          </cell>
          <cell r="AL100">
            <v>53285.681818181816</v>
          </cell>
          <cell r="AM100">
            <v>34771.290391061455</v>
          </cell>
        </row>
        <row r="101">
          <cell r="F101">
            <v>0</v>
          </cell>
          <cell r="P101">
            <v>464</v>
          </cell>
          <cell r="S101">
            <v>4262</v>
          </cell>
          <cell r="U101">
            <v>0</v>
          </cell>
          <cell r="V101">
            <v>0</v>
          </cell>
          <cell r="W101">
            <v>0</v>
          </cell>
          <cell r="X101">
            <v>100</v>
          </cell>
          <cell r="AA101">
            <v>300</v>
          </cell>
          <cell r="AC101">
            <v>60</v>
          </cell>
          <cell r="AF101">
            <v>0</v>
          </cell>
          <cell r="AG101">
            <v>0</v>
          </cell>
          <cell r="AH101">
            <v>0</v>
          </cell>
          <cell r="AK101">
            <v>4886</v>
          </cell>
          <cell r="AL101">
            <v>53285.681818181823</v>
          </cell>
          <cell r="AM101">
            <v>29773.478249158248</v>
          </cell>
        </row>
        <row r="102">
          <cell r="F102">
            <v>0</v>
          </cell>
          <cell r="P102">
            <v>900</v>
          </cell>
          <cell r="S102">
            <v>620</v>
          </cell>
          <cell r="U102" t="e">
            <v>#REF!</v>
          </cell>
          <cell r="V102">
            <v>0</v>
          </cell>
          <cell r="X102">
            <v>100</v>
          </cell>
          <cell r="AA102">
            <v>0</v>
          </cell>
          <cell r="AC102">
            <v>60</v>
          </cell>
          <cell r="AF102">
            <v>0</v>
          </cell>
          <cell r="AG102">
            <v>0</v>
          </cell>
          <cell r="AH102">
            <v>0</v>
          </cell>
          <cell r="AK102">
            <v>1680</v>
          </cell>
        </row>
        <row r="103">
          <cell r="F103">
            <v>-1308</v>
          </cell>
          <cell r="P103">
            <v>1223</v>
          </cell>
          <cell r="S103">
            <v>0</v>
          </cell>
          <cell r="U103" t="e">
            <v>#REF!</v>
          </cell>
          <cell r="X103">
            <v>0</v>
          </cell>
          <cell r="AC103">
            <v>0</v>
          </cell>
          <cell r="AF103">
            <v>-904.4</v>
          </cell>
          <cell r="AG103">
            <v>0</v>
          </cell>
          <cell r="AH103">
            <v>-904.4</v>
          </cell>
          <cell r="AK103">
            <v>-78.200000000000045</v>
          </cell>
        </row>
        <row r="104">
          <cell r="P104" t="e">
            <v>#REF!</v>
          </cell>
          <cell r="S104" t="e">
            <v>#REF!</v>
          </cell>
          <cell r="U104" t="e">
            <v>#REF!</v>
          </cell>
        </row>
        <row r="105">
          <cell r="P105">
            <v>1075</v>
          </cell>
          <cell r="S105">
            <v>0</v>
          </cell>
          <cell r="V105">
            <v>0</v>
          </cell>
          <cell r="X105">
            <v>0</v>
          </cell>
          <cell r="AC105">
            <v>300</v>
          </cell>
          <cell r="AK105">
            <v>1375</v>
          </cell>
        </row>
        <row r="106">
          <cell r="P106">
            <v>550</v>
          </cell>
          <cell r="S106">
            <v>0</v>
          </cell>
          <cell r="U106">
            <v>9142</v>
          </cell>
          <cell r="V106" t="e">
            <v>#REF!</v>
          </cell>
          <cell r="X106">
            <v>0</v>
          </cell>
        </row>
        <row r="107">
          <cell r="P107">
            <v>800</v>
          </cell>
          <cell r="U107">
            <v>0</v>
          </cell>
          <cell r="AK107">
            <v>0</v>
          </cell>
        </row>
        <row r="108">
          <cell r="P108" t="e">
            <v>#REF!</v>
          </cell>
          <cell r="Q108">
            <v>0</v>
          </cell>
          <cell r="R108">
            <v>0</v>
          </cell>
          <cell r="S108" t="e">
            <v>#REF!</v>
          </cell>
          <cell r="T108">
            <v>0</v>
          </cell>
          <cell r="U108" t="e">
            <v>#REF!</v>
          </cell>
          <cell r="V108" t="e">
            <v>#REF!</v>
          </cell>
          <cell r="X108">
            <v>0</v>
          </cell>
          <cell r="Y108">
            <v>0</v>
          </cell>
          <cell r="Z108">
            <v>0</v>
          </cell>
          <cell r="AA108">
            <v>0</v>
          </cell>
          <cell r="AK108">
            <v>0</v>
          </cell>
        </row>
        <row r="109">
          <cell r="F109">
            <v>0</v>
          </cell>
          <cell r="P109" t="e">
            <v>#REF!</v>
          </cell>
          <cell r="S109" t="e">
            <v>#REF!</v>
          </cell>
          <cell r="T109">
            <v>0</v>
          </cell>
          <cell r="U109" t="e">
            <v>#REF!</v>
          </cell>
          <cell r="V109">
            <v>0</v>
          </cell>
          <cell r="X109">
            <v>0</v>
          </cell>
          <cell r="AA109">
            <v>0</v>
          </cell>
          <cell r="AC109">
            <v>0</v>
          </cell>
          <cell r="AF109">
            <v>0</v>
          </cell>
          <cell r="AG109">
            <v>0</v>
          </cell>
          <cell r="AH109">
            <v>0</v>
          </cell>
          <cell r="AK109">
            <v>0</v>
          </cell>
        </row>
        <row r="110">
          <cell r="F110">
            <v>-1308</v>
          </cell>
          <cell r="P110">
            <v>1223</v>
          </cell>
          <cell r="S110">
            <v>0</v>
          </cell>
          <cell r="U110" t="e">
            <v>#REF!</v>
          </cell>
          <cell r="X110">
            <v>0</v>
          </cell>
          <cell r="AA110">
            <v>0</v>
          </cell>
          <cell r="AC110">
            <v>0</v>
          </cell>
          <cell r="AF110">
            <v>0</v>
          </cell>
          <cell r="AG110">
            <v>0</v>
          </cell>
          <cell r="AH110">
            <v>0</v>
          </cell>
          <cell r="AK110">
            <v>-85</v>
          </cell>
        </row>
        <row r="111">
          <cell r="F111">
            <v>-1308</v>
          </cell>
          <cell r="P111">
            <v>1223</v>
          </cell>
          <cell r="S111">
            <v>0</v>
          </cell>
          <cell r="U111" t="e">
            <v>#REF!</v>
          </cell>
          <cell r="AA111">
            <v>0</v>
          </cell>
          <cell r="AC111">
            <v>0</v>
          </cell>
          <cell r="AF111">
            <v>0</v>
          </cell>
          <cell r="AG111">
            <v>0</v>
          </cell>
          <cell r="AH111">
            <v>0</v>
          </cell>
          <cell r="AK111">
            <v>-85</v>
          </cell>
        </row>
        <row r="112">
          <cell r="F112">
            <v>0</v>
          </cell>
          <cell r="P112">
            <v>0</v>
          </cell>
          <cell r="S112">
            <v>0</v>
          </cell>
          <cell r="U112" t="e">
            <v>#REF!</v>
          </cell>
          <cell r="V112" t="e">
            <v>#REF!</v>
          </cell>
          <cell r="W112" t="e">
            <v>#REF!</v>
          </cell>
          <cell r="X112">
            <v>0</v>
          </cell>
          <cell r="AA112">
            <v>0</v>
          </cell>
          <cell r="AC112">
            <v>0</v>
          </cell>
          <cell r="AF112">
            <v>0</v>
          </cell>
          <cell r="AG112">
            <v>0</v>
          </cell>
          <cell r="AH112">
            <v>0</v>
          </cell>
          <cell r="AK112">
            <v>0</v>
          </cell>
        </row>
        <row r="113">
          <cell r="F113">
            <v>0</v>
          </cell>
          <cell r="P113">
            <v>0</v>
          </cell>
          <cell r="S113">
            <v>0</v>
          </cell>
          <cell r="V113">
            <v>0</v>
          </cell>
          <cell r="X113">
            <v>0</v>
          </cell>
          <cell r="AA113">
            <v>0</v>
          </cell>
          <cell r="AC113">
            <v>0</v>
          </cell>
          <cell r="AF113">
            <v>0</v>
          </cell>
          <cell r="AG113">
            <v>0</v>
          </cell>
          <cell r="AH113">
            <v>0</v>
          </cell>
          <cell r="AK113">
            <v>0</v>
          </cell>
        </row>
        <row r="114">
          <cell r="F114">
            <v>0</v>
          </cell>
          <cell r="P114">
            <v>0</v>
          </cell>
          <cell r="S114">
            <v>0</v>
          </cell>
          <cell r="U114">
            <v>0</v>
          </cell>
          <cell r="X114">
            <v>0</v>
          </cell>
          <cell r="AA114">
            <v>0</v>
          </cell>
          <cell r="AC114">
            <v>0</v>
          </cell>
          <cell r="AF114">
            <v>0</v>
          </cell>
          <cell r="AG114">
            <v>0</v>
          </cell>
          <cell r="AH114">
            <v>0</v>
          </cell>
          <cell r="AK114">
            <v>0</v>
          </cell>
        </row>
        <row r="115">
          <cell r="F115">
            <v>0</v>
          </cell>
          <cell r="P115">
            <v>0</v>
          </cell>
          <cell r="S115">
            <v>0</v>
          </cell>
          <cell r="V115">
            <v>0</v>
          </cell>
          <cell r="X115">
            <v>0</v>
          </cell>
          <cell r="AA115">
            <v>0</v>
          </cell>
          <cell r="AC115">
            <v>0</v>
          </cell>
          <cell r="AF115">
            <v>0</v>
          </cell>
          <cell r="AG115">
            <v>0</v>
          </cell>
          <cell r="AH115">
            <v>0</v>
          </cell>
          <cell r="AK115">
            <v>0</v>
          </cell>
        </row>
        <row r="116">
          <cell r="F116">
            <v>0</v>
          </cell>
          <cell r="P116">
            <v>0</v>
          </cell>
          <cell r="S116">
            <v>0</v>
          </cell>
          <cell r="X116">
            <v>0</v>
          </cell>
          <cell r="AA116">
            <v>0</v>
          </cell>
          <cell r="AC116">
            <v>0</v>
          </cell>
          <cell r="AF116">
            <v>0</v>
          </cell>
          <cell r="AG116">
            <v>0</v>
          </cell>
          <cell r="AH116">
            <v>0</v>
          </cell>
          <cell r="AK116">
            <v>0</v>
          </cell>
          <cell r="AM116">
            <v>0</v>
          </cell>
        </row>
        <row r="117">
          <cell r="F117">
            <v>0</v>
          </cell>
          <cell r="P117">
            <v>0</v>
          </cell>
          <cell r="S117">
            <v>0</v>
          </cell>
          <cell r="U117" t="e">
            <v>#REF!</v>
          </cell>
          <cell r="W117" t="e">
            <v>#REF!</v>
          </cell>
          <cell r="X117">
            <v>0</v>
          </cell>
          <cell r="Z117">
            <v>0</v>
          </cell>
          <cell r="AC117">
            <v>0</v>
          </cell>
          <cell r="AG117">
            <v>0</v>
          </cell>
          <cell r="AH117">
            <v>0</v>
          </cell>
          <cell r="AK117">
            <v>0</v>
          </cell>
          <cell r="AM117">
            <v>0</v>
          </cell>
        </row>
        <row r="118">
          <cell r="F118">
            <v>0</v>
          </cell>
          <cell r="P118">
            <v>0</v>
          </cell>
          <cell r="S118">
            <v>0</v>
          </cell>
          <cell r="U118" t="e">
            <v>#REF!</v>
          </cell>
          <cell r="X118">
            <v>0</v>
          </cell>
          <cell r="AA118">
            <v>0</v>
          </cell>
          <cell r="AC118">
            <v>0</v>
          </cell>
          <cell r="AG118">
            <v>0</v>
          </cell>
          <cell r="AH118">
            <v>0</v>
          </cell>
          <cell r="AK118">
            <v>0</v>
          </cell>
          <cell r="AL118">
            <v>0</v>
          </cell>
          <cell r="AM118">
            <v>0</v>
          </cell>
        </row>
        <row r="119">
          <cell r="F119">
            <v>0</v>
          </cell>
          <cell r="P119">
            <v>0</v>
          </cell>
          <cell r="S119">
            <v>0</v>
          </cell>
          <cell r="U119" t="e">
            <v>#REF!</v>
          </cell>
          <cell r="X119" t="e">
            <v>#DIV/0!</v>
          </cell>
          <cell r="AA119">
            <v>0</v>
          </cell>
          <cell r="AC119">
            <v>0</v>
          </cell>
          <cell r="AG119">
            <v>0</v>
          </cell>
          <cell r="AH119">
            <v>0</v>
          </cell>
          <cell r="AK119">
            <v>0</v>
          </cell>
          <cell r="AL119">
            <v>0</v>
          </cell>
          <cell r="AM119">
            <v>0</v>
          </cell>
        </row>
        <row r="120">
          <cell r="F120">
            <v>0</v>
          </cell>
          <cell r="P120">
            <v>0</v>
          </cell>
          <cell r="S120">
            <v>0</v>
          </cell>
          <cell r="U120" t="e">
            <v>#REF!</v>
          </cell>
          <cell r="X120" t="e">
            <v>#REF!</v>
          </cell>
          <cell r="AA120">
            <v>0</v>
          </cell>
          <cell r="AC120">
            <v>0</v>
          </cell>
          <cell r="AF120">
            <v>0</v>
          </cell>
          <cell r="AG120">
            <v>0</v>
          </cell>
          <cell r="AH120">
            <v>0</v>
          </cell>
          <cell r="AK120">
            <v>0</v>
          </cell>
        </row>
        <row r="121">
          <cell r="F121">
            <v>0</v>
          </cell>
          <cell r="P121">
            <v>0</v>
          </cell>
          <cell r="S121">
            <v>0</v>
          </cell>
          <cell r="U121">
            <v>0</v>
          </cell>
          <cell r="V121">
            <v>0</v>
          </cell>
          <cell r="X121">
            <v>0</v>
          </cell>
          <cell r="AA121">
            <v>0</v>
          </cell>
          <cell r="AC121">
            <v>0</v>
          </cell>
          <cell r="AF121">
            <v>0</v>
          </cell>
          <cell r="AG121">
            <v>0</v>
          </cell>
          <cell r="AH121">
            <v>0</v>
          </cell>
          <cell r="AK121">
            <v>0</v>
          </cell>
        </row>
        <row r="122">
          <cell r="F122">
            <v>595</v>
          </cell>
          <cell r="P122">
            <v>0</v>
          </cell>
          <cell r="S122">
            <v>0</v>
          </cell>
          <cell r="X122">
            <v>0</v>
          </cell>
          <cell r="AC122">
            <v>0</v>
          </cell>
          <cell r="AG122">
            <v>0</v>
          </cell>
          <cell r="AH122">
            <v>0</v>
          </cell>
          <cell r="AK122">
            <v>0</v>
          </cell>
        </row>
        <row r="123">
          <cell r="F123">
            <v>100</v>
          </cell>
          <cell r="S123">
            <v>0</v>
          </cell>
          <cell r="U123">
            <v>7.59</v>
          </cell>
          <cell r="V123">
            <v>0</v>
          </cell>
          <cell r="X123" t="e">
            <v>#DIV/0!</v>
          </cell>
          <cell r="AF123">
            <v>0</v>
          </cell>
          <cell r="AK123">
            <v>100</v>
          </cell>
        </row>
        <row r="124">
          <cell r="F124">
            <v>3400</v>
          </cell>
          <cell r="S124">
            <v>0</v>
          </cell>
          <cell r="U124">
            <v>0</v>
          </cell>
          <cell r="X124">
            <v>0</v>
          </cell>
          <cell r="AF124">
            <v>0</v>
          </cell>
          <cell r="AK124">
            <v>0</v>
          </cell>
        </row>
        <row r="125">
          <cell r="F125">
            <v>3500</v>
          </cell>
          <cell r="T125">
            <v>0</v>
          </cell>
          <cell r="U125" t="e">
            <v>#REF!</v>
          </cell>
          <cell r="X125" t="e">
            <v>#VALUE!</v>
          </cell>
          <cell r="AC125">
            <v>500</v>
          </cell>
          <cell r="AK125">
            <v>4000</v>
          </cell>
        </row>
        <row r="126">
          <cell r="F126">
            <v>2000</v>
          </cell>
          <cell r="U126">
            <v>25363</v>
          </cell>
          <cell r="V126">
            <v>25363</v>
          </cell>
          <cell r="AK126">
            <v>0</v>
          </cell>
          <cell r="AL126">
            <v>-16343.423636363636</v>
          </cell>
        </row>
        <row r="127">
          <cell r="F127">
            <v>1060</v>
          </cell>
          <cell r="AK127">
            <v>0</v>
          </cell>
        </row>
        <row r="128">
          <cell r="F128">
            <v>3995</v>
          </cell>
          <cell r="G128">
            <v>0</v>
          </cell>
          <cell r="H128">
            <v>0</v>
          </cell>
          <cell r="P128">
            <v>366</v>
          </cell>
          <cell r="Q128">
            <v>0</v>
          </cell>
          <cell r="R128">
            <v>0</v>
          </cell>
          <cell r="S128">
            <v>2158</v>
          </cell>
          <cell r="T128">
            <v>300</v>
          </cell>
          <cell r="U128">
            <v>300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K128">
            <v>0</v>
          </cell>
          <cell r="AO128">
            <v>0</v>
          </cell>
          <cell r="AP128">
            <v>0</v>
          </cell>
          <cell r="AQ128">
            <v>0</v>
          </cell>
          <cell r="AR128">
            <v>0</v>
          </cell>
        </row>
        <row r="129">
          <cell r="F129">
            <v>3995</v>
          </cell>
          <cell r="G129">
            <v>0</v>
          </cell>
          <cell r="H129">
            <v>0</v>
          </cell>
          <cell r="P129">
            <v>732</v>
          </cell>
          <cell r="S129">
            <v>4316</v>
          </cell>
          <cell r="U129">
            <v>0</v>
          </cell>
          <cell r="V129">
            <v>0</v>
          </cell>
          <cell r="W129">
            <v>0</v>
          </cell>
          <cell r="X129">
            <v>0</v>
          </cell>
          <cell r="Y129">
            <v>0</v>
          </cell>
          <cell r="Z129">
            <v>0</v>
          </cell>
          <cell r="AA129">
            <v>0</v>
          </cell>
          <cell r="AB129">
            <v>0</v>
          </cell>
          <cell r="AC129">
            <v>0</v>
          </cell>
          <cell r="AD129">
            <v>0</v>
          </cell>
          <cell r="AE129">
            <v>0</v>
          </cell>
          <cell r="AF129">
            <v>0</v>
          </cell>
          <cell r="AG129">
            <v>0</v>
          </cell>
          <cell r="AH129">
            <v>0</v>
          </cell>
          <cell r="AK129">
            <v>0</v>
          </cell>
          <cell r="AL129">
            <v>-9671.302272727271</v>
          </cell>
        </row>
        <row r="130">
          <cell r="F130">
            <v>0</v>
          </cell>
          <cell r="AK130">
            <v>0</v>
          </cell>
          <cell r="AL130">
            <v>6561</v>
          </cell>
        </row>
        <row r="131">
          <cell r="F131">
            <v>2292</v>
          </cell>
          <cell r="G131">
            <v>0</v>
          </cell>
          <cell r="H131">
            <v>0</v>
          </cell>
          <cell r="P131">
            <v>1223</v>
          </cell>
          <cell r="Q131">
            <v>0</v>
          </cell>
          <cell r="R131">
            <v>0</v>
          </cell>
          <cell r="S131">
            <v>0</v>
          </cell>
          <cell r="T131">
            <v>0</v>
          </cell>
          <cell r="U131">
            <v>0</v>
          </cell>
          <cell r="V131">
            <v>0</v>
          </cell>
          <cell r="W131">
            <v>0</v>
          </cell>
          <cell r="X131">
            <v>0</v>
          </cell>
          <cell r="Y131">
            <v>0</v>
          </cell>
          <cell r="Z131">
            <v>0</v>
          </cell>
          <cell r="AA131">
            <v>0</v>
          </cell>
          <cell r="AB131">
            <v>0</v>
          </cell>
          <cell r="AC131">
            <v>0</v>
          </cell>
          <cell r="AF131">
            <v>0</v>
          </cell>
          <cell r="AG131">
            <v>0</v>
          </cell>
          <cell r="AH131">
            <v>0</v>
          </cell>
          <cell r="AK131">
            <v>4015</v>
          </cell>
          <cell r="AO131">
            <v>0</v>
          </cell>
          <cell r="AP131">
            <v>0</v>
          </cell>
          <cell r="AQ131">
            <v>0</v>
          </cell>
          <cell r="AR131">
            <v>0</v>
          </cell>
        </row>
        <row r="132">
          <cell r="F132">
            <v>2292</v>
          </cell>
          <cell r="G132">
            <v>0</v>
          </cell>
          <cell r="H132">
            <v>0</v>
          </cell>
          <cell r="P132">
            <v>2446</v>
          </cell>
          <cell r="S132">
            <v>0</v>
          </cell>
          <cell r="U132">
            <v>187.5</v>
          </cell>
          <cell r="V132">
            <v>187.5</v>
          </cell>
          <cell r="X132">
            <v>0</v>
          </cell>
          <cell r="Y132">
            <v>0</v>
          </cell>
          <cell r="Z132">
            <v>0</v>
          </cell>
          <cell r="AC132">
            <v>0</v>
          </cell>
          <cell r="AF132">
            <v>-904.4</v>
          </cell>
          <cell r="AG132">
            <v>0</v>
          </cell>
          <cell r="AH132">
            <v>-904.4</v>
          </cell>
          <cell r="AK132">
            <v>4015</v>
          </cell>
          <cell r="AL132">
            <v>35.709608938552265</v>
          </cell>
          <cell r="AM132">
            <v>-14935.850518029456</v>
          </cell>
        </row>
        <row r="133">
          <cell r="U133" t="e">
            <v>#REF!</v>
          </cell>
          <cell r="V133">
            <v>25550.5</v>
          </cell>
          <cell r="W133" t="e">
            <v>#REF!</v>
          </cell>
          <cell r="AK133">
            <v>-5656.302272727271</v>
          </cell>
          <cell r="AL133">
            <v>3521.8</v>
          </cell>
        </row>
        <row r="134">
          <cell r="X134" t="e">
            <v>#REF!</v>
          </cell>
          <cell r="Y134" t="e">
            <v>#VALUE!</v>
          </cell>
          <cell r="Z134" t="e">
            <v>#REF!</v>
          </cell>
          <cell r="AA134" t="e">
            <v>#REF!</v>
          </cell>
          <cell r="AK134">
            <v>-5656.302272727271</v>
          </cell>
          <cell r="AO134">
            <v>0</v>
          </cell>
        </row>
        <row r="135">
          <cell r="U135" t="e">
            <v>#REF!</v>
          </cell>
          <cell r="V135" t="e">
            <v>#REF!</v>
          </cell>
          <cell r="W135" t="e">
            <v>#REF!</v>
          </cell>
          <cell r="AK135">
            <v>-8080.4318181818162</v>
          </cell>
          <cell r="AL135">
            <v>6361.5217508417518</v>
          </cell>
          <cell r="AM135">
            <v>-15307.203569023572</v>
          </cell>
        </row>
        <row r="137">
          <cell r="P137">
            <v>0</v>
          </cell>
          <cell r="S137">
            <v>0</v>
          </cell>
          <cell r="T137">
            <v>142</v>
          </cell>
          <cell r="U137">
            <v>0</v>
          </cell>
          <cell r="AK137">
            <v>-2424.1295454545448</v>
          </cell>
          <cell r="AM137">
            <v>4901</v>
          </cell>
          <cell r="AO137">
            <v>0</v>
          </cell>
          <cell r="AQ137">
            <v>0</v>
          </cell>
        </row>
        <row r="138">
          <cell r="P138" t="e">
            <v>#REF!</v>
          </cell>
          <cell r="U138" t="e">
            <v>#REF!</v>
          </cell>
          <cell r="AK138">
            <v>-14935.850518029456</v>
          </cell>
          <cell r="AO138">
            <v>0</v>
          </cell>
        </row>
        <row r="139">
          <cell r="AK139">
            <v>3.1</v>
          </cell>
          <cell r="AO139" t="e">
            <v>#DIV/0!</v>
          </cell>
        </row>
        <row r="140">
          <cell r="AK140">
            <v>7825</v>
          </cell>
          <cell r="AM140">
            <v>7825</v>
          </cell>
          <cell r="AO140">
            <v>0</v>
          </cell>
          <cell r="AQ140">
            <v>0</v>
          </cell>
        </row>
        <row r="141">
          <cell r="AK141">
            <v>-15307.203569023572</v>
          </cell>
          <cell r="AO141">
            <v>0</v>
          </cell>
        </row>
        <row r="142">
          <cell r="AK142">
            <v>4.95</v>
          </cell>
          <cell r="AO142" t="e">
            <v>#DIV/0!</v>
          </cell>
        </row>
        <row r="143">
          <cell r="AK143">
            <v>14.64</v>
          </cell>
          <cell r="AO143" t="e">
            <v>#DIV/0!</v>
          </cell>
        </row>
        <row r="144">
          <cell r="AK144">
            <v>0</v>
          </cell>
          <cell r="AO144">
            <v>0</v>
          </cell>
        </row>
        <row r="145">
          <cell r="AK145">
            <v>8.9</v>
          </cell>
          <cell r="AO145" t="e">
            <v>#DIV/0!</v>
          </cell>
        </row>
        <row r="146">
          <cell r="AK146">
            <v>9.23</v>
          </cell>
          <cell r="AL146">
            <v>35229</v>
          </cell>
          <cell r="AO146" t="e">
            <v>#DIV/0!</v>
          </cell>
        </row>
        <row r="148">
          <cell r="AK148">
            <v>7.62</v>
          </cell>
          <cell r="AO148" t="e">
            <v>#DIV/0!</v>
          </cell>
        </row>
        <row r="149">
          <cell r="AK149">
            <v>36515</v>
          </cell>
          <cell r="AL149">
            <v>36515</v>
          </cell>
          <cell r="AM149">
            <v>-19836.850518029456</v>
          </cell>
        </row>
        <row r="150">
          <cell r="P150" t="e">
            <v>#REF!</v>
          </cell>
          <cell r="S150" t="e">
            <v>#REF!</v>
          </cell>
          <cell r="T150">
            <v>630</v>
          </cell>
          <cell r="U150" t="e">
            <v>#REF!</v>
          </cell>
          <cell r="AK150">
            <v>865.25</v>
          </cell>
        </row>
        <row r="152">
          <cell r="AK152">
            <v>5735.7142857142862</v>
          </cell>
          <cell r="AL152">
            <v>-30153.478249158248</v>
          </cell>
          <cell r="AM152">
            <v>-23132.203569023572</v>
          </cell>
          <cell r="AO152">
            <v>0</v>
          </cell>
        </row>
        <row r="153">
          <cell r="S153">
            <v>0</v>
          </cell>
          <cell r="AK153">
            <v>865.25</v>
          </cell>
        </row>
        <row r="154">
          <cell r="Y154">
            <v>1507.2</v>
          </cell>
          <cell r="AK154">
            <v>40130</v>
          </cell>
          <cell r="AL154">
            <v>35229</v>
          </cell>
          <cell r="AM154">
            <v>4901</v>
          </cell>
        </row>
        <row r="155">
          <cell r="X155" t="str">
            <v>ОЧИК.18.02.</v>
          </cell>
          <cell r="AK155">
            <v>44340</v>
          </cell>
          <cell r="AL155">
            <v>36515</v>
          </cell>
          <cell r="AM155">
            <v>7825</v>
          </cell>
          <cell r="AO155">
            <v>0</v>
          </cell>
          <cell r="AP155">
            <v>3182</v>
          </cell>
          <cell r="AQ155">
            <v>5179.5709186145641</v>
          </cell>
          <cell r="AR155">
            <v>9343.4348160198533</v>
          </cell>
        </row>
        <row r="156">
          <cell r="AK156">
            <v>0</v>
          </cell>
          <cell r="AL156">
            <v>0.1</v>
          </cell>
          <cell r="AM156">
            <v>-75.3</v>
          </cell>
        </row>
        <row r="157">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cell r="AK157">
            <v>44340</v>
          </cell>
          <cell r="AL157">
            <v>36515</v>
          </cell>
          <cell r="AM157">
            <v>7825</v>
          </cell>
        </row>
        <row r="158">
          <cell r="X158">
            <v>1.954</v>
          </cell>
          <cell r="Y158">
            <v>1.954</v>
          </cell>
          <cell r="Z158">
            <v>1.954</v>
          </cell>
          <cell r="AA158">
            <v>1.905</v>
          </cell>
          <cell r="AK158">
            <v>0</v>
          </cell>
          <cell r="AL158">
            <v>0</v>
          </cell>
          <cell r="AM158">
            <v>0</v>
          </cell>
          <cell r="AO158">
            <v>3066</v>
          </cell>
          <cell r="AP158">
            <v>3316</v>
          </cell>
          <cell r="AQ158">
            <v>5168.7494313394982</v>
          </cell>
          <cell r="AR158">
            <v>10162.313669924872</v>
          </cell>
        </row>
        <row r="159">
          <cell r="AK159">
            <v>-15.2</v>
          </cell>
          <cell r="AL159">
            <v>21.1</v>
          </cell>
          <cell r="AM159">
            <v>-66.2</v>
          </cell>
        </row>
        <row r="160">
          <cell r="F160">
            <v>0</v>
          </cell>
          <cell r="P160">
            <v>0</v>
          </cell>
          <cell r="S160">
            <v>0</v>
          </cell>
          <cell r="U160" t="e">
            <v>#REF!</v>
          </cell>
          <cell r="V160">
            <v>0</v>
          </cell>
          <cell r="X160">
            <v>221.49122807017542</v>
          </cell>
          <cell r="AA160">
            <v>0</v>
          </cell>
          <cell r="AC160">
            <v>0</v>
          </cell>
          <cell r="AK160">
            <v>10.764081625689514</v>
          </cell>
          <cell r="AL160">
            <v>-100</v>
          </cell>
          <cell r="AM160">
            <v>-100</v>
          </cell>
        </row>
        <row r="161">
          <cell r="F161">
            <v>0</v>
          </cell>
          <cell r="P161">
            <v>890</v>
          </cell>
          <cell r="S161">
            <v>1440</v>
          </cell>
          <cell r="U161" t="e">
            <v>#REF!</v>
          </cell>
          <cell r="V161">
            <v>1070</v>
          </cell>
          <cell r="X161">
            <v>252.49999999999997</v>
          </cell>
          <cell r="AA161">
            <v>1777</v>
          </cell>
          <cell r="AC161">
            <v>768.7</v>
          </cell>
          <cell r="AF161">
            <v>780</v>
          </cell>
          <cell r="AG161">
            <v>780</v>
          </cell>
          <cell r="AH161">
            <v>0</v>
          </cell>
          <cell r="AK161">
            <v>5957</v>
          </cell>
          <cell r="AL161">
            <v>0</v>
          </cell>
          <cell r="AM161">
            <v>0</v>
          </cell>
        </row>
        <row r="162">
          <cell r="F162">
            <v>0</v>
          </cell>
          <cell r="P162">
            <v>700</v>
          </cell>
          <cell r="Q162">
            <v>63.33</v>
          </cell>
          <cell r="R162">
            <v>63.33</v>
          </cell>
          <cell r="S162">
            <v>63.33</v>
          </cell>
          <cell r="T162">
            <v>63.33</v>
          </cell>
          <cell r="U162">
            <v>82.5</v>
          </cell>
          <cell r="V162">
            <v>1070</v>
          </cell>
          <cell r="X162">
            <v>66</v>
          </cell>
          <cell r="AA162">
            <v>1639</v>
          </cell>
          <cell r="AF162">
            <v>730</v>
          </cell>
          <cell r="AG162">
            <v>730</v>
          </cell>
          <cell r="AH162">
            <v>0</v>
          </cell>
          <cell r="AK162">
            <v>4849</v>
          </cell>
        </row>
        <row r="163">
          <cell r="F163">
            <v>0</v>
          </cell>
          <cell r="P163">
            <v>0</v>
          </cell>
          <cell r="S163">
            <v>0</v>
          </cell>
          <cell r="U163" t="e">
            <v>#REF!</v>
          </cell>
          <cell r="V163">
            <v>0</v>
          </cell>
          <cell r="X163">
            <v>0</v>
          </cell>
          <cell r="AA163">
            <v>138</v>
          </cell>
          <cell r="AC163">
            <v>0</v>
          </cell>
          <cell r="AF163">
            <v>50</v>
          </cell>
          <cell r="AG163">
            <v>50</v>
          </cell>
          <cell r="AH163">
            <v>0</v>
          </cell>
          <cell r="AK163">
            <v>0</v>
          </cell>
        </row>
        <row r="164">
          <cell r="F164">
            <v>0</v>
          </cell>
          <cell r="P164">
            <v>671.5</v>
          </cell>
          <cell r="S164">
            <v>1737.3999999999999</v>
          </cell>
          <cell r="U164" t="e">
            <v>#REF!</v>
          </cell>
          <cell r="V164">
            <v>0</v>
          </cell>
          <cell r="X164">
            <v>890.8</v>
          </cell>
          <cell r="AA164">
            <v>12</v>
          </cell>
          <cell r="AC164">
            <v>1354.7</v>
          </cell>
          <cell r="AF164">
            <v>665.35</v>
          </cell>
          <cell r="AG164">
            <v>665.35</v>
          </cell>
          <cell r="AH164">
            <v>0</v>
          </cell>
          <cell r="AK164">
            <v>5319.75</v>
          </cell>
        </row>
        <row r="165">
          <cell r="F165">
            <v>0</v>
          </cell>
          <cell r="P165">
            <v>552.5</v>
          </cell>
          <cell r="S165">
            <v>1550.3999999999999</v>
          </cell>
          <cell r="U165" t="e">
            <v>#REF!</v>
          </cell>
          <cell r="X165">
            <v>693.59999999999991</v>
          </cell>
          <cell r="AC165">
            <v>1292.6500000000001</v>
          </cell>
          <cell r="AF165">
            <v>535.30000000000007</v>
          </cell>
          <cell r="AG165">
            <v>535.30000000000007</v>
          </cell>
          <cell r="AH165">
            <v>0</v>
          </cell>
          <cell r="AK165">
            <v>4089.1499999999996</v>
          </cell>
        </row>
        <row r="166">
          <cell r="F166">
            <v>0</v>
          </cell>
          <cell r="P166">
            <v>119</v>
          </cell>
          <cell r="S166">
            <v>187</v>
          </cell>
          <cell r="U166" t="e">
            <v>#REF!</v>
          </cell>
          <cell r="X166">
            <v>197.2</v>
          </cell>
          <cell r="AC166">
            <v>62.05</v>
          </cell>
          <cell r="AF166">
            <v>130.04999999999998</v>
          </cell>
          <cell r="AG166">
            <v>130.04999999999998</v>
          </cell>
          <cell r="AH166">
            <v>0</v>
          </cell>
          <cell r="AK166">
            <v>695.3</v>
          </cell>
        </row>
        <row r="167">
          <cell r="F167">
            <v>295</v>
          </cell>
          <cell r="P167">
            <v>140</v>
          </cell>
          <cell r="S167">
            <v>157</v>
          </cell>
          <cell r="U167" t="e">
            <v>#REF!</v>
          </cell>
          <cell r="V167">
            <v>458.81818181818181</v>
          </cell>
          <cell r="X167">
            <v>154</v>
          </cell>
          <cell r="AA167">
            <v>216.09090909090909</v>
          </cell>
          <cell r="AC167">
            <v>22</v>
          </cell>
          <cell r="AF167">
            <v>145</v>
          </cell>
          <cell r="AG167">
            <v>300</v>
          </cell>
          <cell r="AK167">
            <v>768</v>
          </cell>
        </row>
        <row r="168">
          <cell r="F168">
            <v>-459</v>
          </cell>
          <cell r="P168">
            <v>63.33</v>
          </cell>
          <cell r="S168">
            <v>800</v>
          </cell>
          <cell r="U168">
            <v>63.33</v>
          </cell>
          <cell r="V168">
            <v>611.18181818181824</v>
          </cell>
          <cell r="X168">
            <v>1433.2409090909091</v>
          </cell>
          <cell r="AA168">
            <v>1560.909090909091</v>
          </cell>
          <cell r="AC168">
            <v>561.88181818181829</v>
          </cell>
          <cell r="AK168">
            <v>0</v>
          </cell>
        </row>
        <row r="169">
          <cell r="F169">
            <v>14.170833333333334</v>
          </cell>
          <cell r="P169" t="e">
            <v>#REF!</v>
          </cell>
          <cell r="S169">
            <v>1440</v>
          </cell>
          <cell r="U169" t="e">
            <v>#REF!</v>
          </cell>
          <cell r="V169">
            <v>1070</v>
          </cell>
          <cell r="X169">
            <v>1767.15</v>
          </cell>
          <cell r="AA169">
            <v>1777</v>
          </cell>
          <cell r="AC169">
            <v>768.7</v>
          </cell>
          <cell r="AK169">
            <v>14.170833333333334</v>
          </cell>
        </row>
        <row r="170">
          <cell r="F170">
            <v>459</v>
          </cell>
          <cell r="P170">
            <v>196</v>
          </cell>
          <cell r="S170">
            <v>580.5454545454545</v>
          </cell>
          <cell r="U170" t="e">
            <v>#REF!</v>
          </cell>
          <cell r="V170">
            <v>0</v>
          </cell>
          <cell r="X170">
            <v>270.36363636363637</v>
          </cell>
          <cell r="AA170">
            <v>0</v>
          </cell>
          <cell r="AC170">
            <v>179.90909090909091</v>
          </cell>
          <cell r="AF170">
            <v>297.72727272727275</v>
          </cell>
          <cell r="AG170">
            <v>298</v>
          </cell>
          <cell r="AK170">
            <v>1226.818181818182</v>
          </cell>
        </row>
        <row r="171">
          <cell r="F171">
            <v>-459</v>
          </cell>
          <cell r="S171">
            <v>1156.8545454545454</v>
          </cell>
          <cell r="U171" t="e">
            <v>#REF!</v>
          </cell>
          <cell r="V171">
            <v>0</v>
          </cell>
          <cell r="X171">
            <v>620.43636363636358</v>
          </cell>
          <cell r="AA171">
            <v>0</v>
          </cell>
          <cell r="AC171">
            <v>1174.7909090909091</v>
          </cell>
          <cell r="AF171">
            <v>0</v>
          </cell>
          <cell r="AG171">
            <v>0</v>
          </cell>
          <cell r="AH171">
            <v>0</v>
          </cell>
          <cell r="AK171">
            <v>2493.0818181818177</v>
          </cell>
        </row>
        <row r="172">
          <cell r="F172">
            <v>0</v>
          </cell>
          <cell r="G172">
            <v>0</v>
          </cell>
          <cell r="H172">
            <v>0</v>
          </cell>
          <cell r="P172" t="e">
            <v>#REF!</v>
          </cell>
          <cell r="Q172">
            <v>0</v>
          </cell>
          <cell r="R172">
            <v>0</v>
          </cell>
          <cell r="S172">
            <v>1737.3999999999999</v>
          </cell>
          <cell r="T172">
            <v>0</v>
          </cell>
          <cell r="U172" t="e">
            <v>#REF!</v>
          </cell>
          <cell r="V172">
            <v>80</v>
          </cell>
          <cell r="W172">
            <v>14347.131818181819</v>
          </cell>
          <cell r="X172">
            <v>890.8</v>
          </cell>
          <cell r="Y172">
            <v>0</v>
          </cell>
          <cell r="Z172">
            <v>0</v>
          </cell>
          <cell r="AA172">
            <v>300</v>
          </cell>
          <cell r="AB172">
            <v>0</v>
          </cell>
          <cell r="AC172">
            <v>1354.7</v>
          </cell>
          <cell r="AD172">
            <v>12866.875151515153</v>
          </cell>
          <cell r="AE172">
            <v>0</v>
          </cell>
          <cell r="AF172">
            <v>554</v>
          </cell>
          <cell r="AG172">
            <v>554</v>
          </cell>
          <cell r="AH172">
            <v>0</v>
          </cell>
          <cell r="AK172">
            <v>4982</v>
          </cell>
        </row>
        <row r="173">
          <cell r="F173">
            <v>459</v>
          </cell>
          <cell r="G173">
            <v>0</v>
          </cell>
          <cell r="H173">
            <v>0</v>
          </cell>
          <cell r="P173">
            <v>0</v>
          </cell>
          <cell r="Q173">
            <v>0</v>
          </cell>
          <cell r="R173">
            <v>0</v>
          </cell>
          <cell r="S173">
            <v>0</v>
          </cell>
          <cell r="T173">
            <v>0</v>
          </cell>
          <cell r="U173" t="e">
            <v>#REF!</v>
          </cell>
          <cell r="V173">
            <v>80</v>
          </cell>
          <cell r="W173">
            <v>14347.131818181819</v>
          </cell>
          <cell r="X173">
            <v>0</v>
          </cell>
          <cell r="Y173">
            <v>0</v>
          </cell>
          <cell r="Z173">
            <v>0</v>
          </cell>
          <cell r="AA173">
            <v>300</v>
          </cell>
          <cell r="AB173">
            <v>0</v>
          </cell>
          <cell r="AC173">
            <v>0</v>
          </cell>
          <cell r="AD173">
            <v>12866.875151515153</v>
          </cell>
          <cell r="AE173">
            <v>0</v>
          </cell>
          <cell r="AF173">
            <v>554</v>
          </cell>
          <cell r="AG173">
            <v>554</v>
          </cell>
          <cell r="AH173">
            <v>0</v>
          </cell>
          <cell r="AK173">
            <v>459</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75</v>
          </cell>
          <cell r="AB174">
            <v>0</v>
          </cell>
          <cell r="AC174">
            <v>0</v>
          </cell>
          <cell r="AE174">
            <v>0</v>
          </cell>
          <cell r="AF174">
            <v>0</v>
          </cell>
          <cell r="AG174">
            <v>0</v>
          </cell>
          <cell r="AH174">
            <v>0</v>
          </cell>
          <cell r="AK174">
            <v>0</v>
          </cell>
        </row>
        <row r="175">
          <cell r="F175">
            <v>-1308</v>
          </cell>
          <cell r="G175">
            <v>0</v>
          </cell>
          <cell r="H175">
            <v>0</v>
          </cell>
          <cell r="P175">
            <v>1687</v>
          </cell>
          <cell r="Q175">
            <v>0</v>
          </cell>
          <cell r="R175">
            <v>0</v>
          </cell>
          <cell r="S175">
            <v>4262</v>
          </cell>
          <cell r="T175">
            <v>0</v>
          </cell>
          <cell r="U175">
            <v>0</v>
          </cell>
          <cell r="V175">
            <v>0</v>
          </cell>
          <cell r="W175">
            <v>0</v>
          </cell>
          <cell r="X175">
            <v>85</v>
          </cell>
          <cell r="Y175">
            <v>0</v>
          </cell>
          <cell r="Z175">
            <v>0</v>
          </cell>
          <cell r="AA175">
            <v>0</v>
          </cell>
          <cell r="AB175">
            <v>0</v>
          </cell>
          <cell r="AC175">
            <v>60</v>
          </cell>
          <cell r="AF175">
            <v>-904.4</v>
          </cell>
          <cell r="AG175">
            <v>0</v>
          </cell>
          <cell r="AH175">
            <v>-904.4</v>
          </cell>
          <cell r="AK175">
            <v>4792.8</v>
          </cell>
        </row>
        <row r="176">
          <cell r="F176">
            <v>-1308</v>
          </cell>
          <cell r="G176">
            <v>0</v>
          </cell>
          <cell r="H176">
            <v>0</v>
          </cell>
          <cell r="P176">
            <v>1687</v>
          </cell>
          <cell r="Q176">
            <v>0</v>
          </cell>
          <cell r="R176">
            <v>0</v>
          </cell>
          <cell r="S176">
            <v>4262</v>
          </cell>
          <cell r="T176">
            <v>0</v>
          </cell>
          <cell r="U176">
            <v>0</v>
          </cell>
          <cell r="V176">
            <v>0</v>
          </cell>
          <cell r="W176">
            <v>0</v>
          </cell>
          <cell r="X176">
            <v>85</v>
          </cell>
          <cell r="Y176">
            <v>0</v>
          </cell>
          <cell r="Z176">
            <v>0</v>
          </cell>
          <cell r="AA176">
            <v>0</v>
          </cell>
          <cell r="AB176">
            <v>0</v>
          </cell>
          <cell r="AC176">
            <v>60</v>
          </cell>
          <cell r="AF176">
            <v>-904.4</v>
          </cell>
          <cell r="AG176">
            <v>0</v>
          </cell>
          <cell r="AH176">
            <v>-904.4</v>
          </cell>
          <cell r="AK176">
            <v>4792.8</v>
          </cell>
        </row>
        <row r="177">
          <cell r="F177">
            <v>0</v>
          </cell>
          <cell r="G177">
            <v>0</v>
          </cell>
          <cell r="H177">
            <v>0</v>
          </cell>
          <cell r="P177">
            <v>0</v>
          </cell>
          <cell r="R177">
            <v>0</v>
          </cell>
          <cell r="S177">
            <v>0</v>
          </cell>
          <cell r="T177">
            <v>0</v>
          </cell>
          <cell r="U177">
            <v>0</v>
          </cell>
          <cell r="V177">
            <v>0</v>
          </cell>
          <cell r="W177">
            <v>0</v>
          </cell>
          <cell r="X177">
            <v>0</v>
          </cell>
          <cell r="Y177">
            <v>0</v>
          </cell>
          <cell r="Z177">
            <v>0</v>
          </cell>
          <cell r="AA177">
            <v>0</v>
          </cell>
          <cell r="AB177">
            <v>0</v>
          </cell>
          <cell r="AC177">
            <v>0</v>
          </cell>
          <cell r="AF177">
            <v>0</v>
          </cell>
          <cell r="AG177">
            <v>0</v>
          </cell>
          <cell r="AH177">
            <v>0</v>
          </cell>
          <cell r="AK177">
            <v>0</v>
          </cell>
        </row>
        <row r="178">
          <cell r="F178">
            <v>0</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cell r="AB178">
            <v>0</v>
          </cell>
          <cell r="AC178">
            <v>606.86</v>
          </cell>
          <cell r="AF178">
            <v>1861.06</v>
          </cell>
          <cell r="AG178">
            <v>0</v>
          </cell>
          <cell r="AH178">
            <v>228.75999999999993</v>
          </cell>
          <cell r="AK178">
            <v>0</v>
          </cell>
          <cell r="AO178">
            <v>396</v>
          </cell>
          <cell r="AP178">
            <v>467</v>
          </cell>
          <cell r="AQ178">
            <v>1039.6199999999999</v>
          </cell>
          <cell r="AR178">
            <v>2063.5209090909093</v>
          </cell>
        </row>
        <row r="179">
          <cell r="F179">
            <v>0</v>
          </cell>
          <cell r="G179">
            <v>0</v>
          </cell>
          <cell r="H179">
            <v>0</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cell r="AB179">
            <v>172</v>
          </cell>
          <cell r="AC179">
            <v>44.090909090909093</v>
          </cell>
          <cell r="AD179">
            <v>148</v>
          </cell>
          <cell r="AE179">
            <v>58.818181818181813</v>
          </cell>
          <cell r="AF179">
            <v>300.18181818181819</v>
          </cell>
          <cell r="AG179">
            <v>300</v>
          </cell>
          <cell r="AH179">
            <v>0.18181818181818699</v>
          </cell>
          <cell r="AK179">
            <v>0</v>
          </cell>
        </row>
        <row r="180">
          <cell r="F180">
            <v>3500</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cell r="AB180">
            <v>0</v>
          </cell>
          <cell r="AC180">
            <v>274.33333333333331</v>
          </cell>
          <cell r="AF180">
            <v>15</v>
          </cell>
          <cell r="AG180">
            <v>15</v>
          </cell>
          <cell r="AH180">
            <v>0</v>
          </cell>
          <cell r="AK180">
            <v>3500</v>
          </cell>
          <cell r="AO180">
            <v>644</v>
          </cell>
          <cell r="AP180">
            <v>156</v>
          </cell>
          <cell r="AQ180">
            <v>20.261173184357546</v>
          </cell>
          <cell r="AR180">
            <v>33.072160148975826</v>
          </cell>
        </row>
        <row r="181">
          <cell r="F181">
            <v>684.2</v>
          </cell>
          <cell r="P181">
            <v>835.62</v>
          </cell>
          <cell r="Q181">
            <v>0</v>
          </cell>
          <cell r="R181">
            <v>0</v>
          </cell>
          <cell r="S181">
            <v>1895.42</v>
          </cell>
          <cell r="T181">
            <v>644.3785272727273</v>
          </cell>
          <cell r="U181">
            <v>670.49601818181827</v>
          </cell>
          <cell r="V181">
            <v>0</v>
          </cell>
          <cell r="W181">
            <v>0</v>
          </cell>
          <cell r="X181">
            <v>640.75</v>
          </cell>
          <cell r="Y181">
            <v>52</v>
          </cell>
          <cell r="AA181">
            <v>0</v>
          </cell>
          <cell r="AB181">
            <v>0</v>
          </cell>
          <cell r="AC181">
            <v>534.76</v>
          </cell>
          <cell r="AF181">
            <v>1724.76</v>
          </cell>
          <cell r="AG181">
            <v>1494</v>
          </cell>
          <cell r="AH181">
            <v>230.75999999999996</v>
          </cell>
          <cell r="AK181">
            <v>6562.75</v>
          </cell>
          <cell r="AO181">
            <v>378</v>
          </cell>
          <cell r="AP181">
            <v>513</v>
          </cell>
          <cell r="AQ181">
            <v>1046.6199999999999</v>
          </cell>
          <cell r="AR181">
            <v>2020.3118181818186</v>
          </cell>
        </row>
        <row r="182">
          <cell r="F182">
            <v>0</v>
          </cell>
          <cell r="G182">
            <v>0</v>
          </cell>
          <cell r="H182">
            <v>0</v>
          </cell>
          <cell r="P182">
            <v>196</v>
          </cell>
          <cell r="Q182">
            <v>0</v>
          </cell>
          <cell r="R182">
            <v>0</v>
          </cell>
          <cell r="S182">
            <v>580.5454545454545</v>
          </cell>
          <cell r="T182">
            <v>0</v>
          </cell>
          <cell r="U182">
            <v>0</v>
          </cell>
          <cell r="V182">
            <v>0</v>
          </cell>
          <cell r="W182">
            <v>0</v>
          </cell>
          <cell r="X182">
            <v>270.36363636363637</v>
          </cell>
          <cell r="Y182">
            <v>200</v>
          </cell>
          <cell r="Z182">
            <v>70.363636363636374</v>
          </cell>
          <cell r="AA182">
            <v>0</v>
          </cell>
          <cell r="AB182">
            <v>0</v>
          </cell>
          <cell r="AC182">
            <v>179.90909090909091</v>
          </cell>
          <cell r="AF182">
            <v>297.72727272727275</v>
          </cell>
          <cell r="AG182">
            <v>298</v>
          </cell>
          <cell r="AH182">
            <v>-0.27272727272728048</v>
          </cell>
        </row>
        <row r="183">
          <cell r="F183">
            <v>37</v>
          </cell>
          <cell r="P183">
            <v>62</v>
          </cell>
          <cell r="Q183">
            <v>0</v>
          </cell>
          <cell r="R183">
            <v>0</v>
          </cell>
          <cell r="S183">
            <v>91</v>
          </cell>
          <cell r="T183">
            <v>10</v>
          </cell>
          <cell r="U183">
            <v>0</v>
          </cell>
          <cell r="V183">
            <v>0</v>
          </cell>
          <cell r="W183">
            <v>0</v>
          </cell>
          <cell r="X183">
            <v>206.66666666666666</v>
          </cell>
          <cell r="AA183">
            <v>0</v>
          </cell>
          <cell r="AB183">
            <v>0</v>
          </cell>
          <cell r="AC183">
            <v>13.333333333333334</v>
          </cell>
          <cell r="AF183">
            <v>10</v>
          </cell>
          <cell r="AG183">
            <v>9</v>
          </cell>
          <cell r="AH183">
            <v>1</v>
          </cell>
          <cell r="AK183">
            <v>-2005.1295454545448</v>
          </cell>
          <cell r="AO183">
            <v>160</v>
          </cell>
          <cell r="AP183">
            <v>86</v>
          </cell>
          <cell r="AQ183">
            <v>85.94410774410774</v>
          </cell>
          <cell r="AR183">
            <v>87.055892255892232</v>
          </cell>
        </row>
        <row r="184">
          <cell r="AO184" t="str">
            <v>ОЧИК.18.02.</v>
          </cell>
        </row>
        <row r="185">
          <cell r="P185" t="str">
            <v>ТЕЦ-6 ВСЬОГО</v>
          </cell>
          <cell r="Q185" t="str">
            <v>Е/Е</v>
          </cell>
          <cell r="R185" t="str">
            <v xml:space="preserve"> Т/Е</v>
          </cell>
          <cell r="U185" t="str">
            <v>АК КЕ ВСЬОГО</v>
          </cell>
          <cell r="V185" t="str">
            <v>Е/Е</v>
          </cell>
          <cell r="W185" t="str">
            <v xml:space="preserve"> Т/Е</v>
          </cell>
        </row>
        <row r="186">
          <cell r="F186">
            <v>12898</v>
          </cell>
          <cell r="P186">
            <v>461.99999999999989</v>
          </cell>
          <cell r="Q186">
            <v>233.6</v>
          </cell>
          <cell r="R186">
            <v>67</v>
          </cell>
          <cell r="S186">
            <v>-2490.3333333333335</v>
          </cell>
          <cell r="X186">
            <v>388.99999999999909</v>
          </cell>
          <cell r="AC186">
            <v>-29.333333333333883</v>
          </cell>
          <cell r="AF186">
            <v>2500.0666666666662</v>
          </cell>
          <cell r="AG186">
            <v>1381</v>
          </cell>
          <cell r="AH186">
            <v>1088.0666666666666</v>
          </cell>
          <cell r="AP186">
            <v>1507.2</v>
          </cell>
        </row>
        <row r="187">
          <cell r="F187" t="str">
            <v>АПАРАТ ВСЬОГО</v>
          </cell>
          <cell r="G187" t="str">
            <v>АПАРАТ ЕЛЕКТРО</v>
          </cell>
          <cell r="H187" t="str">
            <v>АПАРАТ ТЕПЛО</v>
          </cell>
          <cell r="P187" t="str">
            <v>ККМ</v>
          </cell>
          <cell r="Q187">
            <v>198.5</v>
          </cell>
          <cell r="R187">
            <v>163.30000000000001</v>
          </cell>
          <cell r="S187" t="str">
            <v>КТМ</v>
          </cell>
          <cell r="V187" t="str">
            <v>ТЕЦ-5 ВСЬОГО</v>
          </cell>
          <cell r="W187" t="str">
            <v>Е/Е</v>
          </cell>
          <cell r="X187" t="str">
            <v xml:space="preserve"> Т/Е</v>
          </cell>
          <cell r="Y187" t="str">
            <v>Е/Е</v>
          </cell>
          <cell r="Z187" t="str">
            <v xml:space="preserve"> Т/Е</v>
          </cell>
          <cell r="AA187" t="str">
            <v>ТЕЦ-6 ВСЬОГО</v>
          </cell>
          <cell r="AB187" t="str">
            <v>Е/Е</v>
          </cell>
          <cell r="AC187" t="str">
            <v xml:space="preserve"> Т/Е</v>
          </cell>
          <cell r="AD187" t="str">
            <v>Е/Е</v>
          </cell>
          <cell r="AE187" t="str">
            <v xml:space="preserve"> Т/Е</v>
          </cell>
          <cell r="AF187" t="str">
            <v>Е/Е</v>
          </cell>
          <cell r="AG187" t="str">
            <v xml:space="preserve"> Т/Е</v>
          </cell>
          <cell r="AK187" t="str">
            <v>АК КЕ ВСЬОГО</v>
          </cell>
          <cell r="AL187" t="str">
            <v>Е/Е</v>
          </cell>
          <cell r="AM187" t="str">
            <v xml:space="preserve"> Т/Е</v>
          </cell>
          <cell r="AO187" t="str">
            <v>ОЧИК.18.02.</v>
          </cell>
          <cell r="AP187" t="str">
            <v>СТАНЦІІ ТЕПЛОВІ</v>
          </cell>
          <cell r="AQ187" t="str">
            <v>МЕРЕЖІ ЕЛЕКТРО</v>
          </cell>
          <cell r="AR187" t="str">
            <v>МЕРЕЖІ ТЕПЛОВІ</v>
          </cell>
        </row>
        <row r="188">
          <cell r="Q188">
            <v>301.2</v>
          </cell>
          <cell r="R188">
            <v>115.6</v>
          </cell>
        </row>
        <row r="189">
          <cell r="Q189">
            <v>102.69999999999999</v>
          </cell>
          <cell r="R189">
            <v>-47.700000000000017</v>
          </cell>
        </row>
        <row r="190">
          <cell r="F190" t="str">
            <v>АПАРАТ ВСЬОГО</v>
          </cell>
          <cell r="G190" t="str">
            <v>АПАРАТ ЕЛЕКТРО</v>
          </cell>
          <cell r="H190" t="str">
            <v>АПАРАТ ТЕПЛО</v>
          </cell>
          <cell r="P190" t="str">
            <v>ККМ</v>
          </cell>
          <cell r="Q190" t="e">
            <v>#REF!</v>
          </cell>
          <cell r="R190" t="e">
            <v>#REF!</v>
          </cell>
          <cell r="S190" t="str">
            <v>КТМ</v>
          </cell>
          <cell r="V190">
            <v>58.7</v>
          </cell>
          <cell r="X190" t="str">
            <v>ТЕЦ-5 ВСЬОГО</v>
          </cell>
          <cell r="Y190" t="str">
            <v>Е/Е</v>
          </cell>
          <cell r="Z190" t="str">
            <v xml:space="preserve"> Т/Е</v>
          </cell>
          <cell r="AA190">
            <v>55</v>
          </cell>
          <cell r="AC190" t="str">
            <v>ТЕЦ-6 ВСЬОГО</v>
          </cell>
          <cell r="AF190" t="str">
            <v>Е/Е</v>
          </cell>
          <cell r="AG190" t="str">
            <v xml:space="preserve"> Т/Е</v>
          </cell>
          <cell r="AK190" t="str">
            <v>АК КЕ ВСЬОГО</v>
          </cell>
          <cell r="AL190" t="str">
            <v>Е/Е</v>
          </cell>
          <cell r="AM190" t="str">
            <v xml:space="preserve"> Т/Е</v>
          </cell>
          <cell r="AO190" t="str">
            <v>СТАНЦІї ЕЛЕКТРО</v>
          </cell>
          <cell r="AP190" t="str">
            <v>СТАНЦІІ ТЕПЛОВІ</v>
          </cell>
          <cell r="AQ190" t="str">
            <v>МЕРЕЖІ ЕЛЕКТРО</v>
          </cell>
          <cell r="AR190" t="str">
            <v>МЕРЕЖІ ТЕПЛОВІ</v>
          </cell>
        </row>
        <row r="191">
          <cell r="Q191" t="e">
            <v>#REF!</v>
          </cell>
          <cell r="R191" t="e">
            <v>#REF!</v>
          </cell>
          <cell r="S191">
            <v>12.9</v>
          </cell>
          <cell r="V191">
            <v>67.3</v>
          </cell>
          <cell r="X191">
            <v>73.5</v>
          </cell>
          <cell r="AA191">
            <v>63</v>
          </cell>
          <cell r="AC191">
            <v>61.7</v>
          </cell>
          <cell r="AK191">
            <v>143.20000000000002</v>
          </cell>
          <cell r="AO191">
            <v>252.49999999999997</v>
          </cell>
        </row>
        <row r="192">
          <cell r="P192">
            <v>0</v>
          </cell>
          <cell r="Q192" t="e">
            <v>#REF!</v>
          </cell>
          <cell r="R192" t="e">
            <v>#REF!</v>
          </cell>
          <cell r="S192">
            <v>0</v>
          </cell>
          <cell r="V192" t="e">
            <v>#REF!</v>
          </cell>
          <cell r="W192" t="e">
            <v>#REF!</v>
          </cell>
          <cell r="X192">
            <v>0</v>
          </cell>
          <cell r="AA192">
            <v>0</v>
          </cell>
          <cell r="AC192">
            <v>0</v>
          </cell>
          <cell r="AO192">
            <v>66</v>
          </cell>
        </row>
        <row r="193">
          <cell r="P193">
            <v>0</v>
          </cell>
          <cell r="S193">
            <v>6.4</v>
          </cell>
          <cell r="V193">
            <v>192.5</v>
          </cell>
          <cell r="X193">
            <v>65.3</v>
          </cell>
          <cell r="AA193">
            <v>192.5</v>
          </cell>
          <cell r="AC193">
            <v>58</v>
          </cell>
          <cell r="AK193">
            <v>129.69999999999999</v>
          </cell>
          <cell r="AO193">
            <v>221.49122807017542</v>
          </cell>
        </row>
        <row r="194">
          <cell r="S194">
            <v>7.3</v>
          </cell>
          <cell r="V194">
            <v>11300</v>
          </cell>
          <cell r="X194">
            <v>74.7</v>
          </cell>
          <cell r="AA194">
            <v>10588</v>
          </cell>
          <cell r="AC194">
            <v>66.5</v>
          </cell>
          <cell r="AK194">
            <v>148.5</v>
          </cell>
          <cell r="AO194">
            <v>252.49999999999997</v>
          </cell>
        </row>
        <row r="195">
          <cell r="P195">
            <v>0</v>
          </cell>
          <cell r="S195">
            <v>0</v>
          </cell>
          <cell r="X195">
            <v>0</v>
          </cell>
          <cell r="AC195">
            <v>0</v>
          </cell>
          <cell r="AK195">
            <v>24063</v>
          </cell>
          <cell r="AO195">
            <v>66</v>
          </cell>
        </row>
        <row r="196">
          <cell r="P196">
            <v>0</v>
          </cell>
          <cell r="S196">
            <v>192.5</v>
          </cell>
          <cell r="V196">
            <v>0</v>
          </cell>
          <cell r="X196">
            <v>192.5</v>
          </cell>
          <cell r="AA196">
            <v>0</v>
          </cell>
          <cell r="AC196">
            <v>192.5</v>
          </cell>
          <cell r="AK196">
            <v>192.5</v>
          </cell>
          <cell r="AO196">
            <v>0</v>
          </cell>
        </row>
        <row r="197">
          <cell r="S197">
            <v>1232</v>
          </cell>
          <cell r="V197">
            <v>0</v>
          </cell>
          <cell r="X197">
            <v>12570</v>
          </cell>
          <cell r="AA197">
            <v>0</v>
          </cell>
          <cell r="AC197">
            <v>11165</v>
          </cell>
          <cell r="AK197">
            <v>24967</v>
          </cell>
          <cell r="AO197">
            <v>0</v>
          </cell>
        </row>
        <row r="198">
          <cell r="V198">
            <v>82.5</v>
          </cell>
          <cell r="X198">
            <v>82.5</v>
          </cell>
          <cell r="Y198">
            <v>1507.2</v>
          </cell>
          <cell r="AA198">
            <v>82.5</v>
          </cell>
          <cell r="AC198">
            <v>82.5</v>
          </cell>
          <cell r="AK198">
            <v>24967</v>
          </cell>
        </row>
        <row r="199">
          <cell r="V199">
            <v>0</v>
          </cell>
          <cell r="X199">
            <v>0</v>
          </cell>
          <cell r="AA199">
            <v>0</v>
          </cell>
          <cell r="AC199">
            <v>0</v>
          </cell>
          <cell r="AK199">
            <v>0</v>
          </cell>
        </row>
        <row r="200">
          <cell r="S200">
            <v>0</v>
          </cell>
          <cell r="V200">
            <v>0</v>
          </cell>
          <cell r="X200">
            <v>0</v>
          </cell>
          <cell r="AA200">
            <v>0</v>
          </cell>
          <cell r="AC200">
            <v>0</v>
          </cell>
          <cell r="AK200">
            <v>0</v>
          </cell>
        </row>
        <row r="201">
          <cell r="X201">
            <v>82.5</v>
          </cell>
          <cell r="AC201">
            <v>82.5</v>
          </cell>
        </row>
        <row r="202">
          <cell r="V202">
            <v>0</v>
          </cell>
          <cell r="X202">
            <v>0</v>
          </cell>
          <cell r="AA202">
            <v>0</v>
          </cell>
          <cell r="AC202">
            <v>0</v>
          </cell>
          <cell r="AK202">
            <v>0</v>
          </cell>
          <cell r="AO202">
            <v>75.839416058394164</v>
          </cell>
        </row>
        <row r="203">
          <cell r="S203">
            <v>0</v>
          </cell>
          <cell r="V203">
            <v>0</v>
          </cell>
          <cell r="X203">
            <v>0</v>
          </cell>
          <cell r="AA203">
            <v>0</v>
          </cell>
          <cell r="AC203">
            <v>0</v>
          </cell>
          <cell r="AK203">
            <v>0</v>
          </cell>
          <cell r="AO203">
            <v>103.9</v>
          </cell>
        </row>
        <row r="204">
          <cell r="F204">
            <v>75</v>
          </cell>
          <cell r="P204">
            <v>75</v>
          </cell>
          <cell r="AO204" t="e">
            <v>#DIV/0!</v>
          </cell>
          <cell r="AR204">
            <v>75</v>
          </cell>
        </row>
        <row r="205">
          <cell r="S205">
            <v>385</v>
          </cell>
          <cell r="V205">
            <v>385</v>
          </cell>
          <cell r="X205">
            <v>0</v>
          </cell>
          <cell r="AA205">
            <v>385</v>
          </cell>
          <cell r="AC205">
            <v>0</v>
          </cell>
          <cell r="AK205">
            <v>0</v>
          </cell>
          <cell r="AO205">
            <v>75.839416058394164</v>
          </cell>
        </row>
        <row r="206">
          <cell r="S206">
            <v>0</v>
          </cell>
          <cell r="V206">
            <v>0</v>
          </cell>
          <cell r="X206">
            <v>0</v>
          </cell>
          <cell r="AA206">
            <v>0</v>
          </cell>
          <cell r="AC206">
            <v>0</v>
          </cell>
          <cell r="AK206">
            <v>0</v>
          </cell>
          <cell r="AO206">
            <v>103.9</v>
          </cell>
        </row>
        <row r="207">
          <cell r="F207">
            <v>75</v>
          </cell>
          <cell r="P207">
            <v>75</v>
          </cell>
          <cell r="AK207">
            <v>0</v>
          </cell>
          <cell r="AO207" t="e">
            <v>#DIV/0!</v>
          </cell>
          <cell r="AR207">
            <v>75</v>
          </cell>
        </row>
        <row r="208">
          <cell r="S208">
            <v>385</v>
          </cell>
          <cell r="V208">
            <v>67.3</v>
          </cell>
          <cell r="W208">
            <v>54.6</v>
          </cell>
          <cell r="X208">
            <v>385</v>
          </cell>
          <cell r="Y208">
            <v>52.8</v>
          </cell>
          <cell r="Z208">
            <v>20.700000000000003</v>
          </cell>
          <cell r="AA208">
            <v>63</v>
          </cell>
          <cell r="AB208">
            <v>50</v>
          </cell>
          <cell r="AC208">
            <v>385</v>
          </cell>
          <cell r="AD208">
            <v>43.9</v>
          </cell>
          <cell r="AE208">
            <v>17.8</v>
          </cell>
          <cell r="AK208">
            <v>385</v>
          </cell>
          <cell r="AL208">
            <v>104.6</v>
          </cell>
          <cell r="AM208">
            <v>38.599999999999994</v>
          </cell>
          <cell r="AO208">
            <v>195.28</v>
          </cell>
          <cell r="AP208">
            <v>74.900000000000006</v>
          </cell>
          <cell r="AQ208">
            <v>281.5</v>
          </cell>
        </row>
        <row r="209">
          <cell r="S209">
            <v>0</v>
          </cell>
          <cell r="V209">
            <v>11300</v>
          </cell>
          <cell r="W209">
            <v>9168</v>
          </cell>
          <cell r="X209">
            <v>0</v>
          </cell>
          <cell r="Y209">
            <v>2132</v>
          </cell>
          <cell r="Z209">
            <v>3481</v>
          </cell>
          <cell r="AA209">
            <v>10588</v>
          </cell>
          <cell r="AB209">
            <v>8403</v>
          </cell>
          <cell r="AC209">
            <v>0</v>
          </cell>
          <cell r="AD209">
            <v>7369</v>
          </cell>
          <cell r="AE209">
            <v>2988</v>
          </cell>
          <cell r="AK209">
            <v>0</v>
          </cell>
          <cell r="AL209">
            <v>17571</v>
          </cell>
          <cell r="AM209">
            <v>6492</v>
          </cell>
          <cell r="AO209">
            <v>14810</v>
          </cell>
          <cell r="AP209">
            <v>3112.427048260382</v>
          </cell>
          <cell r="AQ209">
            <v>11697.572951739618</v>
          </cell>
        </row>
        <row r="210">
          <cell r="S210">
            <v>168.6</v>
          </cell>
          <cell r="V210">
            <v>167.9</v>
          </cell>
          <cell r="W210">
            <v>167.91</v>
          </cell>
          <cell r="X210">
            <v>167.87</v>
          </cell>
          <cell r="Y210">
            <v>168.14</v>
          </cell>
          <cell r="Z210">
            <v>168.16</v>
          </cell>
          <cell r="AA210">
            <v>168.06</v>
          </cell>
          <cell r="AB210">
            <v>168.06</v>
          </cell>
          <cell r="AC210">
            <v>168.08</v>
          </cell>
          <cell r="AD210">
            <v>167.86</v>
          </cell>
          <cell r="AE210">
            <v>167.87</v>
          </cell>
          <cell r="AK210">
            <v>0</v>
          </cell>
          <cell r="AL210">
            <v>167.98</v>
          </cell>
          <cell r="AM210">
            <v>168.19</v>
          </cell>
          <cell r="AO210">
            <v>41.55</v>
          </cell>
          <cell r="AP210">
            <v>41.55</v>
          </cell>
          <cell r="AQ210">
            <v>41.55</v>
          </cell>
          <cell r="AR210" t="str">
            <v/>
          </cell>
        </row>
        <row r="211">
          <cell r="S211">
            <v>7.3</v>
          </cell>
          <cell r="X211">
            <v>74.7</v>
          </cell>
          <cell r="Y211">
            <v>55.2</v>
          </cell>
          <cell r="Z211">
            <v>19.5</v>
          </cell>
          <cell r="AC211">
            <v>66.5</v>
          </cell>
          <cell r="AD211">
            <v>40.9</v>
          </cell>
          <cell r="AE211">
            <v>25.6</v>
          </cell>
          <cell r="AK211">
            <v>148.5</v>
          </cell>
          <cell r="AL211">
            <v>96.1</v>
          </cell>
          <cell r="AM211">
            <v>52.4</v>
          </cell>
          <cell r="AO211">
            <v>356.4</v>
          </cell>
          <cell r="AP211">
            <v>74.900000000000006</v>
          </cell>
          <cell r="AQ211">
            <v>281.5</v>
          </cell>
        </row>
        <row r="212">
          <cell r="S212">
            <v>1232</v>
          </cell>
          <cell r="V212">
            <v>11300</v>
          </cell>
          <cell r="X212">
            <v>12570</v>
          </cell>
          <cell r="Y212">
            <v>9289</v>
          </cell>
          <cell r="Z212">
            <v>3281</v>
          </cell>
          <cell r="AA212">
            <v>3281</v>
          </cell>
          <cell r="AC212">
            <v>11165</v>
          </cell>
          <cell r="AD212">
            <v>6867</v>
          </cell>
          <cell r="AE212">
            <v>4298</v>
          </cell>
          <cell r="AK212">
            <v>24967</v>
          </cell>
          <cell r="AL212">
            <v>16156</v>
          </cell>
          <cell r="AM212">
            <v>8811</v>
          </cell>
          <cell r="AO212">
            <v>14810</v>
          </cell>
          <cell r="AP212">
            <v>3112.427048260382</v>
          </cell>
          <cell r="AQ212">
            <v>11697.572951739618</v>
          </cell>
        </row>
        <row r="213">
          <cell r="S213">
            <v>168.77</v>
          </cell>
          <cell r="X213">
            <v>168.27</v>
          </cell>
          <cell r="Y213">
            <v>168.28</v>
          </cell>
          <cell r="Z213">
            <v>168.26</v>
          </cell>
          <cell r="AC213">
            <v>167.89</v>
          </cell>
          <cell r="AD213">
            <v>167.9</v>
          </cell>
          <cell r="AE213">
            <v>167.89</v>
          </cell>
          <cell r="AK213">
            <v>168.13</v>
          </cell>
          <cell r="AL213">
            <v>168.12</v>
          </cell>
          <cell r="AM213">
            <v>168.15</v>
          </cell>
          <cell r="AO213">
            <v>41.55</v>
          </cell>
          <cell r="AP213">
            <v>41.55</v>
          </cell>
          <cell r="AQ213">
            <v>41.55</v>
          </cell>
          <cell r="AR213" t="str">
            <v/>
          </cell>
        </row>
        <row r="214">
          <cell r="AM214">
            <v>0</v>
          </cell>
          <cell r="AO214">
            <v>52</v>
          </cell>
          <cell r="AP214">
            <v>52</v>
          </cell>
        </row>
        <row r="215">
          <cell r="X215">
            <v>12570</v>
          </cell>
          <cell r="AC215">
            <v>11165</v>
          </cell>
          <cell r="AK215">
            <v>24967</v>
          </cell>
          <cell r="AL215">
            <v>16156</v>
          </cell>
          <cell r="AM215">
            <v>8811</v>
          </cell>
          <cell r="AO215">
            <v>14862</v>
          </cell>
          <cell r="AP215">
            <v>3164.427048260382</v>
          </cell>
          <cell r="AQ215">
            <v>11697.572951739618</v>
          </cell>
        </row>
        <row r="223">
          <cell r="AP223">
            <v>1507.2</v>
          </cell>
        </row>
        <row r="226">
          <cell r="AP226">
            <v>1507.2</v>
          </cell>
        </row>
        <row r="227">
          <cell r="S227" t="str">
            <v>ТИС.ГРН.</v>
          </cell>
        </row>
        <row r="228">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31">
          <cell r="P231" t="e">
            <v>#REF!</v>
          </cell>
          <cell r="Q231" t="e">
            <v>#REF!</v>
          </cell>
          <cell r="R231" t="e">
            <v>#REF!</v>
          </cell>
          <cell r="S231" t="e">
            <v>#REF!</v>
          </cell>
          <cell r="T231">
            <v>1129</v>
          </cell>
          <cell r="U231" t="e">
            <v>#REF!</v>
          </cell>
          <cell r="V231" t="e">
            <v>#REF!</v>
          </cell>
          <cell r="W231" t="e">
            <v>#REF!</v>
          </cell>
        </row>
        <row r="232">
          <cell r="P232" t="e">
            <v>#REF!</v>
          </cell>
          <cell r="Q232" t="e">
            <v>#REF!</v>
          </cell>
          <cell r="R232" t="e">
            <v>#REF!</v>
          </cell>
          <cell r="S232" t="e">
            <v>#REF!</v>
          </cell>
          <cell r="T232">
            <v>117</v>
          </cell>
          <cell r="U232" t="e">
            <v>#REF!</v>
          </cell>
          <cell r="V232" t="e">
            <v>#REF!</v>
          </cell>
        </row>
        <row r="233">
          <cell r="P233" t="e">
            <v>#REF!</v>
          </cell>
          <cell r="V233" t="e">
            <v>#REF!</v>
          </cell>
        </row>
        <row r="234">
          <cell r="P234" t="e">
            <v>#REF!</v>
          </cell>
          <cell r="Q234" t="e">
            <v>#REF!</v>
          </cell>
          <cell r="R234" t="e">
            <v>#REF!</v>
          </cell>
          <cell r="S234" t="e">
            <v>#REF!</v>
          </cell>
          <cell r="T234">
            <v>1012</v>
          </cell>
          <cell r="U234" t="e">
            <v>#REF!</v>
          </cell>
          <cell r="V234" t="e">
            <v>#REF!</v>
          </cell>
        </row>
        <row r="235">
          <cell r="P235" t="e">
            <v>#REF!</v>
          </cell>
          <cell r="S235" t="e">
            <v>#REF!</v>
          </cell>
          <cell r="U235" t="e">
            <v>#REF!</v>
          </cell>
          <cell r="V235" t="e">
            <v>#REF!</v>
          </cell>
        </row>
        <row r="236">
          <cell r="P236" t="e">
            <v>#REF!</v>
          </cell>
          <cell r="Q236" t="e">
            <v>#REF!</v>
          </cell>
          <cell r="R236" t="e">
            <v>#REF!</v>
          </cell>
          <cell r="S236" t="e">
            <v>#REF!</v>
          </cell>
          <cell r="T236">
            <v>0</v>
          </cell>
          <cell r="U236" t="e">
            <v>#REF!</v>
          </cell>
          <cell r="V236" t="e">
            <v>#REF!</v>
          </cell>
        </row>
        <row r="237">
          <cell r="P237" t="e">
            <v>#REF!</v>
          </cell>
          <cell r="S237">
            <v>0</v>
          </cell>
          <cell r="U237" t="e">
            <v>#REF!</v>
          </cell>
          <cell r="V237" t="e">
            <v>#REF!</v>
          </cell>
        </row>
        <row r="238">
          <cell r="P238" t="e">
            <v>#REF!</v>
          </cell>
          <cell r="S238" t="e">
            <v>#REF!</v>
          </cell>
          <cell r="U238" t="e">
            <v>#REF!</v>
          </cell>
          <cell r="V238" t="e">
            <v>#REF!</v>
          </cell>
          <cell r="X238">
            <v>6</v>
          </cell>
          <cell r="Y238">
            <v>6</v>
          </cell>
          <cell r="Z238">
            <v>12</v>
          </cell>
          <cell r="AG238" t="str">
            <v xml:space="preserve">         Затверджую</v>
          </cell>
        </row>
        <row r="239">
          <cell r="U239">
            <v>0</v>
          </cell>
          <cell r="V239">
            <v>0</v>
          </cell>
          <cell r="AG239" t="str">
            <v xml:space="preserve"> Голова правління </v>
          </cell>
        </row>
        <row r="240">
          <cell r="U240">
            <v>2421.3333333333335</v>
          </cell>
          <cell r="V240">
            <v>2421.3333333333335</v>
          </cell>
          <cell r="AG240" t="str">
            <v xml:space="preserve">                        І.В.Плачков</v>
          </cell>
        </row>
        <row r="241">
          <cell r="P241" t="e">
            <v>#REF!</v>
          </cell>
          <cell r="Q241" t="e">
            <v>#REF!</v>
          </cell>
          <cell r="R241" t="e">
            <v>#REF!</v>
          </cell>
          <cell r="S241" t="e">
            <v>#REF!</v>
          </cell>
          <cell r="U241" t="e">
            <v>#REF!</v>
          </cell>
          <cell r="V241" t="e">
            <v>#REF!</v>
          </cell>
          <cell r="AG241" t="str">
            <v xml:space="preserve">         Затверджую</v>
          </cell>
        </row>
        <row r="242">
          <cell r="V242">
            <v>0</v>
          </cell>
          <cell r="AG242" t="str">
            <v xml:space="preserve"> Голова правління </v>
          </cell>
        </row>
        <row r="243">
          <cell r="P243" t="e">
            <v>#REF!</v>
          </cell>
          <cell r="S243" t="e">
            <v>#REF!</v>
          </cell>
          <cell r="U243" t="e">
            <v>#REF!</v>
          </cell>
          <cell r="V243" t="e">
            <v>#REF!</v>
          </cell>
          <cell r="AG243" t="str">
            <v xml:space="preserve">                        І.В.Плачков</v>
          </cell>
        </row>
        <row r="244">
          <cell r="P244">
            <v>0</v>
          </cell>
          <cell r="S244">
            <v>0</v>
          </cell>
          <cell r="U244">
            <v>0</v>
          </cell>
          <cell r="V244">
            <v>40</v>
          </cell>
          <cell r="AG244" t="str">
            <v xml:space="preserve">   "_____" ________2000 р.</v>
          </cell>
        </row>
        <row r="245">
          <cell r="F245" t="str">
            <v>РОЗРАХУНОК ФІНАНСОВИХ ПОТОКІВ НА   березень  2000 року</v>
          </cell>
          <cell r="V245">
            <v>0</v>
          </cell>
        </row>
        <row r="246">
          <cell r="F246" t="str">
            <v>ПО ФІЛІАЛАХ АК КИЇВЕНЕРГО</v>
          </cell>
          <cell r="P246">
            <v>0</v>
          </cell>
          <cell r="Q246">
            <v>0</v>
          </cell>
          <cell r="R246">
            <v>0</v>
          </cell>
          <cell r="S246">
            <v>0</v>
          </cell>
          <cell r="T246">
            <v>0</v>
          </cell>
          <cell r="U246">
            <v>0</v>
          </cell>
          <cell r="V246">
            <v>0</v>
          </cell>
        </row>
        <row r="247">
          <cell r="P247">
            <v>0</v>
          </cell>
          <cell r="Q247">
            <v>0</v>
          </cell>
          <cell r="R247">
            <v>0</v>
          </cell>
          <cell r="S247">
            <v>0</v>
          </cell>
          <cell r="T247">
            <v>0</v>
          </cell>
          <cell r="U247">
            <v>0</v>
          </cell>
          <cell r="V247">
            <v>0</v>
          </cell>
        </row>
        <row r="248">
          <cell r="F248" t="str">
            <v>РОЗРАХУНОК ФІНАНСОВИХ ПОТОКІВ НА   березень  2000 року</v>
          </cell>
          <cell r="V248">
            <v>0</v>
          </cell>
        </row>
        <row r="249">
          <cell r="F249" t="str">
            <v>ПО ФІЛІАЛАХ АК КИЇВЕНЕРГО</v>
          </cell>
          <cell r="P249" t="e">
            <v>#REF!</v>
          </cell>
          <cell r="S249">
            <v>0</v>
          </cell>
          <cell r="U249" t="e">
            <v>#REF!</v>
          </cell>
          <cell r="V249" t="e">
            <v>#REF!</v>
          </cell>
        </row>
        <row r="250">
          <cell r="P250" t="e">
            <v>#REF!</v>
          </cell>
          <cell r="S250">
            <v>0</v>
          </cell>
          <cell r="U250" t="e">
            <v>#REF!</v>
          </cell>
          <cell r="V250" t="e">
            <v>#REF!</v>
          </cell>
        </row>
        <row r="251">
          <cell r="V251">
            <v>0</v>
          </cell>
          <cell r="AK251" t="str">
            <v>тис.грн.</v>
          </cell>
        </row>
        <row r="252">
          <cell r="F252" t="str">
            <v>ВИКОН.ДИР.</v>
          </cell>
          <cell r="G252" t="str">
            <v>АПАРАТ ЕЛЕКТРО</v>
          </cell>
          <cell r="H252" t="str">
            <v>АПАРАТ ТЕПЛО</v>
          </cell>
          <cell r="P252" t="e">
            <v>#REF!</v>
          </cell>
          <cell r="Q252" t="e">
            <v>#REF!</v>
          </cell>
          <cell r="R252" t="e">
            <v>#REF!</v>
          </cell>
          <cell r="S252">
            <v>0</v>
          </cell>
          <cell r="T252">
            <v>0</v>
          </cell>
          <cell r="U252" t="e">
            <v>#REF!</v>
          </cell>
          <cell r="V252" t="e">
            <v>#REF!</v>
          </cell>
          <cell r="W252" t="str">
            <v>Е/Е</v>
          </cell>
          <cell r="X252" t="str">
            <v xml:space="preserve"> Т/Е</v>
          </cell>
          <cell r="Y252" t="str">
            <v>Е/Е</v>
          </cell>
          <cell r="Z252" t="str">
            <v xml:space="preserve"> Т/Е</v>
          </cell>
          <cell r="AA252" t="str">
            <v>ТЕЦ-6 ВСЬОГО</v>
          </cell>
          <cell r="AB252" t="str">
            <v>Е/Е</v>
          </cell>
          <cell r="AC252" t="str">
            <v xml:space="preserve"> Т/Е</v>
          </cell>
          <cell r="AD252" t="str">
            <v>Е/Е</v>
          </cell>
          <cell r="AE252" t="str">
            <v xml:space="preserve"> Т/Е</v>
          </cell>
          <cell r="AF252" t="str">
            <v>ТРМ ВСЬОГО</v>
          </cell>
          <cell r="AG252" t="str">
            <v>ТРМ  АК КЕ</v>
          </cell>
          <cell r="AH252" t="str">
            <v>ТРМ СТОР</v>
          </cell>
          <cell r="AK252" t="str">
            <v>АК КЕ осн.вир.</v>
          </cell>
          <cell r="AL252" t="str">
            <v>АК КЕ ВСЬОГО</v>
          </cell>
          <cell r="AM252" t="str">
            <v xml:space="preserve"> Т/Е</v>
          </cell>
          <cell r="AO252" t="str">
            <v>СТАНЦІї ЕЛЕКТРО</v>
          </cell>
          <cell r="AP252" t="str">
            <v>СТАНЦІІ ТЕПЛОВІ</v>
          </cell>
          <cell r="AQ252" t="str">
            <v>МЕРЕЖІ ЕЛЕКТРО</v>
          </cell>
          <cell r="AR252" t="str">
            <v>МЕРЕЖІ ТЕПЛОВІ</v>
          </cell>
        </row>
        <row r="253">
          <cell r="F253">
            <v>3652</v>
          </cell>
          <cell r="P253" t="e">
            <v>#REF!</v>
          </cell>
          <cell r="S253">
            <v>0</v>
          </cell>
          <cell r="U253" t="e">
            <v>#REF!</v>
          </cell>
          <cell r="V253" t="e">
            <v>#REF!</v>
          </cell>
          <cell r="X253">
            <v>3133.4075757575761</v>
          </cell>
          <cell r="AA253">
            <v>2709.5690909090908</v>
          </cell>
          <cell r="AC253">
            <v>2333.3751515151525</v>
          </cell>
          <cell r="AF253">
            <v>4466.8781818181815</v>
          </cell>
          <cell r="AG253">
            <v>3618.3</v>
          </cell>
          <cell r="AH253">
            <v>848.57818181818175</v>
          </cell>
          <cell r="AK253">
            <v>26332.719090909093</v>
          </cell>
        </row>
        <row r="254">
          <cell r="P254">
            <v>10</v>
          </cell>
          <cell r="U254">
            <v>202</v>
          </cell>
          <cell r="V254">
            <v>202</v>
          </cell>
          <cell r="AK254" t="str">
            <v>тис.грн.</v>
          </cell>
        </row>
        <row r="255">
          <cell r="F255" t="str">
            <v>ВИКОН.ДИР.</v>
          </cell>
          <cell r="G255" t="str">
            <v>АПАРАТ ЕЛЕКТРО</v>
          </cell>
          <cell r="H255" t="str">
            <v>АПАРАТ ТЕПЛО</v>
          </cell>
          <cell r="P255" t="str">
            <v>КМ</v>
          </cell>
          <cell r="Q255" t="str">
            <v>ТМ</v>
          </cell>
          <cell r="R255">
            <v>0</v>
          </cell>
          <cell r="S255" t="str">
            <v>КТМ</v>
          </cell>
          <cell r="T255" t="str">
            <v>ВИРОБН</v>
          </cell>
          <cell r="U255" t="str">
            <v>ПЕРЕД</v>
          </cell>
          <cell r="V255" t="e">
            <v>#REF!</v>
          </cell>
          <cell r="W255">
            <v>2024</v>
          </cell>
          <cell r="X255" t="str">
            <v>ТЕЦ-5 ВСЬОГО</v>
          </cell>
          <cell r="Y255" t="str">
            <v>Е/Е</v>
          </cell>
          <cell r="Z255" t="str">
            <v xml:space="preserve"> Т/Е</v>
          </cell>
          <cell r="AA255">
            <v>2709.5690909090908</v>
          </cell>
          <cell r="AB255">
            <v>1898</v>
          </cell>
          <cell r="AC255" t="str">
            <v>ТЕЦ-6 ВСЬОГО</v>
          </cell>
          <cell r="AD255">
            <v>1496</v>
          </cell>
          <cell r="AE255">
            <v>607.87515151515208</v>
          </cell>
          <cell r="AF255" t="str">
            <v>ТРМ ВСЬОГО</v>
          </cell>
          <cell r="AG255" t="str">
            <v>ТРМ  АК КЕ</v>
          </cell>
          <cell r="AH255" t="str">
            <v>ТРМ СТОР</v>
          </cell>
          <cell r="AK255" t="str">
            <v>АК КЕ осн.вир.</v>
          </cell>
          <cell r="AL255" t="str">
            <v>АК КЕ ВСЬОГО</v>
          </cell>
          <cell r="AM255" t="str">
            <v xml:space="preserve"> Т/Е</v>
          </cell>
          <cell r="AO255" t="str">
            <v>СТАНЦІї ЕЛЕКТРО</v>
          </cell>
          <cell r="AP255" t="str">
            <v>СТАНЦІІ ТЕПЛОВІ</v>
          </cell>
          <cell r="AQ255" t="str">
            <v>МЕРЕЖІ ЕЛЕКТРО</v>
          </cell>
          <cell r="AR255" t="str">
            <v>МЕРЕЖІ ТЕПЛОВІ</v>
          </cell>
        </row>
        <row r="256">
          <cell r="F256">
            <v>3421.2000000000007</v>
          </cell>
          <cell r="G256">
            <v>2114.6703910614524</v>
          </cell>
          <cell r="H256">
            <v>1932.3296089385476</v>
          </cell>
          <cell r="P256">
            <v>3642.12</v>
          </cell>
          <cell r="S256">
            <v>4914.9412121212117</v>
          </cell>
          <cell r="T256">
            <v>1750.1999999999996</v>
          </cell>
          <cell r="U256" t="e">
            <v>#REF!</v>
          </cell>
          <cell r="V256" t="e">
            <v>#REF!</v>
          </cell>
          <cell r="W256">
            <v>1364</v>
          </cell>
          <cell r="X256">
            <v>1941.8530303030293</v>
          </cell>
          <cell r="Y256">
            <v>1589</v>
          </cell>
          <cell r="Z256">
            <v>624.33333333333371</v>
          </cell>
          <cell r="AA256">
            <v>624</v>
          </cell>
          <cell r="AB256">
            <v>1140</v>
          </cell>
          <cell r="AC256">
            <v>1753.5509090909086</v>
          </cell>
          <cell r="AD256">
            <v>923</v>
          </cell>
          <cell r="AE256">
            <v>374.83333333333388</v>
          </cell>
          <cell r="AF256">
            <v>3698.0493939393937</v>
          </cell>
          <cell r="AG256">
            <v>3251.35</v>
          </cell>
          <cell r="AH256">
            <v>415.69939393939387</v>
          </cell>
          <cell r="AK256">
            <v>20774.514545454542</v>
          </cell>
          <cell r="AM256">
            <v>14890.138095238095</v>
          </cell>
        </row>
        <row r="257">
          <cell r="F257">
            <v>42326.804761904765</v>
          </cell>
          <cell r="P257" t="e">
            <v>#REF!</v>
          </cell>
          <cell r="Q257">
            <v>0</v>
          </cell>
          <cell r="R257">
            <v>0</v>
          </cell>
          <cell r="S257">
            <v>0</v>
          </cell>
          <cell r="T257">
            <v>0</v>
          </cell>
          <cell r="U257" t="e">
            <v>#REF!</v>
          </cell>
          <cell r="V257" t="e">
            <v>#REF!</v>
          </cell>
          <cell r="W257">
            <v>0</v>
          </cell>
          <cell r="X257">
            <v>0</v>
          </cell>
          <cell r="Y257">
            <v>0</v>
          </cell>
          <cell r="Z257">
            <v>0</v>
          </cell>
          <cell r="AA257">
            <v>18</v>
          </cell>
          <cell r="AB257">
            <v>0</v>
          </cell>
          <cell r="AC257">
            <v>0</v>
          </cell>
          <cell r="AD257">
            <v>0</v>
          </cell>
          <cell r="AE257">
            <v>0</v>
          </cell>
          <cell r="AF257">
            <v>0</v>
          </cell>
          <cell r="AG257">
            <v>0</v>
          </cell>
          <cell r="AH257">
            <v>0</v>
          </cell>
          <cell r="AK257">
            <v>42344.804761904765</v>
          </cell>
        </row>
        <row r="258">
          <cell r="F258">
            <v>12858.842857142858</v>
          </cell>
          <cell r="G258">
            <v>2573.3582491582492</v>
          </cell>
          <cell r="H258">
            <v>2947.8417508417506</v>
          </cell>
          <cell r="P258">
            <v>3642.12</v>
          </cell>
          <cell r="Q258">
            <v>0</v>
          </cell>
          <cell r="R258">
            <v>0</v>
          </cell>
          <cell r="S258">
            <v>4914.9412121212117</v>
          </cell>
          <cell r="T258">
            <v>2221.1818606060606</v>
          </cell>
          <cell r="U258">
            <v>2612.759351515152</v>
          </cell>
          <cell r="V258">
            <v>0</v>
          </cell>
          <cell r="W258">
            <v>0</v>
          </cell>
          <cell r="X258">
            <v>1941.8530303030293</v>
          </cell>
          <cell r="Y258">
            <v>1372</v>
          </cell>
          <cell r="Z258">
            <v>484.85303030302975</v>
          </cell>
          <cell r="AA258">
            <v>0</v>
          </cell>
          <cell r="AB258">
            <v>0</v>
          </cell>
          <cell r="AC258">
            <v>1753.5509090909086</v>
          </cell>
          <cell r="AF258">
            <v>3698.0493939393937</v>
          </cell>
          <cell r="AG258">
            <v>3251.35</v>
          </cell>
          <cell r="AH258">
            <v>415.69939393939387</v>
          </cell>
          <cell r="AK258">
            <v>58325.124675324674</v>
          </cell>
          <cell r="AM258">
            <v>45205.25</v>
          </cell>
        </row>
        <row r="259">
          <cell r="F259">
            <v>7317.3095238095229</v>
          </cell>
          <cell r="G259">
            <v>2277.3582491582492</v>
          </cell>
          <cell r="H259">
            <v>2559.6417508417508</v>
          </cell>
          <cell r="P259">
            <v>1403</v>
          </cell>
          <cell r="S259">
            <v>323.66666666666629</v>
          </cell>
          <cell r="T259">
            <v>1413.9233333333332</v>
          </cell>
          <cell r="U259">
            <v>1087.1433333333339</v>
          </cell>
          <cell r="V259" t="e">
            <v>#REF!</v>
          </cell>
          <cell r="X259">
            <v>474.66666666666572</v>
          </cell>
          <cell r="Y259">
            <v>691</v>
          </cell>
          <cell r="Z259">
            <v>244.46666666666613</v>
          </cell>
          <cell r="AC259">
            <v>-208.00000000000045</v>
          </cell>
          <cell r="AF259">
            <v>428.71666666666636</v>
          </cell>
          <cell r="AG259">
            <v>373.04999999999984</v>
          </cell>
          <cell r="AH259">
            <v>136.66666666666663</v>
          </cell>
          <cell r="AK259">
            <v>41034.460129870131</v>
          </cell>
          <cell r="AM259">
            <v>9679.4428571428543</v>
          </cell>
        </row>
        <row r="260">
          <cell r="F260">
            <v>39331.976190476191</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K260">
            <v>39331.976190476191</v>
          </cell>
        </row>
        <row r="261">
          <cell r="F261">
            <v>24967</v>
          </cell>
          <cell r="P261" t="e">
            <v>#REF!</v>
          </cell>
          <cell r="Q261" t="e">
            <v>#REF!</v>
          </cell>
          <cell r="R261" t="e">
            <v>#REF!</v>
          </cell>
          <cell r="S261">
            <v>0</v>
          </cell>
          <cell r="T261">
            <v>0</v>
          </cell>
          <cell r="U261" t="e">
            <v>#REF!</v>
          </cell>
          <cell r="V261" t="e">
            <v>#REF!</v>
          </cell>
          <cell r="AK261">
            <v>24967</v>
          </cell>
        </row>
        <row r="262">
          <cell r="F262">
            <v>4580</v>
          </cell>
          <cell r="P262" t="e">
            <v>#REF!</v>
          </cell>
          <cell r="Q262" t="e">
            <v>#REF!</v>
          </cell>
          <cell r="R262" t="e">
            <v>#REF!</v>
          </cell>
          <cell r="S262">
            <v>0</v>
          </cell>
          <cell r="T262">
            <v>16</v>
          </cell>
          <cell r="U262" t="e">
            <v>#REF!</v>
          </cell>
          <cell r="AK262">
            <v>4580</v>
          </cell>
        </row>
        <row r="263">
          <cell r="F263">
            <v>5868.9761904761908</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F263">
            <v>0</v>
          </cell>
          <cell r="AG263">
            <v>0</v>
          </cell>
          <cell r="AH263">
            <v>0</v>
          </cell>
          <cell r="AK263">
            <v>5868.9761904761908</v>
          </cell>
        </row>
        <row r="264">
          <cell r="F264">
            <v>347.33333333333331</v>
          </cell>
          <cell r="P264" t="e">
            <v>#REF!</v>
          </cell>
          <cell r="Q264" t="e">
            <v>#REF!</v>
          </cell>
          <cell r="R264" t="e">
            <v>#REF!</v>
          </cell>
          <cell r="S264">
            <v>0</v>
          </cell>
          <cell r="T264">
            <v>12</v>
          </cell>
          <cell r="U264" t="e">
            <v>#REF!</v>
          </cell>
          <cell r="V264" t="e">
            <v>#REF!</v>
          </cell>
          <cell r="AK264">
            <v>347.33333333333331</v>
          </cell>
        </row>
        <row r="265">
          <cell r="F265">
            <v>0</v>
          </cell>
          <cell r="P265" t="e">
            <v>#REF!</v>
          </cell>
          <cell r="Q265" t="e">
            <v>#REF!</v>
          </cell>
          <cell r="R265" t="e">
            <v>#REF!</v>
          </cell>
          <cell r="S265">
            <v>0</v>
          </cell>
          <cell r="U265">
            <v>0</v>
          </cell>
          <cell r="V265" t="e">
            <v>#REF!</v>
          </cell>
          <cell r="AK265">
            <v>0</v>
          </cell>
        </row>
        <row r="266">
          <cell r="F266">
            <v>1548.6428571428573</v>
          </cell>
          <cell r="P266">
            <v>0</v>
          </cell>
          <cell r="S266">
            <v>0</v>
          </cell>
          <cell r="V266">
            <v>0</v>
          </cell>
          <cell r="X266">
            <v>0</v>
          </cell>
          <cell r="AA266">
            <v>0</v>
          </cell>
          <cell r="AC266">
            <v>0</v>
          </cell>
          <cell r="AF266">
            <v>0</v>
          </cell>
          <cell r="AG266">
            <v>0</v>
          </cell>
          <cell r="AH266">
            <v>0</v>
          </cell>
          <cell r="AK266">
            <v>1548.6428571428573</v>
          </cell>
        </row>
        <row r="267">
          <cell r="F267">
            <v>3500</v>
          </cell>
          <cell r="AK267">
            <v>3500</v>
          </cell>
        </row>
        <row r="268">
          <cell r="F268">
            <v>0</v>
          </cell>
          <cell r="P268">
            <v>0</v>
          </cell>
          <cell r="S268">
            <v>0</v>
          </cell>
          <cell r="V268">
            <v>0</v>
          </cell>
          <cell r="X268">
            <v>0</v>
          </cell>
          <cell r="AA268">
            <v>18</v>
          </cell>
          <cell r="AC268">
            <v>0</v>
          </cell>
          <cell r="AF268">
            <v>0</v>
          </cell>
          <cell r="AG268">
            <v>0</v>
          </cell>
          <cell r="AH268">
            <v>0</v>
          </cell>
          <cell r="AK268">
            <v>0</v>
          </cell>
        </row>
        <row r="269">
          <cell r="F269">
            <v>473</v>
          </cell>
          <cell r="P269">
            <v>0</v>
          </cell>
          <cell r="Q269">
            <v>0</v>
          </cell>
          <cell r="R269">
            <v>0</v>
          </cell>
          <cell r="S269">
            <v>0</v>
          </cell>
          <cell r="T269">
            <v>0</v>
          </cell>
          <cell r="U269">
            <v>0</v>
          </cell>
          <cell r="V269">
            <v>2576.1318181818187</v>
          </cell>
          <cell r="W269">
            <v>0</v>
          </cell>
          <cell r="X269">
            <v>0</v>
          </cell>
          <cell r="Y269">
            <v>0</v>
          </cell>
          <cell r="Z269">
            <v>0</v>
          </cell>
          <cell r="AA269">
            <v>2727.5690909090908</v>
          </cell>
          <cell r="AB269">
            <v>0</v>
          </cell>
          <cell r="AC269">
            <v>0</v>
          </cell>
          <cell r="AD269">
            <v>0</v>
          </cell>
          <cell r="AE269">
            <v>0</v>
          </cell>
          <cell r="AF269">
            <v>0</v>
          </cell>
          <cell r="AG269">
            <v>0</v>
          </cell>
          <cell r="AH269">
            <v>0</v>
          </cell>
          <cell r="AK269">
            <v>473</v>
          </cell>
        </row>
        <row r="270">
          <cell r="F270">
            <v>3600</v>
          </cell>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cell r="AB270">
            <v>314</v>
          </cell>
          <cell r="AC270">
            <v>80.902424242424232</v>
          </cell>
          <cell r="AD270">
            <v>293</v>
          </cell>
          <cell r="AE270">
            <v>120.37515151515153</v>
          </cell>
          <cell r="AF270">
            <v>3101.06</v>
          </cell>
          <cell r="AG270">
            <v>2417.3000000000002</v>
          </cell>
          <cell r="AH270">
            <v>690.76</v>
          </cell>
          <cell r="AK270">
            <v>3600</v>
          </cell>
        </row>
        <row r="271">
          <cell r="F271">
            <v>316</v>
          </cell>
          <cell r="G271">
            <v>203</v>
          </cell>
          <cell r="H271">
            <v>223</v>
          </cell>
          <cell r="P271">
            <v>0</v>
          </cell>
          <cell r="S271">
            <v>0</v>
          </cell>
          <cell r="T271">
            <v>707.75479999999993</v>
          </cell>
          <cell r="U271">
            <v>735.76520000000005</v>
          </cell>
          <cell r="V271">
            <v>721.95</v>
          </cell>
          <cell r="W271">
            <v>213</v>
          </cell>
          <cell r="X271">
            <v>0</v>
          </cell>
          <cell r="Y271">
            <v>295</v>
          </cell>
          <cell r="Z271">
            <v>116.2409090909091</v>
          </cell>
          <cell r="AA271">
            <v>597.66</v>
          </cell>
          <cell r="AB271">
            <v>303</v>
          </cell>
          <cell r="AC271">
            <v>0</v>
          </cell>
          <cell r="AD271">
            <v>284</v>
          </cell>
          <cell r="AE271">
            <v>116.0418181818182</v>
          </cell>
          <cell r="AF271">
            <v>0</v>
          </cell>
          <cell r="AG271">
            <v>0</v>
          </cell>
          <cell r="AH271">
            <v>0</v>
          </cell>
          <cell r="AK271">
            <v>316</v>
          </cell>
        </row>
        <row r="272">
          <cell r="F272">
            <v>42753.176190476195</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cell r="AB272">
            <v>0</v>
          </cell>
          <cell r="AC272">
            <v>1753.5509090909086</v>
          </cell>
          <cell r="AD272">
            <v>9</v>
          </cell>
          <cell r="AE272">
            <v>4.3333333333333339</v>
          </cell>
          <cell r="AF272">
            <v>3698.0493939393937</v>
          </cell>
          <cell r="AG272">
            <v>3251.35</v>
          </cell>
          <cell r="AH272">
            <v>415.69939393939387</v>
          </cell>
          <cell r="AK272">
            <v>60106.490735930747</v>
          </cell>
        </row>
        <row r="273">
          <cell r="F273">
            <v>1594.2</v>
          </cell>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cell r="AB273">
            <v>0</v>
          </cell>
          <cell r="AC273">
            <v>886.09333333333336</v>
          </cell>
          <cell r="AD273">
            <v>0</v>
          </cell>
          <cell r="AE273">
            <v>0</v>
          </cell>
          <cell r="AF273">
            <v>3163.81</v>
          </cell>
          <cell r="AG273">
            <v>2773.05</v>
          </cell>
          <cell r="AH273">
            <v>278.76</v>
          </cell>
          <cell r="AK273">
            <v>13910.893333333333</v>
          </cell>
        </row>
        <row r="274">
          <cell r="F274">
            <v>684.2</v>
          </cell>
          <cell r="G274">
            <v>296</v>
          </cell>
          <cell r="H274">
            <v>388.2</v>
          </cell>
          <cell r="P274">
            <v>955.62</v>
          </cell>
          <cell r="S274">
            <v>1895.42</v>
          </cell>
          <cell r="T274">
            <v>644.3785272727273</v>
          </cell>
          <cell r="U274">
            <v>670.49601818181827</v>
          </cell>
          <cell r="V274">
            <v>132</v>
          </cell>
          <cell r="X274">
            <v>640.75</v>
          </cell>
          <cell r="Y274">
            <v>274</v>
          </cell>
          <cell r="Z274">
            <v>96.386363636363626</v>
          </cell>
          <cell r="AA274">
            <v>100</v>
          </cell>
          <cell r="AC274">
            <v>534.76</v>
          </cell>
          <cell r="AF274">
            <v>1724.76</v>
          </cell>
          <cell r="AG274">
            <v>1494</v>
          </cell>
          <cell r="AH274">
            <v>230.75999999999996</v>
          </cell>
          <cell r="AK274">
            <v>6913.51</v>
          </cell>
        </row>
        <row r="275">
          <cell r="F275">
            <v>0</v>
          </cell>
          <cell r="P275">
            <v>0</v>
          </cell>
          <cell r="Q275">
            <v>0</v>
          </cell>
          <cell r="R275">
            <v>0</v>
          </cell>
          <cell r="S275">
            <v>10</v>
          </cell>
          <cell r="T275">
            <v>10</v>
          </cell>
          <cell r="U275">
            <v>0</v>
          </cell>
          <cell r="V275">
            <v>0</v>
          </cell>
          <cell r="W275">
            <v>0</v>
          </cell>
          <cell r="X275">
            <v>336</v>
          </cell>
          <cell r="Y275">
            <v>248</v>
          </cell>
          <cell r="Z275">
            <v>88</v>
          </cell>
          <cell r="AA275">
            <v>0</v>
          </cell>
          <cell r="AB275">
            <v>0</v>
          </cell>
          <cell r="AC275">
            <v>-0.66666666666666607</v>
          </cell>
          <cell r="AF275">
            <v>2</v>
          </cell>
          <cell r="AG275">
            <v>2</v>
          </cell>
          <cell r="AH275">
            <v>0</v>
          </cell>
          <cell r="AK275">
            <v>347.33333333333331</v>
          </cell>
        </row>
        <row r="276">
          <cell r="F276">
            <v>903</v>
          </cell>
          <cell r="P276">
            <v>964</v>
          </cell>
          <cell r="Q276">
            <v>0</v>
          </cell>
          <cell r="R276">
            <v>0</v>
          </cell>
          <cell r="S276">
            <v>1409</v>
          </cell>
          <cell r="T276">
            <v>0</v>
          </cell>
          <cell r="U276">
            <v>0</v>
          </cell>
          <cell r="V276">
            <v>0</v>
          </cell>
          <cell r="W276">
            <v>0</v>
          </cell>
          <cell r="X276">
            <v>338</v>
          </cell>
          <cell r="Y276">
            <v>0</v>
          </cell>
          <cell r="Z276">
            <v>0</v>
          </cell>
          <cell r="AA276">
            <v>0</v>
          </cell>
          <cell r="AB276">
            <v>0</v>
          </cell>
          <cell r="AC276">
            <v>352</v>
          </cell>
          <cell r="AF276">
            <v>767.05</v>
          </cell>
          <cell r="AG276">
            <v>1024.05</v>
          </cell>
          <cell r="AH276">
            <v>-369</v>
          </cell>
          <cell r="AK276">
            <v>4933.05</v>
          </cell>
        </row>
        <row r="277">
          <cell r="F277">
            <v>122</v>
          </cell>
          <cell r="P277">
            <v>310</v>
          </cell>
          <cell r="S277">
            <v>750</v>
          </cell>
          <cell r="V277">
            <v>66</v>
          </cell>
          <cell r="X277">
            <v>115</v>
          </cell>
          <cell r="AA277">
            <v>50</v>
          </cell>
          <cell r="AC277">
            <v>110</v>
          </cell>
          <cell r="AF277">
            <v>455</v>
          </cell>
          <cell r="AG277">
            <v>714</v>
          </cell>
          <cell r="AH277">
            <v>-371</v>
          </cell>
          <cell r="AK277">
            <v>1912</v>
          </cell>
        </row>
        <row r="278">
          <cell r="F278">
            <v>721</v>
          </cell>
          <cell r="P278">
            <v>9</v>
          </cell>
          <cell r="Q278">
            <v>0</v>
          </cell>
          <cell r="R278">
            <v>0</v>
          </cell>
          <cell r="S278">
            <v>84</v>
          </cell>
          <cell r="T278">
            <v>0</v>
          </cell>
          <cell r="U278">
            <v>0</v>
          </cell>
          <cell r="V278">
            <v>0</v>
          </cell>
          <cell r="W278">
            <v>0</v>
          </cell>
          <cell r="X278">
            <v>57</v>
          </cell>
          <cell r="Y278">
            <v>0</v>
          </cell>
          <cell r="Z278">
            <v>0</v>
          </cell>
          <cell r="AA278">
            <v>-300</v>
          </cell>
          <cell r="AB278">
            <v>0</v>
          </cell>
          <cell r="AC278">
            <v>62</v>
          </cell>
          <cell r="AD278">
            <v>0</v>
          </cell>
          <cell r="AE278">
            <v>0</v>
          </cell>
          <cell r="AF278">
            <v>32</v>
          </cell>
          <cell r="AG278">
            <v>30</v>
          </cell>
          <cell r="AH278">
            <v>2</v>
          </cell>
          <cell r="AK278">
            <v>1115</v>
          </cell>
        </row>
        <row r="279">
          <cell r="F279">
            <v>60</v>
          </cell>
          <cell r="P279">
            <v>500</v>
          </cell>
          <cell r="S279">
            <v>430</v>
          </cell>
          <cell r="V279">
            <v>0</v>
          </cell>
          <cell r="X279">
            <v>100</v>
          </cell>
          <cell r="AA279">
            <v>-300</v>
          </cell>
          <cell r="AC279">
            <v>130</v>
          </cell>
          <cell r="AF279">
            <v>150</v>
          </cell>
          <cell r="AG279">
            <v>150</v>
          </cell>
          <cell r="AH279">
            <v>0</v>
          </cell>
          <cell r="AK279">
            <v>1370</v>
          </cell>
        </row>
        <row r="280">
          <cell r="F280">
            <v>0</v>
          </cell>
          <cell r="P280">
            <v>145</v>
          </cell>
          <cell r="S280">
            <v>145</v>
          </cell>
          <cell r="V280">
            <v>0</v>
          </cell>
          <cell r="X280">
            <v>66</v>
          </cell>
          <cell r="AA280">
            <v>0</v>
          </cell>
          <cell r="AC280">
            <v>50</v>
          </cell>
          <cell r="AF280">
            <v>130.04999999999998</v>
          </cell>
          <cell r="AG280">
            <v>130.04999999999998</v>
          </cell>
          <cell r="AH280">
            <v>0</v>
          </cell>
          <cell r="AK280">
            <v>536.04999999999995</v>
          </cell>
        </row>
        <row r="281">
          <cell r="F281">
            <v>7</v>
          </cell>
          <cell r="P281">
            <v>14</v>
          </cell>
          <cell r="Q281">
            <v>0</v>
          </cell>
          <cell r="R281">
            <v>0</v>
          </cell>
          <cell r="S281">
            <v>420</v>
          </cell>
          <cell r="T281">
            <v>0</v>
          </cell>
          <cell r="U281">
            <v>0</v>
          </cell>
          <cell r="V281">
            <v>0</v>
          </cell>
          <cell r="W281">
            <v>0</v>
          </cell>
          <cell r="X281">
            <v>0</v>
          </cell>
          <cell r="Y281">
            <v>0</v>
          </cell>
          <cell r="Z281">
            <v>0</v>
          </cell>
          <cell r="AA281">
            <v>0</v>
          </cell>
          <cell r="AB281">
            <v>0</v>
          </cell>
          <cell r="AC281">
            <v>0</v>
          </cell>
          <cell r="AF281">
            <v>670</v>
          </cell>
          <cell r="AG281">
            <v>253</v>
          </cell>
          <cell r="AH281">
            <v>417</v>
          </cell>
          <cell r="AK281">
            <v>1467</v>
          </cell>
        </row>
        <row r="282">
          <cell r="F282">
            <v>0</v>
          </cell>
          <cell r="P282">
            <v>0</v>
          </cell>
          <cell r="S282">
            <v>0</v>
          </cell>
          <cell r="X282">
            <v>0</v>
          </cell>
          <cell r="AC282">
            <v>0</v>
          </cell>
          <cell r="AF282">
            <v>0</v>
          </cell>
          <cell r="AG282">
            <v>0</v>
          </cell>
          <cell r="AH282">
            <v>0</v>
          </cell>
          <cell r="AK282">
            <v>0</v>
          </cell>
        </row>
        <row r="283">
          <cell r="F283">
            <v>7</v>
          </cell>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cell r="AB283">
            <v>-314</v>
          </cell>
          <cell r="AC283">
            <v>0</v>
          </cell>
          <cell r="AD283">
            <v>-293</v>
          </cell>
          <cell r="AE283">
            <v>-120.37515151515153</v>
          </cell>
          <cell r="AF283">
            <v>670</v>
          </cell>
          <cell r="AG283">
            <v>253</v>
          </cell>
          <cell r="AH283">
            <v>417</v>
          </cell>
          <cell r="AK283">
            <v>1111</v>
          </cell>
        </row>
        <row r="284">
          <cell r="AK284">
            <v>356</v>
          </cell>
        </row>
        <row r="285">
          <cell r="F285">
            <v>2408</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cell r="AB285">
            <v>0</v>
          </cell>
          <cell r="AC285">
            <v>0</v>
          </cell>
          <cell r="AD285">
            <v>0</v>
          </cell>
          <cell r="AE285">
            <v>0</v>
          </cell>
          <cell r="AF285">
            <v>1365.8181818181818</v>
          </cell>
          <cell r="AG285">
            <v>1201</v>
          </cell>
          <cell r="AH285">
            <v>0</v>
          </cell>
          <cell r="AK285">
            <v>250</v>
          </cell>
        </row>
        <row r="286">
          <cell r="F286">
            <v>41158.976190476198</v>
          </cell>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cell r="AB286">
            <v>0</v>
          </cell>
          <cell r="AC286">
            <v>867.45757575757523</v>
          </cell>
          <cell r="AF286">
            <v>534.23939393939372</v>
          </cell>
          <cell r="AG286">
            <v>478.29999999999973</v>
          </cell>
          <cell r="AH286">
            <v>136.93939393939388</v>
          </cell>
          <cell r="AK286">
            <v>46195.597402597406</v>
          </cell>
        </row>
        <row r="287">
          <cell r="F287">
            <v>0</v>
          </cell>
          <cell r="P287">
            <v>655</v>
          </cell>
          <cell r="Q287">
            <v>0</v>
          </cell>
          <cell r="R287">
            <v>0</v>
          </cell>
          <cell r="S287">
            <v>655</v>
          </cell>
          <cell r="T287">
            <v>0</v>
          </cell>
          <cell r="U287">
            <v>0</v>
          </cell>
          <cell r="V287">
            <v>545.18181818181824</v>
          </cell>
          <cell r="W287">
            <v>0</v>
          </cell>
          <cell r="X287">
            <v>0</v>
          </cell>
          <cell r="Y287">
            <v>0</v>
          </cell>
          <cell r="Z287">
            <v>0</v>
          </cell>
          <cell r="AA287">
            <v>1510.909090909091</v>
          </cell>
          <cell r="AB287">
            <v>0</v>
          </cell>
          <cell r="AC287">
            <v>0</v>
          </cell>
          <cell r="AD287">
            <v>0</v>
          </cell>
          <cell r="AE287">
            <v>0</v>
          </cell>
          <cell r="AF287">
            <v>429.81818181818176</v>
          </cell>
          <cell r="AG287">
            <v>430</v>
          </cell>
          <cell r="AH287">
            <v>-0.18181818181818699</v>
          </cell>
          <cell r="AK287">
            <v>0</v>
          </cell>
        </row>
        <row r="288">
          <cell r="F288">
            <v>1734</v>
          </cell>
          <cell r="P288">
            <v>1828.5</v>
          </cell>
          <cell r="Q288">
            <v>0</v>
          </cell>
          <cell r="R288">
            <v>0</v>
          </cell>
          <cell r="S288">
            <v>5192.5212121212126</v>
          </cell>
          <cell r="T288">
            <v>0</v>
          </cell>
          <cell r="U288">
            <v>0</v>
          </cell>
          <cell r="V288">
            <v>0</v>
          </cell>
          <cell r="W288">
            <v>0</v>
          </cell>
          <cell r="X288">
            <v>627.10303030303021</v>
          </cell>
          <cell r="Y288">
            <v>0</v>
          </cell>
          <cell r="Z288">
            <v>0</v>
          </cell>
          <cell r="AA288">
            <v>0</v>
          </cell>
          <cell r="AB288">
            <v>0</v>
          </cell>
          <cell r="AC288">
            <v>866.79090909090905</v>
          </cell>
          <cell r="AF288">
            <v>-401.16060606060614</v>
          </cell>
          <cell r="AG288">
            <v>478.30000000000007</v>
          </cell>
          <cell r="AH288">
            <v>-767.4606060606061</v>
          </cell>
          <cell r="AK288">
            <v>10216.554545454546</v>
          </cell>
        </row>
        <row r="289">
          <cell r="F289">
            <v>-1308</v>
          </cell>
          <cell r="P289">
            <v>1187</v>
          </cell>
          <cell r="S289">
            <v>3582</v>
          </cell>
          <cell r="V289">
            <v>0</v>
          </cell>
          <cell r="X289">
            <v>-15</v>
          </cell>
          <cell r="AA289">
            <v>0</v>
          </cell>
          <cell r="AC289">
            <v>-70</v>
          </cell>
          <cell r="AF289">
            <v>-1054.4000000000001</v>
          </cell>
          <cell r="AG289">
            <v>-150</v>
          </cell>
          <cell r="AH289">
            <v>-904.4</v>
          </cell>
          <cell r="AK289">
            <v>2328.4</v>
          </cell>
        </row>
        <row r="290">
          <cell r="F290">
            <v>0</v>
          </cell>
          <cell r="P290">
            <v>450.5</v>
          </cell>
          <cell r="Q290">
            <v>0</v>
          </cell>
          <cell r="R290">
            <v>0</v>
          </cell>
          <cell r="S290">
            <v>1011.8545454545454</v>
          </cell>
          <cell r="T290">
            <v>0</v>
          </cell>
          <cell r="U290">
            <v>0</v>
          </cell>
          <cell r="V290">
            <v>0</v>
          </cell>
          <cell r="W290">
            <v>0</v>
          </cell>
          <cell r="X290">
            <v>554.43636363636358</v>
          </cell>
          <cell r="Y290">
            <v>0</v>
          </cell>
          <cell r="Z290">
            <v>0</v>
          </cell>
          <cell r="AA290">
            <v>0</v>
          </cell>
          <cell r="AB290">
            <v>0</v>
          </cell>
          <cell r="AC290">
            <v>1124.7909090909091</v>
          </cell>
          <cell r="AD290">
            <v>0</v>
          </cell>
          <cell r="AE290">
            <v>0</v>
          </cell>
          <cell r="AF290">
            <v>237.57272727272729</v>
          </cell>
          <cell r="AG290">
            <v>237.30000000000004</v>
          </cell>
          <cell r="AH290">
            <v>0.27272727272728048</v>
          </cell>
          <cell r="AK290">
            <v>3379.1545454545449</v>
          </cell>
        </row>
        <row r="291">
          <cell r="F291">
            <v>0</v>
          </cell>
          <cell r="P291">
            <v>0</v>
          </cell>
          <cell r="S291">
            <v>0</v>
          </cell>
          <cell r="V291">
            <v>11</v>
          </cell>
          <cell r="X291">
            <v>0</v>
          </cell>
          <cell r="AA291">
            <v>201</v>
          </cell>
          <cell r="AC291">
            <v>0</v>
          </cell>
          <cell r="AF291">
            <v>0</v>
          </cell>
          <cell r="AG291">
            <v>0</v>
          </cell>
          <cell r="AH291">
            <v>0</v>
          </cell>
          <cell r="AK291">
            <v>0</v>
          </cell>
        </row>
        <row r="292">
          <cell r="F292">
            <v>0</v>
          </cell>
          <cell r="P292">
            <v>0</v>
          </cell>
          <cell r="S292">
            <v>0</v>
          </cell>
          <cell r="V292">
            <v>85</v>
          </cell>
          <cell r="X292">
            <v>0</v>
          </cell>
          <cell r="AA292">
            <v>84</v>
          </cell>
          <cell r="AC292">
            <v>0</v>
          </cell>
          <cell r="AF292">
            <v>0</v>
          </cell>
          <cell r="AG292">
            <v>0</v>
          </cell>
          <cell r="AH292">
            <v>0</v>
          </cell>
          <cell r="AK292">
            <v>0</v>
          </cell>
        </row>
        <row r="293">
          <cell r="F293">
            <v>3005</v>
          </cell>
          <cell r="P293">
            <v>129</v>
          </cell>
          <cell r="Q293">
            <v>0</v>
          </cell>
          <cell r="R293">
            <v>0</v>
          </cell>
          <cell r="S293">
            <v>517.66666666666663</v>
          </cell>
          <cell r="T293">
            <v>0</v>
          </cell>
          <cell r="U293">
            <v>0</v>
          </cell>
          <cell r="V293">
            <v>0</v>
          </cell>
          <cell r="W293">
            <v>0</v>
          </cell>
          <cell r="X293">
            <v>217</v>
          </cell>
          <cell r="Y293">
            <v>0</v>
          </cell>
          <cell r="Z293">
            <v>0</v>
          </cell>
          <cell r="AA293">
            <v>0</v>
          </cell>
          <cell r="AB293">
            <v>0</v>
          </cell>
          <cell r="AC293">
            <v>-188</v>
          </cell>
          <cell r="AF293">
            <v>407.66666666666663</v>
          </cell>
          <cell r="AG293">
            <v>384</v>
          </cell>
          <cell r="AH293">
            <v>135.66666666666666</v>
          </cell>
          <cell r="AK293">
            <v>4450.333333333333</v>
          </cell>
        </row>
        <row r="294">
          <cell r="F294">
            <v>100</v>
          </cell>
          <cell r="P294">
            <v>1</v>
          </cell>
          <cell r="S294">
            <v>97.666666666666629</v>
          </cell>
          <cell r="X294">
            <v>12</v>
          </cell>
          <cell r="AC294">
            <v>-372</v>
          </cell>
          <cell r="AF294">
            <v>3.3333333333333144</v>
          </cell>
          <cell r="AG294">
            <v>70</v>
          </cell>
          <cell r="AH294">
            <v>45.333333333333314</v>
          </cell>
          <cell r="AK294">
            <v>-141.00000000000006</v>
          </cell>
        </row>
        <row r="295">
          <cell r="F295">
            <v>2</v>
          </cell>
          <cell r="P295">
            <v>42</v>
          </cell>
          <cell r="S295">
            <v>319</v>
          </cell>
          <cell r="V295">
            <v>-129</v>
          </cell>
          <cell r="X295">
            <v>85</v>
          </cell>
          <cell r="AA295">
            <v>0</v>
          </cell>
          <cell r="AC295">
            <v>84</v>
          </cell>
          <cell r="AF295">
            <v>194.33333333333334</v>
          </cell>
          <cell r="AG295">
            <v>133</v>
          </cell>
          <cell r="AH295">
            <v>61.333333333333343</v>
          </cell>
          <cell r="AK295">
            <v>726.33333333333337</v>
          </cell>
        </row>
        <row r="296">
          <cell r="F296">
            <v>2903</v>
          </cell>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cell r="AB296">
            <v>-314</v>
          </cell>
          <cell r="AC296">
            <v>100</v>
          </cell>
          <cell r="AD296">
            <v>-293</v>
          </cell>
          <cell r="AE296">
            <v>-120.37515151515153</v>
          </cell>
          <cell r="AF296">
            <v>210</v>
          </cell>
          <cell r="AG296">
            <v>181</v>
          </cell>
          <cell r="AH296">
            <v>29</v>
          </cell>
          <cell r="AK296">
            <v>3865</v>
          </cell>
        </row>
        <row r="297">
          <cell r="P297">
            <v>0</v>
          </cell>
          <cell r="AF297">
            <v>0</v>
          </cell>
          <cell r="AG297">
            <v>0</v>
          </cell>
          <cell r="AH297">
            <v>0</v>
          </cell>
          <cell r="AK297">
            <v>0</v>
          </cell>
        </row>
        <row r="298">
          <cell r="F298">
            <v>37</v>
          </cell>
          <cell r="P298">
            <v>62</v>
          </cell>
          <cell r="S298">
            <v>81</v>
          </cell>
          <cell r="X298">
            <v>-129.33333333333334</v>
          </cell>
          <cell r="AC298">
            <v>0</v>
          </cell>
          <cell r="AF298">
            <v>8</v>
          </cell>
          <cell r="AG298">
            <v>7</v>
          </cell>
          <cell r="AH298">
            <v>1</v>
          </cell>
          <cell r="AK298">
            <v>58.666666666666657</v>
          </cell>
        </row>
        <row r="299">
          <cell r="F299">
            <v>41158.976190476198</v>
          </cell>
          <cell r="G299">
            <v>0</v>
          </cell>
          <cell r="H299">
            <v>0</v>
          </cell>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cell r="AB299">
            <v>0</v>
          </cell>
          <cell r="AC299">
            <v>867.45757575757523</v>
          </cell>
          <cell r="AF299">
            <v>534.23939393939372</v>
          </cell>
          <cell r="AG299">
            <v>478.29999999999973</v>
          </cell>
          <cell r="AH299">
            <v>136.93939393939388</v>
          </cell>
          <cell r="AK299">
            <v>46195.597402597406</v>
          </cell>
        </row>
        <row r="300">
          <cell r="F300">
            <v>0</v>
          </cell>
          <cell r="AH300">
            <v>191</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K301">
            <v>0</v>
          </cell>
        </row>
        <row r="302">
          <cell r="F302">
            <v>41158.976190476198</v>
          </cell>
          <cell r="G302">
            <v>0</v>
          </cell>
          <cell r="H302">
            <v>0</v>
          </cell>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cell r="AB302">
            <v>0</v>
          </cell>
          <cell r="AC302">
            <v>867.45757575757523</v>
          </cell>
          <cell r="AF302">
            <v>534.23939393939372</v>
          </cell>
          <cell r="AG302">
            <v>206.29999999999984</v>
          </cell>
          <cell r="AH302">
            <v>327.93939393939388</v>
          </cell>
          <cell r="AK302">
            <v>46195.597402597406</v>
          </cell>
        </row>
        <row r="303">
          <cell r="F303">
            <v>0</v>
          </cell>
          <cell r="AK303">
            <v>0</v>
          </cell>
        </row>
        <row r="304">
          <cell r="F304">
            <v>0</v>
          </cell>
          <cell r="P304">
            <v>0</v>
          </cell>
          <cell r="Q304">
            <v>0</v>
          </cell>
          <cell r="R304">
            <v>0</v>
          </cell>
          <cell r="S304">
            <v>0</v>
          </cell>
          <cell r="T304">
            <v>0</v>
          </cell>
          <cell r="U304">
            <v>0</v>
          </cell>
          <cell r="V304">
            <v>0</v>
          </cell>
          <cell r="W304">
            <v>0</v>
          </cell>
          <cell r="X304">
            <v>0</v>
          </cell>
          <cell r="Y304">
            <v>0</v>
          </cell>
          <cell r="Z304">
            <v>0</v>
          </cell>
          <cell r="AA304">
            <v>0</v>
          </cell>
          <cell r="AB304">
            <v>0</v>
          </cell>
          <cell r="AC304">
            <v>0</v>
          </cell>
          <cell r="AD304">
            <v>-293</v>
          </cell>
          <cell r="AE304">
            <v>-120.37515151515153</v>
          </cell>
          <cell r="AF304">
            <v>0</v>
          </cell>
          <cell r="AG304">
            <v>0</v>
          </cell>
          <cell r="AH304">
            <v>0</v>
          </cell>
          <cell r="AK304">
            <v>0</v>
          </cell>
        </row>
        <row r="305">
          <cell r="F305">
            <v>0</v>
          </cell>
          <cell r="P305">
            <v>0</v>
          </cell>
          <cell r="S305">
            <v>0</v>
          </cell>
          <cell r="X305">
            <v>0</v>
          </cell>
          <cell r="AC305">
            <v>0</v>
          </cell>
          <cell r="AF305">
            <v>0</v>
          </cell>
          <cell r="AG305">
            <v>0</v>
          </cell>
          <cell r="AH305">
            <v>0</v>
          </cell>
          <cell r="AK305">
            <v>0</v>
          </cell>
        </row>
        <row r="306">
          <cell r="P306">
            <v>0</v>
          </cell>
          <cell r="AK306">
            <v>0</v>
          </cell>
        </row>
        <row r="307">
          <cell r="F307">
            <v>41158.976190476198</v>
          </cell>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cell r="AB307">
            <v>0</v>
          </cell>
          <cell r="AC307">
            <v>867.45757575757523</v>
          </cell>
          <cell r="AF307">
            <v>534.23939393939372</v>
          </cell>
          <cell r="AG307">
            <v>206.29999999999984</v>
          </cell>
          <cell r="AH307">
            <v>327.93939393939388</v>
          </cell>
          <cell r="AK307">
            <v>46195.597402597406</v>
          </cell>
        </row>
        <row r="308">
          <cell r="F308">
            <v>3400</v>
          </cell>
          <cell r="AK308">
            <v>0</v>
          </cell>
        </row>
        <row r="309">
          <cell r="P309">
            <v>0</v>
          </cell>
          <cell r="S309">
            <v>0</v>
          </cell>
          <cell r="AK309">
            <v>0</v>
          </cell>
        </row>
        <row r="310">
          <cell r="F310">
            <v>0</v>
          </cell>
          <cell r="S310">
            <v>0</v>
          </cell>
          <cell r="AK310">
            <v>0</v>
          </cell>
        </row>
        <row r="311">
          <cell r="F311">
            <v>3500</v>
          </cell>
          <cell r="AK311">
            <v>3500</v>
          </cell>
        </row>
        <row r="312">
          <cell r="S312">
            <v>0</v>
          </cell>
        </row>
        <row r="313">
          <cell r="F313">
            <v>0</v>
          </cell>
          <cell r="AK313">
            <v>0</v>
          </cell>
        </row>
        <row r="314">
          <cell r="S314">
            <v>0</v>
          </cell>
          <cell r="AK314">
            <v>0</v>
          </cell>
        </row>
        <row r="315">
          <cell r="F315">
            <v>44586.804761904765</v>
          </cell>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cell r="AB315">
            <v>-314</v>
          </cell>
          <cell r="AC315">
            <v>-80.902424242424232</v>
          </cell>
          <cell r="AD315">
            <v>-293</v>
          </cell>
          <cell r="AE315">
            <v>-120.37515151515153</v>
          </cell>
          <cell r="AF315">
            <v>1365.8181818181815</v>
          </cell>
          <cell r="AG315">
            <v>1016.9999999999998</v>
          </cell>
          <cell r="AH315">
            <v>348.81818181818176</v>
          </cell>
          <cell r="AK315">
            <v>54477.380519480525</v>
          </cell>
        </row>
        <row r="316">
          <cell r="AK316">
            <v>0</v>
          </cell>
        </row>
        <row r="317">
          <cell r="S317">
            <v>0</v>
          </cell>
        </row>
        <row r="318">
          <cell r="F318">
            <v>41158.976190476198</v>
          </cell>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cell r="AB318">
            <v>0</v>
          </cell>
          <cell r="AC318">
            <v>867.45757575757523</v>
          </cell>
          <cell r="AF318">
            <v>534.23939393939372</v>
          </cell>
          <cell r="AG318">
            <v>206.29999999999984</v>
          </cell>
          <cell r="AH318">
            <v>327.93939393939388</v>
          </cell>
          <cell r="AK318">
            <v>46195.597402597406</v>
          </cell>
        </row>
        <row r="324">
          <cell r="AK324">
            <v>7180.8099999999995</v>
          </cell>
          <cell r="AM324">
            <v>5319.75</v>
          </cell>
        </row>
        <row r="325">
          <cell r="F325">
            <v>116</v>
          </cell>
          <cell r="P325">
            <v>329</v>
          </cell>
          <cell r="S325">
            <v>570</v>
          </cell>
          <cell r="V325">
            <v>197</v>
          </cell>
          <cell r="X325">
            <v>203</v>
          </cell>
          <cell r="AA325">
            <v>163</v>
          </cell>
          <cell r="AC325">
            <v>166</v>
          </cell>
          <cell r="AF325">
            <v>507</v>
          </cell>
          <cell r="AG325">
            <v>445</v>
          </cell>
          <cell r="AH325">
            <v>62</v>
          </cell>
          <cell r="AK325">
            <v>2016</v>
          </cell>
          <cell r="AM325">
            <v>1509</v>
          </cell>
        </row>
        <row r="326">
          <cell r="AK326">
            <v>7379.804761904762</v>
          </cell>
          <cell r="AM326">
            <v>7379.804761904762</v>
          </cell>
        </row>
        <row r="327">
          <cell r="AK327">
            <v>6913.51</v>
          </cell>
          <cell r="AM327">
            <v>5188.75</v>
          </cell>
        </row>
        <row r="328">
          <cell r="F328">
            <v>186</v>
          </cell>
          <cell r="P328">
            <v>348</v>
          </cell>
          <cell r="S328">
            <v>517</v>
          </cell>
          <cell r="X328">
            <v>175</v>
          </cell>
          <cell r="AC328">
            <v>146</v>
          </cell>
          <cell r="AF328">
            <v>470</v>
          </cell>
          <cell r="AG328">
            <v>407</v>
          </cell>
          <cell r="AH328">
            <v>63</v>
          </cell>
          <cell r="AK328">
            <v>1972</v>
          </cell>
          <cell r="AM328">
            <v>1502</v>
          </cell>
        </row>
        <row r="329">
          <cell r="AK329">
            <v>5868.9761904761908</v>
          </cell>
          <cell r="AM329">
            <v>5868.9761904761908</v>
          </cell>
        </row>
        <row r="330">
          <cell r="AK330">
            <v>347.33333333333331</v>
          </cell>
          <cell r="AM330">
            <v>347.33333333333331</v>
          </cell>
        </row>
        <row r="331">
          <cell r="AK331">
            <v>58.666666666666657</v>
          </cell>
          <cell r="AM331">
            <v>50.666666666666657</v>
          </cell>
        </row>
        <row r="332">
          <cell r="AK332">
            <v>1548.6428571428573</v>
          </cell>
          <cell r="AM332">
            <v>1548.6428571428573</v>
          </cell>
        </row>
        <row r="333">
          <cell r="AK333">
            <v>3500</v>
          </cell>
          <cell r="AM333">
            <v>3500</v>
          </cell>
        </row>
        <row r="334">
          <cell r="AK334">
            <v>0</v>
          </cell>
          <cell r="AM334">
            <v>0</v>
          </cell>
        </row>
        <row r="335">
          <cell r="AK335">
            <v>473</v>
          </cell>
          <cell r="AM335">
            <v>473</v>
          </cell>
        </row>
        <row r="336">
          <cell r="AK336">
            <v>3600</v>
          </cell>
          <cell r="AM336">
            <v>3366.090909090909</v>
          </cell>
        </row>
        <row r="337">
          <cell r="AK337">
            <v>0</v>
          </cell>
          <cell r="AM337">
            <v>0</v>
          </cell>
        </row>
        <row r="338">
          <cell r="AK338">
            <v>2328.4</v>
          </cell>
          <cell r="AM338">
            <v>3382.8</v>
          </cell>
        </row>
        <row r="339">
          <cell r="AK339">
            <v>3379.1545454545449</v>
          </cell>
          <cell r="AM339">
            <v>3141.5818181818177</v>
          </cell>
        </row>
        <row r="340">
          <cell r="AK340">
            <v>0</v>
          </cell>
          <cell r="AM340">
            <v>0</v>
          </cell>
        </row>
        <row r="341">
          <cell r="AK341">
            <v>0</v>
          </cell>
          <cell r="AM341">
            <v>0</v>
          </cell>
        </row>
        <row r="342">
          <cell r="AK342">
            <v>0</v>
          </cell>
          <cell r="AM342">
            <v>0</v>
          </cell>
        </row>
        <row r="343">
          <cell r="AK343">
            <v>4933.05</v>
          </cell>
          <cell r="AM343">
            <v>4166</v>
          </cell>
        </row>
        <row r="344">
          <cell r="AK344">
            <v>1912</v>
          </cell>
          <cell r="AM344">
            <v>1457</v>
          </cell>
        </row>
        <row r="345">
          <cell r="AK345">
            <v>1115</v>
          </cell>
          <cell r="AM345">
            <v>1083</v>
          </cell>
        </row>
        <row r="346">
          <cell r="AK346">
            <v>1370</v>
          </cell>
          <cell r="AM346">
            <v>-300</v>
          </cell>
        </row>
        <row r="347">
          <cell r="AK347">
            <v>536.04999999999995</v>
          </cell>
          <cell r="AM347">
            <v>527</v>
          </cell>
        </row>
        <row r="348">
          <cell r="P348">
            <v>225</v>
          </cell>
          <cell r="S348">
            <v>296</v>
          </cell>
          <cell r="V348">
            <v>56</v>
          </cell>
          <cell r="X348">
            <v>56</v>
          </cell>
          <cell r="AA348">
            <v>-78.090909090909093</v>
          </cell>
          <cell r="AC348">
            <v>561.88181818181829</v>
          </cell>
          <cell r="AF348">
            <v>-250.18181818181819</v>
          </cell>
          <cell r="AG348">
            <v>-250</v>
          </cell>
          <cell r="AH348">
            <v>-0.18181818181818699</v>
          </cell>
          <cell r="AK348">
            <v>0</v>
          </cell>
          <cell r="AM348">
            <v>0</v>
          </cell>
        </row>
        <row r="349">
          <cell r="AK349">
            <v>0</v>
          </cell>
          <cell r="AM349">
            <v>0</v>
          </cell>
        </row>
        <row r="350">
          <cell r="F350">
            <v>33</v>
          </cell>
          <cell r="P350">
            <v>0</v>
          </cell>
          <cell r="S350">
            <v>0</v>
          </cell>
          <cell r="V350">
            <v>0</v>
          </cell>
          <cell r="X350">
            <v>0</v>
          </cell>
          <cell r="AA350">
            <v>0</v>
          </cell>
          <cell r="AC350">
            <v>0</v>
          </cell>
          <cell r="AF350">
            <v>0</v>
          </cell>
          <cell r="AG350">
            <v>0</v>
          </cell>
          <cell r="AH350">
            <v>0</v>
          </cell>
          <cell r="AK350">
            <v>1111</v>
          </cell>
          <cell r="AM350">
            <v>441</v>
          </cell>
        </row>
        <row r="351">
          <cell r="P351">
            <v>225</v>
          </cell>
          <cell r="S351">
            <v>296</v>
          </cell>
          <cell r="X351">
            <v>56</v>
          </cell>
          <cell r="AC351">
            <v>-117.85909090909095</v>
          </cell>
          <cell r="AF351">
            <v>-167.67727272727276</v>
          </cell>
          <cell r="AG351">
            <v>-167.95000000000005</v>
          </cell>
          <cell r="AH351">
            <v>0.27272727272728048</v>
          </cell>
          <cell r="AK351">
            <v>291.46363636363628</v>
          </cell>
          <cell r="AM351">
            <v>395</v>
          </cell>
        </row>
        <row r="352">
          <cell r="AK352">
            <v>0</v>
          </cell>
          <cell r="AM352">
            <v>0</v>
          </cell>
        </row>
        <row r="353">
          <cell r="F353">
            <v>33</v>
          </cell>
          <cell r="P353">
            <v>0</v>
          </cell>
          <cell r="S353">
            <v>0</v>
          </cell>
          <cell r="X353">
            <v>0</v>
          </cell>
          <cell r="AC353">
            <v>0</v>
          </cell>
          <cell r="AF353">
            <v>0</v>
          </cell>
          <cell r="AG353">
            <v>0</v>
          </cell>
          <cell r="AH353">
            <v>0</v>
          </cell>
          <cell r="AK353">
            <v>389</v>
          </cell>
          <cell r="AM353">
            <v>389</v>
          </cell>
        </row>
        <row r="354">
          <cell r="AK354">
            <v>316</v>
          </cell>
          <cell r="AM354">
            <v>316</v>
          </cell>
        </row>
        <row r="355">
          <cell r="AK355">
            <v>0</v>
          </cell>
          <cell r="AM355">
            <v>0</v>
          </cell>
        </row>
        <row r="356">
          <cell r="AK356">
            <v>0</v>
          </cell>
          <cell r="AM356">
            <v>0</v>
          </cell>
        </row>
        <row r="357">
          <cell r="AK357">
            <v>4450.333333333333</v>
          </cell>
          <cell r="AM357" t="e">
            <v>#REF!</v>
          </cell>
        </row>
        <row r="358">
          <cell r="F358">
            <v>0</v>
          </cell>
          <cell r="P358">
            <v>0</v>
          </cell>
          <cell r="S358">
            <v>0</v>
          </cell>
          <cell r="T358">
            <v>162.88</v>
          </cell>
          <cell r="U358">
            <v>855.12</v>
          </cell>
          <cell r="V358">
            <v>471</v>
          </cell>
          <cell r="W358">
            <v>447</v>
          </cell>
          <cell r="X358">
            <v>104</v>
          </cell>
          <cell r="Y358">
            <v>359</v>
          </cell>
          <cell r="Z358">
            <v>141.33333333333337</v>
          </cell>
          <cell r="AA358">
            <v>273</v>
          </cell>
          <cell r="AB358">
            <v>455</v>
          </cell>
          <cell r="AC358">
            <v>118</v>
          </cell>
          <cell r="AD358">
            <v>289</v>
          </cell>
          <cell r="AE358">
            <v>117</v>
          </cell>
          <cell r="AF358">
            <v>-28</v>
          </cell>
          <cell r="AG358">
            <v>-28</v>
          </cell>
          <cell r="AH358">
            <v>0</v>
          </cell>
          <cell r="AK358">
            <v>-141.00000000000006</v>
          </cell>
          <cell r="AM358">
            <v>744</v>
          </cell>
        </row>
        <row r="359">
          <cell r="AK359">
            <v>726.33333333333337</v>
          </cell>
        </row>
        <row r="360">
          <cell r="AK360">
            <v>3865</v>
          </cell>
        </row>
        <row r="361">
          <cell r="F361">
            <v>0</v>
          </cell>
          <cell r="P361">
            <v>0</v>
          </cell>
          <cell r="S361">
            <v>1018</v>
          </cell>
          <cell r="T361">
            <v>162.88</v>
          </cell>
          <cell r="U361">
            <v>855.12</v>
          </cell>
          <cell r="X361">
            <v>466</v>
          </cell>
          <cell r="Y361">
            <v>407</v>
          </cell>
          <cell r="Z361">
            <v>144</v>
          </cell>
          <cell r="AC361">
            <v>523.66666666666663</v>
          </cell>
          <cell r="AF361">
            <v>495</v>
          </cell>
          <cell r="AG361">
            <v>526</v>
          </cell>
          <cell r="AH361">
            <v>0</v>
          </cell>
          <cell r="AK361">
            <v>2512.6666666666665</v>
          </cell>
          <cell r="AM361">
            <v>2017.6666666666665</v>
          </cell>
        </row>
        <row r="367">
          <cell r="F367">
            <v>0</v>
          </cell>
        </row>
        <row r="370">
          <cell r="F370">
            <v>0</v>
          </cell>
        </row>
        <row r="381">
          <cell r="F381" t="str">
            <v>лютий</v>
          </cell>
          <cell r="P381" t="str">
            <v>лютий</v>
          </cell>
          <cell r="V381" t="str">
            <v>лютий</v>
          </cell>
          <cell r="X381" t="str">
            <v>лютий</v>
          </cell>
          <cell r="AA381" t="str">
            <v>лютий</v>
          </cell>
          <cell r="AC381" t="str">
            <v>лютий</v>
          </cell>
        </row>
        <row r="382">
          <cell r="F382" t="str">
            <v>АППАРАТ</v>
          </cell>
          <cell r="P382" t="str">
            <v>ККМ</v>
          </cell>
          <cell r="V382" t="str">
            <v>ТЕЦ5</v>
          </cell>
          <cell r="X382" t="str">
            <v>ТЕЦ5</v>
          </cell>
          <cell r="AA382" t="str">
            <v>ТЕЦ6</v>
          </cell>
          <cell r="AC382" t="str">
            <v>ТЕЦ6</v>
          </cell>
          <cell r="AK382" t="str">
            <v>АК "КЕ"</v>
          </cell>
          <cell r="AL382" t="str">
            <v>Е/Е</v>
          </cell>
        </row>
        <row r="383">
          <cell r="F383" t="str">
            <v>ПЛАН</v>
          </cell>
          <cell r="P383" t="str">
            <v>ПЛАН</v>
          </cell>
          <cell r="V383" t="str">
            <v>ПЛАН</v>
          </cell>
          <cell r="X383" t="str">
            <v>ПЛАН</v>
          </cell>
          <cell r="AA383" t="str">
            <v>ПЛАН</v>
          </cell>
          <cell r="AC383" t="str">
            <v>ПЛАН</v>
          </cell>
          <cell r="AK383" t="str">
            <v>ПЛАН</v>
          </cell>
          <cell r="AL383" t="str">
            <v>ПЛАН</v>
          </cell>
        </row>
        <row r="384">
          <cell r="F384" t="str">
            <v>лютий</v>
          </cell>
          <cell r="G384">
            <v>120</v>
          </cell>
          <cell r="H384">
            <v>119</v>
          </cell>
          <cell r="P384" t="str">
            <v>лютий</v>
          </cell>
          <cell r="S384">
            <v>14.333333333333332</v>
          </cell>
          <cell r="V384">
            <v>182</v>
          </cell>
          <cell r="W384">
            <v>148</v>
          </cell>
          <cell r="X384" t="str">
            <v>лютий</v>
          </cell>
          <cell r="Y384">
            <v>131</v>
          </cell>
          <cell r="Z384">
            <v>130</v>
          </cell>
          <cell r="AA384">
            <v>323.66666666666674</v>
          </cell>
          <cell r="AB384">
            <v>257</v>
          </cell>
          <cell r="AC384" t="str">
            <v>лютий</v>
          </cell>
          <cell r="AD384">
            <v>230</v>
          </cell>
          <cell r="AE384">
            <v>231</v>
          </cell>
          <cell r="AK384">
            <v>735.30000000000018</v>
          </cell>
          <cell r="AL384">
            <v>580.33333333333337</v>
          </cell>
          <cell r="AM384">
            <v>551.33333333333337</v>
          </cell>
        </row>
        <row r="385">
          <cell r="F385" t="str">
            <v>АППАРАТ</v>
          </cell>
          <cell r="G385">
            <v>21</v>
          </cell>
          <cell r="P385" t="str">
            <v>ККМ</v>
          </cell>
          <cell r="V385">
            <v>0</v>
          </cell>
          <cell r="W385">
            <v>0</v>
          </cell>
          <cell r="X385" t="str">
            <v>ТЕЦ5</v>
          </cell>
          <cell r="Y385">
            <v>0</v>
          </cell>
          <cell r="AA385">
            <v>3.6666666666666665</v>
          </cell>
          <cell r="AB385">
            <v>3</v>
          </cell>
          <cell r="AC385" t="str">
            <v>ТЕЦ6</v>
          </cell>
          <cell r="AD385">
            <v>3</v>
          </cell>
          <cell r="AK385" t="str">
            <v>АК "КЕ"</v>
          </cell>
          <cell r="AL385" t="str">
            <v>Е/Е</v>
          </cell>
        </row>
        <row r="386">
          <cell r="F386" t="str">
            <v>ПЛАН</v>
          </cell>
          <cell r="G386">
            <v>0</v>
          </cell>
          <cell r="P386" t="str">
            <v>ПЛАН</v>
          </cell>
          <cell r="V386">
            <v>146.66666666666666</v>
          </cell>
          <cell r="W386">
            <v>119</v>
          </cell>
          <cell r="X386" t="str">
            <v>ПЛАН</v>
          </cell>
          <cell r="Y386">
            <v>105</v>
          </cell>
          <cell r="AA386">
            <v>280.66666666666669</v>
          </cell>
          <cell r="AB386">
            <v>223</v>
          </cell>
          <cell r="AC386" t="str">
            <v>ПЛАН</v>
          </cell>
          <cell r="AD386">
            <v>200</v>
          </cell>
          <cell r="AK386" t="str">
            <v>ПЛАН</v>
          </cell>
          <cell r="AL386" t="str">
            <v>ПЛАН</v>
          </cell>
        </row>
        <row r="387">
          <cell r="F387">
            <v>164.3</v>
          </cell>
          <cell r="G387">
            <v>106</v>
          </cell>
          <cell r="H387">
            <v>106</v>
          </cell>
          <cell r="P387">
            <v>14.333333333333332</v>
          </cell>
          <cell r="S387">
            <v>14.333333333333332</v>
          </cell>
          <cell r="V387">
            <v>0</v>
          </cell>
          <cell r="W387">
            <v>0</v>
          </cell>
          <cell r="X387">
            <v>182</v>
          </cell>
          <cell r="Y387">
            <v>134</v>
          </cell>
          <cell r="Z387">
            <v>134</v>
          </cell>
          <cell r="AA387">
            <v>25</v>
          </cell>
          <cell r="AB387">
            <v>20</v>
          </cell>
          <cell r="AC387">
            <v>323.66666666666674</v>
          </cell>
          <cell r="AD387">
            <v>18</v>
          </cell>
          <cell r="AK387">
            <v>735.30000000000018</v>
          </cell>
          <cell r="AL387">
            <v>317.33333333333337</v>
          </cell>
          <cell r="AM387">
            <v>266.33333333333337</v>
          </cell>
        </row>
        <row r="388">
          <cell r="F388">
            <v>29</v>
          </cell>
          <cell r="G388">
            <v>19</v>
          </cell>
          <cell r="P388">
            <v>0</v>
          </cell>
          <cell r="V388">
            <v>25.333333333333332</v>
          </cell>
          <cell r="W388">
            <v>21</v>
          </cell>
          <cell r="X388">
            <v>0</v>
          </cell>
          <cell r="Y388">
            <v>0</v>
          </cell>
          <cell r="AA388">
            <v>0.66666666666666663</v>
          </cell>
          <cell r="AB388">
            <v>1</v>
          </cell>
          <cell r="AC388">
            <v>3.6666666666666665</v>
          </cell>
          <cell r="AD388">
            <v>0</v>
          </cell>
          <cell r="AK388">
            <v>46</v>
          </cell>
          <cell r="AL388">
            <v>22</v>
          </cell>
        </row>
        <row r="389">
          <cell r="F389">
            <v>0</v>
          </cell>
          <cell r="G389">
            <v>0</v>
          </cell>
          <cell r="P389">
            <v>0.66666666666666663</v>
          </cell>
          <cell r="V389">
            <v>0</v>
          </cell>
          <cell r="W389">
            <v>0</v>
          </cell>
          <cell r="X389">
            <v>146.66666666666666</v>
          </cell>
          <cell r="Y389">
            <v>108</v>
          </cell>
          <cell r="AA389">
            <v>0</v>
          </cell>
          <cell r="AB389">
            <v>0</v>
          </cell>
          <cell r="AC389">
            <v>280.66666666666669</v>
          </cell>
          <cell r="AD389">
            <v>0</v>
          </cell>
          <cell r="AK389">
            <v>428</v>
          </cell>
          <cell r="AL389">
            <v>108.66666666666667</v>
          </cell>
        </row>
        <row r="390">
          <cell r="F390">
            <v>0</v>
          </cell>
          <cell r="G390">
            <v>0</v>
          </cell>
          <cell r="P390">
            <v>2</v>
          </cell>
          <cell r="V390">
            <v>0</v>
          </cell>
          <cell r="W390">
            <v>0</v>
          </cell>
          <cell r="X390">
            <v>0</v>
          </cell>
          <cell r="Y390">
            <v>0</v>
          </cell>
          <cell r="AA390">
            <v>0</v>
          </cell>
          <cell r="AB390">
            <v>0</v>
          </cell>
          <cell r="AC390">
            <v>25</v>
          </cell>
          <cell r="AD390">
            <v>0</v>
          </cell>
          <cell r="AK390">
            <v>33.666666666666671</v>
          </cell>
          <cell r="AL390">
            <v>5</v>
          </cell>
        </row>
        <row r="391">
          <cell r="F391">
            <v>0</v>
          </cell>
          <cell r="G391">
            <v>0</v>
          </cell>
          <cell r="P391">
            <v>0</v>
          </cell>
          <cell r="V391">
            <v>0</v>
          </cell>
          <cell r="W391">
            <v>0</v>
          </cell>
          <cell r="X391">
            <v>25.333333333333332</v>
          </cell>
          <cell r="Y391">
            <v>19</v>
          </cell>
          <cell r="AA391">
            <v>0</v>
          </cell>
          <cell r="AB391">
            <v>0</v>
          </cell>
          <cell r="AC391">
            <v>0.66666666666666663</v>
          </cell>
          <cell r="AD391">
            <v>0</v>
          </cell>
          <cell r="AK391">
            <v>26</v>
          </cell>
          <cell r="AL391">
            <v>19</v>
          </cell>
        </row>
        <row r="392">
          <cell r="F392">
            <v>120.63333333333333</v>
          </cell>
          <cell r="G392">
            <v>78</v>
          </cell>
          <cell r="P392">
            <v>0</v>
          </cell>
          <cell r="V392">
            <v>0</v>
          </cell>
          <cell r="W392">
            <v>0</v>
          </cell>
          <cell r="X392">
            <v>0</v>
          </cell>
          <cell r="Y392">
            <v>0</v>
          </cell>
          <cell r="AA392">
            <v>0</v>
          </cell>
          <cell r="AB392">
            <v>0</v>
          </cell>
          <cell r="AC392">
            <v>0</v>
          </cell>
          <cell r="AD392">
            <v>0</v>
          </cell>
          <cell r="AK392">
            <v>120.63333333333333</v>
          </cell>
          <cell r="AL392">
            <v>80</v>
          </cell>
        </row>
        <row r="393">
          <cell r="F393">
            <v>8.6666666666666661</v>
          </cell>
          <cell r="G393">
            <v>6</v>
          </cell>
          <cell r="P393">
            <v>0</v>
          </cell>
          <cell r="V393">
            <v>0</v>
          </cell>
          <cell r="W393">
            <v>0</v>
          </cell>
          <cell r="X393">
            <v>0</v>
          </cell>
          <cell r="Y393">
            <v>0</v>
          </cell>
          <cell r="AA393">
            <v>0</v>
          </cell>
          <cell r="AB393">
            <v>0</v>
          </cell>
          <cell r="AC393">
            <v>0</v>
          </cell>
          <cell r="AD393">
            <v>0</v>
          </cell>
          <cell r="AK393">
            <v>8.6666666666666661</v>
          </cell>
          <cell r="AL393">
            <v>0</v>
          </cell>
        </row>
        <row r="394">
          <cell r="F394">
            <v>0</v>
          </cell>
          <cell r="G394">
            <v>0</v>
          </cell>
          <cell r="P394">
            <v>5.333333333333333</v>
          </cell>
          <cell r="V394">
            <v>10</v>
          </cell>
          <cell r="W394">
            <v>8</v>
          </cell>
          <cell r="X394">
            <v>0</v>
          </cell>
          <cell r="Y394">
            <v>0</v>
          </cell>
          <cell r="AA394">
            <v>13.666666666666666</v>
          </cell>
          <cell r="AB394">
            <v>11</v>
          </cell>
          <cell r="AC394">
            <v>0</v>
          </cell>
          <cell r="AD394">
            <v>10</v>
          </cell>
          <cell r="AK394">
            <v>22</v>
          </cell>
          <cell r="AL394">
            <v>15.333333333333332</v>
          </cell>
        </row>
        <row r="395">
          <cell r="F395">
            <v>5.333333333333333</v>
          </cell>
          <cell r="G395">
            <v>3</v>
          </cell>
          <cell r="P395">
            <v>0</v>
          </cell>
          <cell r="V395">
            <v>0</v>
          </cell>
          <cell r="W395">
            <v>0</v>
          </cell>
          <cell r="X395">
            <v>0</v>
          </cell>
          <cell r="Y395">
            <v>0</v>
          </cell>
          <cell r="AA395">
            <v>0</v>
          </cell>
          <cell r="AB395">
            <v>0</v>
          </cell>
          <cell r="AC395">
            <v>0</v>
          </cell>
          <cell r="AD395">
            <v>0</v>
          </cell>
          <cell r="AK395">
            <v>5.333333333333333</v>
          </cell>
          <cell r="AL395">
            <v>3</v>
          </cell>
        </row>
        <row r="396">
          <cell r="F396">
            <v>0.33333333333333331</v>
          </cell>
          <cell r="G396">
            <v>0</v>
          </cell>
          <cell r="P396">
            <v>4.333333333333333</v>
          </cell>
          <cell r="V396">
            <v>522.33333333333337</v>
          </cell>
          <cell r="W396">
            <v>424</v>
          </cell>
          <cell r="X396">
            <v>0</v>
          </cell>
          <cell r="Y396">
            <v>0</v>
          </cell>
          <cell r="AA396">
            <v>43</v>
          </cell>
          <cell r="AB396">
            <v>34</v>
          </cell>
          <cell r="AC396">
            <v>0</v>
          </cell>
          <cell r="AD396">
            <v>31</v>
          </cell>
          <cell r="AK396">
            <v>4.6666666666666661</v>
          </cell>
          <cell r="AL396">
            <v>4.333333333333333</v>
          </cell>
          <cell r="AM396">
            <v>479.83333333333337</v>
          </cell>
        </row>
        <row r="397">
          <cell r="F397">
            <v>0.33333333333333331</v>
          </cell>
          <cell r="G397">
            <v>0</v>
          </cell>
          <cell r="P397">
            <v>2</v>
          </cell>
          <cell r="V397">
            <v>0</v>
          </cell>
          <cell r="W397">
            <v>0</v>
          </cell>
          <cell r="X397">
            <v>10</v>
          </cell>
          <cell r="Y397">
            <v>7</v>
          </cell>
          <cell r="AA397">
            <v>0</v>
          </cell>
          <cell r="AB397">
            <v>0</v>
          </cell>
          <cell r="AC397">
            <v>13.666666666666666</v>
          </cell>
          <cell r="AD397">
            <v>0</v>
          </cell>
          <cell r="AK397">
            <v>26</v>
          </cell>
          <cell r="AL397">
            <v>9</v>
          </cell>
        </row>
        <row r="398">
          <cell r="F398">
            <v>0</v>
          </cell>
          <cell r="G398">
            <v>0</v>
          </cell>
          <cell r="P398">
            <v>0</v>
          </cell>
          <cell r="V398">
            <v>480.66666666666669</v>
          </cell>
          <cell r="W398">
            <v>390</v>
          </cell>
          <cell r="X398">
            <v>0</v>
          </cell>
          <cell r="Y398">
            <v>0</v>
          </cell>
          <cell r="AA398">
            <v>11</v>
          </cell>
          <cell r="AB398">
            <v>9</v>
          </cell>
          <cell r="AC398">
            <v>0</v>
          </cell>
          <cell r="AD398">
            <v>8</v>
          </cell>
          <cell r="AK398">
            <v>0</v>
          </cell>
          <cell r="AL398">
            <v>399</v>
          </cell>
        </row>
        <row r="399">
          <cell r="F399">
            <v>1.1666666666666667</v>
          </cell>
          <cell r="G399">
            <v>1</v>
          </cell>
          <cell r="P399">
            <v>20.5</v>
          </cell>
          <cell r="V399">
            <v>0</v>
          </cell>
          <cell r="W399">
            <v>0</v>
          </cell>
          <cell r="X399">
            <v>522.33333333333337</v>
          </cell>
          <cell r="Y399">
            <v>386</v>
          </cell>
          <cell r="AA399">
            <v>0</v>
          </cell>
          <cell r="AB399">
            <v>0</v>
          </cell>
          <cell r="AC399">
            <v>43</v>
          </cell>
          <cell r="AD399">
            <v>0</v>
          </cell>
          <cell r="AK399">
            <v>587.33333333333337</v>
          </cell>
          <cell r="AL399">
            <v>407.5</v>
          </cell>
          <cell r="AM399">
            <v>407.83333333333331</v>
          </cell>
        </row>
        <row r="400">
          <cell r="F400">
            <v>0</v>
          </cell>
          <cell r="G400">
            <v>0</v>
          </cell>
          <cell r="P400">
            <v>0</v>
          </cell>
          <cell r="V400">
            <v>41.666666666666664</v>
          </cell>
          <cell r="W400">
            <v>34</v>
          </cell>
          <cell r="X400">
            <v>0</v>
          </cell>
          <cell r="Y400">
            <v>0</v>
          </cell>
          <cell r="AA400">
            <v>32</v>
          </cell>
          <cell r="AB400">
            <v>25</v>
          </cell>
          <cell r="AC400">
            <v>0</v>
          </cell>
          <cell r="AD400">
            <v>23</v>
          </cell>
          <cell r="AK400">
            <v>0</v>
          </cell>
          <cell r="AL400">
            <v>0</v>
          </cell>
        </row>
        <row r="401">
          <cell r="F401">
            <v>0</v>
          </cell>
          <cell r="G401">
            <v>0</v>
          </cell>
          <cell r="P401">
            <v>0</v>
          </cell>
          <cell r="V401">
            <v>0</v>
          </cell>
          <cell r="W401">
            <v>0</v>
          </cell>
          <cell r="X401">
            <v>480.66666666666669</v>
          </cell>
          <cell r="Y401">
            <v>355</v>
          </cell>
          <cell r="AA401">
            <v>0</v>
          </cell>
          <cell r="AB401">
            <v>0</v>
          </cell>
          <cell r="AC401">
            <v>11</v>
          </cell>
          <cell r="AD401">
            <v>0</v>
          </cell>
          <cell r="AK401">
            <v>491.66666666666669</v>
          </cell>
          <cell r="AL401">
            <v>355</v>
          </cell>
        </row>
        <row r="402">
          <cell r="F402">
            <v>0</v>
          </cell>
          <cell r="G402">
            <v>0</v>
          </cell>
          <cell r="P402">
            <v>0</v>
          </cell>
          <cell r="V402">
            <v>0</v>
          </cell>
          <cell r="W402">
            <v>0</v>
          </cell>
          <cell r="X402">
            <v>0</v>
          </cell>
          <cell r="Y402">
            <v>0</v>
          </cell>
          <cell r="AA402">
            <v>0</v>
          </cell>
          <cell r="AB402">
            <v>0</v>
          </cell>
          <cell r="AC402">
            <v>0</v>
          </cell>
          <cell r="AD402">
            <v>0</v>
          </cell>
          <cell r="AK402">
            <v>0</v>
          </cell>
          <cell r="AL402">
            <v>0</v>
          </cell>
        </row>
        <row r="403">
          <cell r="F403">
            <v>1.1666666666666667</v>
          </cell>
          <cell r="G403">
            <v>1</v>
          </cell>
          <cell r="P403">
            <v>15.833333333333334</v>
          </cell>
          <cell r="V403">
            <v>0</v>
          </cell>
          <cell r="W403">
            <v>0</v>
          </cell>
          <cell r="X403">
            <v>41.666666666666664</v>
          </cell>
          <cell r="Y403">
            <v>31</v>
          </cell>
          <cell r="AA403">
            <v>0</v>
          </cell>
          <cell r="AB403">
            <v>0</v>
          </cell>
          <cell r="AC403">
            <v>32</v>
          </cell>
          <cell r="AD403">
            <v>0</v>
          </cell>
          <cell r="AK403">
            <v>91</v>
          </cell>
          <cell r="AL403">
            <v>52.833333333333336</v>
          </cell>
          <cell r="AM403">
            <v>46</v>
          </cell>
        </row>
        <row r="404">
          <cell r="F404">
            <v>0</v>
          </cell>
          <cell r="G404">
            <v>0</v>
          </cell>
          <cell r="P404">
            <v>4.666666666666667</v>
          </cell>
          <cell r="V404">
            <v>0</v>
          </cell>
          <cell r="W404">
            <v>0</v>
          </cell>
          <cell r="X404">
            <v>0</v>
          </cell>
          <cell r="Y404">
            <v>0</v>
          </cell>
          <cell r="AA404">
            <v>0</v>
          </cell>
          <cell r="AB404">
            <v>0</v>
          </cell>
          <cell r="AC404">
            <v>0</v>
          </cell>
          <cell r="AD404">
            <v>0</v>
          </cell>
          <cell r="AK404">
            <v>4.666666666666667</v>
          </cell>
          <cell r="AL404">
            <v>0</v>
          </cell>
        </row>
        <row r="405">
          <cell r="F405">
            <v>0</v>
          </cell>
          <cell r="G405">
            <v>0</v>
          </cell>
          <cell r="P405">
            <v>0</v>
          </cell>
          <cell r="V405">
            <v>0</v>
          </cell>
          <cell r="W405">
            <v>0</v>
          </cell>
          <cell r="X405">
            <v>0</v>
          </cell>
          <cell r="Y405">
            <v>0</v>
          </cell>
          <cell r="AA405">
            <v>0</v>
          </cell>
          <cell r="AB405">
            <v>0</v>
          </cell>
          <cell r="AC405">
            <v>0</v>
          </cell>
          <cell r="AD405">
            <v>0</v>
          </cell>
          <cell r="AK405">
            <v>0</v>
          </cell>
          <cell r="AL405">
            <v>40.666666666666664</v>
          </cell>
        </row>
        <row r="406">
          <cell r="F406">
            <v>10</v>
          </cell>
          <cell r="G406">
            <v>6</v>
          </cell>
          <cell r="P406">
            <v>39</v>
          </cell>
          <cell r="V406">
            <v>0</v>
          </cell>
          <cell r="W406">
            <v>0</v>
          </cell>
          <cell r="X406">
            <v>0</v>
          </cell>
          <cell r="Y406">
            <v>0</v>
          </cell>
          <cell r="AA406">
            <v>0</v>
          </cell>
          <cell r="AB406">
            <v>0</v>
          </cell>
          <cell r="AC406">
            <v>0</v>
          </cell>
          <cell r="AD406">
            <v>0</v>
          </cell>
          <cell r="AK406">
            <v>49</v>
          </cell>
          <cell r="AL406">
            <v>45</v>
          </cell>
          <cell r="AM406">
            <v>46</v>
          </cell>
        </row>
        <row r="407">
          <cell r="F407">
            <v>2.6666666666666665</v>
          </cell>
          <cell r="G407">
            <v>2</v>
          </cell>
          <cell r="H407">
            <v>150</v>
          </cell>
          <cell r="P407">
            <v>3.3333333333333335</v>
          </cell>
          <cell r="S407">
            <v>50.166666666666671</v>
          </cell>
          <cell r="V407">
            <v>37.833333333333343</v>
          </cell>
          <cell r="W407">
            <v>31</v>
          </cell>
          <cell r="X407">
            <v>0</v>
          </cell>
          <cell r="Y407">
            <v>0</v>
          </cell>
          <cell r="AA407">
            <v>26.000000000000004</v>
          </cell>
          <cell r="AB407">
            <v>21</v>
          </cell>
          <cell r="AC407">
            <v>0</v>
          </cell>
          <cell r="AD407">
            <v>18</v>
          </cell>
          <cell r="AK407">
            <v>6</v>
          </cell>
          <cell r="AL407">
            <v>5.3333333333333339</v>
          </cell>
          <cell r="AM407">
            <v>513.16666666666663</v>
          </cell>
        </row>
        <row r="408">
          <cell r="F408">
            <v>7.333333333333333</v>
          </cell>
          <cell r="G408">
            <v>5</v>
          </cell>
          <cell r="P408">
            <v>35.666666666666664</v>
          </cell>
          <cell r="V408">
            <v>0</v>
          </cell>
          <cell r="W408">
            <v>0</v>
          </cell>
          <cell r="X408">
            <v>0</v>
          </cell>
          <cell r="Y408">
            <v>0</v>
          </cell>
          <cell r="AA408">
            <v>0</v>
          </cell>
          <cell r="AB408">
            <v>0</v>
          </cell>
          <cell r="AC408">
            <v>0</v>
          </cell>
          <cell r="AD408">
            <v>0</v>
          </cell>
          <cell r="AK408">
            <v>43</v>
          </cell>
          <cell r="AL408">
            <v>40.666666666666664</v>
          </cell>
        </row>
        <row r="409">
          <cell r="F409">
            <v>0</v>
          </cell>
          <cell r="G409">
            <v>0</v>
          </cell>
          <cell r="P409">
            <v>0</v>
          </cell>
          <cell r="V409">
            <v>0</v>
          </cell>
          <cell r="W409">
            <v>0</v>
          </cell>
          <cell r="X409">
            <v>0</v>
          </cell>
          <cell r="Y409">
            <v>0</v>
          </cell>
          <cell r="AA409">
            <v>0</v>
          </cell>
          <cell r="AB409">
            <v>0</v>
          </cell>
          <cell r="AC409">
            <v>0</v>
          </cell>
          <cell r="AD409">
            <v>0</v>
          </cell>
          <cell r="AK409">
            <v>0</v>
          </cell>
          <cell r="AL409">
            <v>95</v>
          </cell>
        </row>
        <row r="410">
          <cell r="F410">
            <v>206.33333333333329</v>
          </cell>
          <cell r="G410">
            <v>134</v>
          </cell>
          <cell r="H410">
            <v>134</v>
          </cell>
          <cell r="P410">
            <v>50.166666666666671</v>
          </cell>
          <cell r="S410">
            <v>50.166666666666671</v>
          </cell>
          <cell r="V410">
            <v>0</v>
          </cell>
          <cell r="W410">
            <v>0</v>
          </cell>
          <cell r="X410">
            <v>37.833333333333343</v>
          </cell>
          <cell r="Y410">
            <v>28</v>
          </cell>
          <cell r="AA410">
            <v>0</v>
          </cell>
          <cell r="AB410">
            <v>0</v>
          </cell>
          <cell r="AC410">
            <v>26.000000000000004</v>
          </cell>
          <cell r="AD410">
            <v>0</v>
          </cell>
          <cell r="AK410">
            <v>1965.0000000000002</v>
          </cell>
          <cell r="AL410">
            <v>469.16666666666663</v>
          </cell>
          <cell r="AM410">
            <v>469.16666666666663</v>
          </cell>
        </row>
        <row r="411">
          <cell r="F411">
            <v>0</v>
          </cell>
          <cell r="G411">
            <v>0</v>
          </cell>
          <cell r="P411">
            <v>0</v>
          </cell>
          <cell r="V411">
            <v>0</v>
          </cell>
          <cell r="W411">
            <v>0</v>
          </cell>
          <cell r="X411">
            <v>0</v>
          </cell>
          <cell r="Y411">
            <v>0</v>
          </cell>
          <cell r="AA411">
            <v>0</v>
          </cell>
          <cell r="AB411">
            <v>0</v>
          </cell>
          <cell r="AC411">
            <v>0</v>
          </cell>
          <cell r="AD411">
            <v>0</v>
          </cell>
          <cell r="AK411">
            <v>1350</v>
          </cell>
          <cell r="AL411">
            <v>0</v>
          </cell>
        </row>
        <row r="412">
          <cell r="F412">
            <v>0</v>
          </cell>
          <cell r="G412">
            <v>0</v>
          </cell>
          <cell r="P412">
            <v>0</v>
          </cell>
          <cell r="V412">
            <v>0</v>
          </cell>
          <cell r="W412">
            <v>0</v>
          </cell>
          <cell r="X412">
            <v>0</v>
          </cell>
          <cell r="Y412">
            <v>0</v>
          </cell>
          <cell r="AA412">
            <v>0</v>
          </cell>
          <cell r="AB412">
            <v>0</v>
          </cell>
          <cell r="AC412">
            <v>0</v>
          </cell>
          <cell r="AD412">
            <v>0</v>
          </cell>
          <cell r="AK412">
            <v>95</v>
          </cell>
          <cell r="AL412">
            <v>95</v>
          </cell>
        </row>
        <row r="413">
          <cell r="F413">
            <v>0</v>
          </cell>
          <cell r="G413">
            <v>0</v>
          </cell>
          <cell r="P413">
            <v>0</v>
          </cell>
          <cell r="V413">
            <v>3</v>
          </cell>
          <cell r="W413">
            <v>2</v>
          </cell>
          <cell r="X413">
            <v>0</v>
          </cell>
          <cell r="Y413">
            <v>0</v>
          </cell>
          <cell r="AA413">
            <v>3</v>
          </cell>
          <cell r="AB413">
            <v>2</v>
          </cell>
          <cell r="AC413">
            <v>0</v>
          </cell>
          <cell r="AD413">
            <v>2</v>
          </cell>
          <cell r="AK413">
            <v>0</v>
          </cell>
          <cell r="AL413">
            <v>0</v>
          </cell>
        </row>
        <row r="414">
          <cell r="F414">
            <v>0</v>
          </cell>
          <cell r="G414">
            <v>0</v>
          </cell>
          <cell r="P414">
            <v>12.333333333333334</v>
          </cell>
          <cell r="V414">
            <v>0</v>
          </cell>
          <cell r="W414">
            <v>0</v>
          </cell>
          <cell r="X414">
            <v>0</v>
          </cell>
          <cell r="Y414">
            <v>0</v>
          </cell>
          <cell r="AA414">
            <v>0</v>
          </cell>
          <cell r="AB414">
            <v>0</v>
          </cell>
          <cell r="AC414">
            <v>0</v>
          </cell>
          <cell r="AD414">
            <v>0</v>
          </cell>
          <cell r="AK414">
            <v>12.333333333333334</v>
          </cell>
          <cell r="AL414">
            <v>12.333333333333334</v>
          </cell>
        </row>
        <row r="415">
          <cell r="F415">
            <v>0</v>
          </cell>
          <cell r="G415">
            <v>0</v>
          </cell>
          <cell r="P415">
            <v>0</v>
          </cell>
          <cell r="V415">
            <v>0</v>
          </cell>
          <cell r="W415">
            <v>0</v>
          </cell>
          <cell r="X415">
            <v>0</v>
          </cell>
          <cell r="Y415">
            <v>0</v>
          </cell>
          <cell r="AA415">
            <v>0</v>
          </cell>
          <cell r="AB415">
            <v>0</v>
          </cell>
          <cell r="AC415">
            <v>0</v>
          </cell>
          <cell r="AD415">
            <v>0</v>
          </cell>
          <cell r="AK415">
            <v>0</v>
          </cell>
          <cell r="AL415">
            <v>0</v>
          </cell>
        </row>
        <row r="416">
          <cell r="F416">
            <v>1.6666666666666667</v>
          </cell>
          <cell r="G416">
            <v>1</v>
          </cell>
          <cell r="P416">
            <v>5</v>
          </cell>
          <cell r="V416">
            <v>4.5</v>
          </cell>
          <cell r="W416">
            <v>4</v>
          </cell>
          <cell r="X416">
            <v>3</v>
          </cell>
          <cell r="Y416">
            <v>2</v>
          </cell>
          <cell r="AA416">
            <v>1.3333333333333333</v>
          </cell>
          <cell r="AB416">
            <v>1</v>
          </cell>
          <cell r="AC416">
            <v>3</v>
          </cell>
          <cell r="AD416">
            <v>1</v>
          </cell>
          <cell r="AK416">
            <v>57.666666666666664</v>
          </cell>
          <cell r="AL416">
            <v>48</v>
          </cell>
        </row>
        <row r="417">
          <cell r="F417">
            <v>0</v>
          </cell>
          <cell r="G417">
            <v>0</v>
          </cell>
          <cell r="P417">
            <v>0</v>
          </cell>
          <cell r="V417">
            <v>0</v>
          </cell>
          <cell r="W417">
            <v>0</v>
          </cell>
          <cell r="X417">
            <v>0</v>
          </cell>
          <cell r="Y417">
            <v>0</v>
          </cell>
          <cell r="AA417">
            <v>1.6666666666666667</v>
          </cell>
          <cell r="AB417">
            <v>1</v>
          </cell>
          <cell r="AC417">
            <v>0</v>
          </cell>
          <cell r="AD417">
            <v>1</v>
          </cell>
          <cell r="AK417">
            <v>4</v>
          </cell>
          <cell r="AL417">
            <v>0</v>
          </cell>
        </row>
        <row r="418">
          <cell r="F418">
            <v>0</v>
          </cell>
          <cell r="G418">
            <v>0</v>
          </cell>
          <cell r="P418">
            <v>0</v>
          </cell>
          <cell r="V418">
            <v>0</v>
          </cell>
          <cell r="W418">
            <v>0</v>
          </cell>
          <cell r="X418">
            <v>0</v>
          </cell>
          <cell r="Y418">
            <v>0</v>
          </cell>
          <cell r="AA418">
            <v>0</v>
          </cell>
          <cell r="AB418">
            <v>0</v>
          </cell>
          <cell r="AC418">
            <v>0</v>
          </cell>
          <cell r="AD418">
            <v>0</v>
          </cell>
          <cell r="AK418">
            <v>0</v>
          </cell>
          <cell r="AL418">
            <v>0</v>
          </cell>
        </row>
        <row r="419">
          <cell r="F419">
            <v>0</v>
          </cell>
          <cell r="G419">
            <v>0</v>
          </cell>
          <cell r="P419">
            <v>18.5</v>
          </cell>
          <cell r="V419">
            <v>10</v>
          </cell>
          <cell r="W419">
            <v>8</v>
          </cell>
          <cell r="X419">
            <v>4.5</v>
          </cell>
          <cell r="Y419">
            <v>3</v>
          </cell>
          <cell r="AA419">
            <v>7.666666666666667</v>
          </cell>
          <cell r="AB419">
            <v>6</v>
          </cell>
          <cell r="AC419">
            <v>1.3333333333333333</v>
          </cell>
          <cell r="AD419">
            <v>5</v>
          </cell>
          <cell r="AK419">
            <v>28.5</v>
          </cell>
          <cell r="AL419">
            <v>25.5</v>
          </cell>
        </row>
        <row r="420">
          <cell r="F420">
            <v>0</v>
          </cell>
          <cell r="G420">
            <v>0</v>
          </cell>
          <cell r="P420">
            <v>1.3333333333333333</v>
          </cell>
          <cell r="V420">
            <v>1.3333333333333333</v>
          </cell>
          <cell r="W420">
            <v>1</v>
          </cell>
          <cell r="X420">
            <v>0</v>
          </cell>
          <cell r="Y420">
            <v>0</v>
          </cell>
          <cell r="AA420">
            <v>1</v>
          </cell>
          <cell r="AB420">
            <v>1</v>
          </cell>
          <cell r="AC420">
            <v>1.6666666666666667</v>
          </cell>
          <cell r="AD420">
            <v>1</v>
          </cell>
          <cell r="AK420">
            <v>69</v>
          </cell>
          <cell r="AL420">
            <v>51.333333333333336</v>
          </cell>
        </row>
        <row r="421">
          <cell r="F421">
            <v>177</v>
          </cell>
          <cell r="G421">
            <v>115</v>
          </cell>
          <cell r="P421">
            <v>0</v>
          </cell>
          <cell r="V421">
            <v>1</v>
          </cell>
          <cell r="W421">
            <v>1</v>
          </cell>
          <cell r="X421">
            <v>0</v>
          </cell>
          <cell r="Y421">
            <v>0</v>
          </cell>
          <cell r="AA421">
            <v>0.66666666666666663</v>
          </cell>
          <cell r="AB421">
            <v>1</v>
          </cell>
          <cell r="AC421">
            <v>0</v>
          </cell>
          <cell r="AD421">
            <v>0</v>
          </cell>
          <cell r="AK421">
            <v>177</v>
          </cell>
          <cell r="AL421">
            <v>115</v>
          </cell>
        </row>
        <row r="422">
          <cell r="F422">
            <v>0</v>
          </cell>
          <cell r="G422">
            <v>0</v>
          </cell>
          <cell r="P422">
            <v>0</v>
          </cell>
          <cell r="V422">
            <v>6</v>
          </cell>
          <cell r="W422">
            <v>5</v>
          </cell>
          <cell r="X422">
            <v>10</v>
          </cell>
          <cell r="Y422">
            <v>7</v>
          </cell>
          <cell r="AA422">
            <v>5</v>
          </cell>
          <cell r="AB422">
            <v>4</v>
          </cell>
          <cell r="AC422">
            <v>7.666666666666667</v>
          </cell>
          <cell r="AD422">
            <v>4</v>
          </cell>
          <cell r="AK422">
            <v>17.666666666666668</v>
          </cell>
          <cell r="AL422">
            <v>7</v>
          </cell>
        </row>
        <row r="423">
          <cell r="F423">
            <v>0.66666666666666663</v>
          </cell>
          <cell r="G423">
            <v>0</v>
          </cell>
          <cell r="P423">
            <v>2</v>
          </cell>
          <cell r="V423">
            <v>0</v>
          </cell>
          <cell r="W423">
            <v>0</v>
          </cell>
          <cell r="X423">
            <v>1.3333333333333333</v>
          </cell>
          <cell r="Y423">
            <v>1</v>
          </cell>
          <cell r="AA423">
            <v>0</v>
          </cell>
          <cell r="AB423">
            <v>0</v>
          </cell>
          <cell r="AC423">
            <v>1</v>
          </cell>
          <cell r="AD423">
            <v>0</v>
          </cell>
          <cell r="AK423">
            <v>6</v>
          </cell>
          <cell r="AL423">
            <v>3</v>
          </cell>
        </row>
        <row r="424">
          <cell r="F424">
            <v>2.6666666666666665</v>
          </cell>
          <cell r="G424">
            <v>2</v>
          </cell>
          <cell r="P424">
            <v>0.33333333333333331</v>
          </cell>
          <cell r="V424">
            <v>0</v>
          </cell>
          <cell r="W424">
            <v>0</v>
          </cell>
          <cell r="X424">
            <v>1</v>
          </cell>
          <cell r="Y424">
            <v>1</v>
          </cell>
          <cell r="AA424">
            <v>0</v>
          </cell>
          <cell r="AB424">
            <v>0</v>
          </cell>
          <cell r="AC424">
            <v>0.66666666666666663</v>
          </cell>
          <cell r="AD424">
            <v>0</v>
          </cell>
          <cell r="AK424">
            <v>9.3333333333333339</v>
          </cell>
          <cell r="AL424">
            <v>5.333333333333333</v>
          </cell>
        </row>
        <row r="425">
          <cell r="F425">
            <v>0</v>
          </cell>
          <cell r="G425">
            <v>0</v>
          </cell>
          <cell r="P425">
            <v>2.3333333333333335</v>
          </cell>
          <cell r="V425">
            <v>0</v>
          </cell>
          <cell r="W425">
            <v>0</v>
          </cell>
          <cell r="X425">
            <v>6</v>
          </cell>
          <cell r="Y425">
            <v>4</v>
          </cell>
          <cell r="AA425">
            <v>0</v>
          </cell>
          <cell r="AB425">
            <v>0</v>
          </cell>
          <cell r="AC425">
            <v>5</v>
          </cell>
          <cell r="AD425">
            <v>0</v>
          </cell>
          <cell r="AK425">
            <v>13.333333333333334</v>
          </cell>
          <cell r="AL425">
            <v>6.3333333333333339</v>
          </cell>
        </row>
        <row r="426">
          <cell r="F426">
            <v>0</v>
          </cell>
          <cell r="G426">
            <v>0</v>
          </cell>
          <cell r="P426">
            <v>0</v>
          </cell>
          <cell r="V426">
            <v>0</v>
          </cell>
          <cell r="W426">
            <v>0</v>
          </cell>
          <cell r="X426">
            <v>0</v>
          </cell>
          <cell r="Y426">
            <v>0</v>
          </cell>
          <cell r="AA426">
            <v>0</v>
          </cell>
          <cell r="AB426">
            <v>0</v>
          </cell>
          <cell r="AC426">
            <v>0</v>
          </cell>
          <cell r="AD426">
            <v>0</v>
          </cell>
          <cell r="AK426">
            <v>0</v>
          </cell>
          <cell r="AL426">
            <v>0</v>
          </cell>
        </row>
        <row r="427">
          <cell r="F427">
            <v>0</v>
          </cell>
          <cell r="G427">
            <v>0</v>
          </cell>
          <cell r="P427">
            <v>0</v>
          </cell>
          <cell r="V427">
            <v>0.66666666666666663</v>
          </cell>
          <cell r="W427">
            <v>1</v>
          </cell>
          <cell r="X427">
            <v>0</v>
          </cell>
          <cell r="Y427">
            <v>0</v>
          </cell>
          <cell r="AA427">
            <v>0.66666666666666663</v>
          </cell>
          <cell r="AB427">
            <v>1</v>
          </cell>
          <cell r="AC427">
            <v>0</v>
          </cell>
          <cell r="AD427">
            <v>0</v>
          </cell>
          <cell r="AK427">
            <v>0</v>
          </cell>
          <cell r="AL427">
            <v>0</v>
          </cell>
        </row>
        <row r="428">
          <cell r="F428">
            <v>9.6666666666666661</v>
          </cell>
          <cell r="G428">
            <v>6</v>
          </cell>
          <cell r="P428">
            <v>1</v>
          </cell>
          <cell r="V428">
            <v>0.66666666666666663</v>
          </cell>
          <cell r="W428">
            <v>1</v>
          </cell>
          <cell r="X428">
            <v>0</v>
          </cell>
          <cell r="Y428">
            <v>0</v>
          </cell>
          <cell r="AA428">
            <v>0.66666666666666663</v>
          </cell>
          <cell r="AB428">
            <v>1</v>
          </cell>
          <cell r="AC428">
            <v>0</v>
          </cell>
          <cell r="AD428">
            <v>0</v>
          </cell>
          <cell r="AK428">
            <v>12</v>
          </cell>
          <cell r="AL428">
            <v>8</v>
          </cell>
        </row>
        <row r="429">
          <cell r="F429">
            <v>0</v>
          </cell>
          <cell r="G429">
            <v>0</v>
          </cell>
          <cell r="P429">
            <v>0</v>
          </cell>
          <cell r="V429">
            <v>3</v>
          </cell>
          <cell r="W429">
            <v>2</v>
          </cell>
          <cell r="X429">
            <v>0</v>
          </cell>
          <cell r="Y429">
            <v>0</v>
          </cell>
          <cell r="AA429">
            <v>2</v>
          </cell>
          <cell r="AB429">
            <v>2</v>
          </cell>
          <cell r="AC429">
            <v>0</v>
          </cell>
          <cell r="AD429">
            <v>1</v>
          </cell>
          <cell r="AK429">
            <v>0</v>
          </cell>
          <cell r="AL429">
            <v>0</v>
          </cell>
        </row>
        <row r="430">
          <cell r="F430">
            <v>2.3333333333333335</v>
          </cell>
          <cell r="G430">
            <v>2</v>
          </cell>
          <cell r="P430">
            <v>0.66666666666666663</v>
          </cell>
          <cell r="V430">
            <v>0</v>
          </cell>
          <cell r="W430">
            <v>0</v>
          </cell>
          <cell r="X430">
            <v>0.66666666666666663</v>
          </cell>
          <cell r="Y430">
            <v>0</v>
          </cell>
          <cell r="AA430">
            <v>0</v>
          </cell>
          <cell r="AB430">
            <v>0</v>
          </cell>
          <cell r="AC430">
            <v>0.66666666666666663</v>
          </cell>
          <cell r="AD430">
            <v>0</v>
          </cell>
          <cell r="AK430">
            <v>4.333333333333333</v>
          </cell>
          <cell r="AL430">
            <v>2.6666666666666665</v>
          </cell>
        </row>
        <row r="431">
          <cell r="F431">
            <v>1.6666666666666667</v>
          </cell>
          <cell r="G431">
            <v>1</v>
          </cell>
          <cell r="P431">
            <v>0.66666666666666663</v>
          </cell>
          <cell r="V431">
            <v>0</v>
          </cell>
          <cell r="W431">
            <v>0</v>
          </cell>
          <cell r="X431">
            <v>0.66666666666666663</v>
          </cell>
          <cell r="Y431">
            <v>0</v>
          </cell>
          <cell r="AA431">
            <v>0</v>
          </cell>
          <cell r="AB431">
            <v>0</v>
          </cell>
          <cell r="AC431">
            <v>0.66666666666666663</v>
          </cell>
          <cell r="AD431">
            <v>0</v>
          </cell>
          <cell r="AK431">
            <v>3.6666666666666665</v>
          </cell>
          <cell r="AL431">
            <v>1.6666666666666665</v>
          </cell>
        </row>
        <row r="432">
          <cell r="F432">
            <v>6.666666666666667</v>
          </cell>
          <cell r="G432">
            <v>4</v>
          </cell>
          <cell r="P432">
            <v>4.666666666666667</v>
          </cell>
          <cell r="V432">
            <v>0</v>
          </cell>
          <cell r="W432">
            <v>0</v>
          </cell>
          <cell r="X432">
            <v>3</v>
          </cell>
          <cell r="Y432">
            <v>2</v>
          </cell>
          <cell r="AA432">
            <v>0</v>
          </cell>
          <cell r="AB432">
            <v>0</v>
          </cell>
          <cell r="AC432">
            <v>2</v>
          </cell>
          <cell r="AD432">
            <v>0</v>
          </cell>
          <cell r="AK432">
            <v>33</v>
          </cell>
          <cell r="AL432">
            <v>20.666666666666668</v>
          </cell>
        </row>
        <row r="433">
          <cell r="F433">
            <v>0</v>
          </cell>
          <cell r="G433">
            <v>0</v>
          </cell>
          <cell r="P433">
            <v>0</v>
          </cell>
          <cell r="V433">
            <v>0</v>
          </cell>
          <cell r="W433">
            <v>0</v>
          </cell>
          <cell r="X433">
            <v>0</v>
          </cell>
          <cell r="Y433">
            <v>0</v>
          </cell>
          <cell r="AA433">
            <v>0</v>
          </cell>
          <cell r="AB433">
            <v>0</v>
          </cell>
          <cell r="AC433">
            <v>0</v>
          </cell>
          <cell r="AD433">
            <v>0</v>
          </cell>
          <cell r="AK433">
            <v>0</v>
          </cell>
          <cell r="AL433">
            <v>0</v>
          </cell>
        </row>
        <row r="434">
          <cell r="F434">
            <v>0</v>
          </cell>
          <cell r="G434">
            <v>0</v>
          </cell>
          <cell r="P434">
            <v>0</v>
          </cell>
          <cell r="V434">
            <v>0</v>
          </cell>
          <cell r="W434">
            <v>0</v>
          </cell>
          <cell r="X434">
            <v>0</v>
          </cell>
          <cell r="Y434">
            <v>0</v>
          </cell>
          <cell r="AA434">
            <v>0</v>
          </cell>
          <cell r="AB434">
            <v>0</v>
          </cell>
          <cell r="AC434">
            <v>0</v>
          </cell>
          <cell r="AD434">
            <v>0</v>
          </cell>
          <cell r="AK434">
            <v>0</v>
          </cell>
          <cell r="AL434">
            <v>53</v>
          </cell>
        </row>
        <row r="435">
          <cell r="F435">
            <v>1</v>
          </cell>
          <cell r="G435">
            <v>1</v>
          </cell>
          <cell r="P435">
            <v>0</v>
          </cell>
          <cell r="V435">
            <v>4</v>
          </cell>
          <cell r="W435">
            <v>3</v>
          </cell>
          <cell r="X435">
            <v>0</v>
          </cell>
          <cell r="Y435">
            <v>0</v>
          </cell>
          <cell r="AA435">
            <v>2</v>
          </cell>
          <cell r="AB435">
            <v>2</v>
          </cell>
          <cell r="AC435">
            <v>0</v>
          </cell>
          <cell r="AD435">
            <v>1</v>
          </cell>
          <cell r="AK435">
            <v>1</v>
          </cell>
          <cell r="AL435">
            <v>1</v>
          </cell>
        </row>
        <row r="436">
          <cell r="F436">
            <v>0</v>
          </cell>
          <cell r="G436">
            <v>0</v>
          </cell>
          <cell r="P436">
            <v>0</v>
          </cell>
          <cell r="V436">
            <v>0</v>
          </cell>
          <cell r="W436">
            <v>0</v>
          </cell>
          <cell r="X436">
            <v>0</v>
          </cell>
          <cell r="Y436">
            <v>0</v>
          </cell>
          <cell r="AA436">
            <v>0</v>
          </cell>
          <cell r="AB436">
            <v>0</v>
          </cell>
          <cell r="AC436">
            <v>0</v>
          </cell>
          <cell r="AD436">
            <v>0</v>
          </cell>
          <cell r="AK436">
            <v>0</v>
          </cell>
          <cell r="AL436">
            <v>0</v>
          </cell>
        </row>
        <row r="437">
          <cell r="F437">
            <v>0</v>
          </cell>
          <cell r="G437">
            <v>0</v>
          </cell>
          <cell r="P437">
            <v>0</v>
          </cell>
          <cell r="V437">
            <v>3.3333333333333335</v>
          </cell>
          <cell r="W437">
            <v>3</v>
          </cell>
          <cell r="X437">
            <v>0</v>
          </cell>
          <cell r="Y437">
            <v>0</v>
          </cell>
          <cell r="AA437">
            <v>0</v>
          </cell>
          <cell r="AB437">
            <v>0</v>
          </cell>
          <cell r="AC437">
            <v>0</v>
          </cell>
          <cell r="AD437">
            <v>0</v>
          </cell>
          <cell r="AK437">
            <v>0</v>
          </cell>
          <cell r="AL437">
            <v>0</v>
          </cell>
        </row>
        <row r="438">
          <cell r="F438">
            <v>2.6666666666666665</v>
          </cell>
          <cell r="G438">
            <v>2</v>
          </cell>
          <cell r="P438">
            <v>1</v>
          </cell>
          <cell r="V438">
            <v>0.33333333333333331</v>
          </cell>
          <cell r="W438">
            <v>0</v>
          </cell>
          <cell r="X438">
            <v>4</v>
          </cell>
          <cell r="Y438">
            <v>3</v>
          </cell>
          <cell r="AA438">
            <v>0.33333333333333331</v>
          </cell>
          <cell r="AB438">
            <v>0</v>
          </cell>
          <cell r="AC438">
            <v>2</v>
          </cell>
          <cell r="AD438">
            <v>0</v>
          </cell>
          <cell r="AK438">
            <v>15.666666666666666</v>
          </cell>
          <cell r="AL438">
            <v>9</v>
          </cell>
        </row>
        <row r="439">
          <cell r="F439">
            <v>0</v>
          </cell>
          <cell r="G439">
            <v>0</v>
          </cell>
          <cell r="P439">
            <v>0</v>
          </cell>
          <cell r="V439">
            <v>0</v>
          </cell>
          <cell r="W439">
            <v>0</v>
          </cell>
          <cell r="X439">
            <v>0</v>
          </cell>
          <cell r="Y439">
            <v>0</v>
          </cell>
          <cell r="AA439">
            <v>0</v>
          </cell>
          <cell r="AB439">
            <v>0</v>
          </cell>
          <cell r="AC439">
            <v>0</v>
          </cell>
          <cell r="AD439">
            <v>0</v>
          </cell>
          <cell r="AK439">
            <v>0</v>
          </cell>
          <cell r="AL439">
            <v>0</v>
          </cell>
        </row>
        <row r="440">
          <cell r="F440">
            <v>0</v>
          </cell>
          <cell r="G440">
            <v>0</v>
          </cell>
          <cell r="P440">
            <v>0</v>
          </cell>
          <cell r="V440">
            <v>0</v>
          </cell>
          <cell r="W440">
            <v>0</v>
          </cell>
          <cell r="X440">
            <v>3.3333333333333335</v>
          </cell>
          <cell r="Y440">
            <v>2</v>
          </cell>
          <cell r="AA440">
            <v>0</v>
          </cell>
          <cell r="AB440">
            <v>0</v>
          </cell>
          <cell r="AC440">
            <v>0</v>
          </cell>
          <cell r="AD440">
            <v>0</v>
          </cell>
          <cell r="AK440">
            <v>3.3333333333333335</v>
          </cell>
          <cell r="AL440">
            <v>2</v>
          </cell>
        </row>
        <row r="441">
          <cell r="F441">
            <v>0.33333333333333331</v>
          </cell>
          <cell r="G441">
            <v>0</v>
          </cell>
          <cell r="P441">
            <v>0.33333333333333331</v>
          </cell>
          <cell r="V441">
            <v>0</v>
          </cell>
          <cell r="W441">
            <v>0</v>
          </cell>
          <cell r="X441">
            <v>0.33333333333333331</v>
          </cell>
          <cell r="Y441">
            <v>0</v>
          </cell>
          <cell r="AA441">
            <v>0</v>
          </cell>
          <cell r="AB441">
            <v>0</v>
          </cell>
          <cell r="AC441">
            <v>0.33333333333333331</v>
          </cell>
          <cell r="AD441">
            <v>0</v>
          </cell>
          <cell r="AK441">
            <v>1.9999999999999998</v>
          </cell>
          <cell r="AL441">
            <v>0.33333333333333331</v>
          </cell>
        </row>
        <row r="442">
          <cell r="F442">
            <v>0</v>
          </cell>
          <cell r="G442">
            <v>0</v>
          </cell>
          <cell r="P442">
            <v>0</v>
          </cell>
          <cell r="V442">
            <v>0</v>
          </cell>
          <cell r="W442">
            <v>0</v>
          </cell>
          <cell r="X442">
            <v>0</v>
          </cell>
          <cell r="Y442">
            <v>0</v>
          </cell>
          <cell r="AA442">
            <v>0</v>
          </cell>
          <cell r="AB442">
            <v>0</v>
          </cell>
          <cell r="AC442">
            <v>0</v>
          </cell>
          <cell r="AD442">
            <v>0</v>
          </cell>
          <cell r="AK442">
            <v>0</v>
          </cell>
          <cell r="AL442">
            <v>0</v>
          </cell>
        </row>
        <row r="443">
          <cell r="F443">
            <v>0</v>
          </cell>
          <cell r="G443">
            <v>0</v>
          </cell>
          <cell r="P443">
            <v>0</v>
          </cell>
          <cell r="V443">
            <v>0</v>
          </cell>
          <cell r="W443">
            <v>0</v>
          </cell>
          <cell r="X443">
            <v>0</v>
          </cell>
          <cell r="Y443">
            <v>0</v>
          </cell>
          <cell r="AA443">
            <v>0</v>
          </cell>
          <cell r="AB443">
            <v>0</v>
          </cell>
          <cell r="AC443">
            <v>0</v>
          </cell>
          <cell r="AD443">
            <v>0</v>
          </cell>
          <cell r="AK443">
            <v>0</v>
          </cell>
          <cell r="AL443">
            <v>0</v>
          </cell>
        </row>
        <row r="444">
          <cell r="F444">
            <v>0</v>
          </cell>
          <cell r="G444">
            <v>0</v>
          </cell>
          <cell r="P444">
            <v>0</v>
          </cell>
          <cell r="V444">
            <v>0</v>
          </cell>
          <cell r="W444">
            <v>0</v>
          </cell>
          <cell r="X444">
            <v>0</v>
          </cell>
          <cell r="Y444">
            <v>0</v>
          </cell>
          <cell r="AA444">
            <v>0</v>
          </cell>
          <cell r="AB444">
            <v>0</v>
          </cell>
          <cell r="AC444">
            <v>0</v>
          </cell>
          <cell r="AD444">
            <v>0</v>
          </cell>
          <cell r="AK444">
            <v>0</v>
          </cell>
          <cell r="AL444">
            <v>0</v>
          </cell>
        </row>
        <row r="445">
          <cell r="F445">
            <v>0</v>
          </cell>
          <cell r="G445">
            <v>0</v>
          </cell>
          <cell r="P445">
            <v>0</v>
          </cell>
          <cell r="V445">
            <v>0</v>
          </cell>
          <cell r="W445">
            <v>0</v>
          </cell>
          <cell r="X445">
            <v>0</v>
          </cell>
          <cell r="Y445">
            <v>0</v>
          </cell>
          <cell r="AA445">
            <v>0</v>
          </cell>
          <cell r="AB445">
            <v>0</v>
          </cell>
          <cell r="AC445">
            <v>0</v>
          </cell>
          <cell r="AD445">
            <v>0</v>
          </cell>
          <cell r="AK445">
            <v>0</v>
          </cell>
          <cell r="AL445">
            <v>0</v>
          </cell>
        </row>
        <row r="446">
          <cell r="F446">
            <v>0</v>
          </cell>
          <cell r="G446">
            <v>0</v>
          </cell>
          <cell r="P446">
            <v>0</v>
          </cell>
          <cell r="V446">
            <v>0</v>
          </cell>
          <cell r="W446">
            <v>0</v>
          </cell>
          <cell r="X446">
            <v>0</v>
          </cell>
          <cell r="Y446">
            <v>0</v>
          </cell>
          <cell r="AA446">
            <v>0</v>
          </cell>
          <cell r="AB446">
            <v>0</v>
          </cell>
          <cell r="AC446">
            <v>0</v>
          </cell>
          <cell r="AD446">
            <v>0</v>
          </cell>
          <cell r="AK446">
            <v>0</v>
          </cell>
          <cell r="AL446">
            <v>0</v>
          </cell>
        </row>
        <row r="447">
          <cell r="F447">
            <v>0</v>
          </cell>
          <cell r="G447">
            <v>0</v>
          </cell>
          <cell r="P447">
            <v>0</v>
          </cell>
          <cell r="X447">
            <v>0</v>
          </cell>
          <cell r="Y447">
            <v>0</v>
          </cell>
          <cell r="AC447">
            <v>0</v>
          </cell>
          <cell r="AK447">
            <v>0</v>
          </cell>
          <cell r="AL447">
            <v>0</v>
          </cell>
        </row>
        <row r="448">
          <cell r="G448">
            <v>0</v>
          </cell>
          <cell r="P448">
            <v>0</v>
          </cell>
          <cell r="X448">
            <v>0</v>
          </cell>
          <cell r="Y448">
            <v>0</v>
          </cell>
          <cell r="AC448">
            <v>0</v>
          </cell>
          <cell r="AK448">
            <v>0</v>
          </cell>
          <cell r="AL448">
            <v>2</v>
          </cell>
        </row>
        <row r="449">
          <cell r="P449">
            <v>0</v>
          </cell>
          <cell r="X449">
            <v>0</v>
          </cell>
          <cell r="Y449">
            <v>0</v>
          </cell>
          <cell r="AC449">
            <v>0</v>
          </cell>
          <cell r="AK449">
            <v>0</v>
          </cell>
          <cell r="AL449">
            <v>0</v>
          </cell>
        </row>
      </sheetData>
      <sheetData sheetId="15" refreshError="1">
        <row r="8">
          <cell r="S8" t="str">
            <v>ЗАТВЕРДЖУЮ</v>
          </cell>
        </row>
        <row r="20">
          <cell r="W20" t="str">
            <v>ЗАТВЕРДЖУЮ</v>
          </cell>
        </row>
        <row r="21">
          <cell r="W21" t="str">
            <v>ГЕНЕРАЛЬНИЙ ДИРЕКТОР -</v>
          </cell>
        </row>
        <row r="22">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ЗАТВЕРДЖУЮ</v>
          </cell>
        </row>
        <row r="28">
          <cell r="S28" t="str">
            <v xml:space="preserve">                   ПЛАЧКОВ І.В.</v>
          </cell>
          <cell r="T28" t="str">
            <v>І.В.ПЛАЧКОВ</v>
          </cell>
          <cell r="U28" t="str">
            <v>ГОЛОВА ПРАЛІННЯ АК КЕ</v>
          </cell>
        </row>
        <row r="29">
          <cell r="S29" t="str">
            <v>ГОЛОВА ПРАЛІННЯ  КЕ</v>
          </cell>
          <cell r="U29" t="str">
            <v xml:space="preserve">                      ПЛАЧКОВ І.В.</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 xml:space="preserve">ДОП.ВИР. </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Y34" t="str">
            <v xml:space="preserve">ТЕЦ-6 </v>
          </cell>
          <cell r="AA34" t="str">
            <v xml:space="preserve">ТЕЦ-6 </v>
          </cell>
        </row>
        <row r="35">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v>3</v>
          </cell>
          <cell r="W36" t="str">
            <v>АК КЕ ВСЬОГО</v>
          </cell>
          <cell r="X36" t="str">
            <v>Е/Е</v>
          </cell>
          <cell r="Y36" t="str">
            <v xml:space="preserve"> Т/Е</v>
          </cell>
          <cell r="Z36" t="str">
            <v>СТАНЦІї ЕЛЕКТРО</v>
          </cell>
          <cell r="AA36" t="str">
            <v>СТАНЦІІ ТЕПЛОВІ</v>
          </cell>
        </row>
        <row r="37">
          <cell r="N37">
            <v>225</v>
          </cell>
          <cell r="Q37">
            <v>158</v>
          </cell>
          <cell r="V37">
            <v>0</v>
          </cell>
          <cell r="X37">
            <v>383</v>
          </cell>
        </row>
        <row r="38">
          <cell r="N38">
            <v>200.95</v>
          </cell>
          <cell r="Q38">
            <v>135.85</v>
          </cell>
          <cell r="V38">
            <v>334</v>
          </cell>
          <cell r="X38">
            <v>336.79999999999995</v>
          </cell>
        </row>
        <row r="39">
          <cell r="I39">
            <v>0</v>
          </cell>
          <cell r="V39">
            <v>331</v>
          </cell>
          <cell r="X39">
            <v>0</v>
          </cell>
        </row>
        <row r="40">
          <cell r="J40">
            <v>126</v>
          </cell>
          <cell r="O40">
            <v>68</v>
          </cell>
          <cell r="R40">
            <v>67</v>
          </cell>
          <cell r="W40">
            <v>261</v>
          </cell>
          <cell r="X40">
            <v>199.5</v>
          </cell>
        </row>
        <row r="41">
          <cell r="W41">
            <v>0</v>
          </cell>
          <cell r="X41">
            <v>0</v>
          </cell>
        </row>
        <row r="42">
          <cell r="J42">
            <v>126</v>
          </cell>
          <cell r="O42">
            <v>68</v>
          </cell>
          <cell r="R42">
            <v>67</v>
          </cell>
          <cell r="W42">
            <v>171</v>
          </cell>
          <cell r="X42">
            <v>0</v>
          </cell>
        </row>
        <row r="43">
          <cell r="X43">
            <v>480.7</v>
          </cell>
        </row>
        <row r="44">
          <cell r="C44" t="e">
            <v>#REF!</v>
          </cell>
          <cell r="D44" t="e">
            <v>#REF!</v>
          </cell>
          <cell r="E44" t="e">
            <v>#REF!</v>
          </cell>
          <cell r="I44" t="e">
            <v>#REF!</v>
          </cell>
          <cell r="J44" t="e">
            <v>#REF!</v>
          </cell>
          <cell r="K44" t="e">
            <v>#REF!</v>
          </cell>
          <cell r="L44" t="e">
            <v>#REF!</v>
          </cell>
          <cell r="M44" t="e">
            <v>#REF!</v>
          </cell>
          <cell r="N44" t="e">
            <v>#REF!</v>
          </cell>
          <cell r="O44" t="e">
            <v>#REF!</v>
          </cell>
          <cell r="P44" t="e">
            <v>#REF!</v>
          </cell>
          <cell r="Q44" t="e">
            <v>#REF!</v>
          </cell>
          <cell r="R44" t="e">
            <v>#REF!</v>
          </cell>
          <cell r="T44">
            <v>16</v>
          </cell>
          <cell r="U44" t="e">
            <v>#REF!</v>
          </cell>
          <cell r="V44" t="e">
            <v>#REF!</v>
          </cell>
          <cell r="W44" t="e">
            <v>#REF!</v>
          </cell>
          <cell r="X44" t="e">
            <v>#REF!</v>
          </cell>
          <cell r="Y44" t="str">
            <v/>
          </cell>
          <cell r="Z44" t="e">
            <v>#REF!</v>
          </cell>
          <cell r="AA44" t="e">
            <v>#REF!</v>
          </cell>
        </row>
        <row r="45">
          <cell r="C45" t="e">
            <v>#REF!</v>
          </cell>
          <cell r="D45" t="e">
            <v>#REF!</v>
          </cell>
          <cell r="E45" t="e">
            <v>#REF!</v>
          </cell>
          <cell r="I45" t="e">
            <v>#REF!</v>
          </cell>
          <cell r="J45" t="e">
            <v>#REF!</v>
          </cell>
          <cell r="M45" t="e">
            <v>#REF!</v>
          </cell>
          <cell r="N45" t="e">
            <v>#REF!</v>
          </cell>
          <cell r="O45" t="e">
            <v>#REF!</v>
          </cell>
          <cell r="P45" t="e">
            <v>#REF!</v>
          </cell>
          <cell r="Q45" t="e">
            <v>#REF!</v>
          </cell>
          <cell r="R45" t="e">
            <v>#REF!</v>
          </cell>
          <cell r="U45" t="e">
            <v>#REF!</v>
          </cell>
          <cell r="Y45">
            <v>930</v>
          </cell>
        </row>
        <row r="46">
          <cell r="C46" t="e">
            <v>#REF!</v>
          </cell>
          <cell r="D46" t="e">
            <v>#REF!</v>
          </cell>
          <cell r="E46" t="e">
            <v>#REF!</v>
          </cell>
          <cell r="I46" t="e">
            <v>#REF!</v>
          </cell>
          <cell r="J46" t="e">
            <v>#REF!</v>
          </cell>
          <cell r="M46" t="e">
            <v>#REF!</v>
          </cell>
          <cell r="N46" t="e">
            <v>#REF!</v>
          </cell>
          <cell r="O46" t="e">
            <v>#REF!</v>
          </cell>
          <cell r="P46" t="e">
            <v>#REF!</v>
          </cell>
          <cell r="Q46" t="e">
            <v>#REF!</v>
          </cell>
          <cell r="R46" t="e">
            <v>#REF!</v>
          </cell>
          <cell r="U46" t="e">
            <v>#REF!</v>
          </cell>
          <cell r="Y46">
            <v>0</v>
          </cell>
        </row>
        <row r="47">
          <cell r="C47" t="e">
            <v>#REF!</v>
          </cell>
          <cell r="D47" t="e">
            <v>#REF!</v>
          </cell>
          <cell r="E47" t="e">
            <v>#REF!</v>
          </cell>
          <cell r="I47" t="e">
            <v>#REF!</v>
          </cell>
          <cell r="J47" t="e">
            <v>#REF!</v>
          </cell>
          <cell r="M47" t="e">
            <v>#REF!</v>
          </cell>
          <cell r="N47" t="e">
            <v>#REF!</v>
          </cell>
          <cell r="O47">
            <v>280</v>
          </cell>
          <cell r="P47" t="e">
            <v>#REF!</v>
          </cell>
          <cell r="Q47" t="e">
            <v>#REF!</v>
          </cell>
          <cell r="R47">
            <v>320</v>
          </cell>
          <cell r="U47" t="e">
            <v>#REF!</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t="e">
            <v>#REF!</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t="e">
            <v>#REF!</v>
          </cell>
          <cell r="V49" t="e">
            <v>#REF!</v>
          </cell>
          <cell r="W49" t="e">
            <v>#REF!</v>
          </cell>
          <cell r="X49" t="e">
            <v>#REF!</v>
          </cell>
          <cell r="Y49" t="e">
            <v>#REF!</v>
          </cell>
          <cell r="Z49" t="e">
            <v>#REF!</v>
          </cell>
          <cell r="AA49" t="e">
            <v>#REF!</v>
          </cell>
        </row>
        <row r="50">
          <cell r="C50" t="e">
            <v>#REF!</v>
          </cell>
          <cell r="D50" t="e">
            <v>#REF!</v>
          </cell>
          <cell r="E50" t="e">
            <v>#REF!</v>
          </cell>
          <cell r="I50" t="e">
            <v>#REF!</v>
          </cell>
          <cell r="J50" t="e">
            <v>#REF!</v>
          </cell>
          <cell r="K50" t="e">
            <v>#REF!</v>
          </cell>
          <cell r="L50" t="e">
            <v>#REF!</v>
          </cell>
          <cell r="M50" t="e">
            <v>#REF!</v>
          </cell>
          <cell r="N50" t="e">
            <v>#REF!</v>
          </cell>
          <cell r="O50" t="e">
            <v>#REF!</v>
          </cell>
          <cell r="P50" t="e">
            <v>#REF!</v>
          </cell>
          <cell r="Q50" t="e">
            <v>#REF!</v>
          </cell>
          <cell r="R50" t="e">
            <v>#REF!</v>
          </cell>
          <cell r="T50">
            <v>0</v>
          </cell>
          <cell r="U50" t="e">
            <v>#REF!</v>
          </cell>
          <cell r="V50" t="e">
            <v>#REF!</v>
          </cell>
          <cell r="W50" t="e">
            <v>#REF!</v>
          </cell>
          <cell r="X50" t="e">
            <v>#REF!</v>
          </cell>
          <cell r="Y50" t="e">
            <v>#REF!</v>
          </cell>
          <cell r="Z50" t="e">
            <v>#REF!</v>
          </cell>
          <cell r="AA50" t="e">
            <v>#REF!</v>
          </cell>
        </row>
        <row r="51">
          <cell r="C51" t="e">
            <v>#REF!</v>
          </cell>
          <cell r="D51" t="e">
            <v>#REF!</v>
          </cell>
          <cell r="E51" t="e">
            <v>#REF!</v>
          </cell>
          <cell r="I51" t="e">
            <v>#REF!</v>
          </cell>
          <cell r="J51" t="e">
            <v>#REF!</v>
          </cell>
          <cell r="K51" t="e">
            <v>#REF!</v>
          </cell>
          <cell r="L51" t="e">
            <v>#REF!</v>
          </cell>
          <cell r="M51" t="e">
            <v>#REF!</v>
          </cell>
          <cell r="N51" t="e">
            <v>#REF!</v>
          </cell>
          <cell r="O51" t="e">
            <v>#REF!</v>
          </cell>
          <cell r="P51" t="e">
            <v>#REF!</v>
          </cell>
          <cell r="Q51" t="e">
            <v>#REF!</v>
          </cell>
          <cell r="R51" t="e">
            <v>#REF!</v>
          </cell>
          <cell r="S51">
            <v>0</v>
          </cell>
          <cell r="T51">
            <v>465.83333333333331</v>
          </cell>
          <cell r="U51" t="e">
            <v>#REF!</v>
          </cell>
          <cell r="V51" t="e">
            <v>#REF!</v>
          </cell>
          <cell r="W51" t="e">
            <v>#REF!</v>
          </cell>
          <cell r="X51" t="e">
            <v>#REF!</v>
          </cell>
          <cell r="Y51" t="e">
            <v>#REF!</v>
          </cell>
          <cell r="Z51" t="e">
            <v>#REF!</v>
          </cell>
          <cell r="AA51" t="e">
            <v>#REF!</v>
          </cell>
        </row>
        <row r="52">
          <cell r="C52" t="e">
            <v>#REF!</v>
          </cell>
          <cell r="D52" t="e">
            <v>#REF!</v>
          </cell>
          <cell r="E52" t="e">
            <v>#REF!</v>
          </cell>
          <cell r="I52" t="e">
            <v>#REF!</v>
          </cell>
          <cell r="J52" t="e">
            <v>#REF!</v>
          </cell>
          <cell r="K52" t="e">
            <v>#REF!</v>
          </cell>
          <cell r="L52" t="e">
            <v>#REF!</v>
          </cell>
          <cell r="M52" t="e">
            <v>#REF!</v>
          </cell>
          <cell r="N52" t="e">
            <v>#REF!</v>
          </cell>
          <cell r="O52">
            <v>0</v>
          </cell>
          <cell r="P52" t="e">
            <v>#REF!</v>
          </cell>
          <cell r="Q52" t="e">
            <v>#REF!</v>
          </cell>
          <cell r="R52">
            <v>0</v>
          </cell>
          <cell r="S52">
            <v>750</v>
          </cell>
          <cell r="U52" t="e">
            <v>#REF!</v>
          </cell>
          <cell r="V52" t="e">
            <v>#REF!</v>
          </cell>
          <cell r="W52" t="e">
            <v>#REF!</v>
          </cell>
          <cell r="X52">
            <v>72</v>
          </cell>
          <cell r="Y52" t="e">
            <v>#REF!</v>
          </cell>
          <cell r="Z52">
            <v>30</v>
          </cell>
          <cell r="AA52">
            <v>100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29</v>
          </cell>
          <cell r="U53" t="e">
            <v>#REF!</v>
          </cell>
          <cell r="V53" t="e">
            <v>#REF!</v>
          </cell>
          <cell r="W53" t="e">
            <v>#REF!</v>
          </cell>
          <cell r="X53" t="e">
            <v>#REF!</v>
          </cell>
          <cell r="Y53" t="e">
            <v>#REF!</v>
          </cell>
          <cell r="Z53" t="e">
            <v>#REF!</v>
          </cell>
          <cell r="AA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686</v>
          </cell>
          <cell r="U54" t="e">
            <v>#REF!</v>
          </cell>
          <cell r="V54" t="e">
            <v>#REF!</v>
          </cell>
          <cell r="W54" t="e">
            <v>#REF!</v>
          </cell>
          <cell r="X54" t="e">
            <v>#REF!</v>
          </cell>
          <cell r="Y54" t="e">
            <v>#REF!</v>
          </cell>
          <cell r="Z54" t="e">
            <v>#REF!</v>
          </cell>
          <cell r="AA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257</v>
          </cell>
          <cell r="U55" t="e">
            <v>#REF!</v>
          </cell>
          <cell r="V55" t="e">
            <v>#REF!</v>
          </cell>
          <cell r="W55" t="e">
            <v>#REF!</v>
          </cell>
          <cell r="X55" t="e">
            <v>#REF!</v>
          </cell>
          <cell r="Y55" t="e">
            <v>#REF!</v>
          </cell>
          <cell r="Z55" t="e">
            <v>#REF!</v>
          </cell>
          <cell r="AA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t="e">
            <v>#REF!</v>
          </cell>
          <cell r="V56" t="e">
            <v>#REF!</v>
          </cell>
          <cell r="W56" t="e">
            <v>#REF!</v>
          </cell>
          <cell r="X56">
            <v>0</v>
          </cell>
          <cell r="Y56">
            <v>0</v>
          </cell>
          <cell r="Z56">
            <v>0</v>
          </cell>
          <cell r="AA56">
            <v>0</v>
          </cell>
        </row>
        <row r="57">
          <cell r="C57" t="e">
            <v>#REF!</v>
          </cell>
          <cell r="D57" t="e">
            <v>#REF!</v>
          </cell>
          <cell r="E57" t="e">
            <v>#REF!</v>
          </cell>
          <cell r="I57" t="e">
            <v>#REF!</v>
          </cell>
          <cell r="J57" t="e">
            <v>#REF!</v>
          </cell>
          <cell r="K57" t="e">
            <v>#REF!</v>
          </cell>
          <cell r="L57" t="e">
            <v>#REF!</v>
          </cell>
          <cell r="M57" t="e">
            <v>#REF!</v>
          </cell>
          <cell r="N57" t="e">
            <v>#REF!</v>
          </cell>
          <cell r="O57" t="e">
            <v>#REF!</v>
          </cell>
          <cell r="P57" t="e">
            <v>#REF!</v>
          </cell>
          <cell r="Q57" t="e">
            <v>#REF!</v>
          </cell>
          <cell r="R57" t="e">
            <v>#REF!</v>
          </cell>
          <cell r="S57">
            <v>1232</v>
          </cell>
          <cell r="T57">
            <v>69</v>
          </cell>
          <cell r="U57" t="e">
            <v>#REF!</v>
          </cell>
          <cell r="V57" t="e">
            <v>#REF!</v>
          </cell>
          <cell r="W57" t="e">
            <v>#REF!</v>
          </cell>
          <cell r="X57" t="e">
            <v>#REF!</v>
          </cell>
          <cell r="Y57" t="e">
            <v>#REF!</v>
          </cell>
          <cell r="Z57" t="e">
            <v>#REF!</v>
          </cell>
          <cell r="AA57" t="e">
            <v>#REF!</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1232</v>
          </cell>
          <cell r="T58">
            <v>9</v>
          </cell>
          <cell r="U58" t="e">
            <v>#REF!</v>
          </cell>
          <cell r="V58" t="e">
            <v>#REF!</v>
          </cell>
          <cell r="W58" t="e">
            <v>#REF!</v>
          </cell>
          <cell r="X58" t="e">
            <v>#REF!</v>
          </cell>
          <cell r="Y58" t="e">
            <v>#REF!</v>
          </cell>
          <cell r="Z58" t="e">
            <v>#REF!</v>
          </cell>
          <cell r="AA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t="e">
            <v>#REF!</v>
          </cell>
          <cell r="V59" t="e">
            <v>#REF!</v>
          </cell>
          <cell r="W59" t="e">
            <v>#REF!</v>
          </cell>
          <cell r="X59" t="e">
            <v>#REF!</v>
          </cell>
          <cell r="Y59" t="e">
            <v>#REF!</v>
          </cell>
          <cell r="Z59" t="e">
            <v>#REF!</v>
          </cell>
          <cell r="AA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420</v>
          </cell>
          <cell r="U60" t="e">
            <v>#REF!</v>
          </cell>
          <cell r="V60" t="e">
            <v>#REF!</v>
          </cell>
          <cell r="W60" t="e">
            <v>#REF!</v>
          </cell>
          <cell r="X60" t="e">
            <v>#REF!</v>
          </cell>
          <cell r="Y60" t="e">
            <v>#REF!</v>
          </cell>
          <cell r="Z60" t="e">
            <v>#REF!</v>
          </cell>
          <cell r="AA60" t="e">
            <v>#REF!</v>
          </cell>
        </row>
        <row r="61">
          <cell r="C61" t="e">
            <v>#REF!</v>
          </cell>
          <cell r="D61" t="e">
            <v>#REF!</v>
          </cell>
          <cell r="E61" t="e">
            <v>#REF!</v>
          </cell>
          <cell r="I61" t="e">
            <v>#REF!</v>
          </cell>
          <cell r="J61" t="e">
            <v>#REF!</v>
          </cell>
          <cell r="K61" t="e">
            <v>#REF!</v>
          </cell>
          <cell r="L61" t="e">
            <v>#REF!</v>
          </cell>
          <cell r="M61" t="e">
            <v>#REF!</v>
          </cell>
          <cell r="N61" t="e">
            <v>#REF!</v>
          </cell>
          <cell r="O61" t="e">
            <v>#REF!</v>
          </cell>
          <cell r="P61" t="e">
            <v>#REF!</v>
          </cell>
          <cell r="Q61" t="e">
            <v>#REF!</v>
          </cell>
          <cell r="R61" t="e">
            <v>#REF!</v>
          </cell>
          <cell r="S61">
            <v>0</v>
          </cell>
          <cell r="T61">
            <v>468.3785272727273</v>
          </cell>
          <cell r="U61" t="e">
            <v>#REF!</v>
          </cell>
          <cell r="V61" t="e">
            <v>#REF!</v>
          </cell>
          <cell r="W61" t="e">
            <v>#REF!</v>
          </cell>
          <cell r="X61" t="e">
            <v>#REF!</v>
          </cell>
          <cell r="Y61" t="e">
            <v>#REF!</v>
          </cell>
          <cell r="Z61" t="e">
            <v>#REF!</v>
          </cell>
          <cell r="AA61" t="e">
            <v>#REF!</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26</v>
          </cell>
          <cell r="U62" t="e">
            <v>#REF!</v>
          </cell>
          <cell r="V62" t="e">
            <v>#REF!</v>
          </cell>
          <cell r="W62" t="e">
            <v>#REF!</v>
          </cell>
          <cell r="X62" t="e">
            <v>#REF!</v>
          </cell>
          <cell r="Y62" t="e">
            <v>#REF!</v>
          </cell>
          <cell r="Z62" t="e">
            <v>#REF!</v>
          </cell>
          <cell r="AA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306</v>
          </cell>
          <cell r="T63">
            <v>150</v>
          </cell>
          <cell r="U63" t="e">
            <v>#REF!</v>
          </cell>
          <cell r="V63" t="e">
            <v>#REF!</v>
          </cell>
          <cell r="W63" t="e">
            <v>#REF!</v>
          </cell>
          <cell r="X63" t="e">
            <v>#REF!</v>
          </cell>
          <cell r="Y63" t="e">
            <v>#REF!</v>
          </cell>
          <cell r="Z63" t="e">
            <v>#REF!</v>
          </cell>
          <cell r="AA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U64" t="e">
            <v>#REF!</v>
          </cell>
          <cell r="V64" t="e">
            <v>#REF!</v>
          </cell>
          <cell r="W64" t="e">
            <v>#REF!</v>
          </cell>
          <cell r="X64" t="e">
            <v>#REF!</v>
          </cell>
          <cell r="Y64" t="e">
            <v>#REF!</v>
          </cell>
          <cell r="AA64" t="e">
            <v>#REF!</v>
          </cell>
        </row>
        <row r="65">
          <cell r="C65" t="e">
            <v>#REF!</v>
          </cell>
          <cell r="D65" t="e">
            <v>#REF!</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162.88</v>
          </cell>
          <cell r="U65" t="e">
            <v>#REF!</v>
          </cell>
          <cell r="V65" t="e">
            <v>#REF!</v>
          </cell>
          <cell r="W65" t="e">
            <v>#REF!</v>
          </cell>
          <cell r="X65" t="e">
            <v>#REF!</v>
          </cell>
          <cell r="Y65" t="e">
            <v>#REF!</v>
          </cell>
          <cell r="Z65">
            <v>144</v>
          </cell>
          <cell r="AA65" t="e">
            <v>#REF!</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t="e">
            <v>#REF!</v>
          </cell>
          <cell r="V66" t="e">
            <v>#REF!</v>
          </cell>
          <cell r="W66" t="e">
            <v>#REF!</v>
          </cell>
          <cell r="X66" t="e">
            <v>#REF!</v>
          </cell>
          <cell r="Y66" t="e">
            <v>#REF!</v>
          </cell>
          <cell r="Z66" t="e">
            <v>#REF!</v>
          </cell>
          <cell r="AA66" t="e">
            <v>#REF!</v>
          </cell>
        </row>
        <row r="67">
          <cell r="C67" t="e">
            <v>#REF!</v>
          </cell>
          <cell r="D67" t="e">
            <v>#REF!</v>
          </cell>
          <cell r="I67" t="e">
            <v>#REF!</v>
          </cell>
          <cell r="J67" t="e">
            <v>#REF!</v>
          </cell>
          <cell r="K67" t="e">
            <v>#REF!</v>
          </cell>
          <cell r="L67" t="e">
            <v>#REF!</v>
          </cell>
          <cell r="M67" t="e">
            <v>#REF!</v>
          </cell>
          <cell r="N67" t="e">
            <v>#REF!</v>
          </cell>
          <cell r="O67">
            <v>0</v>
          </cell>
          <cell r="P67" t="e">
            <v>#REF!</v>
          </cell>
          <cell r="Q67" t="e">
            <v>#REF!</v>
          </cell>
          <cell r="R67" t="e">
            <v>#REF!</v>
          </cell>
          <cell r="S67">
            <v>1018</v>
          </cell>
          <cell r="U67" t="e">
            <v>#REF!</v>
          </cell>
          <cell r="V67" t="e">
            <v>#REF!</v>
          </cell>
          <cell r="W67" t="e">
            <v>#REF!</v>
          </cell>
          <cell r="X67" t="e">
            <v>#REF!</v>
          </cell>
          <cell r="Y67" t="e">
            <v>#REF!</v>
          </cell>
          <cell r="AA67">
            <v>300</v>
          </cell>
        </row>
        <row r="68">
          <cell r="C68" t="e">
            <v>#REF!</v>
          </cell>
          <cell r="D68" t="e">
            <v>#REF!</v>
          </cell>
          <cell r="E68" t="e">
            <v>#REF!</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t="e">
            <v>#REF!</v>
          </cell>
          <cell r="V68" t="e">
            <v>#REF!</v>
          </cell>
          <cell r="W68" t="e">
            <v>#REF!</v>
          </cell>
          <cell r="X68" t="e">
            <v>#REF!</v>
          </cell>
          <cell r="Y68" t="e">
            <v>#REF!</v>
          </cell>
          <cell r="Z68" t="e">
            <v>#REF!</v>
          </cell>
          <cell r="AA68" t="e">
            <v>#REF!</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t="e">
            <v>#REF!</v>
          </cell>
          <cell r="V69" t="e">
            <v>#REF!</v>
          </cell>
          <cell r="W69" t="e">
            <v>#REF!</v>
          </cell>
          <cell r="X69" t="e">
            <v>#REF!</v>
          </cell>
          <cell r="Y69" t="e">
            <v>#REF!</v>
          </cell>
          <cell r="Z69" t="e">
            <v>#REF!</v>
          </cell>
          <cell r="AA69" t="e">
            <v>#REF!</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t="e">
            <v>#REF!</v>
          </cell>
          <cell r="V70" t="e">
            <v>#REF!</v>
          </cell>
          <cell r="W70" t="e">
            <v>#REF!</v>
          </cell>
          <cell r="X70" t="e">
            <v>#REF!</v>
          </cell>
          <cell r="Y70" t="e">
            <v>#REF!</v>
          </cell>
          <cell r="Z70" t="e">
            <v>#REF!</v>
          </cell>
          <cell r="AA70" t="e">
            <v>#REF!</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t="e">
            <v>#REF!</v>
          </cell>
          <cell r="V71" t="e">
            <v>#REF!</v>
          </cell>
          <cell r="W71" t="e">
            <v>#REF!</v>
          </cell>
          <cell r="X71" t="e">
            <v>#REF!</v>
          </cell>
          <cell r="Y71" t="e">
            <v>#REF!</v>
          </cell>
          <cell r="Z71">
            <v>51.363636363636374</v>
          </cell>
          <cell r="AA71" t="e">
            <v>#REF!</v>
          </cell>
        </row>
        <row r="72">
          <cell r="C72" t="e">
            <v>#REF!</v>
          </cell>
          <cell r="D72" t="e">
            <v>#REF!</v>
          </cell>
          <cell r="E72">
            <v>0</v>
          </cell>
          <cell r="I72" t="e">
            <v>#REF!</v>
          </cell>
          <cell r="J72">
            <v>0</v>
          </cell>
          <cell r="K72" t="e">
            <v>#REF!</v>
          </cell>
          <cell r="L72" t="e">
            <v>#REF!</v>
          </cell>
          <cell r="M72" t="e">
            <v>#REF!</v>
          </cell>
          <cell r="N72" t="e">
            <v>#REF!</v>
          </cell>
          <cell r="O72">
            <v>0</v>
          </cell>
          <cell r="P72" t="e">
            <v>#REF!</v>
          </cell>
          <cell r="Q72" t="e">
            <v>#REF!</v>
          </cell>
          <cell r="R72" t="e">
            <v>#REF!</v>
          </cell>
          <cell r="S72">
            <v>23</v>
          </cell>
          <cell r="U72" t="e">
            <v>#REF!</v>
          </cell>
          <cell r="V72" t="e">
            <v>#REF!</v>
          </cell>
          <cell r="W72" t="e">
            <v>#REF!</v>
          </cell>
          <cell r="X72" t="e">
            <v>#REF!</v>
          </cell>
          <cell r="Y72" t="e">
            <v>#REF!</v>
          </cell>
          <cell r="Z72">
            <v>3</v>
          </cell>
          <cell r="AA72" t="e">
            <v>#REF!</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t="e">
            <v>#REF!</v>
          </cell>
          <cell r="V73" t="e">
            <v>#REF!</v>
          </cell>
          <cell r="W73" t="e">
            <v>#REF!</v>
          </cell>
          <cell r="X73" t="e">
            <v>#REF!</v>
          </cell>
          <cell r="Y73" t="e">
            <v>#REF!</v>
          </cell>
          <cell r="Z73" t="e">
            <v>#REF!</v>
          </cell>
          <cell r="AA73" t="e">
            <v>#REF!</v>
          </cell>
        </row>
        <row r="74">
          <cell r="C74" t="e">
            <v>#REF!</v>
          </cell>
          <cell r="D74" t="e">
            <v>#REF!</v>
          </cell>
          <cell r="E74" t="e">
            <v>#REF!</v>
          </cell>
          <cell r="I74">
            <v>0</v>
          </cell>
          <cell r="J74">
            <v>0</v>
          </cell>
          <cell r="K74" t="e">
            <v>#REF!</v>
          </cell>
          <cell r="L74" t="e">
            <v>#REF!</v>
          </cell>
          <cell r="M74" t="e">
            <v>#REF!</v>
          </cell>
          <cell r="N74" t="e">
            <v>#REF!</v>
          </cell>
          <cell r="O74" t="e">
            <v>#REF!</v>
          </cell>
          <cell r="P74" t="e">
            <v>#REF!</v>
          </cell>
          <cell r="Q74" t="e">
            <v>#REF!</v>
          </cell>
          <cell r="R74" t="e">
            <v>#REF!</v>
          </cell>
          <cell r="U74" t="e">
            <v>#REF!</v>
          </cell>
          <cell r="V74" t="e">
            <v>#REF!</v>
          </cell>
          <cell r="W74" t="e">
            <v>#REF!</v>
          </cell>
          <cell r="X74" t="e">
            <v>#REF!</v>
          </cell>
          <cell r="Y74" t="e">
            <v>#REF!</v>
          </cell>
          <cell r="Z74" t="e">
            <v>#REF!</v>
          </cell>
          <cell r="AA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1129</v>
          </cell>
          <cell r="U75" t="e">
            <v>#REF!</v>
          </cell>
          <cell r="V75" t="e">
            <v>#REF!</v>
          </cell>
          <cell r="W75" t="e">
            <v>#REF!</v>
          </cell>
          <cell r="X75" t="e">
            <v>#REF!</v>
          </cell>
          <cell r="Y75" t="e">
            <v>#VALUE!</v>
          </cell>
          <cell r="Z75" t="e">
            <v>#REF!</v>
          </cell>
          <cell r="AA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t="e">
            <v>#REF!</v>
          </cell>
          <cell r="V76" t="e">
            <v>#REF!</v>
          </cell>
          <cell r="W76" t="e">
            <v>#REF!</v>
          </cell>
          <cell r="X76" t="e">
            <v>#REF!</v>
          </cell>
          <cell r="Y76" t="e">
            <v>#VALUE!</v>
          </cell>
          <cell r="Z76" t="e">
            <v>#REF!</v>
          </cell>
          <cell r="AA76" t="e">
            <v>#REF!</v>
          </cell>
        </row>
        <row r="77">
          <cell r="C77" t="e">
            <v>#REF!</v>
          </cell>
          <cell r="D77" t="e">
            <v>#REF!</v>
          </cell>
          <cell r="E77">
            <v>0</v>
          </cell>
          <cell r="I77" t="e">
            <v>#REF!</v>
          </cell>
          <cell r="J77" t="e">
            <v>#REF!</v>
          </cell>
          <cell r="K77" t="e">
            <v>#REF!</v>
          </cell>
          <cell r="L77" t="e">
            <v>#REF!</v>
          </cell>
          <cell r="M77" t="e">
            <v>#REF!</v>
          </cell>
          <cell r="N77" t="e">
            <v>#REF!</v>
          </cell>
          <cell r="P77" t="e">
            <v>#REF!</v>
          </cell>
          <cell r="Q77" t="e">
            <v>#REF!</v>
          </cell>
          <cell r="S77">
            <v>101</v>
          </cell>
          <cell r="T77">
            <v>0</v>
          </cell>
          <cell r="U77">
            <v>101</v>
          </cell>
          <cell r="V77">
            <v>0</v>
          </cell>
          <cell r="W77" t="e">
            <v>#REF!</v>
          </cell>
          <cell r="X77" t="e">
            <v>#REF!</v>
          </cell>
          <cell r="Y77" t="e">
            <v>#REF!</v>
          </cell>
          <cell r="Z77">
            <v>31</v>
          </cell>
          <cell r="AA77">
            <v>119</v>
          </cell>
        </row>
        <row r="78">
          <cell r="C78" t="e">
            <v>#REF!</v>
          </cell>
          <cell r="D78" t="e">
            <v>#REF!</v>
          </cell>
          <cell r="E78" t="e">
            <v>#REF!</v>
          </cell>
          <cell r="I78" t="e">
            <v>#REF!</v>
          </cell>
          <cell r="J78" t="e">
            <v>#REF!</v>
          </cell>
          <cell r="K78" t="e">
            <v>#REF!</v>
          </cell>
          <cell r="L78" t="e">
            <v>#REF!</v>
          </cell>
          <cell r="M78" t="e">
            <v>#REF!</v>
          </cell>
          <cell r="N78" t="e">
            <v>#REF!</v>
          </cell>
          <cell r="P78" t="e">
            <v>#REF!</v>
          </cell>
          <cell r="Q78" t="e">
            <v>#REF!</v>
          </cell>
          <cell r="T78">
            <v>0</v>
          </cell>
          <cell r="U78" t="e">
            <v>#REF!</v>
          </cell>
          <cell r="V78" t="e">
            <v>#REF!</v>
          </cell>
          <cell r="W78">
            <v>0</v>
          </cell>
          <cell r="X78">
            <v>0</v>
          </cell>
          <cell r="Y78">
            <v>0</v>
          </cell>
          <cell r="Z78">
            <v>0</v>
          </cell>
          <cell r="AA78">
            <v>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t="e">
            <v>#REF!</v>
          </cell>
          <cell r="V79" t="e">
            <v>#REF!</v>
          </cell>
          <cell r="W79" t="e">
            <v>#REF!</v>
          </cell>
          <cell r="X79" t="e">
            <v>#REF!</v>
          </cell>
          <cell r="Y79" t="e">
            <v>#VALUE!</v>
          </cell>
          <cell r="Z79" t="e">
            <v>#REF!</v>
          </cell>
          <cell r="AA79" t="e">
            <v>#REF!</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t="e">
            <v>#REF!</v>
          </cell>
          <cell r="V80" t="e">
            <v>#REF!</v>
          </cell>
          <cell r="W80" t="e">
            <v>#REF!</v>
          </cell>
          <cell r="X80">
            <v>0</v>
          </cell>
          <cell r="Y80">
            <v>0</v>
          </cell>
          <cell r="Z80" t="e">
            <v>#REF!</v>
          </cell>
          <cell r="AA80" t="e">
            <v>#REF!</v>
          </cell>
        </row>
        <row r="81">
          <cell r="C81" t="e">
            <v>#REF!</v>
          </cell>
          <cell r="D81" t="e">
            <v>#REF!</v>
          </cell>
          <cell r="E81" t="e">
            <v>#REF!</v>
          </cell>
          <cell r="P81">
            <v>0</v>
          </cell>
          <cell r="S81">
            <v>0</v>
          </cell>
          <cell r="U81" t="e">
            <v>#REF!</v>
          </cell>
          <cell r="V81" t="e">
            <v>#REF!</v>
          </cell>
          <cell r="W81" t="e">
            <v>#REF!</v>
          </cell>
          <cell r="X81">
            <v>0</v>
          </cell>
          <cell r="Y81">
            <v>0</v>
          </cell>
          <cell r="Z81" t="e">
            <v>#REF!</v>
          </cell>
          <cell r="AA81" t="e">
            <v>#REF!</v>
          </cell>
        </row>
        <row r="82">
          <cell r="C82" t="e">
            <v>#REF!</v>
          </cell>
          <cell r="D82" t="e">
            <v>#REF!</v>
          </cell>
          <cell r="E82" t="e">
            <v>#REF!</v>
          </cell>
          <cell r="J82">
            <v>0</v>
          </cell>
          <cell r="K82">
            <v>0</v>
          </cell>
          <cell r="L82">
            <v>0</v>
          </cell>
          <cell r="M82">
            <v>0</v>
          </cell>
          <cell r="N82" t="e">
            <v>#REF!</v>
          </cell>
          <cell r="O82" t="e">
            <v>#REF!</v>
          </cell>
          <cell r="P82">
            <v>0</v>
          </cell>
          <cell r="Q82" t="e">
            <v>#REF!</v>
          </cell>
          <cell r="R82" t="e">
            <v>#REF!</v>
          </cell>
          <cell r="S82">
            <v>50</v>
          </cell>
          <cell r="T82">
            <v>33</v>
          </cell>
          <cell r="U82" t="e">
            <v>#REF!</v>
          </cell>
          <cell r="V82" t="e">
            <v>#REF!</v>
          </cell>
          <cell r="W82" t="e">
            <v>#REF!</v>
          </cell>
          <cell r="X82" t="e">
            <v>#REF!</v>
          </cell>
          <cell r="Y82" t="e">
            <v>#REF!</v>
          </cell>
          <cell r="Z82" t="e">
            <v>#REF!</v>
          </cell>
          <cell r="AA82" t="e">
            <v>#REF!</v>
          </cell>
        </row>
        <row r="83">
          <cell r="C83" t="e">
            <v>#REF!</v>
          </cell>
          <cell r="D83" t="e">
            <v>#REF!</v>
          </cell>
          <cell r="E83" t="e">
            <v>#REF!</v>
          </cell>
          <cell r="P83">
            <v>21</v>
          </cell>
          <cell r="S83">
            <v>51</v>
          </cell>
          <cell r="T83">
            <v>33.660000000000004</v>
          </cell>
          <cell r="U83">
            <v>0</v>
          </cell>
          <cell r="V83" t="e">
            <v>#REF!</v>
          </cell>
          <cell r="W83" t="e">
            <v>#REF!</v>
          </cell>
          <cell r="X83">
            <v>0</v>
          </cell>
          <cell r="Y83">
            <v>0</v>
          </cell>
          <cell r="Z83" t="e">
            <v>#REF!</v>
          </cell>
          <cell r="AA83" t="e">
            <v>#REF!</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1129</v>
          </cell>
          <cell r="U84" t="e">
            <v>#REF!</v>
          </cell>
          <cell r="V84" t="e">
            <v>#REF!</v>
          </cell>
          <cell r="W84" t="e">
            <v>#REF!</v>
          </cell>
          <cell r="X84" t="e">
            <v>#REF!</v>
          </cell>
          <cell r="Y84" t="e">
            <v>#VALUE!</v>
          </cell>
          <cell r="Z84" t="e">
            <v>#REF!</v>
          </cell>
          <cell r="AA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t="e">
            <v>#REF!</v>
          </cell>
          <cell r="V85" t="e">
            <v>#REF!</v>
          </cell>
          <cell r="W85" t="e">
            <v>#REF!</v>
          </cell>
          <cell r="X85" t="e">
            <v>#REF!</v>
          </cell>
          <cell r="Y85" t="e">
            <v>#VALUE!</v>
          </cell>
          <cell r="Z85" t="e">
            <v>#REF!</v>
          </cell>
          <cell r="AA85" t="e">
            <v>#REF!</v>
          </cell>
        </row>
        <row r="86">
          <cell r="C86" t="e">
            <v>#REF!</v>
          </cell>
          <cell r="D86" t="e">
            <v>#REF!</v>
          </cell>
          <cell r="E86" t="e">
            <v>#REF!</v>
          </cell>
          <cell r="I86" t="e">
            <v>#REF!</v>
          </cell>
          <cell r="J86" t="e">
            <v>#REF!</v>
          </cell>
          <cell r="K86" t="e">
            <v>#REF!</v>
          </cell>
          <cell r="L86" t="e">
            <v>#REF!</v>
          </cell>
          <cell r="M86" t="e">
            <v>#REF!</v>
          </cell>
          <cell r="N86" t="e">
            <v>#REF!</v>
          </cell>
          <cell r="O86" t="e">
            <v>#REF!</v>
          </cell>
          <cell r="P86" t="e">
            <v>#REF!</v>
          </cell>
          <cell r="Q86" t="e">
            <v>#REF!</v>
          </cell>
          <cell r="R86" t="e">
            <v>#REF!</v>
          </cell>
          <cell r="S86">
            <v>0</v>
          </cell>
          <cell r="T86">
            <v>686</v>
          </cell>
          <cell r="U86" t="e">
            <v>#REF!</v>
          </cell>
          <cell r="V86" t="e">
            <v>#REF!</v>
          </cell>
          <cell r="W86" t="e">
            <v>#REF!</v>
          </cell>
          <cell r="X86" t="e">
            <v>#REF!</v>
          </cell>
          <cell r="Y86" t="e">
            <v>#REF!</v>
          </cell>
          <cell r="Z86" t="e">
            <v>#REF!</v>
          </cell>
          <cell r="AA86" t="e">
            <v>#REF!</v>
          </cell>
        </row>
        <row r="87">
          <cell r="C87" t="e">
            <v>#REF!</v>
          </cell>
          <cell r="D87" t="e">
            <v>#REF!</v>
          </cell>
          <cell r="E87" t="e">
            <v>#REF!</v>
          </cell>
          <cell r="I87" t="e">
            <v>#REF!</v>
          </cell>
          <cell r="J87" t="e">
            <v>#REF!</v>
          </cell>
          <cell r="K87">
            <v>0</v>
          </cell>
          <cell r="L87">
            <v>0</v>
          </cell>
          <cell r="M87" t="e">
            <v>#REF!</v>
          </cell>
          <cell r="N87">
            <v>0</v>
          </cell>
          <cell r="O87">
            <v>0</v>
          </cell>
          <cell r="P87" t="e">
            <v>#REF!</v>
          </cell>
          <cell r="Q87">
            <v>0</v>
          </cell>
          <cell r="R87">
            <v>0</v>
          </cell>
          <cell r="S87" t="e">
            <v>#REF!</v>
          </cell>
          <cell r="T87">
            <v>0</v>
          </cell>
          <cell r="U87" t="e">
            <v>#REF!</v>
          </cell>
          <cell r="V87">
            <v>0</v>
          </cell>
          <cell r="W87" t="e">
            <v>#REF!</v>
          </cell>
          <cell r="X87" t="e">
            <v>#REF!</v>
          </cell>
          <cell r="Y87" t="e">
            <v>#REF!</v>
          </cell>
          <cell r="Z87">
            <v>0</v>
          </cell>
          <cell r="AA87">
            <v>0</v>
          </cell>
        </row>
        <row r="88">
          <cell r="C88" t="e">
            <v>#REF!</v>
          </cell>
          <cell r="D88" t="e">
            <v>#REF!</v>
          </cell>
          <cell r="E88" t="e">
            <v>#REF!</v>
          </cell>
          <cell r="I88" t="e">
            <v>#REF!</v>
          </cell>
          <cell r="J88" t="e">
            <v>#REF!</v>
          </cell>
          <cell r="M88" t="e">
            <v>#REF!</v>
          </cell>
          <cell r="P88" t="e">
            <v>#REF!</v>
          </cell>
          <cell r="S88" t="e">
            <v>#REF!</v>
          </cell>
          <cell r="U88" t="e">
            <v>#REF!</v>
          </cell>
          <cell r="W88" t="e">
            <v>#REF!</v>
          </cell>
          <cell r="X88" t="e">
            <v>#REF!</v>
          </cell>
          <cell r="Y88" t="e">
            <v>#REF!</v>
          </cell>
          <cell r="Z88">
            <v>0</v>
          </cell>
          <cell r="AA88">
            <v>0</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t="e">
            <v>#REF!</v>
          </cell>
          <cell r="T89">
            <v>824</v>
          </cell>
          <cell r="U89" t="e">
            <v>#REF!</v>
          </cell>
          <cell r="V89">
            <v>563</v>
          </cell>
          <cell r="W89" t="e">
            <v>#REF!</v>
          </cell>
          <cell r="X89" t="e">
            <v>#REF!</v>
          </cell>
          <cell r="Y89" t="e">
            <v>#REF!</v>
          </cell>
          <cell r="Z89" t="e">
            <v>#REF!</v>
          </cell>
          <cell r="AA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t="e">
            <v>#REF!</v>
          </cell>
          <cell r="T90">
            <v>824</v>
          </cell>
          <cell r="U90" t="e">
            <v>#REF!</v>
          </cell>
          <cell r="V90">
            <v>0</v>
          </cell>
          <cell r="W90" t="e">
            <v>#REF!</v>
          </cell>
          <cell r="X90" t="e">
            <v>#REF!</v>
          </cell>
          <cell r="Y90" t="e">
            <v>#REF!</v>
          </cell>
          <cell r="Z90" t="e">
            <v>#REF!</v>
          </cell>
          <cell r="AA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t="e">
            <v>#REF!</v>
          </cell>
          <cell r="T91">
            <v>0</v>
          </cell>
          <cell r="U91" t="e">
            <v>#REF!</v>
          </cell>
          <cell r="W91" t="e">
            <v>#REF!</v>
          </cell>
          <cell r="X91" t="e">
            <v>#REF!</v>
          </cell>
          <cell r="Y91" t="e">
            <v>#REF!</v>
          </cell>
          <cell r="Z91" t="e">
            <v>#REF!</v>
          </cell>
          <cell r="AA91" t="e">
            <v>#REF!</v>
          </cell>
        </row>
        <row r="92">
          <cell r="C92" t="e">
            <v>#REF!</v>
          </cell>
          <cell r="I92" t="e">
            <v>#REF!</v>
          </cell>
          <cell r="J92" t="e">
            <v>#REF!</v>
          </cell>
          <cell r="M92" t="e">
            <v>#REF!</v>
          </cell>
          <cell r="P92" t="e">
            <v>#REF!</v>
          </cell>
          <cell r="S92" t="e">
            <v>#REF!</v>
          </cell>
          <cell r="U92" t="e">
            <v>#REF!</v>
          </cell>
        </row>
        <row r="93">
          <cell r="C93" t="e">
            <v>#REF!</v>
          </cell>
          <cell r="I93" t="e">
            <v>#REF!</v>
          </cell>
          <cell r="J93" t="e">
            <v>#REF!</v>
          </cell>
          <cell r="M93" t="e">
            <v>#REF!</v>
          </cell>
          <cell r="P93" t="e">
            <v>#REF!</v>
          </cell>
          <cell r="S93" t="e">
            <v>#REF!</v>
          </cell>
          <cell r="T93">
            <v>139</v>
          </cell>
          <cell r="U93" t="e">
            <v>#REF!</v>
          </cell>
          <cell r="V93">
            <v>0</v>
          </cell>
          <cell r="W93" t="e">
            <v>#REF!</v>
          </cell>
          <cell r="X93">
            <v>0</v>
          </cell>
          <cell r="Y93">
            <v>0</v>
          </cell>
          <cell r="Z93">
            <v>0</v>
          </cell>
          <cell r="AA93">
            <v>0</v>
          </cell>
        </row>
        <row r="94">
          <cell r="C94" t="e">
            <v>#REF!</v>
          </cell>
          <cell r="I94" t="e">
            <v>#REF!</v>
          </cell>
          <cell r="J94" t="e">
            <v>#REF!</v>
          </cell>
          <cell r="M94" t="e">
            <v>#REF!</v>
          </cell>
          <cell r="P94" t="e">
            <v>#REF!</v>
          </cell>
          <cell r="S94" t="e">
            <v>#REF!</v>
          </cell>
          <cell r="T94">
            <v>75</v>
          </cell>
          <cell r="U94" t="e">
            <v>#REF!</v>
          </cell>
          <cell r="V94">
            <v>-129</v>
          </cell>
          <cell r="W94" t="e">
            <v>#REF!</v>
          </cell>
          <cell r="X94">
            <v>-129.33333333333334</v>
          </cell>
          <cell r="Y94">
            <v>-96</v>
          </cell>
          <cell r="Z94">
            <v>-33.333333333333343</v>
          </cell>
          <cell r="AA94">
            <v>0</v>
          </cell>
        </row>
        <row r="95">
          <cell r="C95" t="e">
            <v>#REF!</v>
          </cell>
          <cell r="I95" t="e">
            <v>#REF!</v>
          </cell>
          <cell r="J95" t="e">
            <v>#REF!</v>
          </cell>
          <cell r="M95" t="e">
            <v>#REF!</v>
          </cell>
          <cell r="P95" t="e">
            <v>#REF!</v>
          </cell>
          <cell r="S95" t="e">
            <v>#REF!</v>
          </cell>
          <cell r="T95">
            <v>54</v>
          </cell>
          <cell r="U95" t="e">
            <v>#REF!</v>
          </cell>
          <cell r="W95" t="e">
            <v>#REF!</v>
          </cell>
        </row>
        <row r="96">
          <cell r="C96" t="e">
            <v>#REF!</v>
          </cell>
          <cell r="I96" t="e">
            <v>#REF!</v>
          </cell>
          <cell r="J96" t="e">
            <v>#REF!</v>
          </cell>
          <cell r="M96" t="e">
            <v>#REF!</v>
          </cell>
          <cell r="P96" t="e">
            <v>#REF!</v>
          </cell>
          <cell r="S96" t="e">
            <v>#REF!</v>
          </cell>
          <cell r="U96" t="e">
            <v>#REF!</v>
          </cell>
          <cell r="W96" t="e">
            <v>#REF!</v>
          </cell>
        </row>
        <row r="97">
          <cell r="C97" t="e">
            <v>#REF!</v>
          </cell>
          <cell r="I97" t="e">
            <v>#REF!</v>
          </cell>
          <cell r="J97" t="e">
            <v>#REF!</v>
          </cell>
          <cell r="M97" t="e">
            <v>#REF!</v>
          </cell>
          <cell r="P97" t="e">
            <v>#REF!</v>
          </cell>
          <cell r="Q97">
            <v>0</v>
          </cell>
          <cell r="R97">
            <v>0</v>
          </cell>
          <cell r="S97" t="e">
            <v>#REF!</v>
          </cell>
          <cell r="T97">
            <v>3616.0618606060607</v>
          </cell>
          <cell r="U97" t="e">
            <v>#REF!</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Q98">
            <v>0</v>
          </cell>
          <cell r="R98">
            <v>0</v>
          </cell>
          <cell r="S98" t="e">
            <v>#REF!</v>
          </cell>
          <cell r="T98">
            <v>2783.7147999999997</v>
          </cell>
          <cell r="U98" t="e">
            <v>#REF!</v>
          </cell>
          <cell r="V98">
            <v>3047.1318181818187</v>
          </cell>
          <cell r="W98" t="e">
            <v>#REF!</v>
          </cell>
          <cell r="X98">
            <v>576.13181818181829</v>
          </cell>
          <cell r="Y98">
            <v>0</v>
          </cell>
          <cell r="Z98">
            <v>0</v>
          </cell>
          <cell r="AA98">
            <v>2982.5690909090908</v>
          </cell>
        </row>
        <row r="99">
          <cell r="C99" t="e">
            <v>#REF!</v>
          </cell>
          <cell r="I99" t="e">
            <v>#REF!</v>
          </cell>
          <cell r="J99" t="e">
            <v>#REF!</v>
          </cell>
          <cell r="M99" t="e">
            <v>#REF!</v>
          </cell>
          <cell r="P99" t="e">
            <v>#REF!</v>
          </cell>
          <cell r="Q99">
            <v>0</v>
          </cell>
          <cell r="R99">
            <v>0</v>
          </cell>
          <cell r="S99" t="e">
            <v>#REF!</v>
          </cell>
          <cell r="T99">
            <v>2384.0618606060607</v>
          </cell>
          <cell r="U99" t="e">
            <v>#REF!</v>
          </cell>
          <cell r="V99">
            <v>0</v>
          </cell>
          <cell r="W99">
            <v>0</v>
          </cell>
          <cell r="X99">
            <v>2407.8530303030293</v>
          </cell>
          <cell r="Y99">
            <v>1779</v>
          </cell>
          <cell r="Z99">
            <v>628.85303030302975</v>
          </cell>
          <cell r="AA99">
            <v>0</v>
          </cell>
        </row>
        <row r="100">
          <cell r="C100" t="e">
            <v>#REF!</v>
          </cell>
          <cell r="I100" t="e">
            <v>#REF!</v>
          </cell>
          <cell r="J100" t="e">
            <v>#REF!</v>
          </cell>
          <cell r="M100" t="e">
            <v>#REF!</v>
          </cell>
          <cell r="P100" t="e">
            <v>#REF!</v>
          </cell>
          <cell r="S100" t="e">
            <v>#REF!</v>
          </cell>
          <cell r="U100" t="e">
            <v>#REF!</v>
          </cell>
          <cell r="V100">
            <v>80</v>
          </cell>
          <cell r="W100" t="e">
            <v>#REF!</v>
          </cell>
          <cell r="X100">
            <v>85</v>
          </cell>
          <cell r="AA100">
            <v>300</v>
          </cell>
        </row>
        <row r="101">
          <cell r="C101" t="e">
            <v>#REF!</v>
          </cell>
          <cell r="I101" t="e">
            <v>#REF!</v>
          </cell>
          <cell r="J101" t="e">
            <v>#REF!</v>
          </cell>
          <cell r="M101" t="e">
            <v>#REF!</v>
          </cell>
          <cell r="P101" t="e">
            <v>#REF!</v>
          </cell>
          <cell r="S101" t="e">
            <v>#REF!</v>
          </cell>
          <cell r="U101">
            <v>0</v>
          </cell>
          <cell r="V101">
            <v>0</v>
          </cell>
          <cell r="W101">
            <v>0</v>
          </cell>
          <cell r="X101">
            <v>100</v>
          </cell>
          <cell r="AA101">
            <v>300</v>
          </cell>
        </row>
        <row r="102">
          <cell r="C102" t="e">
            <v>#REF!</v>
          </cell>
          <cell r="I102" t="e">
            <v>#REF!</v>
          </cell>
          <cell r="J102" t="e">
            <v>#REF!</v>
          </cell>
          <cell r="M102" t="e">
            <v>#REF!</v>
          </cell>
          <cell r="P102" t="e">
            <v>#REF!</v>
          </cell>
          <cell r="S102" t="e">
            <v>#REF!</v>
          </cell>
          <cell r="U102" t="e">
            <v>#REF!</v>
          </cell>
          <cell r="V102">
            <v>0</v>
          </cell>
          <cell r="W102" t="e">
            <v>#REF!</v>
          </cell>
          <cell r="X102">
            <v>100</v>
          </cell>
          <cell r="AA102">
            <v>0</v>
          </cell>
        </row>
        <row r="103">
          <cell r="C103" t="e">
            <v>#REF!</v>
          </cell>
          <cell r="I103" t="e">
            <v>#REF!</v>
          </cell>
          <cell r="J103" t="e">
            <v>#REF!</v>
          </cell>
          <cell r="M103" t="e">
            <v>#REF!</v>
          </cell>
          <cell r="P103" t="e">
            <v>#REF!</v>
          </cell>
          <cell r="S103" t="e">
            <v>#REF!</v>
          </cell>
          <cell r="T103">
            <v>10</v>
          </cell>
          <cell r="U103" t="e">
            <v>#REF!</v>
          </cell>
          <cell r="W103" t="e">
            <v>#REF!</v>
          </cell>
          <cell r="X103">
            <v>0</v>
          </cell>
        </row>
        <row r="104">
          <cell r="C104" t="e">
            <v>#REF!</v>
          </cell>
          <cell r="I104" t="e">
            <v>#REF!</v>
          </cell>
          <cell r="J104" t="e">
            <v>#REF!</v>
          </cell>
          <cell r="M104" t="e">
            <v>#REF!</v>
          </cell>
          <cell r="P104" t="e">
            <v>#REF!</v>
          </cell>
          <cell r="S104" t="e">
            <v>#REF!</v>
          </cell>
          <cell r="T104">
            <v>10</v>
          </cell>
          <cell r="U104" t="e">
            <v>#REF!</v>
          </cell>
          <cell r="W104" t="e">
            <v>#REF!</v>
          </cell>
        </row>
        <row r="105">
          <cell r="C105" t="e">
            <v>#REF!</v>
          </cell>
          <cell r="I105" t="e">
            <v>#REF!</v>
          </cell>
          <cell r="J105" t="e">
            <v>#REF!</v>
          </cell>
          <cell r="M105" t="e">
            <v>#REF!</v>
          </cell>
          <cell r="P105" t="e">
            <v>#REF!</v>
          </cell>
          <cell r="S105" t="e">
            <v>#REF!</v>
          </cell>
          <cell r="V105">
            <v>0</v>
          </cell>
          <cell r="W105" t="e">
            <v>#REF!</v>
          </cell>
        </row>
        <row r="106">
          <cell r="C106">
            <v>9142</v>
          </cell>
          <cell r="I106" t="e">
            <v>#REF!</v>
          </cell>
          <cell r="J106" t="e">
            <v>#REF!</v>
          </cell>
          <cell r="M106" t="e">
            <v>#REF!</v>
          </cell>
          <cell r="P106" t="e">
            <v>#REF!</v>
          </cell>
          <cell r="S106">
            <v>0</v>
          </cell>
          <cell r="T106">
            <v>55</v>
          </cell>
          <cell r="U106">
            <v>9142</v>
          </cell>
          <cell r="V106" t="e">
            <v>#REF!</v>
          </cell>
          <cell r="W106" t="e">
            <v>#REF!</v>
          </cell>
          <cell r="X106">
            <v>0</v>
          </cell>
          <cell r="Y106">
            <v>0</v>
          </cell>
        </row>
        <row r="107">
          <cell r="C107">
            <v>0</v>
          </cell>
          <cell r="I107" t="e">
            <v>#REF!</v>
          </cell>
          <cell r="J107" t="e">
            <v>#REF!</v>
          </cell>
          <cell r="M107" t="e">
            <v>#REF!</v>
          </cell>
          <cell r="P107" t="e">
            <v>#REF!</v>
          </cell>
          <cell r="T107">
            <v>55</v>
          </cell>
          <cell r="U107">
            <v>0</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t="e">
            <v>#REF!</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t="e">
            <v>#REF!</v>
          </cell>
          <cell r="V109">
            <v>0</v>
          </cell>
          <cell r="W109" t="e">
            <v>#REF!</v>
          </cell>
          <cell r="AA109">
            <v>0</v>
          </cell>
        </row>
        <row r="110">
          <cell r="C110" t="e">
            <v>#REF!</v>
          </cell>
          <cell r="I110" t="e">
            <v>#REF!</v>
          </cell>
          <cell r="J110" t="e">
            <v>#REF!</v>
          </cell>
          <cell r="M110" t="e">
            <v>#REF!</v>
          </cell>
          <cell r="P110" t="e">
            <v>#REF!</v>
          </cell>
          <cell r="S110">
            <v>708.125</v>
          </cell>
          <cell r="U110" t="e">
            <v>#REF!</v>
          </cell>
          <cell r="W110" t="e">
            <v>#REF!</v>
          </cell>
          <cell r="X110">
            <v>0</v>
          </cell>
          <cell r="AA110">
            <v>0</v>
          </cell>
        </row>
        <row r="111">
          <cell r="C111" t="e">
            <v>#REF!</v>
          </cell>
          <cell r="I111" t="e">
            <v>#REF!</v>
          </cell>
          <cell r="J111" t="e">
            <v>#REF!</v>
          </cell>
          <cell r="M111" t="e">
            <v>#REF!</v>
          </cell>
          <cell r="P111" t="e">
            <v>#REF!</v>
          </cell>
          <cell r="S111">
            <v>897</v>
          </cell>
          <cell r="U111" t="e">
            <v>#REF!</v>
          </cell>
          <cell r="W111" t="e">
            <v>#REF!</v>
          </cell>
          <cell r="AA111">
            <v>0</v>
          </cell>
        </row>
        <row r="112">
          <cell r="C112" t="e">
            <v>#REF!</v>
          </cell>
          <cell r="P112">
            <v>0</v>
          </cell>
          <cell r="S112">
            <v>0</v>
          </cell>
          <cell r="U112" t="e">
            <v>#REF!</v>
          </cell>
          <cell r="V112" t="e">
            <v>#REF!</v>
          </cell>
          <cell r="W112" t="e">
            <v>#REF!</v>
          </cell>
          <cell r="AA112">
            <v>0</v>
          </cell>
        </row>
        <row r="113">
          <cell r="C113">
            <v>-12710</v>
          </cell>
          <cell r="P113">
            <v>0</v>
          </cell>
          <cell r="S113">
            <v>0</v>
          </cell>
          <cell r="V113">
            <v>0</v>
          </cell>
          <cell r="W113">
            <v>-12710</v>
          </cell>
          <cell r="X113" t="e">
            <v>#REF!</v>
          </cell>
          <cell r="AA113">
            <v>0</v>
          </cell>
        </row>
        <row r="114">
          <cell r="C114">
            <v>0</v>
          </cell>
          <cell r="P114">
            <v>0</v>
          </cell>
          <cell r="S114">
            <v>0</v>
          </cell>
          <cell r="U114">
            <v>0</v>
          </cell>
          <cell r="W114" t="e">
            <v>#REF!</v>
          </cell>
          <cell r="X114">
            <v>0</v>
          </cell>
          <cell r="AA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V115">
            <v>0</v>
          </cell>
          <cell r="W115" t="e">
            <v>#REF!</v>
          </cell>
          <cell r="Z115">
            <v>0</v>
          </cell>
          <cell r="AA115">
            <v>0</v>
          </cell>
        </row>
        <row r="116">
          <cell r="C116" t="e">
            <v>#REF!</v>
          </cell>
          <cell r="D116">
            <v>0</v>
          </cell>
          <cell r="E116">
            <v>0</v>
          </cell>
          <cell r="I116" t="e">
            <v>#REF!</v>
          </cell>
          <cell r="J116" t="e">
            <v>#REF!</v>
          </cell>
          <cell r="M116" t="e">
            <v>#REF!</v>
          </cell>
          <cell r="N116">
            <v>0</v>
          </cell>
          <cell r="O116">
            <v>0</v>
          </cell>
          <cell r="P116" t="e">
            <v>#REF!</v>
          </cell>
          <cell r="S116" t="e">
            <v>#REF!</v>
          </cell>
          <cell r="T116">
            <v>65</v>
          </cell>
          <cell r="W116" t="e">
            <v>#REF!</v>
          </cell>
          <cell r="X116">
            <v>0</v>
          </cell>
          <cell r="AA116">
            <v>0</v>
          </cell>
        </row>
        <row r="117">
          <cell r="P117">
            <v>0</v>
          </cell>
          <cell r="S117">
            <v>0</v>
          </cell>
          <cell r="U117" t="e">
            <v>#REF!</v>
          </cell>
          <cell r="W117" t="e">
            <v>#REF!</v>
          </cell>
          <cell r="X117">
            <v>0</v>
          </cell>
          <cell r="Z117">
            <v>0</v>
          </cell>
        </row>
        <row r="118">
          <cell r="P118">
            <v>0</v>
          </cell>
          <cell r="S118">
            <v>0</v>
          </cell>
          <cell r="U118" t="e">
            <v>#REF!</v>
          </cell>
          <cell r="W118" t="e">
            <v>#REF!</v>
          </cell>
          <cell r="X118">
            <v>0</v>
          </cell>
          <cell r="AA118">
            <v>0</v>
          </cell>
        </row>
        <row r="119">
          <cell r="P119">
            <v>0</v>
          </cell>
          <cell r="S119">
            <v>0</v>
          </cell>
          <cell r="U119" t="e">
            <v>#REF!</v>
          </cell>
          <cell r="W119" t="e">
            <v>#REF!</v>
          </cell>
          <cell r="X119" t="e">
            <v>#DIV/0!</v>
          </cell>
          <cell r="Y119" t="e">
            <v>#REF!</v>
          </cell>
          <cell r="AA119">
            <v>0</v>
          </cell>
        </row>
        <row r="120">
          <cell r="P120">
            <v>0</v>
          </cell>
          <cell r="S120">
            <v>0</v>
          </cell>
          <cell r="U120" t="e">
            <v>#REF!</v>
          </cell>
          <cell r="X120" t="e">
            <v>#REF!</v>
          </cell>
          <cell r="AA120">
            <v>0</v>
          </cell>
        </row>
        <row r="121">
          <cell r="P121">
            <v>0</v>
          </cell>
          <cell r="S121">
            <v>0</v>
          </cell>
          <cell r="U121">
            <v>0</v>
          </cell>
          <cell r="V121">
            <v>0</v>
          </cell>
          <cell r="W121">
            <v>0</v>
          </cell>
          <cell r="X121">
            <v>0</v>
          </cell>
          <cell r="Z121">
            <v>0</v>
          </cell>
          <cell r="AA121">
            <v>0</v>
          </cell>
        </row>
        <row r="122">
          <cell r="P122">
            <v>0</v>
          </cell>
          <cell r="S122">
            <v>0</v>
          </cell>
          <cell r="X122">
            <v>0</v>
          </cell>
        </row>
        <row r="123">
          <cell r="S123">
            <v>0</v>
          </cell>
          <cell r="U123">
            <v>7.59</v>
          </cell>
          <cell r="V123">
            <v>0</v>
          </cell>
          <cell r="X123" t="e">
            <v>#DIV/0!</v>
          </cell>
        </row>
        <row r="124">
          <cell r="S124">
            <v>0</v>
          </cell>
          <cell r="U124">
            <v>0</v>
          </cell>
          <cell r="W124">
            <v>24998</v>
          </cell>
          <cell r="X124">
            <v>0</v>
          </cell>
          <cell r="Y124">
            <v>24998</v>
          </cell>
          <cell r="Z124">
            <v>0</v>
          </cell>
        </row>
        <row r="125">
          <cell r="T125">
            <v>0</v>
          </cell>
          <cell r="U125" t="e">
            <v>#REF!</v>
          </cell>
          <cell r="W125" t="e">
            <v>#REF!</v>
          </cell>
          <cell r="X125" t="e">
            <v>#VALUE!</v>
          </cell>
          <cell r="Z125">
            <v>0</v>
          </cell>
        </row>
        <row r="126">
          <cell r="U126">
            <v>25363</v>
          </cell>
          <cell r="V126">
            <v>25363</v>
          </cell>
          <cell r="W126">
            <v>30.79</v>
          </cell>
          <cell r="Z126" t="e">
            <v>#DIV/0!</v>
          </cell>
        </row>
        <row r="127">
          <cell r="W127" t="e">
            <v>#REF!</v>
          </cell>
          <cell r="Z127" t="e">
            <v>#REF!</v>
          </cell>
        </row>
        <row r="128">
          <cell r="P128">
            <v>366</v>
          </cell>
          <cell r="Q128">
            <v>0</v>
          </cell>
          <cell r="R128">
            <v>0</v>
          </cell>
          <cell r="S128">
            <v>2158</v>
          </cell>
          <cell r="T128">
            <v>300</v>
          </cell>
          <cell r="U128">
            <v>300</v>
          </cell>
          <cell r="V128">
            <v>0</v>
          </cell>
          <cell r="W128">
            <v>0</v>
          </cell>
          <cell r="X128">
            <v>0</v>
          </cell>
          <cell r="Y128">
            <v>0</v>
          </cell>
          <cell r="Z128">
            <v>0</v>
          </cell>
          <cell r="AA128">
            <v>0</v>
          </cell>
        </row>
        <row r="129">
          <cell r="J129">
            <v>0</v>
          </cell>
          <cell r="P129">
            <v>732</v>
          </cell>
          <cell r="S129">
            <v>4316</v>
          </cell>
          <cell r="U129">
            <v>0</v>
          </cell>
          <cell r="V129">
            <v>0</v>
          </cell>
          <cell r="W129">
            <v>0</v>
          </cell>
          <cell r="X129">
            <v>0</v>
          </cell>
          <cell r="AA129">
            <v>0</v>
          </cell>
        </row>
        <row r="130">
          <cell r="W130">
            <v>11.87</v>
          </cell>
          <cell r="Z130" t="e">
            <v>#DIV/0!</v>
          </cell>
        </row>
        <row r="131">
          <cell r="P131">
            <v>1223</v>
          </cell>
          <cell r="Q131">
            <v>0</v>
          </cell>
          <cell r="R131">
            <v>0</v>
          </cell>
          <cell r="S131">
            <v>0</v>
          </cell>
          <cell r="T131">
            <v>0</v>
          </cell>
          <cell r="U131" t="e">
            <v>#REF!</v>
          </cell>
          <cell r="V131">
            <v>25363</v>
          </cell>
          <cell r="W131" t="e">
            <v>#REF!</v>
          </cell>
          <cell r="X131">
            <v>0</v>
          </cell>
          <cell r="Y131">
            <v>0</v>
          </cell>
          <cell r="Z131">
            <v>0</v>
          </cell>
          <cell r="AA131">
            <v>0</v>
          </cell>
        </row>
        <row r="132">
          <cell r="P132">
            <v>2446</v>
          </cell>
          <cell r="S132">
            <v>0</v>
          </cell>
          <cell r="T132">
            <v>0</v>
          </cell>
          <cell r="U132">
            <v>187.5</v>
          </cell>
          <cell r="V132">
            <v>187.5</v>
          </cell>
          <cell r="W132" t="e">
            <v>#REF!</v>
          </cell>
          <cell r="X132">
            <v>0</v>
          </cell>
          <cell r="Y132">
            <v>0</v>
          </cell>
          <cell r="Z132" t="e">
            <v>#REF!</v>
          </cell>
        </row>
        <row r="133">
          <cell r="U133" t="e">
            <v>#REF!</v>
          </cell>
          <cell r="V133">
            <v>25550.5</v>
          </cell>
          <cell r="W133" t="e">
            <v>#REF!</v>
          </cell>
          <cell r="X133">
            <v>57083</v>
          </cell>
        </row>
        <row r="134">
          <cell r="X134" t="e">
            <v>#REF!</v>
          </cell>
          <cell r="Y134" t="e">
            <v>#VALUE!</v>
          </cell>
          <cell r="Z134" t="e">
            <v>#REF!</v>
          </cell>
          <cell r="AA134" t="e">
            <v>#REF!</v>
          </cell>
        </row>
        <row r="135">
          <cell r="T135">
            <v>300</v>
          </cell>
          <cell r="U135" t="e">
            <v>#REF!</v>
          </cell>
          <cell r="V135" t="e">
            <v>#REF!</v>
          </cell>
          <cell r="W135" t="e">
            <v>#REF!</v>
          </cell>
        </row>
        <row r="136">
          <cell r="J136">
            <v>1</v>
          </cell>
          <cell r="W136">
            <v>1</v>
          </cell>
        </row>
        <row r="137">
          <cell r="C137">
            <v>0</v>
          </cell>
          <cell r="I137">
            <v>0</v>
          </cell>
          <cell r="J137">
            <v>0</v>
          </cell>
          <cell r="M137">
            <v>0</v>
          </cell>
          <cell r="P137">
            <v>0</v>
          </cell>
          <cell r="S137">
            <v>0</v>
          </cell>
          <cell r="T137">
            <v>142</v>
          </cell>
          <cell r="U137">
            <v>0</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W139">
            <v>0</v>
          </cell>
          <cell r="X139">
            <v>0</v>
          </cell>
        </row>
        <row r="140">
          <cell r="W140">
            <v>82081</v>
          </cell>
          <cell r="X140">
            <v>57083</v>
          </cell>
          <cell r="Y140">
            <v>24998</v>
          </cell>
        </row>
        <row r="141">
          <cell r="Z141" t="e">
            <v>#REF!</v>
          </cell>
          <cell r="AA141" t="e">
            <v>#REF!</v>
          </cell>
        </row>
        <row r="142">
          <cell r="W142" t="e">
            <v>#REF!</v>
          </cell>
          <cell r="X142" t="e">
            <v>#REF!</v>
          </cell>
          <cell r="Y142" t="e">
            <v>#REF!</v>
          </cell>
        </row>
        <row r="143">
          <cell r="C143">
            <v>17.179166666666667</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t="e">
            <v>#REF!</v>
          </cell>
          <cell r="I145">
            <v>604</v>
          </cell>
          <cell r="J145">
            <v>1770.6000000000001</v>
          </cell>
          <cell r="M145">
            <v>753.30000000000007</v>
          </cell>
          <cell r="P145">
            <v>322</v>
          </cell>
          <cell r="T145">
            <v>312</v>
          </cell>
          <cell r="W145">
            <v>3847.9000000000005</v>
          </cell>
        </row>
        <row r="146">
          <cell r="C146">
            <v>72</v>
          </cell>
          <cell r="I146">
            <v>370</v>
          </cell>
          <cell r="J146">
            <v>1217.0999999999999</v>
          </cell>
          <cell r="M146">
            <v>548.70000000000005</v>
          </cell>
          <cell r="P146">
            <v>180</v>
          </cell>
          <cell r="T146">
            <v>194</v>
          </cell>
          <cell r="W146">
            <v>2595.8000000000002</v>
          </cell>
        </row>
        <row r="147">
          <cell r="W147">
            <v>0</v>
          </cell>
        </row>
        <row r="148">
          <cell r="I148">
            <v>0</v>
          </cell>
          <cell r="W148">
            <v>0</v>
          </cell>
        </row>
        <row r="149">
          <cell r="I149" t="e">
            <v>#REF!</v>
          </cell>
          <cell r="J149" t="e">
            <v>#REF!</v>
          </cell>
          <cell r="M149" t="e">
            <v>#REF!</v>
          </cell>
          <cell r="P149" t="e">
            <v>#REF!</v>
          </cell>
          <cell r="W149" t="e">
            <v>#REF!</v>
          </cell>
        </row>
        <row r="150">
          <cell r="C150" t="e">
            <v>#REF!</v>
          </cell>
          <cell r="I150" t="e">
            <v>#REF!</v>
          </cell>
          <cell r="J150" t="e">
            <v>#REF!</v>
          </cell>
          <cell r="K150">
            <v>0</v>
          </cell>
          <cell r="L150">
            <v>0</v>
          </cell>
          <cell r="M150" t="e">
            <v>#REF!</v>
          </cell>
          <cell r="N150" t="e">
            <v>#REF!</v>
          </cell>
          <cell r="O150">
            <v>0</v>
          </cell>
          <cell r="P150" t="e">
            <v>#REF!</v>
          </cell>
          <cell r="S150" t="e">
            <v>#REF!</v>
          </cell>
          <cell r="T150">
            <v>630</v>
          </cell>
          <cell r="U150" t="e">
            <v>#REF!</v>
          </cell>
          <cell r="W150">
            <v>1774.0124999999998</v>
          </cell>
        </row>
        <row r="151">
          <cell r="C151" t="e">
            <v>#REF!</v>
          </cell>
          <cell r="I151" t="e">
            <v>#REF!</v>
          </cell>
          <cell r="J151">
            <v>0</v>
          </cell>
          <cell r="M151">
            <v>0</v>
          </cell>
          <cell r="W151">
            <v>0</v>
          </cell>
        </row>
        <row r="152">
          <cell r="C152">
            <v>57</v>
          </cell>
          <cell r="I152" t="e">
            <v>#REF!</v>
          </cell>
          <cell r="J152" t="e">
            <v>#REF!</v>
          </cell>
          <cell r="M152" t="e">
            <v>#REF!</v>
          </cell>
          <cell r="P152" t="e">
            <v>#REF!</v>
          </cell>
          <cell r="W152" t="e">
            <v>#REF!</v>
          </cell>
        </row>
        <row r="153">
          <cell r="C153">
            <v>0</v>
          </cell>
          <cell r="I153" t="e">
            <v>#REF!</v>
          </cell>
          <cell r="J153" t="e">
            <v>#REF!</v>
          </cell>
          <cell r="M153" t="e">
            <v>#REF!</v>
          </cell>
          <cell r="P153" t="e">
            <v>#REF!</v>
          </cell>
          <cell r="S153">
            <v>0</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W155">
            <v>-798.66666666666674</v>
          </cell>
          <cell r="X155" t="str">
            <v>ОЧИК.18.02.</v>
          </cell>
        </row>
        <row r="156">
          <cell r="I156">
            <v>0</v>
          </cell>
          <cell r="W156">
            <v>0</v>
          </cell>
        </row>
        <row r="157">
          <cell r="C157" t="str">
            <v>АПАРАТ ВСЬОГО</v>
          </cell>
          <cell r="D157" t="str">
            <v>АПАРАТ ЕЛЕКТРО</v>
          </cell>
          <cell r="E157" t="str">
            <v>АПАРАТ ТЕПЛО</v>
          </cell>
          <cell r="I157" t="str">
            <v>ККМ</v>
          </cell>
          <cell r="J157" t="str">
            <v>КТМ</v>
          </cell>
          <cell r="K157">
            <v>0</v>
          </cell>
          <cell r="L157">
            <v>0</v>
          </cell>
          <cell r="M157" t="str">
            <v>ТЕЦ-5 ВСЬОГО</v>
          </cell>
          <cell r="N157">
            <v>0</v>
          </cell>
          <cell r="O157">
            <v>0</v>
          </cell>
          <cell r="P157" t="e">
            <v>#REF!</v>
          </cell>
          <cell r="Q157" t="str">
            <v>Е/Е</v>
          </cell>
          <cell r="R157" t="str">
            <v xml:space="preserve"> Т/Е</v>
          </cell>
          <cell r="S157" t="str">
            <v xml:space="preserve">ДОП.ВИР. </v>
          </cell>
          <cell r="T157" t="str">
            <v>ДОП.ВИР. СТ.ОРГ.</v>
          </cell>
          <cell r="U157" t="str">
            <v>АК КЕ ВСЬОГО</v>
          </cell>
          <cell r="V157" t="str">
            <v>Е/Е</v>
          </cell>
          <cell r="W157" t="str">
            <v xml:space="preserve"> Т/Е</v>
          </cell>
          <cell r="X157" t="str">
            <v>СТАНЦІї ЕЛЕКТРО</v>
          </cell>
          <cell r="Y157" t="str">
            <v>СТАНЦІІ ТЕПЛОВІ</v>
          </cell>
          <cell r="Z157" t="str">
            <v>МЕРЕЖІ ЕЛЕКТРО</v>
          </cell>
          <cell r="AA157" t="str">
            <v>МЕРЕЖІ ТЕПЛОВІ</v>
          </cell>
        </row>
        <row r="158">
          <cell r="C158">
            <v>2.0396999999999998</v>
          </cell>
          <cell r="I158" t="str">
            <v>Ї</v>
          </cell>
          <cell r="X158">
            <v>1.954</v>
          </cell>
          <cell r="Y158">
            <v>1.954</v>
          </cell>
          <cell r="Z158">
            <v>1.954</v>
          </cell>
          <cell r="AA158">
            <v>1.905</v>
          </cell>
        </row>
        <row r="159">
          <cell r="C159">
            <v>57</v>
          </cell>
          <cell r="O159">
            <v>250</v>
          </cell>
        </row>
        <row r="160">
          <cell r="C160">
            <v>0</v>
          </cell>
          <cell r="J160" t="e">
            <v>#REF!</v>
          </cell>
          <cell r="M160" t="e">
            <v>#REF!</v>
          </cell>
          <cell r="N160" t="e">
            <v>#REF!</v>
          </cell>
          <cell r="P160">
            <v>0</v>
          </cell>
          <cell r="S160">
            <v>0</v>
          </cell>
          <cell r="U160" t="e">
            <v>#REF!</v>
          </cell>
          <cell r="V160">
            <v>0</v>
          </cell>
          <cell r="X160">
            <v>221.49122807017542</v>
          </cell>
          <cell r="AA160">
            <v>0</v>
          </cell>
        </row>
        <row r="161">
          <cell r="J161" t="e">
            <v>#REF!</v>
          </cell>
          <cell r="M161" t="e">
            <v>#REF!</v>
          </cell>
          <cell r="N161" t="e">
            <v>#REF!</v>
          </cell>
          <cell r="P161">
            <v>890</v>
          </cell>
          <cell r="S161">
            <v>1440</v>
          </cell>
          <cell r="U161" t="e">
            <v>#REF!</v>
          </cell>
          <cell r="V161">
            <v>1070</v>
          </cell>
          <cell r="X161">
            <v>252.49999999999997</v>
          </cell>
          <cell r="AA161" t="e">
            <v>#REF!</v>
          </cell>
        </row>
        <row r="162">
          <cell r="I162">
            <v>0</v>
          </cell>
          <cell r="J162">
            <v>82.5</v>
          </cell>
          <cell r="M162">
            <v>82.5</v>
          </cell>
          <cell r="N162">
            <v>82.5</v>
          </cell>
          <cell r="P162">
            <v>700</v>
          </cell>
          <cell r="Q162">
            <v>63.33</v>
          </cell>
          <cell r="R162">
            <v>63.33</v>
          </cell>
          <cell r="S162">
            <v>63.33</v>
          </cell>
          <cell r="T162">
            <v>63.33</v>
          </cell>
          <cell r="U162">
            <v>82.5</v>
          </cell>
          <cell r="V162">
            <v>1070</v>
          </cell>
          <cell r="X162">
            <v>66</v>
          </cell>
          <cell r="Z162" t="str">
            <v>ОЧИК.18.02.</v>
          </cell>
          <cell r="AA162">
            <v>1639</v>
          </cell>
        </row>
        <row r="163">
          <cell r="I163">
            <v>0</v>
          </cell>
          <cell r="J163" t="e">
            <v>#REF!</v>
          </cell>
          <cell r="M163" t="e">
            <v>#REF!</v>
          </cell>
          <cell r="N163" t="e">
            <v>#REF!</v>
          </cell>
          <cell r="P163">
            <v>0</v>
          </cell>
          <cell r="S163">
            <v>0</v>
          </cell>
          <cell r="U163" t="e">
            <v>#REF!</v>
          </cell>
          <cell r="V163">
            <v>0</v>
          </cell>
          <cell r="X163">
            <v>128.964</v>
          </cell>
          <cell r="AA163">
            <v>138</v>
          </cell>
        </row>
        <row r="164">
          <cell r="C164" t="str">
            <v>АПАРАТ ВСЬОГО</v>
          </cell>
          <cell r="D164" t="str">
            <v>АПАРАТ ЕЛЕКТРО</v>
          </cell>
          <cell r="E164" t="str">
            <v>АПАРАТ ТЕПЛО</v>
          </cell>
          <cell r="I164" t="str">
            <v>ККМ</v>
          </cell>
          <cell r="J164" t="e">
            <v>#REF!</v>
          </cell>
          <cell r="M164" t="e">
            <v>#REF!</v>
          </cell>
          <cell r="N164" t="e">
            <v>#REF!</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V164">
            <v>0</v>
          </cell>
          <cell r="W164" t="str">
            <v>АК КЕ ВСЬОГО</v>
          </cell>
          <cell r="X164">
            <v>28564</v>
          </cell>
          <cell r="Y164" t="str">
            <v xml:space="preserve"> Т/Е</v>
          </cell>
          <cell r="Z164" t="str">
            <v>СТАНЦІї ЕЛЕКТРО</v>
          </cell>
          <cell r="AA164" t="str">
            <v>СТАНЦІІ ТЕПЛОВІ</v>
          </cell>
        </row>
        <row r="165">
          <cell r="C165">
            <v>2.78</v>
          </cell>
          <cell r="J165">
            <v>3.5</v>
          </cell>
          <cell r="K165">
            <v>2.78</v>
          </cell>
          <cell r="L165">
            <v>2.78</v>
          </cell>
          <cell r="M165">
            <v>3.5</v>
          </cell>
          <cell r="P165">
            <v>3.5</v>
          </cell>
          <cell r="S165">
            <v>1550.3999999999999</v>
          </cell>
          <cell r="U165" t="e">
            <v>#REF!</v>
          </cell>
          <cell r="W165">
            <v>3.4239999999999999</v>
          </cell>
          <cell r="X165">
            <v>693.59999999999991</v>
          </cell>
          <cell r="Z165">
            <v>2.1804999999999999</v>
          </cell>
          <cell r="AA165">
            <v>2.1804999999999999</v>
          </cell>
        </row>
        <row r="166">
          <cell r="J166" t="e">
            <v>#REF!</v>
          </cell>
          <cell r="M166" t="e">
            <v>#REF!</v>
          </cell>
          <cell r="N166" t="e">
            <v>#REF!</v>
          </cell>
          <cell r="P166">
            <v>119</v>
          </cell>
          <cell r="S166">
            <v>187</v>
          </cell>
          <cell r="U166" t="e">
            <v>#REF!</v>
          </cell>
          <cell r="X166">
            <v>197.2</v>
          </cell>
        </row>
        <row r="167">
          <cell r="J167" t="e">
            <v>#REF!</v>
          </cell>
          <cell r="M167" t="e">
            <v>#REF!</v>
          </cell>
          <cell r="N167" t="e">
            <v>#REF!</v>
          </cell>
          <cell r="P167">
            <v>21.72</v>
          </cell>
          <cell r="S167">
            <v>157</v>
          </cell>
          <cell r="U167" t="e">
            <v>#REF!</v>
          </cell>
          <cell r="V167">
            <v>458.81818181818181</v>
          </cell>
          <cell r="W167">
            <v>57.239999999999995</v>
          </cell>
          <cell r="X167">
            <v>154</v>
          </cell>
          <cell r="Z167">
            <v>221.49122807017542</v>
          </cell>
          <cell r="AA167">
            <v>216.09090909090909</v>
          </cell>
        </row>
        <row r="168">
          <cell r="J168">
            <v>63.33</v>
          </cell>
          <cell r="M168">
            <v>63.33</v>
          </cell>
          <cell r="P168">
            <v>63.33</v>
          </cell>
          <cell r="S168">
            <v>800</v>
          </cell>
          <cell r="U168">
            <v>63.33</v>
          </cell>
          <cell r="V168">
            <v>611.18181818181824</v>
          </cell>
          <cell r="W168">
            <v>65.146999999999991</v>
          </cell>
          <cell r="Z168">
            <v>252.49999999999997</v>
          </cell>
          <cell r="AA168">
            <v>1560.909090909091</v>
          </cell>
        </row>
        <row r="169">
          <cell r="I169">
            <v>0</v>
          </cell>
          <cell r="J169" t="e">
            <v>#REF!</v>
          </cell>
          <cell r="M169" t="e">
            <v>#REF!</v>
          </cell>
          <cell r="P169" t="e">
            <v>#REF!</v>
          </cell>
          <cell r="S169">
            <v>82.5</v>
          </cell>
          <cell r="T169">
            <v>82.5</v>
          </cell>
          <cell r="U169" t="e">
            <v>#REF!</v>
          </cell>
          <cell r="V169">
            <v>1070</v>
          </cell>
          <cell r="W169">
            <v>82.5</v>
          </cell>
          <cell r="Z169">
            <v>66</v>
          </cell>
          <cell r="AA169">
            <v>1777</v>
          </cell>
        </row>
        <row r="170">
          <cell r="I170">
            <v>0</v>
          </cell>
          <cell r="J170" t="e">
            <v>#REF!</v>
          </cell>
          <cell r="M170" t="e">
            <v>#REF!</v>
          </cell>
          <cell r="P170" t="e">
            <v>#REF!</v>
          </cell>
          <cell r="S170">
            <v>580.5454545454545</v>
          </cell>
          <cell r="U170" t="e">
            <v>#REF!</v>
          </cell>
          <cell r="V170">
            <v>0</v>
          </cell>
          <cell r="W170">
            <v>288.75</v>
          </cell>
          <cell r="X170">
            <v>270.36363636363637</v>
          </cell>
          <cell r="Z170">
            <v>143.91299999999998</v>
          </cell>
          <cell r="AA170">
            <v>0</v>
          </cell>
        </row>
        <row r="171">
          <cell r="J171">
            <v>1213</v>
          </cell>
          <cell r="M171">
            <v>9044</v>
          </cell>
          <cell r="P171">
            <v>6272</v>
          </cell>
          <cell r="S171">
            <v>1156.8545454545454</v>
          </cell>
          <cell r="U171" t="e">
            <v>#REF!</v>
          </cell>
          <cell r="V171">
            <v>0</v>
          </cell>
          <cell r="W171">
            <v>16528</v>
          </cell>
          <cell r="X171">
            <v>620.43636363636358</v>
          </cell>
          <cell r="Z171">
            <v>31875</v>
          </cell>
          <cell r="AA171">
            <v>0</v>
          </cell>
        </row>
        <row r="172">
          <cell r="J172" t="e">
            <v>#REF!</v>
          </cell>
          <cell r="M172" t="e">
            <v>#REF!</v>
          </cell>
          <cell r="P172" t="e">
            <v>#REF!</v>
          </cell>
          <cell r="Q172">
            <v>0</v>
          </cell>
          <cell r="R172">
            <v>0</v>
          </cell>
          <cell r="S172">
            <v>1737.3999999999999</v>
          </cell>
          <cell r="T172">
            <v>0</v>
          </cell>
          <cell r="U172" t="e">
            <v>#REF!</v>
          </cell>
          <cell r="V172">
            <v>80</v>
          </cell>
          <cell r="W172">
            <v>16529</v>
          </cell>
          <cell r="X172">
            <v>75.839416058394164</v>
          </cell>
          <cell r="Y172">
            <v>0</v>
          </cell>
          <cell r="Z172">
            <v>0</v>
          </cell>
          <cell r="AA172">
            <v>300</v>
          </cell>
        </row>
        <row r="173">
          <cell r="J173">
            <v>0</v>
          </cell>
          <cell r="M173" t="e">
            <v>#REF!</v>
          </cell>
          <cell r="P173" t="e">
            <v>#REF!</v>
          </cell>
          <cell r="Q173">
            <v>0</v>
          </cell>
          <cell r="R173">
            <v>0</v>
          </cell>
          <cell r="S173">
            <v>0</v>
          </cell>
          <cell r="T173">
            <v>0</v>
          </cell>
          <cell r="U173" t="e">
            <v>#REF!</v>
          </cell>
          <cell r="V173">
            <v>80</v>
          </cell>
          <cell r="W173">
            <v>135.76</v>
          </cell>
          <cell r="X173">
            <v>103.9</v>
          </cell>
          <cell r="Y173">
            <v>0</v>
          </cell>
          <cell r="Z173">
            <v>0</v>
          </cell>
          <cell r="AA173">
            <v>300</v>
          </cell>
        </row>
        <row r="174">
          <cell r="C174">
            <v>75</v>
          </cell>
          <cell r="I174">
            <v>75</v>
          </cell>
          <cell r="J174">
            <v>46.136000000000003</v>
          </cell>
          <cell r="M174">
            <v>55.003999999999998</v>
          </cell>
          <cell r="P174">
            <v>53.512999999999998</v>
          </cell>
          <cell r="R174">
            <v>0</v>
          </cell>
          <cell r="S174">
            <v>0</v>
          </cell>
          <cell r="T174">
            <v>0</v>
          </cell>
          <cell r="U174">
            <v>0</v>
          </cell>
          <cell r="V174">
            <v>0</v>
          </cell>
          <cell r="W174">
            <v>154.65299999999999</v>
          </cell>
          <cell r="X174">
            <v>99.938587512794271</v>
          </cell>
          <cell r="Y174">
            <v>0</v>
          </cell>
          <cell r="Z174">
            <v>0</v>
          </cell>
          <cell r="AA174">
            <v>75</v>
          </cell>
        </row>
        <row r="175">
          <cell r="J175">
            <v>0</v>
          </cell>
          <cell r="K175">
            <v>0</v>
          </cell>
          <cell r="L175">
            <v>0</v>
          </cell>
          <cell r="M175" t="e">
            <v>#REF!</v>
          </cell>
          <cell r="P175" t="e">
            <v>#REF!</v>
          </cell>
          <cell r="Q175">
            <v>0</v>
          </cell>
          <cell r="R175">
            <v>0</v>
          </cell>
          <cell r="S175">
            <v>4262</v>
          </cell>
          <cell r="T175">
            <v>0</v>
          </cell>
          <cell r="U175" t="e">
            <v>#REF!</v>
          </cell>
          <cell r="V175">
            <v>0</v>
          </cell>
          <cell r="W175">
            <v>63.33</v>
          </cell>
          <cell r="X175">
            <v>195.28</v>
          </cell>
          <cell r="Y175">
            <v>0</v>
          </cell>
          <cell r="Z175">
            <v>0</v>
          </cell>
          <cell r="AA175">
            <v>0</v>
          </cell>
        </row>
        <row r="176">
          <cell r="J176" t="e">
            <v>#REF!</v>
          </cell>
          <cell r="M176" t="e">
            <v>#REF!</v>
          </cell>
          <cell r="P176" t="e">
            <v>#REF!</v>
          </cell>
          <cell r="Q176">
            <v>0</v>
          </cell>
          <cell r="R176">
            <v>0</v>
          </cell>
          <cell r="S176">
            <v>4262</v>
          </cell>
          <cell r="T176">
            <v>0</v>
          </cell>
          <cell r="U176" t="e">
            <v>#REF!</v>
          </cell>
          <cell r="V176">
            <v>0</v>
          </cell>
          <cell r="W176">
            <v>216.84</v>
          </cell>
          <cell r="X176">
            <v>14810</v>
          </cell>
          <cell r="Y176">
            <v>0</v>
          </cell>
          <cell r="Z176">
            <v>0</v>
          </cell>
          <cell r="AA176">
            <v>0</v>
          </cell>
        </row>
        <row r="177">
          <cell r="J177">
            <v>8977</v>
          </cell>
          <cell r="M177" t="e">
            <v>#REF!</v>
          </cell>
          <cell r="P177" t="e">
            <v>#REF!</v>
          </cell>
          <cell r="R177">
            <v>0</v>
          </cell>
          <cell r="S177">
            <v>0</v>
          </cell>
          <cell r="T177">
            <v>0</v>
          </cell>
          <cell r="U177" t="e">
            <v>#REF!</v>
          </cell>
          <cell r="V177" t="e">
            <v>#REF!</v>
          </cell>
          <cell r="W177">
            <v>29438</v>
          </cell>
          <cell r="X177">
            <v>0</v>
          </cell>
          <cell r="Y177">
            <v>0</v>
          </cell>
          <cell r="Z177">
            <v>0</v>
          </cell>
          <cell r="AA177">
            <v>0</v>
          </cell>
        </row>
        <row r="178">
          <cell r="J178" t="e">
            <v>#REF!</v>
          </cell>
          <cell r="M178" t="e">
            <v>#REF!</v>
          </cell>
          <cell r="N178" t="e">
            <v>#REF!</v>
          </cell>
          <cell r="O178" t="e">
            <v>#REF!</v>
          </cell>
          <cell r="P178" t="e">
            <v>#REF!</v>
          </cell>
          <cell r="Q178" t="e">
            <v>#REF!</v>
          </cell>
          <cell r="R178" t="e">
            <v>#REF!</v>
          </cell>
          <cell r="S178">
            <v>2085.52</v>
          </cell>
          <cell r="T178">
            <v>707.75479999999993</v>
          </cell>
          <cell r="U178" t="e">
            <v>#REF!</v>
          </cell>
          <cell r="V178" t="e">
            <v>#REF!</v>
          </cell>
          <cell r="W178" t="e">
            <v>#REF!</v>
          </cell>
          <cell r="X178">
            <v>356.4</v>
          </cell>
          <cell r="Y178">
            <v>74.900000000000006</v>
          </cell>
          <cell r="Z178">
            <v>281.5</v>
          </cell>
          <cell r="AA178">
            <v>597.66</v>
          </cell>
        </row>
        <row r="179">
          <cell r="J179" t="e">
            <v>#REF!</v>
          </cell>
          <cell r="M179" t="e">
            <v>#REF!</v>
          </cell>
          <cell r="N179" t="e">
            <v>#REF!</v>
          </cell>
          <cell r="O179" t="e">
            <v>#REF!</v>
          </cell>
          <cell r="P179" t="e">
            <v>#REF!</v>
          </cell>
          <cell r="Q179" t="e">
            <v>#REF!</v>
          </cell>
          <cell r="R179" t="e">
            <v>#REF!</v>
          </cell>
          <cell r="S179">
            <v>640</v>
          </cell>
          <cell r="T179">
            <v>0</v>
          </cell>
          <cell r="U179" t="e">
            <v>#REF!</v>
          </cell>
          <cell r="V179" t="e">
            <v>#REF!</v>
          </cell>
          <cell r="W179" t="e">
            <v>#REF!</v>
          </cell>
          <cell r="X179">
            <v>43374</v>
          </cell>
          <cell r="Y179">
            <v>9115.3552188552203</v>
          </cell>
          <cell r="Z179">
            <v>34258.64478114478</v>
          </cell>
          <cell r="AA179">
            <v>216.09090909090909</v>
          </cell>
        </row>
        <row r="180">
          <cell r="J180" t="e">
            <v>#REF!</v>
          </cell>
          <cell r="M180" t="e">
            <v>#REF!</v>
          </cell>
          <cell r="N180" t="e">
            <v>#REF!</v>
          </cell>
          <cell r="O180" t="e">
            <v>#REF!</v>
          </cell>
          <cell r="P180" t="e">
            <v>#REF!</v>
          </cell>
          <cell r="Q180" t="e">
            <v>#REF!</v>
          </cell>
          <cell r="R180" t="e">
            <v>#REF!</v>
          </cell>
          <cell r="S180" t="str">
            <v/>
          </cell>
          <cell r="T180" t="str">
            <v/>
          </cell>
          <cell r="U180" t="e">
            <v>#REF!</v>
          </cell>
          <cell r="V180" t="e">
            <v>#REF!</v>
          </cell>
          <cell r="W180" t="e">
            <v>#REF!</v>
          </cell>
          <cell r="X180">
            <v>121.7</v>
          </cell>
          <cell r="Y180">
            <v>121.7</v>
          </cell>
          <cell r="Z180">
            <v>121.7</v>
          </cell>
          <cell r="AA180" t="str">
            <v/>
          </cell>
        </row>
        <row r="181">
          <cell r="C181">
            <v>75</v>
          </cell>
          <cell r="I181">
            <v>75</v>
          </cell>
          <cell r="J181">
            <v>100.5</v>
          </cell>
          <cell r="M181">
            <v>100.5</v>
          </cell>
          <cell r="P181">
            <v>100.5</v>
          </cell>
          <cell r="Q181">
            <v>0</v>
          </cell>
          <cell r="R181">
            <v>0</v>
          </cell>
          <cell r="S181">
            <v>1895.42</v>
          </cell>
          <cell r="T181">
            <v>0</v>
          </cell>
          <cell r="U181" t="e">
            <v>#REF!</v>
          </cell>
          <cell r="V181" t="e">
            <v>#REF!</v>
          </cell>
          <cell r="W181" t="e">
            <v>#REF!</v>
          </cell>
          <cell r="X181">
            <v>52</v>
          </cell>
          <cell r="Y181">
            <v>52</v>
          </cell>
          <cell r="Z181">
            <v>89.557440953909662</v>
          </cell>
          <cell r="AA181">
            <v>0</v>
          </cell>
        </row>
        <row r="182">
          <cell r="J182">
            <v>351.75</v>
          </cell>
          <cell r="K182">
            <v>0</v>
          </cell>
          <cell r="L182">
            <v>0</v>
          </cell>
          <cell r="M182" t="e">
            <v>#REF!</v>
          </cell>
          <cell r="P182" t="e">
            <v>#REF!</v>
          </cell>
          <cell r="Q182">
            <v>0</v>
          </cell>
          <cell r="R182">
            <v>0</v>
          </cell>
          <cell r="S182">
            <v>580.5454545454545</v>
          </cell>
          <cell r="T182">
            <v>0</v>
          </cell>
          <cell r="U182" t="e">
            <v>#REF!</v>
          </cell>
          <cell r="V182" t="e">
            <v>#REF!</v>
          </cell>
          <cell r="W182" t="e">
            <v>#REF!</v>
          </cell>
          <cell r="X182">
            <v>43426</v>
          </cell>
          <cell r="Y182">
            <v>9167.3552188552203</v>
          </cell>
          <cell r="Z182">
            <v>34258.64478114478</v>
          </cell>
          <cell r="AA182">
            <v>0</v>
          </cell>
        </row>
        <row r="183">
          <cell r="J183">
            <v>0</v>
          </cell>
          <cell r="M183">
            <v>0</v>
          </cell>
          <cell r="P183">
            <v>0</v>
          </cell>
          <cell r="Q183">
            <v>0</v>
          </cell>
          <cell r="R183">
            <v>0</v>
          </cell>
          <cell r="S183">
            <v>91</v>
          </cell>
          <cell r="T183">
            <v>10</v>
          </cell>
          <cell r="U183" t="e">
            <v>#REF!</v>
          </cell>
          <cell r="V183">
            <v>0</v>
          </cell>
          <cell r="W183">
            <v>0</v>
          </cell>
          <cell r="X183">
            <v>206.66666666666666</v>
          </cell>
          <cell r="Z183">
            <v>14810</v>
          </cell>
          <cell r="AA183">
            <v>0</v>
          </cell>
        </row>
        <row r="184">
          <cell r="W184">
            <v>0</v>
          </cell>
        </row>
        <row r="185">
          <cell r="J185">
            <v>50.9</v>
          </cell>
          <cell r="M185" t="str">
            <v>ТЕЦ-5 ВСЬОГО</v>
          </cell>
          <cell r="N185" t="str">
            <v>Е/Е</v>
          </cell>
          <cell r="O185" t="str">
            <v xml:space="preserve"> Т/Е</v>
          </cell>
          <cell r="P185" t="str">
            <v>ТЕЦ-6 ВСЬОГО</v>
          </cell>
          <cell r="Q185" t="str">
            <v>Е/Е</v>
          </cell>
          <cell r="R185" t="str">
            <v xml:space="preserve"> Т/Е</v>
          </cell>
          <cell r="U185" t="str">
            <v>АК КЕ ВСЬОГО</v>
          </cell>
          <cell r="V185" t="str">
            <v>Е/Е</v>
          </cell>
          <cell r="W185" t="str">
            <v xml:space="preserve"> Т/Е</v>
          </cell>
          <cell r="X185">
            <v>79.099999999999994</v>
          </cell>
          <cell r="Y185">
            <v>140.69999999999999</v>
          </cell>
          <cell r="Z185">
            <v>356.4</v>
          </cell>
          <cell r="AA185">
            <v>74.900000000000006</v>
          </cell>
        </row>
        <row r="186">
          <cell r="J186">
            <v>10190</v>
          </cell>
          <cell r="M186">
            <v>19746</v>
          </cell>
          <cell r="N186">
            <v>130.30000000000001</v>
          </cell>
          <cell r="O186">
            <v>68</v>
          </cell>
          <cell r="P186">
            <v>16686</v>
          </cell>
          <cell r="Q186">
            <v>233.6</v>
          </cell>
          <cell r="R186">
            <v>67</v>
          </cell>
          <cell r="S186">
            <v>-2490.3333333333335</v>
          </cell>
          <cell r="W186">
            <v>45967</v>
          </cell>
          <cell r="X186">
            <v>17090</v>
          </cell>
          <cell r="Y186">
            <v>28877</v>
          </cell>
          <cell r="Z186">
            <v>46685</v>
          </cell>
          <cell r="AA186">
            <v>9811.1854657688</v>
          </cell>
        </row>
        <row r="187">
          <cell r="J187">
            <v>200.2</v>
          </cell>
          <cell r="M187">
            <v>217.95</v>
          </cell>
          <cell r="N187">
            <v>193</v>
          </cell>
          <cell r="O187">
            <v>164.8</v>
          </cell>
          <cell r="P187">
            <v>213.1</v>
          </cell>
          <cell r="Q187">
            <v>198.5</v>
          </cell>
          <cell r="R187">
            <v>163.30000000000001</v>
          </cell>
          <cell r="S187" t="str">
            <v/>
          </cell>
          <cell r="T187" t="str">
            <v/>
          </cell>
          <cell r="V187" t="str">
            <v>ТЕЦ-5 ВСЬОГО</v>
          </cell>
          <cell r="W187">
            <v>209.13</v>
          </cell>
          <cell r="X187">
            <v>216.06</v>
          </cell>
          <cell r="Y187">
            <v>205.24</v>
          </cell>
          <cell r="Z187">
            <v>130.99</v>
          </cell>
          <cell r="AA187">
            <v>130.99</v>
          </cell>
        </row>
        <row r="188">
          <cell r="N188">
            <v>303.89999999999998</v>
          </cell>
          <cell r="O188">
            <v>112.3</v>
          </cell>
          <cell r="Q188">
            <v>301.2</v>
          </cell>
          <cell r="R188">
            <v>115.6</v>
          </cell>
          <cell r="W188" t="e">
            <v>#REF!</v>
          </cell>
          <cell r="X188" t="e">
            <v>#REF!</v>
          </cell>
          <cell r="Y188" t="e">
            <v>#REF!</v>
          </cell>
          <cell r="Z188">
            <v>52</v>
          </cell>
          <cell r="AA188">
            <v>52</v>
          </cell>
        </row>
        <row r="189">
          <cell r="M189">
            <v>19746</v>
          </cell>
          <cell r="N189">
            <v>110.89999999999998</v>
          </cell>
          <cell r="O189">
            <v>-52.500000000000014</v>
          </cell>
          <cell r="P189">
            <v>16686</v>
          </cell>
          <cell r="Q189">
            <v>102.69999999999999</v>
          </cell>
          <cell r="R189">
            <v>-47.700000000000017</v>
          </cell>
          <cell r="W189" t="e">
            <v>#REF!</v>
          </cell>
          <cell r="X189" t="e">
            <v>#REF!</v>
          </cell>
          <cell r="Y189" t="e">
            <v>#REF!</v>
          </cell>
          <cell r="Z189">
            <v>46737</v>
          </cell>
          <cell r="AA189">
            <v>9863.1854657688</v>
          </cell>
        </row>
        <row r="190">
          <cell r="N190" t="e">
            <v>#REF!</v>
          </cell>
          <cell r="O190" t="e">
            <v>#REF!</v>
          </cell>
          <cell r="P190" t="str">
            <v>ККМ</v>
          </cell>
          <cell r="Q190" t="e">
            <v>#REF!</v>
          </cell>
          <cell r="R190" t="e">
            <v>#REF!</v>
          </cell>
          <cell r="S190" t="str">
            <v>КТМ</v>
          </cell>
          <cell r="V190">
            <v>58.7</v>
          </cell>
          <cell r="X190" t="str">
            <v>ТЕЦ-5 ВСЬОГО</v>
          </cell>
          <cell r="Y190" t="str">
            <v>Е/Е</v>
          </cell>
          <cell r="Z190" t="str">
            <v xml:space="preserve"> Т/Е</v>
          </cell>
          <cell r="AA190">
            <v>55</v>
          </cell>
        </row>
        <row r="191">
          <cell r="N191" t="e">
            <v>#REF!</v>
          </cell>
          <cell r="O191" t="e">
            <v>#REF!</v>
          </cell>
          <cell r="Q191" t="e">
            <v>#REF!</v>
          </cell>
          <cell r="R191" t="e">
            <v>#REF!</v>
          </cell>
          <cell r="S191">
            <v>12.9</v>
          </cell>
          <cell r="V191">
            <v>67.3</v>
          </cell>
          <cell r="AA191">
            <v>63</v>
          </cell>
        </row>
        <row r="192">
          <cell r="N192" t="e">
            <v>#REF!</v>
          </cell>
          <cell r="O192" t="e">
            <v>#REF!</v>
          </cell>
          <cell r="P192">
            <v>0</v>
          </cell>
          <cell r="Q192" t="e">
            <v>#REF!</v>
          </cell>
          <cell r="R192" t="e">
            <v>#REF!</v>
          </cell>
          <cell r="S192">
            <v>0</v>
          </cell>
          <cell r="V192" t="e">
            <v>#REF!</v>
          </cell>
          <cell r="W192" t="e">
            <v>#REF!</v>
          </cell>
          <cell r="AA192">
            <v>0</v>
          </cell>
        </row>
        <row r="193">
          <cell r="P193">
            <v>0</v>
          </cell>
          <cell r="S193">
            <v>6.4</v>
          </cell>
          <cell r="V193">
            <v>192.5</v>
          </cell>
          <cell r="X193">
            <v>65.3</v>
          </cell>
          <cell r="AA193">
            <v>192.5</v>
          </cell>
        </row>
        <row r="194">
          <cell r="S194">
            <v>7.3</v>
          </cell>
          <cell r="V194">
            <v>11300</v>
          </cell>
          <cell r="X194">
            <v>74.7</v>
          </cell>
          <cell r="AA194">
            <v>10588</v>
          </cell>
        </row>
        <row r="195">
          <cell r="P195">
            <v>0</v>
          </cell>
          <cell r="S195">
            <v>0</v>
          </cell>
          <cell r="X195">
            <v>0</v>
          </cell>
        </row>
        <row r="196">
          <cell r="P196">
            <v>0</v>
          </cell>
          <cell r="S196">
            <v>192.5</v>
          </cell>
          <cell r="V196">
            <v>0</v>
          </cell>
          <cell r="X196">
            <v>192.5</v>
          </cell>
          <cell r="AA196">
            <v>0</v>
          </cell>
        </row>
        <row r="197">
          <cell r="S197">
            <v>1232</v>
          </cell>
          <cell r="V197">
            <v>0</v>
          </cell>
          <cell r="X197">
            <v>12570</v>
          </cell>
          <cell r="AA197">
            <v>0</v>
          </cell>
        </row>
        <row r="198">
          <cell r="V198">
            <v>82.5</v>
          </cell>
          <cell r="Y198">
            <v>1507.2</v>
          </cell>
          <cell r="AA198">
            <v>82.5</v>
          </cell>
        </row>
        <row r="199">
          <cell r="V199">
            <v>0</v>
          </cell>
          <cell r="X199">
            <v>0</v>
          </cell>
          <cell r="AA199">
            <v>0</v>
          </cell>
        </row>
        <row r="200">
          <cell r="S200">
            <v>0</v>
          </cell>
          <cell r="V200">
            <v>0</v>
          </cell>
          <cell r="X200">
            <v>0</v>
          </cell>
          <cell r="AA200">
            <v>0</v>
          </cell>
        </row>
        <row r="201">
          <cell r="X201">
            <v>82.5</v>
          </cell>
        </row>
        <row r="202">
          <cell r="V202">
            <v>0</v>
          </cell>
          <cell r="X202">
            <v>0</v>
          </cell>
          <cell r="AA202">
            <v>0</v>
          </cell>
        </row>
        <row r="203">
          <cell r="S203">
            <v>0</v>
          </cell>
          <cell r="V203">
            <v>0</v>
          </cell>
          <cell r="X203">
            <v>0</v>
          </cell>
          <cell r="AA203">
            <v>0</v>
          </cell>
        </row>
        <row r="204">
          <cell r="P204">
            <v>75</v>
          </cell>
        </row>
        <row r="205">
          <cell r="S205">
            <v>385</v>
          </cell>
          <cell r="V205">
            <v>385</v>
          </cell>
          <cell r="X205">
            <v>0</v>
          </cell>
          <cell r="AA205">
            <v>385</v>
          </cell>
        </row>
        <row r="206">
          <cell r="S206">
            <v>0</v>
          </cell>
          <cell r="V206">
            <v>0</v>
          </cell>
          <cell r="X206">
            <v>0</v>
          </cell>
          <cell r="AA206">
            <v>0</v>
          </cell>
        </row>
        <row r="207">
          <cell r="P207">
            <v>75</v>
          </cell>
        </row>
        <row r="208">
          <cell r="S208">
            <v>385</v>
          </cell>
          <cell r="V208">
            <v>67.3</v>
          </cell>
          <cell r="W208">
            <v>54.6</v>
          </cell>
          <cell r="X208">
            <v>385</v>
          </cell>
          <cell r="AA208">
            <v>63</v>
          </cell>
        </row>
        <row r="209">
          <cell r="S209">
            <v>0</v>
          </cell>
          <cell r="V209">
            <v>11300</v>
          </cell>
          <cell r="W209">
            <v>9168</v>
          </cell>
          <cell r="X209">
            <v>0</v>
          </cell>
          <cell r="Y209">
            <v>2132</v>
          </cell>
          <cell r="AA209">
            <v>10588</v>
          </cell>
        </row>
        <row r="210">
          <cell r="S210">
            <v>168.6</v>
          </cell>
          <cell r="V210">
            <v>167.9</v>
          </cell>
          <cell r="W210">
            <v>167.91</v>
          </cell>
          <cell r="X210">
            <v>167.87</v>
          </cell>
          <cell r="AA210">
            <v>168.06</v>
          </cell>
        </row>
        <row r="211">
          <cell r="M211" t="str">
            <v>ЗАТВЕРДЖУЮ</v>
          </cell>
          <cell r="S211">
            <v>7.3</v>
          </cell>
          <cell r="X211">
            <v>74.7</v>
          </cell>
          <cell r="Y211">
            <v>55.2</v>
          </cell>
          <cell r="Z211">
            <v>19.5</v>
          </cell>
        </row>
        <row r="212">
          <cell r="M212" t="str">
            <v>ГЕНЕРАЛЬНИЙ ДИРЕКТОР -</v>
          </cell>
          <cell r="S212">
            <v>1232</v>
          </cell>
          <cell r="V212">
            <v>11300</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ЗАТВЕРДЖУЮ</v>
          </cell>
          <cell r="N214" t="str">
            <v xml:space="preserve">      І.В.ПЛАЧКОВ</v>
          </cell>
        </row>
        <row r="215">
          <cell r="M215" t="str">
            <v>ГОЛОВА ПРАЛІННЯ АК КЕ</v>
          </cell>
          <cell r="X215">
            <v>12570</v>
          </cell>
        </row>
        <row r="216">
          <cell r="M216" t="str">
            <v xml:space="preserve">                        І.В.ПЛАЧКОВ</v>
          </cell>
          <cell r="N216"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W230" t="e">
            <v>#REF!</v>
          </cell>
          <cell r="X230" t="e">
            <v>#REF!</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V233" t="e">
            <v>#REF!</v>
          </cell>
          <cell r="W233" t="e">
            <v>#REF!</v>
          </cell>
          <cell r="X233" t="e">
            <v>#REF!</v>
          </cell>
        </row>
        <row r="234">
          <cell r="C234" t="e">
            <v>#REF!</v>
          </cell>
          <cell r="D234" t="e">
            <v>#REF!</v>
          </cell>
          <cell r="E234" t="e">
            <v>#REF!</v>
          </cell>
          <cell r="I234" t="e">
            <v>#REF!</v>
          </cell>
          <cell r="J234" t="e">
            <v>#REF!</v>
          </cell>
          <cell r="K234" t="e">
            <v>#REF!</v>
          </cell>
          <cell r="L234" t="e">
            <v>#REF!</v>
          </cell>
          <cell r="M234" t="e">
            <v>#REF!</v>
          </cell>
          <cell r="N234" t="e">
            <v>#REF!</v>
          </cell>
          <cell r="O234" t="e">
            <v>#REF!</v>
          </cell>
          <cell r="P234" t="e">
            <v>#REF!</v>
          </cell>
          <cell r="Q234" t="e">
            <v>#REF!</v>
          </cell>
          <cell r="R234" t="e">
            <v>#REF!</v>
          </cell>
          <cell r="S234" t="e">
            <v>#REF!</v>
          </cell>
          <cell r="T234">
            <v>1012</v>
          </cell>
          <cell r="U234" t="e">
            <v>#REF!</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t="e">
            <v>#REF!</v>
          </cell>
          <cell r="T235">
            <v>0</v>
          </cell>
          <cell r="U235" t="e">
            <v>#REF!</v>
          </cell>
          <cell r="V235" t="e">
            <v>#REF!</v>
          </cell>
          <cell r="W235" t="e">
            <v>#REF!</v>
          </cell>
          <cell r="X235" t="e">
            <v>#REF!</v>
          </cell>
        </row>
        <row r="236">
          <cell r="C236" t="e">
            <v>#REF!</v>
          </cell>
          <cell r="I236" t="e">
            <v>#REF!</v>
          </cell>
          <cell r="J236" t="e">
            <v>#REF!</v>
          </cell>
          <cell r="K236">
            <v>0</v>
          </cell>
          <cell r="L236">
            <v>0</v>
          </cell>
          <cell r="M236" t="e">
            <v>#REF!</v>
          </cell>
          <cell r="N236" t="e">
            <v>#REF!</v>
          </cell>
          <cell r="O236" t="e">
            <v>#REF!</v>
          </cell>
          <cell r="P236" t="e">
            <v>#REF!</v>
          </cell>
          <cell r="Q236" t="e">
            <v>#REF!</v>
          </cell>
          <cell r="R236" t="e">
            <v>#REF!</v>
          </cell>
          <cell r="S236" t="e">
            <v>#REF!</v>
          </cell>
          <cell r="T236">
            <v>0</v>
          </cell>
          <cell r="U236" t="e">
            <v>#REF!</v>
          </cell>
          <cell r="V236" t="e">
            <v>#REF!</v>
          </cell>
          <cell r="W236" t="e">
            <v>#REF!</v>
          </cell>
          <cell r="X236" t="e">
            <v>#REF!</v>
          </cell>
        </row>
        <row r="237">
          <cell r="C237" t="e">
            <v>#REF!</v>
          </cell>
          <cell r="I237" t="e">
            <v>#REF!</v>
          </cell>
          <cell r="J237" t="e">
            <v>#REF!</v>
          </cell>
          <cell r="M237" t="e">
            <v>#REF!</v>
          </cell>
          <cell r="P237" t="e">
            <v>#REF!</v>
          </cell>
          <cell r="S237">
            <v>0</v>
          </cell>
          <cell r="U237" t="e">
            <v>#REF!</v>
          </cell>
          <cell r="V237" t="e">
            <v>#REF!</v>
          </cell>
          <cell r="W237" t="e">
            <v>#REF!</v>
          </cell>
          <cell r="X237" t="e">
            <v>#REF!</v>
          </cell>
          <cell r="Z237">
            <v>6</v>
          </cell>
          <cell r="AA237">
            <v>6</v>
          </cell>
        </row>
        <row r="238">
          <cell r="C238" t="e">
            <v>#REF!</v>
          </cell>
          <cell r="I238" t="e">
            <v>#REF!</v>
          </cell>
          <cell r="J238" t="e">
            <v>#REF!</v>
          </cell>
          <cell r="M238" t="e">
            <v>#REF!</v>
          </cell>
          <cell r="P238" t="e">
            <v>#REF!</v>
          </cell>
          <cell r="S238" t="e">
            <v>#REF!</v>
          </cell>
          <cell r="U238" t="e">
            <v>#REF!</v>
          </cell>
          <cell r="V238" t="e">
            <v>#REF!</v>
          </cell>
          <cell r="W238">
            <v>0</v>
          </cell>
          <cell r="X238">
            <v>6</v>
          </cell>
          <cell r="Y238">
            <v>6</v>
          </cell>
          <cell r="Z238">
            <v>12</v>
          </cell>
        </row>
        <row r="239">
          <cell r="C239">
            <v>0</v>
          </cell>
          <cell r="U239">
            <v>0</v>
          </cell>
          <cell r="V239">
            <v>0</v>
          </cell>
          <cell r="W239">
            <v>2421.3333333333335</v>
          </cell>
          <cell r="X239">
            <v>2421.3333333333335</v>
          </cell>
        </row>
        <row r="240">
          <cell r="C240">
            <v>2421.3333333333335</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2421.3333333333335</v>
          </cell>
          <cell r="V240">
            <v>2421.3333333333335</v>
          </cell>
          <cell r="W240" t="e">
            <v>#REF!</v>
          </cell>
          <cell r="X240" t="e">
            <v>#REF!</v>
          </cell>
        </row>
        <row r="241">
          <cell r="C241" t="e">
            <v>#REF!</v>
          </cell>
          <cell r="D241" t="e">
            <v>#REF!</v>
          </cell>
          <cell r="E241" t="e">
            <v>#REF!</v>
          </cell>
          <cell r="I241">
            <v>0</v>
          </cell>
          <cell r="J241">
            <v>0</v>
          </cell>
          <cell r="K241">
            <v>0</v>
          </cell>
          <cell r="L241">
            <v>0</v>
          </cell>
          <cell r="M241" t="e">
            <v>#REF!</v>
          </cell>
          <cell r="N241" t="e">
            <v>#REF!</v>
          </cell>
          <cell r="O241" t="e">
            <v>#REF!</v>
          </cell>
          <cell r="P241" t="e">
            <v>#REF!</v>
          </cell>
          <cell r="Q241" t="e">
            <v>#REF!</v>
          </cell>
          <cell r="R241" t="e">
            <v>#REF!</v>
          </cell>
          <cell r="S241" t="e">
            <v>#REF!</v>
          </cell>
          <cell r="U241" t="e">
            <v>#REF!</v>
          </cell>
          <cell r="V241" t="e">
            <v>#REF!</v>
          </cell>
          <cell r="X241">
            <v>0</v>
          </cell>
        </row>
        <row r="242">
          <cell r="C242" t="e">
            <v>#REF!</v>
          </cell>
          <cell r="I242" t="e">
            <v>#REF!</v>
          </cell>
          <cell r="J242" t="e">
            <v>#REF!</v>
          </cell>
          <cell r="M242" t="e">
            <v>#REF!</v>
          </cell>
          <cell r="P242" t="e">
            <v>#REF!</v>
          </cell>
          <cell r="S242">
            <v>163</v>
          </cell>
          <cell r="V242">
            <v>0</v>
          </cell>
          <cell r="W242" t="e">
            <v>#REF!</v>
          </cell>
          <cell r="X242" t="e">
            <v>#REF!</v>
          </cell>
        </row>
        <row r="243">
          <cell r="C243" t="e">
            <v>#REF!</v>
          </cell>
          <cell r="I243" t="e">
            <v>#REF!</v>
          </cell>
          <cell r="J243" t="e">
            <v>#REF!</v>
          </cell>
          <cell r="M243" t="e">
            <v>#REF!</v>
          </cell>
          <cell r="P243" t="e">
            <v>#REF!</v>
          </cell>
          <cell r="S243" t="e">
            <v>#REF!</v>
          </cell>
          <cell r="U243" t="e">
            <v>#REF!</v>
          </cell>
          <cell r="V243" t="e">
            <v>#REF!</v>
          </cell>
          <cell r="W243">
            <v>2595.8000000000002</v>
          </cell>
          <cell r="X243">
            <v>2401.8000000000002</v>
          </cell>
        </row>
        <row r="244">
          <cell r="C244">
            <v>40</v>
          </cell>
          <cell r="I244">
            <v>0</v>
          </cell>
          <cell r="J244">
            <v>0</v>
          </cell>
          <cell r="M244">
            <v>0</v>
          </cell>
          <cell r="P244">
            <v>0</v>
          </cell>
          <cell r="S244">
            <v>0</v>
          </cell>
          <cell r="U244">
            <v>0</v>
          </cell>
          <cell r="V244">
            <v>40</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0</v>
          </cell>
          <cell r="I246">
            <v>0</v>
          </cell>
          <cell r="J246">
            <v>0</v>
          </cell>
          <cell r="K246">
            <v>0</v>
          </cell>
          <cell r="L246">
            <v>0</v>
          </cell>
          <cell r="M246">
            <v>0</v>
          </cell>
          <cell r="N246">
            <v>0</v>
          </cell>
          <cell r="O246">
            <v>0</v>
          </cell>
          <cell r="P246">
            <v>0</v>
          </cell>
          <cell r="Q246">
            <v>0</v>
          </cell>
          <cell r="R246">
            <v>0</v>
          </cell>
          <cell r="S246">
            <v>0</v>
          </cell>
          <cell r="T246">
            <v>0</v>
          </cell>
          <cell r="U246">
            <v>0</v>
          </cell>
          <cell r="V246">
            <v>0</v>
          </cell>
          <cell r="W246">
            <v>0</v>
          </cell>
          <cell r="X246">
            <v>0</v>
          </cell>
        </row>
        <row r="247">
          <cell r="I247">
            <v>0</v>
          </cell>
          <cell r="J247">
            <v>0</v>
          </cell>
          <cell r="K247">
            <v>0</v>
          </cell>
          <cell r="L247">
            <v>0</v>
          </cell>
          <cell r="M247">
            <v>0</v>
          </cell>
          <cell r="N247">
            <v>0</v>
          </cell>
          <cell r="O247">
            <v>0</v>
          </cell>
          <cell r="P247">
            <v>0</v>
          </cell>
          <cell r="Q247">
            <v>0</v>
          </cell>
          <cell r="R247">
            <v>0</v>
          </cell>
          <cell r="S247">
            <v>0</v>
          </cell>
          <cell r="T247">
            <v>0</v>
          </cell>
          <cell r="U247">
            <v>0</v>
          </cell>
          <cell r="V247">
            <v>0</v>
          </cell>
          <cell r="X247">
            <v>0</v>
          </cell>
        </row>
        <row r="248">
          <cell r="C248">
            <v>29</v>
          </cell>
          <cell r="I248">
            <v>0</v>
          </cell>
          <cell r="J248">
            <v>252</v>
          </cell>
          <cell r="M248">
            <v>2</v>
          </cell>
          <cell r="P248">
            <v>4</v>
          </cell>
          <cell r="S248">
            <v>0</v>
          </cell>
          <cell r="V248">
            <v>0</v>
          </cell>
          <cell r="W248">
            <v>298.7</v>
          </cell>
          <cell r="X248">
            <v>298.7</v>
          </cell>
        </row>
        <row r="249">
          <cell r="C249" t="e">
            <v>#REF!</v>
          </cell>
          <cell r="I249" t="e">
            <v>#REF!</v>
          </cell>
          <cell r="J249" t="e">
            <v>#REF!</v>
          </cell>
          <cell r="M249" t="e">
            <v>#REF!</v>
          </cell>
          <cell r="P249" t="e">
            <v>#REF!</v>
          </cell>
          <cell r="S249">
            <v>0</v>
          </cell>
          <cell r="U249" t="e">
            <v>#REF!</v>
          </cell>
          <cell r="V249" t="e">
            <v>#REF!</v>
          </cell>
          <cell r="W249">
            <v>200</v>
          </cell>
          <cell r="X249">
            <v>200</v>
          </cell>
        </row>
        <row r="250">
          <cell r="C250" t="e">
            <v>#REF!</v>
          </cell>
          <cell r="I250" t="e">
            <v>#REF!</v>
          </cell>
          <cell r="J250" t="e">
            <v>#REF!</v>
          </cell>
          <cell r="M250" t="e">
            <v>#REF!</v>
          </cell>
          <cell r="P250" t="e">
            <v>#REF!</v>
          </cell>
          <cell r="S250">
            <v>0</v>
          </cell>
          <cell r="U250" t="e">
            <v>#REF!</v>
          </cell>
          <cell r="V250" t="e">
            <v>#REF!</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t="e">
            <v>#REF!</v>
          </cell>
          <cell r="V252" t="e">
            <v>#REF!</v>
          </cell>
          <cell r="W252" t="e">
            <v>#REF!</v>
          </cell>
          <cell r="X252" t="e">
            <v>#REF!</v>
          </cell>
          <cell r="AA252" t="str">
            <v>ТЕЦ-6 ВСЬОГО</v>
          </cell>
        </row>
        <row r="253">
          <cell r="C253" t="e">
            <v>#REF!</v>
          </cell>
          <cell r="I253" t="e">
            <v>#REF!</v>
          </cell>
          <cell r="J253" t="e">
            <v>#REF!</v>
          </cell>
          <cell r="M253" t="e">
            <v>#REF!</v>
          </cell>
          <cell r="P253" t="e">
            <v>#REF!</v>
          </cell>
          <cell r="S253">
            <v>0</v>
          </cell>
          <cell r="U253" t="e">
            <v>#REF!</v>
          </cell>
          <cell r="V253" t="e">
            <v>#REF!</v>
          </cell>
          <cell r="W253">
            <v>580</v>
          </cell>
          <cell r="X253">
            <v>580</v>
          </cell>
          <cell r="AA253">
            <v>2709.5690909090908</v>
          </cell>
        </row>
        <row r="254">
          <cell r="I254">
            <v>20</v>
          </cell>
          <cell r="J254">
            <v>152</v>
          </cell>
          <cell r="M254">
            <v>20</v>
          </cell>
          <cell r="P254">
            <v>10</v>
          </cell>
          <cell r="U254">
            <v>202</v>
          </cell>
          <cell r="V254">
            <v>202</v>
          </cell>
          <cell r="W254">
            <v>0</v>
          </cell>
          <cell r="X254">
            <v>0</v>
          </cell>
        </row>
        <row r="255">
          <cell r="C255" t="e">
            <v>#REF!</v>
          </cell>
          <cell r="I255" t="e">
            <v>#REF!</v>
          </cell>
          <cell r="J255" t="e">
            <v>#REF!</v>
          </cell>
          <cell r="M255" t="e">
            <v>#REF!</v>
          </cell>
          <cell r="P255" t="e">
            <v>#REF!</v>
          </cell>
          <cell r="Q255" t="str">
            <v>ТМ</v>
          </cell>
          <cell r="R255">
            <v>0</v>
          </cell>
          <cell r="S255">
            <v>0</v>
          </cell>
          <cell r="T255" t="str">
            <v>ВИРОБН</v>
          </cell>
          <cell r="U255" t="e">
            <v>#REF!</v>
          </cell>
          <cell r="V255" t="e">
            <v>#REF!</v>
          </cell>
          <cell r="W255" t="e">
            <v>#REF!</v>
          </cell>
          <cell r="X255" t="e">
            <v>#REF!</v>
          </cell>
          <cell r="Y255" t="str">
            <v>Е/Е</v>
          </cell>
          <cell r="Z255" t="str">
            <v xml:space="preserve"> Т/Е</v>
          </cell>
          <cell r="AA255">
            <v>2709.5690909090908</v>
          </cell>
        </row>
        <row r="256">
          <cell r="C256" t="e">
            <v>#REF!</v>
          </cell>
          <cell r="I256">
            <v>0</v>
          </cell>
          <cell r="J256">
            <v>0</v>
          </cell>
          <cell r="M256" t="e">
            <v>#REF!</v>
          </cell>
          <cell r="P256" t="e">
            <v>#REF!</v>
          </cell>
          <cell r="S256">
            <v>0</v>
          </cell>
          <cell r="T256">
            <v>1750.1999999999996</v>
          </cell>
          <cell r="U256" t="e">
            <v>#REF!</v>
          </cell>
          <cell r="V256" t="e">
            <v>#REF!</v>
          </cell>
          <cell r="W256" t="e">
            <v>#REF!</v>
          </cell>
          <cell r="X256" t="e">
            <v>#REF!</v>
          </cell>
          <cell r="AA256">
            <v>624</v>
          </cell>
        </row>
        <row r="257">
          <cell r="C257" t="e">
            <v>#REF!</v>
          </cell>
          <cell r="I257" t="e">
            <v>#REF!</v>
          </cell>
          <cell r="J257" t="e">
            <v>#REF!</v>
          </cell>
          <cell r="M257" t="e">
            <v>#REF!</v>
          </cell>
          <cell r="N257" t="e">
            <v>#REF!</v>
          </cell>
          <cell r="O257">
            <v>0</v>
          </cell>
          <cell r="P257" t="e">
            <v>#REF!</v>
          </cell>
          <cell r="Q257" t="e">
            <v>#REF!</v>
          </cell>
          <cell r="R257">
            <v>0</v>
          </cell>
          <cell r="S257">
            <v>0</v>
          </cell>
          <cell r="T257">
            <v>0</v>
          </cell>
          <cell r="U257" t="e">
            <v>#REF!</v>
          </cell>
          <cell r="V257" t="e">
            <v>#REF!</v>
          </cell>
          <cell r="W257">
            <v>0</v>
          </cell>
          <cell r="X257">
            <v>0</v>
          </cell>
          <cell r="Y257">
            <v>0</v>
          </cell>
          <cell r="Z257">
            <v>0</v>
          </cell>
          <cell r="AA257">
            <v>18</v>
          </cell>
        </row>
        <row r="258">
          <cell r="C258" t="e">
            <v>#REF!</v>
          </cell>
          <cell r="I258">
            <v>0</v>
          </cell>
          <cell r="J258">
            <v>0</v>
          </cell>
          <cell r="M258" t="e">
            <v>#REF!</v>
          </cell>
          <cell r="N258" t="e">
            <v>#REF!</v>
          </cell>
          <cell r="O258" t="e">
            <v>#REF!</v>
          </cell>
          <cell r="P258" t="e">
            <v>#REF!</v>
          </cell>
          <cell r="Q258" t="e">
            <v>#REF!</v>
          </cell>
          <cell r="R258" t="e">
            <v>#REF!</v>
          </cell>
          <cell r="S258">
            <v>0</v>
          </cell>
          <cell r="T258">
            <v>2221.1818606060606</v>
          </cell>
          <cell r="U258">
            <v>2612.759351515152</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t="e">
            <v>#REF!</v>
          </cell>
          <cell r="T259">
            <v>1413.9233333333332</v>
          </cell>
          <cell r="U259" t="e">
            <v>#REF!</v>
          </cell>
          <cell r="V259" t="e">
            <v>#REF!</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t="e">
            <v>#REF!</v>
          </cell>
          <cell r="T260">
            <v>0</v>
          </cell>
          <cell r="U260" t="e">
            <v>#REF!</v>
          </cell>
          <cell r="V260" t="e">
            <v>#REF!</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0</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16</v>
          </cell>
          <cell r="U262" t="e">
            <v>#REF!</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t="e">
            <v>#REF!</v>
          </cell>
          <cell r="V263">
            <v>0</v>
          </cell>
          <cell r="W263" t="e">
            <v>#REF!</v>
          </cell>
          <cell r="X263" t="e">
            <v>#REF!</v>
          </cell>
          <cell r="Y263">
            <v>0</v>
          </cell>
          <cell r="Z263">
            <v>0</v>
          </cell>
          <cell r="AA263">
            <v>0</v>
          </cell>
        </row>
        <row r="264">
          <cell r="C264" t="e">
            <v>#REF!</v>
          </cell>
          <cell r="I264" t="e">
            <v>#REF!</v>
          </cell>
          <cell r="J264" t="e">
            <v>#REF!</v>
          </cell>
          <cell r="K264" t="e">
            <v>#REF!</v>
          </cell>
          <cell r="L264" t="e">
            <v>#REF!</v>
          </cell>
          <cell r="M264" t="e">
            <v>#REF!</v>
          </cell>
          <cell r="N264" t="e">
            <v>#REF!</v>
          </cell>
          <cell r="O264" t="e">
            <v>#REF!</v>
          </cell>
          <cell r="P264" t="e">
            <v>#REF!</v>
          </cell>
          <cell r="Q264" t="e">
            <v>#REF!</v>
          </cell>
          <cell r="R264" t="e">
            <v>#REF!</v>
          </cell>
          <cell r="S264">
            <v>0</v>
          </cell>
          <cell r="T264">
            <v>12</v>
          </cell>
          <cell r="U264" t="e">
            <v>#REF!</v>
          </cell>
          <cell r="V264" t="e">
            <v>#REF!</v>
          </cell>
          <cell r="W264">
            <v>0</v>
          </cell>
          <cell r="X264" t="e">
            <v>#REF!</v>
          </cell>
        </row>
        <row r="265">
          <cell r="C265">
            <v>0</v>
          </cell>
          <cell r="I265" t="e">
            <v>#REF!</v>
          </cell>
          <cell r="J265" t="e">
            <v>#REF!</v>
          </cell>
          <cell r="M265" t="e">
            <v>#REF!</v>
          </cell>
          <cell r="N265" t="e">
            <v>#REF!</v>
          </cell>
          <cell r="O265" t="e">
            <v>#REF!</v>
          </cell>
          <cell r="P265" t="e">
            <v>#REF!</v>
          </cell>
          <cell r="Q265" t="e">
            <v>#REF!</v>
          </cell>
          <cell r="R265" t="e">
            <v>#REF!</v>
          </cell>
          <cell r="S265">
            <v>0</v>
          </cell>
          <cell r="U265">
            <v>0</v>
          </cell>
          <cell r="V265" t="e">
            <v>#REF!</v>
          </cell>
        </row>
        <row r="266">
          <cell r="I266">
            <v>0</v>
          </cell>
          <cell r="P266">
            <v>0</v>
          </cell>
          <cell r="S266">
            <v>0</v>
          </cell>
          <cell r="V266">
            <v>0</v>
          </cell>
          <cell r="AA266">
            <v>0</v>
          </cell>
        </row>
        <row r="267">
          <cell r="J267">
            <v>413</v>
          </cell>
        </row>
        <row r="268">
          <cell r="P268">
            <v>3090</v>
          </cell>
          <cell r="S268">
            <v>0</v>
          </cell>
          <cell r="V268">
            <v>0</v>
          </cell>
          <cell r="AA268">
            <v>18</v>
          </cell>
        </row>
        <row r="269">
          <cell r="P269">
            <v>0</v>
          </cell>
          <cell r="Q269">
            <v>0</v>
          </cell>
          <cell r="R269">
            <v>0</v>
          </cell>
          <cell r="S269">
            <v>0</v>
          </cell>
          <cell r="T269">
            <v>0</v>
          </cell>
          <cell r="U269">
            <v>0</v>
          </cell>
          <cell r="V269">
            <v>2576.1318181818187</v>
          </cell>
          <cell r="W269">
            <v>0</v>
          </cell>
          <cell r="X269">
            <v>0</v>
          </cell>
          <cell r="Y269">
            <v>0</v>
          </cell>
          <cell r="Z269">
            <v>0</v>
          </cell>
          <cell r="AA269">
            <v>2727.5690909090908</v>
          </cell>
        </row>
        <row r="270">
          <cell r="P270">
            <v>1965.62</v>
          </cell>
          <cell r="Q270">
            <v>0</v>
          </cell>
          <cell r="R270">
            <v>0</v>
          </cell>
          <cell r="S270">
            <v>4127.5200000000004</v>
          </cell>
          <cell r="T270">
            <v>717.75479999999993</v>
          </cell>
          <cell r="U270">
            <v>735.76520000000005</v>
          </cell>
          <cell r="V270">
            <v>1973.95</v>
          </cell>
          <cell r="W270">
            <v>951</v>
          </cell>
          <cell r="X270">
            <v>222.13181818181818</v>
          </cell>
          <cell r="Y270">
            <v>0</v>
          </cell>
          <cell r="Z270">
            <v>0</v>
          </cell>
          <cell r="AA270">
            <v>623.99333333333334</v>
          </cell>
        </row>
        <row r="271">
          <cell r="P271">
            <v>0</v>
          </cell>
          <cell r="S271">
            <v>0</v>
          </cell>
          <cell r="T271">
            <v>707.75479999999993</v>
          </cell>
          <cell r="U271">
            <v>735.76520000000005</v>
          </cell>
          <cell r="V271">
            <v>721.95</v>
          </cell>
          <cell r="W271">
            <v>213</v>
          </cell>
          <cell r="X271">
            <v>0</v>
          </cell>
          <cell r="AA271">
            <v>597.66</v>
          </cell>
        </row>
        <row r="272">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V274">
            <v>132</v>
          </cell>
          <cell r="X274">
            <v>640.75</v>
          </cell>
          <cell r="Y274">
            <v>274</v>
          </cell>
          <cell r="Z274">
            <v>96.386363636363626</v>
          </cell>
          <cell r="AA274">
            <v>100</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V277">
            <v>66</v>
          </cell>
          <cell r="X277">
            <v>115</v>
          </cell>
          <cell r="AA277">
            <v>50</v>
          </cell>
        </row>
        <row r="278">
          <cell r="N278" t="str">
            <v>Собівартість</v>
          </cell>
          <cell r="P278">
            <v>-8</v>
          </cell>
          <cell r="Q278">
            <v>0</v>
          </cell>
          <cell r="R278">
            <v>0</v>
          </cell>
          <cell r="S278">
            <v>84</v>
          </cell>
          <cell r="T278">
            <v>0</v>
          </cell>
          <cell r="U278">
            <v>0</v>
          </cell>
          <cell r="V278">
            <v>0</v>
          </cell>
          <cell r="W278">
            <v>0</v>
          </cell>
          <cell r="X278">
            <v>57</v>
          </cell>
          <cell r="Y278">
            <v>0</v>
          </cell>
          <cell r="Z278">
            <v>0</v>
          </cell>
          <cell r="AA278">
            <v>-300</v>
          </cell>
        </row>
        <row r="279">
          <cell r="P279">
            <v>-2.1590909090909096</v>
          </cell>
          <cell r="S279">
            <v>430</v>
          </cell>
          <cell r="V279">
            <v>0</v>
          </cell>
          <cell r="X279">
            <v>100</v>
          </cell>
          <cell r="AA279">
            <v>-300</v>
          </cell>
        </row>
        <row r="280">
          <cell r="P280">
            <v>145</v>
          </cell>
          <cell r="S280">
            <v>145</v>
          </cell>
          <cell r="V280">
            <v>0</v>
          </cell>
          <cell r="X280">
            <v>66</v>
          </cell>
          <cell r="AA280">
            <v>0</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P282">
            <v>0</v>
          </cell>
          <cell r="S282">
            <v>0</v>
          </cell>
          <cell r="X282">
            <v>0</v>
          </cell>
        </row>
        <row r="283">
          <cell r="P283">
            <v>14</v>
          </cell>
          <cell r="Q283">
            <v>0</v>
          </cell>
          <cell r="R283">
            <v>0</v>
          </cell>
          <cell r="S283">
            <v>420</v>
          </cell>
          <cell r="T283">
            <v>-717.75479999999993</v>
          </cell>
          <cell r="U283">
            <v>-735.76520000000005</v>
          </cell>
          <cell r="V283">
            <v>602.1818181818187</v>
          </cell>
          <cell r="W283">
            <v>-951</v>
          </cell>
          <cell r="X283">
            <v>0</v>
          </cell>
          <cell r="Y283">
            <v>0</v>
          </cell>
          <cell r="Z283">
            <v>0</v>
          </cell>
          <cell r="AA283">
            <v>2103.5757575757575</v>
          </cell>
        </row>
        <row r="285">
          <cell r="N285" t="str">
            <v>ФМЗ ( з відрахуван)</v>
          </cell>
          <cell r="P285">
            <v>25</v>
          </cell>
          <cell r="Q285">
            <v>0</v>
          </cell>
          <cell r="R285">
            <v>0</v>
          </cell>
          <cell r="S285">
            <v>250</v>
          </cell>
          <cell r="T285">
            <v>0</v>
          </cell>
          <cell r="U285">
            <v>0</v>
          </cell>
          <cell r="V285">
            <v>602.18181818181824</v>
          </cell>
          <cell r="W285">
            <v>0</v>
          </cell>
          <cell r="X285">
            <v>0</v>
          </cell>
          <cell r="Y285">
            <v>0</v>
          </cell>
          <cell r="Z285">
            <v>0</v>
          </cell>
          <cell r="AA285">
            <v>2066.909090909091</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7">
          <cell r="P287">
            <v>655</v>
          </cell>
          <cell r="Q287">
            <v>0</v>
          </cell>
          <cell r="R287">
            <v>0</v>
          </cell>
          <cell r="S287">
            <v>655</v>
          </cell>
          <cell r="T287">
            <v>0</v>
          </cell>
          <cell r="U287">
            <v>0</v>
          </cell>
          <cell r="V287">
            <v>545.18181818181824</v>
          </cell>
          <cell r="W287">
            <v>0</v>
          </cell>
          <cell r="X287">
            <v>0</v>
          </cell>
          <cell r="Y287">
            <v>0</v>
          </cell>
          <cell r="Z287">
            <v>0</v>
          </cell>
          <cell r="AA287">
            <v>1510.909090909091</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V289">
            <v>0</v>
          </cell>
          <cell r="X289">
            <v>-15</v>
          </cell>
          <cell r="AA289">
            <v>0</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V291">
            <v>11</v>
          </cell>
          <cell r="X291">
            <v>0</v>
          </cell>
          <cell r="AA291">
            <v>201</v>
          </cell>
        </row>
        <row r="292">
          <cell r="P292">
            <v>0</v>
          </cell>
          <cell r="S292">
            <v>0</v>
          </cell>
          <cell r="V292">
            <v>85</v>
          </cell>
          <cell r="X292">
            <v>0</v>
          </cell>
          <cell r="AA292">
            <v>84</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V295">
            <v>-129</v>
          </cell>
          <cell r="X295">
            <v>85</v>
          </cell>
          <cell r="AA295">
            <v>0</v>
          </cell>
        </row>
        <row r="296">
          <cell r="P296">
            <v>86</v>
          </cell>
          <cell r="Q296">
            <v>0</v>
          </cell>
          <cell r="R296">
            <v>0</v>
          </cell>
          <cell r="S296">
            <v>101</v>
          </cell>
          <cell r="T296">
            <v>-717.75479999999993</v>
          </cell>
          <cell r="U296">
            <v>-735.76520000000005</v>
          </cell>
          <cell r="V296">
            <v>602.1818181818187</v>
          </cell>
          <cell r="W296">
            <v>-951</v>
          </cell>
          <cell r="X296">
            <v>120</v>
          </cell>
          <cell r="Y296">
            <v>0</v>
          </cell>
          <cell r="Z296">
            <v>0</v>
          </cell>
          <cell r="AA296">
            <v>2103.5757575757575</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1">
          <cell r="P301">
            <v>0</v>
          </cell>
          <cell r="Q301">
            <v>0</v>
          </cell>
          <cell r="R301">
            <v>0</v>
          </cell>
          <cell r="S301">
            <v>0</v>
          </cell>
          <cell r="T301">
            <v>0</v>
          </cell>
          <cell r="U301">
            <v>0</v>
          </cell>
          <cell r="V301">
            <v>0</v>
          </cell>
          <cell r="W301">
            <v>0</v>
          </cell>
          <cell r="X301">
            <v>0</v>
          </cell>
          <cell r="Y301">
            <v>0</v>
          </cell>
          <cell r="Z301">
            <v>0</v>
          </cell>
          <cell r="AA301">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6">
          <cell r="P306">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cell r="S309">
            <v>0</v>
          </cell>
        </row>
        <row r="310">
          <cell r="S310">
            <v>0</v>
          </cell>
        </row>
        <row r="312">
          <cell r="S312">
            <v>0</v>
          </cell>
        </row>
        <row r="314">
          <cell r="S314">
            <v>0</v>
          </cell>
        </row>
        <row r="315">
          <cell r="P315">
            <v>1115</v>
          </cell>
          <cell r="Q315">
            <v>0</v>
          </cell>
          <cell r="R315">
            <v>0</v>
          </cell>
          <cell r="S315">
            <v>4296</v>
          </cell>
          <cell r="T315">
            <v>-717.75479999999993</v>
          </cell>
          <cell r="U315">
            <v>-735.76520000000005</v>
          </cell>
          <cell r="V315">
            <v>602.1818181818187</v>
          </cell>
          <cell r="W315">
            <v>-951</v>
          </cell>
          <cell r="X315">
            <v>-222.13181818181818</v>
          </cell>
          <cell r="Y315">
            <v>0</v>
          </cell>
          <cell r="Z315">
            <v>0</v>
          </cell>
          <cell r="AA315">
            <v>2103.5757575757575</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5">
          <cell r="P325">
            <v>329</v>
          </cell>
          <cell r="S325">
            <v>570</v>
          </cell>
          <cell r="V325">
            <v>197</v>
          </cell>
          <cell r="AA325">
            <v>163</v>
          </cell>
        </row>
        <row r="328">
          <cell r="P328">
            <v>348</v>
          </cell>
          <cell r="S328">
            <v>517</v>
          </cell>
          <cell r="X328">
            <v>175</v>
          </cell>
        </row>
        <row r="348">
          <cell r="P348">
            <v>225</v>
          </cell>
          <cell r="S348">
            <v>296</v>
          </cell>
          <cell r="V348">
            <v>56</v>
          </cell>
          <cell r="AA348">
            <v>-78.090909090909093</v>
          </cell>
        </row>
        <row r="350">
          <cell r="P350">
            <v>0</v>
          </cell>
          <cell r="S350">
            <v>0</v>
          </cell>
          <cell r="V350">
            <v>0</v>
          </cell>
          <cell r="AA350">
            <v>0</v>
          </cell>
        </row>
        <row r="351">
          <cell r="P351">
            <v>225</v>
          </cell>
          <cell r="S351">
            <v>296</v>
          </cell>
          <cell r="X351">
            <v>56</v>
          </cell>
        </row>
        <row r="353">
          <cell r="P353">
            <v>0</v>
          </cell>
          <cell r="S353">
            <v>0</v>
          </cell>
          <cell r="X353">
            <v>0</v>
          </cell>
        </row>
        <row r="358">
          <cell r="P358">
            <v>0</v>
          </cell>
          <cell r="S358">
            <v>0</v>
          </cell>
          <cell r="T358">
            <v>162.88</v>
          </cell>
          <cell r="U358">
            <v>855.12</v>
          </cell>
          <cell r="V358">
            <v>471</v>
          </cell>
          <cell r="W358">
            <v>447</v>
          </cell>
          <cell r="X358">
            <v>104</v>
          </cell>
          <cell r="AA358">
            <v>273</v>
          </cell>
        </row>
        <row r="361">
          <cell r="P361">
            <v>0</v>
          </cell>
          <cell r="S361">
            <v>1018</v>
          </cell>
          <cell r="T361">
            <v>162.88</v>
          </cell>
          <cell r="U361">
            <v>855.12</v>
          </cell>
          <cell r="X361">
            <v>466</v>
          </cell>
          <cell r="Y361">
            <v>407</v>
          </cell>
          <cell r="Z361">
            <v>144</v>
          </cell>
        </row>
        <row r="381">
          <cell r="P381" t="str">
            <v>лютий</v>
          </cell>
          <cell r="V381" t="str">
            <v>лютий</v>
          </cell>
          <cell r="AA381" t="str">
            <v>лютий</v>
          </cell>
        </row>
        <row r="382">
          <cell r="P382" t="str">
            <v>ККМ</v>
          </cell>
          <cell r="V382" t="str">
            <v>ТЕЦ5</v>
          </cell>
          <cell r="AA382" t="str">
            <v>ТЕЦ6</v>
          </cell>
        </row>
        <row r="383">
          <cell r="P383" t="str">
            <v>ПЛАН</v>
          </cell>
          <cell r="V383" t="str">
            <v>ПЛАН</v>
          </cell>
          <cell r="AA383" t="str">
            <v>ПЛАН</v>
          </cell>
        </row>
        <row r="384">
          <cell r="P384" t="str">
            <v>лютий</v>
          </cell>
          <cell r="S384">
            <v>14.333333333333332</v>
          </cell>
          <cell r="V384">
            <v>182</v>
          </cell>
          <cell r="W384">
            <v>148</v>
          </cell>
          <cell r="X384" t="str">
            <v>лютий</v>
          </cell>
          <cell r="AA384">
            <v>323.66666666666674</v>
          </cell>
        </row>
        <row r="385">
          <cell r="P385" t="str">
            <v>ККМ</v>
          </cell>
          <cell r="V385">
            <v>0</v>
          </cell>
          <cell r="W385">
            <v>0</v>
          </cell>
          <cell r="X385" t="str">
            <v>ТЕЦ5</v>
          </cell>
          <cell r="AA385">
            <v>3.6666666666666665</v>
          </cell>
        </row>
        <row r="386">
          <cell r="P386" t="str">
            <v>ПЛАН</v>
          </cell>
          <cell r="V386">
            <v>146.66666666666666</v>
          </cell>
          <cell r="W386">
            <v>119</v>
          </cell>
          <cell r="X386" t="str">
            <v>ПЛАН</v>
          </cell>
          <cell r="AA386">
            <v>280.66666666666669</v>
          </cell>
        </row>
        <row r="387">
          <cell r="P387">
            <v>14.333333333333332</v>
          </cell>
          <cell r="S387">
            <v>14.333333333333332</v>
          </cell>
          <cell r="V387">
            <v>0</v>
          </cell>
          <cell r="W387">
            <v>0</v>
          </cell>
          <cell r="X387">
            <v>182</v>
          </cell>
          <cell r="Y387">
            <v>134</v>
          </cell>
          <cell r="Z387">
            <v>134</v>
          </cell>
          <cell r="AA387">
            <v>25</v>
          </cell>
        </row>
        <row r="388">
          <cell r="P388">
            <v>0</v>
          </cell>
          <cell r="V388">
            <v>25.333333333333332</v>
          </cell>
          <cell r="W388">
            <v>21</v>
          </cell>
          <cell r="X388">
            <v>0</v>
          </cell>
          <cell r="Y388">
            <v>0</v>
          </cell>
          <cell r="AA388">
            <v>0.66666666666666663</v>
          </cell>
        </row>
        <row r="389">
          <cell r="P389">
            <v>0.66666666666666663</v>
          </cell>
          <cell r="V389">
            <v>0</v>
          </cell>
          <cell r="W389">
            <v>0</v>
          </cell>
          <cell r="X389">
            <v>146.66666666666666</v>
          </cell>
          <cell r="Y389">
            <v>108</v>
          </cell>
          <cell r="AA389">
            <v>0</v>
          </cell>
        </row>
        <row r="390">
          <cell r="P390">
            <v>2</v>
          </cell>
          <cell r="V390">
            <v>0</v>
          </cell>
          <cell r="W390">
            <v>0</v>
          </cell>
          <cell r="X390">
            <v>0</v>
          </cell>
          <cell r="Y390">
            <v>0</v>
          </cell>
          <cell r="AA390">
            <v>0</v>
          </cell>
        </row>
        <row r="391">
          <cell r="P391">
            <v>0</v>
          </cell>
          <cell r="V391">
            <v>0</v>
          </cell>
          <cell r="W391">
            <v>0</v>
          </cell>
          <cell r="X391">
            <v>25.333333333333332</v>
          </cell>
          <cell r="Y391">
            <v>19</v>
          </cell>
          <cell r="AA391">
            <v>0</v>
          </cell>
        </row>
        <row r="392">
          <cell r="P392">
            <v>0</v>
          </cell>
          <cell r="V392">
            <v>0</v>
          </cell>
          <cell r="W392">
            <v>0</v>
          </cell>
          <cell r="X392">
            <v>0</v>
          </cell>
          <cell r="Y392">
            <v>0</v>
          </cell>
          <cell r="AA392">
            <v>0</v>
          </cell>
        </row>
        <row r="393">
          <cell r="P393">
            <v>0</v>
          </cell>
          <cell r="V393">
            <v>0</v>
          </cell>
          <cell r="W393">
            <v>0</v>
          </cell>
          <cell r="X393">
            <v>0</v>
          </cell>
          <cell r="Y393">
            <v>0</v>
          </cell>
          <cell r="AA393">
            <v>0</v>
          </cell>
        </row>
        <row r="394">
          <cell r="P394">
            <v>5.333333333333333</v>
          </cell>
          <cell r="V394">
            <v>10</v>
          </cell>
          <cell r="W394">
            <v>8</v>
          </cell>
          <cell r="X394">
            <v>0</v>
          </cell>
          <cell r="Y394">
            <v>0</v>
          </cell>
          <cell r="AA394">
            <v>13.666666666666666</v>
          </cell>
        </row>
        <row r="395">
          <cell r="P395">
            <v>0</v>
          </cell>
          <cell r="V395">
            <v>0</v>
          </cell>
          <cell r="W395">
            <v>0</v>
          </cell>
          <cell r="X395">
            <v>0</v>
          </cell>
          <cell r="Y395">
            <v>0</v>
          </cell>
          <cell r="AA395">
            <v>0</v>
          </cell>
        </row>
        <row r="396">
          <cell r="P396">
            <v>4.333333333333333</v>
          </cell>
          <cell r="V396">
            <v>522.33333333333337</v>
          </cell>
          <cell r="W396">
            <v>424</v>
          </cell>
          <cell r="X396">
            <v>0</v>
          </cell>
          <cell r="Y396">
            <v>0</v>
          </cell>
          <cell r="AA396">
            <v>43</v>
          </cell>
        </row>
        <row r="397">
          <cell r="P397">
            <v>2</v>
          </cell>
          <cell r="V397">
            <v>0</v>
          </cell>
          <cell r="W397">
            <v>0</v>
          </cell>
          <cell r="X397">
            <v>10</v>
          </cell>
          <cell r="Y397">
            <v>7</v>
          </cell>
          <cell r="AA397">
            <v>0</v>
          </cell>
        </row>
        <row r="398">
          <cell r="P398">
            <v>0</v>
          </cell>
          <cell r="V398">
            <v>480.66666666666669</v>
          </cell>
          <cell r="W398">
            <v>390</v>
          </cell>
          <cell r="X398">
            <v>0</v>
          </cell>
          <cell r="Y398">
            <v>0</v>
          </cell>
          <cell r="AA398">
            <v>11</v>
          </cell>
        </row>
        <row r="399">
          <cell r="P399">
            <v>20.5</v>
          </cell>
          <cell r="V399">
            <v>0</v>
          </cell>
          <cell r="W399">
            <v>0</v>
          </cell>
          <cell r="X399">
            <v>522.33333333333337</v>
          </cell>
          <cell r="Y399">
            <v>386</v>
          </cell>
          <cell r="AA399">
            <v>0</v>
          </cell>
        </row>
        <row r="400">
          <cell r="P400">
            <v>0</v>
          </cell>
          <cell r="V400">
            <v>41.666666666666664</v>
          </cell>
          <cell r="W400">
            <v>34</v>
          </cell>
          <cell r="X400">
            <v>0</v>
          </cell>
          <cell r="Y400">
            <v>0</v>
          </cell>
          <cell r="AA400">
            <v>32</v>
          </cell>
        </row>
        <row r="401">
          <cell r="P401">
            <v>0</v>
          </cell>
          <cell r="V401">
            <v>0</v>
          </cell>
          <cell r="W401">
            <v>0</v>
          </cell>
          <cell r="X401">
            <v>480.66666666666669</v>
          </cell>
          <cell r="Y401">
            <v>355</v>
          </cell>
          <cell r="AA401">
            <v>0</v>
          </cell>
        </row>
        <row r="402">
          <cell r="P402">
            <v>0</v>
          </cell>
          <cell r="V402">
            <v>0</v>
          </cell>
          <cell r="W402">
            <v>0</v>
          </cell>
          <cell r="X402">
            <v>0</v>
          </cell>
          <cell r="Y402">
            <v>0</v>
          </cell>
          <cell r="AA402">
            <v>0</v>
          </cell>
        </row>
        <row r="403">
          <cell r="P403">
            <v>15.833333333333334</v>
          </cell>
          <cell r="V403">
            <v>0</v>
          </cell>
          <cell r="W403">
            <v>0</v>
          </cell>
          <cell r="X403">
            <v>41.666666666666664</v>
          </cell>
          <cell r="Y403">
            <v>31</v>
          </cell>
          <cell r="AA403">
            <v>0</v>
          </cell>
        </row>
        <row r="404">
          <cell r="P404">
            <v>4.666666666666667</v>
          </cell>
          <cell r="V404">
            <v>0</v>
          </cell>
          <cell r="W404">
            <v>0</v>
          </cell>
          <cell r="X404">
            <v>0</v>
          </cell>
          <cell r="Y404">
            <v>0</v>
          </cell>
          <cell r="AA404">
            <v>0</v>
          </cell>
        </row>
        <row r="405">
          <cell r="P405">
            <v>0</v>
          </cell>
          <cell r="V405">
            <v>0</v>
          </cell>
          <cell r="W405">
            <v>0</v>
          </cell>
          <cell r="X405">
            <v>0</v>
          </cell>
          <cell r="Y405">
            <v>0</v>
          </cell>
          <cell r="AA405">
            <v>0</v>
          </cell>
        </row>
        <row r="406">
          <cell r="P406">
            <v>39</v>
          </cell>
          <cell r="V406">
            <v>0</v>
          </cell>
          <cell r="W406">
            <v>0</v>
          </cell>
          <cell r="X406">
            <v>0</v>
          </cell>
          <cell r="Y406">
            <v>0</v>
          </cell>
          <cell r="AA406">
            <v>0</v>
          </cell>
        </row>
        <row r="407">
          <cell r="P407">
            <v>3.3333333333333335</v>
          </cell>
          <cell r="S407">
            <v>50.166666666666671</v>
          </cell>
          <cell r="V407">
            <v>37.833333333333343</v>
          </cell>
          <cell r="W407">
            <v>31</v>
          </cell>
          <cell r="X407">
            <v>0</v>
          </cell>
          <cell r="Y407">
            <v>0</v>
          </cell>
          <cell r="AA407">
            <v>26.000000000000004</v>
          </cell>
        </row>
        <row r="408">
          <cell r="P408">
            <v>35.666666666666664</v>
          </cell>
          <cell r="V408">
            <v>0</v>
          </cell>
          <cell r="W408">
            <v>0</v>
          </cell>
          <cell r="X408">
            <v>0</v>
          </cell>
          <cell r="Y408">
            <v>0</v>
          </cell>
          <cell r="AA408">
            <v>0</v>
          </cell>
        </row>
        <row r="409">
          <cell r="P409">
            <v>0</v>
          </cell>
          <cell r="V409">
            <v>0</v>
          </cell>
          <cell r="W409">
            <v>0</v>
          </cell>
          <cell r="X409">
            <v>0</v>
          </cell>
          <cell r="Y409">
            <v>0</v>
          </cell>
          <cell r="AA409">
            <v>0</v>
          </cell>
        </row>
        <row r="410">
          <cell r="P410">
            <v>50.166666666666671</v>
          </cell>
          <cell r="S410">
            <v>50.166666666666671</v>
          </cell>
          <cell r="V410">
            <v>0</v>
          </cell>
          <cell r="W410">
            <v>0</v>
          </cell>
          <cell r="X410">
            <v>37.833333333333343</v>
          </cell>
          <cell r="Y410">
            <v>28</v>
          </cell>
          <cell r="AA410">
            <v>0</v>
          </cell>
        </row>
        <row r="411">
          <cell r="P411">
            <v>0</v>
          </cell>
          <cell r="V411">
            <v>0</v>
          </cell>
          <cell r="W411">
            <v>0</v>
          </cell>
          <cell r="X411">
            <v>0</v>
          </cell>
          <cell r="Y411">
            <v>0</v>
          </cell>
          <cell r="AA411">
            <v>0</v>
          </cell>
        </row>
        <row r="412">
          <cell r="P412">
            <v>0</v>
          </cell>
          <cell r="V412">
            <v>0</v>
          </cell>
          <cell r="W412">
            <v>0</v>
          </cell>
          <cell r="X412">
            <v>0</v>
          </cell>
          <cell r="Y412">
            <v>0</v>
          </cell>
          <cell r="AA412">
            <v>0</v>
          </cell>
        </row>
        <row r="413">
          <cell r="P413">
            <v>0</v>
          </cell>
          <cell r="V413">
            <v>3</v>
          </cell>
          <cell r="W413">
            <v>2</v>
          </cell>
          <cell r="X413">
            <v>0</v>
          </cell>
          <cell r="Y413">
            <v>0</v>
          </cell>
          <cell r="AA413">
            <v>3</v>
          </cell>
        </row>
        <row r="414">
          <cell r="P414">
            <v>12.333333333333334</v>
          </cell>
          <cell r="V414">
            <v>0</v>
          </cell>
          <cell r="W414">
            <v>0</v>
          </cell>
          <cell r="X414">
            <v>0</v>
          </cell>
          <cell r="Y414">
            <v>0</v>
          </cell>
          <cell r="AA414">
            <v>0</v>
          </cell>
        </row>
        <row r="415">
          <cell r="P415">
            <v>0</v>
          </cell>
          <cell r="V415">
            <v>0</v>
          </cell>
          <cell r="W415">
            <v>0</v>
          </cell>
          <cell r="X415">
            <v>0</v>
          </cell>
          <cell r="Y415">
            <v>0</v>
          </cell>
          <cell r="AA415">
            <v>0</v>
          </cell>
        </row>
        <row r="416">
          <cell r="P416">
            <v>5</v>
          </cell>
          <cell r="V416">
            <v>4.5</v>
          </cell>
          <cell r="W416">
            <v>4</v>
          </cell>
          <cell r="X416">
            <v>3</v>
          </cell>
          <cell r="Y416">
            <v>2</v>
          </cell>
          <cell r="AA416">
            <v>1.3333333333333333</v>
          </cell>
        </row>
        <row r="417">
          <cell r="P417">
            <v>0</v>
          </cell>
          <cell r="V417">
            <v>0</v>
          </cell>
          <cell r="W417">
            <v>0</v>
          </cell>
          <cell r="X417">
            <v>0</v>
          </cell>
          <cell r="Y417">
            <v>0</v>
          </cell>
          <cell r="AA417">
            <v>1.6666666666666667</v>
          </cell>
        </row>
        <row r="418">
          <cell r="P418">
            <v>0</v>
          </cell>
          <cell r="V418">
            <v>0</v>
          </cell>
          <cell r="W418">
            <v>0</v>
          </cell>
          <cell r="X418">
            <v>0</v>
          </cell>
          <cell r="Y418">
            <v>0</v>
          </cell>
          <cell r="AA418">
            <v>0</v>
          </cell>
        </row>
        <row r="419">
          <cell r="P419">
            <v>18.5</v>
          </cell>
          <cell r="V419">
            <v>10</v>
          </cell>
          <cell r="W419">
            <v>8</v>
          </cell>
          <cell r="X419">
            <v>4.5</v>
          </cell>
          <cell r="Y419">
            <v>3</v>
          </cell>
          <cell r="AA419">
            <v>7.666666666666667</v>
          </cell>
        </row>
        <row r="420">
          <cell r="P420">
            <v>1.3333333333333333</v>
          </cell>
          <cell r="V420">
            <v>1.3333333333333333</v>
          </cell>
          <cell r="W420">
            <v>1</v>
          </cell>
          <cell r="X420">
            <v>0</v>
          </cell>
          <cell r="Y420">
            <v>0</v>
          </cell>
          <cell r="AA420">
            <v>1</v>
          </cell>
        </row>
        <row r="421">
          <cell r="P421">
            <v>0</v>
          </cell>
          <cell r="V421">
            <v>1</v>
          </cell>
          <cell r="W421">
            <v>1</v>
          </cell>
          <cell r="X421">
            <v>0</v>
          </cell>
          <cell r="Y421">
            <v>0</v>
          </cell>
          <cell r="AA421">
            <v>0.66666666666666663</v>
          </cell>
        </row>
        <row r="422">
          <cell r="P422">
            <v>0</v>
          </cell>
          <cell r="V422">
            <v>6</v>
          </cell>
          <cell r="W422">
            <v>5</v>
          </cell>
          <cell r="X422">
            <v>10</v>
          </cell>
          <cell r="Y422">
            <v>7</v>
          </cell>
          <cell r="AA422">
            <v>5</v>
          </cell>
        </row>
        <row r="423">
          <cell r="P423">
            <v>2</v>
          </cell>
          <cell r="V423">
            <v>0</v>
          </cell>
          <cell r="W423">
            <v>0</v>
          </cell>
          <cell r="X423">
            <v>1.3333333333333333</v>
          </cell>
          <cell r="Y423">
            <v>1</v>
          </cell>
          <cell r="AA423">
            <v>0</v>
          </cell>
        </row>
        <row r="424">
          <cell r="P424">
            <v>0.33333333333333331</v>
          </cell>
          <cell r="V424">
            <v>0</v>
          </cell>
          <cell r="W424">
            <v>0</v>
          </cell>
          <cell r="X424">
            <v>1</v>
          </cell>
          <cell r="Y424">
            <v>1</v>
          </cell>
          <cell r="AA424">
            <v>0</v>
          </cell>
        </row>
        <row r="425">
          <cell r="P425">
            <v>2.3333333333333335</v>
          </cell>
          <cell r="V425">
            <v>0</v>
          </cell>
          <cell r="W425">
            <v>0</v>
          </cell>
          <cell r="X425">
            <v>6</v>
          </cell>
          <cell r="Y425">
            <v>4</v>
          </cell>
          <cell r="AA425">
            <v>0</v>
          </cell>
        </row>
        <row r="426">
          <cell r="P426">
            <v>0</v>
          </cell>
          <cell r="V426">
            <v>0</v>
          </cell>
          <cell r="W426">
            <v>0</v>
          </cell>
          <cell r="X426">
            <v>0</v>
          </cell>
          <cell r="Y426">
            <v>0</v>
          </cell>
          <cell r="AA426">
            <v>0</v>
          </cell>
        </row>
        <row r="427">
          <cell r="P427">
            <v>0</v>
          </cell>
          <cell r="V427">
            <v>0.66666666666666663</v>
          </cell>
          <cell r="W427">
            <v>1</v>
          </cell>
          <cell r="X427">
            <v>0</v>
          </cell>
          <cell r="Y427">
            <v>0</v>
          </cell>
          <cell r="AA427">
            <v>0.66666666666666663</v>
          </cell>
        </row>
        <row r="428">
          <cell r="P428">
            <v>1</v>
          </cell>
          <cell r="V428">
            <v>0.66666666666666663</v>
          </cell>
          <cell r="W428">
            <v>1</v>
          </cell>
          <cell r="X428">
            <v>0</v>
          </cell>
          <cell r="Y428">
            <v>0</v>
          </cell>
          <cell r="AA428">
            <v>0.66666666666666663</v>
          </cell>
        </row>
        <row r="429">
          <cell r="P429">
            <v>0</v>
          </cell>
          <cell r="V429">
            <v>3</v>
          </cell>
          <cell r="W429">
            <v>2</v>
          </cell>
          <cell r="X429">
            <v>0</v>
          </cell>
          <cell r="Y429">
            <v>0</v>
          </cell>
          <cell r="AA429">
            <v>2</v>
          </cell>
        </row>
        <row r="430">
          <cell r="P430">
            <v>0.66666666666666663</v>
          </cell>
          <cell r="V430">
            <v>0</v>
          </cell>
          <cell r="W430">
            <v>0</v>
          </cell>
          <cell r="X430">
            <v>0.66666666666666663</v>
          </cell>
          <cell r="Y430">
            <v>0</v>
          </cell>
          <cell r="AA430">
            <v>0</v>
          </cell>
        </row>
        <row r="431">
          <cell r="P431">
            <v>0.66666666666666663</v>
          </cell>
          <cell r="V431">
            <v>0</v>
          </cell>
          <cell r="W431">
            <v>0</v>
          </cell>
          <cell r="X431">
            <v>0.66666666666666663</v>
          </cell>
          <cell r="Y431">
            <v>0</v>
          </cell>
          <cell r="AA431">
            <v>0</v>
          </cell>
        </row>
        <row r="432">
          <cell r="P432">
            <v>4.666666666666667</v>
          </cell>
          <cell r="V432">
            <v>0</v>
          </cell>
          <cell r="W432">
            <v>0</v>
          </cell>
          <cell r="X432">
            <v>3</v>
          </cell>
          <cell r="Y432">
            <v>2</v>
          </cell>
          <cell r="AA432">
            <v>0</v>
          </cell>
        </row>
        <row r="433">
          <cell r="P433">
            <v>0</v>
          </cell>
          <cell r="V433">
            <v>0</v>
          </cell>
          <cell r="W433">
            <v>0</v>
          </cell>
          <cell r="X433">
            <v>0</v>
          </cell>
          <cell r="Y433">
            <v>0</v>
          </cell>
          <cell r="AA433">
            <v>0</v>
          </cell>
        </row>
        <row r="434">
          <cell r="P434">
            <v>0</v>
          </cell>
          <cell r="V434">
            <v>0</v>
          </cell>
          <cell r="W434">
            <v>0</v>
          </cell>
          <cell r="X434">
            <v>0</v>
          </cell>
          <cell r="Y434">
            <v>0</v>
          </cell>
          <cell r="AA434">
            <v>0</v>
          </cell>
        </row>
        <row r="435">
          <cell r="P435">
            <v>0</v>
          </cell>
          <cell r="V435">
            <v>4</v>
          </cell>
          <cell r="W435">
            <v>3</v>
          </cell>
          <cell r="X435">
            <v>0</v>
          </cell>
          <cell r="Y435">
            <v>0</v>
          </cell>
          <cell r="AA435">
            <v>2</v>
          </cell>
        </row>
        <row r="436">
          <cell r="P436">
            <v>0</v>
          </cell>
          <cell r="V436">
            <v>0</v>
          </cell>
          <cell r="W436">
            <v>0</v>
          </cell>
          <cell r="X436">
            <v>0</v>
          </cell>
          <cell r="Y436">
            <v>0</v>
          </cell>
          <cell r="AA436">
            <v>0</v>
          </cell>
        </row>
        <row r="437">
          <cell r="P437">
            <v>0</v>
          </cell>
          <cell r="V437">
            <v>3.3333333333333335</v>
          </cell>
          <cell r="W437">
            <v>3</v>
          </cell>
          <cell r="X437">
            <v>0</v>
          </cell>
          <cell r="Y437">
            <v>0</v>
          </cell>
          <cell r="AA437">
            <v>0</v>
          </cell>
        </row>
        <row r="438">
          <cell r="P438">
            <v>1</v>
          </cell>
          <cell r="V438">
            <v>0.33333333333333331</v>
          </cell>
          <cell r="W438">
            <v>0</v>
          </cell>
          <cell r="X438">
            <v>4</v>
          </cell>
          <cell r="Y438">
            <v>3</v>
          </cell>
          <cell r="AA438">
            <v>0.33333333333333331</v>
          </cell>
        </row>
        <row r="439">
          <cell r="P439">
            <v>0</v>
          </cell>
          <cell r="V439">
            <v>0</v>
          </cell>
          <cell r="W439">
            <v>0</v>
          </cell>
          <cell r="X439">
            <v>0</v>
          </cell>
          <cell r="Y439">
            <v>0</v>
          </cell>
          <cell r="AA439">
            <v>0</v>
          </cell>
        </row>
        <row r="440">
          <cell r="P440">
            <v>0</v>
          </cell>
          <cell r="V440">
            <v>0</v>
          </cell>
          <cell r="W440">
            <v>0</v>
          </cell>
          <cell r="X440">
            <v>3.3333333333333335</v>
          </cell>
          <cell r="Y440">
            <v>2</v>
          </cell>
          <cell r="AA440">
            <v>0</v>
          </cell>
        </row>
        <row r="441">
          <cell r="P441">
            <v>0.33333333333333331</v>
          </cell>
          <cell r="V441">
            <v>0</v>
          </cell>
          <cell r="W441">
            <v>0</v>
          </cell>
          <cell r="X441">
            <v>0.33333333333333331</v>
          </cell>
          <cell r="Y441">
            <v>0</v>
          </cell>
          <cell r="AA441">
            <v>0</v>
          </cell>
        </row>
        <row r="442">
          <cell r="P442">
            <v>0</v>
          </cell>
          <cell r="V442">
            <v>0</v>
          </cell>
          <cell r="W442">
            <v>0</v>
          </cell>
          <cell r="X442">
            <v>0</v>
          </cell>
          <cell r="Y442">
            <v>0</v>
          </cell>
          <cell r="AA442">
            <v>0</v>
          </cell>
        </row>
        <row r="443">
          <cell r="P443">
            <v>0</v>
          </cell>
          <cell r="V443">
            <v>0</v>
          </cell>
          <cell r="W443">
            <v>0</v>
          </cell>
          <cell r="X443">
            <v>0</v>
          </cell>
          <cell r="Y443">
            <v>0</v>
          </cell>
          <cell r="AA443">
            <v>0</v>
          </cell>
        </row>
        <row r="444">
          <cell r="P444">
            <v>0</v>
          </cell>
          <cell r="V444">
            <v>0</v>
          </cell>
          <cell r="W444">
            <v>0</v>
          </cell>
          <cell r="X444">
            <v>0</v>
          </cell>
          <cell r="Y444">
            <v>0</v>
          </cell>
          <cell r="AA444">
            <v>0</v>
          </cell>
        </row>
        <row r="445">
          <cell r="P445">
            <v>0</v>
          </cell>
          <cell r="V445">
            <v>0</v>
          </cell>
          <cell r="W445">
            <v>0</v>
          </cell>
          <cell r="X445">
            <v>0</v>
          </cell>
          <cell r="Y445">
            <v>0</v>
          </cell>
          <cell r="AA445">
            <v>0</v>
          </cell>
        </row>
        <row r="446">
          <cell r="P446">
            <v>0</v>
          </cell>
          <cell r="V446">
            <v>0</v>
          </cell>
          <cell r="W446">
            <v>0</v>
          </cell>
          <cell r="X446">
            <v>0</v>
          </cell>
          <cell r="Y446">
            <v>0</v>
          </cell>
          <cell r="AA446">
            <v>0</v>
          </cell>
        </row>
        <row r="447">
          <cell r="P447">
            <v>0</v>
          </cell>
          <cell r="X447">
            <v>0</v>
          </cell>
          <cell r="Y447">
            <v>0</v>
          </cell>
        </row>
        <row r="448">
          <cell r="P448">
            <v>0</v>
          </cell>
          <cell r="X448">
            <v>0</v>
          </cell>
          <cell r="Y448">
            <v>0</v>
          </cell>
        </row>
        <row r="449">
          <cell r="P449">
            <v>0</v>
          </cell>
          <cell r="X449">
            <v>0</v>
          </cell>
          <cell r="Y449">
            <v>0</v>
          </cell>
        </row>
      </sheetData>
      <sheetData sheetId="16" refreshError="1">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 xml:space="preserve">                   ПЛАЧКОВ І.В.</v>
          </cell>
          <cell r="T32" t="str">
            <v>І.В.ПЛАЧКОВ</v>
          </cell>
          <cell r="V32">
            <v>391</v>
          </cell>
        </row>
        <row r="33">
          <cell r="N33">
            <v>130.30000000000001</v>
          </cell>
          <cell r="Q33">
            <v>233.6</v>
          </cell>
          <cell r="S33">
            <v>52204</v>
          </cell>
          <cell r="V33">
            <v>363.9</v>
          </cell>
          <cell r="W33" t="str">
            <v xml:space="preserve">                      ПЛАЧКОВ І.В.</v>
          </cell>
        </row>
        <row r="34">
          <cell r="Q34" t="str">
            <v>КТМ</v>
          </cell>
          <cell r="V34">
            <v>0</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ТЕЦ-6 ВСЬОГО</v>
          </cell>
          <cell r="Q36" t="str">
            <v>Е/Е</v>
          </cell>
          <cell r="R36" t="str">
            <v xml:space="preserve"> Т/Е</v>
          </cell>
          <cell r="S36" t="str">
            <v xml:space="preserve">ДОП.ВИР. </v>
          </cell>
          <cell r="T36" t="str">
            <v>РЕЗЕРВ</v>
          </cell>
          <cell r="U36" t="str">
            <v>Е/Е</v>
          </cell>
          <cell r="V36" t="str">
            <v xml:space="preserve"> Т/Е</v>
          </cell>
          <cell r="W36" t="str">
            <v>АК КЕ ВСЬОГО</v>
          </cell>
          <cell r="X36" t="str">
            <v>Е/Е</v>
          </cell>
          <cell r="Y36" t="str">
            <v xml:space="preserve"> Т/Е</v>
          </cell>
          <cell r="Z36" t="str">
            <v>СТАНЦІї ЕЛЕКТРО</v>
          </cell>
          <cell r="AA36" t="str">
            <v>СТАНЦІІ ТЕПЛОВІ</v>
          </cell>
          <cell r="AB36" t="str">
            <v>МЕРЕЖІ ЕЛЕКТРО</v>
          </cell>
          <cell r="AC36" t="str">
            <v>МЕРЕЖІ ТЕПЛОВІ</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v>200.95</v>
          </cell>
          <cell r="O38" t="str">
            <v xml:space="preserve"> Т/Е</v>
          </cell>
          <cell r="P38" t="str">
            <v>ТЕЦ-6 ВСЬОГО</v>
          </cell>
          <cell r="Q38">
            <v>135.85</v>
          </cell>
          <cell r="R38" t="str">
            <v xml:space="preserve"> Т/Е</v>
          </cell>
          <cell r="S38" t="str">
            <v xml:space="preserve">ДОП.ВИР. </v>
          </cell>
          <cell r="T38" t="str">
            <v>ДОП.ВИР. СТ.ОРГ.</v>
          </cell>
          <cell r="U38" t="str">
            <v>АК КЕ ВСЬОГО</v>
          </cell>
          <cell r="V38" t="str">
            <v>Е/Е</v>
          </cell>
          <cell r="W38" t="str">
            <v xml:space="preserve"> Т/Е</v>
          </cell>
          <cell r="X38">
            <v>336.79999999999995</v>
          </cell>
          <cell r="Y38" t="str">
            <v xml:space="preserve"> Т/Е</v>
          </cell>
          <cell r="Z38" t="str">
            <v xml:space="preserve"> Т/Е</v>
          </cell>
          <cell r="AB38" t="str">
            <v xml:space="preserve"> Т/Е</v>
          </cell>
          <cell r="AC38" t="str">
            <v>СТАНЦІї ЕЛЕКТРО</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t="e">
            <v>#REF!</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330</v>
          </cell>
          <cell r="M47" t="e">
            <v>#REF!</v>
          </cell>
          <cell r="N47" t="e">
            <v>#REF!</v>
          </cell>
          <cell r="O47">
            <v>280</v>
          </cell>
          <cell r="P47" t="e">
            <v>#REF!</v>
          </cell>
          <cell r="Q47" t="e">
            <v>#REF!</v>
          </cell>
          <cell r="R47">
            <v>320</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t="e">
            <v>#REF!</v>
          </cell>
          <cell r="Q48" t="e">
            <v>#REF!</v>
          </cell>
          <cell r="R48" t="e">
            <v>#REF!</v>
          </cell>
          <cell r="S48">
            <v>4914.9412121212117</v>
          </cell>
          <cell r="T48">
            <v>51</v>
          </cell>
          <cell r="U48" t="e">
            <v>#REF!</v>
          </cell>
          <cell r="V48" t="e">
            <v>#REF!</v>
          </cell>
          <cell r="W48">
            <v>0</v>
          </cell>
          <cell r="X48" t="e">
            <v>#REF!</v>
          </cell>
          <cell r="Y48" t="e">
            <v>#REF!</v>
          </cell>
          <cell r="Z48" t="e">
            <v>#REF!</v>
          </cell>
          <cell r="AA48" t="e">
            <v>#REF!</v>
          </cell>
        </row>
        <row r="49">
          <cell r="C49" t="e">
            <v>#REF!</v>
          </cell>
          <cell r="D49" t="e">
            <v>#REF!</v>
          </cell>
          <cell r="E49" t="e">
            <v>#REF!</v>
          </cell>
          <cell r="I49" t="e">
            <v>#REF!</v>
          </cell>
          <cell r="J49" t="e">
            <v>#REF!</v>
          </cell>
          <cell r="K49" t="e">
            <v>#REF!</v>
          </cell>
          <cell r="L49" t="e">
            <v>#REF!</v>
          </cell>
          <cell r="M49" t="e">
            <v>#REF!</v>
          </cell>
          <cell r="N49" t="e">
            <v>#REF!</v>
          </cell>
          <cell r="O49" t="e">
            <v>#REF!</v>
          </cell>
          <cell r="P49" t="e">
            <v>#REF!</v>
          </cell>
          <cell r="Q49" t="e">
            <v>#REF!</v>
          </cell>
          <cell r="R49" t="e">
            <v>#REF!</v>
          </cell>
          <cell r="T49">
            <v>112</v>
          </cell>
          <cell r="U49">
            <v>28</v>
          </cell>
          <cell r="V49">
            <v>84</v>
          </cell>
          <cell r="W49" t="e">
            <v>#REF!</v>
          </cell>
          <cell r="X49" t="e">
            <v>#REF!</v>
          </cell>
          <cell r="Y49" t="e">
            <v>#REF!</v>
          </cell>
          <cell r="Z49" t="e">
            <v>#REF!</v>
          </cell>
          <cell r="AA49" t="e">
            <v>#REF!</v>
          </cell>
          <cell r="AB49" t="e">
            <v>#REF!</v>
          </cell>
          <cell r="AC49" t="e">
            <v>#REF!</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0</v>
          </cell>
          <cell r="D51">
            <v>0</v>
          </cell>
          <cell r="E51">
            <v>0</v>
          </cell>
          <cell r="I51">
            <v>0</v>
          </cell>
          <cell r="J51">
            <v>380</v>
          </cell>
          <cell r="K51">
            <v>190</v>
          </cell>
          <cell r="L51">
            <v>190</v>
          </cell>
          <cell r="M51">
            <v>42.300000000000004</v>
          </cell>
          <cell r="N51">
            <v>24</v>
          </cell>
          <cell r="O51">
            <v>18.300000000000004</v>
          </cell>
          <cell r="P51">
            <v>91.8</v>
          </cell>
          <cell r="Q51">
            <v>36</v>
          </cell>
          <cell r="R51">
            <v>55.8</v>
          </cell>
          <cell r="S51">
            <v>0</v>
          </cell>
          <cell r="T51">
            <v>16</v>
          </cell>
          <cell r="U51">
            <v>1046.3333333333335</v>
          </cell>
          <cell r="V51">
            <v>0</v>
          </cell>
          <cell r="W51">
            <v>134.1</v>
          </cell>
          <cell r="X51">
            <v>60</v>
          </cell>
          <cell r="Y51">
            <v>74.099999999999994</v>
          </cell>
          <cell r="Z51">
            <v>5116.3333333333339</v>
          </cell>
          <cell r="AA51">
            <v>2319</v>
          </cell>
          <cell r="AB51">
            <v>7435.3333333333339</v>
          </cell>
          <cell r="AC51">
            <v>250</v>
          </cell>
        </row>
        <row r="52">
          <cell r="C52">
            <v>200</v>
          </cell>
          <cell r="D52">
            <v>72</v>
          </cell>
          <cell r="E52">
            <v>128</v>
          </cell>
          <cell r="I52">
            <v>0</v>
          </cell>
          <cell r="J52">
            <v>280</v>
          </cell>
          <cell r="K52" t="e">
            <v>#REF!</v>
          </cell>
          <cell r="L52" t="e">
            <v>#REF!</v>
          </cell>
          <cell r="M52">
            <v>3</v>
          </cell>
          <cell r="N52">
            <v>2</v>
          </cell>
          <cell r="O52">
            <v>1</v>
          </cell>
          <cell r="P52">
            <v>6</v>
          </cell>
          <cell r="Q52">
            <v>4</v>
          </cell>
          <cell r="R52">
            <v>2</v>
          </cell>
          <cell r="S52">
            <v>750</v>
          </cell>
          <cell r="U52">
            <v>331</v>
          </cell>
          <cell r="V52">
            <v>0</v>
          </cell>
          <cell r="W52">
            <v>200</v>
          </cell>
          <cell r="X52">
            <v>72</v>
          </cell>
          <cell r="Y52">
            <v>128</v>
          </cell>
          <cell r="Z52">
            <v>30</v>
          </cell>
        </row>
        <row r="53">
          <cell r="C53" t="e">
            <v>#REF!</v>
          </cell>
          <cell r="D53" t="e">
            <v>#REF!</v>
          </cell>
          <cell r="E53" t="e">
            <v>#REF!</v>
          </cell>
          <cell r="I53" t="e">
            <v>#REF!</v>
          </cell>
          <cell r="J53" t="e">
            <v>#REF!</v>
          </cell>
          <cell r="K53" t="e">
            <v>#REF!</v>
          </cell>
          <cell r="L53" t="e">
            <v>#REF!</v>
          </cell>
          <cell r="M53" t="e">
            <v>#REF!</v>
          </cell>
          <cell r="N53" t="e">
            <v>#REF!</v>
          </cell>
          <cell r="O53" t="e">
            <v>#REF!</v>
          </cell>
          <cell r="P53" t="e">
            <v>#REF!</v>
          </cell>
          <cell r="Q53" t="e">
            <v>#REF!</v>
          </cell>
          <cell r="R53" t="e">
            <v>#REF!</v>
          </cell>
          <cell r="T53">
            <v>90</v>
          </cell>
          <cell r="U53">
            <v>30</v>
          </cell>
          <cell r="V53">
            <v>60</v>
          </cell>
          <cell r="W53" t="e">
            <v>#REF!</v>
          </cell>
          <cell r="X53" t="e">
            <v>#REF!</v>
          </cell>
          <cell r="Y53" t="e">
            <v>#REF!</v>
          </cell>
          <cell r="Z53" t="e">
            <v>#REF!</v>
          </cell>
          <cell r="AA53" t="e">
            <v>#REF!</v>
          </cell>
          <cell r="AB53" t="e">
            <v>#REF!</v>
          </cell>
          <cell r="AC53" t="e">
            <v>#REF!</v>
          </cell>
        </row>
        <row r="54">
          <cell r="C54" t="e">
            <v>#REF!</v>
          </cell>
          <cell r="D54" t="e">
            <v>#REF!</v>
          </cell>
          <cell r="E54" t="e">
            <v>#REF!</v>
          </cell>
          <cell r="I54" t="e">
            <v>#REF!</v>
          </cell>
          <cell r="J54" t="e">
            <v>#REF!</v>
          </cell>
          <cell r="K54" t="e">
            <v>#REF!</v>
          </cell>
          <cell r="L54" t="e">
            <v>#REF!</v>
          </cell>
          <cell r="M54" t="e">
            <v>#REF!</v>
          </cell>
          <cell r="N54" t="e">
            <v>#REF!</v>
          </cell>
          <cell r="O54" t="e">
            <v>#REF!</v>
          </cell>
          <cell r="P54" t="e">
            <v>#REF!</v>
          </cell>
          <cell r="Q54" t="e">
            <v>#REF!</v>
          </cell>
          <cell r="R54" t="e">
            <v>#REF!</v>
          </cell>
          <cell r="S54">
            <v>84</v>
          </cell>
          <cell r="T54">
            <v>42</v>
          </cell>
          <cell r="U54">
            <v>22</v>
          </cell>
          <cell r="V54">
            <v>20</v>
          </cell>
          <cell r="W54" t="e">
            <v>#REF!</v>
          </cell>
          <cell r="X54" t="e">
            <v>#REF!</v>
          </cell>
          <cell r="Y54" t="e">
            <v>#REF!</v>
          </cell>
          <cell r="Z54" t="e">
            <v>#REF!</v>
          </cell>
          <cell r="AA54" t="e">
            <v>#REF!</v>
          </cell>
          <cell r="AB54" t="e">
            <v>#REF!</v>
          </cell>
          <cell r="AC54" t="e">
            <v>#REF!</v>
          </cell>
        </row>
        <row r="55">
          <cell r="C55" t="e">
            <v>#REF!</v>
          </cell>
          <cell r="D55" t="e">
            <v>#REF!</v>
          </cell>
          <cell r="E55" t="e">
            <v>#REF!</v>
          </cell>
          <cell r="I55" t="e">
            <v>#REF!</v>
          </cell>
          <cell r="J55" t="e">
            <v>#REF!</v>
          </cell>
          <cell r="K55" t="e">
            <v>#REF!</v>
          </cell>
          <cell r="L55" t="e">
            <v>#REF!</v>
          </cell>
          <cell r="M55" t="e">
            <v>#REF!</v>
          </cell>
          <cell r="N55" t="e">
            <v>#REF!</v>
          </cell>
          <cell r="O55" t="e">
            <v>#REF!</v>
          </cell>
          <cell r="P55" t="e">
            <v>#REF!</v>
          </cell>
          <cell r="Q55" t="e">
            <v>#REF!</v>
          </cell>
          <cell r="R55" t="e">
            <v>#REF!</v>
          </cell>
          <cell r="S55">
            <v>329</v>
          </cell>
          <cell r="T55">
            <v>0</v>
          </cell>
          <cell r="U55">
            <v>1084</v>
          </cell>
          <cell r="V55">
            <v>0</v>
          </cell>
          <cell r="W55" t="e">
            <v>#REF!</v>
          </cell>
          <cell r="X55" t="e">
            <v>#REF!</v>
          </cell>
          <cell r="Y55" t="e">
            <v>#REF!</v>
          </cell>
          <cell r="Z55" t="e">
            <v>#REF!</v>
          </cell>
          <cell r="AA55" t="e">
            <v>#REF!</v>
          </cell>
          <cell r="AB55" t="e">
            <v>#REF!</v>
          </cell>
          <cell r="AC55" t="e">
            <v>#REF!</v>
          </cell>
        </row>
        <row r="56">
          <cell r="C56" t="e">
            <v>#REF!</v>
          </cell>
          <cell r="D56" t="e">
            <v>#REF!</v>
          </cell>
          <cell r="E56" t="e">
            <v>#REF!</v>
          </cell>
          <cell r="I56" t="e">
            <v>#REF!</v>
          </cell>
          <cell r="J56" t="e">
            <v>#REF!</v>
          </cell>
          <cell r="K56" t="e">
            <v>#REF!</v>
          </cell>
          <cell r="L56" t="e">
            <v>#REF!</v>
          </cell>
          <cell r="M56" t="e">
            <v>#REF!</v>
          </cell>
          <cell r="N56" t="e">
            <v>#REF!</v>
          </cell>
          <cell r="O56" t="e">
            <v>#REF!</v>
          </cell>
          <cell r="P56" t="e">
            <v>#REF!</v>
          </cell>
          <cell r="Q56" t="e">
            <v>#REF!</v>
          </cell>
          <cell r="R56" t="e">
            <v>#REF!</v>
          </cell>
          <cell r="S56">
            <v>0</v>
          </cell>
          <cell r="T56">
            <v>0</v>
          </cell>
          <cell r="U56">
            <v>589</v>
          </cell>
          <cell r="V56">
            <v>0</v>
          </cell>
          <cell r="W56" t="e">
            <v>#REF!</v>
          </cell>
          <cell r="X56" t="e">
            <v>#REF!</v>
          </cell>
          <cell r="Y56" t="e">
            <v>#REF!</v>
          </cell>
          <cell r="Z56" t="e">
            <v>#REF!</v>
          </cell>
          <cell r="AA56" t="e">
            <v>#REF!</v>
          </cell>
          <cell r="AB56" t="e">
            <v>#REF!</v>
          </cell>
          <cell r="AC56" t="e">
            <v>#REF!</v>
          </cell>
        </row>
        <row r="57">
          <cell r="C57" t="e">
            <v>#REF!</v>
          </cell>
          <cell r="D57" t="e">
            <v>#REF!</v>
          </cell>
          <cell r="E57" t="e">
            <v>#REF!</v>
          </cell>
          <cell r="I57" t="e">
            <v>#REF!</v>
          </cell>
          <cell r="J57" t="e">
            <v>#REF!</v>
          </cell>
          <cell r="K57" t="e">
            <v>#REF!</v>
          </cell>
          <cell r="L57" t="e">
            <v>#REF!</v>
          </cell>
          <cell r="M57" t="e">
            <v>#REF!</v>
          </cell>
          <cell r="N57" t="e">
            <v>#REF!</v>
          </cell>
          <cell r="O57">
            <v>0</v>
          </cell>
          <cell r="P57" t="e">
            <v>#REF!</v>
          </cell>
          <cell r="Q57" t="e">
            <v>#REF!</v>
          </cell>
          <cell r="R57">
            <v>0</v>
          </cell>
          <cell r="S57">
            <v>1232</v>
          </cell>
          <cell r="T57">
            <v>0</v>
          </cell>
          <cell r="U57">
            <v>20645</v>
          </cell>
          <cell r="V57">
            <v>0</v>
          </cell>
          <cell r="W57" t="e">
            <v>#REF!</v>
          </cell>
          <cell r="X57" t="e">
            <v>#REF!</v>
          </cell>
          <cell r="Y57" t="e">
            <v>#REF!</v>
          </cell>
          <cell r="Z57">
            <v>148014</v>
          </cell>
          <cell r="AA57" t="e">
            <v>#REF!</v>
          </cell>
          <cell r="AB57">
            <v>294840</v>
          </cell>
          <cell r="AC57">
            <v>12849</v>
          </cell>
        </row>
        <row r="58">
          <cell r="C58" t="e">
            <v>#REF!</v>
          </cell>
          <cell r="D58" t="e">
            <v>#REF!</v>
          </cell>
          <cell r="E58" t="e">
            <v>#REF!</v>
          </cell>
          <cell r="I58" t="e">
            <v>#REF!</v>
          </cell>
          <cell r="J58" t="e">
            <v>#REF!</v>
          </cell>
          <cell r="K58" t="e">
            <v>#REF!</v>
          </cell>
          <cell r="L58" t="e">
            <v>#REF!</v>
          </cell>
          <cell r="M58" t="e">
            <v>#REF!</v>
          </cell>
          <cell r="N58" t="e">
            <v>#REF!</v>
          </cell>
          <cell r="O58" t="e">
            <v>#REF!</v>
          </cell>
          <cell r="P58" t="e">
            <v>#REF!</v>
          </cell>
          <cell r="Q58" t="e">
            <v>#REF!</v>
          </cell>
          <cell r="R58" t="e">
            <v>#REF!</v>
          </cell>
          <cell r="S58">
            <v>0</v>
          </cell>
          <cell r="T58">
            <v>139</v>
          </cell>
          <cell r="U58">
            <v>2</v>
          </cell>
          <cell r="V58">
            <v>137</v>
          </cell>
          <cell r="W58" t="e">
            <v>#REF!</v>
          </cell>
          <cell r="X58" t="e">
            <v>#REF!</v>
          </cell>
          <cell r="Y58" t="e">
            <v>#REF!</v>
          </cell>
          <cell r="Z58" t="e">
            <v>#REF!</v>
          </cell>
          <cell r="AA58" t="e">
            <v>#REF!</v>
          </cell>
          <cell r="AB58" t="e">
            <v>#REF!</v>
          </cell>
          <cell r="AC58" t="e">
            <v>#REF!</v>
          </cell>
        </row>
        <row r="59">
          <cell r="C59" t="e">
            <v>#REF!</v>
          </cell>
          <cell r="D59" t="e">
            <v>#REF!</v>
          </cell>
          <cell r="E59" t="e">
            <v>#REF!</v>
          </cell>
          <cell r="I59" t="e">
            <v>#REF!</v>
          </cell>
          <cell r="J59" t="e">
            <v>#REF!</v>
          </cell>
          <cell r="K59" t="e">
            <v>#REF!</v>
          </cell>
          <cell r="L59" t="e">
            <v>#REF!</v>
          </cell>
          <cell r="M59" t="e">
            <v>#REF!</v>
          </cell>
          <cell r="N59" t="e">
            <v>#REF!</v>
          </cell>
          <cell r="O59" t="e">
            <v>#REF!</v>
          </cell>
          <cell r="P59" t="e">
            <v>#REF!</v>
          </cell>
          <cell r="Q59" t="e">
            <v>#REF!</v>
          </cell>
          <cell r="R59" t="e">
            <v>#REF!</v>
          </cell>
          <cell r="T59">
            <v>0</v>
          </cell>
          <cell r="U59">
            <v>0</v>
          </cell>
          <cell r="V59">
            <v>0</v>
          </cell>
          <cell r="W59" t="e">
            <v>#REF!</v>
          </cell>
          <cell r="X59" t="e">
            <v>#REF!</v>
          </cell>
          <cell r="Y59" t="e">
            <v>#REF!</v>
          </cell>
          <cell r="Z59" t="e">
            <v>#REF!</v>
          </cell>
          <cell r="AA59" t="e">
            <v>#REF!</v>
          </cell>
          <cell r="AB59" t="e">
            <v>#REF!</v>
          </cell>
          <cell r="AC59" t="e">
            <v>#REF!</v>
          </cell>
        </row>
        <row r="60">
          <cell r="C60" t="e">
            <v>#REF!</v>
          </cell>
          <cell r="D60" t="e">
            <v>#REF!</v>
          </cell>
          <cell r="E60" t="e">
            <v>#REF!</v>
          </cell>
          <cell r="I60" t="e">
            <v>#REF!</v>
          </cell>
          <cell r="J60" t="e">
            <v>#REF!</v>
          </cell>
          <cell r="K60" t="e">
            <v>#REF!</v>
          </cell>
          <cell r="L60" t="e">
            <v>#REF!</v>
          </cell>
          <cell r="M60" t="e">
            <v>#REF!</v>
          </cell>
          <cell r="N60" t="e">
            <v>#REF!</v>
          </cell>
          <cell r="O60" t="e">
            <v>#REF!</v>
          </cell>
          <cell r="P60" t="e">
            <v>#REF!</v>
          </cell>
          <cell r="Q60" t="e">
            <v>#REF!</v>
          </cell>
          <cell r="R60" t="e">
            <v>#REF!</v>
          </cell>
          <cell r="S60">
            <v>420</v>
          </cell>
          <cell r="T60">
            <v>29</v>
          </cell>
          <cell r="U60">
            <v>366</v>
          </cell>
          <cell r="V60">
            <v>0</v>
          </cell>
          <cell r="W60" t="e">
            <v>#REF!</v>
          </cell>
          <cell r="X60" t="e">
            <v>#REF!</v>
          </cell>
          <cell r="Y60" t="e">
            <v>#REF!</v>
          </cell>
          <cell r="Z60" t="e">
            <v>#REF!</v>
          </cell>
          <cell r="AA60" t="e">
            <v>#REF!</v>
          </cell>
          <cell r="AB60" t="e">
            <v>#REF!</v>
          </cell>
          <cell r="AC60" t="e">
            <v>#REF!</v>
          </cell>
        </row>
        <row r="61">
          <cell r="C61" t="e">
            <v>#REF!</v>
          </cell>
          <cell r="D61" t="e">
            <v>#REF!</v>
          </cell>
          <cell r="E61">
            <v>0</v>
          </cell>
          <cell r="I61" t="e">
            <v>#REF!</v>
          </cell>
          <cell r="J61" t="e">
            <v>#REF!</v>
          </cell>
          <cell r="K61" t="e">
            <v>#REF!</v>
          </cell>
          <cell r="L61" t="e">
            <v>#REF!</v>
          </cell>
          <cell r="M61" t="e">
            <v>#REF!</v>
          </cell>
          <cell r="N61" t="e">
            <v>#REF!</v>
          </cell>
          <cell r="O61" t="e">
            <v>#REF!</v>
          </cell>
          <cell r="P61" t="e">
            <v>#REF!</v>
          </cell>
          <cell r="Q61" t="e">
            <v>#REF!</v>
          </cell>
          <cell r="R61" t="e">
            <v>#REF!</v>
          </cell>
          <cell r="S61">
            <v>0</v>
          </cell>
          <cell r="T61">
            <v>686</v>
          </cell>
          <cell r="U61">
            <v>1366.4353077609278</v>
          </cell>
          <cell r="V61">
            <v>0</v>
          </cell>
          <cell r="W61" t="e">
            <v>#REF!</v>
          </cell>
          <cell r="X61" t="e">
            <v>#REF!</v>
          </cell>
          <cell r="Y61" t="e">
            <v>#REF!</v>
          </cell>
          <cell r="Z61">
            <v>0</v>
          </cell>
          <cell r="AA61">
            <v>0</v>
          </cell>
          <cell r="AB61">
            <v>0</v>
          </cell>
          <cell r="AC61">
            <v>0</v>
          </cell>
        </row>
        <row r="62">
          <cell r="C62" t="e">
            <v>#REF!</v>
          </cell>
          <cell r="D62" t="e">
            <v>#REF!</v>
          </cell>
          <cell r="E62" t="e">
            <v>#REF!</v>
          </cell>
          <cell r="I62" t="e">
            <v>#REF!</v>
          </cell>
          <cell r="J62" t="e">
            <v>#REF!</v>
          </cell>
          <cell r="K62" t="e">
            <v>#REF!</v>
          </cell>
          <cell r="L62" t="e">
            <v>#REF!</v>
          </cell>
          <cell r="M62" t="e">
            <v>#REF!</v>
          </cell>
          <cell r="N62" t="e">
            <v>#REF!</v>
          </cell>
          <cell r="O62" t="e">
            <v>#REF!</v>
          </cell>
          <cell r="P62" t="e">
            <v>#REF!</v>
          </cell>
          <cell r="Q62" t="e">
            <v>#REF!</v>
          </cell>
          <cell r="R62" t="e">
            <v>#REF!</v>
          </cell>
          <cell r="S62">
            <v>53</v>
          </cell>
          <cell r="T62">
            <v>257</v>
          </cell>
          <cell r="U62">
            <v>75</v>
          </cell>
          <cell r="V62">
            <v>0</v>
          </cell>
          <cell r="W62" t="e">
            <v>#REF!</v>
          </cell>
          <cell r="X62" t="e">
            <v>#REF!</v>
          </cell>
          <cell r="Y62" t="e">
            <v>#REF!</v>
          </cell>
          <cell r="Z62" t="e">
            <v>#REF!</v>
          </cell>
          <cell r="AA62" t="e">
            <v>#REF!</v>
          </cell>
          <cell r="AB62" t="e">
            <v>#REF!</v>
          </cell>
          <cell r="AC62" t="e">
            <v>#REF!</v>
          </cell>
        </row>
        <row r="63">
          <cell r="C63" t="e">
            <v>#REF!</v>
          </cell>
          <cell r="D63" t="e">
            <v>#REF!</v>
          </cell>
          <cell r="E63" t="e">
            <v>#REF!</v>
          </cell>
          <cell r="I63" t="e">
            <v>#REF!</v>
          </cell>
          <cell r="J63" t="e">
            <v>#REF!</v>
          </cell>
          <cell r="K63" t="e">
            <v>#REF!</v>
          </cell>
          <cell r="L63" t="e">
            <v>#REF!</v>
          </cell>
          <cell r="M63" t="e">
            <v>#REF!</v>
          </cell>
          <cell r="N63" t="e">
            <v>#REF!</v>
          </cell>
          <cell r="O63" t="e">
            <v>#REF!</v>
          </cell>
          <cell r="P63" t="e">
            <v>#REF!</v>
          </cell>
          <cell r="Q63" t="e">
            <v>#REF!</v>
          </cell>
          <cell r="R63" t="e">
            <v>#REF!</v>
          </cell>
          <cell r="S63">
            <v>0</v>
          </cell>
          <cell r="T63">
            <v>0</v>
          </cell>
          <cell r="U63">
            <v>438</v>
          </cell>
          <cell r="V63">
            <v>0</v>
          </cell>
          <cell r="W63" t="e">
            <v>#REF!</v>
          </cell>
          <cell r="X63" t="e">
            <v>#REF!</v>
          </cell>
          <cell r="Y63" t="e">
            <v>#REF!</v>
          </cell>
          <cell r="Z63" t="e">
            <v>#REF!</v>
          </cell>
          <cell r="AA63" t="e">
            <v>#REF!</v>
          </cell>
          <cell r="AB63" t="e">
            <v>#REF!</v>
          </cell>
          <cell r="AC63" t="e">
            <v>#REF!</v>
          </cell>
        </row>
        <row r="64">
          <cell r="C64" t="e">
            <v>#REF!</v>
          </cell>
          <cell r="D64" t="e">
            <v>#REF!</v>
          </cell>
          <cell r="E64" t="e">
            <v>#REF!</v>
          </cell>
          <cell r="I64" t="e">
            <v>#REF!</v>
          </cell>
          <cell r="J64" t="e">
            <v>#REF!</v>
          </cell>
          <cell r="K64" t="e">
            <v>#REF!</v>
          </cell>
          <cell r="L64" t="e">
            <v>#REF!</v>
          </cell>
          <cell r="M64" t="e">
            <v>#REF!</v>
          </cell>
          <cell r="N64" t="e">
            <v>#REF!</v>
          </cell>
          <cell r="O64" t="e">
            <v>#REF!</v>
          </cell>
          <cell r="P64" t="e">
            <v>#REF!</v>
          </cell>
          <cell r="Q64" t="e">
            <v>#REF!</v>
          </cell>
          <cell r="R64" t="e">
            <v>#REF!</v>
          </cell>
          <cell r="T64">
            <v>69</v>
          </cell>
          <cell r="U64">
            <v>106</v>
          </cell>
          <cell r="V64">
            <v>0</v>
          </cell>
          <cell r="W64" t="e">
            <v>#REF!</v>
          </cell>
          <cell r="X64" t="e">
            <v>#REF!</v>
          </cell>
          <cell r="Y64" t="e">
            <v>#REF!</v>
          </cell>
          <cell r="Z64">
            <v>805</v>
          </cell>
          <cell r="AA64" t="e">
            <v>#REF!</v>
          </cell>
          <cell r="AB64">
            <v>989</v>
          </cell>
          <cell r="AC64">
            <v>16</v>
          </cell>
        </row>
        <row r="65">
          <cell r="C65" t="e">
            <v>#REF!</v>
          </cell>
          <cell r="D65" t="e">
            <v>#REF!</v>
          </cell>
          <cell r="E65">
            <v>26</v>
          </cell>
          <cell r="I65" t="e">
            <v>#REF!</v>
          </cell>
          <cell r="J65" t="e">
            <v>#REF!</v>
          </cell>
          <cell r="K65" t="e">
            <v>#REF!</v>
          </cell>
          <cell r="L65" t="e">
            <v>#REF!</v>
          </cell>
          <cell r="M65" t="e">
            <v>#REF!</v>
          </cell>
          <cell r="N65" t="e">
            <v>#REF!</v>
          </cell>
          <cell r="O65" t="e">
            <v>#REF!</v>
          </cell>
          <cell r="P65" t="e">
            <v>#REF!</v>
          </cell>
          <cell r="Q65" t="e">
            <v>#REF!</v>
          </cell>
          <cell r="R65" t="e">
            <v>#REF!</v>
          </cell>
          <cell r="S65">
            <v>1018</v>
          </cell>
          <cell r="T65">
            <v>9</v>
          </cell>
          <cell r="U65">
            <v>2104</v>
          </cell>
          <cell r="V65">
            <v>0</v>
          </cell>
          <cell r="W65" t="e">
            <v>#REF!</v>
          </cell>
          <cell r="X65" t="e">
            <v>#REF!</v>
          </cell>
          <cell r="Y65" t="e">
            <v>#REF!</v>
          </cell>
          <cell r="Z65">
            <v>10684</v>
          </cell>
          <cell r="AA65" t="e">
            <v>#REF!</v>
          </cell>
          <cell r="AB65">
            <v>14646</v>
          </cell>
          <cell r="AC65">
            <v>553</v>
          </cell>
        </row>
        <row r="66">
          <cell r="C66" t="e">
            <v>#REF!</v>
          </cell>
          <cell r="D66" t="e">
            <v>#REF!</v>
          </cell>
          <cell r="E66" t="e">
            <v>#REF!</v>
          </cell>
          <cell r="I66" t="e">
            <v>#REF!</v>
          </cell>
          <cell r="J66" t="e">
            <v>#REF!</v>
          </cell>
          <cell r="K66" t="e">
            <v>#REF!</v>
          </cell>
          <cell r="L66" t="e">
            <v>#REF!</v>
          </cell>
          <cell r="M66" t="e">
            <v>#REF!</v>
          </cell>
          <cell r="N66" t="e">
            <v>#REF!</v>
          </cell>
          <cell r="O66" t="e">
            <v>#REF!</v>
          </cell>
          <cell r="P66" t="e">
            <v>#REF!</v>
          </cell>
          <cell r="Q66" t="e">
            <v>#REF!</v>
          </cell>
          <cell r="R66" t="e">
            <v>#REF!</v>
          </cell>
          <cell r="T66">
            <v>432</v>
          </cell>
          <cell r="U66">
            <v>173</v>
          </cell>
          <cell r="V66">
            <v>259</v>
          </cell>
          <cell r="W66" t="e">
            <v>#REF!</v>
          </cell>
          <cell r="X66" t="e">
            <v>#REF!</v>
          </cell>
          <cell r="Y66" t="e">
            <v>#REF!</v>
          </cell>
          <cell r="Z66" t="e">
            <v>#REF!</v>
          </cell>
          <cell r="AA66" t="e">
            <v>#REF!</v>
          </cell>
          <cell r="AB66" t="e">
            <v>#REF!</v>
          </cell>
          <cell r="AC66" t="e">
            <v>#REF!</v>
          </cell>
        </row>
        <row r="67">
          <cell r="C67" t="e">
            <v>#REF!</v>
          </cell>
          <cell r="D67" t="e">
            <v>#REF!</v>
          </cell>
          <cell r="I67" t="e">
            <v>#REF!</v>
          </cell>
          <cell r="J67" t="e">
            <v>#REF!</v>
          </cell>
          <cell r="K67" t="e">
            <v>#REF!</v>
          </cell>
          <cell r="L67" t="e">
            <v>#REF!</v>
          </cell>
          <cell r="M67" t="e">
            <v>#REF!</v>
          </cell>
          <cell r="N67" t="e">
            <v>#REF!</v>
          </cell>
          <cell r="O67" t="e">
            <v>#REF!</v>
          </cell>
          <cell r="P67" t="e">
            <v>#REF!</v>
          </cell>
          <cell r="Q67" t="e">
            <v>#REF!</v>
          </cell>
          <cell r="R67" t="e">
            <v>#REF!</v>
          </cell>
          <cell r="U67">
            <v>347</v>
          </cell>
          <cell r="V67">
            <v>0</v>
          </cell>
          <cell r="W67" t="e">
            <v>#REF!</v>
          </cell>
          <cell r="X67" t="e">
            <v>#REF!</v>
          </cell>
          <cell r="Y67" t="e">
            <v>#REF!</v>
          </cell>
          <cell r="Z67">
            <v>293</v>
          </cell>
          <cell r="AB67">
            <v>293</v>
          </cell>
        </row>
        <row r="68">
          <cell r="C68" t="e">
            <v>#REF!</v>
          </cell>
          <cell r="D68" t="e">
            <v>#REF!</v>
          </cell>
          <cell r="E68">
            <v>31</v>
          </cell>
          <cell r="I68" t="e">
            <v>#REF!</v>
          </cell>
          <cell r="J68" t="e">
            <v>#REF!</v>
          </cell>
          <cell r="K68" t="e">
            <v>#REF!</v>
          </cell>
          <cell r="L68" t="e">
            <v>#REF!</v>
          </cell>
          <cell r="M68" t="e">
            <v>#REF!</v>
          </cell>
          <cell r="N68" t="e">
            <v>#REF!</v>
          </cell>
          <cell r="O68" t="e">
            <v>#REF!</v>
          </cell>
          <cell r="P68" t="e">
            <v>#REF!</v>
          </cell>
          <cell r="Q68" t="e">
            <v>#REF!</v>
          </cell>
          <cell r="R68" t="e">
            <v>#REF!</v>
          </cell>
          <cell r="S68">
            <v>0</v>
          </cell>
          <cell r="T68">
            <v>12</v>
          </cell>
          <cell r="U68">
            <v>4593</v>
          </cell>
          <cell r="V68">
            <v>0</v>
          </cell>
          <cell r="W68" t="e">
            <v>#REF!</v>
          </cell>
          <cell r="X68" t="e">
            <v>#REF!</v>
          </cell>
          <cell r="Y68" t="e">
            <v>#REF!</v>
          </cell>
          <cell r="Z68">
            <v>12027</v>
          </cell>
          <cell r="AA68">
            <v>3910</v>
          </cell>
          <cell r="AB68">
            <v>15937</v>
          </cell>
          <cell r="AC68">
            <v>1606</v>
          </cell>
        </row>
        <row r="69">
          <cell r="C69" t="e">
            <v>#REF!</v>
          </cell>
          <cell r="D69" t="e">
            <v>#REF!</v>
          </cell>
          <cell r="E69" t="e">
            <v>#REF!</v>
          </cell>
          <cell r="I69" t="e">
            <v>#REF!</v>
          </cell>
          <cell r="J69" t="e">
            <v>#REF!</v>
          </cell>
          <cell r="K69" t="e">
            <v>#REF!</v>
          </cell>
          <cell r="L69" t="e">
            <v>#REF!</v>
          </cell>
          <cell r="M69" t="e">
            <v>#REF!</v>
          </cell>
          <cell r="N69" t="e">
            <v>#REF!</v>
          </cell>
          <cell r="O69" t="e">
            <v>#REF!</v>
          </cell>
          <cell r="P69" t="e">
            <v>#REF!</v>
          </cell>
          <cell r="Q69" t="e">
            <v>#REF!</v>
          </cell>
          <cell r="R69" t="e">
            <v>#REF!</v>
          </cell>
          <cell r="S69">
            <v>1018</v>
          </cell>
          <cell r="T69">
            <v>146.88</v>
          </cell>
          <cell r="U69">
            <v>410.56140350877189</v>
          </cell>
          <cell r="V69">
            <v>0</v>
          </cell>
          <cell r="W69" t="e">
            <v>#REF!</v>
          </cell>
          <cell r="X69" t="e">
            <v>#REF!</v>
          </cell>
          <cell r="Y69" t="e">
            <v>#REF!</v>
          </cell>
          <cell r="Z69">
            <v>2169.4912280701756</v>
          </cell>
          <cell r="AA69">
            <v>948</v>
          </cell>
          <cell r="AB69">
            <v>3117.4912280701756</v>
          </cell>
        </row>
        <row r="70">
          <cell r="C70" t="e">
            <v>#REF!</v>
          </cell>
          <cell r="D70" t="e">
            <v>#REF!</v>
          </cell>
          <cell r="E70" t="e">
            <v>#REF!</v>
          </cell>
          <cell r="I70" t="e">
            <v>#REF!</v>
          </cell>
          <cell r="J70" t="e">
            <v>#REF!</v>
          </cell>
          <cell r="K70" t="e">
            <v>#REF!</v>
          </cell>
          <cell r="L70" t="e">
            <v>#REF!</v>
          </cell>
          <cell r="M70" t="e">
            <v>#REF!</v>
          </cell>
          <cell r="N70" t="e">
            <v>#REF!</v>
          </cell>
          <cell r="O70" t="e">
            <v>#REF!</v>
          </cell>
          <cell r="P70" t="e">
            <v>#REF!</v>
          </cell>
          <cell r="Q70" t="e">
            <v>#REF!</v>
          </cell>
          <cell r="R70" t="e">
            <v>#REF!</v>
          </cell>
          <cell r="S70">
            <v>1737.3999999999999</v>
          </cell>
          <cell r="T70">
            <v>12</v>
          </cell>
          <cell r="U70">
            <v>22</v>
          </cell>
          <cell r="V70">
            <v>0</v>
          </cell>
          <cell r="W70" t="e">
            <v>#REF!</v>
          </cell>
          <cell r="X70" t="e">
            <v>#REF!</v>
          </cell>
          <cell r="Y70" t="e">
            <v>#REF!</v>
          </cell>
          <cell r="Z70">
            <v>137</v>
          </cell>
          <cell r="AA70">
            <v>51</v>
          </cell>
          <cell r="AB70">
            <v>188</v>
          </cell>
        </row>
        <row r="71">
          <cell r="C71" t="e">
            <v>#REF!</v>
          </cell>
          <cell r="D71" t="e">
            <v>#REF!</v>
          </cell>
          <cell r="E71" t="e">
            <v>#REF!</v>
          </cell>
          <cell r="I71" t="e">
            <v>#REF!</v>
          </cell>
          <cell r="J71" t="e">
            <v>#REF!</v>
          </cell>
          <cell r="K71" t="e">
            <v>#REF!</v>
          </cell>
          <cell r="L71" t="e">
            <v>#REF!</v>
          </cell>
          <cell r="M71" t="e">
            <v>#REF!</v>
          </cell>
          <cell r="N71" t="e">
            <v>#REF!</v>
          </cell>
          <cell r="O71" t="e">
            <v>#REF!</v>
          </cell>
          <cell r="P71" t="e">
            <v>#REF!</v>
          </cell>
          <cell r="Q71" t="e">
            <v>#REF!</v>
          </cell>
          <cell r="R71" t="e">
            <v>#REF!</v>
          </cell>
          <cell r="S71">
            <v>422.54545454545456</v>
          </cell>
          <cell r="U71">
            <v>133</v>
          </cell>
          <cell r="V71">
            <v>0</v>
          </cell>
          <cell r="W71" t="e">
            <v>#REF!</v>
          </cell>
          <cell r="X71" t="e">
            <v>#REF!</v>
          </cell>
          <cell r="Y71" t="e">
            <v>#REF!</v>
          </cell>
          <cell r="Z71">
            <v>675</v>
          </cell>
          <cell r="AA71">
            <v>303</v>
          </cell>
          <cell r="AB71">
            <v>978</v>
          </cell>
        </row>
        <row r="72">
          <cell r="C72" t="e">
            <v>#REF!</v>
          </cell>
          <cell r="D72" t="e">
            <v>#REF!</v>
          </cell>
          <cell r="E72">
            <v>0</v>
          </cell>
          <cell r="I72" t="e">
            <v>#REF!</v>
          </cell>
          <cell r="J72" t="e">
            <v>#REF!</v>
          </cell>
          <cell r="K72" t="e">
            <v>#REF!</v>
          </cell>
          <cell r="L72" t="e">
            <v>#REF!</v>
          </cell>
          <cell r="M72" t="e">
            <v>#REF!</v>
          </cell>
          <cell r="N72" t="e">
            <v>#REF!</v>
          </cell>
          <cell r="O72">
            <v>0</v>
          </cell>
          <cell r="P72" t="e">
            <v>#REF!</v>
          </cell>
          <cell r="Q72" t="e">
            <v>#REF!</v>
          </cell>
          <cell r="R72" t="e">
            <v>#REF!</v>
          </cell>
          <cell r="S72">
            <v>23</v>
          </cell>
          <cell r="U72">
            <v>19</v>
          </cell>
          <cell r="V72">
            <v>0</v>
          </cell>
          <cell r="W72" t="e">
            <v>#REF!</v>
          </cell>
          <cell r="X72" t="e">
            <v>#REF!</v>
          </cell>
          <cell r="Y72" t="e">
            <v>#REF!</v>
          </cell>
          <cell r="Z72">
            <v>184</v>
          </cell>
          <cell r="AA72">
            <v>48</v>
          </cell>
          <cell r="AB72">
            <v>232</v>
          </cell>
        </row>
        <row r="73">
          <cell r="C73" t="e">
            <v>#REF!</v>
          </cell>
          <cell r="D73" t="e">
            <v>#REF!</v>
          </cell>
          <cell r="E73" t="e">
            <v>#REF!</v>
          </cell>
          <cell r="I73" t="e">
            <v>#REF!</v>
          </cell>
          <cell r="J73" t="e">
            <v>#REF!</v>
          </cell>
          <cell r="K73" t="e">
            <v>#REF!</v>
          </cell>
          <cell r="L73" t="e">
            <v>#REF!</v>
          </cell>
          <cell r="M73" t="e">
            <v>#REF!</v>
          </cell>
          <cell r="N73" t="e">
            <v>#REF!</v>
          </cell>
          <cell r="O73" t="e">
            <v>#REF!</v>
          </cell>
          <cell r="P73" t="e">
            <v>#REF!</v>
          </cell>
          <cell r="Q73" t="e">
            <v>#REF!</v>
          </cell>
          <cell r="R73" t="e">
            <v>#REF!</v>
          </cell>
          <cell r="S73">
            <v>0</v>
          </cell>
          <cell r="T73">
            <v>51</v>
          </cell>
          <cell r="U73">
            <v>28</v>
          </cell>
          <cell r="V73">
            <v>23</v>
          </cell>
          <cell r="W73" t="e">
            <v>#REF!</v>
          </cell>
          <cell r="X73" t="e">
            <v>#REF!</v>
          </cell>
          <cell r="Y73" t="e">
            <v>#REF!</v>
          </cell>
          <cell r="Z73" t="e">
            <v>#REF!</v>
          </cell>
          <cell r="AA73" t="e">
            <v>#REF!</v>
          </cell>
          <cell r="AB73" t="e">
            <v>#REF!</v>
          </cell>
          <cell r="AC73" t="e">
            <v>#REF!</v>
          </cell>
        </row>
        <row r="74">
          <cell r="C74" t="e">
            <v>#REF!</v>
          </cell>
          <cell r="D74" t="e">
            <v>#REF!</v>
          </cell>
          <cell r="E74" t="e">
            <v>#REF!</v>
          </cell>
          <cell r="I74" t="e">
            <v>#REF!</v>
          </cell>
          <cell r="J74" t="e">
            <v>#REF!</v>
          </cell>
          <cell r="K74" t="e">
            <v>#REF!</v>
          </cell>
          <cell r="L74" t="e">
            <v>#REF!</v>
          </cell>
          <cell r="M74" t="e">
            <v>#REF!</v>
          </cell>
          <cell r="N74" t="e">
            <v>#REF!</v>
          </cell>
          <cell r="O74" t="e">
            <v>#REF!</v>
          </cell>
          <cell r="P74" t="e">
            <v>#REF!</v>
          </cell>
          <cell r="Q74" t="e">
            <v>#REF!</v>
          </cell>
          <cell r="R74">
            <v>2</v>
          </cell>
          <cell r="U74">
            <v>494</v>
          </cell>
          <cell r="V74">
            <v>0</v>
          </cell>
          <cell r="W74" t="e">
            <v>#REF!</v>
          </cell>
          <cell r="X74" t="e">
            <v>#REF!</v>
          </cell>
          <cell r="Y74" t="e">
            <v>#REF!</v>
          </cell>
          <cell r="Z74" t="e">
            <v>#REF!</v>
          </cell>
          <cell r="AA74" t="e">
            <v>#REF!</v>
          </cell>
          <cell r="AB74" t="e">
            <v>#REF!</v>
          </cell>
          <cell r="AC74" t="e">
            <v>#REF!</v>
          </cell>
        </row>
        <row r="75">
          <cell r="C75" t="e">
            <v>#REF!</v>
          </cell>
          <cell r="D75" t="e">
            <v>#REF!</v>
          </cell>
          <cell r="E75" t="e">
            <v>#REF!</v>
          </cell>
          <cell r="I75" t="e">
            <v>#REF!</v>
          </cell>
          <cell r="J75" t="e">
            <v>#REF!</v>
          </cell>
          <cell r="K75" t="e">
            <v>#REF!</v>
          </cell>
          <cell r="L75" t="e">
            <v>#REF!</v>
          </cell>
          <cell r="M75" t="e">
            <v>#REF!</v>
          </cell>
          <cell r="N75" t="e">
            <v>#REF!</v>
          </cell>
          <cell r="O75" t="e">
            <v>#REF!</v>
          </cell>
          <cell r="P75" t="e">
            <v>#REF!</v>
          </cell>
          <cell r="Q75" t="e">
            <v>#REF!</v>
          </cell>
          <cell r="R75" t="e">
            <v>#REF!</v>
          </cell>
          <cell r="S75">
            <v>0</v>
          </cell>
          <cell r="T75">
            <v>51</v>
          </cell>
          <cell r="U75">
            <v>28</v>
          </cell>
          <cell r="V75">
            <v>23</v>
          </cell>
          <cell r="W75" t="e">
            <v>#REF!</v>
          </cell>
          <cell r="X75" t="e">
            <v>#REF!</v>
          </cell>
          <cell r="Y75" t="e">
            <v>#REF!</v>
          </cell>
          <cell r="Z75" t="e">
            <v>#REF!</v>
          </cell>
          <cell r="AA75" t="e">
            <v>#REF!</v>
          </cell>
          <cell r="AB75" t="e">
            <v>#REF!</v>
          </cell>
          <cell r="AC75" t="e">
            <v>#REF!</v>
          </cell>
        </row>
        <row r="76">
          <cell r="C76" t="e">
            <v>#REF!</v>
          </cell>
          <cell r="D76" t="e">
            <v>#REF!</v>
          </cell>
          <cell r="E76" t="e">
            <v>#REF!</v>
          </cell>
          <cell r="I76" t="e">
            <v>#REF!</v>
          </cell>
          <cell r="J76" t="e">
            <v>#REF!</v>
          </cell>
          <cell r="K76" t="e">
            <v>#REF!</v>
          </cell>
          <cell r="L76" t="e">
            <v>#REF!</v>
          </cell>
          <cell r="M76" t="e">
            <v>#REF!</v>
          </cell>
          <cell r="N76" t="e">
            <v>#REF!</v>
          </cell>
          <cell r="O76" t="e">
            <v>#REF!</v>
          </cell>
          <cell r="P76" t="e">
            <v>#REF!</v>
          </cell>
          <cell r="Q76" t="e">
            <v>#REF!</v>
          </cell>
          <cell r="R76" t="e">
            <v>#REF!</v>
          </cell>
          <cell r="S76">
            <v>0</v>
          </cell>
          <cell r="T76">
            <v>51</v>
          </cell>
          <cell r="U76">
            <v>28</v>
          </cell>
          <cell r="V76">
            <v>23</v>
          </cell>
          <cell r="W76" t="e">
            <v>#REF!</v>
          </cell>
          <cell r="X76" t="e">
            <v>#REF!</v>
          </cell>
          <cell r="Y76" t="e">
            <v>#REF!</v>
          </cell>
          <cell r="Z76">
            <v>401</v>
          </cell>
          <cell r="AA76">
            <v>0</v>
          </cell>
          <cell r="AB76">
            <v>401</v>
          </cell>
          <cell r="AC76" t="e">
            <v>#REF!</v>
          </cell>
        </row>
        <row r="77">
          <cell r="C77" t="e">
            <v>#REF!</v>
          </cell>
          <cell r="D77" t="e">
            <v>#REF!</v>
          </cell>
          <cell r="E77">
            <v>0</v>
          </cell>
          <cell r="I77" t="e">
            <v>#REF!</v>
          </cell>
          <cell r="J77" t="e">
            <v>#REF!</v>
          </cell>
          <cell r="K77" t="e">
            <v>#REF!</v>
          </cell>
          <cell r="L77" t="e">
            <v>#REF!</v>
          </cell>
          <cell r="M77" t="e">
            <v>#REF!</v>
          </cell>
          <cell r="N77" t="e">
            <v>#REF!</v>
          </cell>
          <cell r="O77">
            <v>12</v>
          </cell>
          <cell r="P77" t="e">
            <v>#REF!</v>
          </cell>
          <cell r="Q77" t="e">
            <v>#REF!</v>
          </cell>
          <cell r="R77">
            <v>11</v>
          </cell>
          <cell r="S77">
            <v>101</v>
          </cell>
          <cell r="T77">
            <v>12</v>
          </cell>
          <cell r="U77">
            <v>2919.666666666667</v>
          </cell>
          <cell r="V77">
            <v>0</v>
          </cell>
          <cell r="W77" t="e">
            <v>#REF!</v>
          </cell>
          <cell r="X77" t="e">
            <v>#REF!</v>
          </cell>
          <cell r="Y77" t="e">
            <v>#REF!</v>
          </cell>
          <cell r="Z77">
            <v>17733.666666666668</v>
          </cell>
          <cell r="AA77">
            <v>5796</v>
          </cell>
          <cell r="AB77">
            <v>23529.666666666668</v>
          </cell>
          <cell r="AC77" t="e">
            <v>#REF!</v>
          </cell>
        </row>
        <row r="78">
          <cell r="C78" t="e">
            <v>#REF!</v>
          </cell>
          <cell r="D78" t="e">
            <v>#REF!</v>
          </cell>
          <cell r="E78" t="e">
            <v>#REF!</v>
          </cell>
          <cell r="I78" t="e">
            <v>#REF!</v>
          </cell>
          <cell r="J78" t="e">
            <v>#REF!</v>
          </cell>
          <cell r="K78" t="e">
            <v>#REF!</v>
          </cell>
          <cell r="L78" t="e">
            <v>#REF!</v>
          </cell>
          <cell r="M78" t="e">
            <v>#REF!</v>
          </cell>
          <cell r="N78" t="e">
            <v>#REF!</v>
          </cell>
          <cell r="O78">
            <v>12</v>
          </cell>
          <cell r="P78" t="e">
            <v>#REF!</v>
          </cell>
          <cell r="Q78" t="e">
            <v>#REF!</v>
          </cell>
          <cell r="R78">
            <v>11</v>
          </cell>
          <cell r="T78">
            <v>0</v>
          </cell>
          <cell r="U78">
            <v>703</v>
          </cell>
          <cell r="V78">
            <v>373</v>
          </cell>
          <cell r="W78" t="e">
            <v>#REF!</v>
          </cell>
          <cell r="X78" t="e">
            <v>#REF!</v>
          </cell>
          <cell r="Y78" t="e">
            <v>#REF!</v>
          </cell>
          <cell r="Z78">
            <v>330</v>
          </cell>
          <cell r="AA78">
            <v>0</v>
          </cell>
          <cell r="AB78">
            <v>330</v>
          </cell>
        </row>
        <row r="79">
          <cell r="C79" t="e">
            <v>#REF!</v>
          </cell>
          <cell r="D79" t="e">
            <v>#REF!</v>
          </cell>
          <cell r="E79" t="e">
            <v>#REF!</v>
          </cell>
          <cell r="I79" t="e">
            <v>#REF!</v>
          </cell>
          <cell r="J79" t="e">
            <v>#REF!</v>
          </cell>
          <cell r="K79" t="e">
            <v>#REF!</v>
          </cell>
          <cell r="L79" t="e">
            <v>#REF!</v>
          </cell>
          <cell r="M79" t="e">
            <v>#REF!</v>
          </cell>
          <cell r="N79" t="e">
            <v>#REF!</v>
          </cell>
          <cell r="O79" t="e">
            <v>#REF!</v>
          </cell>
          <cell r="P79" t="e">
            <v>#REF!</v>
          </cell>
          <cell r="Q79" t="e">
            <v>#REF!</v>
          </cell>
          <cell r="R79" t="e">
            <v>#REF!</v>
          </cell>
          <cell r="S79">
            <v>0</v>
          </cell>
          <cell r="T79">
            <v>1129</v>
          </cell>
          <cell r="U79">
            <v>2217</v>
          </cell>
          <cell r="V79">
            <v>262</v>
          </cell>
          <cell r="W79" t="e">
            <v>#REF!</v>
          </cell>
          <cell r="X79" t="e">
            <v>#REF!</v>
          </cell>
          <cell r="Y79" t="e">
            <v>#REF!</v>
          </cell>
          <cell r="Z79">
            <v>1955</v>
          </cell>
          <cell r="AA79" t="e">
            <v>#REF!</v>
          </cell>
          <cell r="AB79">
            <v>1955</v>
          </cell>
        </row>
        <row r="80">
          <cell r="C80" t="e">
            <v>#REF!</v>
          </cell>
          <cell r="D80" t="e">
            <v>#REF!</v>
          </cell>
          <cell r="E80" t="e">
            <v>#REF!</v>
          </cell>
          <cell r="I80" t="e">
            <v>#REF!</v>
          </cell>
          <cell r="J80" t="e">
            <v>#REF!</v>
          </cell>
          <cell r="K80" t="e">
            <v>#REF!</v>
          </cell>
          <cell r="L80" t="e">
            <v>#REF!</v>
          </cell>
          <cell r="M80" t="e">
            <v>#REF!</v>
          </cell>
          <cell r="N80" t="e">
            <v>#REF!</v>
          </cell>
          <cell r="O80" t="e">
            <v>#REF!</v>
          </cell>
          <cell r="P80" t="e">
            <v>#REF!</v>
          </cell>
          <cell r="Q80" t="e">
            <v>#REF!</v>
          </cell>
          <cell r="R80" t="e">
            <v>#REF!</v>
          </cell>
          <cell r="S80">
            <v>0</v>
          </cell>
          <cell r="T80">
            <v>824</v>
          </cell>
          <cell r="U80">
            <v>261</v>
          </cell>
          <cell r="V80">
            <v>563</v>
          </cell>
          <cell r="W80" t="e">
            <v>#REF!</v>
          </cell>
          <cell r="X80" t="e">
            <v>#REF!</v>
          </cell>
          <cell r="Y80" t="e">
            <v>#REF!</v>
          </cell>
          <cell r="Z80" t="e">
            <v>#REF!</v>
          </cell>
          <cell r="AA80" t="e">
            <v>#REF!</v>
          </cell>
          <cell r="AB80" t="e">
            <v>#REF!</v>
          </cell>
          <cell r="AC80" t="e">
            <v>#REF!</v>
          </cell>
        </row>
        <row r="81">
          <cell r="C81" t="e">
            <v>#REF!</v>
          </cell>
          <cell r="D81" t="e">
            <v>#REF!</v>
          </cell>
          <cell r="E81" t="e">
            <v>#REF!</v>
          </cell>
          <cell r="I81">
            <v>30</v>
          </cell>
          <cell r="J81">
            <v>30</v>
          </cell>
          <cell r="M81">
            <v>3</v>
          </cell>
          <cell r="P81">
            <v>2</v>
          </cell>
          <cell r="S81">
            <v>0</v>
          </cell>
          <cell r="U81">
            <v>65</v>
          </cell>
          <cell r="V81">
            <v>30</v>
          </cell>
          <cell r="W81" t="e">
            <v>#REF!</v>
          </cell>
          <cell r="X81" t="e">
            <v>#REF!</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row>
        <row r="83">
          <cell r="C83" t="e">
            <v>#REF!</v>
          </cell>
          <cell r="D83" t="e">
            <v>#REF!</v>
          </cell>
          <cell r="E83">
            <v>312.33333333333337</v>
          </cell>
          <cell r="P83">
            <v>21</v>
          </cell>
          <cell r="S83">
            <v>51</v>
          </cell>
          <cell r="T83">
            <v>33.660000000000004</v>
          </cell>
          <cell r="U83">
            <v>14098.435307760927</v>
          </cell>
          <cell r="V83">
            <v>5945.3098245614019</v>
          </cell>
          <cell r="W83">
            <v>19280</v>
          </cell>
          <cell r="X83">
            <v>19280</v>
          </cell>
          <cell r="Y83">
            <v>0</v>
          </cell>
          <cell r="Z83">
            <v>0</v>
          </cell>
          <cell r="AA83">
            <v>0</v>
          </cell>
          <cell r="AB83">
            <v>0</v>
          </cell>
          <cell r="AC83">
            <v>0</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t="e">
            <v>#REF!</v>
          </cell>
          <cell r="Y84" t="e">
            <v>#REF!</v>
          </cell>
          <cell r="Z84" t="e">
            <v>#REF!</v>
          </cell>
          <cell r="AA84" t="e">
            <v>#REF!</v>
          </cell>
          <cell r="AB84" t="e">
            <v>#REF!</v>
          </cell>
          <cell r="AC84" t="e">
            <v>#REF!</v>
          </cell>
        </row>
        <row r="85">
          <cell r="C85" t="e">
            <v>#REF!</v>
          </cell>
          <cell r="D85" t="e">
            <v>#REF!</v>
          </cell>
          <cell r="E85" t="e">
            <v>#REF!</v>
          </cell>
          <cell r="I85" t="e">
            <v>#REF!</v>
          </cell>
          <cell r="J85" t="e">
            <v>#REF!</v>
          </cell>
          <cell r="K85" t="e">
            <v>#REF!</v>
          </cell>
          <cell r="L85" t="e">
            <v>#REF!</v>
          </cell>
          <cell r="M85" t="e">
            <v>#REF!</v>
          </cell>
          <cell r="N85" t="e">
            <v>#REF!</v>
          </cell>
          <cell r="O85" t="e">
            <v>#REF!</v>
          </cell>
          <cell r="P85" t="e">
            <v>#REF!</v>
          </cell>
          <cell r="Q85" t="e">
            <v>#REF!</v>
          </cell>
          <cell r="R85" t="e">
            <v>#REF!</v>
          </cell>
          <cell r="S85">
            <v>0</v>
          </cell>
          <cell r="T85">
            <v>1129</v>
          </cell>
          <cell r="U85">
            <v>3670</v>
          </cell>
          <cell r="V85">
            <v>3670</v>
          </cell>
          <cell r="W85">
            <v>492.48599999999999</v>
          </cell>
          <cell r="X85">
            <v>342.49799999999999</v>
          </cell>
          <cell r="Y85">
            <v>149.988</v>
          </cell>
          <cell r="Z85">
            <v>0</v>
          </cell>
          <cell r="AA85">
            <v>0</v>
          </cell>
          <cell r="AB85">
            <v>342.49799999999999</v>
          </cell>
          <cell r="AC85">
            <v>149.988</v>
          </cell>
        </row>
        <row r="86">
          <cell r="C86" t="e">
            <v>#REF!</v>
          </cell>
          <cell r="D86" t="e">
            <v>#REF!</v>
          </cell>
          <cell r="E86" t="e">
            <v>#REF!</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821</v>
          </cell>
          <cell r="X86">
            <v>571</v>
          </cell>
          <cell r="Y86">
            <v>250</v>
          </cell>
          <cell r="Z86">
            <v>0</v>
          </cell>
          <cell r="AA86">
            <v>0</v>
          </cell>
          <cell r="AB86">
            <v>571</v>
          </cell>
          <cell r="AC86">
            <v>250</v>
          </cell>
        </row>
        <row r="87">
          <cell r="C87" t="e">
            <v>#REF!</v>
          </cell>
          <cell r="D87" t="e">
            <v>#REF!</v>
          </cell>
          <cell r="E87" t="e">
            <v>#REF!</v>
          </cell>
          <cell r="I87" t="e">
            <v>#REF!</v>
          </cell>
          <cell r="J87">
            <v>0</v>
          </cell>
          <cell r="K87">
            <v>0</v>
          </cell>
          <cell r="L87">
            <v>0</v>
          </cell>
          <cell r="M87">
            <v>0</v>
          </cell>
          <cell r="N87">
            <v>0</v>
          </cell>
          <cell r="O87">
            <v>0</v>
          </cell>
          <cell r="P87">
            <v>0</v>
          </cell>
          <cell r="Q87">
            <v>0</v>
          </cell>
          <cell r="R87">
            <v>0</v>
          </cell>
          <cell r="S87" t="e">
            <v>#REF!</v>
          </cell>
          <cell r="T87">
            <v>0</v>
          </cell>
          <cell r="U87">
            <v>230.42400000000001</v>
          </cell>
          <cell r="V87">
            <v>178.35599999999999</v>
          </cell>
          <cell r="W87" t="e">
            <v>#REF!</v>
          </cell>
          <cell r="X87" t="e">
            <v>#REF!</v>
          </cell>
          <cell r="Y87" t="e">
            <v>#REF!</v>
          </cell>
          <cell r="Z87">
            <v>0</v>
          </cell>
          <cell r="AA87">
            <v>0</v>
          </cell>
          <cell r="AB87" t="e">
            <v>#REF!</v>
          </cell>
          <cell r="AC87" t="e">
            <v>#REF!</v>
          </cell>
        </row>
        <row r="88">
          <cell r="C88" t="e">
            <v>#REF!</v>
          </cell>
          <cell r="D88" t="e">
            <v>#REF!</v>
          </cell>
          <cell r="E88" t="e">
            <v>#REF!</v>
          </cell>
          <cell r="I88" t="e">
            <v>#REF!</v>
          </cell>
          <cell r="J88" t="e">
            <v>#REF!</v>
          </cell>
          <cell r="M88" t="e">
            <v>#REF!</v>
          </cell>
          <cell r="P88" t="e">
            <v>#REF!</v>
          </cell>
          <cell r="S88" t="e">
            <v>#REF!</v>
          </cell>
          <cell r="U88">
            <v>384</v>
          </cell>
          <cell r="V88">
            <v>297</v>
          </cell>
          <cell r="W88" t="e">
            <v>#REF!</v>
          </cell>
          <cell r="X88" t="e">
            <v>#REF!</v>
          </cell>
          <cell r="Y88" t="e">
            <v>#REF!</v>
          </cell>
          <cell r="Z88">
            <v>0</v>
          </cell>
          <cell r="AA88">
            <v>0</v>
          </cell>
          <cell r="AB88" t="e">
            <v>#REF!</v>
          </cell>
          <cell r="AC88" t="e">
            <v>#REF!</v>
          </cell>
        </row>
        <row r="89">
          <cell r="C89" t="e">
            <v>#REF!</v>
          </cell>
          <cell r="D89" t="e">
            <v>#REF!</v>
          </cell>
          <cell r="E89" t="e">
            <v>#REF!</v>
          </cell>
          <cell r="I89" t="e">
            <v>#REF!</v>
          </cell>
          <cell r="J89" t="e">
            <v>#REF!</v>
          </cell>
          <cell r="K89" t="e">
            <v>#REF!</v>
          </cell>
          <cell r="L89" t="e">
            <v>#REF!</v>
          </cell>
          <cell r="M89" t="e">
            <v>#REF!</v>
          </cell>
          <cell r="N89" t="e">
            <v>#REF!</v>
          </cell>
          <cell r="O89" t="e">
            <v>#REF!</v>
          </cell>
          <cell r="P89" t="e">
            <v>#REF!</v>
          </cell>
          <cell r="Q89" t="e">
            <v>#REF!</v>
          </cell>
          <cell r="R89" t="e">
            <v>#REF!</v>
          </cell>
          <cell r="S89">
            <v>0</v>
          </cell>
          <cell r="T89">
            <v>824</v>
          </cell>
          <cell r="U89">
            <v>261</v>
          </cell>
          <cell r="V89">
            <v>563</v>
          </cell>
          <cell r="W89" t="e">
            <v>#REF!</v>
          </cell>
          <cell r="X89" t="e">
            <v>#REF!</v>
          </cell>
          <cell r="Y89" t="e">
            <v>#REF!</v>
          </cell>
          <cell r="Z89" t="e">
            <v>#REF!</v>
          </cell>
          <cell r="AA89" t="e">
            <v>#REF!</v>
          </cell>
          <cell r="AB89" t="e">
            <v>#REF!</v>
          </cell>
          <cell r="AC89" t="e">
            <v>#REF!</v>
          </cell>
        </row>
        <row r="90">
          <cell r="C90" t="e">
            <v>#REF!</v>
          </cell>
          <cell r="D90" t="e">
            <v>#REF!</v>
          </cell>
          <cell r="E90" t="e">
            <v>#REF!</v>
          </cell>
          <cell r="I90" t="e">
            <v>#REF!</v>
          </cell>
          <cell r="J90" t="e">
            <v>#REF!</v>
          </cell>
          <cell r="K90" t="e">
            <v>#REF!</v>
          </cell>
          <cell r="L90" t="e">
            <v>#REF!</v>
          </cell>
          <cell r="M90" t="e">
            <v>#REF!</v>
          </cell>
          <cell r="N90" t="e">
            <v>#REF!</v>
          </cell>
          <cell r="O90" t="e">
            <v>#REF!</v>
          </cell>
          <cell r="P90" t="e">
            <v>#REF!</v>
          </cell>
          <cell r="Q90" t="e">
            <v>#REF!</v>
          </cell>
          <cell r="R90" t="e">
            <v>#REF!</v>
          </cell>
          <cell r="S90">
            <v>0</v>
          </cell>
          <cell r="T90">
            <v>824</v>
          </cell>
          <cell r="U90">
            <v>0</v>
          </cell>
          <cell r="V90">
            <v>0</v>
          </cell>
          <cell r="W90" t="e">
            <v>#REF!</v>
          </cell>
          <cell r="X90" t="e">
            <v>#REF!</v>
          </cell>
          <cell r="Y90" t="e">
            <v>#REF!</v>
          </cell>
          <cell r="Z90" t="e">
            <v>#REF!</v>
          </cell>
          <cell r="AA90" t="e">
            <v>#REF!</v>
          </cell>
          <cell r="AB90" t="e">
            <v>#REF!</v>
          </cell>
          <cell r="AC90" t="e">
            <v>#REF!</v>
          </cell>
        </row>
        <row r="91">
          <cell r="C91" t="e">
            <v>#REF!</v>
          </cell>
          <cell r="D91" t="e">
            <v>#REF!</v>
          </cell>
          <cell r="E91" t="e">
            <v>#REF!</v>
          </cell>
          <cell r="I91" t="e">
            <v>#REF!</v>
          </cell>
          <cell r="J91" t="e">
            <v>#REF!</v>
          </cell>
          <cell r="K91" t="e">
            <v>#REF!</v>
          </cell>
          <cell r="L91" t="e">
            <v>#REF!</v>
          </cell>
          <cell r="M91" t="e">
            <v>#REF!</v>
          </cell>
          <cell r="N91" t="e">
            <v>#REF!</v>
          </cell>
          <cell r="O91" t="e">
            <v>#REF!</v>
          </cell>
          <cell r="P91" t="e">
            <v>#REF!</v>
          </cell>
          <cell r="Q91" t="e">
            <v>#REF!</v>
          </cell>
          <cell r="R91" t="e">
            <v>#REF!</v>
          </cell>
          <cell r="S91">
            <v>0</v>
          </cell>
          <cell r="T91">
            <v>0</v>
          </cell>
          <cell r="U91">
            <v>39085.52597442759</v>
          </cell>
          <cell r="V91">
            <v>23000.665824561402</v>
          </cell>
          <cell r="W91" t="e">
            <v>#REF!</v>
          </cell>
          <cell r="X91" t="e">
            <v>#REF!</v>
          </cell>
          <cell r="Y91" t="e">
            <v>#REF!</v>
          </cell>
          <cell r="Z91" t="e">
            <v>#REF!</v>
          </cell>
          <cell r="AA91" t="e">
            <v>#REF!</v>
          </cell>
          <cell r="AB91" t="e">
            <v>#REF!</v>
          </cell>
          <cell r="AC91" t="e">
            <v>#REF!</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row>
        <row r="93">
          <cell r="C93" t="e">
            <v>#REF!</v>
          </cell>
          <cell r="D93">
            <v>54</v>
          </cell>
          <cell r="E93">
            <v>34</v>
          </cell>
          <cell r="I93" t="e">
            <v>#REF!</v>
          </cell>
          <cell r="J93" t="e">
            <v>#REF!</v>
          </cell>
          <cell r="K93">
            <v>282.3363157894737</v>
          </cell>
          <cell r="L93">
            <v>386.6636842105263</v>
          </cell>
          <cell r="M93" t="e">
            <v>#REF!</v>
          </cell>
          <cell r="N93">
            <v>199</v>
          </cell>
          <cell r="O93">
            <v>87</v>
          </cell>
          <cell r="P93" t="e">
            <v>#REF!</v>
          </cell>
          <cell r="Q93">
            <v>80</v>
          </cell>
          <cell r="R93">
            <v>45.61671126969965</v>
          </cell>
          <cell r="S93">
            <v>71</v>
          </cell>
          <cell r="T93">
            <v>139</v>
          </cell>
          <cell r="U93">
            <v>1776.9967112696997</v>
          </cell>
          <cell r="V93">
            <v>906.38</v>
          </cell>
          <cell r="W93" t="e">
            <v>#REF!</v>
          </cell>
          <cell r="X93">
            <v>0</v>
          </cell>
          <cell r="Y93">
            <v>0</v>
          </cell>
          <cell r="Z93">
            <v>0</v>
          </cell>
          <cell r="AA93">
            <v>0</v>
          </cell>
          <cell r="AC93">
            <v>149</v>
          </cell>
        </row>
        <row r="94">
          <cell r="C94" t="e">
            <v>#REF!</v>
          </cell>
          <cell r="I94" t="e">
            <v>#REF!</v>
          </cell>
          <cell r="J94" t="e">
            <v>#REF!</v>
          </cell>
          <cell r="M94" t="e">
            <v>#REF!</v>
          </cell>
          <cell r="P94" t="e">
            <v>#REF!</v>
          </cell>
          <cell r="S94">
            <v>8</v>
          </cell>
          <cell r="T94">
            <v>75</v>
          </cell>
          <cell r="U94">
            <v>3306</v>
          </cell>
          <cell r="W94" t="e">
            <v>#REF!</v>
          </cell>
          <cell r="X94">
            <v>-129.33333333333334</v>
          </cell>
          <cell r="Y94">
            <v>-96</v>
          </cell>
          <cell r="Z94">
            <v>-33.333333333333343</v>
          </cell>
        </row>
        <row r="95">
          <cell r="C95" t="e">
            <v>#REF!</v>
          </cell>
          <cell r="I95" t="e">
            <v>#REF!</v>
          </cell>
          <cell r="J95" t="e">
            <v>#REF!</v>
          </cell>
          <cell r="M95" t="e">
            <v>#REF!</v>
          </cell>
          <cell r="P95" t="e">
            <v>#REF!</v>
          </cell>
          <cell r="S95">
            <v>0</v>
          </cell>
          <cell r="T95">
            <v>54</v>
          </cell>
          <cell r="U95">
            <v>1754</v>
          </cell>
          <cell r="W95" t="e">
            <v>#REF!</v>
          </cell>
        </row>
        <row r="96">
          <cell r="C96" t="e">
            <v>#REF!</v>
          </cell>
          <cell r="I96" t="e">
            <v>#REF!</v>
          </cell>
          <cell r="J96" t="e">
            <v>#REF!</v>
          </cell>
          <cell r="M96" t="e">
            <v>#REF!</v>
          </cell>
          <cell r="P96" t="e">
            <v>#REF!</v>
          </cell>
          <cell r="S96">
            <v>0</v>
          </cell>
          <cell r="U96">
            <v>494</v>
          </cell>
          <cell r="W96" t="e">
            <v>#REF!</v>
          </cell>
        </row>
        <row r="97">
          <cell r="C97" t="e">
            <v>#REF!</v>
          </cell>
          <cell r="I97" t="e">
            <v>#REF!</v>
          </cell>
          <cell r="J97" t="e">
            <v>#REF!</v>
          </cell>
          <cell r="M97" t="e">
            <v>#REF!</v>
          </cell>
          <cell r="P97" t="e">
            <v>#REF!</v>
          </cell>
          <cell r="Q97">
            <v>0</v>
          </cell>
          <cell r="R97">
            <v>0</v>
          </cell>
          <cell r="S97">
            <v>0</v>
          </cell>
          <cell r="T97">
            <v>3616.0618606060607</v>
          </cell>
          <cell r="U97">
            <v>913</v>
          </cell>
          <cell r="V97">
            <v>0</v>
          </cell>
          <cell r="W97" t="e">
            <v>#REF!</v>
          </cell>
          <cell r="X97">
            <v>14977.853030303029</v>
          </cell>
          <cell r="Y97">
            <v>11068</v>
          </cell>
          <cell r="Z97">
            <v>3909.8530303030298</v>
          </cell>
          <cell r="AA97">
            <v>0</v>
          </cell>
        </row>
        <row r="98">
          <cell r="C98" t="e">
            <v>#REF!</v>
          </cell>
          <cell r="I98" t="e">
            <v>#REF!</v>
          </cell>
          <cell r="J98" t="e">
            <v>#REF!</v>
          </cell>
          <cell r="M98" t="e">
            <v>#REF!</v>
          </cell>
          <cell r="P98" t="e">
            <v>#REF!</v>
          </cell>
          <cell r="S98" t="e">
            <v>#REF!</v>
          </cell>
          <cell r="U98">
            <v>0</v>
          </cell>
          <cell r="W98" t="e">
            <v>#REF!</v>
          </cell>
        </row>
        <row r="99">
          <cell r="C99" t="e">
            <v>#REF!</v>
          </cell>
          <cell r="I99" t="e">
            <v>#REF!</v>
          </cell>
          <cell r="J99" t="e">
            <v>#REF!</v>
          </cell>
          <cell r="M99" t="e">
            <v>#REF!</v>
          </cell>
          <cell r="P99" t="e">
            <v>#REF!</v>
          </cell>
          <cell r="Q99">
            <v>0</v>
          </cell>
          <cell r="R99">
            <v>0</v>
          </cell>
          <cell r="S99">
            <v>3</v>
          </cell>
          <cell r="T99">
            <v>2384.0618606060607</v>
          </cell>
          <cell r="U99">
            <v>0</v>
          </cell>
          <cell r="V99">
            <v>0</v>
          </cell>
          <cell r="W99" t="e">
            <v>#REF!</v>
          </cell>
          <cell r="X99">
            <v>2407.8530303030293</v>
          </cell>
          <cell r="Y99">
            <v>1779</v>
          </cell>
          <cell r="Z99">
            <v>628.85303030302975</v>
          </cell>
          <cell r="AA99">
            <v>0</v>
          </cell>
        </row>
        <row r="100">
          <cell r="C100" t="e">
            <v>#REF!</v>
          </cell>
          <cell r="I100" t="e">
            <v>#REF!</v>
          </cell>
          <cell r="J100" t="e">
            <v>#REF!</v>
          </cell>
          <cell r="M100" t="e">
            <v>#REF!</v>
          </cell>
          <cell r="P100" t="e">
            <v>#REF!</v>
          </cell>
          <cell r="S100">
            <v>0</v>
          </cell>
          <cell r="U100">
            <v>1093</v>
          </cell>
          <cell r="W100" t="e">
            <v>#REF!</v>
          </cell>
          <cell r="X100">
            <v>85</v>
          </cell>
        </row>
        <row r="101">
          <cell r="C101" t="e">
            <v>#REF!</v>
          </cell>
          <cell r="I101" t="e">
            <v>#REF!</v>
          </cell>
          <cell r="J101" t="e">
            <v>#REF!</v>
          </cell>
          <cell r="M101" t="e">
            <v>#REF!</v>
          </cell>
          <cell r="P101" t="e">
            <v>#REF!</v>
          </cell>
          <cell r="S101">
            <v>0</v>
          </cell>
          <cell r="U101">
            <v>913</v>
          </cell>
          <cell r="V101">
            <v>0</v>
          </cell>
          <cell r="W101" t="e">
            <v>#REF!</v>
          </cell>
          <cell r="X101">
            <v>100</v>
          </cell>
        </row>
        <row r="102">
          <cell r="C102" t="e">
            <v>#REF!</v>
          </cell>
          <cell r="I102" t="e">
            <v>#REF!</v>
          </cell>
          <cell r="J102" t="e">
            <v>#REF!</v>
          </cell>
          <cell r="M102" t="e">
            <v>#REF!</v>
          </cell>
          <cell r="P102" t="e">
            <v>#REF!</v>
          </cell>
          <cell r="S102">
            <v>3</v>
          </cell>
          <cell r="U102">
            <v>50</v>
          </cell>
          <cell r="W102" t="e">
            <v>#REF!</v>
          </cell>
          <cell r="X102">
            <v>100</v>
          </cell>
        </row>
        <row r="103">
          <cell r="C103" t="e">
            <v>#REF!</v>
          </cell>
          <cell r="I103" t="e">
            <v>#REF!</v>
          </cell>
          <cell r="J103" t="e">
            <v>#REF!</v>
          </cell>
          <cell r="M103" t="e">
            <v>#REF!</v>
          </cell>
          <cell r="P103" t="e">
            <v>#REF!</v>
          </cell>
          <cell r="S103" t="e">
            <v>#REF!</v>
          </cell>
          <cell r="T103">
            <v>10</v>
          </cell>
          <cell r="U103">
            <v>130</v>
          </cell>
          <cell r="W103" t="e">
            <v>#REF!</v>
          </cell>
          <cell r="X103">
            <v>0</v>
          </cell>
        </row>
        <row r="104">
          <cell r="C104" t="e">
            <v>#REF!</v>
          </cell>
          <cell r="I104" t="e">
            <v>#REF!</v>
          </cell>
          <cell r="J104" t="e">
            <v>#REF!</v>
          </cell>
          <cell r="M104" t="e">
            <v>#REF!</v>
          </cell>
          <cell r="P104" t="e">
            <v>#REF!</v>
          </cell>
          <cell r="S104">
            <v>100</v>
          </cell>
          <cell r="T104">
            <v>10</v>
          </cell>
          <cell r="U104">
            <v>3922</v>
          </cell>
          <cell r="W104" t="e">
            <v>#REF!</v>
          </cell>
        </row>
        <row r="105">
          <cell r="C105" t="e">
            <v>#REF!</v>
          </cell>
          <cell r="I105" t="e">
            <v>#REF!</v>
          </cell>
          <cell r="J105" t="e">
            <v>#REF!</v>
          </cell>
          <cell r="M105" t="e">
            <v>#REF!</v>
          </cell>
          <cell r="P105" t="e">
            <v>#REF!</v>
          </cell>
          <cell r="S105" t="e">
            <v>#REF!</v>
          </cell>
          <cell r="U105">
            <v>261</v>
          </cell>
          <cell r="W105" t="e">
            <v>#REF!</v>
          </cell>
        </row>
        <row r="106">
          <cell r="C106" t="e">
            <v>#REF!</v>
          </cell>
          <cell r="I106" t="e">
            <v>#REF!</v>
          </cell>
          <cell r="J106" t="e">
            <v>#REF!</v>
          </cell>
          <cell r="M106" t="e">
            <v>#REF!</v>
          </cell>
          <cell r="P106" t="e">
            <v>#REF!</v>
          </cell>
          <cell r="S106">
            <v>278</v>
          </cell>
          <cell r="T106">
            <v>55</v>
          </cell>
          <cell r="U106">
            <v>3661</v>
          </cell>
          <cell r="V106" t="e">
            <v>#REF!</v>
          </cell>
          <cell r="W106" t="e">
            <v>#REF!</v>
          </cell>
          <cell r="X106">
            <v>0</v>
          </cell>
          <cell r="Y106">
            <v>0</v>
          </cell>
        </row>
        <row r="107">
          <cell r="C107" t="e">
            <v>#REF!</v>
          </cell>
          <cell r="I107" t="e">
            <v>#REF!</v>
          </cell>
          <cell r="J107" t="e">
            <v>#REF!</v>
          </cell>
          <cell r="M107" t="e">
            <v>#REF!</v>
          </cell>
          <cell r="P107" t="e">
            <v>#REF!</v>
          </cell>
          <cell r="T107">
            <v>55</v>
          </cell>
          <cell r="U107">
            <v>-38.052597442759001</v>
          </cell>
          <cell r="V107">
            <v>-38.052597442759001</v>
          </cell>
          <cell r="W107" t="e">
            <v>#REF!</v>
          </cell>
        </row>
        <row r="108">
          <cell r="C108" t="e">
            <v>#REF!</v>
          </cell>
          <cell r="D108">
            <v>0</v>
          </cell>
          <cell r="E108">
            <v>0</v>
          </cell>
          <cell r="I108" t="e">
            <v>#REF!</v>
          </cell>
          <cell r="J108" t="e">
            <v>#REF!</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t="e">
            <v>#REF!</v>
          </cell>
          <cell r="D109">
            <v>0</v>
          </cell>
          <cell r="E109">
            <v>0</v>
          </cell>
          <cell r="I109" t="e">
            <v>#REF!</v>
          </cell>
          <cell r="J109" t="e">
            <v>#REF!</v>
          </cell>
          <cell r="M109" t="e">
            <v>#REF!</v>
          </cell>
          <cell r="N109">
            <v>0</v>
          </cell>
          <cell r="O109">
            <v>0</v>
          </cell>
          <cell r="P109" t="e">
            <v>#REF!</v>
          </cell>
          <cell r="S109" t="e">
            <v>#REF!</v>
          </cell>
          <cell r="T109">
            <v>0</v>
          </cell>
          <cell r="U109">
            <v>0</v>
          </cell>
          <cell r="V109">
            <v>0</v>
          </cell>
          <cell r="W109" t="e">
            <v>#REF!</v>
          </cell>
        </row>
        <row r="110">
          <cell r="C110" t="e">
            <v>#REF!</v>
          </cell>
          <cell r="I110" t="e">
            <v>#REF!</v>
          </cell>
          <cell r="J110" t="e">
            <v>#REF!</v>
          </cell>
          <cell r="M110" t="e">
            <v>#REF!</v>
          </cell>
          <cell r="P110" t="e">
            <v>#REF!</v>
          </cell>
          <cell r="S110">
            <v>708.125</v>
          </cell>
          <cell r="U110">
            <v>0</v>
          </cell>
          <cell r="W110" t="e">
            <v>#REF!</v>
          </cell>
          <cell r="X110">
            <v>0</v>
          </cell>
        </row>
        <row r="111">
          <cell r="C111" t="e">
            <v>#REF!</v>
          </cell>
          <cell r="I111" t="e">
            <v>#REF!</v>
          </cell>
          <cell r="J111" t="e">
            <v>#REF!</v>
          </cell>
          <cell r="M111" t="e">
            <v>#REF!</v>
          </cell>
          <cell r="P111" t="e">
            <v>#REF!</v>
          </cell>
          <cell r="S111">
            <v>897</v>
          </cell>
          <cell r="U111">
            <v>1568.5</v>
          </cell>
          <cell r="W111" t="e">
            <v>#REF!</v>
          </cell>
        </row>
        <row r="112">
          <cell r="C112" t="e">
            <v>#REF!</v>
          </cell>
          <cell r="I112">
            <v>13</v>
          </cell>
          <cell r="J112">
            <v>9.3333333333333339</v>
          </cell>
          <cell r="M112">
            <v>0</v>
          </cell>
          <cell r="P112">
            <v>30</v>
          </cell>
          <cell r="S112">
            <v>0</v>
          </cell>
          <cell r="U112">
            <v>53.583333333333336</v>
          </cell>
          <cell r="V112" t="e">
            <v>#REF!</v>
          </cell>
          <cell r="W112" t="e">
            <v>#REF!</v>
          </cell>
        </row>
        <row r="113">
          <cell r="C113">
            <v>-12710</v>
          </cell>
          <cell r="P113">
            <v>0</v>
          </cell>
          <cell r="S113">
            <v>0</v>
          </cell>
          <cell r="W113">
            <v>-12710</v>
          </cell>
          <cell r="X113" t="e">
            <v>#REF!</v>
          </cell>
        </row>
        <row r="114">
          <cell r="C114">
            <v>0</v>
          </cell>
          <cell r="P114">
            <v>0</v>
          </cell>
          <cell r="S114">
            <v>0</v>
          </cell>
          <cell r="U114" t="e">
            <v>#REF!</v>
          </cell>
          <cell r="V114" t="e">
            <v>#REF!</v>
          </cell>
          <cell r="W114" t="e">
            <v>#REF!</v>
          </cell>
          <cell r="X114">
            <v>0</v>
          </cell>
        </row>
        <row r="115">
          <cell r="C115" t="e">
            <v>#REF!</v>
          </cell>
          <cell r="D115">
            <v>0</v>
          </cell>
          <cell r="E115">
            <v>0</v>
          </cell>
          <cell r="I115" t="e">
            <v>#REF!</v>
          </cell>
          <cell r="J115" t="e">
            <v>#REF!</v>
          </cell>
          <cell r="M115" t="e">
            <v>#REF!</v>
          </cell>
          <cell r="N115">
            <v>0</v>
          </cell>
          <cell r="O115">
            <v>0</v>
          </cell>
          <cell r="P115" t="e">
            <v>#REF!</v>
          </cell>
          <cell r="Q115">
            <v>0</v>
          </cell>
          <cell r="R115">
            <v>0</v>
          </cell>
          <cell r="S115" t="e">
            <v>#REF!</v>
          </cell>
          <cell r="T115">
            <v>65</v>
          </cell>
          <cell r="U115" t="e">
            <v>#REF!</v>
          </cell>
          <cell r="W115" t="e">
            <v>#REF!</v>
          </cell>
          <cell r="Z115">
            <v>0</v>
          </cell>
          <cell r="AA115">
            <v>0</v>
          </cell>
          <cell r="AB115">
            <v>0</v>
          </cell>
          <cell r="AC115">
            <v>0</v>
          </cell>
        </row>
        <row r="116">
          <cell r="C116" t="e">
            <v>#REF!</v>
          </cell>
          <cell r="D116">
            <v>0</v>
          </cell>
          <cell r="E116">
            <v>0</v>
          </cell>
          <cell r="I116" t="e">
            <v>#REF!</v>
          </cell>
          <cell r="J116" t="e">
            <v>#REF!</v>
          </cell>
          <cell r="M116" t="e">
            <v>#REF!</v>
          </cell>
          <cell r="N116">
            <v>0</v>
          </cell>
          <cell r="O116">
            <v>0</v>
          </cell>
          <cell r="P116" t="e">
            <v>#REF!</v>
          </cell>
          <cell r="Q116">
            <v>0</v>
          </cell>
          <cell r="R116">
            <v>0</v>
          </cell>
          <cell r="S116" t="e">
            <v>#REF!</v>
          </cell>
          <cell r="T116">
            <v>65</v>
          </cell>
          <cell r="U116">
            <v>7512.0307358905739</v>
          </cell>
          <cell r="V116" t="e">
            <v>#REF!</v>
          </cell>
          <cell r="W116" t="e">
            <v>#REF!</v>
          </cell>
          <cell r="X116">
            <v>0</v>
          </cell>
          <cell r="AC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row>
        <row r="119">
          <cell r="P119" t="str">
            <v/>
          </cell>
          <cell r="S119">
            <v>0</v>
          </cell>
          <cell r="U119">
            <v>-230.79318209931299</v>
          </cell>
          <cell r="W119" t="e">
            <v>#REF!</v>
          </cell>
          <cell r="X119" t="e">
            <v>#REF!</v>
          </cell>
          <cell r="Y119" t="e">
            <v>#REF!</v>
          </cell>
        </row>
        <row r="120">
          <cell r="P120">
            <v>0</v>
          </cell>
          <cell r="S120">
            <v>0</v>
          </cell>
          <cell r="U120">
            <v>-380.52597442758997</v>
          </cell>
          <cell r="V120">
            <v>6725.3341754385983</v>
          </cell>
          <cell r="W120">
            <v>-7406.8601498661901</v>
          </cell>
          <cell r="X120" t="e">
            <v>#REF!</v>
          </cell>
        </row>
        <row r="121">
          <cell r="P121">
            <v>0</v>
          </cell>
          <cell r="S121">
            <v>0</v>
          </cell>
          <cell r="U121">
            <v>0</v>
          </cell>
          <cell r="W121">
            <v>0</v>
          </cell>
          <cell r="X121">
            <v>0</v>
          </cell>
          <cell r="Z121">
            <v>0</v>
          </cell>
        </row>
        <row r="122">
          <cell r="P122">
            <v>0</v>
          </cell>
          <cell r="S122">
            <v>0</v>
          </cell>
          <cell r="U122">
            <v>-149.73279232827699</v>
          </cell>
          <cell r="X122">
            <v>0</v>
          </cell>
          <cell r="AC122">
            <v>0</v>
          </cell>
        </row>
        <row r="123">
          <cell r="U123">
            <v>7.59</v>
          </cell>
          <cell r="X123" t="e">
            <v>#DIV/0!</v>
          </cell>
        </row>
        <row r="124">
          <cell r="S124">
            <v>0</v>
          </cell>
          <cell r="U124">
            <v>0</v>
          </cell>
          <cell r="W124">
            <v>24998</v>
          </cell>
          <cell r="X124">
            <v>0</v>
          </cell>
          <cell r="Y124">
            <v>24998</v>
          </cell>
          <cell r="Z124">
            <v>0</v>
          </cell>
          <cell r="AB124">
            <v>0</v>
          </cell>
        </row>
        <row r="125">
          <cell r="T125">
            <v>0</v>
          </cell>
          <cell r="U125">
            <v>8678</v>
          </cell>
          <cell r="W125" t="e">
            <v>#REF!</v>
          </cell>
          <cell r="X125" t="e">
            <v>#VALUE!</v>
          </cell>
          <cell r="Z125">
            <v>0</v>
          </cell>
          <cell r="AC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T128">
            <v>300</v>
          </cell>
          <cell r="U128">
            <v>56.44</v>
          </cell>
          <cell r="W128">
            <v>0</v>
          </cell>
          <cell r="Z128">
            <v>0</v>
          </cell>
          <cell r="AC128" t="e">
            <v>#DIV/0!</v>
          </cell>
        </row>
        <row r="129">
          <cell r="J129">
            <v>0</v>
          </cell>
          <cell r="U129">
            <v>0</v>
          </cell>
          <cell r="AC129">
            <v>0</v>
          </cell>
        </row>
        <row r="130">
          <cell r="W130">
            <v>11.87</v>
          </cell>
          <cell r="Z130" t="e">
            <v>#DIV/0!</v>
          </cell>
        </row>
        <row r="131">
          <cell r="P131">
            <v>1223</v>
          </cell>
          <cell r="Q131">
            <v>0</v>
          </cell>
          <cell r="R131">
            <v>0</v>
          </cell>
          <cell r="S131">
            <v>0</v>
          </cell>
          <cell r="T131">
            <v>0</v>
          </cell>
          <cell r="U131">
            <v>8.49</v>
          </cell>
          <cell r="V131">
            <v>25363</v>
          </cell>
          <cell r="W131">
            <v>0</v>
          </cell>
          <cell r="X131">
            <v>0</v>
          </cell>
          <cell r="Y131">
            <v>0</v>
          </cell>
          <cell r="Z131">
            <v>0</v>
          </cell>
          <cell r="AA131">
            <v>0</v>
          </cell>
          <cell r="AC131" t="e">
            <v>#DIV/0!</v>
          </cell>
        </row>
        <row r="132">
          <cell r="P132">
            <v>2446</v>
          </cell>
          <cell r="S132">
            <v>0</v>
          </cell>
          <cell r="T132">
            <v>0</v>
          </cell>
          <cell r="U132">
            <v>0</v>
          </cell>
          <cell r="V132">
            <v>187.5</v>
          </cell>
          <cell r="W132" t="e">
            <v>#REF!</v>
          </cell>
          <cell r="X132">
            <v>0</v>
          </cell>
          <cell r="Y132">
            <v>0</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0</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72</v>
          </cell>
          <cell r="I145">
            <v>604</v>
          </cell>
          <cell r="J145">
            <v>1770.6000000000001</v>
          </cell>
          <cell r="M145">
            <v>753.30000000000007</v>
          </cell>
          <cell r="P145">
            <v>322</v>
          </cell>
          <cell r="S145">
            <v>0</v>
          </cell>
          <cell r="T145">
            <v>312</v>
          </cell>
          <cell r="U145">
            <v>0</v>
          </cell>
          <cell r="W145">
            <v>3847.9000000000005</v>
          </cell>
        </row>
        <row r="146">
          <cell r="C146">
            <v>72</v>
          </cell>
          <cell r="I146">
            <v>370</v>
          </cell>
          <cell r="J146">
            <v>1217.0999999999999</v>
          </cell>
          <cell r="M146">
            <v>548.70000000000005</v>
          </cell>
          <cell r="P146">
            <v>180</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t="e">
            <v>#REF!</v>
          </cell>
          <cell r="J149" t="e">
            <v>#REF!</v>
          </cell>
          <cell r="M149" t="e">
            <v>#REF!</v>
          </cell>
          <cell r="P149" t="e">
            <v>#REF!</v>
          </cell>
          <cell r="U149">
            <v>0</v>
          </cell>
          <cell r="W149" t="e">
            <v>#REF!</v>
          </cell>
        </row>
        <row r="150">
          <cell r="C150">
            <v>17.179166666666667</v>
          </cell>
          <cell r="I150">
            <v>502</v>
          </cell>
          <cell r="J150">
            <v>1041.8333333333333</v>
          </cell>
          <cell r="K150">
            <v>0</v>
          </cell>
          <cell r="L150">
            <v>0</v>
          </cell>
          <cell r="M150">
            <v>213</v>
          </cell>
          <cell r="N150" t="e">
            <v>#REF!</v>
          </cell>
          <cell r="O150">
            <v>0</v>
          </cell>
          <cell r="P150">
            <v>0</v>
          </cell>
          <cell r="S150" t="e">
            <v>#REF!</v>
          </cell>
          <cell r="T150">
            <v>630</v>
          </cell>
          <cell r="U150">
            <v>317</v>
          </cell>
          <cell r="W150">
            <v>1774.0124999999998</v>
          </cell>
        </row>
        <row r="151">
          <cell r="C151">
            <v>17.179166666666667</v>
          </cell>
          <cell r="I151">
            <v>0</v>
          </cell>
          <cell r="J151">
            <v>0</v>
          </cell>
          <cell r="M151">
            <v>0</v>
          </cell>
          <cell r="U151">
            <v>1774.0124999999998</v>
          </cell>
          <cell r="W151">
            <v>0</v>
          </cell>
        </row>
        <row r="152">
          <cell r="C152">
            <v>0</v>
          </cell>
          <cell r="I152" t="e">
            <v>#REF!</v>
          </cell>
          <cell r="J152" t="e">
            <v>#REF!</v>
          </cell>
          <cell r="M152" t="e">
            <v>#REF!</v>
          </cell>
          <cell r="P152" t="e">
            <v>#REF!</v>
          </cell>
          <cell r="U152">
            <v>0</v>
          </cell>
          <cell r="W152" t="e">
            <v>#REF!</v>
          </cell>
        </row>
        <row r="153">
          <cell r="C153">
            <v>80</v>
          </cell>
          <cell r="I153" t="e">
            <v>#REF!</v>
          </cell>
          <cell r="J153" t="e">
            <v>#REF!</v>
          </cell>
          <cell r="M153" t="e">
            <v>#REF!</v>
          </cell>
          <cell r="P153" t="e">
            <v>#REF!</v>
          </cell>
          <cell r="S153">
            <v>0</v>
          </cell>
          <cell r="U153">
            <v>4085</v>
          </cell>
          <cell r="W153" t="e">
            <v>#REF!</v>
          </cell>
        </row>
        <row r="154">
          <cell r="C154">
            <v>80</v>
          </cell>
          <cell r="I154">
            <v>0</v>
          </cell>
          <cell r="J154" t="e">
            <v>#REF!</v>
          </cell>
          <cell r="M154" t="e">
            <v>#REF!</v>
          </cell>
          <cell r="P154" t="e">
            <v>#REF!</v>
          </cell>
          <cell r="W154" t="e">
            <v>#REF!</v>
          </cell>
          <cell r="Y154">
            <v>1507.2</v>
          </cell>
        </row>
        <row r="155">
          <cell r="I155">
            <v>-195.33333333333334</v>
          </cell>
          <cell r="J155">
            <v>-166</v>
          </cell>
          <cell r="M155">
            <v>-272</v>
          </cell>
          <cell r="O155">
            <v>250</v>
          </cell>
          <cell r="P155">
            <v>-165.33333333333334</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t="e">
            <v>#REF!</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0</v>
          </cell>
          <cell r="J160" t="e">
            <v>#REF!</v>
          </cell>
          <cell r="M160" t="e">
            <v>#REF!</v>
          </cell>
          <cell r="N160" t="e">
            <v>#REF!</v>
          </cell>
          <cell r="O160">
            <v>250</v>
          </cell>
          <cell r="U160" t="e">
            <v>#REF!</v>
          </cell>
          <cell r="X160">
            <v>221.49122807017542</v>
          </cell>
        </row>
        <row r="161">
          <cell r="C161">
            <v>0</v>
          </cell>
          <cell r="J161" t="e">
            <v>#REF!</v>
          </cell>
          <cell r="M161" t="e">
            <v>#REF!</v>
          </cell>
          <cell r="N161" t="e">
            <v>#REF!</v>
          </cell>
          <cell r="U161" t="e">
            <v>#REF!</v>
          </cell>
          <cell r="X161">
            <v>252.49999999999997</v>
          </cell>
          <cell r="AA161" t="e">
            <v>#REF!</v>
          </cell>
        </row>
        <row r="162">
          <cell r="I162">
            <v>0</v>
          </cell>
          <cell r="J162">
            <v>82.5</v>
          </cell>
          <cell r="M162">
            <v>82.5</v>
          </cell>
          <cell r="N162">
            <v>82.5</v>
          </cell>
          <cell r="Q162">
            <v>63.33</v>
          </cell>
          <cell r="R162">
            <v>63.33</v>
          </cell>
          <cell r="S162">
            <v>63.33</v>
          </cell>
          <cell r="T162">
            <v>63.33</v>
          </cell>
          <cell r="U162">
            <v>82.5</v>
          </cell>
          <cell r="X162">
            <v>66</v>
          </cell>
          <cell r="Z162" t="str">
            <v>ОЧИК.18.02.</v>
          </cell>
        </row>
        <row r="163">
          <cell r="I163">
            <v>0</v>
          </cell>
          <cell r="J163" t="e">
            <v>#REF!</v>
          </cell>
          <cell r="M163" t="e">
            <v>#REF!</v>
          </cell>
          <cell r="N163" t="e">
            <v>#REF!</v>
          </cell>
          <cell r="P163">
            <v>0</v>
          </cell>
          <cell r="S163">
            <v>0</v>
          </cell>
          <cell r="U163" t="e">
            <v>#REF!</v>
          </cell>
          <cell r="X163">
            <v>128.964</v>
          </cell>
          <cell r="AC163" t="str">
            <v>ОЧИК.18.02.</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t="str">
            <v>ТЕЦ-6 ВСЬОГО</v>
          </cell>
          <cell r="Q164" t="str">
            <v>Е/Е</v>
          </cell>
          <cell r="R164" t="str">
            <v xml:space="preserve"> Т/Е</v>
          </cell>
          <cell r="S164" t="str">
            <v xml:space="preserve">ДОП.ВИР. </v>
          </cell>
          <cell r="T164" t="str">
            <v>ДОП.ВИР. СТ.ОРГ.</v>
          </cell>
          <cell r="U164" t="e">
            <v>#REF!</v>
          </cell>
          <cell r="W164" t="str">
            <v>АК КЕ ВСЬОГО</v>
          </cell>
          <cell r="X164" t="str">
            <v>Е/Е</v>
          </cell>
          <cell r="Y164" t="str">
            <v xml:space="preserve"> Т/Е</v>
          </cell>
          <cell r="Z164" t="str">
            <v>СТАНЦІї ЕЛЕКТРО</v>
          </cell>
          <cell r="AA164" t="str">
            <v>СТАНЦІІ ТЕПЛОВІ</v>
          </cell>
          <cell r="AB164" t="str">
            <v>МЕРЕЖІ ЕЛЕКТРО</v>
          </cell>
          <cell r="AC164" t="str">
            <v>МЕРЕЖІ ТЕПЛОВІ</v>
          </cell>
        </row>
        <row r="165">
          <cell r="C165">
            <v>2.78</v>
          </cell>
          <cell r="D165" t="str">
            <v>АПАРАТ ЕЛЕКТРО</v>
          </cell>
          <cell r="E165" t="str">
            <v>АПАРАТ ТЕПЛО</v>
          </cell>
          <cell r="I165" t="str">
            <v>ККМ</v>
          </cell>
          <cell r="J165">
            <v>3.5</v>
          </cell>
          <cell r="K165">
            <v>2.78</v>
          </cell>
          <cell r="L165">
            <v>2.78</v>
          </cell>
          <cell r="M165">
            <v>3.5</v>
          </cell>
          <cell r="N165" t="str">
            <v>Е/Е</v>
          </cell>
          <cell r="O165" t="str">
            <v xml:space="preserve"> Т/Е</v>
          </cell>
          <cell r="P165">
            <v>3.5</v>
          </cell>
          <cell r="Q165" t="str">
            <v>Е/Е</v>
          </cell>
          <cell r="R165" t="str">
            <v xml:space="preserve"> Т/Е</v>
          </cell>
          <cell r="S165" t="str">
            <v xml:space="preserve">ДОП.ВИР. </v>
          </cell>
          <cell r="T165" t="str">
            <v>ДОП.ВИР. СТ.ОРГ.</v>
          </cell>
          <cell r="U165" t="str">
            <v>АК КЕ ВСЬОГО</v>
          </cell>
          <cell r="V165" t="str">
            <v>Е/Е</v>
          </cell>
          <cell r="W165">
            <v>3.4239999999999999</v>
          </cell>
          <cell r="X165">
            <v>693.59999999999991</v>
          </cell>
          <cell r="Z165">
            <v>2.1804999999999999</v>
          </cell>
          <cell r="AA165">
            <v>2.1804999999999999</v>
          </cell>
          <cell r="AB165">
            <v>2.1804999999999999</v>
          </cell>
          <cell r="AC165">
            <v>1.905</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X166">
            <v>197.2</v>
          </cell>
          <cell r="AC166">
            <v>2.1804999999999999</v>
          </cell>
        </row>
        <row r="167">
          <cell r="J167">
            <v>4.2000000000000028</v>
          </cell>
          <cell r="M167">
            <v>31.319999999999993</v>
          </cell>
          <cell r="N167" t="e">
            <v>#REF!</v>
          </cell>
          <cell r="P167">
            <v>21.72</v>
          </cell>
          <cell r="S167">
            <v>157</v>
          </cell>
          <cell r="U167" t="e">
            <v>#REF!</v>
          </cell>
          <cell r="W167">
            <v>57.239999999999995</v>
          </cell>
          <cell r="X167">
            <v>154</v>
          </cell>
          <cell r="Z167">
            <v>221.49122807017542</v>
          </cell>
        </row>
        <row r="168">
          <cell r="J168">
            <v>4.7639999999999958</v>
          </cell>
          <cell r="M168">
            <v>35.595999999999997</v>
          </cell>
          <cell r="P168">
            <v>24.786999999999999</v>
          </cell>
          <cell r="U168">
            <v>44.3</v>
          </cell>
          <cell r="W168">
            <v>65.146999999999991</v>
          </cell>
          <cell r="Z168">
            <v>252.49999999999997</v>
          </cell>
          <cell r="AC168">
            <v>221.49122807017542</v>
          </cell>
        </row>
        <row r="169">
          <cell r="I169">
            <v>0</v>
          </cell>
          <cell r="J169">
            <v>82.5</v>
          </cell>
          <cell r="M169">
            <v>82.5</v>
          </cell>
          <cell r="P169">
            <v>82.5</v>
          </cell>
          <cell r="S169">
            <v>82.5</v>
          </cell>
          <cell r="T169">
            <v>82.5</v>
          </cell>
          <cell r="U169">
            <v>50.49</v>
          </cell>
          <cell r="W169">
            <v>82.5</v>
          </cell>
          <cell r="Z169">
            <v>66</v>
          </cell>
          <cell r="AC169">
            <v>252.49999999999997</v>
          </cell>
        </row>
        <row r="170">
          <cell r="I170">
            <v>0</v>
          </cell>
          <cell r="J170">
            <v>288.75</v>
          </cell>
          <cell r="M170">
            <v>288.75</v>
          </cell>
          <cell r="P170">
            <v>288.75</v>
          </cell>
          <cell r="S170">
            <v>82.5</v>
          </cell>
          <cell r="T170">
            <v>82.5</v>
          </cell>
          <cell r="U170">
            <v>82.5</v>
          </cell>
          <cell r="W170">
            <v>288.75</v>
          </cell>
          <cell r="X170">
            <v>270.36363636363637</v>
          </cell>
          <cell r="Z170">
            <v>143.91299999999998</v>
          </cell>
          <cell r="AC170">
            <v>66</v>
          </cell>
        </row>
        <row r="171">
          <cell r="I171">
            <v>0</v>
          </cell>
          <cell r="J171">
            <v>1213</v>
          </cell>
          <cell r="M171">
            <v>9044</v>
          </cell>
          <cell r="P171">
            <v>6272</v>
          </cell>
          <cell r="S171">
            <v>1156.8545454545454</v>
          </cell>
          <cell r="U171">
            <v>176.84</v>
          </cell>
          <cell r="W171">
            <v>16528</v>
          </cell>
          <cell r="X171">
            <v>620.43636363636358</v>
          </cell>
          <cell r="Z171">
            <v>31875</v>
          </cell>
          <cell r="AC171">
            <v>143.91299999999998</v>
          </cell>
        </row>
        <row r="172">
          <cell r="J172">
            <v>133</v>
          </cell>
          <cell r="M172">
            <v>4626</v>
          </cell>
          <cell r="P172">
            <v>3075</v>
          </cell>
          <cell r="S172">
            <v>1737.3999999999999</v>
          </cell>
          <cell r="U172">
            <v>7834</v>
          </cell>
          <cell r="W172">
            <v>16529</v>
          </cell>
          <cell r="X172">
            <v>75.839416058394164</v>
          </cell>
          <cell r="AC172">
            <v>31875</v>
          </cell>
        </row>
        <row r="173">
          <cell r="J173">
            <v>40.5</v>
          </cell>
          <cell r="M173">
            <v>48.28</v>
          </cell>
          <cell r="P173">
            <v>46.980000000000004</v>
          </cell>
          <cell r="S173">
            <v>0</v>
          </cell>
          <cell r="U173">
            <v>7834</v>
          </cell>
          <cell r="W173">
            <v>135.76</v>
          </cell>
          <cell r="X173">
            <v>103.9</v>
          </cell>
        </row>
        <row r="174">
          <cell r="C174">
            <v>75</v>
          </cell>
          <cell r="I174">
            <v>75</v>
          </cell>
          <cell r="J174">
            <v>46.136000000000003</v>
          </cell>
          <cell r="M174">
            <v>55.003999999999998</v>
          </cell>
          <cell r="P174">
            <v>53.512999999999998</v>
          </cell>
          <cell r="S174">
            <v>0</v>
          </cell>
          <cell r="T174">
            <v>0</v>
          </cell>
          <cell r="U174">
            <v>80.7</v>
          </cell>
          <cell r="W174">
            <v>154.65299999999999</v>
          </cell>
          <cell r="X174">
            <v>99.938587512794271</v>
          </cell>
          <cell r="AA174">
            <v>75</v>
          </cell>
        </row>
        <row r="175">
          <cell r="J175">
            <v>63.33</v>
          </cell>
          <cell r="K175">
            <v>0</v>
          </cell>
          <cell r="L175">
            <v>0</v>
          </cell>
          <cell r="M175">
            <v>63.33</v>
          </cell>
          <cell r="P175">
            <v>63.33</v>
          </cell>
          <cell r="Q175">
            <v>0</v>
          </cell>
          <cell r="R175">
            <v>0</v>
          </cell>
          <cell r="S175">
            <v>4262</v>
          </cell>
          <cell r="T175">
            <v>0</v>
          </cell>
          <cell r="U175">
            <v>91.91</v>
          </cell>
          <cell r="V175">
            <v>0</v>
          </cell>
          <cell r="W175">
            <v>63.33</v>
          </cell>
          <cell r="X175">
            <v>195.28</v>
          </cell>
          <cell r="Y175">
            <v>0</v>
          </cell>
          <cell r="Z175">
            <v>0</v>
          </cell>
          <cell r="AA175">
            <v>0</v>
          </cell>
        </row>
        <row r="176">
          <cell r="J176">
            <v>221.66</v>
          </cell>
          <cell r="M176">
            <v>221.66</v>
          </cell>
          <cell r="P176">
            <v>221.66</v>
          </cell>
          <cell r="Q176">
            <v>0</v>
          </cell>
          <cell r="R176">
            <v>0</v>
          </cell>
          <cell r="S176">
            <v>4262</v>
          </cell>
          <cell r="T176">
            <v>0</v>
          </cell>
          <cell r="U176">
            <v>63.33</v>
          </cell>
          <cell r="V176">
            <v>0</v>
          </cell>
          <cell r="W176">
            <v>216.84</v>
          </cell>
          <cell r="X176">
            <v>14810</v>
          </cell>
          <cell r="Y176">
            <v>0</v>
          </cell>
          <cell r="Z176">
            <v>0</v>
          </cell>
          <cell r="AA176">
            <v>0</v>
          </cell>
        </row>
        <row r="177">
          <cell r="J177">
            <v>8977</v>
          </cell>
          <cell r="M177">
            <v>10702</v>
          </cell>
          <cell r="P177">
            <v>10414</v>
          </cell>
          <cell r="R177">
            <v>0</v>
          </cell>
          <cell r="S177">
            <v>0</v>
          </cell>
          <cell r="T177">
            <v>0</v>
          </cell>
          <cell r="U177">
            <v>135.75</v>
          </cell>
          <cell r="V177" t="e">
            <v>#REF!</v>
          </cell>
          <cell r="W177">
            <v>29438</v>
          </cell>
          <cell r="X177">
            <v>0</v>
          </cell>
          <cell r="Y177">
            <v>0</v>
          </cell>
          <cell r="Z177">
            <v>0</v>
          </cell>
          <cell r="AA177">
            <v>0</v>
          </cell>
        </row>
        <row r="178">
          <cell r="J178">
            <v>1378</v>
          </cell>
          <cell r="M178">
            <v>5286</v>
          </cell>
          <cell r="N178" t="e">
            <v>#REF!</v>
          </cell>
          <cell r="O178" t="e">
            <v>#REF!</v>
          </cell>
          <cell r="P178">
            <v>4291</v>
          </cell>
          <cell r="Q178" t="e">
            <v>#REF!</v>
          </cell>
          <cell r="R178" t="e">
            <v>#REF!</v>
          </cell>
          <cell r="U178">
            <v>10955</v>
          </cell>
          <cell r="V178" t="e">
            <v>#REF!</v>
          </cell>
          <cell r="W178">
            <v>30093</v>
          </cell>
          <cell r="X178">
            <v>356.4</v>
          </cell>
          <cell r="Y178">
            <v>74.900000000000006</v>
          </cell>
          <cell r="Z178">
            <v>281.5</v>
          </cell>
        </row>
        <row r="179">
          <cell r="J179">
            <v>0</v>
          </cell>
          <cell r="M179">
            <v>0</v>
          </cell>
          <cell r="N179" t="e">
            <v>#REF!</v>
          </cell>
          <cell r="O179" t="e">
            <v>#REF!</v>
          </cell>
          <cell r="P179">
            <v>0</v>
          </cell>
          <cell r="Q179" t="e">
            <v>#REF!</v>
          </cell>
          <cell r="R179" t="e">
            <v>#REF!</v>
          </cell>
          <cell r="U179">
            <v>10955</v>
          </cell>
          <cell r="V179" t="e">
            <v>#REF!</v>
          </cell>
          <cell r="W179">
            <v>0</v>
          </cell>
          <cell r="X179">
            <v>43374</v>
          </cell>
          <cell r="Y179">
            <v>9115.3552188552203</v>
          </cell>
          <cell r="Z179">
            <v>75.839416058394164</v>
          </cell>
        </row>
        <row r="180">
          <cell r="J180">
            <v>0</v>
          </cell>
          <cell r="M180">
            <v>0</v>
          </cell>
          <cell r="N180" t="e">
            <v>#REF!</v>
          </cell>
          <cell r="O180" t="e">
            <v>#REF!</v>
          </cell>
          <cell r="P180">
            <v>0</v>
          </cell>
          <cell r="Q180" t="e">
            <v>#REF!</v>
          </cell>
          <cell r="R180" t="e">
            <v>#REF!</v>
          </cell>
          <cell r="S180" t="str">
            <v/>
          </cell>
          <cell r="T180" t="str">
            <v/>
          </cell>
          <cell r="U180">
            <v>8.5</v>
          </cell>
          <cell r="V180" t="e">
            <v>#REF!</v>
          </cell>
          <cell r="W180">
            <v>0</v>
          </cell>
          <cell r="X180">
            <v>121.7</v>
          </cell>
          <cell r="Y180">
            <v>121.7</v>
          </cell>
          <cell r="Z180">
            <v>103.9</v>
          </cell>
          <cell r="AA180" t="str">
            <v/>
          </cell>
          <cell r="AC180">
            <v>75.839416058394164</v>
          </cell>
        </row>
        <row r="181">
          <cell r="C181">
            <v>75</v>
          </cell>
          <cell r="I181">
            <v>75</v>
          </cell>
          <cell r="J181">
            <v>100.5</v>
          </cell>
          <cell r="M181">
            <v>100.5</v>
          </cell>
          <cell r="P181">
            <v>100.5</v>
          </cell>
          <cell r="Q181">
            <v>0</v>
          </cell>
          <cell r="R181">
            <v>0</v>
          </cell>
          <cell r="S181">
            <v>1895.42</v>
          </cell>
          <cell r="T181">
            <v>0</v>
          </cell>
          <cell r="U181">
            <v>11.7</v>
          </cell>
          <cell r="V181" t="e">
            <v>#REF!</v>
          </cell>
          <cell r="W181">
            <v>100.5</v>
          </cell>
          <cell r="X181">
            <v>52</v>
          </cell>
          <cell r="Y181">
            <v>52</v>
          </cell>
          <cell r="Z181">
            <v>89.557440953909662</v>
          </cell>
          <cell r="AA181">
            <v>0</v>
          </cell>
          <cell r="AC181">
            <v>75</v>
          </cell>
        </row>
        <row r="182">
          <cell r="C182">
            <v>75</v>
          </cell>
          <cell r="I182">
            <v>75</v>
          </cell>
          <cell r="J182">
            <v>351.75</v>
          </cell>
          <cell r="K182">
            <v>0</v>
          </cell>
          <cell r="L182">
            <v>0</v>
          </cell>
          <cell r="M182">
            <v>351.75</v>
          </cell>
          <cell r="P182">
            <v>351.75</v>
          </cell>
          <cell r="Q182">
            <v>0</v>
          </cell>
          <cell r="R182">
            <v>0</v>
          </cell>
          <cell r="S182">
            <v>580.5454545454545</v>
          </cell>
          <cell r="T182">
            <v>0</v>
          </cell>
          <cell r="U182">
            <v>100.5</v>
          </cell>
          <cell r="V182" t="e">
            <v>#REF!</v>
          </cell>
          <cell r="W182">
            <v>344.11199999999997</v>
          </cell>
          <cell r="X182">
            <v>43426</v>
          </cell>
          <cell r="Y182">
            <v>9167.3552188552203</v>
          </cell>
          <cell r="Z182">
            <v>195.28</v>
          </cell>
          <cell r="AA182">
            <v>0</v>
          </cell>
          <cell r="AC182">
            <v>89.557440953909662</v>
          </cell>
        </row>
        <row r="183">
          <cell r="J183">
            <v>0</v>
          </cell>
          <cell r="K183">
            <v>0</v>
          </cell>
          <cell r="L183">
            <v>0</v>
          </cell>
          <cell r="M183">
            <v>0</v>
          </cell>
          <cell r="P183">
            <v>0</v>
          </cell>
          <cell r="Q183">
            <v>0</v>
          </cell>
          <cell r="R183">
            <v>0</v>
          </cell>
          <cell r="S183">
            <v>91</v>
          </cell>
          <cell r="T183">
            <v>10</v>
          </cell>
          <cell r="U183">
            <v>215.42175</v>
          </cell>
          <cell r="V183">
            <v>0</v>
          </cell>
          <cell r="W183">
            <v>0</v>
          </cell>
          <cell r="X183">
            <v>206.66666666666666</v>
          </cell>
          <cell r="Z183">
            <v>14810</v>
          </cell>
          <cell r="AA183">
            <v>0</v>
          </cell>
          <cell r="AC183">
            <v>195.28</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10190</v>
          </cell>
          <cell r="M186">
            <v>19746</v>
          </cell>
          <cell r="N186">
            <v>10505</v>
          </cell>
          <cell r="O186">
            <v>9241</v>
          </cell>
          <cell r="P186">
            <v>16686</v>
          </cell>
          <cell r="Q186">
            <v>6585</v>
          </cell>
          <cell r="R186">
            <v>10101</v>
          </cell>
          <cell r="S186">
            <v>-2490.3333333333335</v>
          </cell>
          <cell r="U186">
            <v>154.1</v>
          </cell>
          <cell r="V186">
            <v>95.3</v>
          </cell>
          <cell r="W186">
            <v>45967</v>
          </cell>
          <cell r="X186">
            <v>17090</v>
          </cell>
          <cell r="Y186">
            <v>28877</v>
          </cell>
          <cell r="Z186">
            <v>46685</v>
          </cell>
          <cell r="AA186">
            <v>9811.1854657688</v>
          </cell>
          <cell r="AB186">
            <v>36873.814534231198</v>
          </cell>
          <cell r="AC186">
            <v>356.4</v>
          </cell>
        </row>
        <row r="187">
          <cell r="J187">
            <v>200.2</v>
          </cell>
          <cell r="M187">
            <v>217.95</v>
          </cell>
          <cell r="N187">
            <v>217.95</v>
          </cell>
          <cell r="O187">
            <v>217.95</v>
          </cell>
          <cell r="P187">
            <v>213.1</v>
          </cell>
          <cell r="Q187">
            <v>213.11</v>
          </cell>
          <cell r="R187">
            <v>213.1</v>
          </cell>
          <cell r="S187" t="str">
            <v/>
          </cell>
          <cell r="T187" t="str">
            <v/>
          </cell>
          <cell r="U187">
            <v>20620</v>
          </cell>
          <cell r="V187">
            <v>12849</v>
          </cell>
          <cell r="W187">
            <v>209.13</v>
          </cell>
          <cell r="X187">
            <v>216.06</v>
          </cell>
          <cell r="Y187">
            <v>205.24</v>
          </cell>
          <cell r="Z187">
            <v>130.99</v>
          </cell>
          <cell r="AA187">
            <v>130.99</v>
          </cell>
          <cell r="AB187">
            <v>130.99</v>
          </cell>
          <cell r="AC187" t="str">
            <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t="e">
            <v>#REF!</v>
          </cell>
          <cell r="X188" t="e">
            <v>#REF!</v>
          </cell>
          <cell r="Y188" t="e">
            <v>#REF!</v>
          </cell>
          <cell r="Z188">
            <v>52</v>
          </cell>
          <cell r="AA188">
            <v>52</v>
          </cell>
          <cell r="AC188">
            <v>130.99</v>
          </cell>
        </row>
        <row r="189">
          <cell r="M189">
            <v>19746</v>
          </cell>
          <cell r="N189">
            <v>110.89999999999998</v>
          </cell>
          <cell r="O189">
            <v>-52.500000000000014</v>
          </cell>
          <cell r="P189">
            <v>16686</v>
          </cell>
          <cell r="Q189">
            <v>102.69999999999999</v>
          </cell>
          <cell r="R189">
            <v>-47.700000000000017</v>
          </cell>
          <cell r="U189">
            <v>25</v>
          </cell>
          <cell r="V189">
            <v>25</v>
          </cell>
          <cell r="W189" t="e">
            <v>#REF!</v>
          </cell>
          <cell r="X189" t="e">
            <v>#REF!</v>
          </cell>
          <cell r="Y189" t="e">
            <v>#REF!</v>
          </cell>
          <cell r="Z189">
            <v>46737</v>
          </cell>
          <cell r="AA189">
            <v>9863.1854657688</v>
          </cell>
          <cell r="AB189">
            <v>36873.814534231198</v>
          </cell>
          <cell r="AC189">
            <v>52</v>
          </cell>
        </row>
        <row r="190">
          <cell r="M190">
            <v>10838</v>
          </cell>
          <cell r="N190" t="e">
            <v>#REF!</v>
          </cell>
          <cell r="O190" t="e">
            <v>#REF!</v>
          </cell>
          <cell r="P190">
            <v>8271</v>
          </cell>
          <cell r="Q190" t="e">
            <v>#REF!</v>
          </cell>
          <cell r="R190" t="e">
            <v>#REF!</v>
          </cell>
          <cell r="S190" t="str">
            <v>КТМ</v>
          </cell>
          <cell r="U190">
            <v>20645</v>
          </cell>
          <cell r="V190">
            <v>12874</v>
          </cell>
          <cell r="W190">
            <v>7771</v>
          </cell>
          <cell r="X190" t="str">
            <v>ТЕЦ-5 ВСЬОГО</v>
          </cell>
          <cell r="Y190" t="str">
            <v>Е/Е</v>
          </cell>
          <cell r="Z190" t="str">
            <v xml:space="preserve"> Т/Е</v>
          </cell>
          <cell r="AC190">
            <v>46737</v>
          </cell>
        </row>
        <row r="191">
          <cell r="N191" t="e">
            <v>#REF!</v>
          </cell>
          <cell r="O191" t="e">
            <v>#REF!</v>
          </cell>
          <cell r="Q191" t="e">
            <v>#REF!</v>
          </cell>
          <cell r="R191" t="e">
            <v>#REF!</v>
          </cell>
        </row>
        <row r="192">
          <cell r="N192" t="e">
            <v>#REF!</v>
          </cell>
          <cell r="O192" t="e">
            <v>#REF!</v>
          </cell>
          <cell r="Q192" t="e">
            <v>#REF!</v>
          </cell>
          <cell r="R192" t="e">
            <v>#REF!</v>
          </cell>
          <cell r="V192" t="e">
            <v>#REF!</v>
          </cell>
          <cell r="W192" t="e">
            <v>#REF!</v>
          </cell>
        </row>
        <row r="193">
          <cell r="S193">
            <v>6.4</v>
          </cell>
          <cell r="X193">
            <v>65.3</v>
          </cell>
        </row>
        <row r="194">
          <cell r="S194">
            <v>7.3</v>
          </cell>
          <cell r="X194">
            <v>4948.1398501338099</v>
          </cell>
          <cell r="Z194">
            <v>4948.1398501338263</v>
          </cell>
          <cell r="AB194">
            <v>4948.1398501337389</v>
          </cell>
        </row>
        <row r="195">
          <cell r="P195">
            <v>0</v>
          </cell>
          <cell r="S195">
            <v>0</v>
          </cell>
          <cell r="X195">
            <v>0</v>
          </cell>
        </row>
        <row r="196">
          <cell r="P196">
            <v>0</v>
          </cell>
          <cell r="S196">
            <v>192.5</v>
          </cell>
          <cell r="X196">
            <v>192.5</v>
          </cell>
        </row>
        <row r="197">
          <cell r="S197">
            <v>1232</v>
          </cell>
          <cell r="X197">
            <v>12570</v>
          </cell>
        </row>
        <row r="198">
          <cell r="Y198">
            <v>1507.2</v>
          </cell>
        </row>
        <row r="199">
          <cell r="X199">
            <v>0</v>
          </cell>
        </row>
        <row r="200">
          <cell r="X200">
            <v>0</v>
          </cell>
        </row>
        <row r="201">
          <cell r="X201">
            <v>82.5</v>
          </cell>
        </row>
        <row r="202">
          <cell r="X202">
            <v>0</v>
          </cell>
        </row>
        <row r="203">
          <cell r="S203">
            <v>0</v>
          </cell>
          <cell r="X203">
            <v>0</v>
          </cell>
        </row>
        <row r="205">
          <cell r="X205">
            <v>0</v>
          </cell>
        </row>
        <row r="206">
          <cell r="X206">
            <v>0</v>
          </cell>
        </row>
        <row r="207">
          <cell r="P207">
            <v>75</v>
          </cell>
        </row>
        <row r="208">
          <cell r="S208">
            <v>385</v>
          </cell>
          <cell r="X208">
            <v>385</v>
          </cell>
        </row>
        <row r="209">
          <cell r="S209">
            <v>0</v>
          </cell>
          <cell r="X209">
            <v>0</v>
          </cell>
        </row>
        <row r="211">
          <cell r="M211" t="str">
            <v>ЗАТВЕРДЖУЮ</v>
          </cell>
          <cell r="S211">
            <v>7.3</v>
          </cell>
          <cell r="X211">
            <v>74.7</v>
          </cell>
          <cell r="Y211">
            <v>55.2</v>
          </cell>
          <cell r="Z211">
            <v>19.5</v>
          </cell>
        </row>
        <row r="212">
          <cell r="M212" t="str">
            <v>ГЕНЕРАЛЬНИЙ ДИРЕКТОР -</v>
          </cell>
          <cell r="S212">
            <v>1232</v>
          </cell>
          <cell r="X212">
            <v>12570</v>
          </cell>
          <cell r="Y212">
            <v>9289</v>
          </cell>
          <cell r="Z212">
            <v>3281</v>
          </cell>
          <cell r="AA212">
            <v>3281</v>
          </cell>
        </row>
        <row r="213">
          <cell r="M213" t="str">
            <v>ГОЛОВА ПРАВЛІННЯ КЕ</v>
          </cell>
          <cell r="S213">
            <v>168.77</v>
          </cell>
          <cell r="X213">
            <v>168.27</v>
          </cell>
          <cell r="Y213">
            <v>168.28</v>
          </cell>
          <cell r="Z213">
            <v>168.26</v>
          </cell>
        </row>
        <row r="214">
          <cell r="M214" t="str">
            <v xml:space="preserve">                        І.В.ПЛАЧКОВ</v>
          </cell>
          <cell r="N214" t="str">
            <v xml:space="preserve">      І.В.ПЛАЧКОВ</v>
          </cell>
        </row>
        <row r="215">
          <cell r="M215" t="str">
            <v>ЗАТВЕРДЖУЮ</v>
          </cell>
          <cell r="X215">
            <v>12570</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ВИКОН.ДИР.</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e">
            <v>#REF!</v>
          </cell>
          <cell r="T229">
            <v>889</v>
          </cell>
          <cell r="W229" t="e">
            <v>#REF!</v>
          </cell>
          <cell r="X229" t="e">
            <v>#REF!</v>
          </cell>
          <cell r="Y229" t="e">
            <v>#REF!</v>
          </cell>
        </row>
        <row r="230">
          <cell r="C230" t="e">
            <v>#REF!</v>
          </cell>
          <cell r="D230" t="e">
            <v>#REF!</v>
          </cell>
          <cell r="E230" t="e">
            <v>#REF!</v>
          </cell>
          <cell r="I230" t="e">
            <v>#REF!</v>
          </cell>
          <cell r="J230" t="e">
            <v>#REF!</v>
          </cell>
          <cell r="K230" t="e">
            <v>#REF!</v>
          </cell>
          <cell r="L230" t="e">
            <v>#REF!</v>
          </cell>
          <cell r="M230" t="e">
            <v>#REF!</v>
          </cell>
          <cell r="N230" t="e">
            <v>#REF!</v>
          </cell>
          <cell r="O230" t="e">
            <v>#REF!</v>
          </cell>
          <cell r="P230" t="e">
            <v>#REF!</v>
          </cell>
          <cell r="Q230" t="e">
            <v>#REF!</v>
          </cell>
          <cell r="R230" t="e">
            <v>#REF!</v>
          </cell>
          <cell r="S230" t="e">
            <v>#REF!</v>
          </cell>
          <cell r="T230">
            <v>889</v>
          </cell>
          <cell r="U230" t="str">
            <v>АК КЕ ВСЬОГО</v>
          </cell>
          <cell r="V230" t="str">
            <v>Е/Е</v>
          </cell>
          <cell r="W230" t="e">
            <v>#REF!</v>
          </cell>
          <cell r="X230" t="e">
            <v>#REF!</v>
          </cell>
          <cell r="AC230" t="str">
            <v>СТАНЦІї ЕЛЕКТРО</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t="e">
            <v>#REF!</v>
          </cell>
          <cell r="E233" t="e">
            <v>#REF!</v>
          </cell>
          <cell r="I233" t="e">
            <v>#REF!</v>
          </cell>
          <cell r="J233" t="e">
            <v>#REF!</v>
          </cell>
          <cell r="K233" t="e">
            <v>#REF!</v>
          </cell>
          <cell r="L233" t="e">
            <v>#REF!</v>
          </cell>
          <cell r="M233" t="e">
            <v>#REF!</v>
          </cell>
          <cell r="N233" t="e">
            <v>#REF!</v>
          </cell>
          <cell r="O233" t="e">
            <v>#REF!</v>
          </cell>
          <cell r="P233" t="e">
            <v>#REF!</v>
          </cell>
          <cell r="Q233" t="e">
            <v>#REF!</v>
          </cell>
          <cell r="R233" t="e">
            <v>#REF!</v>
          </cell>
          <cell r="S233">
            <v>708.125</v>
          </cell>
          <cell r="T233">
            <v>0</v>
          </cell>
          <cell r="U233">
            <v>23976.15725132322</v>
          </cell>
          <cell r="V233" t="e">
            <v>#REF!</v>
          </cell>
          <cell r="W233" t="e">
            <v>#REF!</v>
          </cell>
          <cell r="X233" t="e">
            <v>#REF!</v>
          </cell>
        </row>
        <row r="234">
          <cell r="C234" t="e">
            <v>#REF!</v>
          </cell>
          <cell r="D234">
            <v>934.35599999999977</v>
          </cell>
          <cell r="E234">
            <v>424.06800000000004</v>
          </cell>
          <cell r="I234" t="e">
            <v>#REF!</v>
          </cell>
          <cell r="J234" t="e">
            <v>#REF!</v>
          </cell>
          <cell r="K234" t="e">
            <v>#REF!</v>
          </cell>
          <cell r="L234" t="e">
            <v>#REF!</v>
          </cell>
          <cell r="M234" t="e">
            <v>#REF!</v>
          </cell>
          <cell r="N234">
            <v>1585</v>
          </cell>
          <cell r="O234">
            <v>691.00000000000023</v>
          </cell>
          <cell r="P234" t="e">
            <v>#REF!</v>
          </cell>
          <cell r="Q234">
            <v>1327</v>
          </cell>
          <cell r="R234">
            <v>742.99999999999977</v>
          </cell>
          <cell r="S234">
            <v>193.125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t="e">
            <v>#REF!</v>
          </cell>
          <cell r="D236">
            <v>934.35599999999977</v>
          </cell>
          <cell r="E236">
            <v>424.06800000000004</v>
          </cell>
          <cell r="I236" t="e">
            <v>#REF!</v>
          </cell>
          <cell r="J236" t="e">
            <v>#REF!</v>
          </cell>
          <cell r="K236">
            <v>1359.5</v>
          </cell>
          <cell r="L236">
            <v>2119.4999999999995</v>
          </cell>
          <cell r="M236" t="e">
            <v>#REF!</v>
          </cell>
          <cell r="N236">
            <v>1585</v>
          </cell>
          <cell r="O236">
            <v>691.00000000000023</v>
          </cell>
          <cell r="P236" t="e">
            <v>#REF!</v>
          </cell>
          <cell r="Q236" t="e">
            <v>#REF!</v>
          </cell>
          <cell r="R236" t="e">
            <v>#REF!</v>
          </cell>
          <cell r="S236">
            <v>0</v>
          </cell>
          <cell r="T236">
            <v>0</v>
          </cell>
          <cell r="U236">
            <v>15689.007333333333</v>
          </cell>
          <cell r="V236">
            <v>15376.340666666665</v>
          </cell>
          <cell r="W236" t="e">
            <v>#REF!</v>
          </cell>
          <cell r="X236" t="e">
            <v>#REF!</v>
          </cell>
        </row>
        <row r="237">
          <cell r="C237" t="e">
            <v>#REF!</v>
          </cell>
          <cell r="D237">
            <v>78</v>
          </cell>
          <cell r="E237">
            <v>49</v>
          </cell>
          <cell r="I237" t="e">
            <v>#REF!</v>
          </cell>
          <cell r="J237" t="e">
            <v>#REF!</v>
          </cell>
          <cell r="K237">
            <v>335.96789473684214</v>
          </cell>
          <cell r="L237">
            <v>346.55842105263162</v>
          </cell>
          <cell r="M237" t="e">
            <v>#REF!</v>
          </cell>
          <cell r="N237">
            <v>158</v>
          </cell>
          <cell r="O237">
            <v>69.175438596491233</v>
          </cell>
          <cell r="P237" t="e">
            <v>#REF!</v>
          </cell>
          <cell r="Q237">
            <v>63</v>
          </cell>
          <cell r="R237">
            <v>35.423728813559308</v>
          </cell>
          <cell r="S237">
            <v>897</v>
          </cell>
          <cell r="T237">
            <v>1012</v>
          </cell>
          <cell r="U237">
            <v>4138.4967112696995</v>
          </cell>
          <cell r="V237">
            <v>4138.4967112696995</v>
          </cell>
          <cell r="W237" t="e">
            <v>#REF!</v>
          </cell>
          <cell r="X237" t="e">
            <v>#REF!</v>
          </cell>
          <cell r="Z237">
            <v>6</v>
          </cell>
          <cell r="AA237">
            <v>6</v>
          </cell>
          <cell r="AB237">
            <v>12</v>
          </cell>
        </row>
        <row r="238">
          <cell r="C238">
            <v>0</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2421.3333333333335</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t="e">
            <v>#REF!</v>
          </cell>
          <cell r="D240" t="e">
            <v>#REF!</v>
          </cell>
          <cell r="E240" t="e">
            <v>#REF!</v>
          </cell>
          <cell r="I240">
            <v>0</v>
          </cell>
          <cell r="J240">
            <v>0</v>
          </cell>
          <cell r="K240">
            <v>0</v>
          </cell>
          <cell r="L240">
            <v>0</v>
          </cell>
          <cell r="M240" t="e">
            <v>#REF!</v>
          </cell>
          <cell r="N240">
            <v>0</v>
          </cell>
          <cell r="O240">
            <v>0</v>
          </cell>
          <cell r="P240" t="e">
            <v>#REF!</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row>
        <row r="242">
          <cell r="C242" t="e">
            <v>#REF!</v>
          </cell>
          <cell r="I242" t="e">
            <v>#REF!</v>
          </cell>
          <cell r="J242" t="e">
            <v>#REF!</v>
          </cell>
          <cell r="M242" t="e">
            <v>#REF!</v>
          </cell>
          <cell r="P242" t="e">
            <v>#REF!</v>
          </cell>
          <cell r="S242">
            <v>163</v>
          </cell>
          <cell r="U242">
            <v>-149.73279232827699</v>
          </cell>
          <cell r="V242">
            <v>-149.73279232827699</v>
          </cell>
          <cell r="W242" t="e">
            <v>#REF!</v>
          </cell>
          <cell r="X242" t="e">
            <v>#REF!</v>
          </cell>
        </row>
        <row r="243">
          <cell r="C243">
            <v>72</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0</v>
          </cell>
          <cell r="J246">
            <v>0</v>
          </cell>
          <cell r="K246">
            <v>0</v>
          </cell>
          <cell r="L246">
            <v>0</v>
          </cell>
          <cell r="M246">
            <v>0</v>
          </cell>
          <cell r="N246">
            <v>0</v>
          </cell>
          <cell r="O246">
            <v>0</v>
          </cell>
          <cell r="P246">
            <v>0</v>
          </cell>
          <cell r="Q246">
            <v>0</v>
          </cell>
          <cell r="R246">
            <v>0</v>
          </cell>
          <cell r="S246">
            <v>0</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200</v>
          </cell>
          <cell r="I249">
            <v>0</v>
          </cell>
          <cell r="J249">
            <v>0</v>
          </cell>
          <cell r="K249">
            <v>0</v>
          </cell>
          <cell r="L249">
            <v>0</v>
          </cell>
          <cell r="M249">
            <v>0</v>
          </cell>
          <cell r="N249">
            <v>0</v>
          </cell>
          <cell r="O249">
            <v>0</v>
          </cell>
          <cell r="P249">
            <v>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t="e">
            <v>#REF!</v>
          </cell>
          <cell r="I252" t="e">
            <v>#REF!</v>
          </cell>
          <cell r="J252" t="e">
            <v>#REF!</v>
          </cell>
          <cell r="M252" t="e">
            <v>#REF!</v>
          </cell>
          <cell r="N252" t="e">
            <v>#REF!</v>
          </cell>
          <cell r="O252" t="e">
            <v>#REF!</v>
          </cell>
          <cell r="P252" t="e">
            <v>#REF!</v>
          </cell>
          <cell r="Q252" t="e">
            <v>#REF!</v>
          </cell>
          <cell r="R252" t="e">
            <v>#REF!</v>
          </cell>
          <cell r="S252">
            <v>0</v>
          </cell>
          <cell r="T252">
            <v>0</v>
          </cell>
          <cell r="U252">
            <v>331</v>
          </cell>
          <cell r="V252">
            <v>331</v>
          </cell>
          <cell r="W252" t="e">
            <v>#REF!</v>
          </cell>
          <cell r="X252" t="e">
            <v>#REF!</v>
          </cell>
        </row>
        <row r="253">
          <cell r="C253">
            <v>200</v>
          </cell>
          <cell r="I253">
            <v>240</v>
          </cell>
          <cell r="J253">
            <v>330</v>
          </cell>
          <cell r="M253">
            <v>0</v>
          </cell>
          <cell r="P253">
            <v>10</v>
          </cell>
          <cell r="S253">
            <v>0</v>
          </cell>
          <cell r="U253">
            <v>200</v>
          </cell>
          <cell r="V253">
            <v>200</v>
          </cell>
          <cell r="W253">
            <v>580</v>
          </cell>
          <cell r="X253">
            <v>580</v>
          </cell>
        </row>
        <row r="254">
          <cell r="I254">
            <v>0</v>
          </cell>
          <cell r="J254">
            <v>152</v>
          </cell>
          <cell r="M254">
            <v>20</v>
          </cell>
          <cell r="P254">
            <v>10</v>
          </cell>
          <cell r="U254">
            <v>202</v>
          </cell>
          <cell r="V254">
            <v>0</v>
          </cell>
          <cell r="W254">
            <v>0</v>
          </cell>
          <cell r="X254">
            <v>0</v>
          </cell>
        </row>
        <row r="255">
          <cell r="C255" t="e">
            <v>#REF!</v>
          </cell>
          <cell r="I255" t="e">
            <v>#REF!</v>
          </cell>
          <cell r="J255" t="e">
            <v>#REF!</v>
          </cell>
          <cell r="M255" t="e">
            <v>#REF!</v>
          </cell>
          <cell r="N255">
            <v>43</v>
          </cell>
          <cell r="O255">
            <v>17</v>
          </cell>
          <cell r="P255" t="e">
            <v>#REF!</v>
          </cell>
          <cell r="Q255">
            <v>32</v>
          </cell>
          <cell r="R255">
            <v>18</v>
          </cell>
          <cell r="S255">
            <v>0</v>
          </cell>
          <cell r="T255">
            <v>0</v>
          </cell>
          <cell r="U255">
            <v>110</v>
          </cell>
          <cell r="V255">
            <v>110</v>
          </cell>
          <cell r="W255" t="e">
            <v>#REF!</v>
          </cell>
          <cell r="X255" t="e">
            <v>#REF!</v>
          </cell>
          <cell r="Y255" t="str">
            <v>Е/Е</v>
          </cell>
          <cell r="Z255" t="str">
            <v xml:space="preserve"> Т/Е</v>
          </cell>
        </row>
        <row r="256">
          <cell r="C256" t="e">
            <v>#REF!</v>
          </cell>
          <cell r="I256" t="e">
            <v>#REF!</v>
          </cell>
          <cell r="J256" t="e">
            <v>#REF!</v>
          </cell>
          <cell r="M256" t="e">
            <v>#REF!</v>
          </cell>
          <cell r="P256" t="e">
            <v>#REF!</v>
          </cell>
          <cell r="S256">
            <v>0</v>
          </cell>
          <cell r="U256">
            <v>366</v>
          </cell>
          <cell r="V256">
            <v>366</v>
          </cell>
          <cell r="W256" t="e">
            <v>#REF!</v>
          </cell>
          <cell r="X256" t="e">
            <v>#REF!</v>
          </cell>
        </row>
        <row r="257">
          <cell r="C257" t="e">
            <v>#REF!</v>
          </cell>
          <cell r="I257" t="e">
            <v>#REF!</v>
          </cell>
          <cell r="J257" t="e">
            <v>#REF!</v>
          </cell>
          <cell r="M257" t="e">
            <v>#REF!</v>
          </cell>
          <cell r="N257" t="e">
            <v>#REF!</v>
          </cell>
          <cell r="O257">
            <v>0</v>
          </cell>
          <cell r="P257" t="e">
            <v>#REF!</v>
          </cell>
          <cell r="Q257" t="e">
            <v>#REF!</v>
          </cell>
          <cell r="R257">
            <v>0</v>
          </cell>
          <cell r="S257">
            <v>0</v>
          </cell>
          <cell r="U257">
            <v>556</v>
          </cell>
          <cell r="V257">
            <v>556</v>
          </cell>
        </row>
        <row r="258">
          <cell r="C258" t="e">
            <v>#REF!</v>
          </cell>
          <cell r="I258" t="e">
            <v>#REF!</v>
          </cell>
          <cell r="J258" t="e">
            <v>#REF!</v>
          </cell>
          <cell r="M258" t="e">
            <v>#REF!</v>
          </cell>
          <cell r="N258" t="e">
            <v>#REF!</v>
          </cell>
          <cell r="O258" t="e">
            <v>#REF!</v>
          </cell>
          <cell r="P258" t="e">
            <v>#REF!</v>
          </cell>
          <cell r="Q258" t="e">
            <v>#REF!</v>
          </cell>
          <cell r="R258" t="e">
            <v>#REF!</v>
          </cell>
          <cell r="S258" t="e">
            <v>#REF!</v>
          </cell>
          <cell r="T258">
            <v>2221.1818606060606</v>
          </cell>
          <cell r="U258">
            <v>0</v>
          </cell>
          <cell r="V258">
            <v>0</v>
          </cell>
          <cell r="W258" t="e">
            <v>#REF!</v>
          </cell>
          <cell r="X258" t="e">
            <v>#REF!</v>
          </cell>
          <cell r="Y258">
            <v>1372</v>
          </cell>
          <cell r="Z258">
            <v>484.85303030302975</v>
          </cell>
          <cell r="AA258">
            <v>0</v>
          </cell>
        </row>
        <row r="259">
          <cell r="C259" t="e">
            <v>#REF!</v>
          </cell>
          <cell r="I259" t="e">
            <v>#REF!</v>
          </cell>
          <cell r="J259" t="e">
            <v>#REF!</v>
          </cell>
          <cell r="M259" t="e">
            <v>#REF!</v>
          </cell>
          <cell r="P259" t="e">
            <v>#REF!</v>
          </cell>
          <cell r="S259">
            <v>3</v>
          </cell>
          <cell r="T259">
            <v>1413.9233333333332</v>
          </cell>
          <cell r="U259">
            <v>2217</v>
          </cell>
          <cell r="V259">
            <v>2217</v>
          </cell>
          <cell r="W259" t="e">
            <v>#REF!</v>
          </cell>
          <cell r="X259" t="e">
            <v>#REF!</v>
          </cell>
          <cell r="Y259">
            <v>691</v>
          </cell>
          <cell r="Z259">
            <v>244.46666666666613</v>
          </cell>
        </row>
        <row r="260">
          <cell r="C260" t="e">
            <v>#REF!</v>
          </cell>
          <cell r="D260" t="e">
            <v>#REF!</v>
          </cell>
          <cell r="E260" t="e">
            <v>#REF!</v>
          </cell>
          <cell r="I260" t="e">
            <v>#REF!</v>
          </cell>
          <cell r="J260" t="e">
            <v>#REF!</v>
          </cell>
          <cell r="K260" t="e">
            <v>#REF!</v>
          </cell>
          <cell r="L260" t="e">
            <v>#REF!</v>
          </cell>
          <cell r="M260" t="e">
            <v>#REF!</v>
          </cell>
          <cell r="N260" t="e">
            <v>#REF!</v>
          </cell>
          <cell r="O260" t="e">
            <v>#REF!</v>
          </cell>
          <cell r="P260" t="e">
            <v>#REF!</v>
          </cell>
          <cell r="Q260" t="e">
            <v>#REF!</v>
          </cell>
          <cell r="R260" t="e">
            <v>#REF!</v>
          </cell>
          <cell r="S260">
            <v>0</v>
          </cell>
          <cell r="T260">
            <v>0</v>
          </cell>
          <cell r="U260">
            <v>0</v>
          </cell>
          <cell r="V260">
            <v>0</v>
          </cell>
          <cell r="W260" t="e">
            <v>#REF!</v>
          </cell>
          <cell r="X260" t="e">
            <v>#REF!</v>
          </cell>
          <cell r="Y260">
            <v>0</v>
          </cell>
          <cell r="Z260">
            <v>0</v>
          </cell>
          <cell r="AA260">
            <v>0</v>
          </cell>
        </row>
        <row r="261">
          <cell r="C261" t="e">
            <v>#REF!</v>
          </cell>
          <cell r="D261" t="e">
            <v>#REF!</v>
          </cell>
          <cell r="E261" t="e">
            <v>#REF!</v>
          </cell>
          <cell r="I261" t="e">
            <v>#REF!</v>
          </cell>
          <cell r="J261" t="e">
            <v>#REF!</v>
          </cell>
          <cell r="K261" t="e">
            <v>#REF!</v>
          </cell>
          <cell r="L261" t="e">
            <v>#REF!</v>
          </cell>
          <cell r="M261" t="e">
            <v>#REF!</v>
          </cell>
          <cell r="N261" t="e">
            <v>#REF!</v>
          </cell>
          <cell r="O261" t="e">
            <v>#REF!</v>
          </cell>
          <cell r="P261" t="e">
            <v>#REF!</v>
          </cell>
          <cell r="Q261" t="e">
            <v>#REF!</v>
          </cell>
          <cell r="R261" t="e">
            <v>#REF!</v>
          </cell>
          <cell r="S261">
            <v>0</v>
          </cell>
          <cell r="T261">
            <v>112</v>
          </cell>
          <cell r="U261" t="e">
            <v>#REF!</v>
          </cell>
          <cell r="V261" t="e">
            <v>#REF!</v>
          </cell>
          <cell r="W261" t="e">
            <v>#REF!</v>
          </cell>
        </row>
        <row r="262">
          <cell r="C262" t="e">
            <v>#REF!</v>
          </cell>
          <cell r="I262" t="e">
            <v>#REF!</v>
          </cell>
          <cell r="J262" t="e">
            <v>#REF!</v>
          </cell>
          <cell r="K262" t="e">
            <v>#REF!</v>
          </cell>
          <cell r="L262" t="e">
            <v>#REF!</v>
          </cell>
          <cell r="M262" t="e">
            <v>#REF!</v>
          </cell>
          <cell r="N262" t="e">
            <v>#REF!</v>
          </cell>
          <cell r="O262" t="e">
            <v>#REF!</v>
          </cell>
          <cell r="P262" t="e">
            <v>#REF!</v>
          </cell>
          <cell r="Q262" t="e">
            <v>#REF!</v>
          </cell>
          <cell r="R262" t="e">
            <v>#REF!</v>
          </cell>
          <cell r="S262">
            <v>0</v>
          </cell>
          <cell r="T262">
            <v>48</v>
          </cell>
          <cell r="U262">
            <v>3661</v>
          </cell>
          <cell r="V262">
            <v>3661</v>
          </cell>
          <cell r="W262" t="e">
            <v>#REF!</v>
          </cell>
        </row>
        <row r="263">
          <cell r="C263" t="e">
            <v>#REF!</v>
          </cell>
          <cell r="I263" t="e">
            <v>#REF!</v>
          </cell>
          <cell r="J263" t="e">
            <v>#REF!</v>
          </cell>
          <cell r="K263" t="e">
            <v>#REF!</v>
          </cell>
          <cell r="L263" t="e">
            <v>#REF!</v>
          </cell>
          <cell r="M263" t="e">
            <v>#REF!</v>
          </cell>
          <cell r="N263" t="e">
            <v>#REF!</v>
          </cell>
          <cell r="O263" t="e">
            <v>#REF!</v>
          </cell>
          <cell r="P263" t="e">
            <v>#REF!</v>
          </cell>
          <cell r="Q263" t="e">
            <v>#REF!</v>
          </cell>
          <cell r="R263" t="e">
            <v>#REF!</v>
          </cell>
          <cell r="S263">
            <v>0</v>
          </cell>
          <cell r="T263">
            <v>51</v>
          </cell>
          <cell r="U263">
            <v>180</v>
          </cell>
          <cell r="V263">
            <v>180</v>
          </cell>
          <cell r="W263" t="e">
            <v>#REF!</v>
          </cell>
          <cell r="X263" t="e">
            <v>#REF!</v>
          </cell>
          <cell r="Y263">
            <v>0</v>
          </cell>
          <cell r="Z263">
            <v>0</v>
          </cell>
          <cell r="AA263">
            <v>0</v>
          </cell>
        </row>
        <row r="264">
          <cell r="C264">
            <v>0</v>
          </cell>
          <cell r="D264">
            <v>934.35599999999977</v>
          </cell>
          <cell r="E264">
            <v>424.06800000000004</v>
          </cell>
          <cell r="I264" t="e">
            <v>#REF!</v>
          </cell>
          <cell r="J264" t="e">
            <v>#REF!</v>
          </cell>
          <cell r="K264">
            <v>1359.5</v>
          </cell>
          <cell r="L264">
            <v>2119.4999999999995</v>
          </cell>
          <cell r="M264" t="e">
            <v>#REF!</v>
          </cell>
          <cell r="N264" t="e">
            <v>#REF!</v>
          </cell>
          <cell r="O264" t="e">
            <v>#REF!</v>
          </cell>
          <cell r="P264" t="e">
            <v>#REF!</v>
          </cell>
          <cell r="Q264" t="e">
            <v>#REF!</v>
          </cell>
          <cell r="R264" t="e">
            <v>#REF!</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row>
        <row r="267">
          <cell r="C267">
            <v>302.66666666666674</v>
          </cell>
          <cell r="I267">
            <v>40</v>
          </cell>
          <cell r="J267">
            <v>413</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3090</v>
          </cell>
          <cell r="Q268">
            <v>0</v>
          </cell>
          <cell r="R268">
            <v>0</v>
          </cell>
          <cell r="S268">
            <v>0</v>
          </cell>
          <cell r="U268">
            <v>0</v>
          </cell>
          <cell r="V268">
            <v>11</v>
          </cell>
        </row>
        <row r="269">
          <cell r="P269">
            <v>0</v>
          </cell>
          <cell r="S269">
            <v>0</v>
          </cell>
          <cell r="X269">
            <v>0</v>
          </cell>
        </row>
        <row r="271">
          <cell r="P271">
            <v>0</v>
          </cell>
          <cell r="S271">
            <v>0</v>
          </cell>
          <cell r="X271">
            <v>0</v>
          </cell>
        </row>
        <row r="272">
          <cell r="N272" t="str">
            <v>Собівартість</v>
          </cell>
          <cell r="P272">
            <v>3642.12</v>
          </cell>
          <cell r="Q272">
            <v>0</v>
          </cell>
          <cell r="R272">
            <v>0</v>
          </cell>
          <cell r="S272">
            <v>4914.9412121212117</v>
          </cell>
          <cell r="T272">
            <v>0</v>
          </cell>
          <cell r="U272">
            <v>0</v>
          </cell>
          <cell r="V272">
            <v>0</v>
          </cell>
          <cell r="W272">
            <v>0</v>
          </cell>
          <cell r="X272">
            <v>1941.8530303030293</v>
          </cell>
          <cell r="Y272">
            <v>0</v>
          </cell>
          <cell r="Z272">
            <v>0</v>
          </cell>
          <cell r="AA272">
            <v>0</v>
          </cell>
        </row>
        <row r="273">
          <cell r="P273">
            <v>1933.62</v>
          </cell>
          <cell r="Q273">
            <v>0</v>
          </cell>
          <cell r="R273">
            <v>0</v>
          </cell>
          <cell r="S273">
            <v>3984.42</v>
          </cell>
          <cell r="T273">
            <v>654.3785272727273</v>
          </cell>
          <cell r="U273">
            <v>670.49601818181827</v>
          </cell>
          <cell r="V273">
            <v>0</v>
          </cell>
          <cell r="W273">
            <v>0</v>
          </cell>
          <cell r="X273">
            <v>1314.75</v>
          </cell>
          <cell r="Y273">
            <v>522</v>
          </cell>
          <cell r="Z273">
            <v>184.38636363636363</v>
          </cell>
          <cell r="AA273">
            <v>0</v>
          </cell>
        </row>
        <row r="274">
          <cell r="P274">
            <v>955.62</v>
          </cell>
          <cell r="S274">
            <v>1895.42</v>
          </cell>
          <cell r="T274">
            <v>644.3785272727273</v>
          </cell>
          <cell r="U274">
            <v>670.49601818181827</v>
          </cell>
          <cell r="X274">
            <v>640.75</v>
          </cell>
          <cell r="Y274">
            <v>274</v>
          </cell>
          <cell r="Z274">
            <v>96.386363636363626</v>
          </cell>
        </row>
        <row r="275">
          <cell r="N275" t="str">
            <v>Собівартість</v>
          </cell>
          <cell r="P275">
            <v>0</v>
          </cell>
          <cell r="Q275">
            <v>0</v>
          </cell>
          <cell r="R275">
            <v>0</v>
          </cell>
          <cell r="S275">
            <v>10</v>
          </cell>
          <cell r="T275">
            <v>10</v>
          </cell>
          <cell r="U275">
            <v>0</v>
          </cell>
          <cell r="V275">
            <v>0</v>
          </cell>
          <cell r="W275">
            <v>0</v>
          </cell>
          <cell r="X275">
            <v>336</v>
          </cell>
          <cell r="Y275">
            <v>248</v>
          </cell>
          <cell r="Z275">
            <v>88</v>
          </cell>
          <cell r="AA275">
            <v>0</v>
          </cell>
        </row>
        <row r="276">
          <cell r="P276">
            <v>-25</v>
          </cell>
          <cell r="Q276">
            <v>0</v>
          </cell>
          <cell r="R276">
            <v>0</v>
          </cell>
          <cell r="S276">
            <v>1409</v>
          </cell>
          <cell r="T276">
            <v>0</v>
          </cell>
          <cell r="U276">
            <v>0</v>
          </cell>
          <cell r="V276">
            <v>0</v>
          </cell>
          <cell r="W276">
            <v>0</v>
          </cell>
          <cell r="X276">
            <v>338</v>
          </cell>
          <cell r="Y276">
            <v>0</v>
          </cell>
          <cell r="Z276">
            <v>0</v>
          </cell>
          <cell r="AA276">
            <v>0</v>
          </cell>
        </row>
        <row r="277">
          <cell r="P277">
            <v>-1.375</v>
          </cell>
          <cell r="S277">
            <v>750</v>
          </cell>
          <cell r="X277">
            <v>115</v>
          </cell>
        </row>
        <row r="278">
          <cell r="N278" t="str">
            <v>Собівартість</v>
          </cell>
          <cell r="P278">
            <v>-8</v>
          </cell>
          <cell r="S278">
            <v>84</v>
          </cell>
          <cell r="X278">
            <v>57</v>
          </cell>
        </row>
        <row r="279">
          <cell r="P279">
            <v>-2.1590909090909096</v>
          </cell>
          <cell r="S279">
            <v>430</v>
          </cell>
          <cell r="X279">
            <v>100</v>
          </cell>
        </row>
        <row r="280">
          <cell r="P280">
            <v>145</v>
          </cell>
          <cell r="S280">
            <v>145</v>
          </cell>
          <cell r="X280">
            <v>66</v>
          </cell>
        </row>
        <row r="281">
          <cell r="P281">
            <v>14</v>
          </cell>
          <cell r="Q281">
            <v>0</v>
          </cell>
          <cell r="R281">
            <v>0</v>
          </cell>
          <cell r="S281">
            <v>420</v>
          </cell>
          <cell r="T281">
            <v>0</v>
          </cell>
          <cell r="U281">
            <v>0</v>
          </cell>
          <cell r="V281">
            <v>0</v>
          </cell>
          <cell r="W281">
            <v>0</v>
          </cell>
          <cell r="X281">
            <v>0</v>
          </cell>
          <cell r="Y281">
            <v>0</v>
          </cell>
          <cell r="Z281">
            <v>0</v>
          </cell>
          <cell r="AA281">
            <v>0</v>
          </cell>
        </row>
        <row r="282">
          <cell r="N282" t="str">
            <v>ФМЗ ( з відрахуван)</v>
          </cell>
          <cell r="P282">
            <v>25</v>
          </cell>
          <cell r="S282">
            <v>0</v>
          </cell>
          <cell r="X282">
            <v>0</v>
          </cell>
        </row>
        <row r="283">
          <cell r="P283">
            <v>14</v>
          </cell>
          <cell r="S283">
            <v>420</v>
          </cell>
          <cell r="X283">
            <v>0</v>
          </cell>
        </row>
        <row r="285">
          <cell r="N285" t="str">
            <v>ФМЗ ( з відрахуван)</v>
          </cell>
          <cell r="P285">
            <v>25</v>
          </cell>
          <cell r="S285">
            <v>250</v>
          </cell>
        </row>
        <row r="286">
          <cell r="P286">
            <v>1708.5</v>
          </cell>
          <cell r="Q286">
            <v>0</v>
          </cell>
          <cell r="R286">
            <v>0</v>
          </cell>
          <cell r="S286">
            <v>930.52121212121165</v>
          </cell>
          <cell r="T286">
            <v>-654.3785272727273</v>
          </cell>
          <cell r="U286">
            <v>-670.49601818181827</v>
          </cell>
          <cell r="V286">
            <v>0</v>
          </cell>
          <cell r="W286">
            <v>0</v>
          </cell>
          <cell r="X286">
            <v>627.1030303030293</v>
          </cell>
          <cell r="Y286">
            <v>-522</v>
          </cell>
          <cell r="Z286">
            <v>-184.38636363636363</v>
          </cell>
          <cell r="AA286">
            <v>0</v>
          </cell>
        </row>
        <row r="288">
          <cell r="N288" t="str">
            <v>ФМЗ ( з відрахуван)</v>
          </cell>
          <cell r="P288">
            <v>25</v>
          </cell>
          <cell r="Q288">
            <v>0</v>
          </cell>
          <cell r="R288">
            <v>0</v>
          </cell>
          <cell r="S288">
            <v>5192.5212121212126</v>
          </cell>
          <cell r="T288">
            <v>0</v>
          </cell>
          <cell r="U288">
            <v>0</v>
          </cell>
          <cell r="V288">
            <v>0</v>
          </cell>
          <cell r="W288">
            <v>0</v>
          </cell>
          <cell r="X288">
            <v>627.10303030303021</v>
          </cell>
          <cell r="Y288">
            <v>0</v>
          </cell>
          <cell r="Z288">
            <v>0</v>
          </cell>
          <cell r="AA288">
            <v>0</v>
          </cell>
        </row>
        <row r="289">
          <cell r="P289">
            <v>1187</v>
          </cell>
          <cell r="S289">
            <v>3582</v>
          </cell>
          <cell r="X289">
            <v>-15</v>
          </cell>
        </row>
        <row r="290">
          <cell r="P290">
            <v>450.5</v>
          </cell>
          <cell r="Q290">
            <v>0</v>
          </cell>
          <cell r="R290">
            <v>0</v>
          </cell>
          <cell r="S290">
            <v>1011.8545454545454</v>
          </cell>
          <cell r="T290">
            <v>0</v>
          </cell>
          <cell r="U290">
            <v>0</v>
          </cell>
          <cell r="V290">
            <v>0</v>
          </cell>
          <cell r="W290">
            <v>0</v>
          </cell>
          <cell r="X290">
            <v>554.43636363636358</v>
          </cell>
          <cell r="Y290">
            <v>0</v>
          </cell>
          <cell r="Z290">
            <v>0</v>
          </cell>
          <cell r="AA290">
            <v>0</v>
          </cell>
        </row>
        <row r="291">
          <cell r="P291">
            <v>0</v>
          </cell>
          <cell r="S291">
            <v>0</v>
          </cell>
          <cell r="X291">
            <v>0</v>
          </cell>
        </row>
        <row r="292">
          <cell r="P292">
            <v>0</v>
          </cell>
          <cell r="S292">
            <v>0</v>
          </cell>
          <cell r="X292">
            <v>0</v>
          </cell>
        </row>
        <row r="293">
          <cell r="P293">
            <v>129</v>
          </cell>
          <cell r="Q293">
            <v>0</v>
          </cell>
          <cell r="R293">
            <v>0</v>
          </cell>
          <cell r="S293">
            <v>517.66666666666663</v>
          </cell>
          <cell r="T293">
            <v>0</v>
          </cell>
          <cell r="U293">
            <v>0</v>
          </cell>
          <cell r="V293">
            <v>0</v>
          </cell>
          <cell r="W293">
            <v>0</v>
          </cell>
          <cell r="X293">
            <v>217</v>
          </cell>
          <cell r="Y293">
            <v>0</v>
          </cell>
          <cell r="Z293">
            <v>0</v>
          </cell>
          <cell r="AA293">
            <v>0</v>
          </cell>
        </row>
        <row r="294">
          <cell r="P294">
            <v>1</v>
          </cell>
          <cell r="S294">
            <v>97.666666666666629</v>
          </cell>
          <cell r="X294">
            <v>12</v>
          </cell>
        </row>
        <row r="295">
          <cell r="P295">
            <v>42</v>
          </cell>
          <cell r="S295">
            <v>319</v>
          </cell>
          <cell r="X295">
            <v>85</v>
          </cell>
        </row>
        <row r="296">
          <cell r="P296">
            <v>86</v>
          </cell>
          <cell r="S296">
            <v>101</v>
          </cell>
          <cell r="X296">
            <v>120</v>
          </cell>
        </row>
        <row r="297">
          <cell r="P297">
            <v>0</v>
          </cell>
        </row>
        <row r="298">
          <cell r="P298">
            <v>62</v>
          </cell>
          <cell r="S298">
            <v>81</v>
          </cell>
          <cell r="X298">
            <v>-129.33333333333334</v>
          </cell>
        </row>
        <row r="299">
          <cell r="P299">
            <v>1708.5</v>
          </cell>
          <cell r="Q299">
            <v>0</v>
          </cell>
          <cell r="R299">
            <v>0</v>
          </cell>
          <cell r="S299">
            <v>930.52121212121165</v>
          </cell>
          <cell r="T299">
            <v>-654.3785272727273</v>
          </cell>
          <cell r="U299">
            <v>-670.49601818181827</v>
          </cell>
          <cell r="V299">
            <v>0</v>
          </cell>
          <cell r="W299">
            <v>0</v>
          </cell>
          <cell r="X299">
            <v>627.1030303030293</v>
          </cell>
          <cell r="Y299">
            <v>-522</v>
          </cell>
          <cell r="Z299">
            <v>-184.38636363636363</v>
          </cell>
          <cell r="AA299">
            <v>0</v>
          </cell>
        </row>
        <row r="302">
          <cell r="P302">
            <v>1708.5</v>
          </cell>
          <cell r="Q302">
            <v>0</v>
          </cell>
          <cell r="R302">
            <v>0</v>
          </cell>
          <cell r="S302">
            <v>930.52121212121165</v>
          </cell>
          <cell r="T302">
            <v>-654.3785272727273</v>
          </cell>
          <cell r="U302">
            <v>-670.49601818181827</v>
          </cell>
          <cell r="V302">
            <v>0</v>
          </cell>
          <cell r="W302">
            <v>0</v>
          </cell>
          <cell r="X302">
            <v>627.1030303030293</v>
          </cell>
          <cell r="Y302">
            <v>-522</v>
          </cell>
          <cell r="Z302">
            <v>-184.38636363636363</v>
          </cell>
          <cell r="AA302">
            <v>0</v>
          </cell>
        </row>
        <row r="304">
          <cell r="P304">
            <v>0</v>
          </cell>
          <cell r="Q304">
            <v>0</v>
          </cell>
          <cell r="R304">
            <v>0</v>
          </cell>
          <cell r="S304">
            <v>0</v>
          </cell>
          <cell r="T304">
            <v>0</v>
          </cell>
          <cell r="U304">
            <v>0</v>
          </cell>
          <cell r="V304">
            <v>0</v>
          </cell>
          <cell r="W304">
            <v>0</v>
          </cell>
          <cell r="X304">
            <v>0</v>
          </cell>
          <cell r="Y304">
            <v>0</v>
          </cell>
          <cell r="Z304">
            <v>0</v>
          </cell>
          <cell r="AA304">
            <v>0</v>
          </cell>
        </row>
        <row r="305">
          <cell r="P305">
            <v>0</v>
          </cell>
          <cell r="S305">
            <v>0</v>
          </cell>
          <cell r="X305">
            <v>0</v>
          </cell>
        </row>
        <row r="307">
          <cell r="P307">
            <v>1708.5</v>
          </cell>
          <cell r="Q307">
            <v>0</v>
          </cell>
          <cell r="R307">
            <v>0</v>
          </cell>
          <cell r="S307">
            <v>930.52121212121165</v>
          </cell>
          <cell r="T307">
            <v>-654.3785272727273</v>
          </cell>
          <cell r="U307">
            <v>-670.49601818181827</v>
          </cell>
          <cell r="V307">
            <v>0</v>
          </cell>
          <cell r="W307">
            <v>0</v>
          </cell>
          <cell r="X307">
            <v>627.1030303030293</v>
          </cell>
          <cell r="Y307">
            <v>-522</v>
          </cell>
          <cell r="Z307">
            <v>-184.38636363636363</v>
          </cell>
          <cell r="AA307">
            <v>0</v>
          </cell>
        </row>
        <row r="309">
          <cell r="P309">
            <v>0</v>
          </cell>
        </row>
        <row r="310">
          <cell r="S310">
            <v>0</v>
          </cell>
        </row>
        <row r="312">
          <cell r="S312">
            <v>0</v>
          </cell>
        </row>
        <row r="317">
          <cell r="S317">
            <v>0</v>
          </cell>
        </row>
        <row r="318">
          <cell r="P318">
            <v>1708.5</v>
          </cell>
          <cell r="Q318">
            <v>0</v>
          </cell>
          <cell r="R318">
            <v>0</v>
          </cell>
          <cell r="S318">
            <v>930.52121212121165</v>
          </cell>
          <cell r="T318">
            <v>-654.3785272727273</v>
          </cell>
          <cell r="U318">
            <v>-670.49601818181827</v>
          </cell>
          <cell r="V318">
            <v>0</v>
          </cell>
          <cell r="W318">
            <v>0</v>
          </cell>
          <cell r="X318">
            <v>627.1030303030293</v>
          </cell>
          <cell r="Y318">
            <v>-522</v>
          </cell>
          <cell r="Z318">
            <v>-184.38636363636363</v>
          </cell>
          <cell r="AA318">
            <v>0</v>
          </cell>
        </row>
        <row r="328">
          <cell r="P328">
            <v>348</v>
          </cell>
          <cell r="S328">
            <v>517</v>
          </cell>
          <cell r="X328">
            <v>175</v>
          </cell>
        </row>
        <row r="351">
          <cell r="P351">
            <v>225</v>
          </cell>
          <cell r="S351">
            <v>296</v>
          </cell>
          <cell r="X351">
            <v>56</v>
          </cell>
        </row>
        <row r="353">
          <cell r="P353">
            <v>0</v>
          </cell>
          <cell r="S353">
            <v>0</v>
          </cell>
          <cell r="X353">
            <v>0</v>
          </cell>
        </row>
        <row r="361">
          <cell r="P361">
            <v>0</v>
          </cell>
          <cell r="S361">
            <v>1018</v>
          </cell>
          <cell r="T361">
            <v>162.88</v>
          </cell>
          <cell r="U361">
            <v>855.12</v>
          </cell>
          <cell r="X361">
            <v>466</v>
          </cell>
          <cell r="Y361">
            <v>407</v>
          </cell>
          <cell r="Z361">
            <v>144</v>
          </cell>
        </row>
        <row r="384">
          <cell r="P384" t="str">
            <v>лютий</v>
          </cell>
          <cell r="X384" t="str">
            <v>лютий</v>
          </cell>
        </row>
        <row r="385">
          <cell r="P385" t="str">
            <v>ККМ</v>
          </cell>
          <cell r="X385" t="str">
            <v>ТЕЦ5</v>
          </cell>
        </row>
        <row r="386">
          <cell r="P386" t="str">
            <v>ПЛАН</v>
          </cell>
          <cell r="X386" t="str">
            <v>ПЛАН</v>
          </cell>
        </row>
        <row r="387">
          <cell r="P387">
            <v>14.333333333333332</v>
          </cell>
          <cell r="S387">
            <v>14.333333333333332</v>
          </cell>
          <cell r="X387">
            <v>182</v>
          </cell>
          <cell r="Y387">
            <v>134</v>
          </cell>
          <cell r="Z387">
            <v>134</v>
          </cell>
        </row>
        <row r="388">
          <cell r="P388">
            <v>0</v>
          </cell>
          <cell r="X388">
            <v>0</v>
          </cell>
          <cell r="Y388">
            <v>0</v>
          </cell>
        </row>
        <row r="389">
          <cell r="P389">
            <v>0.66666666666666663</v>
          </cell>
          <cell r="X389">
            <v>146.66666666666666</v>
          </cell>
          <cell r="Y389">
            <v>108</v>
          </cell>
        </row>
        <row r="390">
          <cell r="P390">
            <v>2</v>
          </cell>
          <cell r="X390">
            <v>0</v>
          </cell>
          <cell r="Y390">
            <v>0</v>
          </cell>
        </row>
        <row r="391">
          <cell r="P391">
            <v>0</v>
          </cell>
          <cell r="X391">
            <v>25.333333333333332</v>
          </cell>
          <cell r="Y391">
            <v>19</v>
          </cell>
        </row>
        <row r="392">
          <cell r="P392">
            <v>0</v>
          </cell>
          <cell r="X392">
            <v>0</v>
          </cell>
          <cell r="Y392">
            <v>0</v>
          </cell>
        </row>
        <row r="393">
          <cell r="P393">
            <v>0</v>
          </cell>
          <cell r="X393">
            <v>0</v>
          </cell>
          <cell r="Y393">
            <v>0</v>
          </cell>
        </row>
        <row r="394">
          <cell r="P394">
            <v>5.333333333333333</v>
          </cell>
          <cell r="X394">
            <v>0</v>
          </cell>
          <cell r="Y394">
            <v>0</v>
          </cell>
        </row>
        <row r="395">
          <cell r="P395">
            <v>0</v>
          </cell>
          <cell r="X395">
            <v>0</v>
          </cell>
          <cell r="Y395">
            <v>0</v>
          </cell>
        </row>
        <row r="396">
          <cell r="P396">
            <v>4.333333333333333</v>
          </cell>
          <cell r="X396">
            <v>0</v>
          </cell>
          <cell r="Y396">
            <v>0</v>
          </cell>
        </row>
        <row r="397">
          <cell r="P397">
            <v>2</v>
          </cell>
          <cell r="X397">
            <v>10</v>
          </cell>
          <cell r="Y397">
            <v>7</v>
          </cell>
        </row>
        <row r="398">
          <cell r="P398">
            <v>0</v>
          </cell>
          <cell r="X398">
            <v>0</v>
          </cell>
          <cell r="Y398">
            <v>0</v>
          </cell>
        </row>
        <row r="399">
          <cell r="P399">
            <v>20.5</v>
          </cell>
          <cell r="X399">
            <v>522.33333333333337</v>
          </cell>
          <cell r="Y399">
            <v>386</v>
          </cell>
        </row>
        <row r="400">
          <cell r="P400">
            <v>0</v>
          </cell>
          <cell r="X400">
            <v>0</v>
          </cell>
          <cell r="Y400">
            <v>0</v>
          </cell>
        </row>
        <row r="401">
          <cell r="P401">
            <v>0</v>
          </cell>
          <cell r="X401">
            <v>480.66666666666669</v>
          </cell>
          <cell r="Y401">
            <v>355</v>
          </cell>
        </row>
        <row r="402">
          <cell r="P402">
            <v>0</v>
          </cell>
          <cell r="X402">
            <v>0</v>
          </cell>
          <cell r="Y402">
            <v>0</v>
          </cell>
        </row>
        <row r="403">
          <cell r="P403">
            <v>15.833333333333334</v>
          </cell>
          <cell r="X403">
            <v>41.666666666666664</v>
          </cell>
          <cell r="Y403">
            <v>31</v>
          </cell>
        </row>
        <row r="404">
          <cell r="P404">
            <v>4.666666666666667</v>
          </cell>
          <cell r="X404">
            <v>0</v>
          </cell>
          <cell r="Y404">
            <v>0</v>
          </cell>
        </row>
        <row r="405">
          <cell r="P405">
            <v>0</v>
          </cell>
          <cell r="X405">
            <v>0</v>
          </cell>
          <cell r="Y405">
            <v>0</v>
          </cell>
        </row>
        <row r="406">
          <cell r="P406">
            <v>39</v>
          </cell>
          <cell r="X406">
            <v>0</v>
          </cell>
          <cell r="Y406">
            <v>0</v>
          </cell>
        </row>
        <row r="407">
          <cell r="P407">
            <v>3.3333333333333335</v>
          </cell>
          <cell r="X407">
            <v>0</v>
          </cell>
          <cell r="Y407">
            <v>0</v>
          </cell>
        </row>
        <row r="408">
          <cell r="P408">
            <v>35.666666666666664</v>
          </cell>
          <cell r="X408">
            <v>0</v>
          </cell>
          <cell r="Y408">
            <v>0</v>
          </cell>
        </row>
        <row r="409">
          <cell r="P409">
            <v>0</v>
          </cell>
          <cell r="X409">
            <v>0</v>
          </cell>
          <cell r="Y409">
            <v>0</v>
          </cell>
        </row>
        <row r="410">
          <cell r="P410">
            <v>50.166666666666671</v>
          </cell>
          <cell r="S410">
            <v>50.166666666666671</v>
          </cell>
          <cell r="X410">
            <v>37.833333333333343</v>
          </cell>
          <cell r="Y410">
            <v>28</v>
          </cell>
        </row>
        <row r="411">
          <cell r="P411">
            <v>0</v>
          </cell>
          <cell r="X411">
            <v>0</v>
          </cell>
          <cell r="Y411">
            <v>0</v>
          </cell>
        </row>
        <row r="412">
          <cell r="P412">
            <v>0</v>
          </cell>
          <cell r="X412">
            <v>0</v>
          </cell>
          <cell r="Y412">
            <v>0</v>
          </cell>
        </row>
        <row r="413">
          <cell r="P413">
            <v>0</v>
          </cell>
          <cell r="X413">
            <v>0</v>
          </cell>
          <cell r="Y413">
            <v>0</v>
          </cell>
        </row>
        <row r="414">
          <cell r="P414">
            <v>12.333333333333334</v>
          </cell>
          <cell r="X414">
            <v>0</v>
          </cell>
          <cell r="Y414">
            <v>0</v>
          </cell>
        </row>
        <row r="415">
          <cell r="P415">
            <v>0</v>
          </cell>
          <cell r="X415">
            <v>0</v>
          </cell>
          <cell r="Y415">
            <v>0</v>
          </cell>
        </row>
        <row r="416">
          <cell r="P416">
            <v>5</v>
          </cell>
          <cell r="X416">
            <v>3</v>
          </cell>
          <cell r="Y416">
            <v>2</v>
          </cell>
        </row>
        <row r="417">
          <cell r="P417">
            <v>0</v>
          </cell>
          <cell r="X417">
            <v>0</v>
          </cell>
          <cell r="Y417">
            <v>0</v>
          </cell>
        </row>
        <row r="418">
          <cell r="P418">
            <v>0</v>
          </cell>
          <cell r="X418">
            <v>0</v>
          </cell>
          <cell r="Y418">
            <v>0</v>
          </cell>
        </row>
        <row r="419">
          <cell r="P419">
            <v>18.5</v>
          </cell>
          <cell r="X419">
            <v>4.5</v>
          </cell>
          <cell r="Y419">
            <v>3</v>
          </cell>
        </row>
        <row r="420">
          <cell r="P420">
            <v>1.3333333333333333</v>
          </cell>
          <cell r="X420">
            <v>0</v>
          </cell>
          <cell r="Y420">
            <v>0</v>
          </cell>
        </row>
        <row r="421">
          <cell r="P421">
            <v>0</v>
          </cell>
          <cell r="X421">
            <v>0</v>
          </cell>
          <cell r="Y421">
            <v>0</v>
          </cell>
        </row>
        <row r="422">
          <cell r="P422">
            <v>0</v>
          </cell>
          <cell r="X422">
            <v>10</v>
          </cell>
          <cell r="Y422">
            <v>7</v>
          </cell>
        </row>
        <row r="423">
          <cell r="P423">
            <v>2</v>
          </cell>
          <cell r="X423">
            <v>1.3333333333333333</v>
          </cell>
          <cell r="Y423">
            <v>1</v>
          </cell>
        </row>
        <row r="424">
          <cell r="P424">
            <v>0.33333333333333331</v>
          </cell>
          <cell r="X424">
            <v>1</v>
          </cell>
          <cell r="Y424">
            <v>1</v>
          </cell>
        </row>
        <row r="425">
          <cell r="P425">
            <v>2.3333333333333335</v>
          </cell>
          <cell r="X425">
            <v>6</v>
          </cell>
          <cell r="Y425">
            <v>4</v>
          </cell>
        </row>
        <row r="426">
          <cell r="P426">
            <v>0</v>
          </cell>
          <cell r="X426">
            <v>0</v>
          </cell>
          <cell r="Y426">
            <v>0</v>
          </cell>
        </row>
        <row r="427">
          <cell r="P427">
            <v>0</v>
          </cell>
          <cell r="X427">
            <v>0</v>
          </cell>
          <cell r="Y427">
            <v>0</v>
          </cell>
        </row>
        <row r="428">
          <cell r="P428">
            <v>1</v>
          </cell>
          <cell r="X428">
            <v>0</v>
          </cell>
          <cell r="Y428">
            <v>0</v>
          </cell>
        </row>
        <row r="429">
          <cell r="P429">
            <v>0</v>
          </cell>
          <cell r="X429">
            <v>0</v>
          </cell>
          <cell r="Y429">
            <v>0</v>
          </cell>
        </row>
        <row r="430">
          <cell r="P430">
            <v>0.66666666666666663</v>
          </cell>
          <cell r="X430">
            <v>0.66666666666666663</v>
          </cell>
          <cell r="Y430">
            <v>0</v>
          </cell>
        </row>
        <row r="431">
          <cell r="P431">
            <v>0.66666666666666663</v>
          </cell>
          <cell r="X431">
            <v>0.66666666666666663</v>
          </cell>
          <cell r="Y431">
            <v>0</v>
          </cell>
        </row>
        <row r="432">
          <cell r="P432">
            <v>4.666666666666667</v>
          </cell>
          <cell r="X432">
            <v>3</v>
          </cell>
          <cell r="Y432">
            <v>2</v>
          </cell>
        </row>
        <row r="433">
          <cell r="P433">
            <v>0</v>
          </cell>
          <cell r="X433">
            <v>0</v>
          </cell>
          <cell r="Y433">
            <v>0</v>
          </cell>
        </row>
        <row r="434">
          <cell r="P434">
            <v>0</v>
          </cell>
          <cell r="X434">
            <v>0</v>
          </cell>
          <cell r="Y434">
            <v>0</v>
          </cell>
        </row>
        <row r="435">
          <cell r="P435">
            <v>0</v>
          </cell>
          <cell r="X435">
            <v>0</v>
          </cell>
          <cell r="Y435">
            <v>0</v>
          </cell>
        </row>
        <row r="436">
          <cell r="P436">
            <v>0</v>
          </cell>
          <cell r="X436">
            <v>0</v>
          </cell>
          <cell r="Y436">
            <v>0</v>
          </cell>
        </row>
        <row r="437">
          <cell r="P437">
            <v>0</v>
          </cell>
          <cell r="X437">
            <v>0</v>
          </cell>
          <cell r="Y437">
            <v>0</v>
          </cell>
        </row>
        <row r="438">
          <cell r="P438">
            <v>1</v>
          </cell>
          <cell r="X438">
            <v>4</v>
          </cell>
          <cell r="Y438">
            <v>3</v>
          </cell>
        </row>
        <row r="439">
          <cell r="P439">
            <v>0</v>
          </cell>
          <cell r="X439">
            <v>0</v>
          </cell>
          <cell r="Y439">
            <v>0</v>
          </cell>
        </row>
        <row r="440">
          <cell r="P440">
            <v>0</v>
          </cell>
          <cell r="X440">
            <v>3.3333333333333335</v>
          </cell>
          <cell r="Y440">
            <v>2</v>
          </cell>
        </row>
        <row r="441">
          <cell r="P441">
            <v>0.33333333333333331</v>
          </cell>
          <cell r="X441">
            <v>0.33333333333333331</v>
          </cell>
          <cell r="Y441">
            <v>0</v>
          </cell>
        </row>
        <row r="442">
          <cell r="P442">
            <v>0</v>
          </cell>
          <cell r="X442">
            <v>0</v>
          </cell>
          <cell r="Y442">
            <v>0</v>
          </cell>
        </row>
        <row r="443">
          <cell r="P443">
            <v>0</v>
          </cell>
          <cell r="X443">
            <v>0</v>
          </cell>
          <cell r="Y443">
            <v>0</v>
          </cell>
        </row>
        <row r="444">
          <cell r="P444">
            <v>0</v>
          </cell>
          <cell r="X444">
            <v>0</v>
          </cell>
          <cell r="Y444">
            <v>0</v>
          </cell>
        </row>
        <row r="445">
          <cell r="P445">
            <v>0</v>
          </cell>
          <cell r="X445">
            <v>0</v>
          </cell>
          <cell r="Y445">
            <v>0</v>
          </cell>
        </row>
        <row r="446">
          <cell r="P446">
            <v>0</v>
          </cell>
          <cell r="X446">
            <v>0</v>
          </cell>
          <cell r="Y446">
            <v>0</v>
          </cell>
        </row>
        <row r="447">
          <cell r="P447">
            <v>0</v>
          </cell>
          <cell r="X447">
            <v>0</v>
          </cell>
          <cell r="Y447">
            <v>0</v>
          </cell>
        </row>
        <row r="448">
          <cell r="P448">
            <v>0</v>
          </cell>
          <cell r="X448">
            <v>0</v>
          </cell>
          <cell r="Y448">
            <v>0</v>
          </cell>
        </row>
        <row r="449">
          <cell r="P449">
            <v>0</v>
          </cell>
          <cell r="X449">
            <v>0</v>
          </cell>
          <cell r="Y449">
            <v>0</v>
          </cell>
        </row>
      </sheetData>
      <sheetData sheetId="17"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3">
          <cell r="U23" t="str">
            <v>ЗАТВЕРДЖУЮ</v>
          </cell>
        </row>
        <row r="24">
          <cell r="S24" t="str">
            <v>ЗАТВЕРДЖУЮ</v>
          </cell>
        </row>
        <row r="25">
          <cell r="S25" t="str">
            <v>ГОЛОВА ПРАЛІННЯ  КЕ</v>
          </cell>
          <cell r="W25" t="str">
            <v/>
          </cell>
          <cell r="X25" t="str">
            <v>ПЛАЧКОВ І.В.</v>
          </cell>
        </row>
        <row r="26">
          <cell r="W26" t="str">
            <v>ЗАТВЕРДЖУЮ</v>
          </cell>
        </row>
        <row r="27">
          <cell r="U27" t="str">
            <v>ГЕНЕРАЛЬНИЙ ДИРЕКТОР -</v>
          </cell>
        </row>
        <row r="28">
          <cell r="S28" t="str">
            <v>ЗАТВЕРДЖУЮ</v>
          </cell>
          <cell r="T28" t="str">
            <v>І.В.ПЛАЧКОВ</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cell r="U29" t="str">
            <v xml:space="preserve">                      ПЛАЧКОВ І.В.</v>
          </cell>
        </row>
        <row r="30">
          <cell r="U30" t="str">
            <v>ЗАТВЕРДЖУЮ</v>
          </cell>
        </row>
        <row r="31">
          <cell r="C31" t="str">
            <v>ВИКОН.ДИР.</v>
          </cell>
          <cell r="D31" t="str">
            <v>Е/Е</v>
          </cell>
          <cell r="E31" t="str">
            <v xml:space="preserve"> Т/Е</v>
          </cell>
          <cell r="I31" t="str">
            <v>ККМ</v>
          </cell>
          <cell r="J31" t="str">
            <v>КТМ</v>
          </cell>
          <cell r="K31" t="str">
            <v>ВИРОБН</v>
          </cell>
          <cell r="L31" t="str">
            <v>ПЕРЕД</v>
          </cell>
          <cell r="M31" t="str">
            <v>ТЕЦ-5 ВСЬОГО</v>
          </cell>
          <cell r="N31" t="str">
            <v>Е/Е</v>
          </cell>
          <cell r="O31" t="str">
            <v xml:space="preserve"> Т/Е</v>
          </cell>
          <cell r="P31" t="str">
            <v>ТЕЦ-6 ВСЬОГО</v>
          </cell>
          <cell r="Q31" t="str">
            <v>Е/Е</v>
          </cell>
          <cell r="R31" t="str">
            <v xml:space="preserve"> Т/Е</v>
          </cell>
          <cell r="S31" t="str">
            <v>ЗАТВЕРДЖУЮ</v>
          </cell>
          <cell r="T31" t="str">
            <v>ДОП.ВИР. СТ.ОРГ.</v>
          </cell>
          <cell r="U31" t="str">
            <v>АК КЕ ВСЬОГО</v>
          </cell>
          <cell r="V31" t="str">
            <v>Е/Е</v>
          </cell>
          <cell r="W31" t="str">
            <v xml:space="preserve"> Т/Е</v>
          </cell>
          <cell r="X31" t="str">
            <v>СТАНЦІї ЕЛЕКТРО</v>
          </cell>
          <cell r="Y31" t="str">
            <v>СТАНЦІІ ТЕПЛОВІ</v>
          </cell>
          <cell r="Z31" t="str">
            <v>МЕРЕЖІ ЕЛЕКТРО</v>
          </cell>
          <cell r="AA31" t="str">
            <v>МЕРЕЖІ ТЕПЛОВІ</v>
          </cell>
        </row>
        <row r="32">
          <cell r="N32">
            <v>143</v>
          </cell>
          <cell r="Q32">
            <v>248</v>
          </cell>
          <cell r="S32" t="str">
            <v>ГОЛОВА ПРАЛІННЯ  КЕ</v>
          </cell>
          <cell r="T32" t="str">
            <v>І.В.ПЛАЧКОВ</v>
          </cell>
          <cell r="V32">
            <v>391</v>
          </cell>
        </row>
        <row r="33">
          <cell r="N33">
            <v>130.30000000000001</v>
          </cell>
          <cell r="P33">
            <v>25148</v>
          </cell>
          <cell r="Q33">
            <v>233.6</v>
          </cell>
          <cell r="V33">
            <v>363.9</v>
          </cell>
          <cell r="W33" t="str">
            <v xml:space="preserve">                      ПЛАЧКОВ І.В.</v>
          </cell>
          <cell r="AC33">
            <v>14429</v>
          </cell>
          <cell r="AF33">
            <v>31349</v>
          </cell>
        </row>
        <row r="34">
          <cell r="Q34" t="str">
            <v>КТМ</v>
          </cell>
          <cell r="V34" t="str">
            <v xml:space="preserve">ТЕЦ-5 </v>
          </cell>
          <cell r="AA34" t="str">
            <v xml:space="preserve">ТЕЦ-6 </v>
          </cell>
        </row>
        <row r="35">
          <cell r="S35" t="str">
            <v xml:space="preserve">                   ПЛАЧКОВ І.В.</v>
          </cell>
          <cell r="T35" t="str">
            <v>І.В.ПЛАЧКОВ</v>
          </cell>
          <cell r="V35">
            <v>0</v>
          </cell>
        </row>
        <row r="36">
          <cell r="C36" t="str">
            <v>ВИК.ДИР.</v>
          </cell>
          <cell r="D36" t="str">
            <v>Е/Е</v>
          </cell>
          <cell r="E36" t="str">
            <v xml:space="preserve"> Т/Е</v>
          </cell>
          <cell r="I36" t="str">
            <v>ККМ</v>
          </cell>
          <cell r="J36" t="str">
            <v>КТМ</v>
          </cell>
          <cell r="K36" t="str">
            <v>ВИРОБН</v>
          </cell>
          <cell r="L36" t="str">
            <v>ПЕРЕД</v>
          </cell>
          <cell r="M36" t="str">
            <v>ТЕЦ-5 ВСЬОГО</v>
          </cell>
          <cell r="N36" t="str">
            <v>Е/Е</v>
          </cell>
          <cell r="O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row>
        <row r="37">
          <cell r="N37">
            <v>225</v>
          </cell>
          <cell r="Q37">
            <v>158</v>
          </cell>
          <cell r="U37" t="str">
            <v xml:space="preserve">                      ПЛАЧКОВ І.В.</v>
          </cell>
          <cell r="V37">
            <v>0</v>
          </cell>
          <cell r="X37">
            <v>383</v>
          </cell>
        </row>
        <row r="38">
          <cell r="C38" t="str">
            <v>ВИК.ДИР.</v>
          </cell>
          <cell r="D38" t="str">
            <v>Е/Е</v>
          </cell>
          <cell r="E38" t="str">
            <v xml:space="preserve"> Т/Е</v>
          </cell>
          <cell r="I38" t="str">
            <v>ККМ</v>
          </cell>
          <cell r="J38" t="str">
            <v>КТМ</v>
          </cell>
          <cell r="K38" t="str">
            <v>ВИРОБН</v>
          </cell>
          <cell r="L38" t="str">
            <v>ПЕРЕД</v>
          </cell>
          <cell r="M38" t="str">
            <v>ТЕЦ-5 ВСЬОГО</v>
          </cell>
          <cell r="N38" t="str">
            <v>Е/Е</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row>
        <row r="39">
          <cell r="I39">
            <v>0</v>
          </cell>
          <cell r="N39">
            <v>220</v>
          </cell>
          <cell r="Q39">
            <v>160</v>
          </cell>
          <cell r="V39">
            <v>380</v>
          </cell>
          <cell r="X39">
            <v>0</v>
          </cell>
        </row>
        <row r="40">
          <cell r="J40">
            <v>126</v>
          </cell>
          <cell r="N40">
            <v>202.3</v>
          </cell>
          <cell r="O40">
            <v>68</v>
          </cell>
          <cell r="Q40">
            <v>145</v>
          </cell>
          <cell r="R40">
            <v>67</v>
          </cell>
          <cell r="V40">
            <v>347.3</v>
          </cell>
          <cell r="W40">
            <v>261</v>
          </cell>
          <cell r="X40">
            <v>199.5</v>
          </cell>
        </row>
        <row r="41">
          <cell r="V41">
            <v>0</v>
          </cell>
          <cell r="W41">
            <v>0</v>
          </cell>
          <cell r="X41">
            <v>0</v>
          </cell>
        </row>
        <row r="42">
          <cell r="J42">
            <v>126</v>
          </cell>
          <cell r="O42">
            <v>68</v>
          </cell>
          <cell r="R42">
            <v>67</v>
          </cell>
          <cell r="V42">
            <v>33</v>
          </cell>
          <cell r="W42">
            <v>171</v>
          </cell>
          <cell r="X42">
            <v>0</v>
          </cell>
        </row>
        <row r="43">
          <cell r="V43">
            <v>0</v>
          </cell>
          <cell r="X43">
            <v>480.7</v>
          </cell>
        </row>
        <row r="44">
          <cell r="C44" t="e">
            <v>#REF!</v>
          </cell>
          <cell r="D44" t="e">
            <v>#REF!</v>
          </cell>
          <cell r="E44" t="e">
            <v>#REF!</v>
          </cell>
          <cell r="I44">
            <v>0</v>
          </cell>
          <cell r="J44" t="e">
            <v>#REF!</v>
          </cell>
          <cell r="K44" t="e">
            <v>#REF!</v>
          </cell>
          <cell r="L44" t="e">
            <v>#REF!</v>
          </cell>
          <cell r="M44" t="e">
            <v>#REF!</v>
          </cell>
          <cell r="N44" t="e">
            <v>#REF!</v>
          </cell>
          <cell r="O44" t="e">
            <v>#REF!</v>
          </cell>
          <cell r="P44">
            <v>0</v>
          </cell>
          <cell r="Q44" t="e">
            <v>#REF!</v>
          </cell>
          <cell r="R44" t="e">
            <v>#REF!</v>
          </cell>
          <cell r="T44">
            <v>16</v>
          </cell>
          <cell r="U44" t="e">
            <v>#REF!</v>
          </cell>
          <cell r="V44">
            <v>0</v>
          </cell>
          <cell r="W44" t="e">
            <v>#REF!</v>
          </cell>
          <cell r="X44">
            <v>480.7</v>
          </cell>
          <cell r="Y44" t="str">
            <v/>
          </cell>
          <cell r="Z44" t="e">
            <v>#REF!</v>
          </cell>
          <cell r="AA44" t="e">
            <v>#REF!</v>
          </cell>
        </row>
        <row r="45">
          <cell r="C45" t="e">
            <v>#REF!</v>
          </cell>
          <cell r="D45" t="e">
            <v>#REF!</v>
          </cell>
          <cell r="E45" t="e">
            <v>#REF!</v>
          </cell>
          <cell r="I45" t="e">
            <v>#REF!</v>
          </cell>
          <cell r="J45">
            <v>330</v>
          </cell>
          <cell r="M45" t="e">
            <v>#REF!</v>
          </cell>
          <cell r="N45" t="e">
            <v>#REF!</v>
          </cell>
          <cell r="O45">
            <v>280</v>
          </cell>
          <cell r="P45" t="e">
            <v>#REF!</v>
          </cell>
          <cell r="Q45" t="e">
            <v>#REF!</v>
          </cell>
          <cell r="R45">
            <v>320</v>
          </cell>
          <cell r="U45" t="e">
            <v>#REF!</v>
          </cell>
          <cell r="V45">
            <v>350</v>
          </cell>
          <cell r="Y45">
            <v>930</v>
          </cell>
        </row>
        <row r="46">
          <cell r="C46" t="e">
            <v>#REF!</v>
          </cell>
          <cell r="D46" t="e">
            <v>#REF!</v>
          </cell>
          <cell r="E46" t="e">
            <v>#REF!</v>
          </cell>
          <cell r="I46">
            <v>0</v>
          </cell>
          <cell r="J46" t="e">
            <v>#REF!</v>
          </cell>
          <cell r="M46" t="e">
            <v>#REF!</v>
          </cell>
          <cell r="N46" t="e">
            <v>#REF!</v>
          </cell>
          <cell r="O46" t="e">
            <v>#REF!</v>
          </cell>
          <cell r="P46" t="e">
            <v>#REF!</v>
          </cell>
          <cell r="Q46" t="e">
            <v>#REF!</v>
          </cell>
          <cell r="R46" t="e">
            <v>#REF!</v>
          </cell>
          <cell r="U46" t="e">
            <v>#REF!</v>
          </cell>
          <cell r="V46">
            <v>350</v>
          </cell>
          <cell r="Y46">
            <v>0</v>
          </cell>
        </row>
        <row r="47">
          <cell r="C47" t="e">
            <v>#REF!</v>
          </cell>
          <cell r="D47" t="e">
            <v>#REF!</v>
          </cell>
          <cell r="E47" t="e">
            <v>#REF!</v>
          </cell>
          <cell r="I47" t="e">
            <v>#REF!</v>
          </cell>
          <cell r="J47">
            <v>80</v>
          </cell>
          <cell r="M47" t="e">
            <v>#REF!</v>
          </cell>
          <cell r="N47" t="e">
            <v>#REF!</v>
          </cell>
          <cell r="O47">
            <v>160</v>
          </cell>
          <cell r="P47" t="e">
            <v>#REF!</v>
          </cell>
          <cell r="Q47" t="e">
            <v>#REF!</v>
          </cell>
          <cell r="R47">
            <v>145</v>
          </cell>
          <cell r="U47" t="e">
            <v>#REF!</v>
          </cell>
          <cell r="W47">
            <v>385</v>
          </cell>
          <cell r="Y47">
            <v>812</v>
          </cell>
        </row>
        <row r="48">
          <cell r="C48" t="e">
            <v>#REF!</v>
          </cell>
          <cell r="D48" t="e">
            <v>#REF!</v>
          </cell>
          <cell r="E48" t="e">
            <v>#REF!</v>
          </cell>
          <cell r="I48" t="e">
            <v>#REF!</v>
          </cell>
          <cell r="J48" t="e">
            <v>#REF!</v>
          </cell>
          <cell r="K48" t="e">
            <v>#REF!</v>
          </cell>
          <cell r="L48" t="e">
            <v>#REF!</v>
          </cell>
          <cell r="M48" t="e">
            <v>#REF!</v>
          </cell>
          <cell r="N48" t="e">
            <v>#REF!</v>
          </cell>
          <cell r="O48" t="e">
            <v>#REF!</v>
          </cell>
          <cell r="P48">
            <v>3631.1559999999999</v>
          </cell>
          <cell r="Q48" t="e">
            <v>#REF!</v>
          </cell>
          <cell r="R48" t="e">
            <v>#REF!</v>
          </cell>
          <cell r="S48">
            <v>9526.8578787878778</v>
          </cell>
          <cell r="T48">
            <v>2010.6708606060602</v>
          </cell>
          <cell r="U48">
            <v>2621.0370181818184</v>
          </cell>
          <cell r="V48" t="e">
            <v>#REF!</v>
          </cell>
          <cell r="W48">
            <v>0</v>
          </cell>
          <cell r="X48">
            <v>2672.4863636363625</v>
          </cell>
          <cell r="Y48" t="e">
            <v>#REF!</v>
          </cell>
          <cell r="Z48" t="e">
            <v>#REF!</v>
          </cell>
          <cell r="AA48" t="e">
            <v>#REF!</v>
          </cell>
          <cell r="AC48">
            <v>1389.1963636363635</v>
          </cell>
          <cell r="AF48">
            <v>4185.9539393939394</v>
          </cell>
        </row>
        <row r="49">
          <cell r="C49" t="e">
            <v>#REF!</v>
          </cell>
          <cell r="D49" t="e">
            <v>#REF!</v>
          </cell>
          <cell r="E49" t="e">
            <v>#REF!</v>
          </cell>
          <cell r="I49" t="e">
            <v>#REF!</v>
          </cell>
          <cell r="J49">
            <v>80</v>
          </cell>
          <cell r="K49" t="e">
            <v>#REF!</v>
          </cell>
          <cell r="L49" t="e">
            <v>#REF!</v>
          </cell>
          <cell r="M49" t="e">
            <v>#REF!</v>
          </cell>
          <cell r="N49" t="e">
            <v>#REF!</v>
          </cell>
          <cell r="O49">
            <v>160</v>
          </cell>
          <cell r="P49">
            <v>0.8</v>
          </cell>
          <cell r="Q49" t="e">
            <v>#REF!</v>
          </cell>
          <cell r="R49">
            <v>145</v>
          </cell>
          <cell r="S49">
            <v>0.8</v>
          </cell>
          <cell r="T49">
            <v>112</v>
          </cell>
          <cell r="U49">
            <v>28</v>
          </cell>
          <cell r="V49">
            <v>84</v>
          </cell>
          <cell r="W49">
            <v>285</v>
          </cell>
          <cell r="X49">
            <v>0.8</v>
          </cell>
          <cell r="Y49" t="e">
            <v>#REF!</v>
          </cell>
          <cell r="Z49" t="e">
            <v>#REF!</v>
          </cell>
          <cell r="AA49" t="e">
            <v>#REF!</v>
          </cell>
          <cell r="AB49" t="e">
            <v>#REF!</v>
          </cell>
          <cell r="AC49">
            <v>0.8</v>
          </cell>
          <cell r="AF49">
            <v>0.8</v>
          </cell>
        </row>
        <row r="50">
          <cell r="C50">
            <v>29</v>
          </cell>
          <cell r="D50">
            <v>10</v>
          </cell>
          <cell r="E50">
            <v>19</v>
          </cell>
          <cell r="I50">
            <v>0</v>
          </cell>
          <cell r="J50">
            <v>252</v>
          </cell>
          <cell r="K50" t="e">
            <v>#REF!</v>
          </cell>
          <cell r="L50" t="e">
            <v>#REF!</v>
          </cell>
          <cell r="M50">
            <v>2</v>
          </cell>
          <cell r="N50">
            <v>1</v>
          </cell>
          <cell r="O50">
            <v>1</v>
          </cell>
          <cell r="P50">
            <v>4</v>
          </cell>
          <cell r="Q50">
            <v>2</v>
          </cell>
          <cell r="R50">
            <v>2</v>
          </cell>
          <cell r="T50">
            <v>0</v>
          </cell>
          <cell r="U50" t="e">
            <v>#REF!</v>
          </cell>
          <cell r="V50">
            <v>0</v>
          </cell>
          <cell r="W50">
            <v>298.7</v>
          </cell>
          <cell r="X50">
            <v>23</v>
          </cell>
          <cell r="Y50">
            <v>275.7</v>
          </cell>
          <cell r="Z50" t="e">
            <v>#REF!</v>
          </cell>
          <cell r="AA50" t="e">
            <v>#REF!</v>
          </cell>
        </row>
        <row r="51">
          <cell r="C51">
            <v>234.33333333333337</v>
          </cell>
          <cell r="D51">
            <v>145</v>
          </cell>
          <cell r="E51">
            <v>89.333333333333371</v>
          </cell>
          <cell r="I51">
            <v>18</v>
          </cell>
          <cell r="J51">
            <v>380</v>
          </cell>
          <cell r="K51">
            <v>190</v>
          </cell>
          <cell r="L51">
            <v>190</v>
          </cell>
          <cell r="M51">
            <v>152</v>
          </cell>
          <cell r="N51">
            <v>106</v>
          </cell>
          <cell r="O51">
            <v>46</v>
          </cell>
          <cell r="P51">
            <v>224</v>
          </cell>
          <cell r="Q51">
            <v>144</v>
          </cell>
          <cell r="R51">
            <v>80</v>
          </cell>
          <cell r="S51">
            <v>760.26666666666688</v>
          </cell>
          <cell r="T51">
            <v>16</v>
          </cell>
          <cell r="U51">
            <v>1046.3333333333335</v>
          </cell>
          <cell r="V51">
            <v>433</v>
          </cell>
          <cell r="W51">
            <v>613.33333333333348</v>
          </cell>
          <cell r="X51">
            <v>613.33333333333348</v>
          </cell>
          <cell r="Y51">
            <v>4503</v>
          </cell>
          <cell r="Z51">
            <v>5116.3333333333339</v>
          </cell>
          <cell r="AA51">
            <v>2319</v>
          </cell>
          <cell r="AB51">
            <v>7435.3333333333339</v>
          </cell>
          <cell r="AC51">
            <v>250</v>
          </cell>
          <cell r="AD51">
            <v>255</v>
          </cell>
          <cell r="AE51">
            <v>183</v>
          </cell>
          <cell r="AF51">
            <v>358.33333333333348</v>
          </cell>
        </row>
        <row r="52">
          <cell r="C52">
            <v>29</v>
          </cell>
          <cell r="D52">
            <v>18</v>
          </cell>
          <cell r="E52">
            <v>11</v>
          </cell>
          <cell r="I52">
            <v>0</v>
          </cell>
          <cell r="J52">
            <v>280</v>
          </cell>
          <cell r="K52" t="e">
            <v>#REF!</v>
          </cell>
          <cell r="L52" t="e">
            <v>#REF!</v>
          </cell>
          <cell r="M52">
            <v>3</v>
          </cell>
          <cell r="N52">
            <v>2</v>
          </cell>
          <cell r="O52">
            <v>1</v>
          </cell>
          <cell r="P52">
            <v>6</v>
          </cell>
          <cell r="Q52">
            <v>4</v>
          </cell>
          <cell r="R52">
            <v>2</v>
          </cell>
          <cell r="S52">
            <v>603</v>
          </cell>
          <cell r="U52">
            <v>331</v>
          </cell>
          <cell r="V52">
            <v>0</v>
          </cell>
          <cell r="W52">
            <v>200</v>
          </cell>
          <cell r="X52">
            <v>115</v>
          </cell>
          <cell r="Y52">
            <v>81</v>
          </cell>
          <cell r="Z52">
            <v>34</v>
          </cell>
          <cell r="AC52">
            <v>96</v>
          </cell>
          <cell r="AD52">
            <v>50</v>
          </cell>
          <cell r="AE52">
            <v>46</v>
          </cell>
          <cell r="AF52">
            <v>361</v>
          </cell>
        </row>
        <row r="53">
          <cell r="C53">
            <v>0</v>
          </cell>
          <cell r="D53">
            <v>0</v>
          </cell>
          <cell r="E53">
            <v>0</v>
          </cell>
          <cell r="I53">
            <v>0</v>
          </cell>
          <cell r="J53" t="e">
            <v>#REF!</v>
          </cell>
          <cell r="K53" t="e">
            <v>#REF!</v>
          </cell>
          <cell r="L53" t="e">
            <v>#REF!</v>
          </cell>
          <cell r="M53">
            <v>60</v>
          </cell>
          <cell r="N53">
            <v>43</v>
          </cell>
          <cell r="O53">
            <v>17</v>
          </cell>
          <cell r="P53">
            <v>50</v>
          </cell>
          <cell r="Q53">
            <v>32</v>
          </cell>
          <cell r="R53">
            <v>18</v>
          </cell>
          <cell r="T53">
            <v>90</v>
          </cell>
          <cell r="U53">
            <v>110</v>
          </cell>
          <cell r="V53">
            <v>60</v>
          </cell>
          <cell r="W53" t="e">
            <v>#REF!</v>
          </cell>
          <cell r="X53">
            <v>4</v>
          </cell>
          <cell r="Y53">
            <v>3</v>
          </cell>
          <cell r="Z53">
            <v>1</v>
          </cell>
          <cell r="AA53" t="e">
            <v>#REF!</v>
          </cell>
          <cell r="AB53" t="e">
            <v>#REF!</v>
          </cell>
          <cell r="AC53">
            <v>0</v>
          </cell>
          <cell r="AD53">
            <v>0</v>
          </cell>
          <cell r="AE53">
            <v>0</v>
          </cell>
        </row>
        <row r="54">
          <cell r="C54">
            <v>200</v>
          </cell>
          <cell r="D54">
            <v>124</v>
          </cell>
          <cell r="E54">
            <v>76</v>
          </cell>
          <cell r="I54" t="e">
            <v>#REF!</v>
          </cell>
          <cell r="J54" t="e">
            <v>#REF!</v>
          </cell>
          <cell r="K54" t="e">
            <v>#REF!</v>
          </cell>
          <cell r="L54" t="e">
            <v>#REF!</v>
          </cell>
          <cell r="M54" t="e">
            <v>#REF!</v>
          </cell>
          <cell r="N54" t="e">
            <v>#REF!</v>
          </cell>
          <cell r="O54" t="e">
            <v>#REF!</v>
          </cell>
          <cell r="P54">
            <v>4</v>
          </cell>
          <cell r="Q54" t="e">
            <v>#REF!</v>
          </cell>
          <cell r="R54" t="e">
            <v>#REF!</v>
          </cell>
          <cell r="S54">
            <v>15</v>
          </cell>
          <cell r="T54">
            <v>42</v>
          </cell>
          <cell r="U54">
            <v>200</v>
          </cell>
          <cell r="V54">
            <v>20</v>
          </cell>
          <cell r="W54" t="e">
            <v>#REF!</v>
          </cell>
          <cell r="X54">
            <v>30</v>
          </cell>
          <cell r="Y54">
            <v>21</v>
          </cell>
          <cell r="Z54">
            <v>9</v>
          </cell>
          <cell r="AA54" t="e">
            <v>#REF!</v>
          </cell>
          <cell r="AB54" t="e">
            <v>#REF!</v>
          </cell>
          <cell r="AC54">
            <v>8</v>
          </cell>
          <cell r="AD54">
            <v>4</v>
          </cell>
          <cell r="AE54">
            <v>4</v>
          </cell>
          <cell r="AF54">
            <v>15</v>
          </cell>
        </row>
        <row r="55">
          <cell r="C55">
            <v>0</v>
          </cell>
          <cell r="D55">
            <v>0</v>
          </cell>
          <cell r="E55">
            <v>0</v>
          </cell>
          <cell r="I55">
            <v>20</v>
          </cell>
          <cell r="J55">
            <v>294</v>
          </cell>
          <cell r="K55">
            <v>229.32000000000002</v>
          </cell>
          <cell r="L55">
            <v>64.679999999999978</v>
          </cell>
          <cell r="M55">
            <v>680</v>
          </cell>
          <cell r="N55">
            <v>474</v>
          </cell>
          <cell r="O55">
            <v>206</v>
          </cell>
          <cell r="P55">
            <v>90</v>
          </cell>
          <cell r="Q55">
            <v>58</v>
          </cell>
          <cell r="R55">
            <v>32</v>
          </cell>
          <cell r="S55">
            <v>263.2</v>
          </cell>
          <cell r="T55">
            <v>51</v>
          </cell>
          <cell r="U55">
            <v>1084</v>
          </cell>
          <cell r="V55">
            <v>552</v>
          </cell>
          <cell r="W55">
            <v>532</v>
          </cell>
          <cell r="X55">
            <v>532</v>
          </cell>
          <cell r="Y55">
            <v>4727</v>
          </cell>
          <cell r="Z55">
            <v>5259</v>
          </cell>
          <cell r="AA55">
            <v>2526</v>
          </cell>
          <cell r="AB55">
            <v>7785</v>
          </cell>
          <cell r="AC55">
            <v>532</v>
          </cell>
          <cell r="AD55">
            <v>338</v>
          </cell>
          <cell r="AE55">
            <v>20</v>
          </cell>
          <cell r="AF55">
            <v>194</v>
          </cell>
        </row>
        <row r="56">
          <cell r="C56">
            <v>0</v>
          </cell>
          <cell r="D56">
            <v>0</v>
          </cell>
          <cell r="E56">
            <v>0</v>
          </cell>
          <cell r="I56" t="e">
            <v>#REF!</v>
          </cell>
          <cell r="J56">
            <v>0</v>
          </cell>
          <cell r="K56">
            <v>0</v>
          </cell>
          <cell r="L56">
            <v>0</v>
          </cell>
          <cell r="M56">
            <v>577</v>
          </cell>
          <cell r="N56">
            <v>402</v>
          </cell>
          <cell r="O56">
            <v>175</v>
          </cell>
          <cell r="P56">
            <v>12</v>
          </cell>
          <cell r="Q56">
            <v>8</v>
          </cell>
          <cell r="R56">
            <v>4</v>
          </cell>
          <cell r="S56">
            <v>13.666666666666666</v>
          </cell>
          <cell r="T56">
            <v>13.666666666666666</v>
          </cell>
          <cell r="U56">
            <v>589</v>
          </cell>
          <cell r="V56">
            <v>410</v>
          </cell>
          <cell r="W56">
            <v>179</v>
          </cell>
          <cell r="X56">
            <v>179</v>
          </cell>
          <cell r="Y56">
            <v>1641</v>
          </cell>
          <cell r="Z56">
            <v>1820</v>
          </cell>
          <cell r="AA56">
            <v>902</v>
          </cell>
          <cell r="AB56">
            <v>2722</v>
          </cell>
          <cell r="AC56">
            <v>410</v>
          </cell>
          <cell r="AD56">
            <v>179</v>
          </cell>
          <cell r="AE56">
            <v>0</v>
          </cell>
          <cell r="AF56">
            <v>0</v>
          </cell>
        </row>
        <row r="57">
          <cell r="C57">
            <v>0</v>
          </cell>
          <cell r="D57">
            <v>0</v>
          </cell>
          <cell r="E57">
            <v>0</v>
          </cell>
          <cell r="I57">
            <v>25</v>
          </cell>
          <cell r="J57">
            <v>1511</v>
          </cell>
          <cell r="K57">
            <v>1511</v>
          </cell>
          <cell r="L57">
            <v>0</v>
          </cell>
          <cell r="M57">
            <v>10838</v>
          </cell>
          <cell r="N57">
            <v>7550</v>
          </cell>
          <cell r="O57">
            <v>3288</v>
          </cell>
          <cell r="P57">
            <v>8271</v>
          </cell>
          <cell r="Q57">
            <v>5299</v>
          </cell>
          <cell r="R57">
            <v>2972</v>
          </cell>
          <cell r="S57">
            <v>1598</v>
          </cell>
          <cell r="T57">
            <v>0</v>
          </cell>
          <cell r="U57">
            <v>20645</v>
          </cell>
          <cell r="V57">
            <v>12874</v>
          </cell>
          <cell r="W57">
            <v>7771</v>
          </cell>
          <cell r="X57">
            <v>8416</v>
          </cell>
          <cell r="Y57">
            <v>139598</v>
          </cell>
          <cell r="Z57">
            <v>148014</v>
          </cell>
          <cell r="AA57">
            <v>146826</v>
          </cell>
          <cell r="AB57">
            <v>294840</v>
          </cell>
          <cell r="AC57">
            <v>12849</v>
          </cell>
          <cell r="AD57">
            <v>7771</v>
          </cell>
          <cell r="AE57">
            <v>25</v>
          </cell>
          <cell r="AF57">
            <v>0</v>
          </cell>
        </row>
        <row r="58">
          <cell r="C58">
            <v>0</v>
          </cell>
          <cell r="D58">
            <v>0</v>
          </cell>
          <cell r="E58">
            <v>0</v>
          </cell>
          <cell r="I58">
            <v>0</v>
          </cell>
          <cell r="J58">
            <v>1511</v>
          </cell>
          <cell r="K58">
            <v>1511</v>
          </cell>
          <cell r="L58">
            <v>0</v>
          </cell>
          <cell r="M58">
            <v>10838</v>
          </cell>
          <cell r="N58">
            <v>7550</v>
          </cell>
          <cell r="O58">
            <v>3288</v>
          </cell>
          <cell r="P58">
            <v>8271</v>
          </cell>
          <cell r="Q58">
            <v>5299</v>
          </cell>
          <cell r="R58">
            <v>2972</v>
          </cell>
          <cell r="S58">
            <v>0</v>
          </cell>
          <cell r="T58">
            <v>1598</v>
          </cell>
          <cell r="U58">
            <v>20620</v>
          </cell>
          <cell r="V58">
            <v>12849</v>
          </cell>
          <cell r="W58">
            <v>7771</v>
          </cell>
          <cell r="X58">
            <v>8416</v>
          </cell>
          <cell r="Y58">
            <v>139598</v>
          </cell>
          <cell r="Z58">
            <v>148014</v>
          </cell>
          <cell r="AA58">
            <v>146826</v>
          </cell>
          <cell r="AB58">
            <v>294840</v>
          </cell>
          <cell r="AC58">
            <v>12849</v>
          </cell>
          <cell r="AD58">
            <v>7771</v>
          </cell>
          <cell r="AE58">
            <v>0</v>
          </cell>
          <cell r="AF58">
            <v>0</v>
          </cell>
        </row>
        <row r="59">
          <cell r="C59">
            <v>0</v>
          </cell>
          <cell r="D59">
            <v>0</v>
          </cell>
          <cell r="E59">
            <v>0</v>
          </cell>
          <cell r="I59" t="e">
            <v>#REF!</v>
          </cell>
          <cell r="J59" t="e">
            <v>#REF!</v>
          </cell>
          <cell r="K59">
            <v>0</v>
          </cell>
          <cell r="L59">
            <v>0</v>
          </cell>
          <cell r="M59">
            <v>0</v>
          </cell>
          <cell r="N59">
            <v>0</v>
          </cell>
          <cell r="O59">
            <v>0</v>
          </cell>
          <cell r="P59">
            <v>0</v>
          </cell>
          <cell r="Q59">
            <v>0</v>
          </cell>
          <cell r="R59">
            <v>0</v>
          </cell>
          <cell r="T59">
            <v>0</v>
          </cell>
          <cell r="U59">
            <v>0</v>
          </cell>
          <cell r="V59">
            <v>0</v>
          </cell>
          <cell r="W59">
            <v>0</v>
          </cell>
          <cell r="X59">
            <v>0</v>
          </cell>
          <cell r="Y59">
            <v>-20749</v>
          </cell>
          <cell r="Z59">
            <v>-20749</v>
          </cell>
          <cell r="AA59">
            <v>0</v>
          </cell>
          <cell r="AB59">
            <v>-20749</v>
          </cell>
          <cell r="AC59" t="e">
            <v>#REF!</v>
          </cell>
          <cell r="AD59">
            <v>0</v>
          </cell>
          <cell r="AF59">
            <v>0</v>
          </cell>
        </row>
        <row r="60">
          <cell r="C60">
            <v>2</v>
          </cell>
          <cell r="D60">
            <v>1</v>
          </cell>
          <cell r="E60">
            <v>1</v>
          </cell>
          <cell r="I60">
            <v>15</v>
          </cell>
          <cell r="J60">
            <v>349</v>
          </cell>
          <cell r="K60">
            <v>349</v>
          </cell>
          <cell r="L60">
            <v>0</v>
          </cell>
          <cell r="M60">
            <v>0</v>
          </cell>
          <cell r="N60">
            <v>0</v>
          </cell>
          <cell r="O60">
            <v>0</v>
          </cell>
          <cell r="P60">
            <v>0</v>
          </cell>
          <cell r="Q60">
            <v>0</v>
          </cell>
          <cell r="R60">
            <v>0</v>
          </cell>
          <cell r="S60">
            <v>267.2</v>
          </cell>
          <cell r="T60">
            <v>29</v>
          </cell>
          <cell r="U60">
            <v>366</v>
          </cell>
          <cell r="V60">
            <v>16</v>
          </cell>
          <cell r="W60">
            <v>350</v>
          </cell>
          <cell r="X60">
            <v>350</v>
          </cell>
          <cell r="Y60">
            <v>7204</v>
          </cell>
          <cell r="Z60">
            <v>7554</v>
          </cell>
          <cell r="AA60">
            <v>4344</v>
          </cell>
          <cell r="AB60">
            <v>11898</v>
          </cell>
          <cell r="AC60">
            <v>0</v>
          </cell>
          <cell r="AD60">
            <v>119</v>
          </cell>
          <cell r="AE60">
            <v>16</v>
          </cell>
          <cell r="AF60">
            <v>231</v>
          </cell>
        </row>
        <row r="61">
          <cell r="C61">
            <v>88</v>
          </cell>
          <cell r="D61">
            <v>54</v>
          </cell>
          <cell r="E61">
            <v>34</v>
          </cell>
          <cell r="I61">
            <v>452.3098245614035</v>
          </cell>
          <cell r="J61">
            <v>479.5263157894737</v>
          </cell>
          <cell r="K61">
            <v>234.96789473684211</v>
          </cell>
          <cell r="L61">
            <v>244.55842105263159</v>
          </cell>
          <cell r="M61">
            <v>156.17543859649123</v>
          </cell>
          <cell r="N61">
            <v>109</v>
          </cell>
          <cell r="O61">
            <v>47.175438596491233</v>
          </cell>
          <cell r="P61">
            <v>62.423728813559308</v>
          </cell>
          <cell r="Q61">
            <v>40</v>
          </cell>
          <cell r="R61">
            <v>22.423728813559308</v>
          </cell>
          <cell r="S61">
            <v>887.77454545454532</v>
          </cell>
          <cell r="T61">
            <v>686</v>
          </cell>
          <cell r="U61">
            <v>1366.4353077609278</v>
          </cell>
          <cell r="V61">
            <v>748.3098245614035</v>
          </cell>
          <cell r="W61">
            <v>618.1254831995243</v>
          </cell>
          <cell r="X61">
            <v>618.1254831995243</v>
          </cell>
          <cell r="Y61">
            <v>5046</v>
          </cell>
          <cell r="Z61">
            <v>5664.1254831995248</v>
          </cell>
          <cell r="AA61">
            <v>2580</v>
          </cell>
          <cell r="AB61">
            <v>8244.1254831995248</v>
          </cell>
          <cell r="AC61">
            <v>149</v>
          </cell>
          <cell r="AD61">
            <v>233</v>
          </cell>
          <cell r="AE61">
            <v>599.3098245614035</v>
          </cell>
          <cell r="AF61">
            <v>385.1254831995243</v>
          </cell>
        </row>
        <row r="62">
          <cell r="C62">
            <v>5</v>
          </cell>
          <cell r="D62">
            <v>3</v>
          </cell>
          <cell r="E62">
            <v>2</v>
          </cell>
          <cell r="I62">
            <v>25</v>
          </cell>
          <cell r="J62">
            <v>26</v>
          </cell>
          <cell r="K62">
            <v>85</v>
          </cell>
          <cell r="L62">
            <v>-59</v>
          </cell>
          <cell r="M62">
            <v>9</v>
          </cell>
          <cell r="N62">
            <v>6</v>
          </cell>
          <cell r="O62">
            <v>3</v>
          </cell>
          <cell r="P62">
            <v>3</v>
          </cell>
          <cell r="Q62">
            <v>2</v>
          </cell>
          <cell r="R62">
            <v>1</v>
          </cell>
          <cell r="S62">
            <v>49</v>
          </cell>
          <cell r="T62">
            <v>257</v>
          </cell>
          <cell r="U62">
            <v>75</v>
          </cell>
          <cell r="V62">
            <v>41</v>
          </cell>
          <cell r="W62">
            <v>34</v>
          </cell>
          <cell r="X62">
            <v>34</v>
          </cell>
          <cell r="Y62">
            <v>283</v>
          </cell>
          <cell r="Z62">
            <v>317</v>
          </cell>
          <cell r="AA62">
            <v>143</v>
          </cell>
          <cell r="AB62">
            <v>460</v>
          </cell>
          <cell r="AC62">
            <v>8</v>
          </cell>
          <cell r="AD62">
            <v>13</v>
          </cell>
          <cell r="AE62">
            <v>33</v>
          </cell>
          <cell r="AF62">
            <v>21</v>
          </cell>
        </row>
        <row r="63">
          <cell r="C63">
            <v>28</v>
          </cell>
          <cell r="D63">
            <v>17</v>
          </cell>
          <cell r="E63">
            <v>11</v>
          </cell>
          <cell r="I63">
            <v>145</v>
          </cell>
          <cell r="J63">
            <v>153</v>
          </cell>
          <cell r="K63">
            <v>4</v>
          </cell>
          <cell r="L63">
            <v>149</v>
          </cell>
          <cell r="M63">
            <v>50</v>
          </cell>
          <cell r="N63">
            <v>35</v>
          </cell>
          <cell r="O63">
            <v>15</v>
          </cell>
          <cell r="P63">
            <v>21</v>
          </cell>
          <cell r="Q63">
            <v>13</v>
          </cell>
          <cell r="R63">
            <v>8</v>
          </cell>
          <cell r="S63">
            <v>0</v>
          </cell>
          <cell r="T63">
            <v>0</v>
          </cell>
          <cell r="U63">
            <v>438</v>
          </cell>
          <cell r="V63">
            <v>240</v>
          </cell>
          <cell r="W63">
            <v>198</v>
          </cell>
          <cell r="X63">
            <v>198</v>
          </cell>
          <cell r="Y63">
            <v>1614</v>
          </cell>
          <cell r="Z63">
            <v>1812</v>
          </cell>
          <cell r="AA63">
            <v>825</v>
          </cell>
          <cell r="AB63">
            <v>2637</v>
          </cell>
          <cell r="AC63">
            <v>0</v>
          </cell>
          <cell r="AD63">
            <v>0</v>
          </cell>
          <cell r="AE63">
            <v>0</v>
          </cell>
          <cell r="AF63">
            <v>0</v>
          </cell>
        </row>
        <row r="64">
          <cell r="C64">
            <v>6</v>
          </cell>
          <cell r="D64">
            <v>4</v>
          </cell>
          <cell r="E64">
            <v>2</v>
          </cell>
          <cell r="I64">
            <v>31</v>
          </cell>
          <cell r="J64">
            <v>35</v>
          </cell>
          <cell r="K64">
            <v>12</v>
          </cell>
          <cell r="L64">
            <v>12</v>
          </cell>
          <cell r="M64">
            <v>12</v>
          </cell>
          <cell r="N64">
            <v>8</v>
          </cell>
          <cell r="O64">
            <v>4</v>
          </cell>
          <cell r="P64">
            <v>12</v>
          </cell>
          <cell r="Q64">
            <v>8</v>
          </cell>
          <cell r="R64">
            <v>4</v>
          </cell>
          <cell r="T64">
            <v>69</v>
          </cell>
          <cell r="U64">
            <v>106</v>
          </cell>
          <cell r="V64">
            <v>58</v>
          </cell>
          <cell r="W64">
            <v>48</v>
          </cell>
          <cell r="X64">
            <v>48</v>
          </cell>
          <cell r="Y64">
            <v>757</v>
          </cell>
          <cell r="Z64">
            <v>805</v>
          </cell>
          <cell r="AA64">
            <v>184</v>
          </cell>
          <cell r="AB64">
            <v>989</v>
          </cell>
          <cell r="AC64">
            <v>16</v>
          </cell>
          <cell r="AD64">
            <v>19</v>
          </cell>
          <cell r="AE64">
            <v>42</v>
          </cell>
          <cell r="AF64">
            <v>29</v>
          </cell>
        </row>
        <row r="65">
          <cell r="C65">
            <v>67</v>
          </cell>
          <cell r="D65">
            <v>41</v>
          </cell>
          <cell r="E65">
            <v>26</v>
          </cell>
          <cell r="I65">
            <v>373</v>
          </cell>
          <cell r="J65">
            <v>823</v>
          </cell>
          <cell r="K65">
            <v>131.68</v>
          </cell>
          <cell r="L65">
            <v>691.31999999999994</v>
          </cell>
          <cell r="M65">
            <v>385</v>
          </cell>
          <cell r="N65">
            <v>268</v>
          </cell>
          <cell r="O65">
            <v>117</v>
          </cell>
          <cell r="P65">
            <v>445</v>
          </cell>
          <cell r="Q65">
            <v>285</v>
          </cell>
          <cell r="R65">
            <v>160</v>
          </cell>
          <cell r="S65">
            <v>1018</v>
          </cell>
          <cell r="T65">
            <v>9</v>
          </cell>
          <cell r="U65">
            <v>2104</v>
          </cell>
          <cell r="V65">
            <v>973</v>
          </cell>
          <cell r="W65">
            <v>1131</v>
          </cell>
          <cell r="X65">
            <v>1131</v>
          </cell>
          <cell r="Y65">
            <v>9553</v>
          </cell>
          <cell r="Z65">
            <v>10684</v>
          </cell>
          <cell r="AA65">
            <v>3962</v>
          </cell>
          <cell r="AB65">
            <v>14646</v>
          </cell>
          <cell r="AC65">
            <v>553</v>
          </cell>
          <cell r="AD65">
            <v>557</v>
          </cell>
          <cell r="AE65">
            <v>420</v>
          </cell>
          <cell r="AF65">
            <v>574</v>
          </cell>
        </row>
        <row r="66">
          <cell r="C66">
            <v>37</v>
          </cell>
          <cell r="D66">
            <v>23</v>
          </cell>
          <cell r="E66">
            <v>14</v>
          </cell>
          <cell r="I66">
            <v>338</v>
          </cell>
          <cell r="J66">
            <v>541</v>
          </cell>
          <cell r="K66">
            <v>86.56</v>
          </cell>
          <cell r="L66">
            <v>454.44</v>
          </cell>
          <cell r="M66">
            <v>385</v>
          </cell>
          <cell r="N66">
            <v>268</v>
          </cell>
          <cell r="O66">
            <v>117</v>
          </cell>
          <cell r="P66">
            <v>445</v>
          </cell>
          <cell r="Q66">
            <v>285</v>
          </cell>
          <cell r="R66">
            <v>160</v>
          </cell>
          <cell r="T66">
            <v>16</v>
          </cell>
          <cell r="U66">
            <v>1746</v>
          </cell>
          <cell r="V66">
            <v>914</v>
          </cell>
          <cell r="W66">
            <v>832</v>
          </cell>
          <cell r="X66">
            <v>832</v>
          </cell>
          <cell r="Y66" t="e">
            <v>#REF!</v>
          </cell>
          <cell r="Z66">
            <v>832</v>
          </cell>
          <cell r="AA66" t="e">
            <v>#REF!</v>
          </cell>
          <cell r="AB66">
            <v>832</v>
          </cell>
          <cell r="AC66" t="e">
            <v>#REF!</v>
          </cell>
          <cell r="AD66">
            <v>426</v>
          </cell>
        </row>
        <row r="67">
          <cell r="C67">
            <v>30</v>
          </cell>
          <cell r="D67">
            <v>19</v>
          </cell>
          <cell r="I67">
            <v>35</v>
          </cell>
          <cell r="J67">
            <v>282</v>
          </cell>
          <cell r="K67">
            <v>45.12</v>
          </cell>
          <cell r="L67">
            <v>236.88</v>
          </cell>
          <cell r="M67">
            <v>0</v>
          </cell>
          <cell r="N67">
            <v>0</v>
          </cell>
          <cell r="O67">
            <v>0</v>
          </cell>
          <cell r="P67">
            <v>0</v>
          </cell>
          <cell r="Q67">
            <v>0</v>
          </cell>
          <cell r="R67">
            <v>0</v>
          </cell>
          <cell r="S67">
            <v>4895</v>
          </cell>
          <cell r="U67">
            <v>347</v>
          </cell>
          <cell r="V67">
            <v>54</v>
          </cell>
          <cell r="W67">
            <v>293</v>
          </cell>
          <cell r="X67">
            <v>293</v>
          </cell>
          <cell r="Y67" t="e">
            <v>#REF!</v>
          </cell>
          <cell r="Z67">
            <v>293</v>
          </cell>
          <cell r="AB67">
            <v>293</v>
          </cell>
          <cell r="AC67">
            <v>85</v>
          </cell>
          <cell r="AD67">
            <v>78</v>
          </cell>
          <cell r="AF67">
            <v>5</v>
          </cell>
        </row>
        <row r="68">
          <cell r="C68">
            <v>80</v>
          </cell>
          <cell r="D68">
            <v>49</v>
          </cell>
          <cell r="E68">
            <v>31</v>
          </cell>
          <cell r="I68">
            <v>580</v>
          </cell>
          <cell r="J68">
            <v>1508</v>
          </cell>
          <cell r="K68">
            <v>377</v>
          </cell>
          <cell r="L68">
            <v>1131</v>
          </cell>
          <cell r="M68">
            <v>1081</v>
          </cell>
          <cell r="N68">
            <v>754</v>
          </cell>
          <cell r="O68">
            <v>327</v>
          </cell>
          <cell r="P68">
            <v>1330</v>
          </cell>
          <cell r="Q68">
            <v>852</v>
          </cell>
          <cell r="R68">
            <v>478</v>
          </cell>
          <cell r="S68">
            <v>0</v>
          </cell>
          <cell r="T68">
            <v>12</v>
          </cell>
          <cell r="U68">
            <v>4593</v>
          </cell>
          <cell r="V68">
            <v>2249</v>
          </cell>
          <cell r="W68">
            <v>2344</v>
          </cell>
          <cell r="X68">
            <v>1817</v>
          </cell>
          <cell r="Y68">
            <v>10210</v>
          </cell>
          <cell r="Z68">
            <v>12027</v>
          </cell>
          <cell r="AA68">
            <v>3910</v>
          </cell>
          <cell r="AB68">
            <v>15937</v>
          </cell>
          <cell r="AC68">
            <v>1606</v>
          </cell>
          <cell r="AD68">
            <v>1318</v>
          </cell>
          <cell r="AE68">
            <v>643</v>
          </cell>
          <cell r="AF68">
            <v>1026</v>
          </cell>
        </row>
        <row r="69">
          <cell r="C69" t="e">
            <v>#REF!</v>
          </cell>
          <cell r="D69" t="e">
            <v>#REF!</v>
          </cell>
          <cell r="E69" t="e">
            <v>#REF!</v>
          </cell>
          <cell r="I69">
            <v>28.07017543859649</v>
          </cell>
          <cell r="J69">
            <v>189.4736842105263</v>
          </cell>
          <cell r="K69">
            <v>47.368421052631575</v>
          </cell>
          <cell r="L69">
            <v>142.10526315789474</v>
          </cell>
          <cell r="M69">
            <v>129.82456140350877</v>
          </cell>
          <cell r="N69">
            <v>90</v>
          </cell>
          <cell r="O69">
            <v>39.824561403508767</v>
          </cell>
          <cell r="P69">
            <v>63.192982456140342</v>
          </cell>
          <cell r="Q69">
            <v>40</v>
          </cell>
          <cell r="R69">
            <v>23.192982456140342</v>
          </cell>
          <cell r="S69">
            <v>-3877</v>
          </cell>
          <cell r="T69">
            <v>146.88</v>
          </cell>
          <cell r="U69">
            <v>410.56140350877189</v>
          </cell>
          <cell r="V69">
            <v>158.07017543859649</v>
          </cell>
          <cell r="W69">
            <v>252.4912280701754</v>
          </cell>
          <cell r="X69">
            <v>252.4912280701754</v>
          </cell>
          <cell r="Y69">
            <v>1917</v>
          </cell>
          <cell r="Z69">
            <v>2169.4912280701756</v>
          </cell>
          <cell r="AA69">
            <v>948</v>
          </cell>
          <cell r="AB69">
            <v>3117.4912280701756</v>
          </cell>
          <cell r="AC69">
            <v>556</v>
          </cell>
          <cell r="AD69">
            <v>336</v>
          </cell>
          <cell r="AE69">
            <v>305</v>
          </cell>
          <cell r="AF69">
            <v>521</v>
          </cell>
        </row>
        <row r="70">
          <cell r="C70">
            <v>0</v>
          </cell>
          <cell r="D70" t="e">
            <v>#REF!</v>
          </cell>
          <cell r="E70" t="e">
            <v>#REF!</v>
          </cell>
          <cell r="I70">
            <v>2</v>
          </cell>
          <cell r="J70">
            <v>10</v>
          </cell>
          <cell r="K70">
            <v>2.5</v>
          </cell>
          <cell r="L70">
            <v>7.5</v>
          </cell>
          <cell r="M70">
            <v>7</v>
          </cell>
          <cell r="N70">
            <v>5</v>
          </cell>
          <cell r="O70">
            <v>2</v>
          </cell>
          <cell r="P70">
            <v>3</v>
          </cell>
          <cell r="Q70">
            <v>2</v>
          </cell>
          <cell r="R70">
            <v>1</v>
          </cell>
          <cell r="S70">
            <v>1918.4</v>
          </cell>
          <cell r="T70">
            <v>479.6</v>
          </cell>
          <cell r="U70">
            <v>22</v>
          </cell>
          <cell r="V70">
            <v>9</v>
          </cell>
          <cell r="W70">
            <v>13</v>
          </cell>
          <cell r="X70">
            <v>13</v>
          </cell>
          <cell r="Y70">
            <v>124</v>
          </cell>
          <cell r="Z70">
            <v>137</v>
          </cell>
          <cell r="AA70">
            <v>51</v>
          </cell>
          <cell r="AB70">
            <v>188</v>
          </cell>
          <cell r="AC70">
            <v>622.4</v>
          </cell>
          <cell r="AD70">
            <v>326</v>
          </cell>
          <cell r="AE70">
            <v>296.39999999999998</v>
          </cell>
          <cell r="AF70">
            <v>1475</v>
          </cell>
        </row>
        <row r="71">
          <cell r="C71">
            <v>0</v>
          </cell>
          <cell r="D71" t="e">
            <v>#REF!</v>
          </cell>
          <cell r="E71" t="e">
            <v>#REF!</v>
          </cell>
          <cell r="I71">
            <v>9</v>
          </cell>
          <cell r="J71">
            <v>62</v>
          </cell>
          <cell r="K71">
            <v>15.5</v>
          </cell>
          <cell r="L71">
            <v>46.5</v>
          </cell>
          <cell r="M71">
            <v>42</v>
          </cell>
          <cell r="N71">
            <v>29</v>
          </cell>
          <cell r="O71">
            <v>13</v>
          </cell>
          <cell r="P71">
            <v>20</v>
          </cell>
          <cell r="Q71">
            <v>13</v>
          </cell>
          <cell r="R71">
            <v>7</v>
          </cell>
          <cell r="S71">
            <v>494.54545454545456</v>
          </cell>
          <cell r="U71">
            <v>133</v>
          </cell>
          <cell r="V71">
            <v>51</v>
          </cell>
          <cell r="W71">
            <v>82</v>
          </cell>
          <cell r="X71">
            <v>82</v>
          </cell>
          <cell r="Y71">
            <v>593</v>
          </cell>
          <cell r="Z71">
            <v>675</v>
          </cell>
          <cell r="AA71">
            <v>303</v>
          </cell>
          <cell r="AB71">
            <v>978</v>
          </cell>
          <cell r="AC71">
            <v>116.36363636363636</v>
          </cell>
          <cell r="AD71">
            <v>61</v>
          </cell>
          <cell r="AE71">
            <v>55.36363636363636</v>
          </cell>
          <cell r="AF71">
            <v>215.27272727272728</v>
          </cell>
        </row>
        <row r="72">
          <cell r="C72">
            <v>0</v>
          </cell>
          <cell r="D72" t="e">
            <v>#REF!</v>
          </cell>
          <cell r="E72">
            <v>0</v>
          </cell>
          <cell r="I72">
            <v>1</v>
          </cell>
          <cell r="J72">
            <v>9</v>
          </cell>
          <cell r="K72">
            <v>2.25</v>
          </cell>
          <cell r="L72">
            <v>6.75</v>
          </cell>
          <cell r="M72">
            <v>6</v>
          </cell>
          <cell r="N72">
            <v>4</v>
          </cell>
          <cell r="O72">
            <v>2</v>
          </cell>
          <cell r="P72">
            <v>3</v>
          </cell>
          <cell r="Q72">
            <v>2</v>
          </cell>
          <cell r="R72">
            <v>1</v>
          </cell>
          <cell r="S72">
            <v>27</v>
          </cell>
          <cell r="U72">
            <v>19</v>
          </cell>
          <cell r="V72">
            <v>7</v>
          </cell>
          <cell r="W72">
            <v>12</v>
          </cell>
          <cell r="X72">
            <v>12</v>
          </cell>
          <cell r="Y72">
            <v>172</v>
          </cell>
          <cell r="Z72">
            <v>184</v>
          </cell>
          <cell r="AA72">
            <v>48</v>
          </cell>
          <cell r="AB72">
            <v>232</v>
          </cell>
          <cell r="AC72">
            <v>6</v>
          </cell>
          <cell r="AD72">
            <v>3</v>
          </cell>
          <cell r="AE72">
            <v>3</v>
          </cell>
          <cell r="AF72">
            <v>12</v>
          </cell>
        </row>
        <row r="73">
          <cell r="C73">
            <v>80</v>
          </cell>
          <cell r="D73" t="e">
            <v>#REF!</v>
          </cell>
          <cell r="E73" t="e">
            <v>#REF!</v>
          </cell>
          <cell r="I73">
            <v>580</v>
          </cell>
          <cell r="J73">
            <v>1508</v>
          </cell>
          <cell r="K73">
            <v>377</v>
          </cell>
          <cell r="L73">
            <v>1131</v>
          </cell>
          <cell r="M73">
            <v>592</v>
          </cell>
          <cell r="N73">
            <v>412</v>
          </cell>
          <cell r="O73">
            <v>180</v>
          </cell>
          <cell r="P73">
            <v>1325</v>
          </cell>
          <cell r="Q73">
            <v>849</v>
          </cell>
          <cell r="R73">
            <v>476</v>
          </cell>
          <cell r="S73">
            <v>158</v>
          </cell>
          <cell r="T73">
            <v>51</v>
          </cell>
          <cell r="U73">
            <v>4085</v>
          </cell>
          <cell r="V73">
            <v>1841</v>
          </cell>
          <cell r="W73">
            <v>2244</v>
          </cell>
          <cell r="X73">
            <v>2244</v>
          </cell>
          <cell r="Y73">
            <v>39</v>
          </cell>
          <cell r="Z73">
            <v>2244</v>
          </cell>
          <cell r="AA73" t="e">
            <v>#REF!</v>
          </cell>
          <cell r="AB73">
            <v>2244</v>
          </cell>
          <cell r="AC73">
            <v>37</v>
          </cell>
          <cell r="AD73">
            <v>19</v>
          </cell>
          <cell r="AE73">
            <v>18</v>
          </cell>
          <cell r="AF73">
            <v>69</v>
          </cell>
        </row>
        <row r="74">
          <cell r="C74">
            <v>0</v>
          </cell>
          <cell r="D74" t="e">
            <v>#REF!</v>
          </cell>
          <cell r="E74" t="e">
            <v>#REF!</v>
          </cell>
          <cell r="I74">
            <v>0</v>
          </cell>
          <cell r="J74">
            <v>0</v>
          </cell>
          <cell r="K74">
            <v>0</v>
          </cell>
          <cell r="L74">
            <v>0</v>
          </cell>
          <cell r="M74">
            <v>489</v>
          </cell>
          <cell r="N74" t="e">
            <v>#REF!</v>
          </cell>
          <cell r="O74">
            <v>0</v>
          </cell>
          <cell r="P74">
            <v>5</v>
          </cell>
          <cell r="Q74">
            <v>3</v>
          </cell>
          <cell r="R74">
            <v>2</v>
          </cell>
          <cell r="U74">
            <v>494</v>
          </cell>
          <cell r="V74">
            <v>3</v>
          </cell>
          <cell r="W74">
            <v>491</v>
          </cell>
          <cell r="X74">
            <v>491</v>
          </cell>
          <cell r="Y74" t="e">
            <v>#REF!</v>
          </cell>
          <cell r="Z74">
            <v>491</v>
          </cell>
          <cell r="AA74" t="e">
            <v>#REF!</v>
          </cell>
          <cell r="AB74">
            <v>491</v>
          </cell>
          <cell r="AC74">
            <v>0</v>
          </cell>
          <cell r="AF74">
            <v>0</v>
          </cell>
        </row>
        <row r="75">
          <cell r="C75">
            <v>302.66666666666674</v>
          </cell>
          <cell r="D75">
            <v>187</v>
          </cell>
          <cell r="E75">
            <v>116</v>
          </cell>
          <cell r="I75">
            <v>70</v>
          </cell>
          <cell r="J75">
            <v>125</v>
          </cell>
          <cell r="K75">
            <v>82.5</v>
          </cell>
          <cell r="L75">
            <v>42.5</v>
          </cell>
          <cell r="M75">
            <v>38</v>
          </cell>
          <cell r="N75">
            <v>26</v>
          </cell>
          <cell r="O75">
            <v>12</v>
          </cell>
          <cell r="P75">
            <v>31</v>
          </cell>
          <cell r="Q75">
            <v>20</v>
          </cell>
          <cell r="R75">
            <v>11</v>
          </cell>
          <cell r="S75">
            <v>0</v>
          </cell>
          <cell r="T75">
            <v>12</v>
          </cell>
          <cell r="U75">
            <v>2919.666666666667</v>
          </cell>
          <cell r="V75">
            <v>635</v>
          </cell>
          <cell r="W75">
            <v>2284.666666666667</v>
          </cell>
          <cell r="X75">
            <v>2300.666666666667</v>
          </cell>
          <cell r="Y75">
            <v>15850</v>
          </cell>
          <cell r="Z75">
            <v>18150.666666666668</v>
          </cell>
          <cell r="AA75">
            <v>5795</v>
          </cell>
          <cell r="AB75">
            <v>23945.666666666668</v>
          </cell>
          <cell r="AC75">
            <v>46</v>
          </cell>
          <cell r="AD75">
            <v>66</v>
          </cell>
          <cell r="AE75">
            <v>589</v>
          </cell>
          <cell r="AF75">
            <v>2218.666666666667</v>
          </cell>
        </row>
        <row r="76">
          <cell r="C76">
            <v>0</v>
          </cell>
          <cell r="D76">
            <v>0</v>
          </cell>
          <cell r="E76">
            <v>0</v>
          </cell>
          <cell r="I76" t="e">
            <v>#REF!</v>
          </cell>
          <cell r="J76" t="e">
            <v>#REF!</v>
          </cell>
          <cell r="K76">
            <v>0</v>
          </cell>
          <cell r="L76">
            <v>0</v>
          </cell>
          <cell r="M76" t="e">
            <v>#REF!</v>
          </cell>
          <cell r="N76">
            <v>0</v>
          </cell>
          <cell r="O76">
            <v>0</v>
          </cell>
          <cell r="P76">
            <v>935</v>
          </cell>
          <cell r="Q76" t="e">
            <v>#REF!</v>
          </cell>
          <cell r="R76" t="e">
            <v>#REF!</v>
          </cell>
          <cell r="S76">
            <v>4732.8</v>
          </cell>
          <cell r="T76">
            <v>51</v>
          </cell>
          <cell r="U76">
            <v>0</v>
          </cell>
          <cell r="V76">
            <v>0</v>
          </cell>
          <cell r="W76">
            <v>0</v>
          </cell>
          <cell r="X76">
            <v>0</v>
          </cell>
          <cell r="Y76">
            <v>401</v>
          </cell>
          <cell r="Z76">
            <v>401</v>
          </cell>
          <cell r="AA76">
            <v>0</v>
          </cell>
          <cell r="AB76">
            <v>401</v>
          </cell>
          <cell r="AC76">
            <v>0</v>
          </cell>
          <cell r="AD76">
            <v>0</v>
          </cell>
          <cell r="AE76">
            <v>0</v>
          </cell>
          <cell r="AF76">
            <v>0</v>
          </cell>
        </row>
        <row r="77">
          <cell r="C77">
            <v>302.66666666666674</v>
          </cell>
          <cell r="D77">
            <v>187</v>
          </cell>
          <cell r="E77">
            <v>116</v>
          </cell>
          <cell r="I77">
            <v>70</v>
          </cell>
          <cell r="J77">
            <v>125</v>
          </cell>
          <cell r="K77">
            <v>82.5</v>
          </cell>
          <cell r="L77">
            <v>42.5</v>
          </cell>
          <cell r="M77">
            <v>38</v>
          </cell>
          <cell r="N77">
            <v>26</v>
          </cell>
          <cell r="O77">
            <v>12</v>
          </cell>
          <cell r="P77">
            <v>31</v>
          </cell>
          <cell r="Q77">
            <v>20</v>
          </cell>
          <cell r="R77">
            <v>11</v>
          </cell>
          <cell r="S77">
            <v>201.86666666666662</v>
          </cell>
          <cell r="T77">
            <v>12</v>
          </cell>
          <cell r="U77">
            <v>2919.666666666667</v>
          </cell>
          <cell r="V77">
            <v>635</v>
          </cell>
          <cell r="W77">
            <v>2284.666666666667</v>
          </cell>
          <cell r="X77">
            <v>2284.666666666667</v>
          </cell>
          <cell r="Y77">
            <v>15449</v>
          </cell>
          <cell r="Z77">
            <v>17733.666666666668</v>
          </cell>
          <cell r="AA77">
            <v>5796</v>
          </cell>
          <cell r="AB77">
            <v>23529.666666666668</v>
          </cell>
          <cell r="AC77">
            <v>46</v>
          </cell>
          <cell r="AD77">
            <v>66</v>
          </cell>
          <cell r="AE77">
            <v>589</v>
          </cell>
          <cell r="AF77">
            <v>2218.666666666667</v>
          </cell>
        </row>
        <row r="78">
          <cell r="C78">
            <v>303</v>
          </cell>
          <cell r="D78">
            <v>187</v>
          </cell>
          <cell r="E78">
            <v>116</v>
          </cell>
          <cell r="I78">
            <v>70</v>
          </cell>
          <cell r="J78">
            <v>125</v>
          </cell>
          <cell r="K78">
            <v>82.5</v>
          </cell>
          <cell r="L78">
            <v>42.5</v>
          </cell>
          <cell r="M78">
            <v>38</v>
          </cell>
          <cell r="N78">
            <v>26</v>
          </cell>
          <cell r="O78">
            <v>12</v>
          </cell>
          <cell r="P78">
            <v>31</v>
          </cell>
          <cell r="Q78">
            <v>20</v>
          </cell>
          <cell r="R78">
            <v>11</v>
          </cell>
          <cell r="T78">
            <v>0</v>
          </cell>
          <cell r="U78">
            <v>703</v>
          </cell>
          <cell r="V78">
            <v>373</v>
          </cell>
          <cell r="W78">
            <v>330</v>
          </cell>
          <cell r="X78">
            <v>330</v>
          </cell>
          <cell r="Y78">
            <v>0</v>
          </cell>
          <cell r="Z78">
            <v>330</v>
          </cell>
          <cell r="AA78">
            <v>0</v>
          </cell>
          <cell r="AB78">
            <v>330</v>
          </cell>
          <cell r="AE78">
            <v>0</v>
          </cell>
          <cell r="AF78">
            <v>330</v>
          </cell>
        </row>
        <row r="79">
          <cell r="C79">
            <v>0</v>
          </cell>
          <cell r="D79">
            <v>0</v>
          </cell>
          <cell r="E79">
            <v>0</v>
          </cell>
          <cell r="I79" t="e">
            <v>#REF!</v>
          </cell>
          <cell r="J79">
            <v>0</v>
          </cell>
          <cell r="K79" t="e">
            <v>#REF!</v>
          </cell>
          <cell r="L79" t="e">
            <v>#REF!</v>
          </cell>
          <cell r="M79" t="e">
            <v>#REF!</v>
          </cell>
          <cell r="N79" t="e">
            <v>#REF!</v>
          </cell>
          <cell r="O79" t="e">
            <v>#REF!</v>
          </cell>
          <cell r="P79">
            <v>88.2</v>
          </cell>
          <cell r="Q79" t="e">
            <v>#REF!</v>
          </cell>
          <cell r="R79" t="e">
            <v>#REF!</v>
          </cell>
          <cell r="S79">
            <v>201.86666666666662</v>
          </cell>
          <cell r="T79">
            <v>80.431999999999974</v>
          </cell>
          <cell r="U79">
            <v>2217</v>
          </cell>
          <cell r="V79">
            <v>262</v>
          </cell>
          <cell r="W79">
            <v>1955</v>
          </cell>
          <cell r="X79">
            <v>1955</v>
          </cell>
          <cell r="Y79">
            <v>60</v>
          </cell>
          <cell r="Z79">
            <v>1955</v>
          </cell>
          <cell r="AA79" t="e">
            <v>#REF!</v>
          </cell>
          <cell r="AB79">
            <v>1955</v>
          </cell>
          <cell r="AC79">
            <v>135.4</v>
          </cell>
          <cell r="AD79">
            <v>71</v>
          </cell>
          <cell r="AE79">
            <v>64.400000000000006</v>
          </cell>
          <cell r="AF79">
            <v>1955</v>
          </cell>
        </row>
        <row r="80">
          <cell r="C80">
            <v>0</v>
          </cell>
          <cell r="D80">
            <v>0</v>
          </cell>
          <cell r="E80">
            <v>0</v>
          </cell>
          <cell r="I80" t="e">
            <v>#REF!</v>
          </cell>
          <cell r="J80" t="e">
            <v>#REF!</v>
          </cell>
          <cell r="K80" t="e">
            <v>#REF!</v>
          </cell>
          <cell r="L80" t="e">
            <v>#REF!</v>
          </cell>
          <cell r="M80">
            <v>0</v>
          </cell>
          <cell r="N80" t="e">
            <v>#REF!</v>
          </cell>
          <cell r="O80" t="e">
            <v>#REF!</v>
          </cell>
          <cell r="P80">
            <v>0</v>
          </cell>
          <cell r="Q80" t="e">
            <v>#REF!</v>
          </cell>
          <cell r="R80" t="e">
            <v>#REF!</v>
          </cell>
          <cell r="S80">
            <v>121.86666666666663</v>
          </cell>
          <cell r="T80">
            <v>80.431999999999974</v>
          </cell>
          <cell r="U80">
            <v>0</v>
          </cell>
          <cell r="V80">
            <v>0</v>
          </cell>
          <cell r="W80">
            <v>0</v>
          </cell>
          <cell r="X80">
            <v>0</v>
          </cell>
          <cell r="Y80">
            <v>46</v>
          </cell>
          <cell r="Z80">
            <v>19.600000000000009</v>
          </cell>
          <cell r="AA80" t="e">
            <v>#REF!</v>
          </cell>
          <cell r="AB80" t="e">
            <v>#REF!</v>
          </cell>
          <cell r="AC80">
            <v>27.200000000000003</v>
          </cell>
          <cell r="AD80">
            <v>14</v>
          </cell>
          <cell r="AE80">
            <v>13.200000000000003</v>
          </cell>
          <cell r="AF80">
            <v>110.4</v>
          </cell>
        </row>
        <row r="81">
          <cell r="C81">
            <v>0</v>
          </cell>
          <cell r="D81">
            <v>0</v>
          </cell>
          <cell r="E81">
            <v>0</v>
          </cell>
          <cell r="I81">
            <v>30</v>
          </cell>
          <cell r="J81">
            <v>30</v>
          </cell>
          <cell r="M81">
            <v>3</v>
          </cell>
          <cell r="P81">
            <v>2</v>
          </cell>
          <cell r="S81">
            <v>0</v>
          </cell>
          <cell r="U81">
            <v>65</v>
          </cell>
          <cell r="V81">
            <v>30</v>
          </cell>
          <cell r="W81">
            <v>35</v>
          </cell>
          <cell r="X81">
            <v>35</v>
          </cell>
          <cell r="Y81" t="e">
            <v>#REF!</v>
          </cell>
          <cell r="Z81" t="e">
            <v>#REF!</v>
          </cell>
          <cell r="AA81" t="e">
            <v>#REF!</v>
          </cell>
          <cell r="AB81" t="e">
            <v>#REF!</v>
          </cell>
          <cell r="AC81" t="e">
            <v>#REF!</v>
          </cell>
        </row>
        <row r="82">
          <cell r="C82">
            <v>813.00000000000011</v>
          </cell>
          <cell r="D82">
            <v>501</v>
          </cell>
          <cell r="E82">
            <v>312.33333333333337</v>
          </cell>
          <cell r="I82">
            <v>1754.3098245614035</v>
          </cell>
          <cell r="J82">
            <v>5683.5263157894733</v>
          </cell>
          <cell r="K82">
            <v>3206.467894736842</v>
          </cell>
          <cell r="L82">
            <v>2466.0584210526313</v>
          </cell>
          <cell r="M82">
            <v>13401.17543859649</v>
          </cell>
          <cell r="N82">
            <v>9336</v>
          </cell>
          <cell r="O82">
            <v>4065.1754385964914</v>
          </cell>
          <cell r="P82">
            <v>10489.423728813559</v>
          </cell>
          <cell r="Q82">
            <v>6721</v>
          </cell>
          <cell r="R82">
            <v>3768.4237288135591</v>
          </cell>
          <cell r="S82">
            <v>0</v>
          </cell>
          <cell r="T82">
            <v>1129</v>
          </cell>
          <cell r="U82">
            <v>34743.435307760927</v>
          </cell>
          <cell r="V82">
            <v>18819.309824561402</v>
          </cell>
          <cell r="W82">
            <v>15924.125483199525</v>
          </cell>
          <cell r="X82">
            <v>16058.125483199525</v>
          </cell>
          <cell r="Y82">
            <v>178596</v>
          </cell>
          <cell r="Z82">
            <v>194654.12548319952</v>
          </cell>
          <cell r="AA82">
            <v>173414</v>
          </cell>
          <cell r="AB82">
            <v>368068.12548319955</v>
          </cell>
          <cell r="AC82">
            <v>16009</v>
          </cell>
          <cell r="AD82">
            <v>10689</v>
          </cell>
          <cell r="AE82">
            <v>2570.3098245614037</v>
          </cell>
          <cell r="AF82">
            <v>5037.1254831995248</v>
          </cell>
        </row>
        <row r="83">
          <cell r="C83">
            <v>813.00000000000011</v>
          </cell>
          <cell r="D83">
            <v>501</v>
          </cell>
          <cell r="E83">
            <v>312.33333333333337</v>
          </cell>
          <cell r="P83">
            <v>20</v>
          </cell>
          <cell r="S83">
            <v>40</v>
          </cell>
          <cell r="U83">
            <v>14098.435307760927</v>
          </cell>
          <cell r="V83">
            <v>5945.3098245614019</v>
          </cell>
          <cell r="W83">
            <v>8153.1254831995248</v>
          </cell>
          <cell r="X83">
            <v>8153.1254831995248</v>
          </cell>
          <cell r="Y83">
            <v>14</v>
          </cell>
          <cell r="Z83">
            <v>5.2000000000000028</v>
          </cell>
          <cell r="AA83">
            <v>0</v>
          </cell>
          <cell r="AB83">
            <v>0</v>
          </cell>
          <cell r="AC83">
            <v>3160</v>
          </cell>
          <cell r="AD83">
            <v>2918</v>
          </cell>
          <cell r="AE83">
            <v>2545.3098245614037</v>
          </cell>
          <cell r="AF83">
            <v>5037.1254831995248</v>
          </cell>
        </row>
        <row r="84">
          <cell r="C84" t="e">
            <v>#REF!</v>
          </cell>
          <cell r="D84" t="e">
            <v>#REF!</v>
          </cell>
          <cell r="E84" t="e">
            <v>#REF!</v>
          </cell>
          <cell r="I84" t="e">
            <v>#REF!</v>
          </cell>
          <cell r="J84" t="e">
            <v>#REF!</v>
          </cell>
          <cell r="K84" t="e">
            <v>#REF!</v>
          </cell>
          <cell r="L84" t="e">
            <v>#REF!</v>
          </cell>
          <cell r="M84" t="e">
            <v>#REF!</v>
          </cell>
          <cell r="N84" t="e">
            <v>#REF!</v>
          </cell>
          <cell r="O84" t="e">
            <v>#REF!</v>
          </cell>
          <cell r="P84" t="e">
            <v>#REF!</v>
          </cell>
          <cell r="Q84" t="e">
            <v>#REF!</v>
          </cell>
          <cell r="R84" t="e">
            <v>#REF!</v>
          </cell>
          <cell r="S84">
            <v>0</v>
          </cell>
          <cell r="T84">
            <v>824</v>
          </cell>
          <cell r="U84">
            <v>261</v>
          </cell>
          <cell r="V84">
            <v>563</v>
          </cell>
          <cell r="W84" t="e">
            <v>#REF!</v>
          </cell>
          <cell r="X84">
            <v>0</v>
          </cell>
          <cell r="Y84" t="e">
            <v>#REF!</v>
          </cell>
          <cell r="Z84" t="e">
            <v>#REF!</v>
          </cell>
          <cell r="AA84" t="e">
            <v>#REF!</v>
          </cell>
          <cell r="AB84" t="e">
            <v>#REF!</v>
          </cell>
          <cell r="AC84" t="e">
            <v>#REF!</v>
          </cell>
        </row>
        <row r="85">
          <cell r="C85">
            <v>3670</v>
          </cell>
          <cell r="D85">
            <v>3670</v>
          </cell>
          <cell r="E85" t="e">
            <v>#REF!</v>
          </cell>
          <cell r="I85" t="e">
            <v>#REF!</v>
          </cell>
          <cell r="J85" t="e">
            <v>#REF!</v>
          </cell>
          <cell r="K85" t="e">
            <v>#REF!</v>
          </cell>
          <cell r="L85" t="e">
            <v>#REF!</v>
          </cell>
          <cell r="M85" t="e">
            <v>#REF!</v>
          </cell>
          <cell r="N85" t="e">
            <v>#REF!</v>
          </cell>
          <cell r="O85" t="e">
            <v>#REF!</v>
          </cell>
          <cell r="P85">
            <v>9.6000000000000014</v>
          </cell>
          <cell r="Q85" t="e">
            <v>#REF!</v>
          </cell>
          <cell r="R85" t="e">
            <v>#REF!</v>
          </cell>
          <cell r="S85">
            <v>0</v>
          </cell>
          <cell r="T85">
            <v>1129</v>
          </cell>
          <cell r="U85">
            <v>3670</v>
          </cell>
          <cell r="V85">
            <v>3670</v>
          </cell>
          <cell r="W85">
            <v>0</v>
          </cell>
          <cell r="X85">
            <v>0</v>
          </cell>
          <cell r="Y85">
            <v>747</v>
          </cell>
          <cell r="Z85">
            <v>747</v>
          </cell>
          <cell r="AA85">
            <v>0</v>
          </cell>
          <cell r="AB85">
            <v>747</v>
          </cell>
          <cell r="AC85">
            <v>0</v>
          </cell>
          <cell r="AD85">
            <v>0</v>
          </cell>
          <cell r="AE85">
            <v>0</v>
          </cell>
          <cell r="AF85">
            <v>0</v>
          </cell>
        </row>
        <row r="86">
          <cell r="C86">
            <v>4483</v>
          </cell>
          <cell r="D86">
            <v>4171</v>
          </cell>
          <cell r="E86">
            <v>312.33333333333337</v>
          </cell>
          <cell r="I86">
            <v>1754.3098245614035</v>
          </cell>
          <cell r="J86">
            <v>5683.5263157894733</v>
          </cell>
          <cell r="K86">
            <v>3206.467894736842</v>
          </cell>
          <cell r="L86">
            <v>2466.0584210526313</v>
          </cell>
          <cell r="M86">
            <v>13401.17543859649</v>
          </cell>
          <cell r="N86">
            <v>9336</v>
          </cell>
          <cell r="O86">
            <v>4065.1754385964914</v>
          </cell>
          <cell r="P86">
            <v>10489.423728813559</v>
          </cell>
          <cell r="Q86">
            <v>6721</v>
          </cell>
          <cell r="R86">
            <v>3768.4237288135591</v>
          </cell>
          <cell r="S86">
            <v>0</v>
          </cell>
          <cell r="T86">
            <v>1129</v>
          </cell>
          <cell r="U86">
            <v>38413.435307760927</v>
          </cell>
          <cell r="V86">
            <v>22489.309824561402</v>
          </cell>
          <cell r="W86">
            <v>15924.125483199525</v>
          </cell>
          <cell r="X86">
            <v>16058.125483199525</v>
          </cell>
          <cell r="Y86">
            <v>179343</v>
          </cell>
          <cell r="Z86">
            <v>195401.12548319952</v>
          </cell>
          <cell r="AA86">
            <v>173414</v>
          </cell>
          <cell r="AB86">
            <v>368815.12548319955</v>
          </cell>
          <cell r="AC86">
            <v>16009</v>
          </cell>
          <cell r="AD86">
            <v>10689</v>
          </cell>
          <cell r="AE86">
            <v>2570.3098245614037</v>
          </cell>
          <cell r="AF86">
            <v>5037.1254831995248</v>
          </cell>
        </row>
        <row r="87">
          <cell r="C87">
            <v>230.42400000000001</v>
          </cell>
          <cell r="D87">
            <v>178.35599999999999</v>
          </cell>
          <cell r="E87">
            <v>52.068000000000012</v>
          </cell>
          <cell r="I87" t="e">
            <v>#REF!</v>
          </cell>
          <cell r="J87">
            <v>0</v>
          </cell>
          <cell r="K87">
            <v>0</v>
          </cell>
          <cell r="L87">
            <v>0</v>
          </cell>
          <cell r="M87">
            <v>0</v>
          </cell>
          <cell r="N87">
            <v>0</v>
          </cell>
          <cell r="O87">
            <v>0</v>
          </cell>
          <cell r="P87">
            <v>611.32000000000005</v>
          </cell>
          <cell r="Q87">
            <v>0</v>
          </cell>
          <cell r="R87">
            <v>0</v>
          </cell>
          <cell r="S87" t="e">
            <v>#REF!</v>
          </cell>
          <cell r="T87">
            <v>435.00952727272721</v>
          </cell>
          <cell r="U87">
            <v>230.42400000000001</v>
          </cell>
          <cell r="V87">
            <v>178.35599999999999</v>
          </cell>
          <cell r="W87">
            <v>52.068000000000012</v>
          </cell>
          <cell r="X87">
            <v>52.068000000000012</v>
          </cell>
          <cell r="Y87">
            <v>1358</v>
          </cell>
          <cell r="Z87">
            <v>1410.068</v>
          </cell>
          <cell r="AA87">
            <v>776</v>
          </cell>
          <cell r="AB87">
            <v>2186.0680000000002</v>
          </cell>
          <cell r="AC87">
            <v>0</v>
          </cell>
          <cell r="AD87">
            <v>0</v>
          </cell>
          <cell r="AE87">
            <v>178.35599999999999</v>
          </cell>
          <cell r="AF87">
            <v>52.068000000000012</v>
          </cell>
        </row>
        <row r="88">
          <cell r="C88">
            <v>384</v>
          </cell>
          <cell r="D88">
            <v>297</v>
          </cell>
          <cell r="E88">
            <v>87</v>
          </cell>
          <cell r="I88" t="e">
            <v>#REF!</v>
          </cell>
          <cell r="J88" t="e">
            <v>#REF!</v>
          </cell>
          <cell r="M88" t="e">
            <v>#REF!</v>
          </cell>
          <cell r="P88" t="e">
            <v>#REF!</v>
          </cell>
          <cell r="S88" t="e">
            <v>#REF!</v>
          </cell>
          <cell r="U88">
            <v>384</v>
          </cell>
          <cell r="V88">
            <v>297</v>
          </cell>
          <cell r="W88">
            <v>87</v>
          </cell>
          <cell r="X88">
            <v>87</v>
          </cell>
          <cell r="Y88">
            <v>3097</v>
          </cell>
          <cell r="Z88">
            <v>3184</v>
          </cell>
          <cell r="AA88">
            <v>1294</v>
          </cell>
          <cell r="AB88">
            <v>4478</v>
          </cell>
          <cell r="AC88">
            <v>0</v>
          </cell>
          <cell r="AD88">
            <v>0</v>
          </cell>
          <cell r="AE88">
            <v>297</v>
          </cell>
          <cell r="AF88">
            <v>87</v>
          </cell>
        </row>
        <row r="89">
          <cell r="C89">
            <v>57.666666666666664</v>
          </cell>
          <cell r="D89">
            <v>36</v>
          </cell>
          <cell r="E89">
            <v>21.666666666666664</v>
          </cell>
          <cell r="I89" t="e">
            <v>#REF!</v>
          </cell>
          <cell r="J89">
            <v>0</v>
          </cell>
          <cell r="K89">
            <v>0</v>
          </cell>
          <cell r="L89">
            <v>0</v>
          </cell>
          <cell r="M89">
            <v>0</v>
          </cell>
          <cell r="N89">
            <v>0</v>
          </cell>
          <cell r="O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row>
        <row r="90">
          <cell r="C90">
            <v>0</v>
          </cell>
          <cell r="D90">
            <v>0</v>
          </cell>
          <cell r="E90">
            <v>0</v>
          </cell>
          <cell r="I90" t="e">
            <v>#REF!</v>
          </cell>
          <cell r="J90" t="e">
            <v>#REF!</v>
          </cell>
          <cell r="K90" t="e">
            <v>#REF!</v>
          </cell>
          <cell r="L90" t="e">
            <v>#REF!</v>
          </cell>
          <cell r="M90" t="e">
            <v>#REF!</v>
          </cell>
          <cell r="N90" t="e">
            <v>#REF!</v>
          </cell>
          <cell r="O90" t="e">
            <v>#REF!</v>
          </cell>
          <cell r="P90">
            <v>2586.1559999999999</v>
          </cell>
          <cell r="Q90">
            <v>0</v>
          </cell>
          <cell r="R90">
            <v>0</v>
          </cell>
          <cell r="S90">
            <v>7247.7078787878781</v>
          </cell>
          <cell r="T90">
            <v>3771.5508606060603</v>
          </cell>
          <cell r="U90">
            <v>0</v>
          </cell>
          <cell r="V90">
            <v>0</v>
          </cell>
          <cell r="W90">
            <v>0</v>
          </cell>
          <cell r="X90">
            <v>0</v>
          </cell>
          <cell r="Y90">
            <v>0</v>
          </cell>
          <cell r="Z90">
            <v>0</v>
          </cell>
          <cell r="AA90">
            <v>0</v>
          </cell>
          <cell r="AB90">
            <v>0</v>
          </cell>
          <cell r="AC90">
            <v>0</v>
          </cell>
          <cell r="AD90">
            <v>0</v>
          </cell>
          <cell r="AE90">
            <v>0</v>
          </cell>
          <cell r="AF90">
            <v>0</v>
          </cell>
        </row>
        <row r="91">
          <cell r="C91">
            <v>5155.0906666666669</v>
          </cell>
          <cell r="D91">
            <v>4682.3559999999998</v>
          </cell>
          <cell r="E91">
            <v>473.06800000000004</v>
          </cell>
          <cell r="I91">
            <v>1754.3098245614035</v>
          </cell>
          <cell r="J91">
            <v>5683.5263157894733</v>
          </cell>
          <cell r="K91">
            <v>3206.467894736842</v>
          </cell>
          <cell r="L91">
            <v>2466.0584210526313</v>
          </cell>
          <cell r="M91">
            <v>13401.17543859649</v>
          </cell>
          <cell r="N91">
            <v>9336</v>
          </cell>
          <cell r="O91">
            <v>4065.1754385964914</v>
          </cell>
          <cell r="P91">
            <v>10489.423728813559</v>
          </cell>
          <cell r="Q91">
            <v>6721</v>
          </cell>
          <cell r="R91">
            <v>3768.4237288135591</v>
          </cell>
          <cell r="S91">
            <v>0</v>
          </cell>
          <cell r="T91">
            <v>1129</v>
          </cell>
          <cell r="U91">
            <v>39085.52597442759</v>
          </cell>
          <cell r="V91">
            <v>23000.665824561402</v>
          </cell>
          <cell r="W91">
            <v>16084.86014986619</v>
          </cell>
          <cell r="X91">
            <v>16218.86014986619</v>
          </cell>
          <cell r="Y91">
            <v>184800</v>
          </cell>
          <cell r="Z91">
            <v>201018.86014986617</v>
          </cell>
          <cell r="AA91">
            <v>177009</v>
          </cell>
          <cell r="AB91">
            <v>378027.86014986626</v>
          </cell>
          <cell r="AC91">
            <v>16009</v>
          </cell>
          <cell r="AD91">
            <v>10689</v>
          </cell>
          <cell r="AE91">
            <v>3081.6658245614035</v>
          </cell>
          <cell r="AF91">
            <v>5197.8601498661919</v>
          </cell>
        </row>
        <row r="92">
          <cell r="C92">
            <v>1485.0906666666669</v>
          </cell>
          <cell r="D92">
            <v>1012.3559999999998</v>
          </cell>
          <cell r="E92">
            <v>473.06800000000004</v>
          </cell>
          <cell r="I92">
            <v>1729.3098245614035</v>
          </cell>
          <cell r="J92">
            <v>4172.5263157894733</v>
          </cell>
          <cell r="K92">
            <v>1695.467894736842</v>
          </cell>
          <cell r="L92">
            <v>2466.0584210526313</v>
          </cell>
          <cell r="M92">
            <v>2563.1754385964905</v>
          </cell>
          <cell r="N92">
            <v>1786</v>
          </cell>
          <cell r="O92">
            <v>777.1754385964914</v>
          </cell>
          <cell r="P92">
            <v>2218.4237288135591</v>
          </cell>
          <cell r="Q92">
            <v>1422</v>
          </cell>
          <cell r="R92">
            <v>796.42372881355914</v>
          </cell>
          <cell r="S92">
            <v>0</v>
          </cell>
          <cell r="T92">
            <v>1129</v>
          </cell>
          <cell r="U92">
            <v>14770.52597442759</v>
          </cell>
          <cell r="V92">
            <v>6456.6658245614017</v>
          </cell>
          <cell r="W92">
            <v>8313.8601498661901</v>
          </cell>
          <cell r="X92">
            <v>7802.8601498661901</v>
          </cell>
          <cell r="Y92">
            <v>65204</v>
          </cell>
          <cell r="Z92">
            <v>73006.860149866174</v>
          </cell>
          <cell r="AA92">
            <v>30183</v>
          </cell>
          <cell r="AB92">
            <v>103189.86014986626</v>
          </cell>
          <cell r="AC92">
            <v>3160</v>
          </cell>
          <cell r="AD92">
            <v>2918</v>
          </cell>
          <cell r="AE92">
            <v>3056.6658245614035</v>
          </cell>
          <cell r="AF92">
            <v>5197.8601498661919</v>
          </cell>
        </row>
        <row r="93">
          <cell r="C93">
            <v>88</v>
          </cell>
          <cell r="D93">
            <v>54</v>
          </cell>
          <cell r="E93">
            <v>34</v>
          </cell>
          <cell r="I93">
            <v>480.38</v>
          </cell>
          <cell r="J93">
            <v>669</v>
          </cell>
          <cell r="K93">
            <v>282.3363157894737</v>
          </cell>
          <cell r="L93">
            <v>386.6636842105263</v>
          </cell>
          <cell r="M93">
            <v>286</v>
          </cell>
          <cell r="N93">
            <v>199</v>
          </cell>
          <cell r="O93">
            <v>87</v>
          </cell>
          <cell r="P93">
            <v>125.61671126969965</v>
          </cell>
          <cell r="Q93">
            <v>80</v>
          </cell>
          <cell r="R93">
            <v>45.61671126969965</v>
          </cell>
          <cell r="S93">
            <v>0</v>
          </cell>
          <cell r="T93">
            <v>686</v>
          </cell>
          <cell r="U93">
            <v>1776.9967112696997</v>
          </cell>
          <cell r="V93">
            <v>906.38</v>
          </cell>
          <cell r="W93">
            <v>870.61671126969964</v>
          </cell>
          <cell r="X93">
            <v>0</v>
          </cell>
          <cell r="Y93">
            <v>0</v>
          </cell>
          <cell r="Z93">
            <v>0</v>
          </cell>
          <cell r="AA93">
            <v>0</v>
          </cell>
          <cell r="AB93">
            <v>0</v>
          </cell>
          <cell r="AC93">
            <v>149</v>
          </cell>
          <cell r="AD93">
            <v>233</v>
          </cell>
          <cell r="AE93">
            <v>599.3098245614035</v>
          </cell>
          <cell r="AF93">
            <v>385.1254831995243</v>
          </cell>
        </row>
        <row r="94">
          <cell r="C94">
            <v>950</v>
          </cell>
          <cell r="I94">
            <v>338</v>
          </cell>
          <cell r="J94">
            <v>541</v>
          </cell>
          <cell r="M94">
            <v>874</v>
          </cell>
          <cell r="P94">
            <v>450</v>
          </cell>
          <cell r="S94">
            <v>153</v>
          </cell>
          <cell r="T94">
            <v>0</v>
          </cell>
          <cell r="U94">
            <v>3306</v>
          </cell>
          <cell r="W94" t="e">
            <v>#REF!</v>
          </cell>
          <cell r="X94">
            <v>0</v>
          </cell>
          <cell r="Y94">
            <v>0</v>
          </cell>
          <cell r="Z94">
            <v>0</v>
          </cell>
          <cell r="AC94">
            <v>0</v>
          </cell>
          <cell r="AD94">
            <v>0</v>
          </cell>
          <cell r="AE94">
            <v>0</v>
          </cell>
          <cell r="AF94">
            <v>12</v>
          </cell>
        </row>
        <row r="95">
          <cell r="C95">
            <v>37</v>
          </cell>
          <cell r="I95">
            <v>338</v>
          </cell>
          <cell r="J95">
            <v>541</v>
          </cell>
          <cell r="M95">
            <v>385</v>
          </cell>
          <cell r="P95">
            <v>445</v>
          </cell>
          <cell r="S95">
            <v>8</v>
          </cell>
          <cell r="T95">
            <v>54</v>
          </cell>
          <cell r="U95">
            <v>1754</v>
          </cell>
          <cell r="W95" t="e">
            <v>#REF!</v>
          </cell>
        </row>
        <row r="96">
          <cell r="C96">
            <v>0</v>
          </cell>
          <cell r="I96">
            <v>0</v>
          </cell>
          <cell r="J96">
            <v>0</v>
          </cell>
          <cell r="M96">
            <v>489</v>
          </cell>
          <cell r="P96">
            <v>5</v>
          </cell>
          <cell r="S96">
            <v>0</v>
          </cell>
          <cell r="U96">
            <v>494</v>
          </cell>
          <cell r="W96" t="e">
            <v>#REF!</v>
          </cell>
        </row>
        <row r="97">
          <cell r="C97">
            <v>913</v>
          </cell>
          <cell r="I97">
            <v>0</v>
          </cell>
          <cell r="J97">
            <v>0</v>
          </cell>
          <cell r="M97">
            <v>0</v>
          </cell>
          <cell r="P97">
            <v>0</v>
          </cell>
          <cell r="Q97">
            <v>0</v>
          </cell>
          <cell r="R97">
            <v>0</v>
          </cell>
          <cell r="S97">
            <v>0</v>
          </cell>
          <cell r="T97">
            <v>3771.5508606060603</v>
          </cell>
          <cell r="U97">
            <v>913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row>
        <row r="98">
          <cell r="C98" t="e">
            <v>#REF!</v>
          </cell>
          <cell r="I98" t="e">
            <v>#REF!</v>
          </cell>
          <cell r="J98" t="e">
            <v>#REF!</v>
          </cell>
          <cell r="M98" t="e">
            <v>#REF!</v>
          </cell>
          <cell r="P98">
            <v>2586.1559999999999</v>
          </cell>
          <cell r="Q98">
            <v>0</v>
          </cell>
          <cell r="R98">
            <v>0</v>
          </cell>
          <cell r="S98">
            <v>5649.7078787878781</v>
          </cell>
          <cell r="T98">
            <v>2173.5508606060603</v>
          </cell>
          <cell r="U98">
            <v>0</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row>
        <row r="99">
          <cell r="C99" t="e">
            <v>#REF!</v>
          </cell>
          <cell r="I99" t="e">
            <v>#REF!</v>
          </cell>
          <cell r="J99" t="e">
            <v>#REF!</v>
          </cell>
          <cell r="M99" t="e">
            <v>#REF!</v>
          </cell>
          <cell r="P99">
            <v>1565</v>
          </cell>
          <cell r="S99">
            <v>4895.1499999999996</v>
          </cell>
          <cell r="U99">
            <v>0</v>
          </cell>
          <cell r="V99">
            <v>0</v>
          </cell>
          <cell r="W99" t="e">
            <v>#REF!</v>
          </cell>
          <cell r="X99">
            <v>290</v>
          </cell>
          <cell r="AC99">
            <v>85</v>
          </cell>
          <cell r="AF99">
            <v>5</v>
          </cell>
        </row>
        <row r="100">
          <cell r="C100">
            <v>1058</v>
          </cell>
          <cell r="I100">
            <v>1</v>
          </cell>
          <cell r="J100">
            <v>2</v>
          </cell>
          <cell r="M100">
            <v>0</v>
          </cell>
          <cell r="P100">
            <v>31</v>
          </cell>
          <cell r="S100">
            <v>1</v>
          </cell>
          <cell r="U100">
            <v>1093</v>
          </cell>
          <cell r="W100" t="e">
            <v>#REF!</v>
          </cell>
          <cell r="X100">
            <v>290</v>
          </cell>
          <cell r="AC100">
            <v>85</v>
          </cell>
          <cell r="AF100">
            <v>5</v>
          </cell>
        </row>
        <row r="101">
          <cell r="C101">
            <v>913</v>
          </cell>
          <cell r="I101">
            <v>0</v>
          </cell>
          <cell r="J101">
            <v>0</v>
          </cell>
          <cell r="M101">
            <v>0</v>
          </cell>
          <cell r="P101">
            <v>0</v>
          </cell>
          <cell r="S101">
            <v>0</v>
          </cell>
          <cell r="U101">
            <v>913</v>
          </cell>
          <cell r="V101">
            <v>0</v>
          </cell>
          <cell r="W101" t="e">
            <v>#REF!</v>
          </cell>
          <cell r="X101">
            <v>109.5</v>
          </cell>
          <cell r="AC101">
            <v>85</v>
          </cell>
        </row>
        <row r="102">
          <cell r="C102">
            <v>50</v>
          </cell>
          <cell r="I102">
            <v>0</v>
          </cell>
          <cell r="J102">
            <v>0</v>
          </cell>
          <cell r="M102">
            <v>0</v>
          </cell>
          <cell r="P102">
            <v>0</v>
          </cell>
          <cell r="S102">
            <v>0</v>
          </cell>
          <cell r="U102">
            <v>50</v>
          </cell>
          <cell r="W102" t="e">
            <v>#REF!</v>
          </cell>
          <cell r="X102">
            <v>0</v>
          </cell>
          <cell r="AC102">
            <v>0</v>
          </cell>
          <cell r="AF102">
            <v>0</v>
          </cell>
        </row>
        <row r="103">
          <cell r="C103">
            <v>95</v>
          </cell>
          <cell r="I103">
            <v>1</v>
          </cell>
          <cell r="J103">
            <v>2</v>
          </cell>
          <cell r="M103" t="e">
            <v>#REF!</v>
          </cell>
          <cell r="P103">
            <v>31</v>
          </cell>
          <cell r="S103">
            <v>1</v>
          </cell>
          <cell r="T103">
            <v>10</v>
          </cell>
          <cell r="U103">
            <v>130</v>
          </cell>
          <cell r="W103" t="e">
            <v>#REF!</v>
          </cell>
        </row>
        <row r="104">
          <cell r="C104">
            <v>3285</v>
          </cell>
          <cell r="I104">
            <v>25</v>
          </cell>
          <cell r="J104">
            <v>59</v>
          </cell>
          <cell r="M104">
            <v>22</v>
          </cell>
          <cell r="P104">
            <v>-14</v>
          </cell>
          <cell r="S104">
            <v>539</v>
          </cell>
          <cell r="T104">
            <v>10</v>
          </cell>
          <cell r="U104">
            <v>3922</v>
          </cell>
          <cell r="W104" t="e">
            <v>#REF!</v>
          </cell>
          <cell r="X104">
            <v>80</v>
          </cell>
          <cell r="AC104">
            <v>85</v>
          </cell>
        </row>
        <row r="105">
          <cell r="C105">
            <v>0</v>
          </cell>
          <cell r="I105">
            <v>0</v>
          </cell>
          <cell r="J105" t="e">
            <v>#REF!</v>
          </cell>
          <cell r="M105" t="e">
            <v>#REF!</v>
          </cell>
          <cell r="P105">
            <v>0</v>
          </cell>
          <cell r="S105">
            <v>261</v>
          </cell>
          <cell r="U105">
            <v>261</v>
          </cell>
          <cell r="W105" t="e">
            <v>#REF!</v>
          </cell>
          <cell r="X105">
            <v>0</v>
          </cell>
        </row>
        <row r="106">
          <cell r="C106">
            <v>3285</v>
          </cell>
          <cell r="I106">
            <v>25</v>
          </cell>
          <cell r="J106">
            <v>59</v>
          </cell>
          <cell r="M106">
            <v>22</v>
          </cell>
          <cell r="P106">
            <v>-14</v>
          </cell>
          <cell r="S106">
            <v>278</v>
          </cell>
          <cell r="T106">
            <v>55</v>
          </cell>
          <cell r="U106">
            <v>3661</v>
          </cell>
          <cell r="V106" t="e">
            <v>#REF!</v>
          </cell>
          <cell r="W106" t="e">
            <v>#REF!</v>
          </cell>
          <cell r="X106">
            <v>80</v>
          </cell>
          <cell r="Y106">
            <v>0</v>
          </cell>
          <cell r="AC106">
            <v>85</v>
          </cell>
        </row>
        <row r="107">
          <cell r="C107">
            <v>0</v>
          </cell>
          <cell r="I107">
            <v>420</v>
          </cell>
          <cell r="J107">
            <v>656</v>
          </cell>
          <cell r="M107" t="e">
            <v>#REF!</v>
          </cell>
          <cell r="P107">
            <v>0</v>
          </cell>
          <cell r="T107">
            <v>55</v>
          </cell>
          <cell r="U107">
            <v>-38.052597442759001</v>
          </cell>
          <cell r="V107">
            <v>-38.052597442759001</v>
          </cell>
          <cell r="W107">
            <v>0</v>
          </cell>
        </row>
        <row r="108">
          <cell r="C108">
            <v>-808</v>
          </cell>
          <cell r="D108">
            <v>0</v>
          </cell>
          <cell r="E108">
            <v>0</v>
          </cell>
          <cell r="I108">
            <v>420</v>
          </cell>
          <cell r="J108">
            <v>656</v>
          </cell>
          <cell r="M108" t="e">
            <v>#REF!</v>
          </cell>
          <cell r="N108">
            <v>0</v>
          </cell>
          <cell r="O108">
            <v>0</v>
          </cell>
          <cell r="P108" t="e">
            <v>#REF!</v>
          </cell>
          <cell r="Q108">
            <v>0</v>
          </cell>
          <cell r="R108">
            <v>0</v>
          </cell>
          <cell r="S108" t="e">
            <v>#REF!</v>
          </cell>
          <cell r="T108">
            <v>0</v>
          </cell>
          <cell r="U108">
            <v>268</v>
          </cell>
          <cell r="V108" t="e">
            <v>#REF!</v>
          </cell>
          <cell r="W108">
            <v>0</v>
          </cell>
          <cell r="X108">
            <v>0</v>
          </cell>
          <cell r="Y108">
            <v>0</v>
          </cell>
          <cell r="Z108">
            <v>0</v>
          </cell>
          <cell r="AA108">
            <v>0</v>
          </cell>
        </row>
        <row r="109">
          <cell r="C109">
            <v>0</v>
          </cell>
          <cell r="D109">
            <v>0</v>
          </cell>
          <cell r="E109">
            <v>0</v>
          </cell>
          <cell r="I109" t="e">
            <v>#REF!</v>
          </cell>
          <cell r="J109" t="e">
            <v>#REF!</v>
          </cell>
          <cell r="M109">
            <v>0</v>
          </cell>
          <cell r="N109">
            <v>0</v>
          </cell>
          <cell r="O109">
            <v>0</v>
          </cell>
          <cell r="P109">
            <v>0</v>
          </cell>
          <cell r="S109">
            <v>-17.850000000000364</v>
          </cell>
          <cell r="T109">
            <v>0</v>
          </cell>
          <cell r="U109">
            <v>0</v>
          </cell>
          <cell r="V109">
            <v>0</v>
          </cell>
          <cell r="W109">
            <v>0</v>
          </cell>
          <cell r="X109">
            <v>0</v>
          </cell>
          <cell r="AC109">
            <v>0</v>
          </cell>
          <cell r="AF109">
            <v>0</v>
          </cell>
        </row>
        <row r="110">
          <cell r="C110" t="e">
            <v>#REF!</v>
          </cell>
          <cell r="I110">
            <v>0</v>
          </cell>
          <cell r="J110">
            <v>0</v>
          </cell>
          <cell r="M110">
            <v>0</v>
          </cell>
          <cell r="P110">
            <v>0</v>
          </cell>
          <cell r="S110">
            <v>-17.850000000000364</v>
          </cell>
          <cell r="U110">
            <v>0</v>
          </cell>
          <cell r="W110" t="e">
            <v>#REF!</v>
          </cell>
          <cell r="AC110">
            <v>0</v>
          </cell>
          <cell r="AF110">
            <v>0</v>
          </cell>
        </row>
        <row r="111">
          <cell r="C111">
            <v>56.375</v>
          </cell>
          <cell r="I111">
            <v>213.25</v>
          </cell>
          <cell r="J111">
            <v>310.75</v>
          </cell>
          <cell r="M111">
            <v>114.125</v>
          </cell>
          <cell r="P111">
            <v>244.25</v>
          </cell>
          <cell r="S111">
            <v>537.625</v>
          </cell>
          <cell r="U111">
            <v>1568.5</v>
          </cell>
          <cell r="W111" t="e">
            <v>#REF!</v>
          </cell>
          <cell r="AC111">
            <v>0</v>
          </cell>
          <cell r="AF111">
            <v>0</v>
          </cell>
        </row>
        <row r="112">
          <cell r="C112">
            <v>1.25</v>
          </cell>
          <cell r="I112">
            <v>13</v>
          </cell>
          <cell r="J112">
            <v>9.3333333333333339</v>
          </cell>
          <cell r="M112">
            <v>0</v>
          </cell>
          <cell r="P112">
            <v>30</v>
          </cell>
          <cell r="S112">
            <v>0</v>
          </cell>
          <cell r="U112">
            <v>53.583333333333336</v>
          </cell>
          <cell r="V112" t="e">
            <v>#REF!</v>
          </cell>
          <cell r="W112" t="e">
            <v>#REF!</v>
          </cell>
          <cell r="X112">
            <v>0</v>
          </cell>
          <cell r="AC112">
            <v>0</v>
          </cell>
          <cell r="AF112">
            <v>0</v>
          </cell>
        </row>
        <row r="113">
          <cell r="C113">
            <v>-12710</v>
          </cell>
          <cell r="P113">
            <v>0</v>
          </cell>
          <cell r="S113">
            <v>18</v>
          </cell>
          <cell r="W113">
            <v>-12710</v>
          </cell>
          <cell r="X113">
            <v>0</v>
          </cell>
          <cell r="AC113">
            <v>0</v>
          </cell>
          <cell r="AF113">
            <v>0</v>
          </cell>
        </row>
        <row r="114">
          <cell r="C114" t="e">
            <v>#REF!</v>
          </cell>
          <cell r="P114">
            <v>0</v>
          </cell>
          <cell r="S114">
            <v>18</v>
          </cell>
          <cell r="U114" t="e">
            <v>#REF!</v>
          </cell>
          <cell r="V114" t="e">
            <v>#REF!</v>
          </cell>
          <cell r="W114" t="e">
            <v>#REF!</v>
          </cell>
          <cell r="X114">
            <v>0</v>
          </cell>
          <cell r="AC114">
            <v>0</v>
          </cell>
          <cell r="AF114">
            <v>0</v>
          </cell>
        </row>
        <row r="115">
          <cell r="C115">
            <v>0</v>
          </cell>
          <cell r="D115">
            <v>0</v>
          </cell>
          <cell r="E115">
            <v>0</v>
          </cell>
          <cell r="I115" t="e">
            <v>#REF!</v>
          </cell>
          <cell r="J115" t="e">
            <v>#REF!</v>
          </cell>
          <cell r="M115" t="e">
            <v>#REF!</v>
          </cell>
          <cell r="N115">
            <v>0</v>
          </cell>
          <cell r="O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row>
        <row r="116">
          <cell r="C116" t="e">
            <v>#REF!</v>
          </cell>
          <cell r="D116">
            <v>0</v>
          </cell>
          <cell r="E116">
            <v>0</v>
          </cell>
          <cell r="I116">
            <v>672.25</v>
          </cell>
          <cell r="J116">
            <v>1037.0833333333333</v>
          </cell>
          <cell r="M116">
            <v>136.125</v>
          </cell>
          <cell r="N116">
            <v>0</v>
          </cell>
          <cell r="O116">
            <v>0</v>
          </cell>
          <cell r="P116">
            <v>291.25</v>
          </cell>
          <cell r="Q116">
            <v>0</v>
          </cell>
          <cell r="R116">
            <v>0</v>
          </cell>
          <cell r="S116">
            <v>1077.625</v>
          </cell>
          <cell r="T116">
            <v>0</v>
          </cell>
          <cell r="U116">
            <v>7512.0307358905739</v>
          </cell>
          <cell r="V116" t="e">
            <v>#REF!</v>
          </cell>
          <cell r="W116" t="e">
            <v>#REF!</v>
          </cell>
          <cell r="AC116">
            <v>0</v>
          </cell>
          <cell r="AD116">
            <v>0</v>
          </cell>
          <cell r="AE116">
            <v>0</v>
          </cell>
          <cell r="AF116">
            <v>0</v>
          </cell>
        </row>
        <row r="117">
          <cell r="C117" t="e">
            <v>#REF!</v>
          </cell>
          <cell r="D117">
            <v>0</v>
          </cell>
          <cell r="E117">
            <v>0</v>
          </cell>
          <cell r="I117">
            <v>672.25</v>
          </cell>
          <cell r="J117">
            <v>1037.0833333333333</v>
          </cell>
          <cell r="M117">
            <v>136.125</v>
          </cell>
          <cell r="N117">
            <v>0</v>
          </cell>
          <cell r="O117">
            <v>0</v>
          </cell>
          <cell r="P117">
            <v>291.25</v>
          </cell>
          <cell r="S117">
            <v>1077.625</v>
          </cell>
          <cell r="T117">
            <v>0</v>
          </cell>
          <cell r="U117">
            <v>6599.0307358905739</v>
          </cell>
          <cell r="W117" t="e">
            <v>#REF!</v>
          </cell>
          <cell r="X117">
            <v>0</v>
          </cell>
          <cell r="Z117">
            <v>0</v>
          </cell>
        </row>
        <row r="118">
          <cell r="P118">
            <v>0</v>
          </cell>
          <cell r="S118">
            <v>0</v>
          </cell>
          <cell r="U118" t="e">
            <v>#REF!</v>
          </cell>
          <cell r="W118" t="e">
            <v>#REF!</v>
          </cell>
          <cell r="X118">
            <v>0</v>
          </cell>
          <cell r="AC118">
            <v>0</v>
          </cell>
        </row>
        <row r="119">
          <cell r="P119" t="str">
            <v/>
          </cell>
          <cell r="S119">
            <v>0</v>
          </cell>
          <cell r="U119">
            <v>-230.79318209931299</v>
          </cell>
          <cell r="W119" t="e">
            <v>#REF!</v>
          </cell>
          <cell r="X119" t="e">
            <v>#REF!</v>
          </cell>
          <cell r="Y119" t="e">
            <v>#REF!</v>
          </cell>
          <cell r="AC119">
            <v>0</v>
          </cell>
        </row>
        <row r="120">
          <cell r="P120">
            <v>0</v>
          </cell>
          <cell r="S120">
            <v>0</v>
          </cell>
          <cell r="U120">
            <v>-380.52597442758997</v>
          </cell>
          <cell r="V120">
            <v>6725.3341754385983</v>
          </cell>
          <cell r="W120">
            <v>-7406.8601498661901</v>
          </cell>
          <cell r="X120" t="e">
            <v>#REF!</v>
          </cell>
          <cell r="AC120">
            <v>0</v>
          </cell>
          <cell r="AF120">
            <v>0</v>
          </cell>
        </row>
        <row r="121">
          <cell r="P121">
            <v>0</v>
          </cell>
          <cell r="S121">
            <v>0</v>
          </cell>
          <cell r="U121">
            <v>0</v>
          </cell>
          <cell r="W121">
            <v>0</v>
          </cell>
          <cell r="X121">
            <v>0</v>
          </cell>
          <cell r="Z121">
            <v>0</v>
          </cell>
          <cell r="AC121">
            <v>0</v>
          </cell>
        </row>
        <row r="122">
          <cell r="U122">
            <v>-149.73279232827699</v>
          </cell>
          <cell r="AC122">
            <v>0</v>
          </cell>
        </row>
        <row r="123">
          <cell r="S123">
            <v>0</v>
          </cell>
          <cell r="U123">
            <v>7.59</v>
          </cell>
          <cell r="X123">
            <v>0</v>
          </cell>
          <cell r="AF123">
            <v>0</v>
          </cell>
        </row>
        <row r="124">
          <cell r="U124">
            <v>0</v>
          </cell>
          <cell r="W124">
            <v>24998</v>
          </cell>
          <cell r="Y124">
            <v>24998</v>
          </cell>
          <cell r="Z124">
            <v>0</v>
          </cell>
          <cell r="AB124">
            <v>0</v>
          </cell>
        </row>
        <row r="125">
          <cell r="T125">
            <v>0</v>
          </cell>
          <cell r="U125">
            <v>8678</v>
          </cell>
          <cell r="W125">
            <v>8678</v>
          </cell>
          <cell r="X125" t="e">
            <v>#VALUE!</v>
          </cell>
          <cell r="Z125">
            <v>0</v>
          </cell>
          <cell r="AC125">
            <v>0</v>
          </cell>
          <cell r="AE125">
            <v>0</v>
          </cell>
        </row>
        <row r="126">
          <cell r="U126">
            <v>-7406.8601498661901</v>
          </cell>
          <cell r="V126">
            <v>25363</v>
          </cell>
          <cell r="W126">
            <v>30.79</v>
          </cell>
          <cell r="Z126" t="e">
            <v>#DIV/0!</v>
          </cell>
          <cell r="AC126">
            <v>0</v>
          </cell>
        </row>
        <row r="127">
          <cell r="U127">
            <v>30.45</v>
          </cell>
          <cell r="W127" t="e">
            <v>#REF!</v>
          </cell>
          <cell r="Z127" t="e">
            <v>#REF!</v>
          </cell>
          <cell r="AC127" t="e">
            <v>#DIV/0!</v>
          </cell>
        </row>
        <row r="128">
          <cell r="P128">
            <v>274</v>
          </cell>
          <cell r="Q128">
            <v>0</v>
          </cell>
          <cell r="R128">
            <v>0</v>
          </cell>
          <cell r="S128">
            <v>0.1499999999996362</v>
          </cell>
          <cell r="T128">
            <v>0</v>
          </cell>
          <cell r="U128">
            <v>56.44</v>
          </cell>
          <cell r="V128">
            <v>0</v>
          </cell>
          <cell r="W128">
            <v>0</v>
          </cell>
          <cell r="X128">
            <v>0</v>
          </cell>
          <cell r="Y128">
            <v>0</v>
          </cell>
          <cell r="Z128">
            <v>0</v>
          </cell>
          <cell r="AA128">
            <v>0</v>
          </cell>
          <cell r="AB128">
            <v>0</v>
          </cell>
          <cell r="AC128" t="e">
            <v>#DIV/0!</v>
          </cell>
          <cell r="AD128">
            <v>0</v>
          </cell>
          <cell r="AE128">
            <v>0</v>
          </cell>
          <cell r="AF128">
            <v>0</v>
          </cell>
        </row>
        <row r="129">
          <cell r="J129">
            <v>0</v>
          </cell>
          <cell r="P129">
            <v>548</v>
          </cell>
          <cell r="S129">
            <v>0.2999999999992724</v>
          </cell>
          <cell r="U129">
            <v>0</v>
          </cell>
          <cell r="X129">
            <v>0</v>
          </cell>
          <cell r="Y129">
            <v>0</v>
          </cell>
          <cell r="Z129">
            <v>0</v>
          </cell>
          <cell r="AC129">
            <v>0</v>
          </cell>
          <cell r="AD129">
            <v>0</v>
          </cell>
          <cell r="AE129">
            <v>0</v>
          </cell>
          <cell r="AF129">
            <v>0</v>
          </cell>
        </row>
        <row r="130">
          <cell r="W130">
            <v>11.87</v>
          </cell>
          <cell r="Z130" t="e">
            <v>#DIV/0!</v>
          </cell>
        </row>
        <row r="131">
          <cell r="T131">
            <v>0</v>
          </cell>
          <cell r="U131">
            <v>8.49</v>
          </cell>
          <cell r="V131">
            <v>25363</v>
          </cell>
          <cell r="W131">
            <v>0</v>
          </cell>
          <cell r="X131">
            <v>0</v>
          </cell>
          <cell r="AC131" t="e">
            <v>#DIV/0!</v>
          </cell>
        </row>
        <row r="132">
          <cell r="T132">
            <v>0</v>
          </cell>
          <cell r="U132">
            <v>0</v>
          </cell>
          <cell r="V132">
            <v>187.5</v>
          </cell>
          <cell r="W132" t="e">
            <v>#REF!</v>
          </cell>
          <cell r="Z132" t="e">
            <v>#REF!</v>
          </cell>
        </row>
        <row r="133">
          <cell r="T133">
            <v>0</v>
          </cell>
          <cell r="U133">
            <v>6.57</v>
          </cell>
          <cell r="V133">
            <v>25550.5</v>
          </cell>
          <cell r="W133">
            <v>57083</v>
          </cell>
          <cell r="X133">
            <v>57083</v>
          </cell>
          <cell r="AC133" t="e">
            <v>#DIV/0!</v>
          </cell>
        </row>
        <row r="134">
          <cell r="U134">
            <v>29726</v>
          </cell>
          <cell r="V134">
            <v>29726</v>
          </cell>
          <cell r="X134" t="e">
            <v>#REF!</v>
          </cell>
          <cell r="Y134" t="e">
            <v>#VALUE!</v>
          </cell>
          <cell r="Z134" t="e">
            <v>#REF!</v>
          </cell>
          <cell r="AA134" t="e">
            <v>#REF!</v>
          </cell>
        </row>
        <row r="135">
          <cell r="T135">
            <v>300</v>
          </cell>
          <cell r="U135" t="e">
            <v>#REF!</v>
          </cell>
          <cell r="V135" t="e">
            <v>#REF!</v>
          </cell>
          <cell r="W135">
            <v>300</v>
          </cell>
        </row>
        <row r="136">
          <cell r="J136">
            <v>1</v>
          </cell>
          <cell r="T136">
            <v>300</v>
          </cell>
          <cell r="U136">
            <v>300</v>
          </cell>
          <cell r="W136">
            <v>1</v>
          </cell>
        </row>
        <row r="137">
          <cell r="C137">
            <v>0</v>
          </cell>
          <cell r="I137">
            <v>0</v>
          </cell>
          <cell r="J137">
            <v>1</v>
          </cell>
          <cell r="M137">
            <v>0</v>
          </cell>
          <cell r="P137">
            <v>0</v>
          </cell>
          <cell r="S137">
            <v>0</v>
          </cell>
          <cell r="T137">
            <v>142</v>
          </cell>
          <cell r="U137">
            <v>1</v>
          </cell>
        </row>
        <row r="138">
          <cell r="C138" t="e">
            <v>#REF!</v>
          </cell>
          <cell r="I138" t="e">
            <v>#REF!</v>
          </cell>
          <cell r="J138" t="e">
            <v>#REF!</v>
          </cell>
          <cell r="M138" t="e">
            <v>#REF!</v>
          </cell>
          <cell r="P138" t="e">
            <v>#REF!</v>
          </cell>
          <cell r="T138">
            <v>0</v>
          </cell>
          <cell r="U138" t="e">
            <v>#REF!</v>
          </cell>
          <cell r="W138">
            <v>82081</v>
          </cell>
          <cell r="X138">
            <v>57083</v>
          </cell>
          <cell r="Y138">
            <v>24998</v>
          </cell>
          <cell r="Z138">
            <v>0</v>
          </cell>
        </row>
        <row r="139">
          <cell r="C139">
            <v>40</v>
          </cell>
          <cell r="T139">
            <v>0</v>
          </cell>
          <cell r="U139">
            <v>38404</v>
          </cell>
          <cell r="V139">
            <v>29726</v>
          </cell>
          <cell r="W139">
            <v>8678</v>
          </cell>
          <cell r="X139">
            <v>0</v>
          </cell>
          <cell r="AC139">
            <v>0</v>
          </cell>
        </row>
        <row r="140">
          <cell r="U140">
            <v>0</v>
          </cell>
          <cell r="V140">
            <v>0</v>
          </cell>
          <cell r="W140">
            <v>82081</v>
          </cell>
          <cell r="X140">
            <v>57083</v>
          </cell>
          <cell r="Y140">
            <v>24998</v>
          </cell>
        </row>
        <row r="141">
          <cell r="U141">
            <v>38404</v>
          </cell>
          <cell r="V141">
            <v>29726</v>
          </cell>
          <cell r="W141">
            <v>8678</v>
          </cell>
          <cell r="Z141" t="e">
            <v>#REF!</v>
          </cell>
          <cell r="AA141" t="e">
            <v>#REF!</v>
          </cell>
          <cell r="AB141" t="e">
            <v>#REF!</v>
          </cell>
          <cell r="AC141" t="e">
            <v>#REF!</v>
          </cell>
        </row>
        <row r="142">
          <cell r="W142" t="e">
            <v>#REF!</v>
          </cell>
          <cell r="X142" t="e">
            <v>#REF!</v>
          </cell>
          <cell r="Y142" t="e">
            <v>#REF!</v>
          </cell>
          <cell r="AC142">
            <v>3160</v>
          </cell>
          <cell r="AD142">
            <v>2918</v>
          </cell>
          <cell r="AE142">
            <v>3056.6658245614035</v>
          </cell>
          <cell r="AF142">
            <v>5197.8601498661919</v>
          </cell>
        </row>
        <row r="143">
          <cell r="C143">
            <v>17.179166666666667</v>
          </cell>
          <cell r="U143">
            <v>-1</v>
          </cell>
          <cell r="V143">
            <v>29.2</v>
          </cell>
          <cell r="W143">
            <v>-46</v>
          </cell>
        </row>
        <row r="144">
          <cell r="C144">
            <v>0</v>
          </cell>
          <cell r="I144">
            <v>0</v>
          </cell>
          <cell r="J144">
            <v>0</v>
          </cell>
          <cell r="M144">
            <v>0</v>
          </cell>
          <cell r="N144" t="str">
            <v xml:space="preserve">                   КОРИГУВАННЯ   ПЛАНУ   НА   СЕРПЕНЬ  1998 р</v>
          </cell>
          <cell r="P144">
            <v>0</v>
          </cell>
          <cell r="S144">
            <v>0</v>
          </cell>
          <cell r="W144">
            <v>0</v>
          </cell>
        </row>
        <row r="145">
          <cell r="C145">
            <v>0</v>
          </cell>
          <cell r="I145">
            <v>0</v>
          </cell>
          <cell r="J145">
            <v>0</v>
          </cell>
          <cell r="M145">
            <v>0</v>
          </cell>
          <cell r="P145">
            <v>0</v>
          </cell>
          <cell r="S145">
            <v>0</v>
          </cell>
          <cell r="T145">
            <v>312</v>
          </cell>
          <cell r="U145">
            <v>0</v>
          </cell>
          <cell r="W145">
            <v>3847.9000000000005</v>
          </cell>
        </row>
        <row r="146">
          <cell r="C146">
            <v>80</v>
          </cell>
          <cell r="I146">
            <v>615</v>
          </cell>
          <cell r="J146">
            <v>1790</v>
          </cell>
          <cell r="M146">
            <v>592</v>
          </cell>
          <cell r="P146">
            <v>1325</v>
          </cell>
          <cell r="T146">
            <v>194</v>
          </cell>
          <cell r="U146">
            <v>4402</v>
          </cell>
          <cell r="W146">
            <v>2595.8000000000002</v>
          </cell>
        </row>
        <row r="147">
          <cell r="C147">
            <v>80</v>
          </cell>
          <cell r="I147">
            <v>300</v>
          </cell>
          <cell r="J147">
            <v>1360</v>
          </cell>
          <cell r="M147">
            <v>7</v>
          </cell>
          <cell r="P147">
            <v>1174</v>
          </cell>
          <cell r="U147">
            <v>2921</v>
          </cell>
          <cell r="W147">
            <v>0</v>
          </cell>
        </row>
        <row r="148">
          <cell r="I148">
            <v>0</v>
          </cell>
          <cell r="U148">
            <v>0</v>
          </cell>
          <cell r="W148">
            <v>0</v>
          </cell>
        </row>
        <row r="149">
          <cell r="I149">
            <v>0</v>
          </cell>
          <cell r="J149" t="e">
            <v>#REF!</v>
          </cell>
          <cell r="M149" t="e">
            <v>#REF!</v>
          </cell>
          <cell r="P149" t="e">
            <v>#REF!</v>
          </cell>
          <cell r="U149">
            <v>0</v>
          </cell>
          <cell r="W149" t="e">
            <v>#REF!</v>
          </cell>
        </row>
        <row r="150">
          <cell r="C150">
            <v>17.179166666666667</v>
          </cell>
          <cell r="I150">
            <v>35</v>
          </cell>
          <cell r="J150">
            <v>282</v>
          </cell>
          <cell r="K150">
            <v>0</v>
          </cell>
          <cell r="L150">
            <v>0</v>
          </cell>
          <cell r="M150">
            <v>0</v>
          </cell>
          <cell r="N150" t="e">
            <v>#REF!</v>
          </cell>
          <cell r="O150">
            <v>0</v>
          </cell>
          <cell r="P150">
            <v>0</v>
          </cell>
          <cell r="S150">
            <v>0</v>
          </cell>
          <cell r="T150">
            <v>630</v>
          </cell>
          <cell r="U150">
            <v>317</v>
          </cell>
          <cell r="W150">
            <v>1774.0124999999998</v>
          </cell>
        </row>
        <row r="151">
          <cell r="C151">
            <v>17.179166666666667</v>
          </cell>
          <cell r="I151">
            <v>502</v>
          </cell>
          <cell r="J151">
            <v>1041.8333333333333</v>
          </cell>
          <cell r="M151">
            <v>213</v>
          </cell>
          <cell r="U151">
            <v>1774.0124999999998</v>
          </cell>
          <cell r="W151">
            <v>0</v>
          </cell>
        </row>
        <row r="152">
          <cell r="C152">
            <v>0</v>
          </cell>
          <cell r="I152">
            <v>0</v>
          </cell>
          <cell r="J152">
            <v>0</v>
          </cell>
          <cell r="M152">
            <v>0</v>
          </cell>
          <cell r="P152" t="e">
            <v>#REF!</v>
          </cell>
          <cell r="U152">
            <v>0</v>
          </cell>
          <cell r="W152" t="e">
            <v>#REF!</v>
          </cell>
        </row>
        <row r="153">
          <cell r="C153">
            <v>80</v>
          </cell>
          <cell r="I153">
            <v>580</v>
          </cell>
          <cell r="J153">
            <v>1508</v>
          </cell>
          <cell r="M153">
            <v>592</v>
          </cell>
          <cell r="P153">
            <v>1325</v>
          </cell>
          <cell r="U153">
            <v>4085</v>
          </cell>
          <cell r="W153" t="e">
            <v>#REF!</v>
          </cell>
        </row>
        <row r="154">
          <cell r="C154">
            <v>80</v>
          </cell>
          <cell r="I154">
            <v>580</v>
          </cell>
          <cell r="J154">
            <v>1508</v>
          </cell>
          <cell r="M154">
            <v>592</v>
          </cell>
          <cell r="P154">
            <v>1325</v>
          </cell>
          <cell r="W154" t="e">
            <v>#REF!</v>
          </cell>
          <cell r="Y154">
            <v>1507.2</v>
          </cell>
        </row>
        <row r="155">
          <cell r="I155">
            <v>0</v>
          </cell>
          <cell r="J155">
            <v>0</v>
          </cell>
          <cell r="M155">
            <v>0</v>
          </cell>
          <cell r="O155">
            <v>250</v>
          </cell>
          <cell r="P155">
            <v>0</v>
          </cell>
          <cell r="U155">
            <v>0</v>
          </cell>
          <cell r="W155">
            <v>-798.66666666666674</v>
          </cell>
          <cell r="X155" t="str">
            <v>ОЧИК.18.02.</v>
          </cell>
        </row>
        <row r="156">
          <cell r="I156">
            <v>0</v>
          </cell>
          <cell r="J156">
            <v>-298</v>
          </cell>
          <cell r="M156">
            <v>-180</v>
          </cell>
          <cell r="P156">
            <v>-100</v>
          </cell>
          <cell r="U156">
            <v>-578</v>
          </cell>
          <cell r="W156">
            <v>0</v>
          </cell>
        </row>
        <row r="157">
          <cell r="C157" t="e">
            <v>#REF!</v>
          </cell>
          <cell r="D157" t="str">
            <v>АПАРАТ ЕЛЕКТРО</v>
          </cell>
          <cell r="E157" t="str">
            <v>АПАРАТ ТЕПЛО</v>
          </cell>
          <cell r="I157">
            <v>0</v>
          </cell>
          <cell r="J157" t="e">
            <v>#REF!</v>
          </cell>
          <cell r="K157">
            <v>0</v>
          </cell>
          <cell r="L157">
            <v>0</v>
          </cell>
          <cell r="M157" t="e">
            <v>#REF!</v>
          </cell>
          <cell r="N157">
            <v>0</v>
          </cell>
          <cell r="O157">
            <v>0</v>
          </cell>
          <cell r="P157" t="e">
            <v>#REF!</v>
          </cell>
          <cell r="Q157" t="str">
            <v>Е/Е</v>
          </cell>
          <cell r="R157" t="str">
            <v xml:space="preserve"> Т/Е</v>
          </cell>
          <cell r="S157">
            <v>171</v>
          </cell>
          <cell r="T157">
            <v>205</v>
          </cell>
          <cell r="U157">
            <v>0</v>
          </cell>
          <cell r="V157" t="str">
            <v>Е/Е</v>
          </cell>
          <cell r="W157" t="e">
            <v>#REF!</v>
          </cell>
          <cell r="X157" t="str">
            <v>СТАНЦІї ЕЛЕКТРО</v>
          </cell>
          <cell r="Y157" t="str">
            <v>СТАНЦІІ ТЕПЛОВІ</v>
          </cell>
          <cell r="Z157" t="str">
            <v>МЕРЕЖІ ЕЛЕКТРО</v>
          </cell>
          <cell r="AA157" t="str">
            <v>МЕРЕЖІ ТЕПЛОВІ</v>
          </cell>
        </row>
        <row r="158">
          <cell r="C158">
            <v>950</v>
          </cell>
          <cell r="I158">
            <v>758</v>
          </cell>
          <cell r="J158">
            <v>1197</v>
          </cell>
          <cell r="K158">
            <v>0</v>
          </cell>
          <cell r="L158">
            <v>0</v>
          </cell>
          <cell r="M158">
            <v>874</v>
          </cell>
          <cell r="N158">
            <v>0</v>
          </cell>
          <cell r="O158">
            <v>0</v>
          </cell>
          <cell r="P158">
            <v>450</v>
          </cell>
          <cell r="S158">
            <v>414</v>
          </cell>
          <cell r="T158">
            <v>630</v>
          </cell>
          <cell r="U158">
            <v>4643</v>
          </cell>
          <cell r="X158">
            <v>1.954</v>
          </cell>
          <cell r="Y158">
            <v>1.954</v>
          </cell>
          <cell r="Z158">
            <v>1.954</v>
          </cell>
          <cell r="AA158">
            <v>1.905</v>
          </cell>
        </row>
        <row r="159">
          <cell r="C159">
            <v>57</v>
          </cell>
          <cell r="O159">
            <v>250</v>
          </cell>
        </row>
        <row r="160">
          <cell r="C160">
            <v>57</v>
          </cell>
          <cell r="J160" t="e">
            <v>#REF!</v>
          </cell>
          <cell r="M160" t="e">
            <v>#REF!</v>
          </cell>
          <cell r="N160" t="e">
            <v>#REF!</v>
          </cell>
          <cell r="O160">
            <v>250</v>
          </cell>
          <cell r="P160">
            <v>0</v>
          </cell>
          <cell r="S160">
            <v>0</v>
          </cell>
          <cell r="U160" t="e">
            <v>#REF!</v>
          </cell>
          <cell r="X160">
            <v>0</v>
          </cell>
          <cell r="AC160">
            <v>0</v>
          </cell>
        </row>
        <row r="161">
          <cell r="C161">
            <v>0</v>
          </cell>
          <cell r="J161" t="e">
            <v>#REF!</v>
          </cell>
          <cell r="M161" t="e">
            <v>#REF!</v>
          </cell>
          <cell r="N161" t="e">
            <v>#REF!</v>
          </cell>
          <cell r="P161">
            <v>870.40000000000009</v>
          </cell>
          <cell r="S161">
            <v>1918.4</v>
          </cell>
          <cell r="U161" t="e">
            <v>#REF!</v>
          </cell>
          <cell r="X161">
            <v>903.2</v>
          </cell>
          <cell r="AA161" t="e">
            <v>#REF!</v>
          </cell>
          <cell r="AC161">
            <v>622.4</v>
          </cell>
          <cell r="AF161">
            <v>1475</v>
          </cell>
        </row>
        <row r="162">
          <cell r="I162">
            <v>0</v>
          </cell>
          <cell r="J162">
            <v>82.5</v>
          </cell>
          <cell r="M162">
            <v>82.5</v>
          </cell>
          <cell r="N162">
            <v>82.5</v>
          </cell>
          <cell r="P162">
            <v>510.40000000000003</v>
          </cell>
          <cell r="Q162">
            <v>63.33</v>
          </cell>
          <cell r="R162">
            <v>63.33</v>
          </cell>
          <cell r="S162">
            <v>1345</v>
          </cell>
          <cell r="T162">
            <v>63.33</v>
          </cell>
          <cell r="U162">
            <v>82.5</v>
          </cell>
          <cell r="X162">
            <v>837</v>
          </cell>
          <cell r="Z162" t="str">
            <v>ОЧИК.18.02.</v>
          </cell>
          <cell r="AC162">
            <v>468</v>
          </cell>
          <cell r="AD162" t="e">
            <v>#REF!</v>
          </cell>
          <cell r="AF162">
            <v>378</v>
          </cell>
        </row>
        <row r="163">
          <cell r="I163">
            <v>0</v>
          </cell>
          <cell r="J163" t="e">
            <v>#REF!</v>
          </cell>
          <cell r="M163" t="e">
            <v>#REF!</v>
          </cell>
          <cell r="N163" t="e">
            <v>#REF!</v>
          </cell>
          <cell r="P163">
            <v>120</v>
          </cell>
          <cell r="S163">
            <v>0</v>
          </cell>
          <cell r="U163" t="e">
            <v>#REF!</v>
          </cell>
          <cell r="X163">
            <v>126</v>
          </cell>
          <cell r="AC163" t="str">
            <v>ОЧИК.18.02.</v>
          </cell>
          <cell r="AF163">
            <v>100</v>
          </cell>
        </row>
        <row r="164">
          <cell r="C164" t="str">
            <v>АПАРАТ ВСЬОГО</v>
          </cell>
          <cell r="D164" t="str">
            <v>АПАРАТ ЕЛЕКТРО</v>
          </cell>
          <cell r="E164" t="str">
            <v>АПАРАТ ТЕПЛО</v>
          </cell>
          <cell r="I164" t="str">
            <v>ККМ</v>
          </cell>
          <cell r="J164" t="str">
            <v>КТМ</v>
          </cell>
          <cell r="M164" t="str">
            <v>ТЕЦ-5 ВСЬОГО</v>
          </cell>
          <cell r="N164" t="str">
            <v>Е/Е</v>
          </cell>
          <cell r="O164" t="str">
            <v xml:space="preserve"> Т/Е</v>
          </cell>
          <cell r="P164">
            <v>70</v>
          </cell>
          <cell r="Q164" t="str">
            <v>Е/Е</v>
          </cell>
          <cell r="R164" t="str">
            <v xml:space="preserve"> Т/Е</v>
          </cell>
          <cell r="S164">
            <v>0</v>
          </cell>
          <cell r="T164" t="str">
            <v>ДОП.ВИР. СТ.ОРГ.</v>
          </cell>
          <cell r="U164" t="e">
            <v>#REF!</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row>
        <row r="165">
          <cell r="C165" t="str">
            <v>АПАРАТ ВСЬОГО</v>
          </cell>
          <cell r="D165" t="str">
            <v>АПАРАТ ЕЛЕКТРО</v>
          </cell>
          <cell r="E165" t="str">
            <v>АПАРАТ ТЕПЛО</v>
          </cell>
          <cell r="I165" t="str">
            <v>ККМ</v>
          </cell>
          <cell r="J165" t="str">
            <v>КТМ</v>
          </cell>
          <cell r="K165">
            <v>2.78</v>
          </cell>
          <cell r="L165">
            <v>2.78</v>
          </cell>
          <cell r="M165" t="str">
            <v>ТЕЦ-5 ВСЬОГО</v>
          </cell>
          <cell r="N165" t="str">
            <v>Е/Е</v>
          </cell>
          <cell r="O165" t="str">
            <v xml:space="preserve"> Т/Е</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row>
        <row r="166">
          <cell r="C166">
            <v>2.1149</v>
          </cell>
          <cell r="J166">
            <v>2.1435</v>
          </cell>
          <cell r="M166">
            <v>2.1435</v>
          </cell>
          <cell r="N166">
            <v>2.1435</v>
          </cell>
          <cell r="O166">
            <v>2.1435</v>
          </cell>
          <cell r="P166">
            <v>2.1435</v>
          </cell>
          <cell r="Q166">
            <v>2.1435</v>
          </cell>
          <cell r="R166">
            <v>2.1435</v>
          </cell>
          <cell r="S166">
            <v>2.1435</v>
          </cell>
          <cell r="T166">
            <v>2.1435</v>
          </cell>
          <cell r="U166">
            <v>2.1435</v>
          </cell>
          <cell r="AC166">
            <v>2.1804999999999999</v>
          </cell>
          <cell r="AD166">
            <v>2.1804999999999999</v>
          </cell>
          <cell r="AE166">
            <v>2.1804999999999999</v>
          </cell>
          <cell r="AF166">
            <v>1.905</v>
          </cell>
        </row>
        <row r="167">
          <cell r="J167">
            <v>4.2000000000000028</v>
          </cell>
          <cell r="M167">
            <v>31.319999999999993</v>
          </cell>
          <cell r="N167" t="e">
            <v>#REF!</v>
          </cell>
          <cell r="P167">
            <v>153</v>
          </cell>
          <cell r="S167">
            <v>679.5454545454545</v>
          </cell>
          <cell r="U167" t="e">
            <v>#REF!</v>
          </cell>
          <cell r="W167">
            <v>57.239999999999995</v>
          </cell>
          <cell r="X167">
            <v>236.36363636363637</v>
          </cell>
          <cell r="Z167">
            <v>221.49122807017542</v>
          </cell>
          <cell r="AC167">
            <v>159.36363636363637</v>
          </cell>
          <cell r="AF167">
            <v>296.27272727272725</v>
          </cell>
        </row>
        <row r="168">
          <cell r="J168">
            <v>0.75</v>
          </cell>
          <cell r="M168">
            <v>26.159999999999997</v>
          </cell>
          <cell r="P168">
            <v>17.39</v>
          </cell>
          <cell r="S168">
            <v>1238.8545454545456</v>
          </cell>
          <cell r="U168">
            <v>44.3</v>
          </cell>
          <cell r="W168">
            <v>65.146999999999991</v>
          </cell>
          <cell r="X168">
            <v>666.83636363636367</v>
          </cell>
          <cell r="Z168">
            <v>252.49999999999997</v>
          </cell>
          <cell r="AC168">
            <v>221.49122807017542</v>
          </cell>
        </row>
        <row r="169">
          <cell r="I169">
            <v>0</v>
          </cell>
          <cell r="J169">
            <v>0.78999999999999915</v>
          </cell>
          <cell r="M169">
            <v>29.880000000000003</v>
          </cell>
          <cell r="P169">
            <v>19.82</v>
          </cell>
          <cell r="S169">
            <v>1918.4</v>
          </cell>
          <cell r="T169">
            <v>82.5</v>
          </cell>
          <cell r="U169">
            <v>50.49</v>
          </cell>
          <cell r="W169">
            <v>82.5</v>
          </cell>
          <cell r="X169">
            <v>903.2</v>
          </cell>
          <cell r="Z169">
            <v>66</v>
          </cell>
          <cell r="AC169">
            <v>252.49999999999997</v>
          </cell>
        </row>
        <row r="170">
          <cell r="I170">
            <v>0</v>
          </cell>
          <cell r="J170">
            <v>82.5</v>
          </cell>
          <cell r="M170">
            <v>82.5</v>
          </cell>
          <cell r="P170">
            <v>82.5</v>
          </cell>
          <cell r="S170">
            <v>82.5</v>
          </cell>
          <cell r="T170">
            <v>82.5</v>
          </cell>
          <cell r="U170">
            <v>82.5</v>
          </cell>
          <cell r="W170">
            <v>288.75</v>
          </cell>
          <cell r="X170">
            <v>0</v>
          </cell>
          <cell r="Z170">
            <v>143.91299999999998</v>
          </cell>
          <cell r="AC170">
            <v>66</v>
          </cell>
        </row>
        <row r="171">
          <cell r="I171">
            <v>0</v>
          </cell>
          <cell r="J171">
            <v>176.84</v>
          </cell>
          <cell r="M171">
            <v>176.84</v>
          </cell>
          <cell r="P171">
            <v>176.84</v>
          </cell>
          <cell r="S171">
            <v>0</v>
          </cell>
          <cell r="U171">
            <v>176.84</v>
          </cell>
          <cell r="W171">
            <v>16528</v>
          </cell>
          <cell r="X171">
            <v>0</v>
          </cell>
          <cell r="Z171">
            <v>31875</v>
          </cell>
          <cell r="AC171">
            <v>143.91299999999998</v>
          </cell>
          <cell r="AF171">
            <v>0</v>
          </cell>
        </row>
        <row r="172">
          <cell r="J172">
            <v>133</v>
          </cell>
          <cell r="M172">
            <v>4626</v>
          </cell>
          <cell r="P172">
            <v>3075</v>
          </cell>
          <cell r="Q172">
            <v>0</v>
          </cell>
          <cell r="R172">
            <v>0</v>
          </cell>
          <cell r="S172">
            <v>4913.1499999999996</v>
          </cell>
          <cell r="T172">
            <v>0</v>
          </cell>
          <cell r="U172">
            <v>7834</v>
          </cell>
          <cell r="V172">
            <v>0</v>
          </cell>
          <cell r="W172">
            <v>0</v>
          </cell>
          <cell r="X172">
            <v>290</v>
          </cell>
          <cell r="Y172">
            <v>0</v>
          </cell>
          <cell r="Z172">
            <v>0</v>
          </cell>
          <cell r="AA172">
            <v>0</v>
          </cell>
          <cell r="AB172">
            <v>0</v>
          </cell>
          <cell r="AC172">
            <v>31875</v>
          </cell>
          <cell r="AD172">
            <v>0</v>
          </cell>
          <cell r="AE172">
            <v>0</v>
          </cell>
          <cell r="AF172">
            <v>5</v>
          </cell>
        </row>
        <row r="173">
          <cell r="J173">
            <v>40.5</v>
          </cell>
          <cell r="M173">
            <v>48.28</v>
          </cell>
          <cell r="P173">
            <v>1565</v>
          </cell>
          <cell r="Q173">
            <v>0</v>
          </cell>
          <cell r="R173">
            <v>0</v>
          </cell>
          <cell r="S173">
            <v>4913.1499999999996</v>
          </cell>
          <cell r="T173">
            <v>0</v>
          </cell>
          <cell r="U173">
            <v>7834</v>
          </cell>
          <cell r="V173">
            <v>0</v>
          </cell>
          <cell r="W173">
            <v>0</v>
          </cell>
          <cell r="X173">
            <v>290</v>
          </cell>
          <cell r="Y173">
            <v>0</v>
          </cell>
          <cell r="Z173">
            <v>0</v>
          </cell>
          <cell r="AA173">
            <v>0</v>
          </cell>
          <cell r="AB173">
            <v>0</v>
          </cell>
          <cell r="AC173">
            <v>85</v>
          </cell>
          <cell r="AD173">
            <v>0</v>
          </cell>
          <cell r="AE173">
            <v>0</v>
          </cell>
          <cell r="AF173">
            <v>5</v>
          </cell>
        </row>
        <row r="174">
          <cell r="C174">
            <v>75</v>
          </cell>
          <cell r="I174">
            <v>75</v>
          </cell>
          <cell r="J174">
            <v>10.15</v>
          </cell>
          <cell r="M174">
            <v>38.94</v>
          </cell>
          <cell r="P174">
            <v>31.61</v>
          </cell>
          <cell r="R174">
            <v>0</v>
          </cell>
          <cell r="S174">
            <v>0</v>
          </cell>
          <cell r="T174">
            <v>0</v>
          </cell>
          <cell r="U174">
            <v>80.7</v>
          </cell>
          <cell r="V174">
            <v>0</v>
          </cell>
          <cell r="W174">
            <v>0</v>
          </cell>
          <cell r="X174">
            <v>0</v>
          </cell>
          <cell r="Y174">
            <v>0</v>
          </cell>
          <cell r="Z174">
            <v>0</v>
          </cell>
          <cell r="AA174">
            <v>0</v>
          </cell>
          <cell r="AB174">
            <v>0</v>
          </cell>
          <cell r="AC174">
            <v>0</v>
          </cell>
          <cell r="AE174">
            <v>0</v>
          </cell>
          <cell r="AF174">
            <v>0</v>
          </cell>
        </row>
        <row r="175">
          <cell r="J175">
            <v>11.56</v>
          </cell>
          <cell r="K175">
            <v>0</v>
          </cell>
          <cell r="L175">
            <v>0</v>
          </cell>
          <cell r="M175">
            <v>44.35</v>
          </cell>
          <cell r="P175">
            <v>36</v>
          </cell>
          <cell r="U175">
            <v>91.91</v>
          </cell>
          <cell r="W175">
            <v>63.33</v>
          </cell>
          <cell r="X175">
            <v>195.28</v>
          </cell>
        </row>
        <row r="176">
          <cell r="J176">
            <v>63.33</v>
          </cell>
          <cell r="M176">
            <v>63.33</v>
          </cell>
          <cell r="P176">
            <v>63.33</v>
          </cell>
          <cell r="U176">
            <v>63.33</v>
          </cell>
          <cell r="W176">
            <v>216.84</v>
          </cell>
          <cell r="X176">
            <v>14810</v>
          </cell>
        </row>
        <row r="177">
          <cell r="J177">
            <v>135.75</v>
          </cell>
          <cell r="M177">
            <v>135.75</v>
          </cell>
          <cell r="P177">
            <v>135.75</v>
          </cell>
          <cell r="U177">
            <v>135.75</v>
          </cell>
          <cell r="V177" t="e">
            <v>#REF!</v>
          </cell>
          <cell r="W177">
            <v>29438</v>
          </cell>
        </row>
        <row r="178">
          <cell r="J178">
            <v>1378</v>
          </cell>
          <cell r="M178">
            <v>5286</v>
          </cell>
          <cell r="N178" t="e">
            <v>#REF!</v>
          </cell>
          <cell r="O178" t="e">
            <v>#REF!</v>
          </cell>
          <cell r="P178">
            <v>4291</v>
          </cell>
          <cell r="Q178">
            <v>0</v>
          </cell>
          <cell r="R178">
            <v>0</v>
          </cell>
          <cell r="S178">
            <v>1900.3199999999997</v>
          </cell>
          <cell r="T178">
            <v>598.00952727272715</v>
          </cell>
          <cell r="U178">
            <v>10955</v>
          </cell>
          <cell r="V178">
            <v>0</v>
          </cell>
          <cell r="W178">
            <v>0</v>
          </cell>
          <cell r="X178">
            <v>643.65000000000009</v>
          </cell>
          <cell r="Y178">
            <v>74.900000000000006</v>
          </cell>
          <cell r="Z178">
            <v>281.5</v>
          </cell>
          <cell r="AA178">
            <v>0</v>
          </cell>
          <cell r="AB178">
            <v>0</v>
          </cell>
          <cell r="AC178">
            <v>537.76</v>
          </cell>
          <cell r="AF178">
            <v>1730.76</v>
          </cell>
        </row>
        <row r="179">
          <cell r="J179">
            <v>0</v>
          </cell>
          <cell r="M179">
            <v>0</v>
          </cell>
          <cell r="N179" t="e">
            <v>#REF!</v>
          </cell>
          <cell r="O179" t="e">
            <v>#REF!</v>
          </cell>
          <cell r="P179">
            <v>153</v>
          </cell>
          <cell r="Q179">
            <v>0</v>
          </cell>
          <cell r="R179">
            <v>0</v>
          </cell>
          <cell r="S179">
            <v>679.5454545454545</v>
          </cell>
          <cell r="T179">
            <v>0</v>
          </cell>
          <cell r="U179">
            <v>10955</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row>
        <row r="180">
          <cell r="J180">
            <v>0</v>
          </cell>
          <cell r="M180">
            <v>4.3</v>
          </cell>
          <cell r="N180" t="e">
            <v>#REF!</v>
          </cell>
          <cell r="O180" t="e">
            <v>#REF!</v>
          </cell>
          <cell r="P180">
            <v>4.2</v>
          </cell>
          <cell r="Q180">
            <v>0</v>
          </cell>
          <cell r="R180">
            <v>0</v>
          </cell>
          <cell r="S180">
            <v>13.666666666666666</v>
          </cell>
          <cell r="T180">
            <v>13.666666666666666</v>
          </cell>
          <cell r="U180">
            <v>8.5</v>
          </cell>
          <cell r="V180">
            <v>0</v>
          </cell>
          <cell r="W180">
            <v>0</v>
          </cell>
          <cell r="X180">
            <v>708.80000000000007</v>
          </cell>
          <cell r="Y180">
            <v>121.7</v>
          </cell>
          <cell r="Z180">
            <v>103.9</v>
          </cell>
          <cell r="AA180">
            <v>0</v>
          </cell>
          <cell r="AB180">
            <v>0</v>
          </cell>
          <cell r="AC180">
            <v>75.839416058394164</v>
          </cell>
          <cell r="AF180">
            <v>12</v>
          </cell>
        </row>
        <row r="181">
          <cell r="C181">
            <v>75</v>
          </cell>
          <cell r="I181">
            <v>75</v>
          </cell>
          <cell r="J181">
            <v>0</v>
          </cell>
          <cell r="M181">
            <v>5.9</v>
          </cell>
          <cell r="P181">
            <v>5.8</v>
          </cell>
          <cell r="T181">
            <v>0</v>
          </cell>
          <cell r="U181">
            <v>11.7</v>
          </cell>
          <cell r="V181" t="e">
            <v>#REF!</v>
          </cell>
          <cell r="W181">
            <v>100.5</v>
          </cell>
          <cell r="X181">
            <v>52</v>
          </cell>
          <cell r="Y181">
            <v>52</v>
          </cell>
          <cell r="Z181">
            <v>89.557440953909662</v>
          </cell>
          <cell r="AC181">
            <v>103.9</v>
          </cell>
        </row>
        <row r="182">
          <cell r="C182">
            <v>75</v>
          </cell>
          <cell r="I182">
            <v>75</v>
          </cell>
          <cell r="J182">
            <v>100.5</v>
          </cell>
          <cell r="K182">
            <v>0</v>
          </cell>
          <cell r="L182">
            <v>0</v>
          </cell>
          <cell r="M182">
            <v>100.5</v>
          </cell>
          <cell r="P182">
            <v>100.5</v>
          </cell>
          <cell r="T182">
            <v>0</v>
          </cell>
          <cell r="U182">
            <v>100.5</v>
          </cell>
          <cell r="V182" t="e">
            <v>#REF!</v>
          </cell>
          <cell r="W182">
            <v>344.11199999999997</v>
          </cell>
          <cell r="X182">
            <v>43426</v>
          </cell>
          <cell r="Y182">
            <v>9167.3552188552203</v>
          </cell>
          <cell r="Z182">
            <v>195.28</v>
          </cell>
          <cell r="AC182">
            <v>89.557440953909662</v>
          </cell>
          <cell r="AF182">
            <v>75</v>
          </cell>
        </row>
        <row r="183">
          <cell r="J183">
            <v>215.42175</v>
          </cell>
          <cell r="K183">
            <v>0</v>
          </cell>
          <cell r="L183">
            <v>0</v>
          </cell>
          <cell r="M183">
            <v>215.42175</v>
          </cell>
          <cell r="P183">
            <v>215.42175</v>
          </cell>
          <cell r="S183">
            <v>1460.8666666666668</v>
          </cell>
          <cell r="U183">
            <v>215.42175</v>
          </cell>
          <cell r="W183">
            <v>0</v>
          </cell>
          <cell r="X183">
            <v>363.19999999999868</v>
          </cell>
          <cell r="Z183">
            <v>14810</v>
          </cell>
          <cell r="AC183">
            <v>195.28</v>
          </cell>
          <cell r="AF183">
            <v>1259.4666666666667</v>
          </cell>
        </row>
        <row r="184">
          <cell r="J184">
            <v>0</v>
          </cell>
          <cell r="M184">
            <v>926</v>
          </cell>
          <cell r="P184">
            <v>905</v>
          </cell>
          <cell r="U184">
            <v>1831</v>
          </cell>
          <cell r="W184">
            <v>0</v>
          </cell>
          <cell r="AC184">
            <v>14810</v>
          </cell>
        </row>
        <row r="185">
          <cell r="J185">
            <v>50.9</v>
          </cell>
          <cell r="M185">
            <v>90.6</v>
          </cell>
          <cell r="N185">
            <v>48.2</v>
          </cell>
          <cell r="O185">
            <v>42.399999999999991</v>
          </cell>
          <cell r="P185">
            <v>78.3</v>
          </cell>
          <cell r="Q185">
            <v>30.9</v>
          </cell>
          <cell r="R185">
            <v>47.4</v>
          </cell>
          <cell r="U185">
            <v>1831</v>
          </cell>
          <cell r="V185" t="str">
            <v>Е/Е</v>
          </cell>
          <cell r="W185">
            <v>219.79999999999998</v>
          </cell>
          <cell r="X185">
            <v>79.099999999999994</v>
          </cell>
          <cell r="Y185">
            <v>140.69999999999999</v>
          </cell>
          <cell r="Z185">
            <v>356.4</v>
          </cell>
          <cell r="AA185">
            <v>74.900000000000006</v>
          </cell>
          <cell r="AB185">
            <v>281.5</v>
          </cell>
        </row>
        <row r="186">
          <cell r="J186">
            <v>12.35</v>
          </cell>
          <cell r="M186">
            <v>80.13</v>
          </cell>
          <cell r="N186">
            <v>55.82</v>
          </cell>
          <cell r="O186">
            <v>24.309999999999995</v>
          </cell>
          <cell r="P186">
            <v>61.620000000000005</v>
          </cell>
          <cell r="Q186">
            <v>39.479999999999997</v>
          </cell>
          <cell r="R186">
            <v>22.140000000000008</v>
          </cell>
          <cell r="U186">
            <v>154.1</v>
          </cell>
          <cell r="V186">
            <v>95.3</v>
          </cell>
          <cell r="W186">
            <v>58.8</v>
          </cell>
          <cell r="X186">
            <v>17090</v>
          </cell>
          <cell r="Y186">
            <v>28877</v>
          </cell>
          <cell r="Z186">
            <v>46685</v>
          </cell>
          <cell r="AA186">
            <v>9811.1854657688</v>
          </cell>
          <cell r="AB186">
            <v>36873.814534231198</v>
          </cell>
          <cell r="AC186">
            <v>356.4</v>
          </cell>
          <cell r="AD186">
            <v>74.900000000000006</v>
          </cell>
          <cell r="AE186">
            <v>281.5</v>
          </cell>
        </row>
        <row r="187">
          <cell r="J187">
            <v>1511</v>
          </cell>
          <cell r="M187">
            <v>10838</v>
          </cell>
          <cell r="N187">
            <v>7550</v>
          </cell>
          <cell r="O187">
            <v>3288</v>
          </cell>
          <cell r="P187">
            <v>8271</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v>46685</v>
          </cell>
          <cell r="AD187">
            <v>9811.1854657688</v>
          </cell>
          <cell r="AE187">
            <v>36873.814534231198</v>
          </cell>
          <cell r="AF187" t="str">
            <v>Е/Е</v>
          </cell>
        </row>
        <row r="188">
          <cell r="J188">
            <v>122.35</v>
          </cell>
          <cell r="M188">
            <v>135.26</v>
          </cell>
          <cell r="N188">
            <v>135.26</v>
          </cell>
          <cell r="O188">
            <v>135.25</v>
          </cell>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M189">
            <v>19746</v>
          </cell>
          <cell r="N189">
            <v>110.89999999999998</v>
          </cell>
          <cell r="O189">
            <v>-52.500000000000014</v>
          </cell>
          <cell r="P189">
            <v>16686</v>
          </cell>
          <cell r="Q189">
            <v>102.69999999999999</v>
          </cell>
          <cell r="R189">
            <v>-47.700000000000017</v>
          </cell>
          <cell r="U189">
            <v>25</v>
          </cell>
          <cell r="V189">
            <v>25</v>
          </cell>
          <cell r="W189">
            <v>0</v>
          </cell>
          <cell r="X189" t="e">
            <v>#REF!</v>
          </cell>
          <cell r="Y189" t="e">
            <v>#REF!</v>
          </cell>
          <cell r="Z189">
            <v>46737</v>
          </cell>
          <cell r="AA189">
            <v>9863.1854657688</v>
          </cell>
          <cell r="AB189">
            <v>36873.814534231198</v>
          </cell>
          <cell r="AC189">
            <v>52</v>
          </cell>
          <cell r="AD189">
            <v>52</v>
          </cell>
        </row>
        <row r="190">
          <cell r="M190">
            <v>10838</v>
          </cell>
          <cell r="N190" t="e">
            <v>#REF!</v>
          </cell>
          <cell r="O190" t="e">
            <v>#REF!</v>
          </cell>
          <cell r="P190">
            <v>8271</v>
          </cell>
          <cell r="Q190" t="e">
            <v>#REF!</v>
          </cell>
          <cell r="R190" t="e">
            <v>#REF!</v>
          </cell>
          <cell r="S190">
            <v>8.3000000000000007</v>
          </cell>
          <cell r="U190">
            <v>20645</v>
          </cell>
          <cell r="V190">
            <v>12874</v>
          </cell>
          <cell r="W190">
            <v>7771</v>
          </cell>
          <cell r="X190">
            <v>70.7</v>
          </cell>
          <cell r="AC190">
            <v>46737</v>
          </cell>
          <cell r="AD190">
            <v>9863.1854657688</v>
          </cell>
          <cell r="AE190">
            <v>36873.814534231198</v>
          </cell>
        </row>
        <row r="191">
          <cell r="N191" t="e">
            <v>#REF!</v>
          </cell>
          <cell r="O191" t="e">
            <v>#REF!</v>
          </cell>
          <cell r="Q191" t="e">
            <v>#REF!</v>
          </cell>
          <cell r="R191" t="e">
            <v>#REF!</v>
          </cell>
          <cell r="S191">
            <v>9.5</v>
          </cell>
          <cell r="X191">
            <v>81</v>
          </cell>
          <cell r="AC191">
            <v>68.900000000000006</v>
          </cell>
        </row>
        <row r="192">
          <cell r="N192" t="e">
            <v>#REF!</v>
          </cell>
          <cell r="O192" t="e">
            <v>#REF!</v>
          </cell>
          <cell r="P192">
            <v>0</v>
          </cell>
          <cell r="Q192" t="e">
            <v>#REF!</v>
          </cell>
          <cell r="R192" t="e">
            <v>#REF!</v>
          </cell>
          <cell r="S192">
            <v>0</v>
          </cell>
          <cell r="V192" t="e">
            <v>#REF!</v>
          </cell>
          <cell r="W192" t="e">
            <v>#REF!</v>
          </cell>
          <cell r="X192">
            <v>0</v>
          </cell>
          <cell r="AC192">
            <v>0</v>
          </cell>
        </row>
        <row r="193">
          <cell r="P193">
            <v>0</v>
          </cell>
          <cell r="S193">
            <v>192.5</v>
          </cell>
          <cell r="X193">
            <v>192.5</v>
          </cell>
          <cell r="AC193">
            <v>192.5</v>
          </cell>
        </row>
        <row r="194">
          <cell r="S194">
            <v>1598</v>
          </cell>
          <cell r="X194">
            <v>4948.1398501338099</v>
          </cell>
          <cell r="Z194">
            <v>4948.1398501338263</v>
          </cell>
          <cell r="AB194">
            <v>4948.1398501337389</v>
          </cell>
          <cell r="AC194">
            <v>11589</v>
          </cell>
        </row>
        <row r="196">
          <cell r="X196">
            <v>0</v>
          </cell>
          <cell r="AC196">
            <v>0</v>
          </cell>
        </row>
        <row r="197">
          <cell r="X197">
            <v>0</v>
          </cell>
          <cell r="AC197">
            <v>0</v>
          </cell>
        </row>
        <row r="198">
          <cell r="X198">
            <v>82.5</v>
          </cell>
          <cell r="Y198">
            <v>1507.2</v>
          </cell>
          <cell r="AC198">
            <v>82.5</v>
          </cell>
        </row>
        <row r="199">
          <cell r="X199">
            <v>0</v>
          </cell>
          <cell r="AC199">
            <v>0</v>
          </cell>
        </row>
        <row r="200">
          <cell r="S200">
            <v>0</v>
          </cell>
          <cell r="X200">
            <v>0</v>
          </cell>
          <cell r="AC200">
            <v>0</v>
          </cell>
        </row>
        <row r="202">
          <cell r="X202">
            <v>0</v>
          </cell>
          <cell r="AC202">
            <v>0</v>
          </cell>
        </row>
        <row r="203">
          <cell r="X203">
            <v>0</v>
          </cell>
          <cell r="AC203">
            <v>0</v>
          </cell>
        </row>
        <row r="204">
          <cell r="P204">
            <v>75</v>
          </cell>
        </row>
        <row r="205">
          <cell r="S205">
            <v>385</v>
          </cell>
          <cell r="X205">
            <v>385</v>
          </cell>
          <cell r="AC205">
            <v>385</v>
          </cell>
        </row>
        <row r="206">
          <cell r="S206">
            <v>0</v>
          </cell>
          <cell r="X206">
            <v>0</v>
          </cell>
          <cell r="AC206">
            <v>0</v>
          </cell>
        </row>
        <row r="208">
          <cell r="S208">
            <v>9.5</v>
          </cell>
          <cell r="X208">
            <v>81</v>
          </cell>
          <cell r="Y208">
            <v>57.4</v>
          </cell>
          <cell r="Z208">
            <v>23.6</v>
          </cell>
          <cell r="AC208">
            <v>68.900000000000006</v>
          </cell>
          <cell r="AD208">
            <v>36.1</v>
          </cell>
          <cell r="AE208">
            <v>32.799999999999997</v>
          </cell>
        </row>
        <row r="209">
          <cell r="S209">
            <v>1598</v>
          </cell>
          <cell r="X209">
            <v>13610</v>
          </cell>
          <cell r="Y209">
            <v>9645</v>
          </cell>
          <cell r="Z209">
            <v>3965</v>
          </cell>
          <cell r="AA209">
            <v>3965</v>
          </cell>
          <cell r="AC209">
            <v>11589</v>
          </cell>
          <cell r="AD209">
            <v>6072</v>
          </cell>
          <cell r="AE209">
            <v>5517</v>
          </cell>
        </row>
        <row r="210">
          <cell r="S210">
            <v>168.21</v>
          </cell>
          <cell r="X210">
            <v>168.02</v>
          </cell>
          <cell r="Y210">
            <v>168.03</v>
          </cell>
          <cell r="Z210">
            <v>168.01</v>
          </cell>
          <cell r="AC210">
            <v>168.2</v>
          </cell>
          <cell r="AD210">
            <v>168.2</v>
          </cell>
          <cell r="AE210">
            <v>168.2</v>
          </cell>
        </row>
        <row r="211">
          <cell r="M211" t="str">
            <v>ЗАТВЕРДЖУЮ</v>
          </cell>
        </row>
        <row r="212">
          <cell r="M212" t="str">
            <v>ГЕНЕРАЛЬНИЙ ДИРЕКТОР -</v>
          </cell>
          <cell r="X212">
            <v>13610</v>
          </cell>
          <cell r="AC212">
            <v>11589</v>
          </cell>
        </row>
        <row r="213">
          <cell r="M213" t="str">
            <v>ГОЛОВА ПРАВЛІННЯ КЕ</v>
          </cell>
        </row>
        <row r="214">
          <cell r="M214" t="str">
            <v xml:space="preserve">                        І.В.ПЛАЧКОВ</v>
          </cell>
          <cell r="N214" t="str">
            <v xml:space="preserve">      І.В.ПЛАЧКОВ</v>
          </cell>
        </row>
        <row r="215">
          <cell r="M215" t="str">
            <v>ЗАТВЕРДЖУЮ</v>
          </cell>
        </row>
        <row r="216">
          <cell r="M216" t="str">
            <v>ГЕНЕРАЛЬНИЙ ДИРЕКТОР -</v>
          </cell>
          <cell r="N216" t="str">
            <v xml:space="preserve">      І.В.ПЛАЧКОВ</v>
          </cell>
        </row>
        <row r="217">
          <cell r="M217" t="str">
            <v>ГОЛОВА ПРАВЛІННЯ КЕ</v>
          </cell>
        </row>
        <row r="218">
          <cell r="M218" t="str">
            <v xml:space="preserve">                        І.В.ПЛАЧКОВ</v>
          </cell>
          <cell r="N218" t="str">
            <v xml:space="preserve">      І.В.ПЛАЧКОВ</v>
          </cell>
        </row>
        <row r="221">
          <cell r="C221" t="str">
            <v>ПОТРЕБА   В КОШТАХ НА  жовтень 1998 року</v>
          </cell>
        </row>
        <row r="222">
          <cell r="C222" t="str">
            <v>ПО ФІЛІАЛАХ АК КИЇВЕНЕРГО</v>
          </cell>
        </row>
        <row r="223">
          <cell r="C223" t="str">
            <v>ПОТРЕБА   В КОШТАХ НА  червень 1998 року</v>
          </cell>
        </row>
        <row r="224">
          <cell r="C224" t="str">
            <v>ПО ФІЛІАЛАХ АК КИЇВЕНЕРГО</v>
          </cell>
        </row>
        <row r="225">
          <cell r="C225" t="str">
            <v>ПОТРЕБА   В КОШТАХ НА  вересень 1998 року</v>
          </cell>
          <cell r="S225" t="str">
            <v>ТИС.ГРН.</v>
          </cell>
        </row>
        <row r="226">
          <cell r="C226" t="str">
            <v>ПО ФІЛІАЛАХ АК КИЇВЕНЕРГО</v>
          </cell>
          <cell r="D226" t="str">
            <v>АПАРАТ ЕЛЕКТРО</v>
          </cell>
          <cell r="E226" t="str">
            <v>АПАРАТ ТЕПЛО</v>
          </cell>
          <cell r="I226" t="str">
            <v>ККМ</v>
          </cell>
          <cell r="J226" t="str">
            <v>КТМ</v>
          </cell>
          <cell r="K226" t="str">
            <v>ВИРОБН</v>
          </cell>
          <cell r="L226" t="str">
            <v>ПЕРЕД</v>
          </cell>
          <cell r="M226" t="str">
            <v>ТЕЦ-5 ВСЬОГО</v>
          </cell>
          <cell r="N226" t="str">
            <v>Е/Е</v>
          </cell>
          <cell r="O226" t="str">
            <v xml:space="preserve"> Т/Е</v>
          </cell>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7">
          <cell r="S227" t="str">
            <v>ТИС.ГРН.</v>
          </cell>
        </row>
        <row r="228">
          <cell r="C228" t="str">
            <v>ВИКОН.ДИР.</v>
          </cell>
          <cell r="D228" t="str">
            <v>АПАРАТ ЕЛЕКТРО</v>
          </cell>
          <cell r="E228" t="str">
            <v>АПАРАТ ТЕПЛО</v>
          </cell>
          <cell r="I228" t="str">
            <v>ККМ</v>
          </cell>
          <cell r="J228" t="str">
            <v>КТМ</v>
          </cell>
          <cell r="K228" t="str">
            <v>ВИРОБН</v>
          </cell>
          <cell r="L228" t="str">
            <v>ПЕРЕД</v>
          </cell>
          <cell r="M228" t="str">
            <v>ТЕЦ-5 ВСЬОГО</v>
          </cell>
          <cell r="N228" t="str">
            <v>Е/Е</v>
          </cell>
          <cell r="O228" t="str">
            <v xml:space="preserve"> Т/Е</v>
          </cell>
          <cell r="P228" t="str">
            <v>ТЕЦ-6 ВСЬОГО</v>
          </cell>
          <cell r="Q228" t="str">
            <v>Е/Е</v>
          </cell>
          <cell r="R228" t="str">
            <v xml:space="preserve"> Т/Е</v>
          </cell>
          <cell r="S228" t="str">
            <v xml:space="preserve">ДОП.ВИР. </v>
          </cell>
          <cell r="T228" t="str">
            <v>ДОП.ВИР. СТ.ОРГ.</v>
          </cell>
          <cell r="U228" t="str">
            <v>АК КЕ ВСЬОГО</v>
          </cell>
          <cell r="V228" t="str">
            <v>Е/Е</v>
          </cell>
          <cell r="W228" t="str">
            <v xml:space="preserve"> Т/Е</v>
          </cell>
          <cell r="X228" t="str">
            <v>СТАНЦІї ЕЛЕКТРО</v>
          </cell>
          <cell r="Y228" t="str">
            <v>СТАНЦІІ ТЕПЛОВІ</v>
          </cell>
          <cell r="Z228" t="str">
            <v>МЕРЕЖІ ЕЛЕКТРО</v>
          </cell>
          <cell r="AA228" t="str">
            <v>МЕРЕЖІ ТЕПЛОВІ</v>
          </cell>
        </row>
        <row r="229">
          <cell r="C229" t="e">
            <v>#REF!</v>
          </cell>
          <cell r="D229" t="e">
            <v>#REF!</v>
          </cell>
          <cell r="E229" t="e">
            <v>#REF!</v>
          </cell>
          <cell r="I229" t="e">
            <v>#REF!</v>
          </cell>
          <cell r="J229" t="e">
            <v>#REF!</v>
          </cell>
          <cell r="K229" t="e">
            <v>#REF!</v>
          </cell>
          <cell r="L229" t="e">
            <v>#REF!</v>
          </cell>
          <cell r="M229" t="e">
            <v>#REF!</v>
          </cell>
          <cell r="N229" t="e">
            <v>#REF!</v>
          </cell>
          <cell r="O229" t="e">
            <v>#REF!</v>
          </cell>
          <cell r="P229" t="e">
            <v>#REF!</v>
          </cell>
          <cell r="Q229" t="e">
            <v>#REF!</v>
          </cell>
          <cell r="R229" t="e">
            <v>#REF!</v>
          </cell>
          <cell r="S229" t="str">
            <v>ТИС.ГРН.</v>
          </cell>
          <cell r="T229">
            <v>889</v>
          </cell>
          <cell r="W229" t="e">
            <v>#REF!</v>
          </cell>
          <cell r="X229" t="e">
            <v>#REF!</v>
          </cell>
          <cell r="Y229" t="e">
            <v>#REF!</v>
          </cell>
        </row>
        <row r="230">
          <cell r="C230" t="str">
            <v>ВИКОН.ДИР.</v>
          </cell>
          <cell r="D230" t="str">
            <v>АПАРАТ ЕЛЕКТРО</v>
          </cell>
          <cell r="E230" t="str">
            <v>АПАРАТ ТЕПЛО</v>
          </cell>
          <cell r="I230" t="str">
            <v>ККМ</v>
          </cell>
          <cell r="J230" t="str">
            <v>КТМ</v>
          </cell>
          <cell r="K230" t="str">
            <v>ВИРОБН</v>
          </cell>
          <cell r="L230" t="str">
            <v>ПЕРЕД</v>
          </cell>
          <cell r="M230" t="str">
            <v>ТЕЦ-5 ВСЬОГО</v>
          </cell>
          <cell r="N230" t="str">
            <v>Е/Е</v>
          </cell>
          <cell r="O230" t="str">
            <v xml:space="preserve"> Т/Е</v>
          </cell>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1">
          <cell r="C231" t="e">
            <v>#REF!</v>
          </cell>
          <cell r="D231" t="e">
            <v>#REF!</v>
          </cell>
          <cell r="E231" t="e">
            <v>#REF!</v>
          </cell>
          <cell r="I231" t="e">
            <v>#REF!</v>
          </cell>
          <cell r="J231" t="e">
            <v>#REF!</v>
          </cell>
          <cell r="K231" t="e">
            <v>#REF!</v>
          </cell>
          <cell r="L231" t="e">
            <v>#REF!</v>
          </cell>
          <cell r="M231" t="e">
            <v>#REF!</v>
          </cell>
          <cell r="N231" t="e">
            <v>#REF!</v>
          </cell>
          <cell r="O231" t="e">
            <v>#REF!</v>
          </cell>
          <cell r="P231" t="e">
            <v>#REF!</v>
          </cell>
          <cell r="Q231" t="e">
            <v>#REF!</v>
          </cell>
          <cell r="R231" t="e">
            <v>#REF!</v>
          </cell>
          <cell r="S231" t="e">
            <v>#REF!</v>
          </cell>
          <cell r="T231">
            <v>1129</v>
          </cell>
          <cell r="U231" t="e">
            <v>#REF!</v>
          </cell>
          <cell r="V231" t="e">
            <v>#REF!</v>
          </cell>
          <cell r="W231" t="e">
            <v>#REF!</v>
          </cell>
        </row>
        <row r="232">
          <cell r="C232" t="e">
            <v>#REF!</v>
          </cell>
          <cell r="D232" t="e">
            <v>#REF!</v>
          </cell>
          <cell r="E232" t="e">
            <v>#REF!</v>
          </cell>
          <cell r="I232" t="e">
            <v>#REF!</v>
          </cell>
          <cell r="J232" t="e">
            <v>#REF!</v>
          </cell>
          <cell r="K232" t="e">
            <v>#REF!</v>
          </cell>
          <cell r="L232" t="e">
            <v>#REF!</v>
          </cell>
          <cell r="M232" t="e">
            <v>#REF!</v>
          </cell>
          <cell r="N232" t="e">
            <v>#REF!</v>
          </cell>
          <cell r="O232" t="e">
            <v>#REF!</v>
          </cell>
          <cell r="P232" t="e">
            <v>#REF!</v>
          </cell>
          <cell r="Q232" t="e">
            <v>#REF!</v>
          </cell>
          <cell r="R232" t="e">
            <v>#REF!</v>
          </cell>
          <cell r="S232" t="e">
            <v>#REF!</v>
          </cell>
          <cell r="T232">
            <v>117</v>
          </cell>
          <cell r="U232" t="e">
            <v>#REF!</v>
          </cell>
          <cell r="V232" t="e">
            <v>#REF!</v>
          </cell>
          <cell r="W232" t="e">
            <v>#REF!</v>
          </cell>
          <cell r="X232" t="e">
            <v>#REF!</v>
          </cell>
        </row>
        <row r="233">
          <cell r="C233" t="e">
            <v>#REF!</v>
          </cell>
          <cell r="D233">
            <v>1012.3559999999998</v>
          </cell>
          <cell r="E233">
            <v>473.06800000000004</v>
          </cell>
          <cell r="I233">
            <v>2401.5598245614037</v>
          </cell>
          <cell r="J233">
            <v>4911.6096491228063</v>
          </cell>
          <cell r="K233">
            <v>1695.467894736842</v>
          </cell>
          <cell r="L233">
            <v>2466.0584210526313</v>
          </cell>
          <cell r="M233">
            <v>2519.3004385964905</v>
          </cell>
          <cell r="N233">
            <v>1786</v>
          </cell>
          <cell r="O233">
            <v>777.1754385964914</v>
          </cell>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C234" t="e">
            <v>#REF!</v>
          </cell>
          <cell r="D234">
            <v>934.35599999999977</v>
          </cell>
          <cell r="E234">
            <v>424.06800000000004</v>
          </cell>
          <cell r="I234">
            <v>1149.9298245614036</v>
          </cell>
          <cell r="J234">
            <v>1617.8596491228063</v>
          </cell>
          <cell r="K234">
            <v>1359.5</v>
          </cell>
          <cell r="L234">
            <v>2119.4999999999995</v>
          </cell>
          <cell r="M234">
            <v>1343.1754385964905</v>
          </cell>
          <cell r="N234">
            <v>1585</v>
          </cell>
          <cell r="O234">
            <v>691.00000000000023</v>
          </cell>
          <cell r="P234">
            <v>733.8070175438595</v>
          </cell>
          <cell r="Q234">
            <v>1327</v>
          </cell>
          <cell r="R234">
            <v>742.99999999999977</v>
          </cell>
          <cell r="S234">
            <v>605</v>
          </cell>
          <cell r="T234">
            <v>117</v>
          </cell>
          <cell r="U234">
            <v>15320.660540053519</v>
          </cell>
          <cell r="V234" t="e">
            <v>#REF!</v>
          </cell>
          <cell r="W234" t="e">
            <v>#REF!</v>
          </cell>
          <cell r="X234" t="e">
            <v>#REF!</v>
          </cell>
        </row>
        <row r="235">
          <cell r="C235" t="e">
            <v>#REF!</v>
          </cell>
          <cell r="I235" t="e">
            <v>#REF!</v>
          </cell>
          <cell r="J235" t="e">
            <v>#REF!</v>
          </cell>
          <cell r="K235">
            <v>0</v>
          </cell>
          <cell r="L235">
            <v>0</v>
          </cell>
          <cell r="M235" t="e">
            <v>#REF!</v>
          </cell>
          <cell r="N235">
            <v>0</v>
          </cell>
          <cell r="O235">
            <v>0</v>
          </cell>
          <cell r="P235" t="e">
            <v>#REF!</v>
          </cell>
          <cell r="Q235">
            <v>0</v>
          </cell>
          <cell r="R235">
            <v>0</v>
          </cell>
          <cell r="S235">
            <v>897</v>
          </cell>
          <cell r="T235">
            <v>0</v>
          </cell>
          <cell r="U235" t="e">
            <v>#REF!</v>
          </cell>
          <cell r="V235" t="e">
            <v>#REF!</v>
          </cell>
          <cell r="W235" t="e">
            <v>#REF!</v>
          </cell>
          <cell r="X235" t="e">
            <v>#REF!</v>
          </cell>
        </row>
        <row r="236">
          <cell r="C236">
            <v>7782.6740000000009</v>
          </cell>
          <cell r="D236">
            <v>934.35599999999977</v>
          </cell>
          <cell r="E236">
            <v>424.06800000000004</v>
          </cell>
          <cell r="I236">
            <v>1150</v>
          </cell>
          <cell r="J236">
            <v>1617.8596491228061</v>
          </cell>
          <cell r="K236">
            <v>1359.5</v>
          </cell>
          <cell r="L236">
            <v>2119.4999999999995</v>
          </cell>
          <cell r="M236">
            <v>1023</v>
          </cell>
          <cell r="N236">
            <v>1585</v>
          </cell>
          <cell r="O236">
            <v>691.00000000000023</v>
          </cell>
          <cell r="P236">
            <v>733.8070175438595</v>
          </cell>
          <cell r="Q236" t="e">
            <v>#REF!</v>
          </cell>
          <cell r="R236" t="e">
            <v>#REF!</v>
          </cell>
          <cell r="S236">
            <v>685</v>
          </cell>
          <cell r="T236">
            <v>0</v>
          </cell>
          <cell r="U236">
            <v>15689.007333333333</v>
          </cell>
          <cell r="V236">
            <v>15376.340666666665</v>
          </cell>
          <cell r="W236" t="e">
            <v>#REF!</v>
          </cell>
          <cell r="X236" t="e">
            <v>#REF!</v>
          </cell>
        </row>
        <row r="237">
          <cell r="C237">
            <v>183.375</v>
          </cell>
          <cell r="D237">
            <v>78</v>
          </cell>
          <cell r="E237">
            <v>49</v>
          </cell>
          <cell r="I237">
            <v>906.63</v>
          </cell>
          <cell r="J237">
            <v>1274.75</v>
          </cell>
          <cell r="K237">
            <v>335.96789473684214</v>
          </cell>
          <cell r="L237">
            <v>346.55842105263162</v>
          </cell>
          <cell r="M237">
            <v>526.125</v>
          </cell>
          <cell r="N237">
            <v>158</v>
          </cell>
          <cell r="O237">
            <v>69.175438596491233</v>
          </cell>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C238">
            <v>54.955188679245282</v>
          </cell>
          <cell r="I238">
            <v>273.35377358490564</v>
          </cell>
          <cell r="J238">
            <v>382.94811320754718</v>
          </cell>
          <cell r="K238">
            <v>121.25</v>
          </cell>
          <cell r="L238">
            <v>162.75</v>
          </cell>
          <cell r="M238">
            <v>158.2995283018868</v>
          </cell>
          <cell r="P238">
            <v>131.12735849056605</v>
          </cell>
          <cell r="S238">
            <v>146.625</v>
          </cell>
          <cell r="U238">
            <v>1220.7727272727273</v>
          </cell>
          <cell r="V238">
            <v>1231.382075471698</v>
          </cell>
          <cell r="W238">
            <v>0</v>
          </cell>
          <cell r="X238">
            <v>0</v>
          </cell>
          <cell r="Y238">
            <v>6</v>
          </cell>
          <cell r="Z238">
            <v>12</v>
          </cell>
        </row>
        <row r="239">
          <cell r="C239">
            <v>2944.9412076717231</v>
          </cell>
          <cell r="I239">
            <v>13</v>
          </cell>
          <cell r="J239">
            <v>9.3333333333333339</v>
          </cell>
          <cell r="K239">
            <v>0</v>
          </cell>
          <cell r="L239">
            <v>0</v>
          </cell>
          <cell r="M239">
            <v>577</v>
          </cell>
          <cell r="N239">
            <v>0</v>
          </cell>
          <cell r="O239">
            <v>0</v>
          </cell>
          <cell r="P239">
            <v>42</v>
          </cell>
          <cell r="Q239">
            <v>0</v>
          </cell>
          <cell r="R239">
            <v>0</v>
          </cell>
          <cell r="S239">
            <v>0</v>
          </cell>
          <cell r="T239">
            <v>0</v>
          </cell>
          <cell r="U239">
            <v>3586.2745410050566</v>
          </cell>
          <cell r="V239">
            <v>3586.2745410050566</v>
          </cell>
          <cell r="W239">
            <v>2421.3333333333335</v>
          </cell>
          <cell r="X239">
            <v>2421.3333333333335</v>
          </cell>
        </row>
        <row r="240">
          <cell r="C240">
            <v>0</v>
          </cell>
          <cell r="D240" t="e">
            <v>#REF!</v>
          </cell>
          <cell r="E240" t="e">
            <v>#REF!</v>
          </cell>
          <cell r="I240">
            <v>0</v>
          </cell>
          <cell r="J240">
            <v>0</v>
          </cell>
          <cell r="K240">
            <v>0</v>
          </cell>
          <cell r="L240">
            <v>0</v>
          </cell>
          <cell r="M240">
            <v>577</v>
          </cell>
          <cell r="N240">
            <v>0</v>
          </cell>
          <cell r="O240">
            <v>0</v>
          </cell>
          <cell r="P240">
            <v>12</v>
          </cell>
          <cell r="Q240">
            <v>0</v>
          </cell>
          <cell r="R240">
            <v>0</v>
          </cell>
          <cell r="S240">
            <v>0</v>
          </cell>
          <cell r="U240">
            <v>589</v>
          </cell>
          <cell r="V240">
            <v>589</v>
          </cell>
          <cell r="W240" t="e">
            <v>#REF!</v>
          </cell>
          <cell r="X240" t="e">
            <v>#REF!</v>
          </cell>
        </row>
        <row r="241">
          <cell r="C241">
            <v>1.25</v>
          </cell>
          <cell r="D241" t="e">
            <v>#REF!</v>
          </cell>
          <cell r="E241" t="e">
            <v>#REF!</v>
          </cell>
          <cell r="I241">
            <v>13</v>
          </cell>
          <cell r="J241">
            <v>9.3333333333333339</v>
          </cell>
          <cell r="K241">
            <v>0</v>
          </cell>
          <cell r="L241">
            <v>0</v>
          </cell>
          <cell r="M241">
            <v>0</v>
          </cell>
          <cell r="N241" t="e">
            <v>#REF!</v>
          </cell>
          <cell r="O241" t="e">
            <v>#REF!</v>
          </cell>
          <cell r="P241">
            <v>30</v>
          </cell>
          <cell r="Q241" t="e">
            <v>#REF!</v>
          </cell>
          <cell r="R241" t="e">
            <v>#REF!</v>
          </cell>
          <cell r="S241">
            <v>0</v>
          </cell>
          <cell r="U241">
            <v>53.583333333333336</v>
          </cell>
          <cell r="V241">
            <v>53.583333333333336</v>
          </cell>
          <cell r="X241">
            <v>0</v>
          </cell>
          <cell r="AC241">
            <v>6</v>
          </cell>
          <cell r="AD241">
            <v>6</v>
          </cell>
          <cell r="AE241">
            <v>12</v>
          </cell>
        </row>
        <row r="242">
          <cell r="C242">
            <v>-149.73279232827699</v>
          </cell>
          <cell r="I242" t="e">
            <v>#REF!</v>
          </cell>
          <cell r="J242" t="e">
            <v>#REF!</v>
          </cell>
          <cell r="M242" t="e">
            <v>#REF!</v>
          </cell>
          <cell r="P242" t="e">
            <v>#REF!</v>
          </cell>
          <cell r="S242">
            <v>163</v>
          </cell>
          <cell r="U242">
            <v>-149.73279232827699</v>
          </cell>
          <cell r="V242">
            <v>-149.73279232827699</v>
          </cell>
          <cell r="W242" t="e">
            <v>#REF!</v>
          </cell>
          <cell r="X242" t="e">
            <v>#REF!</v>
          </cell>
        </row>
        <row r="243">
          <cell r="C243">
            <v>2421.3333333333335</v>
          </cell>
          <cell r="I243">
            <v>370</v>
          </cell>
          <cell r="J243">
            <v>1217.0999999999999</v>
          </cell>
          <cell r="M243">
            <v>548.70000000000005</v>
          </cell>
          <cell r="P243">
            <v>180</v>
          </cell>
          <cell r="S243">
            <v>0</v>
          </cell>
          <cell r="U243">
            <v>2421.3333333333335</v>
          </cell>
          <cell r="V243">
            <v>2421.3333333333335</v>
          </cell>
          <cell r="W243">
            <v>2595.8000000000002</v>
          </cell>
          <cell r="X243">
            <v>2401.8000000000002</v>
          </cell>
        </row>
        <row r="244">
          <cell r="C244">
            <v>672.09066666666661</v>
          </cell>
          <cell r="D244">
            <v>511.35599999999999</v>
          </cell>
          <cell r="E244">
            <v>160.73466666666667</v>
          </cell>
          <cell r="I244">
            <v>0</v>
          </cell>
          <cell r="J244">
            <v>0</v>
          </cell>
          <cell r="K244">
            <v>0</v>
          </cell>
          <cell r="L244">
            <v>0</v>
          </cell>
          <cell r="M244">
            <v>0</v>
          </cell>
          <cell r="N244">
            <v>0</v>
          </cell>
          <cell r="O244">
            <v>0</v>
          </cell>
          <cell r="P244">
            <v>0</v>
          </cell>
          <cell r="Q244">
            <v>0</v>
          </cell>
          <cell r="R244">
            <v>0</v>
          </cell>
          <cell r="S244">
            <v>0</v>
          </cell>
          <cell r="U244">
            <v>672.09066666666661</v>
          </cell>
          <cell r="V244">
            <v>672.09066666666661</v>
          </cell>
          <cell r="X244">
            <v>0</v>
          </cell>
        </row>
        <row r="245">
          <cell r="C245">
            <v>0</v>
          </cell>
          <cell r="I245">
            <v>-195.33333333333334</v>
          </cell>
          <cell r="J245">
            <v>-166</v>
          </cell>
          <cell r="K245">
            <v>0</v>
          </cell>
          <cell r="L245">
            <v>0</v>
          </cell>
          <cell r="M245">
            <v>-272</v>
          </cell>
          <cell r="N245">
            <v>0</v>
          </cell>
          <cell r="O245">
            <v>0</v>
          </cell>
          <cell r="P245">
            <v>-165.33333333333334</v>
          </cell>
          <cell r="Q245">
            <v>0</v>
          </cell>
          <cell r="R245">
            <v>0</v>
          </cell>
          <cell r="S245">
            <v>0</v>
          </cell>
          <cell r="T245">
            <v>0</v>
          </cell>
          <cell r="V245">
            <v>0</v>
          </cell>
          <cell r="W245">
            <v>-798.66666666666674</v>
          </cell>
          <cell r="X245">
            <v>-798.66666666666674</v>
          </cell>
        </row>
        <row r="246">
          <cell r="C246">
            <v>950</v>
          </cell>
          <cell r="I246">
            <v>758</v>
          </cell>
          <cell r="J246">
            <v>1197</v>
          </cell>
          <cell r="K246">
            <v>0</v>
          </cell>
          <cell r="L246">
            <v>0</v>
          </cell>
          <cell r="M246">
            <v>874</v>
          </cell>
          <cell r="N246">
            <v>0</v>
          </cell>
          <cell r="O246">
            <v>0</v>
          </cell>
          <cell r="P246">
            <v>450</v>
          </cell>
          <cell r="Q246">
            <v>0</v>
          </cell>
          <cell r="R246">
            <v>0</v>
          </cell>
          <cell r="S246">
            <v>406</v>
          </cell>
          <cell r="T246">
            <v>0</v>
          </cell>
          <cell r="U246">
            <v>4903</v>
          </cell>
          <cell r="V246">
            <v>4635</v>
          </cell>
          <cell r="W246">
            <v>0</v>
          </cell>
          <cell r="X246">
            <v>0</v>
          </cell>
        </row>
        <row r="247">
          <cell r="C247">
            <v>80</v>
          </cell>
          <cell r="I247">
            <v>300</v>
          </cell>
          <cell r="J247">
            <v>1360</v>
          </cell>
          <cell r="K247">
            <v>0</v>
          </cell>
          <cell r="L247">
            <v>0</v>
          </cell>
          <cell r="M247">
            <v>7</v>
          </cell>
          <cell r="N247">
            <v>0</v>
          </cell>
          <cell r="O247">
            <v>0</v>
          </cell>
          <cell r="P247">
            <v>1174</v>
          </cell>
          <cell r="Q247">
            <v>0</v>
          </cell>
          <cell r="R247">
            <v>0</v>
          </cell>
          <cell r="S247">
            <v>0</v>
          </cell>
          <cell r="T247">
            <v>0</v>
          </cell>
          <cell r="U247">
            <v>2921</v>
          </cell>
          <cell r="V247">
            <v>2921</v>
          </cell>
          <cell r="X247">
            <v>0</v>
          </cell>
        </row>
        <row r="248">
          <cell r="C248">
            <v>29</v>
          </cell>
          <cell r="I248">
            <v>0</v>
          </cell>
          <cell r="J248">
            <v>252</v>
          </cell>
          <cell r="M248">
            <v>2</v>
          </cell>
          <cell r="P248">
            <v>4</v>
          </cell>
          <cell r="S248">
            <v>0</v>
          </cell>
          <cell r="V248">
            <v>0</v>
          </cell>
          <cell r="W248">
            <v>298.7</v>
          </cell>
          <cell r="X248">
            <v>298.7</v>
          </cell>
        </row>
        <row r="249">
          <cell r="C249">
            <v>0</v>
          </cell>
          <cell r="I249">
            <v>0</v>
          </cell>
          <cell r="J249">
            <v>-298</v>
          </cell>
          <cell r="K249">
            <v>0</v>
          </cell>
          <cell r="L249">
            <v>0</v>
          </cell>
          <cell r="M249">
            <v>-180</v>
          </cell>
          <cell r="N249">
            <v>0</v>
          </cell>
          <cell r="O249">
            <v>0</v>
          </cell>
          <cell r="P249">
            <v>-100</v>
          </cell>
          <cell r="Q249">
            <v>0</v>
          </cell>
          <cell r="R249">
            <v>0</v>
          </cell>
          <cell r="S249">
            <v>0</v>
          </cell>
          <cell r="T249">
            <v>0</v>
          </cell>
          <cell r="U249">
            <v>-578</v>
          </cell>
          <cell r="V249">
            <v>-578</v>
          </cell>
          <cell r="W249">
            <v>200</v>
          </cell>
          <cell r="X249">
            <v>200</v>
          </cell>
        </row>
        <row r="250">
          <cell r="C250" t="e">
            <v>#REF!</v>
          </cell>
          <cell r="I250">
            <v>0</v>
          </cell>
          <cell r="J250">
            <v>0</v>
          </cell>
          <cell r="K250">
            <v>0</v>
          </cell>
          <cell r="L250">
            <v>0</v>
          </cell>
          <cell r="M250">
            <v>0</v>
          </cell>
          <cell r="N250">
            <v>0</v>
          </cell>
          <cell r="O250">
            <v>0</v>
          </cell>
          <cell r="P250">
            <v>0</v>
          </cell>
          <cell r="Q250">
            <v>0</v>
          </cell>
          <cell r="R250">
            <v>0</v>
          </cell>
          <cell r="S250">
            <v>0</v>
          </cell>
          <cell r="T250">
            <v>0</v>
          </cell>
          <cell r="U250">
            <v>0</v>
          </cell>
          <cell r="V250">
            <v>0</v>
          </cell>
          <cell r="X250">
            <v>0</v>
          </cell>
        </row>
        <row r="251">
          <cell r="C251">
            <v>0</v>
          </cell>
          <cell r="I251">
            <v>0</v>
          </cell>
          <cell r="J251">
            <v>0</v>
          </cell>
          <cell r="M251">
            <v>42.300000000000004</v>
          </cell>
          <cell r="N251">
            <v>24</v>
          </cell>
          <cell r="O251">
            <v>18.300000000000004</v>
          </cell>
          <cell r="P251">
            <v>91.8</v>
          </cell>
          <cell r="Q251">
            <v>36</v>
          </cell>
          <cell r="R251">
            <v>55.8</v>
          </cell>
          <cell r="S251">
            <v>0</v>
          </cell>
          <cell r="T251">
            <v>0</v>
          </cell>
          <cell r="V251">
            <v>0</v>
          </cell>
          <cell r="W251">
            <v>134.1</v>
          </cell>
          <cell r="X251">
            <v>134.1</v>
          </cell>
        </row>
        <row r="252">
          <cell r="C252">
            <v>29</v>
          </cell>
          <cell r="I252">
            <v>0</v>
          </cell>
          <cell r="J252">
            <v>280</v>
          </cell>
          <cell r="M252">
            <v>3</v>
          </cell>
          <cell r="N252" t="e">
            <v>#REF!</v>
          </cell>
          <cell r="O252" t="e">
            <v>#REF!</v>
          </cell>
          <cell r="P252">
            <v>6</v>
          </cell>
          <cell r="Q252" t="str">
            <v>ТМ</v>
          </cell>
          <cell r="R252" t="e">
            <v>#REF!</v>
          </cell>
          <cell r="S252">
            <v>0</v>
          </cell>
          <cell r="T252" t="str">
            <v>ВИРОБН</v>
          </cell>
          <cell r="U252">
            <v>331</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row>
        <row r="253">
          <cell r="C253">
            <v>200</v>
          </cell>
          <cell r="I253">
            <v>0</v>
          </cell>
          <cell r="J253">
            <v>0</v>
          </cell>
          <cell r="M253">
            <v>0</v>
          </cell>
          <cell r="P253">
            <v>0</v>
          </cell>
          <cell r="S253">
            <v>0</v>
          </cell>
          <cell r="U253">
            <v>200</v>
          </cell>
          <cell r="V253">
            <v>200</v>
          </cell>
          <cell r="W253">
            <v>580</v>
          </cell>
          <cell r="X253">
            <v>2672.4863636363625</v>
          </cell>
          <cell r="AC253">
            <v>1389.1963636363635</v>
          </cell>
          <cell r="AF253">
            <v>4185.9539393939394</v>
          </cell>
        </row>
        <row r="254">
          <cell r="I254">
            <v>0</v>
          </cell>
          <cell r="J254">
            <v>152</v>
          </cell>
          <cell r="M254">
            <v>20</v>
          </cell>
          <cell r="P254">
            <v>10</v>
          </cell>
          <cell r="U254">
            <v>202</v>
          </cell>
          <cell r="V254">
            <v>0</v>
          </cell>
          <cell r="W254">
            <v>0</v>
          </cell>
          <cell r="X254">
            <v>0</v>
          </cell>
        </row>
        <row r="255">
          <cell r="C255">
            <v>0</v>
          </cell>
          <cell r="I255">
            <v>0</v>
          </cell>
          <cell r="J255">
            <v>0</v>
          </cell>
          <cell r="M255">
            <v>60</v>
          </cell>
          <cell r="N255">
            <v>43</v>
          </cell>
          <cell r="O255">
            <v>17</v>
          </cell>
          <cell r="P255">
            <v>50</v>
          </cell>
          <cell r="Q255">
            <v>32</v>
          </cell>
          <cell r="R255">
            <v>18</v>
          </cell>
          <cell r="S255">
            <v>0</v>
          </cell>
          <cell r="T255">
            <v>0</v>
          </cell>
          <cell r="U255">
            <v>110</v>
          </cell>
          <cell r="V255">
            <v>110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row>
        <row r="256">
          <cell r="C256">
            <v>2</v>
          </cell>
          <cell r="I256">
            <v>15</v>
          </cell>
          <cell r="J256">
            <v>349</v>
          </cell>
          <cell r="M256">
            <v>0</v>
          </cell>
          <cell r="P256">
            <v>0</v>
          </cell>
          <cell r="S256">
            <v>0</v>
          </cell>
          <cell r="T256">
            <v>1249.7813333333329</v>
          </cell>
          <cell r="U256">
            <v>366</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row>
        <row r="257">
          <cell r="C257" t="e">
            <v>#REF!</v>
          </cell>
          <cell r="I257">
            <v>275</v>
          </cell>
          <cell r="J257">
            <v>160</v>
          </cell>
          <cell r="M257">
            <v>80</v>
          </cell>
          <cell r="N257" t="e">
            <v>#REF!</v>
          </cell>
          <cell r="O257">
            <v>0</v>
          </cell>
          <cell r="P257">
            <v>41</v>
          </cell>
          <cell r="Q257">
            <v>0</v>
          </cell>
          <cell r="R257">
            <v>0</v>
          </cell>
          <cell r="S257">
            <v>0</v>
          </cell>
          <cell r="T257">
            <v>0</v>
          </cell>
          <cell r="U257">
            <v>556</v>
          </cell>
          <cell r="V257">
            <v>556</v>
          </cell>
          <cell r="W257">
            <v>0</v>
          </cell>
          <cell r="X257">
            <v>0</v>
          </cell>
          <cell r="Y257">
            <v>0</v>
          </cell>
          <cell r="Z257">
            <v>0</v>
          </cell>
          <cell r="AA257">
            <v>0</v>
          </cell>
          <cell r="AB257">
            <v>0</v>
          </cell>
          <cell r="AC257">
            <v>0</v>
          </cell>
          <cell r="AD257">
            <v>0</v>
          </cell>
          <cell r="AE257">
            <v>0</v>
          </cell>
          <cell r="AF257">
            <v>0</v>
          </cell>
        </row>
        <row r="258">
          <cell r="C258" t="e">
            <v>#REF!</v>
          </cell>
          <cell r="I258">
            <v>0</v>
          </cell>
          <cell r="J258" t="e">
            <v>#REF!</v>
          </cell>
          <cell r="M258" t="e">
            <v>#REF!</v>
          </cell>
          <cell r="N258" t="e">
            <v>#REF!</v>
          </cell>
          <cell r="O258" t="e">
            <v>#REF!</v>
          </cell>
          <cell r="P258" t="e">
            <v>#REF!</v>
          </cell>
          <cell r="Q258" t="e">
            <v>#REF!</v>
          </cell>
          <cell r="R258" t="e">
            <v>#REF!</v>
          </cell>
          <cell r="S258" t="e">
            <v>#REF!</v>
          </cell>
          <cell r="U258">
            <v>0</v>
          </cell>
          <cell r="V258">
            <v>0</v>
          </cell>
          <cell r="W258" t="e">
            <v>#REF!</v>
          </cell>
          <cell r="X258" t="e">
            <v>#REF!</v>
          </cell>
        </row>
        <row r="259">
          <cell r="C259">
            <v>0</v>
          </cell>
          <cell r="I259">
            <v>0</v>
          </cell>
          <cell r="J259">
            <v>0</v>
          </cell>
          <cell r="M259">
            <v>0</v>
          </cell>
          <cell r="P259">
            <v>0</v>
          </cell>
          <cell r="S259">
            <v>0</v>
          </cell>
          <cell r="U259">
            <v>2217</v>
          </cell>
          <cell r="V259">
            <v>2217</v>
          </cell>
          <cell r="W259" t="e">
            <v>#REF!</v>
          </cell>
          <cell r="X259" t="e">
            <v>#REF!</v>
          </cell>
        </row>
        <row r="260">
          <cell r="C260">
            <v>0</v>
          </cell>
          <cell r="D260" t="e">
            <v>#REF!</v>
          </cell>
          <cell r="E260" t="e">
            <v>#REF!</v>
          </cell>
          <cell r="I260">
            <v>0</v>
          </cell>
          <cell r="J260">
            <v>0</v>
          </cell>
          <cell r="K260" t="e">
            <v>#REF!</v>
          </cell>
          <cell r="L260" t="e">
            <v>#REF!</v>
          </cell>
          <cell r="M260">
            <v>0</v>
          </cell>
          <cell r="N260" t="e">
            <v>#REF!</v>
          </cell>
          <cell r="O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row>
        <row r="261">
          <cell r="C261">
            <v>0</v>
          </cell>
          <cell r="D261" t="e">
            <v>#REF!</v>
          </cell>
          <cell r="E261" t="e">
            <v>#REF!</v>
          </cell>
          <cell r="I261">
            <v>30</v>
          </cell>
          <cell r="J261">
            <v>30</v>
          </cell>
          <cell r="K261" t="e">
            <v>#REF!</v>
          </cell>
          <cell r="L261" t="e">
            <v>#REF!</v>
          </cell>
          <cell r="M261">
            <v>3</v>
          </cell>
          <cell r="N261">
            <v>0</v>
          </cell>
          <cell r="O261">
            <v>0</v>
          </cell>
          <cell r="P261">
            <v>2</v>
          </cell>
          <cell r="Q261">
            <v>0</v>
          </cell>
          <cell r="R261">
            <v>0</v>
          </cell>
          <cell r="S261">
            <v>0</v>
          </cell>
          <cell r="T261">
            <v>112</v>
          </cell>
          <cell r="U261" t="e">
            <v>#REF!</v>
          </cell>
          <cell r="V261" t="e">
            <v>#REF!</v>
          </cell>
          <cell r="W261" t="e">
            <v>#REF!</v>
          </cell>
        </row>
        <row r="262">
          <cell r="C262">
            <v>3285</v>
          </cell>
          <cell r="I262">
            <v>25</v>
          </cell>
          <cell r="J262">
            <v>59</v>
          </cell>
          <cell r="K262" t="e">
            <v>#REF!</v>
          </cell>
          <cell r="L262" t="e">
            <v>#REF!</v>
          </cell>
          <cell r="M262">
            <v>22</v>
          </cell>
          <cell r="N262" t="e">
            <v>#REF!</v>
          </cell>
          <cell r="O262" t="e">
            <v>#REF!</v>
          </cell>
          <cell r="P262">
            <v>-14</v>
          </cell>
          <cell r="Q262" t="e">
            <v>#REF!</v>
          </cell>
          <cell r="R262" t="e">
            <v>#REF!</v>
          </cell>
          <cell r="S262">
            <v>278</v>
          </cell>
          <cell r="T262">
            <v>48</v>
          </cell>
          <cell r="U262">
            <v>3661</v>
          </cell>
          <cell r="V262">
            <v>3661</v>
          </cell>
          <cell r="W262" t="e">
            <v>#REF!</v>
          </cell>
        </row>
        <row r="263">
          <cell r="C263">
            <v>145</v>
          </cell>
          <cell r="I263">
            <v>1</v>
          </cell>
          <cell r="J263">
            <v>2</v>
          </cell>
          <cell r="K263" t="e">
            <v>#REF!</v>
          </cell>
          <cell r="L263" t="e">
            <v>#REF!</v>
          </cell>
          <cell r="M263">
            <v>0</v>
          </cell>
          <cell r="N263" t="e">
            <v>#REF!</v>
          </cell>
          <cell r="O263" t="e">
            <v>#REF!</v>
          </cell>
          <cell r="P263">
            <v>31</v>
          </cell>
          <cell r="Q263" t="e">
            <v>#REF!</v>
          </cell>
          <cell r="R263" t="e">
            <v>#REF!</v>
          </cell>
          <cell r="S263">
            <v>1</v>
          </cell>
          <cell r="T263">
            <v>51</v>
          </cell>
          <cell r="U263">
            <v>180</v>
          </cell>
          <cell r="V263">
            <v>180</v>
          </cell>
          <cell r="W263" t="e">
            <v>#REF!</v>
          </cell>
          <cell r="X263" t="e">
            <v>#REF!</v>
          </cell>
        </row>
        <row r="264">
          <cell r="C264">
            <v>308.00000000000011</v>
          </cell>
          <cell r="D264">
            <v>934.35599999999977</v>
          </cell>
          <cell r="E264">
            <v>424.06800000000004</v>
          </cell>
          <cell r="I264">
            <v>78</v>
          </cell>
          <cell r="J264">
            <v>488.52631578947285</v>
          </cell>
          <cell r="K264">
            <v>1359.5</v>
          </cell>
          <cell r="L264">
            <v>2119.4999999999995</v>
          </cell>
          <cell r="M264">
            <v>227</v>
          </cell>
          <cell r="N264">
            <v>1585</v>
          </cell>
          <cell r="O264">
            <v>691.00000000000023</v>
          </cell>
          <cell r="P264">
            <v>295.8070175438595</v>
          </cell>
          <cell r="Q264">
            <v>178</v>
          </cell>
          <cell r="R264">
            <v>99</v>
          </cell>
          <cell r="S264">
            <v>0</v>
          </cell>
          <cell r="T264">
            <v>0</v>
          </cell>
          <cell r="U264">
            <v>1603.0000000000005</v>
          </cell>
          <cell r="V264">
            <v>1558.3333333333326</v>
          </cell>
          <cell r="W264">
            <v>0</v>
          </cell>
          <cell r="X264" t="e">
            <v>#REF!</v>
          </cell>
        </row>
        <row r="265">
          <cell r="C265">
            <v>5.3333333333333712</v>
          </cell>
          <cell r="I265">
            <v>18</v>
          </cell>
          <cell r="J265">
            <v>100</v>
          </cell>
          <cell r="K265">
            <v>190</v>
          </cell>
          <cell r="L265">
            <v>190</v>
          </cell>
          <cell r="M265">
            <v>89</v>
          </cell>
          <cell r="N265">
            <v>61</v>
          </cell>
          <cell r="O265">
            <v>28</v>
          </cell>
          <cell r="P265">
            <v>168</v>
          </cell>
          <cell r="Q265">
            <v>108</v>
          </cell>
          <cell r="R265">
            <v>60</v>
          </cell>
          <cell r="S265">
            <v>0</v>
          </cell>
          <cell r="T265">
            <v>16</v>
          </cell>
          <cell r="U265">
            <v>405.33333333333348</v>
          </cell>
          <cell r="V265" t="e">
            <v>#REF!</v>
          </cell>
        </row>
        <row r="266">
          <cell r="C266">
            <v>0</v>
          </cell>
          <cell r="I266">
            <v>20</v>
          </cell>
          <cell r="J266">
            <v>294</v>
          </cell>
          <cell r="K266">
            <v>229.32000000000002</v>
          </cell>
          <cell r="L266">
            <v>64.679999999999978</v>
          </cell>
          <cell r="M266">
            <v>103</v>
          </cell>
          <cell r="N266">
            <v>72</v>
          </cell>
          <cell r="O266">
            <v>31</v>
          </cell>
          <cell r="P266">
            <v>78</v>
          </cell>
          <cell r="Q266">
            <v>50</v>
          </cell>
          <cell r="R266">
            <v>28</v>
          </cell>
          <cell r="S266">
            <v>0</v>
          </cell>
          <cell r="T266">
            <v>51</v>
          </cell>
          <cell r="U266">
            <v>495</v>
          </cell>
          <cell r="X266">
            <v>0</v>
          </cell>
          <cell r="AC266">
            <v>0</v>
          </cell>
          <cell r="AF266">
            <v>0</v>
          </cell>
        </row>
        <row r="267">
          <cell r="C267">
            <v>302.66666666666674</v>
          </cell>
          <cell r="I267">
            <v>40</v>
          </cell>
          <cell r="J267">
            <v>95</v>
          </cell>
          <cell r="K267">
            <v>82.5</v>
          </cell>
          <cell r="L267">
            <v>42.5</v>
          </cell>
          <cell r="M267">
            <v>35</v>
          </cell>
          <cell r="N267">
            <v>26</v>
          </cell>
          <cell r="O267">
            <v>12</v>
          </cell>
          <cell r="P267">
            <v>29</v>
          </cell>
          <cell r="Q267">
            <v>20</v>
          </cell>
          <cell r="R267">
            <v>11</v>
          </cell>
          <cell r="S267">
            <v>0</v>
          </cell>
          <cell r="T267">
            <v>12</v>
          </cell>
          <cell r="U267">
            <v>702.66666666666697</v>
          </cell>
          <cell r="V267">
            <v>637.66666666666674</v>
          </cell>
        </row>
        <row r="268">
          <cell r="C268">
            <v>0</v>
          </cell>
          <cell r="I268">
            <v>0</v>
          </cell>
          <cell r="J268">
            <v>0</v>
          </cell>
          <cell r="M268">
            <v>0</v>
          </cell>
          <cell r="N268">
            <v>0</v>
          </cell>
          <cell r="O268">
            <v>0</v>
          </cell>
          <cell r="P268">
            <v>0</v>
          </cell>
          <cell r="Q268">
            <v>0</v>
          </cell>
          <cell r="R268">
            <v>0</v>
          </cell>
          <cell r="S268">
            <v>0</v>
          </cell>
          <cell r="U268">
            <v>0</v>
          </cell>
          <cell r="V268">
            <v>11</v>
          </cell>
          <cell r="X268">
            <v>0</v>
          </cell>
          <cell r="AC268">
            <v>0</v>
          </cell>
          <cell r="AF268">
            <v>0</v>
          </cell>
        </row>
        <row r="269">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row>
        <row r="270">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row>
        <row r="271">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row>
        <row r="272">
          <cell r="N272" t="str">
            <v>Собівартість</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row>
        <row r="273">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row>
        <row r="274">
          <cell r="P274">
            <v>300</v>
          </cell>
          <cell r="S274">
            <v>603</v>
          </cell>
          <cell r="X274">
            <v>115</v>
          </cell>
          <cell r="AC274">
            <v>96</v>
          </cell>
          <cell r="AF274">
            <v>361</v>
          </cell>
        </row>
        <row r="275">
          <cell r="N275" t="str">
            <v>Собівартість</v>
          </cell>
          <cell r="P275">
            <v>4</v>
          </cell>
          <cell r="S275">
            <v>15</v>
          </cell>
          <cell r="X275">
            <v>30</v>
          </cell>
          <cell r="AC275">
            <v>8</v>
          </cell>
          <cell r="AF275">
            <v>15</v>
          </cell>
        </row>
        <row r="276">
          <cell r="P276">
            <v>500</v>
          </cell>
          <cell r="S276">
            <v>430</v>
          </cell>
          <cell r="X276">
            <v>100</v>
          </cell>
          <cell r="AC276">
            <v>130</v>
          </cell>
          <cell r="AF276">
            <v>150</v>
          </cell>
        </row>
        <row r="277">
          <cell r="P277">
            <v>145</v>
          </cell>
          <cell r="S277">
            <v>145</v>
          </cell>
          <cell r="X277">
            <v>66</v>
          </cell>
          <cell r="AC277">
            <v>50</v>
          </cell>
          <cell r="AF277">
            <v>100</v>
          </cell>
        </row>
        <row r="278">
          <cell r="N278" t="str">
            <v>Собівартість</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row>
        <row r="279">
          <cell r="P279">
            <v>0</v>
          </cell>
          <cell r="S279">
            <v>0</v>
          </cell>
          <cell r="X279">
            <v>4</v>
          </cell>
          <cell r="AC279">
            <v>0</v>
          </cell>
          <cell r="AF279">
            <v>0</v>
          </cell>
        </row>
        <row r="280">
          <cell r="P280">
            <v>11.200000000000001</v>
          </cell>
          <cell r="S280">
            <v>267.2</v>
          </cell>
          <cell r="X280">
            <v>0</v>
          </cell>
          <cell r="AC280">
            <v>0</v>
          </cell>
          <cell r="AF280">
            <v>536</v>
          </cell>
        </row>
        <row r="282">
          <cell r="N282" t="str">
            <v>ФМЗ ( з відрахуван)</v>
          </cell>
          <cell r="P282">
            <v>25</v>
          </cell>
          <cell r="S282">
            <v>250</v>
          </cell>
        </row>
        <row r="283">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row>
        <row r="285">
          <cell r="N285" t="str">
            <v>ФМЗ ( з відрахуван)</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row>
        <row r="286">
          <cell r="P286">
            <v>1065</v>
          </cell>
          <cell r="S286">
            <v>4233.1499999999996</v>
          </cell>
          <cell r="X286">
            <v>190</v>
          </cell>
          <cell r="AC286">
            <v>-45</v>
          </cell>
          <cell r="AF286">
            <v>-145</v>
          </cell>
        </row>
        <row r="287">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row>
        <row r="288">
          <cell r="N288" t="str">
            <v>ФМЗ ( з відрахуван)</v>
          </cell>
          <cell r="P288">
            <v>0</v>
          </cell>
          <cell r="S288">
            <v>0</v>
          </cell>
          <cell r="X288">
            <v>0</v>
          </cell>
          <cell r="AC288">
            <v>0</v>
          </cell>
          <cell r="AF288">
            <v>0</v>
          </cell>
        </row>
        <row r="289">
          <cell r="P289">
            <v>0</v>
          </cell>
          <cell r="S289">
            <v>0</v>
          </cell>
          <cell r="X289">
            <v>0</v>
          </cell>
          <cell r="AC289">
            <v>0</v>
          </cell>
          <cell r="AF289">
            <v>0</v>
          </cell>
        </row>
        <row r="290">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row>
        <row r="291">
          <cell r="P291">
            <v>0.23599999999999</v>
          </cell>
          <cell r="S291">
            <v>142.26666666666688</v>
          </cell>
          <cell r="X291">
            <v>47.800000000000011</v>
          </cell>
          <cell r="AC291">
            <v>0</v>
          </cell>
          <cell r="AF291">
            <v>22.133333333333439</v>
          </cell>
        </row>
        <row r="292">
          <cell r="P292">
            <v>40.800000000000004</v>
          </cell>
          <cell r="S292">
            <v>249.53333333333333</v>
          </cell>
          <cell r="X292">
            <v>81.600000000000023</v>
          </cell>
          <cell r="AC292">
            <v>64</v>
          </cell>
          <cell r="AF292">
            <v>157.33333333333334</v>
          </cell>
        </row>
        <row r="293">
          <cell r="P293">
            <v>88.2</v>
          </cell>
          <cell r="S293">
            <v>201.86666666666662</v>
          </cell>
          <cell r="X293">
            <v>84.800000000000011</v>
          </cell>
          <cell r="AC293">
            <v>135.4</v>
          </cell>
          <cell r="AF293">
            <v>168</v>
          </cell>
        </row>
        <row r="294">
          <cell r="P294">
            <v>0</v>
          </cell>
          <cell r="AF294">
            <v>0</v>
          </cell>
        </row>
        <row r="295">
          <cell r="P295">
            <v>0</v>
          </cell>
          <cell r="S295">
            <v>0</v>
          </cell>
          <cell r="X295">
            <v>0</v>
          </cell>
          <cell r="AC295">
            <v>0</v>
          </cell>
          <cell r="AF295">
            <v>12</v>
          </cell>
        </row>
        <row r="296">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row>
        <row r="299">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row>
        <row r="301">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row>
        <row r="302">
          <cell r="P302">
            <v>0</v>
          </cell>
          <cell r="S302">
            <v>0</v>
          </cell>
          <cell r="X302">
            <v>0</v>
          </cell>
          <cell r="AC302">
            <v>0</v>
          </cell>
          <cell r="AF302">
            <v>0</v>
          </cell>
        </row>
        <row r="304">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row>
        <row r="306">
          <cell r="P306">
            <v>0</v>
          </cell>
        </row>
        <row r="307">
          <cell r="S307">
            <v>0</v>
          </cell>
        </row>
        <row r="309">
          <cell r="S309">
            <v>0</v>
          </cell>
        </row>
        <row r="314">
          <cell r="S314">
            <v>0</v>
          </cell>
        </row>
        <row r="315">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row>
        <row r="325">
          <cell r="P325">
            <v>293</v>
          </cell>
          <cell r="S325">
            <v>518</v>
          </cell>
          <cell r="X325">
            <v>175</v>
          </cell>
          <cell r="AC325">
            <v>146</v>
          </cell>
          <cell r="AF325">
            <v>472</v>
          </cell>
        </row>
        <row r="348">
          <cell r="P348">
            <v>225</v>
          </cell>
          <cell r="S348">
            <v>296</v>
          </cell>
          <cell r="X348">
            <v>56</v>
          </cell>
          <cell r="AC348">
            <v>-4.9636363636363825</v>
          </cell>
          <cell r="AF348">
            <v>800.72727272727275</v>
          </cell>
        </row>
        <row r="350">
          <cell r="P350">
            <v>0</v>
          </cell>
          <cell r="S350">
            <v>0</v>
          </cell>
          <cell r="X350">
            <v>0</v>
          </cell>
          <cell r="AC350">
            <v>0</v>
          </cell>
          <cell r="AF350">
            <v>0</v>
          </cell>
        </row>
        <row r="358">
          <cell r="P358">
            <v>-771</v>
          </cell>
          <cell r="S358">
            <v>-3877</v>
          </cell>
          <cell r="T358">
            <v>162.88</v>
          </cell>
          <cell r="U358">
            <v>855.12</v>
          </cell>
          <cell r="X358">
            <v>280</v>
          </cell>
          <cell r="Y358">
            <v>404</v>
          </cell>
          <cell r="Z358">
            <v>166</v>
          </cell>
          <cell r="AC358">
            <v>556</v>
          </cell>
          <cell r="AD358">
            <v>336</v>
          </cell>
          <cell r="AE358">
            <v>305</v>
          </cell>
          <cell r="AF358">
            <v>521</v>
          </cell>
        </row>
        <row r="381">
          <cell r="P381" t="str">
            <v>лютий</v>
          </cell>
          <cell r="X381" t="str">
            <v>лютий</v>
          </cell>
          <cell r="AC381" t="str">
            <v>лютий</v>
          </cell>
        </row>
        <row r="382">
          <cell r="P382" t="str">
            <v>ККМ</v>
          </cell>
          <cell r="X382" t="str">
            <v>ТЕЦ5</v>
          </cell>
          <cell r="AC382" t="str">
            <v>ТЕЦ6</v>
          </cell>
        </row>
        <row r="383">
          <cell r="P383" t="str">
            <v>ПЛАН</v>
          </cell>
          <cell r="X383" t="str">
            <v>ПЛАН</v>
          </cell>
          <cell r="AC383" t="str">
            <v>ПЛАН</v>
          </cell>
        </row>
        <row r="384">
          <cell r="P384">
            <v>14.333333333333332</v>
          </cell>
          <cell r="S384">
            <v>14.333333333333332</v>
          </cell>
          <cell r="X384">
            <v>182</v>
          </cell>
          <cell r="Y384">
            <v>129</v>
          </cell>
          <cell r="Z384">
            <v>129</v>
          </cell>
          <cell r="AC384">
            <v>323.66666666666674</v>
          </cell>
          <cell r="AD384">
            <v>170</v>
          </cell>
          <cell r="AE384">
            <v>169</v>
          </cell>
        </row>
        <row r="385">
          <cell r="P385">
            <v>0</v>
          </cell>
          <cell r="X385">
            <v>0</v>
          </cell>
          <cell r="Y385">
            <v>0</v>
          </cell>
          <cell r="AC385">
            <v>3.6666666666666665</v>
          </cell>
          <cell r="AD385">
            <v>2</v>
          </cell>
        </row>
        <row r="386">
          <cell r="P386">
            <v>0.66666666666666663</v>
          </cell>
          <cell r="X386">
            <v>146.66666666666666</v>
          </cell>
          <cell r="Y386">
            <v>104</v>
          </cell>
          <cell r="AC386">
            <v>280.66666666666669</v>
          </cell>
          <cell r="AD386">
            <v>147</v>
          </cell>
        </row>
        <row r="387">
          <cell r="P387">
            <v>2</v>
          </cell>
          <cell r="X387">
            <v>0</v>
          </cell>
          <cell r="Y387">
            <v>0</v>
          </cell>
          <cell r="AC387">
            <v>25</v>
          </cell>
          <cell r="AD387">
            <v>13</v>
          </cell>
        </row>
        <row r="388">
          <cell r="P388">
            <v>0</v>
          </cell>
          <cell r="X388">
            <v>25.333333333333332</v>
          </cell>
          <cell r="Y388">
            <v>18</v>
          </cell>
          <cell r="AC388">
            <v>0.66666666666666663</v>
          </cell>
          <cell r="AD388">
            <v>0</v>
          </cell>
        </row>
        <row r="389">
          <cell r="P389">
            <v>0</v>
          </cell>
          <cell r="X389">
            <v>0</v>
          </cell>
          <cell r="Y389">
            <v>0</v>
          </cell>
          <cell r="AC389">
            <v>0</v>
          </cell>
          <cell r="AD389">
            <v>0</v>
          </cell>
        </row>
        <row r="390">
          <cell r="P390">
            <v>0</v>
          </cell>
          <cell r="X390">
            <v>0</v>
          </cell>
          <cell r="Y390">
            <v>0</v>
          </cell>
          <cell r="AC390">
            <v>0</v>
          </cell>
          <cell r="AD390">
            <v>0</v>
          </cell>
        </row>
        <row r="391">
          <cell r="P391">
            <v>5.333333333333333</v>
          </cell>
          <cell r="X391">
            <v>0</v>
          </cell>
          <cell r="Y391">
            <v>0</v>
          </cell>
          <cell r="AC391">
            <v>0</v>
          </cell>
          <cell r="AD391">
            <v>0</v>
          </cell>
        </row>
        <row r="392">
          <cell r="P392">
            <v>0</v>
          </cell>
          <cell r="X392">
            <v>0</v>
          </cell>
          <cell r="Y392">
            <v>0</v>
          </cell>
          <cell r="AC392">
            <v>0</v>
          </cell>
          <cell r="AD392">
            <v>0</v>
          </cell>
        </row>
        <row r="393">
          <cell r="P393">
            <v>4.333333333333333</v>
          </cell>
          <cell r="X393">
            <v>0</v>
          </cell>
          <cell r="Y393">
            <v>0</v>
          </cell>
          <cell r="AC393">
            <v>0</v>
          </cell>
          <cell r="AD393">
            <v>0</v>
          </cell>
        </row>
        <row r="394">
          <cell r="P394">
            <v>2</v>
          </cell>
          <cell r="X394">
            <v>10</v>
          </cell>
          <cell r="Y394">
            <v>7</v>
          </cell>
          <cell r="AC394">
            <v>13.666666666666666</v>
          </cell>
          <cell r="AD394">
            <v>7</v>
          </cell>
        </row>
        <row r="395">
          <cell r="P395">
            <v>0</v>
          </cell>
          <cell r="X395">
            <v>0</v>
          </cell>
          <cell r="Y395">
            <v>0</v>
          </cell>
          <cell r="AC395">
            <v>0</v>
          </cell>
          <cell r="AD395">
            <v>0</v>
          </cell>
        </row>
        <row r="396">
          <cell r="P396">
            <v>20.5</v>
          </cell>
          <cell r="X396">
            <v>522.33333333333337</v>
          </cell>
          <cell r="Y396">
            <v>370</v>
          </cell>
          <cell r="AC396">
            <v>43</v>
          </cell>
          <cell r="AD396">
            <v>23</v>
          </cell>
        </row>
        <row r="397">
          <cell r="P397">
            <v>0</v>
          </cell>
          <cell r="X397">
            <v>0</v>
          </cell>
          <cell r="Y397">
            <v>0</v>
          </cell>
          <cell r="AC397">
            <v>0</v>
          </cell>
          <cell r="AD397">
            <v>0</v>
          </cell>
        </row>
        <row r="398">
          <cell r="P398">
            <v>0</v>
          </cell>
          <cell r="X398">
            <v>480.66666666666669</v>
          </cell>
          <cell r="Y398">
            <v>341</v>
          </cell>
          <cell r="AC398">
            <v>11</v>
          </cell>
          <cell r="AD398">
            <v>6</v>
          </cell>
        </row>
        <row r="399">
          <cell r="P399">
            <v>0</v>
          </cell>
          <cell r="X399">
            <v>0</v>
          </cell>
          <cell r="Y399">
            <v>0</v>
          </cell>
          <cell r="AC399">
            <v>0</v>
          </cell>
          <cell r="AD399">
            <v>0</v>
          </cell>
        </row>
        <row r="400">
          <cell r="P400">
            <v>15.833333333333334</v>
          </cell>
          <cell r="X400">
            <v>41.666666666666664</v>
          </cell>
          <cell r="Y400">
            <v>30</v>
          </cell>
          <cell r="AC400">
            <v>32</v>
          </cell>
          <cell r="AD400">
            <v>17</v>
          </cell>
        </row>
        <row r="401">
          <cell r="P401">
            <v>4.666666666666667</v>
          </cell>
          <cell r="X401">
            <v>0</v>
          </cell>
          <cell r="Y401">
            <v>0</v>
          </cell>
          <cell r="AC401">
            <v>0</v>
          </cell>
          <cell r="AD401">
            <v>0</v>
          </cell>
        </row>
        <row r="402">
          <cell r="P402">
            <v>0</v>
          </cell>
          <cell r="X402">
            <v>0</v>
          </cell>
          <cell r="Y402">
            <v>0</v>
          </cell>
          <cell r="AC402">
            <v>0</v>
          </cell>
          <cell r="AD402">
            <v>0</v>
          </cell>
        </row>
        <row r="403">
          <cell r="P403">
            <v>39</v>
          </cell>
          <cell r="X403">
            <v>0</v>
          </cell>
          <cell r="Y403">
            <v>0</v>
          </cell>
          <cell r="AC403">
            <v>0</v>
          </cell>
          <cell r="AD403">
            <v>0</v>
          </cell>
        </row>
        <row r="404">
          <cell r="P404">
            <v>3.3333333333333335</v>
          </cell>
          <cell r="X404">
            <v>0</v>
          </cell>
          <cell r="Y404">
            <v>0</v>
          </cell>
          <cell r="AC404">
            <v>0</v>
          </cell>
          <cell r="AD404">
            <v>0</v>
          </cell>
        </row>
        <row r="405">
          <cell r="P405">
            <v>35.666666666666664</v>
          </cell>
          <cell r="X405">
            <v>0</v>
          </cell>
          <cell r="Y405">
            <v>0</v>
          </cell>
          <cell r="AC405">
            <v>0</v>
          </cell>
          <cell r="AD405">
            <v>0</v>
          </cell>
        </row>
        <row r="406">
          <cell r="P406">
            <v>0</v>
          </cell>
          <cell r="X406">
            <v>0</v>
          </cell>
          <cell r="Y406">
            <v>0</v>
          </cell>
          <cell r="AC406">
            <v>0</v>
          </cell>
          <cell r="AD406">
            <v>0</v>
          </cell>
        </row>
        <row r="407">
          <cell r="P407">
            <v>50.166666666666671</v>
          </cell>
          <cell r="S407">
            <v>50.166666666666671</v>
          </cell>
          <cell r="X407">
            <v>37.833333333333343</v>
          </cell>
          <cell r="Y407">
            <v>27</v>
          </cell>
          <cell r="AC407">
            <v>26.000000000000004</v>
          </cell>
          <cell r="AD407">
            <v>14</v>
          </cell>
        </row>
        <row r="408">
          <cell r="P408">
            <v>0</v>
          </cell>
          <cell r="X408">
            <v>0</v>
          </cell>
          <cell r="Y408">
            <v>0</v>
          </cell>
          <cell r="AC408">
            <v>0</v>
          </cell>
          <cell r="AD408">
            <v>0</v>
          </cell>
        </row>
        <row r="409">
          <cell r="P409">
            <v>0</v>
          </cell>
          <cell r="X409">
            <v>0</v>
          </cell>
          <cell r="Y409">
            <v>0</v>
          </cell>
          <cell r="AC409">
            <v>0</v>
          </cell>
          <cell r="AD409">
            <v>0</v>
          </cell>
        </row>
        <row r="410">
          <cell r="P410">
            <v>0</v>
          </cell>
          <cell r="X410">
            <v>0</v>
          </cell>
          <cell r="Y410">
            <v>0</v>
          </cell>
          <cell r="AC410">
            <v>0</v>
          </cell>
          <cell r="AD410">
            <v>0</v>
          </cell>
        </row>
        <row r="411">
          <cell r="P411">
            <v>12.333333333333334</v>
          </cell>
          <cell r="X411">
            <v>0</v>
          </cell>
          <cell r="Y411">
            <v>0</v>
          </cell>
          <cell r="AC411">
            <v>0</v>
          </cell>
          <cell r="AD411">
            <v>0</v>
          </cell>
        </row>
        <row r="412">
          <cell r="P412">
            <v>0</v>
          </cell>
          <cell r="X412">
            <v>0</v>
          </cell>
          <cell r="Y412">
            <v>0</v>
          </cell>
          <cell r="AC412">
            <v>0</v>
          </cell>
          <cell r="AD412">
            <v>0</v>
          </cell>
        </row>
        <row r="413">
          <cell r="P413">
            <v>5</v>
          </cell>
          <cell r="X413">
            <v>3</v>
          </cell>
          <cell r="Y413">
            <v>2</v>
          </cell>
          <cell r="AC413">
            <v>3</v>
          </cell>
          <cell r="AD413">
            <v>2</v>
          </cell>
        </row>
        <row r="414">
          <cell r="P414">
            <v>0</v>
          </cell>
          <cell r="X414">
            <v>0</v>
          </cell>
          <cell r="Y414">
            <v>0</v>
          </cell>
          <cell r="AC414">
            <v>0</v>
          </cell>
          <cell r="AD414">
            <v>0</v>
          </cell>
        </row>
        <row r="415">
          <cell r="P415">
            <v>0</v>
          </cell>
          <cell r="X415">
            <v>0</v>
          </cell>
          <cell r="Y415">
            <v>0</v>
          </cell>
          <cell r="AC415">
            <v>0</v>
          </cell>
          <cell r="AD415">
            <v>0</v>
          </cell>
        </row>
        <row r="416">
          <cell r="P416">
            <v>18.5</v>
          </cell>
          <cell r="X416">
            <v>4.5</v>
          </cell>
          <cell r="Y416">
            <v>3</v>
          </cell>
          <cell r="AC416">
            <v>1.3333333333333333</v>
          </cell>
          <cell r="AD416">
            <v>1</v>
          </cell>
        </row>
        <row r="417">
          <cell r="P417">
            <v>1.3333333333333333</v>
          </cell>
          <cell r="X417">
            <v>0</v>
          </cell>
          <cell r="Y417">
            <v>0</v>
          </cell>
          <cell r="AC417">
            <v>1.6666666666666667</v>
          </cell>
          <cell r="AD417">
            <v>1</v>
          </cell>
        </row>
        <row r="418">
          <cell r="P418">
            <v>0</v>
          </cell>
          <cell r="X418">
            <v>0</v>
          </cell>
          <cell r="Y418">
            <v>0</v>
          </cell>
          <cell r="AC418">
            <v>0</v>
          </cell>
          <cell r="AD418">
            <v>0</v>
          </cell>
        </row>
        <row r="419">
          <cell r="P419">
            <v>0</v>
          </cell>
          <cell r="X419">
            <v>10</v>
          </cell>
          <cell r="Y419">
            <v>7</v>
          </cell>
          <cell r="AC419">
            <v>7.666666666666667</v>
          </cell>
          <cell r="AD419">
            <v>4</v>
          </cell>
        </row>
        <row r="420">
          <cell r="P420">
            <v>2</v>
          </cell>
          <cell r="X420">
            <v>1.3333333333333333</v>
          </cell>
          <cell r="Y420">
            <v>1</v>
          </cell>
          <cell r="AC420">
            <v>1</v>
          </cell>
          <cell r="AD420">
            <v>1</v>
          </cell>
        </row>
        <row r="421">
          <cell r="P421">
            <v>0.33333333333333331</v>
          </cell>
          <cell r="X421">
            <v>1</v>
          </cell>
          <cell r="Y421">
            <v>1</v>
          </cell>
          <cell r="AC421">
            <v>0.66666666666666663</v>
          </cell>
          <cell r="AD421">
            <v>0</v>
          </cell>
        </row>
        <row r="422">
          <cell r="P422">
            <v>2.3333333333333335</v>
          </cell>
          <cell r="X422">
            <v>6</v>
          </cell>
          <cell r="Y422">
            <v>4</v>
          </cell>
          <cell r="AC422">
            <v>5</v>
          </cell>
          <cell r="AD422">
            <v>3</v>
          </cell>
        </row>
        <row r="423">
          <cell r="P423">
            <v>0</v>
          </cell>
          <cell r="X423">
            <v>0</v>
          </cell>
          <cell r="Y423">
            <v>0</v>
          </cell>
          <cell r="AC423">
            <v>0</v>
          </cell>
          <cell r="AD423">
            <v>0</v>
          </cell>
        </row>
        <row r="424">
          <cell r="P424">
            <v>0</v>
          </cell>
          <cell r="X424">
            <v>0</v>
          </cell>
          <cell r="Y424">
            <v>0</v>
          </cell>
          <cell r="AC424">
            <v>0</v>
          </cell>
          <cell r="AD424">
            <v>0</v>
          </cell>
        </row>
        <row r="425">
          <cell r="P425">
            <v>1</v>
          </cell>
          <cell r="X425">
            <v>0</v>
          </cell>
          <cell r="Y425">
            <v>0</v>
          </cell>
          <cell r="AC425">
            <v>0</v>
          </cell>
          <cell r="AD425">
            <v>0</v>
          </cell>
        </row>
        <row r="426">
          <cell r="P426">
            <v>0</v>
          </cell>
          <cell r="X426">
            <v>0</v>
          </cell>
          <cell r="Y426">
            <v>0</v>
          </cell>
          <cell r="AC426">
            <v>0</v>
          </cell>
          <cell r="AD426">
            <v>0</v>
          </cell>
        </row>
        <row r="427">
          <cell r="P427">
            <v>0.66666666666666663</v>
          </cell>
          <cell r="X427">
            <v>0.66666666666666663</v>
          </cell>
          <cell r="Y427">
            <v>0</v>
          </cell>
          <cell r="AC427">
            <v>0.66666666666666663</v>
          </cell>
          <cell r="AD427">
            <v>0</v>
          </cell>
        </row>
        <row r="428">
          <cell r="P428">
            <v>0.66666666666666663</v>
          </cell>
          <cell r="X428">
            <v>0.66666666666666663</v>
          </cell>
          <cell r="Y428">
            <v>0</v>
          </cell>
          <cell r="AC428">
            <v>0.66666666666666663</v>
          </cell>
          <cell r="AD428">
            <v>0</v>
          </cell>
        </row>
        <row r="429">
          <cell r="P429">
            <v>4.666666666666667</v>
          </cell>
          <cell r="X429">
            <v>3</v>
          </cell>
          <cell r="Y429">
            <v>2</v>
          </cell>
          <cell r="AC429">
            <v>2</v>
          </cell>
          <cell r="AD429">
            <v>1</v>
          </cell>
        </row>
        <row r="430">
          <cell r="P430">
            <v>0</v>
          </cell>
          <cell r="X430">
            <v>0</v>
          </cell>
          <cell r="Y430">
            <v>0</v>
          </cell>
          <cell r="AC430">
            <v>0</v>
          </cell>
          <cell r="AD430">
            <v>0</v>
          </cell>
        </row>
        <row r="431">
          <cell r="P431">
            <v>0</v>
          </cell>
          <cell r="X431">
            <v>0</v>
          </cell>
          <cell r="Y431">
            <v>0</v>
          </cell>
          <cell r="AC431">
            <v>0</v>
          </cell>
          <cell r="AD431">
            <v>0</v>
          </cell>
        </row>
        <row r="432">
          <cell r="P432">
            <v>0</v>
          </cell>
          <cell r="X432">
            <v>0</v>
          </cell>
          <cell r="Y432">
            <v>0</v>
          </cell>
          <cell r="AC432">
            <v>0</v>
          </cell>
          <cell r="AD432">
            <v>0</v>
          </cell>
        </row>
        <row r="433">
          <cell r="P433">
            <v>0</v>
          </cell>
          <cell r="X433">
            <v>0</v>
          </cell>
          <cell r="Y433">
            <v>0</v>
          </cell>
          <cell r="AC433">
            <v>0</v>
          </cell>
          <cell r="AD433">
            <v>0</v>
          </cell>
        </row>
        <row r="434">
          <cell r="P434">
            <v>0</v>
          </cell>
          <cell r="X434">
            <v>0</v>
          </cell>
          <cell r="Y434">
            <v>0</v>
          </cell>
          <cell r="AC434">
            <v>0</v>
          </cell>
          <cell r="AD434">
            <v>0</v>
          </cell>
        </row>
        <row r="435">
          <cell r="P435">
            <v>1</v>
          </cell>
          <cell r="X435">
            <v>4</v>
          </cell>
          <cell r="Y435">
            <v>3</v>
          </cell>
          <cell r="AC435">
            <v>2</v>
          </cell>
          <cell r="AD435">
            <v>1</v>
          </cell>
        </row>
        <row r="436">
          <cell r="P436">
            <v>0</v>
          </cell>
          <cell r="X436">
            <v>0</v>
          </cell>
          <cell r="Y436">
            <v>0</v>
          </cell>
          <cell r="AC436">
            <v>0</v>
          </cell>
          <cell r="AD436">
            <v>0</v>
          </cell>
        </row>
        <row r="437">
          <cell r="P437">
            <v>0</v>
          </cell>
          <cell r="X437">
            <v>3.3333333333333335</v>
          </cell>
          <cell r="Y437">
            <v>2</v>
          </cell>
          <cell r="AC437">
            <v>0</v>
          </cell>
          <cell r="AD437">
            <v>0</v>
          </cell>
        </row>
        <row r="438">
          <cell r="P438">
            <v>0.33333333333333331</v>
          </cell>
          <cell r="X438">
            <v>0.33333333333333331</v>
          </cell>
          <cell r="Y438">
            <v>0</v>
          </cell>
          <cell r="AC438">
            <v>0.33333333333333331</v>
          </cell>
          <cell r="AD438">
            <v>0</v>
          </cell>
        </row>
        <row r="439">
          <cell r="P439">
            <v>0</v>
          </cell>
          <cell r="X439">
            <v>0</v>
          </cell>
          <cell r="Y439">
            <v>0</v>
          </cell>
          <cell r="AC439">
            <v>0</v>
          </cell>
          <cell r="AD439">
            <v>0</v>
          </cell>
        </row>
        <row r="440">
          <cell r="P440">
            <v>0</v>
          </cell>
          <cell r="X440">
            <v>0</v>
          </cell>
          <cell r="Y440">
            <v>0</v>
          </cell>
          <cell r="AC440">
            <v>0</v>
          </cell>
          <cell r="AD440">
            <v>0</v>
          </cell>
        </row>
        <row r="441">
          <cell r="P441">
            <v>0</v>
          </cell>
          <cell r="X441">
            <v>0</v>
          </cell>
          <cell r="Y441">
            <v>0</v>
          </cell>
          <cell r="AC441">
            <v>0</v>
          </cell>
          <cell r="AD441">
            <v>0</v>
          </cell>
        </row>
        <row r="442">
          <cell r="P442">
            <v>0</v>
          </cell>
          <cell r="X442">
            <v>0</v>
          </cell>
          <cell r="Y442">
            <v>0</v>
          </cell>
          <cell r="AC442">
            <v>0</v>
          </cell>
          <cell r="AD442">
            <v>0</v>
          </cell>
        </row>
        <row r="443">
          <cell r="P443">
            <v>0</v>
          </cell>
          <cell r="X443">
            <v>0</v>
          </cell>
          <cell r="Y443">
            <v>0</v>
          </cell>
          <cell r="AC443">
            <v>0</v>
          </cell>
          <cell r="AD443">
            <v>0</v>
          </cell>
        </row>
        <row r="444">
          <cell r="P444">
            <v>0</v>
          </cell>
          <cell r="X444">
            <v>0</v>
          </cell>
          <cell r="Y444">
            <v>0</v>
          </cell>
          <cell r="AC444">
            <v>0</v>
          </cell>
          <cell r="AD444">
            <v>0</v>
          </cell>
        </row>
        <row r="445">
          <cell r="P445">
            <v>0</v>
          </cell>
          <cell r="X445">
            <v>0</v>
          </cell>
          <cell r="Y445">
            <v>0</v>
          </cell>
          <cell r="AC445">
            <v>0</v>
          </cell>
          <cell r="AD445">
            <v>0</v>
          </cell>
        </row>
        <row r="446">
          <cell r="P446">
            <v>0</v>
          </cell>
          <cell r="X446">
            <v>0</v>
          </cell>
          <cell r="Y446">
            <v>0</v>
          </cell>
          <cell r="AC446">
            <v>0</v>
          </cell>
          <cell r="AD446">
            <v>0</v>
          </cell>
        </row>
      </sheetData>
      <sheetData sheetId="18" refreshError="1">
        <row r="1">
          <cell r="AE1" t="str">
            <v>'9 міс.'!</v>
          </cell>
        </row>
        <row r="8">
          <cell r="S8" t="str">
            <v>ЗАТВЕРДЖУЮ</v>
          </cell>
        </row>
        <row r="20">
          <cell r="W20" t="str">
            <v>ЗАТВЕРДЖУЮ</v>
          </cell>
        </row>
        <row r="21">
          <cell r="W21" t="str">
            <v>ГЕНЕРАЛЬНИЙ ДИРЕКТОР -</v>
          </cell>
        </row>
        <row r="22">
          <cell r="U22" t="str">
            <v>ЗАТВЕРДЖУЮ</v>
          </cell>
          <cell r="W22" t="str">
            <v>ГОЛОВА ПРАВЛІННЯ КЕ</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row>
        <row r="26">
          <cell r="W26" t="str">
            <v>ЗАТВЕРДЖУЮ</v>
          </cell>
        </row>
        <row r="27">
          <cell r="U27" t="str">
            <v>ГЕНЕРАЛЬНИЙ ДИРЕКТОР -</v>
          </cell>
        </row>
        <row r="28">
          <cell r="S28" t="str">
            <v>ЗАТВЕРДЖУЮ</v>
          </cell>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S29" t="str">
            <v>ГОЛОВА ПРАЛІННЯ  КЕ</v>
          </cell>
        </row>
        <row r="30">
          <cell r="U30" t="str">
            <v>ЗАТВЕРДЖУЮ</v>
          </cell>
        </row>
        <row r="31">
          <cell r="S31" t="str">
            <v>ЗАТВЕРДЖУЮ</v>
          </cell>
        </row>
        <row r="32">
          <cell r="Q32" t="str">
            <v>КТМ</v>
          </cell>
          <cell r="S32" t="str">
            <v>ГОЛОВА ПРАЛІННЯ  КЕ</v>
          </cell>
          <cell r="T32" t="str">
            <v>І.В.ПЛАЧКОВ</v>
          </cell>
          <cell r="V32" t="str">
            <v xml:space="preserve">ТЕЦ-5 </v>
          </cell>
          <cell r="AA32" t="str">
            <v xml:space="preserve">ТЕЦ-6 </v>
          </cell>
        </row>
        <row r="33">
          <cell r="P33">
            <v>25148</v>
          </cell>
          <cell r="W33" t="str">
            <v xml:space="preserve">                      ПЛАЧКОВ І.В.</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Q36" t="str">
            <v>Е/Е</v>
          </cell>
          <cell r="R36" t="str">
            <v xml:space="preserve"> Т/Е</v>
          </cell>
          <cell r="S36" t="str">
            <v xml:space="preserve">ТМ </v>
          </cell>
          <cell r="T36" t="str">
            <v>ВИРОБН</v>
          </cell>
          <cell r="U36" t="str">
            <v>ПЕРЕД</v>
          </cell>
          <cell r="V36" t="str">
            <v xml:space="preserve"> Т/Е</v>
          </cell>
          <cell r="W36" t="str">
            <v>АК КЕ ВСЬОГО</v>
          </cell>
          <cell r="X36" t="str">
            <v>ТЕЦ-5 ВСЬОГО</v>
          </cell>
          <cell r="Y36" t="str">
            <v>Е/Е</v>
          </cell>
          <cell r="Z36" t="str">
            <v xml:space="preserve"> Т/Е</v>
          </cell>
          <cell r="AA36" t="str">
            <v>СТАНЦІІ ТЕПЛОВІ</v>
          </cell>
          <cell r="AB36" t="str">
            <v>МЕРЕЖІ ЕЛЕКТРО</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Q37">
            <v>158</v>
          </cell>
          <cell r="U37" t="str">
            <v xml:space="preserve">                      ПЛАЧКОВ І.В.</v>
          </cell>
          <cell r="X37">
            <v>383</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X39">
            <v>0</v>
          </cell>
          <cell r="AJ39">
            <v>0</v>
          </cell>
          <cell r="AL39">
            <v>0</v>
          </cell>
        </row>
        <row r="40">
          <cell r="Q40">
            <v>145</v>
          </cell>
          <cell r="V40">
            <v>347.3</v>
          </cell>
          <cell r="X40">
            <v>199.5</v>
          </cell>
          <cell r="AL40">
            <v>0</v>
          </cell>
        </row>
        <row r="41">
          <cell r="V41">
            <v>0</v>
          </cell>
          <cell r="X41">
            <v>0</v>
          </cell>
          <cell r="AJ41">
            <v>0</v>
          </cell>
          <cell r="AL41">
            <v>395.6</v>
          </cell>
        </row>
        <row r="42">
          <cell r="P42">
            <v>0</v>
          </cell>
          <cell r="V42">
            <v>33</v>
          </cell>
          <cell r="X42">
            <v>0</v>
          </cell>
          <cell r="AJ42">
            <v>0</v>
          </cell>
          <cell r="AL42">
            <v>395.6</v>
          </cell>
        </row>
        <row r="43">
          <cell r="V43">
            <v>0</v>
          </cell>
          <cell r="X43">
            <v>480.7</v>
          </cell>
          <cell r="AJ43">
            <v>395.6</v>
          </cell>
          <cell r="AM43">
            <v>1580</v>
          </cell>
        </row>
        <row r="44">
          <cell r="P44">
            <v>0</v>
          </cell>
          <cell r="V44">
            <v>0</v>
          </cell>
          <cell r="X44">
            <v>480.7</v>
          </cell>
          <cell r="AJ44">
            <v>395.6</v>
          </cell>
          <cell r="AM44">
            <v>0</v>
          </cell>
        </row>
        <row r="45">
          <cell r="R45">
            <v>320</v>
          </cell>
          <cell r="V45">
            <v>350</v>
          </cell>
          <cell r="Y45">
            <v>930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Y46">
            <v>0</v>
          </cell>
          <cell r="AC46">
            <v>1815.6175757575729</v>
          </cell>
          <cell r="AF46">
            <v>5288.3842424242421</v>
          </cell>
          <cell r="AG46">
            <v>4487.3999999999996</v>
          </cell>
          <cell r="AH46">
            <v>801.98424242424232</v>
          </cell>
          <cell r="AK46">
            <v>0</v>
          </cell>
        </row>
        <row r="47">
          <cell r="F47">
            <v>0.8</v>
          </cell>
          <cell r="R47">
            <v>145</v>
          </cell>
          <cell r="W47">
            <v>385</v>
          </cell>
          <cell r="Y47">
            <v>812</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0.8</v>
          </cell>
          <cell r="G49">
            <v>201</v>
          </cell>
          <cell r="H49">
            <v>525</v>
          </cell>
          <cell r="P49">
            <v>0.8</v>
          </cell>
          <cell r="Q49" t="e">
            <v>#REF!</v>
          </cell>
          <cell r="R49">
            <v>145</v>
          </cell>
          <cell r="S49">
            <v>0.8</v>
          </cell>
          <cell r="T49">
            <v>445</v>
          </cell>
          <cell r="U49">
            <v>445</v>
          </cell>
          <cell r="V49">
            <v>84</v>
          </cell>
          <cell r="W49">
            <v>285</v>
          </cell>
          <cell r="X49">
            <v>0.8</v>
          </cell>
          <cell r="Y49">
            <v>147</v>
          </cell>
          <cell r="Z49">
            <v>127.66666666666663</v>
          </cell>
          <cell r="AA49" t="e">
            <v>#REF!</v>
          </cell>
          <cell r="AB49" t="e">
            <v>#REF!</v>
          </cell>
          <cell r="AC49">
            <v>0.8</v>
          </cell>
          <cell r="AD49">
            <v>107</v>
          </cell>
          <cell r="AE49">
            <v>157</v>
          </cell>
          <cell r="AF49">
            <v>0.8</v>
          </cell>
          <cell r="AG49">
            <v>493</v>
          </cell>
          <cell r="AH49">
            <v>43</v>
          </cell>
          <cell r="AK49">
            <v>3111.6666666666665</v>
          </cell>
          <cell r="AL49">
            <v>899</v>
          </cell>
          <cell r="AM49">
            <v>2212.6666666666665</v>
          </cell>
          <cell r="AN49">
            <v>2212.6666666666665</v>
          </cell>
          <cell r="AO49">
            <v>254</v>
          </cell>
          <cell r="AP49">
            <v>587</v>
          </cell>
        </row>
        <row r="50">
          <cell r="F50">
            <v>159</v>
          </cell>
          <cell r="G50">
            <v>44</v>
          </cell>
          <cell r="H50">
            <v>115</v>
          </cell>
          <cell r="P50">
            <v>260</v>
          </cell>
          <cell r="Q50">
            <v>2</v>
          </cell>
          <cell r="R50">
            <v>2</v>
          </cell>
          <cell r="S50">
            <v>650</v>
          </cell>
          <cell r="V50">
            <v>0</v>
          </cell>
          <cell r="W50">
            <v>298.7</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279</v>
          </cell>
          <cell r="H51">
            <v>433</v>
          </cell>
          <cell r="P51">
            <v>304.23599999999999</v>
          </cell>
          <cell r="Q51">
            <v>144</v>
          </cell>
          <cell r="R51">
            <v>80</v>
          </cell>
          <cell r="S51">
            <v>760.26666666666688</v>
          </cell>
          <cell r="T51">
            <v>380.13333333333344</v>
          </cell>
          <cell r="U51">
            <v>380.13333333333344</v>
          </cell>
          <cell r="V51">
            <v>433</v>
          </cell>
          <cell r="W51">
            <v>613.33333333333348</v>
          </cell>
          <cell r="X51">
            <v>196.8</v>
          </cell>
          <cell r="Y51">
            <v>139</v>
          </cell>
          <cell r="Z51">
            <v>57.800000000000011</v>
          </cell>
          <cell r="AA51">
            <v>2319</v>
          </cell>
          <cell r="AB51">
            <v>7435.3333333333339</v>
          </cell>
          <cell r="AC51">
            <v>104</v>
          </cell>
          <cell r="AD51">
            <v>54</v>
          </cell>
          <cell r="AE51">
            <v>50</v>
          </cell>
          <cell r="AF51">
            <v>398.13333333333344</v>
          </cell>
          <cell r="AG51">
            <v>300</v>
          </cell>
          <cell r="AH51">
            <v>98.133333333333439</v>
          </cell>
          <cell r="AI51">
            <v>2554.3026666666669</v>
          </cell>
          <cell r="AJ51">
            <v>931.23599999999999</v>
          </cell>
          <cell r="AK51">
            <v>1623.0666666666671</v>
          </cell>
          <cell r="AL51">
            <v>1623.0666666666668</v>
          </cell>
          <cell r="AM51">
            <v>193</v>
          </cell>
          <cell r="AN51">
            <v>366</v>
          </cell>
          <cell r="AO51">
            <v>738.23599999999999</v>
          </cell>
          <cell r="AP51">
            <v>1257.0666666666671</v>
          </cell>
        </row>
        <row r="52">
          <cell r="F52">
            <v>133</v>
          </cell>
          <cell r="G52">
            <v>52</v>
          </cell>
          <cell r="H52">
            <v>81</v>
          </cell>
          <cell r="P52">
            <v>300</v>
          </cell>
          <cell r="Q52">
            <v>4</v>
          </cell>
          <cell r="R52">
            <v>2</v>
          </cell>
          <cell r="S52">
            <v>603</v>
          </cell>
          <cell r="U52">
            <v>331</v>
          </cell>
          <cell r="V52">
            <v>0</v>
          </cell>
          <cell r="W52">
            <v>200</v>
          </cell>
          <cell r="X52">
            <v>115</v>
          </cell>
          <cell r="Y52">
            <v>81</v>
          </cell>
          <cell r="Z52">
            <v>34</v>
          </cell>
          <cell r="AC52">
            <v>96</v>
          </cell>
          <cell r="AD52">
            <v>50</v>
          </cell>
          <cell r="AE52">
            <v>46</v>
          </cell>
          <cell r="AF52">
            <v>361</v>
          </cell>
          <cell r="AG52">
            <v>11</v>
          </cell>
          <cell r="AH52">
            <v>0</v>
          </cell>
          <cell r="AI52">
            <v>1279</v>
          </cell>
          <cell r="AJ52">
            <v>511</v>
          </cell>
          <cell r="AK52">
            <v>768</v>
          </cell>
          <cell r="AL52">
            <v>786</v>
          </cell>
          <cell r="AM52">
            <v>494</v>
          </cell>
          <cell r="AN52">
            <v>494</v>
          </cell>
        </row>
        <row r="53">
          <cell r="F53">
            <v>2</v>
          </cell>
          <cell r="G53">
            <v>0</v>
          </cell>
          <cell r="H53">
            <v>1</v>
          </cell>
          <cell r="P53">
            <v>0</v>
          </cell>
          <cell r="Q53">
            <v>32</v>
          </cell>
          <cell r="R53">
            <v>18</v>
          </cell>
          <cell r="S53">
            <v>587.66666666666663</v>
          </cell>
          <cell r="T53">
            <v>458.38</v>
          </cell>
          <cell r="U53">
            <v>129.28666666666663</v>
          </cell>
          <cell r="V53">
            <v>60</v>
          </cell>
          <cell r="W53" t="e">
            <v>#REF!</v>
          </cell>
          <cell r="X53">
            <v>4</v>
          </cell>
          <cell r="Y53">
            <v>3</v>
          </cell>
          <cell r="Z53">
            <v>1</v>
          </cell>
          <cell r="AA53" t="e">
            <v>#REF!</v>
          </cell>
          <cell r="AB53" t="e">
            <v>#REF!</v>
          </cell>
          <cell r="AC53">
            <v>0</v>
          </cell>
          <cell r="AD53">
            <v>0</v>
          </cell>
          <cell r="AE53">
            <v>0</v>
          </cell>
          <cell r="AF53">
            <v>179.33333333333334</v>
          </cell>
          <cell r="AG53">
            <v>110</v>
          </cell>
          <cell r="AH53">
            <v>0</v>
          </cell>
          <cell r="AI53">
            <v>4</v>
          </cell>
          <cell r="AJ53">
            <v>3</v>
          </cell>
          <cell r="AK53">
            <v>1</v>
          </cell>
          <cell r="AL53">
            <v>1</v>
          </cell>
          <cell r="AM53">
            <v>1219</v>
          </cell>
          <cell r="AN53">
            <v>1219</v>
          </cell>
          <cell r="AO53">
            <v>532</v>
          </cell>
          <cell r="AP53">
            <v>720</v>
          </cell>
        </row>
        <row r="54">
          <cell r="F54">
            <v>570</v>
          </cell>
          <cell r="G54">
            <v>223</v>
          </cell>
          <cell r="H54">
            <v>347</v>
          </cell>
          <cell r="P54">
            <v>4</v>
          </cell>
          <cell r="Q54" t="e">
            <v>#REF!</v>
          </cell>
          <cell r="R54" t="e">
            <v>#REF!</v>
          </cell>
          <cell r="S54">
            <v>15</v>
          </cell>
          <cell r="T54">
            <v>13.666666666666666</v>
          </cell>
          <cell r="U54">
            <v>0</v>
          </cell>
          <cell r="V54">
            <v>20</v>
          </cell>
          <cell r="W54" t="e">
            <v>#REF!</v>
          </cell>
          <cell r="X54">
            <v>30</v>
          </cell>
          <cell r="Y54">
            <v>21</v>
          </cell>
          <cell r="Z54">
            <v>9</v>
          </cell>
          <cell r="AA54" t="e">
            <v>#REF!</v>
          </cell>
          <cell r="AB54" t="e">
            <v>#REF!</v>
          </cell>
          <cell r="AC54">
            <v>8</v>
          </cell>
          <cell r="AD54">
            <v>4</v>
          </cell>
          <cell r="AE54">
            <v>4</v>
          </cell>
          <cell r="AF54">
            <v>15</v>
          </cell>
          <cell r="AG54">
            <v>15</v>
          </cell>
          <cell r="AH54">
            <v>0</v>
          </cell>
          <cell r="AI54">
            <v>752</v>
          </cell>
          <cell r="AJ54">
            <v>362</v>
          </cell>
          <cell r="AK54">
            <v>390</v>
          </cell>
          <cell r="AL54">
            <v>390</v>
          </cell>
          <cell r="AM54">
            <v>324</v>
          </cell>
          <cell r="AN54">
            <v>324</v>
          </cell>
          <cell r="AO54">
            <v>350</v>
          </cell>
          <cell r="AP54">
            <v>315</v>
          </cell>
        </row>
        <row r="55">
          <cell r="F55">
            <v>2</v>
          </cell>
          <cell r="G55">
            <v>1</v>
          </cell>
          <cell r="H55">
            <v>1</v>
          </cell>
          <cell r="P55">
            <v>40.800000000000004</v>
          </cell>
          <cell r="Q55">
            <v>58</v>
          </cell>
          <cell r="R55">
            <v>32</v>
          </cell>
          <cell r="S55">
            <v>263.2</v>
          </cell>
          <cell r="T55">
            <v>205.29599999999999</v>
          </cell>
          <cell r="U55">
            <v>57.903999999999996</v>
          </cell>
          <cell r="V55">
            <v>552</v>
          </cell>
          <cell r="W55">
            <v>532</v>
          </cell>
          <cell r="X55">
            <v>790.40000000000009</v>
          </cell>
          <cell r="Y55">
            <v>560</v>
          </cell>
          <cell r="Z55">
            <v>230.40000000000009</v>
          </cell>
          <cell r="AA55">
            <v>2526</v>
          </cell>
          <cell r="AB55">
            <v>7785</v>
          </cell>
          <cell r="AC55">
            <v>64</v>
          </cell>
          <cell r="AD55">
            <v>34</v>
          </cell>
          <cell r="AE55">
            <v>30</v>
          </cell>
          <cell r="AF55">
            <v>157.33333333333334</v>
          </cell>
          <cell r="AG55">
            <v>108</v>
          </cell>
          <cell r="AH55">
            <v>49.333333333333343</v>
          </cell>
          <cell r="AI55">
            <v>1268.4000000000001</v>
          </cell>
          <cell r="AJ55">
            <v>635.79999999999995</v>
          </cell>
          <cell r="AK55">
            <v>632.60000000000014</v>
          </cell>
          <cell r="AL55">
            <v>632.60000000000014</v>
          </cell>
          <cell r="AM55">
            <v>594</v>
          </cell>
          <cell r="AN55">
            <v>350</v>
          </cell>
          <cell r="AO55">
            <v>41.799999999999955</v>
          </cell>
          <cell r="AP55">
            <v>282.60000000000014</v>
          </cell>
        </row>
        <row r="56">
          <cell r="F56">
            <v>0</v>
          </cell>
          <cell r="G56">
            <v>0</v>
          </cell>
          <cell r="H56">
            <v>0</v>
          </cell>
          <cell r="P56">
            <v>0</v>
          </cell>
          <cell r="Q56">
            <v>8</v>
          </cell>
          <cell r="R56">
            <v>4</v>
          </cell>
          <cell r="S56">
            <v>13.666666666666666</v>
          </cell>
          <cell r="T56">
            <v>13.666666666666666</v>
          </cell>
          <cell r="U56">
            <v>0</v>
          </cell>
          <cell r="V56">
            <v>410</v>
          </cell>
          <cell r="W56">
            <v>179</v>
          </cell>
          <cell r="X56">
            <v>708.80000000000007</v>
          </cell>
          <cell r="Y56">
            <v>502</v>
          </cell>
          <cell r="Z56">
            <v>206.80000000000007</v>
          </cell>
          <cell r="AA56">
            <v>902</v>
          </cell>
          <cell r="AB56">
            <v>2722</v>
          </cell>
          <cell r="AC56">
            <v>13.333333333333334</v>
          </cell>
          <cell r="AD56">
            <v>7</v>
          </cell>
          <cell r="AE56">
            <v>6.3333333333333339</v>
          </cell>
          <cell r="AF56">
            <v>0</v>
          </cell>
          <cell r="AG56">
            <v>0</v>
          </cell>
          <cell r="AH56">
            <v>0</v>
          </cell>
          <cell r="AI56">
            <v>735.80000000000007</v>
          </cell>
          <cell r="AJ56">
            <v>509</v>
          </cell>
          <cell r="AK56">
            <v>226.80000000000007</v>
          </cell>
          <cell r="AL56">
            <v>226.80000000000007</v>
          </cell>
          <cell r="AM56">
            <v>509</v>
          </cell>
          <cell r="AN56">
            <v>218</v>
          </cell>
          <cell r="AO56">
            <v>0</v>
          </cell>
          <cell r="AP56">
            <v>8.8000000000000682</v>
          </cell>
        </row>
        <row r="57">
          <cell r="F57">
            <v>0</v>
          </cell>
          <cell r="G57">
            <v>0</v>
          </cell>
          <cell r="H57">
            <v>0</v>
          </cell>
          <cell r="P57">
            <v>8271</v>
          </cell>
          <cell r="Q57">
            <v>5299</v>
          </cell>
          <cell r="R57">
            <v>2972</v>
          </cell>
          <cell r="S57">
            <v>1598</v>
          </cell>
          <cell r="T57">
            <v>1598</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11080</v>
          </cell>
          <cell r="AL57">
            <v>11080</v>
          </cell>
          <cell r="AM57">
            <v>15717</v>
          </cell>
          <cell r="AN57">
            <v>11080</v>
          </cell>
          <cell r="AO57">
            <v>0</v>
          </cell>
          <cell r="AP57">
            <v>0</v>
          </cell>
        </row>
        <row r="58">
          <cell r="F58">
            <v>0</v>
          </cell>
          <cell r="G58">
            <v>0</v>
          </cell>
          <cell r="H58">
            <v>0</v>
          </cell>
          <cell r="P58">
            <v>0</v>
          </cell>
          <cell r="Q58">
            <v>5299</v>
          </cell>
          <cell r="R58">
            <v>2972</v>
          </cell>
          <cell r="S58">
            <v>1598</v>
          </cell>
          <cell r="T58">
            <v>1598</v>
          </cell>
          <cell r="U58">
            <v>0</v>
          </cell>
          <cell r="V58">
            <v>12849</v>
          </cell>
          <cell r="W58">
            <v>7771</v>
          </cell>
          <cell r="X58">
            <v>13610</v>
          </cell>
          <cell r="Y58">
            <v>9645</v>
          </cell>
          <cell r="Z58">
            <v>3965</v>
          </cell>
          <cell r="AA58">
            <v>146826</v>
          </cell>
          <cell r="AB58">
            <v>294840</v>
          </cell>
          <cell r="AC58">
            <v>11589</v>
          </cell>
          <cell r="AD58">
            <v>6072</v>
          </cell>
          <cell r="AE58">
            <v>5517</v>
          </cell>
          <cell r="AF58">
            <v>0</v>
          </cell>
          <cell r="AG58">
            <v>0</v>
          </cell>
          <cell r="AH58">
            <v>0</v>
          </cell>
          <cell r="AI58">
            <v>26797</v>
          </cell>
          <cell r="AJ58">
            <v>15717</v>
          </cell>
          <cell r="AK58">
            <v>11080</v>
          </cell>
          <cell r="AL58">
            <v>11080</v>
          </cell>
          <cell r="AM58">
            <v>15717</v>
          </cell>
          <cell r="AN58">
            <v>11080</v>
          </cell>
          <cell r="AO58">
            <v>0</v>
          </cell>
          <cell r="AP58">
            <v>0</v>
          </cell>
        </row>
        <row r="59">
          <cell r="F59">
            <v>0</v>
          </cell>
          <cell r="G59">
            <v>0</v>
          </cell>
          <cell r="H59">
            <v>0</v>
          </cell>
          <cell r="P59">
            <v>562.25</v>
          </cell>
          <cell r="Q59">
            <v>0</v>
          </cell>
          <cell r="R59">
            <v>0</v>
          </cell>
          <cell r="S59">
            <v>1035.1836363636362</v>
          </cell>
          <cell r="T59">
            <v>0</v>
          </cell>
          <cell r="U59">
            <v>0</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0</v>
          </cell>
          <cell r="AG59">
            <v>1165</v>
          </cell>
          <cell r="AH59">
            <v>0</v>
          </cell>
          <cell r="AI59">
            <v>0</v>
          </cell>
          <cell r="AJ59">
            <v>0</v>
          </cell>
          <cell r="AK59">
            <v>0</v>
          </cell>
          <cell r="AL59">
            <v>0</v>
          </cell>
          <cell r="AM59">
            <v>2875.7209090909091</v>
          </cell>
          <cell r="AN59">
            <v>0</v>
          </cell>
          <cell r="AO59">
            <v>252</v>
          </cell>
          <cell r="AP59">
            <v>635</v>
          </cell>
        </row>
        <row r="60">
          <cell r="F60">
            <v>0</v>
          </cell>
          <cell r="G60">
            <v>0</v>
          </cell>
          <cell r="H60">
            <v>0</v>
          </cell>
          <cell r="P60">
            <v>11.200000000000001</v>
          </cell>
          <cell r="Q60">
            <v>0</v>
          </cell>
          <cell r="R60">
            <v>0</v>
          </cell>
          <cell r="S60">
            <v>267.2</v>
          </cell>
          <cell r="T60">
            <v>267.2</v>
          </cell>
          <cell r="U60">
            <v>0</v>
          </cell>
          <cell r="V60">
            <v>16</v>
          </cell>
          <cell r="W60">
            <v>350</v>
          </cell>
          <cell r="X60">
            <v>0</v>
          </cell>
          <cell r="Y60">
            <v>0</v>
          </cell>
          <cell r="Z60">
            <v>0</v>
          </cell>
          <cell r="AA60">
            <v>4344</v>
          </cell>
          <cell r="AB60">
            <v>11898</v>
          </cell>
          <cell r="AC60">
            <v>0</v>
          </cell>
          <cell r="AD60">
            <v>0</v>
          </cell>
          <cell r="AE60">
            <v>0</v>
          </cell>
          <cell r="AF60">
            <v>536</v>
          </cell>
          <cell r="AG60">
            <v>220</v>
          </cell>
          <cell r="AH60">
            <v>316</v>
          </cell>
          <cell r="AI60">
            <v>498.4</v>
          </cell>
          <cell r="AJ60">
            <v>11.200000000000001</v>
          </cell>
          <cell r="AK60">
            <v>487.2</v>
          </cell>
          <cell r="AL60">
            <v>487.2</v>
          </cell>
          <cell r="AM60">
            <v>0</v>
          </cell>
          <cell r="AN60">
            <v>91</v>
          </cell>
          <cell r="AO60">
            <v>11.200000000000001</v>
          </cell>
          <cell r="AP60">
            <v>396.2</v>
          </cell>
        </row>
        <row r="61">
          <cell r="F61">
            <v>393.697</v>
          </cell>
          <cell r="G61">
            <v>154</v>
          </cell>
          <cell r="H61">
            <v>239.697</v>
          </cell>
          <cell r="P61">
            <v>546.32000000000005</v>
          </cell>
          <cell r="Q61">
            <v>40</v>
          </cell>
          <cell r="R61">
            <v>22.423728813559308</v>
          </cell>
          <cell r="S61">
            <v>887.77454545454532</v>
          </cell>
          <cell r="T61">
            <v>435.00952727272721</v>
          </cell>
          <cell r="U61">
            <v>452.76501818181811</v>
          </cell>
          <cell r="V61">
            <v>748.3098245614035</v>
          </cell>
          <cell r="W61">
            <v>618.1254831995243</v>
          </cell>
          <cell r="X61">
            <v>296.28636363636366</v>
          </cell>
          <cell r="Y61">
            <v>210</v>
          </cell>
          <cell r="Z61">
            <v>86.28636363636366</v>
          </cell>
          <cell r="AA61">
            <v>2580</v>
          </cell>
          <cell r="AB61">
            <v>8244.1254831995248</v>
          </cell>
          <cell r="AC61">
            <v>275.39636363636367</v>
          </cell>
          <cell r="AD61">
            <v>144</v>
          </cell>
          <cell r="AE61">
            <v>131.39636363636367</v>
          </cell>
          <cell r="AF61">
            <v>1043.4872727272727</v>
          </cell>
          <cell r="AG61">
            <v>824.2</v>
          </cell>
          <cell r="AH61">
            <v>219.28727272727269</v>
          </cell>
          <cell r="AI61">
            <v>3532.6742727272731</v>
          </cell>
          <cell r="AJ61">
            <v>1273.3200000000002</v>
          </cell>
          <cell r="AK61">
            <v>2259.3542727272729</v>
          </cell>
          <cell r="AL61">
            <v>2259.3542727272725</v>
          </cell>
          <cell r="AM61">
            <v>354</v>
          </cell>
          <cell r="AN61">
            <v>520</v>
          </cell>
          <cell r="AO61">
            <v>919.32000000000016</v>
          </cell>
          <cell r="AP61">
            <v>1739.3542727272729</v>
          </cell>
        </row>
        <row r="62">
          <cell r="F62">
            <v>22</v>
          </cell>
          <cell r="G62">
            <v>9</v>
          </cell>
          <cell r="H62">
            <v>13</v>
          </cell>
          <cell r="P62">
            <v>30</v>
          </cell>
          <cell r="Q62">
            <v>2</v>
          </cell>
          <cell r="R62">
            <v>1</v>
          </cell>
          <cell r="S62">
            <v>49</v>
          </cell>
          <cell r="T62">
            <v>24</v>
          </cell>
          <cell r="U62">
            <v>25</v>
          </cell>
          <cell r="V62">
            <v>41</v>
          </cell>
          <cell r="W62">
            <v>34</v>
          </cell>
          <cell r="X62">
            <v>16</v>
          </cell>
          <cell r="Y62">
            <v>11</v>
          </cell>
          <cell r="Z62">
            <v>5</v>
          </cell>
          <cell r="AA62">
            <v>143</v>
          </cell>
          <cell r="AB62">
            <v>460</v>
          </cell>
          <cell r="AC62">
            <v>15</v>
          </cell>
          <cell r="AD62">
            <v>8</v>
          </cell>
          <cell r="AE62">
            <v>7</v>
          </cell>
          <cell r="AF62">
            <v>57</v>
          </cell>
          <cell r="AG62">
            <v>45</v>
          </cell>
          <cell r="AH62">
            <v>12</v>
          </cell>
          <cell r="AI62">
            <v>194</v>
          </cell>
          <cell r="AJ62">
            <v>70</v>
          </cell>
          <cell r="AK62">
            <v>124</v>
          </cell>
          <cell r="AL62">
            <v>124</v>
          </cell>
          <cell r="AM62">
            <v>19</v>
          </cell>
          <cell r="AN62">
            <v>22</v>
          </cell>
          <cell r="AO62">
            <v>51</v>
          </cell>
          <cell r="AP62">
            <v>102</v>
          </cell>
        </row>
        <row r="63">
          <cell r="F63">
            <v>126</v>
          </cell>
          <cell r="G63">
            <v>49</v>
          </cell>
          <cell r="H63">
            <v>77</v>
          </cell>
          <cell r="P63">
            <v>175</v>
          </cell>
          <cell r="Q63">
            <v>13</v>
          </cell>
          <cell r="R63">
            <v>8</v>
          </cell>
          <cell r="S63">
            <v>284</v>
          </cell>
          <cell r="T63">
            <v>139</v>
          </cell>
          <cell r="U63">
            <v>145</v>
          </cell>
          <cell r="V63">
            <v>240</v>
          </cell>
          <cell r="W63">
            <v>198</v>
          </cell>
          <cell r="X63">
            <v>95</v>
          </cell>
          <cell r="Y63">
            <v>67</v>
          </cell>
          <cell r="Z63">
            <v>28</v>
          </cell>
          <cell r="AA63">
            <v>825</v>
          </cell>
          <cell r="AB63">
            <v>2637</v>
          </cell>
          <cell r="AC63">
            <v>88</v>
          </cell>
          <cell r="AD63">
            <v>46</v>
          </cell>
          <cell r="AE63">
            <v>42</v>
          </cell>
          <cell r="AF63">
            <v>334</v>
          </cell>
          <cell r="AG63">
            <v>264</v>
          </cell>
          <cell r="AH63">
            <v>70</v>
          </cell>
          <cell r="AI63">
            <v>1131</v>
          </cell>
          <cell r="AJ63">
            <v>407</v>
          </cell>
          <cell r="AK63">
            <v>724</v>
          </cell>
          <cell r="AL63">
            <v>724</v>
          </cell>
          <cell r="AM63">
            <v>0</v>
          </cell>
          <cell r="AN63">
            <v>0</v>
          </cell>
          <cell r="AO63">
            <v>0</v>
          </cell>
          <cell r="AP63">
            <v>0</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row>
        <row r="65">
          <cell r="F65">
            <v>79</v>
          </cell>
          <cell r="G65">
            <v>31</v>
          </cell>
          <cell r="H65">
            <v>48</v>
          </cell>
          <cell r="P65">
            <v>520</v>
          </cell>
          <cell r="Q65">
            <v>285</v>
          </cell>
          <cell r="R65">
            <v>160</v>
          </cell>
          <cell r="S65">
            <v>1018</v>
          </cell>
          <cell r="T65">
            <v>162.88</v>
          </cell>
          <cell r="U65">
            <v>855.12</v>
          </cell>
          <cell r="V65">
            <v>973</v>
          </cell>
          <cell r="W65">
            <v>1131</v>
          </cell>
          <cell r="X65">
            <v>570</v>
          </cell>
          <cell r="Y65">
            <v>404</v>
          </cell>
          <cell r="Z65">
            <v>166</v>
          </cell>
          <cell r="AA65">
            <v>3962</v>
          </cell>
          <cell r="AB65">
            <v>14646</v>
          </cell>
          <cell r="AC65">
            <v>641</v>
          </cell>
          <cell r="AD65">
            <v>336</v>
          </cell>
          <cell r="AE65">
            <v>305</v>
          </cell>
          <cell r="AF65">
            <v>526</v>
          </cell>
          <cell r="AG65">
            <v>475</v>
          </cell>
          <cell r="AH65">
            <v>51</v>
          </cell>
          <cell r="AI65">
            <v>3313</v>
          </cell>
          <cell r="AJ65">
            <v>1298</v>
          </cell>
          <cell r="AK65">
            <v>2015</v>
          </cell>
          <cell r="AL65">
            <v>2015</v>
          </cell>
          <cell r="AM65">
            <v>740</v>
          </cell>
          <cell r="AN65">
            <v>817</v>
          </cell>
          <cell r="AO65">
            <v>558</v>
          </cell>
          <cell r="AP65">
            <v>1198</v>
          </cell>
        </row>
        <row r="66">
          <cell r="F66">
            <v>0</v>
          </cell>
          <cell r="G66">
            <v>0</v>
          </cell>
          <cell r="P66">
            <v>0</v>
          </cell>
          <cell r="Q66">
            <v>285</v>
          </cell>
          <cell r="R66">
            <v>160</v>
          </cell>
          <cell r="S66">
            <v>0</v>
          </cell>
          <cell r="T66">
            <v>16</v>
          </cell>
          <cell r="U66">
            <v>86</v>
          </cell>
          <cell r="V66">
            <v>914</v>
          </cell>
          <cell r="W66">
            <v>832</v>
          </cell>
          <cell r="X66">
            <v>0</v>
          </cell>
          <cell r="Y66" t="e">
            <v>#REF!</v>
          </cell>
          <cell r="Z66">
            <v>832</v>
          </cell>
          <cell r="AA66" t="e">
            <v>#REF!</v>
          </cell>
          <cell r="AB66">
            <v>832</v>
          </cell>
          <cell r="AC66">
            <v>0</v>
          </cell>
          <cell r="AD66">
            <v>0</v>
          </cell>
          <cell r="AH66">
            <v>0</v>
          </cell>
          <cell r="AI66">
            <v>0</v>
          </cell>
          <cell r="AK66">
            <v>0</v>
          </cell>
          <cell r="AL66">
            <v>0</v>
          </cell>
          <cell r="AM66">
            <v>74</v>
          </cell>
          <cell r="AN66">
            <v>82</v>
          </cell>
          <cell r="AO66">
            <v>56</v>
          </cell>
          <cell r="AP66">
            <v>120</v>
          </cell>
        </row>
        <row r="67">
          <cell r="F67">
            <v>84</v>
          </cell>
          <cell r="G67">
            <v>33</v>
          </cell>
          <cell r="H67">
            <v>51</v>
          </cell>
          <cell r="P67">
            <v>1291</v>
          </cell>
          <cell r="Q67">
            <v>0</v>
          </cell>
          <cell r="R67">
            <v>0</v>
          </cell>
          <cell r="S67">
            <v>4895</v>
          </cell>
          <cell r="T67">
            <v>146.88</v>
          </cell>
          <cell r="U67">
            <v>769.12</v>
          </cell>
          <cell r="V67">
            <v>54</v>
          </cell>
          <cell r="W67">
            <v>293</v>
          </cell>
          <cell r="X67">
            <v>290</v>
          </cell>
          <cell r="Y67">
            <v>304</v>
          </cell>
          <cell r="Z67">
            <v>265</v>
          </cell>
          <cell r="AB67">
            <v>293</v>
          </cell>
          <cell r="AC67">
            <v>85</v>
          </cell>
          <cell r="AD67">
            <v>213</v>
          </cell>
          <cell r="AE67">
            <v>314</v>
          </cell>
          <cell r="AF67">
            <v>5</v>
          </cell>
          <cell r="AG67">
            <v>5</v>
          </cell>
          <cell r="AH67">
            <v>0</v>
          </cell>
          <cell r="AI67">
            <v>6650</v>
          </cell>
          <cell r="AJ67">
            <v>1324</v>
          </cell>
          <cell r="AK67">
            <v>5326</v>
          </cell>
          <cell r="AL67">
            <v>4951</v>
          </cell>
          <cell r="AN67">
            <v>1346</v>
          </cell>
          <cell r="AO67">
            <v>465</v>
          </cell>
          <cell r="AP67">
            <v>552</v>
          </cell>
        </row>
        <row r="68">
          <cell r="F68">
            <v>0</v>
          </cell>
          <cell r="G68">
            <v>0</v>
          </cell>
          <cell r="H68">
            <v>94</v>
          </cell>
          <cell r="P68">
            <v>0</v>
          </cell>
          <cell r="Q68">
            <v>852</v>
          </cell>
          <cell r="R68">
            <v>478</v>
          </cell>
          <cell r="S68">
            <v>0</v>
          </cell>
          <cell r="T68">
            <v>542</v>
          </cell>
          <cell r="U68">
            <v>1626</v>
          </cell>
          <cell r="V68">
            <v>2249</v>
          </cell>
          <cell r="W68">
            <v>2344</v>
          </cell>
          <cell r="X68">
            <v>0</v>
          </cell>
          <cell r="Y68">
            <v>953</v>
          </cell>
          <cell r="Z68">
            <v>832</v>
          </cell>
          <cell r="AA68">
            <v>3910</v>
          </cell>
          <cell r="AB68">
            <v>15937</v>
          </cell>
          <cell r="AC68">
            <v>0</v>
          </cell>
          <cell r="AD68">
            <v>0</v>
          </cell>
          <cell r="AE68">
            <v>431</v>
          </cell>
          <cell r="AF68">
            <v>963</v>
          </cell>
          <cell r="AG68">
            <v>963</v>
          </cell>
          <cell r="AH68">
            <v>0</v>
          </cell>
          <cell r="AI68">
            <v>0</v>
          </cell>
          <cell r="AJ68">
            <v>0</v>
          </cell>
          <cell r="AK68">
            <v>0</v>
          </cell>
          <cell r="AL68">
            <v>0</v>
          </cell>
          <cell r="AM68">
            <v>4488</v>
          </cell>
          <cell r="AN68">
            <v>0</v>
          </cell>
          <cell r="AO68">
            <v>1245</v>
          </cell>
          <cell r="AP68">
            <v>2000</v>
          </cell>
        </row>
        <row r="69">
          <cell r="F69">
            <v>0</v>
          </cell>
          <cell r="G69">
            <v>0</v>
          </cell>
          <cell r="H69">
            <v>0</v>
          </cell>
          <cell r="P69">
            <v>-771</v>
          </cell>
          <cell r="Q69">
            <v>40</v>
          </cell>
          <cell r="R69">
            <v>23.192982456140342</v>
          </cell>
          <cell r="S69">
            <v>-3877</v>
          </cell>
          <cell r="T69">
            <v>146.88</v>
          </cell>
          <cell r="U69">
            <v>769.12</v>
          </cell>
          <cell r="V69">
            <v>158.07017543859649</v>
          </cell>
          <cell r="W69">
            <v>252.4912280701754</v>
          </cell>
          <cell r="X69">
            <v>280</v>
          </cell>
          <cell r="Y69">
            <v>404</v>
          </cell>
          <cell r="Z69">
            <v>166</v>
          </cell>
          <cell r="AA69">
            <v>948</v>
          </cell>
          <cell r="AB69">
            <v>3117.4912280701756</v>
          </cell>
          <cell r="AC69">
            <v>556</v>
          </cell>
          <cell r="AD69">
            <v>336</v>
          </cell>
          <cell r="AE69">
            <v>305</v>
          </cell>
          <cell r="AF69">
            <v>521</v>
          </cell>
          <cell r="AG69">
            <v>470</v>
          </cell>
          <cell r="AH69">
            <v>51</v>
          </cell>
          <cell r="AI69">
            <v>-3332</v>
          </cell>
          <cell r="AK69">
            <v>862.81818181818176</v>
          </cell>
          <cell r="AL69">
            <v>-2933</v>
          </cell>
          <cell r="AM69">
            <v>666</v>
          </cell>
          <cell r="AN69">
            <v>-611</v>
          </cell>
          <cell r="AO69">
            <v>502</v>
          </cell>
          <cell r="AP69">
            <v>1078</v>
          </cell>
        </row>
        <row r="70">
          <cell r="F70">
            <v>328</v>
          </cell>
          <cell r="G70">
            <v>128</v>
          </cell>
          <cell r="H70">
            <v>200</v>
          </cell>
          <cell r="P70">
            <v>870.40000000000009</v>
          </cell>
          <cell r="Q70">
            <v>2</v>
          </cell>
          <cell r="R70">
            <v>1</v>
          </cell>
          <cell r="S70">
            <v>1918.4</v>
          </cell>
          <cell r="T70">
            <v>479.6</v>
          </cell>
          <cell r="U70">
            <v>1438.8000000000002</v>
          </cell>
          <cell r="V70">
            <v>9</v>
          </cell>
          <cell r="W70">
            <v>13</v>
          </cell>
          <cell r="X70">
            <v>903.2</v>
          </cell>
          <cell r="Y70">
            <v>640</v>
          </cell>
          <cell r="Z70">
            <v>263.20000000000005</v>
          </cell>
          <cell r="AA70">
            <v>51</v>
          </cell>
          <cell r="AB70">
            <v>188</v>
          </cell>
          <cell r="AC70">
            <v>622.4</v>
          </cell>
          <cell r="AD70">
            <v>326</v>
          </cell>
          <cell r="AE70">
            <v>296.39999999999998</v>
          </cell>
          <cell r="AF70">
            <v>1475</v>
          </cell>
          <cell r="AG70">
            <v>1475</v>
          </cell>
          <cell r="AH70">
            <v>0</v>
          </cell>
          <cell r="AI70">
            <v>6117.4</v>
          </cell>
          <cell r="AJ70">
            <v>1964.4</v>
          </cell>
          <cell r="AK70">
            <v>4153</v>
          </cell>
          <cell r="AL70">
            <v>4153</v>
          </cell>
          <cell r="AM70">
            <v>966</v>
          </cell>
          <cell r="AN70">
            <v>1212</v>
          </cell>
          <cell r="AO70">
            <v>998.40000000000009</v>
          </cell>
          <cell r="AP70">
            <v>2941</v>
          </cell>
        </row>
        <row r="71">
          <cell r="F71">
            <v>0</v>
          </cell>
          <cell r="G71">
            <v>0</v>
          </cell>
          <cell r="H71">
            <v>0</v>
          </cell>
          <cell r="P71">
            <v>65</v>
          </cell>
          <cell r="Q71">
            <v>13</v>
          </cell>
          <cell r="R71">
            <v>7</v>
          </cell>
          <cell r="S71">
            <v>494.54545454545456</v>
          </cell>
          <cell r="U71">
            <v>133</v>
          </cell>
          <cell r="V71">
            <v>51</v>
          </cell>
          <cell r="W71">
            <v>82</v>
          </cell>
          <cell r="X71">
            <v>172.36363636363637</v>
          </cell>
          <cell r="Y71">
            <v>122</v>
          </cell>
          <cell r="Z71">
            <v>50.363636363636374</v>
          </cell>
          <cell r="AA71">
            <v>303</v>
          </cell>
          <cell r="AB71">
            <v>978</v>
          </cell>
          <cell r="AC71">
            <v>116.36363636363636</v>
          </cell>
          <cell r="AD71">
            <v>61</v>
          </cell>
          <cell r="AE71">
            <v>55.36363636363636</v>
          </cell>
          <cell r="AF71">
            <v>215.27272727272728</v>
          </cell>
          <cell r="AG71">
            <v>215</v>
          </cell>
          <cell r="AH71">
            <v>0.27272727272728048</v>
          </cell>
          <cell r="AI71">
            <v>1063.2727272727273</v>
          </cell>
          <cell r="AJ71">
            <v>248</v>
          </cell>
          <cell r="AK71">
            <v>815.27272727272725</v>
          </cell>
          <cell r="AL71">
            <v>815.27272727272737</v>
          </cell>
          <cell r="AM71">
            <v>206</v>
          </cell>
          <cell r="AN71">
            <v>206</v>
          </cell>
        </row>
        <row r="72">
          <cell r="F72">
            <v>0</v>
          </cell>
          <cell r="G72">
            <v>0</v>
          </cell>
          <cell r="H72">
            <v>0</v>
          </cell>
          <cell r="P72">
            <v>4</v>
          </cell>
          <cell r="Q72">
            <v>2</v>
          </cell>
          <cell r="R72">
            <v>1</v>
          </cell>
          <cell r="S72">
            <v>27</v>
          </cell>
          <cell r="U72">
            <v>19</v>
          </cell>
          <cell r="V72">
            <v>7</v>
          </cell>
          <cell r="W72">
            <v>12</v>
          </cell>
          <cell r="X72">
            <v>9</v>
          </cell>
          <cell r="Y72">
            <v>6</v>
          </cell>
          <cell r="Z72">
            <v>3</v>
          </cell>
          <cell r="AA72">
            <v>48</v>
          </cell>
          <cell r="AB72">
            <v>232</v>
          </cell>
          <cell r="AC72">
            <v>6</v>
          </cell>
          <cell r="AD72">
            <v>3</v>
          </cell>
          <cell r="AE72">
            <v>3</v>
          </cell>
          <cell r="AF72">
            <v>12</v>
          </cell>
          <cell r="AG72">
            <v>12</v>
          </cell>
          <cell r="AH72">
            <v>0</v>
          </cell>
          <cell r="AI72">
            <v>58</v>
          </cell>
          <cell r="AJ72">
            <v>13</v>
          </cell>
          <cell r="AK72">
            <v>45</v>
          </cell>
          <cell r="AL72">
            <v>45</v>
          </cell>
          <cell r="AM72">
            <v>0</v>
          </cell>
          <cell r="AN72">
            <v>0</v>
          </cell>
        </row>
        <row r="73">
          <cell r="F73">
            <v>0</v>
          </cell>
          <cell r="G73">
            <v>0</v>
          </cell>
          <cell r="H73">
            <v>0</v>
          </cell>
          <cell r="P73">
            <v>21</v>
          </cell>
          <cell r="Q73">
            <v>849</v>
          </cell>
          <cell r="R73">
            <v>476</v>
          </cell>
          <cell r="S73">
            <v>158</v>
          </cell>
          <cell r="T73">
            <v>51</v>
          </cell>
          <cell r="U73">
            <v>4085</v>
          </cell>
          <cell r="V73">
            <v>1841</v>
          </cell>
          <cell r="W73">
            <v>2244</v>
          </cell>
          <cell r="X73">
            <v>55</v>
          </cell>
          <cell r="Y73">
            <v>39</v>
          </cell>
          <cell r="Z73">
            <v>16</v>
          </cell>
          <cell r="AA73" t="e">
            <v>#REF!</v>
          </cell>
          <cell r="AB73">
            <v>2244</v>
          </cell>
          <cell r="AC73">
            <v>37</v>
          </cell>
          <cell r="AD73">
            <v>19</v>
          </cell>
          <cell r="AE73">
            <v>18</v>
          </cell>
          <cell r="AF73">
            <v>69</v>
          </cell>
          <cell r="AG73">
            <v>69</v>
          </cell>
          <cell r="AH73">
            <v>0</v>
          </cell>
          <cell r="AI73">
            <v>340</v>
          </cell>
          <cell r="AJ73">
            <v>79</v>
          </cell>
          <cell r="AK73">
            <v>261</v>
          </cell>
          <cell r="AL73">
            <v>261</v>
          </cell>
          <cell r="AM73">
            <v>3297</v>
          </cell>
          <cell r="AN73">
            <v>3297</v>
          </cell>
        </row>
        <row r="74">
          <cell r="F74">
            <v>0</v>
          </cell>
          <cell r="G74">
            <v>0</v>
          </cell>
          <cell r="P74">
            <v>63</v>
          </cell>
          <cell r="Q74">
            <v>3</v>
          </cell>
          <cell r="R74">
            <v>2</v>
          </cell>
          <cell r="S74">
            <v>0</v>
          </cell>
          <cell r="U74">
            <v>494</v>
          </cell>
          <cell r="V74">
            <v>3</v>
          </cell>
          <cell r="W74">
            <v>491</v>
          </cell>
          <cell r="X74">
            <v>0</v>
          </cell>
          <cell r="Y74" t="e">
            <v>#REF!</v>
          </cell>
          <cell r="Z74">
            <v>0</v>
          </cell>
          <cell r="AA74" t="e">
            <v>#REF!</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0</v>
          </cell>
          <cell r="H75">
            <v>1993</v>
          </cell>
          <cell r="P75">
            <v>870.40000000000009</v>
          </cell>
          <cell r="Q75">
            <v>20</v>
          </cell>
          <cell r="R75">
            <v>11</v>
          </cell>
          <cell r="S75">
            <v>0</v>
          </cell>
          <cell r="T75">
            <v>100.1</v>
          </cell>
          <cell r="U75">
            <v>142.56666666666666</v>
          </cell>
          <cell r="V75">
            <v>635</v>
          </cell>
          <cell r="W75">
            <v>2284.666666666667</v>
          </cell>
          <cell r="X75">
            <v>0</v>
          </cell>
          <cell r="Y75">
            <v>0</v>
          </cell>
          <cell r="Z75">
            <v>0</v>
          </cell>
          <cell r="AA75">
            <v>5795</v>
          </cell>
          <cell r="AB75">
            <v>23945.666666666668</v>
          </cell>
          <cell r="AC75">
            <v>0</v>
          </cell>
          <cell r="AD75">
            <v>0</v>
          </cell>
          <cell r="AE75">
            <v>0</v>
          </cell>
          <cell r="AF75">
            <v>0</v>
          </cell>
          <cell r="AG75">
            <v>0</v>
          </cell>
          <cell r="AH75">
            <v>0</v>
          </cell>
          <cell r="AI75">
            <v>870.40000000000009</v>
          </cell>
          <cell r="AJ75">
            <v>870.40000000000009</v>
          </cell>
          <cell r="AK75">
            <v>0</v>
          </cell>
          <cell r="AL75">
            <v>0</v>
          </cell>
          <cell r="AM75">
            <v>2713.0666666666666</v>
          </cell>
          <cell r="AN75">
            <v>2713.0666666666666</v>
          </cell>
          <cell r="AO75">
            <v>75</v>
          </cell>
          <cell r="AP75">
            <v>166</v>
          </cell>
        </row>
        <row r="76">
          <cell r="F76">
            <v>193</v>
          </cell>
          <cell r="G76">
            <v>0</v>
          </cell>
          <cell r="H76">
            <v>140</v>
          </cell>
          <cell r="P76">
            <v>935</v>
          </cell>
          <cell r="Q76" t="e">
            <v>#REF!</v>
          </cell>
          <cell r="R76" t="e">
            <v>#REF!</v>
          </cell>
          <cell r="S76">
            <v>4732.8</v>
          </cell>
          <cell r="T76">
            <v>0</v>
          </cell>
          <cell r="U76">
            <v>0</v>
          </cell>
          <cell r="V76">
            <v>0</v>
          </cell>
          <cell r="W76">
            <v>0</v>
          </cell>
          <cell r="X76">
            <v>80</v>
          </cell>
          <cell r="Y76">
            <v>0</v>
          </cell>
          <cell r="Z76">
            <v>0</v>
          </cell>
          <cell r="AA76">
            <v>0</v>
          </cell>
          <cell r="AB76">
            <v>401</v>
          </cell>
          <cell r="AC76">
            <v>85</v>
          </cell>
          <cell r="AD76">
            <v>45</v>
          </cell>
          <cell r="AE76">
            <v>40</v>
          </cell>
          <cell r="AF76">
            <v>0</v>
          </cell>
          <cell r="AH76">
            <v>0</v>
          </cell>
          <cell r="AI76">
            <v>5832.8</v>
          </cell>
          <cell r="AJ76">
            <v>980</v>
          </cell>
          <cell r="AK76">
            <v>4852.8</v>
          </cell>
          <cell r="AL76">
            <v>4772.8</v>
          </cell>
          <cell r="AM76">
            <v>140</v>
          </cell>
          <cell r="AN76">
            <v>140</v>
          </cell>
          <cell r="AO76">
            <v>0</v>
          </cell>
          <cell r="AP76">
            <v>0</v>
          </cell>
        </row>
        <row r="77">
          <cell r="F77">
            <v>3985.5</v>
          </cell>
          <cell r="G77">
            <v>1559</v>
          </cell>
          <cell r="H77">
            <v>2426.5</v>
          </cell>
          <cell r="P77">
            <v>88.2</v>
          </cell>
          <cell r="Q77">
            <v>20</v>
          </cell>
          <cell r="R77">
            <v>11</v>
          </cell>
          <cell r="S77">
            <v>201.86666666666662</v>
          </cell>
          <cell r="T77">
            <v>80.431999999999974</v>
          </cell>
          <cell r="U77">
            <v>121.43466666666664</v>
          </cell>
          <cell r="V77">
            <v>635</v>
          </cell>
          <cell r="W77">
            <v>2284.666666666667</v>
          </cell>
          <cell r="X77">
            <v>84.800000000000011</v>
          </cell>
          <cell r="Y77">
            <v>60</v>
          </cell>
          <cell r="Z77">
            <v>24.800000000000011</v>
          </cell>
          <cell r="AA77">
            <v>5796</v>
          </cell>
          <cell r="AB77">
            <v>23529.666666666668</v>
          </cell>
          <cell r="AC77">
            <v>135.4</v>
          </cell>
          <cell r="AD77">
            <v>71</v>
          </cell>
          <cell r="AE77">
            <v>64.400000000000006</v>
          </cell>
          <cell r="AF77">
            <v>168</v>
          </cell>
          <cell r="AG77">
            <v>140</v>
          </cell>
          <cell r="AH77">
            <v>28</v>
          </cell>
          <cell r="AI77">
            <v>5147.7666666666664</v>
          </cell>
          <cell r="AJ77">
            <v>2074.1999999999998</v>
          </cell>
          <cell r="AK77">
            <v>3073.5666666666666</v>
          </cell>
          <cell r="AL77">
            <v>3072.5666666666671</v>
          </cell>
          <cell r="AM77">
            <v>131</v>
          </cell>
          <cell r="AN77">
            <v>158</v>
          </cell>
          <cell r="AO77">
            <v>1943.2</v>
          </cell>
          <cell r="AP77">
            <v>2915.5666666666666</v>
          </cell>
        </row>
        <row r="78">
          <cell r="F78">
            <v>295</v>
          </cell>
          <cell r="G78">
            <v>115</v>
          </cell>
          <cell r="H78">
            <v>180</v>
          </cell>
          <cell r="P78">
            <v>72.666666666666671</v>
          </cell>
          <cell r="Q78">
            <v>20</v>
          </cell>
          <cell r="R78">
            <v>11</v>
          </cell>
          <cell r="S78">
            <v>151.66666666666666</v>
          </cell>
          <cell r="T78">
            <v>0</v>
          </cell>
          <cell r="U78">
            <v>0</v>
          </cell>
          <cell r="V78">
            <v>373</v>
          </cell>
          <cell r="W78">
            <v>330</v>
          </cell>
          <cell r="X78">
            <v>57</v>
          </cell>
          <cell r="Y78">
            <v>0</v>
          </cell>
          <cell r="Z78">
            <v>0</v>
          </cell>
          <cell r="AB78">
            <v>330</v>
          </cell>
          <cell r="AC78">
            <v>37</v>
          </cell>
          <cell r="AD78">
            <v>28</v>
          </cell>
          <cell r="AE78">
            <v>0</v>
          </cell>
          <cell r="AF78">
            <v>136.66666666666666</v>
          </cell>
          <cell r="AG78">
            <v>119</v>
          </cell>
          <cell r="AH78">
            <v>0</v>
          </cell>
          <cell r="AI78" t="e">
            <v>#REF!</v>
          </cell>
          <cell r="AJ78">
            <v>115</v>
          </cell>
          <cell r="AK78" t="e">
            <v>#REF!</v>
          </cell>
          <cell r="AL78">
            <v>180</v>
          </cell>
          <cell r="AM78">
            <v>0</v>
          </cell>
          <cell r="AN78">
            <v>0</v>
          </cell>
          <cell r="AO78">
            <v>115</v>
          </cell>
          <cell r="AP78" t="e">
            <v>#REF!</v>
          </cell>
        </row>
        <row r="79">
          <cell r="F79">
            <v>3690.5</v>
          </cell>
          <cell r="G79">
            <v>1444</v>
          </cell>
          <cell r="H79">
            <v>2246.5</v>
          </cell>
          <cell r="P79">
            <v>88.2</v>
          </cell>
          <cell r="Q79" t="e">
            <v>#REF!</v>
          </cell>
          <cell r="S79">
            <v>201.86666666666662</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2893.5666666666666</v>
          </cell>
          <cell r="AL79">
            <v>2892.5666666666671</v>
          </cell>
          <cell r="AM79">
            <v>131</v>
          </cell>
          <cell r="AN79">
            <v>158</v>
          </cell>
          <cell r="AO79">
            <v>1828.2</v>
          </cell>
          <cell r="AP79">
            <v>2735.5666666666666</v>
          </cell>
        </row>
        <row r="80">
          <cell r="F80">
            <v>684</v>
          </cell>
          <cell r="G80">
            <v>268</v>
          </cell>
          <cell r="H80">
            <v>416</v>
          </cell>
          <cell r="P80">
            <v>63.2</v>
          </cell>
          <cell r="Q80" t="e">
            <v>#REF!</v>
          </cell>
          <cell r="R80" t="e">
            <v>#REF!</v>
          </cell>
          <cell r="S80">
            <v>121.86666666666663</v>
          </cell>
          <cell r="T80">
            <v>80.431999999999974</v>
          </cell>
          <cell r="U80">
            <v>41.434666666666658</v>
          </cell>
          <cell r="V80">
            <v>0</v>
          </cell>
          <cell r="W80">
            <v>0</v>
          </cell>
          <cell r="X80">
            <v>65.600000000000009</v>
          </cell>
          <cell r="Y80">
            <v>46</v>
          </cell>
          <cell r="Z80">
            <v>19.600000000000009</v>
          </cell>
          <cell r="AA80" t="e">
            <v>#REF!</v>
          </cell>
          <cell r="AB80" t="e">
            <v>#REF!</v>
          </cell>
          <cell r="AC80">
            <v>27.200000000000003</v>
          </cell>
          <cell r="AD80">
            <v>14</v>
          </cell>
          <cell r="AE80">
            <v>13.200000000000003</v>
          </cell>
          <cell r="AF80">
            <v>110.4</v>
          </cell>
          <cell r="AG80">
            <v>95</v>
          </cell>
          <cell r="AH80">
            <v>15.400000000000006</v>
          </cell>
          <cell r="AI80">
            <v>1201.8666666666668</v>
          </cell>
          <cell r="AJ80">
            <v>525.20000000000005</v>
          </cell>
          <cell r="AK80">
            <v>676.66666666666674</v>
          </cell>
          <cell r="AL80">
            <v>676.66666666666674</v>
          </cell>
          <cell r="AM80">
            <v>308.39999999999992</v>
          </cell>
          <cell r="AN80">
            <v>308.39999999999992</v>
          </cell>
          <cell r="AP80">
            <v>676.66666666666674</v>
          </cell>
        </row>
        <row r="81">
          <cell r="F81">
            <v>33</v>
          </cell>
          <cell r="G81">
            <v>137</v>
          </cell>
          <cell r="H81">
            <v>33</v>
          </cell>
          <cell r="P81">
            <v>0</v>
          </cell>
          <cell r="S81">
            <v>0</v>
          </cell>
          <cell r="U81">
            <v>65</v>
          </cell>
          <cell r="V81">
            <v>30</v>
          </cell>
          <cell r="W81">
            <v>35</v>
          </cell>
          <cell r="X81">
            <v>25.333333333333332</v>
          </cell>
          <cell r="Y81">
            <v>14</v>
          </cell>
          <cell r="Z81">
            <v>11.333333333333332</v>
          </cell>
          <cell r="AA81" t="e">
            <v>#REF!</v>
          </cell>
          <cell r="AB81" t="e">
            <v>#REF!</v>
          </cell>
          <cell r="AC81">
            <v>25</v>
          </cell>
          <cell r="AD81">
            <v>10</v>
          </cell>
          <cell r="AE81">
            <v>15</v>
          </cell>
          <cell r="AF81">
            <v>53</v>
          </cell>
          <cell r="AG81">
            <v>26</v>
          </cell>
          <cell r="AH81">
            <v>27</v>
          </cell>
          <cell r="AI81">
            <v>389</v>
          </cell>
          <cell r="AJ81">
            <v>156</v>
          </cell>
          <cell r="AK81">
            <v>233</v>
          </cell>
          <cell r="AL81">
            <v>233</v>
          </cell>
          <cell r="AM81">
            <v>468</v>
          </cell>
          <cell r="AN81">
            <v>468</v>
          </cell>
          <cell r="AP81">
            <v>233</v>
          </cell>
        </row>
        <row r="82">
          <cell r="F82">
            <v>239</v>
          </cell>
          <cell r="G82">
            <v>94</v>
          </cell>
          <cell r="H82">
            <v>145</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220.2</v>
          </cell>
          <cell r="AL82">
            <v>219.2</v>
          </cell>
          <cell r="AM82">
            <v>0</v>
          </cell>
          <cell r="AN82">
            <v>0</v>
          </cell>
        </row>
        <row r="83">
          <cell r="F83">
            <v>2158.5</v>
          </cell>
          <cell r="G83">
            <v>845</v>
          </cell>
          <cell r="H83">
            <v>1313.5</v>
          </cell>
          <cell r="P83">
            <v>20</v>
          </cell>
          <cell r="S83">
            <v>40</v>
          </cell>
          <cell r="U83">
            <v>14098.435307760927</v>
          </cell>
          <cell r="V83">
            <v>5945.3098245614019</v>
          </cell>
          <cell r="W83">
            <v>8153.1254831995248</v>
          </cell>
          <cell r="X83">
            <v>19.200000000000003</v>
          </cell>
          <cell r="Y83">
            <v>14</v>
          </cell>
          <cell r="Z83">
            <v>5.2000000000000028</v>
          </cell>
          <cell r="AA83">
            <v>0</v>
          </cell>
          <cell r="AB83">
            <v>0</v>
          </cell>
          <cell r="AC83">
            <v>81</v>
          </cell>
          <cell r="AD83">
            <v>42</v>
          </cell>
          <cell r="AE83">
            <v>39</v>
          </cell>
          <cell r="AF83">
            <v>32</v>
          </cell>
          <cell r="AG83">
            <v>25</v>
          </cell>
          <cell r="AH83">
            <v>7</v>
          </cell>
          <cell r="AI83" t="e">
            <v>#REF!</v>
          </cell>
          <cell r="AJ83" t="e">
            <v>#REF!</v>
          </cell>
          <cell r="AK83" t="e">
            <v>#REF!</v>
          </cell>
          <cell r="AL83">
            <v>1425.7</v>
          </cell>
          <cell r="AM83">
            <v>42</v>
          </cell>
          <cell r="AN83">
            <v>38</v>
          </cell>
        </row>
        <row r="84">
          <cell r="F84">
            <v>576</v>
          </cell>
          <cell r="G84">
            <v>1171</v>
          </cell>
          <cell r="H84">
            <v>576</v>
          </cell>
          <cell r="P84">
            <v>2451.9166666666665</v>
          </cell>
          <cell r="Q84">
            <v>0</v>
          </cell>
          <cell r="R84">
            <v>0</v>
          </cell>
          <cell r="S84">
            <v>19113.516969696972</v>
          </cell>
          <cell r="T84">
            <v>15189.599981818181</v>
          </cell>
          <cell r="U84">
            <v>3923.9169878787875</v>
          </cell>
          <cell r="V84">
            <v>563</v>
          </cell>
          <cell r="W84" t="e">
            <v>#REF!</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t="e">
            <v>#REF!</v>
          </cell>
          <cell r="AL84">
            <v>576</v>
          </cell>
          <cell r="AM84">
            <v>44571.454242424239</v>
          </cell>
          <cell r="AN84">
            <v>44569.454242424246</v>
          </cell>
          <cell r="AO84">
            <v>19618</v>
          </cell>
          <cell r="AP84">
            <v>31013</v>
          </cell>
        </row>
        <row r="85">
          <cell r="F85">
            <v>587</v>
          </cell>
          <cell r="G85">
            <v>0</v>
          </cell>
          <cell r="H85">
            <v>0</v>
          </cell>
          <cell r="P85">
            <v>9.6000000000000014</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0</v>
          </cell>
          <cell r="AI85" t="e">
            <v>#REF!</v>
          </cell>
          <cell r="AJ85">
            <v>10.600000000000001</v>
          </cell>
          <cell r="AK85" t="e">
            <v>#REF!</v>
          </cell>
          <cell r="AL85">
            <v>44</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26170.787606060603</v>
          </cell>
          <cell r="AM86">
            <v>18714</v>
          </cell>
          <cell r="AN86">
            <v>14616</v>
          </cell>
          <cell r="AO86">
            <v>5261.1559999999999</v>
          </cell>
          <cell r="AP86">
            <v>10831.787606060607</v>
          </cell>
        </row>
        <row r="87">
          <cell r="F87">
            <v>393.697</v>
          </cell>
          <cell r="G87">
            <v>154</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3074.6270000000004</v>
          </cell>
          <cell r="AL87">
            <v>653.10700000000008</v>
          </cell>
          <cell r="AM87">
            <v>0</v>
          </cell>
          <cell r="AN87">
            <v>0</v>
          </cell>
          <cell r="AO87">
            <v>0</v>
          </cell>
          <cell r="AP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0</v>
          </cell>
          <cell r="AM88">
            <v>44571.454242424239</v>
          </cell>
          <cell r="AN88">
            <v>44569.454242424246</v>
          </cell>
          <cell r="AO88">
            <v>19618</v>
          </cell>
          <cell r="AP88">
            <v>31013</v>
          </cell>
        </row>
        <row r="89">
          <cell r="F89">
            <v>5607</v>
          </cell>
          <cell r="G89">
            <v>5607</v>
          </cell>
          <cell r="H89">
            <v>0</v>
          </cell>
          <cell r="P89">
            <v>0</v>
          </cell>
          <cell r="Q89">
            <v>0</v>
          </cell>
          <cell r="R89">
            <v>0</v>
          </cell>
          <cell r="S89">
            <v>0</v>
          </cell>
          <cell r="T89">
            <v>824</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row>
        <row r="90">
          <cell r="F90">
            <v>11255.197</v>
          </cell>
          <cell r="G90">
            <v>7817</v>
          </cell>
          <cell r="H90">
            <v>3438.1970000000001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843.7539393939395</v>
          </cell>
          <cell r="AI90">
            <v>56160.943606060609</v>
          </cell>
          <cell r="AJ90">
            <v>29989.156000000003</v>
          </cell>
          <cell r="AK90">
            <v>26171.787606060607</v>
          </cell>
          <cell r="AL90">
            <v>26170.787606060603</v>
          </cell>
          <cell r="AM90">
            <v>18714</v>
          </cell>
          <cell r="AN90">
            <v>14616</v>
          </cell>
          <cell r="AO90">
            <v>5261.1559999999999</v>
          </cell>
          <cell r="AP90">
            <v>10831.787606060607</v>
          </cell>
        </row>
        <row r="91">
          <cell r="F91">
            <v>0</v>
          </cell>
          <cell r="G91">
            <v>0</v>
          </cell>
          <cell r="H91">
            <v>0</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0</v>
          </cell>
          <cell r="AL91">
            <v>0</v>
          </cell>
          <cell r="AM91">
            <v>0</v>
          </cell>
          <cell r="AN91">
            <v>0</v>
          </cell>
          <cell r="AO91" t="e">
            <v>#REF!</v>
          </cell>
          <cell r="AP91" t="e">
            <v>#REF!</v>
          </cell>
        </row>
        <row r="92">
          <cell r="F92">
            <v>497</v>
          </cell>
          <cell r="G92">
            <v>380</v>
          </cell>
          <cell r="H92">
            <v>117</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0</v>
          </cell>
          <cell r="AI92">
            <v>497</v>
          </cell>
          <cell r="AJ92">
            <v>389</v>
          </cell>
          <cell r="AK92">
            <v>108</v>
          </cell>
          <cell r="AL92">
            <v>117</v>
          </cell>
          <cell r="AM92">
            <v>0</v>
          </cell>
          <cell r="AN92">
            <v>0</v>
          </cell>
          <cell r="AO92" t="e">
            <v>#REF!</v>
          </cell>
          <cell r="AP92" t="e">
            <v>#REF!</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W94" t="e">
            <v>#REF!</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0</v>
          </cell>
          <cell r="AM95">
            <v>44888.413327334049</v>
          </cell>
          <cell r="AN95">
            <v>44886.413327334056</v>
          </cell>
          <cell r="AO95">
            <v>19618</v>
          </cell>
          <cell r="AP95">
            <v>31013</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0</v>
          </cell>
          <cell r="AM96">
            <v>19740.413327334049</v>
          </cell>
          <cell r="AN96">
            <v>19738.413327334056</v>
          </cell>
          <cell r="AO96">
            <v>2889</v>
          </cell>
          <cell r="AP96">
            <v>5865</v>
          </cell>
        </row>
        <row r="97">
          <cell r="F97">
            <v>11793.197</v>
          </cell>
          <cell r="G97">
            <v>8221</v>
          </cell>
          <cell r="H97">
            <v>3572.1970000000001</v>
          </cell>
          <cell r="P97">
            <v>2586.1559999999999</v>
          </cell>
          <cell r="Q97">
            <v>0</v>
          </cell>
          <cell r="R97">
            <v>0</v>
          </cell>
          <cell r="S97">
            <v>7247.7078787878781</v>
          </cell>
          <cell r="T97">
            <v>3771.5508606060603</v>
          </cell>
          <cell r="U97">
            <v>3476.1570181818183</v>
          </cell>
          <cell r="V97">
            <v>0</v>
          </cell>
          <cell r="W97">
            <v>0</v>
          </cell>
          <cell r="X97">
            <v>16562.486363636363</v>
          </cell>
          <cell r="Y97">
            <v>11736</v>
          </cell>
          <cell r="Z97">
            <v>4826.4863636363634</v>
          </cell>
          <cell r="AA97">
            <v>0</v>
          </cell>
          <cell r="AB97">
            <v>0</v>
          </cell>
          <cell r="AC97">
            <v>13534.196363636363</v>
          </cell>
          <cell r="AD97">
            <v>7091</v>
          </cell>
          <cell r="AE97">
            <v>6443.1963636363625</v>
          </cell>
          <cell r="AF97">
            <v>4706.9539393939394</v>
          </cell>
          <cell r="AG97">
            <v>3861.2</v>
          </cell>
          <cell r="AH97">
            <v>845.7539393939395</v>
          </cell>
          <cell r="AI97">
            <v>56708.943606060609</v>
          </cell>
          <cell r="AJ97">
            <v>30402.156000000003</v>
          </cell>
          <cell r="AK97">
            <v>26306.787606060607</v>
          </cell>
          <cell r="AL97">
            <v>26314.787606060603</v>
          </cell>
          <cell r="AM97">
            <v>18714</v>
          </cell>
          <cell r="AN97">
            <v>14616</v>
          </cell>
          <cell r="AO97" t="e">
            <v>#REF!</v>
          </cell>
          <cell r="AP97" t="e">
            <v>#REF!</v>
          </cell>
        </row>
        <row r="98">
          <cell r="F98">
            <v>6186.1970000000001</v>
          </cell>
          <cell r="G98">
            <v>2614</v>
          </cell>
          <cell r="H98">
            <v>3572.1970000000001</v>
          </cell>
          <cell r="P98">
            <v>2586.1559999999999</v>
          </cell>
          <cell r="Q98">
            <v>0</v>
          </cell>
          <cell r="R98">
            <v>0</v>
          </cell>
          <cell r="S98">
            <v>5649.7078787878781</v>
          </cell>
          <cell r="T98">
            <v>2173.5508606060603</v>
          </cell>
          <cell r="U98">
            <v>3476.1570181818183</v>
          </cell>
          <cell r="V98">
            <v>0</v>
          </cell>
          <cell r="W98">
            <v>0</v>
          </cell>
          <cell r="X98">
            <v>2952.4863636363625</v>
          </cell>
          <cell r="Y98">
            <v>2091</v>
          </cell>
          <cell r="Z98">
            <v>861.48636363636342</v>
          </cell>
          <cell r="AA98">
            <v>0</v>
          </cell>
          <cell r="AB98">
            <v>0</v>
          </cell>
          <cell r="AC98">
            <v>1945.1963636363635</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1565</v>
          </cell>
          <cell r="S99">
            <v>4895.1499999999996</v>
          </cell>
          <cell r="U99">
            <v>0</v>
          </cell>
          <cell r="W99" t="e">
            <v>#REF!</v>
          </cell>
          <cell r="X99">
            <v>290</v>
          </cell>
          <cell r="AC99">
            <v>85</v>
          </cell>
          <cell r="AF99">
            <v>5</v>
          </cell>
          <cell r="AG99">
            <v>5</v>
          </cell>
          <cell r="AH99">
            <v>0</v>
          </cell>
          <cell r="AI99" t="e">
            <v>#REF!</v>
          </cell>
          <cell r="AJ99" t="e">
            <v>#REF!</v>
          </cell>
        </row>
        <row r="100">
          <cell r="F100">
            <v>35</v>
          </cell>
          <cell r="P100">
            <v>1291</v>
          </cell>
          <cell r="S100">
            <v>4895</v>
          </cell>
          <cell r="U100">
            <v>1093</v>
          </cell>
          <cell r="W100" t="e">
            <v>#REF!</v>
          </cell>
          <cell r="X100">
            <v>290</v>
          </cell>
          <cell r="AC100">
            <v>85</v>
          </cell>
          <cell r="AF100">
            <v>5</v>
          </cell>
          <cell r="AG100">
            <v>5</v>
          </cell>
          <cell r="AH100">
            <v>0</v>
          </cell>
          <cell r="AI100" t="e">
            <v>#REF!</v>
          </cell>
          <cell r="AJ100">
            <v>56708.943606060609</v>
          </cell>
          <cell r="AK100">
            <v>30402.156000000006</v>
          </cell>
          <cell r="AL100">
            <v>85097.370909090911</v>
          </cell>
          <cell r="AM100">
            <v>40210.957581756855</v>
          </cell>
        </row>
        <row r="101">
          <cell r="F101">
            <v>0</v>
          </cell>
          <cell r="P101">
            <v>985</v>
          </cell>
          <cell r="S101">
            <v>2100</v>
          </cell>
          <cell r="U101">
            <v>913</v>
          </cell>
          <cell r="W101" t="e">
            <v>#REF!</v>
          </cell>
          <cell r="X101">
            <v>109.5</v>
          </cell>
          <cell r="AC101">
            <v>85</v>
          </cell>
          <cell r="AI101" t="e">
            <v>#REF!</v>
          </cell>
          <cell r="AK101">
            <v>0</v>
          </cell>
        </row>
        <row r="102">
          <cell r="F102">
            <v>0</v>
          </cell>
          <cell r="P102">
            <v>274</v>
          </cell>
          <cell r="S102">
            <v>0.1499999999996362</v>
          </cell>
          <cell r="U102">
            <v>50</v>
          </cell>
          <cell r="W102" t="e">
            <v>#REF!</v>
          </cell>
          <cell r="X102">
            <v>0</v>
          </cell>
          <cell r="AC102">
            <v>0</v>
          </cell>
          <cell r="AF102">
            <v>0</v>
          </cell>
          <cell r="AG102">
            <v>0</v>
          </cell>
          <cell r="AH102">
            <v>0</v>
          </cell>
          <cell r="AI102" t="e">
            <v>#REF!</v>
          </cell>
          <cell r="AK102">
            <v>7284</v>
          </cell>
        </row>
        <row r="103">
          <cell r="P103">
            <v>1878</v>
          </cell>
          <cell r="S103">
            <v>0</v>
          </cell>
          <cell r="T103">
            <v>10</v>
          </cell>
          <cell r="U103">
            <v>130</v>
          </cell>
          <cell r="W103" t="e">
            <v>#REF!</v>
          </cell>
        </row>
        <row r="104">
          <cell r="F104">
            <v>5833</v>
          </cell>
          <cell r="P104">
            <v>935</v>
          </cell>
          <cell r="S104">
            <v>4732.8</v>
          </cell>
          <cell r="T104">
            <v>10</v>
          </cell>
          <cell r="U104">
            <v>3922</v>
          </cell>
          <cell r="W104" t="e">
            <v>#REF!</v>
          </cell>
          <cell r="X104">
            <v>80</v>
          </cell>
          <cell r="AC104">
            <v>85</v>
          </cell>
        </row>
        <row r="105">
          <cell r="P105">
            <v>0</v>
          </cell>
          <cell r="S105">
            <v>0</v>
          </cell>
          <cell r="U105">
            <v>261</v>
          </cell>
          <cell r="W105" t="e">
            <v>#REF!</v>
          </cell>
          <cell r="X105">
            <v>0</v>
          </cell>
        </row>
        <row r="106">
          <cell r="P106">
            <v>935</v>
          </cell>
          <cell r="S106">
            <v>2100</v>
          </cell>
          <cell r="T106">
            <v>55</v>
          </cell>
          <cell r="U106">
            <v>3661</v>
          </cell>
          <cell r="W106" t="e">
            <v>#REF!</v>
          </cell>
          <cell r="X106">
            <v>80</v>
          </cell>
          <cell r="Y106">
            <v>0</v>
          </cell>
          <cell r="AC106">
            <v>85</v>
          </cell>
          <cell r="AK106">
            <v>0</v>
          </cell>
        </row>
        <row r="107">
          <cell r="P107">
            <v>0</v>
          </cell>
          <cell r="T107">
            <v>55</v>
          </cell>
          <cell r="U107">
            <v>-38.052597442759001</v>
          </cell>
          <cell r="V107">
            <v>-38.052597442759001</v>
          </cell>
          <cell r="W107">
            <v>0</v>
          </cell>
          <cell r="AI107" t="e">
            <v>#REF!</v>
          </cell>
          <cell r="AK107">
            <v>0</v>
          </cell>
        </row>
        <row r="108">
          <cell r="F108">
            <v>0</v>
          </cell>
          <cell r="P108">
            <v>0</v>
          </cell>
          <cell r="S108">
            <v>0</v>
          </cell>
          <cell r="U108">
            <v>268</v>
          </cell>
          <cell r="W108">
            <v>0</v>
          </cell>
          <cell r="X108">
            <v>0</v>
          </cell>
          <cell r="Y108">
            <v>0</v>
          </cell>
          <cell r="AC108">
            <v>0</v>
          </cell>
          <cell r="AF108">
            <v>0</v>
          </cell>
          <cell r="AG108">
            <v>0</v>
          </cell>
          <cell r="AH108">
            <v>0</v>
          </cell>
          <cell r="AI108" t="e">
            <v>#REF!</v>
          </cell>
          <cell r="AK108">
            <v>0</v>
          </cell>
        </row>
        <row r="109">
          <cell r="F109">
            <v>0</v>
          </cell>
          <cell r="P109">
            <v>274</v>
          </cell>
          <cell r="S109">
            <v>-17.850000000000364</v>
          </cell>
          <cell r="U109">
            <v>0</v>
          </cell>
          <cell r="V109">
            <v>0</v>
          </cell>
          <cell r="W109">
            <v>0</v>
          </cell>
          <cell r="X109">
            <v>0</v>
          </cell>
          <cell r="AC109">
            <v>0</v>
          </cell>
          <cell r="AF109">
            <v>0</v>
          </cell>
          <cell r="AG109">
            <v>0</v>
          </cell>
          <cell r="AH109">
            <v>0</v>
          </cell>
          <cell r="AI109" t="e">
            <v>#REF!</v>
          </cell>
          <cell r="AK109">
            <v>0</v>
          </cell>
        </row>
        <row r="110">
          <cell r="F110">
            <v>0</v>
          </cell>
          <cell r="P110">
            <v>274</v>
          </cell>
          <cell r="S110">
            <v>-17.850000000000364</v>
          </cell>
          <cell r="U110">
            <v>0</v>
          </cell>
          <cell r="W110" t="e">
            <v>#REF!</v>
          </cell>
          <cell r="AC110">
            <v>0</v>
          </cell>
          <cell r="AF110">
            <v>0</v>
          </cell>
          <cell r="AG110">
            <v>0</v>
          </cell>
          <cell r="AH110">
            <v>0</v>
          </cell>
          <cell r="AI110" t="e">
            <v>#REF!</v>
          </cell>
          <cell r="AK110">
            <v>0</v>
          </cell>
        </row>
        <row r="111">
          <cell r="F111">
            <v>0</v>
          </cell>
          <cell r="P111">
            <v>0</v>
          </cell>
          <cell r="S111">
            <v>0</v>
          </cell>
          <cell r="U111">
            <v>1568.5</v>
          </cell>
          <cell r="W111" t="e">
            <v>#REF!</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18</v>
          </cell>
          <cell r="W113">
            <v>-12710</v>
          </cell>
          <cell r="X113">
            <v>0</v>
          </cell>
          <cell r="AC113">
            <v>0</v>
          </cell>
          <cell r="AF113">
            <v>0</v>
          </cell>
          <cell r="AG113">
            <v>0</v>
          </cell>
          <cell r="AH113">
            <v>0</v>
          </cell>
          <cell r="AI113" t="e">
            <v>#REF!</v>
          </cell>
          <cell r="AK113">
            <v>0</v>
          </cell>
        </row>
        <row r="114">
          <cell r="F114">
            <v>0</v>
          </cell>
          <cell r="P114">
            <v>0</v>
          </cell>
          <cell r="S114">
            <v>18</v>
          </cell>
          <cell r="U114" t="e">
            <v>#REF!</v>
          </cell>
          <cell r="V114" t="e">
            <v>#REF!</v>
          </cell>
          <cell r="W114" t="e">
            <v>#REF!</v>
          </cell>
          <cell r="X114">
            <v>0</v>
          </cell>
          <cell r="AC114">
            <v>0</v>
          </cell>
          <cell r="AF114">
            <v>0</v>
          </cell>
          <cell r="AG114">
            <v>0</v>
          </cell>
          <cell r="AH114">
            <v>0</v>
          </cell>
          <cell r="AI114" t="e">
            <v>#REF!</v>
          </cell>
          <cell r="AK114">
            <v>0</v>
          </cell>
        </row>
        <row r="115">
          <cell r="F115">
            <v>0</v>
          </cell>
          <cell r="P115">
            <v>0</v>
          </cell>
          <cell r="Q115">
            <v>0</v>
          </cell>
          <cell r="R115">
            <v>0</v>
          </cell>
          <cell r="S115">
            <v>0</v>
          </cell>
          <cell r="T115">
            <v>65</v>
          </cell>
          <cell r="U115" t="e">
            <v>#REF!</v>
          </cell>
          <cell r="W115" t="e">
            <v>#REF!</v>
          </cell>
          <cell r="X115">
            <v>0</v>
          </cell>
          <cell r="Z115">
            <v>0</v>
          </cell>
          <cell r="AA115">
            <v>0</v>
          </cell>
          <cell r="AB115">
            <v>0</v>
          </cell>
          <cell r="AC115">
            <v>0</v>
          </cell>
          <cell r="AF115">
            <v>0</v>
          </cell>
          <cell r="AG115">
            <v>0</v>
          </cell>
          <cell r="AH115">
            <v>0</v>
          </cell>
          <cell r="AI115" t="e">
            <v>#REF!</v>
          </cell>
          <cell r="AK115">
            <v>0</v>
          </cell>
          <cell r="AM115">
            <v>0</v>
          </cell>
        </row>
        <row r="116">
          <cell r="F116" t="e">
            <v>#REF!</v>
          </cell>
          <cell r="P116">
            <v>0</v>
          </cell>
          <cell r="Q116">
            <v>0</v>
          </cell>
          <cell r="R116">
            <v>0</v>
          </cell>
          <cell r="S116">
            <v>0</v>
          </cell>
          <cell r="T116">
            <v>0</v>
          </cell>
          <cell r="U116">
            <v>7512.0307358905739</v>
          </cell>
          <cell r="V116" t="e">
            <v>#REF!</v>
          </cell>
          <cell r="W116" t="e">
            <v>#REF!</v>
          </cell>
          <cell r="AC116">
            <v>0</v>
          </cell>
          <cell r="AD116">
            <v>0</v>
          </cell>
          <cell r="AE116">
            <v>0</v>
          </cell>
          <cell r="AF116">
            <v>0</v>
          </cell>
          <cell r="AG116">
            <v>0</v>
          </cell>
          <cell r="AH116">
            <v>0</v>
          </cell>
          <cell r="AI116" t="e">
            <v>#REF!</v>
          </cell>
          <cell r="AK116">
            <v>0</v>
          </cell>
        </row>
        <row r="117">
          <cell r="F117">
            <v>0</v>
          </cell>
          <cell r="P117">
            <v>0</v>
          </cell>
          <cell r="S117">
            <v>0</v>
          </cell>
          <cell r="T117">
            <v>0</v>
          </cell>
          <cell r="U117">
            <v>6599.0307358905739</v>
          </cell>
          <cell r="W117" t="e">
            <v>#REF!</v>
          </cell>
          <cell r="AC117">
            <v>0</v>
          </cell>
          <cell r="AG117">
            <v>0</v>
          </cell>
          <cell r="AH117">
            <v>0</v>
          </cell>
          <cell r="AI117" t="e">
            <v>#REF!</v>
          </cell>
          <cell r="AK117">
            <v>0</v>
          </cell>
          <cell r="AL117">
            <v>0</v>
          </cell>
          <cell r="AM117">
            <v>0</v>
          </cell>
        </row>
        <row r="118">
          <cell r="F118">
            <v>0</v>
          </cell>
          <cell r="P118">
            <v>0</v>
          </cell>
          <cell r="S118">
            <v>0</v>
          </cell>
          <cell r="U118" t="e">
            <v>#REF!</v>
          </cell>
          <cell r="W118" t="e">
            <v>#REF!</v>
          </cell>
          <cell r="AC118">
            <v>0</v>
          </cell>
          <cell r="AG118">
            <v>0</v>
          </cell>
          <cell r="AH118">
            <v>0</v>
          </cell>
          <cell r="AI118" t="e">
            <v>#REF!</v>
          </cell>
          <cell r="AJ118">
            <v>0</v>
          </cell>
          <cell r="AK118">
            <v>0</v>
          </cell>
        </row>
        <row r="119">
          <cell r="F119">
            <v>0</v>
          </cell>
          <cell r="P119">
            <v>0</v>
          </cell>
          <cell r="S119">
            <v>0</v>
          </cell>
          <cell r="U119">
            <v>-230.79318209931299</v>
          </cell>
          <cell r="W119" t="e">
            <v>#REF!</v>
          </cell>
          <cell r="X119" t="e">
            <v>#REF!</v>
          </cell>
          <cell r="Y119" t="e">
            <v>#REF!</v>
          </cell>
          <cell r="AC119">
            <v>0</v>
          </cell>
          <cell r="AF119">
            <v>0</v>
          </cell>
          <cell r="AG119">
            <v>0</v>
          </cell>
          <cell r="AH119">
            <v>0</v>
          </cell>
          <cell r="AI119" t="e">
            <v>#REF!</v>
          </cell>
          <cell r="AK119">
            <v>0</v>
          </cell>
        </row>
        <row r="120">
          <cell r="F120">
            <v>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W121">
            <v>0</v>
          </cell>
          <cell r="X121">
            <v>0</v>
          </cell>
          <cell r="Z121">
            <v>0</v>
          </cell>
          <cell r="AC121">
            <v>0</v>
          </cell>
          <cell r="AG121">
            <v>0</v>
          </cell>
          <cell r="AH121">
            <v>0</v>
          </cell>
          <cell r="AI121" t="e">
            <v>#REF!</v>
          </cell>
          <cell r="AK121">
            <v>100</v>
          </cell>
        </row>
        <row r="122">
          <cell r="F122">
            <v>595</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W124">
            <v>24998</v>
          </cell>
          <cell r="Y124">
            <v>24998</v>
          </cell>
          <cell r="Z124">
            <v>0</v>
          </cell>
          <cell r="AB124">
            <v>0</v>
          </cell>
          <cell r="AI124" t="e">
            <v>#REF!</v>
          </cell>
          <cell r="AK124">
            <v>0</v>
          </cell>
        </row>
        <row r="125">
          <cell r="U125">
            <v>8678</v>
          </cell>
          <cell r="W125">
            <v>8678</v>
          </cell>
          <cell r="Z125">
            <v>0</v>
          </cell>
          <cell r="AC125">
            <v>0</v>
          </cell>
          <cell r="AE125">
            <v>0</v>
          </cell>
          <cell r="AI125" t="e">
            <v>#REF!</v>
          </cell>
          <cell r="AK125">
            <v>0</v>
          </cell>
          <cell r="AL125">
            <v>-8132.8846363636376</v>
          </cell>
        </row>
        <row r="126">
          <cell r="F126">
            <v>0</v>
          </cell>
          <cell r="U126">
            <v>-7406.8601498661901</v>
          </cell>
          <cell r="W126">
            <v>30.79</v>
          </cell>
          <cell r="Z126" t="e">
            <v>#DIV/0!</v>
          </cell>
          <cell r="AC126">
            <v>0</v>
          </cell>
          <cell r="AI126" t="e">
            <v>#REF!</v>
          </cell>
          <cell r="AJ126" t="e">
            <v>#REF!</v>
          </cell>
          <cell r="AK126">
            <v>0</v>
          </cell>
        </row>
        <row r="127">
          <cell r="F127">
            <v>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row>
        <row r="128">
          <cell r="F128">
            <v>4204</v>
          </cell>
          <cell r="G128">
            <v>0</v>
          </cell>
          <cell r="H128">
            <v>0</v>
          </cell>
          <cell r="P128">
            <v>274</v>
          </cell>
          <cell r="Q128">
            <v>0</v>
          </cell>
          <cell r="R128">
            <v>0</v>
          </cell>
          <cell r="S128">
            <v>0.1499999999996362</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W130">
            <v>11.87</v>
          </cell>
          <cell r="Z130" t="e">
            <v>#DIV/0!</v>
          </cell>
          <cell r="AI130" t="e">
            <v>#REF!</v>
          </cell>
          <cell r="AJ130" t="e">
            <v>#REF!</v>
          </cell>
          <cell r="AK130">
            <v>-4552.8846363636376</v>
          </cell>
        </row>
        <row r="131">
          <cell r="U131">
            <v>8.49</v>
          </cell>
          <cell r="W131">
            <v>0</v>
          </cell>
          <cell r="AC131" t="e">
            <v>#DIV/0!</v>
          </cell>
          <cell r="AI131" t="e">
            <v>#REF!</v>
          </cell>
          <cell r="AK131">
            <v>-6504.1209090909106</v>
          </cell>
          <cell r="AL131">
            <v>9186.0424182431379</v>
          </cell>
          <cell r="AM131">
            <v>-16555.413327334049</v>
          </cell>
        </row>
        <row r="132">
          <cell r="T132">
            <v>0</v>
          </cell>
          <cell r="U132">
            <v>0</v>
          </cell>
          <cell r="W132" t="e">
            <v>#REF!</v>
          </cell>
          <cell r="Z132" t="e">
            <v>#REF!</v>
          </cell>
          <cell r="AI132">
            <v>-11929.693606060609</v>
          </cell>
          <cell r="AJ132">
            <v>2695.8439999999973</v>
          </cell>
          <cell r="AK132">
            <v>-15490.787606060607</v>
          </cell>
        </row>
        <row r="133">
          <cell r="T133">
            <v>0</v>
          </cell>
          <cell r="U133">
            <v>6.57</v>
          </cell>
          <cell r="W133">
            <v>57083</v>
          </cell>
          <cell r="X133">
            <v>57083</v>
          </cell>
          <cell r="AC133" t="e">
            <v>#DIV/0!</v>
          </cell>
          <cell r="AK133">
            <v>-1951.236272727273</v>
          </cell>
          <cell r="AO133">
            <v>0</v>
          </cell>
        </row>
        <row r="134">
          <cell r="U134">
            <v>29726</v>
          </cell>
          <cell r="V134">
            <v>29726</v>
          </cell>
          <cell r="AI134" t="e">
            <v>#REF!</v>
          </cell>
          <cell r="AM134">
            <v>0</v>
          </cell>
        </row>
        <row r="135">
          <cell r="T135">
            <v>300</v>
          </cell>
          <cell r="W135">
            <v>300</v>
          </cell>
        </row>
        <row r="136">
          <cell r="T136">
            <v>300</v>
          </cell>
          <cell r="U136">
            <v>300</v>
          </cell>
          <cell r="W136">
            <v>1</v>
          </cell>
          <cell r="AK136">
            <v>28333</v>
          </cell>
          <cell r="AM136">
            <v>28333</v>
          </cell>
          <cell r="AO136">
            <v>0</v>
          </cell>
        </row>
        <row r="137">
          <cell r="U137">
            <v>1</v>
          </cell>
          <cell r="AI137">
            <v>10816</v>
          </cell>
          <cell r="AK137">
            <v>10816</v>
          </cell>
          <cell r="AM137">
            <v>0</v>
          </cell>
          <cell r="AO137">
            <v>0</v>
          </cell>
        </row>
        <row r="138">
          <cell r="T138">
            <v>0</v>
          </cell>
          <cell r="W138">
            <v>82081</v>
          </cell>
          <cell r="X138">
            <v>57083</v>
          </cell>
          <cell r="Y138">
            <v>24998</v>
          </cell>
          <cell r="Z138">
            <v>0</v>
          </cell>
          <cell r="AI138">
            <v>-15490.787606060607</v>
          </cell>
          <cell r="AK138">
            <v>17.93</v>
          </cell>
          <cell r="AM138">
            <v>0</v>
          </cell>
          <cell r="AO138" t="e">
            <v>#DIV/0!</v>
          </cell>
        </row>
        <row r="139">
          <cell r="T139">
            <v>0</v>
          </cell>
          <cell r="U139">
            <v>38404</v>
          </cell>
          <cell r="V139">
            <v>29726</v>
          </cell>
          <cell r="W139">
            <v>8678</v>
          </cell>
          <cell r="X139">
            <v>0</v>
          </cell>
          <cell r="AC139">
            <v>0</v>
          </cell>
          <cell r="AI139">
            <v>6.85</v>
          </cell>
          <cell r="AK139">
            <v>28.41</v>
          </cell>
          <cell r="AM139" t="e">
            <v>#DIV/0!</v>
          </cell>
          <cell r="AO139" t="e">
            <v>#DIV/0!</v>
          </cell>
        </row>
        <row r="140">
          <cell r="U140">
            <v>0</v>
          </cell>
          <cell r="V140">
            <v>0</v>
          </cell>
          <cell r="W140">
            <v>82081</v>
          </cell>
          <cell r="X140">
            <v>57083</v>
          </cell>
          <cell r="Y140">
            <v>24998</v>
          </cell>
          <cell r="AI140">
            <v>16.649999999999999</v>
          </cell>
          <cell r="AK140">
            <v>0</v>
          </cell>
          <cell r="AM140" t="e">
            <v>#REF!</v>
          </cell>
          <cell r="AO140">
            <v>0</v>
          </cell>
        </row>
        <row r="141">
          <cell r="U141">
            <v>38404</v>
          </cell>
          <cell r="V141">
            <v>29726</v>
          </cell>
          <cell r="W141">
            <v>8678</v>
          </cell>
          <cell r="Z141" t="e">
            <v>#REF!</v>
          </cell>
          <cell r="AA141" t="e">
            <v>#REF!</v>
          </cell>
          <cell r="AB141" t="e">
            <v>#REF!</v>
          </cell>
          <cell r="AC141" t="e">
            <v>#REF!</v>
          </cell>
          <cell r="AI141">
            <v>0</v>
          </cell>
          <cell r="AM141">
            <v>0</v>
          </cell>
        </row>
        <row r="142">
          <cell r="W142" t="e">
            <v>#REF!</v>
          </cell>
          <cell r="X142" t="e">
            <v>#REF!</v>
          </cell>
          <cell r="Y142" t="e">
            <v>#REF!</v>
          </cell>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M143" t="e">
            <v>#DIV/0!</v>
          </cell>
        </row>
        <row r="144">
          <cell r="P144">
            <v>0</v>
          </cell>
          <cell r="S144">
            <v>0</v>
          </cell>
          <cell r="W144">
            <v>0</v>
          </cell>
          <cell r="AJ144">
            <v>0</v>
          </cell>
          <cell r="AK144">
            <v>10.16</v>
          </cell>
          <cell r="AO144" t="e">
            <v>#DIV/0!</v>
          </cell>
        </row>
        <row r="145">
          <cell r="P145">
            <v>0</v>
          </cell>
          <cell r="S145">
            <v>0</v>
          </cell>
          <cell r="T145">
            <v>312</v>
          </cell>
          <cell r="U145">
            <v>0</v>
          </cell>
          <cell r="W145">
            <v>3847.9000000000005</v>
          </cell>
          <cell r="AI145">
            <v>7.69</v>
          </cell>
          <cell r="AK145">
            <v>49395</v>
          </cell>
          <cell r="AL145">
            <v>49395</v>
          </cell>
          <cell r="AM145" t="e">
            <v>#DIV/0!</v>
          </cell>
        </row>
        <row r="146">
          <cell r="P146">
            <v>1325</v>
          </cell>
          <cell r="T146">
            <v>194</v>
          </cell>
          <cell r="U146">
            <v>4402</v>
          </cell>
          <cell r="W146">
            <v>2595.8000000000002</v>
          </cell>
          <cell r="AI146">
            <v>38926</v>
          </cell>
          <cell r="AJ146">
            <v>38926</v>
          </cell>
        </row>
        <row r="147">
          <cell r="P147">
            <v>1174</v>
          </cell>
          <cell r="U147">
            <v>2921</v>
          </cell>
          <cell r="W147">
            <v>0</v>
          </cell>
          <cell r="AJ147">
            <v>300</v>
          </cell>
        </row>
        <row r="148">
          <cell r="U148">
            <v>0</v>
          </cell>
          <cell r="W148">
            <v>0</v>
          </cell>
          <cell r="AK148">
            <v>5114.2857142857147</v>
          </cell>
          <cell r="AL148">
            <v>-40208.957581756862</v>
          </cell>
          <cell r="AM148">
            <v>-44888.413327334049</v>
          </cell>
        </row>
        <row r="149">
          <cell r="P149" t="e">
            <v>#REF!</v>
          </cell>
          <cell r="S149">
            <v>0</v>
          </cell>
          <cell r="U149">
            <v>0</v>
          </cell>
          <cell r="W149" t="e">
            <v>#REF!</v>
          </cell>
          <cell r="AI149" t="e">
            <v>#REF!</v>
          </cell>
          <cell r="AJ149">
            <v>-30402.156000000003</v>
          </cell>
          <cell r="AK149">
            <v>-26306.787606060607</v>
          </cell>
        </row>
        <row r="150">
          <cell r="P150">
            <v>0</v>
          </cell>
          <cell r="S150">
            <v>0</v>
          </cell>
          <cell r="U150">
            <v>317</v>
          </cell>
          <cell r="W150">
            <v>1774.0124999999998</v>
          </cell>
          <cell r="AI150">
            <v>865.25</v>
          </cell>
        </row>
        <row r="151">
          <cell r="U151">
            <v>1774.0124999999998</v>
          </cell>
          <cell r="W151">
            <v>0</v>
          </cell>
          <cell r="AJ151">
            <v>0</v>
          </cell>
          <cell r="AK151">
            <v>77728</v>
          </cell>
          <cell r="AL151">
            <v>49395</v>
          </cell>
          <cell r="AM151">
            <v>28333</v>
          </cell>
          <cell r="AO151">
            <v>0</v>
          </cell>
        </row>
        <row r="152">
          <cell r="P152" t="e">
            <v>#REF!</v>
          </cell>
          <cell r="U152">
            <v>0</v>
          </cell>
          <cell r="W152" t="e">
            <v>#REF!</v>
          </cell>
          <cell r="AI152">
            <v>49742</v>
          </cell>
          <cell r="AJ152">
            <v>38926</v>
          </cell>
          <cell r="AK152">
            <v>10816</v>
          </cell>
          <cell r="AM152">
            <v>0</v>
          </cell>
        </row>
        <row r="153">
          <cell r="P153">
            <v>1325</v>
          </cell>
          <cell r="U153">
            <v>4085</v>
          </cell>
          <cell r="W153" t="e">
            <v>#REF!</v>
          </cell>
          <cell r="AI153">
            <v>0</v>
          </cell>
          <cell r="AK153">
            <v>77728</v>
          </cell>
          <cell r="AL153">
            <v>49395</v>
          </cell>
          <cell r="AM153">
            <v>28333</v>
          </cell>
        </row>
        <row r="154">
          <cell r="P154">
            <v>1325</v>
          </cell>
          <cell r="W154" t="e">
            <v>#REF!</v>
          </cell>
          <cell r="AI154">
            <v>43914</v>
          </cell>
          <cell r="AJ154">
            <v>33098</v>
          </cell>
          <cell r="AK154">
            <v>10816</v>
          </cell>
          <cell r="AO154">
            <v>2889</v>
          </cell>
          <cell r="AP154">
            <v>5865</v>
          </cell>
        </row>
        <row r="155">
          <cell r="P155">
            <v>0</v>
          </cell>
          <cell r="U155">
            <v>0</v>
          </cell>
          <cell r="W155">
            <v>-798.66666666666674</v>
          </cell>
          <cell r="AI155">
            <v>0</v>
          </cell>
          <cell r="AK155">
            <v>-7.6</v>
          </cell>
          <cell r="AL155">
            <v>22.8</v>
          </cell>
          <cell r="AM155">
            <v>2997</v>
          </cell>
          <cell r="AN155">
            <v>3536</v>
          </cell>
          <cell r="AO155" t="e">
            <v>#REF!</v>
          </cell>
          <cell r="AP155" t="e">
            <v>#REF!</v>
          </cell>
        </row>
        <row r="156">
          <cell r="P156">
            <v>-100</v>
          </cell>
          <cell r="U156">
            <v>-578</v>
          </cell>
          <cell r="W156">
            <v>0</v>
          </cell>
          <cell r="AI156">
            <v>-21</v>
          </cell>
          <cell r="AJ156">
            <v>8.9</v>
          </cell>
          <cell r="AK156">
            <v>-58.9</v>
          </cell>
          <cell r="AL156">
            <v>-100</v>
          </cell>
          <cell r="AM156">
            <v>-100</v>
          </cell>
        </row>
        <row r="157">
          <cell r="P157" t="e">
            <v>#REF!</v>
          </cell>
          <cell r="S157">
            <v>171</v>
          </cell>
          <cell r="T157">
            <v>205</v>
          </cell>
          <cell r="U157">
            <v>0</v>
          </cell>
          <cell r="W157" t="e">
            <v>#REF!</v>
          </cell>
          <cell r="AI157" t="e">
            <v>#REF!</v>
          </cell>
          <cell r="AJ157">
            <v>-100</v>
          </cell>
          <cell r="AK157">
            <v>-100</v>
          </cell>
          <cell r="AL157">
            <v>0</v>
          </cell>
          <cell r="AM157">
            <v>0</v>
          </cell>
        </row>
        <row r="158">
          <cell r="P158">
            <v>450</v>
          </cell>
          <cell r="S158">
            <v>414</v>
          </cell>
          <cell r="T158">
            <v>630</v>
          </cell>
          <cell r="U158">
            <v>4643</v>
          </cell>
          <cell r="AJ158">
            <v>0</v>
          </cell>
          <cell r="AK158">
            <v>0</v>
          </cell>
        </row>
        <row r="159">
          <cell r="F159">
            <v>0</v>
          </cell>
          <cell r="P159">
            <v>0</v>
          </cell>
          <cell r="S159">
            <v>0</v>
          </cell>
          <cell r="X159">
            <v>0</v>
          </cell>
          <cell r="AC159">
            <v>0</v>
          </cell>
          <cell r="AJ159">
            <v>142</v>
          </cell>
          <cell r="AK159">
            <v>0</v>
          </cell>
        </row>
        <row r="160">
          <cell r="F160">
            <v>0</v>
          </cell>
          <cell r="P160">
            <v>0</v>
          </cell>
          <cell r="S160">
            <v>0</v>
          </cell>
          <cell r="X160">
            <v>0</v>
          </cell>
          <cell r="AC160">
            <v>0</v>
          </cell>
          <cell r="AF160">
            <v>963</v>
          </cell>
          <cell r="AG160">
            <v>530</v>
          </cell>
          <cell r="AH160">
            <v>433</v>
          </cell>
          <cell r="AI160" t="e">
            <v>#REF!</v>
          </cell>
          <cell r="AK160">
            <v>6689</v>
          </cell>
        </row>
        <row r="161">
          <cell r="F161">
            <v>204</v>
          </cell>
          <cell r="P161">
            <v>870.40000000000009</v>
          </cell>
          <cell r="S161">
            <v>1918.4</v>
          </cell>
          <cell r="X161">
            <v>903.2</v>
          </cell>
          <cell r="AA161" t="e">
            <v>#REF!</v>
          </cell>
          <cell r="AC161">
            <v>622.4</v>
          </cell>
          <cell r="AF161">
            <v>1475</v>
          </cell>
          <cell r="AG161">
            <v>1475</v>
          </cell>
          <cell r="AH161">
            <v>0</v>
          </cell>
          <cell r="AI161" t="e">
            <v>#REF!</v>
          </cell>
          <cell r="AK161">
            <v>4677</v>
          </cell>
        </row>
        <row r="162">
          <cell r="F162">
            <v>204</v>
          </cell>
          <cell r="P162">
            <v>510.40000000000003</v>
          </cell>
          <cell r="S162">
            <v>1345</v>
          </cell>
          <cell r="X162">
            <v>837</v>
          </cell>
          <cell r="Z162" t="str">
            <v>ОЧИК.18.02.</v>
          </cell>
          <cell r="AC162">
            <v>468</v>
          </cell>
          <cell r="AD162" t="e">
            <v>#REF!</v>
          </cell>
          <cell r="AF162">
            <v>378</v>
          </cell>
          <cell r="AG162">
            <v>378</v>
          </cell>
          <cell r="AH162">
            <v>0</v>
          </cell>
          <cell r="AI162" t="e">
            <v>#REF!</v>
          </cell>
          <cell r="AK162">
            <v>1445</v>
          </cell>
        </row>
        <row r="163">
          <cell r="F163">
            <v>204</v>
          </cell>
          <cell r="P163">
            <v>120</v>
          </cell>
          <cell r="S163">
            <v>0</v>
          </cell>
          <cell r="X163">
            <v>126</v>
          </cell>
          <cell r="AB163">
            <v>9</v>
          </cell>
          <cell r="AC163">
            <v>75</v>
          </cell>
          <cell r="AF163">
            <v>100</v>
          </cell>
          <cell r="AG163">
            <v>100</v>
          </cell>
          <cell r="AH163">
            <v>0</v>
          </cell>
          <cell r="AI163" t="e">
            <v>#REF!</v>
          </cell>
          <cell r="AK163">
            <v>598</v>
          </cell>
        </row>
        <row r="164">
          <cell r="P164">
            <v>70</v>
          </cell>
          <cell r="Q164" t="str">
            <v>Е/Е</v>
          </cell>
          <cell r="R164" t="str">
            <v xml:space="preserve"> Т/Е</v>
          </cell>
          <cell r="S164">
            <v>0</v>
          </cell>
          <cell r="T164" t="str">
            <v>ДОП.ВИР. СТ.ОРГ.</v>
          </cell>
          <cell r="W164" t="str">
            <v>АК КЕ ВСЬОГО</v>
          </cell>
          <cell r="X164">
            <v>107</v>
          </cell>
          <cell r="Y164" t="str">
            <v xml:space="preserve"> Т/Е</v>
          </cell>
          <cell r="Z164" t="str">
            <v>СТАНЦІї ЕЛЕКТРО</v>
          </cell>
          <cell r="AA164" t="str">
            <v>СТАНЦІІ ТЕПЛОВІ</v>
          </cell>
          <cell r="AB164" t="str">
            <v>МЕРЕЖІ ЕЛЕКТРО</v>
          </cell>
          <cell r="AC164">
            <v>41</v>
          </cell>
          <cell r="AF164">
            <v>80</v>
          </cell>
          <cell r="AI164" t="e">
            <v>#REF!</v>
          </cell>
          <cell r="AK164">
            <v>0</v>
          </cell>
        </row>
        <row r="165">
          <cell r="F165">
            <v>14.170833333333334</v>
          </cell>
          <cell r="P165" t="str">
            <v>ТЕЦ-6 ВСЬОГО</v>
          </cell>
          <cell r="Q165" t="str">
            <v>Е/Е</v>
          </cell>
          <cell r="R165" t="str">
            <v xml:space="preserve"> Т/Е</v>
          </cell>
          <cell r="S165" t="str">
            <v xml:space="preserve">ДОП.ВИР. </v>
          </cell>
          <cell r="T165" t="str">
            <v>ДОП.ВИР. СТ.ОРГ.</v>
          </cell>
          <cell r="U165" t="str">
            <v>АК КЕ ВСЬОГО</v>
          </cell>
          <cell r="V165" t="str">
            <v>Е/Е</v>
          </cell>
          <cell r="W165" t="str">
            <v xml:space="preserve"> Т/Е</v>
          </cell>
          <cell r="Z165">
            <v>2.1804999999999999</v>
          </cell>
          <cell r="AA165">
            <v>2.1804999999999999</v>
          </cell>
          <cell r="AB165">
            <v>2.1804999999999999</v>
          </cell>
          <cell r="AC165" t="str">
            <v>СТАНЦІї ЕЛЕКТРО</v>
          </cell>
          <cell r="AD165" t="str">
            <v>СТАНЦІІ ТЕПЛОВІ</v>
          </cell>
          <cell r="AE165" t="str">
            <v>МЕРЕЖІ ЕЛЕКТРО</v>
          </cell>
          <cell r="AF165" t="str">
            <v>МЕРЕЖІ ТЕПЛОВІ</v>
          </cell>
          <cell r="AI165" t="e">
            <v>#REF!</v>
          </cell>
          <cell r="AK165">
            <v>14.170833333333334</v>
          </cell>
        </row>
        <row r="166">
          <cell r="F166">
            <v>14.170833333333334</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679.5454545454545</v>
          </cell>
          <cell r="W167">
            <v>57.239999999999995</v>
          </cell>
          <cell r="X167">
            <v>236.36363636363637</v>
          </cell>
          <cell r="Z167">
            <v>221.49122807017542</v>
          </cell>
          <cell r="AC167">
            <v>159.36363636363637</v>
          </cell>
          <cell r="AF167">
            <v>296.27272727272725</v>
          </cell>
          <cell r="AG167">
            <v>296</v>
          </cell>
          <cell r="AI167" t="e">
            <v>#REF!</v>
          </cell>
          <cell r="AK167">
            <v>3998.090909090909</v>
          </cell>
        </row>
        <row r="168">
          <cell r="F168">
            <v>-255</v>
          </cell>
          <cell r="P168">
            <v>17.39</v>
          </cell>
          <cell r="S168">
            <v>1238.8545454545456</v>
          </cell>
          <cell r="U168">
            <v>44.3</v>
          </cell>
          <cell r="W168">
            <v>65.146999999999991</v>
          </cell>
          <cell r="X168">
            <v>666.83636363636367</v>
          </cell>
          <cell r="Z168">
            <v>252.49999999999997</v>
          </cell>
          <cell r="AC168">
            <v>463.0363636363636</v>
          </cell>
          <cell r="AI168" t="e">
            <v>#REF!</v>
          </cell>
        </row>
        <row r="169">
          <cell r="F169">
            <v>60</v>
          </cell>
          <cell r="P169">
            <v>0</v>
          </cell>
          <cell r="S169">
            <v>1918.4</v>
          </cell>
          <cell r="T169">
            <v>82.5</v>
          </cell>
          <cell r="U169">
            <v>50.49</v>
          </cell>
          <cell r="W169">
            <v>82.5</v>
          </cell>
          <cell r="X169">
            <v>903.2</v>
          </cell>
          <cell r="Z169">
            <v>66</v>
          </cell>
          <cell r="AC169">
            <v>622.4</v>
          </cell>
          <cell r="AK169">
            <v>60</v>
          </cell>
        </row>
        <row r="170">
          <cell r="F170">
            <v>459</v>
          </cell>
          <cell r="P170">
            <v>0</v>
          </cell>
          <cell r="S170">
            <v>0</v>
          </cell>
          <cell r="T170">
            <v>82.5</v>
          </cell>
          <cell r="U170">
            <v>82.5</v>
          </cell>
          <cell r="W170">
            <v>288.75</v>
          </cell>
          <cell r="X170">
            <v>0</v>
          </cell>
          <cell r="Z170">
            <v>143.91299999999998</v>
          </cell>
          <cell r="AC170">
            <v>0</v>
          </cell>
          <cell r="AF170">
            <v>0</v>
          </cell>
          <cell r="AG170">
            <v>0</v>
          </cell>
          <cell r="AH170">
            <v>0</v>
          </cell>
          <cell r="AI170" t="e">
            <v>#REF!</v>
          </cell>
          <cell r="AK170">
            <v>0</v>
          </cell>
        </row>
        <row r="171">
          <cell r="F171">
            <v>1758</v>
          </cell>
          <cell r="G171">
            <v>0</v>
          </cell>
          <cell r="H171">
            <v>0</v>
          </cell>
          <cell r="P171">
            <v>3547</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17653.617575757577</v>
          </cell>
          <cell r="AE171">
            <v>0</v>
          </cell>
          <cell r="AF171">
            <v>0</v>
          </cell>
          <cell r="AG171">
            <v>0</v>
          </cell>
          <cell r="AH171">
            <v>0</v>
          </cell>
          <cell r="AI171" t="e">
            <v>#REF!</v>
          </cell>
          <cell r="AJ171">
            <v>0</v>
          </cell>
          <cell r="AK171">
            <v>9643</v>
          </cell>
        </row>
        <row r="172">
          <cell r="F172">
            <v>35</v>
          </cell>
          <cell r="G172">
            <v>0</v>
          </cell>
          <cell r="H172">
            <v>0</v>
          </cell>
          <cell r="P172">
            <v>1565</v>
          </cell>
          <cell r="Q172">
            <v>0</v>
          </cell>
          <cell r="R172">
            <v>0</v>
          </cell>
          <cell r="S172">
            <v>4913.1499999999996</v>
          </cell>
          <cell r="T172">
            <v>0</v>
          </cell>
          <cell r="U172">
            <v>0</v>
          </cell>
          <cell r="V172">
            <v>0</v>
          </cell>
          <cell r="W172">
            <v>0</v>
          </cell>
          <cell r="X172">
            <v>290</v>
          </cell>
          <cell r="Y172">
            <v>0</v>
          </cell>
          <cell r="Z172">
            <v>0</v>
          </cell>
          <cell r="AA172">
            <v>0</v>
          </cell>
          <cell r="AB172">
            <v>0</v>
          </cell>
          <cell r="AC172">
            <v>85</v>
          </cell>
          <cell r="AD172">
            <v>0</v>
          </cell>
          <cell r="AE172">
            <v>0</v>
          </cell>
          <cell r="AF172">
            <v>5</v>
          </cell>
          <cell r="AG172">
            <v>5</v>
          </cell>
          <cell r="AH172">
            <v>0</v>
          </cell>
          <cell r="AI172" t="e">
            <v>#REF!</v>
          </cell>
          <cell r="AJ172">
            <v>0</v>
          </cell>
          <cell r="AK172">
            <v>10043</v>
          </cell>
        </row>
        <row r="173">
          <cell r="F173">
            <v>35</v>
          </cell>
          <cell r="G173">
            <v>0</v>
          </cell>
          <cell r="H173">
            <v>0</v>
          </cell>
          <cell r="P173">
            <v>1565</v>
          </cell>
          <cell r="Q173">
            <v>0</v>
          </cell>
          <cell r="R173">
            <v>0</v>
          </cell>
          <cell r="S173">
            <v>4913.1499999999996</v>
          </cell>
          <cell r="T173">
            <v>0</v>
          </cell>
          <cell r="U173">
            <v>0</v>
          </cell>
          <cell r="V173">
            <v>0</v>
          </cell>
          <cell r="W173">
            <v>0</v>
          </cell>
          <cell r="X173">
            <v>290</v>
          </cell>
          <cell r="Y173">
            <v>0</v>
          </cell>
          <cell r="Z173">
            <v>0</v>
          </cell>
          <cell r="AA173">
            <v>0</v>
          </cell>
          <cell r="AB173">
            <v>0</v>
          </cell>
          <cell r="AC173">
            <v>85</v>
          </cell>
          <cell r="AD173">
            <v>0</v>
          </cell>
          <cell r="AE173">
            <v>0</v>
          </cell>
          <cell r="AF173">
            <v>5</v>
          </cell>
          <cell r="AG173">
            <v>5</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0</v>
          </cell>
          <cell r="P175">
            <v>36</v>
          </cell>
          <cell r="U175">
            <v>91.91</v>
          </cell>
          <cell r="W175">
            <v>63.33</v>
          </cell>
          <cell r="AG175">
            <v>0</v>
          </cell>
          <cell r="AI175" t="e">
            <v>#REF!</v>
          </cell>
          <cell r="AK175">
            <v>0</v>
          </cell>
        </row>
        <row r="176">
          <cell r="F176">
            <v>3480</v>
          </cell>
          <cell r="P176">
            <v>63.33</v>
          </cell>
          <cell r="U176">
            <v>63.33</v>
          </cell>
          <cell r="W176">
            <v>216.84</v>
          </cell>
          <cell r="AI176" t="e">
            <v>#REF!</v>
          </cell>
          <cell r="AK176">
            <v>3480</v>
          </cell>
        </row>
        <row r="177">
          <cell r="F177">
            <v>3609</v>
          </cell>
          <cell r="P177">
            <v>863.25</v>
          </cell>
          <cell r="Q177">
            <v>0</v>
          </cell>
          <cell r="R177">
            <v>0</v>
          </cell>
          <cell r="S177">
            <v>1921.8199999999997</v>
          </cell>
          <cell r="T177">
            <v>697.23998181818172</v>
          </cell>
          <cell r="U177">
            <v>725.94365454545448</v>
          </cell>
          <cell r="V177">
            <v>0</v>
          </cell>
          <cell r="W177">
            <v>0</v>
          </cell>
          <cell r="X177">
            <v>639.95000000000005</v>
          </cell>
          <cell r="AA177">
            <v>0</v>
          </cell>
          <cell r="AB177">
            <v>0</v>
          </cell>
          <cell r="AC177">
            <v>535.86</v>
          </cell>
          <cell r="AF177">
            <v>1759.96</v>
          </cell>
          <cell r="AG177">
            <v>1759.909090909091</v>
          </cell>
          <cell r="AH177">
            <v>5.0909090909044608E-2</v>
          </cell>
          <cell r="AI177" t="e">
            <v>#REF!</v>
          </cell>
          <cell r="AJ177">
            <v>0</v>
          </cell>
          <cell r="AK177">
            <v>6670.7890909090902</v>
          </cell>
          <cell r="AO177">
            <v>266</v>
          </cell>
          <cell r="AP177">
            <v>661</v>
          </cell>
        </row>
        <row r="178">
          <cell r="F178">
            <v>541.697</v>
          </cell>
          <cell r="G178">
            <v>0</v>
          </cell>
          <cell r="H178">
            <v>0</v>
          </cell>
          <cell r="P178">
            <v>841.32</v>
          </cell>
          <cell r="Q178">
            <v>0</v>
          </cell>
          <cell r="R178">
            <v>0</v>
          </cell>
          <cell r="S178">
            <v>1900.3199999999997</v>
          </cell>
          <cell r="T178">
            <v>598.00952727272715</v>
          </cell>
          <cell r="U178">
            <v>622.76501818181805</v>
          </cell>
          <cell r="V178">
            <v>0</v>
          </cell>
          <cell r="W178">
            <v>0</v>
          </cell>
          <cell r="X178">
            <v>643.65000000000009</v>
          </cell>
          <cell r="Y178">
            <v>138</v>
          </cell>
          <cell r="Z178">
            <v>120.36363636363637</v>
          </cell>
          <cell r="AA178">
            <v>0</v>
          </cell>
          <cell r="AB178">
            <v>0</v>
          </cell>
          <cell r="AC178">
            <v>537.76</v>
          </cell>
          <cell r="AD178">
            <v>73</v>
          </cell>
          <cell r="AE178">
            <v>107.90909090909091</v>
          </cell>
          <cell r="AF178">
            <v>1730.76</v>
          </cell>
          <cell r="AG178">
            <v>1429.2</v>
          </cell>
          <cell r="AH178">
            <v>301.55999999999995</v>
          </cell>
          <cell r="AI178" t="e">
            <v>#REF!</v>
          </cell>
          <cell r="AM178">
            <v>373</v>
          </cell>
          <cell r="AN178">
            <v>542</v>
          </cell>
          <cell r="AO178">
            <v>970.32000000000016</v>
          </cell>
          <cell r="AP178">
            <v>1841.3542727272729</v>
          </cell>
        </row>
        <row r="179">
          <cell r="F179">
            <v>0</v>
          </cell>
          <cell r="G179">
            <v>0</v>
          </cell>
          <cell r="H179">
            <v>0</v>
          </cell>
          <cell r="P179">
            <v>153</v>
          </cell>
          <cell r="Q179">
            <v>0</v>
          </cell>
          <cell r="R179">
            <v>0</v>
          </cell>
          <cell r="S179">
            <v>679.5454545454545</v>
          </cell>
          <cell r="T179">
            <v>0</v>
          </cell>
          <cell r="U179">
            <v>0</v>
          </cell>
          <cell r="V179">
            <v>0</v>
          </cell>
          <cell r="W179">
            <v>0</v>
          </cell>
          <cell r="X179">
            <v>236.36363636363637</v>
          </cell>
          <cell r="Y179">
            <v>167</v>
          </cell>
          <cell r="Z179">
            <v>69.363636363636374</v>
          </cell>
          <cell r="AA179">
            <v>0</v>
          </cell>
          <cell r="AB179">
            <v>0</v>
          </cell>
          <cell r="AC179">
            <v>159.36363636363637</v>
          </cell>
          <cell r="AD179">
            <v>83</v>
          </cell>
          <cell r="AE179">
            <v>76.36363636363636</v>
          </cell>
          <cell r="AF179">
            <v>296.27272727272725</v>
          </cell>
          <cell r="AG179">
            <v>296</v>
          </cell>
          <cell r="AH179">
            <v>0.27272727272728048</v>
          </cell>
          <cell r="AJ179">
            <v>0</v>
          </cell>
          <cell r="AK179">
            <v>-1272.236272727273</v>
          </cell>
          <cell r="AO179">
            <v>350</v>
          </cell>
          <cell r="AP179">
            <v>315</v>
          </cell>
        </row>
        <row r="180">
          <cell r="F180">
            <v>0</v>
          </cell>
          <cell r="P180">
            <v>0</v>
          </cell>
          <cell r="Q180">
            <v>0</v>
          </cell>
          <cell r="R180">
            <v>0</v>
          </cell>
          <cell r="S180">
            <v>13.666666666666666</v>
          </cell>
          <cell r="T180">
            <v>13.666666666666666</v>
          </cell>
          <cell r="U180">
            <v>0</v>
          </cell>
          <cell r="V180">
            <v>0</v>
          </cell>
          <cell r="W180">
            <v>0</v>
          </cell>
          <cell r="X180">
            <v>708.80000000000007</v>
          </cell>
          <cell r="Z180">
            <v>103.9</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P181">
            <v>5.8</v>
          </cell>
          <cell r="T181">
            <v>0</v>
          </cell>
          <cell r="U181">
            <v>11.7</v>
          </cell>
          <cell r="W181">
            <v>100.5</v>
          </cell>
          <cell r="Z181">
            <v>89.557440953909662</v>
          </cell>
          <cell r="AC181">
            <v>103.9</v>
          </cell>
        </row>
        <row r="182">
          <cell r="F182">
            <v>6013</v>
          </cell>
          <cell r="P182">
            <v>478.66666666666606</v>
          </cell>
          <cell r="S182">
            <v>4076.6666666666688</v>
          </cell>
          <cell r="T182">
            <v>0</v>
          </cell>
          <cell r="U182">
            <v>100.5</v>
          </cell>
          <cell r="W182">
            <v>344.11199999999997</v>
          </cell>
          <cell r="X182">
            <v>534.33333333333678</v>
          </cell>
          <cell r="Z182">
            <v>195.28</v>
          </cell>
          <cell r="AC182">
            <v>554.33333333333053</v>
          </cell>
          <cell r="AF182">
            <v>1865.0333333333331</v>
          </cell>
          <cell r="AG182">
            <v>1889.3999999999996</v>
          </cell>
          <cell r="AH182">
            <v>376.63333333333327</v>
          </cell>
          <cell r="AP182">
            <v>1507.2</v>
          </cell>
        </row>
        <row r="183">
          <cell r="F183">
            <v>15172.5</v>
          </cell>
          <cell r="P183">
            <v>444.43599999999981</v>
          </cell>
          <cell r="S183">
            <v>1460.8666666666668</v>
          </cell>
          <cell r="U183">
            <v>215.42175</v>
          </cell>
          <cell r="W183">
            <v>0</v>
          </cell>
          <cell r="X183">
            <v>363.19999999999868</v>
          </cell>
          <cell r="Z183">
            <v>14810</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W184">
            <v>0</v>
          </cell>
          <cell r="AC184">
            <v>14810</v>
          </cell>
          <cell r="AM184" t="str">
            <v>ОЧИК.18.02.</v>
          </cell>
        </row>
        <row r="185">
          <cell r="P185">
            <v>78.3</v>
          </cell>
          <cell r="Q185">
            <v>30.9</v>
          </cell>
          <cell r="R185">
            <v>47.4</v>
          </cell>
          <cell r="U185">
            <v>1831</v>
          </cell>
          <cell r="W185">
            <v>219.79999999999998</v>
          </cell>
          <cell r="X185">
            <v>79.099999999999994</v>
          </cell>
          <cell r="Y185">
            <v>140.69999999999999</v>
          </cell>
          <cell r="Z185">
            <v>356.4</v>
          </cell>
          <cell r="AA185">
            <v>74.900000000000006</v>
          </cell>
          <cell r="AB185">
            <v>281.5</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A186">
            <v>9811.1854657688</v>
          </cell>
          <cell r="AB186">
            <v>36873.814534231198</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T187" t="str">
            <v/>
          </cell>
          <cell r="U187">
            <v>20620</v>
          </cell>
          <cell r="V187">
            <v>12849</v>
          </cell>
          <cell r="W187">
            <v>7771</v>
          </cell>
          <cell r="X187" t="str">
            <v>ТЕЦ-5 ВСЬОГО</v>
          </cell>
          <cell r="Y187" t="str">
            <v>Е/Е</v>
          </cell>
          <cell r="Z187" t="str">
            <v xml:space="preserve"> Т/Е</v>
          </cell>
          <cell r="AA187">
            <v>130.99</v>
          </cell>
          <cell r="AB187">
            <v>130.99</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t="str">
            <v/>
          </cell>
          <cell r="T188" t="str">
            <v/>
          </cell>
          <cell r="U188">
            <v>133.81</v>
          </cell>
          <cell r="V188">
            <v>134.83000000000001</v>
          </cell>
          <cell r="W188">
            <v>132.16</v>
          </cell>
          <cell r="X188" t="e">
            <v>#REF!</v>
          </cell>
          <cell r="Y188" t="e">
            <v>#REF!</v>
          </cell>
          <cell r="Z188">
            <v>52</v>
          </cell>
          <cell r="AA188">
            <v>52</v>
          </cell>
          <cell r="AC188">
            <v>130.99</v>
          </cell>
          <cell r="AD188">
            <v>130.99</v>
          </cell>
          <cell r="AE188">
            <v>130.99</v>
          </cell>
          <cell r="AF188" t="str">
            <v/>
          </cell>
        </row>
        <row r="189">
          <cell r="P189">
            <v>16686</v>
          </cell>
          <cell r="S189">
            <v>54.1</v>
          </cell>
          <cell r="U189">
            <v>25</v>
          </cell>
          <cell r="V189">
            <v>25</v>
          </cell>
          <cell r="W189">
            <v>0</v>
          </cell>
          <cell r="X189">
            <v>67.400000000000006</v>
          </cell>
          <cell r="Y189" t="e">
            <v>#REF!</v>
          </cell>
          <cell r="Z189">
            <v>46737</v>
          </cell>
          <cell r="AA189">
            <v>9863.1854657688</v>
          </cell>
          <cell r="AB189">
            <v>36873.814534231198</v>
          </cell>
          <cell r="AC189">
            <v>64.8</v>
          </cell>
          <cell r="AD189">
            <v>52</v>
          </cell>
          <cell r="AK189">
            <v>186.29999999999998</v>
          </cell>
          <cell r="AO189">
            <v>221.49122807017542</v>
          </cell>
        </row>
        <row r="190">
          <cell r="P190">
            <v>8271</v>
          </cell>
          <cell r="S190">
            <v>8.3000000000000007</v>
          </cell>
          <cell r="U190">
            <v>20645</v>
          </cell>
          <cell r="V190">
            <v>12874</v>
          </cell>
          <cell r="W190">
            <v>7771</v>
          </cell>
          <cell r="X190">
            <v>70.7</v>
          </cell>
          <cell r="AC190">
            <v>60.2</v>
          </cell>
          <cell r="AD190">
            <v>9863.1854657688</v>
          </cell>
          <cell r="AE190">
            <v>36873.814534231198</v>
          </cell>
          <cell r="AI190">
            <v>139.20000000000002</v>
          </cell>
          <cell r="AK190">
            <v>213.3</v>
          </cell>
          <cell r="AM190">
            <v>221.49122807017542</v>
          </cell>
          <cell r="AO190">
            <v>252.49999999999997</v>
          </cell>
        </row>
        <row r="191">
          <cell r="P191">
            <v>0</v>
          </cell>
          <cell r="S191">
            <v>9.5</v>
          </cell>
          <cell r="X191">
            <v>81</v>
          </cell>
          <cell r="AC191">
            <v>68.900000000000006</v>
          </cell>
          <cell r="AI191">
            <v>159.4</v>
          </cell>
          <cell r="AM191">
            <v>252.49999999999997</v>
          </cell>
          <cell r="AO191">
            <v>66</v>
          </cell>
        </row>
        <row r="192">
          <cell r="P192">
            <v>0</v>
          </cell>
          <cell r="S192">
            <v>0</v>
          </cell>
          <cell r="X192">
            <v>0</v>
          </cell>
          <cell r="AC192">
            <v>0</v>
          </cell>
          <cell r="AK192">
            <v>192.5</v>
          </cell>
          <cell r="AM192">
            <v>66</v>
          </cell>
          <cell r="AO192">
            <v>0</v>
          </cell>
        </row>
        <row r="193">
          <cell r="P193">
            <v>0</v>
          </cell>
          <cell r="S193">
            <v>192.5</v>
          </cell>
          <cell r="X193">
            <v>192.5</v>
          </cell>
          <cell r="AC193">
            <v>192.5</v>
          </cell>
          <cell r="AI193">
            <v>192.5</v>
          </cell>
          <cell r="AK193">
            <v>35863</v>
          </cell>
          <cell r="AM193">
            <v>0</v>
          </cell>
          <cell r="AO193">
            <v>0</v>
          </cell>
        </row>
        <row r="194">
          <cell r="S194">
            <v>1598</v>
          </cell>
          <cell r="X194">
            <v>13610</v>
          </cell>
          <cell r="Z194">
            <v>4948.1398501338263</v>
          </cell>
          <cell r="AB194">
            <v>4948.1398501337389</v>
          </cell>
          <cell r="AC194">
            <v>11589</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0</v>
          </cell>
          <cell r="AC197">
            <v>0</v>
          </cell>
          <cell r="AI197">
            <v>0</v>
          </cell>
        </row>
        <row r="198">
          <cell r="X198">
            <v>82.5</v>
          </cell>
          <cell r="AC198">
            <v>82.5</v>
          </cell>
          <cell r="AK198">
            <v>0</v>
          </cell>
        </row>
        <row r="199">
          <cell r="S199">
            <v>0</v>
          </cell>
          <cell r="X199">
            <v>0</v>
          </cell>
          <cell r="AC199">
            <v>0</v>
          </cell>
          <cell r="AI199">
            <v>0</v>
          </cell>
          <cell r="AK199">
            <v>0</v>
          </cell>
        </row>
        <row r="200">
          <cell r="S200">
            <v>0</v>
          </cell>
          <cell r="X200">
            <v>0</v>
          </cell>
          <cell r="AC200">
            <v>0</v>
          </cell>
          <cell r="AI200">
            <v>0</v>
          </cell>
        </row>
        <row r="201">
          <cell r="X201">
            <v>5</v>
          </cell>
          <cell r="AC201">
            <v>5</v>
          </cell>
          <cell r="AD201">
            <v>5</v>
          </cell>
          <cell r="AE201">
            <v>7</v>
          </cell>
          <cell r="AK201">
            <v>10</v>
          </cell>
          <cell r="AO201">
            <v>75.839416058394164</v>
          </cell>
        </row>
        <row r="202">
          <cell r="X202">
            <v>0</v>
          </cell>
          <cell r="AC202">
            <v>0</v>
          </cell>
          <cell r="AI202">
            <v>0</v>
          </cell>
          <cell r="AK202">
            <v>14</v>
          </cell>
          <cell r="AM202">
            <v>75.839416058394164</v>
          </cell>
          <cell r="AO202">
            <v>103.9</v>
          </cell>
        </row>
        <row r="203">
          <cell r="F203">
            <v>75</v>
          </cell>
          <cell r="X203">
            <v>0</v>
          </cell>
          <cell r="AC203">
            <v>0</v>
          </cell>
          <cell r="AI203">
            <v>0</v>
          </cell>
          <cell r="AJ203">
            <v>0</v>
          </cell>
          <cell r="AM203">
            <v>103.9</v>
          </cell>
          <cell r="AO203" t="e">
            <v>#DIV/0!</v>
          </cell>
        </row>
        <row r="204">
          <cell r="F204">
            <v>75</v>
          </cell>
          <cell r="P204">
            <v>75</v>
          </cell>
          <cell r="X204">
            <v>601.41999999999996</v>
          </cell>
          <cell r="AC204">
            <v>601.41999999999996</v>
          </cell>
          <cell r="AK204">
            <v>601.41999999999996</v>
          </cell>
          <cell r="AM204" t="e">
            <v>#DIV/0!</v>
          </cell>
          <cell r="AO204">
            <v>195.28</v>
          </cell>
          <cell r="AP204">
            <v>75</v>
          </cell>
        </row>
        <row r="205">
          <cell r="S205">
            <v>385</v>
          </cell>
          <cell r="X205">
            <v>385</v>
          </cell>
          <cell r="AC205">
            <v>385</v>
          </cell>
          <cell r="AI205">
            <v>385</v>
          </cell>
          <cell r="AK205">
            <v>6014</v>
          </cell>
          <cell r="AM205">
            <v>195.28</v>
          </cell>
          <cell r="AO205">
            <v>14810</v>
          </cell>
        </row>
        <row r="206">
          <cell r="S206">
            <v>0</v>
          </cell>
          <cell r="X206">
            <v>0</v>
          </cell>
          <cell r="AC206">
            <v>0</v>
          </cell>
          <cell r="AI206">
            <v>0</v>
          </cell>
          <cell r="AK206">
            <v>6014</v>
          </cell>
          <cell r="AM206">
            <v>14810</v>
          </cell>
        </row>
        <row r="207">
          <cell r="S207">
            <v>62</v>
          </cell>
          <cell r="X207">
            <v>84.1</v>
          </cell>
          <cell r="Y207">
            <v>44.9</v>
          </cell>
          <cell r="Z207">
            <v>39.200000000000003</v>
          </cell>
          <cell r="AC207">
            <v>81.2</v>
          </cell>
          <cell r="AD207">
            <v>32.799999999999997</v>
          </cell>
          <cell r="AE207">
            <v>48.4</v>
          </cell>
          <cell r="AI207">
            <v>0</v>
          </cell>
          <cell r="AK207">
            <v>227.3</v>
          </cell>
          <cell r="AL207">
            <v>77.699999999999989</v>
          </cell>
          <cell r="AM207">
            <v>149.6</v>
          </cell>
          <cell r="AO207">
            <v>356.4</v>
          </cell>
          <cell r="AP207">
            <v>74.900000000000006</v>
          </cell>
        </row>
        <row r="208">
          <cell r="S208">
            <v>9.5</v>
          </cell>
          <cell r="X208">
            <v>81</v>
          </cell>
          <cell r="Y208">
            <v>57.4</v>
          </cell>
          <cell r="Z208">
            <v>23.6</v>
          </cell>
          <cell r="AA208">
            <v>6597</v>
          </cell>
          <cell r="AC208">
            <v>68.900000000000006</v>
          </cell>
          <cell r="AD208">
            <v>36.1</v>
          </cell>
          <cell r="AE208">
            <v>32.799999999999997</v>
          </cell>
          <cell r="AI208">
            <v>159.4</v>
          </cell>
          <cell r="AJ208">
            <v>93.5</v>
          </cell>
          <cell r="AK208">
            <v>65.900000000000006</v>
          </cell>
          <cell r="AL208">
            <v>16729</v>
          </cell>
          <cell r="AM208">
            <v>356.4</v>
          </cell>
          <cell r="AN208">
            <v>74.900000000000006</v>
          </cell>
          <cell r="AO208">
            <v>281.5</v>
          </cell>
          <cell r="AP208">
            <v>3112.427048260382</v>
          </cell>
        </row>
        <row r="209">
          <cell r="S209">
            <v>1598</v>
          </cell>
          <cell r="X209">
            <v>13610</v>
          </cell>
          <cell r="Y209">
            <v>9645</v>
          </cell>
          <cell r="Z209">
            <v>3965</v>
          </cell>
          <cell r="AA209">
            <v>3965</v>
          </cell>
          <cell r="AC209">
            <v>11589</v>
          </cell>
          <cell r="AD209">
            <v>6072</v>
          </cell>
          <cell r="AE209">
            <v>5517</v>
          </cell>
          <cell r="AI209">
            <v>26797</v>
          </cell>
          <cell r="AJ209">
            <v>15717</v>
          </cell>
          <cell r="AK209">
            <v>11080</v>
          </cell>
          <cell r="AL209">
            <v>215.3</v>
          </cell>
          <cell r="AM209">
            <v>14810</v>
          </cell>
          <cell r="AN209">
            <v>3112.427048260382</v>
          </cell>
          <cell r="AO209">
            <v>11697.572951739618</v>
          </cell>
          <cell r="AP209">
            <v>41.55</v>
          </cell>
        </row>
        <row r="210">
          <cell r="S210">
            <v>168.21</v>
          </cell>
          <cell r="X210">
            <v>168.02</v>
          </cell>
          <cell r="Y210">
            <v>168.03</v>
          </cell>
          <cell r="Z210">
            <v>168.01</v>
          </cell>
          <cell r="AC210">
            <v>168.2</v>
          </cell>
          <cell r="AD210">
            <v>168.2</v>
          </cell>
          <cell r="AE210">
            <v>168.2</v>
          </cell>
          <cell r="AI210">
            <v>168.11</v>
          </cell>
          <cell r="AJ210">
            <v>168.1</v>
          </cell>
          <cell r="AK210">
            <v>168.13</v>
          </cell>
          <cell r="AM210">
            <v>41.55</v>
          </cell>
          <cell r="AN210">
            <v>41.55</v>
          </cell>
          <cell r="AO210">
            <v>41.55</v>
          </cell>
          <cell r="AP210" t="str">
            <v/>
          </cell>
        </row>
        <row r="211">
          <cell r="X211">
            <v>15982</v>
          </cell>
          <cell r="AC211">
            <v>15481</v>
          </cell>
          <cell r="AK211">
            <v>0</v>
          </cell>
          <cell r="AL211">
            <v>16729</v>
          </cell>
          <cell r="AM211">
            <v>52</v>
          </cell>
          <cell r="AN211">
            <v>52</v>
          </cell>
          <cell r="AO211">
            <v>14862</v>
          </cell>
          <cell r="AP211">
            <v>3164.427048260382</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cell r="S225" t="str">
            <v>ТИС.ГРН.</v>
          </cell>
        </row>
        <row r="226">
          <cell r="P226" t="str">
            <v>ТЕЦ-6 ВСЬОГО</v>
          </cell>
          <cell r="Q226" t="str">
            <v>Е/Е</v>
          </cell>
          <cell r="R226" t="str">
            <v xml:space="preserve"> Т/Е</v>
          </cell>
          <cell r="S226" t="str">
            <v xml:space="preserve">ДОП.ВИР. </v>
          </cell>
          <cell r="T226" t="str">
            <v>ДОП.ВИР. СТ.ОРГ.</v>
          </cell>
          <cell r="W226" t="str">
            <v>АК КЕ ВСЬОГО</v>
          </cell>
          <cell r="X226" t="str">
            <v>Е/Е</v>
          </cell>
          <cell r="Y226" t="str">
            <v xml:space="preserve"> Т/Е</v>
          </cell>
          <cell r="Z226" t="str">
            <v>СТАНЦІї ЕЛЕКТРО</v>
          </cell>
          <cell r="AA226" t="str">
            <v>СТАНЦІІ ТЕПЛОВІ</v>
          </cell>
          <cell r="AB226" t="str">
            <v>МЕРЕЖІ ЕЛЕКТРО</v>
          </cell>
          <cell r="AC226" t="str">
            <v>МЕРЕЖІ ТЕПЛОВІ</v>
          </cell>
        </row>
        <row r="229">
          <cell r="P229" t="e">
            <v>#REF!</v>
          </cell>
          <cell r="Q229" t="e">
            <v>#REF!</v>
          </cell>
          <cell r="R229" t="e">
            <v>#REF!</v>
          </cell>
          <cell r="S229" t="str">
            <v>ТИС.ГРН.</v>
          </cell>
          <cell r="T229">
            <v>889</v>
          </cell>
          <cell r="W229" t="e">
            <v>#REF!</v>
          </cell>
          <cell r="X229" t="e">
            <v>#REF!</v>
          </cell>
          <cell r="Y229" t="e">
            <v>#REF!</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X230" t="e">
            <v>#REF!</v>
          </cell>
          <cell r="AC230" t="str">
            <v>СТАНЦІї ЕЛЕКТРО</v>
          </cell>
          <cell r="AD230" t="str">
            <v>СТАНЦІІ ТЕПЛОВІ</v>
          </cell>
          <cell r="AE230" t="str">
            <v>МЕРЕЖІ ЕЛЕКТРО</v>
          </cell>
          <cell r="AF230" t="str">
            <v>МЕРЕЖІ ТЕПЛОВІ</v>
          </cell>
        </row>
        <row r="232">
          <cell r="P232" t="e">
            <v>#REF!</v>
          </cell>
          <cell r="S232" t="e">
            <v>#REF!</v>
          </cell>
          <cell r="W232" t="e">
            <v>#REF!</v>
          </cell>
          <cell r="X232" t="e">
            <v>#REF!</v>
          </cell>
        </row>
        <row r="233">
          <cell r="P233">
            <v>2409.6737288135591</v>
          </cell>
          <cell r="Q233">
            <v>1422</v>
          </cell>
          <cell r="R233">
            <v>796.42372881355914</v>
          </cell>
          <cell r="S233">
            <v>1077.625</v>
          </cell>
          <cell r="T233">
            <v>1129</v>
          </cell>
          <cell r="U233">
            <v>23976.15725132322</v>
          </cell>
          <cell r="V233" t="e">
            <v>#REF!</v>
          </cell>
          <cell r="W233">
            <v>44621.157251323224</v>
          </cell>
          <cell r="X233" t="e">
            <v>#REF!</v>
          </cell>
        </row>
        <row r="234">
          <cell r="P234">
            <v>733.8070175438595</v>
          </cell>
          <cell r="Q234">
            <v>1327</v>
          </cell>
          <cell r="R234">
            <v>742.99999999999977</v>
          </cell>
          <cell r="S234">
            <v>605</v>
          </cell>
          <cell r="T234">
            <v>117</v>
          </cell>
          <cell r="U234">
            <v>15320.660540053519</v>
          </cell>
          <cell r="V234" t="e">
            <v>#REF!</v>
          </cell>
          <cell r="W234" t="e">
            <v>#REF!</v>
          </cell>
          <cell r="X234" t="e">
            <v>#REF!</v>
          </cell>
        </row>
        <row r="235">
          <cell r="P235" t="e">
            <v>#REF!</v>
          </cell>
          <cell r="Q235">
            <v>0</v>
          </cell>
          <cell r="R235">
            <v>0</v>
          </cell>
          <cell r="S235">
            <v>897</v>
          </cell>
          <cell r="T235">
            <v>0</v>
          </cell>
          <cell r="W235" t="e">
            <v>#REF!</v>
          </cell>
          <cell r="X235" t="e">
            <v>#REF!</v>
          </cell>
        </row>
        <row r="236">
          <cell r="P236">
            <v>733.8070175438595</v>
          </cell>
          <cell r="S236">
            <v>685</v>
          </cell>
          <cell r="U236">
            <v>15689.007333333333</v>
          </cell>
          <cell r="V236">
            <v>15376.340666666665</v>
          </cell>
          <cell r="W236" t="e">
            <v>#REF!</v>
          </cell>
          <cell r="X236" t="e">
            <v>#REF!</v>
          </cell>
        </row>
        <row r="237">
          <cell r="P237">
            <v>431.86671126969964</v>
          </cell>
          <cell r="Q237">
            <v>63</v>
          </cell>
          <cell r="R237">
            <v>35.423728813559308</v>
          </cell>
          <cell r="S237">
            <v>537.625</v>
          </cell>
          <cell r="T237">
            <v>1012</v>
          </cell>
          <cell r="U237">
            <v>4138.4967112696995</v>
          </cell>
          <cell r="V237">
            <v>4138.4967112696995</v>
          </cell>
          <cell r="W237" t="e">
            <v>#REF!</v>
          </cell>
          <cell r="X237" t="e">
            <v>#REF!</v>
          </cell>
          <cell r="Z237">
            <v>6</v>
          </cell>
          <cell r="AA237">
            <v>6</v>
          </cell>
          <cell r="AB237">
            <v>12</v>
          </cell>
        </row>
        <row r="238">
          <cell r="P238">
            <v>131.12735849056605</v>
          </cell>
          <cell r="S238">
            <v>146.625</v>
          </cell>
          <cell r="U238">
            <v>1220.7727272727273</v>
          </cell>
          <cell r="V238">
            <v>1231.382075471698</v>
          </cell>
          <cell r="W238">
            <v>0</v>
          </cell>
          <cell r="X238">
            <v>0</v>
          </cell>
          <cell r="AG238" t="str">
            <v xml:space="preserve">         Затверджую</v>
          </cell>
        </row>
        <row r="239">
          <cell r="P239">
            <v>42</v>
          </cell>
          <cell r="Q239">
            <v>0</v>
          </cell>
          <cell r="R239">
            <v>0</v>
          </cell>
          <cell r="S239">
            <v>0</v>
          </cell>
          <cell r="T239">
            <v>0</v>
          </cell>
          <cell r="U239">
            <v>3586.2745410050566</v>
          </cell>
          <cell r="V239">
            <v>3586.2745410050566</v>
          </cell>
          <cell r="W239">
            <v>2421.3333333333335</v>
          </cell>
          <cell r="X239">
            <v>2421.3333333333335</v>
          </cell>
          <cell r="AG239" t="str">
            <v xml:space="preserve"> Голова правління </v>
          </cell>
        </row>
        <row r="240">
          <cell r="P240">
            <v>12</v>
          </cell>
          <cell r="Q240">
            <v>0</v>
          </cell>
          <cell r="R240">
            <v>0</v>
          </cell>
          <cell r="S240">
            <v>0</v>
          </cell>
          <cell r="U240">
            <v>589</v>
          </cell>
          <cell r="V240">
            <v>589</v>
          </cell>
          <cell r="W240" t="e">
            <v>#REF!</v>
          </cell>
          <cell r="X240" t="e">
            <v>#REF!</v>
          </cell>
          <cell r="AG240" t="str">
            <v xml:space="preserve">                        І.В.Плачков</v>
          </cell>
        </row>
        <row r="241">
          <cell r="P241">
            <v>30</v>
          </cell>
          <cell r="S241">
            <v>0</v>
          </cell>
          <cell r="U241">
            <v>53.583333333333336</v>
          </cell>
          <cell r="V241">
            <v>53.583333333333336</v>
          </cell>
          <cell r="X241">
            <v>0</v>
          </cell>
          <cell r="AC241">
            <v>6</v>
          </cell>
          <cell r="AD241">
            <v>6</v>
          </cell>
          <cell r="AE241">
            <v>12</v>
          </cell>
          <cell r="AG241" t="str">
            <v xml:space="preserve">   "_____" ________2000 р.</v>
          </cell>
        </row>
        <row r="242">
          <cell r="P242" t="e">
            <v>#REF!</v>
          </cell>
          <cell r="S242">
            <v>163</v>
          </cell>
          <cell r="U242">
            <v>-149.73279232827699</v>
          </cell>
          <cell r="V242">
            <v>-149.73279232827699</v>
          </cell>
          <cell r="W242" t="e">
            <v>#REF!</v>
          </cell>
          <cell r="X242" t="e">
            <v>#REF!</v>
          </cell>
        </row>
        <row r="243">
          <cell r="P243">
            <v>180</v>
          </cell>
          <cell r="S243">
            <v>0</v>
          </cell>
          <cell r="U243">
            <v>2421.3333333333335</v>
          </cell>
          <cell r="V243">
            <v>2421.3333333333335</v>
          </cell>
          <cell r="W243">
            <v>2595.8000000000002</v>
          </cell>
          <cell r="X243">
            <v>2401.8000000000002</v>
          </cell>
        </row>
        <row r="244">
          <cell r="P244">
            <v>0</v>
          </cell>
          <cell r="Q244">
            <v>0</v>
          </cell>
          <cell r="R244">
            <v>0</v>
          </cell>
          <cell r="S244">
            <v>0</v>
          </cell>
          <cell r="U244">
            <v>672.09066666666661</v>
          </cell>
          <cell r="V244">
            <v>672.09066666666661</v>
          </cell>
          <cell r="X244">
            <v>0</v>
          </cell>
          <cell r="AG244" t="str">
            <v xml:space="preserve">         Затверджую</v>
          </cell>
        </row>
        <row r="245">
          <cell r="F245" t="str">
            <v>РОЗРАХУНОК ФІНАНСОВИХ ПОТОКІВ НА   березень  2000 року</v>
          </cell>
          <cell r="P245">
            <v>-165.33333333333334</v>
          </cell>
          <cell r="Q245">
            <v>0</v>
          </cell>
          <cell r="R245">
            <v>0</v>
          </cell>
          <cell r="S245">
            <v>0</v>
          </cell>
          <cell r="T245">
            <v>0</v>
          </cell>
          <cell r="V245">
            <v>0</v>
          </cell>
          <cell r="W245">
            <v>-798.66666666666674</v>
          </cell>
          <cell r="X245">
            <v>-798.66666666666674</v>
          </cell>
          <cell r="AG245" t="str">
            <v xml:space="preserve"> Голова правління </v>
          </cell>
        </row>
        <row r="246">
          <cell r="F246" t="str">
            <v>ПО ФІЛІАЛАХ АК КИЇВЕНЕРГО</v>
          </cell>
          <cell r="P246">
            <v>450</v>
          </cell>
          <cell r="Q246">
            <v>0</v>
          </cell>
          <cell r="R246">
            <v>0</v>
          </cell>
          <cell r="S246">
            <v>406</v>
          </cell>
          <cell r="T246">
            <v>0</v>
          </cell>
          <cell r="U246">
            <v>4903</v>
          </cell>
          <cell r="V246">
            <v>4635</v>
          </cell>
          <cell r="W246">
            <v>0</v>
          </cell>
          <cell r="X246">
            <v>0</v>
          </cell>
          <cell r="AG246" t="str">
            <v xml:space="preserve">                        І.В.Плачков</v>
          </cell>
        </row>
        <row r="247">
          <cell r="P247">
            <v>1174</v>
          </cell>
          <cell r="S247">
            <v>0</v>
          </cell>
          <cell r="U247">
            <v>2921</v>
          </cell>
          <cell r="V247">
            <v>2921</v>
          </cell>
          <cell r="X247">
            <v>0</v>
          </cell>
          <cell r="AG247" t="str">
            <v xml:space="preserve">   "_____" ________2000 р.</v>
          </cell>
        </row>
        <row r="248">
          <cell r="P248">
            <v>4</v>
          </cell>
          <cell r="S248">
            <v>0</v>
          </cell>
          <cell r="V248">
            <v>0</v>
          </cell>
          <cell r="W248">
            <v>298.7</v>
          </cell>
          <cell r="X248">
            <v>298.7</v>
          </cell>
        </row>
        <row r="249">
          <cell r="P249">
            <v>-100</v>
          </cell>
          <cell r="Q249">
            <v>0</v>
          </cell>
          <cell r="R249">
            <v>0</v>
          </cell>
          <cell r="S249">
            <v>0</v>
          </cell>
          <cell r="T249">
            <v>0</v>
          </cell>
          <cell r="U249">
            <v>-578</v>
          </cell>
          <cell r="V249">
            <v>-578</v>
          </cell>
          <cell r="W249">
            <v>200</v>
          </cell>
          <cell r="X249">
            <v>200</v>
          </cell>
        </row>
        <row r="250">
          <cell r="P250">
            <v>0</v>
          </cell>
          <cell r="Q250">
            <v>0</v>
          </cell>
          <cell r="R250">
            <v>0</v>
          </cell>
          <cell r="S250">
            <v>0</v>
          </cell>
          <cell r="T250">
            <v>0</v>
          </cell>
          <cell r="U250">
            <v>0</v>
          </cell>
          <cell r="V250">
            <v>0</v>
          </cell>
          <cell r="X250">
            <v>0</v>
          </cell>
        </row>
        <row r="251">
          <cell r="F251" t="str">
            <v>РОЗРАХУНОК ФІНАНСОВИХ ПОТОКІВ НА   березень  2000 року</v>
          </cell>
          <cell r="P251">
            <v>91.8</v>
          </cell>
          <cell r="Q251">
            <v>36</v>
          </cell>
          <cell r="R251">
            <v>55.8</v>
          </cell>
          <cell r="S251">
            <v>0</v>
          </cell>
          <cell r="T251">
            <v>0</v>
          </cell>
          <cell r="V251">
            <v>0</v>
          </cell>
          <cell r="W251">
            <v>134.1</v>
          </cell>
          <cell r="X251">
            <v>134.1</v>
          </cell>
          <cell r="AI251" t="str">
            <v>тис.грн.</v>
          </cell>
        </row>
        <row r="252">
          <cell r="F252" t="str">
            <v>ВИКОН.ДИР.</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W252" t="e">
            <v>#REF!</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v>5353.1970000000001</v>
          </cell>
          <cell r="P253">
            <v>3631.1559999999999</v>
          </cell>
          <cell r="S253">
            <v>9526.8578787878778</v>
          </cell>
          <cell r="U253">
            <v>200</v>
          </cell>
          <cell r="V253">
            <v>200</v>
          </cell>
          <cell r="W253">
            <v>580</v>
          </cell>
          <cell r="X253">
            <v>2672.4863636363625</v>
          </cell>
          <cell r="AC253">
            <v>1389.1963636363635</v>
          </cell>
          <cell r="AF253">
            <v>4185.9539393939394</v>
          </cell>
          <cell r="AG253">
            <v>3391.2</v>
          </cell>
          <cell r="AH253">
            <v>794.7539393939395</v>
          </cell>
          <cell r="AI253">
            <v>27896.847545454541</v>
          </cell>
        </row>
        <row r="254">
          <cell r="V254">
            <v>0</v>
          </cell>
          <cell r="W254">
            <v>0</v>
          </cell>
          <cell r="X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W256" t="e">
            <v>#REF!</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v>26797</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W258" t="e">
            <v>#REF!</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row>
        <row r="259">
          <cell r="F259">
            <v>5607</v>
          </cell>
          <cell r="P259">
            <v>5528.9166666666661</v>
          </cell>
          <cell r="S259">
            <v>11148.516969696972</v>
          </cell>
          <cell r="U259">
            <v>2217</v>
          </cell>
          <cell r="V259">
            <v>2217</v>
          </cell>
          <cell r="W259" t="e">
            <v>#REF!</v>
          </cell>
          <cell r="X259">
            <v>3572.9196969697005</v>
          </cell>
          <cell r="AC259">
            <v>1815.6175757575729</v>
          </cell>
          <cell r="AF259">
            <v>5288.3842424242421</v>
          </cell>
          <cell r="AG259">
            <v>4487.3999999999996</v>
          </cell>
          <cell r="AH259">
            <v>801.98424242424232</v>
          </cell>
          <cell r="AI259">
            <v>5607</v>
          </cell>
          <cell r="AJ259">
            <v>7599</v>
          </cell>
          <cell r="AK259">
            <v>32648.355151515156</v>
          </cell>
        </row>
        <row r="260">
          <cell r="F260" t="e">
            <v>#REF!</v>
          </cell>
          <cell r="P260">
            <v>0</v>
          </cell>
          <cell r="Q260">
            <v>0</v>
          </cell>
          <cell r="R260">
            <v>0</v>
          </cell>
          <cell r="S260">
            <v>0</v>
          </cell>
          <cell r="T260">
            <v>0</v>
          </cell>
          <cell r="U260">
            <v>0</v>
          </cell>
          <cell r="V260">
            <v>0</v>
          </cell>
          <cell r="W260">
            <v>0</v>
          </cell>
          <cell r="X260">
            <v>0</v>
          </cell>
          <cell r="Y260">
            <v>0</v>
          </cell>
          <cell r="Z260">
            <v>0</v>
          </cell>
          <cell r="AA260">
            <v>0</v>
          </cell>
          <cell r="AB260">
            <v>0</v>
          </cell>
          <cell r="AC260">
            <v>0</v>
          </cell>
          <cell r="AD260">
            <v>0</v>
          </cell>
          <cell r="AE260">
            <v>0</v>
          </cell>
          <cell r="AF260">
            <v>0</v>
          </cell>
          <cell r="AG260">
            <v>0</v>
          </cell>
          <cell r="AH260">
            <v>0</v>
          </cell>
          <cell r="AI260" t="e">
            <v>#REF!</v>
          </cell>
        </row>
        <row r="261">
          <cell r="F261">
            <v>721.80000000000007</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0</v>
          </cell>
          <cell r="G262">
            <v>1518.0409150901905</v>
          </cell>
          <cell r="H262">
            <v>2928.9590849098108</v>
          </cell>
          <cell r="P262">
            <v>3433.9999999999991</v>
          </cell>
          <cell r="Q262" t="e">
            <v>#REF!</v>
          </cell>
          <cell r="R262" t="e">
            <v>#REF!</v>
          </cell>
          <cell r="S262">
            <v>4201.3333333333358</v>
          </cell>
          <cell r="T262">
            <v>3752.599999999999</v>
          </cell>
          <cell r="U262">
            <v>1487.7333333333331</v>
          </cell>
          <cell r="V262">
            <v>3661</v>
          </cell>
          <cell r="W262" t="e">
            <v>#REF!</v>
          </cell>
          <cell r="X262">
            <v>1311.3333333333371</v>
          </cell>
          <cell r="Y262">
            <v>1280</v>
          </cell>
          <cell r="Z262">
            <v>1117.333333333333</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t="e">
            <v>#REF!</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K263">
            <v>67522.157142857148</v>
          </cell>
        </row>
        <row r="264">
          <cell r="F264">
            <v>3500</v>
          </cell>
          <cell r="P264">
            <v>295.8070175438595</v>
          </cell>
          <cell r="Q264">
            <v>178</v>
          </cell>
          <cell r="R264">
            <v>99</v>
          </cell>
          <cell r="S264">
            <v>0</v>
          </cell>
          <cell r="T264">
            <v>0</v>
          </cell>
          <cell r="U264">
            <v>1603.0000000000005</v>
          </cell>
          <cell r="V264">
            <v>1558.3333333333326</v>
          </cell>
          <cell r="W264">
            <v>0</v>
          </cell>
          <cell r="X264" t="e">
            <v>#REF!</v>
          </cell>
          <cell r="AI264">
            <v>3500</v>
          </cell>
          <cell r="AK264">
            <v>41877</v>
          </cell>
        </row>
        <row r="265">
          <cell r="F265">
            <v>0</v>
          </cell>
          <cell r="P265">
            <v>168</v>
          </cell>
          <cell r="Q265">
            <v>108</v>
          </cell>
          <cell r="R265">
            <v>60</v>
          </cell>
          <cell r="S265">
            <v>0</v>
          </cell>
          <cell r="T265">
            <v>16</v>
          </cell>
          <cell r="U265">
            <v>405.33333333333348</v>
          </cell>
          <cell r="AI265">
            <v>0</v>
          </cell>
          <cell r="AK265">
            <v>15510</v>
          </cell>
        </row>
        <row r="266">
          <cell r="F266">
            <v>538</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t="e">
            <v>#REF!</v>
          </cell>
          <cell r="P267">
            <v>29</v>
          </cell>
          <cell r="Q267">
            <v>20</v>
          </cell>
          <cell r="R267">
            <v>11</v>
          </cell>
          <cell r="S267">
            <v>0</v>
          </cell>
          <cell r="T267">
            <v>12</v>
          </cell>
          <cell r="U267">
            <v>702.66666666666697</v>
          </cell>
          <cell r="V267">
            <v>637.66666666666674</v>
          </cell>
          <cell r="AI267" t="e">
            <v>#REF!</v>
          </cell>
          <cell r="AK267">
            <v>660.3</v>
          </cell>
        </row>
        <row r="268">
          <cell r="F268">
            <v>295</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t="e">
            <v>#REF!</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1708.6970000000001</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541.697</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0</v>
          </cell>
          <cell r="P272">
            <v>0</v>
          </cell>
          <cell r="Q272">
            <v>0</v>
          </cell>
          <cell r="R272">
            <v>0</v>
          </cell>
          <cell r="S272">
            <v>13.666666666666666</v>
          </cell>
          <cell r="T272">
            <v>13.666666666666666</v>
          </cell>
          <cell r="U272">
            <v>0</v>
          </cell>
          <cell r="V272">
            <v>0</v>
          </cell>
          <cell r="W272">
            <v>0</v>
          </cell>
          <cell r="X272">
            <v>708.80000000000007</v>
          </cell>
          <cell r="Y272">
            <v>502</v>
          </cell>
          <cell r="Z272">
            <v>206.80000000000007</v>
          </cell>
          <cell r="AA272">
            <v>0</v>
          </cell>
          <cell r="AB272">
            <v>0</v>
          </cell>
          <cell r="AC272">
            <v>-0.66666666666666607</v>
          </cell>
          <cell r="AD272">
            <v>7</v>
          </cell>
          <cell r="AE272">
            <v>6.3333333333333339</v>
          </cell>
          <cell r="AF272">
            <v>0</v>
          </cell>
          <cell r="AG272">
            <v>0</v>
          </cell>
          <cell r="AH272">
            <v>0</v>
          </cell>
          <cell r="AI272">
            <v>721.80000000000007</v>
          </cell>
          <cell r="AK272">
            <v>821</v>
          </cell>
        </row>
        <row r="273">
          <cell r="F273">
            <v>1167</v>
          </cell>
          <cell r="P273">
            <v>949</v>
          </cell>
          <cell r="Q273">
            <v>0</v>
          </cell>
          <cell r="R273">
            <v>0</v>
          </cell>
          <cell r="S273">
            <v>1193</v>
          </cell>
          <cell r="T273">
            <v>0</v>
          </cell>
          <cell r="U273">
            <v>0</v>
          </cell>
          <cell r="V273">
            <v>0</v>
          </cell>
          <cell r="W273">
            <v>0</v>
          </cell>
          <cell r="X273">
            <v>311</v>
          </cell>
          <cell r="Y273">
            <v>0</v>
          </cell>
          <cell r="Z273">
            <v>0</v>
          </cell>
          <cell r="AA273">
            <v>0</v>
          </cell>
          <cell r="AB273">
            <v>0</v>
          </cell>
          <cell r="AC273">
            <v>284</v>
          </cell>
          <cell r="AD273">
            <v>0</v>
          </cell>
          <cell r="AE273">
            <v>0</v>
          </cell>
          <cell r="AF273">
            <v>626</v>
          </cell>
          <cell r="AG273">
            <v>265</v>
          </cell>
          <cell r="AH273">
            <v>0</v>
          </cell>
          <cell r="AI273">
            <v>4672</v>
          </cell>
          <cell r="AK273">
            <v>3580</v>
          </cell>
        </row>
        <row r="274">
          <cell r="F274">
            <v>133</v>
          </cell>
          <cell r="P274">
            <v>300</v>
          </cell>
          <cell r="S274">
            <v>603</v>
          </cell>
          <cell r="X274">
            <v>115</v>
          </cell>
          <cell r="AC274">
            <v>96</v>
          </cell>
          <cell r="AF274">
            <v>361</v>
          </cell>
          <cell r="AG274">
            <v>0</v>
          </cell>
          <cell r="AH274">
            <v>0</v>
          </cell>
          <cell r="AI274">
            <v>1640</v>
          </cell>
          <cell r="AK274">
            <v>193</v>
          </cell>
        </row>
        <row r="275">
          <cell r="F275">
            <v>770</v>
          </cell>
          <cell r="P275">
            <v>4</v>
          </cell>
          <cell r="Q275">
            <v>0</v>
          </cell>
          <cell r="R275">
            <v>0</v>
          </cell>
          <cell r="S275">
            <v>15</v>
          </cell>
          <cell r="T275">
            <v>0</v>
          </cell>
          <cell r="U275">
            <v>0</v>
          </cell>
          <cell r="V275">
            <v>0</v>
          </cell>
          <cell r="W275">
            <v>0</v>
          </cell>
          <cell r="X275">
            <v>30</v>
          </cell>
          <cell r="Y275">
            <v>0</v>
          </cell>
          <cell r="Z275">
            <v>0</v>
          </cell>
          <cell r="AA275">
            <v>0</v>
          </cell>
          <cell r="AB275">
            <v>0</v>
          </cell>
          <cell r="AC275">
            <v>8</v>
          </cell>
          <cell r="AD275">
            <v>0</v>
          </cell>
          <cell r="AE275">
            <v>0</v>
          </cell>
          <cell r="AF275">
            <v>15</v>
          </cell>
          <cell r="AG275">
            <v>15</v>
          </cell>
          <cell r="AH275">
            <v>0</v>
          </cell>
          <cell r="AI275">
            <v>952</v>
          </cell>
          <cell r="AK275">
            <v>100170.5122943723</v>
          </cell>
        </row>
        <row r="276">
          <cell r="F276">
            <v>60</v>
          </cell>
          <cell r="P276">
            <v>500</v>
          </cell>
          <cell r="Q276">
            <v>0</v>
          </cell>
          <cell r="R276">
            <v>0</v>
          </cell>
          <cell r="S276">
            <v>430</v>
          </cell>
          <cell r="T276">
            <v>710.90664848484835</v>
          </cell>
          <cell r="U276">
            <v>725.94365454545448</v>
          </cell>
          <cell r="V276">
            <v>0</v>
          </cell>
          <cell r="W276">
            <v>0</v>
          </cell>
          <cell r="X276">
            <v>100</v>
          </cell>
          <cell r="Y276">
            <v>549</v>
          </cell>
          <cell r="Z276">
            <v>479.58636363636367</v>
          </cell>
          <cell r="AA276">
            <v>0</v>
          </cell>
          <cell r="AB276">
            <v>9</v>
          </cell>
          <cell r="AC276">
            <v>130</v>
          </cell>
          <cell r="AD276">
            <v>149</v>
          </cell>
          <cell r="AE276">
            <v>219.28424242424248</v>
          </cell>
          <cell r="AF276">
            <v>150</v>
          </cell>
          <cell r="AG276">
            <v>150</v>
          </cell>
          <cell r="AH276">
            <v>674.01757575757563</v>
          </cell>
          <cell r="AI276">
            <v>1370</v>
          </cell>
          <cell r="AK276">
            <v>16370.473333333333</v>
          </cell>
        </row>
        <row r="277">
          <cell r="F277">
            <v>204</v>
          </cell>
          <cell r="G277">
            <v>162</v>
          </cell>
          <cell r="H277">
            <v>425</v>
          </cell>
          <cell r="P277">
            <v>145</v>
          </cell>
          <cell r="S277">
            <v>145</v>
          </cell>
          <cell r="T277">
            <v>697.23998181818172</v>
          </cell>
          <cell r="U277">
            <v>725.94365454545448</v>
          </cell>
          <cell r="X277">
            <v>66</v>
          </cell>
          <cell r="Y277">
            <v>204</v>
          </cell>
          <cell r="Z277">
            <v>177.58636363636367</v>
          </cell>
          <cell r="AC277">
            <v>50</v>
          </cell>
          <cell r="AD277">
            <v>144</v>
          </cell>
          <cell r="AE277">
            <v>210.95090909090914</v>
          </cell>
          <cell r="AF277">
            <v>100</v>
          </cell>
          <cell r="AG277">
            <v>100</v>
          </cell>
          <cell r="AH277">
            <v>0</v>
          </cell>
          <cell r="AI277">
            <v>710</v>
          </cell>
          <cell r="AK277">
            <v>6760.8399999999992</v>
          </cell>
        </row>
        <row r="278">
          <cell r="F278">
            <v>0</v>
          </cell>
          <cell r="P278">
            <v>11.200000000000001</v>
          </cell>
          <cell r="Q278">
            <v>0</v>
          </cell>
          <cell r="R278">
            <v>0</v>
          </cell>
          <cell r="S278">
            <v>267.2</v>
          </cell>
          <cell r="T278">
            <v>0</v>
          </cell>
          <cell r="U278">
            <v>0</v>
          </cell>
          <cell r="V278">
            <v>0</v>
          </cell>
          <cell r="W278">
            <v>0</v>
          </cell>
          <cell r="X278">
            <v>4</v>
          </cell>
          <cell r="Y278">
            <v>0</v>
          </cell>
          <cell r="Z278">
            <v>0</v>
          </cell>
          <cell r="AA278">
            <v>0</v>
          </cell>
          <cell r="AB278">
            <v>0</v>
          </cell>
          <cell r="AC278">
            <v>0</v>
          </cell>
          <cell r="AD278">
            <v>0</v>
          </cell>
          <cell r="AE278">
            <v>0</v>
          </cell>
          <cell r="AF278">
            <v>536</v>
          </cell>
          <cell r="AG278">
            <v>220</v>
          </cell>
          <cell r="AH278">
            <v>316</v>
          </cell>
          <cell r="AI278">
            <v>1174.4000000000001</v>
          </cell>
          <cell r="AK278">
            <v>660.3</v>
          </cell>
        </row>
        <row r="279">
          <cell r="F279">
            <v>0</v>
          </cell>
          <cell r="P279">
            <v>0</v>
          </cell>
          <cell r="Q279">
            <v>0</v>
          </cell>
          <cell r="R279">
            <v>0</v>
          </cell>
          <cell r="S279">
            <v>0</v>
          </cell>
          <cell r="T279">
            <v>0</v>
          </cell>
          <cell r="U279">
            <v>0</v>
          </cell>
          <cell r="V279">
            <v>0</v>
          </cell>
          <cell r="W279">
            <v>0</v>
          </cell>
          <cell r="X279">
            <v>4</v>
          </cell>
          <cell r="Y279">
            <v>0</v>
          </cell>
          <cell r="Z279">
            <v>0</v>
          </cell>
          <cell r="AA279">
            <v>0</v>
          </cell>
          <cell r="AB279">
            <v>9</v>
          </cell>
          <cell r="AC279">
            <v>0</v>
          </cell>
          <cell r="AD279">
            <v>0</v>
          </cell>
          <cell r="AE279">
            <v>0</v>
          </cell>
          <cell r="AF279">
            <v>0</v>
          </cell>
          <cell r="AG279">
            <v>0</v>
          </cell>
          <cell r="AH279">
            <v>0</v>
          </cell>
          <cell r="AI279">
            <v>4</v>
          </cell>
          <cell r="AK279">
            <v>4987</v>
          </cell>
        </row>
        <row r="280">
          <cell r="F280">
            <v>0</v>
          </cell>
          <cell r="P280">
            <v>11.200000000000001</v>
          </cell>
          <cell r="S280">
            <v>267.2</v>
          </cell>
          <cell r="X280">
            <v>0</v>
          </cell>
          <cell r="AC280">
            <v>0</v>
          </cell>
          <cell r="AF280">
            <v>536</v>
          </cell>
          <cell r="AG280">
            <v>220</v>
          </cell>
          <cell r="AH280">
            <v>316</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250</v>
          </cell>
          <cell r="X282">
            <v>100</v>
          </cell>
          <cell r="AC282">
            <v>100</v>
          </cell>
          <cell r="AF282">
            <v>0</v>
          </cell>
          <cell r="AG282">
            <v>0</v>
          </cell>
          <cell r="AH282">
            <v>0</v>
          </cell>
          <cell r="AI282">
            <v>250</v>
          </cell>
          <cell r="AK282">
            <v>1110</v>
          </cell>
        </row>
        <row r="283">
          <cell r="F283" t="e">
            <v>#REF!</v>
          </cell>
          <cell r="P283">
            <v>1766.6359999999997</v>
          </cell>
          <cell r="Q283">
            <v>0</v>
          </cell>
          <cell r="R283">
            <v>0</v>
          </cell>
          <cell r="S283">
            <v>5902.6712121212113</v>
          </cell>
          <cell r="T283">
            <v>-611.67619393939378</v>
          </cell>
          <cell r="U283">
            <v>-622.76501818181805</v>
          </cell>
          <cell r="V283">
            <v>0</v>
          </cell>
          <cell r="W283">
            <v>0</v>
          </cell>
          <cell r="X283">
            <v>1005.0363636363622</v>
          </cell>
          <cell r="Y283">
            <v>-790</v>
          </cell>
          <cell r="Z283">
            <v>-326.08636363636373</v>
          </cell>
          <cell r="AA283">
            <v>0</v>
          </cell>
          <cell r="AB283">
            <v>0</v>
          </cell>
          <cell r="AC283">
            <v>568.1030303030301</v>
          </cell>
          <cell r="AD283">
            <v>-205</v>
          </cell>
          <cell r="AE283">
            <v>-186.72969696969702</v>
          </cell>
          <cell r="AF283">
            <v>1293.1939393939392</v>
          </cell>
          <cell r="AG283">
            <v>1476.9999999999998</v>
          </cell>
          <cell r="AH283">
            <v>177.19393939393956</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K284">
            <v>3712.333333333333</v>
          </cell>
        </row>
        <row r="285">
          <cell r="F285">
            <v>3907.5</v>
          </cell>
          <cell r="P285">
            <v>1829.636</v>
          </cell>
          <cell r="Q285">
            <v>0</v>
          </cell>
          <cell r="R285">
            <v>0</v>
          </cell>
          <cell r="S285">
            <v>5920.6712121212122</v>
          </cell>
          <cell r="T285">
            <v>0</v>
          </cell>
          <cell r="U285">
            <v>0</v>
          </cell>
          <cell r="V285">
            <v>0</v>
          </cell>
          <cell r="W285">
            <v>0</v>
          </cell>
          <cell r="X285">
            <v>1005.0363636363637</v>
          </cell>
          <cell r="Y285">
            <v>0</v>
          </cell>
          <cell r="Z285">
            <v>0</v>
          </cell>
          <cell r="AA285">
            <v>0</v>
          </cell>
          <cell r="AB285">
            <v>0</v>
          </cell>
          <cell r="AC285">
            <v>567.43636363636358</v>
          </cell>
          <cell r="AD285">
            <v>0</v>
          </cell>
          <cell r="AE285">
            <v>0</v>
          </cell>
          <cell r="AF285">
            <v>1293.1939393939397</v>
          </cell>
          <cell r="AG285">
            <v>1477</v>
          </cell>
          <cell r="AH285">
            <v>177.1939393939395</v>
          </cell>
          <cell r="AI285">
            <v>14738.47387878788</v>
          </cell>
          <cell r="AK285">
            <v>20</v>
          </cell>
        </row>
        <row r="286">
          <cell r="F286">
            <v>35</v>
          </cell>
          <cell r="P286">
            <v>1065</v>
          </cell>
          <cell r="S286">
            <v>4233.1499999999996</v>
          </cell>
          <cell r="X286">
            <v>190</v>
          </cell>
          <cell r="AC286">
            <v>-45</v>
          </cell>
          <cell r="AF286">
            <v>-145</v>
          </cell>
          <cell r="AG286">
            <v>-145</v>
          </cell>
          <cell r="AH286">
            <v>0</v>
          </cell>
          <cell r="AI286">
            <v>5357.15</v>
          </cell>
          <cell r="AK286">
            <v>3334.333333333333</v>
          </cell>
        </row>
        <row r="287">
          <cell r="F287">
            <v>204</v>
          </cell>
          <cell r="P287">
            <v>635.40000000000009</v>
          </cell>
          <cell r="Q287">
            <v>0</v>
          </cell>
          <cell r="R287">
            <v>0</v>
          </cell>
          <cell r="S287">
            <v>1093.8545454545456</v>
          </cell>
          <cell r="T287">
            <v>0</v>
          </cell>
          <cell r="U287">
            <v>0</v>
          </cell>
          <cell r="V287">
            <v>0</v>
          </cell>
          <cell r="W287">
            <v>0</v>
          </cell>
          <cell r="X287">
            <v>600.83636363636367</v>
          </cell>
          <cell r="Y287">
            <v>0</v>
          </cell>
          <cell r="Z287">
            <v>0</v>
          </cell>
          <cell r="AA287">
            <v>0</v>
          </cell>
          <cell r="AB287">
            <v>0</v>
          </cell>
          <cell r="AC287">
            <v>413.0363636363636</v>
          </cell>
          <cell r="AD287">
            <v>0</v>
          </cell>
          <cell r="AE287">
            <v>0</v>
          </cell>
          <cell r="AF287">
            <v>1078.7272727272727</v>
          </cell>
          <cell r="AG287">
            <v>1079</v>
          </cell>
          <cell r="AH287">
            <v>-0.27272727272728048</v>
          </cell>
          <cell r="AI287">
            <v>4025.8545454545456</v>
          </cell>
          <cell r="AK287">
            <v>358</v>
          </cell>
        </row>
        <row r="288">
          <cell r="F288">
            <v>0</v>
          </cell>
          <cell r="P288">
            <v>0</v>
          </cell>
          <cell r="S288">
            <v>0</v>
          </cell>
          <cell r="X288">
            <v>0</v>
          </cell>
          <cell r="AC288">
            <v>0</v>
          </cell>
          <cell r="AF288">
            <v>0</v>
          </cell>
          <cell r="AG288">
            <v>0</v>
          </cell>
          <cell r="AH288">
            <v>0</v>
          </cell>
          <cell r="AI288">
            <v>0</v>
          </cell>
          <cell r="AK288">
            <v>250</v>
          </cell>
        </row>
        <row r="289">
          <cell r="F289">
            <v>0</v>
          </cell>
          <cell r="P289">
            <v>0</v>
          </cell>
          <cell r="Q289">
            <v>0</v>
          </cell>
          <cell r="R289">
            <v>0</v>
          </cell>
          <cell r="S289">
            <v>0</v>
          </cell>
          <cell r="T289">
            <v>-710.90664848484835</v>
          </cell>
          <cell r="U289">
            <v>-725.94365454545448</v>
          </cell>
          <cell r="V289">
            <v>0</v>
          </cell>
          <cell r="W289">
            <v>0</v>
          </cell>
          <cell r="X289">
            <v>0</v>
          </cell>
          <cell r="Y289">
            <v>-549</v>
          </cell>
          <cell r="Z289">
            <v>-479.58636363636367</v>
          </cell>
          <cell r="AA289">
            <v>0</v>
          </cell>
          <cell r="AB289">
            <v>-9</v>
          </cell>
          <cell r="AC289">
            <v>0</v>
          </cell>
          <cell r="AD289">
            <v>-149</v>
          </cell>
          <cell r="AE289">
            <v>-219.28424242424248</v>
          </cell>
          <cell r="AF289">
            <v>0</v>
          </cell>
          <cell r="AG289">
            <v>0</v>
          </cell>
          <cell r="AH289">
            <v>0</v>
          </cell>
          <cell r="AI289">
            <v>0</v>
          </cell>
          <cell r="AK289">
            <v>83800.038961038968</v>
          </cell>
        </row>
        <row r="290">
          <cell r="F290">
            <v>3668.5</v>
          </cell>
          <cell r="P290">
            <v>129.23599999999999</v>
          </cell>
          <cell r="Q290">
            <v>0</v>
          </cell>
          <cell r="R290">
            <v>0</v>
          </cell>
          <cell r="S290">
            <v>593.66666666666674</v>
          </cell>
          <cell r="T290">
            <v>0</v>
          </cell>
          <cell r="U290">
            <v>0</v>
          </cell>
          <cell r="V290">
            <v>0</v>
          </cell>
          <cell r="W290">
            <v>0</v>
          </cell>
          <cell r="X290">
            <v>214.20000000000005</v>
          </cell>
          <cell r="Y290">
            <v>0</v>
          </cell>
          <cell r="Z290">
            <v>0</v>
          </cell>
          <cell r="AA290">
            <v>0</v>
          </cell>
          <cell r="AB290">
            <v>0</v>
          </cell>
          <cell r="AC290">
            <v>199.4</v>
          </cell>
          <cell r="AD290">
            <v>0</v>
          </cell>
          <cell r="AE290">
            <v>0</v>
          </cell>
          <cell r="AF290">
            <v>347.46666666666681</v>
          </cell>
          <cell r="AG290">
            <v>533</v>
          </cell>
          <cell r="AH290">
            <v>175.46666666666678</v>
          </cell>
          <cell r="AI290">
            <v>5343.4693333333335</v>
          </cell>
          <cell r="AK290">
            <v>0</v>
          </cell>
        </row>
        <row r="291">
          <cell r="F291">
            <v>9</v>
          </cell>
          <cell r="P291">
            <v>0.23599999999999</v>
          </cell>
          <cell r="Q291">
            <v>0</v>
          </cell>
          <cell r="R291">
            <v>0</v>
          </cell>
          <cell r="S291">
            <v>142.26666666666688</v>
          </cell>
          <cell r="T291">
            <v>0</v>
          </cell>
          <cell r="U291">
            <v>0</v>
          </cell>
          <cell r="V291">
            <v>0</v>
          </cell>
          <cell r="W291">
            <v>0</v>
          </cell>
          <cell r="X291">
            <v>47.800000000000011</v>
          </cell>
          <cell r="Y291">
            <v>0</v>
          </cell>
          <cell r="Z291">
            <v>0</v>
          </cell>
          <cell r="AA291">
            <v>0</v>
          </cell>
          <cell r="AB291">
            <v>0</v>
          </cell>
          <cell r="AC291">
            <v>0</v>
          </cell>
          <cell r="AD291">
            <v>0</v>
          </cell>
          <cell r="AE291">
            <v>0</v>
          </cell>
          <cell r="AF291">
            <v>22.133333333333439</v>
          </cell>
          <cell r="AG291">
            <v>285</v>
          </cell>
          <cell r="AH291">
            <v>98.133333333333439</v>
          </cell>
          <cell r="AI291">
            <v>256.43600000000032</v>
          </cell>
          <cell r="AK291">
            <v>18808.215151515153</v>
          </cell>
        </row>
        <row r="292">
          <cell r="F292">
            <v>2</v>
          </cell>
          <cell r="P292">
            <v>40.800000000000004</v>
          </cell>
          <cell r="S292">
            <v>249.53333333333333</v>
          </cell>
          <cell r="X292">
            <v>81.600000000000023</v>
          </cell>
          <cell r="AC292">
            <v>64</v>
          </cell>
          <cell r="AF292">
            <v>157.33333333333334</v>
          </cell>
          <cell r="AG292">
            <v>108</v>
          </cell>
          <cell r="AH292">
            <v>49.333333333333343</v>
          </cell>
          <cell r="AI292">
            <v>595.26666666666665</v>
          </cell>
          <cell r="AK292">
            <v>8743</v>
          </cell>
        </row>
        <row r="293">
          <cell r="F293">
            <v>3657.5</v>
          </cell>
          <cell r="P293">
            <v>88.2</v>
          </cell>
          <cell r="Q293">
            <v>0</v>
          </cell>
          <cell r="R293">
            <v>0</v>
          </cell>
          <cell r="S293">
            <v>201.86666666666662</v>
          </cell>
          <cell r="T293">
            <v>0</v>
          </cell>
          <cell r="U293">
            <v>0</v>
          </cell>
          <cell r="V293">
            <v>0</v>
          </cell>
          <cell r="W293">
            <v>0</v>
          </cell>
          <cell r="X293">
            <v>84.800000000000011</v>
          </cell>
          <cell r="Y293">
            <v>0</v>
          </cell>
          <cell r="Z293">
            <v>0</v>
          </cell>
          <cell r="AA293">
            <v>0</v>
          </cell>
          <cell r="AB293">
            <v>0</v>
          </cell>
          <cell r="AC293">
            <v>135.4</v>
          </cell>
          <cell r="AD293">
            <v>0</v>
          </cell>
          <cell r="AE293">
            <v>0</v>
          </cell>
          <cell r="AF293">
            <v>168</v>
          </cell>
          <cell r="AG293">
            <v>140</v>
          </cell>
          <cell r="AH293">
            <v>28</v>
          </cell>
          <cell r="AI293">
            <v>4491.7666666666664</v>
          </cell>
          <cell r="AK293">
            <v>4839.181818181818</v>
          </cell>
        </row>
        <row r="294">
          <cell r="F294">
            <v>0</v>
          </cell>
          <cell r="P294">
            <v>0</v>
          </cell>
          <cell r="S294">
            <v>0</v>
          </cell>
          <cell r="X294">
            <v>0</v>
          </cell>
          <cell r="AC294">
            <v>0</v>
          </cell>
          <cell r="AF294">
            <v>0</v>
          </cell>
          <cell r="AG294">
            <v>0</v>
          </cell>
          <cell r="AH294">
            <v>0</v>
          </cell>
          <cell r="AI294">
            <v>0</v>
          </cell>
          <cell r="AK294">
            <v>0</v>
          </cell>
        </row>
        <row r="295">
          <cell r="F295">
            <v>0</v>
          </cell>
          <cell r="P295">
            <v>0</v>
          </cell>
          <cell r="S295">
            <v>0</v>
          </cell>
          <cell r="X295">
            <v>0</v>
          </cell>
          <cell r="AC295">
            <v>0</v>
          </cell>
          <cell r="AF295">
            <v>12</v>
          </cell>
          <cell r="AG295">
            <v>10</v>
          </cell>
          <cell r="AH295">
            <v>2</v>
          </cell>
          <cell r="AI295">
            <v>12</v>
          </cell>
          <cell r="AK295">
            <v>0</v>
          </cell>
        </row>
        <row r="296">
          <cell r="F296" t="e">
            <v>#REF!</v>
          </cell>
          <cell r="P296">
            <v>1766.6359999999997</v>
          </cell>
          <cell r="Q296">
            <v>0</v>
          </cell>
          <cell r="R296">
            <v>0</v>
          </cell>
          <cell r="S296">
            <v>5902.6712121212113</v>
          </cell>
          <cell r="T296">
            <v>-611.67619393939378</v>
          </cell>
          <cell r="U296">
            <v>-622.76501818181805</v>
          </cell>
          <cell r="V296">
            <v>0</v>
          </cell>
          <cell r="W296">
            <v>0</v>
          </cell>
          <cell r="X296">
            <v>1005.0363636363622</v>
          </cell>
          <cell r="Y296">
            <v>-790</v>
          </cell>
          <cell r="Z296">
            <v>-326.08636363636373</v>
          </cell>
          <cell r="AA296">
            <v>0</v>
          </cell>
          <cell r="AB296">
            <v>0</v>
          </cell>
          <cell r="AC296">
            <v>568.1030303030301</v>
          </cell>
          <cell r="AD296">
            <v>-205</v>
          </cell>
          <cell r="AE296">
            <v>-186.72969696969702</v>
          </cell>
          <cell r="AF296">
            <v>1293.1939393939392</v>
          </cell>
          <cell r="AG296">
            <v>1476.9999999999998</v>
          </cell>
          <cell r="AH296">
            <v>177.19393939393956</v>
          </cell>
          <cell r="AI296" t="e">
            <v>#REF!</v>
          </cell>
          <cell r="AK296">
            <v>5229.0333333333338</v>
          </cell>
        </row>
        <row r="297">
          <cell r="F297">
            <v>2</v>
          </cell>
          <cell r="P297">
            <v>0</v>
          </cell>
          <cell r="S297">
            <v>219</v>
          </cell>
          <cell r="X297">
            <v>93.666666666666629</v>
          </cell>
          <cell r="AC297">
            <v>93</v>
          </cell>
          <cell r="AF297">
            <v>0</v>
          </cell>
          <cell r="AG297">
            <v>0</v>
          </cell>
          <cell r="AH297">
            <v>191</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t="e">
            <v>#REF!</v>
          </cell>
          <cell r="G299">
            <v>0</v>
          </cell>
          <cell r="H299">
            <v>0</v>
          </cell>
          <cell r="P299">
            <v>1766.6359999999997</v>
          </cell>
          <cell r="Q299">
            <v>0</v>
          </cell>
          <cell r="R299">
            <v>0</v>
          </cell>
          <cell r="S299">
            <v>5902.6712121212113</v>
          </cell>
          <cell r="T299">
            <v>-611.67619393939378</v>
          </cell>
          <cell r="U299">
            <v>-622.76501818181805</v>
          </cell>
          <cell r="V299">
            <v>0</v>
          </cell>
          <cell r="W299">
            <v>0</v>
          </cell>
          <cell r="X299">
            <v>1005.0363636363622</v>
          </cell>
          <cell r="Y299">
            <v>-790</v>
          </cell>
          <cell r="Z299">
            <v>-326.08636363636373</v>
          </cell>
          <cell r="AA299">
            <v>0</v>
          </cell>
          <cell r="AB299">
            <v>0</v>
          </cell>
          <cell r="AC299">
            <v>568.1030303030301</v>
          </cell>
          <cell r="AF299">
            <v>1293.1939393939392</v>
          </cell>
          <cell r="AG299">
            <v>924.99999999999966</v>
          </cell>
          <cell r="AH299">
            <v>368.19393939393956</v>
          </cell>
          <cell r="AI299" t="e">
            <v>#REF!</v>
          </cell>
          <cell r="AK299">
            <v>3585.6666666666665</v>
          </cell>
        </row>
        <row r="300">
          <cell r="F300">
            <v>0</v>
          </cell>
          <cell r="P300">
            <v>0</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-3</v>
          </cell>
        </row>
        <row r="302">
          <cell r="F302">
            <v>0</v>
          </cell>
          <cell r="P302">
            <v>0</v>
          </cell>
          <cell r="Q302">
            <v>0</v>
          </cell>
          <cell r="R302">
            <v>0</v>
          </cell>
          <cell r="S302">
            <v>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0</v>
          </cell>
          <cell r="AG302">
            <v>0</v>
          </cell>
          <cell r="AH302">
            <v>0</v>
          </cell>
          <cell r="AI302">
            <v>0</v>
          </cell>
          <cell r="AK302">
            <v>83800.038961038968</v>
          </cell>
        </row>
        <row r="303">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368.19393939393956</v>
          </cell>
          <cell r="AI304" t="e">
            <v>#REF!</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P306">
            <v>0</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3609</v>
          </cell>
          <cell r="P308">
            <v>0</v>
          </cell>
          <cell r="S308">
            <v>0</v>
          </cell>
          <cell r="X308">
            <v>0</v>
          </cell>
          <cell r="AC308">
            <v>0</v>
          </cell>
          <cell r="AF308">
            <v>0</v>
          </cell>
          <cell r="AG308">
            <v>0</v>
          </cell>
          <cell r="AH308">
            <v>0</v>
          </cell>
          <cell r="AI308">
            <v>3609</v>
          </cell>
          <cell r="AK308">
            <v>0</v>
          </cell>
        </row>
        <row r="309">
          <cell r="S309">
            <v>0</v>
          </cell>
          <cell r="AK309">
            <v>0</v>
          </cell>
        </row>
        <row r="310">
          <cell r="F310">
            <v>0</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AI311">
            <v>0</v>
          </cell>
          <cell r="AK311">
            <v>0</v>
          </cell>
        </row>
        <row r="312">
          <cell r="P312">
            <v>0</v>
          </cell>
          <cell r="AK312">
            <v>0</v>
          </cell>
        </row>
        <row r="313">
          <cell r="S313">
            <v>0</v>
          </cell>
          <cell r="AI313">
            <v>0</v>
          </cell>
          <cell r="AK313">
            <v>0</v>
          </cell>
        </row>
        <row r="314">
          <cell r="F314">
            <v>3480</v>
          </cell>
          <cell r="S314">
            <v>0</v>
          </cell>
          <cell r="AK314">
            <v>3480</v>
          </cell>
        </row>
        <row r="315">
          <cell r="F315" t="e">
            <v>#REF!</v>
          </cell>
          <cell r="P315">
            <v>1766.6359999999997</v>
          </cell>
          <cell r="Q315">
            <v>0</v>
          </cell>
          <cell r="R315">
            <v>0</v>
          </cell>
          <cell r="S315">
            <v>5902.6712121212113</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row>
        <row r="316">
          <cell r="F316">
            <v>0</v>
          </cell>
          <cell r="AK316">
            <v>0</v>
          </cell>
        </row>
        <row r="317">
          <cell r="AK317">
            <v>0</v>
          </cell>
        </row>
        <row r="319">
          <cell r="AK319">
            <v>0</v>
          </cell>
        </row>
        <row r="320">
          <cell r="S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t="e">
            <v>#REF!</v>
          </cell>
          <cell r="AM330">
            <v>5000.8799999999992</v>
          </cell>
        </row>
        <row r="331">
          <cell r="F331">
            <v>160</v>
          </cell>
          <cell r="P331">
            <v>326</v>
          </cell>
          <cell r="S331">
            <v>523</v>
          </cell>
          <cell r="X331">
            <v>174</v>
          </cell>
          <cell r="AC331">
            <v>147</v>
          </cell>
          <cell r="AF331">
            <v>480</v>
          </cell>
          <cell r="AG331">
            <v>480</v>
          </cell>
          <cell r="AH331">
            <v>0</v>
          </cell>
          <cell r="AI331">
            <v>0</v>
          </cell>
          <cell r="AK331">
            <v>1910</v>
          </cell>
          <cell r="AM331">
            <v>1430</v>
          </cell>
        </row>
        <row r="332">
          <cell r="AI332">
            <v>538</v>
          </cell>
          <cell r="AJ332">
            <v>36</v>
          </cell>
          <cell r="AK332" t="e">
            <v>#REF!</v>
          </cell>
          <cell r="AM332">
            <v>6362.1571428571433</v>
          </cell>
        </row>
        <row r="333">
          <cell r="AI333" t="e">
            <v>#REF!</v>
          </cell>
          <cell r="AK333">
            <v>660.3</v>
          </cell>
          <cell r="AM333">
            <v>660.3</v>
          </cell>
        </row>
        <row r="334">
          <cell r="AI334">
            <v>0</v>
          </cell>
          <cell r="AJ334">
            <v>36</v>
          </cell>
          <cell r="AK334" t="e">
            <v>#REF!</v>
          </cell>
          <cell r="AM334">
            <v>0</v>
          </cell>
        </row>
        <row r="335">
          <cell r="AI335">
            <v>5357.15</v>
          </cell>
          <cell r="AK335" t="e">
            <v>#REF!</v>
          </cell>
          <cell r="AM335">
            <v>1380.8571428571431</v>
          </cell>
        </row>
        <row r="336">
          <cell r="AI336">
            <v>4025.8545454545456</v>
          </cell>
          <cell r="AK336" t="e">
            <v>#REF!</v>
          </cell>
          <cell r="AM336">
            <v>3500</v>
          </cell>
        </row>
        <row r="337">
          <cell r="AI337">
            <v>0</v>
          </cell>
          <cell r="AK337" t="e">
            <v>#REF!</v>
          </cell>
        </row>
        <row r="338">
          <cell r="AI338">
            <v>0</v>
          </cell>
          <cell r="AK338" t="e">
            <v>#REF!</v>
          </cell>
          <cell r="AM338">
            <v>821</v>
          </cell>
        </row>
        <row r="339">
          <cell r="AI339">
            <v>0</v>
          </cell>
          <cell r="AK339" t="e">
            <v>#REF!</v>
          </cell>
        </row>
        <row r="340">
          <cell r="AI340">
            <v>4672</v>
          </cell>
          <cell r="AK340" t="e">
            <v>#REF!</v>
          </cell>
          <cell r="AM340">
            <v>0</v>
          </cell>
        </row>
        <row r="341">
          <cell r="AI341">
            <v>1640</v>
          </cell>
          <cell r="AK341" t="e">
            <v>#REF!</v>
          </cell>
          <cell r="AM341">
            <v>7882</v>
          </cell>
        </row>
        <row r="342">
          <cell r="AI342">
            <v>952</v>
          </cell>
          <cell r="AK342" t="e">
            <v>#REF!</v>
          </cell>
          <cell r="AM342">
            <v>4100.090909090909</v>
          </cell>
        </row>
        <row r="343">
          <cell r="AI343">
            <v>1370</v>
          </cell>
          <cell r="AK343">
            <v>0</v>
          </cell>
          <cell r="AM343">
            <v>0</v>
          </cell>
        </row>
        <row r="344">
          <cell r="AI344">
            <v>710</v>
          </cell>
          <cell r="AK344">
            <v>0</v>
          </cell>
          <cell r="AM344">
            <v>0</v>
          </cell>
        </row>
        <row r="345">
          <cell r="AI345">
            <v>0</v>
          </cell>
          <cell r="AK345" t="e">
            <v>#REF!</v>
          </cell>
          <cell r="AM345">
            <v>0</v>
          </cell>
        </row>
        <row r="346">
          <cell r="AI346">
            <v>4</v>
          </cell>
          <cell r="AK346" t="e">
            <v>#REF!</v>
          </cell>
          <cell r="AM346">
            <v>4385</v>
          </cell>
        </row>
        <row r="347">
          <cell r="AI347">
            <v>814.4</v>
          </cell>
          <cell r="AK347" t="e">
            <v>#REF!</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row>
        <row r="350">
          <cell r="F350">
            <v>33</v>
          </cell>
          <cell r="P350">
            <v>0</v>
          </cell>
          <cell r="S350">
            <v>0</v>
          </cell>
          <cell r="X350">
            <v>0</v>
          </cell>
          <cell r="AC350">
            <v>0</v>
          </cell>
          <cell r="AF350">
            <v>0</v>
          </cell>
          <cell r="AG350">
            <v>0</v>
          </cell>
          <cell r="AH350">
            <v>0</v>
          </cell>
          <cell r="AI350">
            <v>389</v>
          </cell>
          <cell r="AK350" t="e">
            <v>#REF!</v>
          </cell>
        </row>
        <row r="351">
          <cell r="AI351">
            <v>295</v>
          </cell>
          <cell r="AK351" t="e">
            <v>#REF!</v>
          </cell>
          <cell r="AM351">
            <v>0</v>
          </cell>
        </row>
        <row r="352">
          <cell r="AI352">
            <v>0</v>
          </cell>
          <cell r="AK352" t="e">
            <v>#REF!</v>
          </cell>
          <cell r="AM352">
            <v>20</v>
          </cell>
        </row>
        <row r="353">
          <cell r="AI353">
            <v>0</v>
          </cell>
          <cell r="AK353" t="e">
            <v>#REF!</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t="e">
            <v>#REF!</v>
          </cell>
        </row>
        <row r="355">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t="e">
            <v>#REF!</v>
          </cell>
          <cell r="AM358">
            <v>0</v>
          </cell>
        </row>
        <row r="359">
          <cell r="AK359">
            <v>0</v>
          </cell>
          <cell r="AM359">
            <v>0</v>
          </cell>
        </row>
        <row r="360">
          <cell r="AJ360">
            <v>-2491</v>
          </cell>
          <cell r="AK360">
            <v>5229.0333333333338</v>
          </cell>
          <cell r="AM360" t="e">
            <v>#REF!</v>
          </cell>
        </row>
        <row r="361">
          <cell r="AK361">
            <v>441.66666666666663</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7">
          <cell r="F367" t="e">
            <v>#REF!</v>
          </cell>
        </row>
        <row r="373">
          <cell r="F373">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v>29</v>
          </cell>
          <cell r="G385">
            <v>17</v>
          </cell>
          <cell r="P385">
            <v>0</v>
          </cell>
          <cell r="X385">
            <v>0</v>
          </cell>
          <cell r="Y385">
            <v>0</v>
          </cell>
          <cell r="AC385">
            <v>3.6666666666666665</v>
          </cell>
          <cell r="AD385">
            <v>2</v>
          </cell>
          <cell r="AI385">
            <v>46</v>
          </cell>
          <cell r="AJ385">
            <v>22</v>
          </cell>
        </row>
        <row r="386">
          <cell r="F386">
            <v>0</v>
          </cell>
          <cell r="G386">
            <v>0</v>
          </cell>
          <cell r="P386">
            <v>0.66666666666666663</v>
          </cell>
          <cell r="X386">
            <v>146.66666666666666</v>
          </cell>
          <cell r="Y386">
            <v>104</v>
          </cell>
          <cell r="AC386">
            <v>280.66666666666669</v>
          </cell>
          <cell r="AD386">
            <v>147</v>
          </cell>
          <cell r="AI386">
            <v>428</v>
          </cell>
          <cell r="AJ386">
            <v>251.66666666666669</v>
          </cell>
          <cell r="AK386" t="str">
            <v>АК "КЕ"</v>
          </cell>
          <cell r="AL386" t="str">
            <v>Е/Е</v>
          </cell>
        </row>
        <row r="387">
          <cell r="F387">
            <v>0</v>
          </cell>
          <cell r="G387">
            <v>0</v>
          </cell>
          <cell r="P387">
            <v>2</v>
          </cell>
          <cell r="X387">
            <v>0</v>
          </cell>
          <cell r="Y387">
            <v>0</v>
          </cell>
          <cell r="AC387">
            <v>25</v>
          </cell>
          <cell r="AD387">
            <v>13</v>
          </cell>
          <cell r="AI387">
            <v>33.666666666666671</v>
          </cell>
          <cell r="AJ387">
            <v>18</v>
          </cell>
          <cell r="AK387" t="str">
            <v>ПЛАН</v>
          </cell>
          <cell r="AL387" t="str">
            <v>ПЛАН</v>
          </cell>
        </row>
        <row r="388">
          <cell r="F388">
            <v>0</v>
          </cell>
          <cell r="G388">
            <v>0</v>
          </cell>
          <cell r="H388">
            <v>56</v>
          </cell>
          <cell r="P388">
            <v>0</v>
          </cell>
          <cell r="S388">
            <v>14.333333333333332</v>
          </cell>
          <cell r="X388">
            <v>25.333333333333332</v>
          </cell>
          <cell r="Y388">
            <v>18</v>
          </cell>
          <cell r="Z388">
            <v>97</v>
          </cell>
          <cell r="AC388">
            <v>0.66666666666666663</v>
          </cell>
          <cell r="AD388">
            <v>0</v>
          </cell>
          <cell r="AE388">
            <v>130</v>
          </cell>
          <cell r="AI388">
            <v>26</v>
          </cell>
          <cell r="AJ388">
            <v>18</v>
          </cell>
          <cell r="AK388">
            <v>735.30000000000018</v>
          </cell>
          <cell r="AL388">
            <v>469.33333333333337</v>
          </cell>
          <cell r="AM388">
            <v>312.33333333333331</v>
          </cell>
        </row>
        <row r="389">
          <cell r="F389">
            <v>120.63333333333333</v>
          </cell>
          <cell r="G389">
            <v>71</v>
          </cell>
          <cell r="P389">
            <v>0</v>
          </cell>
          <cell r="X389">
            <v>0</v>
          </cell>
          <cell r="Y389">
            <v>0</v>
          </cell>
          <cell r="AC389">
            <v>0</v>
          </cell>
          <cell r="AD389">
            <v>0</v>
          </cell>
          <cell r="AI389">
            <v>120.63333333333333</v>
          </cell>
          <cell r="AJ389">
            <v>73</v>
          </cell>
          <cell r="AK389">
            <v>46</v>
          </cell>
          <cell r="AL389">
            <v>14</v>
          </cell>
        </row>
        <row r="390">
          <cell r="F390">
            <v>8.6666666666666661</v>
          </cell>
          <cell r="G390">
            <v>5</v>
          </cell>
          <cell r="P390">
            <v>0</v>
          </cell>
          <cell r="X390">
            <v>0</v>
          </cell>
          <cell r="Y390">
            <v>0</v>
          </cell>
          <cell r="AC390">
            <v>0</v>
          </cell>
          <cell r="AD390">
            <v>0</v>
          </cell>
          <cell r="AI390">
            <v>8.6666666666666661</v>
          </cell>
          <cell r="AJ390">
            <v>0</v>
          </cell>
          <cell r="AK390">
            <v>428</v>
          </cell>
          <cell r="AL390">
            <v>191.66666666666669</v>
          </cell>
        </row>
        <row r="391">
          <cell r="F391">
            <v>0</v>
          </cell>
          <cell r="G391">
            <v>0</v>
          </cell>
          <cell r="P391">
            <v>5.333333333333333</v>
          </cell>
          <cell r="X391">
            <v>0</v>
          </cell>
          <cell r="Y391">
            <v>0</v>
          </cell>
          <cell r="AC391">
            <v>0</v>
          </cell>
          <cell r="AD391">
            <v>0</v>
          </cell>
          <cell r="AI391">
            <v>22</v>
          </cell>
          <cell r="AJ391">
            <v>15.333333333333332</v>
          </cell>
          <cell r="AK391">
            <v>33.666666666666671</v>
          </cell>
          <cell r="AL391">
            <v>15</v>
          </cell>
        </row>
        <row r="392">
          <cell r="F392">
            <v>5.333333333333333</v>
          </cell>
          <cell r="G392">
            <v>3</v>
          </cell>
          <cell r="P392">
            <v>0</v>
          </cell>
          <cell r="X392">
            <v>0</v>
          </cell>
          <cell r="Y392">
            <v>0</v>
          </cell>
          <cell r="AC392">
            <v>0</v>
          </cell>
          <cell r="AD392">
            <v>0</v>
          </cell>
          <cell r="AI392">
            <v>5.333333333333333</v>
          </cell>
          <cell r="AJ392">
            <v>3</v>
          </cell>
          <cell r="AK392">
            <v>26</v>
          </cell>
          <cell r="AL392">
            <v>14</v>
          </cell>
        </row>
        <row r="393">
          <cell r="F393">
            <v>0.33333333333333331</v>
          </cell>
          <cell r="G393">
            <v>0</v>
          </cell>
          <cell r="P393">
            <v>4.333333333333333</v>
          </cell>
          <cell r="X393">
            <v>0</v>
          </cell>
          <cell r="Y393">
            <v>0</v>
          </cell>
          <cell r="AC393">
            <v>0</v>
          </cell>
          <cell r="AD393">
            <v>0</v>
          </cell>
          <cell r="AI393">
            <v>4.6666666666666661</v>
          </cell>
          <cell r="AJ393">
            <v>4.333333333333333</v>
          </cell>
          <cell r="AK393">
            <v>120.63333333333333</v>
          </cell>
          <cell r="AL393">
            <v>43</v>
          </cell>
        </row>
        <row r="394">
          <cell r="F394">
            <v>0.33333333333333331</v>
          </cell>
          <cell r="G394">
            <v>0</v>
          </cell>
          <cell r="P394">
            <v>2</v>
          </cell>
          <cell r="X394">
            <v>10</v>
          </cell>
          <cell r="Y394">
            <v>7</v>
          </cell>
          <cell r="AC394">
            <v>13.666666666666666</v>
          </cell>
          <cell r="AD394">
            <v>7</v>
          </cell>
          <cell r="AI394">
            <v>26</v>
          </cell>
          <cell r="AJ394">
            <v>16</v>
          </cell>
          <cell r="AK394">
            <v>8.6666666666666661</v>
          </cell>
          <cell r="AL394">
            <v>0</v>
          </cell>
        </row>
        <row r="395">
          <cell r="F395">
            <v>0</v>
          </cell>
          <cell r="G395">
            <v>0</v>
          </cell>
          <cell r="P395">
            <v>0</v>
          </cell>
          <cell r="X395">
            <v>0</v>
          </cell>
          <cell r="Y395">
            <v>0</v>
          </cell>
          <cell r="AC395">
            <v>0</v>
          </cell>
          <cell r="AD395">
            <v>0</v>
          </cell>
          <cell r="AI395">
            <v>0</v>
          </cell>
          <cell r="AK395">
            <v>22</v>
          </cell>
          <cell r="AL395">
            <v>15.333333333333332</v>
          </cell>
        </row>
        <row r="396">
          <cell r="F396">
            <v>1.1666666666666667</v>
          </cell>
          <cell r="G396">
            <v>1</v>
          </cell>
          <cell r="P396">
            <v>20.5</v>
          </cell>
          <cell r="X396">
            <v>522.33333333333337</v>
          </cell>
          <cell r="Y396">
            <v>370</v>
          </cell>
          <cell r="AC396">
            <v>43</v>
          </cell>
          <cell r="AD396">
            <v>23</v>
          </cell>
          <cell r="AI396">
            <v>587.33333333333337</v>
          </cell>
          <cell r="AJ396">
            <v>414.5</v>
          </cell>
          <cell r="AK396">
            <v>415.83333333333337</v>
          </cell>
          <cell r="AL396">
            <v>2</v>
          </cell>
        </row>
        <row r="397">
          <cell r="F397">
            <v>0</v>
          </cell>
          <cell r="G397">
            <v>0</v>
          </cell>
          <cell r="P397">
            <v>0</v>
          </cell>
          <cell r="X397">
            <v>0</v>
          </cell>
          <cell r="Y397">
            <v>0</v>
          </cell>
          <cell r="AC397">
            <v>0</v>
          </cell>
          <cell r="AD397">
            <v>0</v>
          </cell>
          <cell r="AI397">
            <v>0</v>
          </cell>
          <cell r="AJ397">
            <v>0</v>
          </cell>
          <cell r="AK397">
            <v>4.6666666666666661</v>
          </cell>
          <cell r="AL397">
            <v>4.333333333333333</v>
          </cell>
        </row>
        <row r="398">
          <cell r="F398">
            <v>0</v>
          </cell>
          <cell r="G398">
            <v>0</v>
          </cell>
          <cell r="P398">
            <v>0</v>
          </cell>
          <cell r="X398">
            <v>480.66666666666669</v>
          </cell>
          <cell r="Y398">
            <v>341</v>
          </cell>
          <cell r="AC398">
            <v>11</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row>
        <row r="400">
          <cell r="F400">
            <v>1.1666666666666667</v>
          </cell>
          <cell r="G400">
            <v>1</v>
          </cell>
          <cell r="P400">
            <v>15.833333333333334</v>
          </cell>
          <cell r="X400">
            <v>41.666666666666664</v>
          </cell>
          <cell r="Y400">
            <v>30</v>
          </cell>
          <cell r="AC400">
            <v>32</v>
          </cell>
          <cell r="AD400">
            <v>17</v>
          </cell>
          <cell r="AI400">
            <v>91</v>
          </cell>
          <cell r="AJ400">
            <v>68.833333333333343</v>
          </cell>
          <cell r="AK400">
            <v>587.33333333333337</v>
          </cell>
          <cell r="AL400">
            <v>316.5</v>
          </cell>
          <cell r="AM400">
            <v>316.83333333333331</v>
          </cell>
        </row>
        <row r="401">
          <cell r="F401">
            <v>0</v>
          </cell>
          <cell r="G401">
            <v>0</v>
          </cell>
          <cell r="P401">
            <v>4.666666666666667</v>
          </cell>
          <cell r="X401">
            <v>0</v>
          </cell>
          <cell r="Y401">
            <v>0</v>
          </cell>
          <cell r="AC401">
            <v>0</v>
          </cell>
          <cell r="AD401">
            <v>0</v>
          </cell>
          <cell r="AI401">
            <v>4.666666666666667</v>
          </cell>
          <cell r="AJ401">
            <v>0</v>
          </cell>
          <cell r="AK401">
            <v>0</v>
          </cell>
          <cell r="AL401">
            <v>0</v>
          </cell>
        </row>
        <row r="402">
          <cell r="F402">
            <v>0</v>
          </cell>
          <cell r="G402">
            <v>0</v>
          </cell>
          <cell r="P402">
            <v>0</v>
          </cell>
          <cell r="X402">
            <v>0</v>
          </cell>
          <cell r="Y402">
            <v>0</v>
          </cell>
          <cell r="AC402">
            <v>0</v>
          </cell>
          <cell r="AD402">
            <v>0</v>
          </cell>
          <cell r="AI402">
            <v>0</v>
          </cell>
          <cell r="AK402">
            <v>491.66666666666669</v>
          </cell>
          <cell r="AL402">
            <v>261</v>
          </cell>
        </row>
        <row r="403">
          <cell r="F403">
            <v>10</v>
          </cell>
          <cell r="G403">
            <v>6</v>
          </cell>
          <cell r="P403">
            <v>39</v>
          </cell>
          <cell r="X403">
            <v>0</v>
          </cell>
          <cell r="Y403">
            <v>0</v>
          </cell>
          <cell r="AC403">
            <v>0</v>
          </cell>
          <cell r="AD403">
            <v>0</v>
          </cell>
          <cell r="AI403">
            <v>49</v>
          </cell>
          <cell r="AJ403">
            <v>45</v>
          </cell>
          <cell r="AK403">
            <v>45</v>
          </cell>
          <cell r="AL403">
            <v>0</v>
          </cell>
        </row>
        <row r="404">
          <cell r="F404">
            <v>2.6666666666666665</v>
          </cell>
          <cell r="G404">
            <v>2</v>
          </cell>
          <cell r="P404">
            <v>3.3333333333333335</v>
          </cell>
          <cell r="X404">
            <v>0</v>
          </cell>
          <cell r="Y404">
            <v>0</v>
          </cell>
          <cell r="AC404">
            <v>0</v>
          </cell>
          <cell r="AD404">
            <v>0</v>
          </cell>
          <cell r="AI404">
            <v>6</v>
          </cell>
          <cell r="AJ404">
            <v>5.3333333333333339</v>
          </cell>
          <cell r="AK404">
            <v>91</v>
          </cell>
          <cell r="AL404">
            <v>55.833333333333336</v>
          </cell>
        </row>
        <row r="405">
          <cell r="F405">
            <v>7.333333333333333</v>
          </cell>
          <cell r="G405">
            <v>4</v>
          </cell>
          <cell r="P405">
            <v>35.666666666666664</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row>
        <row r="407">
          <cell r="F407">
            <v>206.33333333333329</v>
          </cell>
          <cell r="G407">
            <v>121</v>
          </cell>
          <cell r="H407">
            <v>122</v>
          </cell>
          <cell r="P407">
            <v>50.166666666666671</v>
          </cell>
          <cell r="S407">
            <v>50.166666666666671</v>
          </cell>
          <cell r="X407">
            <v>37.833333333333343</v>
          </cell>
          <cell r="Y407">
            <v>27</v>
          </cell>
          <cell r="AC407">
            <v>26.000000000000004</v>
          </cell>
          <cell r="AD407">
            <v>14</v>
          </cell>
          <cell r="AI407">
            <v>1965.0000000000002</v>
          </cell>
          <cell r="AJ407">
            <v>471.16666666666663</v>
          </cell>
          <cell r="AK407">
            <v>471.16666666666663</v>
          </cell>
          <cell r="AL407">
            <v>42</v>
          </cell>
          <cell r="AM407">
            <v>43</v>
          </cell>
        </row>
        <row r="408">
          <cell r="F408">
            <v>0</v>
          </cell>
          <cell r="G408">
            <v>0</v>
          </cell>
          <cell r="P408">
            <v>0</v>
          </cell>
          <cell r="X408">
            <v>0</v>
          </cell>
          <cell r="Y408">
            <v>0</v>
          </cell>
          <cell r="AC408">
            <v>0</v>
          </cell>
          <cell r="AD408">
            <v>0</v>
          </cell>
          <cell r="AI408">
            <v>1350</v>
          </cell>
          <cell r="AJ408">
            <v>0</v>
          </cell>
          <cell r="AK408">
            <v>6</v>
          </cell>
          <cell r="AL408">
            <v>4.3333333333333339</v>
          </cell>
        </row>
        <row r="409">
          <cell r="F409">
            <v>0</v>
          </cell>
          <cell r="G409">
            <v>0</v>
          </cell>
          <cell r="P409">
            <v>0</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row>
        <row r="411">
          <cell r="F411">
            <v>0</v>
          </cell>
          <cell r="G411">
            <v>0</v>
          </cell>
          <cell r="H411">
            <v>71</v>
          </cell>
          <cell r="P411">
            <v>12.333333333333334</v>
          </cell>
          <cell r="S411">
            <v>50.166666666666671</v>
          </cell>
          <cell r="X411">
            <v>0</v>
          </cell>
          <cell r="Y411">
            <v>0</v>
          </cell>
          <cell r="AC411">
            <v>0</v>
          </cell>
          <cell r="AD411">
            <v>0</v>
          </cell>
          <cell r="AI411">
            <v>12.333333333333334</v>
          </cell>
          <cell r="AJ411">
            <v>12.333333333333334</v>
          </cell>
          <cell r="AK411">
            <v>1965.0000000000002</v>
          </cell>
          <cell r="AL411">
            <v>412.16666666666663</v>
          </cell>
          <cell r="AM411">
            <v>412.16666666666663</v>
          </cell>
        </row>
        <row r="412">
          <cell r="F412">
            <v>0</v>
          </cell>
          <cell r="G412">
            <v>0</v>
          </cell>
          <cell r="P412">
            <v>0</v>
          </cell>
          <cell r="X412">
            <v>0</v>
          </cell>
          <cell r="Y412">
            <v>0</v>
          </cell>
          <cell r="AC412">
            <v>0</v>
          </cell>
          <cell r="AD412">
            <v>0</v>
          </cell>
          <cell r="AI412">
            <v>0</v>
          </cell>
          <cell r="AJ412">
            <v>0</v>
          </cell>
          <cell r="AK412">
            <v>1350</v>
          </cell>
          <cell r="AL412">
            <v>0</v>
          </cell>
        </row>
        <row r="413">
          <cell r="F413">
            <v>1.6666666666666667</v>
          </cell>
          <cell r="G413">
            <v>1</v>
          </cell>
          <cell r="P413">
            <v>5</v>
          </cell>
          <cell r="X413">
            <v>3</v>
          </cell>
          <cell r="Y413">
            <v>2</v>
          </cell>
          <cell r="AC413">
            <v>3</v>
          </cell>
          <cell r="AD413">
            <v>2</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0</v>
          </cell>
          <cell r="X415">
            <v>0</v>
          </cell>
          <cell r="Y415">
            <v>0</v>
          </cell>
          <cell r="AC415">
            <v>0</v>
          </cell>
          <cell r="AD415">
            <v>0</v>
          </cell>
          <cell r="AI415">
            <v>0</v>
          </cell>
          <cell r="AJ415">
            <v>0</v>
          </cell>
          <cell r="AK415">
            <v>12.333333333333334</v>
          </cell>
          <cell r="AL415">
            <v>12.333333333333334</v>
          </cell>
        </row>
        <row r="416">
          <cell r="F416">
            <v>0</v>
          </cell>
          <cell r="G416">
            <v>0</v>
          </cell>
          <cell r="P416">
            <v>18.5</v>
          </cell>
          <cell r="X416">
            <v>4.5</v>
          </cell>
          <cell r="Y416">
            <v>3</v>
          </cell>
          <cell r="AC416">
            <v>1.3333333333333333</v>
          </cell>
          <cell r="AD416">
            <v>1</v>
          </cell>
          <cell r="AI416">
            <v>28.5</v>
          </cell>
          <cell r="AJ416">
            <v>26.5</v>
          </cell>
          <cell r="AK416">
            <v>0</v>
          </cell>
          <cell r="AL416">
            <v>0</v>
          </cell>
        </row>
        <row r="417">
          <cell r="F417">
            <v>0</v>
          </cell>
          <cell r="G417">
            <v>0</v>
          </cell>
          <cell r="P417">
            <v>1.3333333333333333</v>
          </cell>
          <cell r="X417">
            <v>0</v>
          </cell>
          <cell r="Y417">
            <v>0</v>
          </cell>
          <cell r="AC417">
            <v>1.6666666666666667</v>
          </cell>
          <cell r="AD417">
            <v>1</v>
          </cell>
          <cell r="AI417">
            <v>69</v>
          </cell>
          <cell r="AJ417">
            <v>52.333333333333336</v>
          </cell>
          <cell r="AK417">
            <v>57.666666666666664</v>
          </cell>
          <cell r="AL417">
            <v>49</v>
          </cell>
        </row>
        <row r="418">
          <cell r="F418">
            <v>177</v>
          </cell>
          <cell r="G418">
            <v>104</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10</v>
          </cell>
          <cell r="Y419">
            <v>7</v>
          </cell>
          <cell r="AC419">
            <v>7.666666666666667</v>
          </cell>
          <cell r="AD419">
            <v>4</v>
          </cell>
          <cell r="AI419">
            <v>17.666666666666668</v>
          </cell>
          <cell r="AJ419">
            <v>11</v>
          </cell>
          <cell r="AK419">
            <v>0</v>
          </cell>
          <cell r="AL419">
            <v>0</v>
          </cell>
        </row>
        <row r="420">
          <cell r="F420">
            <v>0.66666666666666663</v>
          </cell>
          <cell r="G420">
            <v>0</v>
          </cell>
          <cell r="P420">
            <v>2</v>
          </cell>
          <cell r="X420">
            <v>1.3333333333333333</v>
          </cell>
          <cell r="Y420">
            <v>1</v>
          </cell>
          <cell r="AC420">
            <v>1</v>
          </cell>
          <cell r="AD420">
            <v>1</v>
          </cell>
          <cell r="AI420">
            <v>6</v>
          </cell>
          <cell r="AJ420">
            <v>4</v>
          </cell>
          <cell r="AK420">
            <v>28.5</v>
          </cell>
          <cell r="AL420">
            <v>25.5</v>
          </cell>
        </row>
        <row r="421">
          <cell r="F421">
            <v>2.6666666666666665</v>
          </cell>
          <cell r="G421">
            <v>2</v>
          </cell>
          <cell r="P421">
            <v>0.33333333333333331</v>
          </cell>
          <cell r="X421">
            <v>1</v>
          </cell>
          <cell r="Y421">
            <v>1</v>
          </cell>
          <cell r="AC421">
            <v>0.66666666666666663</v>
          </cell>
          <cell r="AD421">
            <v>0</v>
          </cell>
          <cell r="AI421">
            <v>9.3333333333333339</v>
          </cell>
          <cell r="AJ421">
            <v>5.333333333333333</v>
          </cell>
          <cell r="AK421">
            <v>69</v>
          </cell>
          <cell r="AL421">
            <v>52.333333333333336</v>
          </cell>
        </row>
        <row r="422">
          <cell r="F422">
            <v>0</v>
          </cell>
          <cell r="G422">
            <v>0</v>
          </cell>
          <cell r="P422">
            <v>2.3333333333333335</v>
          </cell>
          <cell r="X422">
            <v>6</v>
          </cell>
          <cell r="Y422">
            <v>4</v>
          </cell>
          <cell r="AC422">
            <v>5</v>
          </cell>
          <cell r="AD422">
            <v>3</v>
          </cell>
          <cell r="AI422">
            <v>13.333333333333334</v>
          </cell>
          <cell r="AJ422">
            <v>9.3333333333333339</v>
          </cell>
          <cell r="AK422">
            <v>177</v>
          </cell>
          <cell r="AL422">
            <v>61</v>
          </cell>
        </row>
        <row r="423">
          <cell r="F423">
            <v>0</v>
          </cell>
          <cell r="G423">
            <v>0</v>
          </cell>
          <cell r="P423">
            <v>0</v>
          </cell>
          <cell r="X423">
            <v>0</v>
          </cell>
          <cell r="Y423">
            <v>0</v>
          </cell>
          <cell r="AC423">
            <v>0</v>
          </cell>
          <cell r="AD423">
            <v>0</v>
          </cell>
          <cell r="AI423">
            <v>0</v>
          </cell>
          <cell r="AJ423">
            <v>0</v>
          </cell>
          <cell r="AK423">
            <v>17.666666666666668</v>
          </cell>
          <cell r="AL423">
            <v>8</v>
          </cell>
        </row>
        <row r="424">
          <cell r="F424">
            <v>0</v>
          </cell>
          <cell r="G424">
            <v>0</v>
          </cell>
          <cell r="P424">
            <v>0</v>
          </cell>
          <cell r="X424">
            <v>0</v>
          </cell>
          <cell r="Y424">
            <v>0</v>
          </cell>
          <cell r="AC424">
            <v>0</v>
          </cell>
          <cell r="AD424">
            <v>0</v>
          </cell>
          <cell r="AI424">
            <v>0</v>
          </cell>
          <cell r="AJ424">
            <v>0</v>
          </cell>
          <cell r="AK424">
            <v>6</v>
          </cell>
          <cell r="AL424">
            <v>3</v>
          </cell>
        </row>
        <row r="425">
          <cell r="F425">
            <v>9.6666666666666661</v>
          </cell>
          <cell r="G425">
            <v>6</v>
          </cell>
          <cell r="P425">
            <v>1</v>
          </cell>
          <cell r="X425">
            <v>0</v>
          </cell>
          <cell r="Y425">
            <v>0</v>
          </cell>
          <cell r="AC425">
            <v>0</v>
          </cell>
          <cell r="AD425">
            <v>0</v>
          </cell>
          <cell r="AI425">
            <v>12</v>
          </cell>
          <cell r="AJ425">
            <v>8</v>
          </cell>
          <cell r="AK425">
            <v>9.3333333333333339</v>
          </cell>
          <cell r="AL425">
            <v>4.3333333333333339</v>
          </cell>
        </row>
        <row r="426">
          <cell r="F426">
            <v>0</v>
          </cell>
          <cell r="G426">
            <v>0</v>
          </cell>
          <cell r="P426">
            <v>0</v>
          </cell>
          <cell r="X426">
            <v>0</v>
          </cell>
          <cell r="Y426">
            <v>0</v>
          </cell>
          <cell r="AC426">
            <v>0</v>
          </cell>
          <cell r="AD426">
            <v>0</v>
          </cell>
          <cell r="AI426">
            <v>0</v>
          </cell>
          <cell r="AJ426">
            <v>0</v>
          </cell>
          <cell r="AK426">
            <v>13.333333333333334</v>
          </cell>
          <cell r="AL426">
            <v>7.3333333333333339</v>
          </cell>
        </row>
        <row r="427">
          <cell r="F427">
            <v>2.3333333333333335</v>
          </cell>
          <cell r="G427">
            <v>1</v>
          </cell>
          <cell r="P427">
            <v>0.66666666666666663</v>
          </cell>
          <cell r="X427">
            <v>0.66666666666666663</v>
          </cell>
          <cell r="Y427">
            <v>0</v>
          </cell>
          <cell r="AC427">
            <v>0.66666666666666663</v>
          </cell>
          <cell r="AD427">
            <v>0</v>
          </cell>
          <cell r="AI427">
            <v>4.333333333333333</v>
          </cell>
          <cell r="AJ427">
            <v>1.6666666666666665</v>
          </cell>
          <cell r="AK427">
            <v>0</v>
          </cell>
          <cell r="AL427">
            <v>0</v>
          </cell>
        </row>
        <row r="428">
          <cell r="F428">
            <v>1.6666666666666667</v>
          </cell>
          <cell r="G428">
            <v>1</v>
          </cell>
          <cell r="P428">
            <v>0.66666666666666663</v>
          </cell>
          <cell r="X428">
            <v>0.66666666666666663</v>
          </cell>
          <cell r="Y428">
            <v>0</v>
          </cell>
          <cell r="AC428">
            <v>0.66666666666666663</v>
          </cell>
          <cell r="AD428">
            <v>0</v>
          </cell>
          <cell r="AI428">
            <v>3.6666666666666665</v>
          </cell>
          <cell r="AJ428">
            <v>1.6666666666666665</v>
          </cell>
          <cell r="AK428">
            <v>0</v>
          </cell>
          <cell r="AL428">
            <v>0</v>
          </cell>
        </row>
        <row r="429">
          <cell r="F429">
            <v>6.666666666666667</v>
          </cell>
          <cell r="G429">
            <v>4</v>
          </cell>
          <cell r="P429">
            <v>4.666666666666667</v>
          </cell>
          <cell r="X429">
            <v>3</v>
          </cell>
          <cell r="Y429">
            <v>2</v>
          </cell>
          <cell r="AC429">
            <v>2</v>
          </cell>
          <cell r="AD429">
            <v>1</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0</v>
          </cell>
          <cell r="G431">
            <v>0</v>
          </cell>
          <cell r="P431">
            <v>0</v>
          </cell>
          <cell r="X431">
            <v>0</v>
          </cell>
          <cell r="Y431">
            <v>0</v>
          </cell>
          <cell r="AC431">
            <v>0</v>
          </cell>
          <cell r="AD431">
            <v>0</v>
          </cell>
          <cell r="AI431">
            <v>0</v>
          </cell>
          <cell r="AJ431">
            <v>53</v>
          </cell>
          <cell r="AK431">
            <v>4.333333333333333</v>
          </cell>
          <cell r="AL431">
            <v>1.6666666666666665</v>
          </cell>
        </row>
        <row r="432">
          <cell r="F432">
            <v>1</v>
          </cell>
          <cell r="G432">
            <v>1</v>
          </cell>
          <cell r="P432">
            <v>0</v>
          </cell>
          <cell r="X432">
            <v>0</v>
          </cell>
          <cell r="Y432">
            <v>0</v>
          </cell>
          <cell r="AC432">
            <v>0</v>
          </cell>
          <cell r="AD432">
            <v>0</v>
          </cell>
          <cell r="AI432">
            <v>1</v>
          </cell>
          <cell r="AJ432">
            <v>1</v>
          </cell>
          <cell r="AK432">
            <v>3.6666666666666665</v>
          </cell>
          <cell r="AL432">
            <v>1.6666666666666665</v>
          </cell>
        </row>
        <row r="433">
          <cell r="F433">
            <v>0</v>
          </cell>
          <cell r="G433">
            <v>0</v>
          </cell>
          <cell r="P433">
            <v>0</v>
          </cell>
          <cell r="X433">
            <v>0</v>
          </cell>
          <cell r="Y433">
            <v>0</v>
          </cell>
          <cell r="AC433">
            <v>0</v>
          </cell>
          <cell r="AD433">
            <v>0</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2.6666666666666665</v>
          </cell>
          <cell r="G435">
            <v>2</v>
          </cell>
          <cell r="P435">
            <v>1</v>
          </cell>
          <cell r="X435">
            <v>4</v>
          </cell>
          <cell r="Y435">
            <v>3</v>
          </cell>
          <cell r="AC435">
            <v>2</v>
          </cell>
          <cell r="AD435">
            <v>1</v>
          </cell>
          <cell r="AI435">
            <v>15.666666666666666</v>
          </cell>
          <cell r="AJ435">
            <v>10</v>
          </cell>
          <cell r="AK435">
            <v>0</v>
          </cell>
          <cell r="AL435">
            <v>53</v>
          </cell>
        </row>
        <row r="436">
          <cell r="F436">
            <v>0</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3.3333333333333335</v>
          </cell>
          <cell r="Y437">
            <v>2</v>
          </cell>
          <cell r="AC437">
            <v>0</v>
          </cell>
          <cell r="AD437">
            <v>0</v>
          </cell>
          <cell r="AI437">
            <v>3.3333333333333335</v>
          </cell>
          <cell r="AJ437">
            <v>2</v>
          </cell>
          <cell r="AK437">
            <v>0</v>
          </cell>
          <cell r="AL437">
            <v>0</v>
          </cell>
        </row>
        <row r="438">
          <cell r="F438">
            <v>0.33333333333333331</v>
          </cell>
          <cell r="G438">
            <v>0</v>
          </cell>
          <cell r="P438">
            <v>0.33333333333333331</v>
          </cell>
          <cell r="X438">
            <v>0.33333333333333331</v>
          </cell>
          <cell r="Y438">
            <v>0</v>
          </cell>
          <cell r="AC438">
            <v>0.33333333333333331</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0</v>
          </cell>
          <cell r="Y441">
            <v>0</v>
          </cell>
          <cell r="AC441">
            <v>0</v>
          </cell>
          <cell r="AD441">
            <v>0</v>
          </cell>
          <cell r="AI441">
            <v>0</v>
          </cell>
          <cell r="AJ441">
            <v>0</v>
          </cell>
          <cell r="AK441">
            <v>3.3333333333333335</v>
          </cell>
          <cell r="AL441">
            <v>2</v>
          </cell>
        </row>
        <row r="442">
          <cell r="F442">
            <v>0</v>
          </cell>
          <cell r="G442">
            <v>0</v>
          </cell>
          <cell r="P442">
            <v>0</v>
          </cell>
          <cell r="X442">
            <v>0</v>
          </cell>
          <cell r="Y442">
            <v>0</v>
          </cell>
          <cell r="AC442">
            <v>0</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G449">
            <v>0</v>
          </cell>
          <cell r="P449">
            <v>0</v>
          </cell>
          <cell r="X449">
            <v>0</v>
          </cell>
          <cell r="Y449">
            <v>0</v>
          </cell>
          <cell r="AC449">
            <v>0</v>
          </cell>
          <cell r="AD449">
            <v>0</v>
          </cell>
          <cell r="AK449">
            <v>0</v>
          </cell>
          <cell r="AL449">
            <v>2</v>
          </cell>
        </row>
        <row r="450">
          <cell r="P450">
            <v>0</v>
          </cell>
          <cell r="X450">
            <v>0</v>
          </cell>
          <cell r="Y450">
            <v>0</v>
          </cell>
          <cell r="AC450">
            <v>0</v>
          </cell>
          <cell r="AD450">
            <v>0</v>
          </cell>
          <cell r="AK450">
            <v>0</v>
          </cell>
          <cell r="AL450">
            <v>0</v>
          </cell>
        </row>
      </sheetData>
      <sheetData sheetId="19" refreshError="1">
        <row r="1">
          <cell r="AE1" t="str">
            <v>'9 міс.'!</v>
          </cell>
        </row>
        <row r="8">
          <cell r="S8" t="str">
            <v>ЗАТВЕРДЖУЮ</v>
          </cell>
        </row>
        <row r="22">
          <cell r="U22" t="str">
            <v>ЗАТВЕРДЖУЮ</v>
          </cell>
        </row>
        <row r="25">
          <cell r="F25">
            <v>3472</v>
          </cell>
          <cell r="G25">
            <v>949</v>
          </cell>
          <cell r="H25">
            <v>2523</v>
          </cell>
          <cell r="P25">
            <v>478.66666666666669</v>
          </cell>
          <cell r="Q25">
            <v>0</v>
          </cell>
          <cell r="R25">
            <v>0</v>
          </cell>
          <cell r="S25">
            <v>4090.333333333333</v>
          </cell>
          <cell r="T25">
            <v>3373.48</v>
          </cell>
          <cell r="U25">
            <v>716.85333333333324</v>
          </cell>
          <cell r="V25">
            <v>0</v>
          </cell>
          <cell r="W25">
            <v>0</v>
          </cell>
          <cell r="X25">
            <v>1181.3333333333333</v>
          </cell>
          <cell r="Y25">
            <v>631</v>
          </cell>
          <cell r="Z25">
            <v>550.33333333333326</v>
          </cell>
          <cell r="AA25">
            <v>0</v>
          </cell>
          <cell r="AB25">
            <v>0</v>
          </cell>
          <cell r="AC25">
            <v>567.66666666666663</v>
          </cell>
          <cell r="AD25">
            <v>230</v>
          </cell>
          <cell r="AE25">
            <v>337.66666666666663</v>
          </cell>
          <cell r="AF25">
            <v>1866.3333333333333</v>
          </cell>
          <cell r="AG25">
            <v>1056.4000000000001</v>
          </cell>
          <cell r="AH25">
            <v>809.93333333333328</v>
          </cell>
          <cell r="AJ25">
            <v>0</v>
          </cell>
          <cell r="AK25">
            <v>11678.4</v>
          </cell>
          <cell r="AL25">
            <v>2889.666666666667</v>
          </cell>
          <cell r="AM25">
            <v>8788.7333333333336</v>
          </cell>
          <cell r="AN25">
            <v>8788.7333333333336</v>
          </cell>
          <cell r="AO25">
            <v>861</v>
          </cell>
          <cell r="AP25">
            <v>2279</v>
          </cell>
          <cell r="AQ25">
            <v>2028.6666666666665</v>
          </cell>
          <cell r="AR25">
            <v>6509.7333333333336</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30">
          <cell r="U30" t="str">
            <v>ЗАТВЕРДЖУЮ</v>
          </cell>
        </row>
        <row r="31">
          <cell r="S31" t="str">
            <v>ЗАТВЕРДЖУЮ</v>
          </cell>
        </row>
        <row r="32">
          <cell r="Q32" t="str">
            <v>КТМ</v>
          </cell>
          <cell r="S32" t="str">
            <v>ГОЛОВА ПРАЛІННЯ  КЕ</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S35" t="str">
            <v xml:space="preserve">                   ПЛАЧКОВ І.В.</v>
          </cell>
          <cell r="T35" t="str">
            <v>І.В.ПЛАЧКОВ</v>
          </cell>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U37" t="str">
            <v xml:space="preserve">                      ПЛАЧКОВ І.В.</v>
          </cell>
          <cell r="AJ37">
            <v>395</v>
          </cell>
          <cell r="AL37">
            <v>0</v>
          </cell>
        </row>
        <row r="38">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J38">
            <v>336</v>
          </cell>
        </row>
        <row r="39">
          <cell r="Q39">
            <v>160</v>
          </cell>
          <cell r="V39">
            <v>380</v>
          </cell>
          <cell r="AJ39">
            <v>0</v>
          </cell>
          <cell r="AL39">
            <v>0</v>
          </cell>
        </row>
        <row r="40">
          <cell r="Q40">
            <v>145</v>
          </cell>
          <cell r="V40">
            <v>347.3</v>
          </cell>
          <cell r="AL40">
            <v>0</v>
          </cell>
        </row>
        <row r="41">
          <cell r="V41">
            <v>0</v>
          </cell>
          <cell r="AJ41">
            <v>0</v>
          </cell>
          <cell r="AL41">
            <v>395.6</v>
          </cell>
        </row>
        <row r="42">
          <cell r="P42">
            <v>0</v>
          </cell>
          <cell r="V42">
            <v>33</v>
          </cell>
          <cell r="AJ42">
            <v>0</v>
          </cell>
          <cell r="AL42">
            <v>395.6</v>
          </cell>
        </row>
        <row r="43">
          <cell r="V43">
            <v>0</v>
          </cell>
          <cell r="AJ43">
            <v>395.6</v>
          </cell>
          <cell r="AM43">
            <v>1580</v>
          </cell>
        </row>
        <row r="44">
          <cell r="P44">
            <v>0</v>
          </cell>
          <cell r="V44">
            <v>0</v>
          </cell>
          <cell r="AJ44">
            <v>395.6</v>
          </cell>
          <cell r="AM44">
            <v>0</v>
          </cell>
        </row>
        <row r="45">
          <cell r="V45">
            <v>350</v>
          </cell>
          <cell r="AK45">
            <v>1580</v>
          </cell>
          <cell r="AM45">
            <v>1580</v>
          </cell>
        </row>
        <row r="46">
          <cell r="F46">
            <v>8678</v>
          </cell>
          <cell r="P46">
            <v>5528.9166666666661</v>
          </cell>
          <cell r="S46">
            <v>11148.516969696972</v>
          </cell>
          <cell r="T46">
            <v>4612.7199818181807</v>
          </cell>
          <cell r="U46">
            <v>3068.7969878787876</v>
          </cell>
          <cell r="V46">
            <v>350</v>
          </cell>
          <cell r="X46">
            <v>3572.9196969697005</v>
          </cell>
          <cell r="AC46">
            <v>1815.6175757575729</v>
          </cell>
          <cell r="AF46">
            <v>5288.3842424242421</v>
          </cell>
          <cell r="AG46">
            <v>4487.3999999999996</v>
          </cell>
          <cell r="AH46">
            <v>801.98424242424232</v>
          </cell>
          <cell r="AK46">
            <v>0</v>
          </cell>
        </row>
        <row r="47">
          <cell r="F47">
            <v>0.8</v>
          </cell>
          <cell r="R47">
            <v>145</v>
          </cell>
          <cell r="W47">
            <v>385</v>
          </cell>
          <cell r="AK47">
            <v>1580</v>
          </cell>
        </row>
        <row r="48">
          <cell r="F48">
            <v>15953.197</v>
          </cell>
          <cell r="P48">
            <v>3631.1559999999999</v>
          </cell>
          <cell r="S48">
            <v>9526.8578787878778</v>
          </cell>
          <cell r="T48">
            <v>2010.6708606060602</v>
          </cell>
          <cell r="U48">
            <v>2621.0370181818184</v>
          </cell>
          <cell r="W48">
            <v>0</v>
          </cell>
          <cell r="X48">
            <v>2672.4863636363625</v>
          </cell>
          <cell r="AC48">
            <v>1389.1963636363635</v>
          </cell>
          <cell r="AF48">
            <v>4185.9539393939394</v>
          </cell>
          <cell r="AG48">
            <v>3391.2</v>
          </cell>
          <cell r="AH48">
            <v>794.7539393939395</v>
          </cell>
        </row>
        <row r="49">
          <cell r="F49">
            <v>726</v>
          </cell>
          <cell r="G49">
            <v>201</v>
          </cell>
          <cell r="H49">
            <v>525</v>
          </cell>
          <cell r="P49">
            <v>273</v>
          </cell>
          <cell r="R49">
            <v>145</v>
          </cell>
          <cell r="S49">
            <v>890</v>
          </cell>
          <cell r="T49">
            <v>445</v>
          </cell>
          <cell r="U49">
            <v>445</v>
          </cell>
          <cell r="W49">
            <v>285</v>
          </cell>
          <cell r="X49">
            <v>274.66666666666663</v>
          </cell>
          <cell r="Y49">
            <v>147</v>
          </cell>
          <cell r="Z49">
            <v>127.66666666666663</v>
          </cell>
          <cell r="AC49">
            <v>264</v>
          </cell>
          <cell r="AD49">
            <v>107</v>
          </cell>
          <cell r="AE49">
            <v>157</v>
          </cell>
          <cell r="AF49">
            <v>536</v>
          </cell>
          <cell r="AG49">
            <v>493</v>
          </cell>
          <cell r="AH49">
            <v>43</v>
          </cell>
          <cell r="AK49">
            <v>3111.6666666666665</v>
          </cell>
          <cell r="AL49">
            <v>899</v>
          </cell>
          <cell r="AM49">
            <v>2212.6666666666665</v>
          </cell>
          <cell r="AN49">
            <v>2212.6666666666665</v>
          </cell>
          <cell r="AO49">
            <v>254</v>
          </cell>
          <cell r="AP49">
            <v>587</v>
          </cell>
          <cell r="AQ49">
            <v>645</v>
          </cell>
          <cell r="AR49">
            <v>1625.6666666666665</v>
          </cell>
        </row>
        <row r="50">
          <cell r="F50">
            <v>159</v>
          </cell>
          <cell r="G50">
            <v>44</v>
          </cell>
          <cell r="H50">
            <v>115</v>
          </cell>
          <cell r="P50">
            <v>260</v>
          </cell>
          <cell r="S50">
            <v>650</v>
          </cell>
          <cell r="X50">
            <v>132</v>
          </cell>
          <cell r="Y50">
            <v>70</v>
          </cell>
          <cell r="Z50">
            <v>62</v>
          </cell>
          <cell r="AC50">
            <v>105</v>
          </cell>
          <cell r="AD50">
            <v>42</v>
          </cell>
          <cell r="AE50">
            <v>63</v>
          </cell>
          <cell r="AF50">
            <v>520</v>
          </cell>
          <cell r="AG50">
            <v>482</v>
          </cell>
          <cell r="AH50">
            <v>38</v>
          </cell>
          <cell r="AK50">
            <v>1822</v>
          </cell>
          <cell r="AL50">
            <v>447</v>
          </cell>
          <cell r="AM50">
            <v>1375</v>
          </cell>
          <cell r="AN50">
            <v>1392</v>
          </cell>
        </row>
        <row r="51">
          <cell r="F51">
            <v>712</v>
          </cell>
          <cell r="G51">
            <v>0</v>
          </cell>
          <cell r="H51">
            <v>433</v>
          </cell>
          <cell r="P51">
            <v>0</v>
          </cell>
          <cell r="Q51">
            <v>144</v>
          </cell>
          <cell r="R51">
            <v>80</v>
          </cell>
          <cell r="S51">
            <v>760.26666666666688</v>
          </cell>
          <cell r="T51">
            <v>380.13333333333344</v>
          </cell>
          <cell r="U51">
            <v>380.13333333333344</v>
          </cell>
          <cell r="V51">
            <v>433</v>
          </cell>
          <cell r="W51">
            <v>613.33333333333348</v>
          </cell>
          <cell r="X51">
            <v>20</v>
          </cell>
          <cell r="Y51">
            <v>11</v>
          </cell>
          <cell r="Z51">
            <v>9</v>
          </cell>
          <cell r="AA51">
            <v>2319</v>
          </cell>
          <cell r="AB51">
            <v>7435.3333333333339</v>
          </cell>
          <cell r="AC51">
            <v>0</v>
          </cell>
          <cell r="AD51">
            <v>0</v>
          </cell>
          <cell r="AE51">
            <v>0</v>
          </cell>
          <cell r="AF51">
            <v>398.13333333333344</v>
          </cell>
          <cell r="AG51">
            <v>300</v>
          </cell>
          <cell r="AH51">
            <v>0</v>
          </cell>
          <cell r="AI51">
            <v>2554.3026666666669</v>
          </cell>
          <cell r="AJ51">
            <v>931.23599999999999</v>
          </cell>
          <cell r="AK51">
            <v>20</v>
          </cell>
          <cell r="AL51">
            <v>11</v>
          </cell>
          <cell r="AM51">
            <v>9</v>
          </cell>
          <cell r="AN51">
            <v>9</v>
          </cell>
          <cell r="AO51">
            <v>738.23599999999999</v>
          </cell>
          <cell r="AP51">
            <v>1257.0666666666671</v>
          </cell>
        </row>
        <row r="52">
          <cell r="F52">
            <v>565</v>
          </cell>
          <cell r="G52">
            <v>156</v>
          </cell>
          <cell r="H52">
            <v>409</v>
          </cell>
          <cell r="P52">
            <v>13</v>
          </cell>
          <cell r="Q52">
            <v>4</v>
          </cell>
          <cell r="R52">
            <v>2</v>
          </cell>
          <cell r="S52">
            <v>21</v>
          </cell>
          <cell r="U52">
            <v>331</v>
          </cell>
          <cell r="X52">
            <v>29</v>
          </cell>
          <cell r="Y52">
            <v>15</v>
          </cell>
          <cell r="Z52">
            <v>14</v>
          </cell>
          <cell r="AC52">
            <v>66</v>
          </cell>
          <cell r="AD52">
            <v>27</v>
          </cell>
          <cell r="AE52">
            <v>39</v>
          </cell>
          <cell r="AF52">
            <v>16</v>
          </cell>
          <cell r="AG52">
            <v>11</v>
          </cell>
          <cell r="AH52">
            <v>5</v>
          </cell>
          <cell r="AI52">
            <v>1279</v>
          </cell>
          <cell r="AJ52">
            <v>511</v>
          </cell>
          <cell r="AK52">
            <v>828</v>
          </cell>
          <cell r="AL52">
            <v>334</v>
          </cell>
          <cell r="AM52">
            <v>494</v>
          </cell>
          <cell r="AN52">
            <v>494</v>
          </cell>
        </row>
        <row r="53">
          <cell r="F53">
            <v>2</v>
          </cell>
          <cell r="G53">
            <v>1</v>
          </cell>
          <cell r="H53">
            <v>1</v>
          </cell>
          <cell r="P53">
            <v>41.333333333333336</v>
          </cell>
          <cell r="Q53">
            <v>32</v>
          </cell>
          <cell r="R53">
            <v>18</v>
          </cell>
          <cell r="S53">
            <v>587.66666666666663</v>
          </cell>
          <cell r="T53">
            <v>458.38</v>
          </cell>
          <cell r="U53">
            <v>129.28666666666663</v>
          </cell>
          <cell r="X53">
            <v>818</v>
          </cell>
          <cell r="Y53">
            <v>437</v>
          </cell>
          <cell r="Z53">
            <v>381</v>
          </cell>
          <cell r="AC53">
            <v>234.33333333333331</v>
          </cell>
          <cell r="AD53">
            <v>95</v>
          </cell>
          <cell r="AE53">
            <v>139.33333333333331</v>
          </cell>
          <cell r="AF53">
            <v>179.33333333333334</v>
          </cell>
          <cell r="AG53">
            <v>110</v>
          </cell>
          <cell r="AH53">
            <v>69.333333333333343</v>
          </cell>
          <cell r="AI53">
            <v>4</v>
          </cell>
          <cell r="AJ53">
            <v>3</v>
          </cell>
          <cell r="AK53">
            <v>1793.3333333333333</v>
          </cell>
          <cell r="AL53">
            <v>574.33333333333326</v>
          </cell>
          <cell r="AM53">
            <v>1219</v>
          </cell>
          <cell r="AN53">
            <v>1219</v>
          </cell>
          <cell r="AO53">
            <v>532</v>
          </cell>
          <cell r="AP53">
            <v>720</v>
          </cell>
          <cell r="AQ53">
            <v>42.333333333333258</v>
          </cell>
          <cell r="AR53">
            <v>499</v>
          </cell>
        </row>
        <row r="54">
          <cell r="F54">
            <v>0</v>
          </cell>
          <cell r="G54">
            <v>0</v>
          </cell>
          <cell r="H54">
            <v>0</v>
          </cell>
          <cell r="P54">
            <v>4</v>
          </cell>
          <cell r="S54">
            <v>13.666666666666666</v>
          </cell>
          <cell r="T54">
            <v>13.666666666666666</v>
          </cell>
          <cell r="U54">
            <v>0</v>
          </cell>
          <cell r="X54">
            <v>647</v>
          </cell>
          <cell r="Y54">
            <v>345</v>
          </cell>
          <cell r="Z54">
            <v>302</v>
          </cell>
          <cell r="AC54">
            <v>13.333333333333334</v>
          </cell>
          <cell r="AD54">
            <v>5</v>
          </cell>
          <cell r="AE54">
            <v>8.3333333333333339</v>
          </cell>
          <cell r="AF54">
            <v>0.3</v>
          </cell>
          <cell r="AG54">
            <v>15</v>
          </cell>
          <cell r="AH54">
            <v>0.3</v>
          </cell>
          <cell r="AI54">
            <v>752</v>
          </cell>
          <cell r="AJ54">
            <v>362</v>
          </cell>
          <cell r="AK54">
            <v>674</v>
          </cell>
          <cell r="AL54">
            <v>350</v>
          </cell>
          <cell r="AM54">
            <v>324</v>
          </cell>
          <cell r="AN54">
            <v>324</v>
          </cell>
          <cell r="AO54">
            <v>350</v>
          </cell>
          <cell r="AP54">
            <v>315</v>
          </cell>
          <cell r="AQ54">
            <v>0</v>
          </cell>
          <cell r="AR54">
            <v>9</v>
          </cell>
        </row>
        <row r="55">
          <cell r="F55">
            <v>0</v>
          </cell>
          <cell r="G55">
            <v>0</v>
          </cell>
          <cell r="H55">
            <v>0</v>
          </cell>
          <cell r="P55">
            <v>40.800000000000004</v>
          </cell>
          <cell r="Q55">
            <v>58</v>
          </cell>
          <cell r="R55">
            <v>32</v>
          </cell>
          <cell r="S55">
            <v>10414</v>
          </cell>
          <cell r="T55">
            <v>10414</v>
          </cell>
          <cell r="U55">
            <v>0</v>
          </cell>
          <cell r="V55">
            <v>552</v>
          </cell>
          <cell r="W55">
            <v>532</v>
          </cell>
          <cell r="X55">
            <v>15982</v>
          </cell>
          <cell r="Y55">
            <v>9385</v>
          </cell>
          <cell r="Z55">
            <v>6597</v>
          </cell>
          <cell r="AA55">
            <v>2526</v>
          </cell>
          <cell r="AB55">
            <v>7785</v>
          </cell>
          <cell r="AC55">
            <v>15481</v>
          </cell>
          <cell r="AD55">
            <v>7344</v>
          </cell>
          <cell r="AE55">
            <v>8137</v>
          </cell>
          <cell r="AF55">
            <v>157.33333333333334</v>
          </cell>
          <cell r="AG55">
            <v>108</v>
          </cell>
          <cell r="AH55">
            <v>0</v>
          </cell>
          <cell r="AI55">
            <v>1268.4000000000001</v>
          </cell>
          <cell r="AJ55">
            <v>635.79999999999995</v>
          </cell>
          <cell r="AK55">
            <v>41877</v>
          </cell>
          <cell r="AL55">
            <v>16729</v>
          </cell>
          <cell r="AM55">
            <v>25148</v>
          </cell>
          <cell r="AN55">
            <v>25148</v>
          </cell>
          <cell r="AO55">
            <v>16729</v>
          </cell>
          <cell r="AP55">
            <v>25148</v>
          </cell>
          <cell r="AQ55">
            <v>0</v>
          </cell>
          <cell r="AR55">
            <v>0</v>
          </cell>
        </row>
        <row r="56">
          <cell r="F56">
            <v>0</v>
          </cell>
          <cell r="G56">
            <v>0</v>
          </cell>
          <cell r="H56">
            <v>0</v>
          </cell>
          <cell r="P56">
            <v>0</v>
          </cell>
          <cell r="Q56">
            <v>8</v>
          </cell>
          <cell r="R56">
            <v>4</v>
          </cell>
          <cell r="S56">
            <v>10414</v>
          </cell>
          <cell r="T56">
            <v>10414</v>
          </cell>
          <cell r="U56">
            <v>0</v>
          </cell>
          <cell r="V56">
            <v>410</v>
          </cell>
          <cell r="W56">
            <v>179</v>
          </cell>
          <cell r="X56">
            <v>15982</v>
          </cell>
          <cell r="Y56">
            <v>9385</v>
          </cell>
          <cell r="Z56">
            <v>6597</v>
          </cell>
          <cell r="AA56">
            <v>902</v>
          </cell>
          <cell r="AB56">
            <v>2722</v>
          </cell>
          <cell r="AC56">
            <v>15481</v>
          </cell>
          <cell r="AD56">
            <v>7344</v>
          </cell>
          <cell r="AE56">
            <v>8137</v>
          </cell>
          <cell r="AF56">
            <v>0</v>
          </cell>
          <cell r="AG56">
            <v>0</v>
          </cell>
          <cell r="AH56">
            <v>0</v>
          </cell>
          <cell r="AI56">
            <v>735.80000000000007</v>
          </cell>
          <cell r="AJ56">
            <v>509</v>
          </cell>
          <cell r="AK56">
            <v>41877</v>
          </cell>
          <cell r="AL56">
            <v>16729</v>
          </cell>
          <cell r="AM56">
            <v>25148</v>
          </cell>
          <cell r="AN56">
            <v>25148</v>
          </cell>
          <cell r="AO56">
            <v>16729</v>
          </cell>
          <cell r="AP56">
            <v>25148</v>
          </cell>
          <cell r="AQ56">
            <v>0</v>
          </cell>
          <cell r="AR56">
            <v>0</v>
          </cell>
        </row>
        <row r="57">
          <cell r="F57">
            <v>0</v>
          </cell>
          <cell r="G57">
            <v>0</v>
          </cell>
          <cell r="H57">
            <v>0</v>
          </cell>
          <cell r="P57">
            <v>8271</v>
          </cell>
          <cell r="Q57">
            <v>5299</v>
          </cell>
          <cell r="R57">
            <v>2972</v>
          </cell>
          <cell r="S57">
            <v>1598</v>
          </cell>
          <cell r="T57">
            <v>0</v>
          </cell>
          <cell r="U57">
            <v>0</v>
          </cell>
          <cell r="V57">
            <v>12874</v>
          </cell>
          <cell r="W57">
            <v>7771</v>
          </cell>
          <cell r="X57">
            <v>13610</v>
          </cell>
          <cell r="Y57">
            <v>9645</v>
          </cell>
          <cell r="Z57">
            <v>3965</v>
          </cell>
          <cell r="AA57">
            <v>146826</v>
          </cell>
          <cell r="AB57">
            <v>294840</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5</v>
          </cell>
          <cell r="G58">
            <v>1</v>
          </cell>
          <cell r="H58">
            <v>4</v>
          </cell>
          <cell r="P58">
            <v>58.666666666666664</v>
          </cell>
          <cell r="Q58">
            <v>5299</v>
          </cell>
          <cell r="R58">
            <v>2972</v>
          </cell>
          <cell r="S58">
            <v>2370</v>
          </cell>
          <cell r="T58">
            <v>2370</v>
          </cell>
          <cell r="U58">
            <v>0</v>
          </cell>
          <cell r="V58">
            <v>12849</v>
          </cell>
          <cell r="W58">
            <v>7771</v>
          </cell>
          <cell r="X58">
            <v>0</v>
          </cell>
          <cell r="Y58">
            <v>0</v>
          </cell>
          <cell r="Z58">
            <v>0</v>
          </cell>
          <cell r="AA58">
            <v>146826</v>
          </cell>
          <cell r="AB58">
            <v>294840</v>
          </cell>
          <cell r="AC58">
            <v>0</v>
          </cell>
          <cell r="AD58">
            <v>0</v>
          </cell>
          <cell r="AE58">
            <v>0</v>
          </cell>
          <cell r="AF58">
            <v>900.66666666666663</v>
          </cell>
          <cell r="AG58">
            <v>270</v>
          </cell>
          <cell r="AH58">
            <v>630.66666666666663</v>
          </cell>
          <cell r="AI58">
            <v>26797</v>
          </cell>
          <cell r="AJ58">
            <v>15717</v>
          </cell>
          <cell r="AK58">
            <v>2703.6666666666665</v>
          </cell>
          <cell r="AL58">
            <v>59.666666666666664</v>
          </cell>
          <cell r="AM58">
            <v>2644</v>
          </cell>
          <cell r="AN58">
            <v>2644</v>
          </cell>
          <cell r="AO58">
            <v>0</v>
          </cell>
          <cell r="AP58">
            <v>806</v>
          </cell>
          <cell r="AQ58">
            <v>59.666666666666664</v>
          </cell>
          <cell r="AR58">
            <v>1838</v>
          </cell>
        </row>
        <row r="59">
          <cell r="F59">
            <v>427</v>
          </cell>
          <cell r="G59">
            <v>118</v>
          </cell>
          <cell r="H59">
            <v>309</v>
          </cell>
          <cell r="P59">
            <v>562.25</v>
          </cell>
          <cell r="Q59">
            <v>0</v>
          </cell>
          <cell r="R59">
            <v>0</v>
          </cell>
          <cell r="S59">
            <v>1035.1836363636362</v>
          </cell>
          <cell r="T59">
            <v>507.23998181818172</v>
          </cell>
          <cell r="U59">
            <v>527.94365454545448</v>
          </cell>
          <cell r="V59">
            <v>0</v>
          </cell>
          <cell r="W59">
            <v>0</v>
          </cell>
          <cell r="X59">
            <v>277.58636363636367</v>
          </cell>
          <cell r="Y59">
            <v>148</v>
          </cell>
          <cell r="Z59">
            <v>129.58636363636367</v>
          </cell>
          <cell r="AA59">
            <v>0</v>
          </cell>
          <cell r="AB59">
            <v>-20749</v>
          </cell>
          <cell r="AC59">
            <v>257.95090909090914</v>
          </cell>
          <cell r="AD59">
            <v>104</v>
          </cell>
          <cell r="AE59">
            <v>153.95090909090914</v>
          </cell>
          <cell r="AF59">
            <v>1165.050909090909</v>
          </cell>
          <cell r="AG59">
            <v>1165</v>
          </cell>
          <cell r="AH59">
            <v>5.0909090909044608E-2</v>
          </cell>
          <cell r="AI59">
            <v>0</v>
          </cell>
          <cell r="AJ59">
            <v>0</v>
          </cell>
          <cell r="AK59">
            <v>3987.9709090909091</v>
          </cell>
          <cell r="AL59">
            <v>1112.25</v>
          </cell>
          <cell r="AM59">
            <v>2875.7209090909091</v>
          </cell>
          <cell r="AN59">
            <v>2875.7209090909091</v>
          </cell>
          <cell r="AO59">
            <v>252</v>
          </cell>
          <cell r="AP59">
            <v>635</v>
          </cell>
          <cell r="AQ59">
            <v>860.25</v>
          </cell>
          <cell r="AR59">
            <v>2240.7209090909091</v>
          </cell>
        </row>
        <row r="60">
          <cell r="F60">
            <v>23</v>
          </cell>
          <cell r="G60">
            <v>6</v>
          </cell>
          <cell r="H60">
            <v>17</v>
          </cell>
          <cell r="P60">
            <v>31</v>
          </cell>
          <cell r="Q60">
            <v>0</v>
          </cell>
          <cell r="R60">
            <v>0</v>
          </cell>
          <cell r="S60">
            <v>57</v>
          </cell>
          <cell r="T60">
            <v>28</v>
          </cell>
          <cell r="U60">
            <v>29</v>
          </cell>
          <cell r="V60">
            <v>16</v>
          </cell>
          <cell r="W60">
            <v>350</v>
          </cell>
          <cell r="X60">
            <v>15</v>
          </cell>
          <cell r="Y60">
            <v>8</v>
          </cell>
          <cell r="Z60">
            <v>7</v>
          </cell>
          <cell r="AA60">
            <v>4344</v>
          </cell>
          <cell r="AB60">
            <v>11898</v>
          </cell>
          <cell r="AC60">
            <v>14</v>
          </cell>
          <cell r="AD60">
            <v>6</v>
          </cell>
          <cell r="AE60">
            <v>8</v>
          </cell>
          <cell r="AF60">
            <v>64</v>
          </cell>
          <cell r="AG60">
            <v>64</v>
          </cell>
          <cell r="AH60">
            <v>0</v>
          </cell>
          <cell r="AI60">
            <v>498.4</v>
          </cell>
          <cell r="AJ60">
            <v>11.200000000000001</v>
          </cell>
          <cell r="AK60">
            <v>219</v>
          </cell>
          <cell r="AL60">
            <v>61</v>
          </cell>
          <cell r="AM60">
            <v>158</v>
          </cell>
          <cell r="AN60">
            <v>158</v>
          </cell>
          <cell r="AO60">
            <v>14</v>
          </cell>
          <cell r="AP60">
            <v>26</v>
          </cell>
          <cell r="AQ60">
            <v>47</v>
          </cell>
          <cell r="AR60">
            <v>132</v>
          </cell>
        </row>
        <row r="61">
          <cell r="F61">
            <v>137</v>
          </cell>
          <cell r="G61">
            <v>38</v>
          </cell>
          <cell r="H61">
            <v>99</v>
          </cell>
          <cell r="P61">
            <v>180</v>
          </cell>
          <cell r="Q61">
            <v>40</v>
          </cell>
          <cell r="R61">
            <v>22.423728813559308</v>
          </cell>
          <cell r="S61">
            <v>331</v>
          </cell>
          <cell r="T61">
            <v>162</v>
          </cell>
          <cell r="U61">
            <v>169</v>
          </cell>
          <cell r="V61">
            <v>748.3098245614035</v>
          </cell>
          <cell r="W61">
            <v>618.1254831995243</v>
          </cell>
          <cell r="X61">
            <v>89</v>
          </cell>
          <cell r="Y61">
            <v>48</v>
          </cell>
          <cell r="Z61">
            <v>41</v>
          </cell>
          <cell r="AA61">
            <v>2580</v>
          </cell>
          <cell r="AB61">
            <v>8244.1254831995248</v>
          </cell>
          <cell r="AC61">
            <v>83</v>
          </cell>
          <cell r="AD61">
            <v>34</v>
          </cell>
          <cell r="AE61">
            <v>49</v>
          </cell>
          <cell r="AF61">
            <v>373</v>
          </cell>
          <cell r="AG61">
            <v>373</v>
          </cell>
          <cell r="AH61">
            <v>0</v>
          </cell>
          <cell r="AI61">
            <v>3532.6742727272731</v>
          </cell>
          <cell r="AJ61">
            <v>1273.3200000000002</v>
          </cell>
          <cell r="AK61">
            <v>1278</v>
          </cell>
          <cell r="AL61">
            <v>356</v>
          </cell>
          <cell r="AM61">
            <v>922</v>
          </cell>
          <cell r="AN61">
            <v>920</v>
          </cell>
          <cell r="AO61">
            <v>0</v>
          </cell>
          <cell r="AP61">
            <v>0</v>
          </cell>
          <cell r="AQ61">
            <v>0</v>
          </cell>
          <cell r="AR61">
            <v>0</v>
          </cell>
        </row>
        <row r="62">
          <cell r="F62">
            <v>0</v>
          </cell>
          <cell r="G62">
            <v>0</v>
          </cell>
          <cell r="H62">
            <v>13</v>
          </cell>
          <cell r="P62">
            <v>0</v>
          </cell>
          <cell r="Q62">
            <v>2</v>
          </cell>
          <cell r="R62">
            <v>1</v>
          </cell>
          <cell r="S62">
            <v>49</v>
          </cell>
          <cell r="T62">
            <v>24</v>
          </cell>
          <cell r="U62">
            <v>25</v>
          </cell>
          <cell r="V62">
            <v>41</v>
          </cell>
          <cell r="W62">
            <v>34</v>
          </cell>
          <cell r="X62">
            <v>0</v>
          </cell>
          <cell r="Y62">
            <v>11</v>
          </cell>
          <cell r="Z62">
            <v>5</v>
          </cell>
          <cell r="AA62">
            <v>143</v>
          </cell>
          <cell r="AB62">
            <v>460</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Q63">
            <v>13</v>
          </cell>
          <cell r="R63">
            <v>8</v>
          </cell>
          <cell r="S63">
            <v>1018</v>
          </cell>
          <cell r="T63">
            <v>162.88</v>
          </cell>
          <cell r="U63">
            <v>855.12</v>
          </cell>
          <cell r="V63">
            <v>240</v>
          </cell>
          <cell r="W63">
            <v>198</v>
          </cell>
          <cell r="X63">
            <v>569</v>
          </cell>
          <cell r="Y63">
            <v>304</v>
          </cell>
          <cell r="Z63">
            <v>265</v>
          </cell>
          <cell r="AA63">
            <v>825</v>
          </cell>
          <cell r="AB63">
            <v>2637</v>
          </cell>
          <cell r="AC63">
            <v>527</v>
          </cell>
          <cell r="AD63">
            <v>213</v>
          </cell>
          <cell r="AE63">
            <v>314</v>
          </cell>
          <cell r="AF63">
            <v>526</v>
          </cell>
          <cell r="AG63">
            <v>526</v>
          </cell>
          <cell r="AH63">
            <v>0</v>
          </cell>
          <cell r="AI63">
            <v>1131</v>
          </cell>
          <cell r="AJ63">
            <v>407</v>
          </cell>
          <cell r="AK63">
            <v>3222</v>
          </cell>
          <cell r="AL63">
            <v>1031</v>
          </cell>
          <cell r="AM63">
            <v>2191</v>
          </cell>
          <cell r="AN63">
            <v>2191</v>
          </cell>
          <cell r="AO63">
            <v>517</v>
          </cell>
          <cell r="AP63">
            <v>925</v>
          </cell>
          <cell r="AQ63">
            <v>514</v>
          </cell>
          <cell r="AR63">
            <v>1266</v>
          </cell>
        </row>
        <row r="64">
          <cell r="F64">
            <v>0</v>
          </cell>
          <cell r="G64">
            <v>0</v>
          </cell>
          <cell r="P64">
            <v>0</v>
          </cell>
          <cell r="Q64">
            <v>8</v>
          </cell>
          <cell r="R64">
            <v>4</v>
          </cell>
          <cell r="T64">
            <v>16</v>
          </cell>
          <cell r="U64">
            <v>86</v>
          </cell>
          <cell r="V64">
            <v>58</v>
          </cell>
          <cell r="W64">
            <v>48</v>
          </cell>
          <cell r="X64">
            <v>0</v>
          </cell>
          <cell r="Y64">
            <v>757</v>
          </cell>
          <cell r="Z64">
            <v>805</v>
          </cell>
          <cell r="AA64">
            <v>184</v>
          </cell>
          <cell r="AB64">
            <v>989</v>
          </cell>
          <cell r="AC64">
            <v>16</v>
          </cell>
          <cell r="AD64">
            <v>19</v>
          </cell>
          <cell r="AE64">
            <v>42</v>
          </cell>
          <cell r="AF64">
            <v>29</v>
          </cell>
          <cell r="AH64">
            <v>0</v>
          </cell>
          <cell r="AI64">
            <v>0</v>
          </cell>
          <cell r="AJ64">
            <v>0</v>
          </cell>
          <cell r="AK64">
            <v>0</v>
          </cell>
          <cell r="AL64">
            <v>0</v>
          </cell>
          <cell r="AN64">
            <v>0</v>
          </cell>
          <cell r="AO64">
            <v>52</v>
          </cell>
          <cell r="AP64">
            <v>93</v>
          </cell>
          <cell r="AQ64">
            <v>51</v>
          </cell>
          <cell r="AR64">
            <v>127</v>
          </cell>
        </row>
        <row r="65">
          <cell r="F65">
            <v>0</v>
          </cell>
          <cell r="G65">
            <v>0</v>
          </cell>
          <cell r="H65">
            <v>0</v>
          </cell>
          <cell r="P65">
            <v>470</v>
          </cell>
          <cell r="Q65">
            <v>285</v>
          </cell>
          <cell r="R65">
            <v>160</v>
          </cell>
          <cell r="S65">
            <v>1018</v>
          </cell>
          <cell r="T65">
            <v>162.88</v>
          </cell>
          <cell r="U65">
            <v>855.12</v>
          </cell>
          <cell r="V65">
            <v>973</v>
          </cell>
          <cell r="W65">
            <v>1131</v>
          </cell>
          <cell r="X65">
            <v>225</v>
          </cell>
          <cell r="Y65">
            <v>404</v>
          </cell>
          <cell r="Z65">
            <v>166</v>
          </cell>
          <cell r="AA65">
            <v>3962</v>
          </cell>
          <cell r="AB65">
            <v>14646</v>
          </cell>
          <cell r="AC65">
            <v>170</v>
          </cell>
          <cell r="AD65">
            <v>336</v>
          </cell>
          <cell r="AE65">
            <v>305</v>
          </cell>
          <cell r="AF65">
            <v>861</v>
          </cell>
          <cell r="AG65">
            <v>861</v>
          </cell>
          <cell r="AH65">
            <v>0</v>
          </cell>
          <cell r="AI65">
            <v>3313</v>
          </cell>
          <cell r="AJ65">
            <v>1298</v>
          </cell>
          <cell r="AK65">
            <v>2759</v>
          </cell>
          <cell r="AL65">
            <v>480</v>
          </cell>
          <cell r="AM65">
            <v>2279</v>
          </cell>
          <cell r="AN65">
            <v>1884</v>
          </cell>
          <cell r="AO65">
            <v>558</v>
          </cell>
          <cell r="AP65">
            <v>280</v>
          </cell>
        </row>
        <row r="66">
          <cell r="F66">
            <v>0</v>
          </cell>
          <cell r="G66">
            <v>0</v>
          </cell>
          <cell r="P66">
            <v>0</v>
          </cell>
          <cell r="Q66">
            <v>285</v>
          </cell>
          <cell r="R66">
            <v>160</v>
          </cell>
          <cell r="S66">
            <v>0</v>
          </cell>
          <cell r="T66">
            <v>16</v>
          </cell>
          <cell r="U66">
            <v>86</v>
          </cell>
          <cell r="V66">
            <v>914</v>
          </cell>
          <cell r="W66">
            <v>832</v>
          </cell>
          <cell r="X66">
            <v>0</v>
          </cell>
          <cell r="Z66">
            <v>832</v>
          </cell>
          <cell r="AB66">
            <v>832</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0</v>
          </cell>
          <cell r="Q67">
            <v>0</v>
          </cell>
          <cell r="R67">
            <v>0</v>
          </cell>
          <cell r="S67">
            <v>0</v>
          </cell>
          <cell r="T67">
            <v>146.88</v>
          </cell>
          <cell r="U67">
            <v>769.12</v>
          </cell>
          <cell r="V67">
            <v>54</v>
          </cell>
          <cell r="W67">
            <v>293</v>
          </cell>
          <cell r="X67">
            <v>344</v>
          </cell>
          <cell r="Y67">
            <v>304</v>
          </cell>
          <cell r="Z67">
            <v>265</v>
          </cell>
          <cell r="AB67">
            <v>293</v>
          </cell>
          <cell r="AC67">
            <v>357</v>
          </cell>
          <cell r="AD67">
            <v>213</v>
          </cell>
          <cell r="AE67">
            <v>314</v>
          </cell>
          <cell r="AF67">
            <v>-335</v>
          </cell>
          <cell r="AG67">
            <v>-335</v>
          </cell>
          <cell r="AH67">
            <v>0</v>
          </cell>
          <cell r="AI67">
            <v>6650</v>
          </cell>
          <cell r="AJ67">
            <v>0</v>
          </cell>
          <cell r="AK67">
            <v>375</v>
          </cell>
          <cell r="AL67">
            <v>4951</v>
          </cell>
          <cell r="AN67">
            <v>308</v>
          </cell>
          <cell r="AO67">
            <v>465</v>
          </cell>
          <cell r="AP67">
            <v>552</v>
          </cell>
          <cell r="AQ67">
            <v>463</v>
          </cell>
          <cell r="AR67">
            <v>1139</v>
          </cell>
        </row>
        <row r="68">
          <cell r="F68">
            <v>130</v>
          </cell>
          <cell r="G68">
            <v>36</v>
          </cell>
          <cell r="H68">
            <v>94</v>
          </cell>
          <cell r="P68">
            <v>730</v>
          </cell>
          <cell r="Q68">
            <v>852</v>
          </cell>
          <cell r="R68">
            <v>478</v>
          </cell>
          <cell r="S68">
            <v>2168</v>
          </cell>
          <cell r="T68">
            <v>542</v>
          </cell>
          <cell r="U68">
            <v>1626</v>
          </cell>
          <cell r="V68">
            <v>2249</v>
          </cell>
          <cell r="W68">
            <v>2344</v>
          </cell>
          <cell r="X68">
            <v>1785</v>
          </cell>
          <cell r="Y68">
            <v>953</v>
          </cell>
          <cell r="Z68">
            <v>832</v>
          </cell>
          <cell r="AA68">
            <v>3910</v>
          </cell>
          <cell r="AB68">
            <v>15937</v>
          </cell>
          <cell r="AC68">
            <v>723</v>
          </cell>
          <cell r="AD68">
            <v>292</v>
          </cell>
          <cell r="AE68">
            <v>431</v>
          </cell>
          <cell r="AF68">
            <v>963</v>
          </cell>
          <cell r="AG68">
            <v>963</v>
          </cell>
          <cell r="AH68">
            <v>0</v>
          </cell>
          <cell r="AI68">
            <v>0</v>
          </cell>
          <cell r="AJ68">
            <v>0</v>
          </cell>
          <cell r="AK68">
            <v>6499</v>
          </cell>
          <cell r="AL68">
            <v>2011</v>
          </cell>
          <cell r="AM68">
            <v>4488</v>
          </cell>
          <cell r="AN68">
            <v>4488</v>
          </cell>
          <cell r="AO68">
            <v>1245</v>
          </cell>
          <cell r="AP68">
            <v>2000</v>
          </cell>
          <cell r="AQ68">
            <v>766</v>
          </cell>
          <cell r="AR68">
            <v>2488</v>
          </cell>
        </row>
        <row r="69">
          <cell r="F69">
            <v>0</v>
          </cell>
          <cell r="G69">
            <v>0</v>
          </cell>
          <cell r="H69">
            <v>0</v>
          </cell>
          <cell r="P69">
            <v>65</v>
          </cell>
          <cell r="Q69">
            <v>40</v>
          </cell>
          <cell r="R69">
            <v>23.192982456140342</v>
          </cell>
          <cell r="S69">
            <v>363.63636363636363</v>
          </cell>
          <cell r="T69">
            <v>146.88</v>
          </cell>
          <cell r="U69">
            <v>769.12</v>
          </cell>
          <cell r="V69">
            <v>158.07017543859649</v>
          </cell>
          <cell r="W69">
            <v>252.4912280701754</v>
          </cell>
          <cell r="X69">
            <v>188.36363636363637</v>
          </cell>
          <cell r="Y69">
            <v>101</v>
          </cell>
          <cell r="Z69">
            <v>87.363636363636374</v>
          </cell>
          <cell r="AA69">
            <v>948</v>
          </cell>
          <cell r="AB69">
            <v>3117.4912280701756</v>
          </cell>
          <cell r="AC69">
            <v>130.90909090909091</v>
          </cell>
          <cell r="AD69">
            <v>53</v>
          </cell>
          <cell r="AE69">
            <v>77.909090909090907</v>
          </cell>
          <cell r="AF69">
            <v>114.90909090909091</v>
          </cell>
          <cell r="AG69">
            <v>114.90909090909091</v>
          </cell>
          <cell r="AH69">
            <v>0</v>
          </cell>
          <cell r="AI69">
            <v>-3332</v>
          </cell>
          <cell r="AK69">
            <v>862.81818181818176</v>
          </cell>
          <cell r="AL69">
            <v>219</v>
          </cell>
          <cell r="AM69">
            <v>643.81818181818176</v>
          </cell>
          <cell r="AN69">
            <v>643.81818181818176</v>
          </cell>
          <cell r="AO69">
            <v>502</v>
          </cell>
          <cell r="AP69">
            <v>1078</v>
          </cell>
        </row>
        <row r="70">
          <cell r="F70">
            <v>0</v>
          </cell>
          <cell r="G70">
            <v>0</v>
          </cell>
          <cell r="H70">
            <v>0</v>
          </cell>
          <cell r="P70">
            <v>4</v>
          </cell>
          <cell r="Q70">
            <v>2</v>
          </cell>
          <cell r="R70">
            <v>1</v>
          </cell>
          <cell r="S70">
            <v>20</v>
          </cell>
          <cell r="T70">
            <v>479.6</v>
          </cell>
          <cell r="U70">
            <v>1438.8000000000002</v>
          </cell>
          <cell r="V70">
            <v>9</v>
          </cell>
          <cell r="W70">
            <v>13</v>
          </cell>
          <cell r="X70">
            <v>10</v>
          </cell>
          <cell r="Y70">
            <v>5</v>
          </cell>
          <cell r="Z70">
            <v>5</v>
          </cell>
          <cell r="AA70">
            <v>51</v>
          </cell>
          <cell r="AB70">
            <v>188</v>
          </cell>
          <cell r="AC70">
            <v>7</v>
          </cell>
          <cell r="AD70">
            <v>3</v>
          </cell>
          <cell r="AE70">
            <v>4</v>
          </cell>
          <cell r="AF70">
            <v>6</v>
          </cell>
          <cell r="AG70">
            <v>6</v>
          </cell>
          <cell r="AH70">
            <v>0</v>
          </cell>
          <cell r="AI70">
            <v>6117.4</v>
          </cell>
          <cell r="AJ70">
            <v>1964.4</v>
          </cell>
          <cell r="AK70">
            <v>47</v>
          </cell>
          <cell r="AL70">
            <v>12</v>
          </cell>
          <cell r="AM70">
            <v>35</v>
          </cell>
          <cell r="AN70">
            <v>35</v>
          </cell>
          <cell r="AO70">
            <v>998.40000000000009</v>
          </cell>
          <cell r="AP70">
            <v>2941</v>
          </cell>
        </row>
        <row r="71">
          <cell r="F71">
            <v>0</v>
          </cell>
          <cell r="G71">
            <v>0</v>
          </cell>
          <cell r="H71">
            <v>0</v>
          </cell>
          <cell r="P71">
            <v>21</v>
          </cell>
          <cell r="Q71">
            <v>13</v>
          </cell>
          <cell r="R71">
            <v>7</v>
          </cell>
          <cell r="S71">
            <v>115</v>
          </cell>
          <cell r="U71">
            <v>133</v>
          </cell>
          <cell r="V71">
            <v>51</v>
          </cell>
          <cell r="W71">
            <v>82</v>
          </cell>
          <cell r="X71">
            <v>60</v>
          </cell>
          <cell r="Y71">
            <v>32</v>
          </cell>
          <cell r="Z71">
            <v>28</v>
          </cell>
          <cell r="AA71">
            <v>303</v>
          </cell>
          <cell r="AB71">
            <v>978</v>
          </cell>
          <cell r="AC71">
            <v>43</v>
          </cell>
          <cell r="AD71">
            <v>17</v>
          </cell>
          <cell r="AE71">
            <v>26</v>
          </cell>
          <cell r="AF71">
            <v>37</v>
          </cell>
          <cell r="AG71">
            <v>37</v>
          </cell>
          <cell r="AH71">
            <v>0</v>
          </cell>
          <cell r="AI71">
            <v>1063.2727272727273</v>
          </cell>
          <cell r="AJ71">
            <v>248</v>
          </cell>
          <cell r="AK71">
            <v>276</v>
          </cell>
          <cell r="AL71">
            <v>70</v>
          </cell>
          <cell r="AM71">
            <v>206</v>
          </cell>
          <cell r="AN71">
            <v>206</v>
          </cell>
        </row>
        <row r="72">
          <cell r="F72">
            <v>0</v>
          </cell>
          <cell r="G72">
            <v>0</v>
          </cell>
          <cell r="H72">
            <v>0</v>
          </cell>
          <cell r="P72">
            <v>90</v>
          </cell>
          <cell r="Q72">
            <v>2</v>
          </cell>
          <cell r="R72">
            <v>1</v>
          </cell>
          <cell r="S72">
            <v>27</v>
          </cell>
          <cell r="U72">
            <v>19</v>
          </cell>
          <cell r="V72">
            <v>7</v>
          </cell>
          <cell r="W72">
            <v>12</v>
          </cell>
          <cell r="X72">
            <v>0</v>
          </cell>
          <cell r="Y72">
            <v>6</v>
          </cell>
          <cell r="Z72">
            <v>3</v>
          </cell>
          <cell r="AA72">
            <v>48</v>
          </cell>
          <cell r="AB72">
            <v>232</v>
          </cell>
          <cell r="AC72">
            <v>0</v>
          </cell>
          <cell r="AD72">
            <v>3</v>
          </cell>
          <cell r="AE72">
            <v>3</v>
          </cell>
          <cell r="AF72">
            <v>0</v>
          </cell>
          <cell r="AG72">
            <v>0</v>
          </cell>
          <cell r="AH72">
            <v>0</v>
          </cell>
          <cell r="AI72">
            <v>58</v>
          </cell>
          <cell r="AJ72">
            <v>13</v>
          </cell>
          <cell r="AK72">
            <v>90</v>
          </cell>
          <cell r="AL72">
            <v>90</v>
          </cell>
          <cell r="AM72">
            <v>0</v>
          </cell>
          <cell r="AN72">
            <v>0</v>
          </cell>
        </row>
        <row r="73">
          <cell r="F73">
            <v>0</v>
          </cell>
          <cell r="G73">
            <v>0</v>
          </cell>
          <cell r="H73">
            <v>0</v>
          </cell>
          <cell r="P73">
            <v>21</v>
          </cell>
          <cell r="Q73">
            <v>849</v>
          </cell>
          <cell r="R73">
            <v>476</v>
          </cell>
          <cell r="S73">
            <v>1558</v>
          </cell>
          <cell r="U73">
            <v>4085</v>
          </cell>
          <cell r="V73">
            <v>1841</v>
          </cell>
          <cell r="W73">
            <v>2244</v>
          </cell>
          <cell r="X73">
            <v>1785</v>
          </cell>
          <cell r="Y73">
            <v>953</v>
          </cell>
          <cell r="Z73">
            <v>832</v>
          </cell>
          <cell r="AB73">
            <v>2244</v>
          </cell>
          <cell r="AC73">
            <v>633</v>
          </cell>
          <cell r="AD73">
            <v>256</v>
          </cell>
          <cell r="AE73">
            <v>377</v>
          </cell>
          <cell r="AF73">
            <v>530</v>
          </cell>
          <cell r="AG73">
            <v>530</v>
          </cell>
          <cell r="AH73">
            <v>0</v>
          </cell>
          <cell r="AI73">
            <v>340</v>
          </cell>
          <cell r="AJ73">
            <v>79</v>
          </cell>
          <cell r="AK73">
            <v>4506</v>
          </cell>
          <cell r="AL73">
            <v>1209</v>
          </cell>
          <cell r="AM73">
            <v>3297</v>
          </cell>
          <cell r="AN73">
            <v>3297</v>
          </cell>
        </row>
        <row r="74">
          <cell r="F74">
            <v>0</v>
          </cell>
          <cell r="G74">
            <v>0</v>
          </cell>
          <cell r="P74">
            <v>63</v>
          </cell>
          <cell r="Q74">
            <v>3</v>
          </cell>
          <cell r="R74">
            <v>2</v>
          </cell>
          <cell r="S74">
            <v>0</v>
          </cell>
          <cell r="U74">
            <v>494</v>
          </cell>
          <cell r="V74">
            <v>3</v>
          </cell>
          <cell r="W74">
            <v>491</v>
          </cell>
          <cell r="X74">
            <v>0</v>
          </cell>
          <cell r="Z74">
            <v>0</v>
          </cell>
          <cell r="AB74">
            <v>491</v>
          </cell>
          <cell r="AC74">
            <v>0</v>
          </cell>
          <cell r="AD74">
            <v>0</v>
          </cell>
          <cell r="AE74">
            <v>0</v>
          </cell>
          <cell r="AF74">
            <v>0</v>
          </cell>
          <cell r="AG74">
            <v>0</v>
          </cell>
          <cell r="AH74">
            <v>0</v>
          </cell>
          <cell r="AI74">
            <v>63</v>
          </cell>
          <cell r="AJ74">
            <v>63</v>
          </cell>
          <cell r="AK74">
            <v>0</v>
          </cell>
          <cell r="AL74">
            <v>0</v>
          </cell>
          <cell r="AM74">
            <v>0</v>
          </cell>
          <cell r="AN74">
            <v>0</v>
          </cell>
        </row>
        <row r="75">
          <cell r="F75">
            <v>2739</v>
          </cell>
          <cell r="G75">
            <v>746</v>
          </cell>
          <cell r="H75">
            <v>1993</v>
          </cell>
          <cell r="P75">
            <v>105.66666666666667</v>
          </cell>
          <cell r="Q75">
            <v>20</v>
          </cell>
          <cell r="R75">
            <v>11</v>
          </cell>
          <cell r="S75">
            <v>242.66666666666666</v>
          </cell>
          <cell r="T75">
            <v>100.1</v>
          </cell>
          <cell r="U75">
            <v>142.56666666666666</v>
          </cell>
          <cell r="V75">
            <v>635</v>
          </cell>
          <cell r="W75">
            <v>2284.666666666667</v>
          </cell>
          <cell r="X75">
            <v>88.666666666666671</v>
          </cell>
          <cell r="Y75">
            <v>47</v>
          </cell>
          <cell r="Z75">
            <v>41.666666666666671</v>
          </cell>
          <cell r="AA75">
            <v>5795</v>
          </cell>
          <cell r="AB75">
            <v>23945.666666666668</v>
          </cell>
          <cell r="AC75">
            <v>69.333333333333343</v>
          </cell>
          <cell r="AD75">
            <v>28</v>
          </cell>
          <cell r="AE75">
            <v>41.333333333333343</v>
          </cell>
          <cell r="AF75">
            <v>250.33333333333331</v>
          </cell>
          <cell r="AG75">
            <v>183.4</v>
          </cell>
          <cell r="AH75">
            <v>66.933333333333309</v>
          </cell>
          <cell r="AI75">
            <v>870.40000000000009</v>
          </cell>
          <cell r="AJ75">
            <v>870.40000000000009</v>
          </cell>
          <cell r="AK75">
            <v>4069.7333333333331</v>
          </cell>
          <cell r="AL75">
            <v>1356.6666666666667</v>
          </cell>
          <cell r="AM75">
            <v>2713.0666666666666</v>
          </cell>
          <cell r="AN75">
            <v>2713.0666666666666</v>
          </cell>
          <cell r="AO75">
            <v>75</v>
          </cell>
          <cell r="AP75">
            <v>166</v>
          </cell>
          <cell r="AQ75">
            <v>1281.6666666666667</v>
          </cell>
          <cell r="AR75">
            <v>2547.0666666666666</v>
          </cell>
        </row>
        <row r="76">
          <cell r="F76">
            <v>193</v>
          </cell>
          <cell r="G76">
            <v>53</v>
          </cell>
          <cell r="H76">
            <v>140</v>
          </cell>
          <cell r="P76">
            <v>935</v>
          </cell>
          <cell r="S76">
            <v>4732.8</v>
          </cell>
          <cell r="T76">
            <v>0</v>
          </cell>
          <cell r="U76">
            <v>0</v>
          </cell>
          <cell r="V76">
            <v>0</v>
          </cell>
          <cell r="W76">
            <v>0</v>
          </cell>
          <cell r="X76">
            <v>80</v>
          </cell>
          <cell r="Y76">
            <v>0</v>
          </cell>
          <cell r="Z76">
            <v>0</v>
          </cell>
          <cell r="AA76">
            <v>0</v>
          </cell>
          <cell r="AB76">
            <v>401</v>
          </cell>
          <cell r="AC76">
            <v>85</v>
          </cell>
          <cell r="AD76">
            <v>45</v>
          </cell>
          <cell r="AE76">
            <v>0</v>
          </cell>
          <cell r="AF76">
            <v>0</v>
          </cell>
          <cell r="AH76">
            <v>0</v>
          </cell>
          <cell r="AI76">
            <v>5832.8</v>
          </cell>
          <cell r="AJ76">
            <v>980</v>
          </cell>
          <cell r="AK76">
            <v>193</v>
          </cell>
          <cell r="AL76">
            <v>53</v>
          </cell>
          <cell r="AM76">
            <v>140</v>
          </cell>
          <cell r="AN76">
            <v>140</v>
          </cell>
          <cell r="AO76">
            <v>0</v>
          </cell>
          <cell r="AP76">
            <v>0</v>
          </cell>
          <cell r="AQ76">
            <v>53</v>
          </cell>
          <cell r="AR76">
            <v>140</v>
          </cell>
        </row>
        <row r="77">
          <cell r="F77">
            <v>2506</v>
          </cell>
          <cell r="G77">
            <v>693</v>
          </cell>
          <cell r="H77">
            <v>1813</v>
          </cell>
          <cell r="P77">
            <v>105.66666666666667</v>
          </cell>
          <cell r="Q77">
            <v>20</v>
          </cell>
          <cell r="R77">
            <v>11</v>
          </cell>
          <cell r="S77">
            <v>242.66666666666666</v>
          </cell>
          <cell r="T77">
            <v>100.1</v>
          </cell>
          <cell r="U77">
            <v>142.56666666666666</v>
          </cell>
          <cell r="V77">
            <v>635</v>
          </cell>
          <cell r="W77">
            <v>2284.666666666667</v>
          </cell>
          <cell r="X77">
            <v>88.666666666666671</v>
          </cell>
          <cell r="Y77">
            <v>47</v>
          </cell>
          <cell r="Z77">
            <v>41.666666666666671</v>
          </cell>
          <cell r="AA77">
            <v>5796</v>
          </cell>
          <cell r="AB77">
            <v>23529.666666666668</v>
          </cell>
          <cell r="AC77">
            <v>69.333333333333343</v>
          </cell>
          <cell r="AD77">
            <v>28</v>
          </cell>
          <cell r="AE77">
            <v>41.333333333333343</v>
          </cell>
          <cell r="AF77">
            <v>250.33333333333331</v>
          </cell>
          <cell r="AG77">
            <v>183.4</v>
          </cell>
          <cell r="AH77">
            <v>66.933333333333309</v>
          </cell>
          <cell r="AI77">
            <v>5147.7666666666664</v>
          </cell>
          <cell r="AJ77">
            <v>2074.1999999999998</v>
          </cell>
          <cell r="AK77">
            <v>3836.7333333333331</v>
          </cell>
          <cell r="AL77">
            <v>1303.6666666666667</v>
          </cell>
          <cell r="AM77">
            <v>2533.0666666666666</v>
          </cell>
          <cell r="AN77">
            <v>2533.0666666666666</v>
          </cell>
          <cell r="AO77">
            <v>75</v>
          </cell>
          <cell r="AP77">
            <v>166</v>
          </cell>
          <cell r="AQ77">
            <v>1228.6666666666667</v>
          </cell>
          <cell r="AR77">
            <v>2367.0666666666666</v>
          </cell>
        </row>
        <row r="78">
          <cell r="F78">
            <v>1695</v>
          </cell>
          <cell r="G78">
            <v>469</v>
          </cell>
          <cell r="H78">
            <v>1226</v>
          </cell>
          <cell r="P78">
            <v>72.666666666666671</v>
          </cell>
          <cell r="Q78">
            <v>20</v>
          </cell>
          <cell r="R78">
            <v>11</v>
          </cell>
          <cell r="S78">
            <v>151.66666666666666</v>
          </cell>
          <cell r="T78">
            <v>100.1</v>
          </cell>
          <cell r="U78">
            <v>51.566666666666663</v>
          </cell>
          <cell r="V78">
            <v>373</v>
          </cell>
          <cell r="W78">
            <v>330</v>
          </cell>
          <cell r="X78">
            <v>57</v>
          </cell>
          <cell r="Y78">
            <v>30</v>
          </cell>
          <cell r="Z78">
            <v>27</v>
          </cell>
          <cell r="AB78">
            <v>330</v>
          </cell>
          <cell r="AC78">
            <v>37</v>
          </cell>
          <cell r="AD78">
            <v>28</v>
          </cell>
          <cell r="AE78">
            <v>9</v>
          </cell>
          <cell r="AF78">
            <v>136.66666666666666</v>
          </cell>
          <cell r="AG78">
            <v>119</v>
          </cell>
          <cell r="AH78">
            <v>17.666666666666657</v>
          </cell>
          <cell r="AI78" t="e">
            <v>#REF!</v>
          </cell>
          <cell r="AJ78">
            <v>115</v>
          </cell>
          <cell r="AK78">
            <v>2132.3333333333335</v>
          </cell>
          <cell r="AL78">
            <v>599.66666666666663</v>
          </cell>
          <cell r="AM78">
            <v>1532.666666666667</v>
          </cell>
          <cell r="AN78">
            <v>1532.6666666666667</v>
          </cell>
          <cell r="AO78">
            <v>115</v>
          </cell>
          <cell r="AP78" t="e">
            <v>#REF!</v>
          </cell>
          <cell r="AR78">
            <v>1532.666666666667</v>
          </cell>
        </row>
        <row r="79">
          <cell r="F79">
            <v>3690.5</v>
          </cell>
          <cell r="G79">
            <v>0</v>
          </cell>
          <cell r="H79">
            <v>0</v>
          </cell>
          <cell r="P79">
            <v>0</v>
          </cell>
          <cell r="S79">
            <v>0</v>
          </cell>
          <cell r="T79">
            <v>80.431999999999974</v>
          </cell>
          <cell r="U79">
            <v>121.43466666666664</v>
          </cell>
          <cell r="V79">
            <v>262</v>
          </cell>
          <cell r="W79">
            <v>1955</v>
          </cell>
          <cell r="X79">
            <v>84.800000000000011</v>
          </cell>
          <cell r="Y79">
            <v>60</v>
          </cell>
          <cell r="Z79">
            <v>24.800000000000011</v>
          </cell>
          <cell r="AB79">
            <v>1955</v>
          </cell>
          <cell r="AC79">
            <v>135.4</v>
          </cell>
          <cell r="AD79">
            <v>71</v>
          </cell>
          <cell r="AE79">
            <v>64.400000000000006</v>
          </cell>
          <cell r="AF79">
            <v>168</v>
          </cell>
          <cell r="AG79">
            <v>140</v>
          </cell>
          <cell r="AH79">
            <v>28</v>
          </cell>
          <cell r="AI79">
            <v>4852.7666666666664</v>
          </cell>
          <cell r="AJ79">
            <v>1959.2</v>
          </cell>
          <cell r="AK79">
            <v>358</v>
          </cell>
          <cell r="AL79">
            <v>158</v>
          </cell>
          <cell r="AM79">
            <v>200</v>
          </cell>
          <cell r="AN79">
            <v>200</v>
          </cell>
          <cell r="AO79">
            <v>1828.2</v>
          </cell>
          <cell r="AP79">
            <v>2735.5666666666666</v>
          </cell>
          <cell r="AR79">
            <v>200</v>
          </cell>
        </row>
        <row r="80">
          <cell r="F80">
            <v>315</v>
          </cell>
          <cell r="G80">
            <v>87</v>
          </cell>
          <cell r="H80">
            <v>228</v>
          </cell>
          <cell r="P80">
            <v>10.333333333333334</v>
          </cell>
          <cell r="S80">
            <v>38.333333333333336</v>
          </cell>
          <cell r="T80">
            <v>80.431999999999974</v>
          </cell>
          <cell r="U80">
            <v>41.434666666666658</v>
          </cell>
          <cell r="V80">
            <v>0</v>
          </cell>
          <cell r="W80">
            <v>0</v>
          </cell>
          <cell r="X80">
            <v>6.333333333333333</v>
          </cell>
          <cell r="Y80">
            <v>3</v>
          </cell>
          <cell r="Z80">
            <v>3.333333333333333</v>
          </cell>
          <cell r="AC80">
            <v>7.333333333333333</v>
          </cell>
          <cell r="AD80">
            <v>3</v>
          </cell>
          <cell r="AE80">
            <v>4.333333333333333</v>
          </cell>
          <cell r="AF80">
            <v>55.666666666666664</v>
          </cell>
          <cell r="AG80">
            <v>33.4</v>
          </cell>
          <cell r="AH80">
            <v>22.266666666666666</v>
          </cell>
          <cell r="AI80">
            <v>1201.8666666666668</v>
          </cell>
          <cell r="AJ80">
            <v>525.20000000000005</v>
          </cell>
          <cell r="AK80">
            <v>413.73333333333323</v>
          </cell>
          <cell r="AL80">
            <v>105.33333333333333</v>
          </cell>
          <cell r="AM80">
            <v>308.39999999999992</v>
          </cell>
          <cell r="AN80">
            <v>308.39999999999992</v>
          </cell>
          <cell r="AP80">
            <v>676.66666666666674</v>
          </cell>
        </row>
        <row r="81">
          <cell r="F81">
            <v>496</v>
          </cell>
          <cell r="G81">
            <v>137</v>
          </cell>
          <cell r="H81">
            <v>359</v>
          </cell>
          <cell r="P81">
            <v>22.666666666666668</v>
          </cell>
          <cell r="S81">
            <v>52.666666666666664</v>
          </cell>
          <cell r="U81">
            <v>65</v>
          </cell>
          <cell r="V81">
            <v>30</v>
          </cell>
          <cell r="W81">
            <v>35</v>
          </cell>
          <cell r="X81">
            <v>25.333333333333332</v>
          </cell>
          <cell r="Y81">
            <v>14</v>
          </cell>
          <cell r="Z81">
            <v>11.333333333333332</v>
          </cell>
          <cell r="AC81">
            <v>25</v>
          </cell>
          <cell r="AD81">
            <v>10</v>
          </cell>
          <cell r="AE81">
            <v>15</v>
          </cell>
          <cell r="AF81">
            <v>53</v>
          </cell>
          <cell r="AG81">
            <v>26</v>
          </cell>
          <cell r="AH81">
            <v>27</v>
          </cell>
          <cell r="AI81">
            <v>389</v>
          </cell>
          <cell r="AJ81">
            <v>156</v>
          </cell>
          <cell r="AK81">
            <v>656.66666666666663</v>
          </cell>
          <cell r="AL81">
            <v>188.66666666666666</v>
          </cell>
          <cell r="AM81">
            <v>468</v>
          </cell>
          <cell r="AN81">
            <v>468</v>
          </cell>
          <cell r="AP81">
            <v>233</v>
          </cell>
        </row>
        <row r="82">
          <cell r="F82">
            <v>239</v>
          </cell>
          <cell r="G82">
            <v>0</v>
          </cell>
          <cell r="H82">
            <v>0</v>
          </cell>
          <cell r="P82">
            <v>5</v>
          </cell>
          <cell r="Q82">
            <v>6721</v>
          </cell>
          <cell r="R82">
            <v>3768.4237288135591</v>
          </cell>
          <cell r="S82">
            <v>40</v>
          </cell>
          <cell r="T82">
            <v>1129</v>
          </cell>
          <cell r="U82">
            <v>34743.435307760927</v>
          </cell>
          <cell r="V82">
            <v>18819.309824561402</v>
          </cell>
          <cell r="W82">
            <v>15924.125483199525</v>
          </cell>
          <cell r="X82">
            <v>0</v>
          </cell>
          <cell r="Y82">
            <v>0</v>
          </cell>
          <cell r="Z82">
            <v>0</v>
          </cell>
          <cell r="AA82">
            <v>173414</v>
          </cell>
          <cell r="AB82">
            <v>368068.12548319955</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0</v>
          </cell>
          <cell r="U83">
            <v>14098.435307760927</v>
          </cell>
          <cell r="V83">
            <v>5945.3098245614019</v>
          </cell>
          <cell r="W83">
            <v>8153.1254831995248</v>
          </cell>
          <cell r="X83">
            <v>0</v>
          </cell>
          <cell r="Y83">
            <v>14</v>
          </cell>
          <cell r="Z83">
            <v>5.2000000000000028</v>
          </cell>
          <cell r="AC83">
            <v>4</v>
          </cell>
          <cell r="AD83">
            <v>42</v>
          </cell>
          <cell r="AE83">
            <v>39</v>
          </cell>
          <cell r="AF83">
            <v>38</v>
          </cell>
          <cell r="AG83">
            <v>38</v>
          </cell>
          <cell r="AH83">
            <v>0</v>
          </cell>
          <cell r="AI83" t="e">
            <v>#REF!</v>
          </cell>
          <cell r="AJ83" t="e">
            <v>#REF!</v>
          </cell>
          <cell r="AK83">
            <v>56</v>
          </cell>
          <cell r="AL83">
            <v>14</v>
          </cell>
          <cell r="AM83">
            <v>42</v>
          </cell>
          <cell r="AN83">
            <v>38</v>
          </cell>
        </row>
        <row r="84">
          <cell r="F84">
            <v>4277</v>
          </cell>
          <cell r="G84">
            <v>1171</v>
          </cell>
          <cell r="H84">
            <v>3106</v>
          </cell>
          <cell r="P84">
            <v>2451.9166666666665</v>
          </cell>
          <cell r="Q84">
            <v>0</v>
          </cell>
          <cell r="R84">
            <v>0</v>
          </cell>
          <cell r="S84">
            <v>19113.516969696972</v>
          </cell>
          <cell r="T84">
            <v>15189.599981818181</v>
          </cell>
          <cell r="U84">
            <v>3923.9169878787875</v>
          </cell>
          <cell r="X84">
            <v>19898.9196969697</v>
          </cell>
          <cell r="Y84">
            <v>11477</v>
          </cell>
          <cell r="Z84">
            <v>8421.9196969696968</v>
          </cell>
          <cell r="AA84">
            <v>0</v>
          </cell>
          <cell r="AB84">
            <v>0</v>
          </cell>
          <cell r="AC84">
            <v>17653.617575757573</v>
          </cell>
          <cell r="AD84">
            <v>8223</v>
          </cell>
          <cell r="AE84">
            <v>9430.6175757575766</v>
          </cell>
          <cell r="AF84">
            <v>4956.3842424242421</v>
          </cell>
          <cell r="AG84">
            <v>4147.3999999999996</v>
          </cell>
          <cell r="AH84">
            <v>809.98424242424232</v>
          </cell>
          <cell r="AI84" t="e">
            <v>#REF!</v>
          </cell>
          <cell r="AJ84">
            <v>0</v>
          </cell>
          <cell r="AK84">
            <v>68761.370909090911</v>
          </cell>
          <cell r="AL84">
            <v>24189.916666666668</v>
          </cell>
          <cell r="AM84">
            <v>44571.454242424239</v>
          </cell>
          <cell r="AN84">
            <v>44569.454242424246</v>
          </cell>
          <cell r="AO84">
            <v>19618</v>
          </cell>
          <cell r="AP84">
            <v>31013</v>
          </cell>
          <cell r="AQ84">
            <v>4215.916666666667</v>
          </cell>
          <cell r="AR84">
            <v>12636.454242424243</v>
          </cell>
        </row>
        <row r="85">
          <cell r="F85">
            <v>587</v>
          </cell>
          <cell r="G85">
            <v>118</v>
          </cell>
          <cell r="H85">
            <v>309</v>
          </cell>
          <cell r="P85">
            <v>627.25</v>
          </cell>
          <cell r="Q85">
            <v>0</v>
          </cell>
          <cell r="R85">
            <v>0</v>
          </cell>
          <cell r="S85">
            <v>0</v>
          </cell>
          <cell r="T85">
            <v>507.23998181818172</v>
          </cell>
          <cell r="U85">
            <v>527.94365454545448</v>
          </cell>
          <cell r="V85">
            <v>0</v>
          </cell>
          <cell r="W85">
            <v>0</v>
          </cell>
          <cell r="X85">
            <v>0</v>
          </cell>
          <cell r="Y85">
            <v>249</v>
          </cell>
          <cell r="Z85">
            <v>216.95000000000005</v>
          </cell>
          <cell r="AA85">
            <v>0</v>
          </cell>
          <cell r="AB85">
            <v>0</v>
          </cell>
          <cell r="AC85">
            <v>2.4000000000000004</v>
          </cell>
          <cell r="AD85">
            <v>157</v>
          </cell>
          <cell r="AE85">
            <v>231.86000000000004</v>
          </cell>
          <cell r="AF85">
            <v>44</v>
          </cell>
          <cell r="AG85">
            <v>44</v>
          </cell>
          <cell r="AH85">
            <v>5.0909090909044608E-2</v>
          </cell>
          <cell r="AI85" t="e">
            <v>#REF!</v>
          </cell>
          <cell r="AJ85">
            <v>10.600000000000001</v>
          </cell>
          <cell r="AK85">
            <v>4850.7890909090911</v>
          </cell>
          <cell r="AL85">
            <v>1331.25</v>
          </cell>
          <cell r="AM85">
            <v>3519.5390909090911</v>
          </cell>
          <cell r="AN85">
            <v>840.81000000000006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V86">
            <v>22489.309824561402</v>
          </cell>
          <cell r="W86">
            <v>15924.125483199525</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24191.916666666664</v>
          </cell>
          <cell r="AM86">
            <v>18714</v>
          </cell>
          <cell r="AN86">
            <v>0</v>
          </cell>
          <cell r="AO86">
            <v>5261.1559999999999</v>
          </cell>
          <cell r="AP86">
            <v>10831.787606060607</v>
          </cell>
        </row>
        <row r="87">
          <cell r="F87">
            <v>21770</v>
          </cell>
          <cell r="G87">
            <v>21770</v>
          </cell>
          <cell r="H87">
            <v>239.697</v>
          </cell>
          <cell r="P87">
            <v>611.32000000000005</v>
          </cell>
          <cell r="Q87">
            <v>0</v>
          </cell>
          <cell r="R87">
            <v>0</v>
          </cell>
          <cell r="T87">
            <v>435.00952727272721</v>
          </cell>
          <cell r="U87">
            <v>452.76501818181811</v>
          </cell>
          <cell r="V87">
            <v>0</v>
          </cell>
          <cell r="W87">
            <v>0</v>
          </cell>
          <cell r="X87">
            <v>52.068000000000012</v>
          </cell>
          <cell r="Y87">
            <v>332</v>
          </cell>
          <cell r="Z87">
            <v>136.65000000000003</v>
          </cell>
          <cell r="AA87">
            <v>0</v>
          </cell>
          <cell r="AB87">
            <v>0</v>
          </cell>
          <cell r="AC87">
            <v>0</v>
          </cell>
          <cell r="AD87">
            <v>205</v>
          </cell>
          <cell r="AE87">
            <v>186.76000000000005</v>
          </cell>
          <cell r="AF87">
            <v>52.068000000000012</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26047</v>
          </cell>
          <cell r="G88">
            <v>22941</v>
          </cell>
          <cell r="H88">
            <v>3106</v>
          </cell>
          <cell r="P88">
            <v>2451.9166666666665</v>
          </cell>
          <cell r="Q88">
            <v>0</v>
          </cell>
          <cell r="R88">
            <v>0</v>
          </cell>
          <cell r="S88">
            <v>19113.516969696972</v>
          </cell>
          <cell r="T88">
            <v>15189.599981818181</v>
          </cell>
          <cell r="U88">
            <v>3923.9169878787875</v>
          </cell>
          <cell r="V88">
            <v>0</v>
          </cell>
          <cell r="W88">
            <v>0</v>
          </cell>
          <cell r="X88">
            <v>19898.9196969697</v>
          </cell>
          <cell r="Y88">
            <v>11477</v>
          </cell>
          <cell r="Z88">
            <v>8421.9196969696968</v>
          </cell>
          <cell r="AA88">
            <v>0</v>
          </cell>
          <cell r="AB88">
            <v>0</v>
          </cell>
          <cell r="AC88">
            <v>17653.617575757573</v>
          </cell>
          <cell r="AD88">
            <v>8223</v>
          </cell>
          <cell r="AE88">
            <v>9430.6175757575766</v>
          </cell>
          <cell r="AF88">
            <v>4956.3842424242421</v>
          </cell>
          <cell r="AG88">
            <v>4147.3999999999996</v>
          </cell>
          <cell r="AH88">
            <v>809.98424242424232</v>
          </cell>
          <cell r="AJ88">
            <v>24382.156000000006</v>
          </cell>
          <cell r="AK88">
            <v>84271.370909090911</v>
          </cell>
          <cell r="AL88">
            <v>39699.916666666672</v>
          </cell>
          <cell r="AM88">
            <v>44571.454242424239</v>
          </cell>
          <cell r="AN88">
            <v>44569.454242424246</v>
          </cell>
          <cell r="AO88">
            <v>19618</v>
          </cell>
          <cell r="AP88">
            <v>31013</v>
          </cell>
          <cell r="AQ88">
            <v>4215.916666666667</v>
          </cell>
          <cell r="AR88">
            <v>12636.454242424243</v>
          </cell>
        </row>
        <row r="89">
          <cell r="F89">
            <v>0</v>
          </cell>
          <cell r="G89">
            <v>0</v>
          </cell>
          <cell r="H89">
            <v>0</v>
          </cell>
          <cell r="P89">
            <v>0</v>
          </cell>
          <cell r="Q89">
            <v>0</v>
          </cell>
          <cell r="R89">
            <v>0</v>
          </cell>
          <cell r="U89">
            <v>57.666666666666664</v>
          </cell>
          <cell r="V89">
            <v>36</v>
          </cell>
          <cell r="W89">
            <v>21.666666666666664</v>
          </cell>
          <cell r="X89">
            <v>21.666666666666664</v>
          </cell>
          <cell r="Y89">
            <v>1002</v>
          </cell>
          <cell r="Z89">
            <v>1023.6666666666666</v>
          </cell>
          <cell r="AA89">
            <v>1525</v>
          </cell>
          <cell r="AB89">
            <v>2548.6666666666665</v>
          </cell>
          <cell r="AC89">
            <v>0</v>
          </cell>
          <cell r="AD89">
            <v>0</v>
          </cell>
          <cell r="AE89">
            <v>36</v>
          </cell>
          <cell r="AF89">
            <v>21.666666666666664</v>
          </cell>
          <cell r="AH89">
            <v>0</v>
          </cell>
          <cell r="AI89">
            <v>5607</v>
          </cell>
          <cell r="AJ89">
            <v>5607</v>
          </cell>
          <cell r="AK89">
            <v>0</v>
          </cell>
          <cell r="AL89">
            <v>0</v>
          </cell>
          <cell r="AM89">
            <v>0</v>
          </cell>
          <cell r="AN89">
            <v>0</v>
          </cell>
          <cell r="AO89">
            <v>0</v>
          </cell>
          <cell r="AP89">
            <v>0</v>
          </cell>
          <cell r="AQ89">
            <v>0</v>
          </cell>
          <cell r="AR89">
            <v>-1</v>
          </cell>
        </row>
        <row r="90">
          <cell r="F90">
            <v>777</v>
          </cell>
          <cell r="G90">
            <v>494</v>
          </cell>
          <cell r="H90">
            <v>283</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777</v>
          </cell>
          <cell r="AL90">
            <v>494</v>
          </cell>
          <cell r="AM90">
            <v>283</v>
          </cell>
          <cell r="AN90">
            <v>283</v>
          </cell>
          <cell r="AO90">
            <v>0</v>
          </cell>
          <cell r="AP90">
            <v>0</v>
          </cell>
          <cell r="AQ90">
            <v>104.33477786811257</v>
          </cell>
          <cell r="AR90">
            <v>31.851225740501135</v>
          </cell>
        </row>
        <row r="91">
          <cell r="F91">
            <v>44</v>
          </cell>
          <cell r="G91">
            <v>15.040915090189173</v>
          </cell>
          <cell r="H91">
            <v>28.959084909810827</v>
          </cell>
          <cell r="P91">
            <v>10489.423728813559</v>
          </cell>
          <cell r="Q91">
            <v>6721</v>
          </cell>
          <cell r="R91">
            <v>3768.4237288135591</v>
          </cell>
          <cell r="S91">
            <v>0</v>
          </cell>
          <cell r="T91">
            <v>0</v>
          </cell>
          <cell r="U91">
            <v>0</v>
          </cell>
          <cell r="V91">
            <v>23000.665824561402</v>
          </cell>
          <cell r="W91">
            <v>16084.86014986619</v>
          </cell>
          <cell r="X91">
            <v>0</v>
          </cell>
          <cell r="Y91">
            <v>0</v>
          </cell>
          <cell r="Z91">
            <v>0</v>
          </cell>
          <cell r="AA91">
            <v>0</v>
          </cell>
          <cell r="AB91">
            <v>0</v>
          </cell>
          <cell r="AC91">
            <v>0</v>
          </cell>
          <cell r="AD91">
            <v>0</v>
          </cell>
          <cell r="AE91">
            <v>0</v>
          </cell>
          <cell r="AF91">
            <v>5197.8601498661919</v>
          </cell>
          <cell r="AH91">
            <v>0</v>
          </cell>
          <cell r="AK91">
            <v>44</v>
          </cell>
          <cell r="AL91">
            <v>15.040915090189173</v>
          </cell>
          <cell r="AM91">
            <v>28.959084909810827</v>
          </cell>
          <cell r="AN91">
            <v>28.959084909810827</v>
          </cell>
          <cell r="AO91">
            <v>0</v>
          </cell>
          <cell r="AP91">
            <v>0</v>
          </cell>
          <cell r="AQ91">
            <v>0</v>
          </cell>
          <cell r="AR91">
            <v>0</v>
          </cell>
        </row>
        <row r="92">
          <cell r="F92">
            <v>0</v>
          </cell>
          <cell r="G92">
            <v>0</v>
          </cell>
          <cell r="H92">
            <v>0</v>
          </cell>
          <cell r="P92">
            <v>0</v>
          </cell>
          <cell r="Q92">
            <v>1422</v>
          </cell>
          <cell r="R92">
            <v>796.42372881355914</v>
          </cell>
          <cell r="S92">
            <v>0</v>
          </cell>
          <cell r="T92">
            <v>1129</v>
          </cell>
          <cell r="U92">
            <v>14770.52597442759</v>
          </cell>
          <cell r="V92">
            <v>6456.6658245614017</v>
          </cell>
          <cell r="W92">
            <v>8313.8601498661901</v>
          </cell>
          <cell r="X92">
            <v>0</v>
          </cell>
          <cell r="Y92">
            <v>0</v>
          </cell>
          <cell r="Z92">
            <v>0</v>
          </cell>
          <cell r="AA92">
            <v>30183</v>
          </cell>
          <cell r="AB92">
            <v>103189.86014986626</v>
          </cell>
          <cell r="AC92">
            <v>0</v>
          </cell>
          <cell r="AD92">
            <v>0</v>
          </cell>
          <cell r="AE92">
            <v>0</v>
          </cell>
          <cell r="AF92">
            <v>-3</v>
          </cell>
          <cell r="AG92">
            <v>5</v>
          </cell>
          <cell r="AH92">
            <v>-8</v>
          </cell>
          <cell r="AI92">
            <v>497</v>
          </cell>
          <cell r="AJ92">
            <v>389</v>
          </cell>
          <cell r="AK92">
            <v>5</v>
          </cell>
          <cell r="AL92">
            <v>0</v>
          </cell>
          <cell r="AM92">
            <v>5</v>
          </cell>
          <cell r="AN92">
            <v>5</v>
          </cell>
          <cell r="AO92">
            <v>0</v>
          </cell>
          <cell r="AP92">
            <v>0</v>
          </cell>
          <cell r="AQ92">
            <v>0</v>
          </cell>
          <cell r="AR92">
            <v>5</v>
          </cell>
        </row>
        <row r="93">
          <cell r="F93">
            <v>41</v>
          </cell>
          <cell r="G93">
            <v>24</v>
          </cell>
          <cell r="H93">
            <v>17</v>
          </cell>
          <cell r="P93">
            <v>125.61671126969965</v>
          </cell>
          <cell r="Q93">
            <v>80</v>
          </cell>
          <cell r="R93">
            <v>45.61671126969965</v>
          </cell>
          <cell r="S93">
            <v>0</v>
          </cell>
          <cell r="T93">
            <v>0</v>
          </cell>
          <cell r="U93">
            <v>0</v>
          </cell>
          <cell r="V93">
            <v>906.38</v>
          </cell>
          <cell r="W93">
            <v>870.61671126969964</v>
          </cell>
          <cell r="X93">
            <v>0</v>
          </cell>
          <cell r="Y93">
            <v>0</v>
          </cell>
          <cell r="Z93">
            <v>0</v>
          </cell>
          <cell r="AA93">
            <v>0</v>
          </cell>
          <cell r="AB93">
            <v>0</v>
          </cell>
          <cell r="AC93">
            <v>0</v>
          </cell>
          <cell r="AD93">
            <v>0</v>
          </cell>
          <cell r="AE93">
            <v>0</v>
          </cell>
          <cell r="AF93">
            <v>385.1254831995243</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T94">
            <v>0</v>
          </cell>
          <cell r="U94">
            <v>3306</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26868</v>
          </cell>
          <cell r="G95">
            <v>23450.040915090191</v>
          </cell>
          <cell r="H95">
            <v>3417.9590849098108</v>
          </cell>
          <cell r="P95">
            <v>2451.9166666666665</v>
          </cell>
          <cell r="Q95">
            <v>0</v>
          </cell>
          <cell r="R95">
            <v>0</v>
          </cell>
          <cell r="S95">
            <v>19113.516969696972</v>
          </cell>
          <cell r="T95">
            <v>15189.599981818181</v>
          </cell>
          <cell r="U95">
            <v>3923.9169878787875</v>
          </cell>
          <cell r="V95">
            <v>0</v>
          </cell>
          <cell r="W95">
            <v>0</v>
          </cell>
          <cell r="X95">
            <v>19898.9196969697</v>
          </cell>
          <cell r="Y95">
            <v>11477</v>
          </cell>
          <cell r="Z95">
            <v>8421.9196969696968</v>
          </cell>
          <cell r="AA95">
            <v>0</v>
          </cell>
          <cell r="AB95">
            <v>0</v>
          </cell>
          <cell r="AC95">
            <v>17653.617575757573</v>
          </cell>
          <cell r="AD95">
            <v>8223</v>
          </cell>
          <cell r="AE95">
            <v>9430.6175757575766</v>
          </cell>
          <cell r="AF95">
            <v>4953.3842424242421</v>
          </cell>
          <cell r="AG95">
            <v>4152.3999999999996</v>
          </cell>
          <cell r="AH95">
            <v>801.98424242424232</v>
          </cell>
          <cell r="AJ95">
            <v>0</v>
          </cell>
          <cell r="AK95">
            <v>85097.370909090911</v>
          </cell>
          <cell r="AL95">
            <v>40208.957581756862</v>
          </cell>
          <cell r="AM95">
            <v>44888.413327334049</v>
          </cell>
          <cell r="AN95">
            <v>44886.413327334056</v>
          </cell>
          <cell r="AO95">
            <v>19618</v>
          </cell>
          <cell r="AP95">
            <v>31013</v>
          </cell>
          <cell r="AQ95">
            <v>4320.2514445347797</v>
          </cell>
          <cell r="AR95">
            <v>12672.305468164745</v>
          </cell>
        </row>
        <row r="96">
          <cell r="F96">
            <v>5098</v>
          </cell>
          <cell r="G96">
            <v>1680.0409150901905</v>
          </cell>
          <cell r="H96">
            <v>3417.9590849098108</v>
          </cell>
          <cell r="P96">
            <v>2451.9166666666665</v>
          </cell>
          <cell r="Q96">
            <v>0</v>
          </cell>
          <cell r="R96">
            <v>0</v>
          </cell>
          <cell r="S96">
            <v>8699.5169696969715</v>
          </cell>
          <cell r="T96">
            <v>4775.5999818181808</v>
          </cell>
          <cell r="U96">
            <v>3923.9169878787875</v>
          </cell>
          <cell r="V96">
            <v>0</v>
          </cell>
          <cell r="W96">
            <v>0</v>
          </cell>
          <cell r="X96">
            <v>3916.9196969697005</v>
          </cell>
          <cell r="Y96">
            <v>2092</v>
          </cell>
          <cell r="Z96">
            <v>1824.9196969696968</v>
          </cell>
          <cell r="AA96">
            <v>0</v>
          </cell>
          <cell r="AB96">
            <v>0</v>
          </cell>
          <cell r="AC96">
            <v>2172.6175757575729</v>
          </cell>
          <cell r="AD96">
            <v>879</v>
          </cell>
          <cell r="AE96">
            <v>1293.6175757575766</v>
          </cell>
          <cell r="AF96">
            <v>4953.3842424242421</v>
          </cell>
          <cell r="AG96">
            <v>4152.3999999999996</v>
          </cell>
          <cell r="AH96">
            <v>801.98424242424232</v>
          </cell>
          <cell r="AJ96">
            <v>0</v>
          </cell>
          <cell r="AK96">
            <v>27710.370909090911</v>
          </cell>
          <cell r="AL96">
            <v>7969.9575817568621</v>
          </cell>
          <cell r="AM96">
            <v>19740.413327334049</v>
          </cell>
          <cell r="AN96">
            <v>19738.413327334056</v>
          </cell>
          <cell r="AO96">
            <v>2889</v>
          </cell>
          <cell r="AP96">
            <v>5865</v>
          </cell>
          <cell r="AQ96">
            <v>4320.2514445347797</v>
          </cell>
          <cell r="AR96">
            <v>12672.305468164745</v>
          </cell>
        </row>
        <row r="97">
          <cell r="F97">
            <v>1758</v>
          </cell>
          <cell r="G97">
            <v>8221</v>
          </cell>
          <cell r="H97">
            <v>3572.1970000000001</v>
          </cell>
          <cell r="P97">
            <v>3547</v>
          </cell>
          <cell r="Q97">
            <v>0</v>
          </cell>
          <cell r="R97">
            <v>0</v>
          </cell>
          <cell r="S97">
            <v>3467</v>
          </cell>
          <cell r="T97">
            <v>3771.5508606060603</v>
          </cell>
          <cell r="U97">
            <v>3476.1570181818183</v>
          </cell>
          <cell r="V97">
            <v>0</v>
          </cell>
          <cell r="W97">
            <v>0</v>
          </cell>
          <cell r="X97">
            <v>225</v>
          </cell>
          <cell r="Y97">
            <v>11736</v>
          </cell>
          <cell r="Z97">
            <v>4826.4863636363634</v>
          </cell>
          <cell r="AA97">
            <v>0</v>
          </cell>
          <cell r="AB97">
            <v>0</v>
          </cell>
          <cell r="AC97">
            <v>170</v>
          </cell>
          <cell r="AD97">
            <v>17653.617575757577</v>
          </cell>
          <cell r="AE97">
            <v>6443.1963636363625</v>
          </cell>
          <cell r="AF97">
            <v>861</v>
          </cell>
          <cell r="AG97">
            <v>861</v>
          </cell>
          <cell r="AH97">
            <v>0</v>
          </cell>
          <cell r="AI97">
            <v>56708.943606060609</v>
          </cell>
          <cell r="AJ97">
            <v>0</v>
          </cell>
          <cell r="AK97">
            <v>10043</v>
          </cell>
          <cell r="AL97">
            <v>26314.787606060603</v>
          </cell>
          <cell r="AM97">
            <v>18714</v>
          </cell>
          <cell r="AN97">
            <v>14616</v>
          </cell>
          <cell r="AO97" t="e">
            <v>#REF!</v>
          </cell>
          <cell r="AP97" t="e">
            <v>#REF!</v>
          </cell>
        </row>
        <row r="98">
          <cell r="F98">
            <v>6186.1970000000001</v>
          </cell>
          <cell r="G98">
            <v>2614</v>
          </cell>
          <cell r="H98">
            <v>3572.1970000000001</v>
          </cell>
          <cell r="P98">
            <v>1878</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1669</v>
          </cell>
          <cell r="S99">
            <v>3362</v>
          </cell>
          <cell r="U99">
            <v>0</v>
          </cell>
          <cell r="X99">
            <v>115</v>
          </cell>
          <cell r="AC99">
            <v>40</v>
          </cell>
          <cell r="AF99">
            <v>454</v>
          </cell>
          <cell r="AG99">
            <v>454</v>
          </cell>
          <cell r="AH99">
            <v>0</v>
          </cell>
          <cell r="AI99" t="e">
            <v>#REF!</v>
          </cell>
          <cell r="AJ99" t="e">
            <v>#REF!</v>
          </cell>
          <cell r="AK99">
            <v>5737</v>
          </cell>
          <cell r="AL99">
            <v>109509.14393939395</v>
          </cell>
          <cell r="AM99">
            <v>46269.90741929959</v>
          </cell>
        </row>
        <row r="100">
          <cell r="F100">
            <v>0</v>
          </cell>
          <cell r="P100">
            <v>470</v>
          </cell>
          <cell r="S100">
            <v>1018</v>
          </cell>
          <cell r="U100">
            <v>1093</v>
          </cell>
          <cell r="X100">
            <v>225</v>
          </cell>
          <cell r="AC100">
            <v>170</v>
          </cell>
          <cell r="AF100">
            <v>861</v>
          </cell>
          <cell r="AG100">
            <v>861</v>
          </cell>
          <cell r="AH100">
            <v>0</v>
          </cell>
          <cell r="AI100" t="e">
            <v>#REF!</v>
          </cell>
          <cell r="AJ100">
            <v>56708.943606060609</v>
          </cell>
          <cell r="AK100">
            <v>2759</v>
          </cell>
          <cell r="AL100">
            <v>85097.370909090911</v>
          </cell>
          <cell r="AM100">
            <v>40210.957581756855</v>
          </cell>
        </row>
        <row r="101">
          <cell r="F101">
            <v>0</v>
          </cell>
          <cell r="P101">
            <v>813</v>
          </cell>
          <cell r="S101">
            <v>0</v>
          </cell>
          <cell r="U101">
            <v>913</v>
          </cell>
          <cell r="X101">
            <v>0</v>
          </cell>
          <cell r="AC101">
            <v>0</v>
          </cell>
          <cell r="AF101">
            <v>0</v>
          </cell>
          <cell r="AG101">
            <v>0</v>
          </cell>
          <cell r="AH101">
            <v>0</v>
          </cell>
          <cell r="AI101" t="e">
            <v>#REF!</v>
          </cell>
          <cell r="AK101">
            <v>0</v>
          </cell>
        </row>
        <row r="102">
          <cell r="F102">
            <v>1758</v>
          </cell>
          <cell r="P102">
            <v>3077</v>
          </cell>
          <cell r="S102">
            <v>2449</v>
          </cell>
          <cell r="U102">
            <v>50</v>
          </cell>
          <cell r="X102">
            <v>0</v>
          </cell>
          <cell r="AC102">
            <v>0</v>
          </cell>
          <cell r="AF102">
            <v>0</v>
          </cell>
          <cell r="AG102">
            <v>0</v>
          </cell>
          <cell r="AH102">
            <v>0</v>
          </cell>
          <cell r="AI102" t="e">
            <v>#REF!</v>
          </cell>
          <cell r="AK102">
            <v>7284</v>
          </cell>
        </row>
        <row r="103">
          <cell r="F103">
            <v>0</v>
          </cell>
          <cell r="P103">
            <v>1878</v>
          </cell>
          <cell r="S103">
            <v>0</v>
          </cell>
          <cell r="U103">
            <v>130</v>
          </cell>
          <cell r="X103">
            <v>0</v>
          </cell>
        </row>
        <row r="104">
          <cell r="F104">
            <v>0</v>
          </cell>
          <cell r="P104">
            <v>935</v>
          </cell>
          <cell r="S104">
            <v>0</v>
          </cell>
          <cell r="U104">
            <v>3922</v>
          </cell>
          <cell r="X104">
            <v>0</v>
          </cell>
          <cell r="AC104">
            <v>85</v>
          </cell>
        </row>
        <row r="105">
          <cell r="P105">
            <v>0</v>
          </cell>
          <cell r="S105">
            <v>0</v>
          </cell>
          <cell r="U105">
            <v>261</v>
          </cell>
          <cell r="X105">
            <v>0</v>
          </cell>
          <cell r="AK105">
            <v>0</v>
          </cell>
        </row>
        <row r="106">
          <cell r="P106">
            <v>935</v>
          </cell>
          <cell r="S106">
            <v>2100</v>
          </cell>
          <cell r="U106">
            <v>3661</v>
          </cell>
          <cell r="X106">
            <v>80</v>
          </cell>
          <cell r="AC106">
            <v>85</v>
          </cell>
          <cell r="AK106">
            <v>0</v>
          </cell>
        </row>
        <row r="107">
          <cell r="F107">
            <v>0</v>
          </cell>
          <cell r="P107">
            <v>0</v>
          </cell>
          <cell r="S107">
            <v>0</v>
          </cell>
          <cell r="U107">
            <v>-38.052597442759001</v>
          </cell>
          <cell r="V107">
            <v>-38.052597442759001</v>
          </cell>
          <cell r="W107">
            <v>0</v>
          </cell>
          <cell r="X107">
            <v>0</v>
          </cell>
          <cell r="AC107">
            <v>0</v>
          </cell>
          <cell r="AF107">
            <v>0</v>
          </cell>
          <cell r="AG107">
            <v>0</v>
          </cell>
          <cell r="AH107">
            <v>0</v>
          </cell>
          <cell r="AI107" t="e">
            <v>#REF!</v>
          </cell>
          <cell r="AK107">
            <v>0</v>
          </cell>
        </row>
        <row r="108">
          <cell r="F108">
            <v>0</v>
          </cell>
          <cell r="P108">
            <v>0</v>
          </cell>
          <cell r="S108">
            <v>0</v>
          </cell>
          <cell r="U108">
            <v>268</v>
          </cell>
          <cell r="X108">
            <v>0</v>
          </cell>
          <cell r="AC108">
            <v>0</v>
          </cell>
          <cell r="AF108">
            <v>0</v>
          </cell>
          <cell r="AG108">
            <v>0</v>
          </cell>
          <cell r="AH108">
            <v>0</v>
          </cell>
          <cell r="AI108" t="e">
            <v>#REF!</v>
          </cell>
          <cell r="AK108">
            <v>0</v>
          </cell>
        </row>
        <row r="109">
          <cell r="F109">
            <v>0</v>
          </cell>
          <cell r="P109">
            <v>0</v>
          </cell>
          <cell r="S109">
            <v>0</v>
          </cell>
          <cell r="U109">
            <v>0</v>
          </cell>
          <cell r="V109">
            <v>0</v>
          </cell>
          <cell r="W109">
            <v>0</v>
          </cell>
          <cell r="X109">
            <v>0</v>
          </cell>
          <cell r="AC109">
            <v>0</v>
          </cell>
          <cell r="AF109">
            <v>0</v>
          </cell>
          <cell r="AG109">
            <v>0</v>
          </cell>
          <cell r="AH109">
            <v>0</v>
          </cell>
          <cell r="AI109" t="e">
            <v>#REF!</v>
          </cell>
          <cell r="AK109">
            <v>0</v>
          </cell>
        </row>
        <row r="110">
          <cell r="F110">
            <v>0</v>
          </cell>
          <cell r="P110">
            <v>0</v>
          </cell>
          <cell r="S110">
            <v>0</v>
          </cell>
          <cell r="U110">
            <v>0</v>
          </cell>
          <cell r="X110">
            <v>0</v>
          </cell>
          <cell r="AC110">
            <v>0</v>
          </cell>
          <cell r="AF110">
            <v>0</v>
          </cell>
          <cell r="AG110">
            <v>0</v>
          </cell>
          <cell r="AH110">
            <v>0</v>
          </cell>
          <cell r="AI110" t="e">
            <v>#REF!</v>
          </cell>
          <cell r="AK110">
            <v>0</v>
          </cell>
        </row>
        <row r="111">
          <cell r="F111">
            <v>0</v>
          </cell>
          <cell r="P111">
            <v>0</v>
          </cell>
          <cell r="S111">
            <v>0</v>
          </cell>
          <cell r="U111">
            <v>1568.5</v>
          </cell>
          <cell r="X111">
            <v>0</v>
          </cell>
          <cell r="AC111">
            <v>0</v>
          </cell>
          <cell r="AF111">
            <v>0</v>
          </cell>
          <cell r="AG111">
            <v>0</v>
          </cell>
          <cell r="AH111">
            <v>0</v>
          </cell>
          <cell r="AI111" t="e">
            <v>#REF!</v>
          </cell>
          <cell r="AK111">
            <v>0</v>
          </cell>
        </row>
        <row r="112">
          <cell r="F112">
            <v>0</v>
          </cell>
          <cell r="P112">
            <v>0</v>
          </cell>
          <cell r="S112">
            <v>0</v>
          </cell>
          <cell r="U112">
            <v>53.583333333333336</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U114" t="e">
            <v>#REF!</v>
          </cell>
          <cell r="V114" t="e">
            <v>#REF!</v>
          </cell>
          <cell r="X114">
            <v>0</v>
          </cell>
          <cell r="AC114">
            <v>0</v>
          </cell>
          <cell r="AF114">
            <v>0</v>
          </cell>
          <cell r="AG114">
            <v>0</v>
          </cell>
          <cell r="AH114">
            <v>0</v>
          </cell>
          <cell r="AI114" t="e">
            <v>#REF!</v>
          </cell>
          <cell r="AK114">
            <v>0</v>
          </cell>
          <cell r="AM114">
            <v>0</v>
          </cell>
        </row>
        <row r="115">
          <cell r="F115">
            <v>0</v>
          </cell>
          <cell r="P115">
            <v>0</v>
          </cell>
          <cell r="S115">
            <v>0</v>
          </cell>
          <cell r="U115" t="e">
            <v>#REF!</v>
          </cell>
          <cell r="X115">
            <v>0</v>
          </cell>
          <cell r="AC115">
            <v>0</v>
          </cell>
          <cell r="AF115">
            <v>0</v>
          </cell>
          <cell r="AG115">
            <v>0</v>
          </cell>
          <cell r="AH115">
            <v>0</v>
          </cell>
          <cell r="AI115" t="e">
            <v>#REF!</v>
          </cell>
          <cell r="AK115">
            <v>0</v>
          </cell>
          <cell r="AM115">
            <v>0</v>
          </cell>
        </row>
        <row r="116">
          <cell r="F116">
            <v>0</v>
          </cell>
          <cell r="P116">
            <v>0</v>
          </cell>
          <cell r="Q116">
            <v>0</v>
          </cell>
          <cell r="R116">
            <v>0</v>
          </cell>
          <cell r="S116">
            <v>0</v>
          </cell>
          <cell r="T116">
            <v>0</v>
          </cell>
          <cell r="U116">
            <v>7512.0307358905739</v>
          </cell>
          <cell r="V116" t="e">
            <v>#REF!</v>
          </cell>
          <cell r="AC116">
            <v>0</v>
          </cell>
          <cell r="AD116">
            <v>0</v>
          </cell>
          <cell r="AE116">
            <v>0</v>
          </cell>
          <cell r="AF116">
            <v>0</v>
          </cell>
          <cell r="AG116">
            <v>0</v>
          </cell>
          <cell r="AH116">
            <v>0</v>
          </cell>
          <cell r="AI116" t="e">
            <v>#REF!</v>
          </cell>
          <cell r="AK116">
            <v>0</v>
          </cell>
          <cell r="AL116">
            <v>0</v>
          </cell>
          <cell r="AM116">
            <v>0</v>
          </cell>
        </row>
        <row r="117">
          <cell r="F117">
            <v>0</v>
          </cell>
          <cell r="P117">
            <v>0</v>
          </cell>
          <cell r="S117">
            <v>0</v>
          </cell>
          <cell r="T117">
            <v>0</v>
          </cell>
          <cell r="U117">
            <v>6599.0307358905739</v>
          </cell>
          <cell r="AC117">
            <v>0</v>
          </cell>
          <cell r="AG117">
            <v>0</v>
          </cell>
          <cell r="AH117">
            <v>0</v>
          </cell>
          <cell r="AI117" t="e">
            <v>#REF!</v>
          </cell>
          <cell r="AK117">
            <v>0</v>
          </cell>
          <cell r="AL117">
            <v>0</v>
          </cell>
          <cell r="AM117">
            <v>0</v>
          </cell>
        </row>
        <row r="118">
          <cell r="F118">
            <v>0</v>
          </cell>
          <cell r="P118">
            <v>0</v>
          </cell>
          <cell r="S118">
            <v>0</v>
          </cell>
          <cell r="U118" t="e">
            <v>#REF!</v>
          </cell>
          <cell r="AC118">
            <v>0</v>
          </cell>
          <cell r="AF118">
            <v>0</v>
          </cell>
          <cell r="AG118">
            <v>0</v>
          </cell>
          <cell r="AH118">
            <v>0</v>
          </cell>
          <cell r="AI118" t="e">
            <v>#REF!</v>
          </cell>
          <cell r="AJ118">
            <v>0</v>
          </cell>
          <cell r="AK118">
            <v>0</v>
          </cell>
        </row>
        <row r="119">
          <cell r="F119">
            <v>0</v>
          </cell>
          <cell r="P119">
            <v>0</v>
          </cell>
          <cell r="S119">
            <v>0</v>
          </cell>
          <cell r="U119">
            <v>-230.79318209931299</v>
          </cell>
          <cell r="X119">
            <v>0</v>
          </cell>
          <cell r="AC119">
            <v>0</v>
          </cell>
          <cell r="AF119">
            <v>0</v>
          </cell>
          <cell r="AG119">
            <v>0</v>
          </cell>
          <cell r="AH119">
            <v>0</v>
          </cell>
          <cell r="AI119" t="e">
            <v>#REF!</v>
          </cell>
          <cell r="AK119">
            <v>0</v>
          </cell>
        </row>
        <row r="120">
          <cell r="F120">
            <v>100</v>
          </cell>
          <cell r="P120">
            <v>0</v>
          </cell>
          <cell r="S120">
            <v>0</v>
          </cell>
          <cell r="U120">
            <v>-380.52597442758997</v>
          </cell>
          <cell r="V120">
            <v>6725.3341754385983</v>
          </cell>
          <cell r="W120">
            <v>-7406.8601498661901</v>
          </cell>
          <cell r="X120">
            <v>0</v>
          </cell>
          <cell r="AC120">
            <v>0</v>
          </cell>
          <cell r="AF120">
            <v>0</v>
          </cell>
          <cell r="AG120">
            <v>0</v>
          </cell>
          <cell r="AH120">
            <v>0</v>
          </cell>
          <cell r="AI120" t="e">
            <v>#REF!</v>
          </cell>
          <cell r="AK120">
            <v>0</v>
          </cell>
        </row>
        <row r="121">
          <cell r="F121">
            <v>100</v>
          </cell>
          <cell r="P121">
            <v>0</v>
          </cell>
          <cell r="S121">
            <v>0</v>
          </cell>
          <cell r="X121">
            <v>0</v>
          </cell>
          <cell r="AC121">
            <v>0</v>
          </cell>
          <cell r="AF121">
            <v>0</v>
          </cell>
          <cell r="AG121">
            <v>0</v>
          </cell>
          <cell r="AH121">
            <v>0</v>
          </cell>
          <cell r="AI121" t="e">
            <v>#REF!</v>
          </cell>
          <cell r="AK121">
            <v>100</v>
          </cell>
        </row>
        <row r="122">
          <cell r="F122">
            <v>4000</v>
          </cell>
          <cell r="S122">
            <v>0</v>
          </cell>
          <cell r="U122">
            <v>-149.73279232827699</v>
          </cell>
          <cell r="X122">
            <v>0</v>
          </cell>
          <cell r="AC122">
            <v>0</v>
          </cell>
          <cell r="AF122">
            <v>0</v>
          </cell>
          <cell r="AI122" t="e">
            <v>#REF!</v>
          </cell>
          <cell r="AK122">
            <v>0</v>
          </cell>
        </row>
        <row r="123">
          <cell r="F123">
            <v>3480</v>
          </cell>
          <cell r="S123">
            <v>0</v>
          </cell>
          <cell r="X123">
            <v>0</v>
          </cell>
          <cell r="AF123">
            <v>0</v>
          </cell>
          <cell r="AI123" t="e">
            <v>#REF!</v>
          </cell>
          <cell r="AK123">
            <v>3480</v>
          </cell>
        </row>
        <row r="124">
          <cell r="F124">
            <v>3609</v>
          </cell>
          <cell r="AI124" t="e">
            <v>#REF!</v>
          </cell>
          <cell r="AK124">
            <v>0</v>
          </cell>
          <cell r="AL124">
            <v>396.87424242423458</v>
          </cell>
        </row>
        <row r="125">
          <cell r="F125">
            <v>0</v>
          </cell>
          <cell r="U125">
            <v>8678</v>
          </cell>
          <cell r="W125">
            <v>8678</v>
          </cell>
          <cell r="AC125">
            <v>0</v>
          </cell>
          <cell r="AE125">
            <v>0</v>
          </cell>
          <cell r="AI125" t="e">
            <v>#REF!</v>
          </cell>
          <cell r="AK125">
            <v>0</v>
          </cell>
          <cell r="AL125">
            <v>-8132.8846363636376</v>
          </cell>
        </row>
        <row r="126">
          <cell r="F126">
            <v>0</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0</v>
          </cell>
          <cell r="AO126">
            <v>0</v>
          </cell>
          <cell r="AP126">
            <v>0</v>
          </cell>
          <cell r="AQ126">
            <v>0</v>
          </cell>
          <cell r="AR126">
            <v>0</v>
          </cell>
        </row>
        <row r="127">
          <cell r="F127">
            <v>3580</v>
          </cell>
          <cell r="G127">
            <v>0</v>
          </cell>
          <cell r="H127">
            <v>0</v>
          </cell>
          <cell r="P127">
            <v>3077</v>
          </cell>
          <cell r="Q127">
            <v>0</v>
          </cell>
          <cell r="R127">
            <v>0</v>
          </cell>
          <cell r="S127">
            <v>2449</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3580</v>
          </cell>
          <cell r="AO127">
            <v>0</v>
          </cell>
          <cell r="AP127">
            <v>0</v>
          </cell>
          <cell r="AQ127">
            <v>0</v>
          </cell>
          <cell r="AR127">
            <v>0</v>
          </cell>
        </row>
        <row r="128">
          <cell r="F128">
            <v>3580</v>
          </cell>
          <cell r="G128">
            <v>0</v>
          </cell>
          <cell r="H128">
            <v>0</v>
          </cell>
          <cell r="P128">
            <v>3077</v>
          </cell>
          <cell r="Q128">
            <v>0</v>
          </cell>
          <cell r="R128">
            <v>0</v>
          </cell>
          <cell r="S128">
            <v>2449</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3580</v>
          </cell>
          <cell r="AL128">
            <v>5340</v>
          </cell>
          <cell r="AM128">
            <v>0</v>
          </cell>
          <cell r="AN128">
            <v>0</v>
          </cell>
          <cell r="AO128">
            <v>0</v>
          </cell>
          <cell r="AP128">
            <v>0</v>
          </cell>
        </row>
        <row r="129">
          <cell r="F129" t="e">
            <v>#REF!</v>
          </cell>
          <cell r="G129">
            <v>0</v>
          </cell>
          <cell r="H129">
            <v>0</v>
          </cell>
          <cell r="P129">
            <v>548</v>
          </cell>
          <cell r="S129">
            <v>0.2999999999992724</v>
          </cell>
          <cell r="U129">
            <v>0</v>
          </cell>
          <cell r="X129">
            <v>0</v>
          </cell>
          <cell r="Y129">
            <v>0</v>
          </cell>
          <cell r="Z129">
            <v>0</v>
          </cell>
          <cell r="AC129">
            <v>0</v>
          </cell>
          <cell r="AD129">
            <v>0</v>
          </cell>
          <cell r="AE129">
            <v>0</v>
          </cell>
          <cell r="AF129">
            <v>0</v>
          </cell>
          <cell r="AG129">
            <v>0</v>
          </cell>
          <cell r="AH129">
            <v>0</v>
          </cell>
          <cell r="AI129" t="e">
            <v>#REF!</v>
          </cell>
          <cell r="AK129">
            <v>-4552.8846363636376</v>
          </cell>
          <cell r="AL129">
            <v>9106</v>
          </cell>
        </row>
        <row r="130">
          <cell r="AI130" t="e">
            <v>#REF!</v>
          </cell>
          <cell r="AJ130" t="e">
            <v>#REF!</v>
          </cell>
          <cell r="AK130">
            <v>-4552.8846363636376</v>
          </cell>
          <cell r="AL130">
            <v>10691.092580700395</v>
          </cell>
          <cell r="AM130">
            <v>-5132.2365200943386</v>
          </cell>
        </row>
        <row r="131">
          <cell r="U131">
            <v>8.49</v>
          </cell>
          <cell r="AC131" t="e">
            <v>#DIV/0!</v>
          </cell>
          <cell r="AI131" t="e">
            <v>#REF!</v>
          </cell>
          <cell r="AK131">
            <v>-6504.1209090909106</v>
          </cell>
          <cell r="AL131">
            <v>9186.0424182431379</v>
          </cell>
          <cell r="AM131">
            <v>-16555.413327334049</v>
          </cell>
        </row>
        <row r="132">
          <cell r="U132">
            <v>0</v>
          </cell>
          <cell r="AI132">
            <v>-11929.693606060609</v>
          </cell>
          <cell r="AJ132">
            <v>2695.8439999999973</v>
          </cell>
          <cell r="AK132">
            <v>1927.2318181818146</v>
          </cell>
          <cell r="AO132">
            <v>0</v>
          </cell>
        </row>
        <row r="133">
          <cell r="T133">
            <v>0</v>
          </cell>
          <cell r="U133">
            <v>6.57</v>
          </cell>
          <cell r="AC133" t="e">
            <v>#DIV/0!</v>
          </cell>
          <cell r="AK133">
            <v>-1951.236272727273</v>
          </cell>
          <cell r="AO133">
            <v>0</v>
          </cell>
        </row>
        <row r="134">
          <cell r="U134">
            <v>29726</v>
          </cell>
          <cell r="V134">
            <v>29726</v>
          </cell>
          <cell r="AI134" t="e">
            <v>#REF!</v>
          </cell>
          <cell r="AM134">
            <v>0</v>
          </cell>
        </row>
        <row r="135">
          <cell r="AK135">
            <v>58108</v>
          </cell>
          <cell r="AM135">
            <v>58108</v>
          </cell>
          <cell r="AO135">
            <v>0</v>
          </cell>
          <cell r="AQ135">
            <v>0</v>
          </cell>
        </row>
        <row r="136">
          <cell r="T136">
            <v>300</v>
          </cell>
          <cell r="U136">
            <v>300</v>
          </cell>
          <cell r="AK136">
            <v>28333</v>
          </cell>
          <cell r="AM136">
            <v>28333</v>
          </cell>
          <cell r="AO136">
            <v>0</v>
          </cell>
          <cell r="AQ136">
            <v>0</v>
          </cell>
        </row>
        <row r="137">
          <cell r="U137">
            <v>1</v>
          </cell>
          <cell r="AI137">
            <v>10816</v>
          </cell>
          <cell r="AK137">
            <v>-16555.413327334049</v>
          </cell>
          <cell r="AM137">
            <v>0</v>
          </cell>
          <cell r="AO137">
            <v>0</v>
          </cell>
        </row>
        <row r="138">
          <cell r="AI138">
            <v>-15490.787606060607</v>
          </cell>
          <cell r="AK138">
            <v>17.93</v>
          </cell>
          <cell r="AM138">
            <v>0</v>
          </cell>
          <cell r="AO138" t="e">
            <v>#DIV/0!</v>
          </cell>
        </row>
        <row r="139">
          <cell r="T139">
            <v>0</v>
          </cell>
          <cell r="U139">
            <v>38404</v>
          </cell>
          <cell r="V139">
            <v>29726</v>
          </cell>
          <cell r="W139">
            <v>8678</v>
          </cell>
          <cell r="AC139">
            <v>0</v>
          </cell>
          <cell r="AI139">
            <v>6.85</v>
          </cell>
          <cell r="AK139">
            <v>28.41</v>
          </cell>
          <cell r="AM139" t="e">
            <v>#DIV/0!</v>
          </cell>
          <cell r="AO139" t="e">
            <v>#DIV/0!</v>
          </cell>
        </row>
        <row r="140">
          <cell r="U140">
            <v>0</v>
          </cell>
          <cell r="V140">
            <v>0</v>
          </cell>
          <cell r="AI140">
            <v>16.649999999999999</v>
          </cell>
          <cell r="AK140">
            <v>0</v>
          </cell>
          <cell r="AM140" t="e">
            <v>#REF!</v>
          </cell>
          <cell r="AO140">
            <v>0</v>
          </cell>
        </row>
        <row r="141">
          <cell r="U141">
            <v>38404</v>
          </cell>
          <cell r="V141">
            <v>29726</v>
          </cell>
          <cell r="W141">
            <v>8678</v>
          </cell>
          <cell r="AI141">
            <v>0</v>
          </cell>
          <cell r="AK141">
            <v>14.4</v>
          </cell>
          <cell r="AM141">
            <v>0</v>
          </cell>
          <cell r="AO141" t="e">
            <v>#DIV/0!</v>
          </cell>
        </row>
        <row r="142">
          <cell r="AC142">
            <v>3160</v>
          </cell>
          <cell r="AD142">
            <v>2918</v>
          </cell>
          <cell r="AE142">
            <v>3056.6658245614035</v>
          </cell>
          <cell r="AF142">
            <v>5197.8601498661919</v>
          </cell>
          <cell r="AK142">
            <v>12.49</v>
          </cell>
          <cell r="AO142" t="e">
            <v>#DIV/0!</v>
          </cell>
        </row>
        <row r="143">
          <cell r="U143">
            <v>-1</v>
          </cell>
          <cell r="V143">
            <v>29.2</v>
          </cell>
          <cell r="W143">
            <v>-46</v>
          </cell>
          <cell r="AI143">
            <v>9.84</v>
          </cell>
          <cell r="AJ143">
            <v>0</v>
          </cell>
          <cell r="AK143">
            <v>11.7</v>
          </cell>
          <cell r="AM143" t="e">
            <v>#DIV/0!</v>
          </cell>
          <cell r="AO143" t="e">
            <v>#DIV/0!</v>
          </cell>
        </row>
        <row r="144">
          <cell r="AJ144">
            <v>0</v>
          </cell>
          <cell r="AK144">
            <v>10.16</v>
          </cell>
          <cell r="AL144">
            <v>56960</v>
          </cell>
          <cell r="AO144" t="e">
            <v>#DIV/0!</v>
          </cell>
        </row>
        <row r="145">
          <cell r="P145">
            <v>0</v>
          </cell>
          <cell r="S145">
            <v>0</v>
          </cell>
          <cell r="U145">
            <v>0</v>
          </cell>
          <cell r="AI145">
            <v>7.69</v>
          </cell>
          <cell r="AK145">
            <v>49395</v>
          </cell>
          <cell r="AL145">
            <v>49395</v>
          </cell>
          <cell r="AM145" t="e">
            <v>#DIV/0!</v>
          </cell>
        </row>
        <row r="146">
          <cell r="P146">
            <v>1325</v>
          </cell>
          <cell r="U146">
            <v>4402</v>
          </cell>
          <cell r="AI146">
            <v>38926</v>
          </cell>
          <cell r="AJ146">
            <v>300</v>
          </cell>
        </row>
        <row r="147">
          <cell r="P147">
            <v>1174</v>
          </cell>
          <cell r="U147">
            <v>2921</v>
          </cell>
          <cell r="AJ147">
            <v>300</v>
          </cell>
          <cell r="AK147">
            <v>5857.1428571428578</v>
          </cell>
          <cell r="AL147">
            <v>-46268.907419299605</v>
          </cell>
          <cell r="AM147">
            <v>-63240.236520094339</v>
          </cell>
        </row>
        <row r="148">
          <cell r="S148">
            <v>0</v>
          </cell>
          <cell r="U148">
            <v>0</v>
          </cell>
          <cell r="AK148">
            <v>5114.2857142857147</v>
          </cell>
          <cell r="AL148">
            <v>-40208.957581756862</v>
          </cell>
          <cell r="AM148">
            <v>-44888.413327334049</v>
          </cell>
        </row>
        <row r="149">
          <cell r="S149">
            <v>0</v>
          </cell>
          <cell r="U149">
            <v>0</v>
          </cell>
          <cell r="AI149" t="e">
            <v>#REF!</v>
          </cell>
          <cell r="AJ149">
            <v>-30402.156000000003</v>
          </cell>
          <cell r="AK149">
            <v>865.25</v>
          </cell>
        </row>
        <row r="150">
          <cell r="P150">
            <v>0</v>
          </cell>
          <cell r="S150">
            <v>0</v>
          </cell>
          <cell r="U150">
            <v>317</v>
          </cell>
          <cell r="AI150">
            <v>865.25</v>
          </cell>
          <cell r="AJ150">
            <v>0</v>
          </cell>
          <cell r="AK150">
            <v>115068</v>
          </cell>
          <cell r="AL150">
            <v>56960</v>
          </cell>
          <cell r="AM150">
            <v>58108</v>
          </cell>
          <cell r="AO150">
            <v>0</v>
          </cell>
        </row>
        <row r="151">
          <cell r="U151">
            <v>1774.0124999999998</v>
          </cell>
          <cell r="AJ151">
            <v>0</v>
          </cell>
          <cell r="AK151">
            <v>77728</v>
          </cell>
          <cell r="AL151">
            <v>49395</v>
          </cell>
          <cell r="AM151">
            <v>28333</v>
          </cell>
          <cell r="AO151">
            <v>0</v>
          </cell>
        </row>
        <row r="152">
          <cell r="U152">
            <v>0</v>
          </cell>
          <cell r="AI152">
            <v>49742</v>
          </cell>
          <cell r="AJ152">
            <v>38926</v>
          </cell>
          <cell r="AK152">
            <v>0</v>
          </cell>
          <cell r="AL152">
            <v>56960</v>
          </cell>
          <cell r="AM152">
            <v>58108</v>
          </cell>
        </row>
        <row r="153">
          <cell r="P153">
            <v>1325</v>
          </cell>
          <cell r="U153">
            <v>4085</v>
          </cell>
          <cell r="AI153">
            <v>0</v>
          </cell>
          <cell r="AK153">
            <v>77728</v>
          </cell>
          <cell r="AL153">
            <v>49395</v>
          </cell>
          <cell r="AM153">
            <v>28333</v>
          </cell>
          <cell r="AO153">
            <v>2093</v>
          </cell>
          <cell r="AP153">
            <v>5098</v>
          </cell>
          <cell r="AQ153">
            <v>4891.9653693155615</v>
          </cell>
          <cell r="AR153">
            <v>11328.349456446114</v>
          </cell>
        </row>
        <row r="154">
          <cell r="P154">
            <v>1325</v>
          </cell>
          <cell r="AI154">
            <v>43914</v>
          </cell>
          <cell r="AJ154">
            <v>33098</v>
          </cell>
          <cell r="AK154">
            <v>0</v>
          </cell>
          <cell r="AL154">
            <v>23.1</v>
          </cell>
          <cell r="AM154">
            <v>-8.1</v>
          </cell>
          <cell r="AO154">
            <v>2889</v>
          </cell>
          <cell r="AP154">
            <v>5865</v>
          </cell>
          <cell r="AQ154">
            <v>4320.2514445347797</v>
          </cell>
          <cell r="AR154">
            <v>12672.305468164745</v>
          </cell>
        </row>
        <row r="155">
          <cell r="P155">
            <v>0</v>
          </cell>
          <cell r="U155">
            <v>0</v>
          </cell>
          <cell r="AI155">
            <v>0</v>
          </cell>
          <cell r="AK155">
            <v>-7.6</v>
          </cell>
          <cell r="AL155">
            <v>22.8</v>
          </cell>
          <cell r="AM155">
            <v>-36.9</v>
          </cell>
          <cell r="AN155">
            <v>3536</v>
          </cell>
          <cell r="AO155" t="e">
            <v>#REF!</v>
          </cell>
          <cell r="AP155" t="e">
            <v>#REF!</v>
          </cell>
        </row>
        <row r="156">
          <cell r="P156">
            <v>-100</v>
          </cell>
          <cell r="U156">
            <v>-578</v>
          </cell>
          <cell r="AI156">
            <v>-21</v>
          </cell>
          <cell r="AJ156">
            <v>8.9</v>
          </cell>
          <cell r="AK156">
            <v>6.0099221158656952</v>
          </cell>
          <cell r="AL156">
            <v>-100</v>
          </cell>
          <cell r="AM156">
            <v>-100</v>
          </cell>
        </row>
        <row r="157">
          <cell r="U157">
            <v>0</v>
          </cell>
          <cell r="AI157" t="e">
            <v>#REF!</v>
          </cell>
          <cell r="AJ157">
            <v>-100</v>
          </cell>
          <cell r="AK157">
            <v>-100</v>
          </cell>
          <cell r="AL157">
            <v>0</v>
          </cell>
          <cell r="AM157">
            <v>0</v>
          </cell>
        </row>
        <row r="158">
          <cell r="F158">
            <v>0</v>
          </cell>
          <cell r="P158">
            <v>0</v>
          </cell>
          <cell r="S158">
            <v>0</v>
          </cell>
          <cell r="T158">
            <v>630</v>
          </cell>
          <cell r="U158">
            <v>4643</v>
          </cell>
          <cell r="X158">
            <v>0</v>
          </cell>
          <cell r="AC158">
            <v>0</v>
          </cell>
          <cell r="AJ158">
            <v>142</v>
          </cell>
          <cell r="AK158">
            <v>0</v>
          </cell>
        </row>
        <row r="159">
          <cell r="F159">
            <v>0</v>
          </cell>
          <cell r="P159">
            <v>0</v>
          </cell>
          <cell r="S159">
            <v>0</v>
          </cell>
          <cell r="X159">
            <v>0</v>
          </cell>
          <cell r="AC159">
            <v>0</v>
          </cell>
          <cell r="AF159">
            <v>312.8</v>
          </cell>
          <cell r="AG159">
            <v>313</v>
          </cell>
          <cell r="AH159">
            <v>-0.19999999999998863</v>
          </cell>
          <cell r="AJ159">
            <v>142</v>
          </cell>
          <cell r="AK159">
            <v>0</v>
          </cell>
        </row>
        <row r="160">
          <cell r="F160">
            <v>320</v>
          </cell>
          <cell r="P160">
            <v>730</v>
          </cell>
          <cell r="S160">
            <v>2168</v>
          </cell>
          <cell r="X160">
            <v>1785</v>
          </cell>
          <cell r="AC160">
            <v>723</v>
          </cell>
          <cell r="AF160">
            <v>963</v>
          </cell>
          <cell r="AG160">
            <v>530</v>
          </cell>
          <cell r="AH160">
            <v>433</v>
          </cell>
          <cell r="AI160" t="e">
            <v>#REF!</v>
          </cell>
          <cell r="AK160">
            <v>6689</v>
          </cell>
        </row>
        <row r="161">
          <cell r="F161">
            <v>320</v>
          </cell>
          <cell r="P161">
            <v>390</v>
          </cell>
          <cell r="S161">
            <v>512</v>
          </cell>
          <cell r="X161">
            <v>2374</v>
          </cell>
          <cell r="AC161">
            <v>1081</v>
          </cell>
          <cell r="AF161">
            <v>560</v>
          </cell>
          <cell r="AG161">
            <v>500</v>
          </cell>
          <cell r="AH161">
            <v>60</v>
          </cell>
          <cell r="AI161" t="e">
            <v>#REF!</v>
          </cell>
          <cell r="AK161">
            <v>4677</v>
          </cell>
        </row>
        <row r="162">
          <cell r="F162">
            <v>320</v>
          </cell>
          <cell r="P162">
            <v>275</v>
          </cell>
          <cell r="S162">
            <v>313</v>
          </cell>
          <cell r="X162">
            <v>230</v>
          </cell>
          <cell r="AB162">
            <v>9</v>
          </cell>
          <cell r="AC162">
            <v>231</v>
          </cell>
          <cell r="AD162" t="e">
            <v>#REF!</v>
          </cell>
          <cell r="AF162">
            <v>76</v>
          </cell>
          <cell r="AG162">
            <v>76</v>
          </cell>
          <cell r="AH162">
            <v>0</v>
          </cell>
          <cell r="AI162" t="e">
            <v>#REF!</v>
          </cell>
          <cell r="AK162">
            <v>1445</v>
          </cell>
        </row>
        <row r="163">
          <cell r="F163">
            <v>204</v>
          </cell>
          <cell r="P163">
            <v>200</v>
          </cell>
          <cell r="S163">
            <v>165</v>
          </cell>
          <cell r="X163">
            <v>186</v>
          </cell>
          <cell r="AB163">
            <v>9</v>
          </cell>
          <cell r="AC163">
            <v>47</v>
          </cell>
          <cell r="AF163">
            <v>66</v>
          </cell>
          <cell r="AG163">
            <v>66</v>
          </cell>
          <cell r="AH163">
            <v>0</v>
          </cell>
          <cell r="AI163" t="e">
            <v>#REF!</v>
          </cell>
          <cell r="AK163">
            <v>598</v>
          </cell>
        </row>
        <row r="164">
          <cell r="F164">
            <v>14.170833333333334</v>
          </cell>
          <cell r="P164">
            <v>70</v>
          </cell>
          <cell r="S164">
            <v>0</v>
          </cell>
          <cell r="X164">
            <v>107</v>
          </cell>
          <cell r="AC164">
            <v>41</v>
          </cell>
          <cell r="AF164">
            <v>80</v>
          </cell>
          <cell r="AI164" t="e">
            <v>#REF!</v>
          </cell>
          <cell r="AK164">
            <v>0</v>
          </cell>
        </row>
        <row r="165">
          <cell r="F165">
            <v>14.170833333333334</v>
          </cell>
          <cell r="P165">
            <v>152</v>
          </cell>
          <cell r="Q165" t="str">
            <v>Е/Е</v>
          </cell>
          <cell r="R165" t="str">
            <v xml:space="preserve"> Т/Е</v>
          </cell>
          <cell r="S165">
            <v>428.72727272727275</v>
          </cell>
          <cell r="T165" t="str">
            <v>ДОП.ВИР. СТ.ОРГ.</v>
          </cell>
          <cell r="U165" t="str">
            <v>АК КЕ ВСЬОГО</v>
          </cell>
          <cell r="V165" t="str">
            <v>Е/Е</v>
          </cell>
          <cell r="W165" t="str">
            <v xml:space="preserve"> Т/Е</v>
          </cell>
          <cell r="X165">
            <v>248.36363636363637</v>
          </cell>
          <cell r="AC165">
            <v>191.18181818181819</v>
          </cell>
          <cell r="AD165" t="str">
            <v>СТАНЦІІ ТЕПЛОВІ</v>
          </cell>
          <cell r="AE165" t="str">
            <v>МЕРЕЖІ ЕЛЕКТРО</v>
          </cell>
          <cell r="AF165">
            <v>157.90909090909091</v>
          </cell>
          <cell r="AG165">
            <v>157.90909090909091</v>
          </cell>
          <cell r="AI165" t="e">
            <v>#REF!</v>
          </cell>
          <cell r="AK165">
            <v>14.170833333333334</v>
          </cell>
        </row>
        <row r="166">
          <cell r="F166">
            <v>260</v>
          </cell>
          <cell r="P166">
            <v>180</v>
          </cell>
          <cell r="Q166">
            <v>2.1435</v>
          </cell>
          <cell r="R166">
            <v>2.1435</v>
          </cell>
          <cell r="S166">
            <v>498.63636363636363</v>
          </cell>
          <cell r="T166">
            <v>2.1435</v>
          </cell>
          <cell r="U166">
            <v>2.1435</v>
          </cell>
          <cell r="X166">
            <v>258.36363636363637</v>
          </cell>
          <cell r="AC166">
            <v>180.90909090909091</v>
          </cell>
          <cell r="AD166">
            <v>2.1804999999999999</v>
          </cell>
          <cell r="AE166">
            <v>2.1804999999999999</v>
          </cell>
          <cell r="AF166">
            <v>157.90909090909091</v>
          </cell>
          <cell r="AG166">
            <v>157.90909090909091</v>
          </cell>
          <cell r="AI166" t="e">
            <v>#REF!</v>
          </cell>
          <cell r="AK166">
            <v>1117.909090909091</v>
          </cell>
        </row>
        <row r="167">
          <cell r="F167">
            <v>260</v>
          </cell>
          <cell r="P167">
            <v>153</v>
          </cell>
          <cell r="S167">
            <v>1669.3636363636365</v>
          </cell>
          <cell r="X167">
            <v>1526.6363636363635</v>
          </cell>
          <cell r="AC167">
            <v>542.09090909090912</v>
          </cell>
          <cell r="AF167">
            <v>296.27272727272725</v>
          </cell>
          <cell r="AG167">
            <v>296</v>
          </cell>
          <cell r="AI167" t="e">
            <v>#REF!</v>
          </cell>
          <cell r="AK167">
            <v>3998.090909090909</v>
          </cell>
        </row>
        <row r="168">
          <cell r="F168">
            <v>60</v>
          </cell>
          <cell r="P168">
            <v>0</v>
          </cell>
          <cell r="S168">
            <v>2168</v>
          </cell>
          <cell r="U168">
            <v>44.3</v>
          </cell>
          <cell r="X168">
            <v>1785</v>
          </cell>
          <cell r="AC168">
            <v>723</v>
          </cell>
          <cell r="AI168" t="e">
            <v>#REF!</v>
          </cell>
          <cell r="AK168">
            <v>60</v>
          </cell>
        </row>
        <row r="169">
          <cell r="F169">
            <v>60</v>
          </cell>
          <cell r="P169">
            <v>0</v>
          </cell>
          <cell r="S169">
            <v>0</v>
          </cell>
          <cell r="U169">
            <v>50.49</v>
          </cell>
          <cell r="X169">
            <v>0</v>
          </cell>
          <cell r="AC169">
            <v>0</v>
          </cell>
          <cell r="AF169">
            <v>0</v>
          </cell>
          <cell r="AG169">
            <v>0</v>
          </cell>
          <cell r="AH169">
            <v>0</v>
          </cell>
          <cell r="AK169">
            <v>60</v>
          </cell>
        </row>
        <row r="170">
          <cell r="F170">
            <v>427</v>
          </cell>
          <cell r="G170">
            <v>0</v>
          </cell>
          <cell r="H170">
            <v>0</v>
          </cell>
          <cell r="P170">
            <v>1736</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0</v>
          </cell>
          <cell r="AG170">
            <v>0</v>
          </cell>
          <cell r="AH170">
            <v>0</v>
          </cell>
          <cell r="AI170" t="e">
            <v>#REF!</v>
          </cell>
          <cell r="AJ170">
            <v>0</v>
          </cell>
          <cell r="AK170">
            <v>0</v>
          </cell>
        </row>
        <row r="171">
          <cell r="F171">
            <v>1758</v>
          </cell>
          <cell r="G171">
            <v>0</v>
          </cell>
          <cell r="H171">
            <v>0</v>
          </cell>
          <cell r="P171">
            <v>3547</v>
          </cell>
          <cell r="Q171">
            <v>0</v>
          </cell>
          <cell r="R171">
            <v>0</v>
          </cell>
          <cell r="S171">
            <v>3467</v>
          </cell>
          <cell r="T171">
            <v>0</v>
          </cell>
          <cell r="U171">
            <v>0</v>
          </cell>
          <cell r="V171">
            <v>0</v>
          </cell>
          <cell r="W171">
            <v>0</v>
          </cell>
          <cell r="X171">
            <v>225</v>
          </cell>
          <cell r="Y171">
            <v>0</v>
          </cell>
          <cell r="Z171">
            <v>0</v>
          </cell>
          <cell r="AA171">
            <v>0</v>
          </cell>
          <cell r="AB171">
            <v>0</v>
          </cell>
          <cell r="AC171">
            <v>170</v>
          </cell>
          <cell r="AD171">
            <v>17653.617575757577</v>
          </cell>
          <cell r="AE171">
            <v>0</v>
          </cell>
          <cell r="AF171">
            <v>861</v>
          </cell>
          <cell r="AG171">
            <v>461</v>
          </cell>
          <cell r="AH171">
            <v>0</v>
          </cell>
          <cell r="AI171" t="e">
            <v>#REF!</v>
          </cell>
          <cell r="AJ171">
            <v>0</v>
          </cell>
          <cell r="AK171">
            <v>9643</v>
          </cell>
        </row>
        <row r="172">
          <cell r="F172">
            <v>1758</v>
          </cell>
          <cell r="G172">
            <v>0</v>
          </cell>
          <cell r="H172">
            <v>0</v>
          </cell>
          <cell r="P172">
            <v>3547</v>
          </cell>
          <cell r="Q172">
            <v>0</v>
          </cell>
          <cell r="R172">
            <v>0</v>
          </cell>
          <cell r="S172">
            <v>3467</v>
          </cell>
          <cell r="T172">
            <v>0</v>
          </cell>
          <cell r="U172">
            <v>0</v>
          </cell>
          <cell r="V172">
            <v>0</v>
          </cell>
          <cell r="W172">
            <v>0</v>
          </cell>
          <cell r="X172">
            <v>225</v>
          </cell>
          <cell r="Y172">
            <v>0</v>
          </cell>
          <cell r="Z172">
            <v>0</v>
          </cell>
          <cell r="AA172">
            <v>0</v>
          </cell>
          <cell r="AB172">
            <v>0</v>
          </cell>
          <cell r="AC172">
            <v>170</v>
          </cell>
          <cell r="AD172">
            <v>17653.617575757577</v>
          </cell>
          <cell r="AE172">
            <v>0</v>
          </cell>
          <cell r="AF172">
            <v>861</v>
          </cell>
          <cell r="AG172">
            <v>861</v>
          </cell>
          <cell r="AH172">
            <v>0</v>
          </cell>
          <cell r="AI172" t="e">
            <v>#REF!</v>
          </cell>
          <cell r="AJ172">
            <v>0</v>
          </cell>
          <cell r="AK172">
            <v>10043</v>
          </cell>
        </row>
        <row r="173">
          <cell r="F173">
            <v>0</v>
          </cell>
          <cell r="G173">
            <v>0</v>
          </cell>
          <cell r="H173">
            <v>0</v>
          </cell>
          <cell r="P173">
            <v>0</v>
          </cell>
          <cell r="Q173">
            <v>0</v>
          </cell>
          <cell r="R173">
            <v>0</v>
          </cell>
          <cell r="S173">
            <v>0</v>
          </cell>
          <cell r="T173">
            <v>0</v>
          </cell>
          <cell r="U173">
            <v>0</v>
          </cell>
          <cell r="V173">
            <v>0</v>
          </cell>
          <cell r="W173">
            <v>0</v>
          </cell>
          <cell r="X173">
            <v>0</v>
          </cell>
          <cell r="Y173">
            <v>0</v>
          </cell>
          <cell r="Z173">
            <v>0</v>
          </cell>
          <cell r="AA173">
            <v>0</v>
          </cell>
          <cell r="AB173">
            <v>0</v>
          </cell>
          <cell r="AC173">
            <v>0</v>
          </cell>
          <cell r="AD173">
            <v>0</v>
          </cell>
          <cell r="AE173">
            <v>0</v>
          </cell>
          <cell r="AF173">
            <v>0</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K174">
            <v>0</v>
          </cell>
        </row>
        <row r="175">
          <cell r="F175">
            <v>4000</v>
          </cell>
          <cell r="P175">
            <v>36</v>
          </cell>
          <cell r="U175">
            <v>91.91</v>
          </cell>
          <cell r="AG175">
            <v>0</v>
          </cell>
          <cell r="AI175" t="e">
            <v>#REF!</v>
          </cell>
          <cell r="AK175">
            <v>0</v>
          </cell>
        </row>
        <row r="176">
          <cell r="F176">
            <v>3480</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3480</v>
          </cell>
          <cell r="AO176">
            <v>247</v>
          </cell>
          <cell r="AP176">
            <v>610</v>
          </cell>
          <cell r="AQ176">
            <v>920.25</v>
          </cell>
          <cell r="AR176">
            <v>2050.3572727272726</v>
          </cell>
        </row>
        <row r="177">
          <cell r="F177">
            <v>587</v>
          </cell>
          <cell r="G177">
            <v>0</v>
          </cell>
          <cell r="H177">
            <v>0</v>
          </cell>
          <cell r="P177">
            <v>863.25</v>
          </cell>
          <cell r="Q177">
            <v>0</v>
          </cell>
          <cell r="R177">
            <v>0</v>
          </cell>
          <cell r="S177">
            <v>1921.8199999999997</v>
          </cell>
          <cell r="T177">
            <v>697.23998181818172</v>
          </cell>
          <cell r="U177">
            <v>725.94365454545448</v>
          </cell>
          <cell r="V177">
            <v>0</v>
          </cell>
          <cell r="W177">
            <v>0</v>
          </cell>
          <cell r="X177">
            <v>639.95000000000005</v>
          </cell>
          <cell r="Y177">
            <v>103</v>
          </cell>
          <cell r="Z177">
            <v>145.36363636363637</v>
          </cell>
          <cell r="AA177">
            <v>0</v>
          </cell>
          <cell r="AB177">
            <v>0</v>
          </cell>
          <cell r="AC177">
            <v>535.86</v>
          </cell>
          <cell r="AD177">
            <v>88</v>
          </cell>
          <cell r="AE177">
            <v>103.18181818181819</v>
          </cell>
          <cell r="AF177">
            <v>1759.96</v>
          </cell>
          <cell r="AG177">
            <v>1759.909090909091</v>
          </cell>
          <cell r="AH177">
            <v>5.0909090909044608E-2</v>
          </cell>
          <cell r="AI177" t="e">
            <v>#REF!</v>
          </cell>
          <cell r="AJ177">
            <v>0</v>
          </cell>
          <cell r="AK177">
            <v>6670.7890909090902</v>
          </cell>
          <cell r="AO177">
            <v>266</v>
          </cell>
          <cell r="AP177">
            <v>661</v>
          </cell>
          <cell r="AQ177">
            <v>907.25</v>
          </cell>
          <cell r="AR177">
            <v>2372.7209090909091</v>
          </cell>
        </row>
        <row r="178">
          <cell r="F178">
            <v>0</v>
          </cell>
          <cell r="G178">
            <v>0</v>
          </cell>
          <cell r="H178">
            <v>0</v>
          </cell>
          <cell r="P178">
            <v>180</v>
          </cell>
          <cell r="Q178">
            <v>0</v>
          </cell>
          <cell r="R178">
            <v>0</v>
          </cell>
          <cell r="S178">
            <v>498.63636363636363</v>
          </cell>
          <cell r="T178">
            <v>0</v>
          </cell>
          <cell r="U178">
            <v>0</v>
          </cell>
          <cell r="V178">
            <v>0</v>
          </cell>
          <cell r="W178">
            <v>0</v>
          </cell>
          <cell r="X178">
            <v>258.36363636363637</v>
          </cell>
          <cell r="Y178">
            <v>138</v>
          </cell>
          <cell r="Z178">
            <v>120.36363636363637</v>
          </cell>
          <cell r="AA178">
            <v>0</v>
          </cell>
          <cell r="AB178">
            <v>0</v>
          </cell>
          <cell r="AC178">
            <v>180.90909090909091</v>
          </cell>
          <cell r="AD178">
            <v>73</v>
          </cell>
          <cell r="AE178">
            <v>107.90909090909091</v>
          </cell>
          <cell r="AF178">
            <v>157.90909090909091</v>
          </cell>
          <cell r="AG178">
            <v>157.90909090909091</v>
          </cell>
          <cell r="AH178">
            <v>0</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0</v>
          </cell>
          <cell r="Q179">
            <v>0</v>
          </cell>
          <cell r="R179">
            <v>0</v>
          </cell>
          <cell r="S179">
            <v>13.666666666666666</v>
          </cell>
          <cell r="T179">
            <v>13.666666666666666</v>
          </cell>
          <cell r="U179">
            <v>0</v>
          </cell>
          <cell r="V179">
            <v>0</v>
          </cell>
          <cell r="W179">
            <v>0</v>
          </cell>
          <cell r="X179">
            <v>647</v>
          </cell>
          <cell r="Y179">
            <v>167</v>
          </cell>
          <cell r="Z179">
            <v>69.363636363636374</v>
          </cell>
          <cell r="AA179">
            <v>0</v>
          </cell>
          <cell r="AB179">
            <v>0</v>
          </cell>
          <cell r="AC179">
            <v>13.333333333333334</v>
          </cell>
          <cell r="AD179">
            <v>83</v>
          </cell>
          <cell r="AE179">
            <v>76.36363636363636</v>
          </cell>
          <cell r="AF179">
            <v>-2.7</v>
          </cell>
          <cell r="AG179">
            <v>5</v>
          </cell>
          <cell r="AH179">
            <v>-7.7</v>
          </cell>
          <cell r="AJ179">
            <v>0</v>
          </cell>
          <cell r="AK179">
            <v>-1272.236272727273</v>
          </cell>
          <cell r="AO179">
            <v>350</v>
          </cell>
          <cell r="AP179">
            <v>315</v>
          </cell>
          <cell r="AQ179">
            <v>0</v>
          </cell>
          <cell r="AR179">
            <v>14</v>
          </cell>
        </row>
        <row r="180">
          <cell r="F180">
            <v>0</v>
          </cell>
          <cell r="P180">
            <v>0</v>
          </cell>
          <cell r="Q180">
            <v>0</v>
          </cell>
          <cell r="R180">
            <v>0</v>
          </cell>
          <cell r="S180">
            <v>13.666666666666666</v>
          </cell>
          <cell r="T180">
            <v>13.666666666666666</v>
          </cell>
          <cell r="U180">
            <v>0</v>
          </cell>
          <cell r="V180">
            <v>0</v>
          </cell>
          <cell r="W180">
            <v>0</v>
          </cell>
          <cell r="X180">
            <v>708.80000000000007</v>
          </cell>
          <cell r="AA180">
            <v>0</v>
          </cell>
          <cell r="AB180">
            <v>0</v>
          </cell>
          <cell r="AC180">
            <v>13.333333333333334</v>
          </cell>
          <cell r="AF180">
            <v>12</v>
          </cell>
          <cell r="AG180">
            <v>10</v>
          </cell>
          <cell r="AH180">
            <v>2</v>
          </cell>
          <cell r="AI180" t="e">
            <v>#REF!</v>
          </cell>
          <cell r="AM180">
            <v>509</v>
          </cell>
          <cell r="AN180">
            <v>218</v>
          </cell>
          <cell r="AO180">
            <v>0</v>
          </cell>
          <cell r="AP180">
            <v>18.800000000000068</v>
          </cell>
        </row>
        <row r="181">
          <cell r="F181">
            <v>9095</v>
          </cell>
          <cell r="P181">
            <v>676.66666666666652</v>
          </cell>
          <cell r="S181">
            <v>3680.4666666666681</v>
          </cell>
          <cell r="U181">
            <v>11.7</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T182">
            <v>0</v>
          </cell>
          <cell r="U182">
            <v>100.5</v>
          </cell>
          <cell r="X182">
            <v>534.33333333333678</v>
          </cell>
          <cell r="AC182">
            <v>554.33333333333053</v>
          </cell>
          <cell r="AF182">
            <v>1865.0333333333331</v>
          </cell>
          <cell r="AG182">
            <v>1889.3999999999996</v>
          </cell>
          <cell r="AH182">
            <v>376.63333333333327</v>
          </cell>
          <cell r="AO182" t="str">
            <v>ОЧИК.18.02.</v>
          </cell>
          <cell r="AP182">
            <v>1507.2</v>
          </cell>
        </row>
        <row r="183">
          <cell r="F183">
            <v>15172.5</v>
          </cell>
          <cell r="P183">
            <v>444.43599999999981</v>
          </cell>
          <cell r="S183">
            <v>1460.8666666666668</v>
          </cell>
          <cell r="U183">
            <v>215.42175</v>
          </cell>
          <cell r="X183">
            <v>363.19999999999868</v>
          </cell>
          <cell r="AC183">
            <v>290.06666666666649</v>
          </cell>
          <cell r="AF183">
            <v>1259.4666666666667</v>
          </cell>
          <cell r="AG183">
            <v>767.99999999999977</v>
          </cell>
          <cell r="AH183">
            <v>491.46666666666681</v>
          </cell>
          <cell r="AN183">
            <v>1507.2</v>
          </cell>
          <cell r="AO183" t="str">
            <v>ОЧИК.18.02.</v>
          </cell>
        </row>
        <row r="184">
          <cell r="P184">
            <v>905</v>
          </cell>
          <cell r="U184">
            <v>1831</v>
          </cell>
          <cell r="AC184">
            <v>14810</v>
          </cell>
          <cell r="AM184" t="str">
            <v>ОЧИК.18.02.</v>
          </cell>
        </row>
        <row r="185">
          <cell r="F185" t="str">
            <v>АПАРАТ ВСЬОГО</v>
          </cell>
          <cell r="G185" t="str">
            <v>АПАРАТ ЕЛЕКТРО</v>
          </cell>
          <cell r="H185" t="str">
            <v>АПАРАТ ТЕПЛО</v>
          </cell>
          <cell r="P185" t="str">
            <v>ККМ</v>
          </cell>
          <cell r="S185" t="str">
            <v>КТМ</v>
          </cell>
          <cell r="U185">
            <v>1831</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39.479999999999997</v>
          </cell>
          <cell r="R186">
            <v>22.140000000000008</v>
          </cell>
          <cell r="S186" t="str">
            <v>КТМ</v>
          </cell>
          <cell r="U186">
            <v>154.1</v>
          </cell>
          <cell r="V186">
            <v>95.3</v>
          </cell>
          <cell r="W186">
            <v>58.8</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5299</v>
          </cell>
          <cell r="R187">
            <v>2972</v>
          </cell>
          <cell r="S187" t="str">
            <v>КТМ</v>
          </cell>
          <cell r="U187">
            <v>20620</v>
          </cell>
          <cell r="V187">
            <v>12849</v>
          </cell>
          <cell r="W187">
            <v>7771</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Е/Е</v>
          </cell>
          <cell r="AK187" t="str">
            <v xml:space="preserve"> Т/Е</v>
          </cell>
          <cell r="AM187" t="str">
            <v>СТАНЦІї ЕЛЕКТРО</v>
          </cell>
          <cell r="AN187" t="str">
            <v>СТАНЦІІ ТЕПЛОВІ</v>
          </cell>
          <cell r="AO187" t="str">
            <v>МЕРЕЖІ ЕЛЕКТРО</v>
          </cell>
          <cell r="AP187" t="str">
            <v>МЕРЕЖІ ТЕПЛОВІ</v>
          </cell>
        </row>
        <row r="188">
          <cell r="P188">
            <v>134.22999999999999</v>
          </cell>
          <cell r="Q188">
            <v>134.22</v>
          </cell>
          <cell r="R188">
            <v>134.24</v>
          </cell>
          <cell r="S188">
            <v>101.3</v>
          </cell>
          <cell r="T188" t="str">
            <v/>
          </cell>
          <cell r="U188">
            <v>133.81</v>
          </cell>
          <cell r="V188">
            <v>134.83000000000001</v>
          </cell>
          <cell r="W188">
            <v>132.16</v>
          </cell>
          <cell r="X188">
            <v>116.9</v>
          </cell>
          <cell r="AC188">
            <v>111.7</v>
          </cell>
          <cell r="AD188">
            <v>130.99</v>
          </cell>
          <cell r="AE188">
            <v>130.99</v>
          </cell>
          <cell r="AF188" t="str">
            <v/>
          </cell>
          <cell r="AK188">
            <v>329.90000000000003</v>
          </cell>
          <cell r="AO188">
            <v>221.49122807017542</v>
          </cell>
        </row>
        <row r="189">
          <cell r="S189">
            <v>54.1</v>
          </cell>
          <cell r="U189">
            <v>25</v>
          </cell>
          <cell r="V189">
            <v>25</v>
          </cell>
          <cell r="W189">
            <v>0</v>
          </cell>
          <cell r="X189">
            <v>67.400000000000006</v>
          </cell>
          <cell r="AC189">
            <v>64.8</v>
          </cell>
          <cell r="AD189">
            <v>52</v>
          </cell>
          <cell r="AK189">
            <v>186.29999999999998</v>
          </cell>
          <cell r="AO189">
            <v>221.49122807017542</v>
          </cell>
        </row>
        <row r="190">
          <cell r="P190">
            <v>0</v>
          </cell>
          <cell r="S190">
            <v>62</v>
          </cell>
          <cell r="U190">
            <v>20645</v>
          </cell>
          <cell r="V190">
            <v>12874</v>
          </cell>
          <cell r="W190">
            <v>7771</v>
          </cell>
          <cell r="X190">
            <v>77.099999999999994</v>
          </cell>
          <cell r="AC190">
            <v>74.2</v>
          </cell>
          <cell r="AD190">
            <v>9863.1854657688</v>
          </cell>
          <cell r="AE190">
            <v>36873.814534231198</v>
          </cell>
          <cell r="AI190">
            <v>139.20000000000002</v>
          </cell>
          <cell r="AK190">
            <v>213.3</v>
          </cell>
          <cell r="AM190">
            <v>221.49122807017542</v>
          </cell>
          <cell r="AO190">
            <v>252.49999999999997</v>
          </cell>
        </row>
        <row r="191">
          <cell r="P191">
            <v>0</v>
          </cell>
          <cell r="S191">
            <v>0</v>
          </cell>
          <cell r="X191">
            <v>0</v>
          </cell>
          <cell r="AC191">
            <v>0</v>
          </cell>
          <cell r="AI191">
            <v>159.4</v>
          </cell>
          <cell r="AK191">
            <v>192.5</v>
          </cell>
          <cell r="AM191">
            <v>252.49999999999997</v>
          </cell>
          <cell r="AO191">
            <v>66</v>
          </cell>
        </row>
        <row r="192">
          <cell r="P192">
            <v>0</v>
          </cell>
          <cell r="S192">
            <v>192.5</v>
          </cell>
          <cell r="X192">
            <v>192.5</v>
          </cell>
          <cell r="AC192">
            <v>192.5</v>
          </cell>
          <cell r="AK192">
            <v>192.5</v>
          </cell>
          <cell r="AM192">
            <v>66</v>
          </cell>
          <cell r="AO192">
            <v>0</v>
          </cell>
        </row>
        <row r="193">
          <cell r="P193">
            <v>0</v>
          </cell>
          <cell r="S193">
            <v>10414</v>
          </cell>
          <cell r="X193">
            <v>12975</v>
          </cell>
          <cell r="AC193">
            <v>12474</v>
          </cell>
          <cell r="AI193">
            <v>192.5</v>
          </cell>
          <cell r="AK193">
            <v>35863</v>
          </cell>
          <cell r="AM193">
            <v>0</v>
          </cell>
          <cell r="AO193">
            <v>0</v>
          </cell>
        </row>
        <row r="194">
          <cell r="S194">
            <v>1598</v>
          </cell>
          <cell r="X194">
            <v>0</v>
          </cell>
          <cell r="Z194">
            <v>4948.1398501338263</v>
          </cell>
          <cell r="AB194">
            <v>4948.1398501337389</v>
          </cell>
          <cell r="AC194">
            <v>0</v>
          </cell>
          <cell r="AI194">
            <v>26797</v>
          </cell>
          <cell r="AK194">
            <v>35863</v>
          </cell>
          <cell r="AM194">
            <v>0</v>
          </cell>
        </row>
        <row r="195">
          <cell r="X195">
            <v>0</v>
          </cell>
          <cell r="AC195">
            <v>0</v>
          </cell>
          <cell r="AI195">
            <v>26797</v>
          </cell>
          <cell r="AK195">
            <v>0</v>
          </cell>
        </row>
        <row r="196">
          <cell r="X196">
            <v>0</v>
          </cell>
          <cell r="AC196">
            <v>0</v>
          </cell>
          <cell r="AI196">
            <v>0</v>
          </cell>
          <cell r="AK196">
            <v>0</v>
          </cell>
        </row>
        <row r="197">
          <cell r="X197">
            <v>82.5</v>
          </cell>
          <cell r="AC197">
            <v>82.5</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v>
          </cell>
          <cell r="AC201">
            <v>5</v>
          </cell>
          <cell r="AD201">
            <v>5</v>
          </cell>
          <cell r="AE201">
            <v>7</v>
          </cell>
          <cell r="AK201">
            <v>10</v>
          </cell>
          <cell r="AO201">
            <v>75.839416058394164</v>
          </cell>
        </row>
        <row r="202">
          <cell r="F202">
            <v>75</v>
          </cell>
          <cell r="X202">
            <v>7</v>
          </cell>
          <cell r="AC202">
            <v>7</v>
          </cell>
          <cell r="AI202">
            <v>0</v>
          </cell>
          <cell r="AJ202">
            <v>0</v>
          </cell>
          <cell r="AK202">
            <v>14</v>
          </cell>
          <cell r="AM202">
            <v>75.839416058394164</v>
          </cell>
          <cell r="AO202">
            <v>103.9</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t="e">
            <v>#DIV/0!</v>
          </cell>
          <cell r="AR203">
            <v>75</v>
          </cell>
        </row>
        <row r="204">
          <cell r="F204">
            <v>75</v>
          </cell>
          <cell r="P204">
            <v>75</v>
          </cell>
          <cell r="S204">
            <v>0</v>
          </cell>
          <cell r="X204">
            <v>601.41999999999996</v>
          </cell>
          <cell r="AC204">
            <v>601.41999999999996</v>
          </cell>
          <cell r="AK204">
            <v>601.41999999999996</v>
          </cell>
          <cell r="AM204" t="e">
            <v>#DIV/0!</v>
          </cell>
          <cell r="AO204">
            <v>195.28</v>
          </cell>
          <cell r="AP204">
            <v>75</v>
          </cell>
        </row>
        <row r="205">
          <cell r="S205">
            <v>0</v>
          </cell>
          <cell r="X205">
            <v>3007</v>
          </cell>
          <cell r="AC205">
            <v>3007</v>
          </cell>
          <cell r="AI205">
            <v>385</v>
          </cell>
          <cell r="AK205">
            <v>6014</v>
          </cell>
          <cell r="AM205">
            <v>195.28</v>
          </cell>
          <cell r="AO205">
            <v>14810</v>
          </cell>
        </row>
        <row r="206">
          <cell r="S206">
            <v>116</v>
          </cell>
          <cell r="X206">
            <v>139.6</v>
          </cell>
          <cell r="Y206">
            <v>58</v>
          </cell>
          <cell r="Z206">
            <v>81.600000000000009</v>
          </cell>
          <cell r="AC206">
            <v>133.69999999999999</v>
          </cell>
          <cell r="AD206">
            <v>61.1</v>
          </cell>
          <cell r="AE206">
            <v>72.599999999999994</v>
          </cell>
          <cell r="AI206">
            <v>0</v>
          </cell>
          <cell r="AK206">
            <v>6014</v>
          </cell>
          <cell r="AL206">
            <v>119.1</v>
          </cell>
          <cell r="AM206">
            <v>270.2</v>
          </cell>
          <cell r="AO206">
            <v>356.4</v>
          </cell>
          <cell r="AP206">
            <v>74.900000000000006</v>
          </cell>
          <cell r="AQ206">
            <v>281.5</v>
          </cell>
        </row>
        <row r="207">
          <cell r="S207">
            <v>62</v>
          </cell>
          <cell r="X207">
            <v>84.1</v>
          </cell>
          <cell r="Y207">
            <v>44.9</v>
          </cell>
          <cell r="Z207">
            <v>39.200000000000003</v>
          </cell>
          <cell r="AA207">
            <v>13714</v>
          </cell>
          <cell r="AC207">
            <v>81.2</v>
          </cell>
          <cell r="AD207">
            <v>32.799999999999997</v>
          </cell>
          <cell r="AE207">
            <v>48.4</v>
          </cell>
          <cell r="AI207">
            <v>0</v>
          </cell>
          <cell r="AK207">
            <v>227.3</v>
          </cell>
          <cell r="AL207">
            <v>77.699999999999989</v>
          </cell>
          <cell r="AM207">
            <v>149.6</v>
          </cell>
          <cell r="AO207">
            <v>356.4</v>
          </cell>
          <cell r="AP207">
            <v>74.900000000000006</v>
          </cell>
          <cell r="AQ207">
            <v>281.5</v>
          </cell>
        </row>
        <row r="208">
          <cell r="S208">
            <v>10414</v>
          </cell>
          <cell r="X208">
            <v>15982</v>
          </cell>
          <cell r="Y208">
            <v>9385</v>
          </cell>
          <cell r="Z208">
            <v>6597</v>
          </cell>
          <cell r="AA208">
            <v>6597</v>
          </cell>
          <cell r="AC208">
            <v>15481</v>
          </cell>
          <cell r="AD208">
            <v>7344</v>
          </cell>
          <cell r="AE208">
            <v>8137</v>
          </cell>
          <cell r="AI208">
            <v>159.4</v>
          </cell>
          <cell r="AJ208" t="str">
            <v/>
          </cell>
          <cell r="AK208">
            <v>41877</v>
          </cell>
          <cell r="AL208">
            <v>16729</v>
          </cell>
          <cell r="AM208">
            <v>25148</v>
          </cell>
          <cell r="AN208">
            <v>74.900000000000006</v>
          </cell>
          <cell r="AO208">
            <v>14810</v>
          </cell>
          <cell r="AP208">
            <v>3112.427048260382</v>
          </cell>
          <cell r="AQ208">
            <v>11697.572951739618</v>
          </cell>
          <cell r="AR208" t="str">
            <v/>
          </cell>
        </row>
        <row r="209">
          <cell r="S209">
            <v>167.97</v>
          </cell>
          <cell r="X209">
            <v>190.04</v>
          </cell>
          <cell r="Y209">
            <v>209.02</v>
          </cell>
          <cell r="Z209">
            <v>168.29</v>
          </cell>
          <cell r="AA209">
            <v>3965</v>
          </cell>
          <cell r="AC209">
            <v>190.65</v>
          </cell>
          <cell r="AD209">
            <v>223.9</v>
          </cell>
          <cell r="AE209">
            <v>168.12</v>
          </cell>
          <cell r="AI209">
            <v>26797</v>
          </cell>
          <cell r="AJ209" t="str">
            <v/>
          </cell>
          <cell r="AK209">
            <v>184.24</v>
          </cell>
          <cell r="AL209">
            <v>215.3</v>
          </cell>
          <cell r="AM209">
            <v>168.1</v>
          </cell>
          <cell r="AN209">
            <v>3112.427048260382</v>
          </cell>
          <cell r="AO209">
            <v>41.55</v>
          </cell>
          <cell r="AP209">
            <v>41.55</v>
          </cell>
          <cell r="AQ209">
            <v>41.55</v>
          </cell>
          <cell r="AR209" t="str">
            <v/>
          </cell>
        </row>
        <row r="210">
          <cell r="S210">
            <v>168.21</v>
          </cell>
          <cell r="X210">
            <v>24969</v>
          </cell>
          <cell r="Y210">
            <v>168.03</v>
          </cell>
          <cell r="Z210">
            <v>168.01</v>
          </cell>
          <cell r="AC210">
            <v>24028</v>
          </cell>
          <cell r="AD210">
            <v>168.2</v>
          </cell>
          <cell r="AE210">
            <v>168.2</v>
          </cell>
          <cell r="AI210">
            <v>168.11</v>
          </cell>
          <cell r="AJ210">
            <v>168.1</v>
          </cell>
          <cell r="AK210">
            <v>68498</v>
          </cell>
          <cell r="AL210">
            <v>23068</v>
          </cell>
          <cell r="AM210">
            <v>0</v>
          </cell>
          <cell r="AN210">
            <v>41.55</v>
          </cell>
          <cell r="AO210">
            <v>52</v>
          </cell>
          <cell r="AP210">
            <v>52</v>
          </cell>
          <cell r="AQ210">
            <v>11697.572951739618</v>
          </cell>
        </row>
        <row r="211">
          <cell r="X211">
            <v>15982</v>
          </cell>
          <cell r="AC211">
            <v>15481</v>
          </cell>
          <cell r="AK211">
            <v>41877</v>
          </cell>
          <cell r="AL211">
            <v>16729</v>
          </cell>
          <cell r="AM211">
            <v>25148</v>
          </cell>
          <cell r="AN211">
            <v>52</v>
          </cell>
          <cell r="AO211">
            <v>14862</v>
          </cell>
          <cell r="AP211">
            <v>3164.427048260382</v>
          </cell>
          <cell r="AQ211">
            <v>11697.572951739618</v>
          </cell>
        </row>
        <row r="212">
          <cell r="X212">
            <v>13610</v>
          </cell>
          <cell r="AC212">
            <v>11589</v>
          </cell>
          <cell r="AI212">
            <v>26797</v>
          </cell>
          <cell r="AJ212">
            <v>15717</v>
          </cell>
          <cell r="AK212">
            <v>11080</v>
          </cell>
          <cell r="AM212">
            <v>14862</v>
          </cell>
          <cell r="AN212">
            <v>3164.427048260382</v>
          </cell>
          <cell r="AO212">
            <v>11697.572951739618</v>
          </cell>
        </row>
        <row r="220">
          <cell r="G220" t="str">
            <v>Б.В.ЯЩЕНКО</v>
          </cell>
        </row>
        <row r="221">
          <cell r="G221" t="str">
            <v>М.В.ТЕРПИЛО</v>
          </cell>
        </row>
        <row r="222">
          <cell r="G222" t="str">
            <v xml:space="preserve">В.І.МИРГОРОДСЬКИЙ                                  </v>
          </cell>
        </row>
        <row r="223">
          <cell r="G223" t="str">
            <v xml:space="preserve">М.І.ШЕВЧЕНКО                                 </v>
          </cell>
          <cell r="AN223">
            <v>1507.2</v>
          </cell>
        </row>
        <row r="224">
          <cell r="G224" t="str">
            <v>В.Ю.МОНТЬЕВ</v>
          </cell>
        </row>
        <row r="225">
          <cell r="G225" t="str">
            <v xml:space="preserve">О.М.НИКОЛЕНКО      </v>
          </cell>
        </row>
        <row r="226">
          <cell r="G226" t="str">
            <v xml:space="preserve">О.М.НИКОЛЕНКО      </v>
          </cell>
        </row>
        <row r="229">
          <cell r="S229" t="str">
            <v>ТИС.ГРН.</v>
          </cell>
          <cell r="AP229">
            <v>1507.2</v>
          </cell>
        </row>
        <row r="230">
          <cell r="P230" t="str">
            <v>ТЕЦ-6 ВСЬОГО</v>
          </cell>
          <cell r="Q230" t="str">
            <v>Е/Е</v>
          </cell>
          <cell r="R230" t="str">
            <v xml:space="preserve"> Т/Е</v>
          </cell>
          <cell r="S230" t="str">
            <v xml:space="preserve">ДОП.ВИР. </v>
          </cell>
          <cell r="T230" t="str">
            <v>ДОП.ВИР. СТ.ОРГ.</v>
          </cell>
          <cell r="U230" t="str">
            <v>АК КЕ ВСЬОГО</v>
          </cell>
          <cell r="V230" t="str">
            <v>Е/Е</v>
          </cell>
          <cell r="W230" t="str">
            <v xml:space="preserve"> Т/Е</v>
          </cell>
          <cell r="AC230" t="str">
            <v>СТАНЦІї ЕЛЕКТРО</v>
          </cell>
          <cell r="AD230" t="str">
            <v>СТАНЦІІ ТЕПЛОВІ</v>
          </cell>
          <cell r="AE230" t="str">
            <v>МЕРЕЖІ ЕЛЕКТРО</v>
          </cell>
          <cell r="AF230" t="str">
            <v>МЕРЕЖІ ТЕПЛОВІ</v>
          </cell>
          <cell r="AP230">
            <v>1507.2</v>
          </cell>
        </row>
        <row r="233">
          <cell r="P233">
            <v>2409.6737288135591</v>
          </cell>
          <cell r="Q233">
            <v>1422</v>
          </cell>
          <cell r="R233">
            <v>796.42372881355914</v>
          </cell>
          <cell r="S233">
            <v>1077.625</v>
          </cell>
          <cell r="T233">
            <v>1129</v>
          </cell>
          <cell r="U233">
            <v>23976.15725132322</v>
          </cell>
          <cell r="V233" t="e">
            <v>#REF!</v>
          </cell>
          <cell r="W233">
            <v>44621.157251323224</v>
          </cell>
        </row>
        <row r="234">
          <cell r="P234">
            <v>733.8070175438595</v>
          </cell>
          <cell r="Q234">
            <v>1327</v>
          </cell>
          <cell r="R234">
            <v>742.99999999999977</v>
          </cell>
          <cell r="S234">
            <v>605</v>
          </cell>
          <cell r="T234">
            <v>117</v>
          </cell>
          <cell r="U234">
            <v>15320.660540053519</v>
          </cell>
          <cell r="V234" t="e">
            <v>#REF!</v>
          </cell>
        </row>
        <row r="236">
          <cell r="P236">
            <v>733.8070175438595</v>
          </cell>
          <cell r="S236">
            <v>685</v>
          </cell>
          <cell r="U236">
            <v>15689.007333333333</v>
          </cell>
          <cell r="V236">
            <v>15376.340666666665</v>
          </cell>
        </row>
        <row r="237">
          <cell r="P237">
            <v>431.86671126969964</v>
          </cell>
          <cell r="Q237">
            <v>63</v>
          </cell>
          <cell r="R237">
            <v>35.423728813559308</v>
          </cell>
          <cell r="S237">
            <v>537.625</v>
          </cell>
          <cell r="T237">
            <v>1012</v>
          </cell>
          <cell r="U237">
            <v>4138.4967112696995</v>
          </cell>
          <cell r="V237">
            <v>4138.4967112696995</v>
          </cell>
        </row>
        <row r="238">
          <cell r="P238">
            <v>131.12735849056605</v>
          </cell>
          <cell r="S238">
            <v>146.625</v>
          </cell>
          <cell r="U238">
            <v>1220.7727272727273</v>
          </cell>
          <cell r="V238">
            <v>1231.382075471698</v>
          </cell>
          <cell r="AG238" t="str">
            <v xml:space="preserve">         Затверджую</v>
          </cell>
        </row>
        <row r="239">
          <cell r="P239">
            <v>42</v>
          </cell>
          <cell r="Q239">
            <v>0</v>
          </cell>
          <cell r="R239">
            <v>0</v>
          </cell>
          <cell r="S239">
            <v>0</v>
          </cell>
          <cell r="T239">
            <v>0</v>
          </cell>
          <cell r="U239">
            <v>3586.2745410050566</v>
          </cell>
          <cell r="V239">
            <v>3586.2745410050566</v>
          </cell>
          <cell r="AG239" t="str">
            <v xml:space="preserve"> Голова правління </v>
          </cell>
        </row>
        <row r="240">
          <cell r="P240">
            <v>12</v>
          </cell>
          <cell r="S240">
            <v>0</v>
          </cell>
          <cell r="U240">
            <v>589</v>
          </cell>
          <cell r="V240">
            <v>589</v>
          </cell>
          <cell r="AG240" t="str">
            <v xml:space="preserve">                        І.В.Плачков</v>
          </cell>
        </row>
        <row r="241">
          <cell r="P241">
            <v>30</v>
          </cell>
          <cell r="S241">
            <v>0</v>
          </cell>
          <cell r="U241">
            <v>53.583333333333336</v>
          </cell>
          <cell r="V241">
            <v>53.583333333333336</v>
          </cell>
          <cell r="AC241">
            <v>6</v>
          </cell>
          <cell r="AD241">
            <v>6</v>
          </cell>
          <cell r="AE241">
            <v>12</v>
          </cell>
          <cell r="AG241" t="str">
            <v xml:space="preserve">   "_____" ________2000 р.</v>
          </cell>
        </row>
        <row r="242">
          <cell r="U242">
            <v>-149.73279232827699</v>
          </cell>
          <cell r="V242">
            <v>-149.73279232827699</v>
          </cell>
        </row>
        <row r="243">
          <cell r="U243">
            <v>2421.3333333333335</v>
          </cell>
          <cell r="V243">
            <v>2421.3333333333335</v>
          </cell>
        </row>
        <row r="244">
          <cell r="P244">
            <v>0</v>
          </cell>
          <cell r="Q244">
            <v>0</v>
          </cell>
          <cell r="R244">
            <v>0</v>
          </cell>
          <cell r="S244">
            <v>0</v>
          </cell>
          <cell r="U244">
            <v>672.09066666666661</v>
          </cell>
          <cell r="V244">
            <v>672.09066666666661</v>
          </cell>
          <cell r="AG244" t="str">
            <v xml:space="preserve">         Затверджую</v>
          </cell>
        </row>
        <row r="245">
          <cell r="F245" t="str">
            <v>РОЗРАХУНОК ФІНАНСОВИХ ПОТОКІВ НА   березень  2000 року</v>
          </cell>
          <cell r="V245">
            <v>0</v>
          </cell>
          <cell r="AG245" t="str">
            <v xml:space="preserve"> Голова правління </v>
          </cell>
        </row>
        <row r="246">
          <cell r="F246" t="str">
            <v>ПО ФІЛІАЛАХ АК КИЇВЕНЕРГО</v>
          </cell>
          <cell r="P246">
            <v>450</v>
          </cell>
          <cell r="S246">
            <v>406</v>
          </cell>
          <cell r="U246">
            <v>4903</v>
          </cell>
          <cell r="V246">
            <v>4635</v>
          </cell>
          <cell r="AG246" t="str">
            <v xml:space="preserve">                        І.В.Плачков</v>
          </cell>
        </row>
        <row r="247">
          <cell r="P247">
            <v>1174</v>
          </cell>
          <cell r="S247">
            <v>0</v>
          </cell>
          <cell r="U247">
            <v>2921</v>
          </cell>
          <cell r="V247">
            <v>2921</v>
          </cell>
          <cell r="AG247" t="str">
            <v xml:space="preserve">   "_____" ________2000 р.</v>
          </cell>
        </row>
        <row r="248">
          <cell r="V248">
            <v>0</v>
          </cell>
          <cell r="AG248" t="str">
            <v xml:space="preserve">   "_____" ________2000 р.</v>
          </cell>
        </row>
        <row r="249">
          <cell r="P249">
            <v>-100</v>
          </cell>
          <cell r="Q249">
            <v>0</v>
          </cell>
          <cell r="R249">
            <v>0</v>
          </cell>
          <cell r="S249">
            <v>0</v>
          </cell>
          <cell r="T249">
            <v>0</v>
          </cell>
          <cell r="U249">
            <v>-578</v>
          </cell>
          <cell r="V249">
            <v>-578</v>
          </cell>
        </row>
        <row r="250">
          <cell r="P250">
            <v>0</v>
          </cell>
          <cell r="Q250">
            <v>0</v>
          </cell>
          <cell r="R250">
            <v>0</v>
          </cell>
          <cell r="S250">
            <v>0</v>
          </cell>
          <cell r="T250">
            <v>0</v>
          </cell>
          <cell r="U250">
            <v>0</v>
          </cell>
          <cell r="V250">
            <v>0</v>
          </cell>
        </row>
        <row r="251">
          <cell r="F251" t="str">
            <v>РОЗРАХУНОК ФІНАНСОВИХ ПОТОКІВ НА   березень  2000 року</v>
          </cell>
          <cell r="V251">
            <v>0</v>
          </cell>
          <cell r="AI251" t="str">
            <v>тис.грн.</v>
          </cell>
        </row>
        <row r="252">
          <cell r="F252" t="str">
            <v>ПО ФІЛІАЛАХ АК КИЇВЕНЕРГО</v>
          </cell>
          <cell r="G252" t="str">
            <v>АПАРАТ ЕЛЕКТРО</v>
          </cell>
          <cell r="H252" t="str">
            <v>АПАРАТ ТЕПЛО</v>
          </cell>
          <cell r="P252" t="str">
            <v>КМ</v>
          </cell>
          <cell r="Q252" t="str">
            <v>ТМ</v>
          </cell>
          <cell r="S252" t="str">
            <v>КТМ</v>
          </cell>
          <cell r="T252" t="str">
            <v>ВИРОБН</v>
          </cell>
          <cell r="U252" t="str">
            <v>ПЕРЕД</v>
          </cell>
          <cell r="V252">
            <v>331</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U253">
            <v>200</v>
          </cell>
          <cell r="V253">
            <v>200</v>
          </cell>
          <cell r="X253">
            <v>2672.4863636363625</v>
          </cell>
          <cell r="AC253">
            <v>1389.1963636363635</v>
          </cell>
          <cell r="AF253">
            <v>4185.9539393939394</v>
          </cell>
          <cell r="AG253">
            <v>3391.2</v>
          </cell>
          <cell r="AH253">
            <v>794.7539393939395</v>
          </cell>
          <cell r="AI253">
            <v>27896.847545454541</v>
          </cell>
        </row>
        <row r="254">
          <cell r="V254">
            <v>0</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V256">
            <v>366</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V258">
            <v>0</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АК КЕ осн.вир.</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v>4084</v>
          </cell>
          <cell r="G259" t="str">
            <v>АПАРАТ ЕЛЕКТРО</v>
          </cell>
          <cell r="H259" t="str">
            <v>АПАРАТ ТЕПЛО</v>
          </cell>
          <cell r="P259">
            <v>5528.9166666666661</v>
          </cell>
          <cell r="Q259" t="str">
            <v>ТМ</v>
          </cell>
          <cell r="S259">
            <v>11148.516969696972</v>
          </cell>
          <cell r="T259" t="str">
            <v>ВИРОБН</v>
          </cell>
          <cell r="U259" t="str">
            <v>ПЕРЕД</v>
          </cell>
          <cell r="V259">
            <v>2217</v>
          </cell>
          <cell r="X259">
            <v>3572.9196969697005</v>
          </cell>
          <cell r="Y259" t="str">
            <v>Е/Е</v>
          </cell>
          <cell r="Z259" t="str">
            <v xml:space="preserve"> Т/Е</v>
          </cell>
          <cell r="AC259">
            <v>1815.6175757575729</v>
          </cell>
          <cell r="AD259" t="str">
            <v>Е/Е</v>
          </cell>
          <cell r="AE259" t="str">
            <v xml:space="preserve"> Т/Е</v>
          </cell>
          <cell r="AF259">
            <v>5288.3842424242421</v>
          </cell>
          <cell r="AG259">
            <v>4487.3999999999996</v>
          </cell>
          <cell r="AH259">
            <v>801.98424242424232</v>
          </cell>
          <cell r="AI259">
            <v>5607</v>
          </cell>
          <cell r="AJ259">
            <v>7599</v>
          </cell>
          <cell r="AK259">
            <v>32648.355151515156</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7422.5571428571438</v>
          </cell>
          <cell r="G262">
            <v>1518.0409150901905</v>
          </cell>
          <cell r="H262">
            <v>2928.9590849098108</v>
          </cell>
          <cell r="P262">
            <v>3433.9999999999991</v>
          </cell>
          <cell r="Q262">
            <v>0</v>
          </cell>
          <cell r="R262">
            <v>0</v>
          </cell>
          <cell r="S262">
            <v>4201.3333333333358</v>
          </cell>
          <cell r="T262">
            <v>3752.599999999999</v>
          </cell>
          <cell r="U262">
            <v>1487.7333333333331</v>
          </cell>
          <cell r="V262">
            <v>0</v>
          </cell>
          <cell r="W262">
            <v>0</v>
          </cell>
          <cell r="X262">
            <v>1311.3333333333371</v>
          </cell>
          <cell r="Y262">
            <v>1280</v>
          </cell>
          <cell r="Z262">
            <v>1117.333333333333</v>
          </cell>
          <cell r="AA262">
            <v>0</v>
          </cell>
          <cell r="AB262">
            <v>0</v>
          </cell>
          <cell r="AC262">
            <v>513.66666666666367</v>
          </cell>
          <cell r="AD262">
            <v>309</v>
          </cell>
          <cell r="AE262">
            <v>454.66666666666742</v>
          </cell>
          <cell r="AF262">
            <v>1352.6666666666665</v>
          </cell>
          <cell r="AG262">
            <v>1658.3999999999996</v>
          </cell>
          <cell r="AH262">
            <v>-304.73333333333335</v>
          </cell>
          <cell r="AI262">
            <v>0</v>
          </cell>
          <cell r="AJ262">
            <v>-2455</v>
          </cell>
          <cell r="AK262">
            <v>76701.57290043289</v>
          </cell>
          <cell r="AM262">
            <v>17214.890476190481</v>
          </cell>
        </row>
        <row r="263">
          <cell r="F263">
            <v>67522.157142857148</v>
          </cell>
          <cell r="G263">
            <v>1693.9907526329307</v>
          </cell>
          <cell r="H263">
            <v>3557.0092473670693</v>
          </cell>
          <cell r="P263">
            <v>0</v>
          </cell>
          <cell r="Q263">
            <v>0</v>
          </cell>
          <cell r="R263">
            <v>0</v>
          </cell>
          <cell r="S263">
            <v>0</v>
          </cell>
          <cell r="T263">
            <v>0</v>
          </cell>
          <cell r="U263">
            <v>0</v>
          </cell>
          <cell r="V263">
            <v>0</v>
          </cell>
          <cell r="W263">
            <v>0</v>
          </cell>
          <cell r="X263">
            <v>0</v>
          </cell>
          <cell r="Y263">
            <v>0</v>
          </cell>
          <cell r="Z263">
            <v>0</v>
          </cell>
          <cell r="AA263">
            <v>0</v>
          </cell>
          <cell r="AB263">
            <v>0</v>
          </cell>
          <cell r="AC263">
            <v>0</v>
          </cell>
          <cell r="AD263">
            <v>0</v>
          </cell>
          <cell r="AE263">
            <v>0</v>
          </cell>
          <cell r="AF263">
            <v>0</v>
          </cell>
          <cell r="AG263">
            <v>0</v>
          </cell>
          <cell r="AH263">
            <v>0</v>
          </cell>
          <cell r="AI263" t="e">
            <v>#REF!</v>
          </cell>
          <cell r="AJ263">
            <v>-2455</v>
          </cell>
          <cell r="AK263">
            <v>67522.157142857148</v>
          </cell>
          <cell r="AM263">
            <v>17399.198571428577</v>
          </cell>
        </row>
        <row r="264">
          <cell r="F264">
            <v>41877</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41877</v>
          </cell>
        </row>
        <row r="265">
          <cell r="F265">
            <v>15510</v>
          </cell>
          <cell r="P265">
            <v>168</v>
          </cell>
          <cell r="Q265">
            <v>108</v>
          </cell>
          <cell r="R265">
            <v>60</v>
          </cell>
          <cell r="S265">
            <v>0</v>
          </cell>
          <cell r="T265">
            <v>16</v>
          </cell>
          <cell r="U265">
            <v>405.33333333333348</v>
          </cell>
          <cell r="AI265">
            <v>0</v>
          </cell>
          <cell r="AK265">
            <v>15510</v>
          </cell>
        </row>
        <row r="266">
          <cell r="F266">
            <v>6362.1571428571433</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6362.1571428571433</v>
          </cell>
        </row>
        <row r="267">
          <cell r="F267">
            <v>660.3</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660.3</v>
          </cell>
        </row>
        <row r="268">
          <cell r="F268">
            <v>0</v>
          </cell>
          <cell r="P268">
            <v>0</v>
          </cell>
          <cell r="Q268">
            <v>0</v>
          </cell>
          <cell r="R268">
            <v>0</v>
          </cell>
          <cell r="S268">
            <v>0</v>
          </cell>
          <cell r="U268">
            <v>0</v>
          </cell>
          <cell r="V268">
            <v>11</v>
          </cell>
          <cell r="X268">
            <v>0</v>
          </cell>
          <cell r="AC268">
            <v>0</v>
          </cell>
          <cell r="AF268">
            <v>0</v>
          </cell>
          <cell r="AG268">
            <v>0</v>
          </cell>
          <cell r="AH268">
            <v>0</v>
          </cell>
          <cell r="AI268">
            <v>295</v>
          </cell>
          <cell r="AK268">
            <v>0</v>
          </cell>
        </row>
        <row r="269">
          <cell r="F269">
            <v>1380.8571428571431</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1380.8571428571431</v>
          </cell>
        </row>
        <row r="270">
          <cell r="F270">
            <v>3500</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3500</v>
          </cell>
        </row>
        <row r="271">
          <cell r="F271">
            <v>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0</v>
          </cell>
        </row>
        <row r="272">
          <cell r="F272">
            <v>821</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821</v>
          </cell>
        </row>
        <row r="273">
          <cell r="F273">
            <v>3580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3580</v>
          </cell>
        </row>
        <row r="274">
          <cell r="F274">
            <v>193</v>
          </cell>
          <cell r="P274">
            <v>0</v>
          </cell>
          <cell r="S274">
            <v>0</v>
          </cell>
          <cell r="X274">
            <v>0</v>
          </cell>
          <cell r="AC274">
            <v>0</v>
          </cell>
          <cell r="AF274">
            <v>0</v>
          </cell>
          <cell r="AG274">
            <v>0</v>
          </cell>
          <cell r="AH274">
            <v>0</v>
          </cell>
          <cell r="AI274">
            <v>1640</v>
          </cell>
          <cell r="AK274">
            <v>193</v>
          </cell>
        </row>
        <row r="275">
          <cell r="F275">
            <v>71606.157142857148</v>
          </cell>
          <cell r="P275">
            <v>5528.9166666666661</v>
          </cell>
          <cell r="Q275">
            <v>0</v>
          </cell>
          <cell r="R275">
            <v>0</v>
          </cell>
          <cell r="S275">
            <v>11148.516969696972</v>
          </cell>
          <cell r="T275">
            <v>0</v>
          </cell>
          <cell r="U275">
            <v>0</v>
          </cell>
          <cell r="V275">
            <v>0</v>
          </cell>
          <cell r="W275">
            <v>0</v>
          </cell>
          <cell r="X275">
            <v>3572.9196969697005</v>
          </cell>
          <cell r="Y275">
            <v>0</v>
          </cell>
          <cell r="Z275">
            <v>0</v>
          </cell>
          <cell r="AA275">
            <v>0</v>
          </cell>
          <cell r="AB275">
            <v>0</v>
          </cell>
          <cell r="AC275">
            <v>1815.6175757575729</v>
          </cell>
          <cell r="AD275">
            <v>0</v>
          </cell>
          <cell r="AE275">
            <v>0</v>
          </cell>
          <cell r="AF275">
            <v>5288.3842424242421</v>
          </cell>
          <cell r="AG275">
            <v>4487.3999999999996</v>
          </cell>
          <cell r="AH275">
            <v>801.98424242424232</v>
          </cell>
          <cell r="AI275">
            <v>952</v>
          </cell>
          <cell r="AK275">
            <v>100170.5122943723</v>
          </cell>
        </row>
        <row r="276">
          <cell r="F276">
            <v>1896</v>
          </cell>
          <cell r="P276">
            <v>1854.9166666666667</v>
          </cell>
          <cell r="Q276">
            <v>0</v>
          </cell>
          <cell r="R276">
            <v>0</v>
          </cell>
          <cell r="S276">
            <v>5871.4866666666667</v>
          </cell>
          <cell r="T276">
            <v>710.90664848484835</v>
          </cell>
          <cell r="U276">
            <v>725.94365454545448</v>
          </cell>
          <cell r="V276">
            <v>0</v>
          </cell>
          <cell r="W276">
            <v>0</v>
          </cell>
          <cell r="X276">
            <v>1753.95</v>
          </cell>
          <cell r="Y276">
            <v>549</v>
          </cell>
          <cell r="Z276">
            <v>479.58636363636367</v>
          </cell>
          <cell r="AA276">
            <v>0</v>
          </cell>
          <cell r="AB276">
            <v>9</v>
          </cell>
          <cell r="AC276">
            <v>853.19333333333338</v>
          </cell>
          <cell r="AD276">
            <v>149</v>
          </cell>
          <cell r="AE276">
            <v>219.28424242424248</v>
          </cell>
          <cell r="AF276">
            <v>3262.9266666666667</v>
          </cell>
          <cell r="AG276">
            <v>2588.909090909091</v>
          </cell>
          <cell r="AH276">
            <v>674.01757575757563</v>
          </cell>
          <cell r="AI276">
            <v>1370</v>
          </cell>
          <cell r="AK276">
            <v>16370.473333333333</v>
          </cell>
        </row>
        <row r="277">
          <cell r="F277">
            <v>587</v>
          </cell>
          <cell r="G277">
            <v>162</v>
          </cell>
          <cell r="H277">
            <v>425</v>
          </cell>
          <cell r="P277">
            <v>953.25</v>
          </cell>
          <cell r="Q277">
            <v>0</v>
          </cell>
          <cell r="R277">
            <v>0</v>
          </cell>
          <cell r="S277">
            <v>1921.8199999999997</v>
          </cell>
          <cell r="T277">
            <v>697.23998181818172</v>
          </cell>
          <cell r="U277">
            <v>725.94365454545448</v>
          </cell>
          <cell r="V277">
            <v>0</v>
          </cell>
          <cell r="W277">
            <v>0</v>
          </cell>
          <cell r="X277">
            <v>639.95000000000005</v>
          </cell>
          <cell r="Y277">
            <v>204</v>
          </cell>
          <cell r="Z277">
            <v>177.58636363636367</v>
          </cell>
          <cell r="AA277">
            <v>0</v>
          </cell>
          <cell r="AB277">
            <v>9</v>
          </cell>
          <cell r="AC277">
            <v>535.86</v>
          </cell>
          <cell r="AD277">
            <v>144</v>
          </cell>
          <cell r="AE277">
            <v>210.95090909090914</v>
          </cell>
          <cell r="AF277">
            <v>1759.96</v>
          </cell>
          <cell r="AG277">
            <v>1759.909090909091</v>
          </cell>
          <cell r="AH277">
            <v>5.0909090909044608E-2</v>
          </cell>
          <cell r="AI277">
            <v>710</v>
          </cell>
          <cell r="AK277">
            <v>6760.8399999999992</v>
          </cell>
        </row>
        <row r="278">
          <cell r="F278">
            <v>0</v>
          </cell>
          <cell r="G278">
            <v>158</v>
          </cell>
          <cell r="H278">
            <v>429</v>
          </cell>
          <cell r="P278">
            <v>0</v>
          </cell>
          <cell r="Q278">
            <v>0</v>
          </cell>
          <cell r="R278">
            <v>0</v>
          </cell>
          <cell r="S278">
            <v>13.666666666666666</v>
          </cell>
          <cell r="T278">
            <v>13.666666666666666</v>
          </cell>
          <cell r="U278">
            <v>0</v>
          </cell>
          <cell r="V278">
            <v>0</v>
          </cell>
          <cell r="W278">
            <v>0</v>
          </cell>
          <cell r="X278">
            <v>647</v>
          </cell>
          <cell r="Y278">
            <v>345</v>
          </cell>
          <cell r="Z278">
            <v>302</v>
          </cell>
          <cell r="AA278">
            <v>0</v>
          </cell>
          <cell r="AB278">
            <v>0</v>
          </cell>
          <cell r="AC278">
            <v>-0.66666666666666607</v>
          </cell>
          <cell r="AD278">
            <v>5</v>
          </cell>
          <cell r="AE278">
            <v>8.3333333333333339</v>
          </cell>
          <cell r="AF278">
            <v>0.3</v>
          </cell>
          <cell r="AG278">
            <v>0</v>
          </cell>
          <cell r="AH278">
            <v>0.3</v>
          </cell>
          <cell r="AI278">
            <v>1174.4000000000001</v>
          </cell>
          <cell r="AK278">
            <v>660.3</v>
          </cell>
        </row>
        <row r="279">
          <cell r="F279">
            <v>1304</v>
          </cell>
          <cell r="P279">
            <v>843</v>
          </cell>
          <cell r="Q279">
            <v>0</v>
          </cell>
          <cell r="R279">
            <v>0</v>
          </cell>
          <cell r="S279">
            <v>1316</v>
          </cell>
          <cell r="T279">
            <v>0</v>
          </cell>
          <cell r="U279">
            <v>0</v>
          </cell>
          <cell r="V279">
            <v>0</v>
          </cell>
          <cell r="W279">
            <v>0</v>
          </cell>
          <cell r="X279">
            <v>447</v>
          </cell>
          <cell r="Y279">
            <v>0</v>
          </cell>
          <cell r="Z279">
            <v>0</v>
          </cell>
          <cell r="AA279">
            <v>0</v>
          </cell>
          <cell r="AB279">
            <v>9</v>
          </cell>
          <cell r="AC279">
            <v>318</v>
          </cell>
          <cell r="AD279">
            <v>0</v>
          </cell>
          <cell r="AE279">
            <v>0</v>
          </cell>
          <cell r="AF279">
            <v>602</v>
          </cell>
          <cell r="AG279">
            <v>559</v>
          </cell>
          <cell r="AH279">
            <v>43</v>
          </cell>
          <cell r="AI279">
            <v>4</v>
          </cell>
          <cell r="AK279">
            <v>4987</v>
          </cell>
        </row>
        <row r="280">
          <cell r="F280">
            <v>159</v>
          </cell>
          <cell r="P280">
            <v>260</v>
          </cell>
          <cell r="Q280">
            <v>0</v>
          </cell>
          <cell r="R280">
            <v>0</v>
          </cell>
          <cell r="S280">
            <v>650</v>
          </cell>
          <cell r="T280">
            <v>0</v>
          </cell>
          <cell r="U280">
            <v>0</v>
          </cell>
          <cell r="V280">
            <v>0</v>
          </cell>
          <cell r="W280">
            <v>0</v>
          </cell>
          <cell r="X280">
            <v>132</v>
          </cell>
          <cell r="Y280">
            <v>0</v>
          </cell>
          <cell r="Z280">
            <v>0</v>
          </cell>
          <cell r="AA280">
            <v>0</v>
          </cell>
          <cell r="AB280">
            <v>9</v>
          </cell>
          <cell r="AC280">
            <v>105</v>
          </cell>
          <cell r="AD280">
            <v>0</v>
          </cell>
          <cell r="AE280">
            <v>0</v>
          </cell>
          <cell r="AF280">
            <v>520</v>
          </cell>
          <cell r="AG280">
            <v>482</v>
          </cell>
          <cell r="AH280">
            <v>38</v>
          </cell>
          <cell r="AI280">
            <v>814.4</v>
          </cell>
          <cell r="AK280">
            <v>1860</v>
          </cell>
        </row>
        <row r="281">
          <cell r="F281">
            <v>765</v>
          </cell>
          <cell r="P281">
            <v>13</v>
          </cell>
          <cell r="S281">
            <v>21</v>
          </cell>
          <cell r="X281">
            <v>29</v>
          </cell>
          <cell r="AC281">
            <v>66</v>
          </cell>
          <cell r="AF281">
            <v>16</v>
          </cell>
          <cell r="AG281">
            <v>11</v>
          </cell>
          <cell r="AH281">
            <v>5</v>
          </cell>
          <cell r="AI281">
            <v>356</v>
          </cell>
          <cell r="AK281">
            <v>1033</v>
          </cell>
        </row>
        <row r="282">
          <cell r="F282">
            <v>60</v>
          </cell>
          <cell r="P282">
            <v>370</v>
          </cell>
          <cell r="S282">
            <v>480</v>
          </cell>
          <cell r="X282">
            <v>100</v>
          </cell>
          <cell r="AC282">
            <v>100</v>
          </cell>
          <cell r="AF282">
            <v>0</v>
          </cell>
          <cell r="AG282">
            <v>0</v>
          </cell>
          <cell r="AH282">
            <v>0</v>
          </cell>
          <cell r="AI282">
            <v>250</v>
          </cell>
          <cell r="AK282">
            <v>1110</v>
          </cell>
        </row>
        <row r="283">
          <cell r="F283">
            <v>320</v>
          </cell>
          <cell r="P283">
            <v>200</v>
          </cell>
          <cell r="Q283">
            <v>0</v>
          </cell>
          <cell r="R283">
            <v>0</v>
          </cell>
          <cell r="S283">
            <v>165</v>
          </cell>
          <cell r="T283">
            <v>0</v>
          </cell>
          <cell r="U283">
            <v>0</v>
          </cell>
          <cell r="V283">
            <v>0</v>
          </cell>
          <cell r="W283">
            <v>0</v>
          </cell>
          <cell r="X283">
            <v>186</v>
          </cell>
          <cell r="Y283">
            <v>0</v>
          </cell>
          <cell r="Z283">
            <v>0</v>
          </cell>
          <cell r="AA283">
            <v>0</v>
          </cell>
          <cell r="AB283">
            <v>9</v>
          </cell>
          <cell r="AC283">
            <v>47</v>
          </cell>
          <cell r="AD283">
            <v>0</v>
          </cell>
          <cell r="AE283">
            <v>0</v>
          </cell>
          <cell r="AF283">
            <v>66</v>
          </cell>
          <cell r="AG283">
            <v>66</v>
          </cell>
          <cell r="AH283">
            <v>0</v>
          </cell>
          <cell r="AI283" t="e">
            <v>#REF!</v>
          </cell>
          <cell r="AJ283">
            <v>0</v>
          </cell>
          <cell r="AK283">
            <v>984</v>
          </cell>
        </row>
        <row r="284">
          <cell r="F284">
            <v>5</v>
          </cell>
          <cell r="P284">
            <v>58.666666666666664</v>
          </cell>
          <cell r="Q284">
            <v>0</v>
          </cell>
          <cell r="R284">
            <v>0</v>
          </cell>
          <cell r="S284">
            <v>2370</v>
          </cell>
          <cell r="T284">
            <v>0</v>
          </cell>
          <cell r="U284">
            <v>0</v>
          </cell>
          <cell r="V284">
            <v>0</v>
          </cell>
          <cell r="W284">
            <v>0</v>
          </cell>
          <cell r="X284">
            <v>20</v>
          </cell>
          <cell r="Y284">
            <v>0</v>
          </cell>
          <cell r="Z284">
            <v>0</v>
          </cell>
          <cell r="AA284">
            <v>0</v>
          </cell>
          <cell r="AB284">
            <v>0</v>
          </cell>
          <cell r="AC284">
            <v>0</v>
          </cell>
          <cell r="AD284">
            <v>0</v>
          </cell>
          <cell r="AE284">
            <v>0</v>
          </cell>
          <cell r="AF284">
            <v>900.66666666666663</v>
          </cell>
          <cell r="AG284">
            <v>270</v>
          </cell>
          <cell r="AH284">
            <v>630.66666666666663</v>
          </cell>
          <cell r="AI284">
            <v>0</v>
          </cell>
          <cell r="AJ284">
            <v>0</v>
          </cell>
          <cell r="AK284">
            <v>3712.333333333333</v>
          </cell>
        </row>
        <row r="285">
          <cell r="F285">
            <v>0</v>
          </cell>
          <cell r="P285">
            <v>0</v>
          </cell>
          <cell r="Q285">
            <v>0</v>
          </cell>
          <cell r="R285">
            <v>0</v>
          </cell>
          <cell r="S285">
            <v>0</v>
          </cell>
          <cell r="T285">
            <v>0</v>
          </cell>
          <cell r="U285">
            <v>0</v>
          </cell>
          <cell r="V285">
            <v>0</v>
          </cell>
          <cell r="W285">
            <v>0</v>
          </cell>
          <cell r="X285">
            <v>20</v>
          </cell>
          <cell r="Y285">
            <v>0</v>
          </cell>
          <cell r="Z285">
            <v>0</v>
          </cell>
          <cell r="AA285">
            <v>0</v>
          </cell>
          <cell r="AB285">
            <v>0</v>
          </cell>
          <cell r="AC285">
            <v>0</v>
          </cell>
          <cell r="AD285">
            <v>0</v>
          </cell>
          <cell r="AE285">
            <v>0</v>
          </cell>
          <cell r="AF285">
            <v>0</v>
          </cell>
          <cell r="AG285">
            <v>0</v>
          </cell>
          <cell r="AH285">
            <v>0</v>
          </cell>
          <cell r="AI285">
            <v>14738.47387878788</v>
          </cell>
          <cell r="AK285">
            <v>20</v>
          </cell>
        </row>
        <row r="286">
          <cell r="F286">
            <v>5</v>
          </cell>
          <cell r="P286">
            <v>58.666666666666664</v>
          </cell>
          <cell r="S286">
            <v>2370</v>
          </cell>
          <cell r="X286">
            <v>0</v>
          </cell>
          <cell r="AC286">
            <v>0</v>
          </cell>
          <cell r="AF286">
            <v>900.66666666666663</v>
          </cell>
          <cell r="AG286">
            <v>270</v>
          </cell>
          <cell r="AH286">
            <v>630.66666666666663</v>
          </cell>
          <cell r="AI286">
            <v>5357.15</v>
          </cell>
          <cell r="AK286">
            <v>3334.333333333333</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358</v>
          </cell>
        </row>
        <row r="288">
          <cell r="F288">
            <v>0</v>
          </cell>
          <cell r="P288">
            <v>0</v>
          </cell>
          <cell r="S288">
            <v>250</v>
          </cell>
          <cell r="X288">
            <v>0</v>
          </cell>
          <cell r="AC288">
            <v>0</v>
          </cell>
          <cell r="AF288">
            <v>0</v>
          </cell>
          <cell r="AG288">
            <v>0</v>
          </cell>
          <cell r="AH288">
            <v>0</v>
          </cell>
          <cell r="AI288">
            <v>0</v>
          </cell>
          <cell r="AK288">
            <v>250</v>
          </cell>
        </row>
        <row r="289">
          <cell r="F289">
            <v>69710.157142857148</v>
          </cell>
          <cell r="P289">
            <v>3673.9999999999991</v>
          </cell>
          <cell r="Q289">
            <v>0</v>
          </cell>
          <cell r="R289">
            <v>0</v>
          </cell>
          <cell r="S289">
            <v>5277.0303030303048</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127.9666666666667</v>
          </cell>
          <cell r="AI289">
            <v>0</v>
          </cell>
          <cell r="AK289">
            <v>83800.038961038968</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0</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18808.215151515153</v>
          </cell>
        </row>
        <row r="292">
          <cell r="F292">
            <v>1758</v>
          </cell>
          <cell r="P292">
            <v>3177</v>
          </cell>
          <cell r="Q292">
            <v>0</v>
          </cell>
          <cell r="R292">
            <v>0</v>
          </cell>
          <cell r="S292">
            <v>2737</v>
          </cell>
          <cell r="T292">
            <v>0</v>
          </cell>
          <cell r="U292">
            <v>0</v>
          </cell>
          <cell r="V292">
            <v>0</v>
          </cell>
          <cell r="W292">
            <v>0</v>
          </cell>
          <cell r="X292">
            <v>125</v>
          </cell>
          <cell r="Y292">
            <v>0</v>
          </cell>
          <cell r="Z292">
            <v>0</v>
          </cell>
          <cell r="AA292">
            <v>0</v>
          </cell>
          <cell r="AB292">
            <v>0</v>
          </cell>
          <cell r="AC292">
            <v>70</v>
          </cell>
          <cell r="AD292">
            <v>0</v>
          </cell>
          <cell r="AE292">
            <v>0</v>
          </cell>
          <cell r="AF292">
            <v>861</v>
          </cell>
          <cell r="AG292">
            <v>461</v>
          </cell>
          <cell r="AH292">
            <v>0</v>
          </cell>
          <cell r="AI292">
            <v>595.26666666666665</v>
          </cell>
          <cell r="AK292">
            <v>8743</v>
          </cell>
        </row>
        <row r="293">
          <cell r="F293">
            <v>320</v>
          </cell>
          <cell r="P293">
            <v>440</v>
          </cell>
          <cell r="Q293">
            <v>0</v>
          </cell>
          <cell r="R293">
            <v>0</v>
          </cell>
          <cell r="S293">
            <v>1504.3636363636365</v>
          </cell>
          <cell r="T293">
            <v>0</v>
          </cell>
          <cell r="U293">
            <v>0</v>
          </cell>
          <cell r="V293">
            <v>0</v>
          </cell>
          <cell r="W293">
            <v>0</v>
          </cell>
          <cell r="X293">
            <v>1340.6363636363635</v>
          </cell>
          <cell r="Y293">
            <v>0</v>
          </cell>
          <cell r="Z293">
            <v>0</v>
          </cell>
          <cell r="AA293">
            <v>0</v>
          </cell>
          <cell r="AB293">
            <v>0</v>
          </cell>
          <cell r="AC293">
            <v>495.09090909090912</v>
          </cell>
          <cell r="AD293">
            <v>0</v>
          </cell>
          <cell r="AE293">
            <v>0</v>
          </cell>
          <cell r="AF293">
            <v>739.09090909090912</v>
          </cell>
          <cell r="AG293">
            <v>306.09090909090912</v>
          </cell>
          <cell r="AH293">
            <v>433</v>
          </cell>
          <cell r="AI293">
            <v>4491.7666666666664</v>
          </cell>
          <cell r="AK293">
            <v>4839.181818181818</v>
          </cell>
        </row>
        <row r="294">
          <cell r="F294">
            <v>0</v>
          </cell>
          <cell r="P294">
            <v>0</v>
          </cell>
          <cell r="Q294">
            <v>0</v>
          </cell>
          <cell r="R294">
            <v>0</v>
          </cell>
          <cell r="S294">
            <v>0</v>
          </cell>
          <cell r="T294">
            <v>0</v>
          </cell>
          <cell r="U294">
            <v>0</v>
          </cell>
          <cell r="V294">
            <v>0</v>
          </cell>
          <cell r="W294">
            <v>0</v>
          </cell>
          <cell r="X294">
            <v>0</v>
          </cell>
          <cell r="Y294">
            <v>0</v>
          </cell>
          <cell r="Z294">
            <v>0</v>
          </cell>
          <cell r="AA294">
            <v>0</v>
          </cell>
          <cell r="AB294">
            <v>0</v>
          </cell>
          <cell r="AC294">
            <v>0</v>
          </cell>
          <cell r="AD294">
            <v>0</v>
          </cell>
          <cell r="AE294">
            <v>0</v>
          </cell>
          <cell r="AF294">
            <v>0</v>
          </cell>
          <cell r="AG294">
            <v>0</v>
          </cell>
          <cell r="AH294">
            <v>0</v>
          </cell>
          <cell r="AI294">
            <v>0</v>
          </cell>
          <cell r="AK294">
            <v>0</v>
          </cell>
        </row>
        <row r="295">
          <cell r="F295">
            <v>0</v>
          </cell>
          <cell r="P295">
            <v>0</v>
          </cell>
          <cell r="S295">
            <v>0</v>
          </cell>
          <cell r="X295">
            <v>0</v>
          </cell>
          <cell r="AC295">
            <v>0</v>
          </cell>
          <cell r="AF295">
            <v>0</v>
          </cell>
          <cell r="AG295">
            <v>0</v>
          </cell>
          <cell r="AH295">
            <v>0</v>
          </cell>
          <cell r="AI295">
            <v>12</v>
          </cell>
          <cell r="AK295">
            <v>0</v>
          </cell>
        </row>
        <row r="296">
          <cell r="F296">
            <v>2550</v>
          </cell>
          <cell r="P296">
            <v>147</v>
          </cell>
          <cell r="Q296">
            <v>0</v>
          </cell>
          <cell r="R296">
            <v>0</v>
          </cell>
          <cell r="S296">
            <v>1035.6666666666667</v>
          </cell>
          <cell r="T296">
            <v>0</v>
          </cell>
          <cell r="U296">
            <v>0</v>
          </cell>
          <cell r="V296">
            <v>0</v>
          </cell>
          <cell r="W296">
            <v>0</v>
          </cell>
          <cell r="X296">
            <v>353.33333333333331</v>
          </cell>
          <cell r="Y296">
            <v>0</v>
          </cell>
          <cell r="Z296">
            <v>0</v>
          </cell>
          <cell r="AA296">
            <v>0</v>
          </cell>
          <cell r="AB296">
            <v>0</v>
          </cell>
          <cell r="AC296">
            <v>396.66666666666663</v>
          </cell>
          <cell r="AD296">
            <v>0</v>
          </cell>
          <cell r="AE296">
            <v>0</v>
          </cell>
          <cell r="AF296">
            <v>429.36666666666667</v>
          </cell>
          <cell r="AG296">
            <v>293.39999999999998</v>
          </cell>
          <cell r="AH296">
            <v>135.96666666666664</v>
          </cell>
          <cell r="AI296" t="e">
            <v>#REF!</v>
          </cell>
          <cell r="AK296">
            <v>5229.0333333333338</v>
          </cell>
        </row>
        <row r="297">
          <cell r="F297">
            <v>2</v>
          </cell>
          <cell r="P297">
            <v>0</v>
          </cell>
          <cell r="Q297">
            <v>0</v>
          </cell>
          <cell r="R297">
            <v>0</v>
          </cell>
          <cell r="S297">
            <v>219</v>
          </cell>
          <cell r="T297">
            <v>0</v>
          </cell>
          <cell r="U297">
            <v>0</v>
          </cell>
          <cell r="V297">
            <v>0</v>
          </cell>
          <cell r="W297">
            <v>0</v>
          </cell>
          <cell r="X297">
            <v>93.666666666666629</v>
          </cell>
          <cell r="Y297">
            <v>0</v>
          </cell>
          <cell r="Z297">
            <v>0</v>
          </cell>
          <cell r="AA297">
            <v>0</v>
          </cell>
          <cell r="AB297">
            <v>0</v>
          </cell>
          <cell r="AC297">
            <v>93</v>
          </cell>
          <cell r="AD297">
            <v>0</v>
          </cell>
          <cell r="AE297">
            <v>0</v>
          </cell>
          <cell r="AF297">
            <v>0</v>
          </cell>
          <cell r="AG297">
            <v>0</v>
          </cell>
          <cell r="AH297">
            <v>0</v>
          </cell>
          <cell r="AI297">
            <v>0</v>
          </cell>
          <cell r="AK297">
            <v>441.66666666666663</v>
          </cell>
        </row>
        <row r="298">
          <cell r="F298">
            <v>2</v>
          </cell>
          <cell r="P298">
            <v>41.333333333333336</v>
          </cell>
          <cell r="S298">
            <v>574</v>
          </cell>
          <cell r="X298">
            <v>171</v>
          </cell>
          <cell r="AC298">
            <v>234.33333333333331</v>
          </cell>
          <cell r="AF298">
            <v>179.03333333333333</v>
          </cell>
          <cell r="AG298">
            <v>110</v>
          </cell>
          <cell r="AH298">
            <v>69.033333333333346</v>
          </cell>
          <cell r="AK298">
            <v>1201.7</v>
          </cell>
        </row>
        <row r="299">
          <cell r="F299">
            <v>2546</v>
          </cell>
          <cell r="G299">
            <v>0</v>
          </cell>
          <cell r="H299">
            <v>0</v>
          </cell>
          <cell r="P299">
            <v>105.66666666666667</v>
          </cell>
          <cell r="Q299">
            <v>0</v>
          </cell>
          <cell r="R299">
            <v>0</v>
          </cell>
          <cell r="S299">
            <v>242.66666666666666</v>
          </cell>
          <cell r="T299">
            <v>-611.67619393939378</v>
          </cell>
          <cell r="U299">
            <v>-622.76501818181805</v>
          </cell>
          <cell r="V299">
            <v>0</v>
          </cell>
          <cell r="W299">
            <v>0</v>
          </cell>
          <cell r="X299">
            <v>88.666666666666671</v>
          </cell>
          <cell r="Y299">
            <v>-790</v>
          </cell>
          <cell r="Z299">
            <v>-326.08636363636373</v>
          </cell>
          <cell r="AA299">
            <v>0</v>
          </cell>
          <cell r="AB299">
            <v>0</v>
          </cell>
          <cell r="AC299">
            <v>69.333333333333343</v>
          </cell>
          <cell r="AF299">
            <v>250.33333333333331</v>
          </cell>
          <cell r="AG299">
            <v>183.4</v>
          </cell>
          <cell r="AH299">
            <v>66.933333333333309</v>
          </cell>
          <cell r="AI299" t="e">
            <v>#REF!</v>
          </cell>
          <cell r="AK299">
            <v>3585.6666666666665</v>
          </cell>
        </row>
        <row r="300">
          <cell r="F300">
            <v>3058</v>
          </cell>
          <cell r="P300">
            <v>0</v>
          </cell>
          <cell r="S300">
            <v>172.46666666666664</v>
          </cell>
          <cell r="X300">
            <v>142.33666666666667</v>
          </cell>
          <cell r="AC300">
            <v>56.933333333333337</v>
          </cell>
          <cell r="AF300">
            <v>0</v>
          </cell>
          <cell r="AG300">
            <v>0</v>
          </cell>
          <cell r="AH300">
            <v>0</v>
          </cell>
          <cell r="AI300">
            <v>0</v>
          </cell>
          <cell r="AK300">
            <v>0</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-3</v>
          </cell>
          <cell r="AG301">
            <v>5</v>
          </cell>
          <cell r="AH301">
            <v>-8</v>
          </cell>
          <cell r="AI301">
            <v>0</v>
          </cell>
          <cell r="AK301">
            <v>-3</v>
          </cell>
        </row>
        <row r="302">
          <cell r="F302">
            <v>69710.157142857148</v>
          </cell>
          <cell r="P302">
            <v>3673.9999999999991</v>
          </cell>
          <cell r="Q302">
            <v>0</v>
          </cell>
          <cell r="R302">
            <v>0</v>
          </cell>
          <cell r="S302">
            <v>5277.0303030303048</v>
          </cell>
          <cell r="T302">
            <v>-710.90664848484835</v>
          </cell>
          <cell r="U302">
            <v>-725.94365454545448</v>
          </cell>
          <cell r="V302">
            <v>0</v>
          </cell>
          <cell r="W302">
            <v>0</v>
          </cell>
          <cell r="X302">
            <v>1818.9696969697004</v>
          </cell>
          <cell r="Y302">
            <v>-549</v>
          </cell>
          <cell r="Z302">
            <v>-479.58636363636367</v>
          </cell>
          <cell r="AA302">
            <v>0</v>
          </cell>
          <cell r="AB302">
            <v>-9</v>
          </cell>
          <cell r="AC302">
            <v>962.42424242423954</v>
          </cell>
          <cell r="AD302">
            <v>-149</v>
          </cell>
          <cell r="AE302">
            <v>-219.28424242424248</v>
          </cell>
          <cell r="AF302">
            <v>2025.4575757575753</v>
          </cell>
          <cell r="AG302">
            <v>1898.4909090909086</v>
          </cell>
          <cell r="AH302">
            <v>127.9666666666667</v>
          </cell>
          <cell r="AI302">
            <v>0</v>
          </cell>
          <cell r="AK302">
            <v>83800.038961038968</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191</v>
          </cell>
          <cell r="AI303">
            <v>0</v>
          </cell>
          <cell r="AK303">
            <v>0</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0</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0</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83800.038961038968</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0</v>
          </cell>
        </row>
        <row r="312">
          <cell r="P312">
            <v>0</v>
          </cell>
          <cell r="AK312">
            <v>0</v>
          </cell>
        </row>
        <row r="313">
          <cell r="P313">
            <v>0</v>
          </cell>
          <cell r="S313">
            <v>0</v>
          </cell>
          <cell r="AI313">
            <v>0</v>
          </cell>
          <cell r="AK313">
            <v>0</v>
          </cell>
        </row>
        <row r="314">
          <cell r="F314">
            <v>3480</v>
          </cell>
          <cell r="S314">
            <v>0</v>
          </cell>
          <cell r="AK314">
            <v>3480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5277.0303030303048</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1910</v>
          </cell>
          <cell r="AM331">
            <v>1430</v>
          </cell>
        </row>
        <row r="332">
          <cell r="F332">
            <v>160</v>
          </cell>
          <cell r="P332">
            <v>319</v>
          </cell>
          <cell r="S332">
            <v>425</v>
          </cell>
          <cell r="X332">
            <v>175</v>
          </cell>
          <cell r="AC332">
            <v>147</v>
          </cell>
          <cell r="AF332">
            <v>480</v>
          </cell>
          <cell r="AG332">
            <v>418</v>
          </cell>
          <cell r="AH332">
            <v>62</v>
          </cell>
          <cell r="AI332">
            <v>538</v>
          </cell>
          <cell r="AJ332">
            <v>36</v>
          </cell>
          <cell r="AK332">
            <v>6362.1571428571433</v>
          </cell>
          <cell r="AM332">
            <v>6362.1571428571433</v>
          </cell>
        </row>
        <row r="333">
          <cell r="AI333" t="e">
            <v>#REF!</v>
          </cell>
          <cell r="AJ333">
            <v>36</v>
          </cell>
          <cell r="AK333">
            <v>660.3</v>
          </cell>
          <cell r="AM333">
            <v>660.3</v>
          </cell>
        </row>
        <row r="334">
          <cell r="AI334">
            <v>0</v>
          </cell>
          <cell r="AJ334">
            <v>36</v>
          </cell>
          <cell r="AK334">
            <v>-3</v>
          </cell>
          <cell r="AM334">
            <v>0</v>
          </cell>
        </row>
        <row r="335">
          <cell r="AI335">
            <v>5357.15</v>
          </cell>
          <cell r="AJ335">
            <v>36</v>
          </cell>
          <cell r="AK335">
            <v>1380.8571428571431</v>
          </cell>
          <cell r="AM335">
            <v>1380.8571428571431</v>
          </cell>
        </row>
        <row r="336">
          <cell r="AI336">
            <v>4025.8545454545456</v>
          </cell>
          <cell r="AK336">
            <v>3500</v>
          </cell>
          <cell r="AM336">
            <v>3500</v>
          </cell>
        </row>
        <row r="337">
          <cell r="AI337">
            <v>0</v>
          </cell>
          <cell r="AK337">
            <v>0</v>
          </cell>
          <cell r="AM337">
            <v>3500</v>
          </cell>
        </row>
        <row r="338">
          <cell r="AI338">
            <v>0</v>
          </cell>
          <cell r="AK338">
            <v>821</v>
          </cell>
          <cell r="AM338">
            <v>821</v>
          </cell>
        </row>
        <row r="339">
          <cell r="AI339">
            <v>0</v>
          </cell>
          <cell r="AK339">
            <v>3580</v>
          </cell>
          <cell r="AM339">
            <v>1200</v>
          </cell>
        </row>
        <row r="340">
          <cell r="AI340">
            <v>4672</v>
          </cell>
          <cell r="AK340">
            <v>0</v>
          </cell>
          <cell r="AM340">
            <v>0</v>
          </cell>
        </row>
        <row r="341">
          <cell r="AI341">
            <v>1640</v>
          </cell>
          <cell r="AK341">
            <v>8743</v>
          </cell>
          <cell r="AM341">
            <v>7882</v>
          </cell>
        </row>
        <row r="342">
          <cell r="AI342">
            <v>952</v>
          </cell>
          <cell r="AK342">
            <v>4839.181818181818</v>
          </cell>
          <cell r="AM342">
            <v>4100.090909090909</v>
          </cell>
        </row>
        <row r="343">
          <cell r="AI343">
            <v>1370</v>
          </cell>
          <cell r="AK343">
            <v>0</v>
          </cell>
          <cell r="AM343">
            <v>0</v>
          </cell>
        </row>
        <row r="344">
          <cell r="AI344">
            <v>710</v>
          </cell>
          <cell r="AK344">
            <v>0</v>
          </cell>
          <cell r="AM344">
            <v>0</v>
          </cell>
        </row>
        <row r="345">
          <cell r="AI345">
            <v>0</v>
          </cell>
          <cell r="AK345">
            <v>0</v>
          </cell>
          <cell r="AM345">
            <v>0</v>
          </cell>
        </row>
        <row r="346">
          <cell r="AI346">
            <v>4</v>
          </cell>
          <cell r="AK346">
            <v>4987</v>
          </cell>
          <cell r="AM346">
            <v>4385</v>
          </cell>
        </row>
        <row r="347">
          <cell r="AI347">
            <v>814.4</v>
          </cell>
          <cell r="AK347">
            <v>1860</v>
          </cell>
          <cell r="AM347">
            <v>1340</v>
          </cell>
        </row>
        <row r="348">
          <cell r="P348">
            <v>225</v>
          </cell>
          <cell r="S348">
            <v>296</v>
          </cell>
          <cell r="X348">
            <v>56</v>
          </cell>
          <cell r="AC348">
            <v>-4.9636363636363825</v>
          </cell>
          <cell r="AF348">
            <v>800.72727272727275</v>
          </cell>
          <cell r="AG348">
            <v>801</v>
          </cell>
          <cell r="AH348">
            <v>-0.27272727272728048</v>
          </cell>
          <cell r="AI348">
            <v>1372.7636363636364</v>
          </cell>
          <cell r="AK348">
            <v>1033</v>
          </cell>
          <cell r="AM348">
            <v>1017</v>
          </cell>
        </row>
        <row r="349">
          <cell r="AI349">
            <v>0</v>
          </cell>
          <cell r="AK349">
            <v>1110</v>
          </cell>
          <cell r="AM349">
            <v>1041</v>
          </cell>
        </row>
        <row r="350">
          <cell r="F350">
            <v>33</v>
          </cell>
          <cell r="P350">
            <v>0</v>
          </cell>
          <cell r="S350">
            <v>0</v>
          </cell>
          <cell r="X350">
            <v>0</v>
          </cell>
          <cell r="AC350">
            <v>0</v>
          </cell>
          <cell r="AF350">
            <v>0</v>
          </cell>
          <cell r="AG350">
            <v>0</v>
          </cell>
          <cell r="AH350">
            <v>0</v>
          </cell>
          <cell r="AI350">
            <v>389</v>
          </cell>
          <cell r="AK350">
            <v>984</v>
          </cell>
        </row>
        <row r="351">
          <cell r="AI351">
            <v>295</v>
          </cell>
          <cell r="AK351">
            <v>0</v>
          </cell>
          <cell r="AM351">
            <v>0</v>
          </cell>
        </row>
        <row r="352">
          <cell r="AI352">
            <v>0</v>
          </cell>
          <cell r="AK352">
            <v>20</v>
          </cell>
          <cell r="AM352">
            <v>20</v>
          </cell>
        </row>
        <row r="353">
          <cell r="AI353">
            <v>0</v>
          </cell>
          <cell r="AK353">
            <v>3334.333333333333</v>
          </cell>
          <cell r="AM353">
            <v>2433.6666666666665</v>
          </cell>
        </row>
        <row r="354">
          <cell r="P354">
            <v>225</v>
          </cell>
          <cell r="S354">
            <v>296</v>
          </cell>
          <cell r="X354">
            <v>56</v>
          </cell>
          <cell r="AC354">
            <v>-538.90909090909088</v>
          </cell>
          <cell r="AF354">
            <v>245.09090909090912</v>
          </cell>
          <cell r="AG354">
            <v>-127.90909090909091</v>
          </cell>
          <cell r="AH354">
            <v>373</v>
          </cell>
          <cell r="AI354">
            <v>5343.4693333333335</v>
          </cell>
          <cell r="AK354">
            <v>283.18181818181824</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0</v>
          </cell>
        </row>
        <row r="356">
          <cell r="F356">
            <v>0</v>
          </cell>
          <cell r="P356">
            <v>0</v>
          </cell>
          <cell r="S356">
            <v>0</v>
          </cell>
          <cell r="X356">
            <v>0</v>
          </cell>
          <cell r="AC356">
            <v>0</v>
          </cell>
          <cell r="AF356">
            <v>0</v>
          </cell>
          <cell r="AG356">
            <v>0</v>
          </cell>
          <cell r="AH356">
            <v>0</v>
          </cell>
          <cell r="AI356">
            <v>595.26666666666665</v>
          </cell>
          <cell r="AK356">
            <v>358</v>
          </cell>
          <cell r="AM356">
            <v>358</v>
          </cell>
        </row>
        <row r="357">
          <cell r="F357">
            <v>0</v>
          </cell>
          <cell r="P357">
            <v>0</v>
          </cell>
          <cell r="S357">
            <v>0</v>
          </cell>
          <cell r="X357">
            <v>0</v>
          </cell>
          <cell r="AC357">
            <v>0</v>
          </cell>
          <cell r="AF357">
            <v>0</v>
          </cell>
          <cell r="AG357">
            <v>0</v>
          </cell>
          <cell r="AH357">
            <v>0</v>
          </cell>
          <cell r="AI357">
            <v>4491.7666666666664</v>
          </cell>
          <cell r="AK357">
            <v>193</v>
          </cell>
          <cell r="AM357">
            <v>193</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0</v>
          </cell>
          <cell r="AM358">
            <v>0</v>
          </cell>
        </row>
        <row r="359">
          <cell r="AK359">
            <v>0</v>
          </cell>
          <cell r="AM359">
            <v>0</v>
          </cell>
        </row>
        <row r="360">
          <cell r="AJ360">
            <v>-2491</v>
          </cell>
          <cell r="AK360">
            <v>5229.0333333333338</v>
          </cell>
          <cell r="AM360" t="e">
            <v>#REF!</v>
          </cell>
        </row>
        <row r="361">
          <cell r="AJ361">
            <v>-2491</v>
          </cell>
          <cell r="AK361">
            <v>441.66666666666663</v>
          </cell>
          <cell r="AM361" t="e">
            <v>#REF!</v>
          </cell>
        </row>
        <row r="362">
          <cell r="AK362">
            <v>1201.7</v>
          </cell>
        </row>
        <row r="363">
          <cell r="AK363">
            <v>3585.6666666666665</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375</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АППАРАТ</v>
          </cell>
          <cell r="G386">
            <v>0</v>
          </cell>
          <cell r="P386" t="str">
            <v>ККМ</v>
          </cell>
          <cell r="X386" t="str">
            <v>ТЕЦ5</v>
          </cell>
          <cell r="Y386">
            <v>104</v>
          </cell>
          <cell r="AC386" t="str">
            <v>ТЕЦ6</v>
          </cell>
          <cell r="AD386">
            <v>147</v>
          </cell>
          <cell r="AI386">
            <v>428</v>
          </cell>
          <cell r="AJ386">
            <v>251.66666666666669</v>
          </cell>
          <cell r="AK386" t="str">
            <v>АК "КЕ"</v>
          </cell>
          <cell r="AL386" t="str">
            <v>Е/Е</v>
          </cell>
        </row>
        <row r="387">
          <cell r="F387" t="str">
            <v>ПЛАН</v>
          </cell>
          <cell r="G387">
            <v>0</v>
          </cell>
          <cell r="P387" t="str">
            <v>ПЛАН</v>
          </cell>
          <cell r="X387" t="str">
            <v>ПЛАН</v>
          </cell>
          <cell r="Y387">
            <v>0</v>
          </cell>
          <cell r="AC387" t="str">
            <v>ПЛАН</v>
          </cell>
          <cell r="AD387">
            <v>13</v>
          </cell>
          <cell r="AI387">
            <v>33.666666666666671</v>
          </cell>
          <cell r="AJ387">
            <v>18</v>
          </cell>
          <cell r="AK387" t="str">
            <v>ПЛАН</v>
          </cell>
          <cell r="AL387" t="str">
            <v>ПЛАН</v>
          </cell>
        </row>
        <row r="388">
          <cell r="F388">
            <v>164.3</v>
          </cell>
          <cell r="G388">
            <v>56</v>
          </cell>
          <cell r="H388">
            <v>56</v>
          </cell>
          <cell r="P388">
            <v>14.333333333333332</v>
          </cell>
          <cell r="S388">
            <v>14.333333333333332</v>
          </cell>
          <cell r="X388">
            <v>182</v>
          </cell>
          <cell r="Y388">
            <v>97</v>
          </cell>
          <cell r="Z388">
            <v>97</v>
          </cell>
          <cell r="AC388">
            <v>323.66666666666674</v>
          </cell>
          <cell r="AD388">
            <v>131</v>
          </cell>
          <cell r="AE388">
            <v>130</v>
          </cell>
          <cell r="AI388">
            <v>26</v>
          </cell>
          <cell r="AJ388">
            <v>18</v>
          </cell>
          <cell r="AK388">
            <v>735.30000000000018</v>
          </cell>
          <cell r="AL388">
            <v>469.33333333333337</v>
          </cell>
          <cell r="AM388">
            <v>312.33333333333331</v>
          </cell>
        </row>
        <row r="389">
          <cell r="F389">
            <v>29</v>
          </cell>
          <cell r="G389">
            <v>10</v>
          </cell>
          <cell r="H389">
            <v>51</v>
          </cell>
          <cell r="P389">
            <v>0</v>
          </cell>
          <cell r="S389">
            <v>14.333333333333332</v>
          </cell>
          <cell r="X389">
            <v>0</v>
          </cell>
          <cell r="Y389">
            <v>0</v>
          </cell>
          <cell r="Z389">
            <v>76</v>
          </cell>
          <cell r="AC389">
            <v>3.6666666666666665</v>
          </cell>
          <cell r="AD389">
            <v>1</v>
          </cell>
          <cell r="AE389">
            <v>147</v>
          </cell>
          <cell r="AI389">
            <v>120.63333333333333</v>
          </cell>
          <cell r="AJ389">
            <v>73</v>
          </cell>
          <cell r="AK389">
            <v>46</v>
          </cell>
          <cell r="AL389">
            <v>14</v>
          </cell>
          <cell r="AM389">
            <v>303.33333333333326</v>
          </cell>
        </row>
        <row r="390">
          <cell r="F390">
            <v>0</v>
          </cell>
          <cell r="G390">
            <v>0</v>
          </cell>
          <cell r="P390">
            <v>0.66666666666666663</v>
          </cell>
          <cell r="X390">
            <v>146.66666666666666</v>
          </cell>
          <cell r="Y390">
            <v>78</v>
          </cell>
          <cell r="AC390">
            <v>280.66666666666669</v>
          </cell>
          <cell r="AD390">
            <v>113</v>
          </cell>
          <cell r="AI390">
            <v>8.6666666666666661</v>
          </cell>
          <cell r="AJ390">
            <v>0</v>
          </cell>
          <cell r="AK390">
            <v>428</v>
          </cell>
          <cell r="AL390">
            <v>191.66666666666669</v>
          </cell>
        </row>
        <row r="391">
          <cell r="F391">
            <v>0</v>
          </cell>
          <cell r="G391">
            <v>0</v>
          </cell>
          <cell r="P391">
            <v>2</v>
          </cell>
          <cell r="X391">
            <v>0</v>
          </cell>
          <cell r="Y391">
            <v>0</v>
          </cell>
          <cell r="AC391">
            <v>25</v>
          </cell>
          <cell r="AD391">
            <v>10</v>
          </cell>
          <cell r="AI391">
            <v>22</v>
          </cell>
          <cell r="AJ391">
            <v>15.333333333333332</v>
          </cell>
          <cell r="AK391">
            <v>33.666666666666671</v>
          </cell>
          <cell r="AL391">
            <v>15</v>
          </cell>
        </row>
        <row r="392">
          <cell r="F392">
            <v>0</v>
          </cell>
          <cell r="G392">
            <v>0</v>
          </cell>
          <cell r="P392">
            <v>0</v>
          </cell>
          <cell r="X392">
            <v>25.333333333333332</v>
          </cell>
          <cell r="Y392">
            <v>14</v>
          </cell>
          <cell r="AC392">
            <v>0.66666666666666663</v>
          </cell>
          <cell r="AD392">
            <v>0</v>
          </cell>
          <cell r="AI392">
            <v>5.333333333333333</v>
          </cell>
          <cell r="AJ392">
            <v>3</v>
          </cell>
          <cell r="AK392">
            <v>26</v>
          </cell>
          <cell r="AL392">
            <v>14</v>
          </cell>
        </row>
        <row r="393">
          <cell r="F393">
            <v>120.63333333333333</v>
          </cell>
          <cell r="G393">
            <v>41</v>
          </cell>
          <cell r="P393">
            <v>0</v>
          </cell>
          <cell r="X393">
            <v>0</v>
          </cell>
          <cell r="Y393">
            <v>0</v>
          </cell>
          <cell r="AC393">
            <v>0</v>
          </cell>
          <cell r="AD393">
            <v>0</v>
          </cell>
          <cell r="AI393">
            <v>4.6666666666666661</v>
          </cell>
          <cell r="AJ393">
            <v>4.333333333333333</v>
          </cell>
          <cell r="AK393">
            <v>120.63333333333333</v>
          </cell>
          <cell r="AL393">
            <v>43</v>
          </cell>
        </row>
        <row r="394">
          <cell r="F394">
            <v>8.6666666666666661</v>
          </cell>
          <cell r="G394">
            <v>3</v>
          </cell>
          <cell r="P394">
            <v>0</v>
          </cell>
          <cell r="X394">
            <v>0</v>
          </cell>
          <cell r="Y394">
            <v>0</v>
          </cell>
          <cell r="AC394">
            <v>0</v>
          </cell>
          <cell r="AD394">
            <v>0</v>
          </cell>
          <cell r="AI394">
            <v>26</v>
          </cell>
          <cell r="AJ394">
            <v>16</v>
          </cell>
          <cell r="AK394">
            <v>8.6666666666666661</v>
          </cell>
          <cell r="AL394">
            <v>0</v>
          </cell>
        </row>
        <row r="395">
          <cell r="F395">
            <v>0</v>
          </cell>
          <cell r="G395">
            <v>0</v>
          </cell>
          <cell r="P395">
            <v>5.333333333333333</v>
          </cell>
          <cell r="X395">
            <v>0</v>
          </cell>
          <cell r="Y395">
            <v>0</v>
          </cell>
          <cell r="AC395">
            <v>0</v>
          </cell>
          <cell r="AD395">
            <v>0</v>
          </cell>
          <cell r="AI395">
            <v>0</v>
          </cell>
          <cell r="AK395">
            <v>22</v>
          </cell>
          <cell r="AL395">
            <v>15.333333333333332</v>
          </cell>
        </row>
        <row r="396">
          <cell r="F396">
            <v>5.333333333333333</v>
          </cell>
          <cell r="G396">
            <v>2</v>
          </cell>
          <cell r="P396">
            <v>0</v>
          </cell>
          <cell r="X396">
            <v>0</v>
          </cell>
          <cell r="Y396">
            <v>0</v>
          </cell>
          <cell r="AC396">
            <v>0</v>
          </cell>
          <cell r="AD396">
            <v>0</v>
          </cell>
          <cell r="AI396">
            <v>587.33333333333337</v>
          </cell>
          <cell r="AJ396">
            <v>414.5</v>
          </cell>
          <cell r="AK396">
            <v>5.333333333333333</v>
          </cell>
          <cell r="AL396">
            <v>2</v>
          </cell>
        </row>
        <row r="397">
          <cell r="F397">
            <v>0.33333333333333331</v>
          </cell>
          <cell r="G397">
            <v>0</v>
          </cell>
          <cell r="P397">
            <v>4.333333333333333</v>
          </cell>
          <cell r="X397">
            <v>0</v>
          </cell>
          <cell r="Y397">
            <v>0</v>
          </cell>
          <cell r="AC397">
            <v>0</v>
          </cell>
          <cell r="AD397">
            <v>0</v>
          </cell>
          <cell r="AI397">
            <v>0</v>
          </cell>
          <cell r="AJ397">
            <v>0</v>
          </cell>
          <cell r="AK397">
            <v>4.6666666666666661</v>
          </cell>
          <cell r="AL397">
            <v>4.333333333333333</v>
          </cell>
        </row>
        <row r="398">
          <cell r="F398">
            <v>0.33333333333333331</v>
          </cell>
          <cell r="G398">
            <v>0</v>
          </cell>
          <cell r="P398">
            <v>2</v>
          </cell>
          <cell r="X398">
            <v>10</v>
          </cell>
          <cell r="Y398">
            <v>5</v>
          </cell>
          <cell r="AC398">
            <v>13.666666666666666</v>
          </cell>
          <cell r="AD398">
            <v>6</v>
          </cell>
          <cell r="AI398">
            <v>491.66666666666669</v>
          </cell>
          <cell r="AJ398">
            <v>347</v>
          </cell>
          <cell r="AK398">
            <v>26</v>
          </cell>
          <cell r="AL398">
            <v>13</v>
          </cell>
        </row>
        <row r="399">
          <cell r="F399">
            <v>0</v>
          </cell>
          <cell r="G399">
            <v>0</v>
          </cell>
          <cell r="P399">
            <v>0</v>
          </cell>
          <cell r="X399">
            <v>0</v>
          </cell>
          <cell r="Y399">
            <v>0</v>
          </cell>
          <cell r="AC399">
            <v>0</v>
          </cell>
          <cell r="AD399">
            <v>0</v>
          </cell>
          <cell r="AI399">
            <v>0</v>
          </cell>
          <cell r="AJ399">
            <v>0</v>
          </cell>
          <cell r="AK399">
            <v>0</v>
          </cell>
          <cell r="AL399">
            <v>12</v>
          </cell>
        </row>
        <row r="400">
          <cell r="F400">
            <v>1.1666666666666667</v>
          </cell>
          <cell r="G400">
            <v>0</v>
          </cell>
          <cell r="P400">
            <v>20.5</v>
          </cell>
          <cell r="X400">
            <v>522.33333333333337</v>
          </cell>
          <cell r="Y400">
            <v>279</v>
          </cell>
          <cell r="AC400">
            <v>43</v>
          </cell>
          <cell r="AD400">
            <v>17</v>
          </cell>
          <cell r="AI400">
            <v>91</v>
          </cell>
          <cell r="AJ400">
            <v>68.833333333333343</v>
          </cell>
          <cell r="AK400">
            <v>587.33333333333337</v>
          </cell>
          <cell r="AL400">
            <v>316.5</v>
          </cell>
          <cell r="AM400">
            <v>316.83333333333331</v>
          </cell>
        </row>
        <row r="401">
          <cell r="F401">
            <v>0</v>
          </cell>
          <cell r="G401">
            <v>0</v>
          </cell>
          <cell r="P401">
            <v>0</v>
          </cell>
          <cell r="X401">
            <v>0</v>
          </cell>
          <cell r="Y401">
            <v>0</v>
          </cell>
          <cell r="AC401">
            <v>0</v>
          </cell>
          <cell r="AD401">
            <v>0</v>
          </cell>
          <cell r="AI401">
            <v>4.666666666666667</v>
          </cell>
          <cell r="AJ401">
            <v>0</v>
          </cell>
          <cell r="AK401">
            <v>0</v>
          </cell>
          <cell r="AL401">
            <v>0</v>
          </cell>
          <cell r="AM401">
            <v>257.83333333333331</v>
          </cell>
        </row>
        <row r="402">
          <cell r="F402">
            <v>0</v>
          </cell>
          <cell r="G402">
            <v>0</v>
          </cell>
          <cell r="P402">
            <v>0</v>
          </cell>
          <cell r="X402">
            <v>480.66666666666669</v>
          </cell>
          <cell r="Y402">
            <v>257</v>
          </cell>
          <cell r="AC402">
            <v>11</v>
          </cell>
          <cell r="AD402">
            <v>4</v>
          </cell>
          <cell r="AI402">
            <v>0</v>
          </cell>
          <cell r="AK402">
            <v>491.66666666666669</v>
          </cell>
          <cell r="AL402">
            <v>261</v>
          </cell>
        </row>
        <row r="403">
          <cell r="F403">
            <v>0</v>
          </cell>
          <cell r="G403">
            <v>0</v>
          </cell>
          <cell r="P403">
            <v>0</v>
          </cell>
          <cell r="X403">
            <v>0</v>
          </cell>
          <cell r="Y403">
            <v>0</v>
          </cell>
          <cell r="AC403">
            <v>0</v>
          </cell>
          <cell r="AD403">
            <v>0</v>
          </cell>
          <cell r="AI403">
            <v>49</v>
          </cell>
          <cell r="AJ403">
            <v>45</v>
          </cell>
          <cell r="AK403">
            <v>0</v>
          </cell>
          <cell r="AL403">
            <v>0</v>
          </cell>
        </row>
        <row r="404">
          <cell r="F404">
            <v>1.1666666666666667</v>
          </cell>
          <cell r="G404">
            <v>0</v>
          </cell>
          <cell r="P404">
            <v>15.833333333333334</v>
          </cell>
          <cell r="X404">
            <v>41.666666666666664</v>
          </cell>
          <cell r="Y404">
            <v>22</v>
          </cell>
          <cell r="AC404">
            <v>32</v>
          </cell>
          <cell r="AD404">
            <v>13</v>
          </cell>
          <cell r="AI404">
            <v>6</v>
          </cell>
          <cell r="AJ404">
            <v>5.3333333333333339</v>
          </cell>
          <cell r="AK404">
            <v>91</v>
          </cell>
          <cell r="AL404">
            <v>55.833333333333336</v>
          </cell>
        </row>
        <row r="405">
          <cell r="F405">
            <v>0</v>
          </cell>
          <cell r="G405">
            <v>0</v>
          </cell>
          <cell r="P405">
            <v>4.666666666666667</v>
          </cell>
          <cell r="X405">
            <v>0</v>
          </cell>
          <cell r="Y405">
            <v>0</v>
          </cell>
          <cell r="AC405">
            <v>0</v>
          </cell>
          <cell r="AD405">
            <v>0</v>
          </cell>
          <cell r="AI405">
            <v>43</v>
          </cell>
          <cell r="AJ405">
            <v>39.666666666666664</v>
          </cell>
          <cell r="AK405">
            <v>4.666666666666667</v>
          </cell>
          <cell r="AL405">
            <v>0</v>
          </cell>
        </row>
        <row r="406">
          <cell r="F406">
            <v>0</v>
          </cell>
          <cell r="G406">
            <v>0</v>
          </cell>
          <cell r="P406">
            <v>0</v>
          </cell>
          <cell r="X406">
            <v>0</v>
          </cell>
          <cell r="Y406">
            <v>0</v>
          </cell>
          <cell r="AC406">
            <v>0</v>
          </cell>
          <cell r="AD406">
            <v>0</v>
          </cell>
          <cell r="AI406">
            <v>0</v>
          </cell>
          <cell r="AK406">
            <v>0</v>
          </cell>
          <cell r="AL406">
            <v>0</v>
          </cell>
        </row>
        <row r="407">
          <cell r="F407">
            <v>10</v>
          </cell>
          <cell r="G407">
            <v>3</v>
          </cell>
          <cell r="H407">
            <v>122</v>
          </cell>
          <cell r="P407">
            <v>39</v>
          </cell>
          <cell r="S407">
            <v>50.166666666666671</v>
          </cell>
          <cell r="X407">
            <v>0</v>
          </cell>
          <cell r="Y407">
            <v>0</v>
          </cell>
          <cell r="AC407">
            <v>0</v>
          </cell>
          <cell r="AD407">
            <v>0</v>
          </cell>
          <cell r="AI407">
            <v>1965.0000000000002</v>
          </cell>
          <cell r="AJ407">
            <v>471.16666666666663</v>
          </cell>
          <cell r="AK407">
            <v>49</v>
          </cell>
          <cell r="AL407">
            <v>42</v>
          </cell>
          <cell r="AM407">
            <v>43</v>
          </cell>
        </row>
        <row r="408">
          <cell r="F408">
            <v>2.6666666666666665</v>
          </cell>
          <cell r="G408">
            <v>1</v>
          </cell>
          <cell r="P408">
            <v>3.3333333333333335</v>
          </cell>
          <cell r="X408">
            <v>0</v>
          </cell>
          <cell r="Y408">
            <v>0</v>
          </cell>
          <cell r="AC408">
            <v>0</v>
          </cell>
          <cell r="AD408">
            <v>0</v>
          </cell>
          <cell r="AI408">
            <v>1350</v>
          </cell>
          <cell r="AJ408">
            <v>0</v>
          </cell>
          <cell r="AK408">
            <v>6</v>
          </cell>
          <cell r="AL408">
            <v>4.3333333333333339</v>
          </cell>
          <cell r="AM408">
            <v>42</v>
          </cell>
        </row>
        <row r="409">
          <cell r="F409">
            <v>7.333333333333333</v>
          </cell>
          <cell r="G409">
            <v>3</v>
          </cell>
          <cell r="P409">
            <v>35.666666666666664</v>
          </cell>
          <cell r="X409">
            <v>0</v>
          </cell>
          <cell r="Y409">
            <v>0</v>
          </cell>
          <cell r="AC409">
            <v>0</v>
          </cell>
          <cell r="AD409">
            <v>0</v>
          </cell>
          <cell r="AI409">
            <v>95</v>
          </cell>
          <cell r="AJ409">
            <v>95</v>
          </cell>
          <cell r="AK409">
            <v>43</v>
          </cell>
          <cell r="AL409">
            <v>38.666666666666664</v>
          </cell>
        </row>
        <row r="410">
          <cell r="F410">
            <v>0</v>
          </cell>
          <cell r="G410">
            <v>0</v>
          </cell>
          <cell r="P410">
            <v>0</v>
          </cell>
          <cell r="X410">
            <v>0</v>
          </cell>
          <cell r="Y410">
            <v>0</v>
          </cell>
          <cell r="AC410">
            <v>0</v>
          </cell>
          <cell r="AD410">
            <v>0</v>
          </cell>
          <cell r="AI410">
            <v>0</v>
          </cell>
          <cell r="AJ410">
            <v>0</v>
          </cell>
          <cell r="AK410">
            <v>0</v>
          </cell>
          <cell r="AL410">
            <v>37.666666666666664</v>
          </cell>
        </row>
        <row r="411">
          <cell r="F411">
            <v>206.33333333333329</v>
          </cell>
          <cell r="G411">
            <v>71</v>
          </cell>
          <cell r="H411">
            <v>71</v>
          </cell>
          <cell r="P411">
            <v>50.166666666666671</v>
          </cell>
          <cell r="S411">
            <v>50.166666666666671</v>
          </cell>
          <cell r="X411">
            <v>37.833333333333343</v>
          </cell>
          <cell r="Y411">
            <v>20</v>
          </cell>
          <cell r="AC411">
            <v>26.000000000000004</v>
          </cell>
          <cell r="AD411">
            <v>11</v>
          </cell>
          <cell r="AI411">
            <v>12.333333333333334</v>
          </cell>
          <cell r="AJ411">
            <v>12.333333333333334</v>
          </cell>
          <cell r="AK411">
            <v>1965.0000000000002</v>
          </cell>
          <cell r="AL411">
            <v>412.16666666666663</v>
          </cell>
          <cell r="AM411">
            <v>412.16666666666663</v>
          </cell>
        </row>
        <row r="412">
          <cell r="F412">
            <v>0</v>
          </cell>
          <cell r="G412">
            <v>0</v>
          </cell>
          <cell r="H412">
            <v>64</v>
          </cell>
          <cell r="P412">
            <v>0</v>
          </cell>
          <cell r="S412">
            <v>50.166666666666671</v>
          </cell>
          <cell r="X412">
            <v>0</v>
          </cell>
          <cell r="Y412">
            <v>0</v>
          </cell>
          <cell r="AC412">
            <v>0</v>
          </cell>
          <cell r="AD412">
            <v>0</v>
          </cell>
          <cell r="AI412">
            <v>0</v>
          </cell>
          <cell r="AJ412">
            <v>0</v>
          </cell>
          <cell r="AK412">
            <v>1350</v>
          </cell>
          <cell r="AL412">
            <v>0</v>
          </cell>
          <cell r="AM412">
            <v>400.16666666666663</v>
          </cell>
        </row>
        <row r="413">
          <cell r="F413">
            <v>0</v>
          </cell>
          <cell r="G413">
            <v>0</v>
          </cell>
          <cell r="P413">
            <v>0</v>
          </cell>
          <cell r="X413">
            <v>0</v>
          </cell>
          <cell r="Y413">
            <v>0</v>
          </cell>
          <cell r="AC413">
            <v>0</v>
          </cell>
          <cell r="AD413">
            <v>0</v>
          </cell>
          <cell r="AI413">
            <v>57.666666666666664</v>
          </cell>
          <cell r="AJ413">
            <v>50</v>
          </cell>
          <cell r="AK413">
            <v>95</v>
          </cell>
          <cell r="AL413">
            <v>95</v>
          </cell>
        </row>
        <row r="414">
          <cell r="F414">
            <v>0</v>
          </cell>
          <cell r="G414">
            <v>0</v>
          </cell>
          <cell r="P414">
            <v>0</v>
          </cell>
          <cell r="X414">
            <v>0</v>
          </cell>
          <cell r="Y414">
            <v>0</v>
          </cell>
          <cell r="AC414">
            <v>0</v>
          </cell>
          <cell r="AD414">
            <v>0</v>
          </cell>
          <cell r="AI414">
            <v>4</v>
          </cell>
          <cell r="AJ414">
            <v>0</v>
          </cell>
          <cell r="AK414">
            <v>0</v>
          </cell>
          <cell r="AL414">
            <v>0</v>
          </cell>
        </row>
        <row r="415">
          <cell r="F415">
            <v>0</v>
          </cell>
          <cell r="G415">
            <v>0</v>
          </cell>
          <cell r="P415">
            <v>12.333333333333334</v>
          </cell>
          <cell r="X415">
            <v>0</v>
          </cell>
          <cell r="Y415">
            <v>0</v>
          </cell>
          <cell r="AC415">
            <v>0</v>
          </cell>
          <cell r="AD415">
            <v>0</v>
          </cell>
          <cell r="AI415">
            <v>0</v>
          </cell>
          <cell r="AJ415">
            <v>0</v>
          </cell>
          <cell r="AK415">
            <v>12.333333333333334</v>
          </cell>
          <cell r="AL415">
            <v>12.333333333333334</v>
          </cell>
        </row>
        <row r="416">
          <cell r="F416">
            <v>0</v>
          </cell>
          <cell r="G416">
            <v>0</v>
          </cell>
          <cell r="P416">
            <v>0</v>
          </cell>
          <cell r="X416">
            <v>0</v>
          </cell>
          <cell r="Y416">
            <v>0</v>
          </cell>
          <cell r="AC416">
            <v>0</v>
          </cell>
          <cell r="AD416">
            <v>0</v>
          </cell>
          <cell r="AI416">
            <v>28.5</v>
          </cell>
          <cell r="AJ416">
            <v>26.5</v>
          </cell>
          <cell r="AK416">
            <v>0</v>
          </cell>
          <cell r="AL416">
            <v>0</v>
          </cell>
        </row>
        <row r="417">
          <cell r="F417">
            <v>1.6666666666666667</v>
          </cell>
          <cell r="G417">
            <v>1</v>
          </cell>
          <cell r="P417">
            <v>5</v>
          </cell>
          <cell r="X417">
            <v>3</v>
          </cell>
          <cell r="Y417">
            <v>2</v>
          </cell>
          <cell r="AC417">
            <v>3</v>
          </cell>
          <cell r="AD417">
            <v>1</v>
          </cell>
          <cell r="AI417">
            <v>69</v>
          </cell>
          <cell r="AJ417">
            <v>52.333333333333336</v>
          </cell>
          <cell r="AK417">
            <v>57.666666666666664</v>
          </cell>
          <cell r="AL417">
            <v>49</v>
          </cell>
        </row>
        <row r="418">
          <cell r="F418">
            <v>0</v>
          </cell>
          <cell r="G418">
            <v>0</v>
          </cell>
          <cell r="P418">
            <v>0</v>
          </cell>
          <cell r="X418">
            <v>0</v>
          </cell>
          <cell r="Y418">
            <v>0</v>
          </cell>
          <cell r="AC418">
            <v>0</v>
          </cell>
          <cell r="AD418">
            <v>0</v>
          </cell>
          <cell r="AI418">
            <v>177</v>
          </cell>
          <cell r="AJ418">
            <v>104</v>
          </cell>
          <cell r="AK418">
            <v>4</v>
          </cell>
          <cell r="AL418">
            <v>0</v>
          </cell>
        </row>
        <row r="419">
          <cell r="F419">
            <v>0</v>
          </cell>
          <cell r="G419">
            <v>0</v>
          </cell>
          <cell r="P419">
            <v>0</v>
          </cell>
          <cell r="X419">
            <v>0</v>
          </cell>
          <cell r="Y419">
            <v>0</v>
          </cell>
          <cell r="AC419">
            <v>0</v>
          </cell>
          <cell r="AD419">
            <v>0</v>
          </cell>
          <cell r="AI419">
            <v>17.666666666666668</v>
          </cell>
          <cell r="AJ419">
            <v>11</v>
          </cell>
          <cell r="AK419">
            <v>0</v>
          </cell>
          <cell r="AL419">
            <v>0</v>
          </cell>
        </row>
        <row r="420">
          <cell r="F420">
            <v>0</v>
          </cell>
          <cell r="G420">
            <v>0</v>
          </cell>
          <cell r="P420">
            <v>18.5</v>
          </cell>
          <cell r="X420">
            <v>4.5</v>
          </cell>
          <cell r="Y420">
            <v>2</v>
          </cell>
          <cell r="AC420">
            <v>1.3333333333333333</v>
          </cell>
          <cell r="AD420">
            <v>1</v>
          </cell>
          <cell r="AI420">
            <v>6</v>
          </cell>
          <cell r="AJ420">
            <v>4</v>
          </cell>
          <cell r="AK420">
            <v>28.5</v>
          </cell>
          <cell r="AL420">
            <v>25.5</v>
          </cell>
        </row>
        <row r="421">
          <cell r="F421">
            <v>0</v>
          </cell>
          <cell r="G421">
            <v>0</v>
          </cell>
          <cell r="P421">
            <v>1.3333333333333333</v>
          </cell>
          <cell r="X421">
            <v>0</v>
          </cell>
          <cell r="Y421">
            <v>0</v>
          </cell>
          <cell r="AC421">
            <v>1.6666666666666667</v>
          </cell>
          <cell r="AD421">
            <v>1</v>
          </cell>
          <cell r="AI421">
            <v>9.3333333333333339</v>
          </cell>
          <cell r="AJ421">
            <v>5.333333333333333</v>
          </cell>
          <cell r="AK421">
            <v>69</v>
          </cell>
          <cell r="AL421">
            <v>52.333333333333336</v>
          </cell>
        </row>
        <row r="422">
          <cell r="F422">
            <v>177</v>
          </cell>
          <cell r="G422">
            <v>61</v>
          </cell>
          <cell r="P422">
            <v>0</v>
          </cell>
          <cell r="X422">
            <v>0</v>
          </cell>
          <cell r="Y422">
            <v>0</v>
          </cell>
          <cell r="AC422">
            <v>0</v>
          </cell>
          <cell r="AD422">
            <v>0</v>
          </cell>
          <cell r="AI422">
            <v>13.333333333333334</v>
          </cell>
          <cell r="AJ422">
            <v>9.3333333333333339</v>
          </cell>
          <cell r="AK422">
            <v>177</v>
          </cell>
          <cell r="AL422">
            <v>61</v>
          </cell>
        </row>
        <row r="423">
          <cell r="F423">
            <v>0</v>
          </cell>
          <cell r="G423">
            <v>0</v>
          </cell>
          <cell r="P423">
            <v>0</v>
          </cell>
          <cell r="X423">
            <v>10</v>
          </cell>
          <cell r="Y423">
            <v>5</v>
          </cell>
          <cell r="AC423">
            <v>7.666666666666667</v>
          </cell>
          <cell r="AD423">
            <v>3</v>
          </cell>
          <cell r="AI423">
            <v>0</v>
          </cell>
          <cell r="AJ423">
            <v>0</v>
          </cell>
          <cell r="AK423">
            <v>17.666666666666668</v>
          </cell>
          <cell r="AL423">
            <v>8</v>
          </cell>
        </row>
        <row r="424">
          <cell r="F424">
            <v>0.66666666666666663</v>
          </cell>
          <cell r="G424">
            <v>0</v>
          </cell>
          <cell r="P424">
            <v>2</v>
          </cell>
          <cell r="X424">
            <v>1.3333333333333333</v>
          </cell>
          <cell r="Y424">
            <v>1</v>
          </cell>
          <cell r="AC424">
            <v>1</v>
          </cell>
          <cell r="AD424">
            <v>0</v>
          </cell>
          <cell r="AI424">
            <v>0</v>
          </cell>
          <cell r="AJ424">
            <v>0</v>
          </cell>
          <cell r="AK424">
            <v>6</v>
          </cell>
          <cell r="AL424">
            <v>3</v>
          </cell>
        </row>
        <row r="425">
          <cell r="F425">
            <v>2.6666666666666665</v>
          </cell>
          <cell r="G425">
            <v>1</v>
          </cell>
          <cell r="P425">
            <v>0.33333333333333331</v>
          </cell>
          <cell r="X425">
            <v>1</v>
          </cell>
          <cell r="Y425">
            <v>1</v>
          </cell>
          <cell r="AC425">
            <v>0.66666666666666663</v>
          </cell>
          <cell r="AD425">
            <v>0</v>
          </cell>
          <cell r="AI425">
            <v>12</v>
          </cell>
          <cell r="AJ425">
            <v>8</v>
          </cell>
          <cell r="AK425">
            <v>9.3333333333333339</v>
          </cell>
          <cell r="AL425">
            <v>4.3333333333333339</v>
          </cell>
        </row>
        <row r="426">
          <cell r="F426">
            <v>0</v>
          </cell>
          <cell r="G426">
            <v>0</v>
          </cell>
          <cell r="P426">
            <v>2.3333333333333335</v>
          </cell>
          <cell r="X426">
            <v>6</v>
          </cell>
          <cell r="Y426">
            <v>3</v>
          </cell>
          <cell r="AC426">
            <v>5</v>
          </cell>
          <cell r="AD426">
            <v>2</v>
          </cell>
          <cell r="AI426">
            <v>0</v>
          </cell>
          <cell r="AJ426">
            <v>0</v>
          </cell>
          <cell r="AK426">
            <v>13.333333333333334</v>
          </cell>
          <cell r="AL426">
            <v>7.3333333333333339</v>
          </cell>
        </row>
        <row r="427">
          <cell r="F427">
            <v>0</v>
          </cell>
          <cell r="G427">
            <v>0</v>
          </cell>
          <cell r="P427">
            <v>0</v>
          </cell>
          <cell r="X427">
            <v>0</v>
          </cell>
          <cell r="Y427">
            <v>0</v>
          </cell>
          <cell r="AC427">
            <v>0</v>
          </cell>
          <cell r="AD427">
            <v>0</v>
          </cell>
          <cell r="AI427">
            <v>4.333333333333333</v>
          </cell>
          <cell r="AJ427">
            <v>1.6666666666666665</v>
          </cell>
          <cell r="AK427">
            <v>0</v>
          </cell>
          <cell r="AL427">
            <v>0</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9.6666666666666661</v>
          </cell>
          <cell r="G429">
            <v>3</v>
          </cell>
          <cell r="P429">
            <v>1</v>
          </cell>
          <cell r="X429">
            <v>0</v>
          </cell>
          <cell r="Y429">
            <v>0</v>
          </cell>
          <cell r="AC429">
            <v>0</v>
          </cell>
          <cell r="AD429">
            <v>0</v>
          </cell>
          <cell r="AI429">
            <v>33</v>
          </cell>
          <cell r="AJ429">
            <v>21.666666666666668</v>
          </cell>
          <cell r="AK429">
            <v>12</v>
          </cell>
          <cell r="AL429">
            <v>5</v>
          </cell>
        </row>
        <row r="430">
          <cell r="F430">
            <v>0</v>
          </cell>
          <cell r="G430">
            <v>0</v>
          </cell>
          <cell r="P430">
            <v>0</v>
          </cell>
          <cell r="X430">
            <v>0</v>
          </cell>
          <cell r="Y430">
            <v>0</v>
          </cell>
          <cell r="AC430">
            <v>0</v>
          </cell>
          <cell r="AD430">
            <v>0</v>
          </cell>
          <cell r="AI430">
            <v>0</v>
          </cell>
          <cell r="AJ430">
            <v>0</v>
          </cell>
          <cell r="AK430">
            <v>0</v>
          </cell>
          <cell r="AL430">
            <v>0</v>
          </cell>
        </row>
        <row r="431">
          <cell r="F431">
            <v>2.3333333333333335</v>
          </cell>
          <cell r="G431">
            <v>1</v>
          </cell>
          <cell r="P431">
            <v>0.66666666666666663</v>
          </cell>
          <cell r="X431">
            <v>0.66666666666666663</v>
          </cell>
          <cell r="Y431">
            <v>0</v>
          </cell>
          <cell r="AC431">
            <v>0.66666666666666663</v>
          </cell>
          <cell r="AD431">
            <v>0</v>
          </cell>
          <cell r="AI431">
            <v>0</v>
          </cell>
          <cell r="AJ431">
            <v>53</v>
          </cell>
          <cell r="AK431">
            <v>4.333333333333333</v>
          </cell>
          <cell r="AL431">
            <v>1.6666666666666665</v>
          </cell>
        </row>
        <row r="432">
          <cell r="F432">
            <v>1.6666666666666667</v>
          </cell>
          <cell r="G432">
            <v>1</v>
          </cell>
          <cell r="P432">
            <v>0.66666666666666663</v>
          </cell>
          <cell r="X432">
            <v>0.66666666666666663</v>
          </cell>
          <cell r="Y432">
            <v>0</v>
          </cell>
          <cell r="AC432">
            <v>0.66666666666666663</v>
          </cell>
          <cell r="AD432">
            <v>0</v>
          </cell>
          <cell r="AI432">
            <v>1</v>
          </cell>
          <cell r="AJ432">
            <v>1</v>
          </cell>
          <cell r="AK432">
            <v>3.6666666666666665</v>
          </cell>
          <cell r="AL432">
            <v>1.6666666666666665</v>
          </cell>
        </row>
        <row r="433">
          <cell r="F433">
            <v>6.666666666666667</v>
          </cell>
          <cell r="G433">
            <v>2</v>
          </cell>
          <cell r="P433">
            <v>4.666666666666667</v>
          </cell>
          <cell r="X433">
            <v>3</v>
          </cell>
          <cell r="Y433">
            <v>2</v>
          </cell>
          <cell r="AC433">
            <v>2</v>
          </cell>
          <cell r="AD433">
            <v>1</v>
          </cell>
          <cell r="AI433">
            <v>0</v>
          </cell>
          <cell r="AJ433">
            <v>0</v>
          </cell>
          <cell r="AK433">
            <v>33</v>
          </cell>
          <cell r="AL433">
            <v>19.666666666666668</v>
          </cell>
        </row>
        <row r="434">
          <cell r="F434">
            <v>0</v>
          </cell>
          <cell r="G434">
            <v>0</v>
          </cell>
          <cell r="P434">
            <v>0</v>
          </cell>
          <cell r="X434">
            <v>0</v>
          </cell>
          <cell r="Y434">
            <v>0</v>
          </cell>
          <cell r="AC434">
            <v>0</v>
          </cell>
          <cell r="AD434">
            <v>0</v>
          </cell>
          <cell r="AI434">
            <v>0</v>
          </cell>
          <cell r="AJ434">
            <v>0</v>
          </cell>
          <cell r="AK434">
            <v>0</v>
          </cell>
          <cell r="AL434">
            <v>0</v>
          </cell>
        </row>
        <row r="435">
          <cell r="F435">
            <v>0</v>
          </cell>
          <cell r="G435">
            <v>0</v>
          </cell>
          <cell r="P435">
            <v>0</v>
          </cell>
          <cell r="X435">
            <v>0</v>
          </cell>
          <cell r="Y435">
            <v>0</v>
          </cell>
          <cell r="AC435">
            <v>0</v>
          </cell>
          <cell r="AD435">
            <v>0</v>
          </cell>
          <cell r="AI435">
            <v>15.666666666666666</v>
          </cell>
          <cell r="AJ435">
            <v>10</v>
          </cell>
          <cell r="AK435">
            <v>0</v>
          </cell>
          <cell r="AL435">
            <v>53</v>
          </cell>
        </row>
        <row r="436">
          <cell r="F436">
            <v>1</v>
          </cell>
          <cell r="G436">
            <v>0</v>
          </cell>
          <cell r="P436">
            <v>0</v>
          </cell>
          <cell r="X436">
            <v>0</v>
          </cell>
          <cell r="Y436">
            <v>0</v>
          </cell>
          <cell r="AC436">
            <v>0</v>
          </cell>
          <cell r="AD436">
            <v>0</v>
          </cell>
          <cell r="AI436">
            <v>0</v>
          </cell>
          <cell r="AJ436">
            <v>0</v>
          </cell>
          <cell r="AK436">
            <v>1</v>
          </cell>
          <cell r="AL436">
            <v>1</v>
          </cell>
        </row>
        <row r="437">
          <cell r="F437">
            <v>0</v>
          </cell>
          <cell r="G437">
            <v>0</v>
          </cell>
          <cell r="P437">
            <v>0</v>
          </cell>
          <cell r="X437">
            <v>0</v>
          </cell>
          <cell r="Y437">
            <v>0</v>
          </cell>
          <cell r="AC437">
            <v>0</v>
          </cell>
          <cell r="AD437">
            <v>0</v>
          </cell>
          <cell r="AI437">
            <v>3.3333333333333335</v>
          </cell>
          <cell r="AJ437">
            <v>2</v>
          </cell>
          <cell r="AK437">
            <v>0</v>
          </cell>
          <cell r="AL437">
            <v>0</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2.6666666666666665</v>
          </cell>
          <cell r="G439">
            <v>1</v>
          </cell>
          <cell r="P439">
            <v>1</v>
          </cell>
          <cell r="X439">
            <v>4</v>
          </cell>
          <cell r="Y439">
            <v>2</v>
          </cell>
          <cell r="AC439">
            <v>2</v>
          </cell>
          <cell r="AD439">
            <v>1</v>
          </cell>
          <cell r="AI439">
            <v>0</v>
          </cell>
          <cell r="AJ439">
            <v>0</v>
          </cell>
          <cell r="AK439">
            <v>15.666666666666666</v>
          </cell>
          <cell r="AL439">
            <v>8</v>
          </cell>
        </row>
        <row r="440">
          <cell r="F440">
            <v>0</v>
          </cell>
          <cell r="G440">
            <v>0</v>
          </cell>
          <cell r="P440">
            <v>0</v>
          </cell>
          <cell r="X440">
            <v>0</v>
          </cell>
          <cell r="Y440">
            <v>0</v>
          </cell>
          <cell r="AC440">
            <v>0</v>
          </cell>
          <cell r="AD440">
            <v>0</v>
          </cell>
          <cell r="AI440">
            <v>0</v>
          </cell>
          <cell r="AJ440">
            <v>0</v>
          </cell>
          <cell r="AK440">
            <v>0</v>
          </cell>
          <cell r="AL440">
            <v>0</v>
          </cell>
        </row>
        <row r="441">
          <cell r="F441">
            <v>0</v>
          </cell>
          <cell r="G441">
            <v>0</v>
          </cell>
          <cell r="P441">
            <v>0</v>
          </cell>
          <cell r="X441">
            <v>3.3333333333333335</v>
          </cell>
          <cell r="Y441">
            <v>2</v>
          </cell>
          <cell r="AC441">
            <v>0</v>
          </cell>
          <cell r="AD441">
            <v>0</v>
          </cell>
          <cell r="AI441">
            <v>0</v>
          </cell>
          <cell r="AJ441">
            <v>0</v>
          </cell>
          <cell r="AK441">
            <v>3.3333333333333335</v>
          </cell>
          <cell r="AL441">
            <v>2</v>
          </cell>
        </row>
        <row r="442">
          <cell r="F442">
            <v>0.33333333333333331</v>
          </cell>
          <cell r="G442">
            <v>0</v>
          </cell>
          <cell r="P442">
            <v>0.33333333333333331</v>
          </cell>
          <cell r="X442">
            <v>0.33333333333333331</v>
          </cell>
          <cell r="Y442">
            <v>0</v>
          </cell>
          <cell r="AC442">
            <v>0.33333333333333331</v>
          </cell>
          <cell r="AD442">
            <v>0</v>
          </cell>
          <cell r="AI442">
            <v>0</v>
          </cell>
          <cell r="AJ442">
            <v>0</v>
          </cell>
          <cell r="AK442">
            <v>1.9999999999999998</v>
          </cell>
          <cell r="AL442">
            <v>0.33333333333333331</v>
          </cell>
        </row>
        <row r="443">
          <cell r="F443">
            <v>0</v>
          </cell>
          <cell r="G443">
            <v>0</v>
          </cell>
          <cell r="P443">
            <v>0</v>
          </cell>
          <cell r="X443">
            <v>0</v>
          </cell>
          <cell r="Y443">
            <v>0</v>
          </cell>
          <cell r="AC443">
            <v>0</v>
          </cell>
          <cell r="AD443">
            <v>0</v>
          </cell>
          <cell r="AI443">
            <v>0</v>
          </cell>
          <cell r="AJ443">
            <v>0</v>
          </cell>
          <cell r="AK443">
            <v>0</v>
          </cell>
          <cell r="AL443">
            <v>0</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2</v>
          </cell>
        </row>
        <row r="450">
          <cell r="G450">
            <v>0</v>
          </cell>
          <cell r="P450">
            <v>0</v>
          </cell>
          <cell r="X450">
            <v>0</v>
          </cell>
          <cell r="Y450">
            <v>0</v>
          </cell>
          <cell r="AC450">
            <v>0</v>
          </cell>
          <cell r="AD450">
            <v>0</v>
          </cell>
          <cell r="AK450">
            <v>0</v>
          </cell>
          <cell r="AL450">
            <v>0</v>
          </cell>
        </row>
        <row r="451">
          <cell r="P451">
            <v>0</v>
          </cell>
          <cell r="X451">
            <v>0</v>
          </cell>
          <cell r="Y451">
            <v>0</v>
          </cell>
          <cell r="AC451">
            <v>0</v>
          </cell>
          <cell r="AD451">
            <v>0</v>
          </cell>
          <cell r="AK451">
            <v>0</v>
          </cell>
          <cell r="AL451">
            <v>0</v>
          </cell>
        </row>
      </sheetData>
      <sheetData sheetId="20" refreshError="1">
        <row r="1">
          <cell r="AE1" t="str">
            <v>'9 міс.'!</v>
          </cell>
        </row>
        <row r="25">
          <cell r="F25">
            <v>3700</v>
          </cell>
          <cell r="G25">
            <v>997</v>
          </cell>
          <cell r="H25">
            <v>2703</v>
          </cell>
          <cell r="P25">
            <v>676.66666666666674</v>
          </cell>
          <cell r="Q25">
            <v>0</v>
          </cell>
          <cell r="R25">
            <v>0</v>
          </cell>
          <cell r="S25">
            <v>3694.1333333333332</v>
          </cell>
          <cell r="T25">
            <v>3114.28</v>
          </cell>
          <cell r="U25">
            <v>579.85333333333324</v>
          </cell>
          <cell r="V25">
            <v>0</v>
          </cell>
          <cell r="W25">
            <v>0</v>
          </cell>
          <cell r="X25">
            <v>1536.0033333333331</v>
          </cell>
          <cell r="Y25">
            <v>638</v>
          </cell>
          <cell r="Z25">
            <v>898.00333333333333</v>
          </cell>
          <cell r="AA25">
            <v>0</v>
          </cell>
          <cell r="AB25">
            <v>0</v>
          </cell>
          <cell r="AC25">
            <v>463.93333333333334</v>
          </cell>
          <cell r="AD25">
            <v>212</v>
          </cell>
          <cell r="AE25">
            <v>251.93333333333334</v>
          </cell>
          <cell r="AF25">
            <v>1854.3333333333333</v>
          </cell>
          <cell r="AG25">
            <v>1308</v>
          </cell>
          <cell r="AH25">
            <v>546</v>
          </cell>
          <cell r="AJ25">
            <v>0</v>
          </cell>
          <cell r="AK25">
            <v>12431.736666666666</v>
          </cell>
          <cell r="AL25">
            <v>3313.666666666667</v>
          </cell>
          <cell r="AM25">
            <v>9118.07</v>
          </cell>
          <cell r="AN25">
            <v>9118.07</v>
          </cell>
          <cell r="AO25">
            <v>850</v>
          </cell>
          <cell r="AP25">
            <v>2406</v>
          </cell>
          <cell r="AQ25">
            <v>2463.6666666666665</v>
          </cell>
          <cell r="AR25">
            <v>6712.07</v>
          </cell>
        </row>
        <row r="31">
          <cell r="P31" t="str">
            <v>+</v>
          </cell>
          <cell r="S31" t="str">
            <v>-</v>
          </cell>
          <cell r="AF31" t="str">
            <v>+</v>
          </cell>
        </row>
        <row r="32">
          <cell r="Q32" t="str">
            <v>КТМ</v>
          </cell>
          <cell r="V32" t="str">
            <v xml:space="preserve">ТЕЦ-5 </v>
          </cell>
          <cell r="AA32" t="str">
            <v xml:space="preserve">ТЕЦ-6 </v>
          </cell>
        </row>
        <row r="33">
          <cell r="P33">
            <v>25148</v>
          </cell>
          <cell r="AC33">
            <v>14429</v>
          </cell>
          <cell r="AF33">
            <v>31349</v>
          </cell>
        </row>
        <row r="34">
          <cell r="F34" t="str">
            <v>ВИКОН.ДИР.</v>
          </cell>
          <cell r="G34" t="str">
            <v>Е/Е</v>
          </cell>
          <cell r="H34" t="str">
            <v xml:space="preserve"> Т/Е</v>
          </cell>
          <cell r="P34" t="str">
            <v xml:space="preserve">КМ </v>
          </cell>
          <cell r="Q34" t="str">
            <v>КТМ</v>
          </cell>
          <cell r="S34" t="str">
            <v xml:space="preserve">ТМ </v>
          </cell>
          <cell r="T34" t="str">
            <v>ВИРОБН</v>
          </cell>
          <cell r="U34" t="str">
            <v>ПЕРЕД</v>
          </cell>
          <cell r="V34" t="str">
            <v xml:space="preserve">ТЕЦ-5 </v>
          </cell>
          <cell r="X34" t="str">
            <v>ТЕЦ-5 ВСЬОГО</v>
          </cell>
          <cell r="Y34" t="str">
            <v>Е/Е</v>
          </cell>
          <cell r="Z34" t="str">
            <v xml:space="preserve"> Т/Е</v>
          </cell>
          <cell r="AA34" t="str">
            <v xml:space="preserve">ТЕЦ-6 </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row>
        <row r="36">
          <cell r="F36" t="str">
            <v>ВИКОН.ДИР.</v>
          </cell>
          <cell r="G36" t="str">
            <v>Е/Е</v>
          </cell>
          <cell r="H36" t="str">
            <v xml:space="preserve"> Т/Е</v>
          </cell>
          <cell r="P36" t="str">
            <v xml:space="preserve">КМ </v>
          </cell>
          <cell r="S36" t="str">
            <v xml:space="preserve">ТМ </v>
          </cell>
          <cell r="T36" t="str">
            <v>ВИРОБН</v>
          </cell>
          <cell r="U36" t="str">
            <v>ПЕРЕД</v>
          </cell>
          <cell r="X36" t="str">
            <v>ТЕЦ-5 ВСЬОГО</v>
          </cell>
          <cell r="Y36" t="str">
            <v>Е/Е</v>
          </cell>
          <cell r="Z36" t="str">
            <v xml:space="preserve"> Т/Е</v>
          </cell>
          <cell r="AC36" t="str">
            <v>ТЕЦ-6 ВСЬОГО</v>
          </cell>
          <cell r="AD36" t="str">
            <v>Е/Е</v>
          </cell>
          <cell r="AE36" t="str">
            <v xml:space="preserve"> Т/Е</v>
          </cell>
          <cell r="AF36" t="str">
            <v>ТРМ ВСЬОГО</v>
          </cell>
          <cell r="AG36" t="str">
            <v>ТРМ  АК КЕ</v>
          </cell>
          <cell r="AH36" t="str">
            <v>ТРМ СТОР</v>
          </cell>
          <cell r="AI36" t="str">
            <v>АК КЕ ВСЬОГО</v>
          </cell>
          <cell r="AJ36" t="str">
            <v xml:space="preserve"> Е/Е</v>
          </cell>
          <cell r="AK36" t="str">
            <v xml:space="preserve"> Т/Е</v>
          </cell>
          <cell r="AL36">
            <v>336</v>
          </cell>
          <cell r="AM36" t="str">
            <v>СТАНЦІї ЕЛЕКТРО</v>
          </cell>
          <cell r="AN36" t="str">
            <v>СТАНЦІІ ТЕПЛОВІ</v>
          </cell>
          <cell r="AO36" t="str">
            <v>МЕРЕЖІ ЕЛЕКТРО</v>
          </cell>
          <cell r="AP36" t="str">
            <v>МЕРЕЖІ ТЕПЛОВІ</v>
          </cell>
        </row>
        <row r="37">
          <cell r="AJ37">
            <v>395</v>
          </cell>
          <cell r="AL37">
            <v>0</v>
          </cell>
        </row>
        <row r="38">
          <cell r="AJ38">
            <v>336</v>
          </cell>
        </row>
        <row r="39">
          <cell r="AJ39">
            <v>0</v>
          </cell>
          <cell r="AL39">
            <v>0</v>
          </cell>
        </row>
        <row r="40">
          <cell r="AL40">
            <v>0</v>
          </cell>
        </row>
        <row r="41">
          <cell r="AJ41">
            <v>0</v>
          </cell>
          <cell r="AL41">
            <v>395.6</v>
          </cell>
        </row>
        <row r="42">
          <cell r="P42">
            <v>0</v>
          </cell>
          <cell r="AJ42">
            <v>0</v>
          </cell>
          <cell r="AL42">
            <v>395.6</v>
          </cell>
        </row>
        <row r="43">
          <cell r="AJ43">
            <v>395.6</v>
          </cell>
          <cell r="AM43">
            <v>1580</v>
          </cell>
        </row>
        <row r="44">
          <cell r="P44">
            <v>0</v>
          </cell>
          <cell r="AJ44">
            <v>395.6</v>
          </cell>
          <cell r="AM44">
            <v>0</v>
          </cell>
        </row>
        <row r="45">
          <cell r="AK45">
            <v>1580</v>
          </cell>
          <cell r="AM45">
            <v>1580</v>
          </cell>
        </row>
        <row r="46">
          <cell r="F46">
            <v>10429</v>
          </cell>
          <cell r="P46">
            <v>3875.9166666666665</v>
          </cell>
          <cell r="S46">
            <v>9516.0260606060619</v>
          </cell>
          <cell r="T46">
            <v>4009.7854363636361</v>
          </cell>
          <cell r="U46">
            <v>2179.240624242424</v>
          </cell>
          <cell r="X46">
            <v>3231.389696969698</v>
          </cell>
          <cell r="AC46">
            <v>1662.8115151515158</v>
          </cell>
          <cell r="AF46">
            <v>4222.1842424242423</v>
          </cell>
          <cell r="AG46">
            <v>3452</v>
          </cell>
          <cell r="AH46">
            <v>770.05090909090904</v>
          </cell>
          <cell r="AK46">
            <v>0</v>
          </cell>
        </row>
        <row r="47">
          <cell r="F47">
            <v>0.8</v>
          </cell>
          <cell r="AK47">
            <v>1580</v>
          </cell>
        </row>
        <row r="48">
          <cell r="F48">
            <v>15953.197</v>
          </cell>
          <cell r="P48">
            <v>3631.1559999999999</v>
          </cell>
          <cell r="S48">
            <v>9526.8578787878778</v>
          </cell>
          <cell r="T48">
            <v>2010.6708606060602</v>
          </cell>
          <cell r="U48">
            <v>2621.0370181818184</v>
          </cell>
          <cell r="X48">
            <v>2672.4863636363625</v>
          </cell>
          <cell r="AC48">
            <v>1389.1963636363635</v>
          </cell>
          <cell r="AF48">
            <v>4185.9539393939394</v>
          </cell>
          <cell r="AG48">
            <v>3391.2</v>
          </cell>
          <cell r="AH48">
            <v>794.7539393939395</v>
          </cell>
        </row>
        <row r="49">
          <cell r="F49">
            <v>632</v>
          </cell>
          <cell r="G49">
            <v>170</v>
          </cell>
          <cell r="H49">
            <v>462</v>
          </cell>
          <cell r="P49">
            <v>420</v>
          </cell>
          <cell r="S49">
            <v>785</v>
          </cell>
          <cell r="T49">
            <v>392.5</v>
          </cell>
          <cell r="U49">
            <v>392.5</v>
          </cell>
          <cell r="X49">
            <v>432.66666666666663</v>
          </cell>
          <cell r="Y49">
            <v>180</v>
          </cell>
          <cell r="Z49">
            <v>252.66666666666663</v>
          </cell>
          <cell r="AC49">
            <v>142.66666666666669</v>
          </cell>
          <cell r="AD49">
            <v>65</v>
          </cell>
          <cell r="AE49">
            <v>77.666666666666686</v>
          </cell>
          <cell r="AF49">
            <v>523</v>
          </cell>
          <cell r="AG49">
            <v>435</v>
          </cell>
          <cell r="AH49">
            <v>88</v>
          </cell>
          <cell r="AK49">
            <v>3106.333333333333</v>
          </cell>
          <cell r="AL49">
            <v>1064</v>
          </cell>
          <cell r="AM49">
            <v>2042.333333333333</v>
          </cell>
          <cell r="AN49">
            <v>2042.3333333333333</v>
          </cell>
          <cell r="AO49">
            <v>245</v>
          </cell>
          <cell r="AP49">
            <v>597</v>
          </cell>
          <cell r="AQ49">
            <v>819</v>
          </cell>
          <cell r="AR49">
            <v>1445.333333333333</v>
          </cell>
        </row>
        <row r="50">
          <cell r="F50">
            <v>122</v>
          </cell>
          <cell r="G50">
            <v>33</v>
          </cell>
          <cell r="H50">
            <v>89</v>
          </cell>
          <cell r="P50">
            <v>367</v>
          </cell>
          <cell r="S50">
            <v>688</v>
          </cell>
          <cell r="X50">
            <v>93</v>
          </cell>
          <cell r="Y50">
            <v>39</v>
          </cell>
          <cell r="Z50">
            <v>54</v>
          </cell>
          <cell r="AC50">
            <v>90</v>
          </cell>
          <cell r="AD50">
            <v>41</v>
          </cell>
          <cell r="AE50">
            <v>49</v>
          </cell>
          <cell r="AF50">
            <v>508</v>
          </cell>
          <cell r="AG50">
            <v>420</v>
          </cell>
          <cell r="AH50">
            <v>88</v>
          </cell>
          <cell r="AK50">
            <v>1814</v>
          </cell>
          <cell r="AL50">
            <v>514</v>
          </cell>
          <cell r="AM50">
            <v>1300</v>
          </cell>
          <cell r="AN50">
            <v>1320</v>
          </cell>
        </row>
        <row r="51">
          <cell r="F51">
            <v>712</v>
          </cell>
          <cell r="G51">
            <v>0</v>
          </cell>
          <cell r="H51">
            <v>433</v>
          </cell>
          <cell r="P51">
            <v>0</v>
          </cell>
          <cell r="S51">
            <v>760.26666666666688</v>
          </cell>
          <cell r="T51">
            <v>380.13333333333344</v>
          </cell>
          <cell r="U51">
            <v>380.13333333333344</v>
          </cell>
          <cell r="X51">
            <v>5</v>
          </cell>
          <cell r="Y51">
            <v>2</v>
          </cell>
          <cell r="Z51">
            <v>3</v>
          </cell>
          <cell r="AC51">
            <v>0</v>
          </cell>
          <cell r="AD51">
            <v>0</v>
          </cell>
          <cell r="AE51">
            <v>0</v>
          </cell>
          <cell r="AF51">
            <v>398.13333333333344</v>
          </cell>
          <cell r="AG51">
            <v>300</v>
          </cell>
          <cell r="AH51">
            <v>0</v>
          </cell>
          <cell r="AI51">
            <v>2554.3026666666669</v>
          </cell>
          <cell r="AJ51">
            <v>931.23599999999999</v>
          </cell>
          <cell r="AK51">
            <v>5</v>
          </cell>
          <cell r="AL51">
            <v>2</v>
          </cell>
          <cell r="AM51">
            <v>3</v>
          </cell>
          <cell r="AN51">
            <v>3</v>
          </cell>
          <cell r="AO51">
            <v>738.23599999999999</v>
          </cell>
          <cell r="AP51">
            <v>1257.0666666666671</v>
          </cell>
        </row>
        <row r="52">
          <cell r="F52">
            <v>500</v>
          </cell>
          <cell r="G52">
            <v>135</v>
          </cell>
          <cell r="H52">
            <v>365</v>
          </cell>
          <cell r="P52">
            <v>20</v>
          </cell>
          <cell r="S52">
            <v>21</v>
          </cell>
          <cell r="X52">
            <v>70</v>
          </cell>
          <cell r="Y52">
            <v>29</v>
          </cell>
          <cell r="Z52">
            <v>41</v>
          </cell>
          <cell r="AC52">
            <v>25</v>
          </cell>
          <cell r="AD52">
            <v>11</v>
          </cell>
          <cell r="AE52">
            <v>14</v>
          </cell>
          <cell r="AF52">
            <v>15</v>
          </cell>
          <cell r="AG52">
            <v>15</v>
          </cell>
          <cell r="AH52">
            <v>0</v>
          </cell>
          <cell r="AI52">
            <v>1279</v>
          </cell>
          <cell r="AJ52">
            <v>511</v>
          </cell>
          <cell r="AK52">
            <v>856</v>
          </cell>
          <cell r="AL52">
            <v>390</v>
          </cell>
          <cell r="AM52">
            <v>466</v>
          </cell>
          <cell r="AN52">
            <v>466</v>
          </cell>
        </row>
        <row r="53">
          <cell r="F53">
            <v>1</v>
          </cell>
          <cell r="G53">
            <v>0</v>
          </cell>
          <cell r="H53">
            <v>1</v>
          </cell>
          <cell r="P53">
            <v>41.333333333333336</v>
          </cell>
          <cell r="S53">
            <v>366.66666666666663</v>
          </cell>
          <cell r="T53">
            <v>286</v>
          </cell>
          <cell r="U53">
            <v>80.666666666666629</v>
          </cell>
          <cell r="X53">
            <v>961</v>
          </cell>
          <cell r="Y53">
            <v>399</v>
          </cell>
          <cell r="Z53">
            <v>562</v>
          </cell>
          <cell r="AC53">
            <v>264.33333333333331</v>
          </cell>
          <cell r="AD53">
            <v>121</v>
          </cell>
          <cell r="AE53">
            <v>143.33333333333331</v>
          </cell>
          <cell r="AF53">
            <v>179.33333333333334</v>
          </cell>
          <cell r="AG53">
            <v>135</v>
          </cell>
          <cell r="AH53">
            <v>44.333333333333343</v>
          </cell>
          <cell r="AI53">
            <v>4</v>
          </cell>
          <cell r="AJ53">
            <v>3</v>
          </cell>
          <cell r="AK53">
            <v>1769.3333333333333</v>
          </cell>
          <cell r="AL53">
            <v>561.33333333333326</v>
          </cell>
          <cell r="AM53">
            <v>1208</v>
          </cell>
          <cell r="AN53">
            <v>1208</v>
          </cell>
          <cell r="AO53">
            <v>520</v>
          </cell>
          <cell r="AP53">
            <v>830</v>
          </cell>
          <cell r="AQ53">
            <v>41.333333333333258</v>
          </cell>
          <cell r="AR53">
            <v>378</v>
          </cell>
        </row>
        <row r="54">
          <cell r="F54">
            <v>0</v>
          </cell>
          <cell r="G54">
            <v>0</v>
          </cell>
          <cell r="H54">
            <v>0</v>
          </cell>
          <cell r="P54">
            <v>4</v>
          </cell>
          <cell r="S54">
            <v>13.666666666666666</v>
          </cell>
          <cell r="T54">
            <v>13.666666666666666</v>
          </cell>
          <cell r="U54">
            <v>0</v>
          </cell>
          <cell r="X54">
            <v>400</v>
          </cell>
          <cell r="Y54">
            <v>166</v>
          </cell>
          <cell r="Z54">
            <v>234</v>
          </cell>
          <cell r="AC54">
            <v>13.333333333333334</v>
          </cell>
          <cell r="AD54">
            <v>6</v>
          </cell>
          <cell r="AE54">
            <v>7.3333333333333339</v>
          </cell>
          <cell r="AF54">
            <v>0.3</v>
          </cell>
          <cell r="AG54">
            <v>15</v>
          </cell>
          <cell r="AH54">
            <v>0.3</v>
          </cell>
          <cell r="AI54">
            <v>752</v>
          </cell>
          <cell r="AJ54">
            <v>362</v>
          </cell>
          <cell r="AK54">
            <v>427</v>
          </cell>
          <cell r="AL54">
            <v>172</v>
          </cell>
          <cell r="AM54">
            <v>255</v>
          </cell>
          <cell r="AN54">
            <v>255</v>
          </cell>
          <cell r="AO54">
            <v>172</v>
          </cell>
          <cell r="AP54">
            <v>246</v>
          </cell>
          <cell r="AQ54">
            <v>0</v>
          </cell>
          <cell r="AR54">
            <v>9</v>
          </cell>
        </row>
        <row r="55">
          <cell r="F55">
            <v>0</v>
          </cell>
          <cell r="G55">
            <v>0</v>
          </cell>
          <cell r="H55">
            <v>0</v>
          </cell>
          <cell r="P55">
            <v>40.800000000000004</v>
          </cell>
          <cell r="S55">
            <v>19500</v>
          </cell>
          <cell r="T55">
            <v>19500</v>
          </cell>
          <cell r="U55">
            <v>0</v>
          </cell>
          <cell r="X55">
            <v>24969</v>
          </cell>
          <cell r="Y55">
            <v>11255</v>
          </cell>
          <cell r="Z55">
            <v>13714</v>
          </cell>
          <cell r="AC55">
            <v>24028</v>
          </cell>
          <cell r="AD55">
            <v>11813</v>
          </cell>
          <cell r="AE55">
            <v>12215</v>
          </cell>
          <cell r="AF55">
            <v>157.33333333333334</v>
          </cell>
          <cell r="AG55">
            <v>108</v>
          </cell>
          <cell r="AH55">
            <v>0</v>
          </cell>
          <cell r="AI55">
            <v>1268.4000000000001</v>
          </cell>
          <cell r="AJ55">
            <v>635.79999999999995</v>
          </cell>
          <cell r="AK55">
            <v>68497</v>
          </cell>
          <cell r="AL55">
            <v>23068</v>
          </cell>
          <cell r="AM55">
            <v>45429</v>
          </cell>
          <cell r="AN55">
            <v>45429</v>
          </cell>
          <cell r="AO55">
            <v>23068</v>
          </cell>
          <cell r="AP55">
            <v>45429</v>
          </cell>
          <cell r="AQ55">
            <v>0</v>
          </cell>
          <cell r="AR55">
            <v>0</v>
          </cell>
        </row>
        <row r="56">
          <cell r="F56">
            <v>0</v>
          </cell>
          <cell r="G56">
            <v>0</v>
          </cell>
          <cell r="H56">
            <v>0</v>
          </cell>
          <cell r="P56">
            <v>0</v>
          </cell>
          <cell r="S56">
            <v>19500</v>
          </cell>
          <cell r="T56">
            <v>19500</v>
          </cell>
          <cell r="U56">
            <v>0</v>
          </cell>
          <cell r="X56">
            <v>24969</v>
          </cell>
          <cell r="Y56">
            <v>11255</v>
          </cell>
          <cell r="Z56">
            <v>13714</v>
          </cell>
          <cell r="AC56">
            <v>24028</v>
          </cell>
          <cell r="AD56">
            <v>11813</v>
          </cell>
          <cell r="AE56">
            <v>12215</v>
          </cell>
          <cell r="AF56">
            <v>0</v>
          </cell>
          <cell r="AG56">
            <v>0</v>
          </cell>
          <cell r="AH56">
            <v>0</v>
          </cell>
          <cell r="AI56">
            <v>735.80000000000007</v>
          </cell>
          <cell r="AJ56">
            <v>509</v>
          </cell>
          <cell r="AK56">
            <v>68497</v>
          </cell>
          <cell r="AL56">
            <v>23068</v>
          </cell>
          <cell r="AM56">
            <v>45429</v>
          </cell>
          <cell r="AN56">
            <v>45429</v>
          </cell>
          <cell r="AO56">
            <v>23068</v>
          </cell>
          <cell r="AP56">
            <v>45429</v>
          </cell>
          <cell r="AQ56">
            <v>0</v>
          </cell>
          <cell r="AR56">
            <v>0</v>
          </cell>
        </row>
        <row r="57">
          <cell r="F57">
            <v>0</v>
          </cell>
          <cell r="G57">
            <v>0</v>
          </cell>
          <cell r="H57">
            <v>0</v>
          </cell>
          <cell r="S57">
            <v>1598</v>
          </cell>
          <cell r="T57">
            <v>0</v>
          </cell>
          <cell r="U57">
            <v>0</v>
          </cell>
          <cell r="X57">
            <v>13610</v>
          </cell>
          <cell r="Y57">
            <v>9645</v>
          </cell>
          <cell r="Z57">
            <v>3965</v>
          </cell>
          <cell r="AC57">
            <v>11589</v>
          </cell>
          <cell r="AD57">
            <v>6072</v>
          </cell>
          <cell r="AE57">
            <v>5517</v>
          </cell>
          <cell r="AF57">
            <v>0</v>
          </cell>
          <cell r="AH57">
            <v>0</v>
          </cell>
          <cell r="AI57">
            <v>26797</v>
          </cell>
          <cell r="AJ57">
            <v>15717</v>
          </cell>
          <cell r="AK57">
            <v>0</v>
          </cell>
          <cell r="AL57">
            <v>0</v>
          </cell>
          <cell r="AM57">
            <v>0</v>
          </cell>
          <cell r="AN57">
            <v>0</v>
          </cell>
          <cell r="AO57">
            <v>0</v>
          </cell>
          <cell r="AP57">
            <v>0</v>
          </cell>
        </row>
        <row r="58">
          <cell r="F58">
            <v>7</v>
          </cell>
          <cell r="G58">
            <v>2</v>
          </cell>
          <cell r="H58">
            <v>5</v>
          </cell>
          <cell r="P58">
            <v>58.666666666666664</v>
          </cell>
          <cell r="S58">
            <v>2370</v>
          </cell>
          <cell r="T58">
            <v>2370</v>
          </cell>
          <cell r="U58">
            <v>0</v>
          </cell>
          <cell r="X58">
            <v>0</v>
          </cell>
          <cell r="Y58">
            <v>0</v>
          </cell>
          <cell r="Z58">
            <v>0</v>
          </cell>
          <cell r="AC58">
            <v>0</v>
          </cell>
          <cell r="AD58">
            <v>0</v>
          </cell>
          <cell r="AE58">
            <v>0</v>
          </cell>
          <cell r="AF58">
            <v>900.66666666666663</v>
          </cell>
          <cell r="AG58">
            <v>500</v>
          </cell>
          <cell r="AH58">
            <v>400.66666666666663</v>
          </cell>
          <cell r="AI58">
            <v>26797</v>
          </cell>
          <cell r="AJ58">
            <v>15717</v>
          </cell>
          <cell r="AK58">
            <v>2935.6666666666665</v>
          </cell>
          <cell r="AL58">
            <v>60.666666666666664</v>
          </cell>
          <cell r="AM58">
            <v>2875</v>
          </cell>
          <cell r="AN58">
            <v>2875</v>
          </cell>
          <cell r="AO58">
            <v>0</v>
          </cell>
          <cell r="AP58">
            <v>806</v>
          </cell>
          <cell r="AQ58">
            <v>60.666666666666664</v>
          </cell>
          <cell r="AR58">
            <v>2069</v>
          </cell>
        </row>
        <row r="59">
          <cell r="F59">
            <v>427</v>
          </cell>
          <cell r="G59">
            <v>115</v>
          </cell>
          <cell r="H59">
            <v>312</v>
          </cell>
          <cell r="P59">
            <v>577.25</v>
          </cell>
          <cell r="S59">
            <v>824.09272727272719</v>
          </cell>
          <cell r="T59">
            <v>403.80543636363632</v>
          </cell>
          <cell r="U59">
            <v>420.28729090909087</v>
          </cell>
          <cell r="X59">
            <v>285.58636363636367</v>
          </cell>
          <cell r="Y59">
            <v>119</v>
          </cell>
          <cell r="Z59">
            <v>166.58636363636367</v>
          </cell>
          <cell r="AC59">
            <v>250.67818181818183</v>
          </cell>
          <cell r="AD59">
            <v>115</v>
          </cell>
          <cell r="AE59">
            <v>135.67818181818183</v>
          </cell>
          <cell r="AF59">
            <v>1165.050909090909</v>
          </cell>
          <cell r="AG59">
            <v>1000</v>
          </cell>
          <cell r="AH59">
            <v>165.05090909090904</v>
          </cell>
          <cell r="AI59">
            <v>0</v>
          </cell>
          <cell r="AJ59">
            <v>0</v>
          </cell>
          <cell r="AK59">
            <v>3627.6072727272726</v>
          </cell>
          <cell r="AL59">
            <v>1106.25</v>
          </cell>
          <cell r="AM59">
            <v>2521.3572727272726</v>
          </cell>
          <cell r="AN59">
            <v>2521.3572727272731</v>
          </cell>
          <cell r="AO59">
            <v>234</v>
          </cell>
          <cell r="AP59">
            <v>582</v>
          </cell>
          <cell r="AQ59">
            <v>872.25</v>
          </cell>
          <cell r="AR59">
            <v>1939.3572727272726</v>
          </cell>
        </row>
        <row r="60">
          <cell r="F60">
            <v>23</v>
          </cell>
          <cell r="G60">
            <v>6</v>
          </cell>
          <cell r="H60">
            <v>17</v>
          </cell>
          <cell r="P60">
            <v>32</v>
          </cell>
          <cell r="S60">
            <v>45</v>
          </cell>
          <cell r="T60">
            <v>22</v>
          </cell>
          <cell r="U60">
            <v>23</v>
          </cell>
          <cell r="X60">
            <v>16</v>
          </cell>
          <cell r="Y60">
            <v>7</v>
          </cell>
          <cell r="Z60">
            <v>9</v>
          </cell>
          <cell r="AC60">
            <v>14</v>
          </cell>
          <cell r="AD60">
            <v>6</v>
          </cell>
          <cell r="AE60">
            <v>8</v>
          </cell>
          <cell r="AF60">
            <v>64</v>
          </cell>
          <cell r="AG60">
            <v>55</v>
          </cell>
          <cell r="AH60">
            <v>9</v>
          </cell>
          <cell r="AI60">
            <v>498.4</v>
          </cell>
          <cell r="AJ60">
            <v>11.200000000000001</v>
          </cell>
          <cell r="AK60">
            <v>200</v>
          </cell>
          <cell r="AL60">
            <v>61</v>
          </cell>
          <cell r="AM60">
            <v>139</v>
          </cell>
          <cell r="AN60">
            <v>139</v>
          </cell>
          <cell r="AO60">
            <v>13</v>
          </cell>
          <cell r="AP60">
            <v>28</v>
          </cell>
          <cell r="AQ60">
            <v>48</v>
          </cell>
          <cell r="AR60">
            <v>111</v>
          </cell>
        </row>
        <row r="61">
          <cell r="F61">
            <v>137</v>
          </cell>
          <cell r="G61">
            <v>37</v>
          </cell>
          <cell r="H61">
            <v>100</v>
          </cell>
          <cell r="P61">
            <v>185</v>
          </cell>
          <cell r="S61">
            <v>264</v>
          </cell>
          <cell r="T61">
            <v>129</v>
          </cell>
          <cell r="U61">
            <v>134</v>
          </cell>
          <cell r="X61">
            <v>91</v>
          </cell>
          <cell r="Y61">
            <v>38</v>
          </cell>
          <cell r="Z61">
            <v>53</v>
          </cell>
          <cell r="AC61">
            <v>80</v>
          </cell>
          <cell r="AD61">
            <v>37</v>
          </cell>
          <cell r="AE61">
            <v>43</v>
          </cell>
          <cell r="AF61">
            <v>373</v>
          </cell>
          <cell r="AG61">
            <v>320</v>
          </cell>
          <cell r="AH61">
            <v>53</v>
          </cell>
          <cell r="AI61">
            <v>3532.6742727272731</v>
          </cell>
          <cell r="AJ61">
            <v>1273.3200000000002</v>
          </cell>
          <cell r="AK61">
            <v>1162</v>
          </cell>
          <cell r="AL61">
            <v>354</v>
          </cell>
          <cell r="AM61">
            <v>808</v>
          </cell>
          <cell r="AN61">
            <v>807</v>
          </cell>
          <cell r="AO61">
            <v>0</v>
          </cell>
          <cell r="AP61">
            <v>0</v>
          </cell>
          <cell r="AQ61">
            <v>0</v>
          </cell>
          <cell r="AR61">
            <v>0</v>
          </cell>
        </row>
        <row r="62">
          <cell r="F62">
            <v>0</v>
          </cell>
          <cell r="G62">
            <v>0</v>
          </cell>
          <cell r="H62">
            <v>13</v>
          </cell>
          <cell r="P62">
            <v>0</v>
          </cell>
          <cell r="S62">
            <v>49</v>
          </cell>
          <cell r="T62">
            <v>24</v>
          </cell>
          <cell r="U62">
            <v>25</v>
          </cell>
          <cell r="X62">
            <v>0</v>
          </cell>
          <cell r="Y62">
            <v>11</v>
          </cell>
          <cell r="Z62">
            <v>5</v>
          </cell>
          <cell r="AC62">
            <v>15</v>
          </cell>
          <cell r="AD62">
            <v>8</v>
          </cell>
          <cell r="AE62">
            <v>7</v>
          </cell>
          <cell r="AF62">
            <v>57</v>
          </cell>
          <cell r="AG62">
            <v>45</v>
          </cell>
          <cell r="AH62">
            <v>0</v>
          </cell>
          <cell r="AI62">
            <v>194</v>
          </cell>
          <cell r="AJ62">
            <v>70</v>
          </cell>
          <cell r="AK62">
            <v>0</v>
          </cell>
          <cell r="AL62">
            <v>124</v>
          </cell>
          <cell r="AM62">
            <v>19</v>
          </cell>
          <cell r="AN62">
            <v>0</v>
          </cell>
          <cell r="AO62">
            <v>51</v>
          </cell>
          <cell r="AP62">
            <v>102</v>
          </cell>
        </row>
        <row r="63">
          <cell r="F63">
            <v>88</v>
          </cell>
          <cell r="G63">
            <v>24</v>
          </cell>
          <cell r="H63">
            <v>64</v>
          </cell>
          <cell r="P63">
            <v>470</v>
          </cell>
          <cell r="S63">
            <v>1000</v>
          </cell>
          <cell r="T63">
            <v>160</v>
          </cell>
          <cell r="U63">
            <v>840</v>
          </cell>
          <cell r="X63">
            <v>537</v>
          </cell>
          <cell r="Y63">
            <v>223</v>
          </cell>
          <cell r="Z63">
            <v>314</v>
          </cell>
          <cell r="AC63">
            <v>527</v>
          </cell>
          <cell r="AD63">
            <v>241</v>
          </cell>
          <cell r="AE63">
            <v>286</v>
          </cell>
          <cell r="AF63">
            <v>400</v>
          </cell>
          <cell r="AG63">
            <v>400</v>
          </cell>
          <cell r="AH63">
            <v>0</v>
          </cell>
          <cell r="AI63">
            <v>1131</v>
          </cell>
          <cell r="AJ63">
            <v>407</v>
          </cell>
          <cell r="AK63">
            <v>3046</v>
          </cell>
          <cell r="AL63">
            <v>982</v>
          </cell>
          <cell r="AM63">
            <v>2064</v>
          </cell>
          <cell r="AN63">
            <v>2064</v>
          </cell>
          <cell r="AO63">
            <v>464</v>
          </cell>
          <cell r="AP63">
            <v>940</v>
          </cell>
          <cell r="AQ63">
            <v>518</v>
          </cell>
          <cell r="AR63">
            <v>1124</v>
          </cell>
        </row>
        <row r="64">
          <cell r="F64">
            <v>0</v>
          </cell>
          <cell r="G64">
            <v>0</v>
          </cell>
          <cell r="P64">
            <v>0</v>
          </cell>
          <cell r="T64">
            <v>16</v>
          </cell>
          <cell r="U64">
            <v>84</v>
          </cell>
          <cell r="X64">
            <v>0</v>
          </cell>
          <cell r="AH64">
            <v>0</v>
          </cell>
          <cell r="AI64">
            <v>0</v>
          </cell>
          <cell r="AJ64">
            <v>0</v>
          </cell>
          <cell r="AK64">
            <v>0</v>
          </cell>
          <cell r="AL64">
            <v>0</v>
          </cell>
          <cell r="AN64">
            <v>0</v>
          </cell>
          <cell r="AO64">
            <v>46</v>
          </cell>
          <cell r="AP64">
            <v>94</v>
          </cell>
          <cell r="AQ64">
            <v>52</v>
          </cell>
          <cell r="AR64">
            <v>112</v>
          </cell>
        </row>
        <row r="65">
          <cell r="F65">
            <v>0</v>
          </cell>
          <cell r="G65">
            <v>0</v>
          </cell>
          <cell r="H65">
            <v>0</v>
          </cell>
          <cell r="P65">
            <v>923</v>
          </cell>
          <cell r="S65">
            <v>3416</v>
          </cell>
          <cell r="T65">
            <v>162.88</v>
          </cell>
          <cell r="U65">
            <v>855.12</v>
          </cell>
          <cell r="X65">
            <v>506</v>
          </cell>
          <cell r="Y65">
            <v>404</v>
          </cell>
          <cell r="Z65">
            <v>166</v>
          </cell>
          <cell r="AC65">
            <v>415</v>
          </cell>
          <cell r="AD65">
            <v>336</v>
          </cell>
          <cell r="AE65">
            <v>305</v>
          </cell>
          <cell r="AF65">
            <v>454</v>
          </cell>
          <cell r="AG65">
            <v>454</v>
          </cell>
          <cell r="AH65">
            <v>0</v>
          </cell>
          <cell r="AI65">
            <v>3313</v>
          </cell>
          <cell r="AJ65">
            <v>1298</v>
          </cell>
          <cell r="AK65">
            <v>5737</v>
          </cell>
          <cell r="AL65">
            <v>946</v>
          </cell>
          <cell r="AM65">
            <v>4791</v>
          </cell>
          <cell r="AN65">
            <v>3870</v>
          </cell>
          <cell r="AO65">
            <v>558</v>
          </cell>
          <cell r="AP65">
            <v>939</v>
          </cell>
        </row>
        <row r="66">
          <cell r="F66">
            <v>0</v>
          </cell>
          <cell r="G66">
            <v>0</v>
          </cell>
          <cell r="P66">
            <v>0</v>
          </cell>
          <cell r="S66">
            <v>0</v>
          </cell>
          <cell r="T66">
            <v>16</v>
          </cell>
          <cell r="U66">
            <v>86</v>
          </cell>
          <cell r="X66">
            <v>0</v>
          </cell>
          <cell r="AC66">
            <v>0</v>
          </cell>
          <cell r="AD66">
            <v>0</v>
          </cell>
          <cell r="AH66">
            <v>0</v>
          </cell>
          <cell r="AI66">
            <v>0</v>
          </cell>
          <cell r="AK66">
            <v>0</v>
          </cell>
          <cell r="AL66">
            <v>0</v>
          </cell>
          <cell r="AM66">
            <v>0</v>
          </cell>
          <cell r="AN66">
            <v>0</v>
          </cell>
          <cell r="AO66">
            <v>56</v>
          </cell>
          <cell r="AP66">
            <v>0</v>
          </cell>
        </row>
        <row r="67">
          <cell r="F67">
            <v>84</v>
          </cell>
          <cell r="G67">
            <v>0</v>
          </cell>
          <cell r="H67">
            <v>64</v>
          </cell>
          <cell r="P67">
            <v>-453</v>
          </cell>
          <cell r="S67">
            <v>-2416</v>
          </cell>
          <cell r="T67">
            <v>144</v>
          </cell>
          <cell r="U67">
            <v>756</v>
          </cell>
          <cell r="X67">
            <v>31</v>
          </cell>
          <cell r="Y67">
            <v>223</v>
          </cell>
          <cell r="Z67">
            <v>314</v>
          </cell>
          <cell r="AC67">
            <v>112</v>
          </cell>
          <cell r="AD67">
            <v>241</v>
          </cell>
          <cell r="AE67">
            <v>286</v>
          </cell>
          <cell r="AF67">
            <v>-54</v>
          </cell>
          <cell r="AG67">
            <v>-54</v>
          </cell>
          <cell r="AH67">
            <v>0</v>
          </cell>
          <cell r="AI67">
            <v>6650</v>
          </cell>
          <cell r="AJ67">
            <v>0</v>
          </cell>
          <cell r="AK67">
            <v>-2779</v>
          </cell>
          <cell r="AL67">
            <v>4951</v>
          </cell>
          <cell r="AN67">
            <v>-1806</v>
          </cell>
          <cell r="AO67">
            <v>418</v>
          </cell>
          <cell r="AP67">
            <v>-93</v>
          </cell>
          <cell r="AQ67">
            <v>466</v>
          </cell>
          <cell r="AR67">
            <v>1012</v>
          </cell>
        </row>
        <row r="68">
          <cell r="F68">
            <v>327</v>
          </cell>
          <cell r="G68">
            <v>88</v>
          </cell>
          <cell r="H68">
            <v>239</v>
          </cell>
          <cell r="P68">
            <v>720</v>
          </cell>
          <cell r="S68">
            <v>1362.8000000000002</v>
          </cell>
          <cell r="T68">
            <v>340.70000000000005</v>
          </cell>
          <cell r="U68">
            <v>1022.1000000000001</v>
          </cell>
          <cell r="X68">
            <v>796.80000000000007</v>
          </cell>
          <cell r="Y68">
            <v>331</v>
          </cell>
          <cell r="Z68">
            <v>465.80000000000007</v>
          </cell>
          <cell r="AC68">
            <v>439.20000000000005</v>
          </cell>
          <cell r="AD68">
            <v>201</v>
          </cell>
          <cell r="AE68">
            <v>238.20000000000005</v>
          </cell>
          <cell r="AF68">
            <v>312.8</v>
          </cell>
          <cell r="AG68">
            <v>313</v>
          </cell>
          <cell r="AH68">
            <v>0</v>
          </cell>
          <cell r="AI68">
            <v>0</v>
          </cell>
          <cell r="AJ68">
            <v>0</v>
          </cell>
          <cell r="AK68">
            <v>3973.8</v>
          </cell>
          <cell r="AL68">
            <v>1340</v>
          </cell>
          <cell r="AM68">
            <v>2633.8</v>
          </cell>
          <cell r="AN68">
            <v>2633.8</v>
          </cell>
          <cell r="AO68">
            <v>532</v>
          </cell>
          <cell r="AP68">
            <v>1167</v>
          </cell>
          <cell r="AQ68">
            <v>808</v>
          </cell>
          <cell r="AR68">
            <v>1466.8000000000002</v>
          </cell>
        </row>
        <row r="69">
          <cell r="F69">
            <v>0</v>
          </cell>
          <cell r="G69">
            <v>0</v>
          </cell>
          <cell r="H69">
            <v>0</v>
          </cell>
          <cell r="P69">
            <v>50</v>
          </cell>
          <cell r="S69">
            <v>312.72727272727275</v>
          </cell>
          <cell r="T69">
            <v>146.88</v>
          </cell>
          <cell r="U69">
            <v>769.12</v>
          </cell>
          <cell r="X69">
            <v>180.36363636363637</v>
          </cell>
          <cell r="Y69">
            <v>75</v>
          </cell>
          <cell r="Z69">
            <v>105.36363636363637</v>
          </cell>
          <cell r="AC69">
            <v>138.18181818181819</v>
          </cell>
          <cell r="AD69">
            <v>63</v>
          </cell>
          <cell r="AE69">
            <v>75.181818181818187</v>
          </cell>
          <cell r="AF69">
            <v>114.90909090909091</v>
          </cell>
          <cell r="AG69">
            <v>114.90909090909091</v>
          </cell>
          <cell r="AH69">
            <v>0</v>
          </cell>
          <cell r="AI69">
            <v>-3332</v>
          </cell>
          <cell r="AK69">
            <v>796.18181818181813</v>
          </cell>
          <cell r="AL69">
            <v>188</v>
          </cell>
          <cell r="AM69">
            <v>608.18181818181813</v>
          </cell>
          <cell r="AN69">
            <v>608.18181818181824</v>
          </cell>
          <cell r="AO69">
            <v>502</v>
          </cell>
          <cell r="AP69">
            <v>1078</v>
          </cell>
        </row>
        <row r="70">
          <cell r="F70">
            <v>0</v>
          </cell>
          <cell r="G70">
            <v>0</v>
          </cell>
          <cell r="H70">
            <v>0</v>
          </cell>
          <cell r="P70">
            <v>3</v>
          </cell>
          <cell r="S70">
            <v>17</v>
          </cell>
          <cell r="T70">
            <v>479.6</v>
          </cell>
          <cell r="U70">
            <v>1438.8000000000002</v>
          </cell>
          <cell r="X70">
            <v>10</v>
          </cell>
          <cell r="Y70">
            <v>4</v>
          </cell>
          <cell r="Z70">
            <v>6</v>
          </cell>
          <cell r="AC70">
            <v>8</v>
          </cell>
          <cell r="AD70">
            <v>4</v>
          </cell>
          <cell r="AE70">
            <v>4</v>
          </cell>
          <cell r="AF70">
            <v>6</v>
          </cell>
          <cell r="AG70">
            <v>6</v>
          </cell>
          <cell r="AH70">
            <v>0</v>
          </cell>
          <cell r="AI70">
            <v>6117.4</v>
          </cell>
          <cell r="AJ70">
            <v>1964.4</v>
          </cell>
          <cell r="AK70">
            <v>44</v>
          </cell>
          <cell r="AL70">
            <v>11</v>
          </cell>
          <cell r="AM70">
            <v>33</v>
          </cell>
          <cell r="AN70">
            <v>33</v>
          </cell>
          <cell r="AO70">
            <v>998.40000000000009</v>
          </cell>
          <cell r="AP70">
            <v>2941</v>
          </cell>
        </row>
        <row r="71">
          <cell r="F71">
            <v>0</v>
          </cell>
          <cell r="G71">
            <v>0</v>
          </cell>
          <cell r="H71">
            <v>0</v>
          </cell>
          <cell r="P71">
            <v>16</v>
          </cell>
          <cell r="S71">
            <v>99</v>
          </cell>
          <cell r="X71">
            <v>58</v>
          </cell>
          <cell r="Y71">
            <v>24</v>
          </cell>
          <cell r="Z71">
            <v>34</v>
          </cell>
          <cell r="AC71">
            <v>45</v>
          </cell>
          <cell r="AD71">
            <v>21</v>
          </cell>
          <cell r="AE71">
            <v>24</v>
          </cell>
          <cell r="AF71">
            <v>37</v>
          </cell>
          <cell r="AG71">
            <v>37</v>
          </cell>
          <cell r="AH71">
            <v>0</v>
          </cell>
          <cell r="AI71">
            <v>1063.2727272727273</v>
          </cell>
          <cell r="AJ71">
            <v>248</v>
          </cell>
          <cell r="AK71">
            <v>255</v>
          </cell>
          <cell r="AL71">
            <v>61</v>
          </cell>
          <cell r="AM71">
            <v>194</v>
          </cell>
          <cell r="AN71">
            <v>194</v>
          </cell>
        </row>
        <row r="72">
          <cell r="F72">
            <v>0</v>
          </cell>
          <cell r="G72">
            <v>0</v>
          </cell>
          <cell r="H72">
            <v>0</v>
          </cell>
          <cell r="P72">
            <v>83</v>
          </cell>
          <cell r="S72">
            <v>27</v>
          </cell>
          <cell r="X72">
            <v>0</v>
          </cell>
          <cell r="Y72">
            <v>6</v>
          </cell>
          <cell r="Z72">
            <v>3</v>
          </cell>
          <cell r="AC72">
            <v>0</v>
          </cell>
          <cell r="AD72">
            <v>3</v>
          </cell>
          <cell r="AE72">
            <v>3</v>
          </cell>
          <cell r="AF72">
            <v>0</v>
          </cell>
          <cell r="AG72">
            <v>0</v>
          </cell>
          <cell r="AH72">
            <v>0</v>
          </cell>
          <cell r="AI72">
            <v>58</v>
          </cell>
          <cell r="AJ72">
            <v>13</v>
          </cell>
          <cell r="AK72">
            <v>83</v>
          </cell>
          <cell r="AL72">
            <v>83</v>
          </cell>
          <cell r="AM72">
            <v>0</v>
          </cell>
          <cell r="AN72">
            <v>0</v>
          </cell>
        </row>
        <row r="73">
          <cell r="F73">
            <v>0</v>
          </cell>
          <cell r="G73">
            <v>0</v>
          </cell>
          <cell r="H73">
            <v>0</v>
          </cell>
          <cell r="P73">
            <v>21</v>
          </cell>
          <cell r="S73">
            <v>1558</v>
          </cell>
          <cell r="X73">
            <v>1785</v>
          </cell>
          <cell r="Y73">
            <v>742</v>
          </cell>
          <cell r="Z73">
            <v>1043</v>
          </cell>
          <cell r="AC73">
            <v>633</v>
          </cell>
          <cell r="AD73">
            <v>289</v>
          </cell>
          <cell r="AE73">
            <v>344</v>
          </cell>
          <cell r="AF73">
            <v>530</v>
          </cell>
          <cell r="AG73">
            <v>530</v>
          </cell>
          <cell r="AH73">
            <v>0</v>
          </cell>
          <cell r="AI73">
            <v>340</v>
          </cell>
          <cell r="AJ73">
            <v>79</v>
          </cell>
          <cell r="AK73">
            <v>4506</v>
          </cell>
          <cell r="AL73">
            <v>1031</v>
          </cell>
          <cell r="AM73">
            <v>3475</v>
          </cell>
          <cell r="AN73">
            <v>3475</v>
          </cell>
        </row>
        <row r="74">
          <cell r="F74">
            <v>0</v>
          </cell>
          <cell r="G74">
            <v>0</v>
          </cell>
          <cell r="P74">
            <v>63</v>
          </cell>
          <cell r="S74">
            <v>0</v>
          </cell>
          <cell r="X74">
            <v>0</v>
          </cell>
          <cell r="Z74">
            <v>0</v>
          </cell>
          <cell r="AC74">
            <v>0</v>
          </cell>
          <cell r="AD74">
            <v>0</v>
          </cell>
          <cell r="AE74">
            <v>0</v>
          </cell>
          <cell r="AF74">
            <v>0</v>
          </cell>
          <cell r="AG74">
            <v>0</v>
          </cell>
          <cell r="AH74">
            <v>0</v>
          </cell>
          <cell r="AI74">
            <v>63</v>
          </cell>
          <cell r="AJ74">
            <v>63</v>
          </cell>
          <cell r="AK74">
            <v>0</v>
          </cell>
          <cell r="AL74">
            <v>0</v>
          </cell>
          <cell r="AM74">
            <v>0</v>
          </cell>
          <cell r="AN74">
            <v>0</v>
          </cell>
        </row>
        <row r="75">
          <cell r="F75">
            <v>3060</v>
          </cell>
          <cell r="G75">
            <v>825</v>
          </cell>
          <cell r="H75">
            <v>2235</v>
          </cell>
          <cell r="P75">
            <v>156.66666666666669</v>
          </cell>
          <cell r="S75">
            <v>172.46666666666664</v>
          </cell>
          <cell r="T75">
            <v>65.78</v>
          </cell>
          <cell r="U75">
            <v>106.68666666666664</v>
          </cell>
          <cell r="X75">
            <v>142.33666666666667</v>
          </cell>
          <cell r="Y75">
            <v>59</v>
          </cell>
          <cell r="Z75">
            <v>83.336666666666673</v>
          </cell>
          <cell r="AC75">
            <v>56.933333333333337</v>
          </cell>
          <cell r="AD75">
            <v>26</v>
          </cell>
          <cell r="AE75">
            <v>30.933333333333337</v>
          </cell>
          <cell r="AF75">
            <v>251.33333333333331</v>
          </cell>
          <cell r="AG75">
            <v>238</v>
          </cell>
          <cell r="AH75">
            <v>13</v>
          </cell>
          <cell r="AI75">
            <v>870.40000000000009</v>
          </cell>
          <cell r="AJ75">
            <v>870.40000000000009</v>
          </cell>
          <cell r="AK75">
            <v>4620.4033333333336</v>
          </cell>
          <cell r="AL75">
            <v>1627.6666666666667</v>
          </cell>
          <cell r="AM75">
            <v>2992.7366666666667</v>
          </cell>
          <cell r="AN75">
            <v>2992.7366666666667</v>
          </cell>
          <cell r="AO75">
            <v>85</v>
          </cell>
          <cell r="AP75">
            <v>173</v>
          </cell>
          <cell r="AQ75">
            <v>1542.6666666666667</v>
          </cell>
          <cell r="AR75">
            <v>2819.7366666666667</v>
          </cell>
        </row>
        <row r="76">
          <cell r="F76">
            <v>2</v>
          </cell>
          <cell r="G76">
            <v>1</v>
          </cell>
          <cell r="H76">
            <v>1</v>
          </cell>
          <cell r="P76">
            <v>935</v>
          </cell>
          <cell r="S76">
            <v>4732.8</v>
          </cell>
          <cell r="T76">
            <v>0</v>
          </cell>
          <cell r="U76">
            <v>0</v>
          </cell>
          <cell r="X76">
            <v>80</v>
          </cell>
          <cell r="Y76">
            <v>0</v>
          </cell>
          <cell r="Z76">
            <v>0</v>
          </cell>
          <cell r="AC76">
            <v>85</v>
          </cell>
          <cell r="AD76">
            <v>45</v>
          </cell>
          <cell r="AE76">
            <v>0</v>
          </cell>
          <cell r="AH76">
            <v>0</v>
          </cell>
          <cell r="AI76">
            <v>5832.8</v>
          </cell>
          <cell r="AJ76">
            <v>980</v>
          </cell>
          <cell r="AK76">
            <v>2</v>
          </cell>
          <cell r="AL76">
            <v>1</v>
          </cell>
          <cell r="AM76">
            <v>1</v>
          </cell>
          <cell r="AN76">
            <v>1</v>
          </cell>
          <cell r="AO76">
            <v>0</v>
          </cell>
          <cell r="AP76">
            <v>0</v>
          </cell>
          <cell r="AQ76">
            <v>1</v>
          </cell>
          <cell r="AR76">
            <v>1</v>
          </cell>
        </row>
        <row r="77">
          <cell r="F77">
            <v>3058</v>
          </cell>
          <cell r="G77">
            <v>824</v>
          </cell>
          <cell r="H77">
            <v>2234</v>
          </cell>
          <cell r="P77">
            <v>156.66666666666669</v>
          </cell>
          <cell r="S77">
            <v>172.46666666666664</v>
          </cell>
          <cell r="T77">
            <v>65.78</v>
          </cell>
          <cell r="U77">
            <v>106.68666666666664</v>
          </cell>
          <cell r="X77">
            <v>142.33666666666667</v>
          </cell>
          <cell r="Y77">
            <v>59</v>
          </cell>
          <cell r="Z77">
            <v>83.336666666666673</v>
          </cell>
          <cell r="AC77">
            <v>56.933333333333337</v>
          </cell>
          <cell r="AD77">
            <v>26</v>
          </cell>
          <cell r="AE77">
            <v>30.933333333333337</v>
          </cell>
          <cell r="AF77">
            <v>251.33333333333331</v>
          </cell>
          <cell r="AG77">
            <v>232</v>
          </cell>
          <cell r="AH77">
            <v>19.333333333333314</v>
          </cell>
          <cell r="AI77">
            <v>5147.7666666666664</v>
          </cell>
          <cell r="AJ77">
            <v>2074.1999999999998</v>
          </cell>
          <cell r="AK77">
            <v>4612.4033333333336</v>
          </cell>
          <cell r="AL77">
            <v>1626.6666666666667</v>
          </cell>
          <cell r="AM77">
            <v>2985.7366666666667</v>
          </cell>
          <cell r="AN77">
            <v>2985.7366666666667</v>
          </cell>
          <cell r="AO77">
            <v>85</v>
          </cell>
          <cell r="AP77">
            <v>173</v>
          </cell>
          <cell r="AQ77">
            <v>1541.6666666666667</v>
          </cell>
          <cell r="AR77">
            <v>2812.7366666666667</v>
          </cell>
        </row>
        <row r="78">
          <cell r="F78">
            <v>1786</v>
          </cell>
          <cell r="G78">
            <v>481</v>
          </cell>
          <cell r="H78">
            <v>1305</v>
          </cell>
          <cell r="P78">
            <v>72.666666666666671</v>
          </cell>
          <cell r="S78">
            <v>99.666666666666657</v>
          </cell>
          <cell r="T78">
            <v>65.78</v>
          </cell>
          <cell r="U78">
            <v>33.886666666666656</v>
          </cell>
          <cell r="X78">
            <v>66</v>
          </cell>
          <cell r="Y78">
            <v>27</v>
          </cell>
          <cell r="Z78">
            <v>39</v>
          </cell>
          <cell r="AC78">
            <v>29.6</v>
          </cell>
          <cell r="AD78">
            <v>26</v>
          </cell>
          <cell r="AE78">
            <v>3.6000000000000014</v>
          </cell>
          <cell r="AF78">
            <v>142.66666666666666</v>
          </cell>
          <cell r="AG78">
            <v>137</v>
          </cell>
          <cell r="AH78">
            <v>5.6666666666666572</v>
          </cell>
          <cell r="AI78" t="e">
            <v>#REF!</v>
          </cell>
          <cell r="AJ78">
            <v>115</v>
          </cell>
          <cell r="AK78">
            <v>2600.9333333333329</v>
          </cell>
          <cell r="AL78">
            <v>996.66666666666663</v>
          </cell>
          <cell r="AM78">
            <v>1604.2666666666664</v>
          </cell>
          <cell r="AN78">
            <v>1604.2666666666667</v>
          </cell>
          <cell r="AO78">
            <v>115</v>
          </cell>
          <cell r="AP78" t="e">
            <v>#REF!</v>
          </cell>
          <cell r="AR78">
            <v>1604.2666666666664</v>
          </cell>
        </row>
        <row r="79">
          <cell r="F79">
            <v>3690.5</v>
          </cell>
          <cell r="G79">
            <v>0</v>
          </cell>
          <cell r="H79">
            <v>0</v>
          </cell>
          <cell r="P79">
            <v>0</v>
          </cell>
          <cell r="S79">
            <v>0</v>
          </cell>
          <cell r="T79">
            <v>80.431999999999974</v>
          </cell>
          <cell r="U79">
            <v>121.43466666666664</v>
          </cell>
          <cell r="X79">
            <v>84.800000000000011</v>
          </cell>
          <cell r="Y79">
            <v>60</v>
          </cell>
          <cell r="Z79">
            <v>24.800000000000011</v>
          </cell>
          <cell r="AC79">
            <v>135.4</v>
          </cell>
          <cell r="AD79">
            <v>71</v>
          </cell>
          <cell r="AE79">
            <v>64.400000000000006</v>
          </cell>
          <cell r="AF79">
            <v>168</v>
          </cell>
          <cell r="AG79">
            <v>140</v>
          </cell>
          <cell r="AH79">
            <v>28</v>
          </cell>
          <cell r="AI79">
            <v>4852.7666666666664</v>
          </cell>
          <cell r="AJ79">
            <v>1959.2</v>
          </cell>
          <cell r="AK79">
            <v>364</v>
          </cell>
          <cell r="AL79">
            <v>164</v>
          </cell>
          <cell r="AM79">
            <v>200</v>
          </cell>
          <cell r="AN79">
            <v>200</v>
          </cell>
          <cell r="AO79">
            <v>1828.2</v>
          </cell>
          <cell r="AP79">
            <v>2735.5666666666666</v>
          </cell>
          <cell r="AR79">
            <v>200</v>
          </cell>
        </row>
        <row r="80">
          <cell r="F80">
            <v>316</v>
          </cell>
          <cell r="G80">
            <v>85</v>
          </cell>
          <cell r="H80">
            <v>231</v>
          </cell>
          <cell r="P80">
            <v>10.333333333333334</v>
          </cell>
          <cell r="S80">
            <v>30.666666666666671</v>
          </cell>
          <cell r="T80">
            <v>80.431999999999974</v>
          </cell>
          <cell r="U80">
            <v>41.434666666666658</v>
          </cell>
          <cell r="X80">
            <v>51.333333333333336</v>
          </cell>
          <cell r="Y80">
            <v>21</v>
          </cell>
          <cell r="Z80">
            <v>30.333333333333336</v>
          </cell>
          <cell r="AC80">
            <v>7.333333333333333</v>
          </cell>
          <cell r="AD80">
            <v>3</v>
          </cell>
          <cell r="AE80">
            <v>4.333333333333333</v>
          </cell>
          <cell r="AF80">
            <v>55.666666666666664</v>
          </cell>
          <cell r="AG80">
            <v>50</v>
          </cell>
          <cell r="AH80">
            <v>5.6666666666666643</v>
          </cell>
          <cell r="AI80">
            <v>1201.8666666666668</v>
          </cell>
          <cell r="AJ80">
            <v>525.20000000000005</v>
          </cell>
          <cell r="AK80">
            <v>475.66666666666663</v>
          </cell>
          <cell r="AL80">
            <v>121.33333333333333</v>
          </cell>
          <cell r="AM80">
            <v>354.33333333333331</v>
          </cell>
          <cell r="AN80">
            <v>354.33333333333331</v>
          </cell>
          <cell r="AP80">
            <v>676.66666666666674</v>
          </cell>
        </row>
        <row r="81">
          <cell r="F81">
            <v>956</v>
          </cell>
          <cell r="G81">
            <v>257</v>
          </cell>
          <cell r="H81">
            <v>699</v>
          </cell>
          <cell r="P81">
            <v>73.666666666666671</v>
          </cell>
          <cell r="S81">
            <v>42.133333333333333</v>
          </cell>
          <cell r="X81">
            <v>25.003333333333334</v>
          </cell>
          <cell r="Y81">
            <v>10</v>
          </cell>
          <cell r="Z81">
            <v>15.003333333333334</v>
          </cell>
          <cell r="AC81">
            <v>20</v>
          </cell>
          <cell r="AD81">
            <v>9</v>
          </cell>
          <cell r="AE81">
            <v>11</v>
          </cell>
          <cell r="AF81">
            <v>53</v>
          </cell>
          <cell r="AG81">
            <v>45</v>
          </cell>
          <cell r="AH81">
            <v>8</v>
          </cell>
          <cell r="AI81">
            <v>389</v>
          </cell>
          <cell r="AJ81">
            <v>156</v>
          </cell>
          <cell r="AK81">
            <v>1171.8033333333335</v>
          </cell>
          <cell r="AL81">
            <v>354.66666666666669</v>
          </cell>
          <cell r="AM81">
            <v>817.13666666666677</v>
          </cell>
          <cell r="AN81">
            <v>817.13666666666666</v>
          </cell>
          <cell r="AP81">
            <v>233</v>
          </cell>
        </row>
        <row r="82">
          <cell r="F82">
            <v>239</v>
          </cell>
          <cell r="G82">
            <v>0</v>
          </cell>
          <cell r="H82">
            <v>0</v>
          </cell>
          <cell r="P82">
            <v>5</v>
          </cell>
          <cell r="S82">
            <v>40</v>
          </cell>
          <cell r="X82">
            <v>0</v>
          </cell>
          <cell r="Y82">
            <v>0</v>
          </cell>
          <cell r="Z82">
            <v>0</v>
          </cell>
          <cell r="AC82">
            <v>27.200000000000003</v>
          </cell>
          <cell r="AD82">
            <v>14</v>
          </cell>
          <cell r="AE82">
            <v>13.200000000000003</v>
          </cell>
          <cell r="AF82">
            <v>25.6</v>
          </cell>
          <cell r="AG82">
            <v>20</v>
          </cell>
          <cell r="AH82">
            <v>5.6000000000000014</v>
          </cell>
          <cell r="AI82">
            <v>334.2</v>
          </cell>
          <cell r="AJ82">
            <v>114</v>
          </cell>
          <cell r="AK82">
            <v>0</v>
          </cell>
          <cell r="AL82">
            <v>0</v>
          </cell>
          <cell r="AM82">
            <v>0</v>
          </cell>
          <cell r="AN82">
            <v>0</v>
          </cell>
        </row>
        <row r="83">
          <cell r="F83">
            <v>0</v>
          </cell>
          <cell r="G83">
            <v>0</v>
          </cell>
          <cell r="H83">
            <v>0</v>
          </cell>
          <cell r="P83">
            <v>14</v>
          </cell>
          <cell r="S83">
            <v>10</v>
          </cell>
          <cell r="X83">
            <v>0</v>
          </cell>
          <cell r="Y83">
            <v>14</v>
          </cell>
          <cell r="Z83">
            <v>5.2000000000000028</v>
          </cell>
          <cell r="AC83">
            <v>2</v>
          </cell>
          <cell r="AD83">
            <v>42</v>
          </cell>
          <cell r="AE83">
            <v>39</v>
          </cell>
          <cell r="AF83">
            <v>43</v>
          </cell>
          <cell r="AG83">
            <v>43</v>
          </cell>
          <cell r="AH83">
            <v>0</v>
          </cell>
          <cell r="AI83" t="e">
            <v>#REF!</v>
          </cell>
          <cell r="AJ83" t="e">
            <v>#REF!</v>
          </cell>
          <cell r="AK83">
            <v>69</v>
          </cell>
          <cell r="AL83">
            <v>14</v>
          </cell>
          <cell r="AM83">
            <v>55</v>
          </cell>
          <cell r="AN83">
            <v>53</v>
          </cell>
        </row>
        <row r="84">
          <cell r="F84">
            <v>4702</v>
          </cell>
          <cell r="G84">
            <v>1267</v>
          </cell>
          <cell r="H84">
            <v>3435</v>
          </cell>
          <cell r="P84">
            <v>2660.9166666666665</v>
          </cell>
          <cell r="Q84">
            <v>0</v>
          </cell>
          <cell r="R84">
            <v>0</v>
          </cell>
          <cell r="S84">
            <v>26690.026060606062</v>
          </cell>
          <cell r="T84">
            <v>23669.785436363636</v>
          </cell>
          <cell r="U84">
            <v>3019.240624242424</v>
          </cell>
          <cell r="X84">
            <v>28231.389696969698</v>
          </cell>
          <cell r="Y84">
            <v>12611</v>
          </cell>
          <cell r="Z84">
            <v>15620.389696969694</v>
          </cell>
          <cell r="AA84">
            <v>0</v>
          </cell>
          <cell r="AB84">
            <v>0</v>
          </cell>
          <cell r="AC84">
            <v>25802.811515151516</v>
          </cell>
          <cell r="AD84">
            <v>12625</v>
          </cell>
          <cell r="AE84">
            <v>13177.811515151516</v>
          </cell>
          <cell r="AF84">
            <v>4169.1842424242423</v>
          </cell>
          <cell r="AG84">
            <v>3396</v>
          </cell>
          <cell r="AH84">
            <v>773.05090909090904</v>
          </cell>
          <cell r="AI84" t="e">
            <v>#REF!</v>
          </cell>
          <cell r="AJ84">
            <v>0</v>
          </cell>
          <cell r="AK84">
            <v>92938.143939393951</v>
          </cell>
          <cell r="AL84">
            <v>30224.916666666668</v>
          </cell>
          <cell r="AM84">
            <v>62713.227272727272</v>
          </cell>
          <cell r="AN84">
            <v>62712.227272727272</v>
          </cell>
          <cell r="AO84">
            <v>25161</v>
          </cell>
          <cell r="AP84">
            <v>50552</v>
          </cell>
          <cell r="AQ84">
            <v>4709.916666666667</v>
          </cell>
          <cell r="AR84">
            <v>11353.227272727272</v>
          </cell>
        </row>
        <row r="85">
          <cell r="F85">
            <v>587</v>
          </cell>
          <cell r="G85">
            <v>115</v>
          </cell>
          <cell r="H85">
            <v>312</v>
          </cell>
          <cell r="P85">
            <v>627.25</v>
          </cell>
          <cell r="Q85">
            <v>0</v>
          </cell>
          <cell r="R85">
            <v>0</v>
          </cell>
          <cell r="S85">
            <v>0</v>
          </cell>
          <cell r="T85">
            <v>403.80543636363632</v>
          </cell>
          <cell r="U85">
            <v>420.28729090909087</v>
          </cell>
          <cell r="V85">
            <v>0</v>
          </cell>
          <cell r="W85">
            <v>0</v>
          </cell>
          <cell r="X85">
            <v>0</v>
          </cell>
          <cell r="Y85">
            <v>194</v>
          </cell>
          <cell r="Z85">
            <v>271.95000000000005</v>
          </cell>
          <cell r="AA85">
            <v>0</v>
          </cell>
          <cell r="AB85">
            <v>0</v>
          </cell>
          <cell r="AC85">
            <v>2.4000000000000004</v>
          </cell>
          <cell r="AD85">
            <v>178</v>
          </cell>
          <cell r="AE85">
            <v>210.86</v>
          </cell>
          <cell r="AF85">
            <v>44</v>
          </cell>
          <cell r="AG85">
            <v>44</v>
          </cell>
          <cell r="AH85">
            <v>62.950909090909136</v>
          </cell>
          <cell r="AI85" t="e">
            <v>#REF!</v>
          </cell>
          <cell r="AJ85">
            <v>10.600000000000001</v>
          </cell>
          <cell r="AK85">
            <v>4423.7890909090911</v>
          </cell>
          <cell r="AL85">
            <v>1294.25</v>
          </cell>
          <cell r="AM85">
            <v>3129.5390909090906</v>
          </cell>
          <cell r="AN85">
            <v>877.81000000000006</v>
          </cell>
        </row>
        <row r="86">
          <cell r="F86">
            <v>5648.1970000000001</v>
          </cell>
          <cell r="G86">
            <v>2210</v>
          </cell>
          <cell r="H86">
            <v>3438.1970000000001</v>
          </cell>
          <cell r="P86">
            <v>2586.1559999999999</v>
          </cell>
          <cell r="Q86">
            <v>0</v>
          </cell>
          <cell r="R86">
            <v>0</v>
          </cell>
          <cell r="S86">
            <v>7247.7078787878781</v>
          </cell>
          <cell r="T86">
            <v>3771.5508606060603</v>
          </cell>
          <cell r="U86">
            <v>3476.1570181818183</v>
          </cell>
          <cell r="X86">
            <v>16562.486363636363</v>
          </cell>
          <cell r="Y86">
            <v>11736</v>
          </cell>
          <cell r="Z86">
            <v>4826.4863636363634</v>
          </cell>
          <cell r="AA86">
            <v>0</v>
          </cell>
          <cell r="AB86">
            <v>0</v>
          </cell>
          <cell r="AC86">
            <v>13534.196363636363</v>
          </cell>
          <cell r="AD86">
            <v>7091</v>
          </cell>
          <cell r="AE86">
            <v>6443.1963636363625</v>
          </cell>
          <cell r="AF86">
            <v>4694.9539393939394</v>
          </cell>
          <cell r="AG86">
            <v>3851.2</v>
          </cell>
          <cell r="AH86">
            <v>843.7539393939395</v>
          </cell>
          <cell r="AI86">
            <v>50553.943606060609</v>
          </cell>
          <cell r="AJ86">
            <v>24382.156000000003</v>
          </cell>
          <cell r="AK86">
            <v>26171.787606060607</v>
          </cell>
          <cell r="AL86">
            <v>30225.916666666664</v>
          </cell>
          <cell r="AM86">
            <v>18714</v>
          </cell>
          <cell r="AN86">
            <v>0</v>
          </cell>
          <cell r="AO86">
            <v>5261.1559999999999</v>
          </cell>
          <cell r="AP86">
            <v>10831.787606060607</v>
          </cell>
        </row>
        <row r="87">
          <cell r="F87">
            <v>6264</v>
          </cell>
          <cell r="G87">
            <v>6264</v>
          </cell>
          <cell r="H87">
            <v>239.697</v>
          </cell>
          <cell r="P87">
            <v>611.32000000000005</v>
          </cell>
          <cell r="Q87">
            <v>0</v>
          </cell>
          <cell r="R87">
            <v>0</v>
          </cell>
          <cell r="T87">
            <v>435.00952727272721</v>
          </cell>
          <cell r="U87">
            <v>452.76501818181811</v>
          </cell>
          <cell r="V87">
            <v>0</v>
          </cell>
          <cell r="W87">
            <v>0</v>
          </cell>
          <cell r="Y87">
            <v>332</v>
          </cell>
          <cell r="Z87">
            <v>136.65000000000003</v>
          </cell>
          <cell r="AA87">
            <v>0</v>
          </cell>
          <cell r="AB87">
            <v>0</v>
          </cell>
          <cell r="AD87">
            <v>205</v>
          </cell>
          <cell r="AE87">
            <v>186.76000000000005</v>
          </cell>
          <cell r="AH87">
            <v>219.55999999999997</v>
          </cell>
          <cell r="AI87">
            <v>4595.9470000000001</v>
          </cell>
          <cell r="AJ87">
            <v>1521.3200000000002</v>
          </cell>
          <cell r="AK87">
            <v>15510</v>
          </cell>
          <cell r="AL87">
            <v>15510</v>
          </cell>
          <cell r="AM87">
            <v>0</v>
          </cell>
          <cell r="AN87">
            <v>0</v>
          </cell>
          <cell r="AO87">
            <v>0</v>
          </cell>
          <cell r="AP87">
            <v>0</v>
          </cell>
          <cell r="AQ87">
            <v>0</v>
          </cell>
          <cell r="AR87">
            <v>0</v>
          </cell>
        </row>
        <row r="88">
          <cell r="F88">
            <v>10966</v>
          </cell>
          <cell r="G88">
            <v>7531</v>
          </cell>
          <cell r="H88">
            <v>3435</v>
          </cell>
          <cell r="P88">
            <v>2660.9166666666665</v>
          </cell>
          <cell r="Q88">
            <v>0</v>
          </cell>
          <cell r="R88">
            <v>0</v>
          </cell>
          <cell r="S88">
            <v>26690.026060606062</v>
          </cell>
          <cell r="T88">
            <v>23669.785436363636</v>
          </cell>
          <cell r="U88">
            <v>3019.240624242424</v>
          </cell>
          <cell r="V88">
            <v>0</v>
          </cell>
          <cell r="W88">
            <v>0</v>
          </cell>
          <cell r="X88">
            <v>28231.389696969698</v>
          </cell>
          <cell r="Y88">
            <v>12611</v>
          </cell>
          <cell r="Z88">
            <v>15620.389696969694</v>
          </cell>
          <cell r="AA88">
            <v>0</v>
          </cell>
          <cell r="AB88">
            <v>0</v>
          </cell>
          <cell r="AC88">
            <v>25802.811515151516</v>
          </cell>
          <cell r="AD88">
            <v>12625</v>
          </cell>
          <cell r="AE88">
            <v>13177.811515151516</v>
          </cell>
          <cell r="AF88">
            <v>4169.1842424242423</v>
          </cell>
          <cell r="AG88">
            <v>3396</v>
          </cell>
          <cell r="AH88">
            <v>773.05090909090904</v>
          </cell>
          <cell r="AJ88">
            <v>24382.156000000006</v>
          </cell>
          <cell r="AK88">
            <v>108448.14393939395</v>
          </cell>
          <cell r="AL88">
            <v>45734.916666666672</v>
          </cell>
          <cell r="AM88">
            <v>62713.227272727272</v>
          </cell>
          <cell r="AN88">
            <v>62712.227272727272</v>
          </cell>
          <cell r="AO88">
            <v>25161</v>
          </cell>
          <cell r="AP88">
            <v>50552</v>
          </cell>
          <cell r="AQ88">
            <v>4709.916666666667</v>
          </cell>
          <cell r="AR88">
            <v>11353.227272727272</v>
          </cell>
        </row>
        <row r="89">
          <cell r="F89">
            <v>0</v>
          </cell>
          <cell r="G89">
            <v>0</v>
          </cell>
          <cell r="H89">
            <v>0</v>
          </cell>
          <cell r="AH89">
            <v>0</v>
          </cell>
          <cell r="AI89">
            <v>5607</v>
          </cell>
          <cell r="AJ89">
            <v>5607</v>
          </cell>
          <cell r="AK89">
            <v>0</v>
          </cell>
          <cell r="AL89">
            <v>0</v>
          </cell>
          <cell r="AM89">
            <v>0</v>
          </cell>
          <cell r="AN89">
            <v>0</v>
          </cell>
          <cell r="AO89">
            <v>0</v>
          </cell>
          <cell r="AP89">
            <v>0</v>
          </cell>
          <cell r="AQ89">
            <v>0</v>
          </cell>
          <cell r="AR89">
            <v>-1</v>
          </cell>
        </row>
        <row r="90">
          <cell r="F90">
            <v>1151</v>
          </cell>
          <cell r="G90">
            <v>570</v>
          </cell>
          <cell r="H90">
            <v>581</v>
          </cell>
          <cell r="P90">
            <v>2586.1559999999999</v>
          </cell>
          <cell r="Q90">
            <v>0</v>
          </cell>
          <cell r="R90">
            <v>0</v>
          </cell>
          <cell r="S90">
            <v>7247.7078787878781</v>
          </cell>
          <cell r="T90">
            <v>3771.5508606060603</v>
          </cell>
          <cell r="U90">
            <v>3476.1570181818183</v>
          </cell>
          <cell r="V90">
            <v>0</v>
          </cell>
          <cell r="W90">
            <v>0</v>
          </cell>
          <cell r="X90">
            <v>16562.486363636363</v>
          </cell>
          <cell r="Y90">
            <v>11736</v>
          </cell>
          <cell r="Z90">
            <v>4826.4863636363634</v>
          </cell>
          <cell r="AA90">
            <v>0</v>
          </cell>
          <cell r="AB90">
            <v>0</v>
          </cell>
          <cell r="AC90">
            <v>13534.196363636363</v>
          </cell>
          <cell r="AD90">
            <v>7091</v>
          </cell>
          <cell r="AE90">
            <v>6443.1963636363625</v>
          </cell>
          <cell r="AF90">
            <v>4694.9539393939394</v>
          </cell>
          <cell r="AG90">
            <v>3851.2</v>
          </cell>
          <cell r="AH90">
            <v>0</v>
          </cell>
          <cell r="AI90">
            <v>56160.943606060609</v>
          </cell>
          <cell r="AJ90">
            <v>29989.156000000003</v>
          </cell>
          <cell r="AK90">
            <v>1151</v>
          </cell>
          <cell r="AL90">
            <v>570</v>
          </cell>
          <cell r="AM90">
            <v>581</v>
          </cell>
          <cell r="AN90">
            <v>581</v>
          </cell>
          <cell r="AO90">
            <v>0</v>
          </cell>
          <cell r="AP90">
            <v>0</v>
          </cell>
          <cell r="AQ90">
            <v>233.04870264889442</v>
          </cell>
          <cell r="AR90">
            <v>39.122183718843182</v>
          </cell>
        </row>
        <row r="91">
          <cell r="F91">
            <v>49</v>
          </cell>
          <cell r="G91">
            <v>14.990752632930899</v>
          </cell>
          <cell r="H91">
            <v>34.009247367069101</v>
          </cell>
          <cell r="S91">
            <v>0</v>
          </cell>
          <cell r="T91">
            <v>0</v>
          </cell>
          <cell r="U91">
            <v>0</v>
          </cell>
          <cell r="X91">
            <v>0</v>
          </cell>
          <cell r="Y91">
            <v>0</v>
          </cell>
          <cell r="Z91">
            <v>0</v>
          </cell>
          <cell r="AA91">
            <v>0</v>
          </cell>
          <cell r="AB91">
            <v>0</v>
          </cell>
          <cell r="AC91">
            <v>0</v>
          </cell>
          <cell r="AD91">
            <v>0</v>
          </cell>
          <cell r="AE91">
            <v>0</v>
          </cell>
          <cell r="AH91">
            <v>0</v>
          </cell>
          <cell r="AK91">
            <v>49</v>
          </cell>
          <cell r="AL91">
            <v>14.990752632930899</v>
          </cell>
          <cell r="AM91">
            <v>34.009247367069101</v>
          </cell>
          <cell r="AN91">
            <v>34.009247367069101</v>
          </cell>
          <cell r="AO91">
            <v>0</v>
          </cell>
          <cell r="AP91">
            <v>0</v>
          </cell>
          <cell r="AQ91">
            <v>0</v>
          </cell>
          <cell r="AR91">
            <v>0</v>
          </cell>
        </row>
        <row r="92">
          <cell r="F92">
            <v>0</v>
          </cell>
          <cell r="G92">
            <v>0</v>
          </cell>
          <cell r="H92">
            <v>0</v>
          </cell>
          <cell r="P92">
            <v>-51</v>
          </cell>
          <cell r="S92">
            <v>-90</v>
          </cell>
          <cell r="X92">
            <v>0</v>
          </cell>
          <cell r="Y92">
            <v>0</v>
          </cell>
          <cell r="Z92">
            <v>0</v>
          </cell>
          <cell r="AC92">
            <v>0</v>
          </cell>
          <cell r="AD92">
            <v>0</v>
          </cell>
          <cell r="AE92">
            <v>0</v>
          </cell>
          <cell r="AF92">
            <v>-1</v>
          </cell>
          <cell r="AG92">
            <v>2</v>
          </cell>
          <cell r="AH92">
            <v>-3</v>
          </cell>
          <cell r="AI92">
            <v>497</v>
          </cell>
          <cell r="AJ92">
            <v>389</v>
          </cell>
          <cell r="AK92">
            <v>-139</v>
          </cell>
          <cell r="AL92">
            <v>-51</v>
          </cell>
          <cell r="AM92">
            <v>-88</v>
          </cell>
          <cell r="AN92">
            <v>-88</v>
          </cell>
          <cell r="AO92">
            <v>0</v>
          </cell>
          <cell r="AP92">
            <v>-25</v>
          </cell>
          <cell r="AQ92">
            <v>-51</v>
          </cell>
          <cell r="AR92">
            <v>-63</v>
          </cell>
        </row>
        <row r="93">
          <cell r="F93">
            <v>41</v>
          </cell>
          <cell r="G93">
            <v>24</v>
          </cell>
          <cell r="H93">
            <v>17</v>
          </cell>
          <cell r="S93">
            <v>0</v>
          </cell>
          <cell r="T93">
            <v>0</v>
          </cell>
          <cell r="U93">
            <v>0</v>
          </cell>
          <cell r="X93">
            <v>0</v>
          </cell>
          <cell r="Y93">
            <v>0</v>
          </cell>
          <cell r="Z93">
            <v>0</v>
          </cell>
          <cell r="AA93">
            <v>0</v>
          </cell>
          <cell r="AB93">
            <v>0</v>
          </cell>
          <cell r="AC93">
            <v>0</v>
          </cell>
          <cell r="AD93">
            <v>0</v>
          </cell>
          <cell r="AE93">
            <v>0</v>
          </cell>
          <cell r="AH93">
            <v>0</v>
          </cell>
          <cell r="AI93">
            <v>41</v>
          </cell>
          <cell r="AJ93">
            <v>24</v>
          </cell>
          <cell r="AK93">
            <v>17</v>
          </cell>
          <cell r="AL93">
            <v>17</v>
          </cell>
          <cell r="AM93">
            <v>0</v>
          </cell>
          <cell r="AN93">
            <v>0</v>
          </cell>
          <cell r="AO93">
            <v>0</v>
          </cell>
          <cell r="AP93">
            <v>0</v>
          </cell>
        </row>
        <row r="94">
          <cell r="F94">
            <v>0</v>
          </cell>
          <cell r="G94">
            <v>0</v>
          </cell>
          <cell r="H94">
            <v>0</v>
          </cell>
          <cell r="P94">
            <v>0</v>
          </cell>
          <cell r="S94">
            <v>0</v>
          </cell>
          <cell r="X94">
            <v>0</v>
          </cell>
          <cell r="Y94">
            <v>0</v>
          </cell>
          <cell r="Z94">
            <v>0</v>
          </cell>
          <cell r="AC94">
            <v>0</v>
          </cell>
          <cell r="AD94">
            <v>0</v>
          </cell>
          <cell r="AE94">
            <v>0</v>
          </cell>
          <cell r="AF94">
            <v>12</v>
          </cell>
          <cell r="AG94">
            <v>10</v>
          </cell>
          <cell r="AH94">
            <v>2</v>
          </cell>
          <cell r="AI94">
            <v>10</v>
          </cell>
          <cell r="AJ94">
            <v>0</v>
          </cell>
          <cell r="AK94">
            <v>10</v>
          </cell>
          <cell r="AL94">
            <v>10</v>
          </cell>
          <cell r="AM94">
            <v>0</v>
          </cell>
          <cell r="AN94">
            <v>0</v>
          </cell>
          <cell r="AO94">
            <v>0</v>
          </cell>
          <cell r="AP94">
            <v>10</v>
          </cell>
        </row>
        <row r="95">
          <cell r="F95">
            <v>12166</v>
          </cell>
          <cell r="G95">
            <v>8115.9907526329307</v>
          </cell>
          <cell r="H95">
            <v>4050.0092473670693</v>
          </cell>
          <cell r="P95">
            <v>2609.9166666666665</v>
          </cell>
          <cell r="Q95">
            <v>0</v>
          </cell>
          <cell r="R95">
            <v>0</v>
          </cell>
          <cell r="S95">
            <v>26600.026060606062</v>
          </cell>
          <cell r="T95">
            <v>23669.785436363636</v>
          </cell>
          <cell r="U95">
            <v>3019.240624242424</v>
          </cell>
          <cell r="V95">
            <v>0</v>
          </cell>
          <cell r="W95">
            <v>0</v>
          </cell>
          <cell r="X95">
            <v>28231.389696969698</v>
          </cell>
          <cell r="Y95">
            <v>12611</v>
          </cell>
          <cell r="Z95">
            <v>15620.389696969694</v>
          </cell>
          <cell r="AA95">
            <v>0</v>
          </cell>
          <cell r="AB95">
            <v>0</v>
          </cell>
          <cell r="AC95">
            <v>25802.811515151516</v>
          </cell>
          <cell r="AD95">
            <v>12625</v>
          </cell>
          <cell r="AE95">
            <v>13177.811515151516</v>
          </cell>
          <cell r="AF95">
            <v>4168.1842424242423</v>
          </cell>
          <cell r="AG95">
            <v>3398</v>
          </cell>
          <cell r="AH95">
            <v>770.05090909090904</v>
          </cell>
          <cell r="AJ95">
            <v>0</v>
          </cell>
          <cell r="AK95">
            <v>109509.14393939395</v>
          </cell>
          <cell r="AL95">
            <v>46268.907419299605</v>
          </cell>
          <cell r="AM95">
            <v>63240.236520094339</v>
          </cell>
          <cell r="AN95">
            <v>63239.236520094339</v>
          </cell>
          <cell r="AO95">
            <v>25161</v>
          </cell>
          <cell r="AP95">
            <v>50527</v>
          </cell>
          <cell r="AQ95">
            <v>4891.9653693155615</v>
          </cell>
          <cell r="AR95">
            <v>11328.349456446114</v>
          </cell>
        </row>
        <row r="96">
          <cell r="F96">
            <v>5902</v>
          </cell>
          <cell r="G96">
            <v>1851.9907526329307</v>
          </cell>
          <cell r="H96">
            <v>4050.0092473670693</v>
          </cell>
          <cell r="P96">
            <v>2609.9166666666665</v>
          </cell>
          <cell r="Q96">
            <v>0</v>
          </cell>
          <cell r="R96">
            <v>0</v>
          </cell>
          <cell r="S96">
            <v>7100.0260606060619</v>
          </cell>
          <cell r="T96">
            <v>4169.7854363636361</v>
          </cell>
          <cell r="U96">
            <v>3019.240624242424</v>
          </cell>
          <cell r="V96">
            <v>0</v>
          </cell>
          <cell r="W96">
            <v>0</v>
          </cell>
          <cell r="X96">
            <v>3262.389696969698</v>
          </cell>
          <cell r="Y96">
            <v>1356</v>
          </cell>
          <cell r="Z96">
            <v>1906.3896969696943</v>
          </cell>
          <cell r="AA96">
            <v>0</v>
          </cell>
          <cell r="AB96">
            <v>0</v>
          </cell>
          <cell r="AC96">
            <v>1774.8115151515158</v>
          </cell>
          <cell r="AD96">
            <v>812</v>
          </cell>
          <cell r="AE96">
            <v>962.81151515151578</v>
          </cell>
          <cell r="AF96">
            <v>4168.1842424242423</v>
          </cell>
          <cell r="AG96">
            <v>3398</v>
          </cell>
          <cell r="AH96">
            <v>770.05090909090904</v>
          </cell>
          <cell r="AJ96">
            <v>0</v>
          </cell>
          <cell r="AK96">
            <v>25502.143939393951</v>
          </cell>
          <cell r="AL96">
            <v>7690.907419299605</v>
          </cell>
          <cell r="AM96">
            <v>17811.236520094339</v>
          </cell>
          <cell r="AN96">
            <v>17810.236520094342</v>
          </cell>
          <cell r="AO96">
            <v>2093</v>
          </cell>
          <cell r="AP96">
            <v>5098</v>
          </cell>
          <cell r="AQ96">
            <v>4891.9653693155615</v>
          </cell>
          <cell r="AR96">
            <v>11328.349456446114</v>
          </cell>
        </row>
        <row r="97">
          <cell r="F97">
            <v>427</v>
          </cell>
          <cell r="G97">
            <v>8221</v>
          </cell>
          <cell r="H97">
            <v>3572.1970000000001</v>
          </cell>
          <cell r="P97">
            <v>1736</v>
          </cell>
          <cell r="Q97">
            <v>0</v>
          </cell>
          <cell r="R97">
            <v>0</v>
          </cell>
          <cell r="S97">
            <v>3416</v>
          </cell>
          <cell r="T97">
            <v>3771.5508606060603</v>
          </cell>
          <cell r="U97">
            <v>3476.1570181818183</v>
          </cell>
          <cell r="V97">
            <v>0</v>
          </cell>
          <cell r="W97">
            <v>0</v>
          </cell>
          <cell r="X97">
            <v>506</v>
          </cell>
          <cell r="Y97">
            <v>11736</v>
          </cell>
          <cell r="Z97">
            <v>4826.4863636363634</v>
          </cell>
          <cell r="AA97">
            <v>0</v>
          </cell>
          <cell r="AB97">
            <v>0</v>
          </cell>
          <cell r="AC97">
            <v>415</v>
          </cell>
          <cell r="AD97">
            <v>25802.811515151516</v>
          </cell>
          <cell r="AE97">
            <v>6443.1963636363625</v>
          </cell>
          <cell r="AF97">
            <v>454</v>
          </cell>
          <cell r="AG97">
            <v>454</v>
          </cell>
          <cell r="AH97">
            <v>0</v>
          </cell>
          <cell r="AI97">
            <v>56708.943606060609</v>
          </cell>
          <cell r="AJ97">
            <v>0</v>
          </cell>
          <cell r="AK97">
            <v>6977</v>
          </cell>
          <cell r="AL97">
            <v>26314.787606060603</v>
          </cell>
          <cell r="AM97">
            <v>18714</v>
          </cell>
          <cell r="AN97">
            <v>14616</v>
          </cell>
          <cell r="AO97" t="e">
            <v>#REF!</v>
          </cell>
          <cell r="AP97" t="e">
            <v>#REF!</v>
          </cell>
        </row>
        <row r="98">
          <cell r="F98">
            <v>6186.1970000000001</v>
          </cell>
          <cell r="G98">
            <v>2614</v>
          </cell>
          <cell r="H98">
            <v>3572.1970000000001</v>
          </cell>
          <cell r="P98">
            <v>1010</v>
          </cell>
          <cell r="Q98">
            <v>0</v>
          </cell>
          <cell r="R98">
            <v>0</v>
          </cell>
          <cell r="S98">
            <v>3280</v>
          </cell>
          <cell r="T98">
            <v>2173.5508606060603</v>
          </cell>
          <cell r="U98">
            <v>3476.1570181818183</v>
          </cell>
          <cell r="V98">
            <v>0</v>
          </cell>
          <cell r="W98">
            <v>0</v>
          </cell>
          <cell r="X98">
            <v>170</v>
          </cell>
          <cell r="Y98">
            <v>2091</v>
          </cell>
          <cell r="Z98">
            <v>861.48636363636342</v>
          </cell>
          <cell r="AA98">
            <v>0</v>
          </cell>
          <cell r="AB98">
            <v>0</v>
          </cell>
          <cell r="AC98">
            <v>0</v>
          </cell>
          <cell r="AD98">
            <v>1019</v>
          </cell>
          <cell r="AE98">
            <v>926.19636363636255</v>
          </cell>
          <cell r="AF98">
            <v>4706.9539393939394</v>
          </cell>
          <cell r="AG98">
            <v>3861.2</v>
          </cell>
          <cell r="AH98">
            <v>845.7539393939395</v>
          </cell>
          <cell r="AI98">
            <v>24304.943606060609</v>
          </cell>
          <cell r="AJ98">
            <v>9078.1560000000027</v>
          </cell>
          <cell r="AK98">
            <v>15226.787606060607</v>
          </cell>
          <cell r="AL98">
            <v>15234.787606060603</v>
          </cell>
          <cell r="AM98">
            <v>2997</v>
          </cell>
          <cell r="AN98">
            <v>3536</v>
          </cell>
          <cell r="AO98" t="e">
            <v>#REF!</v>
          </cell>
          <cell r="AP98" t="e">
            <v>#REF!</v>
          </cell>
        </row>
        <row r="99">
          <cell r="F99">
            <v>35</v>
          </cell>
          <cell r="P99">
            <v>923</v>
          </cell>
          <cell r="S99">
            <v>3416</v>
          </cell>
          <cell r="X99">
            <v>506</v>
          </cell>
          <cell r="AC99">
            <v>415</v>
          </cell>
          <cell r="AF99">
            <v>454</v>
          </cell>
          <cell r="AG99">
            <v>454</v>
          </cell>
          <cell r="AH99">
            <v>0</v>
          </cell>
          <cell r="AI99" t="e">
            <v>#REF!</v>
          </cell>
          <cell r="AJ99" t="e">
            <v>#REF!</v>
          </cell>
          <cell r="AK99">
            <v>5737</v>
          </cell>
          <cell r="AL99">
            <v>109509.14393939395</v>
          </cell>
          <cell r="AM99">
            <v>46269.90741929959</v>
          </cell>
        </row>
        <row r="100">
          <cell r="F100">
            <v>0</v>
          </cell>
          <cell r="P100">
            <v>967</v>
          </cell>
          <cell r="S100">
            <v>106</v>
          </cell>
          <cell r="X100">
            <v>0</v>
          </cell>
          <cell r="AC100">
            <v>170</v>
          </cell>
          <cell r="AF100">
            <v>861</v>
          </cell>
          <cell r="AG100">
            <v>861</v>
          </cell>
          <cell r="AH100">
            <v>0</v>
          </cell>
          <cell r="AI100" t="e">
            <v>#REF!</v>
          </cell>
          <cell r="AJ100">
            <v>56708.943606060609</v>
          </cell>
          <cell r="AK100">
            <v>0</v>
          </cell>
          <cell r="AL100">
            <v>85097.370909090911</v>
          </cell>
          <cell r="AM100">
            <v>40210.957581756855</v>
          </cell>
        </row>
        <row r="101">
          <cell r="F101">
            <v>427</v>
          </cell>
          <cell r="P101">
            <v>813</v>
          </cell>
          <cell r="S101">
            <v>0</v>
          </cell>
          <cell r="X101">
            <v>0</v>
          </cell>
          <cell r="AC101">
            <v>0</v>
          </cell>
          <cell r="AF101">
            <v>0</v>
          </cell>
          <cell r="AG101">
            <v>0</v>
          </cell>
          <cell r="AH101">
            <v>0</v>
          </cell>
          <cell r="AI101" t="e">
            <v>#REF!</v>
          </cell>
          <cell r="AK101">
            <v>1240</v>
          </cell>
          <cell r="AL101">
            <v>116775.1297878788</v>
          </cell>
          <cell r="AM101">
            <v>43965.116024096387</v>
          </cell>
        </row>
        <row r="102">
          <cell r="F102">
            <v>93</v>
          </cell>
          <cell r="P102">
            <v>3077</v>
          </cell>
          <cell r="S102">
            <v>0</v>
          </cell>
          <cell r="X102">
            <v>0</v>
          </cell>
          <cell r="AC102">
            <v>0</v>
          </cell>
          <cell r="AF102">
            <v>0</v>
          </cell>
          <cell r="AG102">
            <v>0</v>
          </cell>
          <cell r="AH102">
            <v>0</v>
          </cell>
          <cell r="AI102" t="e">
            <v>#REF!</v>
          </cell>
          <cell r="AK102">
            <v>93</v>
          </cell>
        </row>
        <row r="103">
          <cell r="F103">
            <v>0</v>
          </cell>
          <cell r="P103">
            <v>1206</v>
          </cell>
          <cell r="S103">
            <v>0</v>
          </cell>
          <cell r="X103">
            <v>0</v>
          </cell>
          <cell r="AC103">
            <v>0</v>
          </cell>
          <cell r="AF103">
            <v>0</v>
          </cell>
          <cell r="AG103">
            <v>0</v>
          </cell>
          <cell r="AH103">
            <v>0</v>
          </cell>
          <cell r="AK103">
            <v>1291</v>
          </cell>
        </row>
        <row r="104">
          <cell r="F104">
            <v>0</v>
          </cell>
          <cell r="P104">
            <v>800</v>
          </cell>
          <cell r="S104">
            <v>0</v>
          </cell>
          <cell r="X104">
            <v>0</v>
          </cell>
          <cell r="AC104">
            <v>85</v>
          </cell>
        </row>
        <row r="105">
          <cell r="F105">
            <v>0</v>
          </cell>
          <cell r="S105">
            <v>0</v>
          </cell>
          <cell r="X105">
            <v>0</v>
          </cell>
          <cell r="AK105">
            <v>0</v>
          </cell>
        </row>
        <row r="106">
          <cell r="P106">
            <v>935</v>
          </cell>
          <cell r="S106">
            <v>2100</v>
          </cell>
          <cell r="X106">
            <v>80</v>
          </cell>
          <cell r="AC106">
            <v>85</v>
          </cell>
          <cell r="AK106">
            <v>0</v>
          </cell>
        </row>
        <row r="107">
          <cell r="F107">
            <v>0</v>
          </cell>
          <cell r="P107">
            <v>0</v>
          </cell>
          <cell r="S107">
            <v>0</v>
          </cell>
          <cell r="X107">
            <v>0</v>
          </cell>
          <cell r="AC107">
            <v>0</v>
          </cell>
          <cell r="AF107">
            <v>0</v>
          </cell>
          <cell r="AG107">
            <v>0</v>
          </cell>
          <cell r="AH107">
            <v>0</v>
          </cell>
          <cell r="AI107" t="e">
            <v>#REF!</v>
          </cell>
          <cell r="AK107">
            <v>0</v>
          </cell>
        </row>
        <row r="108">
          <cell r="F108">
            <v>0</v>
          </cell>
          <cell r="P108">
            <v>0</v>
          </cell>
          <cell r="S108">
            <v>0</v>
          </cell>
          <cell r="X108">
            <v>0</v>
          </cell>
          <cell r="AC108">
            <v>0</v>
          </cell>
          <cell r="AF108">
            <v>0</v>
          </cell>
          <cell r="AG108">
            <v>0</v>
          </cell>
          <cell r="AH108">
            <v>0</v>
          </cell>
          <cell r="AI108" t="e">
            <v>#REF!</v>
          </cell>
          <cell r="AK108">
            <v>0</v>
          </cell>
        </row>
        <row r="109">
          <cell r="F109">
            <v>0</v>
          </cell>
          <cell r="P109">
            <v>0</v>
          </cell>
          <cell r="S109">
            <v>0</v>
          </cell>
          <cell r="X109">
            <v>0</v>
          </cell>
          <cell r="AC109">
            <v>0</v>
          </cell>
          <cell r="AF109">
            <v>0</v>
          </cell>
          <cell r="AG109">
            <v>0</v>
          </cell>
          <cell r="AH109">
            <v>0</v>
          </cell>
          <cell r="AI109" t="e">
            <v>#REF!</v>
          </cell>
          <cell r="AK109">
            <v>0</v>
          </cell>
        </row>
        <row r="110">
          <cell r="F110">
            <v>0</v>
          </cell>
          <cell r="P110">
            <v>0</v>
          </cell>
          <cell r="S110">
            <v>0</v>
          </cell>
          <cell r="X110">
            <v>0</v>
          </cell>
          <cell r="AC110">
            <v>0</v>
          </cell>
          <cell r="AF110">
            <v>0</v>
          </cell>
          <cell r="AG110">
            <v>0</v>
          </cell>
          <cell r="AH110">
            <v>0</v>
          </cell>
          <cell r="AI110" t="e">
            <v>#REF!</v>
          </cell>
          <cell r="AK110">
            <v>0</v>
          </cell>
        </row>
        <row r="111">
          <cell r="F111">
            <v>0</v>
          </cell>
          <cell r="P111">
            <v>0</v>
          </cell>
          <cell r="S111">
            <v>0</v>
          </cell>
          <cell r="X111">
            <v>0</v>
          </cell>
          <cell r="AC111">
            <v>0</v>
          </cell>
          <cell r="AF111">
            <v>0</v>
          </cell>
          <cell r="AG111">
            <v>0</v>
          </cell>
          <cell r="AH111">
            <v>0</v>
          </cell>
          <cell r="AI111" t="e">
            <v>#REF!</v>
          </cell>
          <cell r="AK111">
            <v>0</v>
          </cell>
        </row>
        <row r="112">
          <cell r="F112">
            <v>0</v>
          </cell>
          <cell r="P112">
            <v>0</v>
          </cell>
          <cell r="S112">
            <v>0</v>
          </cell>
          <cell r="X112">
            <v>0</v>
          </cell>
          <cell r="AC112">
            <v>0</v>
          </cell>
          <cell r="AF112">
            <v>0</v>
          </cell>
          <cell r="AG112">
            <v>0</v>
          </cell>
          <cell r="AH112">
            <v>0</v>
          </cell>
          <cell r="AI112" t="e">
            <v>#REF!</v>
          </cell>
          <cell r="AK112">
            <v>0</v>
          </cell>
        </row>
        <row r="113">
          <cell r="F113">
            <v>0</v>
          </cell>
          <cell r="P113">
            <v>0</v>
          </cell>
          <cell r="S113">
            <v>0</v>
          </cell>
          <cell r="X113">
            <v>0</v>
          </cell>
          <cell r="AC113">
            <v>0</v>
          </cell>
          <cell r="AF113">
            <v>0</v>
          </cell>
          <cell r="AG113">
            <v>0</v>
          </cell>
          <cell r="AH113">
            <v>0</v>
          </cell>
          <cell r="AI113" t="e">
            <v>#REF!</v>
          </cell>
          <cell r="AK113">
            <v>0</v>
          </cell>
        </row>
        <row r="114">
          <cell r="F114">
            <v>0</v>
          </cell>
          <cell r="P114">
            <v>0</v>
          </cell>
          <cell r="S114">
            <v>0</v>
          </cell>
          <cell r="X114">
            <v>0</v>
          </cell>
          <cell r="AC114">
            <v>0</v>
          </cell>
          <cell r="AF114">
            <v>0</v>
          </cell>
          <cell r="AG114">
            <v>0</v>
          </cell>
          <cell r="AH114">
            <v>0</v>
          </cell>
          <cell r="AI114" t="e">
            <v>#REF!</v>
          </cell>
          <cell r="AK114">
            <v>0</v>
          </cell>
          <cell r="AM114">
            <v>0</v>
          </cell>
        </row>
        <row r="115">
          <cell r="F115">
            <v>0</v>
          </cell>
          <cell r="P115">
            <v>0</v>
          </cell>
          <cell r="S115">
            <v>0</v>
          </cell>
          <cell r="X115">
            <v>0</v>
          </cell>
          <cell r="AC115">
            <v>0</v>
          </cell>
          <cell r="AF115">
            <v>0</v>
          </cell>
          <cell r="AG115">
            <v>0</v>
          </cell>
          <cell r="AH115">
            <v>0</v>
          </cell>
          <cell r="AI115" t="e">
            <v>#REF!</v>
          </cell>
          <cell r="AK115">
            <v>0</v>
          </cell>
          <cell r="AM115">
            <v>0</v>
          </cell>
        </row>
        <row r="116">
          <cell r="F116">
            <v>0</v>
          </cell>
          <cell r="P116">
            <v>0</v>
          </cell>
          <cell r="S116">
            <v>0</v>
          </cell>
          <cell r="AC116">
            <v>0</v>
          </cell>
          <cell r="AG116">
            <v>0</v>
          </cell>
          <cell r="AH116">
            <v>0</v>
          </cell>
          <cell r="AI116" t="e">
            <v>#REF!</v>
          </cell>
          <cell r="AK116">
            <v>0</v>
          </cell>
          <cell r="AL116">
            <v>0</v>
          </cell>
          <cell r="AM116">
            <v>0</v>
          </cell>
        </row>
        <row r="117">
          <cell r="F117">
            <v>0</v>
          </cell>
          <cell r="P117">
            <v>0</v>
          </cell>
          <cell r="S117">
            <v>0</v>
          </cell>
          <cell r="AC117">
            <v>0</v>
          </cell>
          <cell r="AG117">
            <v>0</v>
          </cell>
          <cell r="AH117">
            <v>0</v>
          </cell>
          <cell r="AI117" t="e">
            <v>#REF!</v>
          </cell>
          <cell r="AK117">
            <v>0</v>
          </cell>
          <cell r="AL117">
            <v>0</v>
          </cell>
          <cell r="AM117">
            <v>0</v>
          </cell>
        </row>
        <row r="118">
          <cell r="F118">
            <v>0</v>
          </cell>
          <cell r="P118">
            <v>0</v>
          </cell>
          <cell r="S118">
            <v>0</v>
          </cell>
          <cell r="AC118">
            <v>0</v>
          </cell>
          <cell r="AF118">
            <v>0</v>
          </cell>
          <cell r="AG118">
            <v>0</v>
          </cell>
          <cell r="AH118">
            <v>0</v>
          </cell>
          <cell r="AI118" t="e">
            <v>#REF!</v>
          </cell>
          <cell r="AJ118">
            <v>0</v>
          </cell>
          <cell r="AK118">
            <v>0</v>
          </cell>
          <cell r="AL118">
            <v>0</v>
          </cell>
          <cell r="AM118">
            <v>0</v>
          </cell>
        </row>
        <row r="119">
          <cell r="F119">
            <v>0</v>
          </cell>
          <cell r="P119">
            <v>0</v>
          </cell>
          <cell r="S119">
            <v>0</v>
          </cell>
          <cell r="X119">
            <v>0</v>
          </cell>
          <cell r="AC119">
            <v>0</v>
          </cell>
          <cell r="AF119">
            <v>0</v>
          </cell>
          <cell r="AG119">
            <v>0</v>
          </cell>
          <cell r="AH119">
            <v>0</v>
          </cell>
          <cell r="AI119" t="e">
            <v>#REF!</v>
          </cell>
          <cell r="AK119">
            <v>0</v>
          </cell>
        </row>
        <row r="120">
          <cell r="F120">
            <v>100</v>
          </cell>
          <cell r="P120">
            <v>0</v>
          </cell>
          <cell r="S120">
            <v>0</v>
          </cell>
          <cell r="X120">
            <v>0</v>
          </cell>
          <cell r="AC120">
            <v>0</v>
          </cell>
          <cell r="AF120">
            <v>0</v>
          </cell>
          <cell r="AG120">
            <v>0</v>
          </cell>
          <cell r="AH120">
            <v>0</v>
          </cell>
          <cell r="AI120" t="e">
            <v>#REF!</v>
          </cell>
          <cell r="AK120">
            <v>100</v>
          </cell>
        </row>
        <row r="121">
          <cell r="F121">
            <v>100</v>
          </cell>
          <cell r="P121">
            <v>0</v>
          </cell>
          <cell r="S121">
            <v>0</v>
          </cell>
          <cell r="X121">
            <v>0</v>
          </cell>
          <cell r="AC121">
            <v>0</v>
          </cell>
          <cell r="AF121">
            <v>0</v>
          </cell>
          <cell r="AG121">
            <v>0</v>
          </cell>
          <cell r="AH121">
            <v>0</v>
          </cell>
          <cell r="AI121" t="e">
            <v>#REF!</v>
          </cell>
          <cell r="AK121">
            <v>0</v>
          </cell>
        </row>
        <row r="122">
          <cell r="F122">
            <v>4000</v>
          </cell>
          <cell r="S122">
            <v>0</v>
          </cell>
          <cell r="X122">
            <v>0</v>
          </cell>
          <cell r="AF122">
            <v>0</v>
          </cell>
          <cell r="AI122" t="e">
            <v>#REF!</v>
          </cell>
          <cell r="AK122">
            <v>4000</v>
          </cell>
        </row>
        <row r="123">
          <cell r="F123">
            <v>3480</v>
          </cell>
          <cell r="S123">
            <v>0</v>
          </cell>
          <cell r="X123">
            <v>0</v>
          </cell>
          <cell r="AF123">
            <v>0</v>
          </cell>
          <cell r="AI123" t="e">
            <v>#REF!</v>
          </cell>
          <cell r="AK123">
            <v>0</v>
          </cell>
        </row>
        <row r="124">
          <cell r="F124">
            <v>3480</v>
          </cell>
          <cell r="AI124" t="e">
            <v>#REF!</v>
          </cell>
          <cell r="AK124">
            <v>0</v>
          </cell>
          <cell r="AL124">
            <v>396.87424242423458</v>
          </cell>
        </row>
        <row r="125">
          <cell r="F125">
            <v>0</v>
          </cell>
          <cell r="AI125" t="e">
            <v>#REF!</v>
          </cell>
          <cell r="AK125">
            <v>0</v>
          </cell>
          <cell r="AL125">
            <v>-8132.8846363636376</v>
          </cell>
        </row>
        <row r="126">
          <cell r="F126">
            <v>4527</v>
          </cell>
          <cell r="G126">
            <v>0</v>
          </cell>
          <cell r="H126">
            <v>0</v>
          </cell>
          <cell r="P126">
            <v>813</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t="e">
            <v>#REF!</v>
          </cell>
          <cell r="AJ126">
            <v>0</v>
          </cell>
          <cell r="AK126">
            <v>4100</v>
          </cell>
          <cell r="AL126">
            <v>13247.384148484838</v>
          </cell>
          <cell r="AO126">
            <v>0</v>
          </cell>
          <cell r="AP126">
            <v>0</v>
          </cell>
          <cell r="AQ126">
            <v>0</v>
          </cell>
          <cell r="AR126">
            <v>0</v>
          </cell>
        </row>
        <row r="127">
          <cell r="F127">
            <v>4527</v>
          </cell>
          <cell r="G127">
            <v>0</v>
          </cell>
          <cell r="H127">
            <v>0</v>
          </cell>
          <cell r="P127">
            <v>813</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I127">
            <v>0</v>
          </cell>
          <cell r="AJ127">
            <v>0</v>
          </cell>
          <cell r="AK127">
            <v>4100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I128" t="e">
            <v>#REF!</v>
          </cell>
          <cell r="AJ128">
            <v>0</v>
          </cell>
          <cell r="AK128">
            <v>4496.8742424242346</v>
          </cell>
          <cell r="AL128">
            <v>5340</v>
          </cell>
          <cell r="AM128">
            <v>0</v>
          </cell>
          <cell r="AN128">
            <v>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I129" t="e">
            <v>#REF!</v>
          </cell>
          <cell r="AJ129">
            <v>0</v>
          </cell>
          <cell r="AK129">
            <v>4496.8742424242346</v>
          </cell>
          <cell r="AL129">
            <v>9106</v>
          </cell>
        </row>
        <row r="130">
          <cell r="AI130" t="e">
            <v>#REF!</v>
          </cell>
          <cell r="AJ130" t="e">
            <v>#REF!</v>
          </cell>
          <cell r="AK130">
            <v>6424.1060606060491</v>
          </cell>
          <cell r="AL130">
            <v>10691.092580700395</v>
          </cell>
          <cell r="AM130">
            <v>-5132.2365200943386</v>
          </cell>
        </row>
        <row r="131">
          <cell r="AI131" t="e">
            <v>#REF!</v>
          </cell>
          <cell r="AK131">
            <v>16827.384148484838</v>
          </cell>
          <cell r="AL131">
            <v>9186.0424182431379</v>
          </cell>
          <cell r="AM131">
            <v>-16555.413327334049</v>
          </cell>
        </row>
        <row r="132">
          <cell r="AI132">
            <v>-11929.693606060609</v>
          </cell>
          <cell r="AJ132">
            <v>2695.8439999999973</v>
          </cell>
          <cell r="AK132">
            <v>1927.2318181818146</v>
          </cell>
          <cell r="AL132">
            <v>13754.883975903613</v>
          </cell>
          <cell r="AM132">
            <v>9418.9862362175918</v>
          </cell>
          <cell r="AO132">
            <v>0</v>
          </cell>
        </row>
        <row r="133">
          <cell r="AK133">
            <v>-1951.236272727273</v>
          </cell>
          <cell r="AO133">
            <v>0</v>
          </cell>
        </row>
        <row r="134">
          <cell r="AI134" t="e">
            <v>#REF!</v>
          </cell>
          <cell r="AK134">
            <v>7211.7360636363592</v>
          </cell>
          <cell r="AM134">
            <v>0</v>
          </cell>
          <cell r="AO134">
            <v>0</v>
          </cell>
        </row>
        <row r="135">
          <cell r="AK135">
            <v>58108</v>
          </cell>
          <cell r="AM135">
            <v>58108</v>
          </cell>
          <cell r="AO135">
            <v>0</v>
          </cell>
          <cell r="AQ135">
            <v>0</v>
          </cell>
        </row>
        <row r="136">
          <cell r="AK136">
            <v>-5132.2365200943386</v>
          </cell>
          <cell r="AM136">
            <v>28333</v>
          </cell>
          <cell r="AO136">
            <v>0</v>
          </cell>
          <cell r="AQ136">
            <v>0</v>
          </cell>
        </row>
        <row r="137">
          <cell r="AI137">
            <v>10816</v>
          </cell>
          <cell r="AK137">
            <v>36.78</v>
          </cell>
          <cell r="AM137">
            <v>82229</v>
          </cell>
          <cell r="AO137" t="e">
            <v>#DIV/0!</v>
          </cell>
          <cell r="AQ137">
            <v>0</v>
          </cell>
        </row>
        <row r="138">
          <cell r="AI138">
            <v>-15490.787606060607</v>
          </cell>
          <cell r="AK138">
            <v>40.03</v>
          </cell>
          <cell r="AM138">
            <v>0</v>
          </cell>
          <cell r="AO138" t="e">
            <v>#DIV/0!</v>
          </cell>
        </row>
        <row r="139">
          <cell r="AI139">
            <v>6.85</v>
          </cell>
          <cell r="AK139">
            <v>0</v>
          </cell>
          <cell r="AM139" t="e">
            <v>#DIV/0!</v>
          </cell>
          <cell r="AO139">
            <v>0</v>
          </cell>
        </row>
        <row r="140">
          <cell r="AI140">
            <v>16.649999999999999</v>
          </cell>
          <cell r="AK140">
            <v>46.08</v>
          </cell>
          <cell r="AM140" t="e">
            <v>#REF!</v>
          </cell>
          <cell r="AO140" t="e">
            <v>#DIV/0!</v>
          </cell>
        </row>
        <row r="141">
          <cell r="AI141">
            <v>0</v>
          </cell>
          <cell r="AK141">
            <v>14.4</v>
          </cell>
          <cell r="AM141">
            <v>0</v>
          </cell>
          <cell r="AO141" t="e">
            <v>#DIV/0!</v>
          </cell>
        </row>
        <row r="142">
          <cell r="AK142">
            <v>12.49</v>
          </cell>
          <cell r="AO142" t="e">
            <v>#DIV/0!</v>
          </cell>
        </row>
        <row r="143">
          <cell r="AI143">
            <v>9.84</v>
          </cell>
          <cell r="AJ143">
            <v>0</v>
          </cell>
          <cell r="AK143">
            <v>11.7</v>
          </cell>
          <cell r="AM143" t="e">
            <v>#DIV/0!</v>
          </cell>
          <cell r="AO143" t="e">
            <v>#DIV/0!</v>
          </cell>
        </row>
        <row r="144">
          <cell r="AJ144">
            <v>0</v>
          </cell>
          <cell r="AK144">
            <v>56960</v>
          </cell>
          <cell r="AL144">
            <v>56960</v>
          </cell>
          <cell r="AO144" t="e">
            <v>#DIV/0!</v>
          </cell>
        </row>
        <row r="145">
          <cell r="AI145">
            <v>7.69</v>
          </cell>
          <cell r="AJ145">
            <v>0</v>
          </cell>
          <cell r="AK145">
            <v>11.11</v>
          </cell>
          <cell r="AL145">
            <v>49395</v>
          </cell>
          <cell r="AM145" t="e">
            <v>#DIV/0!</v>
          </cell>
          <cell r="AO145" t="e">
            <v>#DIV/0!</v>
          </cell>
        </row>
        <row r="146">
          <cell r="AI146">
            <v>38926</v>
          </cell>
          <cell r="AJ146">
            <v>300</v>
          </cell>
          <cell r="AK146">
            <v>57720</v>
          </cell>
          <cell r="AL146">
            <v>57720</v>
          </cell>
        </row>
        <row r="147">
          <cell r="AJ147">
            <v>300</v>
          </cell>
          <cell r="AK147">
            <v>5857.1428571428578</v>
          </cell>
          <cell r="AL147">
            <v>-46268.907419299605</v>
          </cell>
          <cell r="AM147">
            <v>-63240.236520094339</v>
          </cell>
        </row>
        <row r="148">
          <cell r="S148">
            <v>0</v>
          </cell>
          <cell r="AJ148">
            <v>300</v>
          </cell>
          <cell r="AK148">
            <v>865.25</v>
          </cell>
          <cell r="AL148">
            <v>-40208.957581756862</v>
          </cell>
          <cell r="AM148">
            <v>-44888.413327334049</v>
          </cell>
        </row>
        <row r="149">
          <cell r="S149">
            <v>0</v>
          </cell>
          <cell r="AI149" t="e">
            <v>#REF!</v>
          </cell>
          <cell r="AJ149">
            <v>-30402.156000000003</v>
          </cell>
          <cell r="AK149">
            <v>5114.2857142857147</v>
          </cell>
          <cell r="AL149">
            <v>-43965.116024096387</v>
          </cell>
          <cell r="AM149">
            <v>-72810.013763782408</v>
          </cell>
        </row>
        <row r="150">
          <cell r="S150">
            <v>0</v>
          </cell>
          <cell r="AI150">
            <v>865.25</v>
          </cell>
          <cell r="AJ150">
            <v>0</v>
          </cell>
          <cell r="AK150">
            <v>115068</v>
          </cell>
          <cell r="AL150">
            <v>56960</v>
          </cell>
          <cell r="AM150">
            <v>58108</v>
          </cell>
          <cell r="AO150">
            <v>0</v>
          </cell>
        </row>
        <row r="151">
          <cell r="AJ151">
            <v>0</v>
          </cell>
          <cell r="AK151">
            <v>0</v>
          </cell>
          <cell r="AL151">
            <v>49395</v>
          </cell>
          <cell r="AM151">
            <v>28333</v>
          </cell>
          <cell r="AO151">
            <v>0</v>
          </cell>
        </row>
        <row r="152">
          <cell r="AI152">
            <v>49742</v>
          </cell>
          <cell r="AJ152">
            <v>0</v>
          </cell>
          <cell r="AK152">
            <v>115068</v>
          </cell>
          <cell r="AL152">
            <v>56960</v>
          </cell>
          <cell r="AM152">
            <v>58108</v>
          </cell>
          <cell r="AO152">
            <v>0</v>
          </cell>
        </row>
        <row r="153">
          <cell r="AI153">
            <v>0</v>
          </cell>
          <cell r="AK153">
            <v>0</v>
          </cell>
          <cell r="AL153">
            <v>49395</v>
          </cell>
          <cell r="AM153">
            <v>28333</v>
          </cell>
          <cell r="AO153">
            <v>2093</v>
          </cell>
          <cell r="AP153">
            <v>5098</v>
          </cell>
          <cell r="AQ153">
            <v>4891.9653693155615</v>
          </cell>
          <cell r="AR153">
            <v>11328.349456446114</v>
          </cell>
        </row>
        <row r="154">
          <cell r="AI154">
            <v>43914</v>
          </cell>
          <cell r="AJ154">
            <v>33098</v>
          </cell>
          <cell r="AK154">
            <v>5.9</v>
          </cell>
          <cell r="AL154">
            <v>23.1</v>
          </cell>
          <cell r="AM154">
            <v>-8.1</v>
          </cell>
          <cell r="AO154">
            <v>2889</v>
          </cell>
          <cell r="AP154">
            <v>5865</v>
          </cell>
          <cell r="AQ154">
            <v>4320.2514445347797</v>
          </cell>
          <cell r="AR154">
            <v>12672.305468164745</v>
          </cell>
        </row>
        <row r="155">
          <cell r="AI155">
            <v>0</v>
          </cell>
          <cell r="AK155">
            <v>5.348542273679354</v>
          </cell>
          <cell r="AL155">
            <v>-100</v>
          </cell>
          <cell r="AM155">
            <v>-100</v>
          </cell>
          <cell r="AN155">
            <v>3536</v>
          </cell>
          <cell r="AO155">
            <v>2449</v>
          </cell>
          <cell r="AP155">
            <v>6659</v>
          </cell>
          <cell r="AQ155">
            <v>5344.308649356225</v>
          </cell>
          <cell r="AR155">
            <v>14571.544133725103</v>
          </cell>
        </row>
        <row r="156">
          <cell r="AI156">
            <v>-21</v>
          </cell>
          <cell r="AJ156">
            <v>8.9</v>
          </cell>
          <cell r="AK156">
            <v>20.6</v>
          </cell>
          <cell r="AL156">
            <v>0</v>
          </cell>
          <cell r="AM156">
            <v>0</v>
          </cell>
        </row>
        <row r="157">
          <cell r="AI157" t="e">
            <v>#REF!</v>
          </cell>
          <cell r="AJ157">
            <v>-100</v>
          </cell>
          <cell r="AK157">
            <v>4.3796018241005417</v>
          </cell>
          <cell r="AL157">
            <v>-100</v>
          </cell>
          <cell r="AM157">
            <v>-100</v>
          </cell>
        </row>
        <row r="158">
          <cell r="F158">
            <v>0</v>
          </cell>
          <cell r="P158">
            <v>0</v>
          </cell>
          <cell r="S158">
            <v>0</v>
          </cell>
          <cell r="X158">
            <v>0</v>
          </cell>
          <cell r="AC158">
            <v>0</v>
          </cell>
          <cell r="AJ158">
            <v>142</v>
          </cell>
          <cell r="AK158">
            <v>0</v>
          </cell>
          <cell r="AL158">
            <v>0</v>
          </cell>
          <cell r="AM158">
            <v>0</v>
          </cell>
        </row>
        <row r="159">
          <cell r="F159">
            <v>320</v>
          </cell>
          <cell r="P159">
            <v>720</v>
          </cell>
          <cell r="S159">
            <v>1362.8000000000002</v>
          </cell>
          <cell r="X159">
            <v>796.80000000000007</v>
          </cell>
          <cell r="AC159">
            <v>439.20000000000005</v>
          </cell>
          <cell r="AF159">
            <v>312.8</v>
          </cell>
          <cell r="AG159">
            <v>313</v>
          </cell>
          <cell r="AH159">
            <v>-0.19999999999998863</v>
          </cell>
          <cell r="AJ159">
            <v>142</v>
          </cell>
          <cell r="AK159">
            <v>3951.6000000000004</v>
          </cell>
        </row>
        <row r="160">
          <cell r="F160">
            <v>320</v>
          </cell>
          <cell r="P160">
            <v>340</v>
          </cell>
          <cell r="S160">
            <v>416</v>
          </cell>
          <cell r="X160">
            <v>560</v>
          </cell>
          <cell r="AC160">
            <v>260.8</v>
          </cell>
          <cell r="AF160">
            <v>141.6</v>
          </cell>
          <cell r="AG160">
            <v>142</v>
          </cell>
          <cell r="AH160">
            <v>-0.40000000000000568</v>
          </cell>
          <cell r="AI160" t="e">
            <v>#REF!</v>
          </cell>
          <cell r="AJ160">
            <v>142</v>
          </cell>
          <cell r="AK160">
            <v>1896.8</v>
          </cell>
        </row>
        <row r="161">
          <cell r="F161">
            <v>320</v>
          </cell>
          <cell r="P161">
            <v>200</v>
          </cell>
          <cell r="S161">
            <v>149.6</v>
          </cell>
          <cell r="X161">
            <v>173.60000000000002</v>
          </cell>
          <cell r="AC161">
            <v>100.80000000000001</v>
          </cell>
          <cell r="AF161">
            <v>73.600000000000009</v>
          </cell>
          <cell r="AG161">
            <v>73.600000000000009</v>
          </cell>
          <cell r="AH161">
            <v>0</v>
          </cell>
          <cell r="AI161" t="e">
            <v>#REF!</v>
          </cell>
          <cell r="AK161">
            <v>1017.6</v>
          </cell>
        </row>
        <row r="162">
          <cell r="F162">
            <v>0</v>
          </cell>
          <cell r="P162">
            <v>100</v>
          </cell>
          <cell r="S162">
            <v>101</v>
          </cell>
          <cell r="X162">
            <v>118</v>
          </cell>
          <cell r="AB162">
            <v>9</v>
          </cell>
          <cell r="AC162">
            <v>29</v>
          </cell>
          <cell r="AF162">
            <v>74</v>
          </cell>
          <cell r="AG162">
            <v>74</v>
          </cell>
          <cell r="AH162">
            <v>60</v>
          </cell>
          <cell r="AI162" t="e">
            <v>#REF!</v>
          </cell>
          <cell r="AK162">
            <v>348</v>
          </cell>
        </row>
        <row r="163">
          <cell r="F163">
            <v>0</v>
          </cell>
          <cell r="P163">
            <v>226</v>
          </cell>
          <cell r="S163">
            <v>133</v>
          </cell>
          <cell r="X163">
            <v>226</v>
          </cell>
          <cell r="AB163">
            <v>9</v>
          </cell>
          <cell r="AC163">
            <v>173</v>
          </cell>
          <cell r="AF163">
            <v>90</v>
          </cell>
          <cell r="AG163">
            <v>90</v>
          </cell>
          <cell r="AH163">
            <v>0</v>
          </cell>
          <cell r="AI163" t="e">
            <v>#REF!</v>
          </cell>
          <cell r="AK163">
            <v>0</v>
          </cell>
        </row>
        <row r="164">
          <cell r="F164">
            <v>14.170833333333334</v>
          </cell>
          <cell r="P164">
            <v>120</v>
          </cell>
          <cell r="S164">
            <v>94</v>
          </cell>
          <cell r="X164">
            <v>131</v>
          </cell>
          <cell r="AB164">
            <v>9</v>
          </cell>
          <cell r="AC164">
            <v>83</v>
          </cell>
          <cell r="AF164">
            <v>80</v>
          </cell>
          <cell r="AG164">
            <v>80</v>
          </cell>
          <cell r="AI164" t="e">
            <v>#REF!</v>
          </cell>
          <cell r="AK164">
            <v>14.170833333333334</v>
          </cell>
        </row>
        <row r="165">
          <cell r="F165">
            <v>14.170833333333334</v>
          </cell>
          <cell r="P165">
            <v>152</v>
          </cell>
          <cell r="S165">
            <v>428.72727272727275</v>
          </cell>
          <cell r="X165">
            <v>248.36363636363637</v>
          </cell>
          <cell r="AC165">
            <v>191.18181818181819</v>
          </cell>
          <cell r="AF165">
            <v>157.90909090909091</v>
          </cell>
          <cell r="AG165">
            <v>157.90909090909091</v>
          </cell>
          <cell r="AI165" t="e">
            <v>#REF!</v>
          </cell>
          <cell r="AK165">
            <v>1020.2727272727273</v>
          </cell>
        </row>
        <row r="166">
          <cell r="F166">
            <v>260</v>
          </cell>
          <cell r="P166">
            <v>180</v>
          </cell>
          <cell r="S166">
            <v>934.07272727272743</v>
          </cell>
          <cell r="X166">
            <v>548.43636363636369</v>
          </cell>
          <cell r="AC166">
            <v>248.01818181818186</v>
          </cell>
          <cell r="AF166">
            <v>157.90909090909091</v>
          </cell>
          <cell r="AG166">
            <v>157.90909090909091</v>
          </cell>
          <cell r="AI166" t="e">
            <v>#REF!</v>
          </cell>
          <cell r="AK166">
            <v>1990.5272727272729</v>
          </cell>
        </row>
        <row r="167">
          <cell r="F167">
            <v>260</v>
          </cell>
          <cell r="P167">
            <v>450</v>
          </cell>
          <cell r="S167">
            <v>1362.8000000000002</v>
          </cell>
          <cell r="X167">
            <v>796.80000000000007</v>
          </cell>
          <cell r="AC167">
            <v>439.20000000000005</v>
          </cell>
          <cell r="AF167">
            <v>157.90909090909091</v>
          </cell>
          <cell r="AG167">
            <v>157.90909090909091</v>
          </cell>
          <cell r="AI167" t="e">
            <v>#REF!</v>
          </cell>
          <cell r="AK167">
            <v>1734.9545454545455</v>
          </cell>
        </row>
        <row r="168">
          <cell r="F168">
            <v>60</v>
          </cell>
          <cell r="P168">
            <v>0</v>
          </cell>
          <cell r="S168">
            <v>0</v>
          </cell>
          <cell r="X168">
            <v>0</v>
          </cell>
          <cell r="AC168">
            <v>0</v>
          </cell>
          <cell r="AI168" t="e">
            <v>#REF!</v>
          </cell>
          <cell r="AK168">
            <v>60</v>
          </cell>
        </row>
        <row r="169">
          <cell r="F169">
            <v>60</v>
          </cell>
          <cell r="P169">
            <v>0</v>
          </cell>
          <cell r="S169">
            <v>0</v>
          </cell>
          <cell r="X169">
            <v>0</v>
          </cell>
          <cell r="AC169">
            <v>0</v>
          </cell>
          <cell r="AF169">
            <v>0</v>
          </cell>
          <cell r="AG169">
            <v>0</v>
          </cell>
          <cell r="AH169">
            <v>0</v>
          </cell>
          <cell r="AK169">
            <v>0</v>
          </cell>
        </row>
        <row r="170">
          <cell r="F170">
            <v>427</v>
          </cell>
          <cell r="G170">
            <v>0</v>
          </cell>
          <cell r="H170">
            <v>0</v>
          </cell>
          <cell r="P170">
            <v>1736</v>
          </cell>
          <cell r="Q170">
            <v>0</v>
          </cell>
          <cell r="R170">
            <v>0</v>
          </cell>
          <cell r="S170">
            <v>3416</v>
          </cell>
          <cell r="T170">
            <v>0</v>
          </cell>
          <cell r="U170">
            <v>0</v>
          </cell>
          <cell r="V170">
            <v>0</v>
          </cell>
          <cell r="W170">
            <v>0</v>
          </cell>
          <cell r="X170">
            <v>506</v>
          </cell>
          <cell r="Y170">
            <v>0</v>
          </cell>
          <cell r="Z170">
            <v>0</v>
          </cell>
          <cell r="AA170">
            <v>0</v>
          </cell>
          <cell r="AB170">
            <v>0</v>
          </cell>
          <cell r="AC170">
            <v>415</v>
          </cell>
          <cell r="AD170">
            <v>25802.811515151516</v>
          </cell>
          <cell r="AE170">
            <v>0</v>
          </cell>
          <cell r="AF170">
            <v>454</v>
          </cell>
          <cell r="AG170">
            <v>461</v>
          </cell>
          <cell r="AH170">
            <v>0</v>
          </cell>
          <cell r="AI170" t="e">
            <v>#REF!</v>
          </cell>
          <cell r="AJ170">
            <v>0</v>
          </cell>
          <cell r="AK170">
            <v>6984</v>
          </cell>
        </row>
        <row r="171">
          <cell r="F171">
            <v>427</v>
          </cell>
          <cell r="G171">
            <v>0</v>
          </cell>
          <cell r="H171">
            <v>0</v>
          </cell>
          <cell r="P171">
            <v>1736</v>
          </cell>
          <cell r="Q171">
            <v>0</v>
          </cell>
          <cell r="R171">
            <v>0</v>
          </cell>
          <cell r="S171">
            <v>3416</v>
          </cell>
          <cell r="T171">
            <v>0</v>
          </cell>
          <cell r="U171">
            <v>0</v>
          </cell>
          <cell r="V171">
            <v>0</v>
          </cell>
          <cell r="W171">
            <v>0</v>
          </cell>
          <cell r="X171">
            <v>506</v>
          </cell>
          <cell r="Y171">
            <v>0</v>
          </cell>
          <cell r="Z171">
            <v>0</v>
          </cell>
          <cell r="AA171">
            <v>0</v>
          </cell>
          <cell r="AB171">
            <v>0</v>
          </cell>
          <cell r="AC171">
            <v>415</v>
          </cell>
          <cell r="AD171">
            <v>25802.811515151516</v>
          </cell>
          <cell r="AE171">
            <v>0</v>
          </cell>
          <cell r="AF171">
            <v>454</v>
          </cell>
          <cell r="AG171">
            <v>454</v>
          </cell>
          <cell r="AH171">
            <v>0</v>
          </cell>
          <cell r="AI171" t="e">
            <v>#REF!</v>
          </cell>
          <cell r="AJ171">
            <v>0</v>
          </cell>
          <cell r="AK171">
            <v>6977</v>
          </cell>
        </row>
        <row r="172">
          <cell r="F172">
            <v>0</v>
          </cell>
          <cell r="G172">
            <v>0</v>
          </cell>
          <cell r="H172">
            <v>0</v>
          </cell>
          <cell r="P172">
            <v>0</v>
          </cell>
          <cell r="Q172">
            <v>0</v>
          </cell>
          <cell r="R172">
            <v>0</v>
          </cell>
          <cell r="S172">
            <v>0</v>
          </cell>
          <cell r="T172">
            <v>0</v>
          </cell>
          <cell r="U172">
            <v>0</v>
          </cell>
          <cell r="V172">
            <v>0</v>
          </cell>
          <cell r="W172">
            <v>0</v>
          </cell>
          <cell r="X172">
            <v>0</v>
          </cell>
          <cell r="Y172">
            <v>0</v>
          </cell>
          <cell r="Z172">
            <v>0</v>
          </cell>
          <cell r="AA172">
            <v>0</v>
          </cell>
          <cell r="AB172">
            <v>0</v>
          </cell>
          <cell r="AC172">
            <v>0</v>
          </cell>
          <cell r="AD172">
            <v>0</v>
          </cell>
          <cell r="AE172">
            <v>0</v>
          </cell>
          <cell r="AF172">
            <v>0</v>
          </cell>
          <cell r="AG172">
            <v>0</v>
          </cell>
          <cell r="AH172">
            <v>0</v>
          </cell>
          <cell r="AI172" t="e">
            <v>#REF!</v>
          </cell>
          <cell r="AJ172">
            <v>0</v>
          </cell>
          <cell r="AK172">
            <v>0</v>
          </cell>
        </row>
        <row r="173">
          <cell r="F173">
            <v>0</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0</v>
          </cell>
          <cell r="AH173">
            <v>0</v>
          </cell>
          <cell r="AI173" t="e">
            <v>#REF!</v>
          </cell>
          <cell r="AJ173">
            <v>0</v>
          </cell>
          <cell r="AK173">
            <v>0</v>
          </cell>
        </row>
        <row r="174">
          <cell r="F174">
            <v>0</v>
          </cell>
          <cell r="G174">
            <v>0</v>
          </cell>
          <cell r="H174">
            <v>0</v>
          </cell>
          <cell r="P174">
            <v>0</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I174" t="e">
            <v>#REF!</v>
          </cell>
          <cell r="AJ174">
            <v>0</v>
          </cell>
          <cell r="AK174">
            <v>0</v>
          </cell>
        </row>
        <row r="175">
          <cell r="F175">
            <v>4000</v>
          </cell>
          <cell r="AG175">
            <v>0</v>
          </cell>
          <cell r="AI175" t="e">
            <v>#REF!</v>
          </cell>
          <cell r="AK175">
            <v>4000</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I176" t="e">
            <v>#REF!</v>
          </cell>
          <cell r="AJ176">
            <v>0</v>
          </cell>
          <cell r="AK176">
            <v>6084.7890909090902</v>
          </cell>
          <cell r="AO176">
            <v>247</v>
          </cell>
          <cell r="AP176">
            <v>610</v>
          </cell>
          <cell r="AQ176">
            <v>920.25</v>
          </cell>
          <cell r="AR176">
            <v>2050.3572727272726</v>
          </cell>
        </row>
        <row r="177">
          <cell r="F177">
            <v>0</v>
          </cell>
          <cell r="G177">
            <v>0</v>
          </cell>
          <cell r="H177">
            <v>0</v>
          </cell>
          <cell r="P177">
            <v>152</v>
          </cell>
          <cell r="Q177">
            <v>0</v>
          </cell>
          <cell r="R177">
            <v>0</v>
          </cell>
          <cell r="S177">
            <v>428.72727272727275</v>
          </cell>
          <cell r="T177">
            <v>0</v>
          </cell>
          <cell r="U177">
            <v>0</v>
          </cell>
          <cell r="V177">
            <v>0</v>
          </cell>
          <cell r="W177">
            <v>0</v>
          </cell>
          <cell r="X177">
            <v>248.36363636363637</v>
          </cell>
          <cell r="Y177">
            <v>103</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I177" t="e">
            <v>#REF!</v>
          </cell>
          <cell r="AJ177">
            <v>0</v>
          </cell>
          <cell r="AK177">
            <v>3480</v>
          </cell>
          <cell r="AO177">
            <v>266</v>
          </cell>
          <cell r="AP177">
            <v>661</v>
          </cell>
          <cell r="AQ177">
            <v>907.25</v>
          </cell>
          <cell r="AR177">
            <v>2372.7209090909091</v>
          </cell>
        </row>
        <row r="178">
          <cell r="F178">
            <v>0</v>
          </cell>
          <cell r="G178">
            <v>0</v>
          </cell>
          <cell r="H178">
            <v>0</v>
          </cell>
          <cell r="P178">
            <v>-51</v>
          </cell>
          <cell r="Q178">
            <v>0</v>
          </cell>
          <cell r="R178">
            <v>0</v>
          </cell>
          <cell r="S178">
            <v>-76.333333333333329</v>
          </cell>
          <cell r="T178">
            <v>13.666666666666666</v>
          </cell>
          <cell r="U178">
            <v>0</v>
          </cell>
          <cell r="V178">
            <v>0</v>
          </cell>
          <cell r="W178">
            <v>0</v>
          </cell>
          <cell r="X178">
            <v>400</v>
          </cell>
          <cell r="Y178">
            <v>138</v>
          </cell>
          <cell r="Z178">
            <v>120.36363636363637</v>
          </cell>
          <cell r="AA178">
            <v>0</v>
          </cell>
          <cell r="AB178">
            <v>0</v>
          </cell>
          <cell r="AC178">
            <v>13.333333333333334</v>
          </cell>
          <cell r="AD178">
            <v>73</v>
          </cell>
          <cell r="AE178">
            <v>107.90909090909091</v>
          </cell>
          <cell r="AF178">
            <v>-0.7</v>
          </cell>
          <cell r="AG178">
            <v>2</v>
          </cell>
          <cell r="AH178">
            <v>-2.7</v>
          </cell>
          <cell r="AI178" t="e">
            <v>#REF!</v>
          </cell>
          <cell r="AJ178">
            <v>0</v>
          </cell>
          <cell r="AK178">
            <v>2215.2318181818146</v>
          </cell>
          <cell r="AM178">
            <v>373</v>
          </cell>
          <cell r="AN178">
            <v>542</v>
          </cell>
          <cell r="AO178">
            <v>172</v>
          </cell>
          <cell r="AP178">
            <v>221</v>
          </cell>
          <cell r="AQ178">
            <v>-51</v>
          </cell>
          <cell r="AR178">
            <v>-54</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315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AA180">
            <v>0</v>
          </cell>
          <cell r="AB180">
            <v>0</v>
          </cell>
          <cell r="AC180">
            <v>13.333333333333334</v>
          </cell>
          <cell r="AF180">
            <v>1</v>
          </cell>
          <cell r="AG180">
            <v>1</v>
          </cell>
          <cell r="AH180">
            <v>0</v>
          </cell>
          <cell r="AI180" t="e">
            <v>#REF!</v>
          </cell>
          <cell r="AJ180">
            <v>0</v>
          </cell>
          <cell r="AK180">
            <v>7665.7360636363592</v>
          </cell>
          <cell r="AM180">
            <v>509</v>
          </cell>
          <cell r="AN180">
            <v>218</v>
          </cell>
          <cell r="AO180">
            <v>267</v>
          </cell>
          <cell r="AP180">
            <v>349</v>
          </cell>
          <cell r="AQ180">
            <v>-107</v>
          </cell>
          <cell r="AR180">
            <v>-55</v>
          </cell>
        </row>
        <row r="181">
          <cell r="F181">
            <v>9095</v>
          </cell>
          <cell r="P181">
            <v>676.66666666666652</v>
          </cell>
          <cell r="S181">
            <v>3680.4666666666681</v>
          </cell>
          <cell r="X181">
            <v>1136.003333333334</v>
          </cell>
          <cell r="AC181">
            <v>450.60000000000059</v>
          </cell>
          <cell r="AF181">
            <v>1854.0333333333331</v>
          </cell>
          <cell r="AG181">
            <v>1301</v>
          </cell>
          <cell r="AH181">
            <v>545.90000000000009</v>
          </cell>
          <cell r="AP181">
            <v>1507.2</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1507.2</v>
          </cell>
        </row>
        <row r="183">
          <cell r="F183">
            <v>8205</v>
          </cell>
          <cell r="P183">
            <v>848.19999999999959</v>
          </cell>
          <cell r="S183">
            <v>5161.6000000000004</v>
          </cell>
          <cell r="X183">
            <v>904.30000000000064</v>
          </cell>
          <cell r="AC183">
            <v>505.53333333333126</v>
          </cell>
          <cell r="AF183">
            <v>1767.9999999999995</v>
          </cell>
          <cell r="AG183">
            <v>1862</v>
          </cell>
          <cell r="AH183">
            <v>-289</v>
          </cell>
          <cell r="AN183">
            <v>1507.2</v>
          </cell>
          <cell r="AO183" t="str">
            <v>ОЧИК.18.02.</v>
          </cell>
          <cell r="AP183">
            <v>1507.2</v>
          </cell>
        </row>
        <row r="184">
          <cell r="AM184" t="str">
            <v>ОЧИК.18.02.</v>
          </cell>
          <cell r="AO184" t="str">
            <v>ОЧИК.18.02.</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O185" t="str">
            <v>СТАНЦІї ЕЛЕКТРО</v>
          </cell>
          <cell r="AP185" t="str">
            <v>СТАНЦІІ ТЕПЛОВІ</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S186" t="str">
            <v>КТМ</v>
          </cell>
          <cell r="X186" t="str">
            <v>ТЕЦ-5 ВСЬОГО</v>
          </cell>
          <cell r="Y186" t="str">
            <v>Е/Е</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t="str">
            <v>СТАНЦІІ ТЕПЛОВІ</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S187" t="str">
            <v>КТМ</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I187" t="str">
            <v>АК КЕ ВСЬОГО</v>
          </cell>
          <cell r="AJ187" t="str">
            <v>ДОП.ВИР. СТ.ОРГ.</v>
          </cell>
          <cell r="AK187" t="str">
            <v>АК КЕ ВСЬОГО</v>
          </cell>
          <cell r="AL187" t="str">
            <v>Е/Е</v>
          </cell>
          <cell r="AM187" t="str">
            <v xml:space="preserve"> Т/Е</v>
          </cell>
          <cell r="AN187" t="str">
            <v>СТАНЦІІ ТЕПЛОВІ</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row>
        <row r="189">
          <cell r="S189">
            <v>116</v>
          </cell>
          <cell r="X189">
            <v>133.9</v>
          </cell>
          <cell r="AC189">
            <v>127.8</v>
          </cell>
          <cell r="AK189">
            <v>377.7</v>
          </cell>
          <cell r="AO189">
            <v>252.49999999999997</v>
          </cell>
        </row>
        <row r="190">
          <cell r="P190">
            <v>0</v>
          </cell>
          <cell r="S190">
            <v>0</v>
          </cell>
          <cell r="X190">
            <v>0</v>
          </cell>
          <cell r="AC190">
            <v>0</v>
          </cell>
          <cell r="AI190">
            <v>139.20000000000002</v>
          </cell>
          <cell r="AK190">
            <v>362.5</v>
          </cell>
          <cell r="AM190">
            <v>221.49122807017542</v>
          </cell>
          <cell r="AO190">
            <v>66</v>
          </cell>
        </row>
        <row r="191">
          <cell r="P191">
            <v>0</v>
          </cell>
          <cell r="S191">
            <v>192.5</v>
          </cell>
          <cell r="X191">
            <v>192.5</v>
          </cell>
          <cell r="AC191">
            <v>192.5</v>
          </cell>
          <cell r="AI191">
            <v>159.4</v>
          </cell>
          <cell r="AK191">
            <v>192.5</v>
          </cell>
          <cell r="AM191">
            <v>252.49999999999997</v>
          </cell>
          <cell r="AO191">
            <v>0</v>
          </cell>
        </row>
        <row r="192">
          <cell r="P192">
            <v>0</v>
          </cell>
          <cell r="S192">
            <v>19500</v>
          </cell>
          <cell r="X192">
            <v>22503</v>
          </cell>
          <cell r="AC192">
            <v>21502</v>
          </cell>
          <cell r="AK192">
            <v>63506</v>
          </cell>
          <cell r="AM192">
            <v>66</v>
          </cell>
          <cell r="AO192">
            <v>0</v>
          </cell>
        </row>
        <row r="193">
          <cell r="P193">
            <v>0</v>
          </cell>
          <cell r="S193">
            <v>192.5</v>
          </cell>
          <cell r="X193">
            <v>192.5</v>
          </cell>
          <cell r="AC193">
            <v>192.5</v>
          </cell>
          <cell r="AI193">
            <v>192.5</v>
          </cell>
          <cell r="AK193">
            <v>63505</v>
          </cell>
          <cell r="AM193">
            <v>0</v>
          </cell>
          <cell r="AO193">
            <v>0</v>
          </cell>
        </row>
        <row r="194">
          <cell r="S194">
            <v>21522</v>
          </cell>
          <cell r="X194">
            <v>0</v>
          </cell>
          <cell r="AC194">
            <v>0</v>
          </cell>
          <cell r="AI194">
            <v>26797</v>
          </cell>
          <cell r="AK194">
            <v>0</v>
          </cell>
          <cell r="AM194">
            <v>0</v>
          </cell>
          <cell r="AO194">
            <v>0</v>
          </cell>
        </row>
        <row r="195">
          <cell r="X195">
            <v>0</v>
          </cell>
          <cell r="AC195">
            <v>0</v>
          </cell>
          <cell r="AI195">
            <v>26797</v>
          </cell>
          <cell r="AK195">
            <v>0</v>
          </cell>
        </row>
        <row r="196">
          <cell r="X196">
            <v>82.5</v>
          </cell>
          <cell r="AC196">
            <v>82.5</v>
          </cell>
          <cell r="AI196">
            <v>0</v>
          </cell>
          <cell r="AK196">
            <v>0</v>
          </cell>
        </row>
        <row r="197">
          <cell r="X197">
            <v>0</v>
          </cell>
          <cell r="AC197">
            <v>0</v>
          </cell>
          <cell r="AI197">
            <v>0</v>
          </cell>
          <cell r="AK197">
            <v>0</v>
          </cell>
        </row>
        <row r="198">
          <cell r="S198">
            <v>0</v>
          </cell>
          <cell r="X198">
            <v>0</v>
          </cell>
          <cell r="AC198">
            <v>0</v>
          </cell>
          <cell r="AK198">
            <v>0</v>
          </cell>
        </row>
        <row r="199">
          <cell r="S199">
            <v>0</v>
          </cell>
          <cell r="X199">
            <v>0</v>
          </cell>
          <cell r="AC199">
            <v>0</v>
          </cell>
          <cell r="AI199">
            <v>0</v>
          </cell>
          <cell r="AK199">
            <v>0</v>
          </cell>
        </row>
        <row r="200">
          <cell r="S200">
            <v>0</v>
          </cell>
          <cell r="X200">
            <v>4.0999999999999996</v>
          </cell>
          <cell r="AC200">
            <v>4.2</v>
          </cell>
          <cell r="AI200">
            <v>0</v>
          </cell>
          <cell r="AK200">
            <v>8.3000000000000007</v>
          </cell>
          <cell r="AO200">
            <v>75.839416058394164</v>
          </cell>
        </row>
        <row r="201">
          <cell r="X201">
            <v>5.7</v>
          </cell>
          <cell r="AC201">
            <v>5.9</v>
          </cell>
          <cell r="AD201">
            <v>5</v>
          </cell>
          <cell r="AE201">
            <v>7</v>
          </cell>
          <cell r="AK201">
            <v>11.600000000000001</v>
          </cell>
          <cell r="AO201">
            <v>103.9</v>
          </cell>
        </row>
        <row r="202">
          <cell r="F202">
            <v>75</v>
          </cell>
          <cell r="X202">
            <v>7</v>
          </cell>
          <cell r="AC202">
            <v>7</v>
          </cell>
          <cell r="AI202">
            <v>0</v>
          </cell>
          <cell r="AJ202">
            <v>0</v>
          </cell>
          <cell r="AK202">
            <v>0</v>
          </cell>
          <cell r="AM202">
            <v>75.839416058394164</v>
          </cell>
          <cell r="AO202" t="e">
            <v>#DIV/0!</v>
          </cell>
          <cell r="AR202">
            <v>75</v>
          </cell>
        </row>
        <row r="203">
          <cell r="F203">
            <v>75</v>
          </cell>
          <cell r="S203">
            <v>601.41999999999996</v>
          </cell>
          <cell r="X203">
            <v>601.41999999999996</v>
          </cell>
          <cell r="AC203">
            <v>601.41999999999996</v>
          </cell>
          <cell r="AI203">
            <v>0</v>
          </cell>
          <cell r="AJ203">
            <v>0</v>
          </cell>
          <cell r="AK203">
            <v>601.41999999999996</v>
          </cell>
          <cell r="AM203">
            <v>103.9</v>
          </cell>
          <cell r="AO203">
            <v>195.28</v>
          </cell>
          <cell r="AR203">
            <v>75</v>
          </cell>
        </row>
        <row r="204">
          <cell r="F204">
            <v>75</v>
          </cell>
          <cell r="P204">
            <v>75</v>
          </cell>
          <cell r="S204">
            <v>0</v>
          </cell>
          <cell r="X204">
            <v>2466</v>
          </cell>
          <cell r="AC204">
            <v>2526</v>
          </cell>
          <cell r="AJ204">
            <v>0</v>
          </cell>
          <cell r="AK204">
            <v>4992</v>
          </cell>
          <cell r="AM204" t="e">
            <v>#DIV/0!</v>
          </cell>
          <cell r="AO204">
            <v>14810</v>
          </cell>
          <cell r="AP204">
            <v>75</v>
          </cell>
          <cell r="AR204">
            <v>75</v>
          </cell>
        </row>
        <row r="205">
          <cell r="S205">
            <v>675</v>
          </cell>
          <cell r="X205">
            <v>675</v>
          </cell>
          <cell r="AC205">
            <v>601.41999999999996</v>
          </cell>
          <cell r="AI205">
            <v>385</v>
          </cell>
          <cell r="AK205">
            <v>4992</v>
          </cell>
          <cell r="AM205">
            <v>195.28</v>
          </cell>
          <cell r="AO205">
            <v>195.28</v>
          </cell>
        </row>
        <row r="206">
          <cell r="S206">
            <v>116</v>
          </cell>
          <cell r="X206">
            <v>139.6</v>
          </cell>
          <cell r="Y206">
            <v>58</v>
          </cell>
          <cell r="Z206">
            <v>81.600000000000009</v>
          </cell>
          <cell r="AC206">
            <v>133.69999999999999</v>
          </cell>
          <cell r="AD206">
            <v>61.1</v>
          </cell>
          <cell r="AE206">
            <v>72.599999999999994</v>
          </cell>
          <cell r="AI206">
            <v>0</v>
          </cell>
          <cell r="AK206">
            <v>389.3</v>
          </cell>
          <cell r="AL206">
            <v>119.1</v>
          </cell>
          <cell r="AM206">
            <v>270.2</v>
          </cell>
          <cell r="AO206">
            <v>356.4</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I207">
            <v>0</v>
          </cell>
          <cell r="AK207">
            <v>68498</v>
          </cell>
          <cell r="AL207">
            <v>23068</v>
          </cell>
          <cell r="AM207">
            <v>45429</v>
          </cell>
          <cell r="AO207">
            <v>14810</v>
          </cell>
          <cell r="AP207">
            <v>3112.427048260382</v>
          </cell>
          <cell r="AQ207">
            <v>11697.572951739618</v>
          </cell>
        </row>
        <row r="208">
          <cell r="S208">
            <v>168.1</v>
          </cell>
          <cell r="X208">
            <v>178.86</v>
          </cell>
          <cell r="Y208">
            <v>194.05</v>
          </cell>
          <cell r="Z208">
            <v>168.06</v>
          </cell>
          <cell r="AA208">
            <v>6597</v>
          </cell>
          <cell r="AC208">
            <v>179.72</v>
          </cell>
          <cell r="AD208">
            <v>193.34</v>
          </cell>
          <cell r="AE208">
            <v>168.25</v>
          </cell>
          <cell r="AI208">
            <v>159.4</v>
          </cell>
          <cell r="AJ208" t="str">
            <v/>
          </cell>
          <cell r="AK208">
            <v>175.95</v>
          </cell>
          <cell r="AL208">
            <v>193.69</v>
          </cell>
          <cell r="AM208">
            <v>168.13</v>
          </cell>
          <cell r="AN208">
            <v>74.900000000000006</v>
          </cell>
          <cell r="AO208">
            <v>41.55</v>
          </cell>
          <cell r="AP208">
            <v>41.55</v>
          </cell>
          <cell r="AQ208">
            <v>41.55</v>
          </cell>
          <cell r="AR208" t="str">
            <v/>
          </cell>
        </row>
        <row r="209">
          <cell r="S209">
            <v>21522</v>
          </cell>
          <cell r="X209">
            <v>25680</v>
          </cell>
          <cell r="Y209">
            <v>10797</v>
          </cell>
          <cell r="Z209">
            <v>14883</v>
          </cell>
          <cell r="AA209">
            <v>14883</v>
          </cell>
          <cell r="AC209">
            <v>22580</v>
          </cell>
          <cell r="AD209">
            <v>9180</v>
          </cell>
          <cell r="AE209">
            <v>13400</v>
          </cell>
          <cell r="AI209">
            <v>26797</v>
          </cell>
          <cell r="AJ209" t="str">
            <v/>
          </cell>
          <cell r="AK209">
            <v>69781</v>
          </cell>
          <cell r="AL209">
            <v>19977</v>
          </cell>
          <cell r="AM209">
            <v>0</v>
          </cell>
          <cell r="AN209">
            <v>3112.427048260382</v>
          </cell>
          <cell r="AO209">
            <v>52</v>
          </cell>
          <cell r="AP209">
            <v>52</v>
          </cell>
          <cell r="AQ209">
            <v>11697.572951739618</v>
          </cell>
          <cell r="AR209" t="str">
            <v/>
          </cell>
        </row>
        <row r="210">
          <cell r="S210">
            <v>168.14</v>
          </cell>
          <cell r="X210">
            <v>24969</v>
          </cell>
          <cell r="Y210">
            <v>168.18</v>
          </cell>
          <cell r="Z210">
            <v>168.17</v>
          </cell>
          <cell r="AC210">
            <v>24028</v>
          </cell>
          <cell r="AD210">
            <v>168.13</v>
          </cell>
          <cell r="AE210">
            <v>168.13</v>
          </cell>
          <cell r="AI210">
            <v>168.11</v>
          </cell>
          <cell r="AJ210" t="str">
            <v/>
          </cell>
          <cell r="AK210">
            <v>68498</v>
          </cell>
          <cell r="AL210">
            <v>23068</v>
          </cell>
          <cell r="AM210">
            <v>45430</v>
          </cell>
          <cell r="AN210">
            <v>41.55</v>
          </cell>
          <cell r="AO210">
            <v>14862</v>
          </cell>
          <cell r="AP210">
            <v>3164.427048260382</v>
          </cell>
          <cell r="AQ210">
            <v>11697.572951739618</v>
          </cell>
          <cell r="AR210" t="str">
            <v/>
          </cell>
        </row>
        <row r="211">
          <cell r="X211">
            <v>15982</v>
          </cell>
          <cell r="AC211">
            <v>15481</v>
          </cell>
          <cell r="AK211">
            <v>41877</v>
          </cell>
          <cell r="AL211">
            <v>16729</v>
          </cell>
          <cell r="AM211">
            <v>0</v>
          </cell>
          <cell r="AN211">
            <v>52</v>
          </cell>
          <cell r="AO211">
            <v>52</v>
          </cell>
          <cell r="AP211">
            <v>52</v>
          </cell>
          <cell r="AQ211">
            <v>11697.572951739618</v>
          </cell>
        </row>
        <row r="212">
          <cell r="X212">
            <v>25680</v>
          </cell>
          <cell r="AC212">
            <v>22580</v>
          </cell>
          <cell r="AI212">
            <v>26797</v>
          </cell>
          <cell r="AJ212">
            <v>15717</v>
          </cell>
          <cell r="AK212">
            <v>69781</v>
          </cell>
          <cell r="AL212">
            <v>19977</v>
          </cell>
          <cell r="AM212">
            <v>49804</v>
          </cell>
          <cell r="AN212">
            <v>3164.427048260382</v>
          </cell>
          <cell r="AO212">
            <v>14862</v>
          </cell>
          <cell r="AP212">
            <v>3164.427048260382</v>
          </cell>
          <cell r="AQ212">
            <v>11697.572951739618</v>
          </cell>
        </row>
        <row r="220">
          <cell r="G220" t="str">
            <v>Б.В.ЯЩЕНКО</v>
          </cell>
        </row>
        <row r="221">
          <cell r="G221" t="str">
            <v>Б.В.ЯЩЕНКО</v>
          </cell>
        </row>
        <row r="222">
          <cell r="G222" t="str">
            <v>М.В.ТЕРПИЛО</v>
          </cell>
        </row>
        <row r="223">
          <cell r="G223" t="str">
            <v xml:space="preserve">В.І.МИРГОРОДСЬКИЙ                                  </v>
          </cell>
          <cell r="AN223">
            <v>1507.2</v>
          </cell>
        </row>
        <row r="224">
          <cell r="G224" t="str">
            <v xml:space="preserve">М.І.ШЕВЧЕНКО                                 </v>
          </cell>
        </row>
        <row r="225">
          <cell r="G225" t="str">
            <v>В.Ю.МОНТЬЕВ</v>
          </cell>
        </row>
        <row r="226">
          <cell r="G226" t="str">
            <v xml:space="preserve">О.М.НИКОЛЕНКО      </v>
          </cell>
        </row>
        <row r="229">
          <cell r="AP229">
            <v>1507.2</v>
          </cell>
        </row>
        <row r="230">
          <cell r="AP230">
            <v>1507.2</v>
          </cell>
        </row>
        <row r="238">
          <cell r="AG238" t="str">
            <v xml:space="preserve">         Затверджую</v>
          </cell>
        </row>
        <row r="239">
          <cell r="AG239" t="str">
            <v xml:space="preserve"> Голова правління </v>
          </cell>
        </row>
        <row r="240">
          <cell r="AG240" t="str">
            <v xml:space="preserve">                        І.В.Плачков</v>
          </cell>
        </row>
        <row r="241">
          <cell r="AG241" t="str">
            <v xml:space="preserve">   "_____" ________2000 р.</v>
          </cell>
        </row>
        <row r="244">
          <cell r="AG244" t="str">
            <v xml:space="preserve">         Затверджую</v>
          </cell>
        </row>
        <row r="245">
          <cell r="F245" t="str">
            <v>РОЗРАХУНОК ФІНАНСОВИХ ПОТОКІВ НА   березень  2000 року</v>
          </cell>
          <cell r="AG245" t="str">
            <v xml:space="preserve">         Затверджую</v>
          </cell>
        </row>
        <row r="246">
          <cell r="F246" t="str">
            <v>ПО ФІЛІАЛАХ АК КИЇВЕНЕРГО</v>
          </cell>
          <cell r="AG246" t="str">
            <v xml:space="preserve"> Голова правління </v>
          </cell>
        </row>
        <row r="247">
          <cell r="AG247" t="str">
            <v xml:space="preserve">                        І.В.Плачков</v>
          </cell>
        </row>
        <row r="248">
          <cell r="AG248" t="str">
            <v xml:space="preserve">   "_____" ________2000 р.</v>
          </cell>
        </row>
        <row r="251">
          <cell r="F251" t="str">
            <v>РОЗРАХУНОК ФІНАНСОВИХ ПОТОКІВ НА   березень  2000 року</v>
          </cell>
          <cell r="AI251" t="str">
            <v>тис.грн.</v>
          </cell>
        </row>
        <row r="252">
          <cell r="F252" t="str">
            <v>РОЗРАХУНОК ФІНАНСОВИХ ПОТОКІВ НА   березень  2000 року</v>
          </cell>
          <cell r="G252" t="str">
            <v>АПАРАТ ЕЛЕКТРО</v>
          </cell>
          <cell r="H252" t="str">
            <v>АПАРАТ ТЕПЛО</v>
          </cell>
          <cell r="P252" t="str">
            <v>КМ</v>
          </cell>
          <cell r="Q252" t="str">
            <v>ТМ</v>
          </cell>
          <cell r="S252" t="str">
            <v>КТМ</v>
          </cell>
          <cell r="T252" t="str">
            <v>ВИРОБН</v>
          </cell>
          <cell r="U252" t="str">
            <v>ПЕРЕД</v>
          </cell>
          <cell r="X252" t="str">
            <v>ТЕЦ-5 ВСЬОГО</v>
          </cell>
          <cell r="Y252" t="str">
            <v>Е/Е</v>
          </cell>
          <cell r="Z252" t="str">
            <v xml:space="preserve"> Т/Е</v>
          </cell>
          <cell r="AC252" t="str">
            <v>ТЕЦ-6 ВСЬОГО</v>
          </cell>
          <cell r="AD252" t="str">
            <v>Е/Е</v>
          </cell>
          <cell r="AE252" t="str">
            <v xml:space="preserve"> Т/Е</v>
          </cell>
          <cell r="AF252" t="str">
            <v>ТРМ ВСЬОГО</v>
          </cell>
          <cell r="AG252" t="str">
            <v>ТРМ  АК КЕ</v>
          </cell>
          <cell r="AH252" t="str">
            <v>ТРМ СТОР</v>
          </cell>
          <cell r="AI252" t="str">
            <v>АК КЕ осн.вир.</v>
          </cell>
          <cell r="AJ252" t="str">
            <v>АК КЕ ВСЬОГО</v>
          </cell>
          <cell r="AK252" t="str">
            <v xml:space="preserve"> Т/Е</v>
          </cell>
          <cell r="AM252" t="str">
            <v>СТАНЦІї ЕЛЕКТРО</v>
          </cell>
          <cell r="AN252" t="str">
            <v>СТАНЦІІ ТЕПЛОВІ</v>
          </cell>
          <cell r="AO252" t="str">
            <v>МЕРЕЖІ ЕЛЕКТРО</v>
          </cell>
          <cell r="AP252" t="str">
            <v>МЕРЕЖІ ТЕПЛОВІ</v>
          </cell>
        </row>
        <row r="253">
          <cell r="F253" t="str">
            <v>ПО ФІЛІАЛАХ АК КИЇВЕНЕРГО</v>
          </cell>
          <cell r="P253">
            <v>3631.1559999999999</v>
          </cell>
          <cell r="S253">
            <v>9526.8578787878778</v>
          </cell>
          <cell r="X253">
            <v>2672.4863636363625</v>
          </cell>
          <cell r="AC253">
            <v>1389.1963636363635</v>
          </cell>
          <cell r="AF253">
            <v>4185.9539393939394</v>
          </cell>
          <cell r="AG253">
            <v>3391.2</v>
          </cell>
          <cell r="AH253">
            <v>794.7539393939395</v>
          </cell>
          <cell r="AI253">
            <v>27896.847545454541</v>
          </cell>
        </row>
        <row r="255">
          <cell r="F255" t="e">
            <v>#REF!</v>
          </cell>
          <cell r="G255">
            <v>2614</v>
          </cell>
          <cell r="H255">
            <v>3572.1970000000001</v>
          </cell>
          <cell r="P255">
            <v>3631.1559999999999</v>
          </cell>
          <cell r="Q255">
            <v>0</v>
          </cell>
          <cell r="R255">
            <v>0</v>
          </cell>
          <cell r="S255">
            <v>9526.8578787878778</v>
          </cell>
          <cell r="T255">
            <v>2010.6708606060602</v>
          </cell>
          <cell r="U255">
            <v>2621.0370181818184</v>
          </cell>
          <cell r="V255">
            <v>0</v>
          </cell>
          <cell r="W255">
            <v>0</v>
          </cell>
          <cell r="X255">
            <v>2672.4863636363625</v>
          </cell>
          <cell r="Y255">
            <v>1687</v>
          </cell>
          <cell r="Z255">
            <v>695.48636363636342</v>
          </cell>
          <cell r="AA255">
            <v>0</v>
          </cell>
          <cell r="AB255">
            <v>0</v>
          </cell>
          <cell r="AC255">
            <v>1389.1963636363635</v>
          </cell>
          <cell r="AD255">
            <v>683</v>
          </cell>
          <cell r="AE255">
            <v>621.19636363636255</v>
          </cell>
          <cell r="AF255">
            <v>4185.9539393939394</v>
          </cell>
          <cell r="AG255">
            <v>3391.2</v>
          </cell>
          <cell r="AH255">
            <v>794.7539393939395</v>
          </cell>
          <cell r="AI255" t="e">
            <v>#REF!</v>
          </cell>
          <cell r="AK255">
            <v>50607.25</v>
          </cell>
        </row>
        <row r="256">
          <cell r="F256" t="e">
            <v>#REF!</v>
          </cell>
          <cell r="G256">
            <v>2402</v>
          </cell>
          <cell r="H256">
            <v>3242.5</v>
          </cell>
          <cell r="P256">
            <v>1276.2359999999999</v>
          </cell>
          <cell r="S256">
            <v>5217.4833333333318</v>
          </cell>
          <cell r="T256">
            <v>1249.7813333333329</v>
          </cell>
          <cell r="U256">
            <v>1143.1520000000005</v>
          </cell>
          <cell r="X256">
            <v>1178.9999999999986</v>
          </cell>
          <cell r="Y256">
            <v>995</v>
          </cell>
          <cell r="Z256">
            <v>410.19999999999976</v>
          </cell>
          <cell r="AC256">
            <v>204.39999999999986</v>
          </cell>
          <cell r="AD256">
            <v>149</v>
          </cell>
          <cell r="AE256">
            <v>135.79999999999887</v>
          </cell>
          <cell r="AF256">
            <v>314.4666666666667</v>
          </cell>
          <cell r="AG256">
            <v>497.99999999999977</v>
          </cell>
          <cell r="AH256">
            <v>177.46666666666684</v>
          </cell>
          <cell r="AI256" t="e">
            <v>#REF!</v>
          </cell>
          <cell r="AK256" t="e">
            <v>#REF!</v>
          </cell>
        </row>
        <row r="257">
          <cell r="F257" t="e">
            <v>#REF!</v>
          </cell>
          <cell r="P257">
            <v>0</v>
          </cell>
          <cell r="Q257">
            <v>0</v>
          </cell>
          <cell r="R257">
            <v>0</v>
          </cell>
          <cell r="S257">
            <v>0</v>
          </cell>
          <cell r="T257">
            <v>0</v>
          </cell>
          <cell r="U257">
            <v>0</v>
          </cell>
          <cell r="V257">
            <v>0</v>
          </cell>
          <cell r="W257">
            <v>0</v>
          </cell>
          <cell r="X257">
            <v>0</v>
          </cell>
          <cell r="Y257">
            <v>0</v>
          </cell>
          <cell r="Z257">
            <v>0</v>
          </cell>
          <cell r="AA257">
            <v>0</v>
          </cell>
          <cell r="AB257">
            <v>0</v>
          </cell>
          <cell r="AC257">
            <v>0</v>
          </cell>
          <cell r="AD257">
            <v>0</v>
          </cell>
          <cell r="AE257">
            <v>0</v>
          </cell>
          <cell r="AF257">
            <v>0</v>
          </cell>
          <cell r="AG257">
            <v>0</v>
          </cell>
          <cell r="AH257">
            <v>0</v>
          </cell>
          <cell r="AI257" t="e">
            <v>#REF!</v>
          </cell>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I258">
            <v>26797</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I259">
            <v>5607</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4700</v>
          </cell>
          <cell r="P260">
            <v>3875.9166666666665</v>
          </cell>
          <cell r="Q260">
            <v>0</v>
          </cell>
          <cell r="R260">
            <v>0</v>
          </cell>
          <cell r="S260">
            <v>9516.0260606060619</v>
          </cell>
          <cell r="T260">
            <v>0</v>
          </cell>
          <cell r="U260">
            <v>0</v>
          </cell>
          <cell r="V260">
            <v>0</v>
          </cell>
          <cell r="W260">
            <v>0</v>
          </cell>
          <cell r="X260">
            <v>3231.389696969698</v>
          </cell>
          <cell r="Y260">
            <v>0</v>
          </cell>
          <cell r="Z260">
            <v>0</v>
          </cell>
          <cell r="AA260">
            <v>0</v>
          </cell>
          <cell r="AB260">
            <v>0</v>
          </cell>
          <cell r="AC260">
            <v>1662.8115151515158</v>
          </cell>
          <cell r="AD260">
            <v>0</v>
          </cell>
          <cell r="AE260">
            <v>0</v>
          </cell>
          <cell r="AF260">
            <v>4222.1842424242423</v>
          </cell>
          <cell r="AG260">
            <v>3452</v>
          </cell>
          <cell r="AH260">
            <v>770.05090909090904</v>
          </cell>
          <cell r="AI260" t="e">
            <v>#REF!</v>
          </cell>
          <cell r="AJ260">
            <v>7599</v>
          </cell>
          <cell r="AK260">
            <v>28662.328181818182</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I261">
            <v>721.80000000000007</v>
          </cell>
          <cell r="AJ261">
            <v>0</v>
          </cell>
          <cell r="AK261">
            <v>95584.228051948041</v>
          </cell>
          <cell r="AM261">
            <v>78593.25</v>
          </cell>
        </row>
        <row r="262">
          <cell r="F262">
            <v>15510.428571428572</v>
          </cell>
          <cell r="G262">
            <v>1851.9907526329307</v>
          </cell>
          <cell r="H262">
            <v>3986.0092473670693</v>
          </cell>
          <cell r="P262">
            <v>3875.9166666666665</v>
          </cell>
          <cell r="Q262">
            <v>0</v>
          </cell>
          <cell r="R262">
            <v>0</v>
          </cell>
          <cell r="S262">
            <v>9516.0260606060619</v>
          </cell>
          <cell r="T262">
            <v>4009.7854363636361</v>
          </cell>
          <cell r="U262">
            <v>2179.240624242424</v>
          </cell>
          <cell r="V262">
            <v>0</v>
          </cell>
          <cell r="W262">
            <v>0</v>
          </cell>
          <cell r="X262">
            <v>3231.389696969698</v>
          </cell>
          <cell r="Y262">
            <v>1133</v>
          </cell>
          <cell r="Z262">
            <v>1592.3896969696943</v>
          </cell>
          <cell r="AA262">
            <v>0</v>
          </cell>
          <cell r="AB262">
            <v>0</v>
          </cell>
          <cell r="AC262">
            <v>1662.8115151515158</v>
          </cell>
          <cell r="AD262">
            <v>571</v>
          </cell>
          <cell r="AE262">
            <v>676.81151515151578</v>
          </cell>
          <cell r="AF262">
            <v>4222.1842424242423</v>
          </cell>
          <cell r="AG262">
            <v>3452</v>
          </cell>
          <cell r="AH262">
            <v>770.05090909090904</v>
          </cell>
          <cell r="AI262">
            <v>0</v>
          </cell>
          <cell r="AJ262">
            <v>0</v>
          </cell>
          <cell r="AK262">
            <v>116430.57251082252</v>
          </cell>
          <cell r="AM262">
            <v>115933.25</v>
          </cell>
        </row>
        <row r="263">
          <cell r="F263">
            <v>9201.1285714285732</v>
          </cell>
          <cell r="G263">
            <v>1693.9907526329307</v>
          </cell>
          <cell r="H263">
            <v>3557.0092473670693</v>
          </cell>
          <cell r="P263">
            <v>1563</v>
          </cell>
          <cell r="Q263">
            <v>0</v>
          </cell>
          <cell r="R263">
            <v>0</v>
          </cell>
          <cell r="S263">
            <v>3562.133333333335</v>
          </cell>
          <cell r="T263">
            <v>3294.9799999999996</v>
          </cell>
          <cell r="U263">
            <v>761.95333333333315</v>
          </cell>
          <cell r="V263">
            <v>0</v>
          </cell>
          <cell r="W263">
            <v>0</v>
          </cell>
          <cell r="X263">
            <v>1892.0033333333345</v>
          </cell>
          <cell r="Y263">
            <v>746</v>
          </cell>
          <cell r="Z263">
            <v>1049.8033333333306</v>
          </cell>
          <cell r="AA263">
            <v>0</v>
          </cell>
          <cell r="AB263">
            <v>0</v>
          </cell>
          <cell r="AC263">
            <v>692.93333333333385</v>
          </cell>
          <cell r="AD263">
            <v>172</v>
          </cell>
          <cell r="AE263">
            <v>204.13333333333395</v>
          </cell>
          <cell r="AF263">
            <v>957.66666666666663</v>
          </cell>
          <cell r="AG263">
            <v>902.99999999999989</v>
          </cell>
          <cell r="AH263">
            <v>54.53333333333336</v>
          </cell>
          <cell r="AI263" t="e">
            <v>#REF!</v>
          </cell>
          <cell r="AJ263">
            <v>-2455</v>
          </cell>
          <cell r="AK263">
            <v>103667.68099567101</v>
          </cell>
          <cell r="AM263">
            <v>17399.198571428577</v>
          </cell>
        </row>
        <row r="264">
          <cell r="F264">
            <v>94803.728571428568</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3500</v>
          </cell>
          <cell r="AK264">
            <v>94803.728571428568</v>
          </cell>
        </row>
        <row r="265">
          <cell r="F265">
            <v>68497</v>
          </cell>
          <cell r="AI265">
            <v>0</v>
          </cell>
          <cell r="AK265">
            <v>68497</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I266">
            <v>538</v>
          </cell>
          <cell r="AK266">
            <v>15510</v>
          </cell>
        </row>
        <row r="267">
          <cell r="F267">
            <v>6694.7285714285717</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I267" t="e">
            <v>#REF!</v>
          </cell>
          <cell r="AK267">
            <v>6694.7285714285717</v>
          </cell>
        </row>
        <row r="268">
          <cell r="F268">
            <v>413.3</v>
          </cell>
          <cell r="P268">
            <v>0</v>
          </cell>
          <cell r="S268">
            <v>0</v>
          </cell>
          <cell r="X268">
            <v>0</v>
          </cell>
          <cell r="AC268">
            <v>0</v>
          </cell>
          <cell r="AF268">
            <v>0</v>
          </cell>
          <cell r="AG268">
            <v>0</v>
          </cell>
          <cell r="AH268">
            <v>0</v>
          </cell>
          <cell r="AI268">
            <v>295</v>
          </cell>
          <cell r="AK268">
            <v>413.3</v>
          </cell>
        </row>
        <row r="269">
          <cell r="F269">
            <v>0</v>
          </cell>
          <cell r="P269">
            <v>3631.1559999999999</v>
          </cell>
          <cell r="Q269">
            <v>0</v>
          </cell>
          <cell r="R269">
            <v>0</v>
          </cell>
          <cell r="S269">
            <v>9526.8578787878778</v>
          </cell>
          <cell r="T269">
            <v>0</v>
          </cell>
          <cell r="U269">
            <v>0</v>
          </cell>
          <cell r="V269">
            <v>0</v>
          </cell>
          <cell r="W269">
            <v>0</v>
          </cell>
          <cell r="X269">
            <v>2672.4863636363625</v>
          </cell>
          <cell r="Y269">
            <v>0</v>
          </cell>
          <cell r="Z269">
            <v>0</v>
          </cell>
          <cell r="AA269">
            <v>0</v>
          </cell>
          <cell r="AB269">
            <v>0</v>
          </cell>
          <cell r="AC269">
            <v>1389.1963636363635</v>
          </cell>
          <cell r="AD269">
            <v>0</v>
          </cell>
          <cell r="AE269">
            <v>0</v>
          </cell>
          <cell r="AF269">
            <v>4185.9539393939394</v>
          </cell>
          <cell r="AG269">
            <v>3391.2</v>
          </cell>
          <cell r="AH269">
            <v>794.7539393939395</v>
          </cell>
          <cell r="AI269" t="e">
            <v>#REF!</v>
          </cell>
          <cell r="AK269">
            <v>0</v>
          </cell>
        </row>
        <row r="270">
          <cell r="F270">
            <v>1581.4285714285716</v>
          </cell>
          <cell r="P270">
            <v>1864.5200000000002</v>
          </cell>
          <cell r="Q270">
            <v>0</v>
          </cell>
          <cell r="R270">
            <v>0</v>
          </cell>
          <cell r="S270">
            <v>3624.1866666666665</v>
          </cell>
          <cell r="T270">
            <v>611.67619393939378</v>
          </cell>
          <cell r="U270">
            <v>622.76501818181805</v>
          </cell>
          <cell r="V270">
            <v>0</v>
          </cell>
          <cell r="W270">
            <v>0</v>
          </cell>
          <cell r="X270">
            <v>1667.4500000000003</v>
          </cell>
          <cell r="Y270">
            <v>790</v>
          </cell>
          <cell r="Z270">
            <v>326.08636363636373</v>
          </cell>
          <cell r="AA270">
            <v>0</v>
          </cell>
          <cell r="AB270">
            <v>0</v>
          </cell>
          <cell r="AC270">
            <v>821.09333333333336</v>
          </cell>
          <cell r="AD270">
            <v>205</v>
          </cell>
          <cell r="AE270">
            <v>186.72969696969702</v>
          </cell>
          <cell r="AF270">
            <v>2892.76</v>
          </cell>
          <cell r="AG270">
            <v>1914.2</v>
          </cell>
          <cell r="AH270">
            <v>617.55999999999995</v>
          </cell>
          <cell r="AI270">
            <v>13501.707000000002</v>
          </cell>
          <cell r="AK270">
            <v>1581.4285714285716</v>
          </cell>
        </row>
        <row r="271">
          <cell r="F271">
            <v>3500</v>
          </cell>
          <cell r="G271">
            <v>212</v>
          </cell>
          <cell r="H271">
            <v>329.697</v>
          </cell>
          <cell r="P271">
            <v>904.32</v>
          </cell>
          <cell r="S271">
            <v>1900.3199999999997</v>
          </cell>
          <cell r="T271">
            <v>598.00952727272715</v>
          </cell>
          <cell r="U271">
            <v>622.76501818181805</v>
          </cell>
          <cell r="X271">
            <v>643.65000000000009</v>
          </cell>
          <cell r="Y271">
            <v>288</v>
          </cell>
          <cell r="Z271">
            <v>119.28636363636366</v>
          </cell>
          <cell r="AC271">
            <v>537.76</v>
          </cell>
          <cell r="AD271">
            <v>198</v>
          </cell>
          <cell r="AE271">
            <v>180.39636363636367</v>
          </cell>
          <cell r="AF271">
            <v>1730.76</v>
          </cell>
          <cell r="AG271">
            <v>1429.2</v>
          </cell>
          <cell r="AH271">
            <v>301.55999999999995</v>
          </cell>
          <cell r="AI271">
            <v>6683.5069999999996</v>
          </cell>
          <cell r="AK271">
            <v>3500</v>
          </cell>
        </row>
        <row r="272">
          <cell r="F272">
            <v>0</v>
          </cell>
          <cell r="P272">
            <v>0</v>
          </cell>
          <cell r="Q272">
            <v>0</v>
          </cell>
          <cell r="R272">
            <v>0</v>
          </cell>
          <cell r="S272">
            <v>0</v>
          </cell>
          <cell r="T272">
            <v>13.666666666666666</v>
          </cell>
          <cell r="U272">
            <v>0</v>
          </cell>
          <cell r="V272">
            <v>0</v>
          </cell>
          <cell r="W272">
            <v>0</v>
          </cell>
          <cell r="X272">
            <v>0</v>
          </cell>
          <cell r="Y272">
            <v>502</v>
          </cell>
          <cell r="Z272">
            <v>206.80000000000007</v>
          </cell>
          <cell r="AA272">
            <v>0</v>
          </cell>
          <cell r="AB272">
            <v>0</v>
          </cell>
          <cell r="AC272">
            <v>0</v>
          </cell>
          <cell r="AD272">
            <v>7</v>
          </cell>
          <cell r="AE272">
            <v>6.3333333333333339</v>
          </cell>
          <cell r="AF272">
            <v>0</v>
          </cell>
          <cell r="AG272">
            <v>0</v>
          </cell>
          <cell r="AH272">
            <v>0</v>
          </cell>
          <cell r="AI272">
            <v>721.80000000000007</v>
          </cell>
          <cell r="AK272">
            <v>0</v>
          </cell>
        </row>
        <row r="273">
          <cell r="F273">
            <v>1200</v>
          </cell>
          <cell r="P273">
            <v>0</v>
          </cell>
          <cell r="Q273">
            <v>0</v>
          </cell>
          <cell r="R273">
            <v>0</v>
          </cell>
          <cell r="S273">
            <v>0</v>
          </cell>
          <cell r="T273">
            <v>0</v>
          </cell>
          <cell r="U273">
            <v>0</v>
          </cell>
          <cell r="V273">
            <v>0</v>
          </cell>
          <cell r="W273">
            <v>0</v>
          </cell>
          <cell r="X273">
            <v>0</v>
          </cell>
          <cell r="Y273">
            <v>0</v>
          </cell>
          <cell r="Z273">
            <v>0</v>
          </cell>
          <cell r="AA273">
            <v>0</v>
          </cell>
          <cell r="AB273">
            <v>0</v>
          </cell>
          <cell r="AC273">
            <v>0</v>
          </cell>
          <cell r="AD273">
            <v>0</v>
          </cell>
          <cell r="AE273">
            <v>0</v>
          </cell>
          <cell r="AF273">
            <v>0</v>
          </cell>
          <cell r="AG273">
            <v>0</v>
          </cell>
          <cell r="AH273">
            <v>0</v>
          </cell>
          <cell r="AI273">
            <v>4672</v>
          </cell>
          <cell r="AK273">
            <v>1200</v>
          </cell>
        </row>
        <row r="274">
          <cell r="F274">
            <v>4100</v>
          </cell>
          <cell r="P274">
            <v>0</v>
          </cell>
          <cell r="S274">
            <v>0</v>
          </cell>
          <cell r="X274">
            <v>0</v>
          </cell>
          <cell r="AC274">
            <v>0</v>
          </cell>
          <cell r="AF274">
            <v>0</v>
          </cell>
          <cell r="AG274">
            <v>0</v>
          </cell>
          <cell r="AH274">
            <v>0</v>
          </cell>
          <cell r="AI274">
            <v>1640</v>
          </cell>
          <cell r="AK274">
            <v>4100</v>
          </cell>
        </row>
        <row r="275">
          <cell r="F275">
            <v>2</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I275">
            <v>952</v>
          </cell>
          <cell r="AK275">
            <v>2</v>
          </cell>
        </row>
        <row r="276">
          <cell r="F276">
            <v>99503.728571428568</v>
          </cell>
          <cell r="P276">
            <v>3875.9166666666665</v>
          </cell>
          <cell r="Q276">
            <v>0</v>
          </cell>
          <cell r="R276">
            <v>0</v>
          </cell>
          <cell r="S276">
            <v>9516.0260606060619</v>
          </cell>
          <cell r="T276">
            <v>0</v>
          </cell>
          <cell r="U276">
            <v>0</v>
          </cell>
          <cell r="V276">
            <v>0</v>
          </cell>
          <cell r="W276">
            <v>0</v>
          </cell>
          <cell r="X276">
            <v>3231.389696969698</v>
          </cell>
          <cell r="Y276">
            <v>0</v>
          </cell>
          <cell r="Z276">
            <v>0</v>
          </cell>
          <cell r="AA276">
            <v>0</v>
          </cell>
          <cell r="AB276">
            <v>0</v>
          </cell>
          <cell r="AC276">
            <v>1662.8115151515158</v>
          </cell>
          <cell r="AD276">
            <v>0</v>
          </cell>
          <cell r="AE276">
            <v>0</v>
          </cell>
          <cell r="AF276">
            <v>4222.1842424242423</v>
          </cell>
          <cell r="AG276">
            <v>3452</v>
          </cell>
          <cell r="AH276">
            <v>770.05090909090904</v>
          </cell>
          <cell r="AI276">
            <v>1370</v>
          </cell>
          <cell r="AK276">
            <v>123466.05675324675</v>
          </cell>
        </row>
        <row r="277">
          <cell r="F277">
            <v>1796</v>
          </cell>
          <cell r="G277">
            <v>162</v>
          </cell>
          <cell r="H277">
            <v>425</v>
          </cell>
          <cell r="P277">
            <v>1861.9166666666667</v>
          </cell>
          <cell r="Q277">
            <v>0</v>
          </cell>
          <cell r="R277">
            <v>0</v>
          </cell>
          <cell r="S277">
            <v>5485.4866666666667</v>
          </cell>
          <cell r="T277">
            <v>568.47210303030295</v>
          </cell>
          <cell r="U277">
            <v>577.28729090909087</v>
          </cell>
          <cell r="V277">
            <v>0</v>
          </cell>
          <cell r="W277">
            <v>0</v>
          </cell>
          <cell r="X277">
            <v>1426.95</v>
          </cell>
          <cell r="Y277">
            <v>330</v>
          </cell>
          <cell r="Z277">
            <v>462.58636363636367</v>
          </cell>
          <cell r="AA277">
            <v>0</v>
          </cell>
          <cell r="AB277">
            <v>9</v>
          </cell>
          <cell r="AC277">
            <v>779.19333333333338</v>
          </cell>
          <cell r="AD277">
            <v>164</v>
          </cell>
          <cell r="AE277">
            <v>194.01151515151517</v>
          </cell>
          <cell r="AF277">
            <v>3257.9266666666667</v>
          </cell>
          <cell r="AG277">
            <v>2541.909090909091</v>
          </cell>
          <cell r="AH277">
            <v>716.01757575757574</v>
          </cell>
          <cell r="AI277">
            <v>710</v>
          </cell>
          <cell r="AK277">
            <v>15573.473333333333</v>
          </cell>
        </row>
        <row r="278">
          <cell r="F278">
            <v>587</v>
          </cell>
          <cell r="G278">
            <v>158</v>
          </cell>
          <cell r="H278">
            <v>429</v>
          </cell>
          <cell r="P278">
            <v>946.25</v>
          </cell>
          <cell r="Q278">
            <v>0</v>
          </cell>
          <cell r="R278">
            <v>0</v>
          </cell>
          <cell r="S278">
            <v>1561.82</v>
          </cell>
          <cell r="T278">
            <v>554.80543636363632</v>
          </cell>
          <cell r="U278">
            <v>577.28729090909087</v>
          </cell>
          <cell r="V278">
            <v>0</v>
          </cell>
          <cell r="W278">
            <v>0</v>
          </cell>
          <cell r="X278">
            <v>640.95000000000005</v>
          </cell>
          <cell r="Y278">
            <v>164</v>
          </cell>
          <cell r="Z278">
            <v>228.58636363636367</v>
          </cell>
          <cell r="AA278">
            <v>0</v>
          </cell>
          <cell r="AB278">
            <v>0</v>
          </cell>
          <cell r="AC278">
            <v>535.86</v>
          </cell>
          <cell r="AD278">
            <v>158</v>
          </cell>
          <cell r="AE278">
            <v>186.67818181818183</v>
          </cell>
          <cell r="AF278">
            <v>1759.96</v>
          </cell>
          <cell r="AG278">
            <v>1532.909090909091</v>
          </cell>
          <cell r="AH278">
            <v>227.05090909090904</v>
          </cell>
          <cell r="AI278">
            <v>1174.4000000000001</v>
          </cell>
          <cell r="AK278">
            <v>6394.8399999999992</v>
          </cell>
        </row>
        <row r="279">
          <cell r="F279">
            <v>0</v>
          </cell>
          <cell r="P279">
            <v>0</v>
          </cell>
          <cell r="Q279">
            <v>0</v>
          </cell>
          <cell r="R279">
            <v>0</v>
          </cell>
          <cell r="S279">
            <v>13.666666666666666</v>
          </cell>
          <cell r="T279">
            <v>13.666666666666666</v>
          </cell>
          <cell r="U279">
            <v>0</v>
          </cell>
          <cell r="V279">
            <v>0</v>
          </cell>
          <cell r="W279">
            <v>0</v>
          </cell>
          <cell r="X279">
            <v>400</v>
          </cell>
          <cell r="Y279">
            <v>166</v>
          </cell>
          <cell r="Z279">
            <v>234</v>
          </cell>
          <cell r="AA279">
            <v>0</v>
          </cell>
          <cell r="AB279">
            <v>0</v>
          </cell>
          <cell r="AC279">
            <v>-0.66666666666666607</v>
          </cell>
          <cell r="AD279">
            <v>6</v>
          </cell>
          <cell r="AE279">
            <v>7.3333333333333339</v>
          </cell>
          <cell r="AF279">
            <v>0.3</v>
          </cell>
          <cell r="AG279">
            <v>0</v>
          </cell>
          <cell r="AH279">
            <v>0.3</v>
          </cell>
          <cell r="AI279">
            <v>4</v>
          </cell>
          <cell r="AK279">
            <v>413.3</v>
          </cell>
        </row>
        <row r="280">
          <cell r="F280">
            <v>1202</v>
          </cell>
          <cell r="P280">
            <v>857</v>
          </cell>
          <cell r="Q280">
            <v>0</v>
          </cell>
          <cell r="R280">
            <v>0</v>
          </cell>
          <cell r="S280">
            <v>1290</v>
          </cell>
          <cell r="T280">
            <v>0</v>
          </cell>
          <cell r="U280">
            <v>0</v>
          </cell>
          <cell r="V280">
            <v>0</v>
          </cell>
          <cell r="W280">
            <v>0</v>
          </cell>
          <cell r="X280">
            <v>381</v>
          </cell>
          <cell r="Y280">
            <v>0</v>
          </cell>
          <cell r="Z280">
            <v>0</v>
          </cell>
          <cell r="AA280">
            <v>0</v>
          </cell>
          <cell r="AB280">
            <v>9</v>
          </cell>
          <cell r="AC280">
            <v>244</v>
          </cell>
          <cell r="AD280">
            <v>0</v>
          </cell>
          <cell r="AE280">
            <v>0</v>
          </cell>
          <cell r="AF280">
            <v>597</v>
          </cell>
          <cell r="AG280">
            <v>509</v>
          </cell>
          <cell r="AH280">
            <v>88</v>
          </cell>
          <cell r="AI280">
            <v>814.4</v>
          </cell>
          <cell r="AK280">
            <v>4810</v>
          </cell>
        </row>
        <row r="281">
          <cell r="F281">
            <v>122</v>
          </cell>
          <cell r="P281">
            <v>367</v>
          </cell>
          <cell r="S281">
            <v>688</v>
          </cell>
          <cell r="X281">
            <v>93</v>
          </cell>
          <cell r="AC281">
            <v>90</v>
          </cell>
          <cell r="AF281">
            <v>508</v>
          </cell>
          <cell r="AG281">
            <v>420</v>
          </cell>
          <cell r="AH281">
            <v>88</v>
          </cell>
          <cell r="AI281">
            <v>356</v>
          </cell>
          <cell r="AK281">
            <v>1902</v>
          </cell>
        </row>
        <row r="282">
          <cell r="F282">
            <v>700</v>
          </cell>
          <cell r="P282">
            <v>20</v>
          </cell>
          <cell r="S282">
            <v>21</v>
          </cell>
          <cell r="X282">
            <v>70</v>
          </cell>
          <cell r="AC282">
            <v>25</v>
          </cell>
          <cell r="AF282">
            <v>15</v>
          </cell>
          <cell r="AG282">
            <v>15</v>
          </cell>
          <cell r="AH282">
            <v>0</v>
          </cell>
          <cell r="AI282">
            <v>250</v>
          </cell>
          <cell r="AK282">
            <v>1056</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I283" t="e">
            <v>#REF!</v>
          </cell>
          <cell r="AJ283">
            <v>0</v>
          </cell>
          <cell r="AK283">
            <v>1110</v>
          </cell>
        </row>
        <row r="284">
          <cell r="F284">
            <v>320</v>
          </cell>
          <cell r="P284">
            <v>100</v>
          </cell>
          <cell r="Q284">
            <v>0</v>
          </cell>
          <cell r="R284">
            <v>0</v>
          </cell>
          <cell r="S284">
            <v>101</v>
          </cell>
          <cell r="T284">
            <v>0</v>
          </cell>
          <cell r="U284">
            <v>0</v>
          </cell>
          <cell r="V284">
            <v>0</v>
          </cell>
          <cell r="W284">
            <v>0</v>
          </cell>
          <cell r="X284">
            <v>118</v>
          </cell>
          <cell r="Y284">
            <v>0</v>
          </cell>
          <cell r="Z284">
            <v>0</v>
          </cell>
          <cell r="AA284">
            <v>0</v>
          </cell>
          <cell r="AB284">
            <v>9</v>
          </cell>
          <cell r="AC284">
            <v>29</v>
          </cell>
          <cell r="AD284">
            <v>0</v>
          </cell>
          <cell r="AE284">
            <v>0</v>
          </cell>
          <cell r="AF284">
            <v>74</v>
          </cell>
          <cell r="AG284">
            <v>74</v>
          </cell>
          <cell r="AH284">
            <v>0</v>
          </cell>
          <cell r="AI284">
            <v>0</v>
          </cell>
          <cell r="AJ284">
            <v>0</v>
          </cell>
          <cell r="AK284">
            <v>742</v>
          </cell>
        </row>
        <row r="285">
          <cell r="F285">
            <v>7</v>
          </cell>
          <cell r="P285">
            <v>58.666666666666664</v>
          </cell>
          <cell r="Q285">
            <v>0</v>
          </cell>
          <cell r="R285">
            <v>0</v>
          </cell>
          <cell r="S285">
            <v>2370</v>
          </cell>
          <cell r="T285">
            <v>0</v>
          </cell>
          <cell r="U285">
            <v>0</v>
          </cell>
          <cell r="V285">
            <v>0</v>
          </cell>
          <cell r="W285">
            <v>0</v>
          </cell>
          <cell r="X285">
            <v>5</v>
          </cell>
          <cell r="Y285">
            <v>0</v>
          </cell>
          <cell r="Z285">
            <v>0</v>
          </cell>
          <cell r="AA285">
            <v>0</v>
          </cell>
          <cell r="AB285">
            <v>0</v>
          </cell>
          <cell r="AC285">
            <v>0</v>
          </cell>
          <cell r="AD285">
            <v>0</v>
          </cell>
          <cell r="AE285">
            <v>0</v>
          </cell>
          <cell r="AF285">
            <v>900.66666666666663</v>
          </cell>
          <cell r="AG285">
            <v>500</v>
          </cell>
          <cell r="AH285">
            <v>400.66666666666663</v>
          </cell>
          <cell r="AI285">
            <v>14738.47387878788</v>
          </cell>
          <cell r="AK285">
            <v>3705.333333333333</v>
          </cell>
        </row>
        <row r="286">
          <cell r="F286">
            <v>0</v>
          </cell>
          <cell r="P286">
            <v>0</v>
          </cell>
          <cell r="S286">
            <v>0</v>
          </cell>
          <cell r="X286">
            <v>5</v>
          </cell>
          <cell r="AC286">
            <v>0</v>
          </cell>
          <cell r="AF286">
            <v>0</v>
          </cell>
          <cell r="AG286">
            <v>0</v>
          </cell>
          <cell r="AH286">
            <v>0</v>
          </cell>
          <cell r="AI286">
            <v>5357.15</v>
          </cell>
          <cell r="AK286">
            <v>5</v>
          </cell>
        </row>
        <row r="287">
          <cell r="F287">
            <v>7</v>
          </cell>
          <cell r="P287">
            <v>58.666666666666664</v>
          </cell>
          <cell r="Q287">
            <v>0</v>
          </cell>
          <cell r="R287">
            <v>0</v>
          </cell>
          <cell r="S287">
            <v>2370</v>
          </cell>
          <cell r="T287">
            <v>0</v>
          </cell>
          <cell r="U287">
            <v>0</v>
          </cell>
          <cell r="V287">
            <v>0</v>
          </cell>
          <cell r="W287">
            <v>0</v>
          </cell>
          <cell r="X287">
            <v>0</v>
          </cell>
          <cell r="Y287">
            <v>0</v>
          </cell>
          <cell r="Z287">
            <v>0</v>
          </cell>
          <cell r="AA287">
            <v>0</v>
          </cell>
          <cell r="AB287">
            <v>0</v>
          </cell>
          <cell r="AC287">
            <v>0</v>
          </cell>
          <cell r="AD287">
            <v>0</v>
          </cell>
          <cell r="AE287">
            <v>0</v>
          </cell>
          <cell r="AF287">
            <v>900.66666666666663</v>
          </cell>
          <cell r="AG287">
            <v>500</v>
          </cell>
          <cell r="AH287">
            <v>400.66666666666663</v>
          </cell>
          <cell r="AI287">
            <v>4025.8545454545456</v>
          </cell>
          <cell r="AK287">
            <v>3336.333333333333</v>
          </cell>
        </row>
        <row r="288">
          <cell r="F288">
            <v>0</v>
          </cell>
          <cell r="P288">
            <v>0</v>
          </cell>
          <cell r="S288">
            <v>250</v>
          </cell>
          <cell r="X288">
            <v>0</v>
          </cell>
          <cell r="AC288">
            <v>0</v>
          </cell>
          <cell r="AF288">
            <v>0</v>
          </cell>
          <cell r="AG288">
            <v>0</v>
          </cell>
          <cell r="AH288">
            <v>0</v>
          </cell>
          <cell r="AI288">
            <v>0</v>
          </cell>
          <cell r="AK288">
            <v>364</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I289">
            <v>0</v>
          </cell>
          <cell r="AK289">
            <v>250</v>
          </cell>
        </row>
        <row r="290">
          <cell r="F290">
            <v>97707.728571428568</v>
          </cell>
          <cell r="P290">
            <v>2013.9999999999998</v>
          </cell>
          <cell r="Q290">
            <v>0</v>
          </cell>
          <cell r="R290">
            <v>0</v>
          </cell>
          <cell r="S290">
            <v>4030.5393939393953</v>
          </cell>
          <cell r="T290">
            <v>-568.47210303030295</v>
          </cell>
          <cell r="U290">
            <v>-577.28729090909087</v>
          </cell>
          <cell r="V290">
            <v>0</v>
          </cell>
          <cell r="W290">
            <v>0</v>
          </cell>
          <cell r="X290">
            <v>1804.4396969696979</v>
          </cell>
          <cell r="Y290">
            <v>-330</v>
          </cell>
          <cell r="Z290">
            <v>-462.58636363636367</v>
          </cell>
          <cell r="AA290">
            <v>0</v>
          </cell>
          <cell r="AB290">
            <v>-9</v>
          </cell>
          <cell r="AC290">
            <v>883.61818181818239</v>
          </cell>
          <cell r="AD290">
            <v>-164</v>
          </cell>
          <cell r="AE290">
            <v>-194.01151515151517</v>
          </cell>
          <cell r="AF290">
            <v>964.25757575757552</v>
          </cell>
          <cell r="AG290">
            <v>910.09090909090901</v>
          </cell>
          <cell r="AH290">
            <v>54.033333333333303</v>
          </cell>
          <cell r="AI290">
            <v>5343.4693333333335</v>
          </cell>
          <cell r="AK290">
            <v>107892.58341991341</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I291">
            <v>256.43600000000032</v>
          </cell>
          <cell r="AK291">
            <v>0</v>
          </cell>
        </row>
        <row r="292">
          <cell r="F292">
            <v>3816</v>
          </cell>
          <cell r="P292">
            <v>2097</v>
          </cell>
          <cell r="Q292">
            <v>0</v>
          </cell>
          <cell r="R292">
            <v>0</v>
          </cell>
          <cell r="S292">
            <v>4030.5393939393934</v>
          </cell>
          <cell r="T292">
            <v>0</v>
          </cell>
          <cell r="U292">
            <v>0</v>
          </cell>
          <cell r="V292">
            <v>0</v>
          </cell>
          <cell r="W292">
            <v>0</v>
          </cell>
          <cell r="X292">
            <v>1804.439696969697</v>
          </cell>
          <cell r="Y292">
            <v>0</v>
          </cell>
          <cell r="Z292">
            <v>0</v>
          </cell>
          <cell r="AA292">
            <v>0</v>
          </cell>
          <cell r="AB292">
            <v>0</v>
          </cell>
          <cell r="AC292">
            <v>882.9515151515152</v>
          </cell>
          <cell r="AD292">
            <v>0</v>
          </cell>
          <cell r="AE292">
            <v>0</v>
          </cell>
          <cell r="AF292">
            <v>964.25757575757575</v>
          </cell>
          <cell r="AG292">
            <v>917.09090909090912</v>
          </cell>
          <cell r="AH292">
            <v>53.833333333333357</v>
          </cell>
          <cell r="AI292">
            <v>595.26666666666665</v>
          </cell>
          <cell r="AK292">
            <v>14068.188181818183</v>
          </cell>
        </row>
        <row r="293">
          <cell r="F293">
            <v>427</v>
          </cell>
          <cell r="P293">
            <v>1366</v>
          </cell>
          <cell r="Q293">
            <v>0</v>
          </cell>
          <cell r="R293">
            <v>0</v>
          </cell>
          <cell r="S293">
            <v>2686</v>
          </cell>
          <cell r="T293">
            <v>0</v>
          </cell>
          <cell r="U293">
            <v>0</v>
          </cell>
          <cell r="V293">
            <v>0</v>
          </cell>
          <cell r="W293">
            <v>0</v>
          </cell>
          <cell r="X293">
            <v>406</v>
          </cell>
          <cell r="Y293">
            <v>0</v>
          </cell>
          <cell r="Z293">
            <v>0</v>
          </cell>
          <cell r="AA293">
            <v>0</v>
          </cell>
          <cell r="AB293">
            <v>0</v>
          </cell>
          <cell r="AC293">
            <v>315</v>
          </cell>
          <cell r="AD293">
            <v>0</v>
          </cell>
          <cell r="AE293">
            <v>0</v>
          </cell>
          <cell r="AF293">
            <v>454</v>
          </cell>
          <cell r="AG293">
            <v>461</v>
          </cell>
          <cell r="AH293">
            <v>0</v>
          </cell>
          <cell r="AI293">
            <v>4491.7666666666664</v>
          </cell>
          <cell r="AK293">
            <v>5677</v>
          </cell>
        </row>
        <row r="294">
          <cell r="F294">
            <v>320</v>
          </cell>
          <cell r="P294">
            <v>551</v>
          </cell>
          <cell r="Q294">
            <v>0</v>
          </cell>
          <cell r="R294">
            <v>0</v>
          </cell>
          <cell r="S294">
            <v>833.07272727272743</v>
          </cell>
          <cell r="T294">
            <v>0</v>
          </cell>
          <cell r="U294">
            <v>0</v>
          </cell>
          <cell r="V294">
            <v>0</v>
          </cell>
          <cell r="W294">
            <v>0</v>
          </cell>
          <cell r="X294">
            <v>430.43636363636369</v>
          </cell>
          <cell r="Y294">
            <v>0</v>
          </cell>
          <cell r="Z294">
            <v>0</v>
          </cell>
          <cell r="AA294">
            <v>0</v>
          </cell>
          <cell r="AB294">
            <v>0</v>
          </cell>
          <cell r="AC294">
            <v>219.01818181818186</v>
          </cell>
          <cell r="AD294">
            <v>0</v>
          </cell>
          <cell r="AE294">
            <v>0</v>
          </cell>
          <cell r="AF294">
            <v>80.890909090909105</v>
          </cell>
          <cell r="AG294">
            <v>81.090909090909093</v>
          </cell>
          <cell r="AH294">
            <v>-0.19999999999998863</v>
          </cell>
          <cell r="AI294">
            <v>0</v>
          </cell>
          <cell r="AK294">
            <v>2434.4181818181823</v>
          </cell>
        </row>
        <row r="295">
          <cell r="F295">
            <v>0</v>
          </cell>
          <cell r="P295">
            <v>0</v>
          </cell>
          <cell r="S295">
            <v>0</v>
          </cell>
          <cell r="X295">
            <v>0</v>
          </cell>
          <cell r="AC295">
            <v>0</v>
          </cell>
          <cell r="AF295">
            <v>0</v>
          </cell>
          <cell r="AG295">
            <v>0</v>
          </cell>
          <cell r="AH295">
            <v>0</v>
          </cell>
          <cell r="AI295">
            <v>12</v>
          </cell>
          <cell r="AK295">
            <v>0</v>
          </cell>
        </row>
        <row r="296">
          <cell r="F296">
            <v>0</v>
          </cell>
          <cell r="P296">
            <v>0</v>
          </cell>
          <cell r="Q296">
            <v>0</v>
          </cell>
          <cell r="R296">
            <v>0</v>
          </cell>
          <cell r="S296">
            <v>0</v>
          </cell>
          <cell r="T296">
            <v>0</v>
          </cell>
          <cell r="U296">
            <v>0</v>
          </cell>
          <cell r="V296">
            <v>0</v>
          </cell>
          <cell r="W296">
            <v>0</v>
          </cell>
          <cell r="X296">
            <v>0</v>
          </cell>
          <cell r="Y296">
            <v>0</v>
          </cell>
          <cell r="Z296">
            <v>0</v>
          </cell>
          <cell r="AA296">
            <v>0</v>
          </cell>
          <cell r="AB296">
            <v>0</v>
          </cell>
          <cell r="AC296">
            <v>0</v>
          </cell>
          <cell r="AD296">
            <v>0</v>
          </cell>
          <cell r="AE296">
            <v>0</v>
          </cell>
          <cell r="AF296">
            <v>0</v>
          </cell>
          <cell r="AG296">
            <v>0</v>
          </cell>
          <cell r="AH296">
            <v>0</v>
          </cell>
          <cell r="AI296" t="e">
            <v>#REF!</v>
          </cell>
          <cell r="AK296">
            <v>0</v>
          </cell>
        </row>
        <row r="297">
          <cell r="F297">
            <v>3069</v>
          </cell>
          <cell r="P297">
            <v>231.00000000000003</v>
          </cell>
          <cell r="Q297">
            <v>0</v>
          </cell>
          <cell r="R297">
            <v>0</v>
          </cell>
          <cell r="S297">
            <v>601.46666666666658</v>
          </cell>
          <cell r="T297">
            <v>0</v>
          </cell>
          <cell r="U297">
            <v>0</v>
          </cell>
          <cell r="V297">
            <v>0</v>
          </cell>
          <cell r="W297">
            <v>0</v>
          </cell>
          <cell r="X297">
            <v>968.00333333333333</v>
          </cell>
          <cell r="Y297">
            <v>0</v>
          </cell>
          <cell r="Z297">
            <v>0</v>
          </cell>
          <cell r="AA297">
            <v>0</v>
          </cell>
          <cell r="AB297">
            <v>0</v>
          </cell>
          <cell r="AC297">
            <v>348.93333333333334</v>
          </cell>
          <cell r="AD297">
            <v>0</v>
          </cell>
          <cell r="AE297">
            <v>0</v>
          </cell>
          <cell r="AF297">
            <v>430.36666666666667</v>
          </cell>
          <cell r="AG297">
            <v>373</v>
          </cell>
          <cell r="AH297">
            <v>57.033333333333346</v>
          </cell>
          <cell r="AI297">
            <v>0</v>
          </cell>
          <cell r="AK297">
            <v>6098.7699999999995</v>
          </cell>
        </row>
        <row r="298">
          <cell r="F298">
            <v>10</v>
          </cell>
          <cell r="P298">
            <v>33</v>
          </cell>
          <cell r="S298">
            <v>76</v>
          </cell>
          <cell r="X298">
            <v>264.66666666666663</v>
          </cell>
          <cell r="AC298">
            <v>27.666666666666686</v>
          </cell>
          <cell r="AF298">
            <v>0</v>
          </cell>
          <cell r="AG298">
            <v>0</v>
          </cell>
          <cell r="AH298">
            <v>0</v>
          </cell>
          <cell r="AK298">
            <v>431.33333333333331</v>
          </cell>
        </row>
        <row r="299">
          <cell r="F299">
            <v>1</v>
          </cell>
          <cell r="G299">
            <v>0</v>
          </cell>
          <cell r="H299">
            <v>0</v>
          </cell>
          <cell r="P299">
            <v>41.333333333333336</v>
          </cell>
          <cell r="Q299">
            <v>0</v>
          </cell>
          <cell r="R299">
            <v>0</v>
          </cell>
          <cell r="S299">
            <v>352.99999999999994</v>
          </cell>
          <cell r="T299">
            <v>-611.67619393939378</v>
          </cell>
          <cell r="U299">
            <v>-622.76501818181805</v>
          </cell>
          <cell r="V299">
            <v>0</v>
          </cell>
          <cell r="W299">
            <v>0</v>
          </cell>
          <cell r="X299">
            <v>561</v>
          </cell>
          <cell r="Y299">
            <v>-790</v>
          </cell>
          <cell r="Z299">
            <v>-326.08636363636373</v>
          </cell>
          <cell r="AA299">
            <v>0</v>
          </cell>
          <cell r="AB299">
            <v>0</v>
          </cell>
          <cell r="AC299">
            <v>264.33333333333331</v>
          </cell>
          <cell r="AF299">
            <v>179.03333333333333</v>
          </cell>
          <cell r="AG299">
            <v>135</v>
          </cell>
          <cell r="AH299">
            <v>44.033333333333346</v>
          </cell>
          <cell r="AI299" t="e">
            <v>#REF!</v>
          </cell>
          <cell r="AK299">
            <v>1399.6999999999998</v>
          </cell>
        </row>
        <row r="300">
          <cell r="F300">
            <v>3058</v>
          </cell>
          <cell r="P300">
            <v>156.66666666666669</v>
          </cell>
          <cell r="S300">
            <v>172.46666666666664</v>
          </cell>
          <cell r="X300">
            <v>142.33666666666667</v>
          </cell>
          <cell r="AC300">
            <v>56.933333333333337</v>
          </cell>
          <cell r="AF300">
            <v>251.33333333333331</v>
          </cell>
          <cell r="AG300">
            <v>238</v>
          </cell>
          <cell r="AH300">
            <v>13</v>
          </cell>
          <cell r="AI300">
            <v>0</v>
          </cell>
          <cell r="AK300">
            <v>4267.7366666666667</v>
          </cell>
        </row>
        <row r="301">
          <cell r="F301">
            <v>0</v>
          </cell>
          <cell r="P301">
            <v>0</v>
          </cell>
          <cell r="Q301">
            <v>0</v>
          </cell>
          <cell r="R301">
            <v>0</v>
          </cell>
          <cell r="S301">
            <v>0</v>
          </cell>
          <cell r="T301">
            <v>0</v>
          </cell>
          <cell r="U301">
            <v>0</v>
          </cell>
          <cell r="V301">
            <v>0</v>
          </cell>
          <cell r="W301">
            <v>0</v>
          </cell>
          <cell r="X301">
            <v>0</v>
          </cell>
          <cell r="Y301">
            <v>0</v>
          </cell>
          <cell r="Z301">
            <v>0</v>
          </cell>
          <cell r="AA301">
            <v>0</v>
          </cell>
          <cell r="AB301">
            <v>0</v>
          </cell>
          <cell r="AC301">
            <v>0</v>
          </cell>
          <cell r="AD301">
            <v>0</v>
          </cell>
          <cell r="AE301">
            <v>0</v>
          </cell>
          <cell r="AF301">
            <v>0</v>
          </cell>
          <cell r="AG301">
            <v>0</v>
          </cell>
          <cell r="AH301">
            <v>0</v>
          </cell>
          <cell r="AI301">
            <v>0</v>
          </cell>
          <cell r="AK301">
            <v>0</v>
          </cell>
        </row>
        <row r="302">
          <cell r="F302">
            <v>0</v>
          </cell>
          <cell r="P302">
            <v>-51</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2</v>
          </cell>
          <cell r="AH302">
            <v>-3</v>
          </cell>
          <cell r="AI302">
            <v>0</v>
          </cell>
          <cell r="AK302">
            <v>-142</v>
          </cell>
        </row>
        <row r="303">
          <cell r="F303">
            <v>97707.728571428568</v>
          </cell>
          <cell r="P303">
            <v>2013.9999999999998</v>
          </cell>
          <cell r="Q303">
            <v>0</v>
          </cell>
          <cell r="R303">
            <v>0</v>
          </cell>
          <cell r="S303">
            <v>4030.5393939393953</v>
          </cell>
          <cell r="T303">
            <v>-568.47210303030295</v>
          </cell>
          <cell r="U303">
            <v>-577.28729090909087</v>
          </cell>
          <cell r="V303">
            <v>0</v>
          </cell>
          <cell r="W303">
            <v>0</v>
          </cell>
          <cell r="X303">
            <v>1804.4396969696979</v>
          </cell>
          <cell r="Y303">
            <v>-330</v>
          </cell>
          <cell r="Z303">
            <v>-462.58636363636367</v>
          </cell>
          <cell r="AA303">
            <v>0</v>
          </cell>
          <cell r="AB303">
            <v>-9</v>
          </cell>
          <cell r="AC303">
            <v>883.61818181818239</v>
          </cell>
          <cell r="AD303">
            <v>-164</v>
          </cell>
          <cell r="AE303">
            <v>-194.01151515151517</v>
          </cell>
          <cell r="AF303">
            <v>964.25757575757552</v>
          </cell>
          <cell r="AG303">
            <v>910.09090909090901</v>
          </cell>
          <cell r="AH303">
            <v>54.033333333333303</v>
          </cell>
          <cell r="AI303">
            <v>0</v>
          </cell>
          <cell r="AK303">
            <v>107892.58341991341</v>
          </cell>
        </row>
        <row r="304">
          <cell r="F304" t="e">
            <v>#REF!</v>
          </cell>
          <cell r="P304">
            <v>1766.6359999999997</v>
          </cell>
          <cell r="Q304">
            <v>0</v>
          </cell>
          <cell r="R304">
            <v>0</v>
          </cell>
          <cell r="S304">
            <v>5902.6712121212113</v>
          </cell>
          <cell r="T304">
            <v>-611.67619393939378</v>
          </cell>
          <cell r="U304">
            <v>-622.76501818181805</v>
          </cell>
          <cell r="V304">
            <v>0</v>
          </cell>
          <cell r="W304">
            <v>0</v>
          </cell>
          <cell r="X304">
            <v>1005.0363636363622</v>
          </cell>
          <cell r="Y304">
            <v>-790</v>
          </cell>
          <cell r="Z304">
            <v>-326.08636363636373</v>
          </cell>
          <cell r="AA304">
            <v>0</v>
          </cell>
          <cell r="AB304">
            <v>0</v>
          </cell>
          <cell r="AC304">
            <v>568.1030303030301</v>
          </cell>
          <cell r="AD304">
            <v>-205</v>
          </cell>
          <cell r="AE304">
            <v>-186.72969696969702</v>
          </cell>
          <cell r="AF304">
            <v>1293.1939393939392</v>
          </cell>
          <cell r="AG304">
            <v>924.99999999999966</v>
          </cell>
          <cell r="AH304">
            <v>191</v>
          </cell>
          <cell r="AI304" t="e">
            <v>#REF!</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I305">
            <v>0</v>
          </cell>
          <cell r="AK305">
            <v>83800.038961038968</v>
          </cell>
        </row>
        <row r="306">
          <cell r="F306">
            <v>97707.728571428568</v>
          </cell>
          <cell r="G306">
            <v>0</v>
          </cell>
          <cell r="H306">
            <v>0</v>
          </cell>
          <cell r="P306">
            <v>2013.9999999999998</v>
          </cell>
          <cell r="Q306">
            <v>0</v>
          </cell>
          <cell r="R306">
            <v>0</v>
          </cell>
          <cell r="S306">
            <v>4030.5393939393953</v>
          </cell>
          <cell r="T306">
            <v>-568.47210303030295</v>
          </cell>
          <cell r="U306">
            <v>-577.28729090909087</v>
          </cell>
          <cell r="V306">
            <v>0</v>
          </cell>
          <cell r="W306">
            <v>0</v>
          </cell>
          <cell r="X306">
            <v>1804.4396969696979</v>
          </cell>
          <cell r="Y306">
            <v>-330</v>
          </cell>
          <cell r="Z306">
            <v>-462.58636363636367</v>
          </cell>
          <cell r="AA306">
            <v>0</v>
          </cell>
          <cell r="AB306">
            <v>-9</v>
          </cell>
          <cell r="AC306">
            <v>883.61818181818239</v>
          </cell>
          <cell r="AF306">
            <v>964.25757575757552</v>
          </cell>
          <cell r="AG306">
            <v>719.22424242424222</v>
          </cell>
          <cell r="AH306">
            <v>245.0333333333333</v>
          </cell>
          <cell r="AI306">
            <v>0</v>
          </cell>
          <cell r="AK306">
            <v>107892.58341991341</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I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I308">
            <v>3609</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I310">
            <v>0</v>
          </cell>
          <cell r="AK310">
            <v>0</v>
          </cell>
        </row>
        <row r="311">
          <cell r="F311">
            <v>97707.728571428568</v>
          </cell>
          <cell r="P311">
            <v>2013.9999999999998</v>
          </cell>
          <cell r="Q311">
            <v>0</v>
          </cell>
          <cell r="R311">
            <v>0</v>
          </cell>
          <cell r="S311">
            <v>4030.5393939393953</v>
          </cell>
          <cell r="T311">
            <v>-568.47210303030295</v>
          </cell>
          <cell r="U311">
            <v>-577.28729090909087</v>
          </cell>
          <cell r="V311">
            <v>0</v>
          </cell>
          <cell r="W311">
            <v>0</v>
          </cell>
          <cell r="X311">
            <v>1804.4396969696979</v>
          </cell>
          <cell r="Y311">
            <v>-330</v>
          </cell>
          <cell r="Z311">
            <v>-462.58636363636367</v>
          </cell>
          <cell r="AA311">
            <v>0</v>
          </cell>
          <cell r="AB311">
            <v>-9</v>
          </cell>
          <cell r="AC311">
            <v>883.61818181818239</v>
          </cell>
          <cell r="AD311">
            <v>-164</v>
          </cell>
          <cell r="AE311">
            <v>-194.01151515151517</v>
          </cell>
          <cell r="AF311">
            <v>964.25757575757552</v>
          </cell>
          <cell r="AG311">
            <v>719.22424242424222</v>
          </cell>
          <cell r="AH311">
            <v>245.0333333333333</v>
          </cell>
          <cell r="AI311">
            <v>0</v>
          </cell>
          <cell r="AK311">
            <v>107892.58341991341</v>
          </cell>
        </row>
        <row r="312">
          <cell r="P312">
            <v>0</v>
          </cell>
          <cell r="AK312">
            <v>0</v>
          </cell>
        </row>
        <row r="313">
          <cell r="P313">
            <v>0</v>
          </cell>
          <cell r="S313">
            <v>0</v>
          </cell>
          <cell r="AI313">
            <v>0</v>
          </cell>
          <cell r="AK313">
            <v>0</v>
          </cell>
        </row>
        <row r="314">
          <cell r="F314">
            <v>3480</v>
          </cell>
          <cell r="S314">
            <v>0</v>
          </cell>
          <cell r="AK314">
            <v>0</v>
          </cell>
        </row>
        <row r="315">
          <cell r="F315">
            <v>4000</v>
          </cell>
          <cell r="P315">
            <v>1766.6359999999997</v>
          </cell>
          <cell r="Q315">
            <v>0</v>
          </cell>
          <cell r="R315">
            <v>0</v>
          </cell>
          <cell r="S315">
            <v>0</v>
          </cell>
          <cell r="T315">
            <v>-611.67619393939378</v>
          </cell>
          <cell r="U315">
            <v>-622.76501818181805</v>
          </cell>
          <cell r="V315">
            <v>0</v>
          </cell>
          <cell r="W315">
            <v>0</v>
          </cell>
          <cell r="X315">
            <v>1005.0363636363622</v>
          </cell>
          <cell r="Y315">
            <v>-790</v>
          </cell>
          <cell r="Z315">
            <v>-326.08636363636373</v>
          </cell>
          <cell r="AA315">
            <v>0</v>
          </cell>
          <cell r="AB315">
            <v>0</v>
          </cell>
          <cell r="AC315">
            <v>568.1030303030301</v>
          </cell>
          <cell r="AD315">
            <v>-205</v>
          </cell>
          <cell r="AE315">
            <v>-186.72969696969702</v>
          </cell>
          <cell r="AF315">
            <v>1293.1939393939392</v>
          </cell>
          <cell r="AG315">
            <v>924.99999999999966</v>
          </cell>
          <cell r="AH315">
            <v>368.19393939393956</v>
          </cell>
          <cell r="AI315" t="e">
            <v>#REF!</v>
          </cell>
          <cell r="AK315">
            <v>4000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97707.728571428568</v>
          </cell>
          <cell r="P322">
            <v>2013.9999999999998</v>
          </cell>
          <cell r="Q322">
            <v>0</v>
          </cell>
          <cell r="R322">
            <v>0</v>
          </cell>
          <cell r="S322">
            <v>4030.5393939393953</v>
          </cell>
          <cell r="T322">
            <v>-568.47210303030295</v>
          </cell>
          <cell r="U322">
            <v>-577.28729090909087</v>
          </cell>
          <cell r="V322">
            <v>0</v>
          </cell>
          <cell r="W322">
            <v>0</v>
          </cell>
          <cell r="X322">
            <v>1804.4396969696979</v>
          </cell>
          <cell r="Y322">
            <v>-330</v>
          </cell>
          <cell r="Z322">
            <v>-462.58636363636367</v>
          </cell>
          <cell r="AA322">
            <v>0</v>
          </cell>
          <cell r="AB322">
            <v>-9</v>
          </cell>
          <cell r="AC322">
            <v>883.61818181818239</v>
          </cell>
          <cell r="AD322">
            <v>-164</v>
          </cell>
          <cell r="AE322">
            <v>-194.01151515151517</v>
          </cell>
          <cell r="AF322">
            <v>964.25757575757552</v>
          </cell>
          <cell r="AG322">
            <v>719.22424242424222</v>
          </cell>
          <cell r="AH322">
            <v>245.0333333333333</v>
          </cell>
          <cell r="AK322">
            <v>107892.58341991341</v>
          </cell>
        </row>
        <row r="324">
          <cell r="AI324">
            <v>6683.5069999999996</v>
          </cell>
          <cell r="AK324" t="e">
            <v>#REF!</v>
          </cell>
        </row>
        <row r="325">
          <cell r="F325">
            <v>148</v>
          </cell>
          <cell r="P325">
            <v>293</v>
          </cell>
          <cell r="S325">
            <v>518</v>
          </cell>
          <cell r="X325">
            <v>175</v>
          </cell>
          <cell r="AC325">
            <v>146</v>
          </cell>
          <cell r="AF325">
            <v>472</v>
          </cell>
          <cell r="AG325">
            <v>390</v>
          </cell>
          <cell r="AH325">
            <v>82</v>
          </cell>
          <cell r="AI325">
            <v>1868</v>
          </cell>
          <cell r="AK325" t="e">
            <v>#REF!</v>
          </cell>
        </row>
        <row r="326">
          <cell r="AI326" t="e">
            <v>#REF!</v>
          </cell>
          <cell r="AK326" t="e">
            <v>#REF!</v>
          </cell>
        </row>
        <row r="327">
          <cell r="AI327">
            <v>721.80000000000007</v>
          </cell>
          <cell r="AK327" t="e">
            <v>#REF!</v>
          </cell>
        </row>
        <row r="328">
          <cell r="AI328">
            <v>12</v>
          </cell>
          <cell r="AK328" t="e">
            <v>#REF!</v>
          </cell>
        </row>
        <row r="329">
          <cell r="AI329" t="e">
            <v>#REF!</v>
          </cell>
          <cell r="AK329" t="e">
            <v>#REF!</v>
          </cell>
        </row>
        <row r="330">
          <cell r="AI330">
            <v>3500</v>
          </cell>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I331">
            <v>0</v>
          </cell>
          <cell r="AJ331">
            <v>2455</v>
          </cell>
          <cell r="AK331">
            <v>6394.8399999999992</v>
          </cell>
          <cell r="AM331">
            <v>4634.88</v>
          </cell>
        </row>
        <row r="332">
          <cell r="F332">
            <v>160</v>
          </cell>
          <cell r="P332">
            <v>319</v>
          </cell>
          <cell r="S332">
            <v>425</v>
          </cell>
          <cell r="X332">
            <v>175</v>
          </cell>
          <cell r="AC332">
            <v>147</v>
          </cell>
          <cell r="AF332">
            <v>480</v>
          </cell>
          <cell r="AG332">
            <v>418</v>
          </cell>
          <cell r="AH332">
            <v>62</v>
          </cell>
          <cell r="AI332">
            <v>538</v>
          </cell>
          <cell r="AJ332">
            <v>36</v>
          </cell>
          <cell r="AK332">
            <v>1806</v>
          </cell>
          <cell r="AM332">
            <v>1326</v>
          </cell>
        </row>
        <row r="333">
          <cell r="AI333" t="e">
            <v>#REF!</v>
          </cell>
          <cell r="AJ333">
            <v>36</v>
          </cell>
          <cell r="AK333">
            <v>6694.7285714285717</v>
          </cell>
          <cell r="AM333">
            <v>6694.7285714285717</v>
          </cell>
        </row>
        <row r="334">
          <cell r="AI334">
            <v>0</v>
          </cell>
          <cell r="AJ334">
            <v>36</v>
          </cell>
          <cell r="AK334">
            <v>413.3</v>
          </cell>
          <cell r="AM334">
            <v>413.3</v>
          </cell>
        </row>
        <row r="335">
          <cell r="AI335">
            <v>5357.15</v>
          </cell>
          <cell r="AJ335">
            <v>36</v>
          </cell>
          <cell r="AK335">
            <v>-142</v>
          </cell>
          <cell r="AM335">
            <v>-141</v>
          </cell>
        </row>
        <row r="336">
          <cell r="AI336">
            <v>4025.8545454545456</v>
          </cell>
          <cell r="AK336">
            <v>1581.4285714285716</v>
          </cell>
          <cell r="AM336">
            <v>1581.4285714285716</v>
          </cell>
        </row>
        <row r="337">
          <cell r="AI337">
            <v>0</v>
          </cell>
          <cell r="AK337">
            <v>3500</v>
          </cell>
          <cell r="AM337">
            <v>3500</v>
          </cell>
        </row>
        <row r="338">
          <cell r="AI338">
            <v>0</v>
          </cell>
          <cell r="AK338">
            <v>0</v>
          </cell>
          <cell r="AM338">
            <v>821</v>
          </cell>
        </row>
        <row r="339">
          <cell r="AI339">
            <v>0</v>
          </cell>
          <cell r="AK339">
            <v>1200</v>
          </cell>
          <cell r="AM339">
            <v>1200</v>
          </cell>
        </row>
        <row r="340">
          <cell r="AI340">
            <v>4672</v>
          </cell>
          <cell r="AK340">
            <v>4100</v>
          </cell>
          <cell r="AM340">
            <v>0</v>
          </cell>
        </row>
        <row r="341">
          <cell r="AI341">
            <v>1640</v>
          </cell>
          <cell r="AK341">
            <v>0</v>
          </cell>
          <cell r="AM341">
            <v>0</v>
          </cell>
        </row>
        <row r="342">
          <cell r="AI342">
            <v>952</v>
          </cell>
          <cell r="AK342">
            <v>5677</v>
          </cell>
          <cell r="AM342">
            <v>5223</v>
          </cell>
        </row>
        <row r="343">
          <cell r="AI343">
            <v>1370</v>
          </cell>
          <cell r="AK343">
            <v>2434.4181818181823</v>
          </cell>
          <cell r="AM343">
            <v>2353.5272727272732</v>
          </cell>
        </row>
        <row r="344">
          <cell r="AI344">
            <v>710</v>
          </cell>
          <cell r="AK344">
            <v>0</v>
          </cell>
          <cell r="AM344">
            <v>0</v>
          </cell>
        </row>
        <row r="345">
          <cell r="AI345">
            <v>0</v>
          </cell>
          <cell r="AK345">
            <v>0</v>
          </cell>
          <cell r="AM345">
            <v>0</v>
          </cell>
        </row>
        <row r="346">
          <cell r="AI346">
            <v>4</v>
          </cell>
          <cell r="AK346">
            <v>0</v>
          </cell>
          <cell r="AM346">
            <v>0</v>
          </cell>
        </row>
        <row r="347">
          <cell r="AI347">
            <v>814.4</v>
          </cell>
          <cell r="AK347">
            <v>4810</v>
          </cell>
          <cell r="AM347">
            <v>4213</v>
          </cell>
        </row>
        <row r="348">
          <cell r="P348">
            <v>225</v>
          </cell>
          <cell r="S348">
            <v>296</v>
          </cell>
          <cell r="X348">
            <v>56</v>
          </cell>
          <cell r="AC348">
            <v>-4.9636363636363825</v>
          </cell>
          <cell r="AF348">
            <v>800.72727272727275</v>
          </cell>
          <cell r="AG348">
            <v>801</v>
          </cell>
          <cell r="AH348">
            <v>-0.27272727272728048</v>
          </cell>
          <cell r="AI348">
            <v>1372.7636363636364</v>
          </cell>
          <cell r="AK348">
            <v>1902</v>
          </cell>
          <cell r="AM348">
            <v>1394</v>
          </cell>
        </row>
        <row r="349">
          <cell r="AI349">
            <v>0</v>
          </cell>
          <cell r="AK349">
            <v>1056</v>
          </cell>
          <cell r="AM349">
            <v>1041</v>
          </cell>
        </row>
        <row r="350">
          <cell r="F350">
            <v>33</v>
          </cell>
          <cell r="P350">
            <v>0</v>
          </cell>
          <cell r="S350">
            <v>0</v>
          </cell>
          <cell r="X350">
            <v>0</v>
          </cell>
          <cell r="AC350">
            <v>0</v>
          </cell>
          <cell r="AF350">
            <v>0</v>
          </cell>
          <cell r="AG350">
            <v>0</v>
          </cell>
          <cell r="AH350">
            <v>0</v>
          </cell>
          <cell r="AI350">
            <v>389</v>
          </cell>
          <cell r="AK350">
            <v>1110</v>
          </cell>
        </row>
        <row r="351">
          <cell r="AI351">
            <v>295</v>
          </cell>
          <cell r="AK351">
            <v>742</v>
          </cell>
          <cell r="AM351">
            <v>0</v>
          </cell>
        </row>
        <row r="352">
          <cell r="AI352">
            <v>0</v>
          </cell>
          <cell r="AK352">
            <v>0</v>
          </cell>
          <cell r="AM352">
            <v>0</v>
          </cell>
        </row>
        <row r="353">
          <cell r="AI353">
            <v>0</v>
          </cell>
          <cell r="AK353">
            <v>5</v>
          </cell>
          <cell r="AM353">
            <v>5</v>
          </cell>
        </row>
        <row r="354">
          <cell r="P354">
            <v>225</v>
          </cell>
          <cell r="S354">
            <v>296</v>
          </cell>
          <cell r="X354">
            <v>56</v>
          </cell>
          <cell r="AC354">
            <v>-538.90909090909088</v>
          </cell>
          <cell r="AF354">
            <v>245.09090909090912</v>
          </cell>
          <cell r="AG354">
            <v>-127.90909090909091</v>
          </cell>
          <cell r="AH354">
            <v>373</v>
          </cell>
          <cell r="AI354">
            <v>5343.4693333333335</v>
          </cell>
          <cell r="AK354">
            <v>3336.333333333333</v>
          </cell>
          <cell r="AM354">
            <v>2435.6666666666665</v>
          </cell>
        </row>
        <row r="355">
          <cell r="P355">
            <v>225</v>
          </cell>
          <cell r="S355">
            <v>296</v>
          </cell>
          <cell r="X355">
            <v>56</v>
          </cell>
          <cell r="AC355">
            <v>-12.781818181818153</v>
          </cell>
          <cell r="AF355">
            <v>13.290909090909111</v>
          </cell>
          <cell r="AG355">
            <v>13.090909090909093</v>
          </cell>
          <cell r="AH355">
            <v>0.20000000000001705</v>
          </cell>
          <cell r="AI355">
            <v>256.43600000000032</v>
          </cell>
          <cell r="AK355">
            <v>577.5090909090909</v>
          </cell>
        </row>
        <row r="356">
          <cell r="F356">
            <v>0</v>
          </cell>
          <cell r="P356">
            <v>0</v>
          </cell>
          <cell r="S356">
            <v>0</v>
          </cell>
          <cell r="X356">
            <v>0</v>
          </cell>
          <cell r="AC356">
            <v>0</v>
          </cell>
          <cell r="AF356">
            <v>0</v>
          </cell>
          <cell r="AG356">
            <v>0</v>
          </cell>
          <cell r="AH356">
            <v>0</v>
          </cell>
          <cell r="AI356">
            <v>595.26666666666665</v>
          </cell>
          <cell r="AK356">
            <v>0</v>
          </cell>
          <cell r="AM356">
            <v>358</v>
          </cell>
        </row>
        <row r="357">
          <cell r="F357">
            <v>0</v>
          </cell>
          <cell r="P357">
            <v>0</v>
          </cell>
          <cell r="S357">
            <v>0</v>
          </cell>
          <cell r="X357">
            <v>0</v>
          </cell>
          <cell r="AC357">
            <v>0</v>
          </cell>
          <cell r="AF357">
            <v>0</v>
          </cell>
          <cell r="AG357">
            <v>0</v>
          </cell>
          <cell r="AH357">
            <v>0</v>
          </cell>
          <cell r="AI357">
            <v>4491.7666666666664</v>
          </cell>
          <cell r="AK357">
            <v>364</v>
          </cell>
          <cell r="AM357">
            <v>364</v>
          </cell>
        </row>
        <row r="358">
          <cell r="F358">
            <v>0</v>
          </cell>
          <cell r="P358">
            <v>-771</v>
          </cell>
          <cell r="S358">
            <v>-3877</v>
          </cell>
          <cell r="T358">
            <v>162.88</v>
          </cell>
          <cell r="U358">
            <v>855.12</v>
          </cell>
          <cell r="X358">
            <v>280</v>
          </cell>
          <cell r="Y358">
            <v>404</v>
          </cell>
          <cell r="Z358">
            <v>166</v>
          </cell>
          <cell r="AC358">
            <v>556</v>
          </cell>
          <cell r="AD358">
            <v>336</v>
          </cell>
          <cell r="AE358">
            <v>305</v>
          </cell>
          <cell r="AF358">
            <v>521</v>
          </cell>
          <cell r="AG358">
            <v>470</v>
          </cell>
          <cell r="AH358">
            <v>51</v>
          </cell>
          <cell r="AI358">
            <v>-3281</v>
          </cell>
          <cell r="AK358">
            <v>2</v>
          </cell>
          <cell r="AM358">
            <v>2</v>
          </cell>
        </row>
        <row r="359">
          <cell r="AK359">
            <v>0</v>
          </cell>
          <cell r="AM359">
            <v>0</v>
          </cell>
        </row>
        <row r="360">
          <cell r="AJ360">
            <v>-2491</v>
          </cell>
          <cell r="AK360">
            <v>0</v>
          </cell>
          <cell r="AM360">
            <v>0</v>
          </cell>
        </row>
        <row r="361">
          <cell r="AJ361">
            <v>-2491</v>
          </cell>
          <cell r="AK361">
            <v>6098.7699999999995</v>
          </cell>
          <cell r="AM361" t="e">
            <v>#REF!</v>
          </cell>
        </row>
        <row r="362">
          <cell r="AK362">
            <v>431.33333333333331</v>
          </cell>
        </row>
        <row r="363">
          <cell r="AK363">
            <v>1399.6999999999998</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4267.7366666666667</v>
          </cell>
          <cell r="AM364">
            <v>710</v>
          </cell>
        </row>
        <row r="365">
          <cell r="F365">
            <v>0</v>
          </cell>
          <cell r="P365">
            <v>-453</v>
          </cell>
          <cell r="S365">
            <v>-2416</v>
          </cell>
          <cell r="T365">
            <v>160</v>
          </cell>
          <cell r="U365">
            <v>840</v>
          </cell>
          <cell r="X365">
            <v>31</v>
          </cell>
          <cell r="Y365">
            <v>223</v>
          </cell>
          <cell r="Z365">
            <v>314</v>
          </cell>
          <cell r="AC365">
            <v>112</v>
          </cell>
          <cell r="AD365">
            <v>241</v>
          </cell>
          <cell r="AE365">
            <v>286</v>
          </cell>
          <cell r="AF365">
            <v>-54</v>
          </cell>
          <cell r="AG365">
            <v>-54</v>
          </cell>
          <cell r="AH365">
            <v>0</v>
          </cell>
          <cell r="AK365">
            <v>-2779</v>
          </cell>
          <cell r="AM365">
            <v>-2725</v>
          </cell>
        </row>
        <row r="367">
          <cell r="F367" t="e">
            <v>#REF!</v>
          </cell>
        </row>
        <row r="373">
          <cell r="F373">
            <v>0</v>
          </cell>
        </row>
        <row r="374">
          <cell r="F374">
            <v>0</v>
          </cell>
        </row>
        <row r="381">
          <cell r="F381" t="str">
            <v>лютий</v>
          </cell>
          <cell r="P381" t="str">
            <v>лютий</v>
          </cell>
          <cell r="X381" t="str">
            <v>лютий</v>
          </cell>
          <cell r="AC381" t="str">
            <v>лютий</v>
          </cell>
        </row>
        <row r="382">
          <cell r="F382" t="str">
            <v>АППАРАТ</v>
          </cell>
          <cell r="P382" t="str">
            <v>ККМ</v>
          </cell>
          <cell r="X382" t="str">
            <v>ТЕЦ5</v>
          </cell>
          <cell r="AC382" t="str">
            <v>ТЕЦ6</v>
          </cell>
          <cell r="AI382" t="str">
            <v>АК "КЕ"</v>
          </cell>
          <cell r="AJ382" t="str">
            <v>Е/Е</v>
          </cell>
        </row>
        <row r="383">
          <cell r="F383" t="str">
            <v>ПЛАН</v>
          </cell>
          <cell r="P383" t="str">
            <v>ПЛАН</v>
          </cell>
          <cell r="X383" t="str">
            <v>ПЛАН</v>
          </cell>
          <cell r="AC383" t="str">
            <v>ПЛАН</v>
          </cell>
          <cell r="AI383" t="str">
            <v>ПЛАН</v>
          </cell>
          <cell r="AJ383" t="str">
            <v>ПЛАН</v>
          </cell>
        </row>
        <row r="384">
          <cell r="F384">
            <v>164.3</v>
          </cell>
          <cell r="G384">
            <v>96</v>
          </cell>
          <cell r="H384">
            <v>96</v>
          </cell>
          <cell r="P384">
            <v>14.333333333333332</v>
          </cell>
          <cell r="S384">
            <v>14.333333333333332</v>
          </cell>
          <cell r="X384">
            <v>182</v>
          </cell>
          <cell r="Y384">
            <v>129</v>
          </cell>
          <cell r="Z384">
            <v>129</v>
          </cell>
          <cell r="AC384">
            <v>323.66666666666674</v>
          </cell>
          <cell r="AD384">
            <v>170</v>
          </cell>
          <cell r="AE384">
            <v>169</v>
          </cell>
          <cell r="AI384">
            <v>735.30000000000018</v>
          </cell>
          <cell r="AJ384">
            <v>564.33333333333326</v>
          </cell>
          <cell r="AK384">
            <v>421.33333333333331</v>
          </cell>
        </row>
        <row r="385">
          <cell r="F385" t="str">
            <v>лютий</v>
          </cell>
          <cell r="G385">
            <v>17</v>
          </cell>
          <cell r="P385" t="str">
            <v>лютий</v>
          </cell>
          <cell r="X385" t="str">
            <v>лютий</v>
          </cell>
          <cell r="Y385">
            <v>0</v>
          </cell>
          <cell r="AC385" t="str">
            <v>лютий</v>
          </cell>
          <cell r="AD385">
            <v>2</v>
          </cell>
          <cell r="AI385">
            <v>46</v>
          </cell>
          <cell r="AJ385">
            <v>22</v>
          </cell>
        </row>
        <row r="386">
          <cell r="F386" t="str">
            <v>лютий</v>
          </cell>
          <cell r="G386">
            <v>0</v>
          </cell>
          <cell r="P386" t="str">
            <v>лютий</v>
          </cell>
          <cell r="X386" t="str">
            <v>лютий</v>
          </cell>
          <cell r="Y386">
            <v>104</v>
          </cell>
          <cell r="AC386" t="str">
            <v>лютий</v>
          </cell>
          <cell r="AD386">
            <v>147</v>
          </cell>
          <cell r="AI386">
            <v>428</v>
          </cell>
          <cell r="AJ386">
            <v>251.66666666666669</v>
          </cell>
          <cell r="AK386" t="str">
            <v>АК "КЕ"</v>
          </cell>
          <cell r="AL386" t="str">
            <v>Е/Е</v>
          </cell>
        </row>
        <row r="387">
          <cell r="F387" t="str">
            <v>АППАРАТ</v>
          </cell>
          <cell r="G387">
            <v>0</v>
          </cell>
          <cell r="P387" t="str">
            <v>ККМ</v>
          </cell>
          <cell r="X387" t="str">
            <v>ТЕЦ5</v>
          </cell>
          <cell r="Y387">
            <v>0</v>
          </cell>
          <cell r="AC387" t="str">
            <v>ТЕЦ6</v>
          </cell>
          <cell r="AD387">
            <v>13</v>
          </cell>
          <cell r="AI387">
            <v>33.666666666666671</v>
          </cell>
          <cell r="AJ387">
            <v>18</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I388">
            <v>26</v>
          </cell>
          <cell r="AJ388">
            <v>18</v>
          </cell>
          <cell r="AK388" t="str">
            <v>ПЛАН</v>
          </cell>
          <cell r="AL388" t="str">
            <v>ПЛАН</v>
          </cell>
          <cell r="AM388">
            <v>312.33333333333331</v>
          </cell>
        </row>
        <row r="389">
          <cell r="F389">
            <v>164.3</v>
          </cell>
          <cell r="G389">
            <v>50</v>
          </cell>
          <cell r="H389">
            <v>51</v>
          </cell>
          <cell r="P389">
            <v>14.333333333333332</v>
          </cell>
          <cell r="S389">
            <v>14.333333333333332</v>
          </cell>
          <cell r="X389">
            <v>182</v>
          </cell>
          <cell r="Y389">
            <v>76</v>
          </cell>
          <cell r="Z389">
            <v>76</v>
          </cell>
          <cell r="AC389">
            <v>323.66666666666674</v>
          </cell>
          <cell r="AD389">
            <v>148</v>
          </cell>
          <cell r="AE389">
            <v>147</v>
          </cell>
          <cell r="AI389">
            <v>120.63333333333333</v>
          </cell>
          <cell r="AJ389">
            <v>73</v>
          </cell>
          <cell r="AK389">
            <v>735.30000000000018</v>
          </cell>
          <cell r="AL389">
            <v>517.33333333333326</v>
          </cell>
          <cell r="AM389">
            <v>303.33333333333326</v>
          </cell>
        </row>
        <row r="390">
          <cell r="F390">
            <v>29</v>
          </cell>
          <cell r="G390">
            <v>9</v>
          </cell>
          <cell r="P390">
            <v>0</v>
          </cell>
          <cell r="X390">
            <v>0</v>
          </cell>
          <cell r="Y390">
            <v>0</v>
          </cell>
          <cell r="AC390">
            <v>3.6666666666666665</v>
          </cell>
          <cell r="AD390">
            <v>2</v>
          </cell>
          <cell r="AI390">
            <v>8.6666666666666661</v>
          </cell>
          <cell r="AJ390">
            <v>0</v>
          </cell>
          <cell r="AK390">
            <v>46</v>
          </cell>
          <cell r="AL390">
            <v>14</v>
          </cell>
        </row>
        <row r="391">
          <cell r="F391">
            <v>0</v>
          </cell>
          <cell r="G391">
            <v>0</v>
          </cell>
          <cell r="P391">
            <v>0.66666666666666663</v>
          </cell>
          <cell r="X391">
            <v>146.66666666666666</v>
          </cell>
          <cell r="Y391">
            <v>61</v>
          </cell>
          <cell r="AC391">
            <v>280.66666666666669</v>
          </cell>
          <cell r="AD391">
            <v>128</v>
          </cell>
          <cell r="AI391">
            <v>22</v>
          </cell>
          <cell r="AJ391">
            <v>15.333333333333332</v>
          </cell>
          <cell r="AK391">
            <v>428</v>
          </cell>
          <cell r="AL391">
            <v>189.66666666666666</v>
          </cell>
        </row>
        <row r="392">
          <cell r="F392">
            <v>0</v>
          </cell>
          <cell r="G392">
            <v>0</v>
          </cell>
          <cell r="P392">
            <v>2</v>
          </cell>
          <cell r="X392">
            <v>0</v>
          </cell>
          <cell r="Y392">
            <v>0</v>
          </cell>
          <cell r="AC392">
            <v>25</v>
          </cell>
          <cell r="AD392">
            <v>11</v>
          </cell>
          <cell r="AI392">
            <v>5.333333333333333</v>
          </cell>
          <cell r="AJ392">
            <v>3</v>
          </cell>
          <cell r="AK392">
            <v>33.666666666666671</v>
          </cell>
          <cell r="AL392">
            <v>16</v>
          </cell>
        </row>
        <row r="393">
          <cell r="F393">
            <v>0</v>
          </cell>
          <cell r="G393">
            <v>0</v>
          </cell>
          <cell r="P393">
            <v>0</v>
          </cell>
          <cell r="X393">
            <v>25.333333333333332</v>
          </cell>
          <cell r="Y393">
            <v>11</v>
          </cell>
          <cell r="AC393">
            <v>0.66666666666666663</v>
          </cell>
          <cell r="AD393">
            <v>0</v>
          </cell>
          <cell r="AI393">
            <v>4.6666666666666661</v>
          </cell>
          <cell r="AJ393">
            <v>4.333333333333333</v>
          </cell>
          <cell r="AK393">
            <v>26</v>
          </cell>
          <cell r="AL393">
            <v>11</v>
          </cell>
        </row>
        <row r="394">
          <cell r="F394">
            <v>120.63333333333333</v>
          </cell>
          <cell r="G394">
            <v>37</v>
          </cell>
          <cell r="P394">
            <v>0</v>
          </cell>
          <cell r="X394">
            <v>0</v>
          </cell>
          <cell r="Y394">
            <v>0</v>
          </cell>
          <cell r="AC394">
            <v>0</v>
          </cell>
          <cell r="AD394">
            <v>0</v>
          </cell>
          <cell r="AI394">
            <v>26</v>
          </cell>
          <cell r="AJ394">
            <v>16</v>
          </cell>
          <cell r="AK394">
            <v>120.63333333333333</v>
          </cell>
          <cell r="AL394">
            <v>39</v>
          </cell>
        </row>
        <row r="395">
          <cell r="F395">
            <v>8.6666666666666661</v>
          </cell>
          <cell r="G395">
            <v>3</v>
          </cell>
          <cell r="P395">
            <v>0</v>
          </cell>
          <cell r="X395">
            <v>0</v>
          </cell>
          <cell r="Y395">
            <v>0</v>
          </cell>
          <cell r="AC395">
            <v>0</v>
          </cell>
          <cell r="AD395">
            <v>0</v>
          </cell>
          <cell r="AI395">
            <v>0</v>
          </cell>
          <cell r="AK395">
            <v>8.6666666666666661</v>
          </cell>
          <cell r="AL395">
            <v>0</v>
          </cell>
        </row>
        <row r="396">
          <cell r="F396">
            <v>0</v>
          </cell>
          <cell r="G396">
            <v>0</v>
          </cell>
          <cell r="P396">
            <v>5.333333333333333</v>
          </cell>
          <cell r="X396">
            <v>0</v>
          </cell>
          <cell r="Y396">
            <v>0</v>
          </cell>
          <cell r="AC396">
            <v>0</v>
          </cell>
          <cell r="AD396">
            <v>0</v>
          </cell>
          <cell r="AI396">
            <v>587.33333333333337</v>
          </cell>
          <cell r="AJ396">
            <v>414.5</v>
          </cell>
          <cell r="AK396">
            <v>22</v>
          </cell>
          <cell r="AL396">
            <v>15.333333333333332</v>
          </cell>
        </row>
        <row r="397">
          <cell r="F397">
            <v>5.333333333333333</v>
          </cell>
          <cell r="G397">
            <v>2</v>
          </cell>
          <cell r="P397">
            <v>0</v>
          </cell>
          <cell r="X397">
            <v>0</v>
          </cell>
          <cell r="Y397">
            <v>0</v>
          </cell>
          <cell r="AC397">
            <v>0</v>
          </cell>
          <cell r="AD397">
            <v>0</v>
          </cell>
          <cell r="AI397">
            <v>0</v>
          </cell>
          <cell r="AJ397">
            <v>0</v>
          </cell>
          <cell r="AK397">
            <v>5.333333333333333</v>
          </cell>
          <cell r="AL397">
            <v>2</v>
          </cell>
        </row>
        <row r="398">
          <cell r="F398">
            <v>0.33333333333333331</v>
          </cell>
          <cell r="G398">
            <v>0</v>
          </cell>
          <cell r="P398">
            <v>4.333333333333333</v>
          </cell>
          <cell r="X398">
            <v>0</v>
          </cell>
          <cell r="Y398">
            <v>0</v>
          </cell>
          <cell r="AC398">
            <v>0</v>
          </cell>
          <cell r="AD398">
            <v>0</v>
          </cell>
          <cell r="AI398">
            <v>491.66666666666669</v>
          </cell>
          <cell r="AJ398">
            <v>347</v>
          </cell>
          <cell r="AK398">
            <v>4.6666666666666661</v>
          </cell>
          <cell r="AL398">
            <v>4.333333333333333</v>
          </cell>
        </row>
        <row r="399">
          <cell r="F399">
            <v>0.33333333333333331</v>
          </cell>
          <cell r="G399">
            <v>0</v>
          </cell>
          <cell r="P399">
            <v>2</v>
          </cell>
          <cell r="X399">
            <v>10</v>
          </cell>
          <cell r="Y399">
            <v>4</v>
          </cell>
          <cell r="AC399">
            <v>13.666666666666666</v>
          </cell>
          <cell r="AD399">
            <v>6</v>
          </cell>
          <cell r="AI399">
            <v>0</v>
          </cell>
          <cell r="AJ399">
            <v>0</v>
          </cell>
          <cell r="AK399">
            <v>26</v>
          </cell>
          <cell r="AL399">
            <v>12</v>
          </cell>
        </row>
        <row r="400">
          <cell r="F400">
            <v>0</v>
          </cell>
          <cell r="G400">
            <v>0</v>
          </cell>
          <cell r="P400">
            <v>0</v>
          </cell>
          <cell r="X400">
            <v>0</v>
          </cell>
          <cell r="Y400">
            <v>0</v>
          </cell>
          <cell r="AC400">
            <v>0</v>
          </cell>
          <cell r="AD400">
            <v>0</v>
          </cell>
          <cell r="AI400">
            <v>91</v>
          </cell>
          <cell r="AJ400">
            <v>68.833333333333343</v>
          </cell>
          <cell r="AK400">
            <v>0</v>
          </cell>
          <cell r="AL400">
            <v>316.5</v>
          </cell>
          <cell r="AM400">
            <v>316.83333333333331</v>
          </cell>
        </row>
        <row r="401">
          <cell r="F401">
            <v>1.1666666666666667</v>
          </cell>
          <cell r="G401">
            <v>0</v>
          </cell>
          <cell r="P401">
            <v>20.5</v>
          </cell>
          <cell r="X401">
            <v>522.33333333333337</v>
          </cell>
          <cell r="Y401">
            <v>217</v>
          </cell>
          <cell r="AC401">
            <v>43</v>
          </cell>
          <cell r="AD401">
            <v>20</v>
          </cell>
          <cell r="AI401">
            <v>4.666666666666667</v>
          </cell>
          <cell r="AJ401">
            <v>0</v>
          </cell>
          <cell r="AK401">
            <v>587.33333333333337</v>
          </cell>
          <cell r="AL401">
            <v>257.5</v>
          </cell>
          <cell r="AM401">
            <v>257.83333333333331</v>
          </cell>
        </row>
        <row r="402">
          <cell r="F402">
            <v>0</v>
          </cell>
          <cell r="G402">
            <v>0</v>
          </cell>
          <cell r="P402">
            <v>0</v>
          </cell>
          <cell r="X402">
            <v>0</v>
          </cell>
          <cell r="Y402">
            <v>0</v>
          </cell>
          <cell r="AC402">
            <v>0</v>
          </cell>
          <cell r="AD402">
            <v>0</v>
          </cell>
          <cell r="AI402">
            <v>0</v>
          </cell>
          <cell r="AK402">
            <v>0</v>
          </cell>
          <cell r="AL402">
            <v>0</v>
          </cell>
        </row>
        <row r="403">
          <cell r="F403">
            <v>0</v>
          </cell>
          <cell r="G403">
            <v>0</v>
          </cell>
          <cell r="P403">
            <v>0</v>
          </cell>
          <cell r="X403">
            <v>480.66666666666669</v>
          </cell>
          <cell r="Y403">
            <v>200</v>
          </cell>
          <cell r="AC403">
            <v>11</v>
          </cell>
          <cell r="AD403">
            <v>5</v>
          </cell>
          <cell r="AI403">
            <v>49</v>
          </cell>
          <cell r="AJ403">
            <v>45</v>
          </cell>
          <cell r="AK403">
            <v>491.66666666666669</v>
          </cell>
          <cell r="AL403">
            <v>205</v>
          </cell>
        </row>
        <row r="404">
          <cell r="F404">
            <v>0</v>
          </cell>
          <cell r="G404">
            <v>0</v>
          </cell>
          <cell r="P404">
            <v>0</v>
          </cell>
          <cell r="X404">
            <v>0</v>
          </cell>
          <cell r="Y404">
            <v>0</v>
          </cell>
          <cell r="AC404">
            <v>0</v>
          </cell>
          <cell r="AD404">
            <v>0</v>
          </cell>
          <cell r="AI404">
            <v>6</v>
          </cell>
          <cell r="AJ404">
            <v>5.3333333333333339</v>
          </cell>
          <cell r="AK404">
            <v>0</v>
          </cell>
          <cell r="AL404">
            <v>0</v>
          </cell>
        </row>
        <row r="405">
          <cell r="F405">
            <v>1.1666666666666667</v>
          </cell>
          <cell r="G405">
            <v>0</v>
          </cell>
          <cell r="P405">
            <v>15.833333333333334</v>
          </cell>
          <cell r="X405">
            <v>41.666666666666664</v>
          </cell>
          <cell r="Y405">
            <v>17</v>
          </cell>
          <cell r="AC405">
            <v>32</v>
          </cell>
          <cell r="AD405">
            <v>15</v>
          </cell>
          <cell r="AI405">
            <v>43</v>
          </cell>
          <cell r="AJ405">
            <v>39.666666666666664</v>
          </cell>
          <cell r="AK405">
            <v>91</v>
          </cell>
          <cell r="AL405">
            <v>52.833333333333336</v>
          </cell>
        </row>
        <row r="406">
          <cell r="F406">
            <v>0</v>
          </cell>
          <cell r="G406">
            <v>0</v>
          </cell>
          <cell r="P406">
            <v>4.666666666666667</v>
          </cell>
          <cell r="X406">
            <v>0</v>
          </cell>
          <cell r="Y406">
            <v>0</v>
          </cell>
          <cell r="AC406">
            <v>0</v>
          </cell>
          <cell r="AD406">
            <v>0</v>
          </cell>
          <cell r="AI406">
            <v>0</v>
          </cell>
          <cell r="AK406">
            <v>4.666666666666667</v>
          </cell>
          <cell r="AL406">
            <v>0</v>
          </cell>
        </row>
        <row r="407">
          <cell r="F407">
            <v>0</v>
          </cell>
          <cell r="G407">
            <v>0</v>
          </cell>
          <cell r="H407">
            <v>122</v>
          </cell>
          <cell r="P407">
            <v>0</v>
          </cell>
          <cell r="S407">
            <v>50.166666666666671</v>
          </cell>
          <cell r="X407">
            <v>0</v>
          </cell>
          <cell r="Y407">
            <v>0</v>
          </cell>
          <cell r="AC407">
            <v>0</v>
          </cell>
          <cell r="AD407">
            <v>0</v>
          </cell>
          <cell r="AI407">
            <v>1965.0000000000002</v>
          </cell>
          <cell r="AJ407">
            <v>471.16666666666663</v>
          </cell>
          <cell r="AK407">
            <v>0</v>
          </cell>
          <cell r="AL407">
            <v>42</v>
          </cell>
          <cell r="AM407">
            <v>43</v>
          </cell>
        </row>
        <row r="408">
          <cell r="F408">
            <v>10</v>
          </cell>
          <cell r="G408">
            <v>3</v>
          </cell>
          <cell r="P408">
            <v>39</v>
          </cell>
          <cell r="X408">
            <v>0</v>
          </cell>
          <cell r="Y408">
            <v>0</v>
          </cell>
          <cell r="AC408">
            <v>0</v>
          </cell>
          <cell r="AD408">
            <v>0</v>
          </cell>
          <cell r="AI408">
            <v>1350</v>
          </cell>
          <cell r="AJ408">
            <v>0</v>
          </cell>
          <cell r="AK408">
            <v>49</v>
          </cell>
          <cell r="AL408">
            <v>42</v>
          </cell>
          <cell r="AM408">
            <v>42</v>
          </cell>
        </row>
        <row r="409">
          <cell r="F409">
            <v>2.6666666666666665</v>
          </cell>
          <cell r="G409">
            <v>1</v>
          </cell>
          <cell r="P409">
            <v>3.3333333333333335</v>
          </cell>
          <cell r="X409">
            <v>0</v>
          </cell>
          <cell r="Y409">
            <v>0</v>
          </cell>
          <cell r="AC409">
            <v>0</v>
          </cell>
          <cell r="AD409">
            <v>0</v>
          </cell>
          <cell r="AI409">
            <v>95</v>
          </cell>
          <cell r="AJ409">
            <v>95</v>
          </cell>
          <cell r="AK409">
            <v>6</v>
          </cell>
          <cell r="AL409">
            <v>4.3333333333333339</v>
          </cell>
        </row>
        <row r="410">
          <cell r="F410">
            <v>7.333333333333333</v>
          </cell>
          <cell r="G410">
            <v>2</v>
          </cell>
          <cell r="P410">
            <v>35.666666666666664</v>
          </cell>
          <cell r="X410">
            <v>0</v>
          </cell>
          <cell r="Y410">
            <v>0</v>
          </cell>
          <cell r="AC410">
            <v>0</v>
          </cell>
          <cell r="AD410">
            <v>0</v>
          </cell>
          <cell r="AI410">
            <v>0</v>
          </cell>
          <cell r="AJ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I411">
            <v>12.333333333333334</v>
          </cell>
          <cell r="AJ411">
            <v>12.333333333333334</v>
          </cell>
          <cell r="AK411">
            <v>0</v>
          </cell>
          <cell r="AL411">
            <v>412.16666666666663</v>
          </cell>
          <cell r="AM411">
            <v>412.16666666666663</v>
          </cell>
        </row>
        <row r="412">
          <cell r="F412">
            <v>206.33333333333329</v>
          </cell>
          <cell r="G412">
            <v>63</v>
          </cell>
          <cell r="H412">
            <v>64</v>
          </cell>
          <cell r="P412">
            <v>50.166666666666671</v>
          </cell>
          <cell r="S412">
            <v>50.166666666666671</v>
          </cell>
          <cell r="X412">
            <v>37.833333333333343</v>
          </cell>
          <cell r="Y412">
            <v>16</v>
          </cell>
          <cell r="AC412">
            <v>26.000000000000004</v>
          </cell>
          <cell r="AD412">
            <v>12</v>
          </cell>
          <cell r="AI412">
            <v>0</v>
          </cell>
          <cell r="AJ412">
            <v>0</v>
          </cell>
          <cell r="AK412">
            <v>1965.0000000000002</v>
          </cell>
          <cell r="AL412">
            <v>400.16666666666663</v>
          </cell>
          <cell r="AM412">
            <v>400.16666666666663</v>
          </cell>
        </row>
        <row r="413">
          <cell r="F413">
            <v>0</v>
          </cell>
          <cell r="G413">
            <v>0</v>
          </cell>
          <cell r="P413">
            <v>0</v>
          </cell>
          <cell r="X413">
            <v>0</v>
          </cell>
          <cell r="Y413">
            <v>0</v>
          </cell>
          <cell r="AC413">
            <v>0</v>
          </cell>
          <cell r="AD413">
            <v>0</v>
          </cell>
          <cell r="AI413">
            <v>57.666666666666664</v>
          </cell>
          <cell r="AJ413">
            <v>50</v>
          </cell>
          <cell r="AK413">
            <v>1350</v>
          </cell>
          <cell r="AL413">
            <v>0</v>
          </cell>
        </row>
        <row r="414">
          <cell r="F414">
            <v>0</v>
          </cell>
          <cell r="G414">
            <v>0</v>
          </cell>
          <cell r="P414">
            <v>0</v>
          </cell>
          <cell r="X414">
            <v>0</v>
          </cell>
          <cell r="Y414">
            <v>0</v>
          </cell>
          <cell r="AC414">
            <v>0</v>
          </cell>
          <cell r="AD414">
            <v>0</v>
          </cell>
          <cell r="AI414">
            <v>4</v>
          </cell>
          <cell r="AJ414">
            <v>0</v>
          </cell>
          <cell r="AK414">
            <v>95</v>
          </cell>
          <cell r="AL414">
            <v>95</v>
          </cell>
        </row>
        <row r="415">
          <cell r="F415">
            <v>0</v>
          </cell>
          <cell r="G415">
            <v>0</v>
          </cell>
          <cell r="P415">
            <v>0</v>
          </cell>
          <cell r="X415">
            <v>0</v>
          </cell>
          <cell r="Y415">
            <v>0</v>
          </cell>
          <cell r="AC415">
            <v>0</v>
          </cell>
          <cell r="AD415">
            <v>0</v>
          </cell>
          <cell r="AI415">
            <v>0</v>
          </cell>
          <cell r="AJ415">
            <v>0</v>
          </cell>
          <cell r="AK415">
            <v>0</v>
          </cell>
          <cell r="AL415">
            <v>0</v>
          </cell>
        </row>
        <row r="416">
          <cell r="F416">
            <v>0</v>
          </cell>
          <cell r="G416">
            <v>0</v>
          </cell>
          <cell r="P416">
            <v>12.333333333333334</v>
          </cell>
          <cell r="X416">
            <v>0</v>
          </cell>
          <cell r="Y416">
            <v>0</v>
          </cell>
          <cell r="AC416">
            <v>0</v>
          </cell>
          <cell r="AD416">
            <v>0</v>
          </cell>
          <cell r="AI416">
            <v>28.5</v>
          </cell>
          <cell r="AJ416">
            <v>26.5</v>
          </cell>
          <cell r="AK416">
            <v>12.333333333333334</v>
          </cell>
          <cell r="AL416">
            <v>12.333333333333334</v>
          </cell>
        </row>
        <row r="417">
          <cell r="F417">
            <v>0</v>
          </cell>
          <cell r="G417">
            <v>0</v>
          </cell>
          <cell r="P417">
            <v>0</v>
          </cell>
          <cell r="X417">
            <v>0</v>
          </cell>
          <cell r="Y417">
            <v>0</v>
          </cell>
          <cell r="AC417">
            <v>0</v>
          </cell>
          <cell r="AD417">
            <v>0</v>
          </cell>
          <cell r="AI417">
            <v>69</v>
          </cell>
          <cell r="AJ417">
            <v>52.333333333333336</v>
          </cell>
          <cell r="AK417">
            <v>0</v>
          </cell>
          <cell r="AL417">
            <v>0</v>
          </cell>
        </row>
        <row r="418">
          <cell r="F418">
            <v>1.6666666666666667</v>
          </cell>
          <cell r="G418">
            <v>1</v>
          </cell>
          <cell r="P418">
            <v>5</v>
          </cell>
          <cell r="X418">
            <v>3</v>
          </cell>
          <cell r="Y418">
            <v>1</v>
          </cell>
          <cell r="AC418">
            <v>3</v>
          </cell>
          <cell r="AD418">
            <v>1</v>
          </cell>
          <cell r="AI418">
            <v>177</v>
          </cell>
          <cell r="AJ418">
            <v>104</v>
          </cell>
          <cell r="AK418">
            <v>57.666666666666664</v>
          </cell>
          <cell r="AL418">
            <v>48</v>
          </cell>
        </row>
        <row r="419">
          <cell r="F419">
            <v>0</v>
          </cell>
          <cell r="G419">
            <v>0</v>
          </cell>
          <cell r="P419">
            <v>0</v>
          </cell>
          <cell r="X419">
            <v>0</v>
          </cell>
          <cell r="Y419">
            <v>0</v>
          </cell>
          <cell r="AC419">
            <v>0</v>
          </cell>
          <cell r="AD419">
            <v>0</v>
          </cell>
          <cell r="AI419">
            <v>17.666666666666668</v>
          </cell>
          <cell r="AJ419">
            <v>11</v>
          </cell>
          <cell r="AK419">
            <v>4</v>
          </cell>
          <cell r="AL419">
            <v>0</v>
          </cell>
        </row>
        <row r="420">
          <cell r="F420">
            <v>0</v>
          </cell>
          <cell r="G420">
            <v>0</v>
          </cell>
          <cell r="P420">
            <v>0</v>
          </cell>
          <cell r="X420">
            <v>0</v>
          </cell>
          <cell r="Y420">
            <v>0</v>
          </cell>
          <cell r="AC420">
            <v>0</v>
          </cell>
          <cell r="AD420">
            <v>0</v>
          </cell>
          <cell r="AI420">
            <v>6</v>
          </cell>
          <cell r="AJ420">
            <v>4</v>
          </cell>
          <cell r="AK420">
            <v>0</v>
          </cell>
          <cell r="AL420">
            <v>0</v>
          </cell>
        </row>
        <row r="421">
          <cell r="F421">
            <v>0</v>
          </cell>
          <cell r="G421">
            <v>0</v>
          </cell>
          <cell r="P421">
            <v>18.5</v>
          </cell>
          <cell r="X421">
            <v>4.5</v>
          </cell>
          <cell r="Y421">
            <v>2</v>
          </cell>
          <cell r="AC421">
            <v>1.3333333333333333</v>
          </cell>
          <cell r="AD421">
            <v>1</v>
          </cell>
          <cell r="AI421">
            <v>9.3333333333333339</v>
          </cell>
          <cell r="AJ421">
            <v>5.333333333333333</v>
          </cell>
          <cell r="AK421">
            <v>28.5</v>
          </cell>
          <cell r="AL421">
            <v>25.5</v>
          </cell>
        </row>
        <row r="422">
          <cell r="F422">
            <v>0</v>
          </cell>
          <cell r="G422">
            <v>0</v>
          </cell>
          <cell r="P422">
            <v>1.3333333333333333</v>
          </cell>
          <cell r="X422">
            <v>0</v>
          </cell>
          <cell r="Y422">
            <v>0</v>
          </cell>
          <cell r="AC422">
            <v>1.6666666666666667</v>
          </cell>
          <cell r="AD422">
            <v>1</v>
          </cell>
          <cell r="AI422">
            <v>13.333333333333334</v>
          </cell>
          <cell r="AJ422">
            <v>9.3333333333333339</v>
          </cell>
          <cell r="AK422">
            <v>69</v>
          </cell>
          <cell r="AL422">
            <v>52.333333333333336</v>
          </cell>
        </row>
        <row r="423">
          <cell r="F423">
            <v>177</v>
          </cell>
          <cell r="G423">
            <v>54</v>
          </cell>
          <cell r="P423">
            <v>0</v>
          </cell>
          <cell r="X423">
            <v>0</v>
          </cell>
          <cell r="Y423">
            <v>0</v>
          </cell>
          <cell r="AC423">
            <v>0</v>
          </cell>
          <cell r="AD423">
            <v>0</v>
          </cell>
          <cell r="AI423">
            <v>0</v>
          </cell>
          <cell r="AJ423">
            <v>0</v>
          </cell>
          <cell r="AK423">
            <v>177</v>
          </cell>
          <cell r="AL423">
            <v>54</v>
          </cell>
        </row>
        <row r="424">
          <cell r="F424">
            <v>0</v>
          </cell>
          <cell r="G424">
            <v>0</v>
          </cell>
          <cell r="P424">
            <v>0</v>
          </cell>
          <cell r="X424">
            <v>10</v>
          </cell>
          <cell r="Y424">
            <v>4</v>
          </cell>
          <cell r="AC424">
            <v>7.666666666666667</v>
          </cell>
          <cell r="AD424">
            <v>4</v>
          </cell>
          <cell r="AI424">
            <v>0</v>
          </cell>
          <cell r="AJ424">
            <v>0</v>
          </cell>
          <cell r="AK424">
            <v>17.666666666666668</v>
          </cell>
          <cell r="AL424">
            <v>8</v>
          </cell>
        </row>
        <row r="425">
          <cell r="F425">
            <v>0.66666666666666663</v>
          </cell>
          <cell r="G425">
            <v>0</v>
          </cell>
          <cell r="P425">
            <v>2</v>
          </cell>
          <cell r="X425">
            <v>1.3333333333333333</v>
          </cell>
          <cell r="Y425">
            <v>1</v>
          </cell>
          <cell r="AC425">
            <v>1</v>
          </cell>
          <cell r="AD425">
            <v>0</v>
          </cell>
          <cell r="AI425">
            <v>12</v>
          </cell>
          <cell r="AJ425">
            <v>8</v>
          </cell>
          <cell r="AK425">
            <v>6</v>
          </cell>
          <cell r="AL425">
            <v>3</v>
          </cell>
        </row>
        <row r="426">
          <cell r="F426">
            <v>2.6666666666666665</v>
          </cell>
          <cell r="G426">
            <v>1</v>
          </cell>
          <cell r="P426">
            <v>0.33333333333333331</v>
          </cell>
          <cell r="X426">
            <v>1</v>
          </cell>
          <cell r="Y426">
            <v>0</v>
          </cell>
          <cell r="AC426">
            <v>0.66666666666666663</v>
          </cell>
          <cell r="AD426">
            <v>0</v>
          </cell>
          <cell r="AI426">
            <v>0</v>
          </cell>
          <cell r="AJ426">
            <v>0</v>
          </cell>
          <cell r="AK426">
            <v>9.3333333333333339</v>
          </cell>
          <cell r="AL426">
            <v>3.3333333333333335</v>
          </cell>
        </row>
        <row r="427">
          <cell r="F427">
            <v>0</v>
          </cell>
          <cell r="G427">
            <v>0</v>
          </cell>
          <cell r="P427">
            <v>2.3333333333333335</v>
          </cell>
          <cell r="X427">
            <v>6</v>
          </cell>
          <cell r="Y427">
            <v>2</v>
          </cell>
          <cell r="AC427">
            <v>5</v>
          </cell>
          <cell r="AD427">
            <v>2</v>
          </cell>
          <cell r="AI427">
            <v>4.333333333333333</v>
          </cell>
          <cell r="AJ427">
            <v>1.6666666666666665</v>
          </cell>
          <cell r="AK427">
            <v>13.333333333333334</v>
          </cell>
          <cell r="AL427">
            <v>6.3333333333333339</v>
          </cell>
        </row>
        <row r="428">
          <cell r="F428">
            <v>0</v>
          </cell>
          <cell r="G428">
            <v>0</v>
          </cell>
          <cell r="P428">
            <v>0</v>
          </cell>
          <cell r="X428">
            <v>0</v>
          </cell>
          <cell r="Y428">
            <v>0</v>
          </cell>
          <cell r="AC428">
            <v>0</v>
          </cell>
          <cell r="AD428">
            <v>0</v>
          </cell>
          <cell r="AI428">
            <v>3.6666666666666665</v>
          </cell>
          <cell r="AJ428">
            <v>1.6666666666666665</v>
          </cell>
          <cell r="AK428">
            <v>0</v>
          </cell>
          <cell r="AL428">
            <v>0</v>
          </cell>
        </row>
        <row r="429">
          <cell r="F429">
            <v>0</v>
          </cell>
          <cell r="G429">
            <v>0</v>
          </cell>
          <cell r="P429">
            <v>0</v>
          </cell>
          <cell r="X429">
            <v>0</v>
          </cell>
          <cell r="Y429">
            <v>0</v>
          </cell>
          <cell r="AC429">
            <v>0</v>
          </cell>
          <cell r="AD429">
            <v>0</v>
          </cell>
          <cell r="AI429">
            <v>33</v>
          </cell>
          <cell r="AJ429">
            <v>21.666666666666668</v>
          </cell>
          <cell r="AK429">
            <v>0</v>
          </cell>
          <cell r="AL429">
            <v>0</v>
          </cell>
        </row>
        <row r="430">
          <cell r="F430">
            <v>9.6666666666666661</v>
          </cell>
          <cell r="G430">
            <v>3</v>
          </cell>
          <cell r="P430">
            <v>1</v>
          </cell>
          <cell r="X430">
            <v>0</v>
          </cell>
          <cell r="Y430">
            <v>0</v>
          </cell>
          <cell r="AC430">
            <v>0</v>
          </cell>
          <cell r="AD430">
            <v>0</v>
          </cell>
          <cell r="AI430">
            <v>0</v>
          </cell>
          <cell r="AJ430">
            <v>0</v>
          </cell>
          <cell r="AK430">
            <v>12</v>
          </cell>
          <cell r="AL430">
            <v>5</v>
          </cell>
        </row>
        <row r="431">
          <cell r="F431">
            <v>0</v>
          </cell>
          <cell r="G431">
            <v>0</v>
          </cell>
          <cell r="P431">
            <v>0</v>
          </cell>
          <cell r="X431">
            <v>0</v>
          </cell>
          <cell r="Y431">
            <v>0</v>
          </cell>
          <cell r="AC431">
            <v>0</v>
          </cell>
          <cell r="AD431">
            <v>0</v>
          </cell>
          <cell r="AI431">
            <v>0</v>
          </cell>
          <cell r="AJ431">
            <v>53</v>
          </cell>
          <cell r="AK431">
            <v>0</v>
          </cell>
          <cell r="AL431">
            <v>0</v>
          </cell>
        </row>
        <row r="432">
          <cell r="F432">
            <v>2.3333333333333335</v>
          </cell>
          <cell r="G432">
            <v>1</v>
          </cell>
          <cell r="P432">
            <v>0.66666666666666663</v>
          </cell>
          <cell r="X432">
            <v>0.66666666666666663</v>
          </cell>
          <cell r="Y432">
            <v>0</v>
          </cell>
          <cell r="AC432">
            <v>0.66666666666666663</v>
          </cell>
          <cell r="AD432">
            <v>0</v>
          </cell>
          <cell r="AI432">
            <v>1</v>
          </cell>
          <cell r="AJ432">
            <v>1</v>
          </cell>
          <cell r="AK432">
            <v>4.333333333333333</v>
          </cell>
          <cell r="AL432">
            <v>1.6666666666666665</v>
          </cell>
        </row>
        <row r="433">
          <cell r="F433">
            <v>1.6666666666666667</v>
          </cell>
          <cell r="G433">
            <v>1</v>
          </cell>
          <cell r="P433">
            <v>0.66666666666666663</v>
          </cell>
          <cell r="X433">
            <v>0.66666666666666663</v>
          </cell>
          <cell r="Y433">
            <v>0</v>
          </cell>
          <cell r="AC433">
            <v>0.66666666666666663</v>
          </cell>
          <cell r="AD433">
            <v>0</v>
          </cell>
          <cell r="AI433">
            <v>0</v>
          </cell>
          <cell r="AJ433">
            <v>0</v>
          </cell>
          <cell r="AK433">
            <v>3.6666666666666665</v>
          </cell>
          <cell r="AL433">
            <v>1.6666666666666665</v>
          </cell>
        </row>
        <row r="434">
          <cell r="F434">
            <v>6.666666666666667</v>
          </cell>
          <cell r="G434">
            <v>2</v>
          </cell>
          <cell r="P434">
            <v>4.666666666666667</v>
          </cell>
          <cell r="X434">
            <v>3</v>
          </cell>
          <cell r="Y434">
            <v>1</v>
          </cell>
          <cell r="AC434">
            <v>2</v>
          </cell>
          <cell r="AD434">
            <v>1</v>
          </cell>
          <cell r="AI434">
            <v>0</v>
          </cell>
          <cell r="AJ434">
            <v>0</v>
          </cell>
          <cell r="AK434">
            <v>33</v>
          </cell>
          <cell r="AL434">
            <v>18.666666666666668</v>
          </cell>
        </row>
        <row r="435">
          <cell r="F435">
            <v>0</v>
          </cell>
          <cell r="G435">
            <v>0</v>
          </cell>
          <cell r="P435">
            <v>0</v>
          </cell>
          <cell r="X435">
            <v>0</v>
          </cell>
          <cell r="Y435">
            <v>0</v>
          </cell>
          <cell r="AC435">
            <v>0</v>
          </cell>
          <cell r="AD435">
            <v>0</v>
          </cell>
          <cell r="AI435">
            <v>15.666666666666666</v>
          </cell>
          <cell r="AJ435">
            <v>10</v>
          </cell>
          <cell r="AK435">
            <v>0</v>
          </cell>
          <cell r="AL435">
            <v>0</v>
          </cell>
        </row>
        <row r="436">
          <cell r="F436">
            <v>0</v>
          </cell>
          <cell r="G436">
            <v>0</v>
          </cell>
          <cell r="P436">
            <v>0</v>
          </cell>
          <cell r="X436">
            <v>0</v>
          </cell>
          <cell r="Y436">
            <v>0</v>
          </cell>
          <cell r="AC436">
            <v>0</v>
          </cell>
          <cell r="AD436">
            <v>0</v>
          </cell>
          <cell r="AI436">
            <v>0</v>
          </cell>
          <cell r="AJ436">
            <v>0</v>
          </cell>
          <cell r="AK436">
            <v>0</v>
          </cell>
          <cell r="AL436">
            <v>53</v>
          </cell>
        </row>
        <row r="437">
          <cell r="F437">
            <v>1</v>
          </cell>
          <cell r="G437">
            <v>0</v>
          </cell>
          <cell r="P437">
            <v>0</v>
          </cell>
          <cell r="X437">
            <v>0</v>
          </cell>
          <cell r="Y437">
            <v>0</v>
          </cell>
          <cell r="AC437">
            <v>0</v>
          </cell>
          <cell r="AD437">
            <v>0</v>
          </cell>
          <cell r="AI437">
            <v>3.3333333333333335</v>
          </cell>
          <cell r="AJ437">
            <v>2</v>
          </cell>
          <cell r="AK437">
            <v>1</v>
          </cell>
          <cell r="AL437">
            <v>1</v>
          </cell>
        </row>
        <row r="438">
          <cell r="F438">
            <v>0</v>
          </cell>
          <cell r="G438">
            <v>0</v>
          </cell>
          <cell r="P438">
            <v>0</v>
          </cell>
          <cell r="X438">
            <v>0</v>
          </cell>
          <cell r="Y438">
            <v>0</v>
          </cell>
          <cell r="AC438">
            <v>0</v>
          </cell>
          <cell r="AD438">
            <v>0</v>
          </cell>
          <cell r="AI438">
            <v>1.9999999999999998</v>
          </cell>
          <cell r="AJ438">
            <v>0.33333333333333331</v>
          </cell>
          <cell r="AK438">
            <v>0</v>
          </cell>
          <cell r="AL438">
            <v>0</v>
          </cell>
        </row>
        <row r="439">
          <cell r="F439">
            <v>0</v>
          </cell>
          <cell r="G439">
            <v>0</v>
          </cell>
          <cell r="P439">
            <v>0</v>
          </cell>
          <cell r="X439">
            <v>0</v>
          </cell>
          <cell r="Y439">
            <v>0</v>
          </cell>
          <cell r="AC439">
            <v>0</v>
          </cell>
          <cell r="AD439">
            <v>0</v>
          </cell>
          <cell r="AI439">
            <v>0</v>
          </cell>
          <cell r="AJ439">
            <v>0</v>
          </cell>
          <cell r="AK439">
            <v>0</v>
          </cell>
          <cell r="AL439">
            <v>0</v>
          </cell>
        </row>
        <row r="440">
          <cell r="F440">
            <v>2.6666666666666665</v>
          </cell>
          <cell r="G440">
            <v>1</v>
          </cell>
          <cell r="P440">
            <v>1</v>
          </cell>
          <cell r="X440">
            <v>4</v>
          </cell>
          <cell r="Y440">
            <v>2</v>
          </cell>
          <cell r="AC440">
            <v>2</v>
          </cell>
          <cell r="AD440">
            <v>1</v>
          </cell>
          <cell r="AI440">
            <v>0</v>
          </cell>
          <cell r="AJ440">
            <v>0</v>
          </cell>
          <cell r="AK440">
            <v>15.666666666666666</v>
          </cell>
          <cell r="AL440">
            <v>8</v>
          </cell>
        </row>
        <row r="441">
          <cell r="F441">
            <v>0</v>
          </cell>
          <cell r="G441">
            <v>0</v>
          </cell>
          <cell r="P441">
            <v>0</v>
          </cell>
          <cell r="X441">
            <v>0</v>
          </cell>
          <cell r="Y441">
            <v>0</v>
          </cell>
          <cell r="AC441">
            <v>0</v>
          </cell>
          <cell r="AD441">
            <v>0</v>
          </cell>
          <cell r="AI441">
            <v>0</v>
          </cell>
          <cell r="AJ441">
            <v>0</v>
          </cell>
          <cell r="AK441">
            <v>0</v>
          </cell>
          <cell r="AL441">
            <v>0</v>
          </cell>
        </row>
        <row r="442">
          <cell r="F442">
            <v>0</v>
          </cell>
          <cell r="G442">
            <v>0</v>
          </cell>
          <cell r="P442">
            <v>0</v>
          </cell>
          <cell r="X442">
            <v>3.3333333333333335</v>
          </cell>
          <cell r="Y442">
            <v>1</v>
          </cell>
          <cell r="AC442">
            <v>0</v>
          </cell>
          <cell r="AD442">
            <v>0</v>
          </cell>
          <cell r="AI442">
            <v>0</v>
          </cell>
          <cell r="AJ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I443">
            <v>0</v>
          </cell>
          <cell r="AJ443">
            <v>0</v>
          </cell>
          <cell r="AK443">
            <v>1.9999999999999998</v>
          </cell>
          <cell r="AL443">
            <v>0.33333333333333331</v>
          </cell>
        </row>
        <row r="444">
          <cell r="F444">
            <v>0</v>
          </cell>
          <cell r="G444">
            <v>0</v>
          </cell>
          <cell r="P444">
            <v>0</v>
          </cell>
          <cell r="X444">
            <v>0</v>
          </cell>
          <cell r="Y444">
            <v>0</v>
          </cell>
          <cell r="AC444">
            <v>0</v>
          </cell>
          <cell r="AD444">
            <v>0</v>
          </cell>
          <cell r="AI444">
            <v>0</v>
          </cell>
          <cell r="AJ444">
            <v>0</v>
          </cell>
          <cell r="AK444">
            <v>0</v>
          </cell>
          <cell r="AL444">
            <v>0</v>
          </cell>
        </row>
        <row r="445">
          <cell r="F445">
            <v>0</v>
          </cell>
          <cell r="G445">
            <v>0</v>
          </cell>
          <cell r="P445">
            <v>0</v>
          </cell>
          <cell r="X445">
            <v>0</v>
          </cell>
          <cell r="Y445">
            <v>0</v>
          </cell>
          <cell r="AC445">
            <v>0</v>
          </cell>
          <cell r="AD445">
            <v>0</v>
          </cell>
          <cell r="AI445">
            <v>0</v>
          </cell>
          <cell r="AJ445">
            <v>2</v>
          </cell>
          <cell r="AK445">
            <v>0</v>
          </cell>
          <cell r="AL445">
            <v>0</v>
          </cell>
        </row>
        <row r="446">
          <cell r="F446">
            <v>0</v>
          </cell>
          <cell r="G446">
            <v>0</v>
          </cell>
          <cell r="P446">
            <v>0</v>
          </cell>
          <cell r="X446">
            <v>0</v>
          </cell>
          <cell r="Y446">
            <v>0</v>
          </cell>
          <cell r="AC446">
            <v>0</v>
          </cell>
          <cell r="AD446">
            <v>0</v>
          </cell>
          <cell r="AI446">
            <v>0</v>
          </cell>
          <cell r="AJ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1" refreshError="1">
        <row r="16">
          <cell r="AP16" t="str">
            <v>ЗАТВЕРДЖУЮ</v>
          </cell>
        </row>
        <row r="17">
          <cell r="AP17" t="str">
            <v>ГОЛОВА ПРАЛІННЯ АК КЕ</v>
          </cell>
        </row>
        <row r="25">
          <cell r="F25">
            <v>3635</v>
          </cell>
          <cell r="G25">
            <v>850</v>
          </cell>
          <cell r="H25">
            <v>2785</v>
          </cell>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30">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J34" t="str">
            <v>ДОП.ВИР. СТ.ОРГ.</v>
          </cell>
          <cell r="AK34" t="str">
            <v>АК КЕ ВСЬОГО</v>
          </cell>
          <cell r="AL34" t="str">
            <v xml:space="preserve"> Е/Е</v>
          </cell>
          <cell r="AM34" t="str">
            <v xml:space="preserve"> Т/Е</v>
          </cell>
          <cell r="AO34" t="str">
            <v>СТАНЦІї ЕЛЕКТРО</v>
          </cell>
          <cell r="AP34" t="str">
            <v>СТАНЦІІ ТЕПЛОВІ</v>
          </cell>
          <cell r="AQ34" t="str">
            <v>МЕРЕЖІ ЕЛЕКТРО</v>
          </cell>
          <cell r="AR34" t="str">
            <v>МЕРЕЖІ ТЕПЛОВІ</v>
          </cell>
        </row>
        <row r="35">
          <cell r="AL35">
            <v>395</v>
          </cell>
          <cell r="AQ35">
            <v>32</v>
          </cell>
        </row>
        <row r="36">
          <cell r="AL36">
            <v>336</v>
          </cell>
          <cell r="AQ36">
            <v>0</v>
          </cell>
        </row>
        <row r="37">
          <cell r="AL37">
            <v>0</v>
          </cell>
          <cell r="AQ37">
            <v>500</v>
          </cell>
        </row>
        <row r="38">
          <cell r="AQ38">
            <v>468</v>
          </cell>
        </row>
        <row r="39">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AL40">
            <v>0</v>
          </cell>
        </row>
        <row r="41">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F46">
            <v>9772.2999999999993</v>
          </cell>
          <cell r="P46">
            <v>4488.6499999999996</v>
          </cell>
          <cell r="Q46">
            <v>1683.0160000000001</v>
          </cell>
          <cell r="R46">
            <v>2125</v>
          </cell>
          <cell r="S46">
            <v>7346.4866666666676</v>
          </cell>
          <cell r="T46">
            <v>5021.7877999999982</v>
          </cell>
          <cell r="U46">
            <v>2888.6988666666671</v>
          </cell>
          <cell r="V46">
            <v>264.488</v>
          </cell>
          <cell r="W46">
            <v>431</v>
          </cell>
          <cell r="X46">
            <v>4384.8755454545462</v>
          </cell>
          <cell r="Y46">
            <v>522.74400000000003</v>
          </cell>
          <cell r="Z46">
            <v>197</v>
          </cell>
          <cell r="AA46">
            <v>325.74400000000003</v>
          </cell>
          <cell r="AB46">
            <v>400</v>
          </cell>
          <cell r="AC46">
            <v>1635.8175757575736</v>
          </cell>
          <cell r="AD46">
            <v>998.3413333333333</v>
          </cell>
          <cell r="AE46">
            <v>844.68000000000006</v>
          </cell>
          <cell r="AF46">
            <v>4864.9509090909087</v>
          </cell>
          <cell r="AG46">
            <v>4394</v>
          </cell>
          <cell r="AH46">
            <v>470.95090909090914</v>
          </cell>
          <cell r="AI46">
            <v>134</v>
          </cell>
          <cell r="AJ46">
            <v>88.658666666666704</v>
          </cell>
          <cell r="AN46">
            <v>0</v>
          </cell>
          <cell r="AP46">
            <v>6000.3919999999998</v>
          </cell>
          <cell r="AQ46">
            <v>2219.1680000000001</v>
          </cell>
          <cell r="AR46">
            <v>3781.2239999999997</v>
          </cell>
        </row>
        <row r="47">
          <cell r="F47">
            <v>0.8</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2344.551833476</v>
          </cell>
        </row>
        <row r="48">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F49">
            <v>783</v>
          </cell>
          <cell r="G49">
            <v>183</v>
          </cell>
          <cell r="H49">
            <v>600</v>
          </cell>
          <cell r="P49">
            <v>304</v>
          </cell>
          <cell r="Q49">
            <v>113.33333333333334</v>
          </cell>
          <cell r="S49">
            <v>1332</v>
          </cell>
          <cell r="T49">
            <v>666</v>
          </cell>
          <cell r="U49">
            <v>666</v>
          </cell>
          <cell r="V49">
            <v>26.626666666666665</v>
          </cell>
          <cell r="X49">
            <v>543</v>
          </cell>
          <cell r="Y49">
            <v>228</v>
          </cell>
          <cell r="Z49">
            <v>315</v>
          </cell>
          <cell r="AA49">
            <v>40.784000000000006</v>
          </cell>
          <cell r="AC49">
            <v>200</v>
          </cell>
          <cell r="AD49">
            <v>81</v>
          </cell>
          <cell r="AE49">
            <v>119</v>
          </cell>
          <cell r="AF49">
            <v>536</v>
          </cell>
          <cell r="AG49">
            <v>500</v>
          </cell>
          <cell r="AH49">
            <v>36</v>
          </cell>
          <cell r="AK49">
            <v>3853</v>
          </cell>
          <cell r="AL49">
            <v>967</v>
          </cell>
          <cell r="AM49">
            <v>2886</v>
          </cell>
          <cell r="AN49">
            <v>2886</v>
          </cell>
          <cell r="AO49">
            <v>309</v>
          </cell>
          <cell r="AP49">
            <v>887</v>
          </cell>
          <cell r="AQ49">
            <v>658</v>
          </cell>
          <cell r="AR49">
            <v>1999</v>
          </cell>
        </row>
        <row r="50">
          <cell r="F50">
            <v>216</v>
          </cell>
          <cell r="G50">
            <v>51</v>
          </cell>
          <cell r="H50">
            <v>165</v>
          </cell>
          <cell r="P50">
            <v>210</v>
          </cell>
          <cell r="Q50">
            <v>1194.9680000000001</v>
          </cell>
          <cell r="R50">
            <v>1386</v>
          </cell>
          <cell r="S50">
            <v>730</v>
          </cell>
          <cell r="T50">
            <v>2642.7440000000001</v>
          </cell>
          <cell r="U50">
            <v>1031</v>
          </cell>
          <cell r="V50">
            <v>1611.7440000000001</v>
          </cell>
          <cell r="W50">
            <v>2636</v>
          </cell>
          <cell r="X50">
            <v>55</v>
          </cell>
          <cell r="Y50">
            <v>23</v>
          </cell>
          <cell r="Z50">
            <v>32</v>
          </cell>
          <cell r="AA50">
            <v>148.624</v>
          </cell>
          <cell r="AB50">
            <v>292</v>
          </cell>
          <cell r="AC50">
            <v>90</v>
          </cell>
          <cell r="AD50">
            <v>37</v>
          </cell>
          <cell r="AE50">
            <v>53</v>
          </cell>
          <cell r="AF50">
            <v>495</v>
          </cell>
          <cell r="AG50">
            <v>460</v>
          </cell>
          <cell r="AH50">
            <v>35</v>
          </cell>
          <cell r="AI50">
            <v>56</v>
          </cell>
          <cell r="AJ50">
            <v>-158.35733333333337</v>
          </cell>
          <cell r="AK50">
            <v>1812</v>
          </cell>
          <cell r="AL50">
            <v>352</v>
          </cell>
          <cell r="AM50">
            <v>1460</v>
          </cell>
          <cell r="AN50">
            <v>1460</v>
          </cell>
          <cell r="AP50">
            <v>4507.7466666666669</v>
          </cell>
          <cell r="AQ50">
            <v>1218.424</v>
          </cell>
          <cell r="AR50">
            <v>3289.3226666666669</v>
          </cell>
        </row>
        <row r="51">
          <cell r="G51">
            <v>0</v>
          </cell>
          <cell r="P51">
            <v>0</v>
          </cell>
          <cell r="Q51">
            <v>60.8</v>
          </cell>
          <cell r="R51">
            <v>54</v>
          </cell>
          <cell r="S51">
            <v>-6.7999999999999972</v>
          </cell>
          <cell r="T51">
            <v>2406.6</v>
          </cell>
          <cell r="U51">
            <v>943</v>
          </cell>
          <cell r="V51">
            <v>1463.6</v>
          </cell>
          <cell r="W51">
            <v>2407</v>
          </cell>
          <cell r="X51">
            <v>142</v>
          </cell>
          <cell r="Y51">
            <v>60</v>
          </cell>
          <cell r="Z51">
            <v>82</v>
          </cell>
          <cell r="AA51">
            <v>23.200000000000003</v>
          </cell>
          <cell r="AB51">
            <v>20</v>
          </cell>
          <cell r="AC51">
            <v>0</v>
          </cell>
          <cell r="AD51">
            <v>0</v>
          </cell>
          <cell r="AE51">
            <v>0</v>
          </cell>
          <cell r="AF51">
            <v>0</v>
          </cell>
          <cell r="AH51">
            <v>0</v>
          </cell>
          <cell r="AI51">
            <v>0</v>
          </cell>
          <cell r="AJ51">
            <v>0</v>
          </cell>
          <cell r="AK51">
            <v>142</v>
          </cell>
          <cell r="AL51">
            <v>60</v>
          </cell>
          <cell r="AM51">
            <v>82</v>
          </cell>
          <cell r="AN51">
            <v>82</v>
          </cell>
          <cell r="AP51">
            <v>2505.6</v>
          </cell>
          <cell r="AQ51">
            <v>958</v>
          </cell>
          <cell r="AR51">
            <v>1547.6</v>
          </cell>
        </row>
        <row r="52">
          <cell r="F52">
            <v>565</v>
          </cell>
          <cell r="G52">
            <v>132</v>
          </cell>
          <cell r="H52">
            <v>433</v>
          </cell>
          <cell r="P52">
            <v>64</v>
          </cell>
          <cell r="Q52">
            <v>54080</v>
          </cell>
          <cell r="R52">
            <v>61402</v>
          </cell>
          <cell r="S52">
            <v>21</v>
          </cell>
          <cell r="T52">
            <v>109560</v>
          </cell>
          <cell r="U52">
            <v>66108.347560975613</v>
          </cell>
          <cell r="V52">
            <v>43451.652439024387</v>
          </cell>
          <cell r="W52">
            <v>93632</v>
          </cell>
          <cell r="X52">
            <v>50</v>
          </cell>
          <cell r="Y52">
            <v>21</v>
          </cell>
          <cell r="Z52">
            <v>29</v>
          </cell>
          <cell r="AA52">
            <v>38582.249838047945</v>
          </cell>
          <cell r="AB52">
            <v>76301</v>
          </cell>
          <cell r="AC52">
            <v>66</v>
          </cell>
          <cell r="AD52">
            <v>27</v>
          </cell>
          <cell r="AE52">
            <v>39</v>
          </cell>
          <cell r="AF52">
            <v>38</v>
          </cell>
          <cell r="AG52">
            <v>38</v>
          </cell>
          <cell r="AH52">
            <v>0</v>
          </cell>
          <cell r="AI52">
            <v>0</v>
          </cell>
          <cell r="AJ52">
            <v>0</v>
          </cell>
          <cell r="AK52">
            <v>927</v>
          </cell>
          <cell r="AL52">
            <v>367</v>
          </cell>
          <cell r="AM52">
            <v>560</v>
          </cell>
          <cell r="AN52">
            <v>560</v>
          </cell>
          <cell r="AP52">
            <v>253968</v>
          </cell>
          <cell r="AQ52">
            <v>117854.09772292766</v>
          </cell>
          <cell r="AR52">
            <v>136113.90227707234</v>
          </cell>
        </row>
        <row r="53">
          <cell r="F53">
            <v>1</v>
          </cell>
          <cell r="G53">
            <v>0</v>
          </cell>
          <cell r="H53">
            <v>1</v>
          </cell>
          <cell r="P53">
            <v>56.333333333333336</v>
          </cell>
          <cell r="Q53">
            <v>54080</v>
          </cell>
          <cell r="R53">
            <v>61402</v>
          </cell>
          <cell r="S53">
            <v>929</v>
          </cell>
          <cell r="T53">
            <v>724.62</v>
          </cell>
          <cell r="U53">
            <v>204.38</v>
          </cell>
          <cell r="V53">
            <v>43451.652439024387</v>
          </cell>
          <cell r="W53">
            <v>93632</v>
          </cell>
          <cell r="X53">
            <v>783</v>
          </cell>
          <cell r="Y53">
            <v>329</v>
          </cell>
          <cell r="Z53">
            <v>454</v>
          </cell>
          <cell r="AA53">
            <v>38582.249838047945</v>
          </cell>
          <cell r="AB53">
            <v>46301</v>
          </cell>
          <cell r="AC53">
            <v>187.33333333333331</v>
          </cell>
          <cell r="AD53">
            <v>76</v>
          </cell>
          <cell r="AE53">
            <v>111.33333333333331</v>
          </cell>
          <cell r="AF53">
            <v>449</v>
          </cell>
          <cell r="AG53">
            <v>400</v>
          </cell>
          <cell r="AH53">
            <v>49</v>
          </cell>
          <cell r="AI53">
            <v>0</v>
          </cell>
          <cell r="AJ53">
            <v>0</v>
          </cell>
          <cell r="AK53">
            <v>2356.666666666667</v>
          </cell>
          <cell r="AL53">
            <v>461.33333333333331</v>
          </cell>
          <cell r="AM53">
            <v>1895.3333333333337</v>
          </cell>
          <cell r="AN53">
            <v>1895.3333333333333</v>
          </cell>
          <cell r="AO53">
            <v>405</v>
          </cell>
          <cell r="AP53">
            <v>881</v>
          </cell>
          <cell r="AQ53">
            <v>56.333333333333314</v>
          </cell>
          <cell r="AR53">
            <v>1014.3333333333337</v>
          </cell>
        </row>
        <row r="54">
          <cell r="F54">
            <v>0</v>
          </cell>
          <cell r="G54">
            <v>0</v>
          </cell>
          <cell r="H54">
            <v>0</v>
          </cell>
          <cell r="P54">
            <v>0</v>
          </cell>
          <cell r="Q54">
            <v>0</v>
          </cell>
          <cell r="S54">
            <v>13.666666666666666</v>
          </cell>
          <cell r="T54">
            <v>13.666666666666666</v>
          </cell>
          <cell r="U54">
            <v>0</v>
          </cell>
          <cell r="X54">
            <v>623</v>
          </cell>
          <cell r="Y54">
            <v>262</v>
          </cell>
          <cell r="Z54">
            <v>361</v>
          </cell>
          <cell r="AA54">
            <v>0</v>
          </cell>
          <cell r="AC54">
            <v>13.333333333333334</v>
          </cell>
          <cell r="AD54">
            <v>5</v>
          </cell>
          <cell r="AE54">
            <v>8.3333333333333339</v>
          </cell>
          <cell r="AF54">
            <v>0</v>
          </cell>
          <cell r="AH54">
            <v>0</v>
          </cell>
          <cell r="AK54">
            <v>650</v>
          </cell>
          <cell r="AL54">
            <v>267</v>
          </cell>
          <cell r="AM54">
            <v>383</v>
          </cell>
          <cell r="AN54">
            <v>383</v>
          </cell>
          <cell r="AO54">
            <v>267</v>
          </cell>
          <cell r="AP54">
            <v>374</v>
          </cell>
          <cell r="AQ54">
            <v>0</v>
          </cell>
          <cell r="AR54">
            <v>9</v>
          </cell>
        </row>
        <row r="55">
          <cell r="F55">
            <v>0</v>
          </cell>
          <cell r="G55">
            <v>0</v>
          </cell>
          <cell r="H55">
            <v>0</v>
          </cell>
          <cell r="P55">
            <v>-17.336000000000013</v>
          </cell>
          <cell r="Q55">
            <v>9035.0240000000013</v>
          </cell>
          <cell r="R55">
            <v>8493</v>
          </cell>
          <cell r="S55">
            <v>21522</v>
          </cell>
          <cell r="T55">
            <v>21522</v>
          </cell>
          <cell r="U55">
            <v>0</v>
          </cell>
          <cell r="V55">
            <v>0</v>
          </cell>
          <cell r="X55">
            <v>25680</v>
          </cell>
          <cell r="Y55">
            <v>10797</v>
          </cell>
          <cell r="Z55">
            <v>14883</v>
          </cell>
          <cell r="AA55">
            <v>0</v>
          </cell>
          <cell r="AB55">
            <v>0</v>
          </cell>
          <cell r="AC55">
            <v>22580</v>
          </cell>
          <cell r="AD55">
            <v>9180</v>
          </cell>
          <cell r="AE55">
            <v>13400</v>
          </cell>
          <cell r="AF55">
            <v>1242.3679999999999</v>
          </cell>
          <cell r="AG55">
            <v>809</v>
          </cell>
          <cell r="AH55">
            <v>0</v>
          </cell>
          <cell r="AI55">
            <v>1225</v>
          </cell>
          <cell r="AJ55">
            <v>-1430.04</v>
          </cell>
          <cell r="AK55">
            <v>69782</v>
          </cell>
          <cell r="AL55">
            <v>19977</v>
          </cell>
          <cell r="AM55">
            <v>49805</v>
          </cell>
          <cell r="AN55">
            <v>49805</v>
          </cell>
          <cell r="AO55">
            <v>19977</v>
          </cell>
          <cell r="AP55">
            <v>49805</v>
          </cell>
          <cell r="AQ55">
            <v>0</v>
          </cell>
          <cell r="AR55">
            <v>0</v>
          </cell>
        </row>
        <row r="56">
          <cell r="F56">
            <v>0</v>
          </cell>
          <cell r="G56">
            <v>0</v>
          </cell>
          <cell r="H56">
            <v>0</v>
          </cell>
          <cell r="P56">
            <v>0</v>
          </cell>
          <cell r="Q56">
            <v>3026</v>
          </cell>
          <cell r="R56">
            <v>2369</v>
          </cell>
          <cell r="S56">
            <v>21522</v>
          </cell>
          <cell r="T56">
            <v>21522</v>
          </cell>
          <cell r="U56">
            <v>0</v>
          </cell>
          <cell r="V56">
            <v>582.72727272727275</v>
          </cell>
          <cell r="W56">
            <v>745</v>
          </cell>
          <cell r="X56">
            <v>25680</v>
          </cell>
          <cell r="Y56">
            <v>10797</v>
          </cell>
          <cell r="Z56">
            <v>14883</v>
          </cell>
          <cell r="AA56">
            <v>517.72727272727275</v>
          </cell>
          <cell r="AB56">
            <v>662</v>
          </cell>
          <cell r="AC56">
            <v>22580</v>
          </cell>
          <cell r="AD56">
            <v>9180</v>
          </cell>
          <cell r="AE56">
            <v>13400</v>
          </cell>
          <cell r="AF56">
            <v>0</v>
          </cell>
          <cell r="AG56">
            <v>0</v>
          </cell>
          <cell r="AH56">
            <v>0</v>
          </cell>
          <cell r="AI56">
            <v>306</v>
          </cell>
          <cell r="AJ56">
            <v>-704.5454545454545</v>
          </cell>
          <cell r="AK56">
            <v>69782</v>
          </cell>
          <cell r="AL56">
            <v>19977</v>
          </cell>
          <cell r="AM56">
            <v>49805</v>
          </cell>
          <cell r="AN56">
            <v>49805</v>
          </cell>
          <cell r="AO56">
            <v>19977</v>
          </cell>
          <cell r="AP56">
            <v>49805</v>
          </cell>
          <cell r="AQ56">
            <v>0</v>
          </cell>
          <cell r="AR56">
            <v>0</v>
          </cell>
        </row>
        <row r="57">
          <cell r="F57">
            <v>0</v>
          </cell>
          <cell r="G57">
            <v>0</v>
          </cell>
          <cell r="H57">
            <v>0</v>
          </cell>
          <cell r="P57">
            <v>-16</v>
          </cell>
          <cell r="Q57">
            <v>166</v>
          </cell>
          <cell r="R57">
            <v>129</v>
          </cell>
          <cell r="S57">
            <v>-37</v>
          </cell>
          <cell r="T57">
            <v>0</v>
          </cell>
          <cell r="U57">
            <v>0</v>
          </cell>
          <cell r="V57">
            <v>31</v>
          </cell>
          <cell r="W57">
            <v>39</v>
          </cell>
          <cell r="X57">
            <v>-14</v>
          </cell>
          <cell r="Y57">
            <v>45</v>
          </cell>
          <cell r="Z57">
            <v>17</v>
          </cell>
          <cell r="AA57">
            <v>28</v>
          </cell>
          <cell r="AB57">
            <v>35</v>
          </cell>
          <cell r="AC57">
            <v>-10</v>
          </cell>
          <cell r="AD57">
            <v>180</v>
          </cell>
          <cell r="AE57">
            <v>165</v>
          </cell>
          <cell r="AF57">
            <v>0</v>
          </cell>
          <cell r="AG57">
            <v>136</v>
          </cell>
          <cell r="AH57">
            <v>0</v>
          </cell>
          <cell r="AI57">
            <v>18</v>
          </cell>
          <cell r="AJ57">
            <v>-44</v>
          </cell>
          <cell r="AK57">
            <v>0</v>
          </cell>
          <cell r="AL57">
            <v>0</v>
          </cell>
          <cell r="AM57">
            <v>0</v>
          </cell>
          <cell r="AN57">
            <v>0</v>
          </cell>
          <cell r="AP57">
            <v>0</v>
          </cell>
          <cell r="AQ57">
            <v>169</v>
          </cell>
          <cell r="AR57">
            <v>438</v>
          </cell>
        </row>
        <row r="58">
          <cell r="F58">
            <v>7</v>
          </cell>
          <cell r="G58">
            <v>0</v>
          </cell>
          <cell r="H58">
            <v>0</v>
          </cell>
          <cell r="P58">
            <v>62.666666666666664</v>
          </cell>
          <cell r="Q58">
            <v>968</v>
          </cell>
          <cell r="R58">
            <v>610</v>
          </cell>
          <cell r="S58">
            <v>2524</v>
          </cell>
          <cell r="T58">
            <v>2524</v>
          </cell>
          <cell r="U58">
            <v>0</v>
          </cell>
          <cell r="V58">
            <v>186</v>
          </cell>
          <cell r="W58">
            <v>229</v>
          </cell>
          <cell r="X58">
            <v>0</v>
          </cell>
          <cell r="Y58">
            <v>0</v>
          </cell>
          <cell r="Z58">
            <v>0</v>
          </cell>
          <cell r="AA58">
            <v>165</v>
          </cell>
          <cell r="AB58">
            <v>205</v>
          </cell>
          <cell r="AC58">
            <v>0</v>
          </cell>
          <cell r="AD58">
            <v>0</v>
          </cell>
          <cell r="AE58">
            <v>0</v>
          </cell>
          <cell r="AF58">
            <v>306</v>
          </cell>
          <cell r="AG58">
            <v>106</v>
          </cell>
          <cell r="AH58">
            <v>200</v>
          </cell>
          <cell r="AI58">
            <v>103</v>
          </cell>
          <cell r="AJ58">
            <v>-253</v>
          </cell>
          <cell r="AK58">
            <v>2692.6666666666665</v>
          </cell>
          <cell r="AL58">
            <v>62.666666666666664</v>
          </cell>
          <cell r="AM58">
            <v>2630</v>
          </cell>
          <cell r="AN58">
            <v>2630</v>
          </cell>
          <cell r="AO58">
            <v>0</v>
          </cell>
          <cell r="AP58">
            <v>858</v>
          </cell>
          <cell r="AQ58">
            <v>62.666666666666664</v>
          </cell>
          <cell r="AR58">
            <v>1772</v>
          </cell>
        </row>
        <row r="59">
          <cell r="F59">
            <v>539.29999999999995</v>
          </cell>
          <cell r="G59">
            <v>126</v>
          </cell>
          <cell r="H59">
            <v>413.29999999999995</v>
          </cell>
          <cell r="P59">
            <v>634.45000000000005</v>
          </cell>
          <cell r="Q59">
            <v>0</v>
          </cell>
          <cell r="S59">
            <v>979.22</v>
          </cell>
          <cell r="T59">
            <v>479.81779999999998</v>
          </cell>
          <cell r="U59">
            <v>499.40220000000005</v>
          </cell>
          <cell r="V59">
            <v>0</v>
          </cell>
          <cell r="X59">
            <v>300.57554545454542</v>
          </cell>
          <cell r="Y59">
            <v>126</v>
          </cell>
          <cell r="Z59">
            <v>174.57554545454542</v>
          </cell>
          <cell r="AA59">
            <v>0</v>
          </cell>
          <cell r="AC59">
            <v>370.95090909090908</v>
          </cell>
          <cell r="AD59">
            <v>151</v>
          </cell>
          <cell r="AE59">
            <v>219.95090909090908</v>
          </cell>
          <cell r="AF59">
            <v>1182.9509090909091</v>
          </cell>
          <cell r="AG59">
            <v>1120</v>
          </cell>
          <cell r="AH59">
            <v>62.950909090909136</v>
          </cell>
          <cell r="AI59">
            <v>0</v>
          </cell>
          <cell r="AJ59">
            <v>0</v>
          </cell>
          <cell r="AK59">
            <v>4311.496454545455</v>
          </cell>
          <cell r="AL59">
            <v>1289.45</v>
          </cell>
          <cell r="AM59">
            <v>3022.0464545454552</v>
          </cell>
          <cell r="AN59">
            <v>3022.0464545454543</v>
          </cell>
          <cell r="AO59">
            <v>277</v>
          </cell>
          <cell r="AP59">
            <v>727</v>
          </cell>
          <cell r="AQ59">
            <v>1012.45</v>
          </cell>
          <cell r="AR59">
            <v>2295.0464545454552</v>
          </cell>
        </row>
        <row r="60">
          <cell r="F60">
            <v>30</v>
          </cell>
          <cell r="G60">
            <v>7</v>
          </cell>
          <cell r="H60">
            <v>23</v>
          </cell>
          <cell r="P60">
            <v>35</v>
          </cell>
          <cell r="Q60">
            <v>4149</v>
          </cell>
          <cell r="R60">
            <v>3886</v>
          </cell>
          <cell r="S60">
            <v>54</v>
          </cell>
          <cell r="T60">
            <v>26</v>
          </cell>
          <cell r="U60">
            <v>27</v>
          </cell>
          <cell r="V60">
            <v>1299</v>
          </cell>
          <cell r="W60">
            <v>2064</v>
          </cell>
          <cell r="X60">
            <v>17</v>
          </cell>
          <cell r="Y60">
            <v>7</v>
          </cell>
          <cell r="Z60">
            <v>10</v>
          </cell>
          <cell r="AA60">
            <v>1383</v>
          </cell>
          <cell r="AB60">
            <v>2209</v>
          </cell>
          <cell r="AC60">
            <v>20</v>
          </cell>
          <cell r="AD60">
            <v>8</v>
          </cell>
          <cell r="AE60">
            <v>12</v>
          </cell>
          <cell r="AF60">
            <v>65</v>
          </cell>
          <cell r="AG60">
            <v>62</v>
          </cell>
          <cell r="AH60">
            <v>3</v>
          </cell>
          <cell r="AI60">
            <v>155</v>
          </cell>
          <cell r="AJ60">
            <v>-84.666666666666742</v>
          </cell>
          <cell r="AK60">
            <v>238</v>
          </cell>
          <cell r="AL60">
            <v>71</v>
          </cell>
          <cell r="AM60">
            <v>167</v>
          </cell>
          <cell r="AN60">
            <v>167</v>
          </cell>
          <cell r="AO60">
            <v>15</v>
          </cell>
          <cell r="AP60">
            <v>34</v>
          </cell>
          <cell r="AQ60">
            <v>56</v>
          </cell>
          <cell r="AR60">
            <v>133</v>
          </cell>
        </row>
        <row r="61">
          <cell r="F61">
            <v>173</v>
          </cell>
          <cell r="G61">
            <v>41</v>
          </cell>
          <cell r="H61">
            <v>132</v>
          </cell>
          <cell r="P61">
            <v>203</v>
          </cell>
          <cell r="Q61">
            <v>0</v>
          </cell>
          <cell r="S61">
            <v>313</v>
          </cell>
          <cell r="T61">
            <v>154</v>
          </cell>
          <cell r="U61">
            <v>160</v>
          </cell>
          <cell r="X61">
            <v>96</v>
          </cell>
          <cell r="Y61">
            <v>40</v>
          </cell>
          <cell r="Z61">
            <v>56</v>
          </cell>
          <cell r="AA61">
            <v>0</v>
          </cell>
          <cell r="AC61">
            <v>119</v>
          </cell>
          <cell r="AD61">
            <v>48</v>
          </cell>
          <cell r="AE61">
            <v>71</v>
          </cell>
          <cell r="AF61">
            <v>379</v>
          </cell>
          <cell r="AG61">
            <v>358</v>
          </cell>
          <cell r="AH61">
            <v>21</v>
          </cell>
          <cell r="AI61">
            <v>0</v>
          </cell>
          <cell r="AJ61">
            <v>0</v>
          </cell>
          <cell r="AK61">
            <v>1380</v>
          </cell>
          <cell r="AL61">
            <v>413</v>
          </cell>
          <cell r="AM61">
            <v>967</v>
          </cell>
          <cell r="AN61">
            <v>967</v>
          </cell>
          <cell r="AO61">
            <v>0</v>
          </cell>
          <cell r="AP61">
            <v>0</v>
          </cell>
          <cell r="AQ61">
            <v>0</v>
          </cell>
          <cell r="AR61">
            <v>0</v>
          </cell>
        </row>
        <row r="62">
          <cell r="F62">
            <v>0</v>
          </cell>
          <cell r="G62">
            <v>0</v>
          </cell>
          <cell r="P62">
            <v>0</v>
          </cell>
          <cell r="Q62">
            <v>2962.8939999999998</v>
          </cell>
          <cell r="S62">
            <v>-2962.8939999999998</v>
          </cell>
          <cell r="T62">
            <v>176.47000000000003</v>
          </cell>
          <cell r="U62">
            <v>53</v>
          </cell>
          <cell r="X62">
            <v>0</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row>
        <row r="63">
          <cell r="F63">
            <v>93</v>
          </cell>
          <cell r="G63">
            <v>22</v>
          </cell>
          <cell r="H63">
            <v>71</v>
          </cell>
          <cell r="P63">
            <v>847</v>
          </cell>
          <cell r="Q63">
            <v>0</v>
          </cell>
          <cell r="S63">
            <v>1928</v>
          </cell>
          <cell r="T63">
            <v>308.48</v>
          </cell>
          <cell r="U63">
            <v>1619.52</v>
          </cell>
          <cell r="X63">
            <v>480</v>
          </cell>
          <cell r="Y63">
            <v>202</v>
          </cell>
          <cell r="Z63">
            <v>278</v>
          </cell>
          <cell r="AA63">
            <v>0</v>
          </cell>
          <cell r="AC63">
            <v>527</v>
          </cell>
          <cell r="AD63">
            <v>214</v>
          </cell>
          <cell r="AE63">
            <v>313</v>
          </cell>
          <cell r="AF63">
            <v>653</v>
          </cell>
          <cell r="AG63">
            <v>653</v>
          </cell>
          <cell r="AH63">
            <v>0</v>
          </cell>
          <cell r="AI63">
            <v>0</v>
          </cell>
          <cell r="AJ63">
            <v>0</v>
          </cell>
          <cell r="AK63">
            <v>4552</v>
          </cell>
          <cell r="AL63">
            <v>1305</v>
          </cell>
          <cell r="AM63">
            <v>3247</v>
          </cell>
          <cell r="AN63">
            <v>3247</v>
          </cell>
          <cell r="AO63">
            <v>416</v>
          </cell>
          <cell r="AP63">
            <v>1247</v>
          </cell>
          <cell r="AQ63">
            <v>889</v>
          </cell>
          <cell r="AR63">
            <v>2000</v>
          </cell>
        </row>
        <row r="64">
          <cell r="G64">
            <v>0</v>
          </cell>
          <cell r="P64">
            <v>-167.84999999999991</v>
          </cell>
          <cell r="Q64">
            <v>1186.1060000000002</v>
          </cell>
          <cell r="S64">
            <v>-1186.1060000000002</v>
          </cell>
          <cell r="T64">
            <v>31</v>
          </cell>
          <cell r="U64">
            <v>162</v>
          </cell>
          <cell r="X64">
            <v>-1945.53</v>
          </cell>
          <cell r="Y64">
            <v>1975.24</v>
          </cell>
          <cell r="Z64">
            <v>790</v>
          </cell>
          <cell r="AA64">
            <v>1185.24</v>
          </cell>
          <cell r="AC64">
            <v>-1975.24</v>
          </cell>
          <cell r="AD64">
            <v>716.2166666666667</v>
          </cell>
          <cell r="AE64">
            <v>641.88333333333344</v>
          </cell>
          <cell r="AF64">
            <v>74.333333333333258</v>
          </cell>
          <cell r="AG64">
            <v>1641</v>
          </cell>
          <cell r="AH64">
            <v>0</v>
          </cell>
          <cell r="AI64">
            <v>155</v>
          </cell>
          <cell r="AJ64">
            <v>0</v>
          </cell>
          <cell r="AK64">
            <v>0</v>
          </cell>
          <cell r="AN64">
            <v>0</v>
          </cell>
          <cell r="AO64">
            <v>42</v>
          </cell>
          <cell r="AP64">
            <v>125</v>
          </cell>
          <cell r="AQ64">
            <v>89</v>
          </cell>
          <cell r="AR64">
            <v>200</v>
          </cell>
        </row>
        <row r="65">
          <cell r="F65">
            <v>0</v>
          </cell>
          <cell r="G65">
            <v>0</v>
          </cell>
          <cell r="H65">
            <v>0</v>
          </cell>
          <cell r="P65">
            <v>810</v>
          </cell>
          <cell r="Q65">
            <v>2567.7454545454548</v>
          </cell>
          <cell r="R65">
            <v>2254</v>
          </cell>
          <cell r="S65">
            <v>-474</v>
          </cell>
          <cell r="T65">
            <v>1558.3090909090909</v>
          </cell>
          <cell r="U65">
            <v>591</v>
          </cell>
          <cell r="V65">
            <v>967.30909090909086</v>
          </cell>
          <cell r="W65">
            <v>1557</v>
          </cell>
          <cell r="X65">
            <v>1029</v>
          </cell>
          <cell r="Y65">
            <v>1196.7</v>
          </cell>
          <cell r="Z65">
            <v>400</v>
          </cell>
          <cell r="AA65">
            <v>796.7</v>
          </cell>
          <cell r="AB65">
            <v>1201</v>
          </cell>
          <cell r="AC65">
            <v>-117</v>
          </cell>
          <cell r="AD65">
            <v>1791.7636363636364</v>
          </cell>
          <cell r="AE65">
            <v>1791.7636363636364</v>
          </cell>
          <cell r="AF65">
            <v>266</v>
          </cell>
          <cell r="AG65">
            <v>266</v>
          </cell>
          <cell r="AH65">
            <v>0</v>
          </cell>
          <cell r="AI65">
            <v>0</v>
          </cell>
          <cell r="AJ65">
            <v>154.23636363636365</v>
          </cell>
          <cell r="AK65">
            <v>1538</v>
          </cell>
          <cell r="AL65">
            <v>830</v>
          </cell>
          <cell r="AM65">
            <v>708</v>
          </cell>
          <cell r="AN65">
            <v>-204</v>
          </cell>
          <cell r="AP65">
            <v>-130</v>
          </cell>
          <cell r="AQ65">
            <v>2319.5</v>
          </cell>
          <cell r="AR65">
            <v>6326.7601818181811</v>
          </cell>
        </row>
        <row r="66">
          <cell r="F66">
            <v>0</v>
          </cell>
          <cell r="G66">
            <v>0</v>
          </cell>
          <cell r="P66">
            <v>0</v>
          </cell>
          <cell r="Q66">
            <v>927.72727272727275</v>
          </cell>
          <cell r="R66">
            <v>1097</v>
          </cell>
          <cell r="S66">
            <v>0</v>
          </cell>
          <cell r="T66">
            <v>592</v>
          </cell>
          <cell r="U66">
            <v>231</v>
          </cell>
          <cell r="V66">
            <v>361</v>
          </cell>
          <cell r="W66">
            <v>608</v>
          </cell>
          <cell r="X66">
            <v>0</v>
          </cell>
          <cell r="Y66">
            <v>435</v>
          </cell>
          <cell r="Z66">
            <v>162</v>
          </cell>
          <cell r="AA66">
            <v>273</v>
          </cell>
          <cell r="AB66">
            <v>435</v>
          </cell>
          <cell r="AC66">
            <v>0</v>
          </cell>
          <cell r="AD66">
            <v>0</v>
          </cell>
          <cell r="AE66">
            <v>261.09090909090912</v>
          </cell>
          <cell r="AF66">
            <v>0</v>
          </cell>
          <cell r="AG66">
            <v>318</v>
          </cell>
          <cell r="AH66">
            <v>0</v>
          </cell>
          <cell r="AI66">
            <v>0</v>
          </cell>
          <cell r="AJ66">
            <v>56.909090909090878</v>
          </cell>
          <cell r="AK66">
            <v>0</v>
          </cell>
          <cell r="AL66">
            <v>0</v>
          </cell>
          <cell r="AM66">
            <v>0</v>
          </cell>
          <cell r="AN66">
            <v>0</v>
          </cell>
          <cell r="AP66">
            <v>0</v>
          </cell>
          <cell r="AQ66">
            <v>549</v>
          </cell>
          <cell r="AR66">
            <v>1822.818181818182</v>
          </cell>
        </row>
        <row r="67">
          <cell r="G67">
            <v>0</v>
          </cell>
          <cell r="H67">
            <v>71</v>
          </cell>
          <cell r="P67">
            <v>37</v>
          </cell>
          <cell r="Q67">
            <v>51</v>
          </cell>
          <cell r="R67">
            <v>60</v>
          </cell>
          <cell r="S67">
            <v>2402</v>
          </cell>
          <cell r="T67">
            <v>277.48</v>
          </cell>
          <cell r="U67">
            <v>1457.52</v>
          </cell>
          <cell r="V67">
            <v>20</v>
          </cell>
          <cell r="W67">
            <v>33</v>
          </cell>
          <cell r="X67">
            <v>-549</v>
          </cell>
          <cell r="Y67">
            <v>202</v>
          </cell>
          <cell r="Z67">
            <v>278</v>
          </cell>
          <cell r="AA67">
            <v>15</v>
          </cell>
          <cell r="AB67">
            <v>24</v>
          </cell>
          <cell r="AC67">
            <v>644</v>
          </cell>
          <cell r="AD67">
            <v>214</v>
          </cell>
          <cell r="AE67">
            <v>313</v>
          </cell>
          <cell r="AF67">
            <v>387</v>
          </cell>
          <cell r="AG67">
            <v>387</v>
          </cell>
          <cell r="AH67">
            <v>0</v>
          </cell>
          <cell r="AI67">
            <v>0</v>
          </cell>
          <cell r="AJ67">
            <v>0</v>
          </cell>
          <cell r="AK67">
            <v>2921</v>
          </cell>
          <cell r="AN67">
            <v>3451</v>
          </cell>
          <cell r="AO67">
            <v>374</v>
          </cell>
          <cell r="AP67">
            <v>1252</v>
          </cell>
          <cell r="AQ67">
            <v>800</v>
          </cell>
          <cell r="AR67">
            <v>1800</v>
          </cell>
        </row>
        <row r="68">
          <cell r="F68">
            <v>255</v>
          </cell>
          <cell r="G68">
            <v>60</v>
          </cell>
          <cell r="H68">
            <v>195</v>
          </cell>
          <cell r="P68">
            <v>859</v>
          </cell>
          <cell r="Q68">
            <v>297</v>
          </cell>
          <cell r="R68">
            <v>330</v>
          </cell>
          <cell r="S68">
            <v>1389</v>
          </cell>
          <cell r="T68">
            <v>347.25</v>
          </cell>
          <cell r="U68">
            <v>1041.75</v>
          </cell>
          <cell r="V68">
            <v>116</v>
          </cell>
          <cell r="W68">
            <v>190</v>
          </cell>
          <cell r="X68">
            <v>1415</v>
          </cell>
          <cell r="Y68">
            <v>595</v>
          </cell>
          <cell r="Z68">
            <v>820</v>
          </cell>
          <cell r="AA68">
            <v>87</v>
          </cell>
          <cell r="AB68">
            <v>137</v>
          </cell>
          <cell r="AC68">
            <v>724</v>
          </cell>
          <cell r="AD68">
            <v>294</v>
          </cell>
          <cell r="AE68">
            <v>430</v>
          </cell>
          <cell r="AF68">
            <v>1203</v>
          </cell>
          <cell r="AG68">
            <v>1203</v>
          </cell>
          <cell r="AH68">
            <v>0</v>
          </cell>
          <cell r="AI68">
            <v>0</v>
          </cell>
          <cell r="AJ68">
            <v>19</v>
          </cell>
          <cell r="AK68">
            <v>5845</v>
          </cell>
          <cell r="AL68">
            <v>1808</v>
          </cell>
          <cell r="AM68">
            <v>4037</v>
          </cell>
          <cell r="AN68">
            <v>4037</v>
          </cell>
          <cell r="AO68">
            <v>889</v>
          </cell>
          <cell r="AP68">
            <v>1722</v>
          </cell>
          <cell r="AQ68">
            <v>919</v>
          </cell>
          <cell r="AR68">
            <v>2315</v>
          </cell>
        </row>
        <row r="69">
          <cell r="G69">
            <v>0</v>
          </cell>
          <cell r="H69">
            <v>0</v>
          </cell>
          <cell r="P69">
            <v>65</v>
          </cell>
          <cell r="Q69">
            <v>0</v>
          </cell>
          <cell r="S69">
            <v>500.5</v>
          </cell>
          <cell r="T69">
            <v>0</v>
          </cell>
          <cell r="U69">
            <v>0</v>
          </cell>
          <cell r="V69">
            <v>0</v>
          </cell>
          <cell r="X69">
            <v>302.54545454545456</v>
          </cell>
          <cell r="Y69">
            <v>127</v>
          </cell>
          <cell r="Z69">
            <v>175.54545454545456</v>
          </cell>
          <cell r="AA69">
            <v>0</v>
          </cell>
          <cell r="AC69">
            <v>130.90909090909091</v>
          </cell>
          <cell r="AD69">
            <v>53</v>
          </cell>
          <cell r="AE69">
            <v>77.909090909090907</v>
          </cell>
          <cell r="AF69">
            <v>114.90909090909091</v>
          </cell>
          <cell r="AG69">
            <v>114.90909090909091</v>
          </cell>
          <cell r="AH69">
            <v>0</v>
          </cell>
          <cell r="AI69">
            <v>0</v>
          </cell>
          <cell r="AJ69">
            <v>0</v>
          </cell>
          <cell r="AK69">
            <v>1113.8636363636363</v>
          </cell>
          <cell r="AL69">
            <v>245</v>
          </cell>
          <cell r="AM69">
            <v>868.86363636363626</v>
          </cell>
          <cell r="AN69">
            <v>868.86363636363626</v>
          </cell>
          <cell r="AP69">
            <v>0</v>
          </cell>
          <cell r="AQ69">
            <v>0</v>
          </cell>
          <cell r="AR69">
            <v>0</v>
          </cell>
        </row>
        <row r="70">
          <cell r="F70">
            <v>0</v>
          </cell>
          <cell r="G70">
            <v>0</v>
          </cell>
          <cell r="H70">
            <v>0</v>
          </cell>
          <cell r="P70">
            <v>4</v>
          </cell>
          <cell r="Q70" t="e">
            <v>#REF!</v>
          </cell>
          <cell r="S70">
            <v>28</v>
          </cell>
          <cell r="T70">
            <v>897.27272727272725</v>
          </cell>
          <cell r="U70">
            <v>386</v>
          </cell>
          <cell r="V70">
            <v>511.27272727272725</v>
          </cell>
          <cell r="X70">
            <v>17</v>
          </cell>
          <cell r="Y70">
            <v>7</v>
          </cell>
          <cell r="Z70">
            <v>10</v>
          </cell>
          <cell r="AA70">
            <v>430.9</v>
          </cell>
          <cell r="AC70">
            <v>7</v>
          </cell>
          <cell r="AD70">
            <v>3</v>
          </cell>
          <cell r="AE70">
            <v>4</v>
          </cell>
          <cell r="AF70">
            <v>6</v>
          </cell>
          <cell r="AG70">
            <v>6</v>
          </cell>
          <cell r="AH70">
            <v>0</v>
          </cell>
          <cell r="AI70">
            <v>0</v>
          </cell>
          <cell r="AJ70">
            <v>-1285.7636363636364</v>
          </cell>
          <cell r="AK70">
            <v>62</v>
          </cell>
          <cell r="AL70">
            <v>14</v>
          </cell>
          <cell r="AM70">
            <v>48</v>
          </cell>
          <cell r="AN70">
            <v>48</v>
          </cell>
          <cell r="AP70" t="e">
            <v>#REF!</v>
          </cell>
          <cell r="AQ70" t="e">
            <v>#REF!</v>
          </cell>
        </row>
        <row r="71">
          <cell r="F71">
            <v>0</v>
          </cell>
          <cell r="G71">
            <v>0</v>
          </cell>
          <cell r="H71">
            <v>0</v>
          </cell>
          <cell r="P71">
            <v>21</v>
          </cell>
          <cell r="Q71" t="e">
            <v>#REF!</v>
          </cell>
          <cell r="S71">
            <v>160</v>
          </cell>
          <cell r="T71">
            <v>0</v>
          </cell>
          <cell r="U71">
            <v>0</v>
          </cell>
          <cell r="V71">
            <v>0</v>
          </cell>
          <cell r="X71">
            <v>97</v>
          </cell>
          <cell r="Y71">
            <v>41</v>
          </cell>
          <cell r="Z71">
            <v>56</v>
          </cell>
          <cell r="AA71">
            <v>0</v>
          </cell>
          <cell r="AC71">
            <v>42</v>
          </cell>
          <cell r="AD71">
            <v>17</v>
          </cell>
          <cell r="AE71">
            <v>25</v>
          </cell>
          <cell r="AF71">
            <v>37</v>
          </cell>
          <cell r="AG71">
            <v>37</v>
          </cell>
          <cell r="AH71">
            <v>0</v>
          </cell>
          <cell r="AI71">
            <v>0</v>
          </cell>
          <cell r="AJ71">
            <v>0</v>
          </cell>
          <cell r="AK71">
            <v>357</v>
          </cell>
          <cell r="AL71">
            <v>79</v>
          </cell>
          <cell r="AM71">
            <v>278</v>
          </cell>
          <cell r="AN71">
            <v>278</v>
          </cell>
          <cell r="AP71" t="e">
            <v>#REF!</v>
          </cell>
          <cell r="AQ71" t="e">
            <v>#REF!</v>
          </cell>
        </row>
        <row r="72">
          <cell r="F72">
            <v>0</v>
          </cell>
          <cell r="G72">
            <v>0</v>
          </cell>
          <cell r="P72">
            <v>360</v>
          </cell>
          <cell r="Q72">
            <v>483.76</v>
          </cell>
          <cell r="R72">
            <v>403</v>
          </cell>
          <cell r="S72">
            <v>-80.759999999999991</v>
          </cell>
          <cell r="T72">
            <v>221.00800000000004</v>
          </cell>
          <cell r="U72">
            <v>84</v>
          </cell>
          <cell r="V72">
            <v>137.00800000000004</v>
          </cell>
          <cell r="W72">
            <v>175</v>
          </cell>
          <cell r="X72">
            <v>0</v>
          </cell>
          <cell r="Y72">
            <v>192.512</v>
          </cell>
          <cell r="Z72">
            <v>72</v>
          </cell>
          <cell r="AA72">
            <v>120.512</v>
          </cell>
          <cell r="AB72">
            <v>94</v>
          </cell>
          <cell r="AC72">
            <v>0</v>
          </cell>
          <cell r="AD72">
            <v>423.85066666666671</v>
          </cell>
          <cell r="AE72">
            <v>380.04</v>
          </cell>
          <cell r="AF72">
            <v>0</v>
          </cell>
          <cell r="AG72">
            <v>0</v>
          </cell>
          <cell r="AH72">
            <v>0</v>
          </cell>
          <cell r="AI72">
            <v>35</v>
          </cell>
          <cell r="AJ72">
            <v>-44.850666666666712</v>
          </cell>
          <cell r="AK72">
            <v>360</v>
          </cell>
          <cell r="AL72">
            <v>360</v>
          </cell>
          <cell r="AM72">
            <v>0</v>
          </cell>
          <cell r="AN72">
            <v>0</v>
          </cell>
          <cell r="AP72">
            <v>6676.0333333333338</v>
          </cell>
          <cell r="AQ72" t="e">
            <v>#REF!</v>
          </cell>
          <cell r="AR72" t="e">
            <v>#REF!</v>
          </cell>
        </row>
        <row r="73">
          <cell r="G73">
            <v>0</v>
          </cell>
          <cell r="P73">
            <v>0</v>
          </cell>
          <cell r="Q73">
            <v>0</v>
          </cell>
          <cell r="S73">
            <v>1558</v>
          </cell>
          <cell r="T73">
            <v>0</v>
          </cell>
          <cell r="U73">
            <v>0</v>
          </cell>
          <cell r="V73">
            <v>0</v>
          </cell>
          <cell r="X73">
            <v>1785</v>
          </cell>
          <cell r="Y73">
            <v>750</v>
          </cell>
          <cell r="Z73">
            <v>1035</v>
          </cell>
          <cell r="AA73">
            <v>0</v>
          </cell>
          <cell r="AC73">
            <v>633</v>
          </cell>
          <cell r="AD73">
            <v>257</v>
          </cell>
          <cell r="AE73">
            <v>376</v>
          </cell>
          <cell r="AF73">
            <v>530</v>
          </cell>
          <cell r="AG73">
            <v>530</v>
          </cell>
          <cell r="AI73">
            <v>0</v>
          </cell>
          <cell r="AJ73">
            <v>0</v>
          </cell>
          <cell r="AK73">
            <v>4506</v>
          </cell>
          <cell r="AL73">
            <v>1007</v>
          </cell>
          <cell r="AM73">
            <v>3499</v>
          </cell>
          <cell r="AN73">
            <v>3499</v>
          </cell>
          <cell r="AP73">
            <v>228.66666666666669</v>
          </cell>
          <cell r="AQ73">
            <v>70</v>
          </cell>
          <cell r="AR73">
            <v>158.66666666666669</v>
          </cell>
        </row>
        <row r="74">
          <cell r="G74">
            <v>0</v>
          </cell>
          <cell r="P74">
            <v>-189.52</v>
          </cell>
          <cell r="Q74">
            <v>483.76</v>
          </cell>
          <cell r="S74">
            <v>0</v>
          </cell>
          <cell r="T74">
            <v>221.00800000000004</v>
          </cell>
          <cell r="U74">
            <v>84</v>
          </cell>
          <cell r="V74">
            <v>137.00800000000004</v>
          </cell>
          <cell r="X74">
            <v>0</v>
          </cell>
          <cell r="Y74">
            <v>192.512</v>
          </cell>
          <cell r="Z74">
            <v>0</v>
          </cell>
          <cell r="AA74">
            <v>120.512</v>
          </cell>
          <cell r="AC74">
            <v>0</v>
          </cell>
          <cell r="AD74">
            <v>0</v>
          </cell>
          <cell r="AE74">
            <v>0</v>
          </cell>
          <cell r="AF74">
            <v>43.810666666666691</v>
          </cell>
          <cell r="AG74">
            <v>379</v>
          </cell>
          <cell r="AH74">
            <v>0</v>
          </cell>
          <cell r="AI74">
            <v>35</v>
          </cell>
          <cell r="AJ74">
            <v>-44.850666666666712</v>
          </cell>
          <cell r="AK74">
            <v>0</v>
          </cell>
          <cell r="AL74">
            <v>0</v>
          </cell>
          <cell r="AM74">
            <v>0</v>
          </cell>
          <cell r="AN74">
            <v>0</v>
          </cell>
          <cell r="AP74">
            <v>6447.3666666666668</v>
          </cell>
          <cell r="AQ74">
            <v>2090.12</v>
          </cell>
          <cell r="AR74">
            <v>4357.2466666666669</v>
          </cell>
        </row>
        <row r="75">
          <cell r="F75">
            <v>2851</v>
          </cell>
          <cell r="G75">
            <v>667</v>
          </cell>
          <cell r="H75">
            <v>2184</v>
          </cell>
          <cell r="P75">
            <v>425.2</v>
          </cell>
          <cell r="Q75">
            <v>304.76</v>
          </cell>
          <cell r="S75">
            <v>390.26666666666665</v>
          </cell>
          <cell r="T75">
            <v>100.1</v>
          </cell>
          <cell r="U75">
            <v>290.16666666666663</v>
          </cell>
          <cell r="V75">
            <v>74.808000000000021</v>
          </cell>
          <cell r="X75">
            <v>201.3</v>
          </cell>
          <cell r="Y75">
            <v>85</v>
          </cell>
          <cell r="Z75">
            <v>116.30000000000001</v>
          </cell>
          <cell r="AA75">
            <v>25.711999999999989</v>
          </cell>
          <cell r="AC75">
            <v>131.53333333333333</v>
          </cell>
          <cell r="AD75">
            <v>53</v>
          </cell>
          <cell r="AE75">
            <v>78.533333333333331</v>
          </cell>
          <cell r="AF75">
            <v>477</v>
          </cell>
          <cell r="AG75">
            <v>378</v>
          </cell>
          <cell r="AH75">
            <v>99</v>
          </cell>
          <cell r="AJ75">
            <v>-284.25066666666669</v>
          </cell>
          <cell r="AK75">
            <v>4983.3</v>
          </cell>
          <cell r="AL75">
            <v>1611.2</v>
          </cell>
          <cell r="AM75">
            <v>3372.1000000000004</v>
          </cell>
          <cell r="AN75">
            <v>3372.1</v>
          </cell>
          <cell r="AO75">
            <v>138</v>
          </cell>
          <cell r="AP75">
            <v>328</v>
          </cell>
          <cell r="AQ75">
            <v>1473.2</v>
          </cell>
          <cell r="AR75">
            <v>3044.1000000000004</v>
          </cell>
        </row>
        <row r="76">
          <cell r="F76">
            <v>121</v>
          </cell>
          <cell r="G76">
            <v>28</v>
          </cell>
          <cell r="H76">
            <v>93</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121</v>
          </cell>
          <cell r="AL76">
            <v>28</v>
          </cell>
          <cell r="AM76">
            <v>93</v>
          </cell>
          <cell r="AN76">
            <v>93</v>
          </cell>
          <cell r="AO76">
            <v>0</v>
          </cell>
          <cell r="AP76">
            <v>0</v>
          </cell>
          <cell r="AQ76">
            <v>28</v>
          </cell>
          <cell r="AR76">
            <v>93</v>
          </cell>
        </row>
        <row r="77">
          <cell r="F77">
            <v>2730</v>
          </cell>
          <cell r="G77">
            <v>639</v>
          </cell>
          <cell r="H77">
            <v>2091</v>
          </cell>
          <cell r="P77">
            <v>425.2</v>
          </cell>
          <cell r="Q77">
            <v>80.800000000000011</v>
          </cell>
          <cell r="S77">
            <v>390.26666666666665</v>
          </cell>
          <cell r="T77">
            <v>100.1</v>
          </cell>
          <cell r="U77">
            <v>290.16666666666663</v>
          </cell>
          <cell r="V77">
            <v>40.400000000000006</v>
          </cell>
          <cell r="X77">
            <v>201.3</v>
          </cell>
          <cell r="Y77">
            <v>85</v>
          </cell>
          <cell r="Z77">
            <v>116.30000000000001</v>
          </cell>
          <cell r="AA77">
            <v>27.200000000000003</v>
          </cell>
          <cell r="AC77">
            <v>131.53333333333333</v>
          </cell>
          <cell r="AD77">
            <v>53</v>
          </cell>
          <cell r="AE77">
            <v>78.533333333333331</v>
          </cell>
          <cell r="AF77">
            <v>477</v>
          </cell>
          <cell r="AG77">
            <v>378</v>
          </cell>
          <cell r="AH77">
            <v>99</v>
          </cell>
          <cell r="AK77">
            <v>4862.3</v>
          </cell>
          <cell r="AL77">
            <v>1583.2</v>
          </cell>
          <cell r="AM77">
            <v>3279.1000000000004</v>
          </cell>
          <cell r="AN77">
            <v>3279.1</v>
          </cell>
          <cell r="AO77">
            <v>138</v>
          </cell>
          <cell r="AP77">
            <v>328</v>
          </cell>
          <cell r="AQ77">
            <v>1445.2</v>
          </cell>
          <cell r="AR77">
            <v>2951.1000000000004</v>
          </cell>
        </row>
        <row r="78">
          <cell r="F78">
            <v>316</v>
          </cell>
          <cell r="G78">
            <v>74</v>
          </cell>
          <cell r="H78">
            <v>242</v>
          </cell>
          <cell r="P78">
            <v>150</v>
          </cell>
          <cell r="Q78">
            <v>98.2</v>
          </cell>
          <cell r="S78">
            <v>151.66666666666666</v>
          </cell>
          <cell r="T78">
            <v>100.1</v>
          </cell>
          <cell r="U78">
            <v>51.566666666666663</v>
          </cell>
          <cell r="V78">
            <v>37.799999999999997</v>
          </cell>
          <cell r="X78">
            <v>62</v>
          </cell>
          <cell r="Y78">
            <v>26</v>
          </cell>
          <cell r="Z78">
            <v>36</v>
          </cell>
          <cell r="AA78">
            <v>67.599999999999994</v>
          </cell>
          <cell r="AC78">
            <v>77</v>
          </cell>
          <cell r="AD78">
            <v>53</v>
          </cell>
          <cell r="AE78">
            <v>24</v>
          </cell>
          <cell r="AF78">
            <v>286</v>
          </cell>
          <cell r="AG78">
            <v>200</v>
          </cell>
          <cell r="AH78">
            <v>86</v>
          </cell>
          <cell r="AK78">
            <v>956.66666666666663</v>
          </cell>
          <cell r="AL78">
            <v>303</v>
          </cell>
          <cell r="AM78">
            <v>653.66666666666663</v>
          </cell>
          <cell r="AN78">
            <v>653.66666666666663</v>
          </cell>
          <cell r="AR78">
            <v>653.66666666666663</v>
          </cell>
        </row>
        <row r="79">
          <cell r="G79">
            <v>0</v>
          </cell>
          <cell r="H79">
            <v>0</v>
          </cell>
          <cell r="P79">
            <v>0</v>
          </cell>
          <cell r="Q79">
            <v>7.5</v>
          </cell>
          <cell r="S79">
            <v>0</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358</v>
          </cell>
          <cell r="AL79">
            <v>158</v>
          </cell>
          <cell r="AM79">
            <v>200</v>
          </cell>
          <cell r="AN79">
            <v>200</v>
          </cell>
          <cell r="AP79">
            <v>372.7</v>
          </cell>
          <cell r="AQ79">
            <v>104.1</v>
          </cell>
          <cell r="AR79">
            <v>200</v>
          </cell>
        </row>
        <row r="80">
          <cell r="F80">
            <v>316</v>
          </cell>
          <cell r="G80">
            <v>74</v>
          </cell>
          <cell r="H80">
            <v>242</v>
          </cell>
          <cell r="P80">
            <v>13</v>
          </cell>
          <cell r="Q80">
            <v>77353.513454545449</v>
          </cell>
          <cell r="R80">
            <v>83057</v>
          </cell>
          <cell r="S80">
            <v>38.333333333333336</v>
          </cell>
          <cell r="T80">
            <v>117852.27636363638</v>
          </cell>
          <cell r="U80">
            <v>69321.347560975613</v>
          </cell>
          <cell r="V80">
            <v>48530.928802660754</v>
          </cell>
          <cell r="W80">
            <v>101508</v>
          </cell>
          <cell r="X80">
            <v>53</v>
          </cell>
          <cell r="Y80">
            <v>22</v>
          </cell>
          <cell r="Z80">
            <v>31</v>
          </cell>
          <cell r="AA80">
            <v>42067.557110775218</v>
          </cell>
          <cell r="AB80">
            <v>81399</v>
          </cell>
          <cell r="AC80">
            <v>7.333333333333333</v>
          </cell>
          <cell r="AD80">
            <v>3</v>
          </cell>
          <cell r="AE80">
            <v>4.333333333333333</v>
          </cell>
          <cell r="AF80">
            <v>73</v>
          </cell>
          <cell r="AG80">
            <v>68</v>
          </cell>
          <cell r="AH80">
            <v>5</v>
          </cell>
          <cell r="AI80">
            <v>2032</v>
          </cell>
          <cell r="AJ80">
            <v>-2476.5650909090909</v>
          </cell>
          <cell r="AK80">
            <v>498.66666666666663</v>
          </cell>
          <cell r="AL80">
            <v>114</v>
          </cell>
          <cell r="AM80">
            <v>384.66666666666663</v>
          </cell>
          <cell r="AN80">
            <v>384.66666666666663</v>
          </cell>
          <cell r="AP80">
            <v>317284.31872727274</v>
          </cell>
          <cell r="AQ80" t="e">
            <v>#REF!</v>
          </cell>
          <cell r="AR80" t="e">
            <v>#REF!</v>
          </cell>
        </row>
        <row r="81">
          <cell r="F81">
            <v>554.79999999999995</v>
          </cell>
          <cell r="G81">
            <v>130</v>
          </cell>
          <cell r="H81">
            <v>424.79999999999995</v>
          </cell>
          <cell r="P81">
            <v>262.2</v>
          </cell>
          <cell r="S81">
            <v>200.26666666666665</v>
          </cell>
          <cell r="X81">
            <v>86.3</v>
          </cell>
          <cell r="Y81">
            <v>36</v>
          </cell>
          <cell r="Z81">
            <v>50.3</v>
          </cell>
          <cell r="AC81">
            <v>47.2</v>
          </cell>
          <cell r="AD81">
            <v>19</v>
          </cell>
          <cell r="AE81">
            <v>28.200000000000003</v>
          </cell>
          <cell r="AF81">
            <v>118</v>
          </cell>
          <cell r="AG81">
            <v>109</v>
          </cell>
          <cell r="AH81">
            <v>9</v>
          </cell>
          <cell r="AJ81">
            <v>0</v>
          </cell>
          <cell r="AK81">
            <v>1267.7666666666667</v>
          </cell>
          <cell r="AL81">
            <v>451.2</v>
          </cell>
          <cell r="AM81">
            <v>816.56666666666661</v>
          </cell>
          <cell r="AN81">
            <v>816.56666666666661</v>
          </cell>
          <cell r="AP81">
            <v>63316.318727272737</v>
          </cell>
          <cell r="AQ81" t="e">
            <v>#REF!</v>
          </cell>
          <cell r="AR81" t="e">
            <v>#REF!</v>
          </cell>
        </row>
        <row r="82">
          <cell r="G82">
            <v>0</v>
          </cell>
          <cell r="H82">
            <v>0</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row>
        <row r="83">
          <cell r="F83">
            <v>0</v>
          </cell>
          <cell r="G83">
            <v>0</v>
          </cell>
          <cell r="H83">
            <v>0</v>
          </cell>
          <cell r="P83">
            <v>14</v>
          </cell>
          <cell r="S83">
            <v>0</v>
          </cell>
          <cell r="X83">
            <v>0</v>
          </cell>
          <cell r="AC83">
            <v>4</v>
          </cell>
          <cell r="AF83">
            <v>43</v>
          </cell>
          <cell r="AG83">
            <v>43</v>
          </cell>
          <cell r="AH83">
            <v>0</v>
          </cell>
          <cell r="AJ83">
            <v>0</v>
          </cell>
          <cell r="AK83">
            <v>18</v>
          </cell>
          <cell r="AL83">
            <v>14</v>
          </cell>
          <cell r="AM83">
            <v>4</v>
          </cell>
          <cell r="AN83">
            <v>0</v>
          </cell>
          <cell r="AP83">
            <v>11292</v>
          </cell>
          <cell r="AQ83">
            <v>11292</v>
          </cell>
          <cell r="AR83">
            <v>0</v>
          </cell>
        </row>
        <row r="84">
          <cell r="F84">
            <v>4725.3</v>
          </cell>
          <cell r="G84">
            <v>1106</v>
          </cell>
          <cell r="H84">
            <v>3619.3</v>
          </cell>
          <cell r="P84">
            <v>3426.6499999999996</v>
          </cell>
          <cell r="Q84">
            <v>0</v>
          </cell>
          <cell r="R84">
            <v>0</v>
          </cell>
          <cell r="S84">
            <v>31360.486666666668</v>
          </cell>
          <cell r="T84">
            <v>26852.267799999998</v>
          </cell>
          <cell r="U84">
            <v>4508.2188666666671</v>
          </cell>
          <cell r="V84">
            <v>48530.928802660754</v>
          </cell>
          <cell r="W84">
            <v>101508</v>
          </cell>
          <cell r="X84">
            <v>29515.875545454546</v>
          </cell>
          <cell r="Y84">
            <v>12409</v>
          </cell>
          <cell r="Z84">
            <v>17106.875545454543</v>
          </cell>
          <cell r="AA84">
            <v>0</v>
          </cell>
          <cell r="AB84">
            <v>0</v>
          </cell>
          <cell r="AC84">
            <v>24859.817575757574</v>
          </cell>
          <cell r="AD84">
            <v>10105</v>
          </cell>
          <cell r="AE84">
            <v>14754.817575757575</v>
          </cell>
          <cell r="AF84">
            <v>5250.9509090909087</v>
          </cell>
          <cell r="AG84">
            <v>4780</v>
          </cell>
          <cell r="AH84">
            <v>470.95090909090914</v>
          </cell>
          <cell r="AI84">
            <v>2032</v>
          </cell>
          <cell r="AJ84">
            <v>-2476.5650909090909</v>
          </cell>
          <cell r="AK84">
            <v>99994.129787878803</v>
          </cell>
          <cell r="AL84">
            <v>27965.65</v>
          </cell>
          <cell r="AM84">
            <v>72028.479787878794</v>
          </cell>
          <cell r="AN84">
            <v>72028.479787878794</v>
          </cell>
          <cell r="AO84">
            <v>22426</v>
          </cell>
          <cell r="AP84">
            <v>56489</v>
          </cell>
          <cell r="AQ84">
            <v>5126.6499999999996</v>
          </cell>
          <cell r="AR84">
            <v>14572.479787878789</v>
          </cell>
        </row>
        <row r="85">
          <cell r="F85">
            <v>742.3</v>
          </cell>
          <cell r="G85">
            <v>126</v>
          </cell>
          <cell r="H85">
            <v>413.29999999999995</v>
          </cell>
          <cell r="P85">
            <v>699.45</v>
          </cell>
          <cell r="Q85">
            <v>0</v>
          </cell>
          <cell r="R85">
            <v>0</v>
          </cell>
          <cell r="S85">
            <v>0</v>
          </cell>
          <cell r="T85">
            <v>479.81779999999998</v>
          </cell>
          <cell r="U85">
            <v>499.40220000000005</v>
          </cell>
          <cell r="V85">
            <v>0</v>
          </cell>
          <cell r="W85">
            <v>0</v>
          </cell>
          <cell r="X85">
            <v>0</v>
          </cell>
          <cell r="Y85">
            <v>253</v>
          </cell>
          <cell r="Z85">
            <v>350.12099999999998</v>
          </cell>
          <cell r="AA85">
            <v>0</v>
          </cell>
          <cell r="AB85">
            <v>0</v>
          </cell>
          <cell r="AC85">
            <v>0</v>
          </cell>
          <cell r="AD85">
            <v>204</v>
          </cell>
          <cell r="AE85">
            <v>297.86</v>
          </cell>
          <cell r="AH85">
            <v>62.950909090909136</v>
          </cell>
          <cell r="AI85">
            <v>0</v>
          </cell>
          <cell r="AJ85">
            <v>0</v>
          </cell>
          <cell r="AK85">
            <v>5425.360090909091</v>
          </cell>
          <cell r="AL85">
            <v>1534.45</v>
          </cell>
          <cell r="AM85">
            <v>3890.9100909090912</v>
          </cell>
          <cell r="AN85">
            <v>1176.2809999999999</v>
          </cell>
          <cell r="AP85">
            <v>-1</v>
          </cell>
          <cell r="AQ85">
            <v>0</v>
          </cell>
          <cell r="AR85">
            <v>-1</v>
          </cell>
        </row>
        <row r="86">
          <cell r="P86">
            <v>0</v>
          </cell>
          <cell r="Q86">
            <v>0</v>
          </cell>
          <cell r="S86">
            <v>0</v>
          </cell>
          <cell r="T86">
            <v>0</v>
          </cell>
          <cell r="U86">
            <v>0</v>
          </cell>
          <cell r="V86">
            <v>0</v>
          </cell>
          <cell r="X86">
            <v>0</v>
          </cell>
          <cell r="Y86">
            <v>0</v>
          </cell>
          <cell r="AC86">
            <v>0</v>
          </cell>
          <cell r="AI86">
            <v>0</v>
          </cell>
          <cell r="AJ86">
            <v>0</v>
          </cell>
          <cell r="AL86">
            <v>27965.65</v>
          </cell>
          <cell r="AN86">
            <v>0</v>
          </cell>
          <cell r="AP86">
            <v>3705</v>
          </cell>
          <cell r="AQ86">
            <v>1959</v>
          </cell>
          <cell r="AR86">
            <v>1746</v>
          </cell>
        </row>
        <row r="87">
          <cell r="F87">
            <v>8046</v>
          </cell>
          <cell r="G87">
            <v>8046</v>
          </cell>
          <cell r="P87">
            <v>0</v>
          </cell>
          <cell r="Q87">
            <v>0</v>
          </cell>
          <cell r="S87">
            <v>0</v>
          </cell>
          <cell r="T87">
            <v>0</v>
          </cell>
          <cell r="U87">
            <v>0</v>
          </cell>
          <cell r="V87">
            <v>0</v>
          </cell>
          <cell r="X87">
            <v>0</v>
          </cell>
          <cell r="Y87">
            <v>0</v>
          </cell>
          <cell r="Z87">
            <v>0</v>
          </cell>
          <cell r="AA87">
            <v>0</v>
          </cell>
          <cell r="AC87">
            <v>0</v>
          </cell>
          <cell r="AI87">
            <v>0</v>
          </cell>
          <cell r="AJ87">
            <v>0</v>
          </cell>
          <cell r="AK87">
            <v>15510</v>
          </cell>
          <cell r="AL87">
            <v>15510</v>
          </cell>
          <cell r="AM87">
            <v>0</v>
          </cell>
          <cell r="AN87">
            <v>0</v>
          </cell>
          <cell r="AO87">
            <v>0</v>
          </cell>
          <cell r="AP87">
            <v>0</v>
          </cell>
          <cell r="AQ87">
            <v>0</v>
          </cell>
          <cell r="AR87">
            <v>0</v>
          </cell>
        </row>
        <row r="88">
          <cell r="F88">
            <v>12771.3</v>
          </cell>
          <cell r="G88">
            <v>9152</v>
          </cell>
          <cell r="H88">
            <v>3619.3</v>
          </cell>
          <cell r="P88">
            <v>3426.6499999999996</v>
          </cell>
          <cell r="Q88">
            <v>0</v>
          </cell>
          <cell r="R88">
            <v>0</v>
          </cell>
          <cell r="S88">
            <v>31360.486666666668</v>
          </cell>
          <cell r="T88">
            <v>26852.267799999998</v>
          </cell>
          <cell r="U88">
            <v>4508.2188666666671</v>
          </cell>
          <cell r="V88">
            <v>0</v>
          </cell>
          <cell r="W88">
            <v>0</v>
          </cell>
          <cell r="X88">
            <v>29515.875545454546</v>
          </cell>
          <cell r="Y88">
            <v>12409</v>
          </cell>
          <cell r="Z88">
            <v>17106.875545454543</v>
          </cell>
          <cell r="AA88">
            <v>0</v>
          </cell>
          <cell r="AB88">
            <v>0</v>
          </cell>
          <cell r="AC88">
            <v>24859.817575757574</v>
          </cell>
          <cell r="AD88">
            <v>10105</v>
          </cell>
          <cell r="AE88">
            <v>14754.817575757575</v>
          </cell>
          <cell r="AF88">
            <v>5250.9509090909087</v>
          </cell>
          <cell r="AG88">
            <v>4780</v>
          </cell>
          <cell r="AH88">
            <v>470.95090909090914</v>
          </cell>
          <cell r="AI88">
            <v>29</v>
          </cell>
          <cell r="AJ88">
            <v>7.6666666666666643</v>
          </cell>
          <cell r="AK88">
            <v>115504.1297878788</v>
          </cell>
          <cell r="AL88">
            <v>43475.65</v>
          </cell>
          <cell r="AM88">
            <v>72028.479787878794</v>
          </cell>
          <cell r="AN88">
            <v>72028.479787878794</v>
          </cell>
          <cell r="AO88">
            <v>22426</v>
          </cell>
          <cell r="AP88">
            <v>56489</v>
          </cell>
          <cell r="AQ88">
            <v>5126.6499999999996</v>
          </cell>
          <cell r="AR88">
            <v>14572.479787878789</v>
          </cell>
        </row>
        <row r="89">
          <cell r="F89">
            <v>0</v>
          </cell>
          <cell r="G89">
            <v>0</v>
          </cell>
          <cell r="H89">
            <v>0</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0</v>
          </cell>
          <cell r="AI89">
            <v>2061</v>
          </cell>
          <cell r="AJ89">
            <v>-2468.8984242424249</v>
          </cell>
          <cell r="AK89">
            <v>0</v>
          </cell>
          <cell r="AM89">
            <v>0</v>
          </cell>
          <cell r="AN89">
            <v>0</v>
          </cell>
          <cell r="AO89">
            <v>0</v>
          </cell>
          <cell r="AP89">
            <v>0</v>
          </cell>
          <cell r="AQ89">
            <v>0</v>
          </cell>
          <cell r="AR89">
            <v>-1</v>
          </cell>
        </row>
        <row r="90">
          <cell r="F90">
            <v>1399</v>
          </cell>
          <cell r="G90">
            <v>577</v>
          </cell>
          <cell r="H90">
            <v>822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0</v>
          </cell>
          <cell r="AI90">
            <v>2061</v>
          </cell>
          <cell r="AJ90">
            <v>-2468.8984242424249</v>
          </cell>
          <cell r="AK90">
            <v>1399</v>
          </cell>
          <cell r="AL90">
            <v>577</v>
          </cell>
          <cell r="AM90">
            <v>822</v>
          </cell>
          <cell r="AN90">
            <v>822</v>
          </cell>
          <cell r="AO90">
            <v>0</v>
          </cell>
          <cell r="AP90">
            <v>0</v>
          </cell>
          <cell r="AQ90">
            <v>324.65864935622579</v>
          </cell>
          <cell r="AR90">
            <v>64.064345846314197</v>
          </cell>
        </row>
        <row r="91">
          <cell r="F91">
            <v>68</v>
          </cell>
          <cell r="G91">
            <v>19.466024096385546</v>
          </cell>
          <cell r="H91">
            <v>48.533975903614454</v>
          </cell>
          <cell r="P91">
            <v>-223.27272727272725</v>
          </cell>
          <cell r="Q91">
            <v>3953.727272727273</v>
          </cell>
          <cell r="R91">
            <v>3466</v>
          </cell>
          <cell r="S91">
            <v>0</v>
          </cell>
          <cell r="T91">
            <v>0</v>
          </cell>
          <cell r="U91">
            <v>0</v>
          </cell>
          <cell r="V91">
            <v>943.72727272727275</v>
          </cell>
          <cell r="W91">
            <v>1353</v>
          </cell>
          <cell r="X91">
            <v>0</v>
          </cell>
          <cell r="Y91">
            <v>0</v>
          </cell>
          <cell r="Z91">
            <v>0</v>
          </cell>
          <cell r="AA91">
            <v>0</v>
          </cell>
          <cell r="AB91">
            <v>0</v>
          </cell>
          <cell r="AC91">
            <v>0</v>
          </cell>
          <cell r="AD91">
            <v>0</v>
          </cell>
          <cell r="AE91">
            <v>0</v>
          </cell>
          <cell r="AF91">
            <v>269</v>
          </cell>
          <cell r="AG91">
            <v>2881</v>
          </cell>
          <cell r="AH91">
            <v>0</v>
          </cell>
          <cell r="AI91">
            <v>306</v>
          </cell>
          <cell r="AJ91">
            <v>-647.63636363636351</v>
          </cell>
          <cell r="AK91">
            <v>68</v>
          </cell>
          <cell r="AL91">
            <v>19.466024096385546</v>
          </cell>
          <cell r="AM91">
            <v>48.533975903614454</v>
          </cell>
          <cell r="AN91">
            <v>48.533975903614454</v>
          </cell>
          <cell r="AO91">
            <v>0</v>
          </cell>
          <cell r="AP91">
            <v>0</v>
          </cell>
          <cell r="AQ91">
            <v>0</v>
          </cell>
          <cell r="AR91">
            <v>0</v>
          </cell>
        </row>
        <row r="92">
          <cell r="F92">
            <v>0</v>
          </cell>
          <cell r="G92">
            <v>0</v>
          </cell>
          <cell r="H92">
            <v>0</v>
          </cell>
          <cell r="P92">
            <v>-107</v>
          </cell>
          <cell r="S92">
            <v>-90</v>
          </cell>
          <cell r="X92">
            <v>0</v>
          </cell>
          <cell r="Y92">
            <v>0</v>
          </cell>
          <cell r="Z92">
            <v>0</v>
          </cell>
          <cell r="AC92">
            <v>0</v>
          </cell>
          <cell r="AD92">
            <v>0</v>
          </cell>
          <cell r="AE92">
            <v>0</v>
          </cell>
          <cell r="AF92">
            <v>1</v>
          </cell>
          <cell r="AG92">
            <v>1</v>
          </cell>
          <cell r="AH92">
            <v>-3</v>
          </cell>
          <cell r="AJ92">
            <v>0</v>
          </cell>
          <cell r="AK92">
            <v>-196</v>
          </cell>
          <cell r="AL92">
            <v>-107</v>
          </cell>
          <cell r="AM92">
            <v>-89</v>
          </cell>
          <cell r="AN92">
            <v>-89</v>
          </cell>
          <cell r="AO92">
            <v>0</v>
          </cell>
          <cell r="AP92">
            <v>-25</v>
          </cell>
          <cell r="AQ92">
            <v>-107</v>
          </cell>
          <cell r="AR92">
            <v>-64</v>
          </cell>
        </row>
        <row r="93">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v>0</v>
          </cell>
          <cell r="AO93">
            <v>1616</v>
          </cell>
          <cell r="AP93" t="e">
            <v>#REF!</v>
          </cell>
        </row>
        <row r="94">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v>0</v>
          </cell>
          <cell r="AP94" t="e">
            <v>#REF!</v>
          </cell>
        </row>
        <row r="95">
          <cell r="F95">
            <v>14238.3</v>
          </cell>
          <cell r="G95">
            <v>9748.4660240963858</v>
          </cell>
          <cell r="H95">
            <v>4489.8339759036144</v>
          </cell>
          <cell r="P95">
            <v>3319.6499999999996</v>
          </cell>
          <cell r="Q95">
            <v>0</v>
          </cell>
          <cell r="R95">
            <v>0</v>
          </cell>
          <cell r="S95">
            <v>31270.486666666668</v>
          </cell>
          <cell r="T95">
            <v>26852.267799999998</v>
          </cell>
          <cell r="U95">
            <v>4508.2188666666671</v>
          </cell>
          <cell r="V95">
            <v>0</v>
          </cell>
          <cell r="W95">
            <v>0</v>
          </cell>
          <cell r="X95">
            <v>29515.875545454546</v>
          </cell>
          <cell r="Y95">
            <v>12409</v>
          </cell>
          <cell r="Z95">
            <v>17106.875545454543</v>
          </cell>
          <cell r="AA95">
            <v>0</v>
          </cell>
          <cell r="AB95">
            <v>0</v>
          </cell>
          <cell r="AC95">
            <v>24859.817575757574</v>
          </cell>
          <cell r="AD95">
            <v>10105</v>
          </cell>
          <cell r="AE95">
            <v>14754.817575757575</v>
          </cell>
          <cell r="AF95">
            <v>5251.9509090909087</v>
          </cell>
          <cell r="AG95">
            <v>4781</v>
          </cell>
          <cell r="AH95">
            <v>470.95090909090914</v>
          </cell>
          <cell r="AI95">
            <v>0</v>
          </cell>
          <cell r="AJ95">
            <v>0</v>
          </cell>
          <cell r="AK95">
            <v>116775.1297878788</v>
          </cell>
          <cell r="AL95">
            <v>43965.116024096387</v>
          </cell>
          <cell r="AM95">
            <v>72810.013763782408</v>
          </cell>
          <cell r="AN95">
            <v>72810.013763782408</v>
          </cell>
          <cell r="AO95">
            <v>22426</v>
          </cell>
          <cell r="AP95">
            <v>56464</v>
          </cell>
          <cell r="AQ95">
            <v>5344.308649356225</v>
          </cell>
          <cell r="AR95">
            <v>14571.544133725103</v>
          </cell>
        </row>
        <row r="96">
          <cell r="F96">
            <v>6192.2999999999993</v>
          </cell>
          <cell r="G96">
            <v>1702.4660240963858</v>
          </cell>
          <cell r="H96">
            <v>4489.8339759036144</v>
          </cell>
          <cell r="P96">
            <v>3319.6499999999996</v>
          </cell>
          <cell r="Q96">
            <v>0</v>
          </cell>
          <cell r="R96">
            <v>0</v>
          </cell>
          <cell r="S96">
            <v>9748.4866666666676</v>
          </cell>
          <cell r="T96">
            <v>5330.2677999999978</v>
          </cell>
          <cell r="U96">
            <v>4508.2188666666671</v>
          </cell>
          <cell r="V96">
            <v>0</v>
          </cell>
          <cell r="W96">
            <v>0</v>
          </cell>
          <cell r="X96">
            <v>3835.8755454545462</v>
          </cell>
          <cell r="Y96">
            <v>1612</v>
          </cell>
          <cell r="Z96">
            <v>2223.8755454545426</v>
          </cell>
          <cell r="AA96">
            <v>0</v>
          </cell>
          <cell r="AB96">
            <v>0</v>
          </cell>
          <cell r="AC96">
            <v>2279.8175757575736</v>
          </cell>
          <cell r="AD96">
            <v>925</v>
          </cell>
          <cell r="AE96">
            <v>1354.8175757575755</v>
          </cell>
          <cell r="AF96">
            <v>5251.9509090909087</v>
          </cell>
          <cell r="AG96">
            <v>4781</v>
          </cell>
          <cell r="AH96">
            <v>470.95090909090914</v>
          </cell>
          <cell r="AI96">
            <v>0</v>
          </cell>
          <cell r="AJ96">
            <v>0</v>
          </cell>
          <cell r="AK96">
            <v>31483.129787878803</v>
          </cell>
          <cell r="AL96">
            <v>8478.1160240963873</v>
          </cell>
          <cell r="AM96">
            <v>23005.013763782408</v>
          </cell>
          <cell r="AN96">
            <v>23005.013763782401</v>
          </cell>
          <cell r="AO96">
            <v>2449</v>
          </cell>
          <cell r="AP96">
            <v>6659</v>
          </cell>
          <cell r="AQ96">
            <v>5344.308649356225</v>
          </cell>
          <cell r="AR96">
            <v>14571.544133725103</v>
          </cell>
        </row>
        <row r="97">
          <cell r="F97">
            <v>825</v>
          </cell>
          <cell r="P97">
            <v>2016</v>
          </cell>
          <cell r="S97">
            <v>-474</v>
          </cell>
          <cell r="X97">
            <v>1029</v>
          </cell>
          <cell r="AC97">
            <v>-117</v>
          </cell>
          <cell r="AD97">
            <v>25802.811515151516</v>
          </cell>
          <cell r="AF97">
            <v>266</v>
          </cell>
          <cell r="AG97">
            <v>266</v>
          </cell>
          <cell r="AH97">
            <v>0</v>
          </cell>
          <cell r="AI97">
            <v>0</v>
          </cell>
          <cell r="AJ97">
            <v>0</v>
          </cell>
          <cell r="AK97">
            <v>3695</v>
          </cell>
          <cell r="AN97" t="e">
            <v>#REF!</v>
          </cell>
          <cell r="AP97" t="e">
            <v>#REF!</v>
          </cell>
        </row>
        <row r="98">
          <cell r="P98">
            <v>992</v>
          </cell>
          <cell r="S98">
            <v>106</v>
          </cell>
          <cell r="X98">
            <v>116</v>
          </cell>
          <cell r="AC98">
            <v>0</v>
          </cell>
          <cell r="AF98">
            <v>0</v>
          </cell>
          <cell r="AI98">
            <v>0</v>
          </cell>
          <cell r="AJ98">
            <v>0</v>
          </cell>
          <cell r="AN98" t="e">
            <v>#REF!</v>
          </cell>
          <cell r="AP98" t="e">
            <v>#REF!</v>
          </cell>
        </row>
        <row r="99">
          <cell r="P99">
            <v>976</v>
          </cell>
          <cell r="S99">
            <v>106</v>
          </cell>
          <cell r="X99">
            <v>116</v>
          </cell>
          <cell r="AC99">
            <v>0</v>
          </cell>
          <cell r="AF99">
            <v>0</v>
          </cell>
          <cell r="AG99">
            <v>454</v>
          </cell>
          <cell r="AH99">
            <v>0</v>
          </cell>
          <cell r="AI99">
            <v>0</v>
          </cell>
          <cell r="AJ99">
            <v>0</v>
          </cell>
          <cell r="AK99">
            <v>5737</v>
          </cell>
          <cell r="AL99">
            <v>109509.14393939395</v>
          </cell>
          <cell r="AM99">
            <v>46269.90741929959</v>
          </cell>
          <cell r="AN99" t="e">
            <v>#REF!</v>
          </cell>
          <cell r="AP99" t="e">
            <v>#REF!</v>
          </cell>
        </row>
        <row r="100">
          <cell r="F100">
            <v>0</v>
          </cell>
          <cell r="P100">
            <v>967</v>
          </cell>
          <cell r="S100">
            <v>106</v>
          </cell>
          <cell r="X100">
            <v>116</v>
          </cell>
          <cell r="AC100">
            <v>0</v>
          </cell>
          <cell r="AF100">
            <v>861</v>
          </cell>
          <cell r="AG100">
            <v>861</v>
          </cell>
          <cell r="AH100">
            <v>0</v>
          </cell>
          <cell r="AI100">
            <v>0</v>
          </cell>
          <cell r="AJ100">
            <v>0</v>
          </cell>
          <cell r="AK100">
            <v>0</v>
          </cell>
          <cell r="AL100">
            <v>85097.370909090911</v>
          </cell>
          <cell r="AM100">
            <v>40210.957581756855</v>
          </cell>
          <cell r="AN100" t="e">
            <v>#REF!</v>
          </cell>
          <cell r="AP100" t="e">
            <v>#REF!</v>
          </cell>
        </row>
        <row r="101">
          <cell r="F101">
            <v>93</v>
          </cell>
          <cell r="P101">
            <v>810</v>
          </cell>
          <cell r="Q101">
            <v>-0.32000000000000028</v>
          </cell>
          <cell r="R101">
            <v>31</v>
          </cell>
          <cell r="S101">
            <v>206</v>
          </cell>
          <cell r="T101">
            <v>-0.3360000000000003</v>
          </cell>
          <cell r="W101">
            <v>2</v>
          </cell>
          <cell r="X101">
            <v>459</v>
          </cell>
          <cell r="Y101">
            <v>0.28000000000000114</v>
          </cell>
          <cell r="AB101">
            <v>10</v>
          </cell>
          <cell r="AC101">
            <v>-117</v>
          </cell>
          <cell r="AD101">
            <v>0.35200000000000031</v>
          </cell>
          <cell r="AE101">
            <v>0.35200000000000031</v>
          </cell>
          <cell r="AF101">
            <v>266</v>
          </cell>
          <cell r="AG101">
            <v>266</v>
          </cell>
          <cell r="AH101">
            <v>0</v>
          </cell>
          <cell r="AI101">
            <v>0</v>
          </cell>
          <cell r="AJ101">
            <v>127.648</v>
          </cell>
          <cell r="AK101">
            <v>1741</v>
          </cell>
          <cell r="AL101">
            <v>116775.1297878788</v>
          </cell>
          <cell r="AM101">
            <v>43965.116024096387</v>
          </cell>
          <cell r="AN101" t="e">
            <v>#REF!</v>
          </cell>
          <cell r="AP101" t="e">
            <v>#REF!</v>
          </cell>
        </row>
        <row r="102">
          <cell r="F102">
            <v>93</v>
          </cell>
          <cell r="P102">
            <v>0</v>
          </cell>
          <cell r="Q102">
            <v>0</v>
          </cell>
          <cell r="R102">
            <v>0</v>
          </cell>
          <cell r="S102">
            <v>0</v>
          </cell>
          <cell r="T102">
            <v>0</v>
          </cell>
          <cell r="X102">
            <v>0</v>
          </cell>
          <cell r="Y102">
            <v>0</v>
          </cell>
          <cell r="AC102">
            <v>0</v>
          </cell>
          <cell r="AD102">
            <v>0</v>
          </cell>
          <cell r="AE102">
            <v>0</v>
          </cell>
          <cell r="AF102">
            <v>0</v>
          </cell>
          <cell r="AG102">
            <v>0</v>
          </cell>
          <cell r="AH102">
            <v>0</v>
          </cell>
          <cell r="AI102">
            <v>0</v>
          </cell>
          <cell r="AJ102">
            <v>0</v>
          </cell>
          <cell r="AK102">
            <v>93</v>
          </cell>
          <cell r="AN102" t="e">
            <v>#REF!</v>
          </cell>
          <cell r="AP102" t="e">
            <v>#REF!</v>
          </cell>
        </row>
        <row r="103">
          <cell r="F103">
            <v>639</v>
          </cell>
          <cell r="P103">
            <v>1206</v>
          </cell>
          <cell r="Q103">
            <v>0</v>
          </cell>
          <cell r="S103">
            <v>-680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row>
        <row r="104">
          <cell r="F104">
            <v>0</v>
          </cell>
          <cell r="P104">
            <v>800</v>
          </cell>
          <cell r="Q104">
            <v>-0.32000000000000028</v>
          </cell>
          <cell r="R104">
            <v>31</v>
          </cell>
          <cell r="S104">
            <v>0</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N104">
            <v>3702.2</v>
          </cell>
          <cell r="AP104">
            <v>3702</v>
          </cell>
        </row>
        <row r="105">
          <cell r="F105">
            <v>0</v>
          </cell>
          <cell r="P105">
            <v>-0.20800000000000018</v>
          </cell>
          <cell r="Q105">
            <v>234.404</v>
          </cell>
          <cell r="R105">
            <v>154</v>
          </cell>
          <cell r="S105">
            <v>0</v>
          </cell>
          <cell r="T105">
            <v>-0.42800000000000082</v>
          </cell>
          <cell r="W105">
            <v>79</v>
          </cell>
          <cell r="X105">
            <v>0</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row>
        <row r="106">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I106">
            <v>0</v>
          </cell>
          <cell r="AJ106">
            <v>0</v>
          </cell>
          <cell r="AK106">
            <v>0</v>
          </cell>
          <cell r="AN106" t="e">
            <v>#REF!</v>
          </cell>
          <cell r="AP106" t="e">
            <v>#REF!</v>
          </cell>
        </row>
        <row r="107">
          <cell r="F107">
            <v>0</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0</v>
          </cell>
          <cell r="AN107" t="e">
            <v>#REF!</v>
          </cell>
          <cell r="AP107" t="e">
            <v>#REF!</v>
          </cell>
        </row>
        <row r="108">
          <cell r="F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0</v>
          </cell>
          <cell r="AN108" t="e">
            <v>#REF!</v>
          </cell>
          <cell r="AP108" t="e">
            <v>#REF!</v>
          </cell>
          <cell r="AQ108" t="e">
            <v>#REF!</v>
          </cell>
          <cell r="AR108" t="e">
            <v>#REF!</v>
          </cell>
        </row>
        <row r="109">
          <cell r="F109">
            <v>0</v>
          </cell>
          <cell r="P109">
            <v>0</v>
          </cell>
          <cell r="Q109">
            <v>526.04999999999995</v>
          </cell>
          <cell r="R109">
            <v>800</v>
          </cell>
          <cell r="S109">
            <v>0</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row>
        <row r="110">
          <cell r="F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0</v>
          </cell>
          <cell r="AN110" t="e">
            <v>#REF!</v>
          </cell>
          <cell r="AP110" t="e">
            <v>#REF!</v>
          </cell>
          <cell r="AQ110">
            <v>0</v>
          </cell>
          <cell r="AR110">
            <v>0</v>
          </cell>
        </row>
        <row r="111">
          <cell r="F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0</v>
          </cell>
          <cell r="AN111" t="e">
            <v>#REF!</v>
          </cell>
          <cell r="AP111" t="e">
            <v>#REF!</v>
          </cell>
        </row>
        <row r="112">
          <cell r="F112">
            <v>0</v>
          </cell>
          <cell r="P112">
            <v>0</v>
          </cell>
          <cell r="Q112">
            <v>0</v>
          </cell>
          <cell r="R112">
            <v>928</v>
          </cell>
          <cell r="S112">
            <v>0</v>
          </cell>
          <cell r="T112">
            <v>0</v>
          </cell>
          <cell r="W112">
            <v>366</v>
          </cell>
          <cell r="X112">
            <v>0</v>
          </cell>
          <cell r="Y112">
            <v>0</v>
          </cell>
          <cell r="AB112">
            <v>251</v>
          </cell>
          <cell r="AC112">
            <v>0</v>
          </cell>
          <cell r="AD112">
            <v>0</v>
          </cell>
          <cell r="AE112">
            <v>0</v>
          </cell>
          <cell r="AF112">
            <v>0</v>
          </cell>
          <cell r="AG112">
            <v>0</v>
          </cell>
          <cell r="AH112">
            <v>0</v>
          </cell>
          <cell r="AI112">
            <v>0</v>
          </cell>
          <cell r="AJ112">
            <v>535</v>
          </cell>
          <cell r="AK112">
            <v>0</v>
          </cell>
          <cell r="AN112" t="e">
            <v>#REF!</v>
          </cell>
          <cell r="AP112" t="e">
            <v>#REF!</v>
          </cell>
        </row>
        <row r="113">
          <cell r="F113">
            <v>0</v>
          </cell>
          <cell r="P113">
            <v>0</v>
          </cell>
          <cell r="Q113">
            <v>0</v>
          </cell>
          <cell r="R113">
            <v>8</v>
          </cell>
          <cell r="S113">
            <v>0</v>
          </cell>
          <cell r="T113">
            <v>0</v>
          </cell>
          <cell r="W113">
            <v>57</v>
          </cell>
          <cell r="X113">
            <v>0</v>
          </cell>
          <cell r="Y113">
            <v>0</v>
          </cell>
          <cell r="AB113">
            <v>7</v>
          </cell>
          <cell r="AC113">
            <v>0</v>
          </cell>
          <cell r="AD113">
            <v>0</v>
          </cell>
          <cell r="AE113">
            <v>0</v>
          </cell>
          <cell r="AF113">
            <v>0</v>
          </cell>
          <cell r="AG113">
            <v>0</v>
          </cell>
          <cell r="AH113">
            <v>0</v>
          </cell>
          <cell r="AI113">
            <v>0</v>
          </cell>
          <cell r="AJ113">
            <v>0</v>
          </cell>
          <cell r="AK113">
            <v>0</v>
          </cell>
          <cell r="AN113">
            <v>19</v>
          </cell>
          <cell r="AP113">
            <v>21</v>
          </cell>
        </row>
        <row r="114">
          <cell r="F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0</v>
          </cell>
          <cell r="AM114">
            <v>0</v>
          </cell>
          <cell r="AN114" t="e">
            <v>#REF!</v>
          </cell>
          <cell r="AP114" t="e">
            <v>#REF!</v>
          </cell>
        </row>
        <row r="115">
          <cell r="F115">
            <v>0</v>
          </cell>
          <cell r="P115">
            <v>0</v>
          </cell>
          <cell r="S115">
            <v>0</v>
          </cell>
          <cell r="X115">
            <v>0</v>
          </cell>
          <cell r="AC115">
            <v>0</v>
          </cell>
          <cell r="AF115">
            <v>0</v>
          </cell>
          <cell r="AG115">
            <v>0</v>
          </cell>
          <cell r="AH115">
            <v>0</v>
          </cell>
          <cell r="AI115">
            <v>0</v>
          </cell>
          <cell r="AJ115">
            <v>0</v>
          </cell>
          <cell r="AK115">
            <v>0</v>
          </cell>
          <cell r="AM115">
            <v>0</v>
          </cell>
          <cell r="AP115">
            <v>0</v>
          </cell>
        </row>
        <row r="116">
          <cell r="F116">
            <v>0</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row>
        <row r="117">
          <cell r="F117">
            <v>0</v>
          </cell>
          <cell r="P117">
            <v>0</v>
          </cell>
          <cell r="S117">
            <v>0</v>
          </cell>
          <cell r="AC117">
            <v>0</v>
          </cell>
          <cell r="AG117">
            <v>0</v>
          </cell>
          <cell r="AH117">
            <v>0</v>
          </cell>
          <cell r="AK117">
            <v>0</v>
          </cell>
          <cell r="AL117">
            <v>0</v>
          </cell>
          <cell r="AM117">
            <v>0</v>
          </cell>
        </row>
        <row r="118">
          <cell r="F118">
            <v>0</v>
          </cell>
          <cell r="P118">
            <v>0</v>
          </cell>
          <cell r="S118">
            <v>0</v>
          </cell>
          <cell r="AC118">
            <v>0</v>
          </cell>
          <cell r="AF118">
            <v>0</v>
          </cell>
          <cell r="AG118">
            <v>0</v>
          </cell>
          <cell r="AH118">
            <v>0</v>
          </cell>
          <cell r="AK118">
            <v>0</v>
          </cell>
          <cell r="AL118">
            <v>0</v>
          </cell>
          <cell r="AM118">
            <v>0</v>
          </cell>
        </row>
        <row r="119">
          <cell r="F119">
            <v>0</v>
          </cell>
          <cell r="P119">
            <v>0</v>
          </cell>
          <cell r="S119">
            <v>0</v>
          </cell>
          <cell r="X119">
            <v>0</v>
          </cell>
          <cell r="AC119">
            <v>0</v>
          </cell>
          <cell r="AF119">
            <v>0</v>
          </cell>
          <cell r="AG119">
            <v>0</v>
          </cell>
          <cell r="AH119">
            <v>0</v>
          </cell>
          <cell r="AK119">
            <v>0</v>
          </cell>
        </row>
        <row r="120">
          <cell r="F120">
            <v>0</v>
          </cell>
          <cell r="P120">
            <v>0</v>
          </cell>
          <cell r="S120">
            <v>0</v>
          </cell>
          <cell r="X120">
            <v>0</v>
          </cell>
          <cell r="AC120">
            <v>0</v>
          </cell>
          <cell r="AE120" t="e">
            <v>#REF!</v>
          </cell>
          <cell r="AF120">
            <v>0</v>
          </cell>
          <cell r="AG120">
            <v>0</v>
          </cell>
          <cell r="AH120">
            <v>0</v>
          </cell>
          <cell r="AI120">
            <v>0</v>
          </cell>
          <cell r="AJ120">
            <v>0</v>
          </cell>
          <cell r="AK120">
            <v>0</v>
          </cell>
          <cell r="AN120" t="e">
            <v>#REF!</v>
          </cell>
          <cell r="AP120">
            <v>36465</v>
          </cell>
          <cell r="AQ120" t="e">
            <v>#REF!</v>
          </cell>
        </row>
        <row r="121">
          <cell r="F121">
            <v>100</v>
          </cell>
          <cell r="P121">
            <v>0</v>
          </cell>
          <cell r="S121">
            <v>0</v>
          </cell>
          <cell r="X121">
            <v>0</v>
          </cell>
          <cell r="AC121">
            <v>0</v>
          </cell>
          <cell r="AF121">
            <v>0</v>
          </cell>
          <cell r="AG121">
            <v>0</v>
          </cell>
          <cell r="AH121">
            <v>0</v>
          </cell>
          <cell r="AJ121">
            <v>0</v>
          </cell>
          <cell r="AK121">
            <v>0</v>
          </cell>
          <cell r="AN121" t="e">
            <v>#REF!</v>
          </cell>
          <cell r="AP121" t="e">
            <v>#REF!</v>
          </cell>
        </row>
        <row r="122">
          <cell r="F122">
            <v>100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100</v>
          </cell>
          <cell r="AN122" t="e">
            <v>#REF!</v>
          </cell>
          <cell r="AP122" t="e">
            <v>#REF!</v>
          </cell>
        </row>
        <row r="123">
          <cell r="F123">
            <v>3480</v>
          </cell>
          <cell r="P123">
            <v>-0.40000000000000036</v>
          </cell>
          <cell r="Q123">
            <v>0</v>
          </cell>
          <cell r="S123">
            <v>0</v>
          </cell>
          <cell r="T123">
            <v>-0.76400000000000112</v>
          </cell>
          <cell r="U123">
            <v>0</v>
          </cell>
          <cell r="V123">
            <v>0</v>
          </cell>
          <cell r="X123">
            <v>0</v>
          </cell>
          <cell r="Y123">
            <v>0.34799999999999898</v>
          </cell>
          <cell r="Z123">
            <v>0</v>
          </cell>
          <cell r="AA123">
            <v>0</v>
          </cell>
          <cell r="AC123">
            <v>-0.34799999999999898</v>
          </cell>
          <cell r="AF123">
            <v>0</v>
          </cell>
          <cell r="AJ123">
            <v>0</v>
          </cell>
          <cell r="AK123">
            <v>0</v>
          </cell>
          <cell r="AN123" t="e">
            <v>#REF!</v>
          </cell>
          <cell r="AP123" t="e">
            <v>#REF!</v>
          </cell>
        </row>
        <row r="124">
          <cell r="F124">
            <v>3480</v>
          </cell>
          <cell r="P124">
            <v>0</v>
          </cell>
          <cell r="X124">
            <v>0</v>
          </cell>
          <cell r="AC124">
            <v>0</v>
          </cell>
          <cell r="AJ124">
            <v>0</v>
          </cell>
          <cell r="AK124">
            <v>3480</v>
          </cell>
          <cell r="AL124">
            <v>396.87424242423458</v>
          </cell>
          <cell r="AP124" t="e">
            <v>#REF!</v>
          </cell>
        </row>
        <row r="125">
          <cell r="F125">
            <v>0</v>
          </cell>
          <cell r="P125">
            <v>0</v>
          </cell>
          <cell r="X125">
            <v>0</v>
          </cell>
          <cell r="AC125">
            <v>0</v>
          </cell>
          <cell r="AJ125">
            <v>0</v>
          </cell>
          <cell r="AK125">
            <v>0</v>
          </cell>
          <cell r="AL125">
            <v>-8132.8846363636376</v>
          </cell>
          <cell r="AP125" t="e">
            <v>#REF!</v>
          </cell>
        </row>
        <row r="126">
          <cell r="F126">
            <v>4527</v>
          </cell>
          <cell r="G126">
            <v>0</v>
          </cell>
          <cell r="H126">
            <v>0</v>
          </cell>
          <cell r="P126">
            <v>0</v>
          </cell>
          <cell r="Q126">
            <v>0</v>
          </cell>
          <cell r="R126">
            <v>0</v>
          </cell>
          <cell r="S126">
            <v>0</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J126">
            <v>0</v>
          </cell>
          <cell r="AK126">
            <v>0</v>
          </cell>
          <cell r="AL126">
            <v>13247.384148484838</v>
          </cell>
          <cell r="AO126">
            <v>0</v>
          </cell>
          <cell r="AP126" t="e">
            <v>#REF!</v>
          </cell>
          <cell r="AQ126" t="e">
            <v>#REF!</v>
          </cell>
          <cell r="AR126" t="e">
            <v>#REF!</v>
          </cell>
        </row>
        <row r="127">
          <cell r="F127">
            <v>0</v>
          </cell>
          <cell r="G127">
            <v>0</v>
          </cell>
          <cell r="H127">
            <v>0</v>
          </cell>
          <cell r="P127">
            <v>0</v>
          </cell>
          <cell r="Q127">
            <v>0</v>
          </cell>
          <cell r="R127">
            <v>0</v>
          </cell>
          <cell r="S127">
            <v>0</v>
          </cell>
          <cell r="T127">
            <v>0</v>
          </cell>
          <cell r="U127">
            <v>0</v>
          </cell>
          <cell r="V127">
            <v>0</v>
          </cell>
          <cell r="W127">
            <v>0</v>
          </cell>
          <cell r="X127">
            <v>0</v>
          </cell>
          <cell r="Y127">
            <v>0</v>
          </cell>
          <cell r="Z127">
            <v>0</v>
          </cell>
          <cell r="AA127">
            <v>0</v>
          </cell>
          <cell r="AB127">
            <v>0</v>
          </cell>
          <cell r="AC127">
            <v>0</v>
          </cell>
          <cell r="AD127">
            <v>0</v>
          </cell>
          <cell r="AE127">
            <v>0</v>
          </cell>
          <cell r="AF127">
            <v>0</v>
          </cell>
          <cell r="AG127">
            <v>0</v>
          </cell>
          <cell r="AH127">
            <v>0</v>
          </cell>
          <cell r="AJ127">
            <v>0</v>
          </cell>
          <cell r="AK127">
            <v>0</v>
          </cell>
          <cell r="AO127">
            <v>0</v>
          </cell>
          <cell r="AP127">
            <v>0</v>
          </cell>
          <cell r="AQ127">
            <v>0</v>
          </cell>
          <cell r="AR127">
            <v>0</v>
          </cell>
        </row>
        <row r="128">
          <cell r="F128">
            <v>3580</v>
          </cell>
          <cell r="G128">
            <v>0</v>
          </cell>
          <cell r="H128">
            <v>0</v>
          </cell>
          <cell r="P128">
            <v>1206</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3580</v>
          </cell>
          <cell r="AL128">
            <v>5340</v>
          </cell>
          <cell r="AO128">
            <v>0</v>
          </cell>
          <cell r="AP128">
            <v>0</v>
          </cell>
          <cell r="AQ128">
            <v>0</v>
          </cell>
          <cell r="AR128">
            <v>0</v>
          </cell>
        </row>
        <row r="129">
          <cell r="F129">
            <v>3580</v>
          </cell>
          <cell r="G129">
            <v>0</v>
          </cell>
          <cell r="H129">
            <v>0</v>
          </cell>
          <cell r="P129">
            <v>1206</v>
          </cell>
          <cell r="S129">
            <v>-680</v>
          </cell>
          <cell r="X129">
            <v>0</v>
          </cell>
          <cell r="Y129">
            <v>0</v>
          </cell>
          <cell r="Z129">
            <v>0</v>
          </cell>
          <cell r="AC129">
            <v>0</v>
          </cell>
          <cell r="AD129">
            <v>0</v>
          </cell>
          <cell r="AE129">
            <v>0</v>
          </cell>
          <cell r="AF129">
            <v>0</v>
          </cell>
          <cell r="AG129">
            <v>0</v>
          </cell>
          <cell r="AH129">
            <v>0</v>
          </cell>
          <cell r="AJ129">
            <v>0</v>
          </cell>
          <cell r="AK129">
            <v>3580</v>
          </cell>
          <cell r="AL129">
            <v>9106</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16827.384148484838</v>
          </cell>
          <cell r="AL131">
            <v>9186.0424182431379</v>
          </cell>
          <cell r="AM131">
            <v>-16555.413327334049</v>
          </cell>
          <cell r="AP131" t="e">
            <v>#REF!</v>
          </cell>
          <cell r="AR131" t="e">
            <v>#REF!</v>
          </cell>
        </row>
        <row r="132">
          <cell r="P132">
            <v>0</v>
          </cell>
          <cell r="X132">
            <v>0</v>
          </cell>
          <cell r="AC132">
            <v>0</v>
          </cell>
          <cell r="AJ132">
            <v>0</v>
          </cell>
          <cell r="AK132">
            <v>24039.120212121197</v>
          </cell>
          <cell r="AL132">
            <v>13754.883975903613</v>
          </cell>
          <cell r="AM132">
            <v>9418.9862362175918</v>
          </cell>
          <cell r="AO132">
            <v>0</v>
          </cell>
          <cell r="AP132" t="e">
            <v>#REF!</v>
          </cell>
        </row>
        <row r="133">
          <cell r="P133">
            <v>0</v>
          </cell>
          <cell r="X133">
            <v>0</v>
          </cell>
          <cell r="AC133">
            <v>0</v>
          </cell>
          <cell r="AJ133">
            <v>0</v>
          </cell>
          <cell r="AK133">
            <v>-1951.236272727273</v>
          </cell>
          <cell r="AO133">
            <v>0</v>
          </cell>
          <cell r="AP133" t="e">
            <v>#REF!</v>
          </cell>
        </row>
        <row r="134">
          <cell r="P134">
            <v>0</v>
          </cell>
          <cell r="X134">
            <v>0</v>
          </cell>
          <cell r="AC134">
            <v>0</v>
          </cell>
          <cell r="AJ134">
            <v>0</v>
          </cell>
          <cell r="AK134">
            <v>7211.7360636363592</v>
          </cell>
          <cell r="AO134">
            <v>0</v>
          </cell>
          <cell r="AP134" t="e">
            <v>#REF!</v>
          </cell>
        </row>
        <row r="135">
          <cell r="P135">
            <v>0</v>
          </cell>
          <cell r="X135">
            <v>0</v>
          </cell>
          <cell r="AC135">
            <v>0</v>
          </cell>
          <cell r="AJ135">
            <v>0</v>
          </cell>
          <cell r="AK135">
            <v>58108</v>
          </cell>
          <cell r="AM135">
            <v>58108</v>
          </cell>
          <cell r="AO135">
            <v>0</v>
          </cell>
          <cell r="AP135">
            <v>0</v>
          </cell>
          <cell r="AQ135">
            <v>0</v>
          </cell>
        </row>
        <row r="136">
          <cell r="P136">
            <v>0</v>
          </cell>
          <cell r="X136">
            <v>0</v>
          </cell>
          <cell r="AC136">
            <v>0</v>
          </cell>
          <cell r="AJ136">
            <v>0</v>
          </cell>
          <cell r="AK136">
            <v>-5132.2365200943386</v>
          </cell>
          <cell r="AM136">
            <v>28333</v>
          </cell>
          <cell r="AO136">
            <v>0</v>
          </cell>
          <cell r="AQ136">
            <v>0</v>
          </cell>
        </row>
        <row r="137">
          <cell r="P137">
            <v>0</v>
          </cell>
          <cell r="X137">
            <v>0</v>
          </cell>
          <cell r="AC137">
            <v>0</v>
          </cell>
          <cell r="AJ137">
            <v>0</v>
          </cell>
          <cell r="AK137">
            <v>82229</v>
          </cell>
          <cell r="AM137">
            <v>82229</v>
          </cell>
          <cell r="AO137">
            <v>0</v>
          </cell>
          <cell r="AP137">
            <v>36.19</v>
          </cell>
          <cell r="AQ137">
            <v>0</v>
          </cell>
        </row>
        <row r="138">
          <cell r="P138">
            <v>0</v>
          </cell>
          <cell r="X138">
            <v>0</v>
          </cell>
          <cell r="AC138">
            <v>0</v>
          </cell>
          <cell r="AJ138">
            <v>0</v>
          </cell>
          <cell r="AK138">
            <v>9418.9862362175918</v>
          </cell>
          <cell r="AO138">
            <v>0</v>
          </cell>
        </row>
        <row r="139">
          <cell r="P139">
            <v>0</v>
          </cell>
          <cell r="X139">
            <v>0</v>
          </cell>
          <cell r="AC139">
            <v>0</v>
          </cell>
          <cell r="AJ139">
            <v>0</v>
          </cell>
          <cell r="AK139">
            <v>52.04</v>
          </cell>
          <cell r="AN139">
            <v>0</v>
          </cell>
          <cell r="AO139" t="e">
            <v>#DIV/0!</v>
          </cell>
          <cell r="AP139" t="e">
            <v>#REF!</v>
          </cell>
        </row>
        <row r="140">
          <cell r="P140">
            <v>0</v>
          </cell>
          <cell r="X140">
            <v>0</v>
          </cell>
          <cell r="AC140">
            <v>0</v>
          </cell>
          <cell r="AJ140">
            <v>0</v>
          </cell>
          <cell r="AK140">
            <v>46.08</v>
          </cell>
          <cell r="AO140" t="e">
            <v>#DIV/0!</v>
          </cell>
          <cell r="AP140">
            <v>180931</v>
          </cell>
          <cell r="AQ140">
            <v>180931</v>
          </cell>
        </row>
        <row r="141">
          <cell r="P141">
            <v>0</v>
          </cell>
          <cell r="X141">
            <v>0</v>
          </cell>
          <cell r="AC141">
            <v>0</v>
          </cell>
          <cell r="AJ141">
            <v>0</v>
          </cell>
          <cell r="AK141">
            <v>0</v>
          </cell>
          <cell r="AO141">
            <v>0</v>
          </cell>
        </row>
        <row r="142">
          <cell r="P142">
            <v>0</v>
          </cell>
          <cell r="X142">
            <v>0</v>
          </cell>
          <cell r="AC142">
            <v>0</v>
          </cell>
          <cell r="AJ142">
            <v>0</v>
          </cell>
          <cell r="AK142">
            <v>12.49</v>
          </cell>
          <cell r="AN142">
            <v>0</v>
          </cell>
          <cell r="AO142" t="e">
            <v>#DIV/0!</v>
          </cell>
          <cell r="AP142">
            <v>0</v>
          </cell>
        </row>
        <row r="143">
          <cell r="P143">
            <v>0</v>
          </cell>
          <cell r="Q143">
            <v>0</v>
          </cell>
          <cell r="X143">
            <v>0</v>
          </cell>
          <cell r="AC143">
            <v>0</v>
          </cell>
          <cell r="AJ143">
            <v>0</v>
          </cell>
          <cell r="AK143">
            <v>14.59</v>
          </cell>
          <cell r="AO143" t="e">
            <v>#DIV/0!</v>
          </cell>
          <cell r="AP143">
            <v>2601</v>
          </cell>
        </row>
        <row r="144">
          <cell r="P144">
            <v>0</v>
          </cell>
          <cell r="X144">
            <v>0</v>
          </cell>
          <cell r="AC144">
            <v>0</v>
          </cell>
          <cell r="AJ144">
            <v>0</v>
          </cell>
          <cell r="AK144">
            <v>56960</v>
          </cell>
          <cell r="AL144">
            <v>56960</v>
          </cell>
          <cell r="AN144">
            <v>0</v>
          </cell>
          <cell r="AO144" t="e">
            <v>#DIV/0!</v>
          </cell>
          <cell r="AP144" t="e">
            <v>#REF!</v>
          </cell>
          <cell r="AQ144">
            <v>180931</v>
          </cell>
          <cell r="AR144" t="e">
            <v>#REF!</v>
          </cell>
        </row>
        <row r="145">
          <cell r="P145">
            <v>0</v>
          </cell>
          <cell r="X145">
            <v>0</v>
          </cell>
          <cell r="AC145">
            <v>0</v>
          </cell>
          <cell r="AJ145">
            <v>0</v>
          </cell>
          <cell r="AK145">
            <v>11.11</v>
          </cell>
          <cell r="AL145">
            <v>49395</v>
          </cell>
          <cell r="AO145" t="e">
            <v>#DIV/0!</v>
          </cell>
          <cell r="AP145">
            <v>0</v>
          </cell>
        </row>
        <row r="146">
          <cell r="P146">
            <v>0</v>
          </cell>
          <cell r="X146">
            <v>0</v>
          </cell>
          <cell r="AC146">
            <v>0</v>
          </cell>
          <cell r="AJ146">
            <v>0</v>
          </cell>
          <cell r="AK146">
            <v>57720</v>
          </cell>
          <cell r="AL146">
            <v>57720</v>
          </cell>
          <cell r="AP146" t="e">
            <v>#REF!</v>
          </cell>
          <cell r="AQ146">
            <v>180931</v>
          </cell>
          <cell r="AR146" t="e">
            <v>#REF!</v>
          </cell>
        </row>
        <row r="147">
          <cell r="P147">
            <v>0</v>
          </cell>
          <cell r="X147">
            <v>0</v>
          </cell>
          <cell r="AC147">
            <v>0</v>
          </cell>
          <cell r="AJ147">
            <v>0</v>
          </cell>
          <cell r="AK147">
            <v>5857.1428571428578</v>
          </cell>
          <cell r="AL147">
            <v>-46268.907419299605</v>
          </cell>
          <cell r="AM147">
            <v>-63240.236520094339</v>
          </cell>
        </row>
        <row r="148">
          <cell r="P148">
            <v>0</v>
          </cell>
          <cell r="S148">
            <v>0</v>
          </cell>
          <cell r="X148">
            <v>0</v>
          </cell>
          <cell r="AC148">
            <v>0</v>
          </cell>
          <cell r="AJ148">
            <v>300</v>
          </cell>
          <cell r="AK148">
            <v>865.25</v>
          </cell>
          <cell r="AL148">
            <v>-40208.957581756862</v>
          </cell>
          <cell r="AM148">
            <v>-44888.413327334049</v>
          </cell>
          <cell r="AP148" t="e">
            <v>#REF!</v>
          </cell>
          <cell r="AQ148" t="e">
            <v>#REF!</v>
          </cell>
          <cell r="AR148" t="e">
            <v>#REF!</v>
          </cell>
        </row>
        <row r="149">
          <cell r="P149">
            <v>0</v>
          </cell>
          <cell r="S149">
            <v>0</v>
          </cell>
          <cell r="X149">
            <v>0</v>
          </cell>
          <cell r="AC149">
            <v>0</v>
          </cell>
          <cell r="AJ149">
            <v>0</v>
          </cell>
          <cell r="AK149">
            <v>5114.2857142857147</v>
          </cell>
          <cell r="AL149">
            <v>-43965.116024096387</v>
          </cell>
          <cell r="AM149">
            <v>-72810.013763782408</v>
          </cell>
        </row>
        <row r="150">
          <cell r="P150">
            <v>0</v>
          </cell>
          <cell r="Q150">
            <v>0</v>
          </cell>
          <cell r="S150">
            <v>0</v>
          </cell>
          <cell r="T150">
            <v>0</v>
          </cell>
          <cell r="X150">
            <v>0</v>
          </cell>
          <cell r="Y150">
            <v>0</v>
          </cell>
          <cell r="AC150">
            <v>0</v>
          </cell>
          <cell r="AJ150">
            <v>0</v>
          </cell>
          <cell r="AK150">
            <v>865.25</v>
          </cell>
          <cell r="AL150">
            <v>56960</v>
          </cell>
          <cell r="AM150">
            <v>58108</v>
          </cell>
          <cell r="AN150">
            <v>0</v>
          </cell>
          <cell r="AO150">
            <v>0</v>
          </cell>
        </row>
        <row r="151">
          <cell r="AJ151">
            <v>0</v>
          </cell>
          <cell r="AK151">
            <v>0</v>
          </cell>
          <cell r="AL151">
            <v>49395</v>
          </cell>
          <cell r="AM151">
            <v>28333</v>
          </cell>
          <cell r="AO151">
            <v>0</v>
          </cell>
        </row>
        <row r="152">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0</v>
          </cell>
          <cell r="AK152">
            <v>139949</v>
          </cell>
          <cell r="AL152">
            <v>57720</v>
          </cell>
          <cell r="AM152">
            <v>82229</v>
          </cell>
          <cell r="AN152">
            <v>197</v>
          </cell>
          <cell r="AO152">
            <v>0</v>
          </cell>
          <cell r="AP152">
            <v>9542.2601818181811</v>
          </cell>
        </row>
        <row r="153">
          <cell r="AK153">
            <v>0</v>
          </cell>
          <cell r="AL153">
            <v>49395</v>
          </cell>
          <cell r="AM153">
            <v>28333</v>
          </cell>
          <cell r="AO153">
            <v>2093</v>
          </cell>
          <cell r="AP153">
            <v>5098</v>
          </cell>
          <cell r="AQ153">
            <v>4891.9653693155615</v>
          </cell>
          <cell r="AR153">
            <v>11328.349456446114</v>
          </cell>
        </row>
        <row r="154">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139949</v>
          </cell>
          <cell r="AL154">
            <v>57720</v>
          </cell>
          <cell r="AM154">
            <v>82229</v>
          </cell>
          <cell r="AN154">
            <v>0</v>
          </cell>
          <cell r="AO154">
            <v>2889</v>
          </cell>
          <cell r="AP154">
            <v>5865</v>
          </cell>
          <cell r="AQ154">
            <v>4320.2514445347797</v>
          </cell>
          <cell r="AR154">
            <v>12672.305468164745</v>
          </cell>
        </row>
        <row r="155">
          <cell r="P155">
            <v>0</v>
          </cell>
          <cell r="Q155">
            <v>0</v>
          </cell>
          <cell r="S155">
            <v>0</v>
          </cell>
          <cell r="T155">
            <v>70</v>
          </cell>
          <cell r="X155">
            <v>-70</v>
          </cell>
          <cell r="Y155">
            <v>24</v>
          </cell>
          <cell r="AC155">
            <v>-24</v>
          </cell>
          <cell r="AJ155">
            <v>0</v>
          </cell>
          <cell r="AK155">
            <v>0</v>
          </cell>
          <cell r="AL155">
            <v>-100</v>
          </cell>
          <cell r="AM155">
            <v>-100</v>
          </cell>
          <cell r="AO155">
            <v>2449</v>
          </cell>
          <cell r="AP155">
            <v>6659</v>
          </cell>
          <cell r="AQ155">
            <v>5344.308649356225</v>
          </cell>
          <cell r="AR155">
            <v>14571.544133725103</v>
          </cell>
        </row>
        <row r="156">
          <cell r="P156">
            <v>0</v>
          </cell>
          <cell r="Q156">
            <v>0</v>
          </cell>
          <cell r="S156">
            <v>0</v>
          </cell>
          <cell r="T156">
            <v>0</v>
          </cell>
          <cell r="X156">
            <v>0</v>
          </cell>
          <cell r="Y156">
            <v>0</v>
          </cell>
          <cell r="AC156">
            <v>0</v>
          </cell>
          <cell r="AJ156">
            <v>0</v>
          </cell>
          <cell r="AK156">
            <v>20.6</v>
          </cell>
          <cell r="AL156">
            <v>31.3</v>
          </cell>
          <cell r="AM156">
            <v>12.9</v>
          </cell>
          <cell r="AP156" t="e">
            <v>#REF!</v>
          </cell>
        </row>
        <row r="157">
          <cell r="P157">
            <v>-681</v>
          </cell>
          <cell r="Q157">
            <v>1041.8333333333333</v>
          </cell>
          <cell r="S157">
            <v>-1041.8333333333333</v>
          </cell>
          <cell r="T157">
            <v>213</v>
          </cell>
          <cell r="X157">
            <v>-213</v>
          </cell>
          <cell r="Y157">
            <v>1171.0035872727274</v>
          </cell>
          <cell r="AC157">
            <v>-1171.0035872727274</v>
          </cell>
          <cell r="AJ157">
            <v>0</v>
          </cell>
          <cell r="AK157">
            <v>4.3796018241005417</v>
          </cell>
          <cell r="AL157">
            <v>-100</v>
          </cell>
          <cell r="AM157">
            <v>-100</v>
          </cell>
          <cell r="AP157" t="e">
            <v>#REF!</v>
          </cell>
        </row>
        <row r="158">
          <cell r="F158">
            <v>0</v>
          </cell>
          <cell r="P158">
            <v>-47</v>
          </cell>
          <cell r="Q158">
            <v>140</v>
          </cell>
          <cell r="S158">
            <v>-140</v>
          </cell>
          <cell r="T158">
            <v>105</v>
          </cell>
          <cell r="X158">
            <v>-105</v>
          </cell>
          <cell r="Y158">
            <v>190</v>
          </cell>
          <cell r="AC158">
            <v>-190</v>
          </cell>
          <cell r="AJ158">
            <v>0</v>
          </cell>
          <cell r="AK158">
            <v>0</v>
          </cell>
          <cell r="AL158">
            <v>0</v>
          </cell>
          <cell r="AM158">
            <v>0</v>
          </cell>
          <cell r="AP158" t="e">
            <v>#REF!</v>
          </cell>
        </row>
        <row r="159">
          <cell r="F159">
            <v>320</v>
          </cell>
          <cell r="P159">
            <v>-1248.5</v>
          </cell>
          <cell r="Q159">
            <v>140</v>
          </cell>
          <cell r="S159">
            <v>-140</v>
          </cell>
          <cell r="T159" t="str">
            <v xml:space="preserve">                   КОРИГУВАННЯ   ПЛАНУ   НА   СЕРПЕНЬ  1998 р</v>
          </cell>
          <cell r="X159" t="e">
            <v>#VALUE!</v>
          </cell>
          <cell r="Y159">
            <v>1006.7</v>
          </cell>
          <cell r="AC159">
            <v>-1006.7</v>
          </cell>
          <cell r="AF159">
            <v>312.8</v>
          </cell>
          <cell r="AG159">
            <v>313</v>
          </cell>
          <cell r="AH159">
            <v>-0.19999999999998863</v>
          </cell>
          <cell r="AJ159">
            <v>0</v>
          </cell>
          <cell r="AK159">
            <v>3951.6000000000004</v>
          </cell>
          <cell r="AP159" t="e">
            <v>#REF!</v>
          </cell>
        </row>
        <row r="160">
          <cell r="F160">
            <v>0</v>
          </cell>
          <cell r="P160">
            <v>0</v>
          </cell>
          <cell r="Q160">
            <v>280</v>
          </cell>
          <cell r="S160">
            <v>0</v>
          </cell>
          <cell r="X160">
            <v>0</v>
          </cell>
          <cell r="Y160">
            <v>1196.7</v>
          </cell>
          <cell r="AC160">
            <v>0</v>
          </cell>
          <cell r="AF160">
            <v>141.6</v>
          </cell>
          <cell r="AG160">
            <v>142</v>
          </cell>
          <cell r="AH160">
            <v>-0.40000000000000568</v>
          </cell>
          <cell r="AJ160">
            <v>142</v>
          </cell>
          <cell r="AK160">
            <v>0</v>
          </cell>
        </row>
        <row r="161">
          <cell r="F161">
            <v>320</v>
          </cell>
          <cell r="P161">
            <v>859</v>
          </cell>
          <cell r="Q161">
            <v>2287.7454545454548</v>
          </cell>
          <cell r="S161">
            <v>1389</v>
          </cell>
          <cell r="X161">
            <v>1415</v>
          </cell>
          <cell r="Y161">
            <v>0</v>
          </cell>
          <cell r="AC161">
            <v>724</v>
          </cell>
          <cell r="AF161">
            <v>1203</v>
          </cell>
          <cell r="AG161">
            <v>530</v>
          </cell>
          <cell r="AH161">
            <v>673</v>
          </cell>
          <cell r="AJ161">
            <v>0</v>
          </cell>
          <cell r="AK161">
            <v>5590</v>
          </cell>
          <cell r="AP161" t="e">
            <v>#REF!</v>
          </cell>
        </row>
        <row r="162">
          <cell r="F162">
            <v>0</v>
          </cell>
          <cell r="P162">
            <v>390</v>
          </cell>
          <cell r="Q162">
            <v>776</v>
          </cell>
          <cell r="S162">
            <v>512</v>
          </cell>
          <cell r="X162">
            <v>2374</v>
          </cell>
          <cell r="Y162" t="e">
            <v>#REF!</v>
          </cell>
          <cell r="AB162">
            <v>9</v>
          </cell>
          <cell r="AC162">
            <v>1081</v>
          </cell>
          <cell r="AF162">
            <v>560</v>
          </cell>
          <cell r="AG162">
            <v>500</v>
          </cell>
          <cell r="AH162">
            <v>60</v>
          </cell>
          <cell r="AJ162">
            <v>0</v>
          </cell>
          <cell r="AK162">
            <v>4357</v>
          </cell>
          <cell r="AP162" t="e">
            <v>#REF!</v>
          </cell>
        </row>
        <row r="163">
          <cell r="F163">
            <v>0</v>
          </cell>
          <cell r="P163">
            <v>226</v>
          </cell>
          <cell r="Q163">
            <v>1739.5839999999998</v>
          </cell>
          <cell r="R163">
            <v>800</v>
          </cell>
          <cell r="S163">
            <v>133</v>
          </cell>
          <cell r="T163">
            <v>176.47000000000003</v>
          </cell>
          <cell r="U163">
            <v>0</v>
          </cell>
          <cell r="V163">
            <v>0</v>
          </cell>
          <cell r="W163">
            <v>0</v>
          </cell>
          <cell r="X163">
            <v>226</v>
          </cell>
          <cell r="Y163">
            <v>225.76000000000002</v>
          </cell>
          <cell r="Z163">
            <v>0</v>
          </cell>
          <cell r="AA163">
            <v>0</v>
          </cell>
          <cell r="AB163">
            <v>432</v>
          </cell>
          <cell r="AC163">
            <v>173</v>
          </cell>
          <cell r="AD163" t="e">
            <v>#REF!</v>
          </cell>
          <cell r="AE163">
            <v>1009.45</v>
          </cell>
          <cell r="AF163">
            <v>90</v>
          </cell>
          <cell r="AG163">
            <v>90</v>
          </cell>
          <cell r="AH163">
            <v>0</v>
          </cell>
          <cell r="AI163">
            <v>0</v>
          </cell>
          <cell r="AJ163" t="e">
            <v>#REF!</v>
          </cell>
          <cell r="AK163">
            <v>848</v>
          </cell>
          <cell r="AL163">
            <v>0</v>
          </cell>
          <cell r="AM163">
            <v>0</v>
          </cell>
          <cell r="AN163" t="e">
            <v>#REF!</v>
          </cell>
          <cell r="AO163">
            <v>1616</v>
          </cell>
          <cell r="AP163" t="e">
            <v>#REF!</v>
          </cell>
        </row>
        <row r="164">
          <cell r="F164">
            <v>14.170833333333334</v>
          </cell>
          <cell r="P164">
            <v>120</v>
          </cell>
          <cell r="Q164">
            <v>-0.23600000000000065</v>
          </cell>
          <cell r="R164">
            <v>154</v>
          </cell>
          <cell r="S164">
            <v>94</v>
          </cell>
          <cell r="T164">
            <v>-0.42800000000000082</v>
          </cell>
          <cell r="U164">
            <v>0</v>
          </cell>
          <cell r="V164">
            <v>0</v>
          </cell>
          <cell r="W164">
            <v>79</v>
          </cell>
          <cell r="X164">
            <v>131</v>
          </cell>
          <cell r="Y164">
            <v>6.799999999999784E-2</v>
          </cell>
          <cell r="Z164">
            <v>0</v>
          </cell>
          <cell r="AA164">
            <v>0</v>
          </cell>
          <cell r="AB164">
            <v>9</v>
          </cell>
          <cell r="AC164">
            <v>83</v>
          </cell>
          <cell r="AD164">
            <v>0.28399999999999892</v>
          </cell>
          <cell r="AE164">
            <v>0.28399999999999892</v>
          </cell>
          <cell r="AF164">
            <v>80</v>
          </cell>
          <cell r="AG164">
            <v>80</v>
          </cell>
          <cell r="AH164">
            <v>30</v>
          </cell>
          <cell r="AI164">
            <v>0</v>
          </cell>
          <cell r="AJ164">
            <v>29.716000000000001</v>
          </cell>
          <cell r="AK164">
            <v>428</v>
          </cell>
          <cell r="AL164">
            <v>0</v>
          </cell>
          <cell r="AM164">
            <v>0</v>
          </cell>
          <cell r="AN164" t="e">
            <v>#REF!</v>
          </cell>
          <cell r="AO164">
            <v>0</v>
          </cell>
          <cell r="AP164" t="e">
            <v>#REF!</v>
          </cell>
        </row>
        <row r="165">
          <cell r="F165">
            <v>14.170833333333334</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row>
        <row r="166">
          <cell r="F166">
            <v>14.170833333333334</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14.170833333333334</v>
          </cell>
          <cell r="AL166">
            <v>0</v>
          </cell>
          <cell r="AM166">
            <v>0</v>
          </cell>
          <cell r="AN166">
            <v>19</v>
          </cell>
          <cell r="AO166">
            <v>0</v>
          </cell>
          <cell r="AP166">
            <v>2846.5333333333333</v>
          </cell>
        </row>
        <row r="167">
          <cell r="F167">
            <v>260</v>
          </cell>
          <cell r="P167">
            <v>450</v>
          </cell>
          <cell r="Q167">
            <v>13559.514000000001</v>
          </cell>
          <cell r="S167">
            <v>688.5</v>
          </cell>
          <cell r="T167">
            <v>876.30400000002464</v>
          </cell>
          <cell r="X167">
            <v>416.54545454545456</v>
          </cell>
          <cell r="Y167">
            <v>912.96000000001436</v>
          </cell>
          <cell r="AC167">
            <v>179.90909090909091</v>
          </cell>
          <cell r="AE167">
            <v>-6947.0430909090901</v>
          </cell>
          <cell r="AF167">
            <v>157.90909090909091</v>
          </cell>
          <cell r="AG167">
            <v>157.90909090909091</v>
          </cell>
          <cell r="AH167">
            <v>2561</v>
          </cell>
          <cell r="AK167">
            <v>1734.9545454545455</v>
          </cell>
          <cell r="AN167" t="e">
            <v>#REF!</v>
          </cell>
          <cell r="AP167" t="e">
            <v>#REF!</v>
          </cell>
        </row>
        <row r="168">
          <cell r="F168">
            <v>-60</v>
          </cell>
          <cell r="P168">
            <v>0</v>
          </cell>
          <cell r="S168">
            <v>700.5</v>
          </cell>
          <cell r="X168">
            <v>998.4545454545455</v>
          </cell>
          <cell r="AC168">
            <v>544.09090909090912</v>
          </cell>
          <cell r="AK168">
            <v>2183.0454545454545</v>
          </cell>
        </row>
        <row r="169">
          <cell r="F169">
            <v>60</v>
          </cell>
          <cell r="P169">
            <v>0</v>
          </cell>
          <cell r="S169">
            <v>1389</v>
          </cell>
          <cell r="X169">
            <v>1415</v>
          </cell>
          <cell r="AC169">
            <v>724</v>
          </cell>
          <cell r="AF169">
            <v>0</v>
          </cell>
          <cell r="AG169">
            <v>0</v>
          </cell>
          <cell r="AH169">
            <v>0</v>
          </cell>
          <cell r="AK169">
            <v>0</v>
          </cell>
        </row>
        <row r="170">
          <cell r="F170">
            <v>60</v>
          </cell>
          <cell r="G170">
            <v>0</v>
          </cell>
          <cell r="H170">
            <v>0</v>
          </cell>
          <cell r="P170">
            <v>0</v>
          </cell>
          <cell r="Q170">
            <v>0</v>
          </cell>
          <cell r="R170">
            <v>0</v>
          </cell>
          <cell r="S170">
            <v>0</v>
          </cell>
          <cell r="T170">
            <v>0</v>
          </cell>
          <cell r="U170">
            <v>0</v>
          </cell>
          <cell r="V170">
            <v>0</v>
          </cell>
          <cell r="W170">
            <v>0</v>
          </cell>
          <cell r="X170">
            <v>0</v>
          </cell>
          <cell r="Y170">
            <v>0</v>
          </cell>
          <cell r="Z170">
            <v>0</v>
          </cell>
          <cell r="AA170">
            <v>0</v>
          </cell>
          <cell r="AB170">
            <v>0</v>
          </cell>
          <cell r="AC170">
            <v>0</v>
          </cell>
          <cell r="AD170">
            <v>25802.811515151516</v>
          </cell>
          <cell r="AE170">
            <v>0</v>
          </cell>
          <cell r="AF170">
            <v>454</v>
          </cell>
          <cell r="AG170">
            <v>461</v>
          </cell>
          <cell r="AH170">
            <v>0</v>
          </cell>
          <cell r="AJ170">
            <v>0</v>
          </cell>
          <cell r="AK170">
            <v>60</v>
          </cell>
        </row>
        <row r="171">
          <cell r="F171">
            <v>427</v>
          </cell>
          <cell r="G171">
            <v>0</v>
          </cell>
          <cell r="H171">
            <v>0</v>
          </cell>
          <cell r="P171">
            <v>1736</v>
          </cell>
          <cell r="Q171">
            <v>0</v>
          </cell>
          <cell r="R171">
            <v>0</v>
          </cell>
          <cell r="S171">
            <v>0</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J171">
            <v>0</v>
          </cell>
          <cell r="AK171">
            <v>0</v>
          </cell>
        </row>
        <row r="172">
          <cell r="F172">
            <v>825</v>
          </cell>
          <cell r="G172">
            <v>0</v>
          </cell>
          <cell r="H172">
            <v>0</v>
          </cell>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461</v>
          </cell>
          <cell r="AH172">
            <v>0</v>
          </cell>
          <cell r="AJ172">
            <v>0</v>
          </cell>
          <cell r="AK172">
            <v>3890</v>
          </cell>
        </row>
        <row r="173">
          <cell r="F173">
            <v>825</v>
          </cell>
          <cell r="G173">
            <v>0</v>
          </cell>
          <cell r="H173">
            <v>0</v>
          </cell>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3695</v>
          </cell>
        </row>
        <row r="174">
          <cell r="F174">
            <v>0</v>
          </cell>
          <cell r="G174">
            <v>0</v>
          </cell>
          <cell r="H174">
            <v>0</v>
          </cell>
          <cell r="P174">
            <v>0</v>
          </cell>
          <cell r="Q174" t="str">
            <v>КТМ</v>
          </cell>
          <cell r="R174">
            <v>0</v>
          </cell>
          <cell r="S174">
            <v>0</v>
          </cell>
          <cell r="T174">
            <v>0</v>
          </cell>
          <cell r="U174">
            <v>0</v>
          </cell>
          <cell r="V174">
            <v>0</v>
          </cell>
          <cell r="W174">
            <v>0</v>
          </cell>
          <cell r="X174">
            <v>0</v>
          </cell>
          <cell r="Y174">
            <v>0</v>
          </cell>
          <cell r="Z174">
            <v>0</v>
          </cell>
          <cell r="AA174">
            <v>0</v>
          </cell>
          <cell r="AB174">
            <v>0</v>
          </cell>
          <cell r="AC174">
            <v>0</v>
          </cell>
          <cell r="AE174">
            <v>0</v>
          </cell>
          <cell r="AF174">
            <v>0</v>
          </cell>
          <cell r="AG174">
            <v>0</v>
          </cell>
          <cell r="AH174">
            <v>0</v>
          </cell>
          <cell r="AJ174">
            <v>0</v>
          </cell>
          <cell r="AK174">
            <v>0</v>
          </cell>
          <cell r="AN174" t="str">
            <v>ДОП.ВИР. СТ.ОРГ.</v>
          </cell>
          <cell r="AP174" t="str">
            <v>АК КЕ ВСЬОГО</v>
          </cell>
          <cell r="AQ174" t="str">
            <v>Е/Е</v>
          </cell>
          <cell r="AR174" t="str">
            <v xml:space="preserve"> Т/Е</v>
          </cell>
        </row>
        <row r="175">
          <cell r="F175">
            <v>0</v>
          </cell>
          <cell r="Q175">
            <v>1.895</v>
          </cell>
          <cell r="U175">
            <v>1.895</v>
          </cell>
          <cell r="V175">
            <v>1.895</v>
          </cell>
          <cell r="Y175">
            <v>1.895</v>
          </cell>
          <cell r="Z175">
            <v>1.895</v>
          </cell>
          <cell r="AA175">
            <v>1.895</v>
          </cell>
          <cell r="AG175">
            <v>0</v>
          </cell>
          <cell r="AK175">
            <v>0</v>
          </cell>
          <cell r="AN175">
            <v>1.895</v>
          </cell>
          <cell r="AP175">
            <v>1.895</v>
          </cell>
          <cell r="AQ175">
            <v>1.895</v>
          </cell>
        </row>
        <row r="176">
          <cell r="F176">
            <v>587</v>
          </cell>
          <cell r="P176">
            <v>863.25</v>
          </cell>
          <cell r="Q176">
            <v>0</v>
          </cell>
          <cell r="R176">
            <v>0</v>
          </cell>
          <cell r="S176">
            <v>1561.82</v>
          </cell>
          <cell r="T176">
            <v>554.80543636363632</v>
          </cell>
          <cell r="U176">
            <v>577.28729090909087</v>
          </cell>
          <cell r="V176">
            <v>0</v>
          </cell>
          <cell r="W176">
            <v>0</v>
          </cell>
          <cell r="X176">
            <v>640.95000000000005</v>
          </cell>
          <cell r="AA176">
            <v>0</v>
          </cell>
          <cell r="AB176">
            <v>0</v>
          </cell>
          <cell r="AC176">
            <v>535.86</v>
          </cell>
          <cell r="AF176">
            <v>1759.96</v>
          </cell>
          <cell r="AG176">
            <v>1532.909090909091</v>
          </cell>
          <cell r="AH176">
            <v>227.05090909090904</v>
          </cell>
          <cell r="AJ176">
            <v>0</v>
          </cell>
          <cell r="AK176">
            <v>0</v>
          </cell>
          <cell r="AO176">
            <v>247</v>
          </cell>
          <cell r="AP176">
            <v>610</v>
          </cell>
          <cell r="AQ176">
            <v>920.25</v>
          </cell>
          <cell r="AR176">
            <v>2050.3572727272726</v>
          </cell>
        </row>
        <row r="177">
          <cell r="F177">
            <v>3480</v>
          </cell>
          <cell r="G177">
            <v>0</v>
          </cell>
          <cell r="H177">
            <v>0</v>
          </cell>
          <cell r="P177">
            <v>152</v>
          </cell>
          <cell r="Q177">
            <v>132.19999999999999</v>
          </cell>
          <cell r="R177">
            <v>0</v>
          </cell>
          <cell r="S177">
            <v>428.72727272727275</v>
          </cell>
          <cell r="T177">
            <v>0</v>
          </cell>
          <cell r="U177">
            <v>0</v>
          </cell>
          <cell r="V177">
            <v>0</v>
          </cell>
          <cell r="W177">
            <v>0</v>
          </cell>
          <cell r="X177">
            <v>248.36363636363637</v>
          </cell>
          <cell r="Y177">
            <v>68.7</v>
          </cell>
          <cell r="Z177">
            <v>145.36363636363637</v>
          </cell>
          <cell r="AA177">
            <v>0</v>
          </cell>
          <cell r="AB177">
            <v>0</v>
          </cell>
          <cell r="AC177">
            <v>191.18181818181819</v>
          </cell>
          <cell r="AD177">
            <v>88</v>
          </cell>
          <cell r="AE177">
            <v>103.18181818181819</v>
          </cell>
          <cell r="AF177">
            <v>157.90909090909091</v>
          </cell>
          <cell r="AG177">
            <v>157.90909090909091</v>
          </cell>
          <cell r="AH177">
            <v>0</v>
          </cell>
          <cell r="AJ177">
            <v>0</v>
          </cell>
          <cell r="AK177">
            <v>3480</v>
          </cell>
          <cell r="AO177">
            <v>266</v>
          </cell>
          <cell r="AP177">
            <v>200.89999999999998</v>
          </cell>
          <cell r="AQ177">
            <v>907.25</v>
          </cell>
          <cell r="AR177">
            <v>2372.7209090909091</v>
          </cell>
        </row>
        <row r="178">
          <cell r="F178">
            <v>742.3</v>
          </cell>
          <cell r="G178">
            <v>0</v>
          </cell>
          <cell r="H178">
            <v>0</v>
          </cell>
          <cell r="P178">
            <v>962.45</v>
          </cell>
          <cell r="Q178">
            <v>0</v>
          </cell>
          <cell r="R178">
            <v>0</v>
          </cell>
          <cell r="S178">
            <v>2034.72</v>
          </cell>
          <cell r="T178">
            <v>659.81780000000003</v>
          </cell>
          <cell r="U178">
            <v>686.40219999999999</v>
          </cell>
          <cell r="V178">
            <v>0</v>
          </cell>
          <cell r="W178">
            <v>0</v>
          </cell>
          <cell r="X178">
            <v>830.12099999999998</v>
          </cell>
          <cell r="Y178">
            <v>78.3</v>
          </cell>
          <cell r="Z178">
            <v>120.36363636363637</v>
          </cell>
          <cell r="AA178">
            <v>0</v>
          </cell>
          <cell r="AB178">
            <v>0</v>
          </cell>
          <cell r="AC178">
            <v>689.86</v>
          </cell>
          <cell r="AD178">
            <v>73</v>
          </cell>
          <cell r="AE178">
            <v>107.90909090909091</v>
          </cell>
          <cell r="AF178">
            <v>1784.8600000000001</v>
          </cell>
          <cell r="AG178">
            <v>1697.909090909091</v>
          </cell>
          <cell r="AH178">
            <v>86.950909090909136</v>
          </cell>
          <cell r="AJ178">
            <v>0</v>
          </cell>
          <cell r="AK178">
            <v>7462.360090909091</v>
          </cell>
          <cell r="AO178">
            <v>292</v>
          </cell>
          <cell r="AP178">
            <v>761</v>
          </cell>
          <cell r="AQ178">
            <v>1068.45</v>
          </cell>
          <cell r="AR178">
            <v>2428.0464545454552</v>
          </cell>
        </row>
        <row r="179">
          <cell r="F179">
            <v>0</v>
          </cell>
          <cell r="G179">
            <v>0</v>
          </cell>
          <cell r="H179">
            <v>0</v>
          </cell>
          <cell r="P179">
            <v>450</v>
          </cell>
          <cell r="Q179">
            <v>0</v>
          </cell>
          <cell r="R179">
            <v>0</v>
          </cell>
          <cell r="S179">
            <v>688.5</v>
          </cell>
          <cell r="T179">
            <v>0</v>
          </cell>
          <cell r="U179">
            <v>0</v>
          </cell>
          <cell r="V179">
            <v>0</v>
          </cell>
          <cell r="W179">
            <v>0</v>
          </cell>
          <cell r="X179">
            <v>416.54545454545456</v>
          </cell>
          <cell r="Y179">
            <v>175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J179">
            <v>0</v>
          </cell>
          <cell r="AK179">
            <v>-1272.236272727273</v>
          </cell>
          <cell r="AO179">
            <v>350</v>
          </cell>
          <cell r="AP179">
            <v>82.5</v>
          </cell>
          <cell r="AQ179">
            <v>0</v>
          </cell>
          <cell r="AR179">
            <v>14</v>
          </cell>
        </row>
        <row r="180">
          <cell r="F180">
            <v>0</v>
          </cell>
          <cell r="P180">
            <v>-107</v>
          </cell>
          <cell r="Q180">
            <v>0</v>
          </cell>
          <cell r="R180">
            <v>0</v>
          </cell>
          <cell r="S180">
            <v>-76.333333333333329</v>
          </cell>
          <cell r="T180">
            <v>13.666666666666666</v>
          </cell>
          <cell r="U180">
            <v>0</v>
          </cell>
          <cell r="V180">
            <v>0</v>
          </cell>
          <cell r="W180">
            <v>0</v>
          </cell>
          <cell r="X180">
            <v>623</v>
          </cell>
          <cell r="Y180">
            <v>156.34</v>
          </cell>
          <cell r="AA180">
            <v>0</v>
          </cell>
          <cell r="AB180">
            <v>0</v>
          </cell>
          <cell r="AC180">
            <v>13.333333333333334</v>
          </cell>
          <cell r="AF180">
            <v>1</v>
          </cell>
          <cell r="AG180">
            <v>1</v>
          </cell>
          <cell r="AH180">
            <v>0</v>
          </cell>
          <cell r="AJ180">
            <v>0</v>
          </cell>
          <cell r="AK180">
            <v>7665.7360636363592</v>
          </cell>
          <cell r="AO180">
            <v>267</v>
          </cell>
          <cell r="AP180">
            <v>349</v>
          </cell>
          <cell r="AQ180">
            <v>-107</v>
          </cell>
          <cell r="AR180">
            <v>-55</v>
          </cell>
        </row>
        <row r="181">
          <cell r="F181">
            <v>9095</v>
          </cell>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P181">
            <v>31409</v>
          </cell>
        </row>
        <row r="182">
          <cell r="F182">
            <v>6013</v>
          </cell>
          <cell r="P182">
            <v>478.66666666666606</v>
          </cell>
          <cell r="S182">
            <v>4076.6666666666688</v>
          </cell>
          <cell r="X182">
            <v>534.33333333333678</v>
          </cell>
          <cell r="AC182">
            <v>554.33333333333053</v>
          </cell>
          <cell r="AF182">
            <v>1865.0333333333331</v>
          </cell>
          <cell r="AG182">
            <v>1889.3999999999996</v>
          </cell>
          <cell r="AH182">
            <v>376.63333333333327</v>
          </cell>
          <cell r="AO182" t="str">
            <v>ОЧИК.18.02.</v>
          </cell>
          <cell r="AP182">
            <v>31409</v>
          </cell>
        </row>
        <row r="183">
          <cell r="F183">
            <v>8205</v>
          </cell>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O183" t="str">
            <v>ОЧИК.18.02.</v>
          </cell>
          <cell r="AP183">
            <v>1507.2</v>
          </cell>
        </row>
        <row r="184">
          <cell r="Q184">
            <v>0</v>
          </cell>
          <cell r="U184">
            <v>0</v>
          </cell>
          <cell r="Y184">
            <v>71.3</v>
          </cell>
          <cell r="AO184" t="str">
            <v>ОЧИК.18.02.</v>
          </cell>
          <cell r="AP184">
            <v>71.3</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row>
        <row r="186">
          <cell r="F186" t="str">
            <v>АПАРАТ ВСЬОГО</v>
          </cell>
          <cell r="G186" t="str">
            <v>АПАРАТ ЕЛЕКТРО</v>
          </cell>
          <cell r="H186" t="str">
            <v>АПАРАТ ТЕПЛО</v>
          </cell>
          <cell r="P186" t="str">
            <v>ККМ</v>
          </cell>
          <cell r="Q186">
            <v>187.53</v>
          </cell>
          <cell r="S186" t="str">
            <v>КТМ</v>
          </cell>
          <cell r="U186">
            <v>0</v>
          </cell>
          <cell r="X186" t="str">
            <v>ТЕЦ-5 ВСЬОГО</v>
          </cell>
          <cell r="Y186">
            <v>187.53</v>
          </cell>
          <cell r="Z186" t="str">
            <v xml:space="preserve"> Т/Е</v>
          </cell>
          <cell r="AC186" t="str">
            <v>ТЕЦ-6 ВСЬОГО</v>
          </cell>
          <cell r="AD186" t="str">
            <v>Е/Е</v>
          </cell>
          <cell r="AE186" t="str">
            <v xml:space="preserve"> Т/Е</v>
          </cell>
          <cell r="AF186" t="str">
            <v>Е/Е</v>
          </cell>
          <cell r="AG186" t="str">
            <v xml:space="preserve"> Т/Е</v>
          </cell>
          <cell r="AJ186" t="str">
            <v>ДОП.ВИР. СТ.ОРГ.</v>
          </cell>
          <cell r="AK186" t="str">
            <v>АК КЕ ВСЬОГО</v>
          </cell>
          <cell r="AL186" t="str">
            <v>Е/Е</v>
          </cell>
          <cell r="AM186" t="str">
            <v xml:space="preserve"> Т/Е</v>
          </cell>
          <cell r="AO186" t="str">
            <v>СТАНЦІї ЕЛЕКТРО</v>
          </cell>
          <cell r="AP186">
            <v>187.53</v>
          </cell>
          <cell r="AQ186" t="str">
            <v>МЕРЕЖІ ЕЛЕКТРО</v>
          </cell>
          <cell r="AR186" t="str">
            <v>МЕРЕЖІ ТЕПЛОВІ</v>
          </cell>
        </row>
        <row r="187">
          <cell r="F187" t="str">
            <v>АПАРАТ ВСЬОГО</v>
          </cell>
          <cell r="G187" t="str">
            <v>АПАРАТ ЕЛЕКТРО</v>
          </cell>
          <cell r="H187" t="str">
            <v>АПАРАТ ТЕПЛО</v>
          </cell>
          <cell r="P187" t="str">
            <v>ККМ</v>
          </cell>
          <cell r="Q187">
            <v>0</v>
          </cell>
          <cell r="S187" t="str">
            <v>КТМ</v>
          </cell>
          <cell r="T187">
            <v>0</v>
          </cell>
          <cell r="X187" t="str">
            <v>ТЕЦ-5 ВСЬОГО</v>
          </cell>
          <cell r="Y187" t="str">
            <v>Е/Е</v>
          </cell>
          <cell r="Z187" t="str">
            <v xml:space="preserve"> Т/Е</v>
          </cell>
          <cell r="AC187" t="str">
            <v>ТЕЦ-6 ВСЬОГО</v>
          </cell>
          <cell r="AD187" t="str">
            <v>Е/Е</v>
          </cell>
          <cell r="AE187" t="str">
            <v xml:space="preserve"> Т/Е</v>
          </cell>
          <cell r="AF187" t="str">
            <v>Е/Е</v>
          </cell>
          <cell r="AG187" t="str">
            <v xml:space="preserve"> Т/Е</v>
          </cell>
          <cell r="AJ187" t="str">
            <v>ДОП.ВИР. СТ.ОРГ.</v>
          </cell>
          <cell r="AK187" t="str">
            <v>АК КЕ ВСЬОГО</v>
          </cell>
          <cell r="AL187" t="str">
            <v>Е/Е</v>
          </cell>
          <cell r="AM187" t="str">
            <v xml:space="preserve"> Т/Е</v>
          </cell>
          <cell r="AO187" t="str">
            <v>СТАНЦІї ЕЛЕКТРО</v>
          </cell>
          <cell r="AP187" t="str">
            <v>СТАНЦІІ ТЕПЛОВІ</v>
          </cell>
          <cell r="AQ187" t="str">
            <v>МЕРЕЖІ ЕЛЕКТРО</v>
          </cell>
          <cell r="AR187" t="str">
            <v>МЕРЕЖІ ТЕПЛОВІ</v>
          </cell>
        </row>
        <row r="188">
          <cell r="S188">
            <v>101.3</v>
          </cell>
          <cell r="X188">
            <v>116.9</v>
          </cell>
          <cell r="AC188">
            <v>111.7</v>
          </cell>
          <cell r="AK188">
            <v>329.90000000000003</v>
          </cell>
          <cell r="AO188">
            <v>221.49122807017542</v>
          </cell>
          <cell r="AP188">
            <v>9770</v>
          </cell>
        </row>
        <row r="189">
          <cell r="Q189">
            <v>150.5</v>
          </cell>
          <cell r="S189">
            <v>116</v>
          </cell>
          <cell r="T189">
            <v>0</v>
          </cell>
          <cell r="U189">
            <v>51.4</v>
          </cell>
          <cell r="V189">
            <v>-51.4</v>
          </cell>
          <cell r="X189">
            <v>133.9</v>
          </cell>
          <cell r="Y189">
            <v>149.6</v>
          </cell>
          <cell r="Z189">
            <v>52.7</v>
          </cell>
          <cell r="AA189">
            <v>96.899999999999991</v>
          </cell>
          <cell r="AC189">
            <v>127.8</v>
          </cell>
          <cell r="AK189">
            <v>377.7</v>
          </cell>
          <cell r="AO189">
            <v>252.49999999999997</v>
          </cell>
          <cell r="AP189">
            <v>300.10000000000002</v>
          </cell>
          <cell r="AQ189">
            <v>104.1</v>
          </cell>
          <cell r="AR189">
            <v>196</v>
          </cell>
        </row>
        <row r="190">
          <cell r="P190">
            <v>0</v>
          </cell>
          <cell r="Q190">
            <v>20668</v>
          </cell>
          <cell r="S190">
            <v>111.8</v>
          </cell>
          <cell r="T190">
            <v>0</v>
          </cell>
          <cell r="U190" t="e">
            <v>#DIV/0!</v>
          </cell>
          <cell r="V190" t="e">
            <v>#DIV/0!</v>
          </cell>
          <cell r="X190">
            <v>133.4</v>
          </cell>
          <cell r="Y190">
            <v>20511</v>
          </cell>
          <cell r="Z190">
            <v>7225</v>
          </cell>
          <cell r="AA190">
            <v>13286</v>
          </cell>
          <cell r="AC190">
            <v>117.3</v>
          </cell>
          <cell r="AK190">
            <v>362.5</v>
          </cell>
          <cell r="AO190">
            <v>221.49122807017542</v>
          </cell>
          <cell r="AP190" t="e">
            <v>#DIV/0!</v>
          </cell>
          <cell r="AQ190" t="e">
            <v>#DIV/0!</v>
          </cell>
          <cell r="AR190" t="e">
            <v>#DIV/0!</v>
          </cell>
        </row>
        <row r="191">
          <cell r="P191">
            <v>0</v>
          </cell>
          <cell r="Q191">
            <v>137.33000000000001</v>
          </cell>
          <cell r="S191">
            <v>128</v>
          </cell>
          <cell r="T191" t="e">
            <v>#DIV/0!</v>
          </cell>
          <cell r="U191" t="e">
            <v>#DIV/0!</v>
          </cell>
          <cell r="V191" t="e">
            <v>#DIV/0!</v>
          </cell>
          <cell r="X191">
            <v>152.69999999999999</v>
          </cell>
          <cell r="Y191">
            <v>137.11000000000001</v>
          </cell>
          <cell r="Z191">
            <v>137.1</v>
          </cell>
          <cell r="AA191">
            <v>137.11000000000001</v>
          </cell>
          <cell r="AC191">
            <v>134.30000000000001</v>
          </cell>
          <cell r="AK191">
            <v>415</v>
          </cell>
          <cell r="AN191" t="str">
            <v/>
          </cell>
          <cell r="AO191">
            <v>252.49999999999997</v>
          </cell>
          <cell r="AP191" t="e">
            <v>#DIV/0!</v>
          </cell>
          <cell r="AQ191" t="e">
            <v>#DIV/0!</v>
          </cell>
          <cell r="AR191" t="e">
            <v>#DIV/0!</v>
          </cell>
        </row>
        <row r="192">
          <cell r="P192">
            <v>0</v>
          </cell>
          <cell r="S192">
            <v>0</v>
          </cell>
          <cell r="X192">
            <v>0</v>
          </cell>
          <cell r="AC192">
            <v>0</v>
          </cell>
          <cell r="AK192">
            <v>63506</v>
          </cell>
          <cell r="AO192">
            <v>66</v>
          </cell>
          <cell r="AP192">
            <v>0</v>
          </cell>
          <cell r="AQ192">
            <v>0</v>
          </cell>
          <cell r="AR192">
            <v>0</v>
          </cell>
        </row>
        <row r="193">
          <cell r="P193">
            <v>0</v>
          </cell>
          <cell r="S193">
            <v>192.5</v>
          </cell>
          <cell r="T193" t="e">
            <v>#DIV/0!</v>
          </cell>
          <cell r="X193">
            <v>192.5</v>
          </cell>
          <cell r="Y193">
            <v>20511</v>
          </cell>
          <cell r="AC193">
            <v>192.5</v>
          </cell>
          <cell r="AK193">
            <v>192.5</v>
          </cell>
          <cell r="AO193">
            <v>0</v>
          </cell>
          <cell r="AP193" t="e">
            <v>#DIV/0!</v>
          </cell>
          <cell r="AQ193" t="e">
            <v>#DIV/0!</v>
          </cell>
          <cell r="AR193" t="e">
            <v>#DIV/0!</v>
          </cell>
        </row>
        <row r="194">
          <cell r="S194">
            <v>21522</v>
          </cell>
          <cell r="X194">
            <v>25680</v>
          </cell>
          <cell r="AC194">
            <v>22580</v>
          </cell>
          <cell r="AK194">
            <v>69781</v>
          </cell>
          <cell r="AO194">
            <v>0</v>
          </cell>
        </row>
        <row r="195">
          <cell r="X195">
            <v>0</v>
          </cell>
          <cell r="AC195">
            <v>0</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S199">
            <v>0</v>
          </cell>
          <cell r="U199">
            <v>306.60000000000002</v>
          </cell>
          <cell r="V199">
            <v>112.8</v>
          </cell>
          <cell r="X199">
            <v>0</v>
          </cell>
          <cell r="Z199">
            <v>301.89999999999998</v>
          </cell>
          <cell r="AA199">
            <v>116.3</v>
          </cell>
          <cell r="AC199">
            <v>0</v>
          </cell>
          <cell r="AK199">
            <v>0</v>
          </cell>
        </row>
        <row r="200">
          <cell r="S200">
            <v>0</v>
          </cell>
          <cell r="U200">
            <v>130.50000000000003</v>
          </cell>
          <cell r="V200">
            <v>-50.8</v>
          </cell>
          <cell r="X200">
            <v>0</v>
          </cell>
          <cell r="Z200">
            <v>105.39999999999998</v>
          </cell>
          <cell r="AA200">
            <v>-47.899999999999991</v>
          </cell>
          <cell r="AC200">
            <v>0</v>
          </cell>
          <cell r="AK200">
            <v>0</v>
          </cell>
          <cell r="AO200">
            <v>75.839416058394164</v>
          </cell>
        </row>
        <row r="201">
          <cell r="U201" t="e">
            <v>#DIV/0!</v>
          </cell>
          <cell r="V201" t="e">
            <v>#DIV/0!</v>
          </cell>
          <cell r="X201">
            <v>5.7</v>
          </cell>
          <cell r="Z201">
            <v>137.1</v>
          </cell>
          <cell r="AA201">
            <v>137.11000000000001</v>
          </cell>
          <cell r="AC201">
            <v>5.9</v>
          </cell>
          <cell r="AD201">
            <v>5</v>
          </cell>
          <cell r="AE201">
            <v>7</v>
          </cell>
          <cell r="AK201">
            <v>11.600000000000001</v>
          </cell>
          <cell r="AO201">
            <v>103.9</v>
          </cell>
        </row>
        <row r="202">
          <cell r="F202">
            <v>75</v>
          </cell>
          <cell r="U202" t="e">
            <v>#DIV/0!</v>
          </cell>
          <cell r="V202" t="e">
            <v>#DIV/0!</v>
          </cell>
          <cell r="X202">
            <v>7</v>
          </cell>
          <cell r="Z202">
            <v>14.450339999999997</v>
          </cell>
          <cell r="AA202">
            <v>-6.5675689999999998</v>
          </cell>
          <cell r="AC202">
            <v>7</v>
          </cell>
          <cell r="AJ202">
            <v>0</v>
          </cell>
          <cell r="AK202">
            <v>0</v>
          </cell>
          <cell r="AO202">
            <v>75.839416058394164</v>
          </cell>
          <cell r="AR202">
            <v>75</v>
          </cell>
        </row>
        <row r="203">
          <cell r="F203">
            <v>75</v>
          </cell>
          <cell r="S203">
            <v>601.41999999999996</v>
          </cell>
          <cell r="U203" t="e">
            <v>#DIV/0!</v>
          </cell>
          <cell r="V203" t="e">
            <v>#DIV/0!</v>
          </cell>
          <cell r="X203">
            <v>601.41999999999996</v>
          </cell>
          <cell r="Z203">
            <v>3874.858670999999</v>
          </cell>
          <cell r="AA203">
            <v>-3874.86571</v>
          </cell>
          <cell r="AC203">
            <v>601.41999999999996</v>
          </cell>
          <cell r="AJ203">
            <v>0</v>
          </cell>
          <cell r="AK203">
            <v>0</v>
          </cell>
          <cell r="AO203">
            <v>103.9</v>
          </cell>
          <cell r="AQ203" t="e">
            <v>#DIV/0!</v>
          </cell>
          <cell r="AR203" t="e">
            <v>#DIV/0!</v>
          </cell>
        </row>
        <row r="204">
          <cell r="F204">
            <v>75</v>
          </cell>
          <cell r="S204">
            <v>0</v>
          </cell>
          <cell r="X204">
            <v>2466</v>
          </cell>
          <cell r="AC204">
            <v>2526</v>
          </cell>
          <cell r="AJ204">
            <v>0</v>
          </cell>
          <cell r="AK204">
            <v>4992</v>
          </cell>
          <cell r="AO204" t="e">
            <v>#DIV/0!</v>
          </cell>
          <cell r="AR204">
            <v>75</v>
          </cell>
        </row>
        <row r="205">
          <cell r="S205">
            <v>675</v>
          </cell>
          <cell r="X205">
            <v>675</v>
          </cell>
          <cell r="AC205">
            <v>601.41999999999996</v>
          </cell>
          <cell r="AK205">
            <v>601.41999999999996</v>
          </cell>
          <cell r="AO205">
            <v>195.28</v>
          </cell>
        </row>
        <row r="206">
          <cell r="S206">
            <v>0</v>
          </cell>
          <cell r="X206">
            <v>0</v>
          </cell>
          <cell r="Y206">
            <v>58</v>
          </cell>
          <cell r="Z206">
            <v>81.600000000000009</v>
          </cell>
          <cell r="AC206">
            <v>0</v>
          </cell>
          <cell r="AD206">
            <v>61.1</v>
          </cell>
          <cell r="AE206">
            <v>72.599999999999994</v>
          </cell>
          <cell r="AK206">
            <v>0</v>
          </cell>
          <cell r="AL206">
            <v>119.1</v>
          </cell>
          <cell r="AM206">
            <v>270.2</v>
          </cell>
          <cell r="AO206">
            <v>14810</v>
          </cell>
          <cell r="AP206">
            <v>74.900000000000006</v>
          </cell>
          <cell r="AQ206">
            <v>281.5</v>
          </cell>
        </row>
        <row r="207">
          <cell r="S207">
            <v>19500</v>
          </cell>
          <cell r="X207">
            <v>24969</v>
          </cell>
          <cell r="Y207">
            <v>11255</v>
          </cell>
          <cell r="Z207">
            <v>13714</v>
          </cell>
          <cell r="AA207">
            <v>13714</v>
          </cell>
          <cell r="AC207">
            <v>24028</v>
          </cell>
          <cell r="AD207">
            <v>11813</v>
          </cell>
          <cell r="AE207">
            <v>12215</v>
          </cell>
          <cell r="AK207">
            <v>0</v>
          </cell>
          <cell r="AL207">
            <v>23068</v>
          </cell>
          <cell r="AM207">
            <v>45429</v>
          </cell>
          <cell r="AO207">
            <v>14810</v>
          </cell>
          <cell r="AP207">
            <v>3112.427048260382</v>
          </cell>
          <cell r="AQ207">
            <v>11697.572951739618</v>
          </cell>
        </row>
        <row r="208">
          <cell r="S208">
            <v>128</v>
          </cell>
          <cell r="X208">
            <v>152.69999999999999</v>
          </cell>
          <cell r="Y208">
            <v>64.2</v>
          </cell>
          <cell r="Z208">
            <v>88.5</v>
          </cell>
          <cell r="AA208">
            <v>6597</v>
          </cell>
          <cell r="AC208">
            <v>134.30000000000001</v>
          </cell>
          <cell r="AD208">
            <v>54.6</v>
          </cell>
          <cell r="AE208">
            <v>79.7</v>
          </cell>
          <cell r="AJ208" t="str">
            <v/>
          </cell>
          <cell r="AK208">
            <v>415</v>
          </cell>
          <cell r="AL208">
            <v>118.80000000000001</v>
          </cell>
          <cell r="AM208">
            <v>296.2</v>
          </cell>
          <cell r="AO208">
            <v>356.4</v>
          </cell>
          <cell r="AP208">
            <v>74.900000000000006</v>
          </cell>
          <cell r="AQ208">
            <v>281.5</v>
          </cell>
          <cell r="AR208" t="str">
            <v/>
          </cell>
        </row>
        <row r="209">
          <cell r="S209">
            <v>21522</v>
          </cell>
          <cell r="X209">
            <v>25680</v>
          </cell>
          <cell r="Y209">
            <v>10797</v>
          </cell>
          <cell r="Z209">
            <v>14883</v>
          </cell>
          <cell r="AA209">
            <v>14883</v>
          </cell>
          <cell r="AC209">
            <v>22580</v>
          </cell>
          <cell r="AD209">
            <v>9180</v>
          </cell>
          <cell r="AE209">
            <v>13400</v>
          </cell>
          <cell r="AJ209" t="str">
            <v/>
          </cell>
          <cell r="AK209">
            <v>69781</v>
          </cell>
          <cell r="AL209">
            <v>19977</v>
          </cell>
          <cell r="AM209">
            <v>49805</v>
          </cell>
          <cell r="AO209">
            <v>14810</v>
          </cell>
          <cell r="AP209">
            <v>3112.427048260382</v>
          </cell>
          <cell r="AQ209">
            <v>11697.572951739618</v>
          </cell>
          <cell r="AR209" t="str">
            <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X211">
            <v>15982</v>
          </cell>
          <cell r="AC211">
            <v>15481</v>
          </cell>
          <cell r="AK211">
            <v>41877</v>
          </cell>
          <cell r="AL211">
            <v>16729</v>
          </cell>
          <cell r="AM211">
            <v>0</v>
          </cell>
          <cell r="AO211">
            <v>52</v>
          </cell>
          <cell r="AP211">
            <v>52</v>
          </cell>
          <cell r="AQ211">
            <v>11697.572951739618</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G220" t="str">
            <v>Б.В.ЯЩЕНКО</v>
          </cell>
          <cell r="Y220" t="str">
            <v>ГОЛОВА ПРАЛІННЯ АК КЕ</v>
          </cell>
        </row>
        <row r="221">
          <cell r="G221" t="str">
            <v>Б.В.ЯЩЕНКО</v>
          </cell>
          <cell r="Z221" t="str">
            <v>І.В.ПЛАЧКОВ</v>
          </cell>
        </row>
        <row r="222">
          <cell r="G222" t="str">
            <v>М.В.ТЕРПИЛО</v>
          </cell>
        </row>
        <row r="223">
          <cell r="G223" t="str">
            <v xml:space="preserve">В.І.МИРГОРОДСЬКИЙ                                  </v>
          </cell>
        </row>
        <row r="224">
          <cell r="G224" t="str">
            <v xml:space="preserve">М.І.ШЕВЧЕНКО                                 </v>
          </cell>
        </row>
        <row r="225">
          <cell r="G225" t="str">
            <v>В.Ю.МОНТЬЕВ</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row>
        <row r="226">
          <cell r="G226" t="str">
            <v xml:space="preserve">О.М.НИКОЛЕНКО      </v>
          </cell>
        </row>
        <row r="228">
          <cell r="Q228">
            <v>24070.113454545455</v>
          </cell>
          <cell r="T228">
            <v>8491.1123636363882</v>
          </cell>
          <cell r="Y228" t="e">
            <v>#REF!</v>
          </cell>
          <cell r="AN228" t="e">
            <v>#REF!</v>
          </cell>
          <cell r="AP228" t="e">
            <v>#REF!</v>
          </cell>
          <cell r="AQ228" t="e">
            <v>#REF!</v>
          </cell>
        </row>
        <row r="229">
          <cell r="Q229">
            <v>7411.0435151515139</v>
          </cell>
          <cell r="T229">
            <v>3172.257090909115</v>
          </cell>
          <cell r="Y229" t="e">
            <v>#REF!</v>
          </cell>
          <cell r="AP229" t="e">
            <v>#REF!</v>
          </cell>
          <cell r="AQ229" t="e">
            <v>#REF!</v>
          </cell>
        </row>
        <row r="230">
          <cell r="AP230">
            <v>1507.2</v>
          </cell>
        </row>
        <row r="231">
          <cell r="Q231">
            <v>5435.727272727273</v>
          </cell>
          <cell r="T231">
            <v>2142.727272727273</v>
          </cell>
          <cell r="Y231">
            <v>1732.7272727272727</v>
          </cell>
          <cell r="AN231" t="e">
            <v>#REF!</v>
          </cell>
          <cell r="AP231" t="e">
            <v>#REF!</v>
          </cell>
          <cell r="AQ231" t="e">
            <v>#REF!</v>
          </cell>
        </row>
        <row r="232">
          <cell r="Q232">
            <v>1482</v>
          </cell>
          <cell r="T232">
            <v>584</v>
          </cell>
          <cell r="Y232">
            <v>472</v>
          </cell>
          <cell r="AP232" t="e">
            <v>#REF!</v>
          </cell>
          <cell r="AQ232" t="e">
            <v>#REF!</v>
          </cell>
        </row>
        <row r="233">
          <cell r="AQ233" t="e">
            <v>#REF!</v>
          </cell>
        </row>
        <row r="234">
          <cell r="Q234">
            <v>60.8</v>
          </cell>
          <cell r="T234">
            <v>2406.6</v>
          </cell>
          <cell r="Y234">
            <v>38.200000000000003</v>
          </cell>
          <cell r="AP234">
            <v>2505.6</v>
          </cell>
          <cell r="AQ234" t="e">
            <v>#REF!</v>
          </cell>
        </row>
        <row r="235">
          <cell r="Q235">
            <v>0</v>
          </cell>
          <cell r="T235">
            <v>0</v>
          </cell>
          <cell r="Y235">
            <v>0</v>
          </cell>
          <cell r="AP235">
            <v>21</v>
          </cell>
          <cell r="AQ235" t="e">
            <v>#REF!</v>
          </cell>
        </row>
        <row r="236">
          <cell r="Q236">
            <v>526.04999999999995</v>
          </cell>
          <cell r="T236">
            <v>0</v>
          </cell>
          <cell r="Y236">
            <v>0</v>
          </cell>
          <cell r="AP236" t="e">
            <v>#REF!</v>
          </cell>
          <cell r="AQ236" t="e">
            <v>#REF!</v>
          </cell>
        </row>
        <row r="237">
          <cell r="AQ237" t="e">
            <v>#REF!</v>
          </cell>
        </row>
        <row r="238">
          <cell r="Q238">
            <v>1739.5839999999998</v>
          </cell>
          <cell r="T238">
            <v>176.47000000000003</v>
          </cell>
          <cell r="Y238">
            <v>225.76000000000002</v>
          </cell>
          <cell r="AP238" t="e">
            <v>#REF!</v>
          </cell>
          <cell r="AQ238" t="e">
            <v>#REF!</v>
          </cell>
        </row>
        <row r="239">
          <cell r="Q239">
            <v>0</v>
          </cell>
          <cell r="T239">
            <v>0</v>
          </cell>
          <cell r="Y239">
            <v>0</v>
          </cell>
          <cell r="AP239">
            <v>0</v>
          </cell>
          <cell r="AQ239" t="e">
            <v>#REF!</v>
          </cell>
        </row>
        <row r="240">
          <cell r="AQ240" t="e">
            <v>#REF!</v>
          </cell>
        </row>
        <row r="241">
          <cell r="Q241">
            <v>776</v>
          </cell>
          <cell r="T241">
            <v>0</v>
          </cell>
          <cell r="Y241" t="e">
            <v>#REF!</v>
          </cell>
          <cell r="AP241" t="e">
            <v>#REF!</v>
          </cell>
          <cell r="AQ241" t="e">
            <v>#REF!</v>
          </cell>
        </row>
        <row r="242">
          <cell r="AQ242" t="e">
            <v>#REF!</v>
          </cell>
        </row>
        <row r="243">
          <cell r="AQ243" t="e">
            <v>#REF!</v>
          </cell>
        </row>
        <row r="244">
          <cell r="Q244">
            <v>1473.1853333333333</v>
          </cell>
          <cell r="T244">
            <v>145.25866666666667</v>
          </cell>
          <cell r="Y244">
            <v>100.22533333333334</v>
          </cell>
          <cell r="AG244" t="str">
            <v xml:space="preserve">         Затверджую</v>
          </cell>
          <cell r="AP244">
            <v>2344.551833476</v>
          </cell>
          <cell r="AQ244" t="e">
            <v>#REF!</v>
          </cell>
        </row>
        <row r="245">
          <cell r="Q245">
            <v>113.33333333333334</v>
          </cell>
          <cell r="T245">
            <v>48.626666666666665</v>
          </cell>
          <cell r="Y245">
            <v>65.784000000000006</v>
          </cell>
          <cell r="AG245" t="str">
            <v xml:space="preserve">         Затверджую</v>
          </cell>
          <cell r="AP245">
            <v>276.34120823549074</v>
          </cell>
          <cell r="AQ245" t="e">
            <v>#REF!</v>
          </cell>
        </row>
        <row r="246">
          <cell r="AG246" t="str">
            <v xml:space="preserve"> Голова правління </v>
          </cell>
          <cell r="AQ246" t="e">
            <v>#REF!</v>
          </cell>
        </row>
        <row r="247">
          <cell r="Q247">
            <v>0</v>
          </cell>
          <cell r="T247">
            <v>95.642666666666656</v>
          </cell>
          <cell r="Y247">
            <v>206.52799999999999</v>
          </cell>
          <cell r="AG247" t="str">
            <v xml:space="preserve">                        І.В.Плачков</v>
          </cell>
          <cell r="AP247">
            <v>302.17066666666665</v>
          </cell>
          <cell r="AQ247" t="e">
            <v>#REF!</v>
          </cell>
        </row>
        <row r="248">
          <cell r="Q248">
            <v>9035.0240000000013</v>
          </cell>
          <cell r="T248">
            <v>0</v>
          </cell>
          <cell r="Y248">
            <v>0</v>
          </cell>
          <cell r="AG248" t="str">
            <v xml:space="preserve">   "_____" ________2000 р.</v>
          </cell>
          <cell r="AP248">
            <v>10205.432000000003</v>
          </cell>
          <cell r="AQ248" t="e">
            <v>#REF!</v>
          </cell>
        </row>
        <row r="249">
          <cell r="Q249">
            <v>0</v>
          </cell>
          <cell r="T249">
            <v>0</v>
          </cell>
          <cell r="Y249">
            <v>0</v>
          </cell>
          <cell r="AP249">
            <v>658.33066666666662</v>
          </cell>
          <cell r="AQ249" t="e">
            <v>#REF!</v>
          </cell>
        </row>
        <row r="250">
          <cell r="Q250">
            <v>0</v>
          </cell>
          <cell r="T250">
            <v>0</v>
          </cell>
          <cell r="Y250">
            <v>0</v>
          </cell>
          <cell r="AP250">
            <v>228.66666666666669</v>
          </cell>
          <cell r="AQ250" t="e">
            <v>#REF!</v>
          </cell>
        </row>
        <row r="251">
          <cell r="F251" t="str">
            <v>РОЗРАХУНОК ФІНАНСОВИХ ПОТОКІВ НА   березень  2000 року</v>
          </cell>
          <cell r="Q251">
            <v>0.76399999999998158</v>
          </cell>
          <cell r="T251">
            <v>-0.42800000000000082</v>
          </cell>
          <cell r="Y251">
            <v>6.799999999999784E-2</v>
          </cell>
          <cell r="AP251" t="e">
            <v>#REF!</v>
          </cell>
          <cell r="AQ251" t="e">
            <v>#REF!</v>
          </cell>
        </row>
        <row r="252">
          <cell r="F252" t="str">
            <v>РОЗРАХУНОК ФІНАНСОВИХ ПОТОКІВ НА   березень  2000 року</v>
          </cell>
          <cell r="Q252">
            <v>-0.32000000000000028</v>
          </cell>
          <cell r="T252">
            <v>-0.3360000000000003</v>
          </cell>
          <cell r="Y252">
            <v>0.28000000000000114</v>
          </cell>
          <cell r="AP252" t="e">
            <v>#REF!</v>
          </cell>
          <cell r="AQ252" t="e">
            <v>#REF!</v>
          </cell>
        </row>
        <row r="253">
          <cell r="F253" t="str">
            <v>ПО ФІЛІАЛАХ АК КИЇВЕНЕРГО</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7">
          <cell r="AK257" t="str">
            <v>тис.грн.</v>
          </cell>
        </row>
        <row r="258">
          <cell r="F258" t="str">
            <v>ВИКОН.ДИР.</v>
          </cell>
          <cell r="G258" t="str">
            <v>АПАРАТ ЕЛЕКТРО</v>
          </cell>
          <cell r="H258" t="str">
            <v>АПАРАТ ТЕПЛО</v>
          </cell>
          <cell r="P258" t="str">
            <v>КМ</v>
          </cell>
          <cell r="Q258" t="str">
            <v>ТМ</v>
          </cell>
          <cell r="S258" t="str">
            <v>КТМ</v>
          </cell>
          <cell r="T258" t="str">
            <v>ВИРОБН</v>
          </cell>
          <cell r="U258" t="str">
            <v>ПЕРЕД</v>
          </cell>
          <cell r="X258" t="str">
            <v>ТЕЦ-5 ВСЬОГО</v>
          </cell>
          <cell r="Y258" t="str">
            <v>Е/Е</v>
          </cell>
          <cell r="Z258" t="str">
            <v xml:space="preserve"> Т/Е</v>
          </cell>
          <cell r="AC258" t="str">
            <v>ТЕЦ-6 ВСЬОГО</v>
          </cell>
          <cell r="AD258" t="str">
            <v>Е/Е</v>
          </cell>
          <cell r="AE258" t="str">
            <v xml:space="preserve"> Т/Е</v>
          </cell>
          <cell r="AF258" t="str">
            <v>ТРМ ВСЬОГО</v>
          </cell>
          <cell r="AG258" t="str">
            <v>ТРМ  АК КЕ</v>
          </cell>
          <cell r="AH258" t="str">
            <v>ТРМ СТОР</v>
          </cell>
          <cell r="AJ258" t="str">
            <v>ДОП.ВИР. СТ.ОРГ.</v>
          </cell>
          <cell r="AK258" t="str">
            <v>тис.грн.</v>
          </cell>
          <cell r="AL258" t="str">
            <v>АК КЕ ВСЬОГО</v>
          </cell>
          <cell r="AM258" t="str">
            <v xml:space="preserve"> Т/Е</v>
          </cell>
          <cell r="AO258" t="str">
            <v>СТАНЦІї ЕЛЕКТРО</v>
          </cell>
          <cell r="AP258" t="str">
            <v>СТАНЦІІ ТЕПЛОВІ</v>
          </cell>
          <cell r="AQ258" t="str">
            <v>МЕРЕЖІ ЕЛЕКТРО</v>
          </cell>
          <cell r="AR258" t="str">
            <v>МЕРЕЖІ ТЕПЛОВІ</v>
          </cell>
        </row>
        <row r="259">
          <cell r="F259" t="str">
            <v>ВИКОН.ДИР.</v>
          </cell>
          <cell r="G259" t="str">
            <v>АПАРАТ ЕЛЕКТРО</v>
          </cell>
          <cell r="H259" t="str">
            <v>АПАРАТ ТЕПЛО</v>
          </cell>
          <cell r="P259" t="str">
            <v>КМ</v>
          </cell>
          <cell r="Q259" t="str">
            <v>ТМ</v>
          </cell>
          <cell r="S259" t="str">
            <v>КТМ</v>
          </cell>
          <cell r="T259" t="str">
            <v>ВИРОБН</v>
          </cell>
          <cell r="U259" t="str">
            <v>ПЕРЕД</v>
          </cell>
          <cell r="X259" t="str">
            <v>ТЕЦ-5 ВСЬОГО</v>
          </cell>
          <cell r="Y259" t="str">
            <v>Е/Е</v>
          </cell>
          <cell r="Z259" t="str">
            <v xml:space="preserve"> Т/Е</v>
          </cell>
          <cell r="AC259" t="str">
            <v>ТЕЦ-6 ВСЬОГО</v>
          </cell>
          <cell r="AD259" t="str">
            <v>Е/Е</v>
          </cell>
          <cell r="AE259" t="str">
            <v xml:space="preserve"> Т/Е</v>
          </cell>
          <cell r="AF259" t="str">
            <v>ТРМ ВСЬОГО</v>
          </cell>
          <cell r="AG259" t="str">
            <v>ТРМ  АК КЕ</v>
          </cell>
          <cell r="AH259" t="str">
            <v>ТРМ СТОР</v>
          </cell>
          <cell r="AJ259" t="str">
            <v>ДОП.ВИР. СТ.ОРГ.</v>
          </cell>
          <cell r="AK259" t="str">
            <v>АК КЕ осн.вир.</v>
          </cell>
          <cell r="AL259" t="str">
            <v>АК КЕ ВСЬОГО</v>
          </cell>
          <cell r="AM259" t="str">
            <v xml:space="preserve"> Т/Е</v>
          </cell>
          <cell r="AO259" t="str">
            <v>СТАНЦІї ЕЛЕКТРО</v>
          </cell>
          <cell r="AP259" t="str">
            <v>СТАНЦІІ ТЕПЛОВІ</v>
          </cell>
          <cell r="AQ259" t="str">
            <v>МЕРЕЖІ ЕЛЕКТРО</v>
          </cell>
          <cell r="AR259" t="str">
            <v>МЕРЕЖІ ТЕПЛОВІ</v>
          </cell>
        </row>
        <row r="260">
          <cell r="F260">
            <v>4604.2999999999993</v>
          </cell>
          <cell r="P260">
            <v>4488.6499999999996</v>
          </cell>
          <cell r="S260">
            <v>7346.4866666666676</v>
          </cell>
          <cell r="X260">
            <v>4384.8755454545462</v>
          </cell>
          <cell r="AC260">
            <v>1635.8175757575736</v>
          </cell>
          <cell r="AF260">
            <v>4864.9509090909087</v>
          </cell>
          <cell r="AG260">
            <v>4394</v>
          </cell>
          <cell r="AH260">
            <v>470.95090909090914</v>
          </cell>
          <cell r="AJ260">
            <v>7599</v>
          </cell>
          <cell r="AK260">
            <v>28777.080696969697</v>
          </cell>
        </row>
        <row r="261">
          <cell r="F261">
            <v>13558.857142857143</v>
          </cell>
          <cell r="G261">
            <v>1680.0409150901905</v>
          </cell>
          <cell r="H261">
            <v>3353.9590849098108</v>
          </cell>
          <cell r="P261">
            <v>5528.9166666666661</v>
          </cell>
          <cell r="Q261">
            <v>0</v>
          </cell>
          <cell r="R261">
            <v>0</v>
          </cell>
          <cell r="S261">
            <v>11148.516969696972</v>
          </cell>
          <cell r="T261">
            <v>4612.7199818181807</v>
          </cell>
          <cell r="U261">
            <v>3068.7969878787876</v>
          </cell>
          <cell r="V261">
            <v>0</v>
          </cell>
          <cell r="W261">
            <v>0</v>
          </cell>
          <cell r="X261">
            <v>3572.9196969697005</v>
          </cell>
          <cell r="Y261">
            <v>1788</v>
          </cell>
          <cell r="Z261">
            <v>1559.9196969696968</v>
          </cell>
          <cell r="AA261">
            <v>0</v>
          </cell>
          <cell r="AB261">
            <v>0</v>
          </cell>
          <cell r="AC261">
            <v>1815.6175757575729</v>
          </cell>
          <cell r="AD261">
            <v>666</v>
          </cell>
          <cell r="AE261">
            <v>979.61757575757656</v>
          </cell>
          <cell r="AF261">
            <v>5288.3842424242421</v>
          </cell>
          <cell r="AG261">
            <v>4487.3999999999996</v>
          </cell>
          <cell r="AH261">
            <v>801.98424242424232</v>
          </cell>
          <cell r="AJ261">
            <v>0</v>
          </cell>
          <cell r="AK261">
            <v>95584.228051948041</v>
          </cell>
          <cell r="AM261">
            <v>78593.25</v>
          </cell>
        </row>
        <row r="262">
          <cell r="F262">
            <v>14653.157142857142</v>
          </cell>
          <cell r="G262">
            <v>1702.4660240963858</v>
          </cell>
          <cell r="H262">
            <v>4418.8339759036144</v>
          </cell>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123067.98693073593</v>
          </cell>
          <cell r="AM262">
            <v>140814.25</v>
          </cell>
        </row>
        <row r="263">
          <cell r="F263">
            <v>8653.8571428571431</v>
          </cell>
          <cell r="G263">
            <v>1528.4660240963858</v>
          </cell>
          <cell r="H263">
            <v>3850.5339759036142</v>
          </cell>
          <cell r="P263">
            <v>1810.5333333333328</v>
          </cell>
          <cell r="Q263">
            <v>0</v>
          </cell>
          <cell r="R263">
            <v>0</v>
          </cell>
          <cell r="S263">
            <v>950.26666666666756</v>
          </cell>
          <cell r="T263">
            <v>4053.4899999999989</v>
          </cell>
          <cell r="U263">
            <v>582.7766666666671</v>
          </cell>
          <cell r="V263">
            <v>0</v>
          </cell>
          <cell r="W263">
            <v>0</v>
          </cell>
          <cell r="X263">
            <v>2340.3000000000006</v>
          </cell>
          <cell r="Y263">
            <v>1035</v>
          </cell>
          <cell r="Z263">
            <v>1427.2999999999972</v>
          </cell>
          <cell r="AA263">
            <v>0</v>
          </cell>
          <cell r="AB263">
            <v>0</v>
          </cell>
          <cell r="AC263">
            <v>228.86666666666451</v>
          </cell>
          <cell r="AD263">
            <v>290</v>
          </cell>
          <cell r="AE263">
            <v>425.86666666666639</v>
          </cell>
          <cell r="AF263">
            <v>1275.9999999999995</v>
          </cell>
          <cell r="AG263">
            <v>1800</v>
          </cell>
          <cell r="AH263">
            <v>-524</v>
          </cell>
          <cell r="AJ263">
            <v>-2455</v>
          </cell>
          <cell r="AK263">
            <v>102043.87290043289</v>
          </cell>
          <cell r="AM263">
            <v>14398.82380952381</v>
          </cell>
        </row>
        <row r="264">
          <cell r="F264">
            <v>95976.857142857145</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K264">
            <v>95976.857142857145</v>
          </cell>
        </row>
        <row r="265">
          <cell r="F265">
            <v>69782</v>
          </cell>
          <cell r="AK265">
            <v>69782</v>
          </cell>
        </row>
        <row r="266">
          <cell r="F266">
            <v>15510</v>
          </cell>
          <cell r="P266">
            <v>0</v>
          </cell>
          <cell r="Q266">
            <v>0</v>
          </cell>
          <cell r="R266">
            <v>0</v>
          </cell>
          <cell r="S266">
            <v>0</v>
          </cell>
          <cell r="T266">
            <v>0</v>
          </cell>
          <cell r="U266">
            <v>0</v>
          </cell>
          <cell r="V266">
            <v>0</v>
          </cell>
          <cell r="W266">
            <v>0</v>
          </cell>
          <cell r="X266">
            <v>0</v>
          </cell>
          <cell r="Y266">
            <v>0</v>
          </cell>
          <cell r="Z266">
            <v>0</v>
          </cell>
          <cell r="AA266">
            <v>0</v>
          </cell>
          <cell r="AB266">
            <v>0</v>
          </cell>
          <cell r="AC266">
            <v>0</v>
          </cell>
          <cell r="AD266">
            <v>0</v>
          </cell>
          <cell r="AE266">
            <v>0</v>
          </cell>
          <cell r="AF266">
            <v>0</v>
          </cell>
          <cell r="AG266">
            <v>0</v>
          </cell>
          <cell r="AH266">
            <v>0</v>
          </cell>
          <cell r="AK266">
            <v>15510</v>
          </cell>
        </row>
        <row r="267">
          <cell r="F267">
            <v>6983.8571428571431</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6983.8571428571431</v>
          </cell>
        </row>
        <row r="268">
          <cell r="F268">
            <v>636</v>
          </cell>
          <cell r="AK268">
            <v>636</v>
          </cell>
        </row>
        <row r="269">
          <cell r="F269">
            <v>0</v>
          </cell>
          <cell r="AK269">
            <v>0</v>
          </cell>
        </row>
        <row r="270">
          <cell r="F270">
            <v>1380.8571428571431</v>
          </cell>
          <cell r="AK270">
            <v>1380.8571428571431</v>
          </cell>
        </row>
        <row r="271">
          <cell r="F271">
            <v>3500</v>
          </cell>
          <cell r="AK271">
            <v>3500</v>
          </cell>
        </row>
        <row r="272">
          <cell r="F272">
            <v>0</v>
          </cell>
          <cell r="P272">
            <v>0</v>
          </cell>
          <cell r="S272">
            <v>0</v>
          </cell>
          <cell r="X272">
            <v>0</v>
          </cell>
          <cell r="AC272">
            <v>0</v>
          </cell>
          <cell r="AF272">
            <v>0</v>
          </cell>
          <cell r="AG272">
            <v>0</v>
          </cell>
          <cell r="AH272">
            <v>0</v>
          </cell>
          <cell r="AK272">
            <v>0</v>
          </cell>
        </row>
        <row r="273">
          <cell r="F273">
            <v>1467</v>
          </cell>
          <cell r="P273">
            <v>0</v>
          </cell>
          <cell r="S273">
            <v>0</v>
          </cell>
          <cell r="X273">
            <v>0</v>
          </cell>
          <cell r="AC273">
            <v>0</v>
          </cell>
          <cell r="AF273">
            <v>0</v>
          </cell>
          <cell r="AG273">
            <v>0</v>
          </cell>
          <cell r="AH273">
            <v>0</v>
          </cell>
          <cell r="AK273">
            <v>1467</v>
          </cell>
        </row>
        <row r="274">
          <cell r="F274">
            <v>3580</v>
          </cell>
          <cell r="P274">
            <v>0</v>
          </cell>
          <cell r="S274">
            <v>0</v>
          </cell>
          <cell r="X274">
            <v>0</v>
          </cell>
          <cell r="AC274">
            <v>0</v>
          </cell>
          <cell r="AF274">
            <v>0</v>
          </cell>
          <cell r="AG274">
            <v>0</v>
          </cell>
          <cell r="AH274">
            <v>0</v>
          </cell>
          <cell r="AK274">
            <v>3580</v>
          </cell>
        </row>
        <row r="275">
          <cell r="F275">
            <v>121</v>
          </cell>
          <cell r="P275">
            <v>0</v>
          </cell>
          <cell r="Q275">
            <v>0</v>
          </cell>
          <cell r="R275">
            <v>0</v>
          </cell>
          <cell r="S275">
            <v>0</v>
          </cell>
          <cell r="T275">
            <v>0</v>
          </cell>
          <cell r="U275">
            <v>0</v>
          </cell>
          <cell r="V275">
            <v>0</v>
          </cell>
          <cell r="W275">
            <v>0</v>
          </cell>
          <cell r="X275">
            <v>0</v>
          </cell>
          <cell r="Y275">
            <v>0</v>
          </cell>
          <cell r="Z275">
            <v>0</v>
          </cell>
          <cell r="AA275">
            <v>0</v>
          </cell>
          <cell r="AB275">
            <v>0</v>
          </cell>
          <cell r="AC275">
            <v>0</v>
          </cell>
          <cell r="AD275">
            <v>0</v>
          </cell>
          <cell r="AE275">
            <v>0</v>
          </cell>
          <cell r="AF275">
            <v>0</v>
          </cell>
          <cell r="AG275">
            <v>0</v>
          </cell>
          <cell r="AH275">
            <v>0</v>
          </cell>
          <cell r="AK275">
            <v>121</v>
          </cell>
        </row>
        <row r="276">
          <cell r="F276">
            <v>100581.15714285715</v>
          </cell>
          <cell r="P276">
            <v>4488.6499999999996</v>
          </cell>
          <cell r="Q276">
            <v>0</v>
          </cell>
          <cell r="R276">
            <v>0</v>
          </cell>
          <cell r="S276">
            <v>7346.4866666666676</v>
          </cell>
          <cell r="T276">
            <v>0</v>
          </cell>
          <cell r="U276">
            <v>0</v>
          </cell>
          <cell r="V276">
            <v>0</v>
          </cell>
          <cell r="W276">
            <v>0</v>
          </cell>
          <cell r="X276">
            <v>4384.8755454545462</v>
          </cell>
          <cell r="Y276">
            <v>0</v>
          </cell>
          <cell r="Z276">
            <v>0</v>
          </cell>
          <cell r="AA276">
            <v>0</v>
          </cell>
          <cell r="AB276">
            <v>0</v>
          </cell>
          <cell r="AC276">
            <v>1635.8175757575736</v>
          </cell>
          <cell r="AD276">
            <v>0</v>
          </cell>
          <cell r="AE276">
            <v>0</v>
          </cell>
          <cell r="AF276">
            <v>4864.9509090909087</v>
          </cell>
          <cell r="AG276">
            <v>4394</v>
          </cell>
          <cell r="AH276">
            <v>470.95090909090914</v>
          </cell>
          <cell r="AK276">
            <v>124753.93783982685</v>
          </cell>
        </row>
        <row r="277">
          <cell r="F277">
            <v>1783.3</v>
          </cell>
          <cell r="G277">
            <v>162</v>
          </cell>
          <cell r="H277">
            <v>425</v>
          </cell>
          <cell r="P277">
            <v>2149.1166666666663</v>
          </cell>
          <cell r="Q277">
            <v>0</v>
          </cell>
          <cell r="R277">
            <v>0</v>
          </cell>
          <cell r="S277">
            <v>6147.3866666666672</v>
          </cell>
          <cell r="T277">
            <v>673.48446666666666</v>
          </cell>
          <cell r="U277">
            <v>686.40219999999999</v>
          </cell>
          <cell r="V277">
            <v>0</v>
          </cell>
          <cell r="W277">
            <v>0</v>
          </cell>
          <cell r="X277">
            <v>1931.1210000000001</v>
          </cell>
          <cell r="Y277">
            <v>435</v>
          </cell>
          <cell r="Z277">
            <v>601.57554545454536</v>
          </cell>
          <cell r="AA277">
            <v>0</v>
          </cell>
          <cell r="AB277">
            <v>9</v>
          </cell>
          <cell r="AC277">
            <v>1028.1933333333334</v>
          </cell>
          <cell r="AD277">
            <v>212</v>
          </cell>
          <cell r="AE277">
            <v>311.28424242424239</v>
          </cell>
          <cell r="AF277">
            <v>2703.86</v>
          </cell>
          <cell r="AG277">
            <v>2381.909090909091</v>
          </cell>
          <cell r="AH277">
            <v>321.95090909090914</v>
          </cell>
          <cell r="AK277">
            <v>16779.977666666666</v>
          </cell>
        </row>
        <row r="278">
          <cell r="F278">
            <v>742.3</v>
          </cell>
          <cell r="G278">
            <v>174</v>
          </cell>
          <cell r="H278">
            <v>568.29999999999995</v>
          </cell>
          <cell r="P278">
            <v>1322.45</v>
          </cell>
          <cell r="Q278">
            <v>0</v>
          </cell>
          <cell r="R278">
            <v>0</v>
          </cell>
          <cell r="S278">
            <v>2034.72</v>
          </cell>
          <cell r="T278">
            <v>659.81780000000003</v>
          </cell>
          <cell r="U278">
            <v>686.40219999999999</v>
          </cell>
          <cell r="V278">
            <v>0</v>
          </cell>
          <cell r="W278">
            <v>0</v>
          </cell>
          <cell r="X278">
            <v>830.12099999999998</v>
          </cell>
          <cell r="Y278">
            <v>173</v>
          </cell>
          <cell r="Z278">
            <v>240.57554545454542</v>
          </cell>
          <cell r="AA278">
            <v>0</v>
          </cell>
          <cell r="AB278">
            <v>0</v>
          </cell>
          <cell r="AC278">
            <v>689.86</v>
          </cell>
          <cell r="AD278">
            <v>207</v>
          </cell>
          <cell r="AE278">
            <v>302.95090909090908</v>
          </cell>
          <cell r="AF278">
            <v>1784.8600000000001</v>
          </cell>
          <cell r="AG278">
            <v>1697.909090909091</v>
          </cell>
          <cell r="AH278">
            <v>86.950909090909136</v>
          </cell>
          <cell r="AK278">
            <v>7909.3109999999997</v>
          </cell>
        </row>
        <row r="279">
          <cell r="F279">
            <v>0</v>
          </cell>
          <cell r="P279">
            <v>0</v>
          </cell>
          <cell r="Q279">
            <v>0</v>
          </cell>
          <cell r="R279">
            <v>0</v>
          </cell>
          <cell r="S279">
            <v>13.666666666666666</v>
          </cell>
          <cell r="T279">
            <v>13.666666666666666</v>
          </cell>
          <cell r="U279">
            <v>0</v>
          </cell>
          <cell r="V279">
            <v>0</v>
          </cell>
          <cell r="W279">
            <v>0</v>
          </cell>
          <cell r="X279">
            <v>623</v>
          </cell>
          <cell r="Y279">
            <v>262</v>
          </cell>
          <cell r="Z279">
            <v>361</v>
          </cell>
          <cell r="AA279">
            <v>0</v>
          </cell>
          <cell r="AB279">
            <v>0</v>
          </cell>
          <cell r="AC279">
            <v>-0.66666666666666607</v>
          </cell>
          <cell r="AD279">
            <v>5</v>
          </cell>
          <cell r="AE279">
            <v>8.3333333333333339</v>
          </cell>
          <cell r="AF279">
            <v>0</v>
          </cell>
          <cell r="AG279">
            <v>0</v>
          </cell>
          <cell r="AH279">
            <v>0</v>
          </cell>
          <cell r="AK279">
            <v>636</v>
          </cell>
        </row>
        <row r="280">
          <cell r="F280">
            <v>1041</v>
          </cell>
          <cell r="P280">
            <v>764</v>
          </cell>
          <cell r="Q280">
            <v>0</v>
          </cell>
          <cell r="R280">
            <v>0</v>
          </cell>
          <cell r="S280">
            <v>1325</v>
          </cell>
          <cell r="T280">
            <v>0</v>
          </cell>
          <cell r="U280">
            <v>0</v>
          </cell>
          <cell r="V280">
            <v>0</v>
          </cell>
          <cell r="W280">
            <v>0</v>
          </cell>
          <cell r="X280">
            <v>336</v>
          </cell>
          <cell r="Y280">
            <v>0</v>
          </cell>
          <cell r="Z280">
            <v>0</v>
          </cell>
          <cell r="AA280">
            <v>0</v>
          </cell>
          <cell r="AB280">
            <v>9</v>
          </cell>
          <cell r="AC280">
            <v>339</v>
          </cell>
          <cell r="AD280">
            <v>0</v>
          </cell>
          <cell r="AE280">
            <v>0</v>
          </cell>
          <cell r="AF280">
            <v>613</v>
          </cell>
          <cell r="AG280">
            <v>578</v>
          </cell>
          <cell r="AH280">
            <v>35</v>
          </cell>
          <cell r="AK280">
            <v>4592</v>
          </cell>
        </row>
        <row r="281">
          <cell r="F281">
            <v>216</v>
          </cell>
          <cell r="P281">
            <v>210</v>
          </cell>
          <cell r="S281">
            <v>730</v>
          </cell>
          <cell r="X281">
            <v>55</v>
          </cell>
          <cell r="AC281">
            <v>90</v>
          </cell>
          <cell r="AF281">
            <v>495</v>
          </cell>
          <cell r="AG281">
            <v>460</v>
          </cell>
          <cell r="AH281">
            <v>35</v>
          </cell>
          <cell r="AK281">
            <v>1847</v>
          </cell>
        </row>
        <row r="282">
          <cell r="F282">
            <v>765</v>
          </cell>
          <cell r="P282">
            <v>64</v>
          </cell>
          <cell r="S282">
            <v>21</v>
          </cell>
          <cell r="X282">
            <v>50</v>
          </cell>
          <cell r="AC282">
            <v>66</v>
          </cell>
          <cell r="AF282">
            <v>38</v>
          </cell>
          <cell r="AG282">
            <v>38</v>
          </cell>
          <cell r="AH282">
            <v>0</v>
          </cell>
          <cell r="AK282">
            <v>1127</v>
          </cell>
        </row>
        <row r="283">
          <cell r="F283">
            <v>60</v>
          </cell>
          <cell r="P283">
            <v>370</v>
          </cell>
          <cell r="Q283">
            <v>0</v>
          </cell>
          <cell r="R283">
            <v>0</v>
          </cell>
          <cell r="S283">
            <v>480</v>
          </cell>
          <cell r="T283">
            <v>0</v>
          </cell>
          <cell r="U283">
            <v>0</v>
          </cell>
          <cell r="V283">
            <v>0</v>
          </cell>
          <cell r="W283">
            <v>0</v>
          </cell>
          <cell r="X283">
            <v>100</v>
          </cell>
          <cell r="Y283">
            <v>0</v>
          </cell>
          <cell r="Z283">
            <v>0</v>
          </cell>
          <cell r="AA283">
            <v>0</v>
          </cell>
          <cell r="AB283">
            <v>9</v>
          </cell>
          <cell r="AC283">
            <v>100</v>
          </cell>
          <cell r="AD283">
            <v>0</v>
          </cell>
          <cell r="AE283">
            <v>0</v>
          </cell>
          <cell r="AF283">
            <v>0</v>
          </cell>
          <cell r="AG283">
            <v>0</v>
          </cell>
          <cell r="AH283">
            <v>0</v>
          </cell>
          <cell r="AJ283">
            <v>0</v>
          </cell>
          <cell r="AK283">
            <v>1110</v>
          </cell>
        </row>
        <row r="284">
          <cell r="F284">
            <v>0</v>
          </cell>
          <cell r="P284">
            <v>120</v>
          </cell>
          <cell r="Q284">
            <v>0</v>
          </cell>
          <cell r="R284">
            <v>0</v>
          </cell>
          <cell r="S284">
            <v>94</v>
          </cell>
          <cell r="T284">
            <v>0</v>
          </cell>
          <cell r="U284">
            <v>0</v>
          </cell>
          <cell r="V284">
            <v>0</v>
          </cell>
          <cell r="W284">
            <v>0</v>
          </cell>
          <cell r="X284">
            <v>131</v>
          </cell>
          <cell r="Y284">
            <v>0</v>
          </cell>
          <cell r="Z284">
            <v>0</v>
          </cell>
          <cell r="AA284">
            <v>0</v>
          </cell>
          <cell r="AB284">
            <v>9</v>
          </cell>
          <cell r="AC284">
            <v>83</v>
          </cell>
          <cell r="AD284">
            <v>0</v>
          </cell>
          <cell r="AE284">
            <v>0</v>
          </cell>
          <cell r="AF284">
            <v>80</v>
          </cell>
          <cell r="AG284">
            <v>80</v>
          </cell>
          <cell r="AH284">
            <v>0</v>
          </cell>
          <cell r="AJ284">
            <v>0</v>
          </cell>
          <cell r="AK284">
            <v>508</v>
          </cell>
        </row>
        <row r="285">
          <cell r="F285">
            <v>0</v>
          </cell>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3392.6666666666665</v>
          </cell>
        </row>
        <row r="286">
          <cell r="F286">
            <v>0</v>
          </cell>
          <cell r="P286">
            <v>0</v>
          </cell>
          <cell r="S286">
            <v>0</v>
          </cell>
          <cell r="X286">
            <v>142</v>
          </cell>
          <cell r="AC286">
            <v>0</v>
          </cell>
          <cell r="AF286">
            <v>0</v>
          </cell>
          <cell r="AG286">
            <v>0</v>
          </cell>
          <cell r="AH286">
            <v>0</v>
          </cell>
          <cell r="AK286">
            <v>142</v>
          </cell>
        </row>
        <row r="287">
          <cell r="F287">
            <v>0</v>
          </cell>
          <cell r="P287">
            <v>62.666666666666664</v>
          </cell>
          <cell r="S287">
            <v>2524</v>
          </cell>
          <cell r="X287">
            <v>0</v>
          </cell>
          <cell r="AC287">
            <v>0</v>
          </cell>
          <cell r="AF287">
            <v>306</v>
          </cell>
          <cell r="AG287">
            <v>106</v>
          </cell>
          <cell r="AH287">
            <v>200</v>
          </cell>
          <cell r="AK287">
            <v>2892.6666666666665</v>
          </cell>
        </row>
        <row r="288">
          <cell r="S288">
            <v>250</v>
          </cell>
          <cell r="AH288">
            <v>0</v>
          </cell>
          <cell r="AK288">
            <v>358</v>
          </cell>
        </row>
        <row r="289">
          <cell r="F289">
            <v>69710.157142857148</v>
          </cell>
          <cell r="P289">
            <v>3673.9999999999991</v>
          </cell>
          <cell r="Q289">
            <v>0</v>
          </cell>
          <cell r="R289">
            <v>0</v>
          </cell>
          <cell r="S289">
            <v>250</v>
          </cell>
          <cell r="T289">
            <v>-710.90664848484835</v>
          </cell>
          <cell r="U289">
            <v>-725.94365454545448</v>
          </cell>
          <cell r="V289">
            <v>0</v>
          </cell>
          <cell r="W289">
            <v>0</v>
          </cell>
          <cell r="X289">
            <v>1818.9696969697004</v>
          </cell>
          <cell r="Y289">
            <v>-549</v>
          </cell>
          <cell r="Z289">
            <v>-479.58636363636367</v>
          </cell>
          <cell r="AA289">
            <v>0</v>
          </cell>
          <cell r="AB289">
            <v>-9</v>
          </cell>
          <cell r="AC289">
            <v>962.42424242423954</v>
          </cell>
          <cell r="AD289">
            <v>-149</v>
          </cell>
          <cell r="AE289">
            <v>-219.28424242424248</v>
          </cell>
          <cell r="AF289">
            <v>2025.4575757575753</v>
          </cell>
          <cell r="AG289">
            <v>1898.4909090909086</v>
          </cell>
          <cell r="AH289">
            <v>0</v>
          </cell>
          <cell r="AK289">
            <v>250</v>
          </cell>
        </row>
        <row r="290">
          <cell r="F290">
            <v>98797.857142857145</v>
          </cell>
          <cell r="P290">
            <v>2339.5333333333333</v>
          </cell>
          <cell r="Q290">
            <v>0</v>
          </cell>
          <cell r="R290">
            <v>0</v>
          </cell>
          <cell r="S290">
            <v>1199.1000000000004</v>
          </cell>
          <cell r="T290">
            <v>-673.48446666666666</v>
          </cell>
          <cell r="U290">
            <v>-686.40219999999999</v>
          </cell>
          <cell r="V290">
            <v>0</v>
          </cell>
          <cell r="W290">
            <v>0</v>
          </cell>
          <cell r="X290">
            <v>2453.7545454545461</v>
          </cell>
          <cell r="Y290">
            <v>-435</v>
          </cell>
          <cell r="Z290">
            <v>-601.57554545454536</v>
          </cell>
          <cell r="AA290">
            <v>0</v>
          </cell>
          <cell r="AB290">
            <v>-9</v>
          </cell>
          <cell r="AC290">
            <v>607.62424242424026</v>
          </cell>
          <cell r="AD290">
            <v>-212</v>
          </cell>
          <cell r="AE290">
            <v>-311.28424242424239</v>
          </cell>
          <cell r="AF290">
            <v>2161.0909090909086</v>
          </cell>
          <cell r="AG290">
            <v>2012.090909090909</v>
          </cell>
          <cell r="AH290">
            <v>149</v>
          </cell>
          <cell r="AK290">
            <v>107973.96017316019</v>
          </cell>
        </row>
        <row r="291">
          <cell r="F291">
            <v>4628</v>
          </cell>
          <cell r="P291">
            <v>3764</v>
          </cell>
          <cell r="Q291">
            <v>0</v>
          </cell>
          <cell r="R291">
            <v>0</v>
          </cell>
          <cell r="S291">
            <v>5277.030303030303</v>
          </cell>
          <cell r="T291">
            <v>0</v>
          </cell>
          <cell r="U291">
            <v>0</v>
          </cell>
          <cell r="V291">
            <v>0</v>
          </cell>
          <cell r="W291">
            <v>0</v>
          </cell>
          <cell r="X291">
            <v>1818.9696969696968</v>
          </cell>
          <cell r="Y291">
            <v>0</v>
          </cell>
          <cell r="Z291">
            <v>0</v>
          </cell>
          <cell r="AA291">
            <v>0</v>
          </cell>
          <cell r="AB291">
            <v>0</v>
          </cell>
          <cell r="AC291">
            <v>961.75757575757575</v>
          </cell>
          <cell r="AD291">
            <v>0</v>
          </cell>
          <cell r="AE291">
            <v>0</v>
          </cell>
          <cell r="AF291">
            <v>2026.4575757575758</v>
          </cell>
          <cell r="AG291">
            <v>1065.4909090909091</v>
          </cell>
          <cell r="AH291">
            <v>560.9666666666667</v>
          </cell>
          <cell r="AK291">
            <v>0</v>
          </cell>
        </row>
        <row r="292">
          <cell r="F292">
            <v>3558</v>
          </cell>
          <cell r="P292">
            <v>2699.5333333333333</v>
          </cell>
          <cell r="Q292">
            <v>0</v>
          </cell>
          <cell r="R292">
            <v>0</v>
          </cell>
          <cell r="S292">
            <v>1199.1000000000001</v>
          </cell>
          <cell r="T292">
            <v>0</v>
          </cell>
          <cell r="U292">
            <v>0</v>
          </cell>
          <cell r="V292">
            <v>0</v>
          </cell>
          <cell r="W292">
            <v>0</v>
          </cell>
          <cell r="X292">
            <v>2453.7545454545452</v>
          </cell>
          <cell r="Y292">
            <v>0</v>
          </cell>
          <cell r="Z292">
            <v>0</v>
          </cell>
          <cell r="AA292">
            <v>0</v>
          </cell>
          <cell r="AB292">
            <v>0</v>
          </cell>
          <cell r="AC292">
            <v>606.9575757575758</v>
          </cell>
          <cell r="AD292">
            <v>0</v>
          </cell>
          <cell r="AE292">
            <v>0</v>
          </cell>
          <cell r="AF292">
            <v>2161.090909090909</v>
          </cell>
          <cell r="AG292">
            <v>1534.090909090909</v>
          </cell>
          <cell r="AH292">
            <v>822</v>
          </cell>
          <cell r="AK292">
            <v>13093.436363636363</v>
          </cell>
        </row>
        <row r="293">
          <cell r="F293">
            <v>825</v>
          </cell>
          <cell r="P293">
            <v>1646</v>
          </cell>
          <cell r="Q293">
            <v>0</v>
          </cell>
          <cell r="R293">
            <v>0</v>
          </cell>
          <cell r="S293">
            <v>-1204</v>
          </cell>
          <cell r="T293">
            <v>0</v>
          </cell>
          <cell r="U293">
            <v>0</v>
          </cell>
          <cell r="V293">
            <v>0</v>
          </cell>
          <cell r="W293">
            <v>0</v>
          </cell>
          <cell r="X293">
            <v>929</v>
          </cell>
          <cell r="Y293">
            <v>0</v>
          </cell>
          <cell r="Z293">
            <v>0</v>
          </cell>
          <cell r="AA293">
            <v>0</v>
          </cell>
          <cell r="AB293">
            <v>0</v>
          </cell>
          <cell r="AC293">
            <v>-217</v>
          </cell>
          <cell r="AD293">
            <v>0</v>
          </cell>
          <cell r="AE293">
            <v>0</v>
          </cell>
          <cell r="AF293">
            <v>266</v>
          </cell>
          <cell r="AG293">
            <v>461</v>
          </cell>
          <cell r="AH293">
            <v>0</v>
          </cell>
          <cell r="AK293">
            <v>2395</v>
          </cell>
        </row>
        <row r="294">
          <cell r="F294">
            <v>0</v>
          </cell>
          <cell r="P294">
            <v>649</v>
          </cell>
          <cell r="Q294">
            <v>0</v>
          </cell>
          <cell r="R294">
            <v>0</v>
          </cell>
          <cell r="S294">
            <v>606.5</v>
          </cell>
          <cell r="T294">
            <v>0</v>
          </cell>
          <cell r="U294">
            <v>0</v>
          </cell>
          <cell r="V294">
            <v>0</v>
          </cell>
          <cell r="W294">
            <v>0</v>
          </cell>
          <cell r="X294">
            <v>867.4545454545455</v>
          </cell>
          <cell r="Y294">
            <v>0</v>
          </cell>
          <cell r="Z294">
            <v>0</v>
          </cell>
          <cell r="AA294">
            <v>0</v>
          </cell>
          <cell r="AB294">
            <v>0</v>
          </cell>
          <cell r="AC294">
            <v>461.09090909090912</v>
          </cell>
          <cell r="AD294">
            <v>0</v>
          </cell>
          <cell r="AE294">
            <v>0</v>
          </cell>
          <cell r="AF294">
            <v>965.09090909090901</v>
          </cell>
          <cell r="AG294">
            <v>292.09090909090912</v>
          </cell>
          <cell r="AH294">
            <v>673</v>
          </cell>
          <cell r="AK294">
            <v>3549.1363636363635</v>
          </cell>
        </row>
        <row r="295">
          <cell r="F295">
            <v>0</v>
          </cell>
          <cell r="P295">
            <v>0</v>
          </cell>
          <cell r="S295">
            <v>0</v>
          </cell>
          <cell r="V295">
            <v>-25</v>
          </cell>
          <cell r="X295">
            <v>0</v>
          </cell>
          <cell r="AC295">
            <v>0</v>
          </cell>
          <cell r="AF295">
            <v>0</v>
          </cell>
          <cell r="AG295">
            <v>0</v>
          </cell>
          <cell r="AH295">
            <v>0</v>
          </cell>
          <cell r="AK295">
            <v>0</v>
          </cell>
        </row>
        <row r="296">
          <cell r="F296">
            <v>0</v>
          </cell>
          <cell r="P296">
            <v>0</v>
          </cell>
          <cell r="Q296">
            <v>0</v>
          </cell>
          <cell r="R296">
            <v>0</v>
          </cell>
          <cell r="S296">
            <v>0</v>
          </cell>
          <cell r="T296">
            <v>0</v>
          </cell>
          <cell r="U296">
            <v>0</v>
          </cell>
          <cell r="V296">
            <v>-1.375</v>
          </cell>
          <cell r="W296">
            <v>0</v>
          </cell>
          <cell r="X296">
            <v>0</v>
          </cell>
          <cell r="Y296">
            <v>0</v>
          </cell>
          <cell r="Z296">
            <v>0</v>
          </cell>
          <cell r="AA296">
            <v>0</v>
          </cell>
          <cell r="AB296">
            <v>0</v>
          </cell>
          <cell r="AC296">
            <v>0</v>
          </cell>
          <cell r="AD296">
            <v>0</v>
          </cell>
          <cell r="AE296">
            <v>0</v>
          </cell>
          <cell r="AF296">
            <v>0</v>
          </cell>
          <cell r="AG296">
            <v>0</v>
          </cell>
          <cell r="AH296">
            <v>0</v>
          </cell>
          <cell r="AK296">
            <v>0</v>
          </cell>
        </row>
        <row r="297">
          <cell r="F297">
            <v>2733</v>
          </cell>
          <cell r="P297">
            <v>511.5333333333333</v>
          </cell>
          <cell r="Q297">
            <v>0</v>
          </cell>
          <cell r="R297">
            <v>0</v>
          </cell>
          <cell r="S297">
            <v>1886.6000000000001</v>
          </cell>
          <cell r="T297">
            <v>0</v>
          </cell>
          <cell r="U297">
            <v>0</v>
          </cell>
          <cell r="V297">
            <v>0</v>
          </cell>
          <cell r="W297">
            <v>0</v>
          </cell>
          <cell r="X297">
            <v>657.3</v>
          </cell>
          <cell r="Y297">
            <v>0</v>
          </cell>
          <cell r="Z297">
            <v>0</v>
          </cell>
          <cell r="AA297">
            <v>0</v>
          </cell>
          <cell r="AB297">
            <v>0</v>
          </cell>
          <cell r="AC297">
            <v>362.86666666666667</v>
          </cell>
          <cell r="AD297">
            <v>0</v>
          </cell>
          <cell r="AE297">
            <v>0</v>
          </cell>
          <cell r="AF297">
            <v>929</v>
          </cell>
          <cell r="AG297">
            <v>780</v>
          </cell>
          <cell r="AH297">
            <v>149</v>
          </cell>
          <cell r="AK297">
            <v>7345.3</v>
          </cell>
        </row>
        <row r="298">
          <cell r="F298">
            <v>2</v>
          </cell>
          <cell r="P298">
            <v>30</v>
          </cell>
          <cell r="S298">
            <v>581</v>
          </cell>
          <cell r="V298">
            <v>-2.1590909090909096</v>
          </cell>
          <cell r="X298">
            <v>296</v>
          </cell>
          <cell r="AC298">
            <v>44</v>
          </cell>
          <cell r="AF298">
            <v>3</v>
          </cell>
          <cell r="AG298">
            <v>2</v>
          </cell>
          <cell r="AH298">
            <v>1</v>
          </cell>
          <cell r="AK298">
            <v>973</v>
          </cell>
        </row>
        <row r="299">
          <cell r="F299">
            <v>1</v>
          </cell>
          <cell r="P299">
            <v>56.333333333333336</v>
          </cell>
          <cell r="S299">
            <v>915.33333333333337</v>
          </cell>
          <cell r="X299">
            <v>160</v>
          </cell>
          <cell r="AC299">
            <v>187.33333333333331</v>
          </cell>
          <cell r="AF299">
            <v>449</v>
          </cell>
          <cell r="AG299">
            <v>400</v>
          </cell>
          <cell r="AH299">
            <v>49</v>
          </cell>
          <cell r="AK299">
            <v>1769</v>
          </cell>
        </row>
        <row r="300">
          <cell r="F300">
            <v>2730</v>
          </cell>
          <cell r="P300">
            <v>425.2</v>
          </cell>
          <cell r="S300">
            <v>390.26666666666665</v>
          </cell>
          <cell r="X300">
            <v>201.3</v>
          </cell>
          <cell r="AC300">
            <v>131.53333333333333</v>
          </cell>
          <cell r="AF300">
            <v>477</v>
          </cell>
          <cell r="AG300">
            <v>378</v>
          </cell>
          <cell r="AH300">
            <v>99</v>
          </cell>
          <cell r="AK300">
            <v>4603.3</v>
          </cell>
        </row>
        <row r="301">
          <cell r="F301">
            <v>0</v>
          </cell>
          <cell r="P301">
            <v>0</v>
          </cell>
          <cell r="S301">
            <v>0</v>
          </cell>
          <cell r="X301">
            <v>0</v>
          </cell>
          <cell r="AC301">
            <v>0</v>
          </cell>
          <cell r="AF301">
            <v>0</v>
          </cell>
          <cell r="AG301">
            <v>0</v>
          </cell>
          <cell r="AH301">
            <v>0</v>
          </cell>
          <cell r="AK301">
            <v>0</v>
          </cell>
        </row>
        <row r="302">
          <cell r="F302">
            <v>0</v>
          </cell>
          <cell r="P302">
            <v>-107</v>
          </cell>
          <cell r="Q302">
            <v>0</v>
          </cell>
          <cell r="R302">
            <v>0</v>
          </cell>
          <cell r="S302">
            <v>-90</v>
          </cell>
          <cell r="T302">
            <v>-710.90664848484835</v>
          </cell>
          <cell r="U302">
            <v>-725.94365454545448</v>
          </cell>
          <cell r="V302">
            <v>0</v>
          </cell>
          <cell r="W302">
            <v>0</v>
          </cell>
          <cell r="X302">
            <v>0</v>
          </cell>
          <cell r="Y302">
            <v>-549</v>
          </cell>
          <cell r="Z302">
            <v>-479.58636363636367</v>
          </cell>
          <cell r="AA302">
            <v>0</v>
          </cell>
          <cell r="AB302">
            <v>-9</v>
          </cell>
          <cell r="AC302">
            <v>0</v>
          </cell>
          <cell r="AD302">
            <v>-149</v>
          </cell>
          <cell r="AE302">
            <v>-219.28424242424248</v>
          </cell>
          <cell r="AF302">
            <v>1</v>
          </cell>
          <cell r="AG302">
            <v>1</v>
          </cell>
          <cell r="AH302">
            <v>0</v>
          </cell>
          <cell r="AK302">
            <v>-196</v>
          </cell>
        </row>
        <row r="303">
          <cell r="F303">
            <v>98797.857142857145</v>
          </cell>
          <cell r="P303">
            <v>2339.5333333333333</v>
          </cell>
          <cell r="Q303">
            <v>0</v>
          </cell>
          <cell r="R303">
            <v>0</v>
          </cell>
          <cell r="S303">
            <v>1199.1000000000004</v>
          </cell>
          <cell r="T303">
            <v>-673.48446666666666</v>
          </cell>
          <cell r="U303">
            <v>-686.40219999999999</v>
          </cell>
          <cell r="V303">
            <v>0</v>
          </cell>
          <cell r="W303">
            <v>0</v>
          </cell>
          <cell r="X303">
            <v>2453.7545454545461</v>
          </cell>
          <cell r="Y303">
            <v>-435</v>
          </cell>
          <cell r="Z303">
            <v>-601.57554545454536</v>
          </cell>
          <cell r="AA303">
            <v>0</v>
          </cell>
          <cell r="AB303">
            <v>-9</v>
          </cell>
          <cell r="AC303">
            <v>607.62424242424026</v>
          </cell>
          <cell r="AD303">
            <v>-212</v>
          </cell>
          <cell r="AE303">
            <v>-311.28424242424239</v>
          </cell>
          <cell r="AF303">
            <v>2161.0909090909086</v>
          </cell>
          <cell r="AG303">
            <v>2012.090909090909</v>
          </cell>
          <cell r="AH303">
            <v>149</v>
          </cell>
          <cell r="AK303">
            <v>107973.96017316019</v>
          </cell>
        </row>
        <row r="304">
          <cell r="T304" t="str">
            <v>ФМЗ ( з відрахуван)</v>
          </cell>
          <cell r="V304">
            <v>25</v>
          </cell>
          <cell r="AH304">
            <v>191</v>
          </cell>
          <cell r="AK304">
            <v>0</v>
          </cell>
        </row>
        <row r="305">
          <cell r="F305">
            <v>69710.157142857148</v>
          </cell>
          <cell r="G305">
            <v>0</v>
          </cell>
          <cell r="H305">
            <v>0</v>
          </cell>
          <cell r="P305">
            <v>3673.9999999999991</v>
          </cell>
          <cell r="Q305">
            <v>0</v>
          </cell>
          <cell r="R305">
            <v>0</v>
          </cell>
          <cell r="S305">
            <v>5277.0303030303048</v>
          </cell>
          <cell r="T305">
            <v>-710.90664848484835</v>
          </cell>
          <cell r="U305">
            <v>-725.94365454545448</v>
          </cell>
          <cell r="V305">
            <v>0</v>
          </cell>
          <cell r="W305">
            <v>0</v>
          </cell>
          <cell r="X305">
            <v>1818.9696969697004</v>
          </cell>
          <cell r="Y305">
            <v>-549</v>
          </cell>
          <cell r="Z305">
            <v>-479.58636363636367</v>
          </cell>
          <cell r="AA305">
            <v>0</v>
          </cell>
          <cell r="AB305">
            <v>-9</v>
          </cell>
          <cell r="AC305">
            <v>962.42424242423954</v>
          </cell>
          <cell r="AF305">
            <v>2025.4575757575753</v>
          </cell>
          <cell r="AG305">
            <v>1706.4909090909086</v>
          </cell>
          <cell r="AH305">
            <v>318.9666666666667</v>
          </cell>
          <cell r="AK305">
            <v>83800.038961038968</v>
          </cell>
        </row>
        <row r="306">
          <cell r="F306">
            <v>98797.857142857145</v>
          </cell>
          <cell r="G306">
            <v>0</v>
          </cell>
          <cell r="H306">
            <v>0</v>
          </cell>
          <cell r="P306">
            <v>2339.5333333333333</v>
          </cell>
          <cell r="Q306">
            <v>0</v>
          </cell>
          <cell r="R306">
            <v>0</v>
          </cell>
          <cell r="S306">
            <v>1199.1000000000004</v>
          </cell>
          <cell r="T306">
            <v>-673.48446666666666</v>
          </cell>
          <cell r="U306">
            <v>-686.40219999999999</v>
          </cell>
          <cell r="V306">
            <v>0</v>
          </cell>
          <cell r="W306">
            <v>0</v>
          </cell>
          <cell r="X306">
            <v>2453.7545454545461</v>
          </cell>
          <cell r="Y306">
            <v>-435</v>
          </cell>
          <cell r="Z306">
            <v>-601.57554545454536</v>
          </cell>
          <cell r="AA306">
            <v>0</v>
          </cell>
          <cell r="AB306">
            <v>-9</v>
          </cell>
          <cell r="AC306">
            <v>607.62424242424026</v>
          </cell>
          <cell r="AF306">
            <v>2161.0909090909086</v>
          </cell>
          <cell r="AG306">
            <v>1821.0909090909086</v>
          </cell>
          <cell r="AH306">
            <v>340</v>
          </cell>
          <cell r="AK306">
            <v>107973.96017316019</v>
          </cell>
        </row>
        <row r="307">
          <cell r="F307">
            <v>0</v>
          </cell>
          <cell r="P307">
            <v>0</v>
          </cell>
          <cell r="Q307">
            <v>0</v>
          </cell>
          <cell r="R307">
            <v>0</v>
          </cell>
          <cell r="S307">
            <v>0</v>
          </cell>
          <cell r="T307">
            <v>0</v>
          </cell>
          <cell r="U307">
            <v>0</v>
          </cell>
          <cell r="V307">
            <v>0</v>
          </cell>
          <cell r="W307">
            <v>0</v>
          </cell>
          <cell r="X307">
            <v>0</v>
          </cell>
          <cell r="Y307">
            <v>0</v>
          </cell>
          <cell r="Z307">
            <v>0</v>
          </cell>
          <cell r="AA307">
            <v>0</v>
          </cell>
          <cell r="AB307">
            <v>0</v>
          </cell>
          <cell r="AC307">
            <v>0</v>
          </cell>
          <cell r="AD307">
            <v>0</v>
          </cell>
          <cell r="AE307">
            <v>0</v>
          </cell>
          <cell r="AF307">
            <v>0</v>
          </cell>
          <cell r="AG307">
            <v>0</v>
          </cell>
          <cell r="AH307">
            <v>0</v>
          </cell>
          <cell r="AK307">
            <v>0</v>
          </cell>
        </row>
        <row r="308">
          <cell r="F308">
            <v>0</v>
          </cell>
          <cell r="P308">
            <v>0</v>
          </cell>
          <cell r="Q308">
            <v>0</v>
          </cell>
          <cell r="R308">
            <v>0</v>
          </cell>
          <cell r="S308">
            <v>0</v>
          </cell>
          <cell r="T308">
            <v>0</v>
          </cell>
          <cell r="U308">
            <v>0</v>
          </cell>
          <cell r="V308">
            <v>0</v>
          </cell>
          <cell r="W308">
            <v>0</v>
          </cell>
          <cell r="X308">
            <v>0</v>
          </cell>
          <cell r="Y308">
            <v>0</v>
          </cell>
          <cell r="Z308">
            <v>0</v>
          </cell>
          <cell r="AA308">
            <v>0</v>
          </cell>
          <cell r="AB308">
            <v>0</v>
          </cell>
          <cell r="AC308">
            <v>0</v>
          </cell>
          <cell r="AD308">
            <v>0</v>
          </cell>
          <cell r="AE308">
            <v>0</v>
          </cell>
          <cell r="AF308">
            <v>0</v>
          </cell>
          <cell r="AG308">
            <v>0</v>
          </cell>
          <cell r="AH308">
            <v>0</v>
          </cell>
          <cell r="AK308">
            <v>0</v>
          </cell>
        </row>
        <row r="309">
          <cell r="F309">
            <v>0</v>
          </cell>
          <cell r="P309">
            <v>0</v>
          </cell>
          <cell r="S309">
            <v>0</v>
          </cell>
          <cell r="X309">
            <v>0</v>
          </cell>
          <cell r="AC309">
            <v>0</v>
          </cell>
          <cell r="AF309">
            <v>0</v>
          </cell>
          <cell r="AG309">
            <v>0</v>
          </cell>
          <cell r="AH309">
            <v>0</v>
          </cell>
          <cell r="AK309">
            <v>0</v>
          </cell>
        </row>
        <row r="310">
          <cell r="F310">
            <v>69710.157142857148</v>
          </cell>
          <cell r="P310">
            <v>3673.9999999999991</v>
          </cell>
          <cell r="Q310">
            <v>0</v>
          </cell>
          <cell r="R310">
            <v>0</v>
          </cell>
          <cell r="S310">
            <v>5277.0303030303048</v>
          </cell>
          <cell r="T310">
            <v>-710.90664848484835</v>
          </cell>
          <cell r="U310">
            <v>-725.94365454545448</v>
          </cell>
          <cell r="V310">
            <v>0</v>
          </cell>
          <cell r="W310">
            <v>0</v>
          </cell>
          <cell r="X310">
            <v>1818.9696969697004</v>
          </cell>
          <cell r="Y310">
            <v>-549</v>
          </cell>
          <cell r="Z310">
            <v>-479.58636363636367</v>
          </cell>
          <cell r="AA310">
            <v>0</v>
          </cell>
          <cell r="AB310">
            <v>-9</v>
          </cell>
          <cell r="AC310">
            <v>962.42424242423954</v>
          </cell>
          <cell r="AD310">
            <v>-149</v>
          </cell>
          <cell r="AE310">
            <v>-219.28424242424248</v>
          </cell>
          <cell r="AF310">
            <v>2025.4575757575753</v>
          </cell>
          <cell r="AG310">
            <v>1706.4909090909086</v>
          </cell>
          <cell r="AH310">
            <v>318.9666666666667</v>
          </cell>
          <cell r="AK310">
            <v>0</v>
          </cell>
        </row>
        <row r="311">
          <cell r="F311">
            <v>98797.857142857145</v>
          </cell>
          <cell r="P311">
            <v>2339.5333333333333</v>
          </cell>
          <cell r="Q311">
            <v>0</v>
          </cell>
          <cell r="R311">
            <v>0</v>
          </cell>
          <cell r="S311">
            <v>1199.1000000000004</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107973.96017316019</v>
          </cell>
        </row>
        <row r="312">
          <cell r="P312">
            <v>0</v>
          </cell>
          <cell r="AK312">
            <v>0</v>
          </cell>
        </row>
        <row r="313">
          <cell r="P313">
            <v>0</v>
          </cell>
          <cell r="S313">
            <v>0</v>
          </cell>
          <cell r="AK313">
            <v>0</v>
          </cell>
        </row>
        <row r="314">
          <cell r="F314">
            <v>3480</v>
          </cell>
          <cell r="S314">
            <v>0</v>
          </cell>
          <cell r="AK314">
            <v>0</v>
          </cell>
        </row>
        <row r="315">
          <cell r="F315">
            <v>3480</v>
          </cell>
          <cell r="S315">
            <v>0</v>
          </cell>
          <cell r="AK315">
            <v>3480</v>
          </cell>
        </row>
        <row r="316">
          <cell r="F316">
            <v>0</v>
          </cell>
          <cell r="S316">
            <v>0</v>
          </cell>
          <cell r="AK316">
            <v>0</v>
          </cell>
        </row>
        <row r="317">
          <cell r="F317">
            <v>0</v>
          </cell>
          <cell r="AK317">
            <v>0</v>
          </cell>
        </row>
        <row r="318">
          <cell r="AK318">
            <v>0</v>
          </cell>
        </row>
        <row r="319">
          <cell r="AK319">
            <v>0</v>
          </cell>
        </row>
        <row r="320">
          <cell r="S320">
            <v>0</v>
          </cell>
          <cell r="AK320">
            <v>0</v>
          </cell>
        </row>
        <row r="321">
          <cell r="F321">
            <v>69710.157142857148</v>
          </cell>
          <cell r="P321">
            <v>3673.9999999999991</v>
          </cell>
          <cell r="Q321">
            <v>0</v>
          </cell>
          <cell r="R321">
            <v>0</v>
          </cell>
          <cell r="S321">
            <v>0</v>
          </cell>
          <cell r="T321">
            <v>-710.90664848484835</v>
          </cell>
          <cell r="U321">
            <v>-725.94365454545448</v>
          </cell>
          <cell r="V321">
            <v>0</v>
          </cell>
          <cell r="W321">
            <v>0</v>
          </cell>
          <cell r="X321">
            <v>1818.9696969697004</v>
          </cell>
          <cell r="Y321">
            <v>-549</v>
          </cell>
          <cell r="Z321">
            <v>-479.58636363636367</v>
          </cell>
          <cell r="AA321">
            <v>0</v>
          </cell>
          <cell r="AB321">
            <v>-9</v>
          </cell>
          <cell r="AC321">
            <v>962.42424242423954</v>
          </cell>
          <cell r="AD321">
            <v>-149</v>
          </cell>
          <cell r="AE321">
            <v>-219.28424242424248</v>
          </cell>
          <cell r="AF321">
            <v>2025.4575757575753</v>
          </cell>
          <cell r="AG321">
            <v>1706.4909090909086</v>
          </cell>
          <cell r="AH321">
            <v>318.9666666666667</v>
          </cell>
          <cell r="AK321">
            <v>83800.038961038968</v>
          </cell>
        </row>
        <row r="322">
          <cell r="F322">
            <v>98797.857142857145</v>
          </cell>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30">
          <cell r="AJ330">
            <v>2455</v>
          </cell>
          <cell r="AK330">
            <v>6760.8399999999992</v>
          </cell>
          <cell r="AM330">
            <v>5000.8799999999992</v>
          </cell>
        </row>
        <row r="331">
          <cell r="F331">
            <v>160</v>
          </cell>
          <cell r="P331">
            <v>326</v>
          </cell>
          <cell r="S331">
            <v>523</v>
          </cell>
          <cell r="X331">
            <v>174</v>
          </cell>
          <cell r="AC331">
            <v>147</v>
          </cell>
          <cell r="AF331">
            <v>480</v>
          </cell>
          <cell r="AG331">
            <v>480</v>
          </cell>
          <cell r="AH331">
            <v>0</v>
          </cell>
          <cell r="AJ331">
            <v>2455</v>
          </cell>
          <cell r="AK331">
            <v>7909.3109999999997</v>
          </cell>
          <cell r="AM331">
            <v>6124.451</v>
          </cell>
        </row>
        <row r="332">
          <cell r="F332">
            <v>203</v>
          </cell>
          <cell r="P332">
            <v>623</v>
          </cell>
          <cell r="S332">
            <v>555</v>
          </cell>
          <cell r="X332">
            <v>227</v>
          </cell>
          <cell r="AC332">
            <v>188</v>
          </cell>
          <cell r="AF332">
            <v>487</v>
          </cell>
          <cell r="AG332">
            <v>463</v>
          </cell>
          <cell r="AH332">
            <v>24</v>
          </cell>
          <cell r="AJ332">
            <v>36</v>
          </cell>
          <cell r="AK332">
            <v>2421</v>
          </cell>
          <cell r="AM332">
            <v>1934</v>
          </cell>
        </row>
        <row r="333">
          <cell r="AJ333">
            <v>36</v>
          </cell>
          <cell r="AK333">
            <v>6983.8571428571431</v>
          </cell>
          <cell r="AM333">
            <v>6983.8571428571431</v>
          </cell>
        </row>
        <row r="334">
          <cell r="AJ334">
            <v>36</v>
          </cell>
          <cell r="AK334">
            <v>636</v>
          </cell>
          <cell r="AM334">
            <v>636</v>
          </cell>
        </row>
        <row r="335">
          <cell r="AJ335">
            <v>36</v>
          </cell>
          <cell r="AK335">
            <v>-196</v>
          </cell>
          <cell r="AM335">
            <v>-197</v>
          </cell>
        </row>
        <row r="336">
          <cell r="AK336">
            <v>1380.8571428571431</v>
          </cell>
          <cell r="AM336">
            <v>1380.8571428571431</v>
          </cell>
        </row>
        <row r="337">
          <cell r="AK337">
            <v>3500</v>
          </cell>
          <cell r="AM337">
            <v>3500</v>
          </cell>
        </row>
        <row r="338">
          <cell r="AK338">
            <v>0</v>
          </cell>
          <cell r="AM338">
            <v>821</v>
          </cell>
        </row>
        <row r="339">
          <cell r="AK339">
            <v>1467</v>
          </cell>
          <cell r="AM339">
            <v>1467</v>
          </cell>
        </row>
        <row r="340">
          <cell r="AK340">
            <v>3580</v>
          </cell>
          <cell r="AM340">
            <v>0</v>
          </cell>
        </row>
        <row r="341">
          <cell r="AK341">
            <v>0</v>
          </cell>
          <cell r="AM341">
            <v>0</v>
          </cell>
        </row>
        <row r="342">
          <cell r="AK342">
            <v>2395</v>
          </cell>
          <cell r="AM342">
            <v>2129</v>
          </cell>
        </row>
        <row r="343">
          <cell r="AK343">
            <v>3549.1363636363635</v>
          </cell>
          <cell r="AM343">
            <v>2584.0454545454545</v>
          </cell>
        </row>
        <row r="344">
          <cell r="AK344">
            <v>0</v>
          </cell>
          <cell r="AM344">
            <v>0</v>
          </cell>
        </row>
        <row r="345">
          <cell r="AK345">
            <v>0</v>
          </cell>
          <cell r="AM345">
            <v>0</v>
          </cell>
        </row>
        <row r="346">
          <cell r="AK346">
            <v>0</v>
          </cell>
          <cell r="AM346">
            <v>0</v>
          </cell>
        </row>
        <row r="347">
          <cell r="AK347">
            <v>4592</v>
          </cell>
          <cell r="AM347">
            <v>3979</v>
          </cell>
        </row>
        <row r="348">
          <cell r="AK348">
            <v>1847</v>
          </cell>
          <cell r="AM348">
            <v>1352</v>
          </cell>
        </row>
        <row r="349">
          <cell r="AK349">
            <v>1127</v>
          </cell>
          <cell r="AM349">
            <v>1089</v>
          </cell>
        </row>
        <row r="350">
          <cell r="AK350">
            <v>1110</v>
          </cell>
        </row>
        <row r="351">
          <cell r="AK351">
            <v>508</v>
          </cell>
          <cell r="AM351">
            <v>0</v>
          </cell>
        </row>
        <row r="352">
          <cell r="AK352">
            <v>0</v>
          </cell>
          <cell r="AM352">
            <v>0</v>
          </cell>
        </row>
        <row r="353">
          <cell r="AK353">
            <v>142</v>
          </cell>
          <cell r="AM353">
            <v>142</v>
          </cell>
        </row>
        <row r="354">
          <cell r="P354">
            <v>225</v>
          </cell>
          <cell r="S354">
            <v>296</v>
          </cell>
          <cell r="X354">
            <v>56</v>
          </cell>
          <cell r="AC354">
            <v>-538.90909090909088</v>
          </cell>
          <cell r="AF354">
            <v>245.09090909090912</v>
          </cell>
          <cell r="AG354">
            <v>-127.90909090909091</v>
          </cell>
          <cell r="AH354">
            <v>373</v>
          </cell>
          <cell r="AK354">
            <v>2892.6666666666665</v>
          </cell>
          <cell r="AM354">
            <v>2586.6666666666665</v>
          </cell>
        </row>
        <row r="355">
          <cell r="P355">
            <v>225</v>
          </cell>
          <cell r="S355">
            <v>296</v>
          </cell>
          <cell r="X355">
            <v>56</v>
          </cell>
          <cell r="AC355">
            <v>-536.90909090909088</v>
          </cell>
          <cell r="AF355">
            <v>485.09090909090912</v>
          </cell>
          <cell r="AG355">
            <v>-127.90909090909091</v>
          </cell>
          <cell r="AH355">
            <v>613</v>
          </cell>
          <cell r="AK355">
            <v>525.18181818181824</v>
          </cell>
        </row>
        <row r="356">
          <cell r="F356">
            <v>0</v>
          </cell>
          <cell r="P356">
            <v>0</v>
          </cell>
          <cell r="S356">
            <v>0</v>
          </cell>
          <cell r="X356">
            <v>0</v>
          </cell>
          <cell r="AC356">
            <v>0</v>
          </cell>
          <cell r="AF356">
            <v>0</v>
          </cell>
          <cell r="AG356">
            <v>0</v>
          </cell>
          <cell r="AH356">
            <v>0</v>
          </cell>
          <cell r="AK356">
            <v>0</v>
          </cell>
          <cell r="AM356">
            <v>358</v>
          </cell>
        </row>
        <row r="357">
          <cell r="F357">
            <v>0</v>
          </cell>
          <cell r="P357">
            <v>0</v>
          </cell>
          <cell r="S357">
            <v>0</v>
          </cell>
          <cell r="X357">
            <v>0</v>
          </cell>
          <cell r="AC357">
            <v>0</v>
          </cell>
          <cell r="AF357">
            <v>0</v>
          </cell>
          <cell r="AG357">
            <v>0</v>
          </cell>
          <cell r="AH357">
            <v>0</v>
          </cell>
          <cell r="AK357">
            <v>358</v>
          </cell>
          <cell r="AM357">
            <v>358</v>
          </cell>
        </row>
        <row r="358">
          <cell r="AK358">
            <v>121</v>
          </cell>
          <cell r="AM358">
            <v>121</v>
          </cell>
        </row>
        <row r="359">
          <cell r="AK359">
            <v>0</v>
          </cell>
          <cell r="AM359">
            <v>0</v>
          </cell>
        </row>
        <row r="360">
          <cell r="AJ360">
            <v>-2491</v>
          </cell>
          <cell r="AK360">
            <v>0</v>
          </cell>
          <cell r="AM360">
            <v>0</v>
          </cell>
        </row>
        <row r="361">
          <cell r="AJ361">
            <v>-2491</v>
          </cell>
          <cell r="AK361">
            <v>7345.3</v>
          </cell>
          <cell r="AM361" t="e">
            <v>#REF!</v>
          </cell>
        </row>
        <row r="362">
          <cell r="AK362">
            <v>973</v>
          </cell>
        </row>
        <row r="363">
          <cell r="AK363">
            <v>1769</v>
          </cell>
        </row>
        <row r="364">
          <cell r="F364">
            <v>0</v>
          </cell>
          <cell r="P364">
            <v>0</v>
          </cell>
          <cell r="S364">
            <v>0</v>
          </cell>
          <cell r="T364">
            <v>162.88</v>
          </cell>
          <cell r="U364">
            <v>855.12</v>
          </cell>
          <cell r="X364">
            <v>344</v>
          </cell>
          <cell r="Y364">
            <v>304</v>
          </cell>
          <cell r="Z364">
            <v>265</v>
          </cell>
          <cell r="AC364">
            <v>357</v>
          </cell>
          <cell r="AD364">
            <v>213</v>
          </cell>
          <cell r="AE364">
            <v>314</v>
          </cell>
          <cell r="AF364">
            <v>-335</v>
          </cell>
          <cell r="AG364">
            <v>-335</v>
          </cell>
          <cell r="AH364">
            <v>0</v>
          </cell>
          <cell r="AK364">
            <v>4603.3</v>
          </cell>
          <cell r="AM364">
            <v>710</v>
          </cell>
        </row>
        <row r="365">
          <cell r="F365">
            <v>0</v>
          </cell>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73">
          <cell r="F373">
            <v>0</v>
          </cell>
        </row>
        <row r="374">
          <cell r="F374">
            <v>0</v>
          </cell>
        </row>
        <row r="385">
          <cell r="F385" t="str">
            <v>лютий</v>
          </cell>
          <cell r="P385" t="str">
            <v>лютий</v>
          </cell>
          <cell r="X385" t="str">
            <v>лютий</v>
          </cell>
          <cell r="AC385" t="str">
            <v>лютий</v>
          </cell>
        </row>
        <row r="386">
          <cell r="F386" t="str">
            <v>лютий</v>
          </cell>
          <cell r="P386" t="str">
            <v>лютий</v>
          </cell>
          <cell r="X386" t="str">
            <v>лютий</v>
          </cell>
          <cell r="AC386" t="str">
            <v>лютий</v>
          </cell>
          <cell r="AK386" t="str">
            <v>АК "КЕ"</v>
          </cell>
          <cell r="AL386" t="str">
            <v>Е/Е</v>
          </cell>
        </row>
        <row r="387">
          <cell r="F387" t="str">
            <v>АППАРАТ</v>
          </cell>
          <cell r="P387" t="str">
            <v>ККМ</v>
          </cell>
          <cell r="X387" t="str">
            <v>ТЕЦ5</v>
          </cell>
          <cell r="AC387" t="str">
            <v>ТЕЦ6</v>
          </cell>
          <cell r="AK387" t="str">
            <v>АК "КЕ"</v>
          </cell>
          <cell r="AL387" t="str">
            <v>Е/Е</v>
          </cell>
        </row>
        <row r="388">
          <cell r="F388" t="str">
            <v>ПЛАН</v>
          </cell>
          <cell r="G388">
            <v>56</v>
          </cell>
          <cell r="H388">
            <v>56</v>
          </cell>
          <cell r="P388" t="str">
            <v>ПЛАН</v>
          </cell>
          <cell r="S388">
            <v>14.333333333333332</v>
          </cell>
          <cell r="X388" t="str">
            <v>ПЛАН</v>
          </cell>
          <cell r="Y388">
            <v>97</v>
          </cell>
          <cell r="Z388">
            <v>97</v>
          </cell>
          <cell r="AC388" t="str">
            <v>ПЛАН</v>
          </cell>
          <cell r="AD388">
            <v>131</v>
          </cell>
          <cell r="AE388">
            <v>130</v>
          </cell>
          <cell r="AK388" t="str">
            <v>ПЛАН</v>
          </cell>
          <cell r="AL388" t="str">
            <v>ПЛАН</v>
          </cell>
          <cell r="AM388">
            <v>312.33333333333331</v>
          </cell>
        </row>
        <row r="389">
          <cell r="F389">
            <v>164.3</v>
          </cell>
          <cell r="G389">
            <v>47</v>
          </cell>
          <cell r="H389">
            <v>47</v>
          </cell>
          <cell r="P389">
            <v>14.333333333333332</v>
          </cell>
          <cell r="S389">
            <v>14.333333333333332</v>
          </cell>
          <cell r="X389">
            <v>182</v>
          </cell>
          <cell r="Y389">
            <v>77</v>
          </cell>
          <cell r="Z389">
            <v>77</v>
          </cell>
          <cell r="AC389">
            <v>323.66666666666674</v>
          </cell>
          <cell r="AD389">
            <v>132</v>
          </cell>
          <cell r="AE389">
            <v>131</v>
          </cell>
          <cell r="AK389">
            <v>735.30000000000018</v>
          </cell>
          <cell r="AL389">
            <v>441.33333333333337</v>
          </cell>
          <cell r="AM389">
            <v>285.33333333333331</v>
          </cell>
        </row>
        <row r="390">
          <cell r="F390">
            <v>29</v>
          </cell>
          <cell r="G390">
            <v>8</v>
          </cell>
          <cell r="P390">
            <v>0</v>
          </cell>
          <cell r="X390">
            <v>0</v>
          </cell>
          <cell r="Y390">
            <v>0</v>
          </cell>
          <cell r="AC390">
            <v>3.6666666666666665</v>
          </cell>
          <cell r="AD390">
            <v>1</v>
          </cell>
          <cell r="AK390">
            <v>46</v>
          </cell>
          <cell r="AL390">
            <v>12</v>
          </cell>
        </row>
        <row r="391">
          <cell r="F391">
            <v>0</v>
          </cell>
          <cell r="G391">
            <v>0</v>
          </cell>
          <cell r="P391">
            <v>0.66666666666666663</v>
          </cell>
          <cell r="X391">
            <v>146.66666666666666</v>
          </cell>
          <cell r="Y391">
            <v>62</v>
          </cell>
          <cell r="AC391">
            <v>280.66666666666669</v>
          </cell>
          <cell r="AD391">
            <v>114</v>
          </cell>
          <cell r="AK391">
            <v>428</v>
          </cell>
          <cell r="AL391">
            <v>176.66666666666666</v>
          </cell>
        </row>
        <row r="392">
          <cell r="F392">
            <v>0</v>
          </cell>
          <cell r="G392">
            <v>0</v>
          </cell>
          <cell r="P392">
            <v>2</v>
          </cell>
          <cell r="X392">
            <v>0</v>
          </cell>
          <cell r="Y392">
            <v>0</v>
          </cell>
          <cell r="AC392">
            <v>25</v>
          </cell>
          <cell r="AD392">
            <v>10</v>
          </cell>
          <cell r="AK392">
            <v>33.666666666666671</v>
          </cell>
          <cell r="AL392">
            <v>15</v>
          </cell>
        </row>
        <row r="393">
          <cell r="F393">
            <v>0</v>
          </cell>
          <cell r="G393">
            <v>0</v>
          </cell>
          <cell r="P393">
            <v>0</v>
          </cell>
          <cell r="X393">
            <v>25.333333333333332</v>
          </cell>
          <cell r="Y393">
            <v>11</v>
          </cell>
          <cell r="AC393">
            <v>0.66666666666666663</v>
          </cell>
          <cell r="AD393">
            <v>0</v>
          </cell>
          <cell r="AK393">
            <v>26</v>
          </cell>
          <cell r="AL393">
            <v>11</v>
          </cell>
        </row>
        <row r="394">
          <cell r="F394">
            <v>120.63333333333333</v>
          </cell>
          <cell r="G394">
            <v>35</v>
          </cell>
          <cell r="P394">
            <v>0</v>
          </cell>
          <cell r="X394">
            <v>0</v>
          </cell>
          <cell r="Y394">
            <v>0</v>
          </cell>
          <cell r="AC394">
            <v>0</v>
          </cell>
          <cell r="AD394">
            <v>0</v>
          </cell>
          <cell r="AK394">
            <v>120.63333333333333</v>
          </cell>
          <cell r="AL394">
            <v>37</v>
          </cell>
        </row>
        <row r="395">
          <cell r="F395">
            <v>8.6666666666666661</v>
          </cell>
          <cell r="G395">
            <v>2</v>
          </cell>
          <cell r="P395">
            <v>0</v>
          </cell>
          <cell r="X395">
            <v>0</v>
          </cell>
          <cell r="Y395">
            <v>0</v>
          </cell>
          <cell r="AC395">
            <v>0</v>
          </cell>
          <cell r="AD395">
            <v>0</v>
          </cell>
          <cell r="AK395">
            <v>8.6666666666666661</v>
          </cell>
          <cell r="AL395">
            <v>0</v>
          </cell>
        </row>
        <row r="396">
          <cell r="F396">
            <v>0</v>
          </cell>
          <cell r="G396">
            <v>0</v>
          </cell>
          <cell r="P396">
            <v>5.333333333333333</v>
          </cell>
          <cell r="X396">
            <v>0</v>
          </cell>
          <cell r="Y396">
            <v>0</v>
          </cell>
          <cell r="AC396">
            <v>0</v>
          </cell>
          <cell r="AD396">
            <v>0</v>
          </cell>
          <cell r="AK396">
            <v>22</v>
          </cell>
          <cell r="AL396">
            <v>15.333333333333332</v>
          </cell>
        </row>
        <row r="397">
          <cell r="F397">
            <v>5.333333333333333</v>
          </cell>
          <cell r="G397">
            <v>2</v>
          </cell>
          <cell r="P397">
            <v>0</v>
          </cell>
          <cell r="X397">
            <v>0</v>
          </cell>
          <cell r="Y397">
            <v>0</v>
          </cell>
          <cell r="AC397">
            <v>0</v>
          </cell>
          <cell r="AD397">
            <v>0</v>
          </cell>
          <cell r="AK397">
            <v>5.333333333333333</v>
          </cell>
          <cell r="AL397">
            <v>2</v>
          </cell>
        </row>
        <row r="398">
          <cell r="F398">
            <v>0.33333333333333331</v>
          </cell>
          <cell r="G398">
            <v>0</v>
          </cell>
          <cell r="P398">
            <v>4.333333333333333</v>
          </cell>
          <cell r="X398">
            <v>0</v>
          </cell>
          <cell r="Y398">
            <v>0</v>
          </cell>
          <cell r="AC398">
            <v>0</v>
          </cell>
          <cell r="AD398">
            <v>0</v>
          </cell>
          <cell r="AK398">
            <v>4.6666666666666661</v>
          </cell>
          <cell r="AL398">
            <v>4.333333333333333</v>
          </cell>
        </row>
        <row r="399">
          <cell r="F399">
            <v>0.33333333333333331</v>
          </cell>
          <cell r="G399">
            <v>0</v>
          </cell>
          <cell r="P399">
            <v>2</v>
          </cell>
          <cell r="X399">
            <v>10</v>
          </cell>
          <cell r="Y399">
            <v>4</v>
          </cell>
          <cell r="AC399">
            <v>13.666666666666666</v>
          </cell>
          <cell r="AD399">
            <v>6</v>
          </cell>
          <cell r="AK399">
            <v>26</v>
          </cell>
          <cell r="AL399">
            <v>12</v>
          </cell>
        </row>
        <row r="400">
          <cell r="F400">
            <v>0</v>
          </cell>
          <cell r="G400">
            <v>0</v>
          </cell>
          <cell r="P400">
            <v>0</v>
          </cell>
          <cell r="X400">
            <v>0</v>
          </cell>
          <cell r="Y400">
            <v>0</v>
          </cell>
          <cell r="AC400">
            <v>0</v>
          </cell>
          <cell r="AD400">
            <v>0</v>
          </cell>
          <cell r="AK400">
            <v>0</v>
          </cell>
          <cell r="AL400">
            <v>316.5</v>
          </cell>
          <cell r="AM400">
            <v>316.83333333333331</v>
          </cell>
        </row>
        <row r="401">
          <cell r="F401">
            <v>1.1666666666666667</v>
          </cell>
          <cell r="G401">
            <v>0</v>
          </cell>
          <cell r="P401">
            <v>20.5</v>
          </cell>
          <cell r="X401">
            <v>522.33333333333337</v>
          </cell>
          <cell r="Y401">
            <v>220</v>
          </cell>
          <cell r="AC401">
            <v>43</v>
          </cell>
          <cell r="AD401">
            <v>17</v>
          </cell>
          <cell r="AK401">
            <v>587.33333333333337</v>
          </cell>
          <cell r="AL401">
            <v>257.5</v>
          </cell>
          <cell r="AM401">
            <v>257.83333333333331</v>
          </cell>
        </row>
        <row r="402">
          <cell r="F402">
            <v>0</v>
          </cell>
          <cell r="G402">
            <v>0</v>
          </cell>
          <cell r="P402">
            <v>0</v>
          </cell>
          <cell r="X402">
            <v>0</v>
          </cell>
          <cell r="Y402">
            <v>0</v>
          </cell>
          <cell r="AC402">
            <v>0</v>
          </cell>
          <cell r="AD402">
            <v>0</v>
          </cell>
          <cell r="AK402">
            <v>0</v>
          </cell>
          <cell r="AL402">
            <v>0</v>
          </cell>
        </row>
        <row r="403">
          <cell r="F403">
            <v>0</v>
          </cell>
          <cell r="G403">
            <v>0</v>
          </cell>
          <cell r="P403">
            <v>0</v>
          </cell>
          <cell r="X403">
            <v>480.66666666666669</v>
          </cell>
          <cell r="Y403">
            <v>202</v>
          </cell>
          <cell r="AC403">
            <v>11</v>
          </cell>
          <cell r="AD403">
            <v>4</v>
          </cell>
          <cell r="AK403">
            <v>491.66666666666669</v>
          </cell>
          <cell r="AL403">
            <v>206</v>
          </cell>
        </row>
        <row r="404">
          <cell r="F404">
            <v>0</v>
          </cell>
          <cell r="G404">
            <v>0</v>
          </cell>
          <cell r="P404">
            <v>0</v>
          </cell>
          <cell r="X404">
            <v>0</v>
          </cell>
          <cell r="Y404">
            <v>0</v>
          </cell>
          <cell r="AC404">
            <v>0</v>
          </cell>
          <cell r="AD404">
            <v>0</v>
          </cell>
          <cell r="AK404">
            <v>0</v>
          </cell>
          <cell r="AL404">
            <v>0</v>
          </cell>
        </row>
        <row r="405">
          <cell r="F405">
            <v>1.1666666666666667</v>
          </cell>
          <cell r="G405">
            <v>0</v>
          </cell>
          <cell r="P405">
            <v>15.833333333333334</v>
          </cell>
          <cell r="X405">
            <v>41.666666666666664</v>
          </cell>
          <cell r="Y405">
            <v>18</v>
          </cell>
          <cell r="AC405">
            <v>32</v>
          </cell>
          <cell r="AD405">
            <v>13</v>
          </cell>
          <cell r="AK405">
            <v>91</v>
          </cell>
          <cell r="AL405">
            <v>51.833333333333336</v>
          </cell>
        </row>
        <row r="406">
          <cell r="F406">
            <v>0</v>
          </cell>
          <cell r="G406">
            <v>0</v>
          </cell>
          <cell r="P406">
            <v>4.666666666666667</v>
          </cell>
          <cell r="X406">
            <v>0</v>
          </cell>
          <cell r="Y406">
            <v>0</v>
          </cell>
          <cell r="AC406">
            <v>0</v>
          </cell>
          <cell r="AD406">
            <v>0</v>
          </cell>
          <cell r="AK406">
            <v>4.666666666666667</v>
          </cell>
          <cell r="AL406">
            <v>0</v>
          </cell>
        </row>
        <row r="407">
          <cell r="F407">
            <v>0</v>
          </cell>
          <cell r="G407">
            <v>0</v>
          </cell>
          <cell r="P407">
            <v>0</v>
          </cell>
          <cell r="X407">
            <v>0</v>
          </cell>
          <cell r="Y407">
            <v>0</v>
          </cell>
          <cell r="AC407">
            <v>0</v>
          </cell>
          <cell r="AD407">
            <v>0</v>
          </cell>
          <cell r="AK407">
            <v>0</v>
          </cell>
          <cell r="AL407">
            <v>42</v>
          </cell>
          <cell r="AM407">
            <v>43</v>
          </cell>
        </row>
        <row r="408">
          <cell r="F408">
            <v>10</v>
          </cell>
          <cell r="G408">
            <v>3</v>
          </cell>
          <cell r="P408">
            <v>39</v>
          </cell>
          <cell r="X408">
            <v>0</v>
          </cell>
          <cell r="Y408">
            <v>0</v>
          </cell>
          <cell r="AC408">
            <v>0</v>
          </cell>
          <cell r="AD408">
            <v>0</v>
          </cell>
          <cell r="AK408">
            <v>49</v>
          </cell>
          <cell r="AL408">
            <v>42</v>
          </cell>
          <cell r="AM408">
            <v>42</v>
          </cell>
        </row>
        <row r="409">
          <cell r="F409">
            <v>2.6666666666666665</v>
          </cell>
          <cell r="G409">
            <v>1</v>
          </cell>
          <cell r="P409">
            <v>3.3333333333333335</v>
          </cell>
          <cell r="X409">
            <v>0</v>
          </cell>
          <cell r="Y409">
            <v>0</v>
          </cell>
          <cell r="AC409">
            <v>0</v>
          </cell>
          <cell r="AD409">
            <v>0</v>
          </cell>
          <cell r="AK409">
            <v>6</v>
          </cell>
          <cell r="AL409">
            <v>4.3333333333333339</v>
          </cell>
        </row>
        <row r="410">
          <cell r="F410">
            <v>7.333333333333333</v>
          </cell>
          <cell r="G410">
            <v>2</v>
          </cell>
          <cell r="P410">
            <v>35.666666666666664</v>
          </cell>
          <cell r="X410">
            <v>0</v>
          </cell>
          <cell r="Y410">
            <v>0</v>
          </cell>
          <cell r="AC410">
            <v>0</v>
          </cell>
          <cell r="AD410">
            <v>0</v>
          </cell>
          <cell r="AK410">
            <v>43</v>
          </cell>
          <cell r="AL410">
            <v>37.666666666666664</v>
          </cell>
        </row>
        <row r="411">
          <cell r="F411">
            <v>0</v>
          </cell>
          <cell r="G411">
            <v>0</v>
          </cell>
          <cell r="H411">
            <v>71</v>
          </cell>
          <cell r="P411">
            <v>0</v>
          </cell>
          <cell r="S411">
            <v>50.166666666666671</v>
          </cell>
          <cell r="X411">
            <v>0</v>
          </cell>
          <cell r="Y411">
            <v>0</v>
          </cell>
          <cell r="AC411">
            <v>0</v>
          </cell>
          <cell r="AD411">
            <v>0</v>
          </cell>
          <cell r="AK411">
            <v>0</v>
          </cell>
          <cell r="AL411">
            <v>412.16666666666663</v>
          </cell>
          <cell r="AM411">
            <v>412.16666666666663</v>
          </cell>
        </row>
        <row r="412">
          <cell r="F412">
            <v>206.33333333333329</v>
          </cell>
          <cell r="G412">
            <v>59</v>
          </cell>
          <cell r="H412">
            <v>59</v>
          </cell>
          <cell r="P412">
            <v>50.166666666666671</v>
          </cell>
          <cell r="S412">
            <v>50.166666666666671</v>
          </cell>
          <cell r="X412">
            <v>37.833333333333343</v>
          </cell>
          <cell r="Y412">
            <v>16</v>
          </cell>
          <cell r="AC412">
            <v>26.000000000000004</v>
          </cell>
          <cell r="AD412">
            <v>11</v>
          </cell>
          <cell r="AK412">
            <v>1965.0000000000002</v>
          </cell>
          <cell r="AL412">
            <v>395.16666666666663</v>
          </cell>
          <cell r="AM412">
            <v>395.16666666666663</v>
          </cell>
        </row>
        <row r="413">
          <cell r="F413">
            <v>0</v>
          </cell>
          <cell r="G413">
            <v>0</v>
          </cell>
          <cell r="P413">
            <v>0</v>
          </cell>
          <cell r="X413">
            <v>0</v>
          </cell>
          <cell r="Y413">
            <v>0</v>
          </cell>
          <cell r="AC413">
            <v>0</v>
          </cell>
          <cell r="AD413">
            <v>0</v>
          </cell>
          <cell r="AK413">
            <v>1350</v>
          </cell>
          <cell r="AL413">
            <v>0</v>
          </cell>
        </row>
        <row r="414">
          <cell r="F414">
            <v>0</v>
          </cell>
          <cell r="G414">
            <v>0</v>
          </cell>
          <cell r="P414">
            <v>0</v>
          </cell>
          <cell r="X414">
            <v>0</v>
          </cell>
          <cell r="Y414">
            <v>0</v>
          </cell>
          <cell r="AC414">
            <v>0</v>
          </cell>
          <cell r="AD414">
            <v>0</v>
          </cell>
          <cell r="AK414">
            <v>95</v>
          </cell>
          <cell r="AL414">
            <v>95</v>
          </cell>
        </row>
        <row r="415">
          <cell r="F415">
            <v>0</v>
          </cell>
          <cell r="G415">
            <v>0</v>
          </cell>
          <cell r="P415">
            <v>0</v>
          </cell>
          <cell r="X415">
            <v>0</v>
          </cell>
          <cell r="Y415">
            <v>0</v>
          </cell>
          <cell r="AC415">
            <v>0</v>
          </cell>
          <cell r="AD415">
            <v>0</v>
          </cell>
          <cell r="AK415">
            <v>0</v>
          </cell>
          <cell r="AL415">
            <v>0</v>
          </cell>
        </row>
        <row r="416">
          <cell r="F416">
            <v>0</v>
          </cell>
          <cell r="G416">
            <v>0</v>
          </cell>
          <cell r="P416">
            <v>12.333333333333334</v>
          </cell>
          <cell r="X416">
            <v>0</v>
          </cell>
          <cell r="Y416">
            <v>0</v>
          </cell>
          <cell r="AC416">
            <v>0</v>
          </cell>
          <cell r="AD416">
            <v>0</v>
          </cell>
          <cell r="AK416">
            <v>12.333333333333334</v>
          </cell>
          <cell r="AL416">
            <v>12.333333333333334</v>
          </cell>
        </row>
        <row r="417">
          <cell r="F417">
            <v>0</v>
          </cell>
          <cell r="G417">
            <v>0</v>
          </cell>
          <cell r="P417">
            <v>0</v>
          </cell>
          <cell r="X417">
            <v>0</v>
          </cell>
          <cell r="Y417">
            <v>0</v>
          </cell>
          <cell r="AC417">
            <v>0</v>
          </cell>
          <cell r="AD417">
            <v>0</v>
          </cell>
          <cell r="AK417">
            <v>0</v>
          </cell>
          <cell r="AL417">
            <v>0</v>
          </cell>
        </row>
        <row r="418">
          <cell r="F418">
            <v>1.6666666666666667</v>
          </cell>
          <cell r="G418">
            <v>0</v>
          </cell>
          <cell r="P418">
            <v>5</v>
          </cell>
          <cell r="X418">
            <v>3</v>
          </cell>
          <cell r="Y418">
            <v>1</v>
          </cell>
          <cell r="AC418">
            <v>3</v>
          </cell>
          <cell r="AD418">
            <v>1</v>
          </cell>
          <cell r="AK418">
            <v>57.666666666666664</v>
          </cell>
          <cell r="AL418">
            <v>47</v>
          </cell>
        </row>
        <row r="419">
          <cell r="F419">
            <v>0</v>
          </cell>
          <cell r="G419">
            <v>0</v>
          </cell>
          <cell r="P419">
            <v>0</v>
          </cell>
          <cell r="X419">
            <v>0</v>
          </cell>
          <cell r="Y419">
            <v>0</v>
          </cell>
          <cell r="AC419">
            <v>0</v>
          </cell>
          <cell r="AD419">
            <v>0</v>
          </cell>
          <cell r="AK419">
            <v>4</v>
          </cell>
          <cell r="AL419">
            <v>0</v>
          </cell>
        </row>
        <row r="420">
          <cell r="F420">
            <v>0</v>
          </cell>
          <cell r="G420">
            <v>0</v>
          </cell>
          <cell r="P420">
            <v>0</v>
          </cell>
          <cell r="X420">
            <v>0</v>
          </cell>
          <cell r="Y420">
            <v>0</v>
          </cell>
          <cell r="AC420">
            <v>0</v>
          </cell>
          <cell r="AD420">
            <v>0</v>
          </cell>
          <cell r="AK420">
            <v>0</v>
          </cell>
          <cell r="AL420">
            <v>0</v>
          </cell>
        </row>
        <row r="421">
          <cell r="F421">
            <v>0</v>
          </cell>
          <cell r="G421">
            <v>0</v>
          </cell>
          <cell r="P421">
            <v>18.5</v>
          </cell>
          <cell r="X421">
            <v>4.5</v>
          </cell>
          <cell r="Y421">
            <v>2</v>
          </cell>
          <cell r="AC421">
            <v>1.3333333333333333</v>
          </cell>
          <cell r="AD421">
            <v>1</v>
          </cell>
          <cell r="AK421">
            <v>28.5</v>
          </cell>
          <cell r="AL421">
            <v>25.5</v>
          </cell>
        </row>
        <row r="422">
          <cell r="F422">
            <v>0</v>
          </cell>
          <cell r="G422">
            <v>0</v>
          </cell>
          <cell r="P422">
            <v>1.3333333333333333</v>
          </cell>
          <cell r="X422">
            <v>0</v>
          </cell>
          <cell r="Y422">
            <v>0</v>
          </cell>
          <cell r="AC422">
            <v>1.6666666666666667</v>
          </cell>
          <cell r="AD422">
            <v>1</v>
          </cell>
          <cell r="AK422">
            <v>69</v>
          </cell>
          <cell r="AL422">
            <v>52.333333333333336</v>
          </cell>
        </row>
        <row r="423">
          <cell r="F423">
            <v>177</v>
          </cell>
          <cell r="G423">
            <v>51</v>
          </cell>
          <cell r="P423">
            <v>0</v>
          </cell>
          <cell r="X423">
            <v>0</v>
          </cell>
          <cell r="Y423">
            <v>0</v>
          </cell>
          <cell r="AC423">
            <v>0</v>
          </cell>
          <cell r="AD423">
            <v>0</v>
          </cell>
          <cell r="AK423">
            <v>177</v>
          </cell>
          <cell r="AL423">
            <v>51</v>
          </cell>
        </row>
        <row r="424">
          <cell r="F424">
            <v>0</v>
          </cell>
          <cell r="G424">
            <v>0</v>
          </cell>
          <cell r="P424">
            <v>0</v>
          </cell>
          <cell r="X424">
            <v>10</v>
          </cell>
          <cell r="Y424">
            <v>4</v>
          </cell>
          <cell r="AC424">
            <v>7.666666666666667</v>
          </cell>
          <cell r="AD424">
            <v>3</v>
          </cell>
          <cell r="AK424">
            <v>17.666666666666668</v>
          </cell>
          <cell r="AL424">
            <v>7</v>
          </cell>
        </row>
        <row r="425">
          <cell r="F425">
            <v>0.66666666666666663</v>
          </cell>
          <cell r="G425">
            <v>0</v>
          </cell>
          <cell r="P425">
            <v>2</v>
          </cell>
          <cell r="X425">
            <v>1.3333333333333333</v>
          </cell>
          <cell r="Y425">
            <v>1</v>
          </cell>
          <cell r="AC425">
            <v>1</v>
          </cell>
          <cell r="AD425">
            <v>0</v>
          </cell>
          <cell r="AK425">
            <v>6</v>
          </cell>
          <cell r="AL425">
            <v>3</v>
          </cell>
        </row>
        <row r="426">
          <cell r="F426">
            <v>2.6666666666666665</v>
          </cell>
          <cell r="G426">
            <v>1</v>
          </cell>
          <cell r="P426">
            <v>0.33333333333333331</v>
          </cell>
          <cell r="X426">
            <v>1</v>
          </cell>
          <cell r="Y426">
            <v>0</v>
          </cell>
          <cell r="AC426">
            <v>0.66666666666666663</v>
          </cell>
          <cell r="AD426">
            <v>0</v>
          </cell>
          <cell r="AK426">
            <v>9.3333333333333339</v>
          </cell>
          <cell r="AL426">
            <v>3.3333333333333335</v>
          </cell>
        </row>
        <row r="427">
          <cell r="F427">
            <v>0</v>
          </cell>
          <cell r="G427">
            <v>0</v>
          </cell>
          <cell r="P427">
            <v>2.3333333333333335</v>
          </cell>
          <cell r="X427">
            <v>6</v>
          </cell>
          <cell r="Y427">
            <v>3</v>
          </cell>
          <cell r="AC427">
            <v>5</v>
          </cell>
          <cell r="AD427">
            <v>2</v>
          </cell>
          <cell r="AK427">
            <v>13.333333333333334</v>
          </cell>
          <cell r="AL427">
            <v>7.3333333333333339</v>
          </cell>
        </row>
        <row r="428">
          <cell r="F428">
            <v>0</v>
          </cell>
          <cell r="G428">
            <v>0</v>
          </cell>
          <cell r="P428">
            <v>0</v>
          </cell>
          <cell r="X428">
            <v>0</v>
          </cell>
          <cell r="Y428">
            <v>0</v>
          </cell>
          <cell r="AC428">
            <v>0</v>
          </cell>
          <cell r="AD428">
            <v>0</v>
          </cell>
          <cell r="AK428">
            <v>0</v>
          </cell>
          <cell r="AL428">
            <v>0</v>
          </cell>
        </row>
        <row r="429">
          <cell r="F429">
            <v>0</v>
          </cell>
          <cell r="G429">
            <v>0</v>
          </cell>
          <cell r="P429">
            <v>0</v>
          </cell>
          <cell r="X429">
            <v>0</v>
          </cell>
          <cell r="Y429">
            <v>0</v>
          </cell>
          <cell r="AC429">
            <v>0</v>
          </cell>
          <cell r="AD429">
            <v>0</v>
          </cell>
          <cell r="AK429">
            <v>0</v>
          </cell>
          <cell r="AL429">
            <v>0</v>
          </cell>
        </row>
        <row r="430">
          <cell r="F430">
            <v>9.6666666666666661</v>
          </cell>
          <cell r="G430">
            <v>3</v>
          </cell>
          <cell r="P430">
            <v>1</v>
          </cell>
          <cell r="X430">
            <v>0</v>
          </cell>
          <cell r="Y430">
            <v>0</v>
          </cell>
          <cell r="AC430">
            <v>0</v>
          </cell>
          <cell r="AD430">
            <v>0</v>
          </cell>
          <cell r="AK430">
            <v>12</v>
          </cell>
          <cell r="AL430">
            <v>5</v>
          </cell>
        </row>
        <row r="431">
          <cell r="F431">
            <v>0</v>
          </cell>
          <cell r="G431">
            <v>0</v>
          </cell>
          <cell r="P431">
            <v>0</v>
          </cell>
          <cell r="X431">
            <v>0</v>
          </cell>
          <cell r="Y431">
            <v>0</v>
          </cell>
          <cell r="AC431">
            <v>0</v>
          </cell>
          <cell r="AD431">
            <v>0</v>
          </cell>
          <cell r="AK431">
            <v>0</v>
          </cell>
          <cell r="AL431">
            <v>0</v>
          </cell>
        </row>
        <row r="432">
          <cell r="F432">
            <v>2.3333333333333335</v>
          </cell>
          <cell r="G432">
            <v>1</v>
          </cell>
          <cell r="P432">
            <v>0.66666666666666663</v>
          </cell>
          <cell r="X432">
            <v>0.66666666666666663</v>
          </cell>
          <cell r="Y432">
            <v>0</v>
          </cell>
          <cell r="AC432">
            <v>0.66666666666666663</v>
          </cell>
          <cell r="AD432">
            <v>0</v>
          </cell>
          <cell r="AK432">
            <v>4.333333333333333</v>
          </cell>
          <cell r="AL432">
            <v>1.6666666666666665</v>
          </cell>
        </row>
        <row r="433">
          <cell r="F433">
            <v>1.6666666666666667</v>
          </cell>
          <cell r="G433">
            <v>0</v>
          </cell>
          <cell r="P433">
            <v>0.66666666666666663</v>
          </cell>
          <cell r="X433">
            <v>0.66666666666666663</v>
          </cell>
          <cell r="Y433">
            <v>0</v>
          </cell>
          <cell r="AC433">
            <v>0.66666666666666663</v>
          </cell>
          <cell r="AD433">
            <v>0</v>
          </cell>
          <cell r="AK433">
            <v>3.6666666666666665</v>
          </cell>
          <cell r="AL433">
            <v>0.66666666666666663</v>
          </cell>
        </row>
        <row r="434">
          <cell r="F434">
            <v>6.666666666666667</v>
          </cell>
          <cell r="G434">
            <v>2</v>
          </cell>
          <cell r="P434">
            <v>4.666666666666667</v>
          </cell>
          <cell r="X434">
            <v>3</v>
          </cell>
          <cell r="Y434">
            <v>1</v>
          </cell>
          <cell r="AC434">
            <v>2</v>
          </cell>
          <cell r="AD434">
            <v>1</v>
          </cell>
          <cell r="AK434">
            <v>33</v>
          </cell>
          <cell r="AL434">
            <v>18.666666666666668</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53</v>
          </cell>
        </row>
        <row r="437">
          <cell r="F437">
            <v>1</v>
          </cell>
          <cell r="G437">
            <v>0</v>
          </cell>
          <cell r="P437">
            <v>0</v>
          </cell>
          <cell r="X437">
            <v>0</v>
          </cell>
          <cell r="Y437">
            <v>0</v>
          </cell>
          <cell r="AC437">
            <v>0</v>
          </cell>
          <cell r="AD437">
            <v>0</v>
          </cell>
          <cell r="AK437">
            <v>1</v>
          </cell>
          <cell r="AL437">
            <v>1</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0</v>
          </cell>
          <cell r="Y439">
            <v>0</v>
          </cell>
          <cell r="AC439">
            <v>0</v>
          </cell>
          <cell r="AD439">
            <v>0</v>
          </cell>
          <cell r="AK439">
            <v>0</v>
          </cell>
          <cell r="AL439">
            <v>0</v>
          </cell>
        </row>
        <row r="440">
          <cell r="F440">
            <v>2.6666666666666665</v>
          </cell>
          <cell r="G440">
            <v>1</v>
          </cell>
          <cell r="P440">
            <v>1</v>
          </cell>
          <cell r="X440">
            <v>4</v>
          </cell>
          <cell r="Y440">
            <v>2</v>
          </cell>
          <cell r="AC440">
            <v>2</v>
          </cell>
          <cell r="AD440">
            <v>1</v>
          </cell>
          <cell r="AK440">
            <v>15.666666666666666</v>
          </cell>
          <cell r="AL440">
            <v>8</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3.3333333333333335</v>
          </cell>
          <cell r="Y442">
            <v>1</v>
          </cell>
          <cell r="AC442">
            <v>0</v>
          </cell>
          <cell r="AD442">
            <v>0</v>
          </cell>
          <cell r="AK442">
            <v>3.3333333333333335</v>
          </cell>
          <cell r="AL442">
            <v>1</v>
          </cell>
        </row>
        <row r="443">
          <cell r="F443">
            <v>0.33333333333333331</v>
          </cell>
          <cell r="G443">
            <v>0</v>
          </cell>
          <cell r="P443">
            <v>0.33333333333333331</v>
          </cell>
          <cell r="X443">
            <v>0.33333333333333331</v>
          </cell>
          <cell r="Y443">
            <v>0</v>
          </cell>
          <cell r="AC443">
            <v>0.33333333333333331</v>
          </cell>
          <cell r="AD443">
            <v>0</v>
          </cell>
          <cell r="AK443">
            <v>1.9999999999999998</v>
          </cell>
          <cell r="AL443">
            <v>0.33333333333333331</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0</v>
          </cell>
        </row>
        <row r="448">
          <cell r="F448">
            <v>0</v>
          </cell>
          <cell r="G448">
            <v>0</v>
          </cell>
          <cell r="P448">
            <v>0</v>
          </cell>
          <cell r="X448">
            <v>0</v>
          </cell>
          <cell r="Y448">
            <v>0</v>
          </cell>
          <cell r="AC448">
            <v>0</v>
          </cell>
          <cell r="AD448">
            <v>0</v>
          </cell>
          <cell r="AK448">
            <v>0</v>
          </cell>
          <cell r="AL448">
            <v>0</v>
          </cell>
        </row>
        <row r="449">
          <cell r="F449">
            <v>0</v>
          </cell>
          <cell r="G449">
            <v>0</v>
          </cell>
          <cell r="P449">
            <v>0</v>
          </cell>
          <cell r="X449">
            <v>0</v>
          </cell>
          <cell r="Y449">
            <v>0</v>
          </cell>
          <cell r="AC449">
            <v>0</v>
          </cell>
          <cell r="AD449">
            <v>0</v>
          </cell>
          <cell r="AK449">
            <v>0</v>
          </cell>
          <cell r="AL449">
            <v>0</v>
          </cell>
        </row>
        <row r="450">
          <cell r="G450">
            <v>0</v>
          </cell>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row r="16">
          <cell r="AP16" t="str">
            <v>ЗАТВЕРДЖУЮ</v>
          </cell>
        </row>
        <row r="17">
          <cell r="C17" t="str">
            <v>І.В.ПЛАЧКОВ</v>
          </cell>
          <cell r="AP17" t="str">
            <v>ГОЛОВА ПРАЛІННЯ АК КЕ</v>
          </cell>
        </row>
        <row r="21">
          <cell r="AI21" t="str">
            <v xml:space="preserve">         Затверджую</v>
          </cell>
        </row>
        <row r="22">
          <cell r="AI22" t="str">
            <v xml:space="preserve"> Голова правління -</v>
          </cell>
          <cell r="AV22" t="str">
            <v>І.В.ПЛАЧКОВ</v>
          </cell>
        </row>
        <row r="23">
          <cell r="AI23" t="str">
            <v xml:space="preserve"> генеральний директор</v>
          </cell>
        </row>
        <row r="25">
          <cell r="P25">
            <v>848.2</v>
          </cell>
          <cell r="Q25">
            <v>0</v>
          </cell>
          <cell r="R25">
            <v>0</v>
          </cell>
          <cell r="S25">
            <v>5175.2666666666664</v>
          </cell>
          <cell r="T25">
            <v>4014.72</v>
          </cell>
          <cell r="U25">
            <v>1160.5466666666666</v>
          </cell>
          <cell r="V25">
            <v>0</v>
          </cell>
          <cell r="W25">
            <v>0</v>
          </cell>
          <cell r="X25">
            <v>1527.3</v>
          </cell>
          <cell r="Y25">
            <v>642</v>
          </cell>
          <cell r="Z25">
            <v>885.3</v>
          </cell>
          <cell r="AA25">
            <v>0</v>
          </cell>
          <cell r="AB25">
            <v>0</v>
          </cell>
          <cell r="AC25">
            <v>518.86666666666667</v>
          </cell>
          <cell r="AD25">
            <v>210</v>
          </cell>
          <cell r="AE25">
            <v>308.86666666666667</v>
          </cell>
          <cell r="AF25">
            <v>1768</v>
          </cell>
          <cell r="AG25">
            <v>1384</v>
          </cell>
          <cell r="AH25">
            <v>384</v>
          </cell>
          <cell r="AI25" t="str">
            <v xml:space="preserve">                        І.В.Плачков</v>
          </cell>
          <cell r="AJ25">
            <v>0</v>
          </cell>
          <cell r="AK25">
            <v>13885.633333333335</v>
          </cell>
          <cell r="AL25">
            <v>3102.2</v>
          </cell>
          <cell r="AM25">
            <v>10783.433333333334</v>
          </cell>
          <cell r="AN25">
            <v>10783.433333333332</v>
          </cell>
          <cell r="AO25">
            <v>852</v>
          </cell>
          <cell r="AP25">
            <v>2954</v>
          </cell>
          <cell r="AQ25">
            <v>2250.1999999999998</v>
          </cell>
          <cell r="AR25">
            <v>7829.4333333333343</v>
          </cell>
        </row>
        <row r="26">
          <cell r="AI26" t="str">
            <v xml:space="preserve">   "_____" ________2000 р.</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P31" t="str">
            <v>+</v>
          </cell>
          <cell r="S31" t="str">
            <v>-</v>
          </cell>
          <cell r="U31">
            <v>330</v>
          </cell>
          <cell r="Z31">
            <v>298</v>
          </cell>
          <cell r="AF31" t="str">
            <v>+</v>
          </cell>
          <cell r="AQ31">
            <v>628</v>
          </cell>
        </row>
        <row r="32">
          <cell r="Q32" t="str">
            <v>КТМ</v>
          </cell>
          <cell r="U32">
            <v>291.85000000000002</v>
          </cell>
          <cell r="V32" t="str">
            <v xml:space="preserve">ТЕЦ-5 </v>
          </cell>
          <cell r="Z32">
            <v>268.14999999999998</v>
          </cell>
          <cell r="AA32" t="str">
            <v xml:space="preserve">ТЕЦ-6 </v>
          </cell>
          <cell r="AQ32">
            <v>560</v>
          </cell>
        </row>
        <row r="33">
          <cell r="AQ33">
            <v>0</v>
          </cell>
        </row>
        <row r="34">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v>0</v>
          </cell>
          <cell r="AR34" t="str">
            <v>МЕРЕЖІ ТЕПЛОВІ</v>
          </cell>
        </row>
        <row r="35">
          <cell r="AL35">
            <v>395</v>
          </cell>
          <cell r="AQ35">
            <v>32</v>
          </cell>
        </row>
        <row r="36">
          <cell r="AL36">
            <v>336</v>
          </cell>
          <cell r="AQ36">
            <v>0</v>
          </cell>
        </row>
        <row r="37">
          <cell r="AL37">
            <v>0</v>
          </cell>
          <cell r="AQ37">
            <v>500</v>
          </cell>
        </row>
        <row r="38">
          <cell r="N38">
            <v>0</v>
          </cell>
          <cell r="AQ38">
            <v>468</v>
          </cell>
        </row>
        <row r="39">
          <cell r="C39">
            <v>33768.100621212121</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L39">
            <v>0</v>
          </cell>
          <cell r="AN39" t="e">
            <v>#REF!</v>
          </cell>
        </row>
        <row r="40">
          <cell r="C40">
            <v>9058.3461515151503</v>
          </cell>
          <cell r="AL40">
            <v>0</v>
          </cell>
        </row>
        <row r="41">
          <cell r="C41">
            <v>1249.181818181818</v>
          </cell>
          <cell r="D41">
            <v>443</v>
          </cell>
          <cell r="E41">
            <v>806.18181818181813</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L41">
            <v>395.6</v>
          </cell>
          <cell r="AN41" t="e">
            <v>#REF!</v>
          </cell>
          <cell r="AR41">
            <v>2382.4545454545455</v>
          </cell>
        </row>
        <row r="42">
          <cell r="P42">
            <v>0</v>
          </cell>
          <cell r="Q42">
            <v>970</v>
          </cell>
          <cell r="V42">
            <v>750</v>
          </cell>
          <cell r="AA42">
            <v>590</v>
          </cell>
          <cell r="AL42">
            <v>395.6</v>
          </cell>
          <cell r="AR42">
            <v>2095</v>
          </cell>
        </row>
        <row r="43">
          <cell r="AM43">
            <v>1580</v>
          </cell>
        </row>
        <row r="44">
          <cell r="AM44">
            <v>0</v>
          </cell>
        </row>
        <row r="45">
          <cell r="AM45">
            <v>1580</v>
          </cell>
        </row>
        <row r="46">
          <cell r="C46">
            <v>915.17599999999993</v>
          </cell>
          <cell r="D46">
            <v>327</v>
          </cell>
          <cell r="E46">
            <v>588.17599999999993</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6000.3919999999998</v>
          </cell>
          <cell r="AQ46">
            <v>2219.1680000000001</v>
          </cell>
          <cell r="AR46">
            <v>3781.2239999999997</v>
          </cell>
          <cell r="AS46">
            <v>4452</v>
          </cell>
          <cell r="AT46">
            <v>-1548.3919999999998</v>
          </cell>
          <cell r="AU46">
            <v>352</v>
          </cell>
          <cell r="AV46">
            <v>1162</v>
          </cell>
          <cell r="AW46">
            <v>1867.1680000000001</v>
          </cell>
          <cell r="AX46">
            <v>2619.2239999999997</v>
          </cell>
        </row>
        <row r="47">
          <cell r="E47">
            <v>0</v>
          </cell>
          <cell r="P47">
            <v>1</v>
          </cell>
          <cell r="Q47">
            <v>1473.1853333333333</v>
          </cell>
          <cell r="S47">
            <v>1</v>
          </cell>
          <cell r="T47">
            <v>145.25866666666667</v>
          </cell>
          <cell r="U47">
            <v>53</v>
          </cell>
          <cell r="V47">
            <v>92.25866666666667</v>
          </cell>
          <cell r="X47">
            <v>1</v>
          </cell>
          <cell r="Y47">
            <v>100.22533333333334</v>
          </cell>
          <cell r="Z47">
            <v>38</v>
          </cell>
          <cell r="AA47">
            <v>62.225333333333339</v>
          </cell>
          <cell r="AC47">
            <v>-100.22533333333334</v>
          </cell>
          <cell r="AD47">
            <v>698.17071999999996</v>
          </cell>
          <cell r="AE47">
            <v>625.88250014266646</v>
          </cell>
          <cell r="AF47">
            <v>1</v>
          </cell>
          <cell r="AG47">
            <v>1</v>
          </cell>
          <cell r="AH47">
            <v>1</v>
          </cell>
          <cell r="AP47">
            <v>2344.551833476</v>
          </cell>
        </row>
        <row r="48">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E49">
            <v>0</v>
          </cell>
          <cell r="P49">
            <v>502</v>
          </cell>
          <cell r="Q49">
            <v>113.33333333333334</v>
          </cell>
          <cell r="S49">
            <v>413</v>
          </cell>
          <cell r="T49">
            <v>48.626666666666665</v>
          </cell>
          <cell r="U49">
            <v>22</v>
          </cell>
          <cell r="V49">
            <v>26.626666666666665</v>
          </cell>
          <cell r="X49">
            <v>258</v>
          </cell>
          <cell r="Y49">
            <v>65.784000000000006</v>
          </cell>
          <cell r="Z49">
            <v>25</v>
          </cell>
          <cell r="AA49">
            <v>40.784000000000006</v>
          </cell>
          <cell r="AC49">
            <v>-65.784000000000006</v>
          </cell>
          <cell r="AD49">
            <v>50.74026666666667</v>
          </cell>
          <cell r="AE49">
            <v>48.597208235490712</v>
          </cell>
          <cell r="AF49">
            <v>336</v>
          </cell>
          <cell r="AG49">
            <v>300</v>
          </cell>
          <cell r="AH49">
            <v>36</v>
          </cell>
          <cell r="AK49">
            <v>2095</v>
          </cell>
          <cell r="AL49">
            <v>842</v>
          </cell>
          <cell r="AM49">
            <v>1253</v>
          </cell>
          <cell r="AN49">
            <v>151</v>
          </cell>
          <cell r="AO49">
            <v>465</v>
          </cell>
          <cell r="AP49">
            <v>276.34120823549074</v>
          </cell>
          <cell r="AQ49">
            <v>788</v>
          </cell>
          <cell r="AR49">
            <v>1999</v>
          </cell>
        </row>
        <row r="50">
          <cell r="C50">
            <v>10.266666666666667</v>
          </cell>
          <cell r="D50">
            <v>2</v>
          </cell>
          <cell r="E50">
            <v>8.2666666666666675</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K50">
            <v>1026.8333333333333</v>
          </cell>
          <cell r="AL50">
            <v>167</v>
          </cell>
          <cell r="AM50">
            <v>859.83333333333326</v>
          </cell>
          <cell r="AN50">
            <v>0</v>
          </cell>
          <cell r="AP50">
            <v>4507.7466666666669</v>
          </cell>
          <cell r="AQ50">
            <v>1218.424</v>
          </cell>
          <cell r="AR50">
            <v>3289.3226666666669</v>
          </cell>
          <cell r="AS50">
            <v>5036</v>
          </cell>
          <cell r="AT50">
            <v>528.2533333333331</v>
          </cell>
          <cell r="AU50">
            <v>1118</v>
          </cell>
          <cell r="AV50">
            <v>2167</v>
          </cell>
          <cell r="AW50">
            <v>100.42399999999998</v>
          </cell>
          <cell r="AX50">
            <v>1122.3226666666669</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H51">
            <v>0</v>
          </cell>
          <cell r="AI51">
            <v>0</v>
          </cell>
          <cell r="AJ51">
            <v>0</v>
          </cell>
          <cell r="AK51">
            <v>66</v>
          </cell>
          <cell r="AL51">
            <v>22</v>
          </cell>
          <cell r="AM51">
            <v>44</v>
          </cell>
          <cell r="AN51">
            <v>82</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G52">
            <v>32</v>
          </cell>
          <cell r="AH52">
            <v>0</v>
          </cell>
          <cell r="AI52">
            <v>0</v>
          </cell>
          <cell r="AJ52">
            <v>0</v>
          </cell>
          <cell r="AK52">
            <v>160</v>
          </cell>
          <cell r="AL52">
            <v>44</v>
          </cell>
          <cell r="AM52">
            <v>116</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G53">
            <v>201</v>
          </cell>
          <cell r="AH53">
            <v>4</v>
          </cell>
          <cell r="AI53">
            <v>0</v>
          </cell>
          <cell r="AJ53">
            <v>0</v>
          </cell>
          <cell r="AK53">
            <v>1358.3333333333333</v>
          </cell>
          <cell r="AL53">
            <v>281</v>
          </cell>
          <cell r="AM53">
            <v>1077.3333333333333</v>
          </cell>
          <cell r="AN53">
            <v>219</v>
          </cell>
          <cell r="AO53">
            <v>614</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X54">
            <v>477</v>
          </cell>
          <cell r="Y54">
            <v>0</v>
          </cell>
          <cell r="Z54">
            <v>0</v>
          </cell>
          <cell r="AA54">
            <v>0</v>
          </cell>
          <cell r="AC54">
            <v>14</v>
          </cell>
          <cell r="AD54">
            <v>0</v>
          </cell>
          <cell r="AE54">
            <v>0</v>
          </cell>
          <cell r="AF54">
            <v>0</v>
          </cell>
          <cell r="AH54">
            <v>0</v>
          </cell>
          <cell r="AK54">
            <v>512</v>
          </cell>
          <cell r="AL54">
            <v>153</v>
          </cell>
          <cell r="AM54">
            <v>359</v>
          </cell>
          <cell r="AN54">
            <v>153</v>
          </cell>
          <cell r="AO54">
            <v>345</v>
          </cell>
          <cell r="AP54">
            <v>0</v>
          </cell>
          <cell r="AQ54">
            <v>14</v>
          </cell>
          <cell r="AR54">
            <v>9</v>
          </cell>
          <cell r="AS54">
            <v>0</v>
          </cell>
          <cell r="AT54">
            <v>0</v>
          </cell>
          <cell r="AV54">
            <v>0</v>
          </cell>
        </row>
        <row r="55">
          <cell r="C55">
            <v>16.399999999999999</v>
          </cell>
          <cell r="D55">
            <v>6</v>
          </cell>
          <cell r="E55">
            <v>10.399999999999999</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K55">
            <v>69776</v>
          </cell>
          <cell r="AL55">
            <v>24610.574995654941</v>
          </cell>
          <cell r="AM55">
            <v>45165.425004345059</v>
          </cell>
          <cell r="AN55">
            <v>0</v>
          </cell>
          <cell r="AO55">
            <v>45165</v>
          </cell>
          <cell r="AP55">
            <v>10205.432000000003</v>
          </cell>
          <cell r="AQ55">
            <v>163.33600000000001</v>
          </cell>
          <cell r="AR55">
            <v>10042.096000000003</v>
          </cell>
          <cell r="AS55">
            <v>9442</v>
          </cell>
          <cell r="AT55">
            <v>-763.43200000000252</v>
          </cell>
          <cell r="AU55">
            <v>0</v>
          </cell>
          <cell r="AV55">
            <v>3072</v>
          </cell>
          <cell r="AW55">
            <v>163.33600000000001</v>
          </cell>
          <cell r="AX55">
            <v>6970.0960000000032</v>
          </cell>
        </row>
        <row r="56">
          <cell r="C56">
            <v>911.18181818181813</v>
          </cell>
          <cell r="D56">
            <v>310</v>
          </cell>
          <cell r="E56">
            <v>601.18181818181813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K56">
            <v>69776</v>
          </cell>
          <cell r="AL56">
            <v>24610.574995654941</v>
          </cell>
          <cell r="AM56">
            <v>45165.425004345059</v>
          </cell>
          <cell r="AN56">
            <v>0</v>
          </cell>
          <cell r="AO56">
            <v>45165</v>
          </cell>
          <cell r="AP56">
            <v>11067.454545454546</v>
          </cell>
          <cell r="AQ56">
            <v>3079.090909090909</v>
          </cell>
          <cell r="AR56">
            <v>7988.3636363636369</v>
          </cell>
          <cell r="AS56">
            <v>6826</v>
          </cell>
          <cell r="AT56">
            <v>-4241.454545454546</v>
          </cell>
          <cell r="AU56">
            <v>692</v>
          </cell>
          <cell r="AV56">
            <v>2129</v>
          </cell>
          <cell r="AW56">
            <v>2387.090909090909</v>
          </cell>
          <cell r="AX56">
            <v>5859.3636363636369</v>
          </cell>
        </row>
        <row r="57">
          <cell r="C57">
            <v>49</v>
          </cell>
          <cell r="D57">
            <v>16</v>
          </cell>
          <cell r="E57">
            <v>33</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K57">
            <v>0</v>
          </cell>
          <cell r="AL57">
            <v>0</v>
          </cell>
          <cell r="AM57">
            <v>0</v>
          </cell>
          <cell r="AN57">
            <v>0</v>
          </cell>
          <cell r="AO57">
            <v>0</v>
          </cell>
          <cell r="AP57">
            <v>607</v>
          </cell>
          <cell r="AQ57">
            <v>169</v>
          </cell>
          <cell r="AR57">
            <v>438</v>
          </cell>
          <cell r="AS57">
            <v>369</v>
          </cell>
          <cell r="AT57">
            <v>-238</v>
          </cell>
          <cell r="AU57">
            <v>39</v>
          </cell>
          <cell r="AV57">
            <v>88</v>
          </cell>
          <cell r="AW57">
            <v>130</v>
          </cell>
          <cell r="AX57">
            <v>350</v>
          </cell>
        </row>
        <row r="58">
          <cell r="C58">
            <v>289</v>
          </cell>
          <cell r="D58">
            <v>117</v>
          </cell>
          <cell r="E58">
            <v>172</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K58">
            <v>3653.9</v>
          </cell>
          <cell r="AL58">
            <v>92</v>
          </cell>
          <cell r="AM58">
            <v>3561.9</v>
          </cell>
          <cell r="AN58">
            <v>0</v>
          </cell>
          <cell r="AO58">
            <v>1073</v>
          </cell>
          <cell r="AP58">
            <v>3540</v>
          </cell>
          <cell r="AQ58">
            <v>1003</v>
          </cell>
          <cell r="AR58">
            <v>2537</v>
          </cell>
          <cell r="AS58">
            <v>2021</v>
          </cell>
          <cell r="AT58">
            <v>-1519</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G59">
            <v>844</v>
          </cell>
          <cell r="AH59">
            <v>115</v>
          </cell>
          <cell r="AI59">
            <v>0</v>
          </cell>
          <cell r="AJ59">
            <v>0</v>
          </cell>
          <cell r="AK59">
            <v>3573.090909090909</v>
          </cell>
          <cell r="AL59">
            <v>992.13269689737467</v>
          </cell>
          <cell r="AM59">
            <v>2580.9582121935346</v>
          </cell>
          <cell r="AN59" t="e">
            <v>#REF!</v>
          </cell>
          <cell r="AO59">
            <v>671</v>
          </cell>
          <cell r="AP59">
            <v>0</v>
          </cell>
          <cell r="AQ59">
            <v>0</v>
          </cell>
          <cell r="AR59">
            <v>0</v>
          </cell>
          <cell r="AS59">
            <v>0</v>
          </cell>
          <cell r="AT59">
            <v>0</v>
          </cell>
          <cell r="AU59">
            <v>0</v>
          </cell>
          <cell r="AV59">
            <v>0</v>
          </cell>
          <cell r="AW59">
            <v>0</v>
          </cell>
          <cell r="AX59">
            <v>0</v>
          </cell>
        </row>
        <row r="60">
          <cell r="C60">
            <v>261.66666666666663</v>
          </cell>
          <cell r="D60">
            <v>85</v>
          </cell>
          <cell r="E60">
            <v>176.66666666666663</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K60">
            <v>181</v>
          </cell>
          <cell r="AL60">
            <v>55</v>
          </cell>
          <cell r="AM60">
            <v>126</v>
          </cell>
          <cell r="AN60">
            <v>0</v>
          </cell>
          <cell r="AO60">
            <v>28</v>
          </cell>
          <cell r="AP60">
            <v>12066</v>
          </cell>
          <cell r="AQ60">
            <v>3536</v>
          </cell>
          <cell r="AR60">
            <v>8530</v>
          </cell>
          <cell r="AS60">
            <v>11218</v>
          </cell>
          <cell r="AT60">
            <v>-848</v>
          </cell>
          <cell r="AU60">
            <v>1641</v>
          </cell>
          <cell r="AV60">
            <v>4093</v>
          </cell>
          <cell r="AW60">
            <v>1895</v>
          </cell>
          <cell r="AX60">
            <v>4437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K61">
            <v>1053</v>
          </cell>
          <cell r="AL61">
            <v>317</v>
          </cell>
          <cell r="AM61">
            <v>736</v>
          </cell>
          <cell r="AN61">
            <v>0</v>
          </cell>
          <cell r="AO61">
            <v>0</v>
          </cell>
          <cell r="AP61">
            <v>0</v>
          </cell>
          <cell r="AQ61">
            <v>0</v>
          </cell>
          <cell r="AR61">
            <v>0</v>
          </cell>
          <cell r="AS61">
            <v>126</v>
          </cell>
          <cell r="AT61">
            <v>126</v>
          </cell>
        </row>
        <row r="62">
          <cell r="C62">
            <v>242</v>
          </cell>
          <cell r="D62">
            <v>76</v>
          </cell>
          <cell r="E62">
            <v>166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H62">
            <v>0</v>
          </cell>
          <cell r="AI62">
            <v>0</v>
          </cell>
          <cell r="AJ62">
            <v>-1009.45</v>
          </cell>
          <cell r="AK62">
            <v>0</v>
          </cell>
          <cell r="AN62">
            <v>0</v>
          </cell>
          <cell r="AP62">
            <v>6166.7240000000002</v>
          </cell>
          <cell r="AQ62">
            <v>1784.15</v>
          </cell>
          <cell r="AR62">
            <v>4382.5740000000005</v>
          </cell>
          <cell r="AS62">
            <v>0</v>
          </cell>
          <cell r="AT62">
            <v>-6166.7240000000002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G63">
            <v>538</v>
          </cell>
          <cell r="AH63">
            <v>15</v>
          </cell>
          <cell r="AI63">
            <v>0</v>
          </cell>
          <cell r="AJ63">
            <v>0</v>
          </cell>
          <cell r="AK63">
            <v>3865.3333333333335</v>
          </cell>
          <cell r="AL63">
            <v>1049</v>
          </cell>
          <cell r="AM63">
            <v>2816.3333333333335</v>
          </cell>
          <cell r="AN63">
            <v>431</v>
          </cell>
          <cell r="AO63">
            <v>1358</v>
          </cell>
          <cell r="AP63">
            <v>0</v>
          </cell>
          <cell r="AQ63">
            <v>0</v>
          </cell>
          <cell r="AR63">
            <v>0</v>
          </cell>
          <cell r="AS63">
            <v>0</v>
          </cell>
          <cell r="AT63">
            <v>0</v>
          </cell>
          <cell r="AV63">
            <v>0</v>
          </cell>
        </row>
        <row r="64">
          <cell r="C64">
            <v>19.333333333333329</v>
          </cell>
          <cell r="D64">
            <v>9</v>
          </cell>
          <cell r="E64">
            <v>10.333333333333329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K64">
            <v>0</v>
          </cell>
          <cell r="AN64">
            <v>43</v>
          </cell>
          <cell r="AO64">
            <v>136</v>
          </cell>
          <cell r="AP64">
            <v>5942.9426666666668</v>
          </cell>
          <cell r="AQ64">
            <v>146</v>
          </cell>
          <cell r="AR64">
            <v>200</v>
          </cell>
          <cell r="AS64">
            <v>1139</v>
          </cell>
          <cell r="AT64">
            <v>-4803.9426666666668</v>
          </cell>
        </row>
        <row r="65">
          <cell r="C65">
            <v>230.24200000000002</v>
          </cell>
          <cell r="D65">
            <v>63</v>
          </cell>
          <cell r="E65">
            <v>167.24200000000002</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K65">
            <v>3783.2</v>
          </cell>
          <cell r="AL65">
            <v>308</v>
          </cell>
          <cell r="AM65">
            <v>3475.2</v>
          </cell>
          <cell r="AN65">
            <v>-204</v>
          </cell>
          <cell r="AO65">
            <v>799</v>
          </cell>
          <cell r="AP65">
            <v>8646.2601818181811</v>
          </cell>
          <cell r="AQ65">
            <v>2319.5</v>
          </cell>
          <cell r="AR65">
            <v>6326.7601818181811</v>
          </cell>
          <cell r="AS65">
            <v>7245</v>
          </cell>
          <cell r="AT65">
            <v>-1401.2601818181811</v>
          </cell>
          <cell r="AU65">
            <v>991</v>
          </cell>
          <cell r="AV65">
            <v>2637</v>
          </cell>
          <cell r="AW65">
            <v>1328.5</v>
          </cell>
          <cell r="AX65">
            <v>3689.7601818181811</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K66">
            <v>0</v>
          </cell>
          <cell r="AL66">
            <v>0</v>
          </cell>
          <cell r="AM66">
            <v>0</v>
          </cell>
          <cell r="AN66">
            <v>0</v>
          </cell>
          <cell r="AO66">
            <v>0</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K67">
            <v>81.800000000000011</v>
          </cell>
          <cell r="AN67">
            <v>388</v>
          </cell>
          <cell r="AO67">
            <v>423</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K68">
            <v>2665</v>
          </cell>
          <cell r="AL68">
            <v>724</v>
          </cell>
          <cell r="AM68">
            <v>1941</v>
          </cell>
          <cell r="AN68">
            <v>345</v>
          </cell>
          <cell r="AO68">
            <v>1039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G69">
            <v>88</v>
          </cell>
          <cell r="AH69">
            <v>0</v>
          </cell>
          <cell r="AI69">
            <v>0</v>
          </cell>
          <cell r="AJ69">
            <v>0</v>
          </cell>
          <cell r="AK69">
            <v>781.90909090909099</v>
          </cell>
          <cell r="AL69">
            <v>161</v>
          </cell>
          <cell r="AM69">
            <v>620.90909090909099</v>
          </cell>
          <cell r="AN69">
            <v>868.86363636363626</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G70">
            <v>5</v>
          </cell>
          <cell r="AH70">
            <v>0</v>
          </cell>
          <cell r="AI70">
            <v>0</v>
          </cell>
          <cell r="AJ70">
            <v>-1285.7636363636364</v>
          </cell>
          <cell r="AK70">
            <v>44</v>
          </cell>
          <cell r="AL70">
            <v>9</v>
          </cell>
          <cell r="AM70">
            <v>35</v>
          </cell>
          <cell r="AN70">
            <v>48</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G71">
            <v>28</v>
          </cell>
          <cell r="AH71">
            <v>0</v>
          </cell>
          <cell r="AI71">
            <v>0</v>
          </cell>
          <cell r="AJ71">
            <v>0</v>
          </cell>
          <cell r="AK71">
            <v>251</v>
          </cell>
          <cell r="AL71">
            <v>51</v>
          </cell>
          <cell r="AM71">
            <v>200</v>
          </cell>
          <cell r="AN71">
            <v>278</v>
          </cell>
          <cell r="AP71" t="e">
            <v>#REF!</v>
          </cell>
          <cell r="AQ71" t="e">
            <v>#REF!</v>
          </cell>
          <cell r="AS71">
            <v>0</v>
          </cell>
          <cell r="AT71" t="e">
            <v>#REF!</v>
          </cell>
        </row>
        <row r="72">
          <cell r="C72">
            <v>3979.0626666666672</v>
          </cell>
          <cell r="D72">
            <v>1252</v>
          </cell>
          <cell r="E72">
            <v>2727.0626666666672</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K72">
            <v>0</v>
          </cell>
          <cell r="AL72">
            <v>0</v>
          </cell>
          <cell r="AM72">
            <v>0</v>
          </cell>
          <cell r="AN72">
            <v>0</v>
          </cell>
          <cell r="AP72">
            <v>6676.0333333333338</v>
          </cell>
          <cell r="AQ72" t="e">
            <v>#REF!</v>
          </cell>
          <cell r="AR72" t="e">
            <v>#REF!</v>
          </cell>
          <cell r="AS72">
            <v>181</v>
          </cell>
          <cell r="AT72">
            <v>-6495.0333333333338</v>
          </cell>
          <cell r="AU72">
            <v>156</v>
          </cell>
          <cell r="AV72">
            <v>422</v>
          </cell>
          <cell r="AW72">
            <v>2004.12</v>
          </cell>
          <cell r="AX72" t="e">
            <v>#REF!</v>
          </cell>
        </row>
        <row r="73">
          <cell r="C73">
            <v>228.66666666666669</v>
          </cell>
          <cell r="D73">
            <v>70</v>
          </cell>
          <cell r="E73">
            <v>158.66666666666669</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G73">
            <v>0</v>
          </cell>
          <cell r="AH73">
            <v>0</v>
          </cell>
          <cell r="AI73">
            <v>0</v>
          </cell>
          <cell r="AJ73">
            <v>0</v>
          </cell>
          <cell r="AK73">
            <v>353</v>
          </cell>
          <cell r="AL73">
            <v>353</v>
          </cell>
          <cell r="AM73">
            <v>0</v>
          </cell>
          <cell r="AN73">
            <v>3499</v>
          </cell>
          <cell r="AP73">
            <v>228.66666666666669</v>
          </cell>
          <cell r="AQ73">
            <v>70</v>
          </cell>
          <cell r="AR73">
            <v>158.66666666666669</v>
          </cell>
          <cell r="AS73">
            <v>0</v>
          </cell>
          <cell r="AT73">
            <v>-228.66666666666669</v>
          </cell>
          <cell r="AU73">
            <v>0</v>
          </cell>
          <cell r="AV73">
            <v>0</v>
          </cell>
          <cell r="AW73">
            <v>70</v>
          </cell>
          <cell r="AX73">
            <v>158.66666666666669</v>
          </cell>
        </row>
        <row r="74">
          <cell r="C74">
            <v>3750.3960000000002</v>
          </cell>
          <cell r="D74">
            <v>1182</v>
          </cell>
          <cell r="E74">
            <v>2568.3960000000002</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K74">
            <v>0</v>
          </cell>
          <cell r="AL74">
            <v>0</v>
          </cell>
          <cell r="AM74">
            <v>0</v>
          </cell>
          <cell r="AN74">
            <v>0</v>
          </cell>
          <cell r="AP74">
            <v>6447.3666666666668</v>
          </cell>
          <cell r="AQ74">
            <v>2090.12</v>
          </cell>
          <cell r="AR74">
            <v>4357.2466666666669</v>
          </cell>
          <cell r="AS74">
            <v>181</v>
          </cell>
          <cell r="AT74">
            <v>-6266.3666666666668</v>
          </cell>
          <cell r="AU74">
            <v>156</v>
          </cell>
          <cell r="AV74">
            <v>422</v>
          </cell>
          <cell r="AW74">
            <v>1934.12</v>
          </cell>
          <cell r="AX74">
            <v>3935.2466666666669</v>
          </cell>
        </row>
        <row r="75">
          <cell r="C75">
            <v>1032.296</v>
          </cell>
          <cell r="D75">
            <v>299</v>
          </cell>
          <cell r="E75">
            <v>733.29600000000005</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G75">
            <v>186.2</v>
          </cell>
          <cell r="AH75">
            <v>38.800000000000011</v>
          </cell>
          <cell r="AI75">
            <v>633.66666666666663</v>
          </cell>
          <cell r="AJ75">
            <v>-284.25066666666669</v>
          </cell>
          <cell r="AK75">
            <v>3637.5333333333328</v>
          </cell>
          <cell r="AL75">
            <v>1134.6765314240254</v>
          </cell>
          <cell r="AM75">
            <v>2502.8568019093073</v>
          </cell>
          <cell r="AN75">
            <v>63</v>
          </cell>
          <cell r="AO75">
            <v>232</v>
          </cell>
          <cell r="AP75">
            <v>2309.1759999999999</v>
          </cell>
          <cell r="AQ75">
            <v>734.92000000000007</v>
          </cell>
          <cell r="AR75">
            <v>1574.2559999999999</v>
          </cell>
          <cell r="AS75">
            <v>0</v>
          </cell>
          <cell r="AT75">
            <v>-2309.1759999999999</v>
          </cell>
          <cell r="AX75">
            <v>1574.2559999999999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H76">
            <v>0</v>
          </cell>
          <cell r="AJ76">
            <v>0</v>
          </cell>
          <cell r="AK76">
            <v>105</v>
          </cell>
          <cell r="AL76">
            <v>29</v>
          </cell>
          <cell r="AM76">
            <v>76</v>
          </cell>
          <cell r="AN76">
            <v>0</v>
          </cell>
          <cell r="AO76">
            <v>0</v>
          </cell>
          <cell r="AP76">
            <v>658.33066666666662</v>
          </cell>
          <cell r="AQ76">
            <v>324</v>
          </cell>
          <cell r="AR76">
            <v>334.33066666666662</v>
          </cell>
          <cell r="AS76">
            <v>0</v>
          </cell>
          <cell r="AT76">
            <v>-658.33066666666662</v>
          </cell>
          <cell r="AX76">
            <v>334.33066666666662</v>
          </cell>
        </row>
        <row r="77">
          <cell r="C77">
            <v>1008.6</v>
          </cell>
          <cell r="D77">
            <v>323</v>
          </cell>
          <cell r="E77">
            <v>685.6</v>
          </cell>
          <cell r="N77">
            <v>34</v>
          </cell>
          <cell r="P77">
            <v>110</v>
          </cell>
          <cell r="Q77">
            <v>80.800000000000011</v>
          </cell>
          <cell r="S77">
            <v>282</v>
          </cell>
          <cell r="T77">
            <v>48.400000000000006</v>
          </cell>
          <cell r="U77">
            <v>8</v>
          </cell>
          <cell r="V77">
            <v>40.400000000000006</v>
          </cell>
          <cell r="X77">
            <v>115</v>
          </cell>
          <cell r="Y77">
            <v>37.200000000000003</v>
          </cell>
          <cell r="Z77">
            <v>10</v>
          </cell>
          <cell r="AA77">
            <v>27.200000000000003</v>
          </cell>
          <cell r="AC77">
            <v>84</v>
          </cell>
          <cell r="AD77">
            <v>58.6</v>
          </cell>
          <cell r="AE77">
            <v>54.76</v>
          </cell>
          <cell r="AF77">
            <v>3.8400000000000034</v>
          </cell>
          <cell r="AG77">
            <v>186.2</v>
          </cell>
          <cell r="AH77">
            <v>38.800000000000011</v>
          </cell>
          <cell r="AI77">
            <v>633.66666666666663</v>
          </cell>
          <cell r="AK77">
            <v>2898.8666666666663</v>
          </cell>
          <cell r="AL77">
            <v>1105.6765314240254</v>
          </cell>
          <cell r="AM77">
            <v>1793.190135242641</v>
          </cell>
          <cell r="AN77">
            <v>63</v>
          </cell>
          <cell r="AO77">
            <v>232</v>
          </cell>
          <cell r="AP77">
            <v>1042.6765314240254</v>
          </cell>
          <cell r="AQ77">
            <v>1561.190135242641</v>
          </cell>
          <cell r="AR77">
            <v>2951.1000000000004</v>
          </cell>
        </row>
        <row r="78">
          <cell r="C78">
            <v>1048.5</v>
          </cell>
          <cell r="D78">
            <v>363</v>
          </cell>
          <cell r="E78">
            <v>685.5</v>
          </cell>
          <cell r="N78">
            <v>38.200000000000003</v>
          </cell>
          <cell r="P78">
            <v>66</v>
          </cell>
          <cell r="Q78">
            <v>98.2</v>
          </cell>
          <cell r="S78">
            <v>177</v>
          </cell>
          <cell r="T78">
            <v>51.8</v>
          </cell>
          <cell r="U78">
            <v>14</v>
          </cell>
          <cell r="V78">
            <v>37.799999999999997</v>
          </cell>
          <cell r="X78">
            <v>56</v>
          </cell>
          <cell r="Y78">
            <v>81.599999999999994</v>
          </cell>
          <cell r="Z78">
            <v>14</v>
          </cell>
          <cell r="AA78">
            <v>67.599999999999994</v>
          </cell>
          <cell r="AC78">
            <v>43</v>
          </cell>
          <cell r="AD78">
            <v>81</v>
          </cell>
          <cell r="AE78">
            <v>65</v>
          </cell>
          <cell r="AF78">
            <v>16</v>
          </cell>
          <cell r="AG78">
            <v>149</v>
          </cell>
          <cell r="AH78">
            <v>14</v>
          </cell>
          <cell r="AK78">
            <v>1182</v>
          </cell>
          <cell r="AL78">
            <v>331</v>
          </cell>
          <cell r="AM78">
            <v>851</v>
          </cell>
          <cell r="AN78">
            <v>653.66666666666663</v>
          </cell>
          <cell r="AQ78">
            <v>851</v>
          </cell>
          <cell r="AR78">
            <v>653.66666666666663</v>
          </cell>
        </row>
        <row r="79">
          <cell r="C79">
            <v>306.39999999999998</v>
          </cell>
          <cell r="D79">
            <v>85</v>
          </cell>
          <cell r="E79">
            <v>221.39999999999998</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K79">
            <v>363.66666666666663</v>
          </cell>
          <cell r="AL79">
            <v>158</v>
          </cell>
          <cell r="AM79">
            <v>205.66666666666663</v>
          </cell>
          <cell r="AN79">
            <v>200</v>
          </cell>
          <cell r="AP79">
            <v>372.7</v>
          </cell>
          <cell r="AQ79">
            <v>104.1</v>
          </cell>
          <cell r="AR79">
            <v>200</v>
          </cell>
          <cell r="AS79">
            <v>0</v>
          </cell>
          <cell r="AT79">
            <v>-372.7</v>
          </cell>
        </row>
        <row r="80">
          <cell r="C80">
            <v>6661.9958181818183</v>
          </cell>
          <cell r="D80">
            <v>2178</v>
          </cell>
          <cell r="E80">
            <v>4483.9958181818183</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K80">
            <v>615.20000000000005</v>
          </cell>
          <cell r="AL80">
            <v>0</v>
          </cell>
          <cell r="AM80">
            <v>436.5255369928401</v>
          </cell>
          <cell r="AN80" t="e">
            <v>#REF!</v>
          </cell>
          <cell r="AP80">
            <v>317284.31872727274</v>
          </cell>
          <cell r="AQ80" t="e">
            <v>#REF!</v>
          </cell>
          <cell r="AR80" t="e">
            <v>#REF!</v>
          </cell>
          <cell r="AS80">
            <v>278125</v>
          </cell>
          <cell r="AT80">
            <v>-39159.318727272737</v>
          </cell>
          <cell r="AU80">
            <v>122842.09772292766</v>
          </cell>
          <cell r="AV80">
            <v>151884</v>
          </cell>
          <cell r="AW80">
            <v>9876.6389090909088</v>
          </cell>
          <cell r="AX80" t="e">
            <v>#REF!</v>
          </cell>
        </row>
        <row r="81">
          <cell r="C81">
            <v>6433.3291515151514</v>
          </cell>
          <cell r="D81">
            <v>2108</v>
          </cell>
          <cell r="E81">
            <v>4325.3291515151514</v>
          </cell>
          <cell r="P81">
            <v>0</v>
          </cell>
          <cell r="S81">
            <v>0</v>
          </cell>
          <cell r="X81">
            <v>0</v>
          </cell>
          <cell r="Y81">
            <v>3</v>
          </cell>
          <cell r="Z81">
            <v>8</v>
          </cell>
          <cell r="AC81">
            <v>0</v>
          </cell>
          <cell r="AD81">
            <v>10</v>
          </cell>
          <cell r="AE81">
            <v>22</v>
          </cell>
          <cell r="AF81">
            <v>50</v>
          </cell>
          <cell r="AG81">
            <v>30</v>
          </cell>
          <cell r="AH81">
            <v>20</v>
          </cell>
          <cell r="AI81">
            <v>594.66666666666663</v>
          </cell>
          <cell r="AJ81">
            <v>0</v>
          </cell>
          <cell r="AK81">
            <v>1371.6666666666665</v>
          </cell>
          <cell r="AL81">
            <v>451.00206841686554</v>
          </cell>
          <cell r="AM81">
            <v>920.66459824980097</v>
          </cell>
          <cell r="AN81">
            <v>816.56666666666661</v>
          </cell>
          <cell r="AP81">
            <v>63316.318727272737</v>
          </cell>
          <cell r="AQ81" t="e">
            <v>#REF!</v>
          </cell>
          <cell r="AR81" t="e">
            <v>#REF!</v>
          </cell>
          <cell r="AS81">
            <v>0</v>
          </cell>
          <cell r="AT81">
            <v>-63316.318727272737</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K82">
            <v>0</v>
          </cell>
          <cell r="AL82">
            <v>0</v>
          </cell>
          <cell r="AM82">
            <v>0</v>
          </cell>
          <cell r="AN82">
            <v>0</v>
          </cell>
          <cell r="AP82">
            <v>13439.272727272728</v>
          </cell>
          <cell r="AS82">
            <v>9401</v>
          </cell>
          <cell r="AT82">
            <v>-4038.2727272727279</v>
          </cell>
        </row>
        <row r="83">
          <cell r="C83">
            <v>11292</v>
          </cell>
          <cell r="D83">
            <v>11292</v>
          </cell>
          <cell r="E83">
            <v>0</v>
          </cell>
          <cell r="P83">
            <v>0</v>
          </cell>
          <cell r="S83">
            <v>0</v>
          </cell>
          <cell r="X83">
            <v>0</v>
          </cell>
          <cell r="Y83">
            <v>1</v>
          </cell>
          <cell r="Z83">
            <v>2.1</v>
          </cell>
          <cell r="AC83">
            <v>0</v>
          </cell>
          <cell r="AD83">
            <v>1</v>
          </cell>
          <cell r="AE83">
            <v>0.7</v>
          </cell>
          <cell r="AF83">
            <v>4.8</v>
          </cell>
          <cell r="AG83">
            <v>43</v>
          </cell>
          <cell r="AH83">
            <v>4.8</v>
          </cell>
          <cell r="AJ83">
            <v>0</v>
          </cell>
          <cell r="AK83">
            <v>35.800000000000004</v>
          </cell>
          <cell r="AL83">
            <v>6.1</v>
          </cell>
          <cell r="AM83">
            <v>29.700000000000003</v>
          </cell>
          <cell r="AN83">
            <v>0</v>
          </cell>
          <cell r="AP83">
            <v>11292</v>
          </cell>
          <cell r="AQ83">
            <v>11292</v>
          </cell>
          <cell r="AR83">
            <v>0</v>
          </cell>
          <cell r="AS83">
            <v>0</v>
          </cell>
          <cell r="AT83">
            <v>-11292</v>
          </cell>
          <cell r="AU83">
            <v>0</v>
          </cell>
          <cell r="AV83">
            <v>0</v>
          </cell>
          <cell r="AW83">
            <v>0</v>
          </cell>
          <cell r="AX83">
            <v>0</v>
          </cell>
        </row>
        <row r="84">
          <cell r="C84">
            <v>17953.995818181818</v>
          </cell>
          <cell r="D84">
            <v>13470</v>
          </cell>
          <cell r="E84">
            <v>4483.9958181818183</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K84">
            <v>91858.190909090888</v>
          </cell>
          <cell r="AL84">
            <v>0</v>
          </cell>
          <cell r="AM84">
            <v>61760.806685114578</v>
          </cell>
          <cell r="AN84" t="e">
            <v>#REF!</v>
          </cell>
          <cell r="AO84">
            <v>50645</v>
          </cell>
          <cell r="AP84">
            <v>328576.31872727274</v>
          </cell>
          <cell r="AQ84" t="e">
            <v>#REF!</v>
          </cell>
          <cell r="AR84" t="e">
            <v>#REF!</v>
          </cell>
          <cell r="AS84">
            <v>278125</v>
          </cell>
          <cell r="AT84">
            <v>-50451.318727272737</v>
          </cell>
          <cell r="AU84">
            <v>122842.09772292766</v>
          </cell>
          <cell r="AV84">
            <v>151884</v>
          </cell>
          <cell r="AW84">
            <v>9876.6389090909088</v>
          </cell>
          <cell r="AX84" t="e">
            <v>#REF!</v>
          </cell>
        </row>
        <row r="85">
          <cell r="C85">
            <v>0</v>
          </cell>
          <cell r="D85">
            <v>0</v>
          </cell>
          <cell r="E85">
            <v>0</v>
          </cell>
          <cell r="N85">
            <v>0</v>
          </cell>
          <cell r="P85">
            <v>0</v>
          </cell>
          <cell r="Q85">
            <v>0</v>
          </cell>
          <cell r="R85">
            <v>0</v>
          </cell>
          <cell r="S85">
            <v>0</v>
          </cell>
          <cell r="T85">
            <v>0</v>
          </cell>
          <cell r="U85">
            <v>0</v>
          </cell>
          <cell r="V85">
            <v>0</v>
          </cell>
          <cell r="W85">
            <v>0</v>
          </cell>
          <cell r="X85">
            <v>0</v>
          </cell>
          <cell r="Y85">
            <v>0</v>
          </cell>
          <cell r="Z85">
            <v>327</v>
          </cell>
          <cell r="AA85">
            <v>0</v>
          </cell>
          <cell r="AB85">
            <v>0</v>
          </cell>
          <cell r="AC85">
            <v>0</v>
          </cell>
          <cell r="AD85">
            <v>128</v>
          </cell>
          <cell r="AE85">
            <v>265</v>
          </cell>
          <cell r="AH85">
            <v>115</v>
          </cell>
          <cell r="AI85">
            <v>0</v>
          </cell>
          <cell r="AJ85">
            <v>0</v>
          </cell>
          <cell r="AK85">
            <v>4355</v>
          </cell>
          <cell r="AL85">
            <v>1153.1326968973747</v>
          </cell>
          <cell r="AM85">
            <v>3201.8673031026256</v>
          </cell>
          <cell r="AN85">
            <v>1176.2809999999999</v>
          </cell>
          <cell r="AP85">
            <v>-1</v>
          </cell>
          <cell r="AQ85">
            <v>0</v>
          </cell>
          <cell r="AR85">
            <v>-1</v>
          </cell>
          <cell r="AS85">
            <v>0</v>
          </cell>
          <cell r="AT85">
            <v>1</v>
          </cell>
          <cell r="AU85">
            <v>0</v>
          </cell>
          <cell r="AV85">
            <v>0</v>
          </cell>
          <cell r="AW85">
            <v>0</v>
          </cell>
          <cell r="AX85">
            <v>-1</v>
          </cell>
        </row>
        <row r="86">
          <cell r="C86">
            <v>3705</v>
          </cell>
          <cell r="D86">
            <v>1959</v>
          </cell>
          <cell r="E86">
            <v>1746</v>
          </cell>
          <cell r="N86">
            <v>0</v>
          </cell>
          <cell r="P86">
            <v>0</v>
          </cell>
          <cell r="Q86">
            <v>0</v>
          </cell>
          <cell r="S86">
            <v>0</v>
          </cell>
          <cell r="T86">
            <v>0</v>
          </cell>
          <cell r="U86">
            <v>0</v>
          </cell>
          <cell r="V86">
            <v>0</v>
          </cell>
          <cell r="X86">
            <v>0</v>
          </cell>
          <cell r="Y86">
            <v>0</v>
          </cell>
          <cell r="AC86">
            <v>0</v>
          </cell>
          <cell r="AI86">
            <v>0</v>
          </cell>
          <cell r="AJ86">
            <v>0</v>
          </cell>
          <cell r="AL86">
            <v>29644.574995654941</v>
          </cell>
          <cell r="AN86">
            <v>0</v>
          </cell>
          <cell r="AP86">
            <v>3705</v>
          </cell>
          <cell r="AQ86">
            <v>1959</v>
          </cell>
          <cell r="AR86">
            <v>1746</v>
          </cell>
          <cell r="AS86">
            <v>0</v>
          </cell>
          <cell r="AT86">
            <v>-3705</v>
          </cell>
          <cell r="AU86">
            <v>0</v>
          </cell>
          <cell r="AV86">
            <v>0</v>
          </cell>
          <cell r="AW86">
            <v>1959</v>
          </cell>
          <cell r="AX86">
            <v>1746</v>
          </cell>
        </row>
        <row r="87">
          <cell r="C87">
            <v>1800</v>
          </cell>
          <cell r="D87">
            <v>481</v>
          </cell>
          <cell r="E87">
            <v>1319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K87">
            <v>11292</v>
          </cell>
          <cell r="AL87">
            <v>11292</v>
          </cell>
          <cell r="AM87">
            <v>0</v>
          </cell>
          <cell r="AN87">
            <v>0</v>
          </cell>
          <cell r="AO87">
            <v>0</v>
          </cell>
          <cell r="AP87">
            <v>1799</v>
          </cell>
          <cell r="AQ87">
            <v>481</v>
          </cell>
          <cell r="AR87">
            <v>1318</v>
          </cell>
          <cell r="AS87">
            <v>-1</v>
          </cell>
          <cell r="AT87">
            <v>-1800</v>
          </cell>
          <cell r="AU87">
            <v>0</v>
          </cell>
          <cell r="AV87">
            <v>0</v>
          </cell>
          <cell r="AW87">
            <v>481</v>
          </cell>
          <cell r="AX87">
            <v>1318</v>
          </cell>
        </row>
        <row r="88">
          <cell r="C88">
            <v>48.333333333333329</v>
          </cell>
          <cell r="D88">
            <v>12</v>
          </cell>
          <cell r="E88">
            <v>36.333333333333329</v>
          </cell>
          <cell r="N88">
            <v>49.800000000000004</v>
          </cell>
          <cell r="O88">
            <v>51</v>
          </cell>
          <cell r="P88">
            <v>1.1999999999999957</v>
          </cell>
          <cell r="Q88">
            <v>20.6</v>
          </cell>
          <cell r="R88">
            <v>0</v>
          </cell>
          <cell r="S88">
            <v>-20.6</v>
          </cell>
          <cell r="T88">
            <v>199.6</v>
          </cell>
          <cell r="U88">
            <v>20</v>
          </cell>
          <cell r="V88">
            <v>179.6</v>
          </cell>
          <cell r="W88">
            <v>0</v>
          </cell>
          <cell r="X88">
            <v>-199.6</v>
          </cell>
          <cell r="Y88">
            <v>74.599999999999994</v>
          </cell>
          <cell r="Z88">
            <v>15931.720620842572</v>
          </cell>
          <cell r="AA88">
            <v>0</v>
          </cell>
          <cell r="AB88">
            <v>0</v>
          </cell>
          <cell r="AC88">
            <v>-74.599999999999994</v>
          </cell>
          <cell r="AD88">
            <v>36.333333333333336</v>
          </cell>
          <cell r="AE88">
            <v>22</v>
          </cell>
          <cell r="AF88">
            <v>14.333333333333336</v>
          </cell>
          <cell r="AG88">
            <v>44</v>
          </cell>
          <cell r="AH88">
            <v>15</v>
          </cell>
          <cell r="AI88">
            <v>29</v>
          </cell>
          <cell r="AJ88">
            <v>7.6666666666666643</v>
          </cell>
          <cell r="AK88">
            <v>103150.19090909089</v>
          </cell>
          <cell r="AL88">
            <v>41389.38422397634</v>
          </cell>
          <cell r="AM88">
            <v>61760.806685114578</v>
          </cell>
          <cell r="AN88">
            <v>25995.574995654941</v>
          </cell>
          <cell r="AO88">
            <v>50645</v>
          </cell>
          <cell r="AP88">
            <v>319.93333333333328</v>
          </cell>
          <cell r="AQ88">
            <v>12.800000000000011</v>
          </cell>
          <cell r="AR88">
            <v>307.13333333333327</v>
          </cell>
          <cell r="AS88">
            <v>65</v>
          </cell>
          <cell r="AT88">
            <v>-254.93333333333328</v>
          </cell>
          <cell r="AU88">
            <v>20</v>
          </cell>
          <cell r="AV88">
            <v>185</v>
          </cell>
          <cell r="AW88">
            <v>-7.1999999999999886</v>
          </cell>
          <cell r="AX88">
            <v>122.13333333333327</v>
          </cell>
        </row>
        <row r="89">
          <cell r="C89">
            <v>23507.32915151515</v>
          </cell>
          <cell r="D89">
            <v>15922</v>
          </cell>
          <cell r="E89">
            <v>7585.3291515151514</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M89">
            <v>0</v>
          </cell>
          <cell r="AN89" t="e">
            <v>#REF!</v>
          </cell>
          <cell r="AO89">
            <v>0</v>
          </cell>
          <cell r="AP89">
            <v>334401.25206060609</v>
          </cell>
          <cell r="AQ89" t="e">
            <v>#REF!</v>
          </cell>
          <cell r="AR89" t="e">
            <v>#REF!</v>
          </cell>
          <cell r="AS89">
            <v>278189</v>
          </cell>
          <cell r="AT89">
            <v>-56212.252060606086</v>
          </cell>
          <cell r="AU89">
            <v>122862.09772292766</v>
          </cell>
          <cell r="AV89">
            <v>152069</v>
          </cell>
          <cell r="AW89">
            <v>12309.438909090908</v>
          </cell>
          <cell r="AX89" t="e">
            <v>#REF!</v>
          </cell>
        </row>
        <row r="90">
          <cell r="C90">
            <v>12215.32915151515</v>
          </cell>
          <cell r="D90">
            <v>4630</v>
          </cell>
          <cell r="E90">
            <v>7585.3291515151514</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K90">
            <v>1390</v>
          </cell>
          <cell r="AL90">
            <v>810</v>
          </cell>
          <cell r="AM90">
            <v>580</v>
          </cell>
          <cell r="AN90" t="e">
            <v>#REF!</v>
          </cell>
          <cell r="AO90">
            <v>0</v>
          </cell>
          <cell r="AP90">
            <v>69141.252060606086</v>
          </cell>
          <cell r="AQ90" t="e">
            <v>#REF!</v>
          </cell>
          <cell r="AR90" t="e">
            <v>#REF!</v>
          </cell>
          <cell r="AS90">
            <v>46854</v>
          </cell>
          <cell r="AT90">
            <v>-22287.252060606086</v>
          </cell>
          <cell r="AU90">
            <v>5009</v>
          </cell>
          <cell r="AV90">
            <v>15955</v>
          </cell>
          <cell r="AW90">
            <v>12308.438909090908</v>
          </cell>
          <cell r="AX90" t="e">
            <v>#REF!</v>
          </cell>
        </row>
        <row r="91">
          <cell r="C91">
            <v>911.18181818181813</v>
          </cell>
          <cell r="D91">
            <v>310</v>
          </cell>
          <cell r="E91">
            <v>601.18181818181813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K91">
            <v>600</v>
          </cell>
          <cell r="AL91">
            <v>128</v>
          </cell>
          <cell r="AM91">
            <v>472</v>
          </cell>
          <cell r="AN91">
            <v>0</v>
          </cell>
          <cell r="AO91">
            <v>0</v>
          </cell>
          <cell r="AP91">
            <v>13439.272727272728</v>
          </cell>
          <cell r="AQ91">
            <v>334554.25206060609</v>
          </cell>
          <cell r="AR91">
            <v>147538.53663201857</v>
          </cell>
          <cell r="AS91">
            <v>9401</v>
          </cell>
        </row>
        <row r="92">
          <cell r="C92">
            <v>17725.32915151515</v>
          </cell>
          <cell r="P92">
            <v>0</v>
          </cell>
          <cell r="S92">
            <v>0</v>
          </cell>
          <cell r="X92">
            <v>0</v>
          </cell>
          <cell r="Y92">
            <v>5</v>
          </cell>
          <cell r="Z92">
            <v>12</v>
          </cell>
          <cell r="AC92">
            <v>0</v>
          </cell>
          <cell r="AD92">
            <v>14</v>
          </cell>
          <cell r="AE92">
            <v>13</v>
          </cell>
          <cell r="AF92">
            <v>15</v>
          </cell>
          <cell r="AG92">
            <v>14</v>
          </cell>
          <cell r="AH92">
            <v>1</v>
          </cell>
          <cell r="AJ92">
            <v>0</v>
          </cell>
          <cell r="AK92">
            <v>144.66666666666666</v>
          </cell>
          <cell r="AL92">
            <v>84</v>
          </cell>
          <cell r="AM92">
            <v>60.666666666666657</v>
          </cell>
          <cell r="AN92">
            <v>19</v>
          </cell>
          <cell r="AO92">
            <v>27</v>
          </cell>
          <cell r="AP92">
            <v>70484.497636363667</v>
          </cell>
          <cell r="AQ92">
            <v>153</v>
          </cell>
          <cell r="AR92">
            <v>-64</v>
          </cell>
        </row>
        <row r="93">
          <cell r="C93">
            <v>1560.9490000000001</v>
          </cell>
          <cell r="N93">
            <v>1614.15</v>
          </cell>
          <cell r="P93">
            <v>-1614.15</v>
          </cell>
          <cell r="Q93">
            <v>2962.8939999999998</v>
          </cell>
          <cell r="S93">
            <v>-2962.8939999999998</v>
          </cell>
          <cell r="T93">
            <v>176.47000000000003</v>
          </cell>
          <cell r="X93">
            <v>-176.47000000000003</v>
          </cell>
          <cell r="Y93">
            <v>225.76000000000002</v>
          </cell>
          <cell r="AB93">
            <v>432</v>
          </cell>
          <cell r="AC93">
            <v>206.23999999999998</v>
          </cell>
          <cell r="AD93">
            <v>1009.45</v>
          </cell>
          <cell r="AE93">
            <v>932.45</v>
          </cell>
          <cell r="AF93">
            <v>77</v>
          </cell>
          <cell r="AI93">
            <v>0</v>
          </cell>
          <cell r="AJ93" t="e">
            <v>#REF!</v>
          </cell>
          <cell r="AN93" t="e">
            <v>#REF!</v>
          </cell>
          <cell r="AO93">
            <v>1616</v>
          </cell>
          <cell r="AP93" t="e">
            <v>#REF!</v>
          </cell>
          <cell r="AS93">
            <v>2048</v>
          </cell>
        </row>
        <row r="94">
          <cell r="C94">
            <v>242</v>
          </cell>
          <cell r="N94">
            <v>1614.15</v>
          </cell>
          <cell r="P94">
            <v>-1614.15</v>
          </cell>
          <cell r="Q94">
            <v>2962.8939999999998</v>
          </cell>
          <cell r="S94">
            <v>-2962.8939999999998</v>
          </cell>
          <cell r="T94">
            <v>176.47000000000003</v>
          </cell>
          <cell r="W94">
            <v>0</v>
          </cell>
          <cell r="X94">
            <v>-176.47000000000003</v>
          </cell>
          <cell r="Y94">
            <v>225.76000000000002</v>
          </cell>
          <cell r="AB94">
            <v>432</v>
          </cell>
          <cell r="AC94">
            <v>206.23999999999998</v>
          </cell>
          <cell r="AD94">
            <v>1009.45</v>
          </cell>
          <cell r="AE94">
            <v>932.45</v>
          </cell>
          <cell r="AF94">
            <v>77</v>
          </cell>
          <cell r="AI94">
            <v>0</v>
          </cell>
          <cell r="AJ94">
            <v>-1009.45</v>
          </cell>
          <cell r="AN94" t="e">
            <v>#REF!</v>
          </cell>
          <cell r="AP94" t="e">
            <v>#REF!</v>
          </cell>
          <cell r="AS94">
            <v>432</v>
          </cell>
        </row>
        <row r="95">
          <cell r="C95">
            <v>0</v>
          </cell>
          <cell r="N95">
            <v>0</v>
          </cell>
          <cell r="P95">
            <v>0</v>
          </cell>
          <cell r="Q95">
            <v>0</v>
          </cell>
          <cell r="R95">
            <v>0</v>
          </cell>
          <cell r="S95">
            <v>0</v>
          </cell>
          <cell r="T95">
            <v>0</v>
          </cell>
          <cell r="U95">
            <v>2849.1290909090908</v>
          </cell>
          <cell r="V95">
            <v>0</v>
          </cell>
          <cell r="W95">
            <v>0</v>
          </cell>
          <cell r="X95">
            <v>0</v>
          </cell>
          <cell r="Y95">
            <v>0</v>
          </cell>
          <cell r="Z95">
            <v>15943.720620842572</v>
          </cell>
          <cell r="AA95">
            <v>0</v>
          </cell>
          <cell r="AB95">
            <v>0</v>
          </cell>
          <cell r="AC95">
            <v>0</v>
          </cell>
          <cell r="AD95">
            <v>0</v>
          </cell>
          <cell r="AE95">
            <v>0</v>
          </cell>
          <cell r="AF95">
            <v>0</v>
          </cell>
          <cell r="AG95">
            <v>3063.1</v>
          </cell>
          <cell r="AH95">
            <v>1003.9000000000001</v>
          </cell>
          <cell r="AI95">
            <v>0</v>
          </cell>
          <cell r="AJ95">
            <v>0</v>
          </cell>
          <cell r="AK95">
            <v>105284.85757575756</v>
          </cell>
          <cell r="AL95">
            <v>42411.38422397634</v>
          </cell>
          <cell r="AM95">
            <v>62873.473351781242</v>
          </cell>
          <cell r="AN95" t="e">
            <v>#REF!</v>
          </cell>
          <cell r="AO95">
            <v>50672</v>
          </cell>
          <cell r="AP95" t="e">
            <v>#REF!</v>
          </cell>
          <cell r="AQ95">
            <v>10450.475260369414</v>
          </cell>
          <cell r="AR95">
            <v>14571.544133725103</v>
          </cell>
          <cell r="AS95">
            <v>0</v>
          </cell>
        </row>
        <row r="96">
          <cell r="C96">
            <v>1318.9490000000001</v>
          </cell>
          <cell r="N96">
            <v>0</v>
          </cell>
          <cell r="P96">
            <v>0</v>
          </cell>
          <cell r="Q96">
            <v>0</v>
          </cell>
          <cell r="R96">
            <v>0</v>
          </cell>
          <cell r="S96">
            <v>0</v>
          </cell>
          <cell r="T96">
            <v>4830.1436363636385</v>
          </cell>
          <cell r="U96">
            <v>2849.1290909090908</v>
          </cell>
          <cell r="V96">
            <v>0</v>
          </cell>
          <cell r="W96">
            <v>0</v>
          </cell>
          <cell r="X96">
            <v>0</v>
          </cell>
          <cell r="Y96">
            <v>0</v>
          </cell>
          <cell r="Z96">
            <v>1809.818181818182</v>
          </cell>
          <cell r="AA96">
            <v>0</v>
          </cell>
          <cell r="AB96">
            <v>0</v>
          </cell>
          <cell r="AC96">
            <v>0</v>
          </cell>
          <cell r="AD96">
            <v>0</v>
          </cell>
          <cell r="AE96">
            <v>0</v>
          </cell>
          <cell r="AF96">
            <v>0</v>
          </cell>
          <cell r="AG96">
            <v>3063.1</v>
          </cell>
          <cell r="AH96">
            <v>1003.9000000000001</v>
          </cell>
          <cell r="AI96">
            <v>0</v>
          </cell>
          <cell r="AJ96">
            <v>0</v>
          </cell>
          <cell r="AK96">
            <v>24216.85757575756</v>
          </cell>
          <cell r="AL96">
            <v>6508.8092283213991</v>
          </cell>
          <cell r="AM96">
            <v>17708.048347436183</v>
          </cell>
          <cell r="AN96" t="e">
            <v>#REF!</v>
          </cell>
          <cell r="AO96">
            <v>5507</v>
          </cell>
          <cell r="AP96" t="e">
            <v>#REF!</v>
          </cell>
          <cell r="AQ96">
            <v>10450.050256024355</v>
          </cell>
          <cell r="AR96">
            <v>14571.544133725103</v>
          </cell>
          <cell r="AS96">
            <v>0</v>
          </cell>
        </row>
        <row r="97">
          <cell r="P97">
            <v>0</v>
          </cell>
          <cell r="S97">
            <v>0</v>
          </cell>
          <cell r="X97">
            <v>0</v>
          </cell>
          <cell r="Y97">
            <v>28724.818181818184</v>
          </cell>
          <cell r="AC97">
            <v>0</v>
          </cell>
          <cell r="AD97">
            <v>26701</v>
          </cell>
          <cell r="AF97">
            <v>0</v>
          </cell>
          <cell r="AG97">
            <v>67.2</v>
          </cell>
          <cell r="AH97">
            <v>0</v>
          </cell>
          <cell r="AI97">
            <v>0</v>
          </cell>
          <cell r="AJ97">
            <v>0</v>
          </cell>
          <cell r="AK97">
            <v>4174.5999999999995</v>
          </cell>
          <cell r="AL97">
            <v>105284.85757575759</v>
          </cell>
          <cell r="AN97" t="e">
            <v>#REF!</v>
          </cell>
          <cell r="AP97" t="e">
            <v>#REF!</v>
          </cell>
          <cell r="AS97">
            <v>0</v>
          </cell>
        </row>
        <row r="98">
          <cell r="P98">
            <v>0</v>
          </cell>
          <cell r="S98">
            <v>0</v>
          </cell>
          <cell r="X98">
            <v>0</v>
          </cell>
          <cell r="AC98">
            <v>0</v>
          </cell>
          <cell r="AF98">
            <v>0</v>
          </cell>
          <cell r="AG98">
            <v>67.2</v>
          </cell>
          <cell r="AH98">
            <v>0</v>
          </cell>
          <cell r="AI98">
            <v>0</v>
          </cell>
          <cell r="AJ98">
            <v>0</v>
          </cell>
          <cell r="AK98">
            <v>3837.6</v>
          </cell>
          <cell r="AL98">
            <v>105284.85757575757</v>
          </cell>
          <cell r="AM98">
            <v>42403.574995654941</v>
          </cell>
          <cell r="AN98" t="e">
            <v>#REF!</v>
          </cell>
          <cell r="AP98" t="e">
            <v>#REF!</v>
          </cell>
          <cell r="AS98">
            <v>0</v>
          </cell>
        </row>
        <row r="99">
          <cell r="P99">
            <v>0</v>
          </cell>
          <cell r="S99">
            <v>0</v>
          </cell>
          <cell r="X99">
            <v>0</v>
          </cell>
          <cell r="AC99">
            <v>0</v>
          </cell>
          <cell r="AF99">
            <v>0</v>
          </cell>
          <cell r="AG99">
            <v>454</v>
          </cell>
          <cell r="AH99">
            <v>0</v>
          </cell>
          <cell r="AI99">
            <v>0</v>
          </cell>
          <cell r="AJ99">
            <v>0</v>
          </cell>
          <cell r="AK99">
            <v>0</v>
          </cell>
          <cell r="AL99">
            <v>109509.14393939395</v>
          </cell>
          <cell r="AM99">
            <v>46269.90741929959</v>
          </cell>
          <cell r="AN99" t="e">
            <v>#REF!</v>
          </cell>
          <cell r="AP99" t="e">
            <v>#REF!</v>
          </cell>
          <cell r="AS99">
            <v>0</v>
          </cell>
        </row>
        <row r="100">
          <cell r="P100">
            <v>0</v>
          </cell>
          <cell r="S100">
            <v>0</v>
          </cell>
          <cell r="X100">
            <v>0</v>
          </cell>
          <cell r="AC100">
            <v>0</v>
          </cell>
          <cell r="AF100">
            <v>0</v>
          </cell>
          <cell r="AG100">
            <v>0</v>
          </cell>
          <cell r="AH100">
            <v>0</v>
          </cell>
          <cell r="AI100">
            <v>0</v>
          </cell>
          <cell r="AJ100">
            <v>0</v>
          </cell>
          <cell r="AK100">
            <v>337</v>
          </cell>
          <cell r="AN100" t="e">
            <v>#REF!</v>
          </cell>
          <cell r="AP100" t="e">
            <v>#REF!</v>
          </cell>
          <cell r="AS100">
            <v>0</v>
          </cell>
        </row>
        <row r="101">
          <cell r="C101">
            <v>2004.5170000000001</v>
          </cell>
          <cell r="N101">
            <v>0.19200000000000017</v>
          </cell>
          <cell r="P101">
            <v>-0.19200000000000017</v>
          </cell>
          <cell r="Q101">
            <v>-0.32000000000000028</v>
          </cell>
          <cell r="R101">
            <v>31</v>
          </cell>
          <cell r="S101">
            <v>31.32</v>
          </cell>
          <cell r="T101">
            <v>-0.3360000000000003</v>
          </cell>
          <cell r="W101">
            <v>2</v>
          </cell>
          <cell r="X101">
            <v>2.3360000000000003</v>
          </cell>
          <cell r="Y101">
            <v>0.28000000000000114</v>
          </cell>
          <cell r="AB101">
            <v>10</v>
          </cell>
          <cell r="AC101">
            <v>9.7199999999999989</v>
          </cell>
          <cell r="AD101">
            <v>0.35200000000000031</v>
          </cell>
          <cell r="AE101">
            <v>0.35200000000000031</v>
          </cell>
          <cell r="AF101">
            <v>0</v>
          </cell>
          <cell r="AG101">
            <v>128</v>
          </cell>
          <cell r="AH101">
            <v>128</v>
          </cell>
          <cell r="AI101">
            <v>0</v>
          </cell>
          <cell r="AJ101">
            <v>127.648</v>
          </cell>
          <cell r="AK101">
            <v>1741</v>
          </cell>
          <cell r="AL101">
            <v>116775.1297878788</v>
          </cell>
          <cell r="AM101">
            <v>43965.116024096387</v>
          </cell>
          <cell r="AN101" t="e">
            <v>#REF!</v>
          </cell>
          <cell r="AP101" t="e">
            <v>#REF!</v>
          </cell>
          <cell r="AS101">
            <v>140</v>
          </cell>
        </row>
        <row r="102">
          <cell r="C102">
            <v>1318.9490000000001</v>
          </cell>
          <cell r="N102">
            <v>0</v>
          </cell>
          <cell r="P102">
            <v>0</v>
          </cell>
          <cell r="Q102">
            <v>0</v>
          </cell>
          <cell r="R102">
            <v>0</v>
          </cell>
          <cell r="S102">
            <v>0</v>
          </cell>
          <cell r="T102">
            <v>0</v>
          </cell>
          <cell r="X102">
            <v>0</v>
          </cell>
          <cell r="Y102">
            <v>0</v>
          </cell>
          <cell r="AC102">
            <v>0</v>
          </cell>
          <cell r="AD102">
            <v>0</v>
          </cell>
          <cell r="AE102">
            <v>0</v>
          </cell>
          <cell r="AF102">
            <v>0</v>
          </cell>
          <cell r="AI102">
            <v>0</v>
          </cell>
          <cell r="AJ102">
            <v>0</v>
          </cell>
          <cell r="AK102">
            <v>93</v>
          </cell>
          <cell r="AN102" t="e">
            <v>#REF!</v>
          </cell>
          <cell r="AP102" t="e">
            <v>#REF!</v>
          </cell>
          <cell r="AS102">
            <v>0</v>
          </cell>
        </row>
        <row r="103">
          <cell r="C103">
            <v>686</v>
          </cell>
          <cell r="N103">
            <v>0</v>
          </cell>
          <cell r="P103">
            <v>0</v>
          </cell>
          <cell r="Q103">
            <v>0</v>
          </cell>
          <cell r="S103">
            <v>0</v>
          </cell>
          <cell r="T103">
            <v>0</v>
          </cell>
          <cell r="X103">
            <v>0</v>
          </cell>
          <cell r="Y103">
            <v>0</v>
          </cell>
          <cell r="AC103">
            <v>0</v>
          </cell>
          <cell r="AD103">
            <v>0</v>
          </cell>
          <cell r="AE103">
            <v>0</v>
          </cell>
          <cell r="AF103">
            <v>0</v>
          </cell>
          <cell r="AG103">
            <v>0</v>
          </cell>
          <cell r="AH103">
            <v>0</v>
          </cell>
          <cell r="AI103">
            <v>0</v>
          </cell>
          <cell r="AJ103">
            <v>0</v>
          </cell>
          <cell r="AK103">
            <v>1291</v>
          </cell>
          <cell r="AN103" t="e">
            <v>#REF!</v>
          </cell>
          <cell r="AP103" t="e">
            <v>#REF!</v>
          </cell>
          <cell r="AS103">
            <v>0</v>
          </cell>
        </row>
        <row r="104">
          <cell r="C104">
            <v>-0.43200000000001637</v>
          </cell>
          <cell r="N104">
            <v>0.19200000000000017</v>
          </cell>
          <cell r="P104">
            <v>-0.19200000000000017</v>
          </cell>
          <cell r="Q104">
            <v>-0.32000000000000028</v>
          </cell>
          <cell r="R104">
            <v>31</v>
          </cell>
          <cell r="S104">
            <v>31.32</v>
          </cell>
          <cell r="T104">
            <v>-0.3360000000000003</v>
          </cell>
          <cell r="W104">
            <v>2</v>
          </cell>
          <cell r="X104">
            <v>2.3360000000000003</v>
          </cell>
          <cell r="Y104">
            <v>0.28000000000000114</v>
          </cell>
          <cell r="AB104">
            <v>10</v>
          </cell>
          <cell r="AC104">
            <v>9.7199999999999989</v>
          </cell>
          <cell r="AD104">
            <v>0.35200000000000031</v>
          </cell>
          <cell r="AE104">
            <v>0.35200000000000031</v>
          </cell>
          <cell r="AF104">
            <v>0</v>
          </cell>
          <cell r="AG104">
            <v>128</v>
          </cell>
          <cell r="AH104">
            <v>128</v>
          </cell>
          <cell r="AI104">
            <v>0</v>
          </cell>
          <cell r="AJ104">
            <v>127.648</v>
          </cell>
          <cell r="AK104">
            <v>0</v>
          </cell>
          <cell r="AN104">
            <v>3702.2</v>
          </cell>
          <cell r="AP104">
            <v>3702</v>
          </cell>
          <cell r="AS104">
            <v>140</v>
          </cell>
        </row>
        <row r="105">
          <cell r="C105">
            <v>591.5</v>
          </cell>
          <cell r="N105">
            <v>0.20800000000000018</v>
          </cell>
          <cell r="P105">
            <v>-0.20800000000000018</v>
          </cell>
          <cell r="Q105">
            <v>234.404</v>
          </cell>
          <cell r="R105">
            <v>154</v>
          </cell>
          <cell r="S105">
            <v>-80.403999999999996</v>
          </cell>
          <cell r="T105">
            <v>-0.42800000000000082</v>
          </cell>
          <cell r="W105">
            <v>79</v>
          </cell>
          <cell r="X105">
            <v>79.427999999999997</v>
          </cell>
          <cell r="Y105">
            <v>6.799999999999784E-2</v>
          </cell>
          <cell r="AB105">
            <v>86</v>
          </cell>
          <cell r="AC105">
            <v>85.932000000000002</v>
          </cell>
          <cell r="AD105">
            <v>0.28399999999999892</v>
          </cell>
          <cell r="AE105">
            <v>0.28399999999999892</v>
          </cell>
          <cell r="AF105">
            <v>0</v>
          </cell>
          <cell r="AG105">
            <v>30</v>
          </cell>
          <cell r="AH105">
            <v>30</v>
          </cell>
          <cell r="AI105">
            <v>0</v>
          </cell>
          <cell r="AJ105">
            <v>29.716000000000001</v>
          </cell>
          <cell r="AK105">
            <v>0</v>
          </cell>
          <cell r="AN105" t="e">
            <v>#REF!</v>
          </cell>
          <cell r="AP105" t="e">
            <v>#REF!</v>
          </cell>
          <cell r="AS105">
            <v>195</v>
          </cell>
        </row>
        <row r="106">
          <cell r="C106">
            <v>592</v>
          </cell>
          <cell r="N106">
            <v>0</v>
          </cell>
          <cell r="P106">
            <v>0</v>
          </cell>
          <cell r="Q106">
            <v>233.64000000000001</v>
          </cell>
          <cell r="R106">
            <v>0</v>
          </cell>
          <cell r="S106">
            <v>-233.64000000000001</v>
          </cell>
          <cell r="T106">
            <v>0</v>
          </cell>
          <cell r="W106">
            <v>0</v>
          </cell>
          <cell r="X106">
            <v>0</v>
          </cell>
          <cell r="Y106">
            <v>0</v>
          </cell>
          <cell r="AB106">
            <v>0</v>
          </cell>
          <cell r="AC106">
            <v>0</v>
          </cell>
          <cell r="AD106">
            <v>0</v>
          </cell>
          <cell r="AE106">
            <v>0</v>
          </cell>
          <cell r="AF106">
            <v>0</v>
          </cell>
          <cell r="AG106">
            <v>0</v>
          </cell>
          <cell r="AH106">
            <v>0</v>
          </cell>
          <cell r="AI106">
            <v>0</v>
          </cell>
          <cell r="AJ106">
            <v>0</v>
          </cell>
          <cell r="AK106">
            <v>787</v>
          </cell>
          <cell r="AN106" t="e">
            <v>#REF!</v>
          </cell>
          <cell r="AP106" t="e">
            <v>#REF!</v>
          </cell>
          <cell r="AS106">
            <v>0</v>
          </cell>
        </row>
        <row r="107">
          <cell r="C107">
            <v>-0.5</v>
          </cell>
          <cell r="N107">
            <v>0.20800000000000018</v>
          </cell>
          <cell r="P107">
            <v>-0.20800000000000018</v>
          </cell>
          <cell r="Q107">
            <v>-0.23600000000000065</v>
          </cell>
          <cell r="R107">
            <v>154</v>
          </cell>
          <cell r="S107">
            <v>154.23599999999999</v>
          </cell>
          <cell r="T107">
            <v>-0.42800000000000082</v>
          </cell>
          <cell r="W107">
            <v>79</v>
          </cell>
          <cell r="X107">
            <v>79.427999999999997</v>
          </cell>
          <cell r="Y107">
            <v>6.799999999999784E-2</v>
          </cell>
          <cell r="AB107">
            <v>86</v>
          </cell>
          <cell r="AC107">
            <v>85.932000000000002</v>
          </cell>
          <cell r="AD107">
            <v>0.28399999999999892</v>
          </cell>
          <cell r="AE107">
            <v>0.28399999999999892</v>
          </cell>
          <cell r="AF107">
            <v>0</v>
          </cell>
          <cell r="AG107">
            <v>30</v>
          </cell>
          <cell r="AH107">
            <v>30</v>
          </cell>
          <cell r="AI107">
            <v>0</v>
          </cell>
          <cell r="AJ107">
            <v>29.716000000000001</v>
          </cell>
          <cell r="AK107">
            <v>337</v>
          </cell>
          <cell r="AN107" t="e">
            <v>#REF!</v>
          </cell>
          <cell r="AP107" t="e">
            <v>#REF!</v>
          </cell>
          <cell r="AS107">
            <v>195</v>
          </cell>
        </row>
        <row r="108">
          <cell r="C108">
            <v>605.41409090909156</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G108">
            <v>0</v>
          </cell>
          <cell r="AH108">
            <v>0</v>
          </cell>
          <cell r="AI108">
            <v>0</v>
          </cell>
          <cell r="AJ108">
            <v>0</v>
          </cell>
          <cell r="AK108">
            <v>450</v>
          </cell>
          <cell r="AN108" t="e">
            <v>#REF!</v>
          </cell>
          <cell r="AP108" t="e">
            <v>#REF!</v>
          </cell>
          <cell r="AQ108" t="e">
            <v>#REF!</v>
          </cell>
          <cell r="AR108" t="e">
            <v>#REF!</v>
          </cell>
          <cell r="AS108">
            <v>0</v>
          </cell>
        </row>
        <row r="109">
          <cell r="C109">
            <v>0</v>
          </cell>
          <cell r="N109">
            <v>0</v>
          </cell>
          <cell r="P109">
            <v>0</v>
          </cell>
          <cell r="Q109">
            <v>526.04999999999995</v>
          </cell>
          <cell r="R109">
            <v>800</v>
          </cell>
          <cell r="S109">
            <v>273.95000000000005</v>
          </cell>
          <cell r="T109">
            <v>0</v>
          </cell>
          <cell r="X109">
            <v>0</v>
          </cell>
          <cell r="Y109">
            <v>0</v>
          </cell>
          <cell r="AC109">
            <v>0</v>
          </cell>
          <cell r="AD109">
            <v>0</v>
          </cell>
          <cell r="AE109">
            <v>0</v>
          </cell>
          <cell r="AF109">
            <v>0</v>
          </cell>
          <cell r="AG109">
            <v>0</v>
          </cell>
          <cell r="AH109">
            <v>0</v>
          </cell>
          <cell r="AI109">
            <v>0</v>
          </cell>
          <cell r="AJ109">
            <v>0</v>
          </cell>
          <cell r="AK109">
            <v>0</v>
          </cell>
          <cell r="AN109" t="e">
            <v>#REF!</v>
          </cell>
          <cell r="AP109" t="e">
            <v>#REF!</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G110">
            <v>0</v>
          </cell>
          <cell r="AH110">
            <v>0</v>
          </cell>
          <cell r="AI110">
            <v>0</v>
          </cell>
          <cell r="AJ110">
            <v>0</v>
          </cell>
          <cell r="AK110">
            <v>280</v>
          </cell>
          <cell r="AN110" t="e">
            <v>#REF!</v>
          </cell>
          <cell r="AP110" t="e">
            <v>#REF!</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G111">
            <v>0</v>
          </cell>
          <cell r="AH111">
            <v>0</v>
          </cell>
          <cell r="AI111">
            <v>0</v>
          </cell>
          <cell r="AJ111">
            <v>0</v>
          </cell>
          <cell r="AK111">
            <v>280</v>
          </cell>
          <cell r="AN111" t="e">
            <v>#REF!</v>
          </cell>
          <cell r="AP111" t="e">
            <v>#REF!</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K112">
            <v>0</v>
          </cell>
          <cell r="AN112" t="e">
            <v>#REF!</v>
          </cell>
          <cell r="AP112" t="e">
            <v>#REF!</v>
          </cell>
          <cell r="AS112">
            <v>1152</v>
          </cell>
        </row>
        <row r="113">
          <cell r="C113">
            <v>2</v>
          </cell>
          <cell r="N113">
            <v>0</v>
          </cell>
          <cell r="P113">
            <v>0</v>
          </cell>
          <cell r="Q113">
            <v>0</v>
          </cell>
          <cell r="R113">
            <v>8</v>
          </cell>
          <cell r="S113">
            <v>8</v>
          </cell>
          <cell r="T113">
            <v>0</v>
          </cell>
          <cell r="W113">
            <v>57</v>
          </cell>
          <cell r="X113">
            <v>57</v>
          </cell>
          <cell r="Y113">
            <v>0</v>
          </cell>
          <cell r="AB113">
            <v>7</v>
          </cell>
          <cell r="AC113">
            <v>7</v>
          </cell>
          <cell r="AD113">
            <v>0</v>
          </cell>
          <cell r="AE113">
            <v>0</v>
          </cell>
          <cell r="AF113">
            <v>0</v>
          </cell>
          <cell r="AG113">
            <v>0</v>
          </cell>
          <cell r="AH113">
            <v>0</v>
          </cell>
          <cell r="AI113">
            <v>0</v>
          </cell>
          <cell r="AJ113">
            <v>0</v>
          </cell>
          <cell r="AK113">
            <v>331</v>
          </cell>
          <cell r="AM113">
            <v>0</v>
          </cell>
          <cell r="AN113">
            <v>19</v>
          </cell>
          <cell r="AP113">
            <v>21</v>
          </cell>
          <cell r="AS113">
            <v>64</v>
          </cell>
        </row>
        <row r="114">
          <cell r="C114">
            <v>1168.2070454545458</v>
          </cell>
          <cell r="N114">
            <v>0</v>
          </cell>
          <cell r="P114">
            <v>0</v>
          </cell>
          <cell r="Q114">
            <v>0</v>
          </cell>
          <cell r="S114">
            <v>0</v>
          </cell>
          <cell r="T114">
            <v>0</v>
          </cell>
          <cell r="X114">
            <v>0</v>
          </cell>
          <cell r="Y114">
            <v>0</v>
          </cell>
          <cell r="AC114">
            <v>0</v>
          </cell>
          <cell r="AD114">
            <v>0</v>
          </cell>
          <cell r="AE114">
            <v>0</v>
          </cell>
          <cell r="AF114">
            <v>0</v>
          </cell>
          <cell r="AG114">
            <v>0</v>
          </cell>
          <cell r="AH114">
            <v>0</v>
          </cell>
          <cell r="AI114">
            <v>0</v>
          </cell>
          <cell r="AJ114">
            <v>0</v>
          </cell>
          <cell r="AK114">
            <v>331</v>
          </cell>
          <cell r="AM114">
            <v>0</v>
          </cell>
          <cell r="AN114" t="e">
            <v>#REF!</v>
          </cell>
          <cell r="AP114" t="e">
            <v>#REF!</v>
          </cell>
          <cell r="AS114">
            <v>0</v>
          </cell>
        </row>
        <row r="115">
          <cell r="C115">
            <v>0</v>
          </cell>
          <cell r="P115">
            <v>0</v>
          </cell>
          <cell r="S115">
            <v>0</v>
          </cell>
          <cell r="X115">
            <v>0</v>
          </cell>
          <cell r="AC115">
            <v>0</v>
          </cell>
          <cell r="AF115">
            <v>0</v>
          </cell>
          <cell r="AG115">
            <v>0</v>
          </cell>
          <cell r="AH115">
            <v>0</v>
          </cell>
          <cell r="AI115">
            <v>0</v>
          </cell>
          <cell r="AJ115">
            <v>0</v>
          </cell>
          <cell r="AK115">
            <v>0</v>
          </cell>
          <cell r="AL115">
            <v>0</v>
          </cell>
          <cell r="AM115">
            <v>0</v>
          </cell>
          <cell r="AP115">
            <v>0</v>
          </cell>
          <cell r="AS115">
            <v>0</v>
          </cell>
        </row>
        <row r="116">
          <cell r="C116">
            <v>17200.466666666667</v>
          </cell>
          <cell r="P116">
            <v>0</v>
          </cell>
          <cell r="S116">
            <v>0</v>
          </cell>
          <cell r="X116">
            <v>0</v>
          </cell>
          <cell r="AC116">
            <v>0</v>
          </cell>
          <cell r="AF116">
            <v>0</v>
          </cell>
          <cell r="AG116">
            <v>0</v>
          </cell>
          <cell r="AH116">
            <v>0</v>
          </cell>
          <cell r="AI116">
            <v>0</v>
          </cell>
          <cell r="AJ116">
            <v>0</v>
          </cell>
          <cell r="AK116">
            <v>0</v>
          </cell>
          <cell r="AL116">
            <v>0</v>
          </cell>
          <cell r="AM116">
            <v>0</v>
          </cell>
          <cell r="AP116">
            <v>17200.466666666667</v>
          </cell>
          <cell r="AS116">
            <v>0</v>
          </cell>
        </row>
        <row r="117">
          <cell r="C117">
            <v>0</v>
          </cell>
          <cell r="P117">
            <v>0</v>
          </cell>
          <cell r="S117">
            <v>0</v>
          </cell>
          <cell r="AC117">
            <v>0</v>
          </cell>
          <cell r="AF117">
            <v>0</v>
          </cell>
          <cell r="AG117">
            <v>0</v>
          </cell>
          <cell r="AH117">
            <v>0</v>
          </cell>
          <cell r="AK117">
            <v>0</v>
          </cell>
        </row>
        <row r="118">
          <cell r="P118">
            <v>0</v>
          </cell>
          <cell r="S118">
            <v>0</v>
          </cell>
          <cell r="X118">
            <v>0</v>
          </cell>
          <cell r="AC118">
            <v>0</v>
          </cell>
          <cell r="AF118">
            <v>0</v>
          </cell>
          <cell r="AG118">
            <v>0</v>
          </cell>
          <cell r="AH118">
            <v>0</v>
          </cell>
          <cell r="AK118">
            <v>0</v>
          </cell>
          <cell r="AL118">
            <v>0</v>
          </cell>
          <cell r="AM118">
            <v>0</v>
          </cell>
        </row>
        <row r="119">
          <cell r="P119">
            <v>0</v>
          </cell>
          <cell r="S119">
            <v>0</v>
          </cell>
          <cell r="X119">
            <v>0</v>
          </cell>
          <cell r="AC119">
            <v>0</v>
          </cell>
          <cell r="AG119">
            <v>0</v>
          </cell>
          <cell r="AH119">
            <v>0</v>
          </cell>
          <cell r="AK119">
            <v>250.66666666666666</v>
          </cell>
        </row>
        <row r="120">
          <cell r="P120">
            <v>0</v>
          </cell>
          <cell r="S120">
            <v>0</v>
          </cell>
          <cell r="X120">
            <v>0</v>
          </cell>
          <cell r="AC120">
            <v>0</v>
          </cell>
          <cell r="AE120" t="e">
            <v>#REF!</v>
          </cell>
          <cell r="AF120" t="e">
            <v>#REF!</v>
          </cell>
          <cell r="AG120">
            <v>0</v>
          </cell>
          <cell r="AH120">
            <v>0</v>
          </cell>
          <cell r="AI120">
            <v>0</v>
          </cell>
          <cell r="AJ120">
            <v>0</v>
          </cell>
          <cell r="AK120">
            <v>0</v>
          </cell>
          <cell r="AN120" t="e">
            <v>#REF!</v>
          </cell>
          <cell r="AP120">
            <v>36465</v>
          </cell>
          <cell r="AQ120" t="e">
            <v>#REF!</v>
          </cell>
          <cell r="AS120">
            <v>0</v>
          </cell>
        </row>
        <row r="121">
          <cell r="C121">
            <v>0</v>
          </cell>
          <cell r="P121">
            <v>0</v>
          </cell>
          <cell r="S121">
            <v>0</v>
          </cell>
          <cell r="X121">
            <v>0</v>
          </cell>
          <cell r="AC121">
            <v>0</v>
          </cell>
          <cell r="AF121">
            <v>0</v>
          </cell>
          <cell r="AG121">
            <v>0</v>
          </cell>
          <cell r="AH121">
            <v>0</v>
          </cell>
          <cell r="AJ121">
            <v>0</v>
          </cell>
          <cell r="AK121">
            <v>8992</v>
          </cell>
          <cell r="AN121" t="e">
            <v>#REF!</v>
          </cell>
          <cell r="AP121" t="e">
            <v>#REF!</v>
          </cell>
          <cell r="AS121">
            <v>0</v>
          </cell>
        </row>
        <row r="122">
          <cell r="C122">
            <v>2598.0169999999998</v>
          </cell>
          <cell r="D122">
            <v>0</v>
          </cell>
          <cell r="E122">
            <v>0</v>
          </cell>
          <cell r="N122">
            <v>0.40000000000000036</v>
          </cell>
          <cell r="O122">
            <v>0</v>
          </cell>
          <cell r="P122">
            <v>-0.40000000000000036</v>
          </cell>
          <cell r="Q122">
            <v>0</v>
          </cell>
          <cell r="R122">
            <v>1921</v>
          </cell>
          <cell r="S122">
            <v>1921</v>
          </cell>
          <cell r="T122">
            <v>-0.76400000000000112</v>
          </cell>
          <cell r="U122">
            <v>0</v>
          </cell>
          <cell r="V122">
            <v>0</v>
          </cell>
          <cell r="W122">
            <v>504</v>
          </cell>
          <cell r="X122">
            <v>504.76400000000001</v>
          </cell>
          <cell r="Y122">
            <v>0.34799999999999898</v>
          </cell>
          <cell r="Z122">
            <v>0</v>
          </cell>
          <cell r="AA122">
            <v>0</v>
          </cell>
          <cell r="AB122">
            <v>354</v>
          </cell>
          <cell r="AC122">
            <v>353.65199999999999</v>
          </cell>
          <cell r="AD122">
            <v>0.63599999999999923</v>
          </cell>
          <cell r="AE122">
            <v>0.63599999999999923</v>
          </cell>
          <cell r="AF122">
            <v>0</v>
          </cell>
          <cell r="AG122">
            <v>693</v>
          </cell>
          <cell r="AH122">
            <v>693</v>
          </cell>
          <cell r="AI122">
            <v>0</v>
          </cell>
          <cell r="AJ122">
            <v>692.36400000000003</v>
          </cell>
          <cell r="AK122">
            <v>0</v>
          </cell>
          <cell r="AN122" t="e">
            <v>#REF!</v>
          </cell>
          <cell r="AP122" t="e">
            <v>#REF!</v>
          </cell>
          <cell r="AU122">
            <v>0</v>
          </cell>
          <cell r="AV122">
            <v>0</v>
          </cell>
          <cell r="AW122">
            <v>0</v>
          </cell>
          <cell r="AX122">
            <v>0</v>
          </cell>
        </row>
        <row r="123">
          <cell r="C123">
            <v>21572.104803030306</v>
          </cell>
          <cell r="D123">
            <v>0</v>
          </cell>
          <cell r="E123">
            <v>0</v>
          </cell>
          <cell r="N123">
            <v>0.40000000000000036</v>
          </cell>
          <cell r="P123">
            <v>-0.40000000000000036</v>
          </cell>
          <cell r="Q123">
            <v>0</v>
          </cell>
          <cell r="S123">
            <v>0</v>
          </cell>
          <cell r="T123">
            <v>-0.76400000000000112</v>
          </cell>
          <cell r="U123">
            <v>0</v>
          </cell>
          <cell r="V123">
            <v>0</v>
          </cell>
          <cell r="X123">
            <v>0.76400000000000112</v>
          </cell>
          <cell r="Y123">
            <v>0.34799999999999898</v>
          </cell>
          <cell r="Z123">
            <v>0</v>
          </cell>
          <cell r="AA123">
            <v>0</v>
          </cell>
          <cell r="AC123">
            <v>-0.34799999999999898</v>
          </cell>
          <cell r="AF123">
            <v>0</v>
          </cell>
          <cell r="AJ123">
            <v>0</v>
          </cell>
          <cell r="AK123">
            <v>-4642</v>
          </cell>
          <cell r="AL123">
            <v>-12062.791969696958</v>
          </cell>
          <cell r="AN123" t="e">
            <v>#REF!</v>
          </cell>
          <cell r="AP123" t="e">
            <v>#REF!</v>
          </cell>
        </row>
        <row r="124">
          <cell r="P124">
            <v>0</v>
          </cell>
          <cell r="X124">
            <v>0</v>
          </cell>
          <cell r="AC124">
            <v>0</v>
          </cell>
          <cell r="AJ124">
            <v>0</v>
          </cell>
          <cell r="AK124">
            <v>3480</v>
          </cell>
          <cell r="AL124">
            <v>396.87424242423458</v>
          </cell>
          <cell r="AP124" t="e">
            <v>#REF!</v>
          </cell>
        </row>
        <row r="125">
          <cell r="P125">
            <v>0</v>
          </cell>
          <cell r="Q125">
            <v>0</v>
          </cell>
          <cell r="R125">
            <v>0</v>
          </cell>
          <cell r="S125">
            <v>547</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10640.666666666666</v>
          </cell>
          <cell r="AN125">
            <v>0</v>
          </cell>
          <cell r="AO125">
            <v>0</v>
          </cell>
          <cell r="AP125" t="e">
            <v>#REF!</v>
          </cell>
          <cell r="AQ125">
            <v>0</v>
          </cell>
        </row>
        <row r="126">
          <cell r="P126">
            <v>0</v>
          </cell>
          <cell r="Q126">
            <v>0</v>
          </cell>
          <cell r="R126">
            <v>0</v>
          </cell>
          <cell r="S126">
            <v>547</v>
          </cell>
          <cell r="T126">
            <v>0</v>
          </cell>
          <cell r="U126">
            <v>0</v>
          </cell>
          <cell r="V126">
            <v>0</v>
          </cell>
          <cell r="W126">
            <v>0</v>
          </cell>
          <cell r="X126">
            <v>0</v>
          </cell>
          <cell r="Y126">
            <v>0</v>
          </cell>
          <cell r="Z126">
            <v>0</v>
          </cell>
          <cell r="AA126">
            <v>0</v>
          </cell>
          <cell r="AB126">
            <v>0</v>
          </cell>
          <cell r="AC126">
            <v>0</v>
          </cell>
          <cell r="AD126">
            <v>0</v>
          </cell>
          <cell r="AE126">
            <v>0</v>
          </cell>
          <cell r="AF126">
            <v>0</v>
          </cell>
          <cell r="AG126">
            <v>0</v>
          </cell>
          <cell r="AH126">
            <v>0</v>
          </cell>
          <cell r="AI126">
            <v>64</v>
          </cell>
          <cell r="AJ126">
            <v>0</v>
          </cell>
          <cell r="AK126">
            <v>5998.6666666666661</v>
          </cell>
          <cell r="AL126">
            <v>13247.384148484838</v>
          </cell>
          <cell r="AO126">
            <v>0</v>
          </cell>
          <cell r="AP126" t="e">
            <v>#REF!</v>
          </cell>
          <cell r="AQ126" t="e">
            <v>#REF!</v>
          </cell>
          <cell r="AR126" t="e">
            <v>#REF!</v>
          </cell>
        </row>
        <row r="127">
          <cell r="P127">
            <v>0</v>
          </cell>
          <cell r="S127">
            <v>0</v>
          </cell>
          <cell r="X127">
            <v>0</v>
          </cell>
          <cell r="Y127">
            <v>0</v>
          </cell>
          <cell r="Z127">
            <v>0</v>
          </cell>
          <cell r="AC127">
            <v>0</v>
          </cell>
          <cell r="AD127">
            <v>0</v>
          </cell>
          <cell r="AE127">
            <v>0</v>
          </cell>
          <cell r="AF127">
            <v>0</v>
          </cell>
          <cell r="AG127">
            <v>0</v>
          </cell>
          <cell r="AH127">
            <v>0</v>
          </cell>
          <cell r="AJ127">
            <v>0</v>
          </cell>
          <cell r="AK127">
            <v>-1422.1253030302919</v>
          </cell>
          <cell r="AL127">
            <v>10640.666666666666</v>
          </cell>
        </row>
        <row r="128">
          <cell r="P128">
            <v>0</v>
          </cell>
          <cell r="Q128">
            <v>0</v>
          </cell>
          <cell r="R128">
            <v>0</v>
          </cell>
          <cell r="S128">
            <v>0</v>
          </cell>
          <cell r="T128">
            <v>0</v>
          </cell>
          <cell r="U128">
            <v>0</v>
          </cell>
          <cell r="V128">
            <v>0</v>
          </cell>
          <cell r="W128">
            <v>0</v>
          </cell>
          <cell r="X128">
            <v>0</v>
          </cell>
          <cell r="Y128">
            <v>0</v>
          </cell>
          <cell r="Z128">
            <v>0</v>
          </cell>
          <cell r="AA128">
            <v>0</v>
          </cell>
          <cell r="AB128">
            <v>0</v>
          </cell>
          <cell r="AC128">
            <v>0</v>
          </cell>
          <cell r="AD128">
            <v>0</v>
          </cell>
          <cell r="AE128">
            <v>0</v>
          </cell>
          <cell r="AF128">
            <v>0</v>
          </cell>
          <cell r="AG128">
            <v>0</v>
          </cell>
          <cell r="AH128">
            <v>0</v>
          </cell>
          <cell r="AJ128">
            <v>0</v>
          </cell>
          <cell r="AK128">
            <v>-1422.1253030302919</v>
          </cell>
          <cell r="AL128">
            <v>5340</v>
          </cell>
          <cell r="AO128">
            <v>0</v>
          </cell>
          <cell r="AP128" t="e">
            <v>#REF!</v>
          </cell>
          <cell r="AQ128">
            <v>0</v>
          </cell>
          <cell r="AR128">
            <v>0</v>
          </cell>
          <cell r="AU128">
            <v>0</v>
          </cell>
        </row>
        <row r="129">
          <cell r="P129">
            <v>0</v>
          </cell>
          <cell r="S129">
            <v>-680</v>
          </cell>
          <cell r="X129">
            <v>0</v>
          </cell>
          <cell r="Y129">
            <v>0</v>
          </cell>
          <cell r="Z129">
            <v>0</v>
          </cell>
          <cell r="AC129">
            <v>0</v>
          </cell>
          <cell r="AD129">
            <v>0</v>
          </cell>
          <cell r="AE129">
            <v>0</v>
          </cell>
          <cell r="AF129">
            <v>0</v>
          </cell>
          <cell r="AG129">
            <v>0</v>
          </cell>
          <cell r="AH129">
            <v>0</v>
          </cell>
          <cell r="AJ129">
            <v>0</v>
          </cell>
          <cell r="AK129">
            <v>-2031.60757575756</v>
          </cell>
          <cell r="AL129">
            <v>3974.6157760236601</v>
          </cell>
          <cell r="AM129">
            <v>-6871.4733517812419</v>
          </cell>
        </row>
        <row r="130">
          <cell r="P130">
            <v>0</v>
          </cell>
          <cell r="X130">
            <v>0</v>
          </cell>
          <cell r="AC130">
            <v>0</v>
          </cell>
          <cell r="AJ130">
            <v>0</v>
          </cell>
          <cell r="AK130">
            <v>16827.384148484838</v>
          </cell>
          <cell r="AL130">
            <v>4912</v>
          </cell>
          <cell r="AM130">
            <v>-5132.2365200943386</v>
          </cell>
        </row>
        <row r="131">
          <cell r="P131">
            <v>0</v>
          </cell>
          <cell r="X131">
            <v>0</v>
          </cell>
          <cell r="AC131">
            <v>0</v>
          </cell>
          <cell r="AJ131">
            <v>0</v>
          </cell>
          <cell r="AK131">
            <v>-609.48227272726797</v>
          </cell>
          <cell r="AN131">
            <v>0</v>
          </cell>
          <cell r="AP131" t="e">
            <v>#REF!</v>
          </cell>
          <cell r="AR131" t="e">
            <v>#REF!</v>
          </cell>
          <cell r="AU131">
            <v>0</v>
          </cell>
          <cell r="AW131">
            <v>0</v>
          </cell>
        </row>
        <row r="132">
          <cell r="P132">
            <v>0</v>
          </cell>
          <cell r="X132">
            <v>0</v>
          </cell>
          <cell r="AC132">
            <v>0</v>
          </cell>
          <cell r="AJ132">
            <v>0</v>
          </cell>
          <cell r="AK132">
            <v>24039.120212121197</v>
          </cell>
          <cell r="AL132">
            <v>13754.883975903613</v>
          </cell>
          <cell r="AM132">
            <v>9418.9862362175918</v>
          </cell>
          <cell r="AO132">
            <v>0</v>
          </cell>
          <cell r="AP132" t="e">
            <v>#REF!</v>
          </cell>
          <cell r="AU132">
            <v>0</v>
          </cell>
        </row>
        <row r="133">
          <cell r="P133">
            <v>0</v>
          </cell>
          <cell r="X133">
            <v>0</v>
          </cell>
          <cell r="AC133">
            <v>0</v>
          </cell>
          <cell r="AJ133">
            <v>0</v>
          </cell>
          <cell r="AP133" t="e">
            <v>#REF!</v>
          </cell>
          <cell r="AU133" t="e">
            <v>#DIV/0!</v>
          </cell>
        </row>
        <row r="134">
          <cell r="P134">
            <v>0</v>
          </cell>
          <cell r="X134">
            <v>0</v>
          </cell>
          <cell r="AC134">
            <v>0</v>
          </cell>
          <cell r="AJ134">
            <v>0</v>
          </cell>
          <cell r="AK134">
            <v>56002</v>
          </cell>
          <cell r="AM134">
            <v>56002</v>
          </cell>
          <cell r="AN134">
            <v>0</v>
          </cell>
          <cell r="AO134">
            <v>0</v>
          </cell>
          <cell r="AP134" t="e">
            <v>#REF!</v>
          </cell>
          <cell r="AU134" t="e">
            <v>#DIV/0!</v>
          </cell>
        </row>
        <row r="135">
          <cell r="P135">
            <v>0</v>
          </cell>
          <cell r="X135">
            <v>0</v>
          </cell>
          <cell r="AC135">
            <v>0</v>
          </cell>
          <cell r="AJ135">
            <v>0</v>
          </cell>
          <cell r="AK135">
            <v>-6871.4733517812419</v>
          </cell>
          <cell r="AM135">
            <v>58108</v>
          </cell>
          <cell r="AN135">
            <v>0</v>
          </cell>
          <cell r="AO135">
            <v>0</v>
          </cell>
          <cell r="AP135">
            <v>0</v>
          </cell>
          <cell r="AQ135">
            <v>0</v>
          </cell>
          <cell r="AU135">
            <v>0</v>
          </cell>
        </row>
        <row r="136">
          <cell r="P136">
            <v>0</v>
          </cell>
          <cell r="X136">
            <v>0</v>
          </cell>
          <cell r="AC136">
            <v>0</v>
          </cell>
          <cell r="AJ136">
            <v>0</v>
          </cell>
          <cell r="AK136">
            <v>35.44</v>
          </cell>
          <cell r="AN136" t="e">
            <v>#DIV/0!</v>
          </cell>
          <cell r="AO136">
            <v>0</v>
          </cell>
        </row>
        <row r="137">
          <cell r="P137">
            <v>0</v>
          </cell>
          <cell r="X137">
            <v>0</v>
          </cell>
          <cell r="AC137">
            <v>0</v>
          </cell>
          <cell r="AJ137">
            <v>0</v>
          </cell>
          <cell r="AK137">
            <v>39.79</v>
          </cell>
          <cell r="AM137">
            <v>82229</v>
          </cell>
          <cell r="AN137" t="e">
            <v>#DIV/0!</v>
          </cell>
          <cell r="AO137">
            <v>0</v>
          </cell>
          <cell r="AP137">
            <v>36.19</v>
          </cell>
          <cell r="AQ137">
            <v>0</v>
          </cell>
          <cell r="AU137" t="e">
            <v>#DIV/0!</v>
          </cell>
        </row>
        <row r="138">
          <cell r="P138">
            <v>0</v>
          </cell>
          <cell r="X138">
            <v>0</v>
          </cell>
          <cell r="AC138">
            <v>0</v>
          </cell>
          <cell r="AJ138">
            <v>0</v>
          </cell>
          <cell r="AK138">
            <v>0</v>
          </cell>
          <cell r="AN138">
            <v>0</v>
          </cell>
          <cell r="AO138">
            <v>0</v>
          </cell>
        </row>
        <row r="139">
          <cell r="P139">
            <v>0</v>
          </cell>
          <cell r="X139">
            <v>0</v>
          </cell>
          <cell r="AC139">
            <v>0</v>
          </cell>
          <cell r="AJ139">
            <v>0</v>
          </cell>
          <cell r="AK139">
            <v>52.04</v>
          </cell>
          <cell r="AN139">
            <v>0</v>
          </cell>
          <cell r="AO139" t="e">
            <v>#DIV/0!</v>
          </cell>
          <cell r="AP139" t="e">
            <v>#REF!</v>
          </cell>
          <cell r="AU139" t="e">
            <v>#DIV/0!</v>
          </cell>
        </row>
        <row r="140">
          <cell r="P140">
            <v>0</v>
          </cell>
          <cell r="X140">
            <v>0</v>
          </cell>
          <cell r="AC140">
            <v>0</v>
          </cell>
          <cell r="AJ140">
            <v>0</v>
          </cell>
          <cell r="AK140">
            <v>10.96</v>
          </cell>
          <cell r="AN140" t="e">
            <v>#DIV/0!</v>
          </cell>
          <cell r="AO140" t="e">
            <v>#DIV/0!</v>
          </cell>
          <cell r="AP140">
            <v>180931</v>
          </cell>
          <cell r="AQ140">
            <v>180931</v>
          </cell>
        </row>
        <row r="141">
          <cell r="C141" t="str">
            <v>коп/кВтг</v>
          </cell>
          <cell r="P141">
            <v>0</v>
          </cell>
          <cell r="X141">
            <v>0</v>
          </cell>
          <cell r="AC141">
            <v>0</v>
          </cell>
          <cell r="AJ141">
            <v>0</v>
          </cell>
          <cell r="AK141">
            <v>0</v>
          </cell>
          <cell r="AO141">
            <v>0</v>
          </cell>
        </row>
        <row r="142">
          <cell r="P142">
            <v>0</v>
          </cell>
          <cell r="X142">
            <v>0</v>
          </cell>
          <cell r="AC142">
            <v>0</v>
          </cell>
          <cell r="AJ142">
            <v>0</v>
          </cell>
          <cell r="AK142">
            <v>10.72</v>
          </cell>
          <cell r="AN142">
            <v>0</v>
          </cell>
          <cell r="AP142">
            <v>0</v>
          </cell>
        </row>
        <row r="143">
          <cell r="P143">
            <v>0</v>
          </cell>
          <cell r="Q143">
            <v>0</v>
          </cell>
          <cell r="X143">
            <v>0</v>
          </cell>
          <cell r="AC143">
            <v>0</v>
          </cell>
          <cell r="AJ143">
            <v>0</v>
          </cell>
          <cell r="AK143">
            <v>43363</v>
          </cell>
          <cell r="AL143">
            <v>43363</v>
          </cell>
          <cell r="AO143" t="e">
            <v>#DIV/0!</v>
          </cell>
          <cell r="AP143">
            <v>2601</v>
          </cell>
        </row>
        <row r="144">
          <cell r="P144">
            <v>0</v>
          </cell>
          <cell r="X144">
            <v>0</v>
          </cell>
          <cell r="AC144">
            <v>0</v>
          </cell>
          <cell r="AJ144">
            <v>0</v>
          </cell>
          <cell r="AK144">
            <v>56960</v>
          </cell>
          <cell r="AL144">
            <v>56960</v>
          </cell>
          <cell r="AN144">
            <v>0</v>
          </cell>
          <cell r="AP144" t="e">
            <v>#REF!</v>
          </cell>
          <cell r="AQ144">
            <v>180931</v>
          </cell>
          <cell r="AR144" t="e">
            <v>#REF!</v>
          </cell>
          <cell r="AU144">
            <v>0</v>
          </cell>
        </row>
        <row r="145">
          <cell r="P145">
            <v>0</v>
          </cell>
          <cell r="X145">
            <v>0</v>
          </cell>
          <cell r="AC145">
            <v>0</v>
          </cell>
          <cell r="AJ145">
            <v>0</v>
          </cell>
          <cell r="AK145">
            <v>11.11</v>
          </cell>
          <cell r="AO145" t="e">
            <v>#DIV/0!</v>
          </cell>
          <cell r="AP145">
            <v>0</v>
          </cell>
        </row>
        <row r="146">
          <cell r="P146">
            <v>0</v>
          </cell>
          <cell r="X146">
            <v>0</v>
          </cell>
          <cell r="AC146">
            <v>0</v>
          </cell>
          <cell r="AJ146">
            <v>0</v>
          </cell>
          <cell r="AK146">
            <v>15200.952380952382</v>
          </cell>
          <cell r="AL146">
            <v>-42411.38422397634</v>
          </cell>
          <cell r="AM146">
            <v>-62873.473351781242</v>
          </cell>
          <cell r="AP146" t="e">
            <v>#REF!</v>
          </cell>
          <cell r="AQ146">
            <v>180931</v>
          </cell>
          <cell r="AR146" t="e">
            <v>#REF!</v>
          </cell>
        </row>
        <row r="147">
          <cell r="P147">
            <v>0</v>
          </cell>
          <cell r="S147">
            <v>0</v>
          </cell>
          <cell r="X147">
            <v>0</v>
          </cell>
          <cell r="AC147">
            <v>0</v>
          </cell>
          <cell r="AJ147">
            <v>0</v>
          </cell>
          <cell r="AK147">
            <v>865.25</v>
          </cell>
          <cell r="AL147">
            <v>-46268.907419299605</v>
          </cell>
          <cell r="AM147">
            <v>-63240.236520094339</v>
          </cell>
          <cell r="AU147">
            <v>5009</v>
          </cell>
          <cell r="AV147">
            <v>15955</v>
          </cell>
          <cell r="AW147">
            <v>12308.438909090908</v>
          </cell>
          <cell r="AX147" t="e">
            <v>#REF!</v>
          </cell>
        </row>
        <row r="148">
          <cell r="P148">
            <v>0</v>
          </cell>
          <cell r="S148">
            <v>0</v>
          </cell>
          <cell r="X148">
            <v>0</v>
          </cell>
          <cell r="AC148">
            <v>0</v>
          </cell>
          <cell r="AJ148">
            <v>0</v>
          </cell>
          <cell r="AK148">
            <v>865.25</v>
          </cell>
          <cell r="AP148" t="e">
            <v>#REF!</v>
          </cell>
          <cell r="AQ148" t="e">
            <v>#REF!</v>
          </cell>
          <cell r="AR148" t="e">
            <v>#REF!</v>
          </cell>
        </row>
        <row r="149">
          <cell r="P149">
            <v>0</v>
          </cell>
          <cell r="X149">
            <v>0</v>
          </cell>
          <cell r="AC149">
            <v>0</v>
          </cell>
          <cell r="AJ149">
            <v>0</v>
          </cell>
          <cell r="AK149">
            <v>99365</v>
          </cell>
          <cell r="AL149">
            <v>43363</v>
          </cell>
          <cell r="AM149">
            <v>56002</v>
          </cell>
          <cell r="AN149">
            <v>0</v>
          </cell>
        </row>
        <row r="150">
          <cell r="C150">
            <v>0</v>
          </cell>
          <cell r="N150">
            <v>0</v>
          </cell>
          <cell r="P150">
            <v>0</v>
          </cell>
          <cell r="Q150">
            <v>0</v>
          </cell>
          <cell r="S150">
            <v>0</v>
          </cell>
          <cell r="T150">
            <v>0</v>
          </cell>
          <cell r="X150">
            <v>0</v>
          </cell>
          <cell r="Y150">
            <v>0</v>
          </cell>
          <cell r="AC150">
            <v>0</v>
          </cell>
          <cell r="AJ150">
            <v>0</v>
          </cell>
          <cell r="AK150">
            <v>0</v>
          </cell>
          <cell r="AL150">
            <v>56960</v>
          </cell>
          <cell r="AM150">
            <v>58108</v>
          </cell>
          <cell r="AN150">
            <v>0</v>
          </cell>
          <cell r="AO150">
            <v>0</v>
          </cell>
        </row>
        <row r="151">
          <cell r="AK151">
            <v>102388</v>
          </cell>
          <cell r="AL151">
            <v>46386</v>
          </cell>
          <cell r="AM151">
            <v>56002</v>
          </cell>
        </row>
        <row r="152">
          <cell r="C152">
            <v>916.24199999999996</v>
          </cell>
          <cell r="N152">
            <v>1295.5</v>
          </cell>
          <cell r="P152">
            <v>-1295.5</v>
          </cell>
          <cell r="Q152">
            <v>2567.7454545454548</v>
          </cell>
          <cell r="S152">
            <v>-2567.7454545454548</v>
          </cell>
          <cell r="T152">
            <v>1558.3090909090909</v>
          </cell>
          <cell r="W152">
            <v>1510</v>
          </cell>
          <cell r="X152">
            <v>-48.309090909090855</v>
          </cell>
          <cell r="Y152">
            <v>1196.7</v>
          </cell>
          <cell r="AC152">
            <v>-1196.7</v>
          </cell>
          <cell r="AD152">
            <v>1791.7636363636364</v>
          </cell>
          <cell r="AE152">
            <v>1791.7636363636364</v>
          </cell>
          <cell r="AF152">
            <v>0</v>
          </cell>
          <cell r="AG152">
            <v>1946</v>
          </cell>
          <cell r="AH152">
            <v>938</v>
          </cell>
          <cell r="AI152">
            <v>0</v>
          </cell>
          <cell r="AJ152">
            <v>154.23636363636365</v>
          </cell>
          <cell r="AK152">
            <v>0</v>
          </cell>
          <cell r="AL152">
            <v>57720</v>
          </cell>
          <cell r="AM152">
            <v>82229</v>
          </cell>
          <cell r="AN152">
            <v>197</v>
          </cell>
          <cell r="AO152">
            <v>5507</v>
          </cell>
          <cell r="AP152">
            <v>9542.2601818181811</v>
          </cell>
          <cell r="AQ152">
            <v>10450.050256024355</v>
          </cell>
        </row>
        <row r="153">
          <cell r="C153">
            <v>916.24199999999996</v>
          </cell>
          <cell r="AK153">
            <v>-1.9</v>
          </cell>
          <cell r="AL153">
            <v>9.4</v>
          </cell>
          <cell r="AM153">
            <v>-10.9</v>
          </cell>
          <cell r="AO153">
            <v>2093</v>
          </cell>
          <cell r="AP153">
            <v>5098</v>
          </cell>
          <cell r="AQ153">
            <v>4891.9653693155615</v>
          </cell>
          <cell r="AR153">
            <v>11328.349456446114</v>
          </cell>
        </row>
        <row r="154">
          <cell r="N154">
            <v>215</v>
          </cell>
          <cell r="O154">
            <v>272</v>
          </cell>
          <cell r="P154">
            <v>57</v>
          </cell>
          <cell r="Q154">
            <v>1275.7272727272727</v>
          </cell>
          <cell r="R154">
            <v>1487</v>
          </cell>
          <cell r="S154">
            <v>211.27272727272725</v>
          </cell>
          <cell r="T154">
            <v>814</v>
          </cell>
          <cell r="U154">
            <v>317</v>
          </cell>
          <cell r="V154">
            <v>497</v>
          </cell>
          <cell r="W154">
            <v>831</v>
          </cell>
          <cell r="X154">
            <v>17</v>
          </cell>
          <cell r="Y154">
            <v>598</v>
          </cell>
          <cell r="Z154">
            <v>223</v>
          </cell>
          <cell r="AA154">
            <v>375</v>
          </cell>
          <cell r="AB154">
            <v>596</v>
          </cell>
          <cell r="AC154">
            <v>-2</v>
          </cell>
          <cell r="AD154">
            <v>359.09090909090912</v>
          </cell>
          <cell r="AE154">
            <v>359.09090909090912</v>
          </cell>
          <cell r="AF154">
            <v>0</v>
          </cell>
          <cell r="AG154">
            <v>437</v>
          </cell>
          <cell r="AH154">
            <v>265</v>
          </cell>
          <cell r="AI154">
            <v>0</v>
          </cell>
          <cell r="AJ154">
            <v>77.909090909090878</v>
          </cell>
          <cell r="AK154">
            <v>14.437928426710897</v>
          </cell>
          <cell r="AL154">
            <v>-100</v>
          </cell>
          <cell r="AM154">
            <v>-100</v>
          </cell>
          <cell r="AN154">
            <v>0</v>
          </cell>
        </row>
        <row r="155">
          <cell r="N155">
            <v>0</v>
          </cell>
          <cell r="P155">
            <v>0</v>
          </cell>
          <cell r="Q155">
            <v>0</v>
          </cell>
          <cell r="S155">
            <v>0</v>
          </cell>
          <cell r="T155">
            <v>70</v>
          </cell>
          <cell r="X155">
            <v>-70</v>
          </cell>
          <cell r="Y155">
            <v>24</v>
          </cell>
          <cell r="AC155">
            <v>-24</v>
          </cell>
          <cell r="AJ155">
            <v>0</v>
          </cell>
          <cell r="AK155">
            <v>0</v>
          </cell>
          <cell r="AL155">
            <v>0</v>
          </cell>
          <cell r="AM155">
            <v>0</v>
          </cell>
          <cell r="AO155">
            <v>2449</v>
          </cell>
          <cell r="AP155" t="e">
            <v>#REF!</v>
          </cell>
          <cell r="AQ155">
            <v>5344.308649356225</v>
          </cell>
          <cell r="AR155">
            <v>14571.544133725103</v>
          </cell>
        </row>
        <row r="156">
          <cell r="N156">
            <v>0</v>
          </cell>
          <cell r="P156">
            <v>0</v>
          </cell>
          <cell r="Q156">
            <v>0</v>
          </cell>
          <cell r="S156">
            <v>0</v>
          </cell>
          <cell r="T156">
            <v>0</v>
          </cell>
          <cell r="X156">
            <v>0</v>
          </cell>
          <cell r="Y156">
            <v>0</v>
          </cell>
          <cell r="AC156">
            <v>0</v>
          </cell>
          <cell r="AJ156">
            <v>0</v>
          </cell>
          <cell r="AK156">
            <v>20.6</v>
          </cell>
          <cell r="AL156">
            <v>31.3</v>
          </cell>
          <cell r="AM156">
            <v>12.9</v>
          </cell>
          <cell r="AP156" t="e">
            <v>#REF!</v>
          </cell>
        </row>
        <row r="157">
          <cell r="C157" t="e">
            <v>#REF!</v>
          </cell>
          <cell r="N157">
            <v>681</v>
          </cell>
          <cell r="P157">
            <v>-681</v>
          </cell>
          <cell r="Q157">
            <v>1041.8333333333333</v>
          </cell>
          <cell r="S157">
            <v>-1041.8333333333333</v>
          </cell>
          <cell r="T157">
            <v>213</v>
          </cell>
          <cell r="X157">
            <v>-213</v>
          </cell>
          <cell r="Y157">
            <v>1171.0035872727274</v>
          </cell>
          <cell r="AC157">
            <v>-1171.0035872727274</v>
          </cell>
          <cell r="AI157">
            <v>0</v>
          </cell>
          <cell r="AJ157">
            <v>0</v>
          </cell>
          <cell r="AK157">
            <v>0</v>
          </cell>
          <cell r="AL157">
            <v>-100</v>
          </cell>
          <cell r="AM157">
            <v>-100</v>
          </cell>
          <cell r="AP157" t="e">
            <v>#REF!</v>
          </cell>
        </row>
        <row r="158">
          <cell r="C158" t="e">
            <v>#REF!</v>
          </cell>
          <cell r="N158">
            <v>47</v>
          </cell>
          <cell r="P158">
            <v>-47</v>
          </cell>
          <cell r="Q158">
            <v>140</v>
          </cell>
          <cell r="S158">
            <v>-140</v>
          </cell>
          <cell r="T158">
            <v>105</v>
          </cell>
          <cell r="X158">
            <v>-105</v>
          </cell>
          <cell r="Y158">
            <v>190</v>
          </cell>
          <cell r="AC158">
            <v>-190</v>
          </cell>
          <cell r="AF158">
            <v>260</v>
          </cell>
          <cell r="AG158">
            <v>260</v>
          </cell>
          <cell r="AH158">
            <v>0</v>
          </cell>
          <cell r="AJ158">
            <v>0</v>
          </cell>
          <cell r="AK158">
            <v>3115</v>
          </cell>
          <cell r="AL158">
            <v>0</v>
          </cell>
          <cell r="AM158">
            <v>0</v>
          </cell>
          <cell r="AP158" t="e">
            <v>#REF!</v>
          </cell>
        </row>
        <row r="159">
          <cell r="C159" t="e">
            <v>#REF!</v>
          </cell>
          <cell r="N159">
            <v>1248.5</v>
          </cell>
          <cell r="P159">
            <v>-1248.5</v>
          </cell>
          <cell r="Q159">
            <v>140</v>
          </cell>
          <cell r="S159">
            <v>-140</v>
          </cell>
          <cell r="T159" t="str">
            <v xml:space="preserve">                   КОРИГУВАННЯ   ПЛАНУ   НА   СЕРПЕНЬ  1998 р</v>
          </cell>
          <cell r="X159" t="e">
            <v>#VALUE!</v>
          </cell>
          <cell r="Y159">
            <v>1006.7</v>
          </cell>
          <cell r="AC159">
            <v>-1006.7</v>
          </cell>
          <cell r="AF159">
            <v>67.2</v>
          </cell>
          <cell r="AG159">
            <v>67.2</v>
          </cell>
          <cell r="AH159">
            <v>0</v>
          </cell>
          <cell r="AJ159">
            <v>0</v>
          </cell>
          <cell r="AK159">
            <v>1577</v>
          </cell>
          <cell r="AP159" t="e">
            <v>#REF!</v>
          </cell>
        </row>
        <row r="160">
          <cell r="C160" t="e">
            <v>#REF!</v>
          </cell>
          <cell r="N160">
            <v>1295.5</v>
          </cell>
          <cell r="P160">
            <v>-1295.5</v>
          </cell>
          <cell r="Q160">
            <v>280</v>
          </cell>
          <cell r="S160">
            <v>-280</v>
          </cell>
          <cell r="X160">
            <v>0</v>
          </cell>
          <cell r="Y160">
            <v>1196.7</v>
          </cell>
          <cell r="AC160">
            <v>-1196.7</v>
          </cell>
          <cell r="AF160">
            <v>56</v>
          </cell>
          <cell r="AG160">
            <v>56</v>
          </cell>
          <cell r="AH160">
            <v>0</v>
          </cell>
          <cell r="AI160">
            <v>436.44</v>
          </cell>
          <cell r="AJ160">
            <v>0</v>
          </cell>
          <cell r="AK160">
            <v>1455</v>
          </cell>
        </row>
        <row r="161">
          <cell r="N161">
            <v>0</v>
          </cell>
          <cell r="P161">
            <v>0</v>
          </cell>
          <cell r="Q161">
            <v>2287.7454545454548</v>
          </cell>
          <cell r="S161">
            <v>-2287.7454545454548</v>
          </cell>
          <cell r="X161">
            <v>0</v>
          </cell>
          <cell r="Y161">
            <v>0</v>
          </cell>
          <cell r="AC161">
            <v>0</v>
          </cell>
          <cell r="AF161">
            <v>1203</v>
          </cell>
          <cell r="AG161">
            <v>530</v>
          </cell>
          <cell r="AH161">
            <v>673</v>
          </cell>
          <cell r="AJ161">
            <v>0</v>
          </cell>
          <cell r="AK161">
            <v>0</v>
          </cell>
          <cell r="AP161" t="e">
            <v>#REF!</v>
          </cell>
        </row>
        <row r="162">
          <cell r="C162" t="e">
            <v>#REF!</v>
          </cell>
          <cell r="N162" t="e">
            <v>#REF!</v>
          </cell>
          <cell r="P162" t="e">
            <v>#REF!</v>
          </cell>
          <cell r="Q162">
            <v>776</v>
          </cell>
          <cell r="S162">
            <v>-776</v>
          </cell>
          <cell r="X162">
            <v>0</v>
          </cell>
          <cell r="Y162" t="e">
            <v>#REF!</v>
          </cell>
          <cell r="AB162">
            <v>9</v>
          </cell>
          <cell r="AC162" t="e">
            <v>#REF!</v>
          </cell>
          <cell r="AF162">
            <v>560</v>
          </cell>
          <cell r="AG162">
            <v>500</v>
          </cell>
          <cell r="AH162">
            <v>60</v>
          </cell>
          <cell r="AJ162">
            <v>0</v>
          </cell>
          <cell r="AK162">
            <v>0</v>
          </cell>
          <cell r="AP162" t="e">
            <v>#REF!</v>
          </cell>
        </row>
        <row r="163">
          <cell r="C163">
            <v>2152.9490000000001</v>
          </cell>
          <cell r="N163">
            <v>1614.15</v>
          </cell>
          <cell r="O163">
            <v>0</v>
          </cell>
          <cell r="P163">
            <v>-1614.15</v>
          </cell>
          <cell r="Q163">
            <v>1739.5839999999998</v>
          </cell>
          <cell r="R163">
            <v>800</v>
          </cell>
          <cell r="S163">
            <v>-939.58399999999983</v>
          </cell>
          <cell r="T163">
            <v>176.47000000000003</v>
          </cell>
          <cell r="U163">
            <v>0</v>
          </cell>
          <cell r="V163">
            <v>0</v>
          </cell>
          <cell r="W163">
            <v>0</v>
          </cell>
          <cell r="X163">
            <v>-176.47000000000003</v>
          </cell>
          <cell r="Y163">
            <v>225.76000000000002</v>
          </cell>
          <cell r="Z163">
            <v>0</v>
          </cell>
          <cell r="AA163">
            <v>0</v>
          </cell>
          <cell r="AB163">
            <v>432</v>
          </cell>
          <cell r="AC163">
            <v>206.23999999999998</v>
          </cell>
          <cell r="AD163" t="e">
            <v>#REF!</v>
          </cell>
          <cell r="AE163">
            <v>1009.45</v>
          </cell>
          <cell r="AF163">
            <v>77</v>
          </cell>
          <cell r="AG163">
            <v>0</v>
          </cell>
          <cell r="AH163">
            <v>0</v>
          </cell>
          <cell r="AI163">
            <v>0</v>
          </cell>
          <cell r="AJ163" t="e">
            <v>#REF!</v>
          </cell>
          <cell r="AK163">
            <v>0</v>
          </cell>
          <cell r="AL163">
            <v>0</v>
          </cell>
          <cell r="AM163">
            <v>0</v>
          </cell>
          <cell r="AN163" t="e">
            <v>#REF!</v>
          </cell>
          <cell r="AO163">
            <v>1616</v>
          </cell>
          <cell r="AP163" t="e">
            <v>#REF!</v>
          </cell>
          <cell r="AS163">
            <v>2048</v>
          </cell>
        </row>
        <row r="164">
          <cell r="C164">
            <v>-0.5</v>
          </cell>
          <cell r="N164">
            <v>0.20800000000000018</v>
          </cell>
          <cell r="O164">
            <v>0</v>
          </cell>
          <cell r="P164">
            <v>-0.20800000000000018</v>
          </cell>
          <cell r="Q164">
            <v>-0.23600000000000065</v>
          </cell>
          <cell r="R164">
            <v>154</v>
          </cell>
          <cell r="S164">
            <v>154.23599999999999</v>
          </cell>
          <cell r="T164">
            <v>-0.42800000000000082</v>
          </cell>
          <cell r="U164">
            <v>0</v>
          </cell>
          <cell r="V164">
            <v>0</v>
          </cell>
          <cell r="W164">
            <v>79</v>
          </cell>
          <cell r="X164">
            <v>79.427999999999997</v>
          </cell>
          <cell r="Y164">
            <v>6.799999999999784E-2</v>
          </cell>
          <cell r="Z164">
            <v>0</v>
          </cell>
          <cell r="AA164">
            <v>0</v>
          </cell>
          <cell r="AB164">
            <v>86</v>
          </cell>
          <cell r="AC164">
            <v>85.932000000000002</v>
          </cell>
          <cell r="AD164">
            <v>0.28399999999999892</v>
          </cell>
          <cell r="AE164">
            <v>0.28399999999999892</v>
          </cell>
          <cell r="AF164">
            <v>0</v>
          </cell>
          <cell r="AG164">
            <v>30</v>
          </cell>
          <cell r="AH164">
            <v>30</v>
          </cell>
          <cell r="AI164">
            <v>0</v>
          </cell>
          <cell r="AJ164">
            <v>29.716000000000001</v>
          </cell>
          <cell r="AK164">
            <v>0</v>
          </cell>
          <cell r="AL164">
            <v>0</v>
          </cell>
          <cell r="AM164">
            <v>0</v>
          </cell>
          <cell r="AN164" t="e">
            <v>#REF!</v>
          </cell>
          <cell r="AO164">
            <v>0</v>
          </cell>
          <cell r="AP164" t="e">
            <v>#REF!</v>
          </cell>
          <cell r="AS164">
            <v>195</v>
          </cell>
        </row>
        <row r="165">
          <cell r="C165">
            <v>1249.181818181818</v>
          </cell>
          <cell r="N165">
            <v>2372.272727272727</v>
          </cell>
          <cell r="O165">
            <v>2062</v>
          </cell>
          <cell r="P165">
            <v>-310.27272727272702</v>
          </cell>
          <cell r="Q165">
            <v>5435.727272727273</v>
          </cell>
          <cell r="R165">
            <v>5523</v>
          </cell>
          <cell r="S165">
            <v>87.272727272727025</v>
          </cell>
          <cell r="T165">
            <v>2142.727272727273</v>
          </cell>
          <cell r="U165">
            <v>846</v>
          </cell>
          <cell r="V165">
            <v>1296.7272727272727</v>
          </cell>
          <cell r="W165">
            <v>2210</v>
          </cell>
          <cell r="X165">
            <v>67.272727272727025</v>
          </cell>
          <cell r="Y165">
            <v>1732.7272727272727</v>
          </cell>
          <cell r="Z165">
            <v>647</v>
          </cell>
          <cell r="AA165">
            <v>1085.7272727272727</v>
          </cell>
          <cell r="AB165">
            <v>1749</v>
          </cell>
          <cell r="AC165">
            <v>16.272727272727252</v>
          </cell>
          <cell r="AD165">
            <v>4852.6363636363631</v>
          </cell>
          <cell r="AE165">
            <v>4482.6363636363631</v>
          </cell>
          <cell r="AF165">
            <v>370</v>
          </cell>
          <cell r="AG165">
            <v>4464</v>
          </cell>
          <cell r="AH165">
            <v>3202</v>
          </cell>
          <cell r="AI165">
            <v>427</v>
          </cell>
          <cell r="AJ165">
            <v>-388.63636363636306</v>
          </cell>
          <cell r="AK165">
            <v>0</v>
          </cell>
          <cell r="AL165">
            <v>0</v>
          </cell>
          <cell r="AM165">
            <v>0</v>
          </cell>
          <cell r="AN165" t="e">
            <v>#REF!</v>
          </cell>
          <cell r="AO165">
            <v>0</v>
          </cell>
          <cell r="AP165" t="e">
            <v>#REF!</v>
          </cell>
          <cell r="AS165">
            <v>13703</v>
          </cell>
        </row>
        <row r="166">
          <cell r="C166">
            <v>50.333333333333329</v>
          </cell>
          <cell r="N166">
            <v>49.800000000000004</v>
          </cell>
          <cell r="O166">
            <v>51</v>
          </cell>
          <cell r="P166">
            <v>1.1999999999999957</v>
          </cell>
          <cell r="Q166">
            <v>81.400000000000006</v>
          </cell>
          <cell r="R166">
            <v>62</v>
          </cell>
          <cell r="S166">
            <v>-19.400000000000006</v>
          </cell>
          <cell r="T166">
            <v>2606.1999999999998</v>
          </cell>
          <cell r="U166">
            <v>963</v>
          </cell>
          <cell r="V166">
            <v>1643.1999999999998</v>
          </cell>
          <cell r="W166">
            <v>2464</v>
          </cell>
          <cell r="X166">
            <v>-142.19999999999982</v>
          </cell>
          <cell r="Y166">
            <v>112.8</v>
          </cell>
          <cell r="Z166">
            <v>15</v>
          </cell>
          <cell r="AA166">
            <v>23.200000000000003</v>
          </cell>
          <cell r="AB166">
            <v>27</v>
          </cell>
          <cell r="AC166">
            <v>-85.8</v>
          </cell>
          <cell r="AD166">
            <v>36.333333333333336</v>
          </cell>
          <cell r="AE166">
            <v>22</v>
          </cell>
          <cell r="AF166">
            <v>14.333333333333336</v>
          </cell>
          <cell r="AG166">
            <v>44</v>
          </cell>
          <cell r="AH166">
            <v>15</v>
          </cell>
          <cell r="AI166">
            <v>29</v>
          </cell>
          <cell r="AJ166">
            <v>7.6666666666666643</v>
          </cell>
          <cell r="AK166">
            <v>0</v>
          </cell>
          <cell r="AL166">
            <v>0</v>
          </cell>
          <cell r="AM166">
            <v>0</v>
          </cell>
          <cell r="AN166">
            <v>19</v>
          </cell>
          <cell r="AO166">
            <v>0</v>
          </cell>
          <cell r="AP166">
            <v>2846.5333333333333</v>
          </cell>
          <cell r="AS166">
            <v>2610</v>
          </cell>
        </row>
        <row r="167">
          <cell r="C167">
            <v>4690.1399999999985</v>
          </cell>
          <cell r="N167">
            <v>1801.6400000000015</v>
          </cell>
          <cell r="P167">
            <v>0</v>
          </cell>
          <cell r="Q167">
            <v>13559.514000000001</v>
          </cell>
          <cell r="S167">
            <v>0</v>
          </cell>
          <cell r="T167">
            <v>876.30400000002464</v>
          </cell>
          <cell r="X167">
            <v>0</v>
          </cell>
          <cell r="Y167">
            <v>912.96000000001436</v>
          </cell>
          <cell r="AC167">
            <v>0</v>
          </cell>
          <cell r="AE167">
            <v>-6947.0430909090901</v>
          </cell>
          <cell r="AF167">
            <v>157.90909090909091</v>
          </cell>
          <cell r="AG167">
            <v>2466</v>
          </cell>
          <cell r="AH167">
            <v>2561</v>
          </cell>
          <cell r="AK167">
            <v>459</v>
          </cell>
          <cell r="AN167" t="e">
            <v>#REF!</v>
          </cell>
          <cell r="AP167" t="e">
            <v>#REF!</v>
          </cell>
        </row>
        <row r="168">
          <cell r="C168" t="e">
            <v>#REF!</v>
          </cell>
          <cell r="N168">
            <v>1614.15</v>
          </cell>
          <cell r="P168">
            <v>0</v>
          </cell>
          <cell r="S168">
            <v>0</v>
          </cell>
          <cell r="X168">
            <v>0</v>
          </cell>
          <cell r="AC168">
            <v>0</v>
          </cell>
          <cell r="AF168">
            <v>0</v>
          </cell>
          <cell r="AG168">
            <v>0</v>
          </cell>
          <cell r="AH168">
            <v>0</v>
          </cell>
          <cell r="AK168">
            <v>0</v>
          </cell>
        </row>
        <row r="169">
          <cell r="C169" t="e">
            <v>#REF!</v>
          </cell>
          <cell r="P169">
            <v>284</v>
          </cell>
          <cell r="Q169">
            <v>0</v>
          </cell>
          <cell r="R169">
            <v>0</v>
          </cell>
          <cell r="S169">
            <v>3452</v>
          </cell>
          <cell r="T169">
            <v>0</v>
          </cell>
          <cell r="U169">
            <v>0</v>
          </cell>
          <cell r="V169">
            <v>0</v>
          </cell>
          <cell r="W169">
            <v>0</v>
          </cell>
          <cell r="X169">
            <v>219</v>
          </cell>
          <cell r="Y169">
            <v>28724.818181818184</v>
          </cell>
          <cell r="Z169">
            <v>0</v>
          </cell>
          <cell r="AA169">
            <v>0</v>
          </cell>
          <cell r="AB169">
            <v>0</v>
          </cell>
          <cell r="AC169">
            <v>199</v>
          </cell>
          <cell r="AD169">
            <v>26701</v>
          </cell>
          <cell r="AE169">
            <v>0</v>
          </cell>
          <cell r="AF169">
            <v>67.2</v>
          </cell>
          <cell r="AG169">
            <v>67.2</v>
          </cell>
          <cell r="AH169">
            <v>0</v>
          </cell>
          <cell r="AI169">
            <v>118.4</v>
          </cell>
          <cell r="AJ169">
            <v>0</v>
          </cell>
          <cell r="AK169">
            <v>4785.5999999999995</v>
          </cell>
        </row>
        <row r="170">
          <cell r="C170" t="e">
            <v>#REF!</v>
          </cell>
          <cell r="P170">
            <v>284</v>
          </cell>
          <cell r="Q170">
            <v>0</v>
          </cell>
          <cell r="R170">
            <v>0</v>
          </cell>
          <cell r="S170">
            <v>3121</v>
          </cell>
          <cell r="T170">
            <v>0</v>
          </cell>
          <cell r="U170">
            <v>0</v>
          </cell>
          <cell r="V170">
            <v>0</v>
          </cell>
          <cell r="W170">
            <v>0</v>
          </cell>
          <cell r="X170">
            <v>219</v>
          </cell>
          <cell r="Y170">
            <v>28724.818181818184</v>
          </cell>
          <cell r="Z170">
            <v>0</v>
          </cell>
          <cell r="AA170">
            <v>0</v>
          </cell>
          <cell r="AB170">
            <v>0</v>
          </cell>
          <cell r="AC170">
            <v>199</v>
          </cell>
          <cell r="AD170">
            <v>26701</v>
          </cell>
          <cell r="AE170">
            <v>0</v>
          </cell>
          <cell r="AF170">
            <v>67.2</v>
          </cell>
          <cell r="AG170">
            <v>67.2</v>
          </cell>
          <cell r="AH170">
            <v>0</v>
          </cell>
          <cell r="AI170">
            <v>118.4</v>
          </cell>
          <cell r="AJ170">
            <v>0</v>
          </cell>
          <cell r="AK170">
            <v>4454.5999999999995</v>
          </cell>
        </row>
        <row r="171">
          <cell r="P171">
            <v>0</v>
          </cell>
          <cell r="Q171">
            <v>0</v>
          </cell>
          <cell r="R171">
            <v>0</v>
          </cell>
          <cell r="S171">
            <v>331</v>
          </cell>
          <cell r="T171">
            <v>0</v>
          </cell>
          <cell r="U171">
            <v>0</v>
          </cell>
          <cell r="V171">
            <v>0</v>
          </cell>
          <cell r="W171">
            <v>0</v>
          </cell>
          <cell r="X171">
            <v>0</v>
          </cell>
          <cell r="Y171">
            <v>0</v>
          </cell>
          <cell r="Z171">
            <v>0</v>
          </cell>
          <cell r="AA171">
            <v>0</v>
          </cell>
          <cell r="AB171">
            <v>0</v>
          </cell>
          <cell r="AC171">
            <v>0</v>
          </cell>
          <cell r="AD171">
            <v>25802.811515151516</v>
          </cell>
          <cell r="AE171">
            <v>0</v>
          </cell>
          <cell r="AF171">
            <v>0</v>
          </cell>
          <cell r="AG171">
            <v>0</v>
          </cell>
          <cell r="AH171">
            <v>0</v>
          </cell>
          <cell r="AI171">
            <v>0</v>
          </cell>
          <cell r="AJ171">
            <v>0</v>
          </cell>
          <cell r="AK171">
            <v>331</v>
          </cell>
          <cell r="AV171">
            <v>1507.2</v>
          </cell>
        </row>
        <row r="172">
          <cell r="P172">
            <v>2016</v>
          </cell>
          <cell r="Q172">
            <v>0</v>
          </cell>
          <cell r="R172">
            <v>0</v>
          </cell>
          <cell r="S172">
            <v>-474</v>
          </cell>
          <cell r="T172">
            <v>0</v>
          </cell>
          <cell r="U172">
            <v>0</v>
          </cell>
          <cell r="V172">
            <v>0</v>
          </cell>
          <cell r="W172">
            <v>0</v>
          </cell>
          <cell r="X172">
            <v>1029</v>
          </cell>
          <cell r="Y172">
            <v>0</v>
          </cell>
          <cell r="Z172">
            <v>0</v>
          </cell>
          <cell r="AA172">
            <v>0</v>
          </cell>
          <cell r="AB172">
            <v>0</v>
          </cell>
          <cell r="AC172">
            <v>-117</v>
          </cell>
          <cell r="AD172">
            <v>0</v>
          </cell>
          <cell r="AE172">
            <v>0</v>
          </cell>
          <cell r="AF172">
            <v>266</v>
          </cell>
          <cell r="AG172">
            <v>0</v>
          </cell>
          <cell r="AH172">
            <v>0</v>
          </cell>
          <cell r="AJ172">
            <v>0</v>
          </cell>
          <cell r="AK172">
            <v>0</v>
          </cell>
        </row>
        <row r="173">
          <cell r="P173">
            <v>2016</v>
          </cell>
          <cell r="Q173">
            <v>0</v>
          </cell>
          <cell r="R173">
            <v>0</v>
          </cell>
          <cell r="S173">
            <v>-474</v>
          </cell>
          <cell r="T173">
            <v>0</v>
          </cell>
          <cell r="U173">
            <v>0</v>
          </cell>
          <cell r="V173">
            <v>0</v>
          </cell>
          <cell r="W173">
            <v>0</v>
          </cell>
          <cell r="X173">
            <v>1029</v>
          </cell>
          <cell r="Y173">
            <v>0</v>
          </cell>
          <cell r="Z173">
            <v>0</v>
          </cell>
          <cell r="AA173">
            <v>0</v>
          </cell>
          <cell r="AB173">
            <v>0</v>
          </cell>
          <cell r="AC173">
            <v>-117</v>
          </cell>
          <cell r="AD173">
            <v>0</v>
          </cell>
          <cell r="AE173">
            <v>0</v>
          </cell>
          <cell r="AF173">
            <v>266</v>
          </cell>
          <cell r="AG173">
            <v>266</v>
          </cell>
          <cell r="AH173">
            <v>0</v>
          </cell>
          <cell r="AJ173">
            <v>0</v>
          </cell>
          <cell r="AK173">
            <v>0</v>
          </cell>
        </row>
        <row r="174">
          <cell r="C174" t="str">
            <v>АПАРАТ ВСЬОГО</v>
          </cell>
          <cell r="D174" t="str">
            <v>АПАРАТ ЕЛЕКТРО</v>
          </cell>
          <cell r="E174" t="str">
            <v>АПАРАТ ТЕПЛО</v>
          </cell>
          <cell r="N174" t="str">
            <v>ККМ</v>
          </cell>
          <cell r="P174">
            <v>0</v>
          </cell>
          <cell r="Q174" t="str">
            <v>КТМ</v>
          </cell>
          <cell r="R174">
            <v>0</v>
          </cell>
          <cell r="S174">
            <v>0</v>
          </cell>
          <cell r="T174">
            <v>0</v>
          </cell>
          <cell r="U174">
            <v>250</v>
          </cell>
          <cell r="V174">
            <v>0</v>
          </cell>
          <cell r="W174">
            <v>0</v>
          </cell>
          <cell r="X174">
            <v>0</v>
          </cell>
          <cell r="Y174" t="str">
            <v>ТЕЦ-6 ВСЬОГО</v>
          </cell>
          <cell r="Z174" t="str">
            <v>Е/Е</v>
          </cell>
          <cell r="AA174" t="str">
            <v xml:space="preserve"> Т/Е</v>
          </cell>
          <cell r="AB174">
            <v>0</v>
          </cell>
          <cell r="AC174">
            <v>0</v>
          </cell>
          <cell r="AE174">
            <v>0</v>
          </cell>
          <cell r="AF174">
            <v>0</v>
          </cell>
          <cell r="AG174">
            <v>0</v>
          </cell>
          <cell r="AH174">
            <v>0</v>
          </cell>
          <cell r="AJ174">
            <v>0</v>
          </cell>
          <cell r="AK174">
            <v>8992</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P175">
            <v>726</v>
          </cell>
          <cell r="Q175">
            <v>1.895</v>
          </cell>
          <cell r="R175">
            <v>0</v>
          </cell>
          <cell r="S175">
            <v>1685</v>
          </cell>
          <cell r="T175">
            <v>625.85363636363627</v>
          </cell>
          <cell r="U175">
            <v>1.895</v>
          </cell>
          <cell r="V175">
            <v>1.895</v>
          </cell>
          <cell r="W175">
            <v>0</v>
          </cell>
          <cell r="X175">
            <v>653</v>
          </cell>
          <cell r="Y175">
            <v>1.895</v>
          </cell>
          <cell r="Z175">
            <v>1.895</v>
          </cell>
          <cell r="AA175">
            <v>1.895</v>
          </cell>
          <cell r="AB175">
            <v>0</v>
          </cell>
          <cell r="AC175">
            <v>542</v>
          </cell>
          <cell r="AF175">
            <v>1440</v>
          </cell>
          <cell r="AG175">
            <v>1281</v>
          </cell>
          <cell r="AH175">
            <v>159</v>
          </cell>
          <cell r="AJ175">
            <v>0</v>
          </cell>
          <cell r="AK175">
            <v>5605</v>
          </cell>
          <cell r="AN175">
            <v>1.895</v>
          </cell>
          <cell r="AO175">
            <v>699</v>
          </cell>
          <cell r="AP175">
            <v>1.895</v>
          </cell>
          <cell r="AQ175">
            <v>1.895</v>
          </cell>
          <cell r="AU175">
            <v>1.905</v>
          </cell>
          <cell r="AV175">
            <v>1.895</v>
          </cell>
        </row>
        <row r="176">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199</v>
          </cell>
          <cell r="AD176">
            <v>65</v>
          </cell>
          <cell r="AE176">
            <v>134</v>
          </cell>
          <cell r="AF176">
            <v>121</v>
          </cell>
          <cell r="AG176">
            <v>121</v>
          </cell>
          <cell r="AH176">
            <v>0</v>
          </cell>
          <cell r="AJ176">
            <v>0</v>
          </cell>
          <cell r="AK176">
            <v>0</v>
          </cell>
          <cell r="AO176">
            <v>247</v>
          </cell>
          <cell r="AP176">
            <v>610</v>
          </cell>
          <cell r="AQ176">
            <v>920.25</v>
          </cell>
          <cell r="AR176">
            <v>2050.3572727272726</v>
          </cell>
        </row>
        <row r="177">
          <cell r="P177">
            <v>61</v>
          </cell>
          <cell r="Q177">
            <v>132.19999999999999</v>
          </cell>
          <cell r="R177">
            <v>0</v>
          </cell>
          <cell r="S177">
            <v>28</v>
          </cell>
          <cell r="T177">
            <v>21</v>
          </cell>
          <cell r="U177">
            <v>0</v>
          </cell>
          <cell r="V177">
            <v>0</v>
          </cell>
          <cell r="W177">
            <v>0</v>
          </cell>
          <cell r="X177">
            <v>494</v>
          </cell>
          <cell r="Y177">
            <v>68.7</v>
          </cell>
          <cell r="Z177">
            <v>145.36363636363637</v>
          </cell>
          <cell r="AA177">
            <v>0</v>
          </cell>
          <cell r="AB177">
            <v>0</v>
          </cell>
          <cell r="AC177">
            <v>41</v>
          </cell>
          <cell r="AD177">
            <v>88</v>
          </cell>
          <cell r="AE177">
            <v>103.18181818181819</v>
          </cell>
          <cell r="AF177">
            <v>15</v>
          </cell>
          <cell r="AG177">
            <v>14</v>
          </cell>
          <cell r="AH177">
            <v>1</v>
          </cell>
          <cell r="AI177">
            <v>0</v>
          </cell>
          <cell r="AJ177">
            <v>0</v>
          </cell>
          <cell r="AK177">
            <v>47.18439393939866</v>
          </cell>
          <cell r="AN177">
            <v>172</v>
          </cell>
          <cell r="AO177">
            <v>372</v>
          </cell>
          <cell r="AP177">
            <v>200.89999999999998</v>
          </cell>
          <cell r="AQ177">
            <v>47.666666666666657</v>
          </cell>
          <cell r="AU177">
            <v>251.12700000000001</v>
          </cell>
        </row>
        <row r="178">
          <cell r="P178">
            <v>962.45</v>
          </cell>
          <cell r="Q178">
            <v>150.5</v>
          </cell>
          <cell r="R178">
            <v>0</v>
          </cell>
          <cell r="S178">
            <v>2034.72</v>
          </cell>
          <cell r="T178">
            <v>659.81780000000003</v>
          </cell>
          <cell r="U178">
            <v>150.5</v>
          </cell>
          <cell r="V178">
            <v>0</v>
          </cell>
          <cell r="W178">
            <v>0</v>
          </cell>
          <cell r="X178">
            <v>830.12099999999998</v>
          </cell>
          <cell r="Y178">
            <v>78.3</v>
          </cell>
          <cell r="AA178">
            <v>0</v>
          </cell>
          <cell r="AB178">
            <v>0</v>
          </cell>
          <cell r="AC178">
            <v>689.86</v>
          </cell>
          <cell r="AF178">
            <v>1784.8600000000001</v>
          </cell>
          <cell r="AG178">
            <v>1697.909090909091</v>
          </cell>
          <cell r="AH178">
            <v>86.950909090909136</v>
          </cell>
          <cell r="AJ178">
            <v>0</v>
          </cell>
          <cell r="AK178">
            <v>7462.360090909091</v>
          </cell>
          <cell r="AO178">
            <v>292</v>
          </cell>
          <cell r="AP178">
            <v>228.8</v>
          </cell>
          <cell r="AQ178">
            <v>1068.45</v>
          </cell>
          <cell r="AR178">
            <v>2428.0464545454552</v>
          </cell>
          <cell r="AU178">
            <v>288.28500000000003</v>
          </cell>
        </row>
        <row r="179">
          <cell r="N179">
            <v>0</v>
          </cell>
          <cell r="P179">
            <v>450</v>
          </cell>
          <cell r="Q179">
            <v>82.5</v>
          </cell>
          <cell r="R179">
            <v>0</v>
          </cell>
          <cell r="S179">
            <v>688.5</v>
          </cell>
          <cell r="T179">
            <v>0</v>
          </cell>
          <cell r="U179">
            <v>82.5</v>
          </cell>
          <cell r="V179">
            <v>0</v>
          </cell>
          <cell r="W179">
            <v>0</v>
          </cell>
          <cell r="X179">
            <v>416.54545454545456</v>
          </cell>
          <cell r="Y179">
            <v>82.5</v>
          </cell>
          <cell r="Z179">
            <v>241.54545454545456</v>
          </cell>
          <cell r="AA179">
            <v>0</v>
          </cell>
          <cell r="AB179">
            <v>0</v>
          </cell>
          <cell r="AC179">
            <v>179.90909090909091</v>
          </cell>
          <cell r="AD179">
            <v>73</v>
          </cell>
          <cell r="AE179">
            <v>106.90909090909091</v>
          </cell>
          <cell r="AF179">
            <v>157.90909090909091</v>
          </cell>
          <cell r="AG179">
            <v>157.90909090909091</v>
          </cell>
          <cell r="AH179">
            <v>0</v>
          </cell>
          <cell r="AP179">
            <v>82.5</v>
          </cell>
          <cell r="AU179">
            <v>66</v>
          </cell>
        </row>
        <row r="180">
          <cell r="N180">
            <v>0</v>
          </cell>
          <cell r="P180">
            <v>759</v>
          </cell>
          <cell r="Q180">
            <v>156.34</v>
          </cell>
          <cell r="R180">
            <v>0</v>
          </cell>
          <cell r="S180">
            <v>4214.0000000000009</v>
          </cell>
          <cell r="T180">
            <v>13.666666666666666</v>
          </cell>
          <cell r="U180">
            <v>156.34</v>
          </cell>
          <cell r="V180">
            <v>0</v>
          </cell>
          <cell r="W180">
            <v>0</v>
          </cell>
          <cell r="X180">
            <v>502.99999999999835</v>
          </cell>
          <cell r="Y180">
            <v>156.34</v>
          </cell>
          <cell r="AA180">
            <v>0</v>
          </cell>
          <cell r="AB180">
            <v>0</v>
          </cell>
          <cell r="AC180">
            <v>383</v>
          </cell>
          <cell r="AF180">
            <v>1919</v>
          </cell>
          <cell r="AG180">
            <v>1091.0999999999999</v>
          </cell>
          <cell r="AH180">
            <v>827.90000000000009</v>
          </cell>
          <cell r="AJ180">
            <v>0</v>
          </cell>
          <cell r="AK180">
            <v>7665.7360636363592</v>
          </cell>
          <cell r="AO180">
            <v>1507.2</v>
          </cell>
          <cell r="AP180">
            <v>156.34</v>
          </cell>
          <cell r="AQ180">
            <v>-107</v>
          </cell>
          <cell r="AR180">
            <v>-55</v>
          </cell>
          <cell r="AU180">
            <v>125.73</v>
          </cell>
        </row>
        <row r="181">
          <cell r="P181">
            <v>676.66666666666652</v>
          </cell>
          <cell r="Q181">
            <v>20668</v>
          </cell>
          <cell r="S181">
            <v>3680.4666666666681</v>
          </cell>
          <cell r="U181">
            <v>0</v>
          </cell>
          <cell r="X181">
            <v>1136.003333333334</v>
          </cell>
          <cell r="Y181">
            <v>10741</v>
          </cell>
          <cell r="AC181">
            <v>450.60000000000059</v>
          </cell>
          <cell r="AF181">
            <v>1854.0333333333331</v>
          </cell>
          <cell r="AG181">
            <v>1301</v>
          </cell>
          <cell r="AH181">
            <v>545.90000000000009</v>
          </cell>
          <cell r="AN181" t="str">
            <v>ОЧИК.18.02.</v>
          </cell>
          <cell r="AP181">
            <v>31409</v>
          </cell>
          <cell r="AU181">
            <v>31574</v>
          </cell>
        </row>
        <row r="182">
          <cell r="AO182" t="str">
            <v>ОЧИК.18.02.</v>
          </cell>
          <cell r="AP182">
            <v>31409</v>
          </cell>
          <cell r="AU182" t="e">
            <v>#REF!</v>
          </cell>
        </row>
        <row r="183">
          <cell r="P183">
            <v>848.19999999999959</v>
          </cell>
          <cell r="Q183">
            <v>0</v>
          </cell>
          <cell r="S183">
            <v>5161.6000000000004</v>
          </cell>
          <cell r="U183">
            <v>0</v>
          </cell>
          <cell r="X183">
            <v>904.30000000000064</v>
          </cell>
          <cell r="Y183">
            <v>52.1</v>
          </cell>
          <cell r="AC183">
            <v>505.53333333333126</v>
          </cell>
          <cell r="AF183">
            <v>1767.9999999999995</v>
          </cell>
          <cell r="AG183">
            <v>1862</v>
          </cell>
          <cell r="AH183">
            <v>-289</v>
          </cell>
          <cell r="AP183">
            <v>52.1</v>
          </cell>
          <cell r="AU183">
            <v>67.933000000000007</v>
          </cell>
        </row>
        <row r="184">
          <cell r="P184" t="str">
            <v>ККМ</v>
          </cell>
          <cell r="Q184">
            <v>0</v>
          </cell>
          <cell r="S184" t="str">
            <v>КТМ</v>
          </cell>
          <cell r="U184">
            <v>0</v>
          </cell>
          <cell r="X184" t="str">
            <v>ТЕЦ-5 ВСЬОГО</v>
          </cell>
          <cell r="Y184">
            <v>71.3</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v>71.3</v>
          </cell>
          <cell r="AQ184" t="str">
            <v>МЕРЕЖІ ТЕПЛОВІ</v>
          </cell>
          <cell r="AU184">
            <v>91.201999999999998</v>
          </cell>
        </row>
        <row r="185">
          <cell r="C185">
            <v>75</v>
          </cell>
          <cell r="N185">
            <v>75</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Е/Е</v>
          </cell>
          <cell r="AM185" t="str">
            <v xml:space="preserve"> Т/Е</v>
          </cell>
          <cell r="AN185">
            <v>0</v>
          </cell>
          <cell r="AO185" t="str">
            <v>СТАНЦІї ЕЛЕКТРО</v>
          </cell>
          <cell r="AP185">
            <v>98.96042216358839</v>
          </cell>
          <cell r="AQ185" t="str">
            <v>МЕРЕЖІ ЕЛЕКТРО</v>
          </cell>
          <cell r="AR185" t="str">
            <v>МЕРЕЖІ ТЕПЛОВІ</v>
          </cell>
          <cell r="AU185">
            <v>98.96042216358839</v>
          </cell>
        </row>
        <row r="186">
          <cell r="Q186">
            <v>187.53</v>
          </cell>
          <cell r="U186">
            <v>0</v>
          </cell>
          <cell r="Y186">
            <v>187.53</v>
          </cell>
          <cell r="AP186">
            <v>187.53</v>
          </cell>
          <cell r="AU186">
            <v>187.53</v>
          </cell>
        </row>
        <row r="187">
          <cell r="P187" t="str">
            <v>ККМ</v>
          </cell>
          <cell r="Q187">
            <v>0</v>
          </cell>
          <cell r="S187">
            <v>97.3</v>
          </cell>
          <cell r="T187">
            <v>0</v>
          </cell>
          <cell r="X187">
            <v>89.2</v>
          </cell>
          <cell r="Y187">
            <v>9770</v>
          </cell>
          <cell r="Z187" t="str">
            <v xml:space="preserve"> Т/Е</v>
          </cell>
          <cell r="AC187">
            <v>73.2</v>
          </cell>
          <cell r="AD187" t="str">
            <v>Е/Е</v>
          </cell>
          <cell r="AE187" t="str">
            <v xml:space="preserve"> Т/Е</v>
          </cell>
          <cell r="AF187" t="str">
            <v>Е/Е</v>
          </cell>
          <cell r="AG187" t="str">
            <v xml:space="preserve"> Т/Е</v>
          </cell>
          <cell r="AJ187" t="str">
            <v>ДОП.ВИР. СТ.ОРГ.</v>
          </cell>
          <cell r="AK187">
            <v>259.7</v>
          </cell>
          <cell r="AL187" t="str">
            <v>Е/Е</v>
          </cell>
          <cell r="AM187" t="str">
            <v xml:space="preserve"> Т/Е</v>
          </cell>
          <cell r="AN187">
            <v>221.49122807017542</v>
          </cell>
          <cell r="AO187" t="str">
            <v>СТАНЦІї ЕЛЕКТРО</v>
          </cell>
          <cell r="AP187">
            <v>9770</v>
          </cell>
          <cell r="AQ187" t="str">
            <v>МЕРЕЖІ ЕЛЕКТРО</v>
          </cell>
          <cell r="AR187" t="str">
            <v>МЕРЕЖІ ТЕПЛОВІ</v>
          </cell>
          <cell r="AU187">
            <v>12739</v>
          </cell>
        </row>
        <row r="188">
          <cell r="S188">
            <v>111.9</v>
          </cell>
          <cell r="X188">
            <v>102.5</v>
          </cell>
          <cell r="AC188">
            <v>84.2</v>
          </cell>
          <cell r="AK188">
            <v>298.60000000000002</v>
          </cell>
          <cell r="AN188">
            <v>252.49999999999997</v>
          </cell>
          <cell r="AO188">
            <v>221.49122807017542</v>
          </cell>
          <cell r="AP188">
            <v>9770</v>
          </cell>
          <cell r="AU188" t="e">
            <v>#REF!</v>
          </cell>
        </row>
        <row r="189">
          <cell r="P189">
            <v>0</v>
          </cell>
          <cell r="Q189">
            <v>150.5</v>
          </cell>
          <cell r="S189">
            <v>0</v>
          </cell>
          <cell r="T189">
            <v>0</v>
          </cell>
          <cell r="U189">
            <v>51.4</v>
          </cell>
          <cell r="V189">
            <v>-51.4</v>
          </cell>
          <cell r="X189">
            <v>0</v>
          </cell>
          <cell r="Y189">
            <v>149.6</v>
          </cell>
          <cell r="Z189">
            <v>52.7</v>
          </cell>
          <cell r="AA189">
            <v>96.899999999999991</v>
          </cell>
          <cell r="AC189">
            <v>0</v>
          </cell>
          <cell r="AK189">
            <v>377.7</v>
          </cell>
          <cell r="AN189">
            <v>66</v>
          </cell>
          <cell r="AO189">
            <v>252.49999999999997</v>
          </cell>
          <cell r="AP189">
            <v>300.10000000000002</v>
          </cell>
          <cell r="AQ189">
            <v>104.1</v>
          </cell>
          <cell r="AR189">
            <v>196</v>
          </cell>
          <cell r="AU189">
            <v>379.48700000000002</v>
          </cell>
          <cell r="AV189">
            <v>83.676000000000002</v>
          </cell>
          <cell r="AW189">
            <v>295.81100000000004</v>
          </cell>
        </row>
        <row r="190">
          <cell r="P190">
            <v>0</v>
          </cell>
          <cell r="Q190">
            <v>20668</v>
          </cell>
          <cell r="S190">
            <v>194.5</v>
          </cell>
          <cell r="T190">
            <v>0</v>
          </cell>
          <cell r="U190" t="e">
            <v>#DIV/0!</v>
          </cell>
          <cell r="V190" t="e">
            <v>#DIV/0!</v>
          </cell>
          <cell r="X190">
            <v>194.5</v>
          </cell>
          <cell r="Y190">
            <v>20511</v>
          </cell>
          <cell r="Z190">
            <v>7225</v>
          </cell>
          <cell r="AA190">
            <v>13286</v>
          </cell>
          <cell r="AC190">
            <v>194.5</v>
          </cell>
          <cell r="AK190">
            <v>194.5</v>
          </cell>
          <cell r="AN190">
            <v>0</v>
          </cell>
          <cell r="AO190">
            <v>221.49122807017542</v>
          </cell>
          <cell r="AP190" t="e">
            <v>#DIV/0!</v>
          </cell>
          <cell r="AQ190" t="e">
            <v>#DIV/0!</v>
          </cell>
          <cell r="AR190" t="e">
            <v>#DIV/0!</v>
          </cell>
          <cell r="AU190">
            <v>44313</v>
          </cell>
          <cell r="AV190">
            <v>9770.9133329995493</v>
          </cell>
          <cell r="AW190">
            <v>34542.086667000447</v>
          </cell>
        </row>
        <row r="191">
          <cell r="P191">
            <v>0</v>
          </cell>
          <cell r="Q191">
            <v>137.33000000000001</v>
          </cell>
          <cell r="S191">
            <v>18925</v>
          </cell>
          <cell r="T191" t="e">
            <v>#DIV/0!</v>
          </cell>
          <cell r="U191" t="e">
            <v>#DIV/0!</v>
          </cell>
          <cell r="V191" t="e">
            <v>#DIV/0!</v>
          </cell>
          <cell r="X191">
            <v>17350</v>
          </cell>
          <cell r="Y191">
            <v>137.11000000000001</v>
          </cell>
          <cell r="Z191">
            <v>137.1</v>
          </cell>
          <cell r="AA191">
            <v>137.11000000000001</v>
          </cell>
          <cell r="AC191">
            <v>14237</v>
          </cell>
          <cell r="AK191">
            <v>50512</v>
          </cell>
          <cell r="AN191" t="str">
            <v/>
          </cell>
          <cell r="AO191">
            <v>252.49999999999997</v>
          </cell>
          <cell r="AP191" t="e">
            <v>#DIV/0!</v>
          </cell>
          <cell r="AQ191" t="e">
            <v>#DIV/0!</v>
          </cell>
          <cell r="AR191" t="e">
            <v>#DIV/0!</v>
          </cell>
          <cell r="AU191">
            <v>116.77</v>
          </cell>
          <cell r="AV191">
            <v>116.77</v>
          </cell>
          <cell r="AW191">
            <v>116.77</v>
          </cell>
        </row>
        <row r="192">
          <cell r="P192">
            <v>0</v>
          </cell>
          <cell r="S192">
            <v>0</v>
          </cell>
          <cell r="X192">
            <v>0</v>
          </cell>
          <cell r="AC192">
            <v>0</v>
          </cell>
          <cell r="AK192">
            <v>50512</v>
          </cell>
          <cell r="AO192">
            <v>66</v>
          </cell>
          <cell r="AP192">
            <v>0</v>
          </cell>
          <cell r="AQ192">
            <v>0</v>
          </cell>
          <cell r="AR192">
            <v>0</v>
          </cell>
          <cell r="AU192">
            <v>0</v>
          </cell>
          <cell r="AV192">
            <v>0</v>
          </cell>
          <cell r="AW192">
            <v>0</v>
          </cell>
        </row>
        <row r="193">
          <cell r="P193">
            <v>0</v>
          </cell>
          <cell r="S193">
            <v>192.5</v>
          </cell>
          <cell r="T193" t="e">
            <v>#DIV/0!</v>
          </cell>
          <cell r="X193">
            <v>0</v>
          </cell>
          <cell r="Y193">
            <v>20511</v>
          </cell>
          <cell r="AC193">
            <v>0</v>
          </cell>
          <cell r="AK193">
            <v>0</v>
          </cell>
          <cell r="AO193">
            <v>0</v>
          </cell>
          <cell r="AP193" t="e">
            <v>#DIV/0!</v>
          </cell>
          <cell r="AQ193" t="e">
            <v>#DIV/0!</v>
          </cell>
          <cell r="AR193" t="e">
            <v>#DIV/0!</v>
          </cell>
          <cell r="AU193">
            <v>44313</v>
          </cell>
          <cell r="AV193">
            <v>9770.9133329995493</v>
          </cell>
          <cell r="AW193">
            <v>34542.086667000447</v>
          </cell>
        </row>
        <row r="194">
          <cell r="S194">
            <v>21522</v>
          </cell>
          <cell r="X194">
            <v>0</v>
          </cell>
          <cell r="AC194">
            <v>0</v>
          </cell>
          <cell r="AK194">
            <v>0</v>
          </cell>
          <cell r="AO194">
            <v>0</v>
          </cell>
        </row>
        <row r="195">
          <cell r="X195">
            <v>82.5</v>
          </cell>
          <cell r="AC195">
            <v>82.5</v>
          </cell>
          <cell r="AK195">
            <v>69782</v>
          </cell>
        </row>
        <row r="196">
          <cell r="T196" t="str">
            <v>ТЕЦ-5 ВСЬОГО</v>
          </cell>
          <cell r="U196" t="str">
            <v>Е/Е</v>
          </cell>
          <cell r="V196" t="str">
            <v xml:space="preserve"> Т/Е</v>
          </cell>
          <cell r="X196">
            <v>0</v>
          </cell>
          <cell r="Y196" t="str">
            <v>ТЕЦ-6 ВСЬОГО</v>
          </cell>
          <cell r="Z196" t="str">
            <v>Е/Е</v>
          </cell>
          <cell r="AA196" t="str">
            <v xml:space="preserve"> Т/Е</v>
          </cell>
          <cell r="AC196">
            <v>0</v>
          </cell>
          <cell r="AK196">
            <v>0</v>
          </cell>
          <cell r="AP196" t="str">
            <v>АК КЕ ВСЬОГО</v>
          </cell>
          <cell r="AQ196" t="str">
            <v>Е/Е</v>
          </cell>
          <cell r="AR196" t="str">
            <v xml:space="preserve"> Т/Е</v>
          </cell>
        </row>
        <row r="197">
          <cell r="S197">
            <v>0</v>
          </cell>
          <cell r="U197">
            <v>291.85000000000002</v>
          </cell>
          <cell r="V197">
            <v>750</v>
          </cell>
          <cell r="X197">
            <v>0</v>
          </cell>
          <cell r="Z197">
            <v>268.14999999999998</v>
          </cell>
          <cell r="AA197">
            <v>590</v>
          </cell>
          <cell r="AC197">
            <v>0</v>
          </cell>
          <cell r="AK197">
            <v>0</v>
          </cell>
        </row>
        <row r="198">
          <cell r="S198">
            <v>0</v>
          </cell>
          <cell r="U198">
            <v>176.1</v>
          </cell>
          <cell r="V198">
            <v>163.6</v>
          </cell>
          <cell r="X198">
            <v>82.5</v>
          </cell>
          <cell r="Z198">
            <v>196.5</v>
          </cell>
          <cell r="AA198">
            <v>164.2</v>
          </cell>
          <cell r="AC198">
            <v>82.5</v>
          </cell>
          <cell r="AK198">
            <v>0</v>
          </cell>
        </row>
        <row r="199">
          <cell r="U199">
            <v>306.60000000000002</v>
          </cell>
          <cell r="V199">
            <v>112.8</v>
          </cell>
          <cell r="X199">
            <v>13.4</v>
          </cell>
          <cell r="Z199">
            <v>301.89999999999998</v>
          </cell>
          <cell r="AA199">
            <v>116.3</v>
          </cell>
          <cell r="AC199">
            <v>16.100000000000001</v>
          </cell>
          <cell r="AK199">
            <v>29.5</v>
          </cell>
          <cell r="AN199">
            <v>75.839416058394164</v>
          </cell>
        </row>
        <row r="200">
          <cell r="S200">
            <v>0</v>
          </cell>
          <cell r="U200">
            <v>130.50000000000003</v>
          </cell>
          <cell r="V200">
            <v>-50.8</v>
          </cell>
          <cell r="X200">
            <v>18.5</v>
          </cell>
          <cell r="Z200">
            <v>105.39999999999998</v>
          </cell>
          <cell r="AA200">
            <v>-47.899999999999991</v>
          </cell>
          <cell r="AC200">
            <v>22.2</v>
          </cell>
          <cell r="AK200">
            <v>40.700000000000003</v>
          </cell>
          <cell r="AN200">
            <v>103.9</v>
          </cell>
          <cell r="AO200">
            <v>75.839416058394164</v>
          </cell>
        </row>
        <row r="201">
          <cell r="P201">
            <v>75</v>
          </cell>
          <cell r="U201" t="e">
            <v>#DIV/0!</v>
          </cell>
          <cell r="V201" t="e">
            <v>#DIV/0!</v>
          </cell>
          <cell r="X201">
            <v>5.7</v>
          </cell>
          <cell r="Z201">
            <v>137.1</v>
          </cell>
          <cell r="AA201">
            <v>137.11000000000001</v>
          </cell>
          <cell r="AC201">
            <v>5.9</v>
          </cell>
          <cell r="AJ201">
            <v>0</v>
          </cell>
          <cell r="AK201">
            <v>11.600000000000001</v>
          </cell>
          <cell r="AN201" t="e">
            <v>#DIV/0!</v>
          </cell>
          <cell r="AO201">
            <v>103.9</v>
          </cell>
          <cell r="AQ201">
            <v>75</v>
          </cell>
        </row>
        <row r="202">
          <cell r="S202">
            <v>653</v>
          </cell>
          <cell r="U202" t="e">
            <v>#DIV/0!</v>
          </cell>
          <cell r="V202" t="e">
            <v>#DIV/0!</v>
          </cell>
          <cell r="X202">
            <v>653</v>
          </cell>
          <cell r="Z202">
            <v>14.450339999999997</v>
          </cell>
          <cell r="AA202">
            <v>-6.5675689999999998</v>
          </cell>
          <cell r="AC202">
            <v>653</v>
          </cell>
          <cell r="AJ202">
            <v>0</v>
          </cell>
          <cell r="AK202">
            <v>653</v>
          </cell>
          <cell r="AN202">
            <v>195.28</v>
          </cell>
          <cell r="AO202">
            <v>75.839416058394164</v>
          </cell>
          <cell r="AR202">
            <v>75</v>
          </cell>
        </row>
        <row r="203">
          <cell r="S203">
            <v>0</v>
          </cell>
          <cell r="U203" t="e">
            <v>#DIV/0!</v>
          </cell>
          <cell r="V203" t="e">
            <v>#DIV/0!</v>
          </cell>
          <cell r="X203">
            <v>8750</v>
          </cell>
          <cell r="Z203">
            <v>3874.858670999999</v>
          </cell>
          <cell r="AA203">
            <v>-3874.86571</v>
          </cell>
          <cell r="AC203">
            <v>10514</v>
          </cell>
          <cell r="AK203">
            <v>19264</v>
          </cell>
          <cell r="AN203">
            <v>14810</v>
          </cell>
          <cell r="AO203">
            <v>103.9</v>
          </cell>
          <cell r="AQ203" t="e">
            <v>#DIV/0!</v>
          </cell>
          <cell r="AR203" t="e">
            <v>#DIV/0!</v>
          </cell>
        </row>
        <row r="204">
          <cell r="S204">
            <v>0</v>
          </cell>
          <cell r="X204">
            <v>2466</v>
          </cell>
          <cell r="AC204">
            <v>2526</v>
          </cell>
          <cell r="AJ204">
            <v>0</v>
          </cell>
          <cell r="AK204">
            <v>19264</v>
          </cell>
          <cell r="AO204" t="e">
            <v>#DIV/0!</v>
          </cell>
          <cell r="AR204">
            <v>75</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cell r="AV205">
            <v>1507.2</v>
          </cell>
        </row>
        <row r="206">
          <cell r="S206">
            <v>18925</v>
          </cell>
          <cell r="X206">
            <v>26100</v>
          </cell>
          <cell r="Y206">
            <v>11966.09756097561</v>
          </cell>
          <cell r="Z206">
            <v>14133.90243902439</v>
          </cell>
          <cell r="AA206">
            <v>14133.90243902439</v>
          </cell>
          <cell r="AC206">
            <v>24751</v>
          </cell>
          <cell r="AD206">
            <v>12644.477434679333</v>
          </cell>
          <cell r="AE206">
            <v>12106.522565320667</v>
          </cell>
          <cell r="AK206">
            <v>69776</v>
          </cell>
          <cell r="AL206">
            <v>24610.574995654941</v>
          </cell>
          <cell r="AM206">
            <v>45165.425004345059</v>
          </cell>
          <cell r="AN206">
            <v>14810</v>
          </cell>
          <cell r="AO206">
            <v>3112.427048260382</v>
          </cell>
          <cell r="AP206">
            <v>11697.572951739618</v>
          </cell>
          <cell r="AQ206">
            <v>281.5</v>
          </cell>
        </row>
        <row r="207">
          <cell r="S207">
            <v>169.12</v>
          </cell>
          <cell r="X207">
            <v>215.7</v>
          </cell>
          <cell r="Y207">
            <v>319.10000000000002</v>
          </cell>
          <cell r="Z207">
            <v>169.27</v>
          </cell>
          <cell r="AA207">
            <v>13714</v>
          </cell>
          <cell r="AC207">
            <v>232.62</v>
          </cell>
          <cell r="AD207">
            <v>363.35</v>
          </cell>
          <cell r="AE207">
            <v>169.09</v>
          </cell>
          <cell r="AI207" t="str">
            <v/>
          </cell>
          <cell r="AJ207" t="str">
            <v/>
          </cell>
          <cell r="AK207">
            <v>205.65</v>
          </cell>
          <cell r="AL207">
            <v>340.4</v>
          </cell>
          <cell r="AM207">
            <v>169.16</v>
          </cell>
          <cell r="AN207">
            <v>41.55</v>
          </cell>
          <cell r="AO207">
            <v>41.55</v>
          </cell>
          <cell r="AP207">
            <v>41.55</v>
          </cell>
          <cell r="AQ207" t="str">
            <v/>
          </cell>
        </row>
        <row r="208">
          <cell r="S208">
            <v>128</v>
          </cell>
          <cell r="X208">
            <v>152.69999999999999</v>
          </cell>
          <cell r="Y208">
            <v>64.2</v>
          </cell>
          <cell r="Z208">
            <v>88.5</v>
          </cell>
          <cell r="AC208">
            <v>134.30000000000001</v>
          </cell>
          <cell r="AD208">
            <v>54.6</v>
          </cell>
          <cell r="AE208">
            <v>79.7</v>
          </cell>
          <cell r="AJ208" t="str">
            <v/>
          </cell>
          <cell r="AK208">
            <v>415</v>
          </cell>
          <cell r="AL208">
            <v>118.80000000000001</v>
          </cell>
          <cell r="AM208">
            <v>0</v>
          </cell>
          <cell r="AN208">
            <v>52</v>
          </cell>
          <cell r="AO208">
            <v>52</v>
          </cell>
          <cell r="AP208">
            <v>74.900000000000006</v>
          </cell>
          <cell r="AQ208">
            <v>281.5</v>
          </cell>
          <cell r="AR208" t="str">
            <v/>
          </cell>
        </row>
        <row r="209">
          <cell r="S209">
            <v>21522</v>
          </cell>
          <cell r="X209">
            <v>26100</v>
          </cell>
          <cell r="Y209">
            <v>10797</v>
          </cell>
          <cell r="Z209">
            <v>14883</v>
          </cell>
          <cell r="AA209">
            <v>14883</v>
          </cell>
          <cell r="AC209">
            <v>24751</v>
          </cell>
          <cell r="AD209">
            <v>9180</v>
          </cell>
          <cell r="AE209">
            <v>13400</v>
          </cell>
          <cell r="AK209">
            <v>69776</v>
          </cell>
          <cell r="AL209">
            <v>24610.574995654941</v>
          </cell>
          <cell r="AM209">
            <v>45165.425004345059</v>
          </cell>
          <cell r="AN209">
            <v>14862</v>
          </cell>
          <cell r="AO209">
            <v>3164.427048260382</v>
          </cell>
          <cell r="AP209">
            <v>11697.572951739618</v>
          </cell>
          <cell r="AQ209">
            <v>11697.572951739618</v>
          </cell>
        </row>
        <row r="210">
          <cell r="S210">
            <v>168.14</v>
          </cell>
          <cell r="X210">
            <v>168.17</v>
          </cell>
          <cell r="Y210">
            <v>168.18</v>
          </cell>
          <cell r="Z210">
            <v>168.17</v>
          </cell>
          <cell r="AC210">
            <v>168.13</v>
          </cell>
          <cell r="AD210">
            <v>168.13</v>
          </cell>
          <cell r="AE210">
            <v>168.13</v>
          </cell>
          <cell r="AJ210" t="str">
            <v/>
          </cell>
          <cell r="AK210">
            <v>168.15</v>
          </cell>
          <cell r="AL210">
            <v>168.16</v>
          </cell>
          <cell r="AM210">
            <v>168.15</v>
          </cell>
          <cell r="AO210">
            <v>41.55</v>
          </cell>
          <cell r="AP210">
            <v>41.55</v>
          </cell>
          <cell r="AQ210">
            <v>41.55</v>
          </cell>
          <cell r="AR210" t="str">
            <v/>
          </cell>
        </row>
        <row r="211">
          <cell r="AK211">
            <v>69776</v>
          </cell>
          <cell r="AM211">
            <v>0</v>
          </cell>
          <cell r="AO211">
            <v>52</v>
          </cell>
          <cell r="AP211">
            <v>52</v>
          </cell>
        </row>
        <row r="212">
          <cell r="X212">
            <v>25680</v>
          </cell>
          <cell r="AC212">
            <v>22580</v>
          </cell>
          <cell r="AK212">
            <v>69781</v>
          </cell>
          <cell r="AL212">
            <v>19977</v>
          </cell>
          <cell r="AM212">
            <v>49804</v>
          </cell>
          <cell r="AO212">
            <v>14862</v>
          </cell>
          <cell r="AP212">
            <v>3164.427048260382</v>
          </cell>
          <cell r="AQ212">
            <v>11697.572951739618</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7">
          <cell r="AO227">
            <v>1507.2</v>
          </cell>
        </row>
        <row r="228">
          <cell r="C228" t="e">
            <v>#REF!</v>
          </cell>
          <cell r="N228" t="e">
            <v>#REF!</v>
          </cell>
          <cell r="Q228">
            <v>24070.113454545455</v>
          </cell>
          <cell r="T228">
            <v>8491.1123636363882</v>
          </cell>
          <cell r="Y228" t="e">
            <v>#REF!</v>
          </cell>
          <cell r="AN228" t="e">
            <v>#REF!</v>
          </cell>
          <cell r="AP228" t="e">
            <v>#REF!</v>
          </cell>
          <cell r="AQ228" t="e">
            <v>#REF!</v>
          </cell>
        </row>
        <row r="229">
          <cell r="C229" t="e">
            <v>#REF!</v>
          </cell>
          <cell r="N229" t="e">
            <v>#REF!</v>
          </cell>
          <cell r="Q229">
            <v>7411.0435151515139</v>
          </cell>
          <cell r="T229">
            <v>3172.257090909115</v>
          </cell>
          <cell r="Y229" t="e">
            <v>#REF!</v>
          </cell>
          <cell r="AP229" t="e">
            <v>#REF!</v>
          </cell>
          <cell r="AQ229" t="e">
            <v>#REF!</v>
          </cell>
        </row>
        <row r="230">
          <cell r="AP230">
            <v>1507.2</v>
          </cell>
        </row>
        <row r="231">
          <cell r="C231">
            <v>1249.181818181818</v>
          </cell>
          <cell r="N231">
            <v>2372.272727272727</v>
          </cell>
          <cell r="Q231">
            <v>5435.727272727273</v>
          </cell>
          <cell r="T231">
            <v>2142.727272727273</v>
          </cell>
          <cell r="Y231">
            <v>1732.7272727272727</v>
          </cell>
          <cell r="AN231" t="e">
            <v>#REF!</v>
          </cell>
          <cell r="AP231" t="e">
            <v>#REF!</v>
          </cell>
          <cell r="AQ231" t="e">
            <v>#REF!</v>
          </cell>
        </row>
        <row r="232">
          <cell r="C232">
            <v>338</v>
          </cell>
          <cell r="N232">
            <v>648</v>
          </cell>
          <cell r="Q232">
            <v>1482</v>
          </cell>
          <cell r="T232">
            <v>584</v>
          </cell>
          <cell r="Y232">
            <v>472</v>
          </cell>
          <cell r="AP232" t="e">
            <v>#REF!</v>
          </cell>
          <cell r="AQ232" t="e">
            <v>#REF!</v>
          </cell>
        </row>
        <row r="233">
          <cell r="AQ233" t="e">
            <v>#REF!</v>
          </cell>
        </row>
        <row r="234">
          <cell r="C234">
            <v>0</v>
          </cell>
          <cell r="N234">
            <v>0</v>
          </cell>
          <cell r="Q234">
            <v>60.8</v>
          </cell>
          <cell r="T234">
            <v>2406.6</v>
          </cell>
          <cell r="Y234">
            <v>38.200000000000003</v>
          </cell>
          <cell r="AP234">
            <v>2505.6</v>
          </cell>
          <cell r="AQ234" t="e">
            <v>#REF!</v>
          </cell>
        </row>
        <row r="235">
          <cell r="C235">
            <v>2</v>
          </cell>
          <cell r="N235">
            <v>0</v>
          </cell>
          <cell r="Q235">
            <v>0</v>
          </cell>
          <cell r="T235">
            <v>0</v>
          </cell>
          <cell r="Y235">
            <v>0</v>
          </cell>
          <cell r="AP235">
            <v>21</v>
          </cell>
          <cell r="AQ235" t="e">
            <v>#REF!</v>
          </cell>
        </row>
        <row r="236">
          <cell r="C236">
            <v>6110.4140909090911</v>
          </cell>
          <cell r="N236">
            <v>0</v>
          </cell>
          <cell r="Q236">
            <v>526.04999999999995</v>
          </cell>
          <cell r="T236">
            <v>0</v>
          </cell>
          <cell r="Y236">
            <v>0</v>
          </cell>
          <cell r="AP236" t="e">
            <v>#REF!</v>
          </cell>
          <cell r="AQ236" t="e">
            <v>#REF!</v>
          </cell>
        </row>
        <row r="237">
          <cell r="AQ237" t="e">
            <v>#REF!</v>
          </cell>
        </row>
        <row r="238">
          <cell r="C238">
            <v>2152.9490000000001</v>
          </cell>
          <cell r="N238">
            <v>1614.15</v>
          </cell>
          <cell r="Q238">
            <v>1739.5839999999998</v>
          </cell>
          <cell r="T238">
            <v>176.47000000000003</v>
          </cell>
          <cell r="Y238">
            <v>225.76000000000002</v>
          </cell>
          <cell r="AP238" t="e">
            <v>#REF!</v>
          </cell>
          <cell r="AQ238" t="e">
            <v>#REF!</v>
          </cell>
        </row>
        <row r="239">
          <cell r="C239">
            <v>916.24199999999996</v>
          </cell>
          <cell r="N239">
            <v>0</v>
          </cell>
          <cell r="Q239">
            <v>0</v>
          </cell>
          <cell r="T239">
            <v>0</v>
          </cell>
          <cell r="Y239">
            <v>0</v>
          </cell>
          <cell r="AP239">
            <v>0</v>
          </cell>
          <cell r="AQ239" t="e">
            <v>#REF!</v>
          </cell>
        </row>
        <row r="240">
          <cell r="AQ240" t="e">
            <v>#REF!</v>
          </cell>
        </row>
        <row r="241">
          <cell r="C241" t="e">
            <v>#REF!</v>
          </cell>
          <cell r="N241" t="e">
            <v>#REF!</v>
          </cell>
          <cell r="Q241">
            <v>776</v>
          </cell>
          <cell r="T241">
            <v>0</v>
          </cell>
          <cell r="Y241" t="e">
            <v>#REF!</v>
          </cell>
          <cell r="AP241" t="e">
            <v>#REF!</v>
          </cell>
          <cell r="AQ241" t="e">
            <v>#REF!</v>
          </cell>
        </row>
        <row r="242">
          <cell r="AG242" t="str">
            <v xml:space="preserve">         Затверджую</v>
          </cell>
          <cell r="AQ242" t="e">
            <v>#REF!</v>
          </cell>
        </row>
        <row r="243">
          <cell r="AG243" t="str">
            <v xml:space="preserve"> Голова правління </v>
          </cell>
          <cell r="AQ243" t="e">
            <v>#REF!</v>
          </cell>
        </row>
        <row r="244">
          <cell r="C244">
            <v>0</v>
          </cell>
          <cell r="N244">
            <v>0</v>
          </cell>
          <cell r="Q244">
            <v>1473.1853333333333</v>
          </cell>
          <cell r="T244">
            <v>145.25866666666667</v>
          </cell>
          <cell r="Y244">
            <v>100.22533333333334</v>
          </cell>
          <cell r="AG244" t="str">
            <v xml:space="preserve">                        І.В.Плачков</v>
          </cell>
          <cell r="AP244">
            <v>2344.551833476</v>
          </cell>
          <cell r="AQ244" t="e">
            <v>#REF!</v>
          </cell>
        </row>
        <row r="245">
          <cell r="C245">
            <v>0</v>
          </cell>
          <cell r="N245">
            <v>0</v>
          </cell>
          <cell r="Q245">
            <v>113.33333333333334</v>
          </cell>
          <cell r="T245">
            <v>48.626666666666665</v>
          </cell>
          <cell r="Y245">
            <v>65.784000000000006</v>
          </cell>
          <cell r="AG245" t="str">
            <v xml:space="preserve">   "_____" ________2000 р.</v>
          </cell>
          <cell r="AP245">
            <v>276.34120823549074</v>
          </cell>
          <cell r="AQ245" t="e">
            <v>#REF!</v>
          </cell>
        </row>
        <row r="246">
          <cell r="AG246" t="str">
            <v xml:space="preserve"> Голова правління </v>
          </cell>
          <cell r="AQ246" t="e">
            <v>#REF!</v>
          </cell>
        </row>
        <row r="247">
          <cell r="C247">
            <v>0</v>
          </cell>
          <cell r="N247">
            <v>0</v>
          </cell>
          <cell r="Q247">
            <v>0</v>
          </cell>
          <cell r="T247">
            <v>95.642666666666656</v>
          </cell>
          <cell r="Y247">
            <v>206.52799999999999</v>
          </cell>
          <cell r="AG247" t="str">
            <v xml:space="preserve">                        І.В.Плачков</v>
          </cell>
          <cell r="AP247">
            <v>302.17066666666665</v>
          </cell>
          <cell r="AQ247" t="e">
            <v>#REF!</v>
          </cell>
        </row>
        <row r="248">
          <cell r="C248">
            <v>16.399999999999999</v>
          </cell>
          <cell r="N248">
            <v>157.33600000000001</v>
          </cell>
          <cell r="Q248">
            <v>9035.0240000000013</v>
          </cell>
          <cell r="T248">
            <v>0</v>
          </cell>
          <cell r="Y248">
            <v>0</v>
          </cell>
          <cell r="AG248" t="str">
            <v xml:space="preserve">   "_____" ________2000 р.</v>
          </cell>
          <cell r="AP248">
            <v>10205.432000000003</v>
          </cell>
          <cell r="AQ248" t="e">
            <v>#REF!</v>
          </cell>
        </row>
        <row r="249">
          <cell r="C249">
            <v>0</v>
          </cell>
          <cell r="N249">
            <v>0</v>
          </cell>
          <cell r="Q249">
            <v>0</v>
          </cell>
          <cell r="T249">
            <v>0</v>
          </cell>
          <cell r="Y249">
            <v>0</v>
          </cell>
          <cell r="AP249">
            <v>658.33066666666662</v>
          </cell>
          <cell r="AQ249" t="e">
            <v>#REF!</v>
          </cell>
        </row>
        <row r="250">
          <cell r="C250">
            <v>228.66666666666669</v>
          </cell>
          <cell r="N250">
            <v>0</v>
          </cell>
          <cell r="Q250">
            <v>0</v>
          </cell>
          <cell r="T250">
            <v>0</v>
          </cell>
          <cell r="Y250">
            <v>0</v>
          </cell>
          <cell r="AP250">
            <v>228.66666666666669</v>
          </cell>
          <cell r="AQ250" t="e">
            <v>#REF!</v>
          </cell>
        </row>
        <row r="251">
          <cell r="C251">
            <v>-0.5</v>
          </cell>
          <cell r="N251">
            <v>0.20800000000000018</v>
          </cell>
          <cell r="Q251">
            <v>0.76399999999998158</v>
          </cell>
          <cell r="T251">
            <v>-0.42800000000000082</v>
          </cell>
          <cell r="Y251">
            <v>6.799999999999784E-2</v>
          </cell>
          <cell r="AP251" t="e">
            <v>#REF!</v>
          </cell>
          <cell r="AQ251" t="e">
            <v>#REF!</v>
          </cell>
        </row>
        <row r="252">
          <cell r="C252">
            <v>685.56799999999998</v>
          </cell>
          <cell r="N252">
            <v>0.19200000000000017</v>
          </cell>
          <cell r="Q252">
            <v>-0.32000000000000028</v>
          </cell>
          <cell r="T252">
            <v>-0.3360000000000003</v>
          </cell>
          <cell r="Y252">
            <v>0.28000000000000114</v>
          </cell>
          <cell r="AP252" t="e">
            <v>#REF!</v>
          </cell>
          <cell r="AQ252" t="e">
            <v>#REF!</v>
          </cell>
        </row>
        <row r="253">
          <cell r="C253" t="e">
            <v>#REF!</v>
          </cell>
          <cell r="N253" t="e">
            <v>#REF!</v>
          </cell>
          <cell r="Q253">
            <v>4368.9655151515171</v>
          </cell>
          <cell r="T253">
            <v>2996.5510909091154</v>
          </cell>
          <cell r="Y253" t="e">
            <v>#REF!</v>
          </cell>
          <cell r="AP253" t="e">
            <v>#REF!</v>
          </cell>
          <cell r="AQ253" t="e">
            <v>#REF!</v>
          </cell>
        </row>
        <row r="254">
          <cell r="Q254">
            <v>541</v>
          </cell>
          <cell r="T254">
            <v>480</v>
          </cell>
          <cell r="Y254">
            <v>44</v>
          </cell>
          <cell r="AP254">
            <v>524</v>
          </cell>
          <cell r="AQ254" t="e">
            <v>#REF!</v>
          </cell>
        </row>
        <row r="255">
          <cell r="AI255" t="str">
            <v>ТИС.ГРН.</v>
          </cell>
          <cell r="AK255" t="str">
            <v>тис.грн.</v>
          </cell>
        </row>
        <row r="256">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P257">
            <v>2113</v>
          </cell>
          <cell r="S257">
            <v>9843.2727272727279</v>
          </cell>
          <cell r="X257">
            <v>2228.8181818181802</v>
          </cell>
          <cell r="AC257">
            <v>1415</v>
          </cell>
          <cell r="AF257">
            <v>3580.2</v>
          </cell>
          <cell r="AG257">
            <v>2592.2999999999997</v>
          </cell>
          <cell r="AH257">
            <v>988.90000000000009</v>
          </cell>
          <cell r="AJ257">
            <v>7599</v>
          </cell>
          <cell r="AK257">
            <v>23449.290909090909</v>
          </cell>
        </row>
        <row r="258">
          <cell r="AK258" t="str">
            <v>тис.грн.</v>
          </cell>
        </row>
        <row r="259">
          <cell r="P259">
            <v>2113</v>
          </cell>
          <cell r="Q259">
            <v>0</v>
          </cell>
          <cell r="R259">
            <v>0</v>
          </cell>
          <cell r="S259">
            <v>9843.2727272727279</v>
          </cell>
          <cell r="T259">
            <v>4622.9436363636387</v>
          </cell>
          <cell r="U259">
            <v>1761.3290909090908</v>
          </cell>
          <cell r="V259">
            <v>0</v>
          </cell>
          <cell r="W259">
            <v>0</v>
          </cell>
          <cell r="X259">
            <v>2228.8181818181802</v>
          </cell>
          <cell r="Y259">
            <v>624</v>
          </cell>
          <cell r="Z259">
            <v>1385.818181818182</v>
          </cell>
          <cell r="AA259">
            <v>0</v>
          </cell>
          <cell r="AB259">
            <v>0</v>
          </cell>
          <cell r="AC259">
            <v>1415</v>
          </cell>
          <cell r="AD259">
            <v>402</v>
          </cell>
          <cell r="AE259">
            <v>814</v>
          </cell>
          <cell r="AF259">
            <v>3580.2</v>
          </cell>
          <cell r="AG259">
            <v>2592.2999999999997</v>
          </cell>
          <cell r="AH259">
            <v>988.90000000000009</v>
          </cell>
          <cell r="AI259">
            <v>976.66666666666663</v>
          </cell>
          <cell r="AJ259">
            <v>0</v>
          </cell>
          <cell r="AK259">
            <v>115402.7813852814</v>
          </cell>
          <cell r="AL259" t="str">
            <v>АК КЕ ВСЬОГО</v>
          </cell>
          <cell r="AM259">
            <v>100230.25</v>
          </cell>
          <cell r="AO259" t="str">
            <v>СТАНЦІї ЕЛЕКТРО</v>
          </cell>
          <cell r="AP259" t="str">
            <v>СТАНЦІІ ТЕПЛОВІ</v>
          </cell>
          <cell r="AQ259" t="str">
            <v>МЕРЕЖІ ЕЛЕКТРО</v>
          </cell>
          <cell r="AR259" t="str">
            <v>МЕРЕЖІ ТЕПЛОВІ</v>
          </cell>
        </row>
        <row r="260">
          <cell r="P260">
            <v>821</v>
          </cell>
          <cell r="S260">
            <v>3495.166666666667</v>
          </cell>
          <cell r="T260">
            <v>3789.8900000000026</v>
          </cell>
          <cell r="U260">
            <v>23.1099999999999</v>
          </cell>
          <cell r="X260">
            <v>1223.9999999999984</v>
          </cell>
          <cell r="Y260">
            <v>316</v>
          </cell>
          <cell r="Z260">
            <v>704.00000000000023</v>
          </cell>
          <cell r="AC260">
            <v>499</v>
          </cell>
          <cell r="AD260">
            <v>50</v>
          </cell>
          <cell r="AE260">
            <v>89</v>
          </cell>
          <cell r="AF260">
            <v>508.99999999999983</v>
          </cell>
          <cell r="AG260">
            <v>462.19999999999965</v>
          </cell>
          <cell r="AH260">
            <v>47.800000000000068</v>
          </cell>
          <cell r="AI260">
            <v>697.66666666666663</v>
          </cell>
          <cell r="AJ260">
            <v>-2455</v>
          </cell>
          <cell r="AK260">
            <v>101430.05714285716</v>
          </cell>
          <cell r="AM260">
            <v>18030.423809523811</v>
          </cell>
        </row>
        <row r="261">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100507.92380952381</v>
          </cell>
        </row>
        <row r="262">
          <cell r="P262">
            <v>4488.6499999999996</v>
          </cell>
          <cell r="Q262">
            <v>0</v>
          </cell>
          <cell r="R262">
            <v>0</v>
          </cell>
          <cell r="S262">
            <v>7346.4866666666676</v>
          </cell>
          <cell r="T262">
            <v>5021.7877999999982</v>
          </cell>
          <cell r="U262">
            <v>2888.6988666666671</v>
          </cell>
          <cell r="V262">
            <v>0</v>
          </cell>
          <cell r="W262">
            <v>0</v>
          </cell>
          <cell r="X262">
            <v>4384.8755454545462</v>
          </cell>
          <cell r="Y262">
            <v>1410</v>
          </cell>
          <cell r="Z262">
            <v>1945.8755454545426</v>
          </cell>
          <cell r="AA262">
            <v>0</v>
          </cell>
          <cell r="AB262">
            <v>0</v>
          </cell>
          <cell r="AC262">
            <v>1635.8175757575736</v>
          </cell>
          <cell r="AD262">
            <v>711</v>
          </cell>
          <cell r="AE262">
            <v>1041.8175757575755</v>
          </cell>
          <cell r="AF262">
            <v>4864.9509090909087</v>
          </cell>
          <cell r="AG262">
            <v>4394</v>
          </cell>
          <cell r="AH262">
            <v>470.95090909090914</v>
          </cell>
          <cell r="AJ262">
            <v>0</v>
          </cell>
          <cell r="AK262">
            <v>69776</v>
          </cell>
          <cell r="AM262">
            <v>140814.25</v>
          </cell>
        </row>
        <row r="263">
          <cell r="P263">
            <v>1810.5333333333328</v>
          </cell>
          <cell r="S263">
            <v>950.26666666666756</v>
          </cell>
          <cell r="T263">
            <v>4053.4899999999989</v>
          </cell>
          <cell r="U263">
            <v>582.7766666666671</v>
          </cell>
          <cell r="X263">
            <v>2340.3000000000006</v>
          </cell>
          <cell r="Y263">
            <v>1035</v>
          </cell>
          <cell r="Z263">
            <v>1427.2999999999972</v>
          </cell>
          <cell r="AC263">
            <v>228.86666666666451</v>
          </cell>
          <cell r="AD263">
            <v>290</v>
          </cell>
          <cell r="AE263">
            <v>425.86666666666639</v>
          </cell>
          <cell r="AF263">
            <v>1275.9999999999995</v>
          </cell>
          <cell r="AG263">
            <v>1800</v>
          </cell>
          <cell r="AH263">
            <v>-524</v>
          </cell>
          <cell r="AJ263">
            <v>-2455</v>
          </cell>
          <cell r="AK263">
            <v>11292</v>
          </cell>
          <cell r="AM263">
            <v>14398.82380952381</v>
          </cell>
        </row>
        <row r="264">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10092.257142857143</v>
          </cell>
        </row>
        <row r="265">
          <cell r="AK265">
            <v>498</v>
          </cell>
        </row>
        <row r="266">
          <cell r="AK266">
            <v>0</v>
          </cell>
        </row>
        <row r="267">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4104.2571428571437</v>
          </cell>
        </row>
        <row r="268">
          <cell r="AK268">
            <v>3500</v>
          </cell>
        </row>
        <row r="269">
          <cell r="AK269">
            <v>0</v>
          </cell>
        </row>
        <row r="270">
          <cell r="P270">
            <v>0</v>
          </cell>
          <cell r="S270">
            <v>0</v>
          </cell>
          <cell r="X270">
            <v>0</v>
          </cell>
          <cell r="AC270">
            <v>0</v>
          </cell>
          <cell r="AF270">
            <v>0</v>
          </cell>
          <cell r="AG270">
            <v>0</v>
          </cell>
          <cell r="AH270">
            <v>0</v>
          </cell>
          <cell r="AI270">
            <v>0</v>
          </cell>
          <cell r="AK270">
            <v>1990</v>
          </cell>
        </row>
        <row r="271">
          <cell r="AK271">
            <v>9242.6666666666661</v>
          </cell>
        </row>
        <row r="272">
          <cell r="P272">
            <v>0</v>
          </cell>
          <cell r="S272">
            <v>0</v>
          </cell>
          <cell r="X272">
            <v>0</v>
          </cell>
          <cell r="AC272">
            <v>0</v>
          </cell>
          <cell r="AF272">
            <v>0</v>
          </cell>
          <cell r="AG272">
            <v>0</v>
          </cell>
          <cell r="AH272">
            <v>0</v>
          </cell>
          <cell r="AI272">
            <v>0</v>
          </cell>
          <cell r="AK272">
            <v>105</v>
          </cell>
        </row>
        <row r="273">
          <cell r="P273">
            <v>2113</v>
          </cell>
          <cell r="Q273">
            <v>0</v>
          </cell>
          <cell r="R273">
            <v>0</v>
          </cell>
          <cell r="S273">
            <v>9843.2727272727279</v>
          </cell>
          <cell r="T273">
            <v>0</v>
          </cell>
          <cell r="U273">
            <v>0</v>
          </cell>
          <cell r="V273">
            <v>0</v>
          </cell>
          <cell r="W273">
            <v>0</v>
          </cell>
          <cell r="X273">
            <v>2228.8181818181802</v>
          </cell>
          <cell r="Y273">
            <v>0</v>
          </cell>
          <cell r="Z273">
            <v>0</v>
          </cell>
          <cell r="AA273">
            <v>0</v>
          </cell>
          <cell r="AB273">
            <v>0</v>
          </cell>
          <cell r="AC273">
            <v>1415</v>
          </cell>
          <cell r="AD273">
            <v>0</v>
          </cell>
          <cell r="AE273">
            <v>0</v>
          </cell>
          <cell r="AF273">
            <v>3580.2</v>
          </cell>
          <cell r="AG273">
            <v>2592.2999999999997</v>
          </cell>
          <cell r="AH273">
            <v>988.90000000000009</v>
          </cell>
          <cell r="AI273">
            <v>0</v>
          </cell>
          <cell r="AK273">
            <v>123957.21471861472</v>
          </cell>
        </row>
        <row r="274">
          <cell r="P274">
            <v>1139</v>
          </cell>
          <cell r="Q274">
            <v>0</v>
          </cell>
          <cell r="R274">
            <v>0</v>
          </cell>
          <cell r="S274">
            <v>6250.833333333333</v>
          </cell>
          <cell r="T274">
            <v>646.85363636363627</v>
          </cell>
          <cell r="U274">
            <v>650.41909090909098</v>
          </cell>
          <cell r="V274">
            <v>0</v>
          </cell>
          <cell r="W274">
            <v>0</v>
          </cell>
          <cell r="X274">
            <v>1324</v>
          </cell>
          <cell r="Y274">
            <v>265</v>
          </cell>
          <cell r="Z274">
            <v>586.81818181818176</v>
          </cell>
          <cell r="AA274">
            <v>0</v>
          </cell>
          <cell r="AB274">
            <v>0</v>
          </cell>
          <cell r="AC274">
            <v>752</v>
          </cell>
          <cell r="AD274">
            <v>117</v>
          </cell>
          <cell r="AE274">
            <v>240</v>
          </cell>
          <cell r="AF274">
            <v>3044.2</v>
          </cell>
          <cell r="AG274">
            <v>2103.1</v>
          </cell>
          <cell r="AH274">
            <v>941.1</v>
          </cell>
          <cell r="AI274">
            <v>279</v>
          </cell>
          <cell r="AK274">
            <v>14686.7</v>
          </cell>
        </row>
        <row r="275">
          <cell r="P275">
            <v>726</v>
          </cell>
          <cell r="S275">
            <v>1685</v>
          </cell>
          <cell r="T275">
            <v>625.85363636363627</v>
          </cell>
          <cell r="U275">
            <v>650.41909090909098</v>
          </cell>
          <cell r="X275">
            <v>653</v>
          </cell>
          <cell r="Y275">
            <v>117</v>
          </cell>
          <cell r="Z275">
            <v>257.81818181818181</v>
          </cell>
          <cell r="AC275">
            <v>542</v>
          </cell>
          <cell r="AD275">
            <v>112</v>
          </cell>
          <cell r="AE275">
            <v>231</v>
          </cell>
          <cell r="AF275">
            <v>1440</v>
          </cell>
          <cell r="AG275">
            <v>1281</v>
          </cell>
          <cell r="AH275">
            <v>159</v>
          </cell>
          <cell r="AI275">
            <v>279</v>
          </cell>
          <cell r="AK275">
            <v>5764</v>
          </cell>
        </row>
        <row r="276">
          <cell r="P276">
            <v>0</v>
          </cell>
          <cell r="Q276">
            <v>0</v>
          </cell>
          <cell r="R276">
            <v>0</v>
          </cell>
          <cell r="S276">
            <v>21</v>
          </cell>
          <cell r="T276">
            <v>21</v>
          </cell>
          <cell r="U276">
            <v>0</v>
          </cell>
          <cell r="V276">
            <v>0</v>
          </cell>
          <cell r="W276">
            <v>0</v>
          </cell>
          <cell r="X276">
            <v>477</v>
          </cell>
          <cell r="Y276">
            <v>148</v>
          </cell>
          <cell r="Z276">
            <v>329</v>
          </cell>
          <cell r="AA276">
            <v>0</v>
          </cell>
          <cell r="AB276">
            <v>0</v>
          </cell>
          <cell r="AC276">
            <v>0</v>
          </cell>
          <cell r="AD276">
            <v>5</v>
          </cell>
          <cell r="AE276">
            <v>9</v>
          </cell>
          <cell r="AF276">
            <v>0</v>
          </cell>
          <cell r="AG276">
            <v>0</v>
          </cell>
          <cell r="AH276">
            <v>0</v>
          </cell>
          <cell r="AI276">
            <v>0</v>
          </cell>
          <cell r="AK276">
            <v>498</v>
          </cell>
        </row>
        <row r="277">
          <cell r="P277">
            <v>321</v>
          </cell>
          <cell r="Q277">
            <v>0</v>
          </cell>
          <cell r="R277">
            <v>0</v>
          </cell>
          <cell r="S277">
            <v>1138.8333333333333</v>
          </cell>
          <cell r="T277">
            <v>0</v>
          </cell>
          <cell r="U277">
            <v>0</v>
          </cell>
          <cell r="V277">
            <v>0</v>
          </cell>
          <cell r="W277">
            <v>0</v>
          </cell>
          <cell r="X277">
            <v>176</v>
          </cell>
          <cell r="Y277">
            <v>0</v>
          </cell>
          <cell r="Z277">
            <v>0</v>
          </cell>
          <cell r="AA277">
            <v>0</v>
          </cell>
          <cell r="AB277">
            <v>0</v>
          </cell>
          <cell r="AC277">
            <v>163</v>
          </cell>
          <cell r="AD277">
            <v>0</v>
          </cell>
          <cell r="AE277">
            <v>0</v>
          </cell>
          <cell r="AF277">
            <v>450.2</v>
          </cell>
          <cell r="AG277">
            <v>418.2</v>
          </cell>
          <cell r="AH277">
            <v>32</v>
          </cell>
          <cell r="AI277">
            <v>0</v>
          </cell>
          <cell r="AK277">
            <v>3341.0333333333328</v>
          </cell>
        </row>
        <row r="278">
          <cell r="P278">
            <v>56</v>
          </cell>
          <cell r="S278">
            <v>400.83333333333331</v>
          </cell>
          <cell r="T278">
            <v>659.81780000000003</v>
          </cell>
          <cell r="U278">
            <v>686.40219999999999</v>
          </cell>
          <cell r="X278">
            <v>75</v>
          </cell>
          <cell r="Y278">
            <v>173</v>
          </cell>
          <cell r="Z278">
            <v>240.57554545454542</v>
          </cell>
          <cell r="AC278">
            <v>40</v>
          </cell>
          <cell r="AD278">
            <v>207</v>
          </cell>
          <cell r="AE278">
            <v>302.95090909090908</v>
          </cell>
          <cell r="AF278">
            <v>295</v>
          </cell>
          <cell r="AG278">
            <v>263</v>
          </cell>
          <cell r="AH278">
            <v>32</v>
          </cell>
          <cell r="AI278">
            <v>0</v>
          </cell>
          <cell r="AK278">
            <v>1058.8333333333333</v>
          </cell>
        </row>
        <row r="279">
          <cell r="P279">
            <v>10</v>
          </cell>
          <cell r="Q279">
            <v>0</v>
          </cell>
          <cell r="R279">
            <v>0</v>
          </cell>
          <cell r="S279">
            <v>0</v>
          </cell>
          <cell r="T279">
            <v>13.666666666666666</v>
          </cell>
          <cell r="U279">
            <v>0</v>
          </cell>
          <cell r="V279">
            <v>0</v>
          </cell>
          <cell r="W279">
            <v>0</v>
          </cell>
          <cell r="X279">
            <v>0</v>
          </cell>
          <cell r="Y279">
            <v>262</v>
          </cell>
          <cell r="Z279">
            <v>361</v>
          </cell>
          <cell r="AA279">
            <v>0</v>
          </cell>
          <cell r="AB279">
            <v>0</v>
          </cell>
          <cell r="AC279">
            <v>20</v>
          </cell>
          <cell r="AD279">
            <v>5</v>
          </cell>
          <cell r="AE279">
            <v>8.3333333333333339</v>
          </cell>
          <cell r="AF279">
            <v>32</v>
          </cell>
          <cell r="AG279">
            <v>32</v>
          </cell>
          <cell r="AH279">
            <v>0</v>
          </cell>
          <cell r="AI279">
            <v>0</v>
          </cell>
          <cell r="AK279">
            <v>360</v>
          </cell>
        </row>
        <row r="280">
          <cell r="P280">
            <v>190</v>
          </cell>
          <cell r="Q280">
            <v>0</v>
          </cell>
          <cell r="R280">
            <v>0</v>
          </cell>
          <cell r="S280">
            <v>690</v>
          </cell>
          <cell r="T280">
            <v>0</v>
          </cell>
          <cell r="U280">
            <v>0</v>
          </cell>
          <cell r="V280">
            <v>0</v>
          </cell>
          <cell r="W280">
            <v>0</v>
          </cell>
          <cell r="X280">
            <v>0</v>
          </cell>
          <cell r="Y280">
            <v>0</v>
          </cell>
          <cell r="Z280">
            <v>0</v>
          </cell>
          <cell r="AA280">
            <v>0</v>
          </cell>
          <cell r="AB280">
            <v>9</v>
          </cell>
          <cell r="AC280">
            <v>60</v>
          </cell>
          <cell r="AD280">
            <v>0</v>
          </cell>
          <cell r="AE280">
            <v>0</v>
          </cell>
          <cell r="AF280">
            <v>67.2</v>
          </cell>
          <cell r="AG280">
            <v>67.2</v>
          </cell>
          <cell r="AH280">
            <v>35</v>
          </cell>
          <cell r="AK280">
            <v>1067.2</v>
          </cell>
        </row>
        <row r="281">
          <cell r="P281">
            <v>65</v>
          </cell>
          <cell r="S281">
            <v>48</v>
          </cell>
          <cell r="X281">
            <v>101</v>
          </cell>
          <cell r="AC281">
            <v>43</v>
          </cell>
          <cell r="AF281">
            <v>56</v>
          </cell>
          <cell r="AG281">
            <v>56</v>
          </cell>
          <cell r="AH281">
            <v>0</v>
          </cell>
          <cell r="AK281">
            <v>855</v>
          </cell>
        </row>
        <row r="282">
          <cell r="P282">
            <v>92</v>
          </cell>
          <cell r="Q282">
            <v>0</v>
          </cell>
          <cell r="R282">
            <v>0</v>
          </cell>
          <cell r="S282">
            <v>3156</v>
          </cell>
          <cell r="T282">
            <v>0</v>
          </cell>
          <cell r="U282">
            <v>0</v>
          </cell>
          <cell r="V282">
            <v>0</v>
          </cell>
          <cell r="W282">
            <v>0</v>
          </cell>
          <cell r="X282">
            <v>18</v>
          </cell>
          <cell r="Y282">
            <v>0</v>
          </cell>
          <cell r="Z282">
            <v>0</v>
          </cell>
          <cell r="AA282">
            <v>0</v>
          </cell>
          <cell r="AB282">
            <v>0</v>
          </cell>
          <cell r="AC282">
            <v>47</v>
          </cell>
          <cell r="AD282">
            <v>0</v>
          </cell>
          <cell r="AE282">
            <v>0</v>
          </cell>
          <cell r="AF282">
            <v>1154</v>
          </cell>
          <cell r="AG282">
            <v>403.9</v>
          </cell>
          <cell r="AH282">
            <v>750.1</v>
          </cell>
          <cell r="AI282">
            <v>0</v>
          </cell>
          <cell r="AK282">
            <v>4833.6666666666661</v>
          </cell>
        </row>
        <row r="283">
          <cell r="P283">
            <v>1</v>
          </cell>
          <cell r="S283">
            <v>0</v>
          </cell>
          <cell r="X283">
            <v>18</v>
          </cell>
          <cell r="AC283">
            <v>47</v>
          </cell>
          <cell r="AF283">
            <v>0</v>
          </cell>
          <cell r="AG283">
            <v>0</v>
          </cell>
          <cell r="AH283">
            <v>0</v>
          </cell>
          <cell r="AI283">
            <v>0</v>
          </cell>
          <cell r="AK283">
            <v>66</v>
          </cell>
        </row>
        <row r="284">
          <cell r="P284">
            <v>91</v>
          </cell>
          <cell r="Q284">
            <v>0</v>
          </cell>
          <cell r="R284">
            <v>0</v>
          </cell>
          <cell r="S284">
            <v>3156</v>
          </cell>
          <cell r="T284">
            <v>0</v>
          </cell>
          <cell r="U284">
            <v>0</v>
          </cell>
          <cell r="V284">
            <v>0</v>
          </cell>
          <cell r="W284">
            <v>0</v>
          </cell>
          <cell r="X284">
            <v>0</v>
          </cell>
          <cell r="Y284">
            <v>0</v>
          </cell>
          <cell r="Z284">
            <v>0</v>
          </cell>
          <cell r="AA284">
            <v>0</v>
          </cell>
          <cell r="AB284">
            <v>9</v>
          </cell>
          <cell r="AC284">
            <v>0</v>
          </cell>
          <cell r="AD284">
            <v>0</v>
          </cell>
          <cell r="AE284">
            <v>0</v>
          </cell>
          <cell r="AF284">
            <v>1154</v>
          </cell>
          <cell r="AG284">
            <v>403.9</v>
          </cell>
          <cell r="AH284">
            <v>750.1</v>
          </cell>
          <cell r="AI284">
            <v>0</v>
          </cell>
          <cell r="AJ284">
            <v>0</v>
          </cell>
          <cell r="AK284">
            <v>4404</v>
          </cell>
        </row>
        <row r="285">
          <cell r="P285">
            <v>62.666666666666664</v>
          </cell>
          <cell r="Q285">
            <v>0</v>
          </cell>
          <cell r="R285">
            <v>0</v>
          </cell>
          <cell r="S285">
            <v>2524</v>
          </cell>
          <cell r="T285">
            <v>0</v>
          </cell>
          <cell r="U285">
            <v>0</v>
          </cell>
          <cell r="V285">
            <v>0</v>
          </cell>
          <cell r="W285">
            <v>0</v>
          </cell>
          <cell r="X285">
            <v>142</v>
          </cell>
          <cell r="Y285">
            <v>0</v>
          </cell>
          <cell r="Z285">
            <v>0</v>
          </cell>
          <cell r="AA285">
            <v>0</v>
          </cell>
          <cell r="AB285">
            <v>0</v>
          </cell>
          <cell r="AC285">
            <v>0</v>
          </cell>
          <cell r="AD285">
            <v>0</v>
          </cell>
          <cell r="AE285">
            <v>0</v>
          </cell>
          <cell r="AF285">
            <v>306</v>
          </cell>
          <cell r="AG285">
            <v>106</v>
          </cell>
          <cell r="AH285">
            <v>200</v>
          </cell>
          <cell r="AK285">
            <v>363.66666666666663</v>
          </cell>
        </row>
        <row r="286">
          <cell r="P286">
            <v>0</v>
          </cell>
          <cell r="S286">
            <v>250</v>
          </cell>
          <cell r="X286">
            <v>142</v>
          </cell>
          <cell r="AC286">
            <v>0</v>
          </cell>
          <cell r="AF286">
            <v>0</v>
          </cell>
          <cell r="AG286">
            <v>0</v>
          </cell>
          <cell r="AH286">
            <v>0</v>
          </cell>
          <cell r="AI286">
            <v>0</v>
          </cell>
          <cell r="AK286">
            <v>250</v>
          </cell>
        </row>
        <row r="287">
          <cell r="P287">
            <v>974</v>
          </cell>
          <cell r="Q287">
            <v>0</v>
          </cell>
          <cell r="R287">
            <v>0</v>
          </cell>
          <cell r="S287">
            <v>3592.4393939393949</v>
          </cell>
          <cell r="T287">
            <v>-646.85363636363627</v>
          </cell>
          <cell r="U287">
            <v>-650.41909090909098</v>
          </cell>
          <cell r="V287">
            <v>0</v>
          </cell>
          <cell r="W287">
            <v>0</v>
          </cell>
          <cell r="X287">
            <v>904.81818181818016</v>
          </cell>
          <cell r="Y287">
            <v>-265</v>
          </cell>
          <cell r="Z287">
            <v>-586.81818181818176</v>
          </cell>
          <cell r="AA287">
            <v>0</v>
          </cell>
          <cell r="AB287">
            <v>0</v>
          </cell>
          <cell r="AC287">
            <v>663</v>
          </cell>
          <cell r="AD287">
            <v>-117</v>
          </cell>
          <cell r="AE287">
            <v>-240</v>
          </cell>
          <cell r="AF287">
            <v>536</v>
          </cell>
          <cell r="AG287">
            <v>489.19999999999982</v>
          </cell>
          <cell r="AH287">
            <v>47.800000000000068</v>
          </cell>
          <cell r="AI287">
            <v>-279</v>
          </cell>
          <cell r="AK287">
            <v>109270.51471861471</v>
          </cell>
        </row>
        <row r="288">
          <cell r="AK288">
            <v>0</v>
          </cell>
        </row>
        <row r="289">
          <cell r="P289">
            <v>974</v>
          </cell>
          <cell r="Q289">
            <v>0</v>
          </cell>
          <cell r="R289">
            <v>0</v>
          </cell>
          <cell r="S289">
            <v>3592.439393939394</v>
          </cell>
          <cell r="T289">
            <v>0</v>
          </cell>
          <cell r="U289">
            <v>0</v>
          </cell>
          <cell r="V289">
            <v>0</v>
          </cell>
          <cell r="W289">
            <v>0</v>
          </cell>
          <cell r="X289">
            <v>904.81818181818176</v>
          </cell>
          <cell r="Y289">
            <v>0</v>
          </cell>
          <cell r="Z289">
            <v>0</v>
          </cell>
          <cell r="AA289">
            <v>0</v>
          </cell>
          <cell r="AB289">
            <v>0</v>
          </cell>
          <cell r="AC289">
            <v>663</v>
          </cell>
          <cell r="AD289">
            <v>0</v>
          </cell>
          <cell r="AE289">
            <v>0</v>
          </cell>
          <cell r="AF289">
            <v>537</v>
          </cell>
          <cell r="AG289">
            <v>489.2</v>
          </cell>
          <cell r="AH289">
            <v>47.800000000000011</v>
          </cell>
          <cell r="AI289">
            <v>752.06666666666661</v>
          </cell>
          <cell r="AK289">
            <v>9565.257575757576</v>
          </cell>
        </row>
        <row r="290">
          <cell r="P290">
            <v>94</v>
          </cell>
          <cell r="Q290">
            <v>0</v>
          </cell>
          <cell r="R290">
            <v>0</v>
          </cell>
          <cell r="S290">
            <v>2512</v>
          </cell>
          <cell r="T290">
            <v>-673.48446666666666</v>
          </cell>
          <cell r="U290">
            <v>-686.40219999999999</v>
          </cell>
          <cell r="V290">
            <v>0</v>
          </cell>
          <cell r="W290">
            <v>0</v>
          </cell>
          <cell r="X290">
            <v>219</v>
          </cell>
          <cell r="Y290">
            <v>-435</v>
          </cell>
          <cell r="Z290">
            <v>-601.57554545454536</v>
          </cell>
          <cell r="AA290">
            <v>0</v>
          </cell>
          <cell r="AB290">
            <v>-9</v>
          </cell>
          <cell r="AC290">
            <v>139</v>
          </cell>
          <cell r="AD290">
            <v>-212</v>
          </cell>
          <cell r="AE290">
            <v>-311.28424242424239</v>
          </cell>
          <cell r="AF290">
            <v>0</v>
          </cell>
          <cell r="AG290">
            <v>0</v>
          </cell>
          <cell r="AH290">
            <v>0</v>
          </cell>
          <cell r="AI290">
            <v>118.4</v>
          </cell>
          <cell r="AK290">
            <v>3410</v>
          </cell>
        </row>
        <row r="291">
          <cell r="P291">
            <v>218</v>
          </cell>
          <cell r="Q291">
            <v>0</v>
          </cell>
          <cell r="R291">
            <v>0</v>
          </cell>
          <cell r="S291">
            <v>416.27272727272725</v>
          </cell>
          <cell r="T291">
            <v>0</v>
          </cell>
          <cell r="U291">
            <v>0</v>
          </cell>
          <cell r="V291">
            <v>0</v>
          </cell>
          <cell r="W291">
            <v>0</v>
          </cell>
          <cell r="X291">
            <v>258.81818181818181</v>
          </cell>
          <cell r="Y291">
            <v>0</v>
          </cell>
          <cell r="Z291">
            <v>0</v>
          </cell>
          <cell r="AA291">
            <v>0</v>
          </cell>
          <cell r="AB291">
            <v>0</v>
          </cell>
          <cell r="AC291">
            <v>207</v>
          </cell>
          <cell r="AD291">
            <v>0</v>
          </cell>
          <cell r="AE291">
            <v>0</v>
          </cell>
          <cell r="AF291">
            <v>83</v>
          </cell>
          <cell r="AG291">
            <v>83</v>
          </cell>
          <cell r="AH291">
            <v>0</v>
          </cell>
          <cell r="AI291">
            <v>0</v>
          </cell>
          <cell r="AK291">
            <v>1725.090909090909</v>
          </cell>
        </row>
        <row r="292">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P293">
            <v>0</v>
          </cell>
          <cell r="S293">
            <v>0</v>
          </cell>
          <cell r="X293">
            <v>0</v>
          </cell>
          <cell r="AC293">
            <v>0</v>
          </cell>
          <cell r="AF293">
            <v>0</v>
          </cell>
          <cell r="AG293">
            <v>0</v>
          </cell>
          <cell r="AH293">
            <v>0</v>
          </cell>
          <cell r="AI293">
            <v>0</v>
          </cell>
          <cell r="AK293">
            <v>0</v>
          </cell>
        </row>
        <row r="294">
          <cell r="P294">
            <v>601</v>
          </cell>
          <cell r="Q294">
            <v>0</v>
          </cell>
          <cell r="R294">
            <v>0</v>
          </cell>
          <cell r="S294">
            <v>657.16666666666674</v>
          </cell>
          <cell r="T294" t="str">
            <v>Собівартість</v>
          </cell>
          <cell r="U294">
            <v>0</v>
          </cell>
          <cell r="V294">
            <v>0</v>
          </cell>
          <cell r="W294">
            <v>0</v>
          </cell>
          <cell r="X294">
            <v>410</v>
          </cell>
          <cell r="Y294">
            <v>0</v>
          </cell>
          <cell r="Z294">
            <v>0</v>
          </cell>
          <cell r="AA294">
            <v>0</v>
          </cell>
          <cell r="AB294">
            <v>0</v>
          </cell>
          <cell r="AC294">
            <v>290</v>
          </cell>
          <cell r="AD294">
            <v>0</v>
          </cell>
          <cell r="AE294">
            <v>0</v>
          </cell>
          <cell r="AF294">
            <v>439</v>
          </cell>
          <cell r="AG294">
            <v>392.2</v>
          </cell>
          <cell r="AH294">
            <v>46.800000000000011</v>
          </cell>
          <cell r="AI294">
            <v>633.66666666666663</v>
          </cell>
          <cell r="AK294">
            <v>4284.5</v>
          </cell>
        </row>
        <row r="295">
          <cell r="P295">
            <v>435</v>
          </cell>
          <cell r="S295">
            <v>12.166666666666686</v>
          </cell>
          <cell r="V295">
            <v>-25</v>
          </cell>
          <cell r="X295">
            <v>165</v>
          </cell>
          <cell r="AC295">
            <v>111</v>
          </cell>
          <cell r="AF295">
            <v>9</v>
          </cell>
          <cell r="AG295">
            <v>5</v>
          </cell>
          <cell r="AH295">
            <v>4</v>
          </cell>
          <cell r="AI295">
            <v>0</v>
          </cell>
          <cell r="AK295">
            <v>846.16666666666674</v>
          </cell>
        </row>
        <row r="296">
          <cell r="P296">
            <v>56</v>
          </cell>
          <cell r="S296">
            <v>363</v>
          </cell>
          <cell r="V296">
            <v>-1.375</v>
          </cell>
          <cell r="X296">
            <v>130</v>
          </cell>
          <cell r="AC296">
            <v>95</v>
          </cell>
          <cell r="AF296">
            <v>205</v>
          </cell>
          <cell r="AG296">
            <v>201</v>
          </cell>
          <cell r="AH296">
            <v>4</v>
          </cell>
          <cell r="AI296">
            <v>0</v>
          </cell>
          <cell r="AK296">
            <v>864.33333333333326</v>
          </cell>
        </row>
        <row r="297">
          <cell r="P297">
            <v>110</v>
          </cell>
          <cell r="Q297">
            <v>0</v>
          </cell>
          <cell r="R297">
            <v>0</v>
          </cell>
          <cell r="S297">
            <v>282</v>
          </cell>
          <cell r="T297">
            <v>0</v>
          </cell>
          <cell r="U297">
            <v>0</v>
          </cell>
          <cell r="V297">
            <v>-8</v>
          </cell>
          <cell r="W297">
            <v>0</v>
          </cell>
          <cell r="X297">
            <v>115</v>
          </cell>
          <cell r="Y297">
            <v>0</v>
          </cell>
          <cell r="Z297">
            <v>0</v>
          </cell>
          <cell r="AA297">
            <v>0</v>
          </cell>
          <cell r="AB297">
            <v>0</v>
          </cell>
          <cell r="AC297">
            <v>84</v>
          </cell>
          <cell r="AD297">
            <v>0</v>
          </cell>
          <cell r="AE297">
            <v>0</v>
          </cell>
          <cell r="AF297">
            <v>225</v>
          </cell>
          <cell r="AG297">
            <v>186.2</v>
          </cell>
          <cell r="AH297">
            <v>38.800000000000011</v>
          </cell>
          <cell r="AI297">
            <v>633.66666666666663</v>
          </cell>
          <cell r="AK297">
            <v>2574</v>
          </cell>
        </row>
        <row r="298">
          <cell r="P298">
            <v>0</v>
          </cell>
          <cell r="S298">
            <v>581</v>
          </cell>
          <cell r="V298">
            <v>-2.1590909090909096</v>
          </cell>
          <cell r="X298">
            <v>296</v>
          </cell>
          <cell r="AC298">
            <v>44</v>
          </cell>
          <cell r="AF298">
            <v>0</v>
          </cell>
          <cell r="AG298">
            <v>0</v>
          </cell>
          <cell r="AH298">
            <v>0</v>
          </cell>
          <cell r="AI298">
            <v>0</v>
          </cell>
          <cell r="AK298">
            <v>0</v>
          </cell>
        </row>
        <row r="299">
          <cell r="P299">
            <v>61</v>
          </cell>
          <cell r="S299">
            <v>7</v>
          </cell>
          <cell r="X299">
            <v>17</v>
          </cell>
          <cell r="AC299">
            <v>27</v>
          </cell>
          <cell r="AF299">
            <v>15</v>
          </cell>
          <cell r="AG299">
            <v>14</v>
          </cell>
          <cell r="AH299">
            <v>1</v>
          </cell>
          <cell r="AI299">
            <v>0</v>
          </cell>
          <cell r="AK299">
            <v>145.66666666666666</v>
          </cell>
        </row>
        <row r="300">
          <cell r="P300">
            <v>974</v>
          </cell>
          <cell r="Q300">
            <v>0</v>
          </cell>
          <cell r="R300">
            <v>0</v>
          </cell>
          <cell r="S300">
            <v>3592.4393939393949</v>
          </cell>
          <cell r="T300">
            <v>-646.85363636363627</v>
          </cell>
          <cell r="U300">
            <v>-650.41909090909098</v>
          </cell>
          <cell r="V300">
            <v>0</v>
          </cell>
          <cell r="W300">
            <v>0</v>
          </cell>
          <cell r="X300">
            <v>904.81818181818016</v>
          </cell>
          <cell r="Y300">
            <v>-265</v>
          </cell>
          <cell r="Z300">
            <v>-586.81818181818176</v>
          </cell>
          <cell r="AA300">
            <v>0</v>
          </cell>
          <cell r="AB300">
            <v>0</v>
          </cell>
          <cell r="AC300">
            <v>663</v>
          </cell>
          <cell r="AD300">
            <v>-117</v>
          </cell>
          <cell r="AE300">
            <v>-240</v>
          </cell>
          <cell r="AF300">
            <v>536</v>
          </cell>
          <cell r="AG300">
            <v>489.19999999999982</v>
          </cell>
          <cell r="AH300">
            <v>47.800000000000068</v>
          </cell>
          <cell r="AI300">
            <v>-279</v>
          </cell>
          <cell r="AK300">
            <v>109270.51471861471</v>
          </cell>
        </row>
        <row r="301">
          <cell r="P301">
            <v>0</v>
          </cell>
          <cell r="AF301">
            <v>0</v>
          </cell>
          <cell r="AG301">
            <v>0</v>
          </cell>
          <cell r="AH301">
            <v>191</v>
          </cell>
          <cell r="AK301">
            <v>0</v>
          </cell>
        </row>
        <row r="302">
          <cell r="P302">
            <v>-107</v>
          </cell>
          <cell r="S302">
            <v>-90</v>
          </cell>
          <cell r="X302">
            <v>0</v>
          </cell>
          <cell r="AC302">
            <v>0</v>
          </cell>
          <cell r="AF302">
            <v>1</v>
          </cell>
          <cell r="AG302">
            <v>1</v>
          </cell>
          <cell r="AH302">
            <v>0</v>
          </cell>
          <cell r="AK302">
            <v>-196</v>
          </cell>
        </row>
        <row r="303">
          <cell r="P303">
            <v>974</v>
          </cell>
          <cell r="Q303">
            <v>0</v>
          </cell>
          <cell r="R303">
            <v>0</v>
          </cell>
          <cell r="S303">
            <v>3592.4393939393949</v>
          </cell>
          <cell r="T303">
            <v>-646.85363636363627</v>
          </cell>
          <cell r="U303">
            <v>-650.41909090909098</v>
          </cell>
          <cell r="V303">
            <v>0</v>
          </cell>
          <cell r="W303">
            <v>0</v>
          </cell>
          <cell r="X303">
            <v>904.81818181818016</v>
          </cell>
          <cell r="Y303">
            <v>-265</v>
          </cell>
          <cell r="Z303">
            <v>-586.81818181818176</v>
          </cell>
          <cell r="AA303">
            <v>0</v>
          </cell>
          <cell r="AB303">
            <v>0</v>
          </cell>
          <cell r="AC303">
            <v>663</v>
          </cell>
          <cell r="AD303">
            <v>-212</v>
          </cell>
          <cell r="AE303">
            <v>-311.28424242424239</v>
          </cell>
          <cell r="AF303">
            <v>536</v>
          </cell>
          <cell r="AG303">
            <v>297.19999999999993</v>
          </cell>
          <cell r="AH303">
            <v>238.80000000000007</v>
          </cell>
          <cell r="AK303">
            <v>109270.51471861471</v>
          </cell>
        </row>
        <row r="304">
          <cell r="T304" t="str">
            <v>ФМЗ ( з відрахуван)</v>
          </cell>
          <cell r="V304">
            <v>25</v>
          </cell>
          <cell r="AH304">
            <v>191</v>
          </cell>
          <cell r="AK304">
            <v>0</v>
          </cell>
        </row>
        <row r="305">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P306">
            <v>0</v>
          </cell>
          <cell r="Q306">
            <v>0</v>
          </cell>
          <cell r="R306">
            <v>0</v>
          </cell>
          <cell r="S306">
            <v>0</v>
          </cell>
          <cell r="T306">
            <v>-673.48446666666666</v>
          </cell>
          <cell r="U306">
            <v>-686.40219999999999</v>
          </cell>
          <cell r="V306">
            <v>0</v>
          </cell>
          <cell r="W306">
            <v>0</v>
          </cell>
          <cell r="X306">
            <v>0</v>
          </cell>
          <cell r="Y306">
            <v>-435</v>
          </cell>
          <cell r="Z306">
            <v>-601.57554545454536</v>
          </cell>
          <cell r="AA306">
            <v>0</v>
          </cell>
          <cell r="AB306">
            <v>-9</v>
          </cell>
          <cell r="AC306">
            <v>0</v>
          </cell>
          <cell r="AF306">
            <v>0</v>
          </cell>
          <cell r="AG306">
            <v>0</v>
          </cell>
          <cell r="AH306">
            <v>0</v>
          </cell>
          <cell r="AI306">
            <v>0</v>
          </cell>
          <cell r="AK306">
            <v>0</v>
          </cell>
        </row>
        <row r="307">
          <cell r="AK307">
            <v>0</v>
          </cell>
        </row>
        <row r="308">
          <cell r="P308">
            <v>974</v>
          </cell>
          <cell r="Q308">
            <v>0</v>
          </cell>
          <cell r="R308">
            <v>0</v>
          </cell>
          <cell r="S308">
            <v>3592.4393939393949</v>
          </cell>
          <cell r="T308">
            <v>-646.85363636363627</v>
          </cell>
          <cell r="U308">
            <v>-650.41909090909098</v>
          </cell>
          <cell r="V308">
            <v>0</v>
          </cell>
          <cell r="W308">
            <v>0</v>
          </cell>
          <cell r="X308">
            <v>904.81818181818016</v>
          </cell>
          <cell r="Y308">
            <v>-265</v>
          </cell>
          <cell r="Z308">
            <v>-586.81818181818176</v>
          </cell>
          <cell r="AA308">
            <v>0</v>
          </cell>
          <cell r="AB308">
            <v>0</v>
          </cell>
          <cell r="AC308">
            <v>663</v>
          </cell>
          <cell r="AD308">
            <v>-117</v>
          </cell>
          <cell r="AE308">
            <v>-240</v>
          </cell>
          <cell r="AF308">
            <v>536</v>
          </cell>
          <cell r="AG308">
            <v>297.19999999999993</v>
          </cell>
          <cell r="AH308">
            <v>238.80000000000007</v>
          </cell>
          <cell r="AI308">
            <v>-279</v>
          </cell>
          <cell r="AK308">
            <v>109270.51471861471</v>
          </cell>
        </row>
        <row r="309">
          <cell r="P309">
            <v>0</v>
          </cell>
          <cell r="S309">
            <v>0</v>
          </cell>
          <cell r="X309">
            <v>0</v>
          </cell>
          <cell r="AC309">
            <v>0</v>
          </cell>
          <cell r="AF309">
            <v>0</v>
          </cell>
          <cell r="AG309">
            <v>0</v>
          </cell>
          <cell r="AH309">
            <v>0</v>
          </cell>
          <cell r="AK309">
            <v>0</v>
          </cell>
        </row>
        <row r="310">
          <cell r="P310">
            <v>0</v>
          </cell>
          <cell r="AK310">
            <v>0</v>
          </cell>
        </row>
        <row r="311">
          <cell r="P311">
            <v>2339.5333333333333</v>
          </cell>
          <cell r="Q311">
            <v>0</v>
          </cell>
          <cell r="R311">
            <v>0</v>
          </cell>
          <cell r="S311">
            <v>0</v>
          </cell>
          <cell r="T311">
            <v>-673.48446666666666</v>
          </cell>
          <cell r="U311">
            <v>-686.40219999999999</v>
          </cell>
          <cell r="V311">
            <v>0</v>
          </cell>
          <cell r="W311">
            <v>0</v>
          </cell>
          <cell r="X311">
            <v>2453.7545454545461</v>
          </cell>
          <cell r="Y311">
            <v>-435</v>
          </cell>
          <cell r="Z311">
            <v>-601.57554545454536</v>
          </cell>
          <cell r="AA311">
            <v>0</v>
          </cell>
          <cell r="AB311">
            <v>-9</v>
          </cell>
          <cell r="AC311">
            <v>607.62424242424026</v>
          </cell>
          <cell r="AD311">
            <v>-212</v>
          </cell>
          <cell r="AE311">
            <v>-311.28424242424239</v>
          </cell>
          <cell r="AF311">
            <v>2161.0909090909086</v>
          </cell>
          <cell r="AG311">
            <v>1821.0909090909086</v>
          </cell>
          <cell r="AH311">
            <v>340</v>
          </cell>
          <cell r="AK311">
            <v>0</v>
          </cell>
        </row>
        <row r="312">
          <cell r="AK312">
            <v>8992</v>
          </cell>
        </row>
        <row r="313">
          <cell r="P313">
            <v>0</v>
          </cell>
          <cell r="S313">
            <v>0</v>
          </cell>
          <cell r="AK313">
            <v>0</v>
          </cell>
        </row>
        <row r="314">
          <cell r="S314">
            <v>0</v>
          </cell>
          <cell r="AK314">
            <v>0</v>
          </cell>
        </row>
        <row r="315">
          <cell r="AK315">
            <v>0</v>
          </cell>
        </row>
        <row r="316">
          <cell r="S316">
            <v>0</v>
          </cell>
        </row>
        <row r="317">
          <cell r="AK317">
            <v>0</v>
          </cell>
        </row>
        <row r="318">
          <cell r="S318">
            <v>0</v>
          </cell>
          <cell r="AK318">
            <v>0</v>
          </cell>
        </row>
        <row r="319">
          <cell r="P319">
            <v>974</v>
          </cell>
          <cell r="Q319">
            <v>0</v>
          </cell>
          <cell r="R319">
            <v>0</v>
          </cell>
          <cell r="S319">
            <v>3592.4393939393949</v>
          </cell>
          <cell r="T319">
            <v>-646.85363636363627</v>
          </cell>
          <cell r="U319">
            <v>-650.41909090909098</v>
          </cell>
          <cell r="V319">
            <v>0</v>
          </cell>
          <cell r="W319">
            <v>0</v>
          </cell>
          <cell r="X319">
            <v>904.81818181818016</v>
          </cell>
          <cell r="Y319">
            <v>-265</v>
          </cell>
          <cell r="Z319">
            <v>-586.81818181818176</v>
          </cell>
          <cell r="AA319">
            <v>0</v>
          </cell>
          <cell r="AB319">
            <v>0</v>
          </cell>
          <cell r="AC319">
            <v>663</v>
          </cell>
          <cell r="AD319">
            <v>-117</v>
          </cell>
          <cell r="AE319">
            <v>-240</v>
          </cell>
          <cell r="AF319">
            <v>536</v>
          </cell>
          <cell r="AG319">
            <v>297.19999999999993</v>
          </cell>
          <cell r="AH319">
            <v>238.80000000000007</v>
          </cell>
          <cell r="AI319">
            <v>-279</v>
          </cell>
          <cell r="AK319">
            <v>109270.51471861471</v>
          </cell>
        </row>
        <row r="320">
          <cell r="AK320">
            <v>0</v>
          </cell>
        </row>
        <row r="321">
          <cell r="S321">
            <v>0</v>
          </cell>
        </row>
        <row r="322">
          <cell r="P322">
            <v>2339.5333333333333</v>
          </cell>
          <cell r="Q322">
            <v>0</v>
          </cell>
          <cell r="R322">
            <v>0</v>
          </cell>
          <cell r="S322">
            <v>1199.1000000000004</v>
          </cell>
          <cell r="T322">
            <v>-673.48446666666666</v>
          </cell>
          <cell r="U322">
            <v>-686.40219999999999</v>
          </cell>
          <cell r="V322">
            <v>0</v>
          </cell>
          <cell r="W322">
            <v>0</v>
          </cell>
          <cell r="X322">
            <v>2453.7545454545461</v>
          </cell>
          <cell r="Y322">
            <v>-435</v>
          </cell>
          <cell r="Z322">
            <v>-601.57554545454536</v>
          </cell>
          <cell r="AA322">
            <v>0</v>
          </cell>
          <cell r="AB322">
            <v>-9</v>
          </cell>
          <cell r="AC322">
            <v>607.62424242424026</v>
          </cell>
          <cell r="AD322">
            <v>-212</v>
          </cell>
          <cell r="AE322">
            <v>-311.28424242424239</v>
          </cell>
          <cell r="AF322">
            <v>2161.0909090909086</v>
          </cell>
          <cell r="AG322">
            <v>1821.0909090909086</v>
          </cell>
          <cell r="AH322">
            <v>340</v>
          </cell>
          <cell r="AK322">
            <v>107973.96017316019</v>
          </cell>
        </row>
        <row r="328">
          <cell r="AJ328">
            <v>2455</v>
          </cell>
          <cell r="AK328">
            <v>5764</v>
          </cell>
          <cell r="AM328">
            <v>4603</v>
          </cell>
        </row>
        <row r="329">
          <cell r="P329">
            <v>198</v>
          </cell>
          <cell r="S329">
            <v>460</v>
          </cell>
          <cell r="X329">
            <v>178</v>
          </cell>
          <cell r="AC329">
            <v>149</v>
          </cell>
          <cell r="AF329">
            <v>393</v>
          </cell>
          <cell r="AG329">
            <v>349</v>
          </cell>
          <cell r="AH329">
            <v>44</v>
          </cell>
          <cell r="AI329">
            <v>0</v>
          </cell>
          <cell r="AK329">
            <v>1573</v>
          </cell>
          <cell r="AM329">
            <v>1180</v>
          </cell>
        </row>
        <row r="330">
          <cell r="AJ330">
            <v>36</v>
          </cell>
          <cell r="AK330">
            <v>10092.257142857143</v>
          </cell>
          <cell r="AM330">
            <v>10092.257142857143</v>
          </cell>
        </row>
        <row r="331">
          <cell r="AJ331">
            <v>2455</v>
          </cell>
          <cell r="AK331">
            <v>498</v>
          </cell>
          <cell r="AM331">
            <v>498</v>
          </cell>
        </row>
        <row r="332">
          <cell r="P332">
            <v>623</v>
          </cell>
          <cell r="S332">
            <v>555</v>
          </cell>
          <cell r="X332">
            <v>227</v>
          </cell>
          <cell r="AC332">
            <v>188</v>
          </cell>
          <cell r="AF332">
            <v>487</v>
          </cell>
          <cell r="AG332">
            <v>463</v>
          </cell>
          <cell r="AH332">
            <v>24</v>
          </cell>
          <cell r="AJ332">
            <v>36</v>
          </cell>
          <cell r="AK332">
            <v>145.66666666666666</v>
          </cell>
          <cell r="AM332">
            <v>130.66666666666666</v>
          </cell>
        </row>
        <row r="333">
          <cell r="AJ333">
            <v>36</v>
          </cell>
          <cell r="AK333">
            <v>4104.2571428571437</v>
          </cell>
          <cell r="AM333">
            <v>4104.2571428571437</v>
          </cell>
        </row>
        <row r="334">
          <cell r="AK334">
            <v>3500</v>
          </cell>
          <cell r="AM334">
            <v>3500</v>
          </cell>
        </row>
        <row r="335">
          <cell r="AJ335">
            <v>36</v>
          </cell>
          <cell r="AK335">
            <v>0</v>
          </cell>
          <cell r="AM335">
            <v>-197</v>
          </cell>
        </row>
        <row r="336">
          <cell r="AK336">
            <v>1990</v>
          </cell>
          <cell r="AM336">
            <v>1990</v>
          </cell>
        </row>
        <row r="337">
          <cell r="AK337">
            <v>9242.6666666666661</v>
          </cell>
          <cell r="AM337">
            <v>3500</v>
          </cell>
        </row>
        <row r="338">
          <cell r="AK338">
            <v>0</v>
          </cell>
          <cell r="AM338">
            <v>0</v>
          </cell>
        </row>
        <row r="339">
          <cell r="AK339">
            <v>3410</v>
          </cell>
          <cell r="AM339">
            <v>3528.4</v>
          </cell>
        </row>
        <row r="340">
          <cell r="AK340">
            <v>1725.090909090909</v>
          </cell>
          <cell r="AM340">
            <v>1642.090909090909</v>
          </cell>
        </row>
        <row r="341">
          <cell r="AK341">
            <v>0</v>
          </cell>
          <cell r="AM341">
            <v>0</v>
          </cell>
        </row>
        <row r="342">
          <cell r="AK342">
            <v>0</v>
          </cell>
          <cell r="AM342">
            <v>0</v>
          </cell>
        </row>
        <row r="343">
          <cell r="AK343">
            <v>0</v>
          </cell>
          <cell r="AM343">
            <v>0</v>
          </cell>
        </row>
        <row r="344">
          <cell r="AK344">
            <v>3341.0333333333328</v>
          </cell>
          <cell r="AM344">
            <v>2890.833333333333</v>
          </cell>
        </row>
        <row r="345">
          <cell r="AK345">
            <v>1058.8333333333333</v>
          </cell>
          <cell r="AM345">
            <v>763.83333333333326</v>
          </cell>
        </row>
        <row r="346">
          <cell r="AK346">
            <v>360</v>
          </cell>
          <cell r="AM346">
            <v>328</v>
          </cell>
        </row>
        <row r="347">
          <cell r="AK347">
            <v>1067.2</v>
          </cell>
          <cell r="AM347">
            <v>3979</v>
          </cell>
        </row>
        <row r="348">
          <cell r="AK348">
            <v>855</v>
          </cell>
          <cell r="AM348">
            <v>1352</v>
          </cell>
        </row>
        <row r="349">
          <cell r="AK349">
            <v>0</v>
          </cell>
          <cell r="AM349">
            <v>0</v>
          </cell>
        </row>
        <row r="350">
          <cell r="AK350">
            <v>66</v>
          </cell>
          <cell r="AM350">
            <v>66</v>
          </cell>
        </row>
        <row r="351">
          <cell r="AK351">
            <v>4404</v>
          </cell>
          <cell r="AM351">
            <v>3250</v>
          </cell>
        </row>
        <row r="352">
          <cell r="P352">
            <v>225</v>
          </cell>
          <cell r="S352">
            <v>296</v>
          </cell>
          <cell r="X352">
            <v>56</v>
          </cell>
          <cell r="AC352">
            <v>19</v>
          </cell>
          <cell r="AF352">
            <v>71.800000000000011</v>
          </cell>
          <cell r="AG352">
            <v>71.800000000000011</v>
          </cell>
          <cell r="AH352">
            <v>0</v>
          </cell>
          <cell r="AK352">
            <v>667.8</v>
          </cell>
          <cell r="AM352">
            <v>0</v>
          </cell>
        </row>
        <row r="353">
          <cell r="AK353">
            <v>0</v>
          </cell>
          <cell r="AM353">
            <v>142</v>
          </cell>
        </row>
        <row r="354">
          <cell r="P354">
            <v>0</v>
          </cell>
          <cell r="S354">
            <v>0</v>
          </cell>
          <cell r="X354">
            <v>0</v>
          </cell>
          <cell r="AC354">
            <v>0</v>
          </cell>
          <cell r="AF354">
            <v>0</v>
          </cell>
          <cell r="AG354">
            <v>0</v>
          </cell>
          <cell r="AH354">
            <v>0</v>
          </cell>
          <cell r="AI354">
            <v>0</v>
          </cell>
          <cell r="AK354">
            <v>363.66666666666663</v>
          </cell>
          <cell r="AM354">
            <v>363.66666666666663</v>
          </cell>
        </row>
        <row r="355">
          <cell r="P355">
            <v>225</v>
          </cell>
          <cell r="S355">
            <v>296</v>
          </cell>
          <cell r="X355">
            <v>56</v>
          </cell>
          <cell r="AC355">
            <v>-536.90909090909088</v>
          </cell>
          <cell r="AF355">
            <v>485.09090909090912</v>
          </cell>
          <cell r="AG355">
            <v>-127.90909090909091</v>
          </cell>
          <cell r="AH355">
            <v>613</v>
          </cell>
          <cell r="AK355">
            <v>105</v>
          </cell>
          <cell r="AM355">
            <v>105</v>
          </cell>
        </row>
        <row r="356">
          <cell r="AK356">
            <v>0</v>
          </cell>
          <cell r="AM356">
            <v>0</v>
          </cell>
        </row>
        <row r="357">
          <cell r="P357">
            <v>0</v>
          </cell>
          <cell r="S357">
            <v>0</v>
          </cell>
          <cell r="X357">
            <v>0</v>
          </cell>
          <cell r="AC357">
            <v>0</v>
          </cell>
          <cell r="AF357">
            <v>0</v>
          </cell>
          <cell r="AG357">
            <v>0</v>
          </cell>
          <cell r="AH357">
            <v>0</v>
          </cell>
          <cell r="AK357">
            <v>0</v>
          </cell>
          <cell r="AM357">
            <v>0</v>
          </cell>
        </row>
        <row r="358">
          <cell r="AJ358">
            <v>-2491</v>
          </cell>
          <cell r="AK358">
            <v>4284.5</v>
          </cell>
          <cell r="AM358" t="e">
            <v>#REF!</v>
          </cell>
        </row>
        <row r="359">
          <cell r="AK359">
            <v>846.16666666666674</v>
          </cell>
          <cell r="AM359">
            <v>0</v>
          </cell>
        </row>
        <row r="360">
          <cell r="AK360">
            <v>864.33333333333326</v>
          </cell>
          <cell r="AM360">
            <v>0</v>
          </cell>
        </row>
        <row r="361">
          <cell r="AJ361">
            <v>-2491</v>
          </cell>
          <cell r="AK361">
            <v>2574</v>
          </cell>
          <cell r="AM361" t="e">
            <v>#REF!</v>
          </cell>
        </row>
        <row r="362">
          <cell r="P362">
            <v>302</v>
          </cell>
          <cell r="S362">
            <v>-1610</v>
          </cell>
          <cell r="T362">
            <v>207.20000000000002</v>
          </cell>
          <cell r="U362">
            <v>1087.8</v>
          </cell>
          <cell r="X362">
            <v>396</v>
          </cell>
          <cell r="Y362">
            <v>191</v>
          </cell>
          <cell r="Z362">
            <v>424</v>
          </cell>
          <cell r="AC362">
            <v>535</v>
          </cell>
          <cell r="AD362">
            <v>240</v>
          </cell>
          <cell r="AE362">
            <v>494</v>
          </cell>
          <cell r="AF362">
            <v>485.8</v>
          </cell>
          <cell r="AG362">
            <v>470.8</v>
          </cell>
          <cell r="AH362">
            <v>15</v>
          </cell>
          <cell r="AI362">
            <v>0</v>
          </cell>
          <cell r="AK362">
            <v>96.800000000000011</v>
          </cell>
          <cell r="AM362">
            <v>-389</v>
          </cell>
        </row>
        <row r="363">
          <cell r="AK363">
            <v>1769</v>
          </cell>
        </row>
        <row r="364">
          <cell r="AK364">
            <v>4603.3</v>
          </cell>
        </row>
        <row r="365">
          <cell r="P365">
            <v>37</v>
          </cell>
          <cell r="S365">
            <v>2402</v>
          </cell>
          <cell r="T365">
            <v>308.48</v>
          </cell>
          <cell r="U365">
            <v>1619.52</v>
          </cell>
          <cell r="X365">
            <v>-549</v>
          </cell>
          <cell r="Y365">
            <v>202</v>
          </cell>
          <cell r="Z365">
            <v>278</v>
          </cell>
          <cell r="AC365">
            <v>644</v>
          </cell>
          <cell r="AD365">
            <v>214</v>
          </cell>
          <cell r="AE365">
            <v>313</v>
          </cell>
          <cell r="AF365">
            <v>387</v>
          </cell>
          <cell r="AG365">
            <v>387</v>
          </cell>
          <cell r="AH365">
            <v>0</v>
          </cell>
          <cell r="AK365">
            <v>2921</v>
          </cell>
          <cell r="AM365">
            <v>2534</v>
          </cell>
        </row>
        <row r="383">
          <cell r="P383" t="str">
            <v>лютий</v>
          </cell>
          <cell r="X383" t="str">
            <v>лютий</v>
          </cell>
          <cell r="AC383" t="str">
            <v>лютий</v>
          </cell>
        </row>
        <row r="384">
          <cell r="P384" t="str">
            <v>ККМ</v>
          </cell>
          <cell r="X384" t="str">
            <v>ТЕЦ5</v>
          </cell>
          <cell r="AC384" t="str">
            <v>ТЕЦ6</v>
          </cell>
          <cell r="AK384" t="str">
            <v>АК "КЕ"</v>
          </cell>
          <cell r="AL384" t="str">
            <v>Е/Е</v>
          </cell>
        </row>
        <row r="385">
          <cell r="P385" t="str">
            <v>ПЛАН</v>
          </cell>
          <cell r="X385" t="str">
            <v>ПЛАН</v>
          </cell>
          <cell r="AC385" t="str">
            <v>ПЛАН</v>
          </cell>
          <cell r="AK385" t="str">
            <v>ПЛАН</v>
          </cell>
          <cell r="AL385" t="str">
            <v>ПЛАН</v>
          </cell>
        </row>
        <row r="386">
          <cell r="P386">
            <v>14.333333333333332</v>
          </cell>
          <cell r="S386">
            <v>14.333333333333332</v>
          </cell>
          <cell r="X386">
            <v>182</v>
          </cell>
          <cell r="Y386">
            <v>56</v>
          </cell>
          <cell r="Z386">
            <v>56</v>
          </cell>
          <cell r="AC386">
            <v>323.66666666666674</v>
          </cell>
          <cell r="AD386">
            <v>106</v>
          </cell>
          <cell r="AE386">
            <v>105</v>
          </cell>
          <cell r="AK386">
            <v>735.30000000000018</v>
          </cell>
          <cell r="AL386">
            <v>329.33333333333337</v>
          </cell>
          <cell r="AM386">
            <v>226.33333333333334</v>
          </cell>
        </row>
        <row r="387">
          <cell r="P387">
            <v>0</v>
          </cell>
          <cell r="X387">
            <v>0</v>
          </cell>
          <cell r="Y387">
            <v>0</v>
          </cell>
          <cell r="AC387">
            <v>3.6666666666666665</v>
          </cell>
          <cell r="AD387">
            <v>1</v>
          </cell>
          <cell r="AK387">
            <v>46</v>
          </cell>
          <cell r="AL387">
            <v>10</v>
          </cell>
        </row>
        <row r="388">
          <cell r="P388">
            <v>0.66666666666666663</v>
          </cell>
          <cell r="X388">
            <v>146.66666666666666</v>
          </cell>
          <cell r="Y388">
            <v>45</v>
          </cell>
          <cell r="AC388">
            <v>280.66666666666669</v>
          </cell>
          <cell r="AD388">
            <v>92</v>
          </cell>
          <cell r="AK388">
            <v>428</v>
          </cell>
          <cell r="AL388">
            <v>137.66666666666666</v>
          </cell>
        </row>
        <row r="389">
          <cell r="P389">
            <v>2</v>
          </cell>
          <cell r="S389">
            <v>14.333333333333332</v>
          </cell>
          <cell r="X389">
            <v>0</v>
          </cell>
          <cell r="Y389">
            <v>0</v>
          </cell>
          <cell r="Z389">
            <v>77</v>
          </cell>
          <cell r="AC389">
            <v>25</v>
          </cell>
          <cell r="AD389">
            <v>8</v>
          </cell>
          <cell r="AE389">
            <v>131</v>
          </cell>
          <cell r="AK389">
            <v>33.666666666666671</v>
          </cell>
          <cell r="AL389">
            <v>13</v>
          </cell>
          <cell r="AM389">
            <v>285.33333333333331</v>
          </cell>
        </row>
        <row r="390">
          <cell r="P390">
            <v>0</v>
          </cell>
          <cell r="X390">
            <v>25.333333333333332</v>
          </cell>
          <cell r="Y390">
            <v>8</v>
          </cell>
          <cell r="AC390">
            <v>0.66666666666666663</v>
          </cell>
          <cell r="AD390">
            <v>0</v>
          </cell>
          <cell r="AK390">
            <v>26</v>
          </cell>
          <cell r="AL390">
            <v>8</v>
          </cell>
        </row>
        <row r="391">
          <cell r="P391">
            <v>0</v>
          </cell>
          <cell r="X391">
            <v>0</v>
          </cell>
          <cell r="Y391">
            <v>0</v>
          </cell>
          <cell r="AC391">
            <v>0</v>
          </cell>
          <cell r="AD391">
            <v>0</v>
          </cell>
          <cell r="AK391">
            <v>120.63333333333333</v>
          </cell>
          <cell r="AL391">
            <v>28</v>
          </cell>
        </row>
        <row r="392">
          <cell r="P392">
            <v>0</v>
          </cell>
          <cell r="X392">
            <v>0</v>
          </cell>
          <cell r="Y392">
            <v>0</v>
          </cell>
          <cell r="AC392">
            <v>0</v>
          </cell>
          <cell r="AD392">
            <v>0</v>
          </cell>
          <cell r="AK392">
            <v>8.6666666666666661</v>
          </cell>
          <cell r="AL392">
            <v>0</v>
          </cell>
        </row>
        <row r="393">
          <cell r="P393">
            <v>5.333333333333333</v>
          </cell>
          <cell r="X393">
            <v>0</v>
          </cell>
          <cell r="Y393">
            <v>0</v>
          </cell>
          <cell r="AC393">
            <v>0</v>
          </cell>
          <cell r="AD393">
            <v>0</v>
          </cell>
          <cell r="AK393">
            <v>22</v>
          </cell>
          <cell r="AL393">
            <v>15.333333333333332</v>
          </cell>
        </row>
        <row r="394">
          <cell r="P394">
            <v>0</v>
          </cell>
          <cell r="X394">
            <v>0</v>
          </cell>
          <cell r="Y394">
            <v>0</v>
          </cell>
          <cell r="AC394">
            <v>0</v>
          </cell>
          <cell r="AD394">
            <v>0</v>
          </cell>
          <cell r="AK394">
            <v>5.333333333333333</v>
          </cell>
          <cell r="AL394">
            <v>1</v>
          </cell>
        </row>
        <row r="395">
          <cell r="P395">
            <v>4.333333333333333</v>
          </cell>
          <cell r="X395">
            <v>0</v>
          </cell>
          <cell r="Y395">
            <v>0</v>
          </cell>
          <cell r="AC395">
            <v>0</v>
          </cell>
          <cell r="AD395">
            <v>0</v>
          </cell>
          <cell r="AK395">
            <v>4.6666666666666661</v>
          </cell>
          <cell r="AL395">
            <v>4.333333333333333</v>
          </cell>
        </row>
        <row r="396">
          <cell r="P396">
            <v>2</v>
          </cell>
          <cell r="X396">
            <v>10</v>
          </cell>
          <cell r="Y396">
            <v>3</v>
          </cell>
          <cell r="AC396">
            <v>13.666666666666666</v>
          </cell>
          <cell r="AD396">
            <v>4</v>
          </cell>
          <cell r="AK396">
            <v>26</v>
          </cell>
          <cell r="AL396">
            <v>9</v>
          </cell>
        </row>
        <row r="397">
          <cell r="P397">
            <v>0</v>
          </cell>
          <cell r="X397">
            <v>0</v>
          </cell>
          <cell r="Y397">
            <v>0</v>
          </cell>
          <cell r="AC397">
            <v>0</v>
          </cell>
          <cell r="AD397">
            <v>0</v>
          </cell>
          <cell r="AK397">
            <v>0</v>
          </cell>
          <cell r="AL397">
            <v>2</v>
          </cell>
        </row>
        <row r="398">
          <cell r="P398">
            <v>20.5</v>
          </cell>
          <cell r="X398">
            <v>522.33333333333337</v>
          </cell>
          <cell r="Y398">
            <v>162</v>
          </cell>
          <cell r="AC398">
            <v>43</v>
          </cell>
          <cell r="AD398">
            <v>14</v>
          </cell>
          <cell r="AK398">
            <v>587.33333333333337</v>
          </cell>
          <cell r="AL398">
            <v>196.5</v>
          </cell>
          <cell r="AM398">
            <v>196.83333333333334</v>
          </cell>
        </row>
        <row r="399">
          <cell r="P399">
            <v>0</v>
          </cell>
          <cell r="X399">
            <v>0</v>
          </cell>
          <cell r="Y399">
            <v>0</v>
          </cell>
          <cell r="AC399">
            <v>0</v>
          </cell>
          <cell r="AD399">
            <v>0</v>
          </cell>
          <cell r="AK399">
            <v>0</v>
          </cell>
          <cell r="AL399">
            <v>0</v>
          </cell>
        </row>
        <row r="400">
          <cell r="P400">
            <v>0</v>
          </cell>
          <cell r="X400">
            <v>480.66666666666669</v>
          </cell>
          <cell r="Y400">
            <v>149</v>
          </cell>
          <cell r="AC400">
            <v>11</v>
          </cell>
          <cell r="AD400">
            <v>4</v>
          </cell>
          <cell r="AK400">
            <v>491.66666666666669</v>
          </cell>
          <cell r="AL400">
            <v>153</v>
          </cell>
        </row>
        <row r="401">
          <cell r="P401">
            <v>0</v>
          </cell>
          <cell r="X401">
            <v>0</v>
          </cell>
          <cell r="Y401">
            <v>0</v>
          </cell>
          <cell r="AC401">
            <v>0</v>
          </cell>
          <cell r="AD401">
            <v>0</v>
          </cell>
          <cell r="AK401">
            <v>0</v>
          </cell>
          <cell r="AL401">
            <v>0</v>
          </cell>
          <cell r="AM401">
            <v>257.83333333333331</v>
          </cell>
        </row>
        <row r="402">
          <cell r="P402">
            <v>15.833333333333334</v>
          </cell>
          <cell r="X402">
            <v>41.666666666666664</v>
          </cell>
          <cell r="Y402">
            <v>13</v>
          </cell>
          <cell r="AC402">
            <v>32</v>
          </cell>
          <cell r="AD402">
            <v>10</v>
          </cell>
          <cell r="AK402">
            <v>91</v>
          </cell>
          <cell r="AL402">
            <v>43.833333333333336</v>
          </cell>
        </row>
        <row r="403">
          <cell r="P403">
            <v>4.666666666666667</v>
          </cell>
          <cell r="X403">
            <v>0</v>
          </cell>
          <cell r="Y403">
            <v>0</v>
          </cell>
          <cell r="AC403">
            <v>0</v>
          </cell>
          <cell r="AD403">
            <v>0</v>
          </cell>
          <cell r="AK403">
            <v>4.666666666666667</v>
          </cell>
          <cell r="AL403">
            <v>0</v>
          </cell>
        </row>
        <row r="404">
          <cell r="P404">
            <v>0</v>
          </cell>
          <cell r="X404">
            <v>0</v>
          </cell>
          <cell r="Y404">
            <v>0</v>
          </cell>
          <cell r="AC404">
            <v>0</v>
          </cell>
          <cell r="AD404">
            <v>0</v>
          </cell>
          <cell r="AK404">
            <v>0</v>
          </cell>
          <cell r="AL404">
            <v>0</v>
          </cell>
        </row>
        <row r="405">
          <cell r="P405">
            <v>39</v>
          </cell>
          <cell r="X405">
            <v>0</v>
          </cell>
          <cell r="Y405">
            <v>0</v>
          </cell>
          <cell r="AC405">
            <v>0</v>
          </cell>
          <cell r="AD405">
            <v>0</v>
          </cell>
          <cell r="AK405">
            <v>49</v>
          </cell>
          <cell r="AL405">
            <v>41</v>
          </cell>
          <cell r="AM405">
            <v>42</v>
          </cell>
        </row>
        <row r="406">
          <cell r="P406">
            <v>3.3333333333333335</v>
          </cell>
          <cell r="X406">
            <v>0</v>
          </cell>
          <cell r="Y406">
            <v>0</v>
          </cell>
          <cell r="AC406">
            <v>0</v>
          </cell>
          <cell r="AD406">
            <v>0</v>
          </cell>
          <cell r="AK406">
            <v>6</v>
          </cell>
          <cell r="AL406">
            <v>4.3333333333333339</v>
          </cell>
        </row>
        <row r="407">
          <cell r="P407">
            <v>35.666666666666664</v>
          </cell>
          <cell r="X407">
            <v>0</v>
          </cell>
          <cell r="Y407">
            <v>0</v>
          </cell>
          <cell r="AC407">
            <v>0</v>
          </cell>
          <cell r="AD407">
            <v>0</v>
          </cell>
          <cell r="AK407">
            <v>43</v>
          </cell>
          <cell r="AL407">
            <v>37.666666666666664</v>
          </cell>
        </row>
        <row r="408">
          <cell r="P408">
            <v>0</v>
          </cell>
          <cell r="X408">
            <v>0</v>
          </cell>
          <cell r="Y408">
            <v>0</v>
          </cell>
          <cell r="AC408">
            <v>0</v>
          </cell>
          <cell r="AD408">
            <v>0</v>
          </cell>
          <cell r="AK408">
            <v>0</v>
          </cell>
          <cell r="AL408">
            <v>42</v>
          </cell>
          <cell r="AM408">
            <v>42</v>
          </cell>
        </row>
        <row r="409">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P410">
            <v>0</v>
          </cell>
          <cell r="X410">
            <v>0</v>
          </cell>
          <cell r="Y410">
            <v>0</v>
          </cell>
          <cell r="AC410">
            <v>0</v>
          </cell>
          <cell r="AD410">
            <v>0</v>
          </cell>
          <cell r="AK410">
            <v>1350</v>
          </cell>
          <cell r="AL410">
            <v>0</v>
          </cell>
        </row>
        <row r="411">
          <cell r="P411">
            <v>0</v>
          </cell>
          <cell r="X411">
            <v>0</v>
          </cell>
          <cell r="Y411">
            <v>0</v>
          </cell>
          <cell r="AC411">
            <v>0</v>
          </cell>
          <cell r="AD411">
            <v>0</v>
          </cell>
          <cell r="AK411">
            <v>95</v>
          </cell>
          <cell r="AL411">
            <v>95</v>
          </cell>
        </row>
        <row r="412">
          <cell r="P412">
            <v>0</v>
          </cell>
          <cell r="S412">
            <v>50.166666666666671</v>
          </cell>
          <cell r="X412">
            <v>0</v>
          </cell>
          <cell r="Y412">
            <v>0</v>
          </cell>
          <cell r="AC412">
            <v>0</v>
          </cell>
          <cell r="AD412">
            <v>0</v>
          </cell>
          <cell r="AK412">
            <v>0</v>
          </cell>
          <cell r="AL412">
            <v>0</v>
          </cell>
          <cell r="AM412">
            <v>395.16666666666663</v>
          </cell>
        </row>
        <row r="413">
          <cell r="P413">
            <v>12.333333333333334</v>
          </cell>
          <cell r="X413">
            <v>0</v>
          </cell>
          <cell r="Y413">
            <v>0</v>
          </cell>
          <cell r="AC413">
            <v>0</v>
          </cell>
          <cell r="AD413">
            <v>0</v>
          </cell>
          <cell r="AK413">
            <v>12.333333333333334</v>
          </cell>
          <cell r="AL413">
            <v>12.333333333333334</v>
          </cell>
        </row>
        <row r="414">
          <cell r="P414">
            <v>0</v>
          </cell>
          <cell r="X414">
            <v>0</v>
          </cell>
          <cell r="Y414">
            <v>0</v>
          </cell>
          <cell r="AC414">
            <v>0</v>
          </cell>
          <cell r="AD414">
            <v>0</v>
          </cell>
          <cell r="AK414">
            <v>0</v>
          </cell>
          <cell r="AL414">
            <v>0</v>
          </cell>
        </row>
        <row r="415">
          <cell r="P415">
            <v>5</v>
          </cell>
          <cell r="X415">
            <v>3</v>
          </cell>
          <cell r="Y415">
            <v>1</v>
          </cell>
          <cell r="AC415">
            <v>3</v>
          </cell>
          <cell r="AD415">
            <v>1</v>
          </cell>
          <cell r="AK415">
            <v>57.666666666666664</v>
          </cell>
          <cell r="AL415">
            <v>47</v>
          </cell>
        </row>
        <row r="416">
          <cell r="P416">
            <v>0</v>
          </cell>
          <cell r="X416">
            <v>0</v>
          </cell>
          <cell r="Y416">
            <v>0</v>
          </cell>
          <cell r="AC416">
            <v>0</v>
          </cell>
          <cell r="AD416">
            <v>0</v>
          </cell>
          <cell r="AK416">
            <v>4</v>
          </cell>
          <cell r="AL416">
            <v>0</v>
          </cell>
        </row>
        <row r="417">
          <cell r="P417">
            <v>0</v>
          </cell>
          <cell r="X417">
            <v>0</v>
          </cell>
          <cell r="Y417">
            <v>0</v>
          </cell>
          <cell r="AC417">
            <v>0</v>
          </cell>
          <cell r="AD417">
            <v>0</v>
          </cell>
          <cell r="AK417">
            <v>0</v>
          </cell>
          <cell r="AL417">
            <v>0</v>
          </cell>
        </row>
        <row r="418">
          <cell r="P418">
            <v>18.5</v>
          </cell>
          <cell r="X418">
            <v>4.5</v>
          </cell>
          <cell r="Y418">
            <v>1</v>
          </cell>
          <cell r="AC418">
            <v>1.3333333333333333</v>
          </cell>
          <cell r="AD418">
            <v>0</v>
          </cell>
          <cell r="AK418">
            <v>28.5</v>
          </cell>
          <cell r="AL418">
            <v>23.5</v>
          </cell>
        </row>
        <row r="419">
          <cell r="P419">
            <v>1.3333333333333333</v>
          </cell>
          <cell r="X419">
            <v>0</v>
          </cell>
          <cell r="Y419">
            <v>0</v>
          </cell>
          <cell r="AC419">
            <v>1.6666666666666667</v>
          </cell>
          <cell r="AD419">
            <v>1</v>
          </cell>
          <cell r="AK419">
            <v>69</v>
          </cell>
          <cell r="AL419">
            <v>52.333333333333336</v>
          </cell>
        </row>
        <row r="420">
          <cell r="P420">
            <v>0</v>
          </cell>
          <cell r="X420">
            <v>0</v>
          </cell>
          <cell r="Y420">
            <v>0</v>
          </cell>
          <cell r="AC420">
            <v>0</v>
          </cell>
          <cell r="AD420">
            <v>0</v>
          </cell>
          <cell r="AK420">
            <v>177</v>
          </cell>
          <cell r="AL420">
            <v>38</v>
          </cell>
        </row>
        <row r="421">
          <cell r="P421">
            <v>0</v>
          </cell>
          <cell r="X421">
            <v>10</v>
          </cell>
          <cell r="Y421">
            <v>3</v>
          </cell>
          <cell r="AC421">
            <v>7.666666666666667</v>
          </cell>
          <cell r="AD421">
            <v>3</v>
          </cell>
          <cell r="AK421">
            <v>17.666666666666668</v>
          </cell>
          <cell r="AL421">
            <v>6</v>
          </cell>
        </row>
        <row r="422">
          <cell r="P422">
            <v>2</v>
          </cell>
          <cell r="X422">
            <v>1.3333333333333333</v>
          </cell>
          <cell r="Y422">
            <v>0</v>
          </cell>
          <cell r="AC422">
            <v>1</v>
          </cell>
          <cell r="AD422">
            <v>0</v>
          </cell>
          <cell r="AK422">
            <v>6</v>
          </cell>
          <cell r="AL422">
            <v>2</v>
          </cell>
        </row>
        <row r="423">
          <cell r="P423">
            <v>0.33333333333333331</v>
          </cell>
          <cell r="X423">
            <v>1</v>
          </cell>
          <cell r="Y423">
            <v>0</v>
          </cell>
          <cell r="AC423">
            <v>0.66666666666666663</v>
          </cell>
          <cell r="AD423">
            <v>0</v>
          </cell>
          <cell r="AK423">
            <v>9.3333333333333339</v>
          </cell>
          <cell r="AL423">
            <v>3.3333333333333335</v>
          </cell>
        </row>
        <row r="424">
          <cell r="P424">
            <v>2.3333333333333335</v>
          </cell>
          <cell r="X424">
            <v>6</v>
          </cell>
          <cell r="Y424">
            <v>2</v>
          </cell>
          <cell r="AC424">
            <v>5</v>
          </cell>
          <cell r="AD424">
            <v>2</v>
          </cell>
          <cell r="AK424">
            <v>13.333333333333334</v>
          </cell>
          <cell r="AL424">
            <v>6.3333333333333339</v>
          </cell>
        </row>
        <row r="425">
          <cell r="P425">
            <v>0</v>
          </cell>
          <cell r="X425">
            <v>0</v>
          </cell>
          <cell r="Y425">
            <v>0</v>
          </cell>
          <cell r="AC425">
            <v>0</v>
          </cell>
          <cell r="AD425">
            <v>0</v>
          </cell>
          <cell r="AK425">
            <v>0</v>
          </cell>
          <cell r="AL425">
            <v>0</v>
          </cell>
        </row>
        <row r="426">
          <cell r="P426">
            <v>0</v>
          </cell>
          <cell r="X426">
            <v>0</v>
          </cell>
          <cell r="Y426">
            <v>0</v>
          </cell>
          <cell r="AC426">
            <v>0</v>
          </cell>
          <cell r="AD426">
            <v>0</v>
          </cell>
          <cell r="AK426">
            <v>0</v>
          </cell>
          <cell r="AL426">
            <v>0</v>
          </cell>
        </row>
        <row r="427">
          <cell r="P427">
            <v>1</v>
          </cell>
          <cell r="X427">
            <v>0</v>
          </cell>
          <cell r="Y427">
            <v>0</v>
          </cell>
          <cell r="AC427">
            <v>0</v>
          </cell>
          <cell r="AD427">
            <v>0</v>
          </cell>
          <cell r="AK427">
            <v>12</v>
          </cell>
          <cell r="AL427">
            <v>4</v>
          </cell>
        </row>
        <row r="428">
          <cell r="P428">
            <v>0</v>
          </cell>
          <cell r="X428">
            <v>0</v>
          </cell>
          <cell r="Y428">
            <v>0</v>
          </cell>
          <cell r="AC428">
            <v>0</v>
          </cell>
          <cell r="AD428">
            <v>0</v>
          </cell>
          <cell r="AK428">
            <v>0</v>
          </cell>
          <cell r="AL428">
            <v>0</v>
          </cell>
        </row>
        <row r="429">
          <cell r="P429">
            <v>0.66666666666666663</v>
          </cell>
          <cell r="X429">
            <v>0.66666666666666663</v>
          </cell>
          <cell r="Y429">
            <v>0</v>
          </cell>
          <cell r="AC429">
            <v>0.66666666666666663</v>
          </cell>
          <cell r="AD429">
            <v>0</v>
          </cell>
          <cell r="AK429">
            <v>4.333333333333333</v>
          </cell>
          <cell r="AL429">
            <v>0.66666666666666663</v>
          </cell>
        </row>
        <row r="430">
          <cell r="P430">
            <v>0.66666666666666663</v>
          </cell>
          <cell r="X430">
            <v>0.66666666666666663</v>
          </cell>
          <cell r="Y430">
            <v>0</v>
          </cell>
          <cell r="AC430">
            <v>0.66666666666666663</v>
          </cell>
          <cell r="AD430">
            <v>0</v>
          </cell>
          <cell r="AK430">
            <v>3.6666666666666665</v>
          </cell>
          <cell r="AL430">
            <v>0.66666666666666663</v>
          </cell>
        </row>
        <row r="431">
          <cell r="P431">
            <v>4.666666666666667</v>
          </cell>
          <cell r="X431">
            <v>3</v>
          </cell>
          <cell r="Y431">
            <v>1</v>
          </cell>
          <cell r="AC431">
            <v>2</v>
          </cell>
          <cell r="AD431">
            <v>1</v>
          </cell>
          <cell r="AK431">
            <v>33</v>
          </cell>
          <cell r="AL431">
            <v>17.666666666666668</v>
          </cell>
        </row>
        <row r="432">
          <cell r="P432">
            <v>0</v>
          </cell>
          <cell r="X432">
            <v>0</v>
          </cell>
          <cell r="Y432">
            <v>0</v>
          </cell>
          <cell r="AC432">
            <v>0</v>
          </cell>
          <cell r="AD432">
            <v>0</v>
          </cell>
          <cell r="AK432">
            <v>0</v>
          </cell>
          <cell r="AL432">
            <v>0</v>
          </cell>
        </row>
        <row r="433">
          <cell r="P433">
            <v>0</v>
          </cell>
          <cell r="X433">
            <v>0</v>
          </cell>
          <cell r="Y433">
            <v>0</v>
          </cell>
          <cell r="AC433">
            <v>0</v>
          </cell>
          <cell r="AD433">
            <v>0</v>
          </cell>
          <cell r="AK433">
            <v>0</v>
          </cell>
          <cell r="AL433">
            <v>53</v>
          </cell>
        </row>
        <row r="434">
          <cell r="P434">
            <v>0</v>
          </cell>
          <cell r="X434">
            <v>0</v>
          </cell>
          <cell r="Y434">
            <v>0</v>
          </cell>
          <cell r="AC434">
            <v>0</v>
          </cell>
          <cell r="AD434">
            <v>0</v>
          </cell>
          <cell r="AK434">
            <v>1</v>
          </cell>
          <cell r="AL434">
            <v>1</v>
          </cell>
        </row>
        <row r="435">
          <cell r="P435">
            <v>0</v>
          </cell>
          <cell r="X435">
            <v>0</v>
          </cell>
          <cell r="Y435">
            <v>0</v>
          </cell>
          <cell r="AC435">
            <v>0</v>
          </cell>
          <cell r="AD435">
            <v>0</v>
          </cell>
          <cell r="AK435">
            <v>0</v>
          </cell>
          <cell r="AL435">
            <v>0</v>
          </cell>
        </row>
        <row r="436">
          <cell r="P436">
            <v>0</v>
          </cell>
          <cell r="X436">
            <v>0</v>
          </cell>
          <cell r="Y436">
            <v>0</v>
          </cell>
          <cell r="AC436">
            <v>0</v>
          </cell>
          <cell r="AD436">
            <v>0</v>
          </cell>
          <cell r="AK436">
            <v>0</v>
          </cell>
          <cell r="AL436">
            <v>0</v>
          </cell>
        </row>
        <row r="437">
          <cell r="P437">
            <v>1</v>
          </cell>
          <cell r="X437">
            <v>4</v>
          </cell>
          <cell r="Y437">
            <v>1</v>
          </cell>
          <cell r="AC437">
            <v>2</v>
          </cell>
          <cell r="AD437">
            <v>1</v>
          </cell>
          <cell r="AK437">
            <v>15.666666666666666</v>
          </cell>
          <cell r="AL437">
            <v>7</v>
          </cell>
        </row>
        <row r="438">
          <cell r="P438">
            <v>0</v>
          </cell>
          <cell r="X438">
            <v>0</v>
          </cell>
          <cell r="Y438">
            <v>0</v>
          </cell>
          <cell r="AC438">
            <v>0</v>
          </cell>
          <cell r="AD438">
            <v>0</v>
          </cell>
          <cell r="AK438">
            <v>0</v>
          </cell>
          <cell r="AL438">
            <v>0</v>
          </cell>
        </row>
        <row r="439">
          <cell r="P439">
            <v>0</v>
          </cell>
          <cell r="X439">
            <v>3.3333333333333335</v>
          </cell>
          <cell r="Y439">
            <v>1</v>
          </cell>
          <cell r="AC439">
            <v>0</v>
          </cell>
          <cell r="AD439">
            <v>0</v>
          </cell>
          <cell r="AK439">
            <v>3.3333333333333335</v>
          </cell>
          <cell r="AL439">
            <v>1</v>
          </cell>
        </row>
        <row r="440">
          <cell r="P440">
            <v>0.33333333333333331</v>
          </cell>
          <cell r="X440">
            <v>0.33333333333333331</v>
          </cell>
          <cell r="Y440">
            <v>0</v>
          </cell>
          <cell r="AC440">
            <v>0.33333333333333331</v>
          </cell>
          <cell r="AD440">
            <v>0</v>
          </cell>
          <cell r="AK440">
            <v>1.9999999999999998</v>
          </cell>
          <cell r="AL440">
            <v>0.33333333333333331</v>
          </cell>
        </row>
        <row r="441">
          <cell r="P441">
            <v>0</v>
          </cell>
          <cell r="X441">
            <v>0</v>
          </cell>
          <cell r="Y441">
            <v>0</v>
          </cell>
          <cell r="AC441">
            <v>0</v>
          </cell>
          <cell r="AD441">
            <v>0</v>
          </cell>
          <cell r="AK441">
            <v>0</v>
          </cell>
          <cell r="AL441">
            <v>0</v>
          </cell>
        </row>
        <row r="442">
          <cell r="P442">
            <v>0</v>
          </cell>
          <cell r="X442">
            <v>0</v>
          </cell>
          <cell r="Y442">
            <v>0</v>
          </cell>
          <cell r="AC442">
            <v>0</v>
          </cell>
          <cell r="AD442">
            <v>0</v>
          </cell>
          <cell r="AK442">
            <v>0</v>
          </cell>
          <cell r="AL442">
            <v>0</v>
          </cell>
        </row>
        <row r="443">
          <cell r="P443">
            <v>0</v>
          </cell>
          <cell r="X443">
            <v>0</v>
          </cell>
          <cell r="Y443">
            <v>0</v>
          </cell>
          <cell r="AC443">
            <v>0</v>
          </cell>
          <cell r="AD443">
            <v>0</v>
          </cell>
          <cell r="AK443">
            <v>0</v>
          </cell>
          <cell r="AL443">
            <v>0</v>
          </cell>
        </row>
        <row r="444">
          <cell r="P444">
            <v>0</v>
          </cell>
          <cell r="X444">
            <v>0</v>
          </cell>
          <cell r="Y444">
            <v>0</v>
          </cell>
          <cell r="AC444">
            <v>0</v>
          </cell>
          <cell r="AD444">
            <v>0</v>
          </cell>
          <cell r="AK444">
            <v>0</v>
          </cell>
          <cell r="AL444">
            <v>0</v>
          </cell>
        </row>
        <row r="445">
          <cell r="P445">
            <v>0</v>
          </cell>
          <cell r="X445">
            <v>0</v>
          </cell>
          <cell r="Y445">
            <v>0</v>
          </cell>
          <cell r="AC445">
            <v>0</v>
          </cell>
          <cell r="AD445">
            <v>0</v>
          </cell>
          <cell r="AK445">
            <v>0</v>
          </cell>
          <cell r="AL445">
            <v>0</v>
          </cell>
        </row>
        <row r="446">
          <cell r="P446">
            <v>0</v>
          </cell>
          <cell r="X446">
            <v>0</v>
          </cell>
          <cell r="Y446">
            <v>0</v>
          </cell>
          <cell r="AC446">
            <v>0</v>
          </cell>
          <cell r="AD446">
            <v>0</v>
          </cell>
          <cell r="AK446">
            <v>0</v>
          </cell>
          <cell r="AL446">
            <v>0</v>
          </cell>
        </row>
        <row r="447">
          <cell r="P447">
            <v>0</v>
          </cell>
          <cell r="X447">
            <v>0</v>
          </cell>
          <cell r="Y447">
            <v>0</v>
          </cell>
          <cell r="AC447">
            <v>0</v>
          </cell>
          <cell r="AD447">
            <v>0</v>
          </cell>
          <cell r="AK447">
            <v>0</v>
          </cell>
          <cell r="AL447">
            <v>2</v>
          </cell>
        </row>
        <row r="448">
          <cell r="P448">
            <v>0</v>
          </cell>
          <cell r="X448">
            <v>0</v>
          </cell>
          <cell r="Y448">
            <v>0</v>
          </cell>
          <cell r="AC448">
            <v>0</v>
          </cell>
          <cell r="AD448">
            <v>0</v>
          </cell>
          <cell r="AK448">
            <v>0</v>
          </cell>
          <cell r="AL448">
            <v>0</v>
          </cell>
        </row>
        <row r="449">
          <cell r="P449">
            <v>0</v>
          </cell>
          <cell r="X449">
            <v>0</v>
          </cell>
          <cell r="Y449">
            <v>0</v>
          </cell>
          <cell r="AC449">
            <v>0</v>
          </cell>
          <cell r="AD449">
            <v>0</v>
          </cell>
          <cell r="AK449">
            <v>0</v>
          </cell>
          <cell r="AL449">
            <v>0</v>
          </cell>
        </row>
        <row r="450">
          <cell r="P450">
            <v>0</v>
          </cell>
          <cell r="X450">
            <v>0</v>
          </cell>
          <cell r="Y450">
            <v>0</v>
          </cell>
          <cell r="AC450">
            <v>0</v>
          </cell>
          <cell r="AD450">
            <v>0</v>
          </cell>
          <cell r="AK450">
            <v>0</v>
          </cell>
          <cell r="AL450">
            <v>2</v>
          </cell>
        </row>
        <row r="451">
          <cell r="P451">
            <v>0</v>
          </cell>
          <cell r="X451">
            <v>0</v>
          </cell>
          <cell r="Y451">
            <v>0</v>
          </cell>
          <cell r="AC451">
            <v>0</v>
          </cell>
          <cell r="AD451">
            <v>0</v>
          </cell>
          <cell r="AK451">
            <v>0</v>
          </cell>
          <cell r="AL451">
            <v>0</v>
          </cell>
        </row>
      </sheetData>
      <sheetData sheetId="34" refreshError="1">
        <row r="13">
          <cell r="C13" t="str">
            <v>І.В.ПЛАЧКОВ</v>
          </cell>
        </row>
        <row r="16">
          <cell r="AO16" t="str">
            <v>ЗАТВЕРДЖУЮ</v>
          </cell>
        </row>
        <row r="17">
          <cell r="C17" t="str">
            <v>І.В.ПЛАЧКОВ</v>
          </cell>
          <cell r="AO17" t="str">
            <v>ГОЛОВА ПРАЛІННЯ АК КЕ</v>
          </cell>
        </row>
        <row r="22">
          <cell r="AU22" t="str">
            <v>І.В.ПЛАЧКОВ</v>
          </cell>
        </row>
        <row r="25">
          <cell r="X25" t="str">
            <v>ЗАТВЕРДЖУЮ</v>
          </cell>
        </row>
        <row r="26">
          <cell r="X26" t="str">
            <v>В.О. ГЕНЕРАЛЬНОГО ДИРЕКТОРА  КЕ</v>
          </cell>
        </row>
        <row r="27">
          <cell r="Y27" t="str">
            <v>ЯЩЕНКО Б.В.</v>
          </cell>
        </row>
        <row r="30">
          <cell r="C30" t="str">
            <v>ВИКОН.ДИР.ПЛАН</v>
          </cell>
          <cell r="D30" t="str">
            <v>Е/Е</v>
          </cell>
          <cell r="E30" t="str">
            <v xml:space="preserve"> Т/Е</v>
          </cell>
          <cell r="M30" t="str">
            <v xml:space="preserve">ККМ ПЛАН </v>
          </cell>
          <cell r="N30" t="str">
            <v>ЗВІТ</v>
          </cell>
          <cell r="O30" t="str">
            <v>ВІДХ.</v>
          </cell>
          <cell r="P30" t="str">
            <v>КТМ ПЛАН</v>
          </cell>
          <cell r="Q30" t="str">
            <v>ЗВІТ</v>
          </cell>
          <cell r="R30" t="str">
            <v>ВІДХ.</v>
          </cell>
          <cell r="S30" t="str">
            <v>ТЕЦ-5   ПЛАН</v>
          </cell>
          <cell r="T30" t="str">
            <v>Е/Е</v>
          </cell>
          <cell r="U30" t="str">
            <v xml:space="preserve"> Т/Е</v>
          </cell>
          <cell r="W30" t="str">
            <v>ЗВІТ</v>
          </cell>
          <cell r="X30" t="str">
            <v>ТЕЦ-6  ПЛАН</v>
          </cell>
          <cell r="Y30" t="str">
            <v>Е/Е</v>
          </cell>
          <cell r="Z30" t="str">
            <v xml:space="preserve"> Т/Е</v>
          </cell>
          <cell r="AC30" t="str">
            <v>ТРМ ВСЬОГО ПЛАН</v>
          </cell>
          <cell r="AD30" t="str">
            <v>ТРМ АК ПЛАН</v>
          </cell>
          <cell r="AE30" t="str">
            <v>ТРМ СТОР  ПЛАН</v>
          </cell>
          <cell r="AF30" t="str">
            <v>ТРМ ВСЬОГО ЗВІТ</v>
          </cell>
          <cell r="AG30" t="str">
            <v>ТРМ АК ЗВІТ</v>
          </cell>
          <cell r="AH30" t="str">
            <v>ТРМ СТОР  ЗВІТ</v>
          </cell>
          <cell r="AI30" t="str">
            <v>відх всього</v>
          </cell>
          <cell r="AJ30" t="str">
            <v>Е/Е</v>
          </cell>
          <cell r="AK30" t="str">
            <v xml:space="preserve"> Т/Е</v>
          </cell>
          <cell r="AM30" t="str">
            <v>ДОП.ВИР. ПЛАН</v>
          </cell>
          <cell r="AN30" t="str">
            <v>ЗВІТ</v>
          </cell>
          <cell r="AO30" t="str">
            <v>АК КЕ  ПЛАН</v>
          </cell>
          <cell r="AP30" t="str">
            <v xml:space="preserve"> Е/Е</v>
          </cell>
          <cell r="AQ30" t="str">
            <v xml:space="preserve"> Т/Е</v>
          </cell>
          <cell r="AR30" t="str">
            <v>ЗВІТ</v>
          </cell>
          <cell r="AS30" t="str">
            <v>відх</v>
          </cell>
          <cell r="AT30" t="str">
            <v>СТАНЦІї ЕЛЕКТРО</v>
          </cell>
          <cell r="AU30" t="str">
            <v>СТАНЦІІ ТЕПЛОВІ</v>
          </cell>
          <cell r="AV30" t="str">
            <v>МЕРЕЖІ ЕЛЕКТРО</v>
          </cell>
          <cell r="AW30" t="str">
            <v>МЕРЕЖІ ТЕПЛОВІ</v>
          </cell>
        </row>
        <row r="31">
          <cell r="C31" t="str">
            <v>ВИКОН.ДИР.</v>
          </cell>
          <cell r="D31" t="str">
            <v>Е/Е</v>
          </cell>
          <cell r="E31" t="str">
            <v xml:space="preserve"> Т/Е</v>
          </cell>
          <cell r="M31" t="str">
            <v>ПЕРЕД</v>
          </cell>
          <cell r="N31" t="str">
            <v>КТМ розп. коштів</v>
          </cell>
          <cell r="O31" t="str">
            <v>ТЕЦ-5 ВСЬОГО розр.</v>
          </cell>
          <cell r="P31" t="str">
            <v>Е/Е</v>
          </cell>
          <cell r="Q31" t="str">
            <v xml:space="preserve"> Т/Е</v>
          </cell>
          <cell r="R31" t="str">
            <v>ТЕЦ-5 розп. коштів</v>
          </cell>
          <cell r="S31" t="str">
            <v>ТЕЦ-6 ВСЬОГО розр.</v>
          </cell>
          <cell r="T31" t="str">
            <v>Е/Е</v>
          </cell>
          <cell r="U31" t="str">
            <v xml:space="preserve"> Т/Е</v>
          </cell>
          <cell r="V31" t="str">
            <v>ТЕЦ-6 розп. коштів</v>
          </cell>
          <cell r="W31" t="str">
            <v>ТРМ всього</v>
          </cell>
          <cell r="X31" t="str">
            <v>ТРМ АК розр.</v>
          </cell>
          <cell r="Y31">
            <v>298</v>
          </cell>
          <cell r="AA31" t="str">
            <v>ТРМ АК розп.кошт.</v>
          </cell>
          <cell r="AB31" t="str">
            <v>ТРМ  СТОР.роз.кошт.</v>
          </cell>
          <cell r="AC31" t="str">
            <v>ТРМ всього розп.кошт.</v>
          </cell>
          <cell r="AD31" t="str">
            <v>РЕЗЕРВ</v>
          </cell>
          <cell r="AE31" t="str">
            <v>Е/Е</v>
          </cell>
          <cell r="AF31" t="str">
            <v xml:space="preserve"> Т/Е</v>
          </cell>
          <cell r="AG31" t="str">
            <v>ДОП.ВИР.</v>
          </cell>
          <cell r="AH31" t="str">
            <v>АК КЕ ВСЬОГО</v>
          </cell>
          <cell r="AI31" t="str">
            <v>АК КЕ ВСЬОГО</v>
          </cell>
          <cell r="AJ31" t="str">
            <v>Е/Е</v>
          </cell>
          <cell r="AK31" t="str">
            <v xml:space="preserve"> Т/Е</v>
          </cell>
          <cell r="AL31" t="str">
            <v>СТАНЦІї ЕЛЕКТРО</v>
          </cell>
          <cell r="AM31" t="str">
            <v>СТАНЦІІ ТЕПЛОВІ</v>
          </cell>
          <cell r="AN31" t="str">
            <v>МЕРЕЖІ ЕЛЕКТРО</v>
          </cell>
          <cell r="AO31" t="str">
            <v>МЕРЕЖІ ТЕПЛОВІ</v>
          </cell>
          <cell r="AP31">
            <v>298</v>
          </cell>
        </row>
        <row r="32">
          <cell r="P32">
            <v>313</v>
          </cell>
          <cell r="T32">
            <v>166</v>
          </cell>
          <cell r="Y32">
            <v>268.14999999999998</v>
          </cell>
          <cell r="AJ32">
            <v>479</v>
          </cell>
          <cell r="AP32">
            <v>268.14999999999998</v>
          </cell>
        </row>
        <row r="33">
          <cell r="P33">
            <v>283.95999999999998</v>
          </cell>
          <cell r="T33">
            <v>143.30000000000001</v>
          </cell>
          <cell r="AJ33">
            <v>427.26</v>
          </cell>
          <cell r="AP33">
            <v>0</v>
          </cell>
        </row>
        <row r="34">
          <cell r="AJ34">
            <v>0</v>
          </cell>
          <cell r="AP34">
            <v>0</v>
          </cell>
        </row>
        <row r="35">
          <cell r="AJ35">
            <v>75</v>
          </cell>
          <cell r="AP35">
            <v>32</v>
          </cell>
        </row>
        <row r="36">
          <cell r="AJ36">
            <v>0</v>
          </cell>
          <cell r="AP36">
            <v>0</v>
          </cell>
        </row>
        <row r="37">
          <cell r="AJ37">
            <v>0</v>
          </cell>
          <cell r="AP37">
            <v>500</v>
          </cell>
        </row>
        <row r="38">
          <cell r="M38">
            <v>0</v>
          </cell>
          <cell r="AJ38">
            <v>451.8</v>
          </cell>
          <cell r="AP38">
            <v>468</v>
          </cell>
        </row>
        <row r="39">
          <cell r="C39">
            <v>24088.5</v>
          </cell>
          <cell r="M39">
            <v>7874.5400000000009</v>
          </cell>
          <cell r="N39">
            <v>51</v>
          </cell>
          <cell r="O39">
            <v>-7823.5400000000009</v>
          </cell>
          <cell r="P39">
            <v>21526.597121212119</v>
          </cell>
          <cell r="Q39">
            <v>1921</v>
          </cell>
          <cell r="R39">
            <v>-7874.5400000000009</v>
          </cell>
          <cell r="S39">
            <v>10402.377272727274</v>
          </cell>
          <cell r="T39">
            <v>6339</v>
          </cell>
          <cell r="U39">
            <v>3764.8772727272735</v>
          </cell>
          <cell r="W39">
            <v>504</v>
          </cell>
          <cell r="X39">
            <v>6353.0733333333337</v>
          </cell>
          <cell r="Y39">
            <v>3563</v>
          </cell>
          <cell r="Z39">
            <v>2327.5733333333337</v>
          </cell>
          <cell r="AC39">
            <v>12680.606666666667</v>
          </cell>
          <cell r="AF39">
            <v>8023</v>
          </cell>
          <cell r="AG39">
            <v>5924</v>
          </cell>
          <cell r="AH39">
            <v>2099</v>
          </cell>
          <cell r="AI39">
            <v>-4657.6066666666666</v>
          </cell>
          <cell r="AJ39">
            <v>451.8</v>
          </cell>
          <cell r="AM39">
            <v>9793.2999999999993</v>
          </cell>
        </row>
        <row r="40">
          <cell r="C40">
            <v>12795.5</v>
          </cell>
          <cell r="Q40">
            <v>519</v>
          </cell>
          <cell r="U40">
            <v>415</v>
          </cell>
          <cell r="AE40">
            <v>12680.606666666667</v>
          </cell>
          <cell r="AH40">
            <v>2099</v>
          </cell>
          <cell r="AK40">
            <v>1722</v>
          </cell>
        </row>
        <row r="41">
          <cell r="C41">
            <v>1607.1</v>
          </cell>
          <cell r="D41">
            <v>588</v>
          </cell>
          <cell r="E41">
            <v>1019.1</v>
          </cell>
          <cell r="M41">
            <v>2532.4400000000005</v>
          </cell>
          <cell r="P41">
            <v>5547.8736363636363</v>
          </cell>
          <cell r="S41">
            <v>2164.1499999999996</v>
          </cell>
          <cell r="T41">
            <v>1334</v>
          </cell>
          <cell r="U41">
            <v>830.15</v>
          </cell>
          <cell r="X41">
            <v>1710.74</v>
          </cell>
          <cell r="Y41">
            <v>1043</v>
          </cell>
          <cell r="Z41">
            <v>705.74</v>
          </cell>
          <cell r="AD41">
            <v>4465</v>
          </cell>
          <cell r="AF41">
            <v>3689.3636363636365</v>
          </cell>
          <cell r="AG41">
            <v>3202</v>
          </cell>
          <cell r="AK41">
            <v>0</v>
          </cell>
          <cell r="AM41">
            <v>545</v>
          </cell>
          <cell r="AQ41">
            <v>1535.8899999999999</v>
          </cell>
        </row>
        <row r="42">
          <cell r="P42">
            <v>970</v>
          </cell>
          <cell r="Q42">
            <v>519</v>
          </cell>
          <cell r="U42">
            <v>415</v>
          </cell>
          <cell r="Z42">
            <v>590</v>
          </cell>
          <cell r="AK42">
            <v>1519</v>
          </cell>
          <cell r="AQ42">
            <v>2095</v>
          </cell>
        </row>
        <row r="43">
          <cell r="C43">
            <v>14292.169805900916</v>
          </cell>
          <cell r="M43">
            <v>3413.840909090909</v>
          </cell>
          <cell r="N43">
            <v>0</v>
          </cell>
          <cell r="O43">
            <v>2444.7272727272721</v>
          </cell>
          <cell r="P43">
            <v>752</v>
          </cell>
          <cell r="Q43">
            <v>1667.8272727272724</v>
          </cell>
          <cell r="R43">
            <v>123</v>
          </cell>
          <cell r="S43">
            <v>1391.636363636364</v>
          </cell>
          <cell r="T43">
            <v>447</v>
          </cell>
          <cell r="U43">
            <v>919.33636363636469</v>
          </cell>
          <cell r="V43">
            <v>0</v>
          </cell>
          <cell r="X43">
            <v>2771.9636363636364</v>
          </cell>
          <cell r="Y43">
            <v>1109.5818181818181</v>
          </cell>
          <cell r="Z43">
            <v>3881.545454545454</v>
          </cell>
          <cell r="AA43">
            <v>222.875</v>
          </cell>
          <cell r="AB43">
            <v>71.125</v>
          </cell>
          <cell r="AC43">
            <v>294</v>
          </cell>
          <cell r="AH43" t="str">
            <v>розрах.</v>
          </cell>
          <cell r="AI43" t="str">
            <v>розп.коштів</v>
          </cell>
        </row>
        <row r="45">
          <cell r="C45">
            <v>410.54545454545456</v>
          </cell>
          <cell r="M45">
            <v>957.19636363636369</v>
          </cell>
          <cell r="N45">
            <v>0</v>
          </cell>
          <cell r="O45">
            <v>652.90909090909099</v>
          </cell>
          <cell r="P45">
            <v>203</v>
          </cell>
          <cell r="Q45">
            <v>449.90909090909093</v>
          </cell>
          <cell r="R45">
            <v>91</v>
          </cell>
          <cell r="S45">
            <v>541.63636363636363</v>
          </cell>
          <cell r="T45">
            <v>177</v>
          </cell>
          <cell r="U45">
            <v>364.63636363636363</v>
          </cell>
          <cell r="V45">
            <v>0</v>
          </cell>
          <cell r="X45">
            <v>1120.7636363636364</v>
          </cell>
          <cell r="Y45">
            <v>318.78181818181815</v>
          </cell>
          <cell r="Z45">
            <v>1439.5454545454545</v>
          </cell>
          <cell r="AA45">
            <v>127.875</v>
          </cell>
          <cell r="AB45">
            <v>64.125</v>
          </cell>
          <cell r="AC45">
            <v>192</v>
          </cell>
        </row>
        <row r="46">
          <cell r="C46">
            <v>2306</v>
          </cell>
          <cell r="D46">
            <v>837</v>
          </cell>
          <cell r="E46">
            <v>1469</v>
          </cell>
          <cell r="M46">
            <v>1075.5999999999999</v>
          </cell>
          <cell r="O46">
            <v>-1075.5999999999999</v>
          </cell>
          <cell r="P46">
            <v>2738</v>
          </cell>
          <cell r="R46">
            <v>-1075.5999999999999</v>
          </cell>
          <cell r="S46">
            <v>631.4</v>
          </cell>
          <cell r="T46">
            <v>388</v>
          </cell>
          <cell r="U46">
            <v>243.4</v>
          </cell>
          <cell r="X46">
            <v>1054.6500000000001</v>
          </cell>
          <cell r="Y46">
            <v>672</v>
          </cell>
          <cell r="Z46">
            <v>382.65000000000009</v>
          </cell>
          <cell r="AC46">
            <v>1441.25</v>
          </cell>
          <cell r="AD46">
            <v>874.25</v>
          </cell>
          <cell r="AE46">
            <v>567</v>
          </cell>
          <cell r="AF46">
            <v>399</v>
          </cell>
          <cell r="AG46">
            <v>292</v>
          </cell>
          <cell r="AH46">
            <v>107</v>
          </cell>
          <cell r="AI46">
            <v>-1042.25</v>
          </cell>
          <cell r="AM46">
            <v>0</v>
          </cell>
          <cell r="AO46">
            <v>9239.9</v>
          </cell>
          <cell r="AP46">
            <v>3131.6</v>
          </cell>
          <cell r="AQ46">
            <v>6108.2999999999993</v>
          </cell>
          <cell r="AR46" t="e">
            <v>#REF!</v>
          </cell>
          <cell r="AS46" t="e">
            <v>#REF!</v>
          </cell>
          <cell r="AT46">
            <v>1060</v>
          </cell>
          <cell r="AU46">
            <v>1557</v>
          </cell>
          <cell r="AV46">
            <v>2071.6</v>
          </cell>
          <cell r="AW46">
            <v>4551.2999999999993</v>
          </cell>
        </row>
        <row r="47">
          <cell r="C47">
            <v>617</v>
          </cell>
          <cell r="D47">
            <v>229</v>
          </cell>
          <cell r="E47">
            <v>270</v>
          </cell>
          <cell r="M47">
            <v>624</v>
          </cell>
          <cell r="O47">
            <v>258</v>
          </cell>
          <cell r="P47">
            <v>1853.8333333333333</v>
          </cell>
          <cell r="Q47">
            <v>178</v>
          </cell>
          <cell r="S47">
            <v>290</v>
          </cell>
          <cell r="T47">
            <v>187</v>
          </cell>
          <cell r="U47">
            <v>103</v>
          </cell>
          <cell r="W47">
            <v>340</v>
          </cell>
          <cell r="X47">
            <v>226</v>
          </cell>
          <cell r="Y47">
            <v>140</v>
          </cell>
          <cell r="Z47">
            <v>86</v>
          </cell>
          <cell r="AC47">
            <v>1299</v>
          </cell>
          <cell r="AD47">
            <v>1235</v>
          </cell>
          <cell r="AE47">
            <v>64</v>
          </cell>
          <cell r="AG47">
            <v>0</v>
          </cell>
          <cell r="AH47">
            <v>2517</v>
          </cell>
          <cell r="AJ47">
            <v>820</v>
          </cell>
          <cell r="AK47">
            <v>1697</v>
          </cell>
          <cell r="AL47">
            <v>151</v>
          </cell>
          <cell r="AM47">
            <v>589</v>
          </cell>
          <cell r="AN47">
            <v>669</v>
          </cell>
          <cell r="AO47">
            <v>4945.833333333333</v>
          </cell>
        </row>
        <row r="48">
          <cell r="C48">
            <v>0</v>
          </cell>
          <cell r="D48">
            <v>0</v>
          </cell>
          <cell r="E48">
            <v>0</v>
          </cell>
          <cell r="M48">
            <v>1</v>
          </cell>
          <cell r="O48">
            <v>75</v>
          </cell>
          <cell r="P48">
            <v>0</v>
          </cell>
          <cell r="S48">
            <v>18.55</v>
          </cell>
          <cell r="T48">
            <v>9</v>
          </cell>
          <cell r="U48">
            <v>9.5500000000000007</v>
          </cell>
          <cell r="X48">
            <v>47</v>
          </cell>
          <cell r="Y48">
            <v>22</v>
          </cell>
          <cell r="Z48">
            <v>25</v>
          </cell>
          <cell r="AC48">
            <v>0</v>
          </cell>
          <cell r="AD48">
            <v>0</v>
          </cell>
          <cell r="AE48">
            <v>0</v>
          </cell>
          <cell r="AH48">
            <v>942</v>
          </cell>
          <cell r="AO48">
            <v>66.55</v>
          </cell>
        </row>
        <row r="49">
          <cell r="C49">
            <v>1639</v>
          </cell>
          <cell r="D49">
            <v>592</v>
          </cell>
          <cell r="E49">
            <v>595</v>
          </cell>
          <cell r="M49">
            <v>60</v>
          </cell>
          <cell r="O49">
            <v>110</v>
          </cell>
          <cell r="P49">
            <v>167</v>
          </cell>
          <cell r="S49">
            <v>164</v>
          </cell>
          <cell r="T49">
            <v>107</v>
          </cell>
          <cell r="U49">
            <v>57</v>
          </cell>
          <cell r="X49">
            <v>141</v>
          </cell>
          <cell r="Y49">
            <v>87</v>
          </cell>
          <cell r="Z49">
            <v>54</v>
          </cell>
          <cell r="AC49">
            <v>55.6</v>
          </cell>
          <cell r="AD49">
            <v>28.6</v>
          </cell>
          <cell r="AE49">
            <v>26</v>
          </cell>
          <cell r="AH49">
            <v>111</v>
          </cell>
          <cell r="AO49">
            <v>2356.6</v>
          </cell>
        </row>
        <row r="50">
          <cell r="C50">
            <v>23</v>
          </cell>
          <cell r="D50">
            <v>9</v>
          </cell>
          <cell r="E50">
            <v>14</v>
          </cell>
          <cell r="M50">
            <v>135.1</v>
          </cell>
          <cell r="O50">
            <v>-135.1</v>
          </cell>
          <cell r="P50">
            <v>1350.3333333333335</v>
          </cell>
          <cell r="R50">
            <v>-135.1</v>
          </cell>
          <cell r="S50">
            <v>2382.333333333333</v>
          </cell>
          <cell r="T50">
            <v>1408</v>
          </cell>
          <cell r="U50">
            <v>974.33333333333326</v>
          </cell>
          <cell r="X50">
            <v>240.35000000000002</v>
          </cell>
          <cell r="Y50">
            <v>141</v>
          </cell>
          <cell r="Z50">
            <v>99.350000000000009</v>
          </cell>
          <cell r="AC50">
            <v>539.59999999999991</v>
          </cell>
          <cell r="AD50">
            <v>370</v>
          </cell>
          <cell r="AE50">
            <v>169.59999999999997</v>
          </cell>
          <cell r="AF50">
            <v>751</v>
          </cell>
          <cell r="AG50">
            <v>601</v>
          </cell>
          <cell r="AH50">
            <v>150</v>
          </cell>
          <cell r="AI50">
            <v>211.40000000000009</v>
          </cell>
          <cell r="AM50">
            <v>0</v>
          </cell>
          <cell r="AO50">
            <v>4454.1166666666668</v>
          </cell>
          <cell r="AP50">
            <v>1694.1</v>
          </cell>
          <cell r="AQ50">
            <v>2760.0166666666669</v>
          </cell>
          <cell r="AR50" t="e">
            <v>#REF!</v>
          </cell>
          <cell r="AS50" t="e">
            <v>#REF!</v>
          </cell>
          <cell r="AT50">
            <v>1549</v>
          </cell>
          <cell r="AU50">
            <v>1533</v>
          </cell>
          <cell r="AV50">
            <v>145.09999999999991</v>
          </cell>
          <cell r="AW50">
            <v>1227.0166666666669</v>
          </cell>
        </row>
        <row r="51">
          <cell r="C51">
            <v>0</v>
          </cell>
          <cell r="D51">
            <v>0</v>
          </cell>
          <cell r="E51">
            <v>0</v>
          </cell>
          <cell r="M51">
            <v>0</v>
          </cell>
          <cell r="O51">
            <v>0</v>
          </cell>
          <cell r="P51">
            <v>41</v>
          </cell>
          <cell r="Q51">
            <v>536</v>
          </cell>
          <cell r="R51">
            <v>0</v>
          </cell>
          <cell r="S51">
            <v>1791</v>
          </cell>
          <cell r="T51">
            <v>1047</v>
          </cell>
          <cell r="U51">
            <v>744</v>
          </cell>
          <cell r="W51">
            <v>251</v>
          </cell>
          <cell r="X51">
            <v>40</v>
          </cell>
          <cell r="Y51">
            <v>23</v>
          </cell>
          <cell r="Z51">
            <v>17</v>
          </cell>
          <cell r="AC51">
            <v>1</v>
          </cell>
          <cell r="AD51">
            <v>0</v>
          </cell>
          <cell r="AE51">
            <v>1</v>
          </cell>
          <cell r="AG51">
            <v>0</v>
          </cell>
          <cell r="AH51">
            <v>0</v>
          </cell>
          <cell r="AI51">
            <v>-1</v>
          </cell>
          <cell r="AJ51">
            <v>337</v>
          </cell>
          <cell r="AK51">
            <v>1461</v>
          </cell>
          <cell r="AL51">
            <v>272</v>
          </cell>
          <cell r="AM51">
            <v>826</v>
          </cell>
          <cell r="AN51">
            <v>65</v>
          </cell>
          <cell r="AO51">
            <v>1872</v>
          </cell>
          <cell r="AP51">
            <v>1070</v>
          </cell>
          <cell r="AQ51">
            <v>802</v>
          </cell>
          <cell r="AR51" t="e">
            <v>#REF!</v>
          </cell>
          <cell r="AS51" t="e">
            <v>#REF!</v>
          </cell>
          <cell r="AT51">
            <v>1070</v>
          </cell>
          <cell r="AU51">
            <v>775</v>
          </cell>
          <cell r="AV51">
            <v>0</v>
          </cell>
          <cell r="AW51">
            <v>27</v>
          </cell>
        </row>
        <row r="52">
          <cell r="C52">
            <v>0</v>
          </cell>
          <cell r="D52">
            <v>0</v>
          </cell>
          <cell r="E52">
            <v>0</v>
          </cell>
          <cell r="M52">
            <v>0</v>
          </cell>
          <cell r="O52">
            <v>0</v>
          </cell>
          <cell r="P52">
            <v>15053</v>
          </cell>
          <cell r="Q52">
            <v>446</v>
          </cell>
          <cell r="R52">
            <v>0</v>
          </cell>
          <cell r="S52">
            <v>39538</v>
          </cell>
          <cell r="T52">
            <v>23885</v>
          </cell>
          <cell r="U52">
            <v>15653</v>
          </cell>
          <cell r="X52">
            <v>33899</v>
          </cell>
          <cell r="Y52">
            <v>19743</v>
          </cell>
          <cell r="Z52">
            <v>14156</v>
          </cell>
          <cell r="AC52">
            <v>0</v>
          </cell>
          <cell r="AD52">
            <v>0</v>
          </cell>
          <cell r="AE52">
            <v>0</v>
          </cell>
          <cell r="AH52">
            <v>0</v>
          </cell>
          <cell r="AI52">
            <v>0</v>
          </cell>
          <cell r="AJ52">
            <v>206</v>
          </cell>
          <cell r="AK52">
            <v>477</v>
          </cell>
          <cell r="AL52">
            <v>206</v>
          </cell>
          <cell r="AM52">
            <v>0</v>
          </cell>
          <cell r="AN52">
            <v>0</v>
          </cell>
          <cell r="AO52">
            <v>88491</v>
          </cell>
          <cell r="AP52">
            <v>43629</v>
          </cell>
          <cell r="AQ52">
            <v>44862</v>
          </cell>
          <cell r="AR52" t="e">
            <v>#REF!</v>
          </cell>
          <cell r="AS52" t="e">
            <v>#REF!</v>
          </cell>
          <cell r="AT52">
            <v>43628</v>
          </cell>
          <cell r="AU52">
            <v>44862</v>
          </cell>
          <cell r="AV52">
            <v>1</v>
          </cell>
          <cell r="AW52">
            <v>0</v>
          </cell>
        </row>
        <row r="53">
          <cell r="C53">
            <v>0</v>
          </cell>
          <cell r="D53">
            <v>0</v>
          </cell>
          <cell r="E53">
            <v>0</v>
          </cell>
          <cell r="M53">
            <v>0</v>
          </cell>
          <cell r="O53">
            <v>0</v>
          </cell>
          <cell r="P53">
            <v>15053</v>
          </cell>
          <cell r="Q53">
            <v>14133.087804878049</v>
          </cell>
          <cell r="R53">
            <v>0</v>
          </cell>
          <cell r="S53">
            <v>39538</v>
          </cell>
          <cell r="T53">
            <v>23885</v>
          </cell>
          <cell r="U53">
            <v>15653</v>
          </cell>
          <cell r="X53">
            <v>33899</v>
          </cell>
          <cell r="Y53">
            <v>19743</v>
          </cell>
          <cell r="Z53">
            <v>14156</v>
          </cell>
          <cell r="AC53">
            <v>0</v>
          </cell>
          <cell r="AD53">
            <v>0</v>
          </cell>
          <cell r="AE53">
            <v>0</v>
          </cell>
          <cell r="AG53">
            <v>0</v>
          </cell>
          <cell r="AH53">
            <v>0</v>
          </cell>
          <cell r="AI53">
            <v>0</v>
          </cell>
          <cell r="AJ53">
            <v>16704.389629801284</v>
          </cell>
          <cell r="AK53">
            <v>45165.610370198716</v>
          </cell>
          <cell r="AL53">
            <v>16704.389629801284</v>
          </cell>
          <cell r="AM53">
            <v>45166</v>
          </cell>
          <cell r="AN53">
            <v>0</v>
          </cell>
          <cell r="AO53">
            <v>88490</v>
          </cell>
          <cell r="AP53">
            <v>43628</v>
          </cell>
          <cell r="AQ53">
            <v>44862</v>
          </cell>
          <cell r="AR53" t="e">
            <v>#REF!</v>
          </cell>
          <cell r="AS53" t="e">
            <v>#REF!</v>
          </cell>
          <cell r="AT53">
            <v>43628</v>
          </cell>
          <cell r="AU53">
            <v>44862</v>
          </cell>
          <cell r="AV53">
            <v>0</v>
          </cell>
          <cell r="AW53">
            <v>0</v>
          </cell>
        </row>
        <row r="54">
          <cell r="C54">
            <v>0</v>
          </cell>
          <cell r="D54">
            <v>0</v>
          </cell>
          <cell r="E54">
            <v>0</v>
          </cell>
          <cell r="M54">
            <v>0</v>
          </cell>
          <cell r="O54">
            <v>0</v>
          </cell>
          <cell r="P54">
            <v>0</v>
          </cell>
          <cell r="Q54">
            <v>14133.087804878049</v>
          </cell>
          <cell r="R54">
            <v>0</v>
          </cell>
          <cell r="S54">
            <v>0</v>
          </cell>
          <cell r="T54">
            <v>0</v>
          </cell>
          <cell r="U54">
            <v>0</v>
          </cell>
          <cell r="W54">
            <v>0</v>
          </cell>
          <cell r="X54">
            <v>0</v>
          </cell>
          <cell r="Y54">
            <v>0</v>
          </cell>
          <cell r="Z54">
            <v>0</v>
          </cell>
          <cell r="AC54">
            <v>0</v>
          </cell>
          <cell r="AD54">
            <v>0</v>
          </cell>
          <cell r="AE54">
            <v>0</v>
          </cell>
          <cell r="AH54">
            <v>61870</v>
          </cell>
          <cell r="AJ54">
            <v>16704.389629801284</v>
          </cell>
          <cell r="AK54">
            <v>45165.610370198716</v>
          </cell>
          <cell r="AL54">
            <v>16704.389629801284</v>
          </cell>
          <cell r="AM54">
            <v>45166</v>
          </cell>
          <cell r="AN54">
            <v>0</v>
          </cell>
          <cell r="AO54">
            <v>-0.38962980128417257</v>
          </cell>
          <cell r="AR54" t="e">
            <v>#REF!</v>
          </cell>
          <cell r="AS54" t="e">
            <v>#REF!</v>
          </cell>
          <cell r="AU54">
            <v>0</v>
          </cell>
        </row>
        <row r="55">
          <cell r="C55">
            <v>22</v>
          </cell>
          <cell r="D55">
            <v>8</v>
          </cell>
          <cell r="E55">
            <v>14</v>
          </cell>
          <cell r="M55">
            <v>61.75</v>
          </cell>
          <cell r="O55">
            <v>-61.75</v>
          </cell>
          <cell r="P55">
            <v>2078.6666666666665</v>
          </cell>
          <cell r="R55">
            <v>-61.75</v>
          </cell>
          <cell r="S55">
            <v>0</v>
          </cell>
          <cell r="T55">
            <v>0</v>
          </cell>
          <cell r="U55">
            <v>0</v>
          </cell>
          <cell r="W55">
            <v>0</v>
          </cell>
          <cell r="X55">
            <v>0</v>
          </cell>
          <cell r="Y55">
            <v>0</v>
          </cell>
          <cell r="Z55">
            <v>0</v>
          </cell>
          <cell r="AC55">
            <v>2052.15</v>
          </cell>
          <cell r="AD55">
            <v>820</v>
          </cell>
          <cell r="AE55">
            <v>1232.1499999999999</v>
          </cell>
          <cell r="AF55">
            <v>1829</v>
          </cell>
          <cell r="AG55">
            <v>810</v>
          </cell>
          <cell r="AH55">
            <v>1019</v>
          </cell>
          <cell r="AI55">
            <v>-223.15000000000009</v>
          </cell>
          <cell r="AJ55">
            <v>0</v>
          </cell>
          <cell r="AK55">
            <v>0</v>
          </cell>
          <cell r="AM55">
            <v>0</v>
          </cell>
          <cell r="AO55">
            <v>2982.4166666666665</v>
          </cell>
          <cell r="AP55">
            <v>69.75</v>
          </cell>
          <cell r="AQ55">
            <v>2912.6666666666665</v>
          </cell>
          <cell r="AR55" t="e">
            <v>#REF!</v>
          </cell>
          <cell r="AS55" t="e">
            <v>#REF!</v>
          </cell>
          <cell r="AT55">
            <v>0</v>
          </cell>
          <cell r="AU55">
            <v>707</v>
          </cell>
          <cell r="AV55">
            <v>69.75</v>
          </cell>
          <cell r="AW55">
            <v>2205.6666666666665</v>
          </cell>
        </row>
        <row r="56">
          <cell r="C56">
            <v>1169.0999999999999</v>
          </cell>
          <cell r="D56">
            <v>427</v>
          </cell>
          <cell r="E56">
            <v>742.1</v>
          </cell>
          <cell r="M56">
            <v>1596.106666666667</v>
          </cell>
          <cell r="O56">
            <v>-1596.106666666667</v>
          </cell>
          <cell r="P56">
            <v>2758.0554545454543</v>
          </cell>
          <cell r="Q56">
            <v>0</v>
          </cell>
          <cell r="R56">
            <v>-1596.106666666667</v>
          </cell>
          <cell r="S56">
            <v>892.87727272727273</v>
          </cell>
          <cell r="T56">
            <v>551</v>
          </cell>
          <cell r="U56">
            <v>341.87727272727273</v>
          </cell>
          <cell r="W56">
            <v>1374</v>
          </cell>
          <cell r="X56">
            <v>822.74</v>
          </cell>
          <cell r="Y56">
            <v>491</v>
          </cell>
          <cell r="Z56">
            <v>331.74</v>
          </cell>
          <cell r="AC56">
            <v>2970.8900000000003</v>
          </cell>
          <cell r="AD56">
            <v>2688</v>
          </cell>
          <cell r="AE56">
            <v>282.89000000000033</v>
          </cell>
          <cell r="AF56">
            <v>2091</v>
          </cell>
          <cell r="AG56">
            <v>1747</v>
          </cell>
          <cell r="AH56">
            <v>344</v>
          </cell>
          <cell r="AI56">
            <v>-879.89000000000033</v>
          </cell>
          <cell r="AJ56">
            <v>92</v>
          </cell>
          <cell r="AK56">
            <v>3881</v>
          </cell>
          <cell r="AL56">
            <v>0</v>
          </cell>
          <cell r="AM56">
            <v>0</v>
          </cell>
          <cell r="AN56">
            <v>92</v>
          </cell>
          <cell r="AO56">
            <v>10657.879393939395</v>
          </cell>
          <cell r="AP56">
            <v>3560.106666666667</v>
          </cell>
          <cell r="AQ56">
            <v>7097.7727272727279</v>
          </cell>
          <cell r="AR56" t="e">
            <v>#REF!</v>
          </cell>
          <cell r="AS56" t="e">
            <v>#REF!</v>
          </cell>
          <cell r="AT56">
            <v>1042</v>
          </cell>
          <cell r="AU56">
            <v>1611</v>
          </cell>
          <cell r="AV56">
            <v>2518.106666666667</v>
          </cell>
          <cell r="AW56">
            <v>5486.7727272727279</v>
          </cell>
        </row>
        <row r="57">
          <cell r="C57">
            <v>64</v>
          </cell>
          <cell r="D57">
            <v>24</v>
          </cell>
          <cell r="E57">
            <v>40</v>
          </cell>
          <cell r="M57">
            <v>88</v>
          </cell>
          <cell r="O57">
            <v>-88</v>
          </cell>
          <cell r="P57">
            <v>152</v>
          </cell>
          <cell r="Q57">
            <v>187.72727272727275</v>
          </cell>
          <cell r="R57">
            <v>-88</v>
          </cell>
          <cell r="S57">
            <v>48</v>
          </cell>
          <cell r="T57">
            <v>29</v>
          </cell>
          <cell r="U57">
            <v>19</v>
          </cell>
          <cell r="W57">
            <v>958.5454545454545</v>
          </cell>
          <cell r="X57">
            <v>45</v>
          </cell>
          <cell r="Y57">
            <v>27</v>
          </cell>
          <cell r="Z57">
            <v>18</v>
          </cell>
          <cell r="AC57">
            <v>164</v>
          </cell>
          <cell r="AD57">
            <v>147</v>
          </cell>
          <cell r="AE57">
            <v>17</v>
          </cell>
          <cell r="AF57">
            <v>117</v>
          </cell>
          <cell r="AG57">
            <v>96</v>
          </cell>
          <cell r="AH57">
            <v>21</v>
          </cell>
          <cell r="AI57">
            <v>-47</v>
          </cell>
          <cell r="AJ57">
            <v>854.72727272727275</v>
          </cell>
          <cell r="AK57">
            <v>2410.3999999999996</v>
          </cell>
          <cell r="AL57">
            <v>166</v>
          </cell>
          <cell r="AM57">
            <v>0</v>
          </cell>
          <cell r="AN57">
            <v>688.72727272727275</v>
          </cell>
          <cell r="AO57">
            <v>583</v>
          </cell>
          <cell r="AP57">
            <v>195</v>
          </cell>
          <cell r="AQ57">
            <v>388</v>
          </cell>
          <cell r="AR57" t="e">
            <v>#REF!</v>
          </cell>
          <cell r="AS57" t="e">
            <v>#REF!</v>
          </cell>
          <cell r="AT57">
            <v>56</v>
          </cell>
          <cell r="AU57">
            <v>67</v>
          </cell>
          <cell r="AV57">
            <v>139</v>
          </cell>
          <cell r="AW57">
            <v>321</v>
          </cell>
        </row>
        <row r="58">
          <cell r="C58">
            <v>374</v>
          </cell>
          <cell r="D58">
            <v>137</v>
          </cell>
          <cell r="E58">
            <v>237</v>
          </cell>
          <cell r="M58">
            <v>511</v>
          </cell>
          <cell r="O58">
            <v>-511</v>
          </cell>
          <cell r="P58">
            <v>883</v>
          </cell>
          <cell r="Q58">
            <v>10</v>
          </cell>
          <cell r="R58">
            <v>-511</v>
          </cell>
          <cell r="S58">
            <v>286</v>
          </cell>
          <cell r="T58">
            <v>176</v>
          </cell>
          <cell r="U58">
            <v>110</v>
          </cell>
          <cell r="W58">
            <v>53</v>
          </cell>
          <cell r="X58">
            <v>263</v>
          </cell>
          <cell r="Y58">
            <v>157</v>
          </cell>
          <cell r="Z58">
            <v>106</v>
          </cell>
          <cell r="AC58">
            <v>951</v>
          </cell>
          <cell r="AD58">
            <v>860</v>
          </cell>
          <cell r="AE58">
            <v>91</v>
          </cell>
          <cell r="AF58">
            <v>676</v>
          </cell>
          <cell r="AG58">
            <v>559</v>
          </cell>
          <cell r="AH58">
            <v>117</v>
          </cell>
          <cell r="AI58">
            <v>-275</v>
          </cell>
          <cell r="AJ58">
            <v>47</v>
          </cell>
          <cell r="AK58">
            <v>132</v>
          </cell>
          <cell r="AL58">
            <v>10</v>
          </cell>
          <cell r="AM58">
            <v>0</v>
          </cell>
          <cell r="AN58">
            <v>37</v>
          </cell>
          <cell r="AO58">
            <v>3411</v>
          </cell>
          <cell r="AP58">
            <v>1138</v>
          </cell>
          <cell r="AQ58">
            <v>2273</v>
          </cell>
          <cell r="AR58" t="e">
            <v>#REF!</v>
          </cell>
          <cell r="AS58" t="e">
            <v>#REF!</v>
          </cell>
          <cell r="AT58">
            <v>0</v>
          </cell>
          <cell r="AU58">
            <v>0</v>
          </cell>
          <cell r="AV58">
            <v>0</v>
          </cell>
          <cell r="AW58">
            <v>0</v>
          </cell>
        </row>
        <row r="59">
          <cell r="C59">
            <v>0</v>
          </cell>
          <cell r="D59">
            <v>0</v>
          </cell>
          <cell r="E59">
            <v>0</v>
          </cell>
          <cell r="M59">
            <v>0</v>
          </cell>
          <cell r="O59">
            <v>0</v>
          </cell>
          <cell r="P59">
            <v>0</v>
          </cell>
          <cell r="Q59">
            <v>60</v>
          </cell>
          <cell r="R59">
            <v>0</v>
          </cell>
          <cell r="S59">
            <v>0</v>
          </cell>
          <cell r="T59">
            <v>0</v>
          </cell>
          <cell r="U59">
            <v>0</v>
          </cell>
          <cell r="W59">
            <v>307</v>
          </cell>
          <cell r="X59">
            <v>0</v>
          </cell>
          <cell r="Y59">
            <v>0</v>
          </cell>
          <cell r="Z59">
            <v>0</v>
          </cell>
          <cell r="AC59">
            <v>0</v>
          </cell>
          <cell r="AD59">
            <v>0</v>
          </cell>
          <cell r="AE59">
            <v>0</v>
          </cell>
          <cell r="AG59">
            <v>0</v>
          </cell>
          <cell r="AH59">
            <v>0</v>
          </cell>
          <cell r="AI59">
            <v>0</v>
          </cell>
          <cell r="AJ59">
            <v>253</v>
          </cell>
          <cell r="AK59">
            <v>793</v>
          </cell>
          <cell r="AL59">
            <v>0</v>
          </cell>
          <cell r="AM59">
            <v>37</v>
          </cell>
          <cell r="AN59">
            <v>0</v>
          </cell>
          <cell r="AO59">
            <v>0</v>
          </cell>
          <cell r="AP59">
            <v>0</v>
          </cell>
          <cell r="AQ59">
            <v>0</v>
          </cell>
          <cell r="AR59" t="e">
            <v>#REF!</v>
          </cell>
          <cell r="AS59" t="e">
            <v>#REF!</v>
          </cell>
          <cell r="AT59">
            <v>0</v>
          </cell>
          <cell r="AU59">
            <v>0</v>
          </cell>
          <cell r="AV59">
            <v>0</v>
          </cell>
          <cell r="AW59">
            <v>0</v>
          </cell>
        </row>
        <row r="60">
          <cell r="C60">
            <v>238</v>
          </cell>
          <cell r="D60">
            <v>90</v>
          </cell>
          <cell r="E60">
            <v>148</v>
          </cell>
          <cell r="M60">
            <v>1392</v>
          </cell>
          <cell r="O60">
            <v>-1392</v>
          </cell>
          <cell r="P60">
            <v>2801</v>
          </cell>
          <cell r="Q60">
            <v>0</v>
          </cell>
          <cell r="R60">
            <v>-1392</v>
          </cell>
          <cell r="S60">
            <v>1593</v>
          </cell>
          <cell r="T60">
            <v>974</v>
          </cell>
          <cell r="U60">
            <v>619</v>
          </cell>
          <cell r="X60">
            <v>1689</v>
          </cell>
          <cell r="Y60">
            <v>980</v>
          </cell>
          <cell r="Z60">
            <v>709</v>
          </cell>
          <cell r="AC60">
            <v>1578</v>
          </cell>
          <cell r="AD60">
            <v>1578</v>
          </cell>
          <cell r="AE60">
            <v>0</v>
          </cell>
          <cell r="AF60">
            <v>1739</v>
          </cell>
          <cell r="AG60">
            <v>1265</v>
          </cell>
          <cell r="AH60">
            <v>474</v>
          </cell>
          <cell r="AI60">
            <v>161</v>
          </cell>
          <cell r="AJ60">
            <v>0</v>
          </cell>
          <cell r="AK60">
            <v>0</v>
          </cell>
          <cell r="AL60">
            <v>0</v>
          </cell>
          <cell r="AM60">
            <v>0</v>
          </cell>
          <cell r="AN60">
            <v>0</v>
          </cell>
          <cell r="AO60">
            <v>9252</v>
          </cell>
          <cell r="AP60">
            <v>3451</v>
          </cell>
          <cell r="AQ60">
            <v>5801</v>
          </cell>
          <cell r="AR60" t="e">
            <v>#REF!</v>
          </cell>
          <cell r="AS60" t="e">
            <v>#REF!</v>
          </cell>
          <cell r="AT60">
            <v>1954</v>
          </cell>
          <cell r="AU60">
            <v>2280</v>
          </cell>
          <cell r="AV60">
            <v>1497</v>
          </cell>
          <cell r="AW60">
            <v>3521</v>
          </cell>
        </row>
        <row r="61">
          <cell r="C61">
            <v>0</v>
          </cell>
          <cell r="D61">
            <v>0</v>
          </cell>
          <cell r="E61">
            <v>0</v>
          </cell>
          <cell r="M61">
            <v>0</v>
          </cell>
          <cell r="O61">
            <v>0</v>
          </cell>
          <cell r="P61">
            <v>0</v>
          </cell>
          <cell r="Q61">
            <v>475</v>
          </cell>
          <cell r="R61">
            <v>0</v>
          </cell>
          <cell r="S61">
            <v>0</v>
          </cell>
          <cell r="T61">
            <v>0</v>
          </cell>
          <cell r="U61">
            <v>0</v>
          </cell>
          <cell r="W61">
            <v>574</v>
          </cell>
          <cell r="X61">
            <v>0</v>
          </cell>
          <cell r="Y61">
            <v>0</v>
          </cell>
          <cell r="Z61">
            <v>0</v>
          </cell>
          <cell r="AC61">
            <v>0</v>
          </cell>
          <cell r="AD61">
            <v>0</v>
          </cell>
          <cell r="AE61">
            <v>0</v>
          </cell>
          <cell r="AF61">
            <v>174</v>
          </cell>
          <cell r="AG61">
            <v>126</v>
          </cell>
          <cell r="AH61">
            <v>48</v>
          </cell>
          <cell r="AI61">
            <v>174</v>
          </cell>
          <cell r="AJ61">
            <v>1078</v>
          </cell>
          <cell r="AK61">
            <v>2828.3333333333335</v>
          </cell>
          <cell r="AL61">
            <v>453</v>
          </cell>
          <cell r="AM61">
            <v>1409</v>
          </cell>
          <cell r="AN61">
            <v>625</v>
          </cell>
          <cell r="AO61">
            <v>0</v>
          </cell>
          <cell r="AR61" t="e">
            <v>#REF!</v>
          </cell>
          <cell r="AS61" t="e">
            <v>#REF!</v>
          </cell>
        </row>
        <row r="62">
          <cell r="C62">
            <v>168</v>
          </cell>
          <cell r="D62">
            <v>59</v>
          </cell>
          <cell r="E62">
            <v>109</v>
          </cell>
          <cell r="M62">
            <v>1680</v>
          </cell>
          <cell r="O62">
            <v>-1680</v>
          </cell>
          <cell r="P62">
            <v>4255</v>
          </cell>
          <cell r="R62">
            <v>-1680</v>
          </cell>
          <cell r="S62">
            <v>326.5</v>
          </cell>
          <cell r="T62">
            <v>0</v>
          </cell>
          <cell r="U62">
            <v>0</v>
          </cell>
          <cell r="W62">
            <v>57</v>
          </cell>
          <cell r="X62">
            <v>554.5</v>
          </cell>
          <cell r="Y62">
            <v>0</v>
          </cell>
          <cell r="Z62">
            <v>0</v>
          </cell>
          <cell r="AC62">
            <v>1110</v>
          </cell>
          <cell r="AD62">
            <v>1027</v>
          </cell>
          <cell r="AE62">
            <v>83</v>
          </cell>
          <cell r="AH62">
            <v>0</v>
          </cell>
          <cell r="AI62">
            <v>-1110</v>
          </cell>
          <cell r="AJ62">
            <v>0</v>
          </cell>
          <cell r="AO62">
            <v>8031</v>
          </cell>
          <cell r="AP62">
            <v>1754</v>
          </cell>
          <cell r="AQ62">
            <v>6277</v>
          </cell>
          <cell r="AR62" t="e">
            <v>#REF!</v>
          </cell>
          <cell r="AS62" t="e">
            <v>#REF!</v>
          </cell>
          <cell r="AU62">
            <v>1170</v>
          </cell>
        </row>
        <row r="63">
          <cell r="C63">
            <v>0</v>
          </cell>
          <cell r="D63">
            <v>0</v>
          </cell>
          <cell r="E63">
            <v>0</v>
          </cell>
          <cell r="M63">
            <v>0</v>
          </cell>
          <cell r="O63">
            <v>0</v>
          </cell>
          <cell r="P63">
            <v>0</v>
          </cell>
          <cell r="Q63">
            <v>151</v>
          </cell>
          <cell r="R63">
            <v>0</v>
          </cell>
          <cell r="S63">
            <v>0</v>
          </cell>
          <cell r="T63">
            <v>0</v>
          </cell>
          <cell r="U63">
            <v>0</v>
          </cell>
          <cell r="W63">
            <v>84</v>
          </cell>
          <cell r="X63">
            <v>0</v>
          </cell>
          <cell r="Y63">
            <v>0</v>
          </cell>
          <cell r="Z63">
            <v>0</v>
          </cell>
          <cell r="AC63">
            <v>0</v>
          </cell>
          <cell r="AD63">
            <v>0</v>
          </cell>
          <cell r="AE63">
            <v>0</v>
          </cell>
          <cell r="AH63">
            <v>0</v>
          </cell>
          <cell r="AI63">
            <v>0</v>
          </cell>
          <cell r="AJ63">
            <v>771</v>
          </cell>
          <cell r="AK63">
            <v>2223.3333333333335</v>
          </cell>
          <cell r="AM63">
            <v>765</v>
          </cell>
          <cell r="AO63">
            <v>0</v>
          </cell>
          <cell r="AP63">
            <v>0</v>
          </cell>
          <cell r="AQ63">
            <v>0</v>
          </cell>
          <cell r="AR63" t="e">
            <v>#REF!</v>
          </cell>
          <cell r="AS63" t="e">
            <v>#REF!</v>
          </cell>
          <cell r="AU63">
            <v>0</v>
          </cell>
        </row>
        <row r="64">
          <cell r="C64">
            <v>79</v>
          </cell>
          <cell r="D64">
            <v>31</v>
          </cell>
          <cell r="E64">
            <v>39</v>
          </cell>
          <cell r="M64">
            <v>-288</v>
          </cell>
          <cell r="O64">
            <v>288</v>
          </cell>
          <cell r="P64">
            <v>-1454</v>
          </cell>
          <cell r="Q64">
            <v>0</v>
          </cell>
          <cell r="R64">
            <v>288</v>
          </cell>
          <cell r="S64">
            <v>1266.5</v>
          </cell>
          <cell r="T64">
            <v>974</v>
          </cell>
          <cell r="U64">
            <v>619</v>
          </cell>
          <cell r="X64">
            <v>1134.5</v>
          </cell>
          <cell r="Y64">
            <v>980</v>
          </cell>
          <cell r="Z64">
            <v>709</v>
          </cell>
          <cell r="AC64">
            <v>468</v>
          </cell>
          <cell r="AD64">
            <v>468</v>
          </cell>
          <cell r="AE64">
            <v>0</v>
          </cell>
          <cell r="AF64">
            <v>1565</v>
          </cell>
          <cell r="AG64">
            <v>1139</v>
          </cell>
          <cell r="AH64">
            <v>426</v>
          </cell>
          <cell r="AI64">
            <v>1097</v>
          </cell>
          <cell r="AJ64">
            <v>0</v>
          </cell>
          <cell r="AK64">
            <v>0</v>
          </cell>
          <cell r="AM64">
            <v>0</v>
          </cell>
          <cell r="AO64">
            <v>1191</v>
          </cell>
          <cell r="AR64" t="e">
            <v>#REF!</v>
          </cell>
          <cell r="AS64" t="e">
            <v>#REF!</v>
          </cell>
        </row>
        <row r="65">
          <cell r="C65">
            <v>794</v>
          </cell>
          <cell r="D65">
            <v>289</v>
          </cell>
          <cell r="E65">
            <v>505</v>
          </cell>
          <cell r="M65">
            <v>2031.6</v>
          </cell>
          <cell r="O65">
            <v>-2031.6</v>
          </cell>
          <cell r="P65">
            <v>4808.75</v>
          </cell>
          <cell r="Q65">
            <v>324</v>
          </cell>
          <cell r="R65">
            <v>-2031.6</v>
          </cell>
          <cell r="S65">
            <v>5359.15</v>
          </cell>
          <cell r="T65">
            <v>3460</v>
          </cell>
          <cell r="U65">
            <v>1899.1499999999999</v>
          </cell>
          <cell r="W65">
            <v>433</v>
          </cell>
          <cell r="X65">
            <v>2915.7</v>
          </cell>
          <cell r="Y65">
            <v>1724</v>
          </cell>
          <cell r="Z65">
            <v>1191.7</v>
          </cell>
          <cell r="AC65">
            <v>2724</v>
          </cell>
          <cell r="AD65">
            <v>2651</v>
          </cell>
          <cell r="AE65">
            <v>73</v>
          </cell>
          <cell r="AF65">
            <v>1023</v>
          </cell>
          <cell r="AG65">
            <v>938</v>
          </cell>
          <cell r="AH65">
            <v>85</v>
          </cell>
          <cell r="AI65">
            <v>-1701</v>
          </cell>
          <cell r="AJ65">
            <v>307</v>
          </cell>
          <cell r="AO65">
            <v>18448.2</v>
          </cell>
          <cell r="AP65">
            <v>7477.6</v>
          </cell>
          <cell r="AQ65">
            <v>10970.6</v>
          </cell>
          <cell r="AR65" t="e">
            <v>#REF!</v>
          </cell>
          <cell r="AS65" t="e">
            <v>#REF!</v>
          </cell>
          <cell r="AT65">
            <v>5184</v>
          </cell>
          <cell r="AU65">
            <v>4726</v>
          </cell>
          <cell r="AV65">
            <v>2293.6000000000004</v>
          </cell>
          <cell r="AW65">
            <v>6244.6</v>
          </cell>
        </row>
        <row r="66">
          <cell r="C66">
            <v>0</v>
          </cell>
          <cell r="D66">
            <v>0</v>
          </cell>
          <cell r="E66">
            <v>0</v>
          </cell>
          <cell r="M66">
            <v>244.33333333333331</v>
          </cell>
          <cell r="O66">
            <v>-244.33333333333331</v>
          </cell>
          <cell r="P66">
            <v>1277.818181818182</v>
          </cell>
          <cell r="Q66">
            <v>440</v>
          </cell>
          <cell r="R66">
            <v>-244.33333333333331</v>
          </cell>
          <cell r="S66">
            <v>681.27272727272725</v>
          </cell>
          <cell r="T66">
            <v>420</v>
          </cell>
          <cell r="U66">
            <v>261.27272727272725</v>
          </cell>
          <cell r="W66">
            <v>272</v>
          </cell>
          <cell r="X66">
            <v>448</v>
          </cell>
          <cell r="Y66">
            <v>266</v>
          </cell>
          <cell r="Z66">
            <v>182</v>
          </cell>
          <cell r="AC66">
            <v>560</v>
          </cell>
          <cell r="AD66">
            <v>560</v>
          </cell>
          <cell r="AE66">
            <v>0</v>
          </cell>
          <cell r="AF66">
            <v>196.36363636363637</v>
          </cell>
          <cell r="AG66">
            <v>237</v>
          </cell>
          <cell r="AH66">
            <v>-40.636363636363626</v>
          </cell>
          <cell r="AI66">
            <v>-363.63636363636363</v>
          </cell>
          <cell r="AJ66">
            <v>729</v>
          </cell>
          <cell r="AK66">
            <v>1887</v>
          </cell>
          <cell r="AL66">
            <v>345</v>
          </cell>
          <cell r="AM66">
            <v>1039</v>
          </cell>
          <cell r="AN66">
            <v>384</v>
          </cell>
          <cell r="AO66">
            <v>3211.4242424242425</v>
          </cell>
          <cell r="AP66">
            <v>930.33333333333326</v>
          </cell>
          <cell r="AQ66">
            <v>2281.090909090909</v>
          </cell>
          <cell r="AR66" t="e">
            <v>#REF!</v>
          </cell>
          <cell r="AS66" t="e">
            <v>#REF!</v>
          </cell>
        </row>
        <row r="67">
          <cell r="C67">
            <v>0</v>
          </cell>
          <cell r="D67">
            <v>0</v>
          </cell>
          <cell r="E67">
            <v>0</v>
          </cell>
          <cell r="M67">
            <v>14</v>
          </cell>
          <cell r="O67">
            <v>-14</v>
          </cell>
          <cell r="P67">
            <v>70</v>
          </cell>
          <cell r="Q67">
            <v>139.18181818181819</v>
          </cell>
          <cell r="R67">
            <v>-14</v>
          </cell>
          <cell r="S67">
            <v>37</v>
          </cell>
          <cell r="T67">
            <v>23</v>
          </cell>
          <cell r="U67">
            <v>14</v>
          </cell>
          <cell r="W67">
            <v>88</v>
          </cell>
          <cell r="X67">
            <v>24</v>
          </cell>
          <cell r="Y67">
            <v>15</v>
          </cell>
          <cell r="Z67">
            <v>9</v>
          </cell>
          <cell r="AC67">
            <v>30</v>
          </cell>
          <cell r="AD67">
            <v>30</v>
          </cell>
          <cell r="AE67">
            <v>0</v>
          </cell>
          <cell r="AF67">
            <v>11</v>
          </cell>
          <cell r="AG67">
            <v>12</v>
          </cell>
          <cell r="AH67">
            <v>-1</v>
          </cell>
          <cell r="AI67">
            <v>-19</v>
          </cell>
          <cell r="AJ67">
            <v>160</v>
          </cell>
          <cell r="AK67">
            <v>532.90909090909099</v>
          </cell>
          <cell r="AO67">
            <v>175</v>
          </cell>
          <cell r="AP67">
            <v>52</v>
          </cell>
          <cell r="AQ67">
            <v>123</v>
          </cell>
          <cell r="AR67" t="e">
            <v>#REF!</v>
          </cell>
          <cell r="AS67" t="e">
            <v>#REF!</v>
          </cell>
        </row>
        <row r="68">
          <cell r="C68">
            <v>0</v>
          </cell>
          <cell r="D68">
            <v>0</v>
          </cell>
          <cell r="E68">
            <v>0</v>
          </cell>
          <cell r="M68">
            <v>79</v>
          </cell>
          <cell r="O68">
            <v>-79</v>
          </cell>
          <cell r="P68">
            <v>407</v>
          </cell>
          <cell r="Q68">
            <v>8</v>
          </cell>
          <cell r="R68">
            <v>-79</v>
          </cell>
          <cell r="S68">
            <v>219</v>
          </cell>
          <cell r="T68">
            <v>135</v>
          </cell>
          <cell r="U68">
            <v>84</v>
          </cell>
          <cell r="W68">
            <v>5</v>
          </cell>
          <cell r="X68">
            <v>146</v>
          </cell>
          <cell r="Y68">
            <v>87</v>
          </cell>
          <cell r="Z68">
            <v>59</v>
          </cell>
          <cell r="AC68">
            <v>180</v>
          </cell>
          <cell r="AD68">
            <v>180</v>
          </cell>
          <cell r="AE68">
            <v>0</v>
          </cell>
          <cell r="AF68">
            <v>63</v>
          </cell>
          <cell r="AG68">
            <v>16</v>
          </cell>
          <cell r="AH68">
            <v>47</v>
          </cell>
          <cell r="AI68">
            <v>-117</v>
          </cell>
          <cell r="AJ68">
            <v>9</v>
          </cell>
          <cell r="AK68">
            <v>30</v>
          </cell>
          <cell r="AO68">
            <v>1031</v>
          </cell>
          <cell r="AP68">
            <v>301</v>
          </cell>
          <cell r="AQ68">
            <v>730</v>
          </cell>
          <cell r="AR68">
            <v>620</v>
          </cell>
          <cell r="AS68">
            <v>-411</v>
          </cell>
        </row>
        <row r="69">
          <cell r="C69">
            <v>0</v>
          </cell>
          <cell r="D69">
            <v>0</v>
          </cell>
          <cell r="E69">
            <v>0</v>
          </cell>
          <cell r="M69">
            <v>0</v>
          </cell>
          <cell r="O69">
            <v>0</v>
          </cell>
          <cell r="P69">
            <v>0</v>
          </cell>
          <cell r="Q69">
            <v>45</v>
          </cell>
          <cell r="R69">
            <v>0</v>
          </cell>
          <cell r="S69">
            <v>0</v>
          </cell>
          <cell r="T69">
            <v>0</v>
          </cell>
          <cell r="U69">
            <v>0</v>
          </cell>
          <cell r="W69">
            <v>28</v>
          </cell>
          <cell r="X69">
            <v>0</v>
          </cell>
          <cell r="Y69">
            <v>0</v>
          </cell>
          <cell r="Z69">
            <v>0</v>
          </cell>
          <cell r="AC69">
            <v>0</v>
          </cell>
          <cell r="AD69">
            <v>0</v>
          </cell>
          <cell r="AE69">
            <v>0</v>
          </cell>
          <cell r="AH69">
            <v>0</v>
          </cell>
          <cell r="AI69">
            <v>0</v>
          </cell>
          <cell r="AJ69">
            <v>51</v>
          </cell>
          <cell r="AK69">
            <v>172</v>
          </cell>
          <cell r="AO69">
            <v>0</v>
          </cell>
          <cell r="AP69">
            <v>0</v>
          </cell>
          <cell r="AQ69">
            <v>0</v>
          </cell>
          <cell r="AR69" t="e">
            <v>#REF!</v>
          </cell>
          <cell r="AS69" t="e">
            <v>#REF!</v>
          </cell>
        </row>
        <row r="70">
          <cell r="C70">
            <v>0</v>
          </cell>
          <cell r="D70">
            <v>0</v>
          </cell>
          <cell r="E70">
            <v>0</v>
          </cell>
          <cell r="M70">
            <v>654.75</v>
          </cell>
          <cell r="O70">
            <v>-654.75</v>
          </cell>
          <cell r="P70">
            <v>198</v>
          </cell>
          <cell r="Q70">
            <v>0</v>
          </cell>
          <cell r="R70">
            <v>-654.75</v>
          </cell>
          <cell r="S70">
            <v>302</v>
          </cell>
          <cell r="T70">
            <v>0</v>
          </cell>
          <cell r="U70">
            <v>1110</v>
          </cell>
          <cell r="W70">
            <v>0</v>
          </cell>
          <cell r="X70">
            <v>0</v>
          </cell>
          <cell r="Y70">
            <v>0</v>
          </cell>
          <cell r="Z70">
            <v>783</v>
          </cell>
          <cell r="AC70">
            <v>368</v>
          </cell>
          <cell r="AD70">
            <v>415</v>
          </cell>
          <cell r="AE70">
            <v>652</v>
          </cell>
          <cell r="AH70">
            <v>0</v>
          </cell>
          <cell r="AI70">
            <v>-368</v>
          </cell>
          <cell r="AJ70">
            <v>0</v>
          </cell>
          <cell r="AK70">
            <v>0</v>
          </cell>
          <cell r="AO70">
            <v>1569.75</v>
          </cell>
          <cell r="AP70">
            <v>1038.75</v>
          </cell>
          <cell r="AR70" t="e">
            <v>#REF!</v>
          </cell>
          <cell r="AS70" t="e">
            <v>#REF!</v>
          </cell>
        </row>
        <row r="71">
          <cell r="C71">
            <v>0</v>
          </cell>
          <cell r="D71">
            <v>0</v>
          </cell>
          <cell r="E71">
            <v>0</v>
          </cell>
          <cell r="M71">
            <v>0</v>
          </cell>
          <cell r="O71">
            <v>0</v>
          </cell>
          <cell r="P71">
            <v>0</v>
          </cell>
          <cell r="Q71">
            <v>440</v>
          </cell>
          <cell r="R71">
            <v>0</v>
          </cell>
          <cell r="S71">
            <v>0</v>
          </cell>
          <cell r="T71">
            <v>0</v>
          </cell>
          <cell r="U71">
            <v>218</v>
          </cell>
          <cell r="W71">
            <v>272</v>
          </cell>
          <cell r="X71">
            <v>0</v>
          </cell>
          <cell r="Y71">
            <v>0</v>
          </cell>
          <cell r="Z71">
            <v>148.36363636363637</v>
          </cell>
          <cell r="AC71">
            <v>70</v>
          </cell>
          <cell r="AD71">
            <v>78.363636363636374</v>
          </cell>
          <cell r="AE71">
            <v>199.27272727272728</v>
          </cell>
          <cell r="AH71">
            <v>0</v>
          </cell>
          <cell r="AI71">
            <v>-70</v>
          </cell>
          <cell r="AJ71">
            <v>729</v>
          </cell>
          <cell r="AK71">
            <v>1887</v>
          </cell>
          <cell r="AO71">
            <v>78.363636363636374</v>
          </cell>
          <cell r="AP71">
            <v>0</v>
          </cell>
          <cell r="AR71" t="e">
            <v>#REF!</v>
          </cell>
          <cell r="AS71" t="e">
            <v>#REF!</v>
          </cell>
        </row>
        <row r="72">
          <cell r="C72">
            <v>6870.4</v>
          </cell>
          <cell r="D72">
            <v>2955</v>
          </cell>
          <cell r="E72">
            <v>3915.4</v>
          </cell>
          <cell r="M72">
            <v>282.55</v>
          </cell>
          <cell r="O72">
            <v>-282.55</v>
          </cell>
          <cell r="P72">
            <v>922.5916666666667</v>
          </cell>
          <cell r="Q72">
            <v>0</v>
          </cell>
          <cell r="R72">
            <v>-282.55</v>
          </cell>
          <cell r="S72">
            <v>275.45</v>
          </cell>
          <cell r="T72">
            <v>171</v>
          </cell>
          <cell r="U72">
            <v>104.45</v>
          </cell>
          <cell r="X72">
            <v>233.8</v>
          </cell>
          <cell r="Y72">
            <v>136</v>
          </cell>
          <cell r="Z72">
            <v>97.800000000000011</v>
          </cell>
          <cell r="AC72">
            <v>646.04999999999995</v>
          </cell>
          <cell r="AD72">
            <v>521.8900000000001</v>
          </cell>
          <cell r="AE72">
            <v>124.15999999999997</v>
          </cell>
          <cell r="AF72">
            <v>423</v>
          </cell>
          <cell r="AG72">
            <v>173</v>
          </cell>
          <cell r="AH72">
            <v>250</v>
          </cell>
          <cell r="AI72">
            <v>-223.04999999999995</v>
          </cell>
          <cell r="AJ72">
            <v>0</v>
          </cell>
          <cell r="AK72">
            <v>0</v>
          </cell>
          <cell r="AM72">
            <v>0</v>
          </cell>
          <cell r="AO72">
            <v>10548.681666666665</v>
          </cell>
          <cell r="AP72" t="e">
            <v>#REF!</v>
          </cell>
          <cell r="AQ72" t="e">
            <v>#REF!</v>
          </cell>
          <cell r="AR72" t="e">
            <v>#REF!</v>
          </cell>
          <cell r="AS72" t="e">
            <v>#REF!</v>
          </cell>
          <cell r="AT72">
            <v>307</v>
          </cell>
          <cell r="AU72">
            <v>516</v>
          </cell>
          <cell r="AV72">
            <v>3517.05</v>
          </cell>
          <cell r="AW72" t="e">
            <v>#REF!</v>
          </cell>
        </row>
        <row r="73">
          <cell r="C73">
            <v>348</v>
          </cell>
          <cell r="D73">
            <v>131</v>
          </cell>
          <cell r="E73">
            <v>217</v>
          </cell>
          <cell r="M73">
            <v>0</v>
          </cell>
          <cell r="O73">
            <v>0</v>
          </cell>
          <cell r="P73">
            <v>0</v>
          </cell>
          <cell r="Q73">
            <v>80.099999999999994</v>
          </cell>
          <cell r="R73">
            <v>0</v>
          </cell>
          <cell r="S73">
            <v>0</v>
          </cell>
          <cell r="T73">
            <v>0</v>
          </cell>
          <cell r="U73">
            <v>0</v>
          </cell>
          <cell r="W73">
            <v>225</v>
          </cell>
          <cell r="X73">
            <v>0</v>
          </cell>
          <cell r="Y73">
            <v>0</v>
          </cell>
          <cell r="Z73">
            <v>0</v>
          </cell>
          <cell r="AC73">
            <v>0</v>
          </cell>
          <cell r="AD73">
            <v>0</v>
          </cell>
          <cell r="AE73">
            <v>0</v>
          </cell>
          <cell r="AG73">
            <v>0</v>
          </cell>
          <cell r="AH73">
            <v>0</v>
          </cell>
          <cell r="AI73">
            <v>0</v>
          </cell>
          <cell r="AJ73">
            <v>832</v>
          </cell>
          <cell r="AK73">
            <v>2254.8666666666663</v>
          </cell>
          <cell r="AL73">
            <v>65</v>
          </cell>
          <cell r="AM73">
            <v>234</v>
          </cell>
          <cell r="AN73">
            <v>767</v>
          </cell>
          <cell r="AO73">
            <v>348</v>
          </cell>
          <cell r="AP73">
            <v>131</v>
          </cell>
          <cell r="AQ73">
            <v>217</v>
          </cell>
          <cell r="AR73" t="e">
            <v>#REF!</v>
          </cell>
          <cell r="AS73" t="e">
            <v>#REF!</v>
          </cell>
          <cell r="AT73">
            <v>0</v>
          </cell>
          <cell r="AU73">
            <v>0</v>
          </cell>
          <cell r="AV73">
            <v>131</v>
          </cell>
          <cell r="AW73">
            <v>217</v>
          </cell>
        </row>
        <row r="74">
          <cell r="C74">
            <v>6522.4</v>
          </cell>
          <cell r="D74">
            <v>2432</v>
          </cell>
          <cell r="E74">
            <v>4090.4</v>
          </cell>
          <cell r="M74">
            <v>282.55</v>
          </cell>
          <cell r="O74">
            <v>-282.55</v>
          </cell>
          <cell r="P74">
            <v>922.5916666666667</v>
          </cell>
          <cell r="Q74">
            <v>0</v>
          </cell>
          <cell r="R74">
            <v>-282.55</v>
          </cell>
          <cell r="S74">
            <v>275.45</v>
          </cell>
          <cell r="T74">
            <v>171</v>
          </cell>
          <cell r="U74">
            <v>104.45</v>
          </cell>
          <cell r="X74">
            <v>233.8</v>
          </cell>
          <cell r="Y74">
            <v>136</v>
          </cell>
          <cell r="Z74">
            <v>97.800000000000011</v>
          </cell>
          <cell r="AC74">
            <v>646.04999999999995</v>
          </cell>
          <cell r="AD74">
            <v>521.29</v>
          </cell>
          <cell r="AE74">
            <v>124.75999999999996</v>
          </cell>
          <cell r="AF74">
            <v>423</v>
          </cell>
          <cell r="AG74">
            <v>173</v>
          </cell>
          <cell r="AH74">
            <v>250</v>
          </cell>
          <cell r="AI74">
            <v>-223.04999999999995</v>
          </cell>
          <cell r="AJ74">
            <v>22</v>
          </cell>
          <cell r="AK74">
            <v>83</v>
          </cell>
          <cell r="AL74">
            <v>0</v>
          </cell>
          <cell r="AM74">
            <v>0</v>
          </cell>
          <cell r="AN74">
            <v>22</v>
          </cell>
          <cell r="AO74">
            <v>10200.081666666665</v>
          </cell>
          <cell r="AP74">
            <v>3693.05</v>
          </cell>
          <cell r="AQ74">
            <v>6507.0316666666649</v>
          </cell>
          <cell r="AR74" t="e">
            <v>#REF!</v>
          </cell>
          <cell r="AS74" t="e">
            <v>#REF!</v>
          </cell>
          <cell r="AT74">
            <v>307</v>
          </cell>
          <cell r="AU74">
            <v>516</v>
          </cell>
          <cell r="AV74">
            <v>3386.05</v>
          </cell>
          <cell r="AW74">
            <v>5991.0316666666649</v>
          </cell>
        </row>
        <row r="75">
          <cell r="C75">
            <v>1873</v>
          </cell>
          <cell r="D75">
            <v>676</v>
          </cell>
          <cell r="E75">
            <v>1197</v>
          </cell>
          <cell r="M75">
            <v>195.75</v>
          </cell>
          <cell r="O75">
            <v>-195.75</v>
          </cell>
          <cell r="P75">
            <v>434.15</v>
          </cell>
          <cell r="Q75">
            <v>80.099999999999994</v>
          </cell>
          <cell r="R75">
            <v>-195.75</v>
          </cell>
          <cell r="S75">
            <v>151</v>
          </cell>
          <cell r="T75">
            <v>96</v>
          </cell>
          <cell r="U75">
            <v>55</v>
          </cell>
          <cell r="W75">
            <v>225</v>
          </cell>
          <cell r="X75">
            <v>104.65</v>
          </cell>
          <cell r="Y75">
            <v>105</v>
          </cell>
          <cell r="Z75">
            <v>-0.35000000000000142</v>
          </cell>
          <cell r="AC75">
            <v>401.85</v>
          </cell>
          <cell r="AD75">
            <v>365.2</v>
          </cell>
          <cell r="AE75">
            <v>36.649999999999991</v>
          </cell>
          <cell r="AG75">
            <v>0</v>
          </cell>
          <cell r="AH75">
            <v>2981.8666666666663</v>
          </cell>
          <cell r="AI75">
            <v>-401.85</v>
          </cell>
          <cell r="AJ75">
            <v>810</v>
          </cell>
          <cell r="AK75">
            <v>2171.8666666666663</v>
          </cell>
          <cell r="AL75">
            <v>65</v>
          </cell>
          <cell r="AM75">
            <v>234</v>
          </cell>
          <cell r="AN75">
            <v>745</v>
          </cell>
          <cell r="AO75">
            <v>3308.75</v>
          </cell>
          <cell r="AP75">
            <v>1236.75</v>
          </cell>
          <cell r="AQ75">
            <v>2072</v>
          </cell>
          <cell r="AR75" t="e">
            <v>#REF!</v>
          </cell>
          <cell r="AS75" t="e">
            <v>#REF!</v>
          </cell>
          <cell r="AW75">
            <v>2072</v>
          </cell>
        </row>
        <row r="76">
          <cell r="C76">
            <v>33</v>
          </cell>
          <cell r="D76">
            <v>15</v>
          </cell>
          <cell r="E76">
            <v>18</v>
          </cell>
          <cell r="M76">
            <v>0</v>
          </cell>
          <cell r="O76">
            <v>0</v>
          </cell>
          <cell r="P76">
            <v>0</v>
          </cell>
          <cell r="Q76">
            <v>51</v>
          </cell>
          <cell r="R76">
            <v>0</v>
          </cell>
          <cell r="S76">
            <v>0</v>
          </cell>
          <cell r="T76">
            <v>0</v>
          </cell>
          <cell r="U76">
            <v>0</v>
          </cell>
          <cell r="W76">
            <v>163</v>
          </cell>
          <cell r="X76">
            <v>0</v>
          </cell>
          <cell r="Y76">
            <v>0</v>
          </cell>
          <cell r="Z76">
            <v>0</v>
          </cell>
          <cell r="AC76">
            <v>0</v>
          </cell>
          <cell r="AD76">
            <v>0</v>
          </cell>
          <cell r="AE76">
            <v>0</v>
          </cell>
          <cell r="AH76">
            <v>1230</v>
          </cell>
          <cell r="AI76">
            <v>0</v>
          </cell>
          <cell r="AJ76">
            <v>295</v>
          </cell>
          <cell r="AK76">
            <v>935</v>
          </cell>
          <cell r="AO76">
            <v>1051</v>
          </cell>
          <cell r="AP76">
            <v>512</v>
          </cell>
          <cell r="AQ76">
            <v>539</v>
          </cell>
          <cell r="AR76" t="e">
            <v>#REF!</v>
          </cell>
          <cell r="AS76" t="e">
            <v>#REF!</v>
          </cell>
          <cell r="AW76">
            <v>539</v>
          </cell>
        </row>
        <row r="77">
          <cell r="C77">
            <v>1130</v>
          </cell>
          <cell r="D77">
            <v>350</v>
          </cell>
          <cell r="E77">
            <v>780</v>
          </cell>
          <cell r="M77">
            <v>24.75</v>
          </cell>
          <cell r="P77">
            <v>334.66666666666669</v>
          </cell>
          <cell r="Q77">
            <v>0</v>
          </cell>
          <cell r="S77">
            <v>53.199999999999996</v>
          </cell>
          <cell r="T77">
            <v>0</v>
          </cell>
          <cell r="U77">
            <v>0</v>
          </cell>
          <cell r="X77">
            <v>37.950000000000003</v>
          </cell>
          <cell r="Y77">
            <v>0</v>
          </cell>
          <cell r="Z77">
            <v>0</v>
          </cell>
          <cell r="AC77">
            <v>130.15</v>
          </cell>
          <cell r="AD77">
            <v>78.09</v>
          </cell>
          <cell r="AE77">
            <v>52.06</v>
          </cell>
          <cell r="AH77">
            <v>363.66666666666663</v>
          </cell>
          <cell r="AJ77">
            <v>158</v>
          </cell>
          <cell r="AK77">
            <v>205.66666666666663</v>
          </cell>
          <cell r="AO77">
            <v>205.66666666666663</v>
          </cell>
        </row>
        <row r="78">
          <cell r="C78">
            <v>2086</v>
          </cell>
          <cell r="D78">
            <v>775</v>
          </cell>
          <cell r="E78">
            <v>1311</v>
          </cell>
          <cell r="M78">
            <v>62.05</v>
          </cell>
          <cell r="O78">
            <v>12</v>
          </cell>
          <cell r="P78">
            <v>153.77500000000001</v>
          </cell>
          <cell r="Q78">
            <v>8</v>
          </cell>
          <cell r="S78">
            <v>71.25</v>
          </cell>
          <cell r="T78">
            <v>0</v>
          </cell>
          <cell r="U78">
            <v>0</v>
          </cell>
          <cell r="W78">
            <v>12</v>
          </cell>
          <cell r="X78">
            <v>91.2</v>
          </cell>
          <cell r="Y78">
            <v>0</v>
          </cell>
          <cell r="Z78">
            <v>0</v>
          </cell>
          <cell r="AC78">
            <v>113.05000000000001</v>
          </cell>
          <cell r="AD78">
            <v>78</v>
          </cell>
          <cell r="AE78">
            <v>35.050000000000004</v>
          </cell>
          <cell r="AH78">
            <v>540.20000000000005</v>
          </cell>
          <cell r="AJ78">
            <v>123</v>
          </cell>
          <cell r="AK78">
            <v>417.20000000000005</v>
          </cell>
        </row>
        <row r="79">
          <cell r="C79">
            <v>610</v>
          </cell>
          <cell r="D79">
            <v>130</v>
          </cell>
          <cell r="E79">
            <v>480</v>
          </cell>
          <cell r="O79">
            <v>0</v>
          </cell>
          <cell r="P79">
            <v>9</v>
          </cell>
          <cell r="Q79">
            <v>19</v>
          </cell>
          <cell r="R79">
            <v>0</v>
          </cell>
          <cell r="S79">
            <v>32</v>
          </cell>
          <cell r="T79">
            <v>10</v>
          </cell>
          <cell r="U79">
            <v>22</v>
          </cell>
          <cell r="W79">
            <v>50</v>
          </cell>
          <cell r="X79">
            <v>30</v>
          </cell>
          <cell r="Y79">
            <v>20</v>
          </cell>
          <cell r="AH79">
            <v>848</v>
          </cell>
          <cell r="AI79">
            <v>0</v>
          </cell>
          <cell r="AO79">
            <v>0</v>
          </cell>
          <cell r="AP79">
            <v>0</v>
          </cell>
          <cell r="AR79" t="e">
            <v>#REF!</v>
          </cell>
          <cell r="AS79" t="e">
            <v>#REF!</v>
          </cell>
        </row>
        <row r="80">
          <cell r="C80">
            <v>11860.5</v>
          </cell>
          <cell r="D80">
            <v>4776</v>
          </cell>
          <cell r="E80">
            <v>7084.5</v>
          </cell>
          <cell r="M80">
            <v>7173.7066666666669</v>
          </cell>
          <cell r="N80">
            <v>0</v>
          </cell>
          <cell r="O80">
            <v>-7173.7066666666669</v>
          </cell>
          <cell r="P80">
            <v>33545.397121212118</v>
          </cell>
          <cell r="Q80">
            <v>0</v>
          </cell>
          <cell r="R80">
            <v>-7173.7066666666669</v>
          </cell>
          <cell r="S80">
            <v>51006.210606060602</v>
          </cell>
          <cell r="T80">
            <v>31042</v>
          </cell>
          <cell r="U80">
            <v>19964.210606060606</v>
          </cell>
          <cell r="W80">
            <v>0</v>
          </cell>
          <cell r="X80">
            <v>41163.24</v>
          </cell>
          <cell r="Y80">
            <v>24071</v>
          </cell>
          <cell r="Z80">
            <v>17092.240000000002</v>
          </cell>
          <cell r="AC80">
            <v>13065.94</v>
          </cell>
          <cell r="AD80">
            <v>10510.14</v>
          </cell>
          <cell r="AE80">
            <v>2556.8000000000002</v>
          </cell>
          <cell r="AF80">
            <v>9048</v>
          </cell>
          <cell r="AG80">
            <v>6481</v>
          </cell>
          <cell r="AH80">
            <v>2567</v>
          </cell>
          <cell r="AI80">
            <v>-4017.9400000000005</v>
          </cell>
          <cell r="AK80">
            <v>0</v>
          </cell>
          <cell r="AM80">
            <v>37</v>
          </cell>
          <cell r="AO80">
            <v>158068.1943939394</v>
          </cell>
          <cell r="AP80" t="e">
            <v>#REF!</v>
          </cell>
          <cell r="AQ80" t="e">
            <v>#REF!</v>
          </cell>
          <cell r="AR80" t="e">
            <v>#REF!</v>
          </cell>
          <cell r="AS80" t="e">
            <v>#REF!</v>
          </cell>
          <cell r="AT80">
            <v>54780</v>
          </cell>
          <cell r="AU80">
            <v>57859</v>
          </cell>
          <cell r="AV80">
            <v>12252.206666666669</v>
          </cell>
          <cell r="AW80" t="e">
            <v>#REF!</v>
          </cell>
        </row>
        <row r="81">
          <cell r="C81">
            <v>11512.5</v>
          </cell>
          <cell r="D81">
            <v>4645</v>
          </cell>
          <cell r="E81">
            <v>6867.5</v>
          </cell>
          <cell r="M81">
            <v>7173.7066666666669</v>
          </cell>
          <cell r="O81">
            <v>-7173.7066666666669</v>
          </cell>
          <cell r="P81">
            <v>33545.397121212118</v>
          </cell>
          <cell r="Q81">
            <v>2.1</v>
          </cell>
          <cell r="R81">
            <v>-7173.7066666666669</v>
          </cell>
          <cell r="S81">
            <v>51006.210606060602</v>
          </cell>
          <cell r="T81">
            <v>31042</v>
          </cell>
          <cell r="U81">
            <v>19964.210606060606</v>
          </cell>
          <cell r="W81">
            <v>4.8</v>
          </cell>
          <cell r="X81">
            <v>41163.24</v>
          </cell>
          <cell r="Y81">
            <v>24071</v>
          </cell>
          <cell r="Z81">
            <v>17092.240000000002</v>
          </cell>
          <cell r="AC81">
            <v>13065.94</v>
          </cell>
          <cell r="AD81">
            <v>10510.14</v>
          </cell>
          <cell r="AE81">
            <v>2556.8000000000002</v>
          </cell>
          <cell r="AH81">
            <v>35.800000000000004</v>
          </cell>
          <cell r="AI81">
            <v>-13065.94</v>
          </cell>
          <cell r="AJ81">
            <v>10.1</v>
          </cell>
          <cell r="AK81">
            <v>25.700000000000003</v>
          </cell>
          <cell r="AO81">
            <v>69577.194393939397</v>
          </cell>
          <cell r="AP81" t="e">
            <v>#REF!</v>
          </cell>
          <cell r="AQ81" t="e">
            <v>#REF!</v>
          </cell>
          <cell r="AR81" t="e">
            <v>#REF!</v>
          </cell>
          <cell r="AS81" t="e">
            <v>#REF!</v>
          </cell>
          <cell r="AT81">
            <v>11152</v>
          </cell>
          <cell r="AU81">
            <v>12997</v>
          </cell>
          <cell r="AV81">
            <v>12251.206666666669</v>
          </cell>
          <cell r="AW81" t="e">
            <v>#REF!</v>
          </cell>
        </row>
        <row r="82">
          <cell r="C82">
            <v>2717.878787878788</v>
          </cell>
          <cell r="D82">
            <v>558</v>
          </cell>
          <cell r="E82">
            <v>2063.878787878788</v>
          </cell>
          <cell r="M82">
            <v>2987.9609090909089</v>
          </cell>
          <cell r="N82">
            <v>0</v>
          </cell>
          <cell r="O82">
            <v>0</v>
          </cell>
          <cell r="P82">
            <v>9260.9121951219513</v>
          </cell>
          <cell r="Q82">
            <v>0</v>
          </cell>
          <cell r="R82">
            <v>0</v>
          </cell>
          <cell r="S82">
            <v>22358.636363636364</v>
          </cell>
          <cell r="T82">
            <v>8958.4774346793329</v>
          </cell>
          <cell r="U82">
            <v>13401.858928957032</v>
          </cell>
          <cell r="V82">
            <v>0</v>
          </cell>
          <cell r="W82">
            <v>0</v>
          </cell>
          <cell r="X82">
            <v>3165.9636363636364</v>
          </cell>
          <cell r="Y82">
            <v>1188.5818181818181</v>
          </cell>
          <cell r="AA82">
            <v>0</v>
          </cell>
          <cell r="AB82">
            <v>0</v>
          </cell>
          <cell r="AC82">
            <v>0</v>
          </cell>
          <cell r="AF82">
            <v>2287.3636363636365</v>
          </cell>
          <cell r="AG82">
            <v>1984</v>
          </cell>
          <cell r="AH82">
            <v>303.36363636363637</v>
          </cell>
          <cell r="AI82">
            <v>2287.3636363636365</v>
          </cell>
          <cell r="AJ82">
            <v>21747.116902528556</v>
          </cell>
          <cell r="AK82">
            <v>62510.210370198722</v>
          </cell>
          <cell r="AL82">
            <v>18166.389629801284</v>
          </cell>
          <cell r="AM82">
            <v>0</v>
          </cell>
          <cell r="AN82">
            <v>3327.727272727273</v>
          </cell>
          <cell r="AO82">
            <v>13869.303636363637</v>
          </cell>
          <cell r="AR82" t="e">
            <v>#REF!</v>
          </cell>
          <cell r="AS82" t="e">
            <v>#REF!</v>
          </cell>
        </row>
        <row r="83">
          <cell r="C83">
            <v>21504</v>
          </cell>
          <cell r="D83">
            <v>21504</v>
          </cell>
          <cell r="E83">
            <v>0</v>
          </cell>
          <cell r="M83">
            <v>0</v>
          </cell>
          <cell r="O83">
            <v>0</v>
          </cell>
          <cell r="P83">
            <v>0</v>
          </cell>
          <cell r="R83">
            <v>0</v>
          </cell>
          <cell r="S83">
            <v>0</v>
          </cell>
          <cell r="T83">
            <v>0</v>
          </cell>
          <cell r="U83">
            <v>0</v>
          </cell>
          <cell r="X83">
            <v>0</v>
          </cell>
          <cell r="Y83">
            <v>0</v>
          </cell>
          <cell r="Z83">
            <v>0</v>
          </cell>
          <cell r="AC83">
            <v>0</v>
          </cell>
          <cell r="AD83">
            <v>0</v>
          </cell>
          <cell r="AE83">
            <v>0</v>
          </cell>
          <cell r="AH83">
            <v>22387.327272727271</v>
          </cell>
          <cell r="AI83">
            <v>0</v>
          </cell>
          <cell r="AJ83">
            <v>5042.7272727272721</v>
          </cell>
          <cell r="AK83">
            <v>17344.600000000006</v>
          </cell>
          <cell r="AL83">
            <v>1462</v>
          </cell>
          <cell r="AM83">
            <v>5883</v>
          </cell>
          <cell r="AN83">
            <v>3327.727272727273</v>
          </cell>
          <cell r="AO83">
            <v>21504</v>
          </cell>
          <cell r="AP83">
            <v>21504</v>
          </cell>
          <cell r="AQ83">
            <v>0</v>
          </cell>
          <cell r="AR83" t="e">
            <v>#REF!</v>
          </cell>
          <cell r="AS83" t="e">
            <v>#REF!</v>
          </cell>
          <cell r="AT83">
            <v>0</v>
          </cell>
          <cell r="AU83">
            <v>0</v>
          </cell>
          <cell r="AV83">
            <v>0</v>
          </cell>
          <cell r="AW83">
            <v>0</v>
          </cell>
        </row>
        <row r="84">
          <cell r="C84">
            <v>33364.5</v>
          </cell>
          <cell r="D84">
            <v>26280</v>
          </cell>
          <cell r="E84">
            <v>7084.5</v>
          </cell>
          <cell r="M84">
            <v>7173.7066666666669</v>
          </cell>
          <cell r="N84">
            <v>0</v>
          </cell>
          <cell r="O84">
            <v>-7173.7066666666669</v>
          </cell>
          <cell r="P84">
            <v>33545.397121212118</v>
          </cell>
          <cell r="Q84">
            <v>0</v>
          </cell>
          <cell r="R84">
            <v>-7173.7066666666669</v>
          </cell>
          <cell r="S84">
            <v>51006.210606060602</v>
          </cell>
          <cell r="T84">
            <v>31042</v>
          </cell>
          <cell r="U84">
            <v>19964.210606060606</v>
          </cell>
          <cell r="W84">
            <v>0</v>
          </cell>
          <cell r="X84">
            <v>41163.24</v>
          </cell>
          <cell r="Y84">
            <v>24071</v>
          </cell>
          <cell r="Z84">
            <v>17092.240000000002</v>
          </cell>
          <cell r="AC84">
            <v>13065.94</v>
          </cell>
          <cell r="AD84">
            <v>10510.14</v>
          </cell>
          <cell r="AE84">
            <v>2556.8000000000002</v>
          </cell>
          <cell r="AF84">
            <v>9048</v>
          </cell>
          <cell r="AG84">
            <v>6481</v>
          </cell>
          <cell r="AH84">
            <v>2567</v>
          </cell>
          <cell r="AI84">
            <v>-4017.9400000000005</v>
          </cell>
          <cell r="AK84">
            <v>0</v>
          </cell>
          <cell r="AM84">
            <v>37</v>
          </cell>
          <cell r="AO84">
            <v>179572.1943939394</v>
          </cell>
          <cell r="AP84" t="e">
            <v>#REF!</v>
          </cell>
          <cell r="AQ84" t="e">
            <v>#REF!</v>
          </cell>
          <cell r="AR84" t="e">
            <v>#REF!</v>
          </cell>
          <cell r="AS84" t="e">
            <v>#REF!</v>
          </cell>
          <cell r="AT84">
            <v>54780</v>
          </cell>
          <cell r="AU84">
            <v>57859</v>
          </cell>
          <cell r="AV84">
            <v>12252.206666666669</v>
          </cell>
          <cell r="AW84" t="e">
            <v>#REF!</v>
          </cell>
        </row>
        <row r="85">
          <cell r="C85">
            <v>0</v>
          </cell>
          <cell r="D85">
            <v>0</v>
          </cell>
          <cell r="E85">
            <v>0</v>
          </cell>
          <cell r="M85">
            <v>0</v>
          </cell>
          <cell r="O85">
            <v>0</v>
          </cell>
          <cell r="P85">
            <v>0</v>
          </cell>
          <cell r="R85">
            <v>0</v>
          </cell>
          <cell r="S85">
            <v>0</v>
          </cell>
          <cell r="T85">
            <v>0</v>
          </cell>
          <cell r="U85">
            <v>0</v>
          </cell>
          <cell r="X85">
            <v>0</v>
          </cell>
          <cell r="Y85">
            <v>0</v>
          </cell>
          <cell r="Z85">
            <v>0</v>
          </cell>
          <cell r="AC85">
            <v>190</v>
          </cell>
          <cell r="AD85">
            <v>212.7</v>
          </cell>
          <cell r="AE85">
            <v>0</v>
          </cell>
          <cell r="AH85">
            <v>0</v>
          </cell>
          <cell r="AI85">
            <v>-190</v>
          </cell>
          <cell r="AJ85">
            <v>11292</v>
          </cell>
          <cell r="AK85">
            <v>0</v>
          </cell>
          <cell r="AL85">
            <v>0</v>
          </cell>
          <cell r="AM85">
            <v>0</v>
          </cell>
          <cell r="AN85">
            <v>0</v>
          </cell>
          <cell r="AO85">
            <v>211.7</v>
          </cell>
          <cell r="AP85">
            <v>0</v>
          </cell>
          <cell r="AQ85">
            <v>211.7</v>
          </cell>
          <cell r="AR85" t="e">
            <v>#REF!</v>
          </cell>
          <cell r="AS85" t="e">
            <v>#REF!</v>
          </cell>
          <cell r="AT85">
            <v>0</v>
          </cell>
          <cell r="AU85">
            <v>0</v>
          </cell>
          <cell r="AV85">
            <v>0</v>
          </cell>
          <cell r="AW85">
            <v>211.7</v>
          </cell>
        </row>
        <row r="86">
          <cell r="C86">
            <v>1551</v>
          </cell>
          <cell r="D86">
            <v>1089</v>
          </cell>
          <cell r="E86">
            <v>462</v>
          </cell>
          <cell r="M86">
            <v>0</v>
          </cell>
          <cell r="N86">
            <v>0</v>
          </cell>
          <cell r="O86">
            <v>0</v>
          </cell>
          <cell r="P86">
            <v>0</v>
          </cell>
          <cell r="Q86">
            <v>16099.915077605321</v>
          </cell>
          <cell r="R86">
            <v>0</v>
          </cell>
          <cell r="S86">
            <v>0</v>
          </cell>
          <cell r="T86">
            <v>0</v>
          </cell>
          <cell r="U86">
            <v>0</v>
          </cell>
          <cell r="V86">
            <v>0</v>
          </cell>
          <cell r="W86">
            <v>4354.545454545454</v>
          </cell>
          <cell r="X86">
            <v>0</v>
          </cell>
          <cell r="Y86">
            <v>0</v>
          </cell>
          <cell r="Z86">
            <v>0</v>
          </cell>
          <cell r="AA86">
            <v>0</v>
          </cell>
          <cell r="AB86">
            <v>0</v>
          </cell>
          <cell r="AC86">
            <v>0</v>
          </cell>
          <cell r="AD86">
            <v>0</v>
          </cell>
          <cell r="AE86">
            <v>0</v>
          </cell>
          <cell r="AG86">
            <v>0</v>
          </cell>
          <cell r="AH86">
            <v>0</v>
          </cell>
          <cell r="AI86">
            <v>0</v>
          </cell>
          <cell r="AJ86">
            <v>33039.116902528556</v>
          </cell>
          <cell r="AK86">
            <v>62510.210370198722</v>
          </cell>
          <cell r="AL86">
            <v>18166.389629801284</v>
          </cell>
          <cell r="AM86">
            <v>51049</v>
          </cell>
          <cell r="AN86">
            <v>3327.727272727273</v>
          </cell>
          <cell r="AO86">
            <v>1551</v>
          </cell>
          <cell r="AP86">
            <v>1089</v>
          </cell>
          <cell r="AQ86">
            <v>462</v>
          </cell>
          <cell r="AR86" t="e">
            <v>#REF!</v>
          </cell>
          <cell r="AS86" t="e">
            <v>#REF!</v>
          </cell>
          <cell r="AT86">
            <v>0</v>
          </cell>
          <cell r="AU86">
            <v>0</v>
          </cell>
          <cell r="AV86">
            <v>1089</v>
          </cell>
          <cell r="AW86">
            <v>462</v>
          </cell>
        </row>
        <row r="87">
          <cell r="C87">
            <v>794</v>
          </cell>
          <cell r="D87">
            <v>323.16775798446338</v>
          </cell>
          <cell r="E87">
            <v>470.83224201553662</v>
          </cell>
          <cell r="M87">
            <v>0</v>
          </cell>
          <cell r="O87">
            <v>0</v>
          </cell>
          <cell r="P87">
            <v>0</v>
          </cell>
          <cell r="R87">
            <v>0</v>
          </cell>
          <cell r="S87">
            <v>0</v>
          </cell>
          <cell r="T87">
            <v>0</v>
          </cell>
          <cell r="U87">
            <v>0</v>
          </cell>
          <cell r="X87">
            <v>0</v>
          </cell>
          <cell r="Y87">
            <v>0</v>
          </cell>
          <cell r="Z87">
            <v>0</v>
          </cell>
          <cell r="AC87">
            <v>0</v>
          </cell>
          <cell r="AD87">
            <v>0</v>
          </cell>
          <cell r="AE87">
            <v>0</v>
          </cell>
          <cell r="AH87">
            <v>0</v>
          </cell>
          <cell r="AI87">
            <v>0</v>
          </cell>
          <cell r="AL87">
            <v>0</v>
          </cell>
          <cell r="AM87">
            <v>0</v>
          </cell>
          <cell r="AN87">
            <v>0</v>
          </cell>
          <cell r="AO87">
            <v>793</v>
          </cell>
          <cell r="AP87">
            <v>323.16775798446338</v>
          </cell>
          <cell r="AQ87">
            <v>469.83224201553662</v>
          </cell>
          <cell r="AR87" t="e">
            <v>#REF!</v>
          </cell>
          <cell r="AS87" t="e">
            <v>#REF!</v>
          </cell>
          <cell r="AT87">
            <v>0</v>
          </cell>
          <cell r="AU87">
            <v>0</v>
          </cell>
          <cell r="AV87">
            <v>323.16775798446338</v>
          </cell>
          <cell r="AW87">
            <v>469.83224201553662</v>
          </cell>
        </row>
        <row r="88">
          <cell r="C88">
            <v>49</v>
          </cell>
          <cell r="D88">
            <v>24.548513572396324</v>
          </cell>
          <cell r="E88">
            <v>24.451486427603676</v>
          </cell>
          <cell r="M88">
            <v>68.333333333333329</v>
          </cell>
          <cell r="N88">
            <v>51</v>
          </cell>
          <cell r="O88">
            <v>-17.333333333333329</v>
          </cell>
          <cell r="P88">
            <v>81</v>
          </cell>
          <cell r="R88">
            <v>-68.333333333333329</v>
          </cell>
          <cell r="S88">
            <v>228.66666666666666</v>
          </cell>
          <cell r="T88">
            <v>156</v>
          </cell>
          <cell r="U88">
            <v>72.666666666666657</v>
          </cell>
          <cell r="X88">
            <v>315.33333333333331</v>
          </cell>
          <cell r="Y88">
            <v>215</v>
          </cell>
          <cell r="Z88">
            <v>100.33333333333333</v>
          </cell>
          <cell r="AC88">
            <v>82.666666666666657</v>
          </cell>
          <cell r="AD88">
            <v>38</v>
          </cell>
          <cell r="AE88">
            <v>0</v>
          </cell>
          <cell r="AF88">
            <v>21</v>
          </cell>
          <cell r="AG88">
            <v>15</v>
          </cell>
          <cell r="AH88">
            <v>6</v>
          </cell>
          <cell r="AI88">
            <v>-61.666666666666657</v>
          </cell>
          <cell r="AJ88">
            <v>462</v>
          </cell>
          <cell r="AK88">
            <v>560</v>
          </cell>
          <cell r="AL88">
            <v>0</v>
          </cell>
          <cell r="AM88">
            <v>0</v>
          </cell>
          <cell r="AN88">
            <v>462</v>
          </cell>
          <cell r="AO88">
            <v>685.33333333333326</v>
          </cell>
          <cell r="AP88">
            <v>394.88184690572962</v>
          </cell>
          <cell r="AQ88">
            <v>290.45148642760364</v>
          </cell>
          <cell r="AR88" t="e">
            <v>#REF!</v>
          </cell>
          <cell r="AS88" t="e">
            <v>#REF!</v>
          </cell>
          <cell r="AT88">
            <v>371</v>
          </cell>
          <cell r="AU88">
            <v>195</v>
          </cell>
          <cell r="AV88">
            <v>23.881846905729617</v>
          </cell>
          <cell r="AW88">
            <v>95.451486427603641</v>
          </cell>
        </row>
        <row r="89">
          <cell r="C89">
            <v>35758.5</v>
          </cell>
          <cell r="D89">
            <v>27716.716271556859</v>
          </cell>
          <cell r="E89">
            <v>8041.7837284431398</v>
          </cell>
          <cell r="M89">
            <v>7242.0400000000009</v>
          </cell>
          <cell r="N89">
            <v>51</v>
          </cell>
          <cell r="O89">
            <v>-7191.0400000000009</v>
          </cell>
          <cell r="P89">
            <v>33626.397121212118</v>
          </cell>
          <cell r="Q89">
            <v>0</v>
          </cell>
          <cell r="R89">
            <v>-7242.0400000000009</v>
          </cell>
          <cell r="S89">
            <v>51234.877272727274</v>
          </cell>
          <cell r="T89">
            <v>31198</v>
          </cell>
          <cell r="U89">
            <v>20036.877272727274</v>
          </cell>
          <cell r="V89">
            <v>0</v>
          </cell>
          <cell r="W89">
            <v>0</v>
          </cell>
          <cell r="X89">
            <v>41478.573333333334</v>
          </cell>
          <cell r="Y89">
            <v>24286</v>
          </cell>
          <cell r="Z89">
            <v>17192.573333333334</v>
          </cell>
          <cell r="AC89">
            <v>13148.606666666667</v>
          </cell>
          <cell r="AD89">
            <v>10548.14</v>
          </cell>
          <cell r="AE89">
            <v>2556.8000000000002</v>
          </cell>
          <cell r="AF89">
            <v>9069</v>
          </cell>
          <cell r="AG89">
            <v>6496</v>
          </cell>
          <cell r="AH89">
            <v>2573</v>
          </cell>
          <cell r="AI89">
            <v>-4079.6066666666666</v>
          </cell>
          <cell r="AJ89">
            <v>0</v>
          </cell>
          <cell r="AK89">
            <v>474</v>
          </cell>
          <cell r="AL89">
            <v>0</v>
          </cell>
          <cell r="AM89">
            <v>37</v>
          </cell>
          <cell r="AN89">
            <v>126</v>
          </cell>
          <cell r="AO89">
            <v>182815.22772727275</v>
          </cell>
          <cell r="AP89" t="e">
            <v>#REF!</v>
          </cell>
          <cell r="AQ89" t="e">
            <v>#REF!</v>
          </cell>
          <cell r="AR89" t="e">
            <v>#REF!</v>
          </cell>
          <cell r="AS89" t="e">
            <v>#REF!</v>
          </cell>
          <cell r="AT89">
            <v>55151</v>
          </cell>
          <cell r="AU89">
            <v>58054</v>
          </cell>
          <cell r="AV89">
            <v>13688.256271556862</v>
          </cell>
          <cell r="AW89" t="e">
            <v>#REF!</v>
          </cell>
        </row>
        <row r="90">
          <cell r="C90">
            <v>14254.5</v>
          </cell>
          <cell r="D90">
            <v>6212.7162715568593</v>
          </cell>
          <cell r="E90">
            <v>8041.7837284431398</v>
          </cell>
          <cell r="M90">
            <v>7242.0400000000009</v>
          </cell>
          <cell r="N90">
            <v>51</v>
          </cell>
          <cell r="O90">
            <v>-7191.0400000000009</v>
          </cell>
          <cell r="P90">
            <v>18573.397121212118</v>
          </cell>
          <cell r="Q90">
            <v>0</v>
          </cell>
          <cell r="R90">
            <v>-7242.0400000000009</v>
          </cell>
          <cell r="S90">
            <v>11696.877272727274</v>
          </cell>
          <cell r="T90">
            <v>7313</v>
          </cell>
          <cell r="U90">
            <v>4383.8772727272735</v>
          </cell>
          <cell r="V90">
            <v>0</v>
          </cell>
          <cell r="W90">
            <v>0</v>
          </cell>
          <cell r="X90">
            <v>7579.5733333333337</v>
          </cell>
          <cell r="Y90">
            <v>4543</v>
          </cell>
          <cell r="Z90">
            <v>3036.5733333333337</v>
          </cell>
          <cell r="AA90">
            <v>10</v>
          </cell>
          <cell r="AB90">
            <v>4</v>
          </cell>
          <cell r="AC90">
            <v>13148.606666666667</v>
          </cell>
          <cell r="AD90">
            <v>10548.14</v>
          </cell>
          <cell r="AE90">
            <v>2556.8000000000002</v>
          </cell>
          <cell r="AF90">
            <v>9069</v>
          </cell>
          <cell r="AG90">
            <v>6496</v>
          </cell>
          <cell r="AH90">
            <v>2573</v>
          </cell>
          <cell r="AI90">
            <v>-4079.6066666666666</v>
          </cell>
          <cell r="AJ90">
            <v>75</v>
          </cell>
          <cell r="AK90">
            <v>85</v>
          </cell>
          <cell r="AL90">
            <v>11</v>
          </cell>
          <cell r="AM90">
            <v>37</v>
          </cell>
          <cell r="AN90">
            <v>64</v>
          </cell>
          <cell r="AO90">
            <v>72820.227727272752</v>
          </cell>
          <cell r="AP90" t="e">
            <v>#REF!</v>
          </cell>
          <cell r="AQ90" t="e">
            <v>#REF!</v>
          </cell>
          <cell r="AR90" t="e">
            <v>#REF!</v>
          </cell>
          <cell r="AS90" t="e">
            <v>#REF!</v>
          </cell>
          <cell r="AT90">
            <v>11523</v>
          </cell>
          <cell r="AU90">
            <v>13192</v>
          </cell>
          <cell r="AV90">
            <v>13687.256271556862</v>
          </cell>
          <cell r="AW90" t="e">
            <v>#REF!</v>
          </cell>
        </row>
        <row r="91">
          <cell r="C91">
            <v>1169.0999999999999</v>
          </cell>
          <cell r="D91">
            <v>427</v>
          </cell>
          <cell r="E91">
            <v>742.1</v>
          </cell>
          <cell r="M91">
            <v>1840.4400000000003</v>
          </cell>
          <cell r="N91">
            <v>0</v>
          </cell>
          <cell r="O91">
            <v>-1840.4400000000003</v>
          </cell>
          <cell r="P91">
            <v>4035.8736363636363</v>
          </cell>
          <cell r="Q91">
            <v>0</v>
          </cell>
          <cell r="R91">
            <v>-1840.4400000000003</v>
          </cell>
          <cell r="S91">
            <v>1574.15</v>
          </cell>
          <cell r="T91">
            <v>971</v>
          </cell>
          <cell r="U91">
            <v>603.15</v>
          </cell>
          <cell r="W91">
            <v>0</v>
          </cell>
          <cell r="X91">
            <v>1270.74</v>
          </cell>
          <cell r="Y91">
            <v>757</v>
          </cell>
          <cell r="Z91">
            <v>513.74</v>
          </cell>
          <cell r="AC91">
            <v>3530.8900000000003</v>
          </cell>
          <cell r="AD91">
            <v>3248</v>
          </cell>
          <cell r="AE91">
            <v>282.89000000000033</v>
          </cell>
          <cell r="AF91">
            <v>2287.3636363636365</v>
          </cell>
          <cell r="AG91">
            <v>1984</v>
          </cell>
          <cell r="AH91">
            <v>303.36363636363637</v>
          </cell>
          <cell r="AI91">
            <v>-1243.5263636363638</v>
          </cell>
          <cell r="AM91">
            <v>0</v>
          </cell>
          <cell r="AO91">
            <v>13869.303636363637</v>
          </cell>
          <cell r="AP91">
            <v>182885.52772727271</v>
          </cell>
          <cell r="AQ91">
            <v>91945.256271556864</v>
          </cell>
          <cell r="AR91" t="e">
            <v>#REF!</v>
          </cell>
        </row>
        <row r="92">
          <cell r="C92">
            <v>1405</v>
          </cell>
          <cell r="M92">
            <v>2024.5</v>
          </cell>
          <cell r="O92">
            <v>-2024.5</v>
          </cell>
          <cell r="P92">
            <v>5900.2</v>
          </cell>
          <cell r="R92">
            <v>-2024.5</v>
          </cell>
          <cell r="S92">
            <v>226.5</v>
          </cell>
          <cell r="X92">
            <v>554.5</v>
          </cell>
          <cell r="AC92">
            <v>952.3</v>
          </cell>
          <cell r="AD92">
            <v>519</v>
          </cell>
          <cell r="AE92">
            <v>433.29999999999995</v>
          </cell>
          <cell r="AH92">
            <v>0</v>
          </cell>
          <cell r="AI92" t="e">
            <v>#REF!</v>
          </cell>
          <cell r="AM92">
            <v>2363</v>
          </cell>
          <cell r="AN92">
            <v>1616</v>
          </cell>
          <cell r="AO92">
            <v>13846</v>
          </cell>
          <cell r="AR92" t="e">
            <v>#REF!</v>
          </cell>
        </row>
        <row r="93">
          <cell r="C93">
            <v>92</v>
          </cell>
          <cell r="D93">
            <v>12441</v>
          </cell>
          <cell r="E93">
            <v>3107.878787878788</v>
          </cell>
          <cell r="M93">
            <v>1680</v>
          </cell>
          <cell r="N93">
            <v>0</v>
          </cell>
          <cell r="O93">
            <v>-1680</v>
          </cell>
          <cell r="P93">
            <v>4255</v>
          </cell>
          <cell r="Q93">
            <v>16124.915077605321</v>
          </cell>
          <cell r="R93">
            <v>-1680</v>
          </cell>
          <cell r="S93">
            <v>227</v>
          </cell>
          <cell r="T93">
            <v>8958.4774346793329</v>
          </cell>
          <cell r="U93">
            <v>13401.858928957032</v>
          </cell>
          <cell r="V93">
            <v>0</v>
          </cell>
          <cell r="W93">
            <v>0</v>
          </cell>
          <cell r="X93">
            <v>555</v>
          </cell>
          <cell r="Y93">
            <v>1189.5818181818181</v>
          </cell>
          <cell r="AA93">
            <v>10</v>
          </cell>
          <cell r="AB93">
            <v>4</v>
          </cell>
          <cell r="AC93">
            <v>952</v>
          </cell>
          <cell r="AD93">
            <v>519</v>
          </cell>
          <cell r="AE93">
            <v>433</v>
          </cell>
          <cell r="AF93">
            <v>0</v>
          </cell>
          <cell r="AG93">
            <v>0</v>
          </cell>
          <cell r="AH93">
            <v>0</v>
          </cell>
          <cell r="AI93">
            <v>-952</v>
          </cell>
          <cell r="AJ93">
            <v>33702.116902528556</v>
          </cell>
          <cell r="AK93">
            <v>63629.210370198722</v>
          </cell>
          <cell r="AL93">
            <v>18177.389629801284</v>
          </cell>
          <cell r="AM93">
            <v>12</v>
          </cell>
          <cell r="AN93">
            <v>3979.727272727273</v>
          </cell>
          <cell r="AO93">
            <v>7357</v>
          </cell>
          <cell r="AR93" t="e">
            <v>#REF!</v>
          </cell>
        </row>
        <row r="94">
          <cell r="C94">
            <v>0</v>
          </cell>
          <cell r="D94">
            <v>1149</v>
          </cell>
          <cell r="E94">
            <v>3107.878787878788</v>
          </cell>
          <cell r="M94">
            <v>0</v>
          </cell>
          <cell r="N94">
            <v>0</v>
          </cell>
          <cell r="O94">
            <v>0</v>
          </cell>
          <cell r="P94">
            <v>897</v>
          </cell>
          <cell r="Q94">
            <v>1991.8272727272724</v>
          </cell>
          <cell r="R94">
            <v>0</v>
          </cell>
          <cell r="S94">
            <v>9</v>
          </cell>
          <cell r="T94">
            <v>629</v>
          </cell>
          <cell r="U94">
            <v>1295.3363636363647</v>
          </cell>
          <cell r="V94">
            <v>0</v>
          </cell>
          <cell r="W94">
            <v>4371.545454545454</v>
          </cell>
          <cell r="X94">
            <v>0</v>
          </cell>
          <cell r="Y94">
            <v>1189.5818181818181</v>
          </cell>
          <cell r="AA94">
            <v>10</v>
          </cell>
          <cell r="AB94">
            <v>4</v>
          </cell>
          <cell r="AC94">
            <v>0</v>
          </cell>
          <cell r="AD94">
            <v>0</v>
          </cell>
          <cell r="AE94">
            <v>0</v>
          </cell>
          <cell r="AG94">
            <v>0</v>
          </cell>
          <cell r="AH94">
            <v>0</v>
          </cell>
          <cell r="AI94">
            <v>0</v>
          </cell>
          <cell r="AJ94">
            <v>5705.7272727272721</v>
          </cell>
          <cell r="AK94">
            <v>18463.600000000006</v>
          </cell>
          <cell r="AL94">
            <v>1473</v>
          </cell>
          <cell r="AM94">
            <v>0</v>
          </cell>
          <cell r="AN94">
            <v>3979.727272727273</v>
          </cell>
          <cell r="AO94">
            <v>9</v>
          </cell>
          <cell r="AR94" t="e">
            <v>#REF!</v>
          </cell>
        </row>
        <row r="95">
          <cell r="C95">
            <v>1313</v>
          </cell>
          <cell r="M95">
            <v>344.5</v>
          </cell>
          <cell r="O95">
            <v>-344.5</v>
          </cell>
          <cell r="P95">
            <v>1645.2</v>
          </cell>
          <cell r="Q95">
            <v>0</v>
          </cell>
          <cell r="R95">
            <v>-344.5</v>
          </cell>
          <cell r="X95">
            <v>0</v>
          </cell>
          <cell r="AC95">
            <v>0.29999999999998295</v>
          </cell>
          <cell r="AD95">
            <v>0</v>
          </cell>
          <cell r="AE95">
            <v>0.29999999999998295</v>
          </cell>
          <cell r="AH95">
            <v>0</v>
          </cell>
          <cell r="AI95">
            <v>-0.29999999999998295</v>
          </cell>
          <cell r="AJ95">
            <v>97331.327272727271</v>
          </cell>
          <cell r="AM95">
            <v>0</v>
          </cell>
          <cell r="AO95">
            <v>3502.7</v>
          </cell>
          <cell r="AR95" t="e">
            <v>#REF!</v>
          </cell>
        </row>
        <row r="96">
          <cell r="M96">
            <v>696.19636363636369</v>
          </cell>
          <cell r="N96">
            <v>0</v>
          </cell>
          <cell r="O96">
            <v>0</v>
          </cell>
          <cell r="P96">
            <v>148</v>
          </cell>
          <cell r="Q96">
            <v>326.90909090909093</v>
          </cell>
          <cell r="R96">
            <v>0</v>
          </cell>
          <cell r="S96">
            <v>392.63636363636363</v>
          </cell>
          <cell r="W96">
            <v>1046.5454545454545</v>
          </cell>
          <cell r="X96">
            <v>814.76363636363635</v>
          </cell>
          <cell r="Y96">
            <v>231.78181818181815</v>
          </cell>
          <cell r="AE96">
            <v>0</v>
          </cell>
          <cell r="AH96">
            <v>0</v>
          </cell>
          <cell r="AI96">
            <v>0</v>
          </cell>
          <cell r="AM96" t="e">
            <v>#REF!</v>
          </cell>
          <cell r="AO96" t="e">
            <v>#REF!</v>
          </cell>
          <cell r="AR96" t="e">
            <v>#REF!</v>
          </cell>
        </row>
        <row r="97">
          <cell r="C97">
            <v>474</v>
          </cell>
          <cell r="D97">
            <v>101</v>
          </cell>
          <cell r="N97">
            <v>570</v>
          </cell>
          <cell r="O97">
            <v>0</v>
          </cell>
          <cell r="R97">
            <v>0</v>
          </cell>
          <cell r="S97">
            <v>176</v>
          </cell>
          <cell r="W97">
            <v>84</v>
          </cell>
          <cell r="X97">
            <v>84</v>
          </cell>
          <cell r="Y97">
            <v>0</v>
          </cell>
          <cell r="AA97">
            <v>0</v>
          </cell>
          <cell r="AC97">
            <v>0</v>
          </cell>
          <cell r="AE97">
            <v>0</v>
          </cell>
          <cell r="AG97">
            <v>68</v>
          </cell>
          <cell r="AH97">
            <v>0</v>
          </cell>
          <cell r="AI97">
            <v>0</v>
          </cell>
          <cell r="AM97" t="e">
            <v>#REF!</v>
          </cell>
          <cell r="AO97" t="e">
            <v>#REF!</v>
          </cell>
          <cell r="AR97" t="e">
            <v>#REF!</v>
          </cell>
        </row>
        <row r="98">
          <cell r="C98">
            <v>87.333333333333329</v>
          </cell>
          <cell r="D98">
            <v>19</v>
          </cell>
          <cell r="N98">
            <v>570</v>
          </cell>
          <cell r="O98">
            <v>0</v>
          </cell>
          <cell r="R98">
            <v>0</v>
          </cell>
          <cell r="S98">
            <v>176</v>
          </cell>
          <cell r="W98">
            <v>84</v>
          </cell>
          <cell r="X98">
            <v>84</v>
          </cell>
          <cell r="Y98">
            <v>0</v>
          </cell>
          <cell r="AE98">
            <v>0</v>
          </cell>
          <cell r="AH98">
            <v>0</v>
          </cell>
          <cell r="AI98">
            <v>0</v>
          </cell>
          <cell r="AM98">
            <v>3770.5939393939398</v>
          </cell>
          <cell r="AO98">
            <v>3770.5939393939398</v>
          </cell>
          <cell r="AR98" t="e">
            <v>#REF!</v>
          </cell>
        </row>
        <row r="99">
          <cell r="C99">
            <v>0</v>
          </cell>
          <cell r="D99">
            <v>0</v>
          </cell>
          <cell r="O99">
            <v>0</v>
          </cell>
          <cell r="R99">
            <v>0</v>
          </cell>
          <cell r="W99">
            <v>0</v>
          </cell>
          <cell r="X99">
            <v>0</v>
          </cell>
          <cell r="Y99">
            <v>0</v>
          </cell>
          <cell r="AH99">
            <v>0</v>
          </cell>
          <cell r="AI99">
            <v>0</v>
          </cell>
          <cell r="AM99">
            <v>3770.5939393939398</v>
          </cell>
          <cell r="AO99">
            <v>3770.5939393939398</v>
          </cell>
          <cell r="AR99" t="e">
            <v>#REF!</v>
          </cell>
        </row>
        <row r="100">
          <cell r="C100">
            <v>1313</v>
          </cell>
          <cell r="D100">
            <v>82</v>
          </cell>
          <cell r="M100">
            <v>344.5</v>
          </cell>
          <cell r="O100">
            <v>-344.5</v>
          </cell>
          <cell r="P100">
            <v>1369.2</v>
          </cell>
          <cell r="Q100">
            <v>31</v>
          </cell>
          <cell r="R100">
            <v>-344.5</v>
          </cell>
          <cell r="S100">
            <v>0</v>
          </cell>
          <cell r="W100">
            <v>2</v>
          </cell>
          <cell r="X100">
            <v>-5</v>
          </cell>
          <cell r="Y100">
            <v>0</v>
          </cell>
          <cell r="AC100">
            <v>0</v>
          </cell>
          <cell r="AD100">
            <v>0</v>
          </cell>
          <cell r="AE100">
            <v>0</v>
          </cell>
          <cell r="AF100">
            <v>128</v>
          </cell>
          <cell r="AG100">
            <v>128</v>
          </cell>
          <cell r="AH100">
            <v>0</v>
          </cell>
          <cell r="AI100">
            <v>128</v>
          </cell>
          <cell r="AM100">
            <v>8354.2999999999993</v>
          </cell>
          <cell r="AO100">
            <v>26313.4</v>
          </cell>
          <cell r="AR100" t="e">
            <v>#REF!</v>
          </cell>
        </row>
        <row r="101">
          <cell r="C101">
            <v>1313</v>
          </cell>
          <cell r="D101">
            <v>0</v>
          </cell>
          <cell r="M101">
            <v>344.5</v>
          </cell>
          <cell r="O101">
            <v>-344.5</v>
          </cell>
          <cell r="P101">
            <v>1369.2</v>
          </cell>
          <cell r="Q101">
            <v>0</v>
          </cell>
          <cell r="R101">
            <v>-344.5</v>
          </cell>
          <cell r="S101">
            <v>0</v>
          </cell>
          <cell r="X101">
            <v>0</v>
          </cell>
          <cell r="AC101">
            <v>0</v>
          </cell>
          <cell r="AD101">
            <v>0</v>
          </cell>
          <cell r="AE101">
            <v>0</v>
          </cell>
          <cell r="AH101">
            <v>0</v>
          </cell>
          <cell r="AI101">
            <v>0</v>
          </cell>
          <cell r="AM101">
            <v>4647.3</v>
          </cell>
          <cell r="AO101">
            <v>7674</v>
          </cell>
          <cell r="AR101" t="e">
            <v>#REF!</v>
          </cell>
        </row>
        <row r="102">
          <cell r="C102">
            <v>0</v>
          </cell>
          <cell r="D102">
            <v>0</v>
          </cell>
          <cell r="M102">
            <v>0</v>
          </cell>
          <cell r="O102">
            <v>0</v>
          </cell>
          <cell r="P102">
            <v>0</v>
          </cell>
          <cell r="R102">
            <v>0</v>
          </cell>
          <cell r="S102">
            <v>0</v>
          </cell>
          <cell r="X102">
            <v>0</v>
          </cell>
          <cell r="AC102">
            <v>0</v>
          </cell>
          <cell r="AD102">
            <v>0</v>
          </cell>
          <cell r="AE102">
            <v>0</v>
          </cell>
          <cell r="AH102">
            <v>0</v>
          </cell>
          <cell r="AI102">
            <v>0</v>
          </cell>
          <cell r="AM102">
            <v>0</v>
          </cell>
          <cell r="AO102">
            <v>0</v>
          </cell>
          <cell r="AR102" t="e">
            <v>#REF!</v>
          </cell>
        </row>
        <row r="103">
          <cell r="C103">
            <v>0</v>
          </cell>
          <cell r="D103">
            <v>0</v>
          </cell>
          <cell r="M103">
            <v>0</v>
          </cell>
          <cell r="O103">
            <v>0</v>
          </cell>
          <cell r="P103">
            <v>0</v>
          </cell>
          <cell r="Q103">
            <v>31</v>
          </cell>
          <cell r="R103">
            <v>0</v>
          </cell>
          <cell r="S103">
            <v>0</v>
          </cell>
          <cell r="W103">
            <v>2</v>
          </cell>
          <cell r="X103">
            <v>-5</v>
          </cell>
          <cell r="AC103">
            <v>0</v>
          </cell>
          <cell r="AD103">
            <v>0</v>
          </cell>
          <cell r="AE103">
            <v>0</v>
          </cell>
          <cell r="AF103">
            <v>128</v>
          </cell>
          <cell r="AG103">
            <v>128</v>
          </cell>
          <cell r="AH103">
            <v>0</v>
          </cell>
          <cell r="AI103">
            <v>128</v>
          </cell>
          <cell r="AM103">
            <v>3707</v>
          </cell>
          <cell r="AO103">
            <v>3702</v>
          </cell>
          <cell r="AR103" t="e">
            <v>#REF!</v>
          </cell>
        </row>
        <row r="104">
          <cell r="C104">
            <v>0</v>
          </cell>
          <cell r="D104">
            <v>0</v>
          </cell>
          <cell r="M104">
            <v>0</v>
          </cell>
          <cell r="O104">
            <v>0</v>
          </cell>
          <cell r="P104">
            <v>130</v>
          </cell>
          <cell r="Q104">
            <v>154</v>
          </cell>
          <cell r="R104">
            <v>0</v>
          </cell>
          <cell r="S104">
            <v>0</v>
          </cell>
          <cell r="W104">
            <v>79</v>
          </cell>
          <cell r="X104">
            <v>-49</v>
          </cell>
          <cell r="AC104">
            <v>0</v>
          </cell>
          <cell r="AD104">
            <v>0</v>
          </cell>
          <cell r="AE104">
            <v>0</v>
          </cell>
          <cell r="AF104">
            <v>30</v>
          </cell>
          <cell r="AG104">
            <v>30</v>
          </cell>
          <cell r="AH104">
            <v>0</v>
          </cell>
          <cell r="AI104">
            <v>30</v>
          </cell>
          <cell r="AM104">
            <v>875</v>
          </cell>
          <cell r="AO104">
            <v>956</v>
          </cell>
          <cell r="AR104" t="e">
            <v>#REF!</v>
          </cell>
        </row>
        <row r="105">
          <cell r="C105">
            <v>0</v>
          </cell>
          <cell r="D105">
            <v>82</v>
          </cell>
          <cell r="M105">
            <v>0</v>
          </cell>
          <cell r="O105">
            <v>0</v>
          </cell>
          <cell r="P105">
            <v>130</v>
          </cell>
          <cell r="Q105">
            <v>0</v>
          </cell>
          <cell r="R105">
            <v>0</v>
          </cell>
          <cell r="S105">
            <v>0</v>
          </cell>
          <cell r="W105">
            <v>0</v>
          </cell>
          <cell r="X105">
            <v>0</v>
          </cell>
          <cell r="Y105">
            <v>0</v>
          </cell>
          <cell r="AA105">
            <v>69</v>
          </cell>
          <cell r="AB105">
            <v>0</v>
          </cell>
          <cell r="AC105">
            <v>0</v>
          </cell>
          <cell r="AD105">
            <v>0</v>
          </cell>
          <cell r="AE105">
            <v>0</v>
          </cell>
          <cell r="AG105">
            <v>0</v>
          </cell>
          <cell r="AH105">
            <v>0</v>
          </cell>
          <cell r="AI105">
            <v>0</v>
          </cell>
          <cell r="AM105">
            <v>80</v>
          </cell>
          <cell r="AO105">
            <v>210</v>
          </cell>
          <cell r="AR105" t="e">
            <v>#REF!</v>
          </cell>
        </row>
        <row r="106">
          <cell r="C106">
            <v>0</v>
          </cell>
          <cell r="D106">
            <v>82</v>
          </cell>
          <cell r="M106">
            <v>0</v>
          </cell>
          <cell r="O106">
            <v>0</v>
          </cell>
          <cell r="P106">
            <v>0</v>
          </cell>
          <cell r="Q106">
            <v>154</v>
          </cell>
          <cell r="R106">
            <v>0</v>
          </cell>
          <cell r="S106">
            <v>0</v>
          </cell>
          <cell r="W106">
            <v>79</v>
          </cell>
          <cell r="X106">
            <v>-49</v>
          </cell>
          <cell r="Y106">
            <v>0</v>
          </cell>
          <cell r="AC106">
            <v>0</v>
          </cell>
          <cell r="AD106">
            <v>0</v>
          </cell>
          <cell r="AE106">
            <v>0</v>
          </cell>
          <cell r="AF106">
            <v>30</v>
          </cell>
          <cell r="AG106">
            <v>30</v>
          </cell>
          <cell r="AH106">
            <v>0</v>
          </cell>
          <cell r="AI106">
            <v>30</v>
          </cell>
          <cell r="AM106">
            <v>822</v>
          </cell>
          <cell r="AO106">
            <v>773</v>
          </cell>
          <cell r="AR106" t="e">
            <v>#REF!</v>
          </cell>
        </row>
        <row r="107">
          <cell r="C107">
            <v>0</v>
          </cell>
          <cell r="D107">
            <v>0</v>
          </cell>
          <cell r="M107">
            <v>0</v>
          </cell>
          <cell r="O107">
            <v>0</v>
          </cell>
          <cell r="P107">
            <v>0</v>
          </cell>
          <cell r="Q107">
            <v>800</v>
          </cell>
          <cell r="R107">
            <v>0</v>
          </cell>
          <cell r="S107">
            <v>0</v>
          </cell>
          <cell r="W107">
            <v>0</v>
          </cell>
          <cell r="X107">
            <v>0</v>
          </cell>
          <cell r="Y107">
            <v>0</v>
          </cell>
          <cell r="AC107">
            <v>0</v>
          </cell>
          <cell r="AD107">
            <v>0</v>
          </cell>
          <cell r="AE107">
            <v>0</v>
          </cell>
          <cell r="AH107">
            <v>0</v>
          </cell>
          <cell r="AI107">
            <v>0</v>
          </cell>
          <cell r="AM107">
            <v>0</v>
          </cell>
          <cell r="AO107">
            <v>0</v>
          </cell>
          <cell r="AP107" t="e">
            <v>#REF!</v>
          </cell>
          <cell r="AQ107" t="e">
            <v>#REF!</v>
          </cell>
          <cell r="AR107" t="e">
            <v>#REF!</v>
          </cell>
        </row>
        <row r="108">
          <cell r="C108">
            <v>0</v>
          </cell>
          <cell r="D108">
            <v>0</v>
          </cell>
          <cell r="M108">
            <v>0</v>
          </cell>
          <cell r="O108">
            <v>0</v>
          </cell>
          <cell r="P108">
            <v>0</v>
          </cell>
          <cell r="Q108">
            <v>800</v>
          </cell>
          <cell r="R108">
            <v>0</v>
          </cell>
          <cell r="S108">
            <v>0</v>
          </cell>
          <cell r="W108">
            <v>0</v>
          </cell>
          <cell r="X108">
            <v>0</v>
          </cell>
          <cell r="Y108">
            <v>0</v>
          </cell>
          <cell r="AA108">
            <v>69</v>
          </cell>
          <cell r="AB108">
            <v>0</v>
          </cell>
          <cell r="AC108">
            <v>0</v>
          </cell>
          <cell r="AD108">
            <v>0</v>
          </cell>
          <cell r="AE108">
            <v>0</v>
          </cell>
          <cell r="AH108">
            <v>0</v>
          </cell>
          <cell r="AI108">
            <v>0</v>
          </cell>
          <cell r="AM108">
            <v>0</v>
          </cell>
          <cell r="AO108">
            <v>0</v>
          </cell>
          <cell r="AR108" t="e">
            <v>#REF!</v>
          </cell>
        </row>
        <row r="109">
          <cell r="C109">
            <v>0</v>
          </cell>
          <cell r="D109">
            <v>0</v>
          </cell>
          <cell r="M109">
            <v>0</v>
          </cell>
          <cell r="O109">
            <v>0</v>
          </cell>
          <cell r="P109">
            <v>0</v>
          </cell>
          <cell r="R109">
            <v>0</v>
          </cell>
          <cell r="S109">
            <v>0</v>
          </cell>
          <cell r="W109">
            <v>0</v>
          </cell>
          <cell r="X109">
            <v>0</v>
          </cell>
          <cell r="Y109">
            <v>0</v>
          </cell>
          <cell r="AA109">
            <v>16</v>
          </cell>
          <cell r="AB109">
            <v>3</v>
          </cell>
          <cell r="AC109">
            <v>0</v>
          </cell>
          <cell r="AD109">
            <v>0</v>
          </cell>
          <cell r="AE109">
            <v>0</v>
          </cell>
          <cell r="AG109">
            <v>875</v>
          </cell>
          <cell r="AH109">
            <v>0</v>
          </cell>
          <cell r="AI109">
            <v>0</v>
          </cell>
          <cell r="AM109">
            <v>0</v>
          </cell>
          <cell r="AO109">
            <v>0</v>
          </cell>
          <cell r="AP109">
            <v>0</v>
          </cell>
          <cell r="AQ109">
            <v>0</v>
          </cell>
          <cell r="AR109" t="e">
            <v>#REF!</v>
          </cell>
        </row>
        <row r="110">
          <cell r="C110">
            <v>0</v>
          </cell>
          <cell r="D110">
            <v>0</v>
          </cell>
          <cell r="M110">
            <v>0</v>
          </cell>
          <cell r="O110">
            <v>0</v>
          </cell>
          <cell r="P110">
            <v>0</v>
          </cell>
          <cell r="R110">
            <v>0</v>
          </cell>
          <cell r="S110">
            <v>0</v>
          </cell>
          <cell r="W110">
            <v>0</v>
          </cell>
          <cell r="X110">
            <v>0</v>
          </cell>
          <cell r="Y110">
            <v>0</v>
          </cell>
          <cell r="AC110">
            <v>0</v>
          </cell>
          <cell r="AD110">
            <v>0</v>
          </cell>
          <cell r="AE110">
            <v>0</v>
          </cell>
          <cell r="AG110">
            <v>80</v>
          </cell>
          <cell r="AH110">
            <v>0</v>
          </cell>
          <cell r="AI110">
            <v>0</v>
          </cell>
          <cell r="AM110">
            <v>0</v>
          </cell>
          <cell r="AO110">
            <v>0</v>
          </cell>
          <cell r="AR110" t="e">
            <v>#REF!</v>
          </cell>
        </row>
        <row r="111">
          <cell r="C111">
            <v>0</v>
          </cell>
          <cell r="D111">
            <v>0</v>
          </cell>
          <cell r="M111">
            <v>0</v>
          </cell>
          <cell r="O111">
            <v>0</v>
          </cell>
          <cell r="P111">
            <v>0</v>
          </cell>
          <cell r="Q111">
            <v>928</v>
          </cell>
          <cell r="R111">
            <v>0</v>
          </cell>
          <cell r="S111">
            <v>0</v>
          </cell>
          <cell r="W111">
            <v>366</v>
          </cell>
          <cell r="X111">
            <v>-38</v>
          </cell>
          <cell r="Y111">
            <v>0</v>
          </cell>
          <cell r="AA111">
            <v>16</v>
          </cell>
          <cell r="AB111">
            <v>3</v>
          </cell>
          <cell r="AC111">
            <v>0</v>
          </cell>
          <cell r="AD111">
            <v>0</v>
          </cell>
          <cell r="AE111">
            <v>0</v>
          </cell>
          <cell r="AF111">
            <v>535</v>
          </cell>
          <cell r="AG111">
            <v>535</v>
          </cell>
          <cell r="AH111">
            <v>0</v>
          </cell>
          <cell r="AI111">
            <v>535</v>
          </cell>
          <cell r="AM111">
            <v>508</v>
          </cell>
          <cell r="AO111">
            <v>470</v>
          </cell>
          <cell r="AR111" t="e">
            <v>#REF!</v>
          </cell>
        </row>
        <row r="112">
          <cell r="C112">
            <v>0</v>
          </cell>
          <cell r="D112">
            <v>53</v>
          </cell>
          <cell r="M112">
            <v>0</v>
          </cell>
          <cell r="O112">
            <v>0</v>
          </cell>
          <cell r="Q112">
            <v>8</v>
          </cell>
          <cell r="R112">
            <v>0</v>
          </cell>
          <cell r="S112">
            <v>-28</v>
          </cell>
          <cell r="W112">
            <v>57</v>
          </cell>
          <cell r="X112">
            <v>0</v>
          </cell>
          <cell r="Y112">
            <v>0</v>
          </cell>
          <cell r="AC112">
            <v>0</v>
          </cell>
          <cell r="AD112">
            <v>0</v>
          </cell>
          <cell r="AE112">
            <v>0</v>
          </cell>
          <cell r="AH112">
            <v>0</v>
          </cell>
          <cell r="AI112">
            <v>0</v>
          </cell>
          <cell r="AM112">
            <v>19</v>
          </cell>
          <cell r="AO112">
            <v>-9</v>
          </cell>
          <cell r="AR112" t="e">
            <v>#REF!</v>
          </cell>
        </row>
        <row r="113">
          <cell r="C113">
            <v>1295</v>
          </cell>
          <cell r="D113">
            <v>0</v>
          </cell>
          <cell r="M113">
            <v>0</v>
          </cell>
          <cell r="O113">
            <v>0</v>
          </cell>
          <cell r="P113">
            <v>0</v>
          </cell>
          <cell r="R113">
            <v>0</v>
          </cell>
          <cell r="S113">
            <v>0</v>
          </cell>
          <cell r="X113">
            <v>0</v>
          </cell>
          <cell r="Y113">
            <v>0</v>
          </cell>
          <cell r="AC113">
            <v>0</v>
          </cell>
          <cell r="AD113">
            <v>0</v>
          </cell>
          <cell r="AE113">
            <v>0</v>
          </cell>
          <cell r="AH113">
            <v>0</v>
          </cell>
          <cell r="AI113">
            <v>0</v>
          </cell>
          <cell r="AM113">
            <v>0</v>
          </cell>
          <cell r="AO113">
            <v>1295</v>
          </cell>
          <cell r="AR113" t="e">
            <v>#REF!</v>
          </cell>
        </row>
        <row r="114">
          <cell r="C114">
            <v>1000</v>
          </cell>
          <cell r="D114">
            <v>0</v>
          </cell>
          <cell r="O114">
            <v>0</v>
          </cell>
          <cell r="R114">
            <v>0</v>
          </cell>
          <cell r="S114">
            <v>0</v>
          </cell>
          <cell r="Y114">
            <v>0</v>
          </cell>
          <cell r="AE114">
            <v>0</v>
          </cell>
          <cell r="AH114">
            <v>0</v>
          </cell>
          <cell r="AI114">
            <v>0</v>
          </cell>
          <cell r="AO114">
            <v>1000</v>
          </cell>
          <cell r="AR114" t="e">
            <v>#REF!</v>
          </cell>
        </row>
        <row r="115">
          <cell r="C115">
            <v>6305</v>
          </cell>
          <cell r="D115">
            <v>0</v>
          </cell>
          <cell r="O115">
            <v>0</v>
          </cell>
          <cell r="R115">
            <v>0</v>
          </cell>
          <cell r="S115">
            <v>0</v>
          </cell>
          <cell r="Y115">
            <v>0</v>
          </cell>
          <cell r="AE115">
            <v>0</v>
          </cell>
          <cell r="AH115">
            <v>0</v>
          </cell>
          <cell r="AI115">
            <v>0</v>
          </cell>
          <cell r="AO115">
            <v>6305</v>
          </cell>
          <cell r="AR115" t="e">
            <v>#REF!</v>
          </cell>
        </row>
        <row r="116">
          <cell r="C116">
            <v>0</v>
          </cell>
          <cell r="D116">
            <v>0</v>
          </cell>
          <cell r="R116">
            <v>91</v>
          </cell>
          <cell r="S116">
            <v>0</v>
          </cell>
          <cell r="W116">
            <v>0</v>
          </cell>
          <cell r="X116">
            <v>0</v>
          </cell>
          <cell r="Y116">
            <v>0</v>
          </cell>
          <cell r="AA116">
            <v>127.875</v>
          </cell>
          <cell r="AB116">
            <v>64.125</v>
          </cell>
          <cell r="AC116">
            <v>192</v>
          </cell>
          <cell r="AG116">
            <v>508</v>
          </cell>
          <cell r="AH116">
            <v>508</v>
          </cell>
          <cell r="AI116">
            <v>726.875</v>
          </cell>
        </row>
        <row r="117">
          <cell r="D117">
            <v>0</v>
          </cell>
          <cell r="O117">
            <v>0</v>
          </cell>
          <cell r="S117">
            <v>0</v>
          </cell>
          <cell r="AH117">
            <v>0</v>
          </cell>
          <cell r="AI117">
            <v>0</v>
          </cell>
        </row>
        <row r="118">
          <cell r="C118">
            <v>313.33333333333331</v>
          </cell>
          <cell r="D118">
            <v>67</v>
          </cell>
          <cell r="Y118">
            <v>0</v>
          </cell>
          <cell r="AH118">
            <v>313.33333333333331</v>
          </cell>
          <cell r="AI118">
            <v>313.33333333333331</v>
          </cell>
        </row>
        <row r="119">
          <cell r="D119">
            <v>0</v>
          </cell>
          <cell r="O119">
            <v>0</v>
          </cell>
          <cell r="R119">
            <v>0</v>
          </cell>
          <cell r="W119">
            <v>0</v>
          </cell>
          <cell r="X119">
            <v>0</v>
          </cell>
          <cell r="Y119">
            <v>0</v>
          </cell>
          <cell r="AD119">
            <v>0</v>
          </cell>
          <cell r="AE119">
            <v>0</v>
          </cell>
          <cell r="AH119">
            <v>0</v>
          </cell>
          <cell r="AI119">
            <v>0</v>
          </cell>
          <cell r="AM119">
            <v>0</v>
          </cell>
          <cell r="AO119">
            <v>36465</v>
          </cell>
          <cell r="AP119">
            <v>5373.440590909071</v>
          </cell>
          <cell r="AR119" t="e">
            <v>#REF!</v>
          </cell>
        </row>
        <row r="120">
          <cell r="C120">
            <v>0</v>
          </cell>
          <cell r="D120">
            <v>1916</v>
          </cell>
          <cell r="O120">
            <v>0</v>
          </cell>
          <cell r="R120">
            <v>0</v>
          </cell>
          <cell r="Y120">
            <v>0</v>
          </cell>
          <cell r="AH120">
            <v>8992</v>
          </cell>
          <cell r="AI120">
            <v>0</v>
          </cell>
          <cell r="AM120">
            <v>0</v>
          </cell>
          <cell r="AO120">
            <v>0</v>
          </cell>
          <cell r="AR120" t="e">
            <v>#REF!</v>
          </cell>
        </row>
        <row r="121">
          <cell r="C121">
            <v>1313</v>
          </cell>
          <cell r="D121">
            <v>0</v>
          </cell>
          <cell r="E121">
            <v>0</v>
          </cell>
          <cell r="M121">
            <v>344.5</v>
          </cell>
          <cell r="N121">
            <v>0</v>
          </cell>
          <cell r="O121">
            <v>-344.5</v>
          </cell>
          <cell r="P121">
            <v>1499.2</v>
          </cell>
          <cell r="Q121">
            <v>1921</v>
          </cell>
          <cell r="R121">
            <v>-344.5</v>
          </cell>
          <cell r="S121">
            <v>-28</v>
          </cell>
          <cell r="T121">
            <v>0</v>
          </cell>
          <cell r="U121">
            <v>0</v>
          </cell>
          <cell r="W121">
            <v>504</v>
          </cell>
          <cell r="X121">
            <v>-92</v>
          </cell>
          <cell r="Y121">
            <v>0</v>
          </cell>
          <cell r="Z121">
            <v>0</v>
          </cell>
          <cell r="AC121">
            <v>0</v>
          </cell>
          <cell r="AD121">
            <v>0</v>
          </cell>
          <cell r="AE121">
            <v>0</v>
          </cell>
          <cell r="AF121">
            <v>693</v>
          </cell>
          <cell r="AG121">
            <v>693</v>
          </cell>
          <cell r="AH121">
            <v>0</v>
          </cell>
          <cell r="AI121">
            <v>693</v>
          </cell>
          <cell r="AM121">
            <v>9756.2999999999993</v>
          </cell>
          <cell r="AO121">
            <v>36330.400000000001</v>
          </cell>
          <cell r="AT121">
            <v>0</v>
          </cell>
          <cell r="AU121">
            <v>0</v>
          </cell>
          <cell r="AV121">
            <v>0</v>
          </cell>
          <cell r="AW121">
            <v>0</v>
          </cell>
        </row>
        <row r="122">
          <cell r="C122">
            <v>9913</v>
          </cell>
          <cell r="D122">
            <v>0</v>
          </cell>
          <cell r="E122">
            <v>0</v>
          </cell>
          <cell r="M122">
            <v>344.5</v>
          </cell>
          <cell r="O122">
            <v>-344.5</v>
          </cell>
          <cell r="P122">
            <v>1499.2</v>
          </cell>
          <cell r="S122">
            <v>-28</v>
          </cell>
          <cell r="T122">
            <v>0</v>
          </cell>
          <cell r="U122">
            <v>0</v>
          </cell>
          <cell r="X122">
            <v>-92</v>
          </cell>
          <cell r="Y122">
            <v>0</v>
          </cell>
          <cell r="Z122">
            <v>0</v>
          </cell>
          <cell r="AI122">
            <v>0</v>
          </cell>
          <cell r="AM122">
            <v>9756.2999999999993</v>
          </cell>
          <cell r="AO122">
            <v>72795.399999999994</v>
          </cell>
        </row>
        <row r="123">
          <cell r="C123">
            <v>9939.2910180221279</v>
          </cell>
          <cell r="D123">
            <v>2118</v>
          </cell>
          <cell r="E123">
            <v>0</v>
          </cell>
          <cell r="M123">
            <v>0</v>
          </cell>
          <cell r="N123">
            <v>0</v>
          </cell>
          <cell r="O123">
            <v>0</v>
          </cell>
          <cell r="P123">
            <v>0</v>
          </cell>
          <cell r="Q123">
            <v>0</v>
          </cell>
          <cell r="R123">
            <v>123</v>
          </cell>
          <cell r="S123">
            <v>0</v>
          </cell>
          <cell r="T123">
            <v>0</v>
          </cell>
          <cell r="U123">
            <v>0</v>
          </cell>
          <cell r="V123">
            <v>0</v>
          </cell>
          <cell r="W123">
            <v>0</v>
          </cell>
          <cell r="X123">
            <v>0</v>
          </cell>
          <cell r="Y123">
            <v>0</v>
          </cell>
          <cell r="AA123">
            <v>212.875</v>
          </cell>
          <cell r="AB123">
            <v>67.125</v>
          </cell>
          <cell r="AC123">
            <v>280</v>
          </cell>
          <cell r="AG123">
            <v>1383</v>
          </cell>
          <cell r="AH123">
            <v>12671.29101802213</v>
          </cell>
          <cell r="AI123">
            <v>0</v>
          </cell>
          <cell r="AJ123">
            <v>11288.291018022128</v>
          </cell>
          <cell r="AK123">
            <v>3108</v>
          </cell>
          <cell r="AL123">
            <v>0</v>
          </cell>
          <cell r="AM123">
            <v>0</v>
          </cell>
          <cell r="AN123">
            <v>0</v>
          </cell>
          <cell r="AO123">
            <v>41703.840590909072</v>
          </cell>
        </row>
        <row r="124">
          <cell r="C124">
            <v>9939.2910180221279</v>
          </cell>
          <cell r="D124">
            <v>2118</v>
          </cell>
          <cell r="E124">
            <v>0</v>
          </cell>
          <cell r="M124">
            <v>0</v>
          </cell>
          <cell r="N124">
            <v>0</v>
          </cell>
          <cell r="O124">
            <v>0</v>
          </cell>
          <cell r="P124">
            <v>0</v>
          </cell>
          <cell r="Q124">
            <v>0</v>
          </cell>
          <cell r="R124">
            <v>123</v>
          </cell>
          <cell r="S124">
            <v>0</v>
          </cell>
          <cell r="T124">
            <v>0</v>
          </cell>
          <cell r="U124">
            <v>0</v>
          </cell>
          <cell r="V124">
            <v>0</v>
          </cell>
          <cell r="W124">
            <v>0</v>
          </cell>
          <cell r="X124">
            <v>0</v>
          </cell>
          <cell r="Y124">
            <v>0</v>
          </cell>
          <cell r="AA124">
            <v>212.875</v>
          </cell>
          <cell r="AB124">
            <v>67.125</v>
          </cell>
          <cell r="AC124">
            <v>280</v>
          </cell>
          <cell r="AG124">
            <v>1383</v>
          </cell>
          <cell r="AH124">
            <v>12671.29101802213</v>
          </cell>
          <cell r="AI124">
            <v>0</v>
          </cell>
          <cell r="AO124">
            <v>41703.840590909072</v>
          </cell>
        </row>
        <row r="125">
          <cell r="O125">
            <v>0</v>
          </cell>
          <cell r="Y125">
            <v>0</v>
          </cell>
          <cell r="AH125">
            <v>4171.9101802212826</v>
          </cell>
          <cell r="AI125">
            <v>0</v>
          </cell>
          <cell r="AO125">
            <v>56718.772272727248</v>
          </cell>
          <cell r="AP125" t="e">
            <v>#REF!</v>
          </cell>
          <cell r="AQ125" t="e">
            <v>#REF!</v>
          </cell>
        </row>
        <row r="126">
          <cell r="O126">
            <v>0</v>
          </cell>
          <cell r="Y126">
            <v>0</v>
          </cell>
          <cell r="AH126">
            <v>4171.9101802212826</v>
          </cell>
          <cell r="AI126">
            <v>0</v>
          </cell>
        </row>
        <row r="127">
          <cell r="O127">
            <v>0</v>
          </cell>
          <cell r="AH127">
            <v>5782.9101802212826</v>
          </cell>
          <cell r="AI127">
            <v>0</v>
          </cell>
          <cell r="AJ127">
            <v>12543.870550420004</v>
          </cell>
          <cell r="AK127">
            <v>-7627.2103701987216</v>
          </cell>
          <cell r="AO127">
            <v>15014.931681818174</v>
          </cell>
          <cell r="AT127">
            <v>0</v>
          </cell>
        </row>
        <row r="128">
          <cell r="O128">
            <v>0</v>
          </cell>
          <cell r="AI128">
            <v>0</v>
          </cell>
        </row>
        <row r="129">
          <cell r="O129">
            <v>0</v>
          </cell>
          <cell r="AH129">
            <v>1611</v>
          </cell>
          <cell r="AI129">
            <v>0</v>
          </cell>
          <cell r="AL129">
            <v>0</v>
          </cell>
        </row>
        <row r="130">
          <cell r="O130">
            <v>0</v>
          </cell>
          <cell r="AI130">
            <v>0</v>
          </cell>
          <cell r="AO130">
            <v>56002</v>
          </cell>
          <cell r="AQ130">
            <v>56002</v>
          </cell>
          <cell r="AT130">
            <v>0</v>
          </cell>
          <cell r="AV130">
            <v>0</v>
          </cell>
        </row>
        <row r="131">
          <cell r="O131">
            <v>0</v>
          </cell>
          <cell r="AI131">
            <v>0</v>
          </cell>
          <cell r="AO131" t="e">
            <v>#REF!</v>
          </cell>
          <cell r="AT131">
            <v>0</v>
          </cell>
        </row>
        <row r="132">
          <cell r="O132">
            <v>0</v>
          </cell>
          <cell r="AH132">
            <v>56002</v>
          </cell>
          <cell r="AI132">
            <v>0</v>
          </cell>
          <cell r="AK132">
            <v>56002</v>
          </cell>
          <cell r="AL132">
            <v>0</v>
          </cell>
          <cell r="AN132">
            <v>0</v>
          </cell>
          <cell r="AO132">
            <v>26.73</v>
          </cell>
          <cell r="AT132" t="e">
            <v>#DIV/0!</v>
          </cell>
        </row>
        <row r="133">
          <cell r="O133">
            <v>0</v>
          </cell>
          <cell r="AH133">
            <v>-7627.2103701987216</v>
          </cell>
          <cell r="AI133">
            <v>0</v>
          </cell>
          <cell r="AL133">
            <v>0</v>
          </cell>
          <cell r="AO133" t="e">
            <v>#REF!</v>
          </cell>
          <cell r="AT133" t="e">
            <v>#DIV/0!</v>
          </cell>
        </row>
        <row r="134">
          <cell r="O134">
            <v>0</v>
          </cell>
          <cell r="AH134">
            <v>36.869999999999997</v>
          </cell>
          <cell r="AI134">
            <v>0</v>
          </cell>
          <cell r="AL134" t="e">
            <v>#DIV/0!</v>
          </cell>
          <cell r="AO134">
            <v>0</v>
          </cell>
          <cell r="AT134">
            <v>0</v>
          </cell>
        </row>
        <row r="135">
          <cell r="O135">
            <v>0</v>
          </cell>
          <cell r="AH135">
            <v>41.89</v>
          </cell>
          <cell r="AI135">
            <v>0</v>
          </cell>
          <cell r="AL135" t="e">
            <v>#DIV/0!</v>
          </cell>
        </row>
        <row r="136">
          <cell r="O136">
            <v>0</v>
          </cell>
          <cell r="AH136">
            <v>0</v>
          </cell>
          <cell r="AI136">
            <v>0</v>
          </cell>
          <cell r="AL136">
            <v>0</v>
          </cell>
          <cell r="AO136">
            <v>36.19</v>
          </cell>
          <cell r="AT136" t="e">
            <v>#DIV/0!</v>
          </cell>
        </row>
        <row r="137">
          <cell r="O137">
            <v>0</v>
          </cell>
          <cell r="AI137">
            <v>0</v>
          </cell>
        </row>
        <row r="138">
          <cell r="O138">
            <v>0</v>
          </cell>
          <cell r="AH138">
            <v>10.24</v>
          </cell>
          <cell r="AI138">
            <v>0</v>
          </cell>
          <cell r="AL138" t="e">
            <v>#DIV/0!</v>
          </cell>
          <cell r="AM138">
            <v>0</v>
          </cell>
          <cell r="AO138" t="e">
            <v>#REF!</v>
          </cell>
          <cell r="AT138" t="e">
            <v>#DIV/0!</v>
          </cell>
        </row>
        <row r="139">
          <cell r="O139">
            <v>0</v>
          </cell>
          <cell r="AI139">
            <v>0</v>
          </cell>
          <cell r="AO139">
            <v>180931</v>
          </cell>
          <cell r="AP139">
            <v>180931</v>
          </cell>
        </row>
        <row r="140">
          <cell r="C140" t="str">
            <v>коп/кВтг</v>
          </cell>
          <cell r="O140">
            <v>0</v>
          </cell>
          <cell r="AG140">
            <v>0</v>
          </cell>
          <cell r="AH140">
            <v>7.46</v>
          </cell>
          <cell r="AI140">
            <v>0</v>
          </cell>
          <cell r="AL140" t="e">
            <v>#DIV/0!</v>
          </cell>
        </row>
        <row r="141">
          <cell r="O141">
            <v>0</v>
          </cell>
          <cell r="AH141">
            <v>46245.987452948561</v>
          </cell>
          <cell r="AI141">
            <v>0</v>
          </cell>
          <cell r="AJ141">
            <v>46245.987452948561</v>
          </cell>
          <cell r="AM141">
            <v>0</v>
          </cell>
          <cell r="AO141">
            <v>0</v>
          </cell>
        </row>
        <row r="142">
          <cell r="O142">
            <v>0</v>
          </cell>
          <cell r="P142">
            <v>0</v>
          </cell>
          <cell r="AI142">
            <v>0</v>
          </cell>
          <cell r="AO142">
            <v>2601</v>
          </cell>
        </row>
        <row r="143">
          <cell r="O143">
            <v>0</v>
          </cell>
          <cell r="AH143">
            <v>865.25</v>
          </cell>
          <cell r="AI143">
            <v>0</v>
          </cell>
          <cell r="AM143">
            <v>0</v>
          </cell>
          <cell r="AO143">
            <v>236933</v>
          </cell>
          <cell r="AP143">
            <v>180931</v>
          </cell>
          <cell r="AQ143">
            <v>56002</v>
          </cell>
          <cell r="AT143">
            <v>0</v>
          </cell>
        </row>
        <row r="144">
          <cell r="O144">
            <v>0</v>
          </cell>
          <cell r="AH144">
            <v>0</v>
          </cell>
          <cell r="AI144">
            <v>0</v>
          </cell>
          <cell r="AO144">
            <v>0</v>
          </cell>
        </row>
        <row r="145">
          <cell r="O145">
            <v>0</v>
          </cell>
          <cell r="AI145">
            <v>0</v>
          </cell>
          <cell r="AO145">
            <v>236933</v>
          </cell>
          <cell r="AP145">
            <v>180931</v>
          </cell>
          <cell r="AQ145">
            <v>56002</v>
          </cell>
        </row>
        <row r="146">
          <cell r="O146">
            <v>0</v>
          </cell>
          <cell r="AG146">
            <v>0</v>
          </cell>
          <cell r="AH146">
            <v>102247.98745294855</v>
          </cell>
          <cell r="AI146">
            <v>0</v>
          </cell>
          <cell r="AJ146">
            <v>46245.987452948561</v>
          </cell>
          <cell r="AK146">
            <v>56002</v>
          </cell>
          <cell r="AL146">
            <v>0</v>
          </cell>
          <cell r="AT146">
            <v>11523</v>
          </cell>
          <cell r="AU146">
            <v>13192</v>
          </cell>
          <cell r="AV146">
            <v>13687.256271556862</v>
          </cell>
          <cell r="AW146" t="e">
            <v>#REF!</v>
          </cell>
        </row>
        <row r="147">
          <cell r="O147">
            <v>0</v>
          </cell>
          <cell r="AH147">
            <v>0</v>
          </cell>
          <cell r="AI147">
            <v>0</v>
          </cell>
          <cell r="AJ147">
            <v>0</v>
          </cell>
          <cell r="AO147">
            <v>31</v>
          </cell>
          <cell r="AP147" t="e">
            <v>#REF!</v>
          </cell>
          <cell r="AQ147" t="e">
            <v>#REF!</v>
          </cell>
        </row>
        <row r="148">
          <cell r="O148">
            <v>0</v>
          </cell>
          <cell r="AH148">
            <v>102247.98745294855</v>
          </cell>
          <cell r="AI148">
            <v>0</v>
          </cell>
          <cell r="AJ148">
            <v>46245.987452948561</v>
          </cell>
          <cell r="AK148">
            <v>56002</v>
          </cell>
        </row>
        <row r="149">
          <cell r="C149">
            <v>0</v>
          </cell>
          <cell r="M149">
            <v>0</v>
          </cell>
          <cell r="O149">
            <v>0</v>
          </cell>
          <cell r="P149">
            <v>0</v>
          </cell>
          <cell r="S149">
            <v>0</v>
          </cell>
          <cell r="X149">
            <v>0</v>
          </cell>
          <cell r="AI149">
            <v>0</v>
          </cell>
          <cell r="AL149">
            <v>1473</v>
          </cell>
          <cell r="AM149">
            <v>0</v>
          </cell>
          <cell r="AN149">
            <v>3979.727272727273</v>
          </cell>
          <cell r="AO149">
            <v>11760.6</v>
          </cell>
        </row>
        <row r="151">
          <cell r="C151">
            <v>524</v>
          </cell>
          <cell r="M151">
            <v>1554.6</v>
          </cell>
          <cell r="O151">
            <v>-1554.6</v>
          </cell>
          <cell r="P151">
            <v>2706.75</v>
          </cell>
          <cell r="R151">
            <v>-1554.6</v>
          </cell>
          <cell r="S151">
            <v>4521.1499999999996</v>
          </cell>
          <cell r="W151">
            <v>1510</v>
          </cell>
          <cell r="X151">
            <v>2132.6999999999998</v>
          </cell>
          <cell r="AC151">
            <v>2072</v>
          </cell>
          <cell r="AD151">
            <v>1999</v>
          </cell>
          <cell r="AE151">
            <v>73</v>
          </cell>
          <cell r="AF151">
            <v>1023</v>
          </cell>
          <cell r="AG151">
            <v>938</v>
          </cell>
          <cell r="AH151">
            <v>85</v>
          </cell>
          <cell r="AI151">
            <v>-1049</v>
          </cell>
          <cell r="AM151">
            <v>197</v>
          </cell>
          <cell r="AO151">
            <v>13708.2</v>
          </cell>
        </row>
        <row r="152">
          <cell r="C152">
            <v>524</v>
          </cell>
        </row>
        <row r="153">
          <cell r="M153">
            <v>337.33333333333331</v>
          </cell>
          <cell r="N153">
            <v>0</v>
          </cell>
          <cell r="O153">
            <v>-337.33333333333331</v>
          </cell>
          <cell r="P153">
            <v>1754.818181818182</v>
          </cell>
          <cell r="Q153">
            <v>0</v>
          </cell>
          <cell r="R153">
            <v>-337.33333333333331</v>
          </cell>
          <cell r="S153">
            <v>937.27272727272725</v>
          </cell>
          <cell r="T153">
            <v>578</v>
          </cell>
          <cell r="U153">
            <v>359.27272727272725</v>
          </cell>
          <cell r="W153">
            <v>0</v>
          </cell>
          <cell r="X153">
            <v>618</v>
          </cell>
          <cell r="Y153">
            <v>368</v>
          </cell>
          <cell r="Z153">
            <v>250</v>
          </cell>
          <cell r="AC153">
            <v>770</v>
          </cell>
          <cell r="AD153">
            <v>770</v>
          </cell>
          <cell r="AE153">
            <v>0</v>
          </cell>
          <cell r="AF153">
            <v>270.36363636363637</v>
          </cell>
          <cell r="AG153">
            <v>265</v>
          </cell>
          <cell r="AH153">
            <v>5.363636363636374</v>
          </cell>
          <cell r="AI153">
            <v>-499.63636363636363</v>
          </cell>
          <cell r="AM153">
            <v>0</v>
          </cell>
        </row>
        <row r="154">
          <cell r="M154">
            <v>0</v>
          </cell>
          <cell r="O154">
            <v>0</v>
          </cell>
          <cell r="P154">
            <v>0</v>
          </cell>
          <cell r="R154">
            <v>0</v>
          </cell>
          <cell r="S154">
            <v>70</v>
          </cell>
          <cell r="X154">
            <v>24</v>
          </cell>
          <cell r="AI154">
            <v>0</v>
          </cell>
          <cell r="AO154" t="e">
            <v>#REF!</v>
          </cell>
        </row>
        <row r="155">
          <cell r="M155">
            <v>0</v>
          </cell>
          <cell r="O155">
            <v>0</v>
          </cell>
          <cell r="P155">
            <v>0</v>
          </cell>
          <cell r="R155">
            <v>0</v>
          </cell>
          <cell r="S155">
            <v>0</v>
          </cell>
          <cell r="X155">
            <v>0</v>
          </cell>
          <cell r="AI155">
            <v>0</v>
          </cell>
          <cell r="AO155" t="e">
            <v>#REF!</v>
          </cell>
        </row>
        <row r="156">
          <cell r="C156">
            <v>0</v>
          </cell>
          <cell r="M156">
            <v>681</v>
          </cell>
          <cell r="O156">
            <v>-681</v>
          </cell>
          <cell r="P156">
            <v>1041.8333333333333</v>
          </cell>
          <cell r="R156">
            <v>-681</v>
          </cell>
          <cell r="S156">
            <v>213</v>
          </cell>
          <cell r="X156">
            <v>2086.9051145454541</v>
          </cell>
          <cell r="AH156">
            <v>5.9</v>
          </cell>
          <cell r="AI156">
            <v>0</v>
          </cell>
          <cell r="AJ156">
            <v>37.200000000000003</v>
          </cell>
          <cell r="AK156">
            <v>-12</v>
          </cell>
          <cell r="AO156" t="e">
            <v>#REF!</v>
          </cell>
        </row>
        <row r="157">
          <cell r="C157">
            <v>0</v>
          </cell>
          <cell r="M157">
            <v>47</v>
          </cell>
          <cell r="O157">
            <v>-47</v>
          </cell>
          <cell r="P157">
            <v>140</v>
          </cell>
          <cell r="R157">
            <v>-47</v>
          </cell>
          <cell r="S157">
            <v>105</v>
          </cell>
          <cell r="W157">
            <v>0</v>
          </cell>
          <cell r="X157">
            <v>190</v>
          </cell>
          <cell r="Y157">
            <v>0</v>
          </cell>
          <cell r="AG157">
            <v>0</v>
          </cell>
          <cell r="AH157">
            <v>0</v>
          </cell>
          <cell r="AI157">
            <v>0</v>
          </cell>
          <cell r="AO157" t="e">
            <v>#REF!</v>
          </cell>
        </row>
        <row r="158">
          <cell r="C158">
            <v>0</v>
          </cell>
          <cell r="M158">
            <v>1507.6</v>
          </cell>
          <cell r="N158">
            <v>481</v>
          </cell>
          <cell r="O158">
            <v>-1507.6</v>
          </cell>
          <cell r="P158">
            <v>140</v>
          </cell>
          <cell r="R158">
            <v>-1507.6</v>
          </cell>
          <cell r="S158" t="str">
            <v xml:space="preserve">                   КОРИГУВАННЯ   ПЛАНУ   НА   СЕРПЕНЬ  1998 р</v>
          </cell>
          <cell r="V158">
            <v>408</v>
          </cell>
          <cell r="W158">
            <v>272</v>
          </cell>
          <cell r="X158">
            <v>1942.6999999999998</v>
          </cell>
          <cell r="Y158">
            <v>0</v>
          </cell>
          <cell r="AA158">
            <v>98</v>
          </cell>
          <cell r="AB158">
            <v>183</v>
          </cell>
          <cell r="AC158">
            <v>281</v>
          </cell>
          <cell r="AH158">
            <v>2876</v>
          </cell>
          <cell r="AI158">
            <v>0</v>
          </cell>
          <cell r="AO158" t="e">
            <v>#VALUE!</v>
          </cell>
        </row>
        <row r="159">
          <cell r="C159">
            <v>0</v>
          </cell>
          <cell r="M159">
            <v>1554.6</v>
          </cell>
          <cell r="N159">
            <v>0</v>
          </cell>
          <cell r="O159">
            <v>-1554.6</v>
          </cell>
          <cell r="P159">
            <v>280</v>
          </cell>
          <cell r="R159">
            <v>-1554.6</v>
          </cell>
          <cell r="S159">
            <v>231</v>
          </cell>
          <cell r="V159">
            <v>192</v>
          </cell>
          <cell r="W159">
            <v>84</v>
          </cell>
          <cell r="X159">
            <v>2132.6999999999998</v>
          </cell>
          <cell r="Y159">
            <v>0</v>
          </cell>
          <cell r="AH159">
            <v>1130</v>
          </cell>
          <cell r="AI159">
            <v>0</v>
          </cell>
        </row>
        <row r="160">
          <cell r="M160">
            <v>0</v>
          </cell>
          <cell r="N160">
            <v>238</v>
          </cell>
          <cell r="O160">
            <v>0</v>
          </cell>
          <cell r="P160">
            <v>2426.75</v>
          </cell>
          <cell r="R160">
            <v>0</v>
          </cell>
          <cell r="S160">
            <v>91</v>
          </cell>
          <cell r="W160">
            <v>70</v>
          </cell>
          <cell r="X160">
            <v>0</v>
          </cell>
          <cell r="Y160">
            <v>0</v>
          </cell>
          <cell r="AH160">
            <v>595.70000000000005</v>
          </cell>
          <cell r="AI160">
            <v>0</v>
          </cell>
          <cell r="AO160" t="e">
            <v>#REF!</v>
          </cell>
        </row>
        <row r="161">
          <cell r="C161">
            <v>0</v>
          </cell>
          <cell r="M161" t="e">
            <v>#REF!</v>
          </cell>
          <cell r="N161">
            <v>0</v>
          </cell>
          <cell r="O161" t="e">
            <v>#REF!</v>
          </cell>
          <cell r="P161">
            <v>0</v>
          </cell>
          <cell r="R161" t="e">
            <v>#REF!</v>
          </cell>
          <cell r="S161">
            <v>0</v>
          </cell>
          <cell r="X161" t="e">
            <v>#REF!</v>
          </cell>
          <cell r="Y161">
            <v>0</v>
          </cell>
          <cell r="AH161">
            <v>0</v>
          </cell>
          <cell r="AI161">
            <v>0</v>
          </cell>
          <cell r="AO161" t="e">
            <v>#REF!</v>
          </cell>
        </row>
        <row r="162">
          <cell r="C162">
            <v>1405</v>
          </cell>
          <cell r="M162">
            <v>2024.5</v>
          </cell>
          <cell r="N162">
            <v>0</v>
          </cell>
          <cell r="O162">
            <v>-2024.5</v>
          </cell>
          <cell r="P162">
            <v>4446.2</v>
          </cell>
          <cell r="Q162">
            <v>800</v>
          </cell>
          <cell r="R162">
            <v>-2024.5</v>
          </cell>
          <cell r="S162">
            <v>226.5</v>
          </cell>
          <cell r="T162">
            <v>0</v>
          </cell>
          <cell r="U162">
            <v>0</v>
          </cell>
          <cell r="W162">
            <v>0</v>
          </cell>
          <cell r="X162">
            <v>554.5</v>
          </cell>
          <cell r="Y162">
            <v>0</v>
          </cell>
          <cell r="Z162">
            <v>0</v>
          </cell>
          <cell r="AC162" t="e">
            <v>#REF!</v>
          </cell>
          <cell r="AD162">
            <v>952.3</v>
          </cell>
          <cell r="AE162">
            <v>433.29999999999995</v>
          </cell>
          <cell r="AF162">
            <v>0</v>
          </cell>
          <cell r="AG162">
            <v>0</v>
          </cell>
          <cell r="AH162">
            <v>0</v>
          </cell>
          <cell r="AI162" t="e">
            <v>#REF!</v>
          </cell>
          <cell r="AJ162">
            <v>0</v>
          </cell>
          <cell r="AK162">
            <v>0</v>
          </cell>
          <cell r="AL162">
            <v>0</v>
          </cell>
          <cell r="AM162">
            <v>2443</v>
          </cell>
          <cell r="AN162">
            <v>1616</v>
          </cell>
          <cell r="AO162">
            <v>14056</v>
          </cell>
          <cell r="AR162" t="e">
            <v>#REF!</v>
          </cell>
        </row>
        <row r="163">
          <cell r="C163">
            <v>0</v>
          </cell>
          <cell r="M163">
            <v>0</v>
          </cell>
          <cell r="N163">
            <v>0</v>
          </cell>
          <cell r="O163">
            <v>0</v>
          </cell>
          <cell r="P163">
            <v>0</v>
          </cell>
          <cell r="Q163">
            <v>154</v>
          </cell>
          <cell r="R163">
            <v>0</v>
          </cell>
          <cell r="S163">
            <v>0</v>
          </cell>
          <cell r="T163">
            <v>0</v>
          </cell>
          <cell r="U163">
            <v>0</v>
          </cell>
          <cell r="W163">
            <v>79</v>
          </cell>
          <cell r="X163">
            <v>-49</v>
          </cell>
          <cell r="Y163">
            <v>0</v>
          </cell>
          <cell r="Z163">
            <v>0</v>
          </cell>
          <cell r="AC163">
            <v>0</v>
          </cell>
          <cell r="AD163">
            <v>0</v>
          </cell>
          <cell r="AE163">
            <v>0</v>
          </cell>
          <cell r="AF163">
            <v>30</v>
          </cell>
          <cell r="AG163">
            <v>30</v>
          </cell>
          <cell r="AH163">
            <v>0</v>
          </cell>
          <cell r="AI163">
            <v>30</v>
          </cell>
          <cell r="AJ163">
            <v>0</v>
          </cell>
          <cell r="AK163">
            <v>0</v>
          </cell>
          <cell r="AL163">
            <v>0</v>
          </cell>
          <cell r="AM163">
            <v>822</v>
          </cell>
          <cell r="AN163">
            <v>0</v>
          </cell>
          <cell r="AO163">
            <v>773</v>
          </cell>
          <cell r="AR163" t="e">
            <v>#REF!</v>
          </cell>
        </row>
        <row r="164">
          <cell r="C164">
            <v>1607.1</v>
          </cell>
          <cell r="M164">
            <v>2532.4400000000005</v>
          </cell>
          <cell r="N164">
            <v>0</v>
          </cell>
          <cell r="O164">
            <v>-2532.4400000000005</v>
          </cell>
          <cell r="P164">
            <v>5547.8736363636363</v>
          </cell>
          <cell r="Q164">
            <v>928</v>
          </cell>
          <cell r="R164">
            <v>-2532.4400000000005</v>
          </cell>
          <cell r="S164">
            <v>2164.1499999999996</v>
          </cell>
          <cell r="T164">
            <v>1334</v>
          </cell>
          <cell r="U164">
            <v>830.15</v>
          </cell>
          <cell r="W164">
            <v>366</v>
          </cell>
          <cell r="X164">
            <v>1710.74</v>
          </cell>
          <cell r="Y164">
            <v>1043</v>
          </cell>
          <cell r="Z164">
            <v>705.74</v>
          </cell>
          <cell r="AC164">
            <v>4855.8900000000003</v>
          </cell>
          <cell r="AD164">
            <v>4465</v>
          </cell>
          <cell r="AE164">
            <v>390.89000000000033</v>
          </cell>
          <cell r="AF164">
            <v>3689.3636363636365</v>
          </cell>
          <cell r="AG164">
            <v>3202</v>
          </cell>
          <cell r="AH164">
            <v>487.36363636363637</v>
          </cell>
          <cell r="AI164">
            <v>-1166.5263636363638</v>
          </cell>
          <cell r="AJ164">
            <v>0</v>
          </cell>
          <cell r="AK164">
            <v>0</v>
          </cell>
          <cell r="AL164">
            <v>0</v>
          </cell>
          <cell r="AM164">
            <v>545</v>
          </cell>
          <cell r="AN164">
            <v>0</v>
          </cell>
          <cell r="AO164">
            <v>19539.303636363638</v>
          </cell>
          <cell r="AR164" t="e">
            <v>#REF!</v>
          </cell>
        </row>
        <row r="165">
          <cell r="C165">
            <v>49</v>
          </cell>
          <cell r="D165">
            <v>0</v>
          </cell>
          <cell r="E165">
            <v>0</v>
          </cell>
          <cell r="M165">
            <v>68.333333333333329</v>
          </cell>
          <cell r="N165">
            <v>51</v>
          </cell>
          <cell r="O165">
            <v>-17.333333333333329</v>
          </cell>
          <cell r="P165">
            <v>122</v>
          </cell>
          <cell r="Q165">
            <v>8</v>
          </cell>
          <cell r="R165">
            <v>-68.333333333333329</v>
          </cell>
          <cell r="S165">
            <v>1991.6666666666667</v>
          </cell>
          <cell r="T165">
            <v>1203</v>
          </cell>
          <cell r="U165">
            <v>816.66666666666663</v>
          </cell>
          <cell r="W165">
            <v>57</v>
          </cell>
          <cell r="X165">
            <v>355.33333333333331</v>
          </cell>
          <cell r="Y165">
            <v>238</v>
          </cell>
          <cell r="Z165">
            <v>117.33333333333333</v>
          </cell>
          <cell r="AC165">
            <v>83.666666666666657</v>
          </cell>
          <cell r="AD165">
            <v>38</v>
          </cell>
          <cell r="AE165">
            <v>1</v>
          </cell>
          <cell r="AF165">
            <v>21</v>
          </cell>
          <cell r="AG165">
            <v>15</v>
          </cell>
          <cell r="AH165">
            <v>6</v>
          </cell>
          <cell r="AI165">
            <v>-62.666666666666657</v>
          </cell>
          <cell r="AJ165">
            <v>0</v>
          </cell>
          <cell r="AK165">
            <v>0</v>
          </cell>
          <cell r="AL165">
            <v>0</v>
          </cell>
          <cell r="AM165">
            <v>19</v>
          </cell>
          <cell r="AN165">
            <v>0</v>
          </cell>
          <cell r="AO165">
            <v>2548.333333333333</v>
          </cell>
          <cell r="AR165" t="e">
            <v>#REF!</v>
          </cell>
        </row>
        <row r="166">
          <cell r="C166">
            <v>9210.4</v>
          </cell>
          <cell r="M166">
            <v>2032.0000000000005</v>
          </cell>
          <cell r="N166">
            <v>873</v>
          </cell>
          <cell r="O166">
            <v>638</v>
          </cell>
          <cell r="P166">
            <v>10458.591666666665</v>
          </cell>
          <cell r="S166">
            <v>2436.1833333333348</v>
          </cell>
          <cell r="W166">
            <v>272</v>
          </cell>
          <cell r="X166">
            <v>2266.8000000000011</v>
          </cell>
          <cell r="Y166">
            <v>0</v>
          </cell>
          <cell r="AD166">
            <v>-6684.3</v>
          </cell>
          <cell r="AF166">
            <v>3530.0000000000005</v>
          </cell>
          <cell r="AG166">
            <v>2004</v>
          </cell>
          <cell r="AH166">
            <v>2232</v>
          </cell>
          <cell r="AI166">
            <v>873</v>
          </cell>
          <cell r="AM166">
            <v>5767.2999999999993</v>
          </cell>
          <cell r="AO166">
            <v>42000.375</v>
          </cell>
        </row>
        <row r="167">
          <cell r="C167">
            <v>0</v>
          </cell>
          <cell r="M167">
            <v>1680</v>
          </cell>
          <cell r="N167">
            <v>0</v>
          </cell>
          <cell r="O167">
            <v>0</v>
          </cell>
          <cell r="S167">
            <v>0</v>
          </cell>
          <cell r="Y167">
            <v>0</v>
          </cell>
          <cell r="AH167">
            <v>0</v>
          </cell>
          <cell r="AI167">
            <v>0</v>
          </cell>
        </row>
        <row r="168">
          <cell r="C168">
            <v>474</v>
          </cell>
          <cell r="N168">
            <v>0</v>
          </cell>
          <cell r="O168">
            <v>1219</v>
          </cell>
          <cell r="S168">
            <v>380</v>
          </cell>
          <cell r="W168">
            <v>302</v>
          </cell>
          <cell r="X168">
            <v>100</v>
          </cell>
          <cell r="Y168">
            <v>202</v>
          </cell>
          <cell r="AA168">
            <v>100</v>
          </cell>
          <cell r="AC168">
            <v>100</v>
          </cell>
          <cell r="AH168">
            <v>1699</v>
          </cell>
          <cell r="AI168">
            <v>100</v>
          </cell>
        </row>
        <row r="169">
          <cell r="C169">
            <v>87.333333333333329</v>
          </cell>
          <cell r="M169">
            <v>0</v>
          </cell>
          <cell r="N169">
            <v>570</v>
          </cell>
          <cell r="O169">
            <v>219</v>
          </cell>
          <cell r="R169">
            <v>169</v>
          </cell>
          <cell r="S169">
            <v>176</v>
          </cell>
          <cell r="V169">
            <v>0</v>
          </cell>
          <cell r="W169">
            <v>84</v>
          </cell>
          <cell r="X169">
            <v>84</v>
          </cell>
          <cell r="Y169">
            <v>0</v>
          </cell>
          <cell r="AG169">
            <v>148</v>
          </cell>
          <cell r="AH169">
            <v>4872</v>
          </cell>
          <cell r="AI169">
            <v>1383</v>
          </cell>
        </row>
        <row r="170">
          <cell r="C170">
            <v>87.333333333333329</v>
          </cell>
          <cell r="O170">
            <v>219</v>
          </cell>
          <cell r="S170">
            <v>176</v>
          </cell>
          <cell r="X170">
            <v>84</v>
          </cell>
          <cell r="AH170">
            <v>1192.3333333333335</v>
          </cell>
          <cell r="AU170">
            <v>1507.2</v>
          </cell>
        </row>
        <row r="171">
          <cell r="C171">
            <v>0</v>
          </cell>
          <cell r="AH171">
            <v>115</v>
          </cell>
        </row>
        <row r="172">
          <cell r="C172">
            <v>73</v>
          </cell>
          <cell r="O172">
            <v>0</v>
          </cell>
          <cell r="S172">
            <v>0</v>
          </cell>
          <cell r="X172">
            <v>0</v>
          </cell>
          <cell r="AH172">
            <v>73</v>
          </cell>
        </row>
        <row r="173">
          <cell r="C173" t="str">
            <v>АПАРАТ ВСЬОГО</v>
          </cell>
          <cell r="D173" t="str">
            <v>АПАРАТ ЕЛЕКТРО</v>
          </cell>
          <cell r="E173" t="str">
            <v>АПАРАТ ТЕПЛО</v>
          </cell>
          <cell r="M173" t="str">
            <v>ККМ</v>
          </cell>
          <cell r="P173" t="str">
            <v>КТМ</v>
          </cell>
          <cell r="T173">
            <v>250</v>
          </cell>
          <cell r="X173" t="str">
            <v>ТЕЦ-6 ВСЬОГО</v>
          </cell>
          <cell r="Y173" t="str">
            <v>Е/Е</v>
          </cell>
          <cell r="Z173" t="str">
            <v xml:space="preserve"> Т/Е</v>
          </cell>
          <cell r="AM173" t="str">
            <v>ДОП.ВИР. СТ.ОРГ.</v>
          </cell>
          <cell r="AO173" t="str">
            <v>АК КЕ ВСЬОГО</v>
          </cell>
          <cell r="AP173" t="str">
            <v>Е/Е</v>
          </cell>
          <cell r="AQ173" t="str">
            <v xml:space="preserve"> Т/Е</v>
          </cell>
          <cell r="AT173" t="str">
            <v>очикуваемАК КЕ ВСЬОГО</v>
          </cell>
          <cell r="AU173" t="str">
            <v>Е/Е</v>
          </cell>
          <cell r="AV173" t="str">
            <v xml:space="preserve"> Т/Е</v>
          </cell>
        </row>
        <row r="174">
          <cell r="C174">
            <v>1.895</v>
          </cell>
          <cell r="M174">
            <v>1.847</v>
          </cell>
          <cell r="P174">
            <v>1.895</v>
          </cell>
          <cell r="T174">
            <v>1.895</v>
          </cell>
          <cell r="U174">
            <v>1.895</v>
          </cell>
          <cell r="X174">
            <v>1.895</v>
          </cell>
          <cell r="Y174">
            <v>1.895</v>
          </cell>
          <cell r="Z174">
            <v>1.895</v>
          </cell>
          <cell r="AM174">
            <v>1.895</v>
          </cell>
          <cell r="AO174">
            <v>1.895</v>
          </cell>
          <cell r="AP174">
            <v>1.895</v>
          </cell>
          <cell r="AT174">
            <v>1.905</v>
          </cell>
          <cell r="AU174">
            <v>1.895</v>
          </cell>
        </row>
        <row r="176">
          <cell r="P176">
            <v>132.19999999999999</v>
          </cell>
          <cell r="X176">
            <v>68.7</v>
          </cell>
          <cell r="AO176">
            <v>200.89999999999998</v>
          </cell>
          <cell r="AT176">
            <v>251.12700000000001</v>
          </cell>
        </row>
        <row r="177">
          <cell r="P177">
            <v>150.5</v>
          </cell>
          <cell r="T177">
            <v>150.5</v>
          </cell>
          <cell r="X177">
            <v>78.3</v>
          </cell>
          <cell r="AO177">
            <v>228.8</v>
          </cell>
          <cell r="AT177">
            <v>288.28500000000003</v>
          </cell>
        </row>
        <row r="178">
          <cell r="M178">
            <v>0</v>
          </cell>
          <cell r="P178">
            <v>82.5</v>
          </cell>
          <cell r="T178">
            <v>82.5</v>
          </cell>
          <cell r="X178">
            <v>82.5</v>
          </cell>
          <cell r="AO178">
            <v>82.5</v>
          </cell>
          <cell r="AT178">
            <v>66</v>
          </cell>
        </row>
        <row r="179">
          <cell r="M179">
            <v>0</v>
          </cell>
          <cell r="P179">
            <v>156.34</v>
          </cell>
          <cell r="T179">
            <v>156.34</v>
          </cell>
          <cell r="X179">
            <v>156.34</v>
          </cell>
          <cell r="AO179">
            <v>156.34</v>
          </cell>
          <cell r="AT179">
            <v>125.73</v>
          </cell>
        </row>
        <row r="180">
          <cell r="P180">
            <v>20668</v>
          </cell>
          <cell r="T180">
            <v>0</v>
          </cell>
          <cell r="X180">
            <v>10741</v>
          </cell>
          <cell r="AO180">
            <v>31409</v>
          </cell>
          <cell r="AT180">
            <v>31574</v>
          </cell>
        </row>
        <row r="181">
          <cell r="AO181">
            <v>31409</v>
          </cell>
          <cell r="AT181" t="e">
            <v>#REF!</v>
          </cell>
        </row>
        <row r="182">
          <cell r="P182">
            <v>0</v>
          </cell>
          <cell r="T182">
            <v>0</v>
          </cell>
          <cell r="X182">
            <v>52.1</v>
          </cell>
          <cell r="AO182">
            <v>52.1</v>
          </cell>
          <cell r="AT182">
            <v>67.933000000000007</v>
          </cell>
        </row>
        <row r="183">
          <cell r="P183">
            <v>0</v>
          </cell>
          <cell r="T183">
            <v>0</v>
          </cell>
          <cell r="X183">
            <v>71.3</v>
          </cell>
          <cell r="AO183">
            <v>71.3</v>
          </cell>
          <cell r="AT183">
            <v>91.201999999999998</v>
          </cell>
        </row>
        <row r="184">
          <cell r="C184">
            <v>75</v>
          </cell>
          <cell r="M184">
            <v>75</v>
          </cell>
          <cell r="AM184">
            <v>0</v>
          </cell>
          <cell r="AO184">
            <v>98.96042216358839</v>
          </cell>
          <cell r="AT184">
            <v>98.96042216358839</v>
          </cell>
        </row>
        <row r="185">
          <cell r="P185">
            <v>187.53</v>
          </cell>
          <cell r="T185">
            <v>0</v>
          </cell>
          <cell r="X185">
            <v>187.53</v>
          </cell>
          <cell r="AO185">
            <v>187.53</v>
          </cell>
          <cell r="AT185">
            <v>187.53</v>
          </cell>
        </row>
        <row r="186">
          <cell r="P186">
            <v>0</v>
          </cell>
          <cell r="S186">
            <v>0</v>
          </cell>
          <cell r="X186">
            <v>9770</v>
          </cell>
          <cell r="AO186">
            <v>9770</v>
          </cell>
          <cell r="AT186">
            <v>12739</v>
          </cell>
        </row>
        <row r="187">
          <cell r="AL187" t="str">
            <v>ОЧИК.18.02.</v>
          </cell>
          <cell r="AO187">
            <v>9770</v>
          </cell>
          <cell r="AT187" t="e">
            <v>#REF!</v>
          </cell>
        </row>
        <row r="188">
          <cell r="P188">
            <v>150.5</v>
          </cell>
          <cell r="S188">
            <v>0</v>
          </cell>
          <cell r="T188">
            <v>51.4</v>
          </cell>
          <cell r="U188">
            <v>-51.4</v>
          </cell>
          <cell r="X188">
            <v>149.6</v>
          </cell>
          <cell r="Y188">
            <v>52.7</v>
          </cell>
          <cell r="Z188">
            <v>96.899999999999991</v>
          </cell>
          <cell r="AO188">
            <v>300.10000000000002</v>
          </cell>
          <cell r="AP188">
            <v>104.1</v>
          </cell>
          <cell r="AQ188">
            <v>196</v>
          </cell>
          <cell r="AT188">
            <v>379.48700000000002</v>
          </cell>
          <cell r="AU188">
            <v>83.676000000000002</v>
          </cell>
          <cell r="AV188">
            <v>295.81100000000004</v>
          </cell>
        </row>
        <row r="189">
          <cell r="C189" t="str">
            <v>АПАРАТ ВСЬОГО</v>
          </cell>
          <cell r="D189" t="str">
            <v>АПАРАТ ЕЛЕКТРО</v>
          </cell>
          <cell r="E189" t="str">
            <v>АПАРАТ ТЕПЛО</v>
          </cell>
          <cell r="O189" t="str">
            <v>ТЕЦ-5 ВСЬОГО</v>
          </cell>
          <cell r="P189">
            <v>20668</v>
          </cell>
          <cell r="Q189" t="str">
            <v xml:space="preserve"> Т/Е</v>
          </cell>
          <cell r="S189">
            <v>0</v>
          </cell>
          <cell r="T189" t="e">
            <v>#DIV/0!</v>
          </cell>
          <cell r="U189" t="e">
            <v>#DIV/0!</v>
          </cell>
          <cell r="X189">
            <v>20511</v>
          </cell>
          <cell r="Y189">
            <v>7225</v>
          </cell>
          <cell r="Z189">
            <v>13286</v>
          </cell>
          <cell r="AG189" t="str">
            <v>ДОП.ВИР. СТ.ОРГ.</v>
          </cell>
          <cell r="AH189" t="str">
            <v>АК КЕ ВСЬОГО</v>
          </cell>
          <cell r="AJ189" t="str">
            <v>Е/Е</v>
          </cell>
          <cell r="AK189" t="str">
            <v xml:space="preserve"> Т/Е</v>
          </cell>
          <cell r="AL189" t="str">
            <v>СТАНЦІї ЕЛЕКТРО</v>
          </cell>
          <cell r="AM189" t="str">
            <v>СТАНЦІІ ТЕПЛОВІ</v>
          </cell>
          <cell r="AN189" t="str">
            <v>МЕРЕЖІ ЕЛЕКТРО</v>
          </cell>
          <cell r="AO189" t="e">
            <v>#DIV/0!</v>
          </cell>
          <cell r="AP189" t="e">
            <v>#DIV/0!</v>
          </cell>
          <cell r="AQ189" t="e">
            <v>#DIV/0!</v>
          </cell>
          <cell r="AT189">
            <v>44313</v>
          </cell>
          <cell r="AU189">
            <v>9770.9133329995493</v>
          </cell>
          <cell r="AV189">
            <v>34542.086667000447</v>
          </cell>
        </row>
        <row r="190">
          <cell r="P190">
            <v>137.33000000000001</v>
          </cell>
          <cell r="S190" t="e">
            <v>#DIV/0!</v>
          </cell>
          <cell r="T190" t="e">
            <v>#DIV/0!</v>
          </cell>
          <cell r="U190" t="e">
            <v>#DIV/0!</v>
          </cell>
          <cell r="X190">
            <v>137.11000000000001</v>
          </cell>
          <cell r="Y190">
            <v>137.1</v>
          </cell>
          <cell r="Z190">
            <v>137.11000000000001</v>
          </cell>
          <cell r="AL190">
            <v>1.954</v>
          </cell>
          <cell r="AM190" t="str">
            <v/>
          </cell>
          <cell r="AN190">
            <v>1.954</v>
          </cell>
          <cell r="AO190" t="e">
            <v>#DIV/0!</v>
          </cell>
          <cell r="AP190" t="e">
            <v>#DIV/0!</v>
          </cell>
          <cell r="AQ190" t="e">
            <v>#DIV/0!</v>
          </cell>
          <cell r="AT190">
            <v>116.77</v>
          </cell>
          <cell r="AU190">
            <v>116.77</v>
          </cell>
          <cell r="AV190">
            <v>116.77</v>
          </cell>
        </row>
        <row r="191">
          <cell r="AO191">
            <v>0</v>
          </cell>
          <cell r="AP191">
            <v>0</v>
          </cell>
          <cell r="AQ191">
            <v>0</v>
          </cell>
          <cell r="AT191">
            <v>0</v>
          </cell>
          <cell r="AU191">
            <v>0</v>
          </cell>
          <cell r="AV191">
            <v>0</v>
          </cell>
        </row>
        <row r="192">
          <cell r="O192">
            <v>89.2</v>
          </cell>
          <cell r="S192" t="e">
            <v>#DIV/0!</v>
          </cell>
          <cell r="X192">
            <v>20511</v>
          </cell>
          <cell r="AH192">
            <v>259.7</v>
          </cell>
          <cell r="AL192">
            <v>221.49122807017542</v>
          </cell>
          <cell r="AO192" t="e">
            <v>#DIV/0!</v>
          </cell>
          <cell r="AP192" t="e">
            <v>#DIV/0!</v>
          </cell>
          <cell r="AQ192" t="e">
            <v>#DIV/0!</v>
          </cell>
          <cell r="AT192">
            <v>44313</v>
          </cell>
          <cell r="AU192">
            <v>9770.9133329995493</v>
          </cell>
          <cell r="AV192">
            <v>34542.086667000447</v>
          </cell>
        </row>
        <row r="193">
          <cell r="O193">
            <v>102.5</v>
          </cell>
          <cell r="S193">
            <v>84.2</v>
          </cell>
          <cell r="AH193">
            <v>298.60000000000002</v>
          </cell>
          <cell r="AL193">
            <v>252.49999999999997</v>
          </cell>
        </row>
        <row r="194">
          <cell r="O194">
            <v>0</v>
          </cell>
          <cell r="S194">
            <v>0</v>
          </cell>
          <cell r="AH194">
            <v>0</v>
          </cell>
          <cell r="AL194">
            <v>66</v>
          </cell>
        </row>
        <row r="195">
          <cell r="O195">
            <v>194.5</v>
          </cell>
          <cell r="S195" t="str">
            <v>ТЕЦ-5 ВСЬОГО</v>
          </cell>
          <cell r="T195" t="str">
            <v>Е/Е</v>
          </cell>
          <cell r="U195" t="str">
            <v xml:space="preserve"> Т/Е</v>
          </cell>
          <cell r="X195" t="str">
            <v>ТЕЦ-6 ВСЬОГО</v>
          </cell>
          <cell r="Y195" t="str">
            <v>Е/Е</v>
          </cell>
          <cell r="Z195" t="str">
            <v xml:space="preserve"> Т/Е</v>
          </cell>
          <cell r="AH195">
            <v>194.5</v>
          </cell>
          <cell r="AL195">
            <v>128.964</v>
          </cell>
          <cell r="AO195" t="str">
            <v>АК КЕ ВСЬОГО</v>
          </cell>
          <cell r="AP195" t="str">
            <v>Е/Е</v>
          </cell>
          <cell r="AQ195" t="str">
            <v xml:space="preserve"> Т/Е</v>
          </cell>
        </row>
        <row r="196">
          <cell r="O196">
            <v>17349</v>
          </cell>
          <cell r="S196">
            <v>14237</v>
          </cell>
          <cell r="T196">
            <v>0</v>
          </cell>
          <cell r="U196">
            <v>0</v>
          </cell>
          <cell r="Y196">
            <v>268.14999999999998</v>
          </cell>
          <cell r="Z196">
            <v>590</v>
          </cell>
          <cell r="AH196">
            <v>50512</v>
          </cell>
          <cell r="AL196">
            <v>28564</v>
          </cell>
        </row>
        <row r="197">
          <cell r="T197">
            <v>176.1</v>
          </cell>
          <cell r="U197">
            <v>163.6</v>
          </cell>
          <cell r="Y197">
            <v>196.5</v>
          </cell>
          <cell r="Z197">
            <v>164.2</v>
          </cell>
          <cell r="AH197">
            <v>50512</v>
          </cell>
        </row>
        <row r="198">
          <cell r="O198">
            <v>13.4</v>
          </cell>
          <cell r="S198">
            <v>16.100000000000001</v>
          </cell>
          <cell r="T198">
            <v>306.60000000000002</v>
          </cell>
          <cell r="U198">
            <v>112.8</v>
          </cell>
          <cell r="Y198">
            <v>301.89999999999998</v>
          </cell>
          <cell r="Z198">
            <v>116.3</v>
          </cell>
          <cell r="AH198">
            <v>29.5</v>
          </cell>
          <cell r="AL198">
            <v>75.839416058394164</v>
          </cell>
        </row>
        <row r="199">
          <cell r="O199">
            <v>18.5</v>
          </cell>
          <cell r="S199">
            <v>22.2</v>
          </cell>
          <cell r="T199">
            <v>130.50000000000003</v>
          </cell>
          <cell r="U199">
            <v>-50.8</v>
          </cell>
          <cell r="Y199">
            <v>105.39999999999998</v>
          </cell>
          <cell r="Z199">
            <v>-47.899999999999991</v>
          </cell>
          <cell r="AH199">
            <v>40.700000000000003</v>
          </cell>
          <cell r="AL199">
            <v>103.9</v>
          </cell>
        </row>
        <row r="200">
          <cell r="T200" t="e">
            <v>#DIV/0!</v>
          </cell>
          <cell r="U200" t="e">
            <v>#DIV/0!</v>
          </cell>
          <cell r="Y200">
            <v>137.1</v>
          </cell>
          <cell r="Z200">
            <v>137.11000000000001</v>
          </cell>
          <cell r="AG200">
            <v>0</v>
          </cell>
          <cell r="AH200">
            <v>0</v>
          </cell>
          <cell r="AL200">
            <v>99.938587512794271</v>
          </cell>
          <cell r="AO200">
            <v>75</v>
          </cell>
        </row>
        <row r="201">
          <cell r="O201">
            <v>385</v>
          </cell>
          <cell r="S201">
            <v>385</v>
          </cell>
          <cell r="T201" t="e">
            <v>#DIV/0!</v>
          </cell>
          <cell r="U201" t="e">
            <v>#DIV/0!</v>
          </cell>
          <cell r="Y201">
            <v>14.450339999999997</v>
          </cell>
          <cell r="Z201">
            <v>-6.5675689999999998</v>
          </cell>
          <cell r="AH201">
            <v>385</v>
          </cell>
          <cell r="AL201">
            <v>195.28</v>
          </cell>
        </row>
        <row r="202">
          <cell r="O202">
            <v>5159</v>
          </cell>
          <cell r="S202">
            <v>6199</v>
          </cell>
          <cell r="T202" t="e">
            <v>#DIV/0!</v>
          </cell>
          <cell r="U202" t="e">
            <v>#DIV/0!</v>
          </cell>
          <cell r="Y202">
            <v>3874.858670999999</v>
          </cell>
          <cell r="Z202">
            <v>-3874.86571</v>
          </cell>
          <cell r="AH202">
            <v>11358</v>
          </cell>
          <cell r="AL202">
            <v>14810</v>
          </cell>
          <cell r="AP202" t="e">
            <v>#DIV/0!</v>
          </cell>
          <cell r="AQ202" t="e">
            <v>#DIV/0!</v>
          </cell>
        </row>
        <row r="203">
          <cell r="AH203">
            <v>11358</v>
          </cell>
        </row>
        <row r="204">
          <cell r="O204">
            <v>121</v>
          </cell>
          <cell r="P204">
            <v>37.5</v>
          </cell>
          <cell r="Q204">
            <v>83.5</v>
          </cell>
          <cell r="S204">
            <v>106.4</v>
          </cell>
          <cell r="T204">
            <v>34.799999999999997</v>
          </cell>
          <cell r="U204">
            <v>71.600000000000009</v>
          </cell>
          <cell r="AH204">
            <v>339.3</v>
          </cell>
          <cell r="AJ204">
            <v>72.3</v>
          </cell>
          <cell r="AK204">
            <v>267</v>
          </cell>
          <cell r="AL204">
            <v>356.4</v>
          </cell>
          <cell r="AM204">
            <v>74.900000000000006</v>
          </cell>
          <cell r="AN204">
            <v>281.5</v>
          </cell>
          <cell r="AU204">
            <v>1507.2</v>
          </cell>
        </row>
        <row r="205">
          <cell r="O205">
            <v>22508</v>
          </cell>
          <cell r="P205">
            <v>8374.9121951219513</v>
          </cell>
          <cell r="Q205">
            <v>14133.087804878049</v>
          </cell>
          <cell r="S205">
            <v>20436</v>
          </cell>
          <cell r="T205">
            <v>8329.4774346793329</v>
          </cell>
          <cell r="U205">
            <v>12106.522565320667</v>
          </cell>
          <cell r="AH205">
            <v>61870</v>
          </cell>
          <cell r="AJ205">
            <v>16704.389629801284</v>
          </cell>
          <cell r="AK205">
            <v>45165.610370198716</v>
          </cell>
          <cell r="AL205">
            <v>43374</v>
          </cell>
          <cell r="AM205">
            <v>9115.3552188552203</v>
          </cell>
          <cell r="AN205">
            <v>34258.64478114478</v>
          </cell>
        </row>
        <row r="206">
          <cell r="O206">
            <v>186.02</v>
          </cell>
          <cell r="P206">
            <v>223.33</v>
          </cell>
          <cell r="Q206">
            <v>169.26</v>
          </cell>
          <cell r="S206">
            <v>192.07</v>
          </cell>
          <cell r="T206">
            <v>239.35</v>
          </cell>
          <cell r="U206">
            <v>169.09</v>
          </cell>
          <cell r="X206" t="str">
            <v/>
          </cell>
          <cell r="AG206" t="str">
            <v/>
          </cell>
          <cell r="AH206">
            <v>182.35</v>
          </cell>
          <cell r="AJ206">
            <v>231.04</v>
          </cell>
          <cell r="AK206">
            <v>169.16</v>
          </cell>
          <cell r="AL206">
            <v>121.7</v>
          </cell>
          <cell r="AM206">
            <v>121.7</v>
          </cell>
          <cell r="AN206">
            <v>121.7</v>
          </cell>
          <cell r="AO206" t="str">
            <v/>
          </cell>
        </row>
        <row r="207">
          <cell r="AH207">
            <v>0</v>
          </cell>
          <cell r="AJ207">
            <v>0</v>
          </cell>
          <cell r="AK207">
            <v>0</v>
          </cell>
          <cell r="AL207">
            <v>52</v>
          </cell>
          <cell r="AM207">
            <v>52</v>
          </cell>
        </row>
        <row r="208">
          <cell r="O208">
            <v>22508</v>
          </cell>
          <cell r="S208">
            <v>20436</v>
          </cell>
          <cell r="AH208">
            <v>61870</v>
          </cell>
          <cell r="AJ208">
            <v>16704.389629801284</v>
          </cell>
          <cell r="AK208">
            <v>45165.610370198716</v>
          </cell>
          <cell r="AL208">
            <v>43426</v>
          </cell>
          <cell r="AM208">
            <v>9167.3552188552203</v>
          </cell>
          <cell r="AN208">
            <v>34258.64478114478</v>
          </cell>
        </row>
        <row r="210">
          <cell r="AM210">
            <v>1507.2</v>
          </cell>
        </row>
        <row r="213">
          <cell r="AH213">
            <v>61870</v>
          </cell>
        </row>
        <row r="218">
          <cell r="X218" t="str">
            <v>ЗАТВЕРДЖУЮ</v>
          </cell>
        </row>
        <row r="219">
          <cell r="X219" t="str">
            <v>ГОЛОВА ПРАЛІННЯ АК КЕ</v>
          </cell>
        </row>
        <row r="220">
          <cell r="Y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M224" t="str">
            <v>ККМ</v>
          </cell>
          <cell r="P224" t="str">
            <v>КТМ</v>
          </cell>
          <cell r="S224" t="str">
            <v>ТЕЦ-5 ВСЬОГО</v>
          </cell>
          <cell r="T224" t="str">
            <v>Е/Е</v>
          </cell>
          <cell r="U224" t="str">
            <v xml:space="preserve"> Т/Е</v>
          </cell>
          <cell r="X224" t="str">
            <v>ТЕЦ-6 ВСЬОГО</v>
          </cell>
          <cell r="Y224" t="str">
            <v>Е/Е</v>
          </cell>
          <cell r="Z224" t="str">
            <v xml:space="preserve"> Т/Е</v>
          </cell>
          <cell r="AM224" t="str">
            <v>ДОП.ВИР. СТ.ОРГ.</v>
          </cell>
          <cell r="AO224" t="str">
            <v>АК КЕ ВСЬОГО</v>
          </cell>
          <cell r="AP224" t="str">
            <v>Е/Е</v>
          </cell>
          <cell r="AQ224" t="str">
            <v xml:space="preserve"> Т/Е</v>
          </cell>
          <cell r="AT224" t="str">
            <v>СТАНЦІї ЕЛЕКТРО</v>
          </cell>
          <cell r="AU224" t="str">
            <v>СТАНЦІІ ТЕПЛОВІ</v>
          </cell>
          <cell r="AV224" t="str">
            <v>МЕРЕЖІ ЕЛЕКТРО</v>
          </cell>
          <cell r="AW224" t="str">
            <v>МЕРЕЖІ ТЕПЛОВІ</v>
          </cell>
        </row>
        <row r="225">
          <cell r="S225" t="str">
            <v>ЗАТВЕРДЖУЮ</v>
          </cell>
        </row>
        <row r="226">
          <cell r="S226" t="str">
            <v>ГОЛОВА ПРАЛІННЯ АК КЕ</v>
          </cell>
        </row>
        <row r="227">
          <cell r="C227">
            <v>37071.5</v>
          </cell>
          <cell r="M227" t="e">
            <v>#REF!</v>
          </cell>
          <cell r="P227">
            <v>20072.597121212119</v>
          </cell>
          <cell r="S227">
            <v>11668.877272727274</v>
          </cell>
          <cell r="T227" t="str">
            <v xml:space="preserve">      І.В.ПЛАЧКОВ</v>
          </cell>
          <cell r="X227" t="e">
            <v>#REF!</v>
          </cell>
          <cell r="AM227">
            <v>9793.2999999999993</v>
          </cell>
          <cell r="AO227" t="e">
            <v>#REF!</v>
          </cell>
          <cell r="AP227" t="e">
            <v>#REF!</v>
          </cell>
        </row>
        <row r="228">
          <cell r="C228">
            <v>32662.400000000001</v>
          </cell>
          <cell r="M228" t="e">
            <v>#REF!</v>
          </cell>
          <cell r="P228">
            <v>9843.2234848484841</v>
          </cell>
          <cell r="S228">
            <v>6761.1772727272746</v>
          </cell>
          <cell r="X228" t="e">
            <v>#REF!</v>
          </cell>
          <cell r="AO228" t="e">
            <v>#REF!</v>
          </cell>
          <cell r="AP228" t="e">
            <v>#REF!</v>
          </cell>
        </row>
        <row r="230">
          <cell r="C230">
            <v>1607.1</v>
          </cell>
          <cell r="M230">
            <v>2532.4400000000005</v>
          </cell>
          <cell r="P230">
            <v>5547.8736363636363</v>
          </cell>
          <cell r="S230">
            <v>2164.1499999999996</v>
          </cell>
          <cell r="X230">
            <v>1710.74</v>
          </cell>
          <cell r="AM230">
            <v>545</v>
          </cell>
          <cell r="AO230">
            <v>19539.303636363638</v>
          </cell>
          <cell r="AP230" t="e">
            <v>#REF!</v>
          </cell>
        </row>
        <row r="231">
          <cell r="C231">
            <v>438</v>
          </cell>
          <cell r="M231">
            <v>692</v>
          </cell>
          <cell r="P231">
            <v>1512</v>
          </cell>
          <cell r="S231">
            <v>590</v>
          </cell>
          <cell r="X231">
            <v>467.63636363636363</v>
          </cell>
          <cell r="AO231">
            <v>5328.181818181818</v>
          </cell>
          <cell r="AP231" t="e">
            <v>#REF!</v>
          </cell>
        </row>
        <row r="232">
          <cell r="AP232" t="e">
            <v>#REF!</v>
          </cell>
        </row>
        <row r="233">
          <cell r="C233">
            <v>0</v>
          </cell>
          <cell r="M233">
            <v>0</v>
          </cell>
          <cell r="P233">
            <v>41</v>
          </cell>
          <cell r="S233">
            <v>1791</v>
          </cell>
          <cell r="X233">
            <v>40</v>
          </cell>
          <cell r="AO233">
            <v>1872</v>
          </cell>
          <cell r="AP233" t="e">
            <v>#REF!</v>
          </cell>
        </row>
        <row r="234">
          <cell r="C234">
            <v>0</v>
          </cell>
          <cell r="M234">
            <v>0</v>
          </cell>
          <cell r="P234">
            <v>0</v>
          </cell>
          <cell r="S234">
            <v>-28</v>
          </cell>
          <cell r="X234">
            <v>0</v>
          </cell>
          <cell r="AO234">
            <v>-9</v>
          </cell>
          <cell r="AP234" t="e">
            <v>#REF!</v>
          </cell>
        </row>
        <row r="235">
          <cell r="C235">
            <v>2345</v>
          </cell>
          <cell r="M235">
            <v>0</v>
          </cell>
          <cell r="P235">
            <v>0</v>
          </cell>
          <cell r="S235">
            <v>0</v>
          </cell>
          <cell r="X235">
            <v>0</v>
          </cell>
          <cell r="AO235">
            <v>2555.6999999999998</v>
          </cell>
          <cell r="AP235" t="e">
            <v>#REF!</v>
          </cell>
        </row>
        <row r="236">
          <cell r="AP236" t="e">
            <v>#REF!</v>
          </cell>
        </row>
        <row r="237">
          <cell r="C237">
            <v>1405</v>
          </cell>
          <cell r="M237">
            <v>2024.5</v>
          </cell>
          <cell r="P237">
            <v>4446.2</v>
          </cell>
          <cell r="S237">
            <v>226.5</v>
          </cell>
          <cell r="X237">
            <v>554.5</v>
          </cell>
          <cell r="AO237" t="e">
            <v>#REF!</v>
          </cell>
          <cell r="AP237" t="e">
            <v>#REF!</v>
          </cell>
        </row>
        <row r="238">
          <cell r="C238">
            <v>524</v>
          </cell>
          <cell r="M238">
            <v>0</v>
          </cell>
          <cell r="P238">
            <v>0</v>
          </cell>
          <cell r="S238">
            <v>0</v>
          </cell>
          <cell r="X238">
            <v>0</v>
          </cell>
          <cell r="AO238">
            <v>0</v>
          </cell>
          <cell r="AP238" t="e">
            <v>#REF!</v>
          </cell>
        </row>
        <row r="239">
          <cell r="C239" t="str">
            <v>ВИКОН.ДИР.</v>
          </cell>
          <cell r="D239" t="str">
            <v>АПАРАТ ЕЛЕКТРО</v>
          </cell>
          <cell r="E239" t="str">
            <v>АПАРАТ ТЕПЛО</v>
          </cell>
          <cell r="M239" t="str">
            <v>ПЕРЕД</v>
          </cell>
          <cell r="N239" t="str">
            <v>КТМ1</v>
          </cell>
          <cell r="O239" t="str">
            <v>ТЕЦ-5 ВСЬОГО</v>
          </cell>
          <cell r="P239" t="str">
            <v>Е/Е</v>
          </cell>
          <cell r="Q239" t="str">
            <v xml:space="preserve"> Т/Е</v>
          </cell>
          <cell r="R239" t="str">
            <v>ТЕЦ-5 ВСЬОГО1</v>
          </cell>
          <cell r="S239" t="str">
            <v>ТЕЦ-6 ВСЬОГО</v>
          </cell>
          <cell r="T239" t="str">
            <v>Е/Е</v>
          </cell>
          <cell r="U239" t="str">
            <v xml:space="preserve"> Т/Е</v>
          </cell>
          <cell r="V239" t="str">
            <v>ТЕЦ-6 ВСЬОГО1</v>
          </cell>
          <cell r="X239" t="str">
            <v>РОЗПОД. МЕРЕЖІ АК</v>
          </cell>
          <cell r="Y239" t="str">
            <v>РОЗПОД. МЕРЕЖІ СТОР.</v>
          </cell>
          <cell r="Z239" t="str">
            <v>РОЗПОД. МЕРЕЖІ всього</v>
          </cell>
          <cell r="AA239" t="str">
            <v>РОЗПОД. МЕРЕЖІ АК1</v>
          </cell>
          <cell r="AB239" t="str">
            <v>РОЗПОД. МЕРЕЖІ СТОР.</v>
          </cell>
          <cell r="AC239" t="str">
            <v>РОЗПОД. МЕРЕЖІ всього</v>
          </cell>
          <cell r="AG239" t="str">
            <v>ДОП.ВИР.</v>
          </cell>
          <cell r="AH239" t="str">
            <v>АК КЕ ВСЬОГО</v>
          </cell>
          <cell r="AJ239" t="str">
            <v>Е/Е</v>
          </cell>
          <cell r="AK239" t="str">
            <v xml:space="preserve"> Т/Е</v>
          </cell>
          <cell r="AL239" t="str">
            <v>СТАНЦІї ЕЛЕКТРО</v>
          </cell>
          <cell r="AM239" t="str">
            <v>СТАНЦІІ ТЕПЛОВІ</v>
          </cell>
          <cell r="AN239" t="str">
            <v>МЕРЕЖІ ЕЛЕКТРО</v>
          </cell>
          <cell r="AO239" t="str">
            <v>МЕРЕЖІ ТЕПЛОВІ</v>
          </cell>
          <cell r="AP239" t="e">
            <v>#REF!</v>
          </cell>
        </row>
        <row r="240">
          <cell r="C240">
            <v>0</v>
          </cell>
          <cell r="M240" t="e">
            <v>#REF!</v>
          </cell>
          <cell r="P240">
            <v>0</v>
          </cell>
          <cell r="S240">
            <v>0</v>
          </cell>
          <cell r="X240" t="e">
            <v>#REF!</v>
          </cell>
          <cell r="AO240" t="e">
            <v>#REF!</v>
          </cell>
          <cell r="AP240" t="e">
            <v>#REF!</v>
          </cell>
        </row>
        <row r="241">
          <cell r="AP241" t="e">
            <v>#REF!</v>
          </cell>
        </row>
        <row r="242">
          <cell r="C242">
            <v>19431.169805900914</v>
          </cell>
          <cell r="D242">
            <v>3267</v>
          </cell>
          <cell r="E242">
            <v>3107.878787878788</v>
          </cell>
          <cell r="M242">
            <v>3413.840909090909</v>
          </cell>
          <cell r="N242">
            <v>0</v>
          </cell>
          <cell r="O242">
            <v>2444.7272727272721</v>
          </cell>
          <cell r="P242">
            <v>752</v>
          </cell>
          <cell r="Q242">
            <v>1667.8272727272724</v>
          </cell>
          <cell r="R242">
            <v>123</v>
          </cell>
          <cell r="S242">
            <v>1391.636363636364</v>
          </cell>
          <cell r="T242">
            <v>447</v>
          </cell>
          <cell r="U242">
            <v>919.33636363636469</v>
          </cell>
          <cell r="V242">
            <v>0</v>
          </cell>
          <cell r="X242">
            <v>2771.9636363636364</v>
          </cell>
          <cell r="Y242">
            <v>1109.5818181818181</v>
          </cell>
          <cell r="Z242">
            <v>3881.545454545454</v>
          </cell>
          <cell r="AA242">
            <v>222.875</v>
          </cell>
          <cell r="AB242">
            <v>71.125</v>
          </cell>
          <cell r="AC242">
            <v>294</v>
          </cell>
          <cell r="AG242">
            <v>1383</v>
          </cell>
          <cell r="AH242">
            <v>41098.6182907494</v>
          </cell>
          <cell r="AJ242">
            <v>41067.618290749393</v>
          </cell>
          <cell r="AP242" t="e">
            <v>#REF!</v>
          </cell>
        </row>
        <row r="243">
          <cell r="C243">
            <v>617</v>
          </cell>
          <cell r="D243">
            <v>2503</v>
          </cell>
          <cell r="E243">
            <v>1824.3333333333335</v>
          </cell>
          <cell r="M243">
            <v>624</v>
          </cell>
          <cell r="N243">
            <v>-619</v>
          </cell>
          <cell r="O243">
            <v>507.81818181818107</v>
          </cell>
          <cell r="P243">
            <v>1853.8333333333333</v>
          </cell>
          <cell r="Q243">
            <v>771.91818181818144</v>
          </cell>
          <cell r="R243">
            <v>-379</v>
          </cell>
          <cell r="S243">
            <v>290</v>
          </cell>
          <cell r="T243">
            <v>265</v>
          </cell>
          <cell r="U243">
            <v>545.70000000000107</v>
          </cell>
          <cell r="V243">
            <v>-379</v>
          </cell>
          <cell r="X243">
            <v>226</v>
          </cell>
          <cell r="Y243">
            <v>98.799999999999955</v>
          </cell>
          <cell r="Z243">
            <v>983.99999999999955</v>
          </cell>
          <cell r="AA243">
            <v>95</v>
          </cell>
          <cell r="AB243">
            <v>7</v>
          </cell>
          <cell r="AC243">
            <v>102</v>
          </cell>
          <cell r="AG243">
            <v>625</v>
          </cell>
          <cell r="AH243">
            <v>18826.624242424241</v>
          </cell>
          <cell r="AJ243">
            <v>18795.624242424237</v>
          </cell>
          <cell r="AO243">
            <v>4945.833333333333</v>
          </cell>
          <cell r="AP243" t="e">
            <v>#REF!</v>
          </cell>
        </row>
        <row r="244">
          <cell r="C244">
            <v>1639</v>
          </cell>
          <cell r="M244">
            <v>60</v>
          </cell>
          <cell r="P244">
            <v>167</v>
          </cell>
          <cell r="S244">
            <v>164</v>
          </cell>
          <cell r="X244">
            <v>141</v>
          </cell>
          <cell r="AJ244">
            <v>0</v>
          </cell>
          <cell r="AO244">
            <v>2356.6</v>
          </cell>
          <cell r="AP244" t="e">
            <v>#REF!</v>
          </cell>
        </row>
        <row r="245">
          <cell r="C245">
            <v>410.54545454545456</v>
          </cell>
          <cell r="D245">
            <v>67</v>
          </cell>
          <cell r="E245">
            <v>247.54545454545456</v>
          </cell>
          <cell r="M245">
            <v>957.19636363636369</v>
          </cell>
          <cell r="N245">
            <v>0</v>
          </cell>
          <cell r="O245">
            <v>652.90909090909099</v>
          </cell>
          <cell r="P245">
            <v>203</v>
          </cell>
          <cell r="Q245">
            <v>449.90909090909093</v>
          </cell>
          <cell r="R245">
            <v>91</v>
          </cell>
          <cell r="S245">
            <v>541.63636363636363</v>
          </cell>
          <cell r="T245">
            <v>177</v>
          </cell>
          <cell r="U245">
            <v>364.63636363636363</v>
          </cell>
          <cell r="V245">
            <v>0</v>
          </cell>
          <cell r="X245">
            <v>1120.7636363636364</v>
          </cell>
          <cell r="Y245">
            <v>318.78181818181815</v>
          </cell>
          <cell r="Z245">
            <v>1439.5454545454545</v>
          </cell>
          <cell r="AA245">
            <v>127.875</v>
          </cell>
          <cell r="AB245">
            <v>64.125</v>
          </cell>
          <cell r="AC245">
            <v>192</v>
          </cell>
          <cell r="AG245">
            <v>508</v>
          </cell>
          <cell r="AH245">
            <v>5953.0363636363636</v>
          </cell>
          <cell r="AJ245">
            <v>5953.0363636363645</v>
          </cell>
          <cell r="AP245" t="e">
            <v>#REF!</v>
          </cell>
        </row>
        <row r="246">
          <cell r="C246">
            <v>0</v>
          </cell>
          <cell r="D246">
            <v>3</v>
          </cell>
          <cell r="E246">
            <v>13</v>
          </cell>
          <cell r="M246">
            <v>1</v>
          </cell>
          <cell r="N246">
            <v>0</v>
          </cell>
          <cell r="O246">
            <v>178</v>
          </cell>
          <cell r="P246">
            <v>0</v>
          </cell>
          <cell r="Q246">
            <v>123</v>
          </cell>
          <cell r="R246">
            <v>24.81818181818182</v>
          </cell>
          <cell r="S246">
            <v>18.55</v>
          </cell>
          <cell r="T246">
            <v>49</v>
          </cell>
          <cell r="U246">
            <v>100</v>
          </cell>
          <cell r="V246">
            <v>0</v>
          </cell>
          <cell r="X246">
            <v>47</v>
          </cell>
          <cell r="Y246">
            <v>87</v>
          </cell>
          <cell r="Z246">
            <v>393</v>
          </cell>
          <cell r="AA246">
            <v>34.875</v>
          </cell>
          <cell r="AB246">
            <v>17.488636363636363</v>
          </cell>
          <cell r="AC246">
            <v>52.36363636363636</v>
          </cell>
          <cell r="AG246">
            <v>138.54545454545453</v>
          </cell>
          <cell r="AH246">
            <v>1625.5454545454545</v>
          </cell>
          <cell r="AJ246">
            <v>1625.5454545454545</v>
          </cell>
          <cell r="AO246">
            <v>66.55</v>
          </cell>
          <cell r="AP246" t="e">
            <v>#REF!</v>
          </cell>
        </row>
        <row r="247">
          <cell r="C247">
            <v>22</v>
          </cell>
          <cell r="D247">
            <v>644</v>
          </cell>
          <cell r="E247">
            <v>1044</v>
          </cell>
          <cell r="M247">
            <v>61.75</v>
          </cell>
          <cell r="N247">
            <v>0</v>
          </cell>
          <cell r="O247">
            <v>683</v>
          </cell>
          <cell r="P247">
            <v>2078.6666666666665</v>
          </cell>
          <cell r="Q247">
            <v>471</v>
          </cell>
          <cell r="R247">
            <v>0</v>
          </cell>
          <cell r="S247">
            <v>0</v>
          </cell>
          <cell r="T247">
            <v>5</v>
          </cell>
          <cell r="U247">
            <v>9</v>
          </cell>
          <cell r="V247">
            <v>0</v>
          </cell>
          <cell r="X247">
            <v>0</v>
          </cell>
          <cell r="Y247">
            <v>1</v>
          </cell>
          <cell r="Z247">
            <v>17</v>
          </cell>
          <cell r="AA247">
            <v>10</v>
          </cell>
          <cell r="AB247">
            <v>4</v>
          </cell>
          <cell r="AC247">
            <v>14</v>
          </cell>
          <cell r="AG247">
            <v>0</v>
          </cell>
          <cell r="AH247">
            <v>7851.2910180221279</v>
          </cell>
          <cell r="AJ247">
            <v>7851.2910180221279</v>
          </cell>
          <cell r="AO247">
            <v>2982.4166666666665</v>
          </cell>
          <cell r="AP247" t="e">
            <v>#REF!</v>
          </cell>
        </row>
        <row r="248">
          <cell r="C248">
            <v>33</v>
          </cell>
          <cell r="D248">
            <v>0</v>
          </cell>
          <cell r="E248">
            <v>0</v>
          </cell>
          <cell r="M248">
            <v>0</v>
          </cell>
          <cell r="N248">
            <v>0</v>
          </cell>
          <cell r="O248">
            <v>647</v>
          </cell>
          <cell r="P248">
            <v>0</v>
          </cell>
          <cell r="Q248">
            <v>446</v>
          </cell>
          <cell r="R248">
            <v>0</v>
          </cell>
          <cell r="S248">
            <v>0</v>
          </cell>
          <cell r="T248">
            <v>5</v>
          </cell>
          <cell r="U248">
            <v>9</v>
          </cell>
          <cell r="V248">
            <v>0</v>
          </cell>
          <cell r="X248">
            <v>0</v>
          </cell>
          <cell r="Y248">
            <v>0</v>
          </cell>
          <cell r="Z248">
            <v>0</v>
          </cell>
          <cell r="AA248">
            <v>0</v>
          </cell>
          <cell r="AB248">
            <v>0</v>
          </cell>
          <cell r="AC248">
            <v>0</v>
          </cell>
          <cell r="AG248">
            <v>0</v>
          </cell>
          <cell r="AH248">
            <v>683</v>
          </cell>
          <cell r="AJ248">
            <v>683</v>
          </cell>
          <cell r="AO248">
            <v>1051</v>
          </cell>
          <cell r="AP248" t="e">
            <v>#REF!</v>
          </cell>
        </row>
        <row r="249">
          <cell r="C249">
            <v>348</v>
          </cell>
          <cell r="D249">
            <v>3</v>
          </cell>
          <cell r="E249">
            <v>10</v>
          </cell>
          <cell r="M249">
            <v>0</v>
          </cell>
          <cell r="N249">
            <v>0</v>
          </cell>
          <cell r="O249">
            <v>36</v>
          </cell>
          <cell r="P249">
            <v>0</v>
          </cell>
          <cell r="Q249">
            <v>25</v>
          </cell>
          <cell r="R249">
            <v>0</v>
          </cell>
          <cell r="S249">
            <v>0</v>
          </cell>
          <cell r="T249">
            <v>0</v>
          </cell>
          <cell r="U249">
            <v>0</v>
          </cell>
          <cell r="V249">
            <v>0</v>
          </cell>
          <cell r="X249">
            <v>0</v>
          </cell>
          <cell r="Y249">
            <v>1</v>
          </cell>
          <cell r="Z249">
            <v>17</v>
          </cell>
          <cell r="AA249">
            <v>10</v>
          </cell>
          <cell r="AB249">
            <v>4</v>
          </cell>
          <cell r="AC249">
            <v>14</v>
          </cell>
          <cell r="AG249">
            <v>0</v>
          </cell>
          <cell r="AH249">
            <v>160</v>
          </cell>
          <cell r="AJ249">
            <v>160</v>
          </cell>
          <cell r="AO249">
            <v>348</v>
          </cell>
          <cell r="AP249" t="e">
            <v>#REF!</v>
          </cell>
        </row>
        <row r="250">
          <cell r="C250">
            <v>0</v>
          </cell>
          <cell r="M250">
            <v>0</v>
          </cell>
          <cell r="P250">
            <v>0</v>
          </cell>
          <cell r="S250">
            <v>0</v>
          </cell>
          <cell r="X250">
            <v>-49</v>
          </cell>
          <cell r="AH250">
            <v>1611</v>
          </cell>
          <cell r="AJ250">
            <v>1611</v>
          </cell>
          <cell r="AO250">
            <v>746</v>
          </cell>
          <cell r="AP250" t="e">
            <v>#REF!</v>
          </cell>
        </row>
        <row r="251">
          <cell r="C251">
            <v>0</v>
          </cell>
          <cell r="M251">
            <v>0</v>
          </cell>
          <cell r="P251">
            <v>0</v>
          </cell>
          <cell r="S251">
            <v>0</v>
          </cell>
          <cell r="X251">
            <v>-5</v>
          </cell>
          <cell r="AH251">
            <v>3528</v>
          </cell>
          <cell r="AJ251">
            <v>3528</v>
          </cell>
          <cell r="AO251">
            <v>18639.400000000001</v>
          </cell>
          <cell r="AP251" t="e">
            <v>#REF!</v>
          </cell>
        </row>
        <row r="252">
          <cell r="C252">
            <v>28531.4</v>
          </cell>
          <cell r="M252" t="e">
            <v>#REF!</v>
          </cell>
          <cell r="P252">
            <v>5397.0234848484833</v>
          </cell>
          <cell r="S252">
            <v>6562.6772727272737</v>
          </cell>
          <cell r="X252" t="e">
            <v>#REF!</v>
          </cell>
          <cell r="AH252">
            <v>0</v>
          </cell>
          <cell r="AJ252">
            <v>0</v>
          </cell>
          <cell r="AO252" t="e">
            <v>#REF!</v>
          </cell>
          <cell r="AP252" t="e">
            <v>#REF!</v>
          </cell>
        </row>
        <row r="253">
          <cell r="C253">
            <v>1869.2910180221284</v>
          </cell>
          <cell r="D253">
            <v>641</v>
          </cell>
          <cell r="E253">
            <v>1034</v>
          </cell>
          <cell r="M253">
            <v>0</v>
          </cell>
          <cell r="N253">
            <v>0</v>
          </cell>
          <cell r="O253">
            <v>0</v>
          </cell>
          <cell r="P253">
            <v>541</v>
          </cell>
          <cell r="Q253">
            <v>0</v>
          </cell>
          <cell r="R253">
            <v>0</v>
          </cell>
          <cell r="S253">
            <v>480</v>
          </cell>
          <cell r="T253">
            <v>0</v>
          </cell>
          <cell r="U253">
            <v>0</v>
          </cell>
          <cell r="V253">
            <v>0</v>
          </cell>
          <cell r="X253">
            <v>44</v>
          </cell>
          <cell r="Y253">
            <v>0</v>
          </cell>
          <cell r="Z253">
            <v>0</v>
          </cell>
          <cell r="AA253">
            <v>0</v>
          </cell>
          <cell r="AB253">
            <v>0</v>
          </cell>
          <cell r="AC253">
            <v>0</v>
          </cell>
          <cell r="AG253">
            <v>0</v>
          </cell>
          <cell r="AH253">
            <v>1869.2910180221284</v>
          </cell>
          <cell r="AJ253">
            <v>1869.2910180221284</v>
          </cell>
          <cell r="AO253">
            <v>524</v>
          </cell>
          <cell r="AP253" t="e">
            <v>#REF!</v>
          </cell>
        </row>
        <row r="254">
          <cell r="AJ254">
            <v>0</v>
          </cell>
        </row>
        <row r="255">
          <cell r="C255">
            <v>474</v>
          </cell>
          <cell r="M255">
            <v>0</v>
          </cell>
          <cell r="N255">
            <v>570</v>
          </cell>
          <cell r="O255">
            <v>219</v>
          </cell>
          <cell r="P255">
            <v>0</v>
          </cell>
          <cell r="Q255">
            <v>0</v>
          </cell>
          <cell r="R255">
            <v>169</v>
          </cell>
          <cell r="S255">
            <v>176</v>
          </cell>
          <cell r="T255">
            <v>0</v>
          </cell>
          <cell r="U255">
            <v>0</v>
          </cell>
          <cell r="V255">
            <v>0</v>
          </cell>
          <cell r="X255">
            <v>84</v>
          </cell>
          <cell r="Y255">
            <v>0</v>
          </cell>
          <cell r="Z255">
            <v>84</v>
          </cell>
          <cell r="AA255">
            <v>0</v>
          </cell>
          <cell r="AB255">
            <v>0</v>
          </cell>
          <cell r="AC255">
            <v>0</v>
          </cell>
          <cell r="AG255">
            <v>148</v>
          </cell>
          <cell r="AH255">
            <v>4872</v>
          </cell>
          <cell r="AJ255">
            <v>4872</v>
          </cell>
        </row>
        <row r="256">
          <cell r="C256">
            <v>0</v>
          </cell>
          <cell r="D256">
            <v>0</v>
          </cell>
          <cell r="E256">
            <v>0</v>
          </cell>
          <cell r="M256">
            <v>0</v>
          </cell>
          <cell r="N256">
            <v>0</v>
          </cell>
          <cell r="O256">
            <v>320</v>
          </cell>
          <cell r="P256">
            <v>0</v>
          </cell>
          <cell r="Q256">
            <v>0</v>
          </cell>
          <cell r="R256">
            <v>359</v>
          </cell>
          <cell r="S256">
            <v>231</v>
          </cell>
          <cell r="T256">
            <v>0</v>
          </cell>
          <cell r="U256">
            <v>0</v>
          </cell>
          <cell r="V256">
            <v>192</v>
          </cell>
          <cell r="X256">
            <v>84</v>
          </cell>
          <cell r="Y256">
            <v>0</v>
          </cell>
          <cell r="Z256">
            <v>84</v>
          </cell>
          <cell r="AA256">
            <v>0</v>
          </cell>
          <cell r="AB256">
            <v>0</v>
          </cell>
          <cell r="AC256">
            <v>0</v>
          </cell>
          <cell r="AG256">
            <v>0</v>
          </cell>
          <cell r="AH256">
            <v>1130</v>
          </cell>
          <cell r="AJ256">
            <v>1130</v>
          </cell>
        </row>
        <row r="257">
          <cell r="C257">
            <v>0</v>
          </cell>
          <cell r="N257">
            <v>376</v>
          </cell>
          <cell r="O257">
            <v>325</v>
          </cell>
          <cell r="R257">
            <v>325</v>
          </cell>
          <cell r="S257">
            <v>203</v>
          </cell>
          <cell r="V257">
            <v>203</v>
          </cell>
          <cell r="X257">
            <v>0</v>
          </cell>
          <cell r="Y257">
            <v>0</v>
          </cell>
          <cell r="Z257">
            <v>0</v>
          </cell>
          <cell r="AA257">
            <v>0</v>
          </cell>
          <cell r="AB257">
            <v>0</v>
          </cell>
          <cell r="AC257">
            <v>0</v>
          </cell>
          <cell r="AG257">
            <v>0</v>
          </cell>
          <cell r="AH257">
            <v>976</v>
          </cell>
          <cell r="AJ257">
            <v>976</v>
          </cell>
        </row>
        <row r="258">
          <cell r="AJ258">
            <v>0</v>
          </cell>
        </row>
        <row r="259">
          <cell r="C259">
            <v>0</v>
          </cell>
          <cell r="D259">
            <v>0</v>
          </cell>
          <cell r="E259">
            <v>0</v>
          </cell>
          <cell r="M259">
            <v>0</v>
          </cell>
          <cell r="N259">
            <v>0</v>
          </cell>
          <cell r="O259">
            <v>1219</v>
          </cell>
          <cell r="P259">
            <v>0</v>
          </cell>
          <cell r="Q259">
            <v>0</v>
          </cell>
          <cell r="R259">
            <v>0</v>
          </cell>
          <cell r="S259">
            <v>380</v>
          </cell>
          <cell r="T259">
            <v>0</v>
          </cell>
          <cell r="U259">
            <v>0</v>
          </cell>
          <cell r="V259">
            <v>0</v>
          </cell>
          <cell r="X259">
            <v>100</v>
          </cell>
          <cell r="Y259">
            <v>202</v>
          </cell>
          <cell r="Z259">
            <v>302</v>
          </cell>
          <cell r="AA259">
            <v>100</v>
          </cell>
          <cell r="AB259">
            <v>0</v>
          </cell>
          <cell r="AC259">
            <v>100</v>
          </cell>
          <cell r="AG259">
            <v>0</v>
          </cell>
          <cell r="AH259">
            <v>1699</v>
          </cell>
          <cell r="AJ259">
            <v>1699</v>
          </cell>
        </row>
        <row r="260">
          <cell r="AJ260">
            <v>0</v>
          </cell>
        </row>
        <row r="261">
          <cell r="AJ261">
            <v>0</v>
          </cell>
        </row>
        <row r="262">
          <cell r="C262">
            <v>158</v>
          </cell>
          <cell r="D262">
            <v>0</v>
          </cell>
          <cell r="E262">
            <v>0</v>
          </cell>
          <cell r="M262">
            <v>0</v>
          </cell>
          <cell r="N262">
            <v>0</v>
          </cell>
          <cell r="O262">
            <v>75</v>
          </cell>
          <cell r="P262">
            <v>0</v>
          </cell>
          <cell r="Q262">
            <v>0</v>
          </cell>
          <cell r="R262">
            <v>0</v>
          </cell>
          <cell r="S262">
            <v>120</v>
          </cell>
          <cell r="T262">
            <v>0</v>
          </cell>
          <cell r="U262">
            <v>0</v>
          </cell>
          <cell r="V262">
            <v>0</v>
          </cell>
          <cell r="X262">
            <v>0</v>
          </cell>
          <cell r="Y262">
            <v>0</v>
          </cell>
          <cell r="Z262">
            <v>0</v>
          </cell>
          <cell r="AA262">
            <v>0</v>
          </cell>
          <cell r="AB262">
            <v>0</v>
          </cell>
          <cell r="AC262">
            <v>0</v>
          </cell>
          <cell r="AG262">
            <v>0</v>
          </cell>
          <cell r="AH262">
            <v>942</v>
          </cell>
          <cell r="AJ262">
            <v>942</v>
          </cell>
        </row>
        <row r="263">
          <cell r="C263">
            <v>489</v>
          </cell>
          <cell r="D263">
            <v>55</v>
          </cell>
          <cell r="E263">
            <v>0</v>
          </cell>
          <cell r="M263">
            <v>8</v>
          </cell>
          <cell r="N263">
            <v>39</v>
          </cell>
          <cell r="O263">
            <v>52</v>
          </cell>
          <cell r="P263">
            <v>0</v>
          </cell>
          <cell r="Q263">
            <v>0</v>
          </cell>
          <cell r="R263">
            <v>52</v>
          </cell>
          <cell r="S263">
            <v>40</v>
          </cell>
          <cell r="T263">
            <v>0</v>
          </cell>
          <cell r="U263">
            <v>0</v>
          </cell>
          <cell r="V263">
            <v>40</v>
          </cell>
          <cell r="X263">
            <v>0</v>
          </cell>
          <cell r="Y263">
            <v>0</v>
          </cell>
          <cell r="Z263">
            <v>0</v>
          </cell>
          <cell r="AA263">
            <v>0</v>
          </cell>
          <cell r="AB263">
            <v>0</v>
          </cell>
          <cell r="AC263">
            <v>0</v>
          </cell>
          <cell r="AG263">
            <v>0</v>
          </cell>
          <cell r="AH263">
            <v>628</v>
          </cell>
          <cell r="AJ263">
            <v>628</v>
          </cell>
        </row>
        <row r="264">
          <cell r="C264">
            <v>0</v>
          </cell>
          <cell r="N264">
            <v>580</v>
          </cell>
          <cell r="O264">
            <v>80</v>
          </cell>
          <cell r="R264">
            <v>0</v>
          </cell>
          <cell r="S264">
            <v>70</v>
          </cell>
          <cell r="V264">
            <v>70</v>
          </cell>
          <cell r="AG264">
            <v>250</v>
          </cell>
          <cell r="AH264">
            <v>1480</v>
          </cell>
          <cell r="AJ264">
            <v>1480</v>
          </cell>
        </row>
        <row r="265">
          <cell r="C265">
            <v>0</v>
          </cell>
          <cell r="N265">
            <v>0</v>
          </cell>
          <cell r="O265">
            <v>0</v>
          </cell>
          <cell r="R265">
            <v>0</v>
          </cell>
          <cell r="S265">
            <v>15</v>
          </cell>
          <cell r="V265">
            <v>15</v>
          </cell>
          <cell r="X265">
            <v>0</v>
          </cell>
          <cell r="AA265">
            <v>0</v>
          </cell>
          <cell r="AH265">
            <v>78</v>
          </cell>
          <cell r="AJ265">
            <v>78</v>
          </cell>
        </row>
        <row r="266">
          <cell r="AJ266">
            <v>0</v>
          </cell>
        </row>
        <row r="267">
          <cell r="C267">
            <v>0</v>
          </cell>
          <cell r="D267">
            <v>0</v>
          </cell>
          <cell r="E267">
            <v>0</v>
          </cell>
          <cell r="M267">
            <v>0</v>
          </cell>
          <cell r="N267">
            <v>0</v>
          </cell>
          <cell r="O267">
            <v>110</v>
          </cell>
          <cell r="P267">
            <v>0</v>
          </cell>
          <cell r="Q267">
            <v>0</v>
          </cell>
          <cell r="R267">
            <v>0</v>
          </cell>
          <cell r="S267">
            <v>0</v>
          </cell>
          <cell r="T267">
            <v>0</v>
          </cell>
          <cell r="U267">
            <v>0</v>
          </cell>
          <cell r="V267">
            <v>77</v>
          </cell>
          <cell r="X267">
            <v>0</v>
          </cell>
          <cell r="Y267">
            <v>0</v>
          </cell>
          <cell r="Z267">
            <v>0</v>
          </cell>
          <cell r="AA267">
            <v>0</v>
          </cell>
          <cell r="AB267">
            <v>0</v>
          </cell>
          <cell r="AC267">
            <v>0</v>
          </cell>
          <cell r="AG267">
            <v>0</v>
          </cell>
          <cell r="AH267">
            <v>111</v>
          </cell>
          <cell r="AJ267">
            <v>111</v>
          </cell>
        </row>
        <row r="268">
          <cell r="C268">
            <v>3</v>
          </cell>
          <cell r="D268">
            <v>1</v>
          </cell>
          <cell r="E268">
            <v>2</v>
          </cell>
          <cell r="M268">
            <v>0</v>
          </cell>
          <cell r="N268">
            <v>0</v>
          </cell>
          <cell r="O268">
            <v>0</v>
          </cell>
          <cell r="P268">
            <v>0</v>
          </cell>
          <cell r="Q268">
            <v>0</v>
          </cell>
          <cell r="R268">
            <v>0</v>
          </cell>
          <cell r="S268">
            <v>0</v>
          </cell>
          <cell r="T268">
            <v>0</v>
          </cell>
          <cell r="U268">
            <v>0</v>
          </cell>
          <cell r="V268">
            <v>0</v>
          </cell>
          <cell r="X268">
            <v>682</v>
          </cell>
          <cell r="Y268">
            <v>692</v>
          </cell>
          <cell r="Z268">
            <v>1374</v>
          </cell>
          <cell r="AA268">
            <v>0</v>
          </cell>
          <cell r="AB268">
            <v>0</v>
          </cell>
          <cell r="AC268">
            <v>0</v>
          </cell>
          <cell r="AG268">
            <v>0</v>
          </cell>
          <cell r="AH268">
            <v>3973</v>
          </cell>
          <cell r="AJ268">
            <v>3973</v>
          </cell>
        </row>
        <row r="269">
          <cell r="C269">
            <v>0</v>
          </cell>
          <cell r="D269">
            <v>0</v>
          </cell>
          <cell r="E269">
            <v>0</v>
          </cell>
          <cell r="M269">
            <v>0</v>
          </cell>
          <cell r="N269">
            <v>0</v>
          </cell>
          <cell r="O269">
            <v>0</v>
          </cell>
          <cell r="P269">
            <v>0</v>
          </cell>
          <cell r="Q269">
            <v>0</v>
          </cell>
          <cell r="R269">
            <v>0</v>
          </cell>
          <cell r="S269">
            <v>0</v>
          </cell>
          <cell r="T269">
            <v>0</v>
          </cell>
          <cell r="U269">
            <v>0</v>
          </cell>
          <cell r="V269">
            <v>0</v>
          </cell>
          <cell r="X269">
            <v>0</v>
          </cell>
          <cell r="Y269">
            <v>0</v>
          </cell>
          <cell r="Z269">
            <v>0</v>
          </cell>
          <cell r="AA269">
            <v>0</v>
          </cell>
          <cell r="AB269">
            <v>0</v>
          </cell>
          <cell r="AC269">
            <v>0</v>
          </cell>
          <cell r="AG269">
            <v>0</v>
          </cell>
          <cell r="AH269">
            <v>363.66666666666663</v>
          </cell>
          <cell r="AJ269">
            <v>363.66666666666663</v>
          </cell>
        </row>
        <row r="270">
          <cell r="C270">
            <v>105</v>
          </cell>
          <cell r="D270">
            <v>22</v>
          </cell>
          <cell r="E270">
            <v>83</v>
          </cell>
          <cell r="M270">
            <v>0</v>
          </cell>
          <cell r="N270">
            <v>0</v>
          </cell>
          <cell r="O270">
            <v>0</v>
          </cell>
          <cell r="P270">
            <v>0</v>
          </cell>
          <cell r="Q270">
            <v>0</v>
          </cell>
          <cell r="R270">
            <v>0</v>
          </cell>
          <cell r="S270">
            <v>0</v>
          </cell>
          <cell r="T270">
            <v>0</v>
          </cell>
          <cell r="U270">
            <v>0</v>
          </cell>
          <cell r="V270">
            <v>0</v>
          </cell>
          <cell r="X270">
            <v>0</v>
          </cell>
          <cell r="Y270">
            <v>0</v>
          </cell>
          <cell r="Z270">
            <v>0</v>
          </cell>
          <cell r="AA270">
            <v>0</v>
          </cell>
          <cell r="AB270">
            <v>0</v>
          </cell>
          <cell r="AC270">
            <v>0</v>
          </cell>
          <cell r="AG270">
            <v>0</v>
          </cell>
          <cell r="AH270">
            <v>105</v>
          </cell>
          <cell r="AJ270">
            <v>105</v>
          </cell>
        </row>
        <row r="271">
          <cell r="C271">
            <v>0</v>
          </cell>
          <cell r="D271">
            <v>0</v>
          </cell>
          <cell r="E271">
            <v>0</v>
          </cell>
          <cell r="M271">
            <v>0</v>
          </cell>
          <cell r="N271">
            <v>0</v>
          </cell>
          <cell r="O271">
            <v>28</v>
          </cell>
          <cell r="P271">
            <v>0</v>
          </cell>
          <cell r="Q271">
            <v>0</v>
          </cell>
          <cell r="R271">
            <v>22</v>
          </cell>
          <cell r="S271">
            <v>0</v>
          </cell>
          <cell r="T271">
            <v>0</v>
          </cell>
          <cell r="U271">
            <v>0</v>
          </cell>
          <cell r="V271">
            <v>0</v>
          </cell>
          <cell r="X271">
            <v>0</v>
          </cell>
          <cell r="Y271">
            <v>0</v>
          </cell>
          <cell r="Z271">
            <v>0</v>
          </cell>
          <cell r="AA271">
            <v>16</v>
          </cell>
          <cell r="AB271">
            <v>3</v>
          </cell>
          <cell r="AC271">
            <v>19</v>
          </cell>
          <cell r="AG271">
            <v>795</v>
          </cell>
          <cell r="AH271">
            <v>823</v>
          </cell>
          <cell r="AJ271">
            <v>823</v>
          </cell>
        </row>
        <row r="272">
          <cell r="C272">
            <v>0</v>
          </cell>
          <cell r="D272">
            <v>0</v>
          </cell>
          <cell r="E272">
            <v>0</v>
          </cell>
          <cell r="M272">
            <v>0</v>
          </cell>
          <cell r="N272">
            <v>0</v>
          </cell>
          <cell r="O272">
            <v>0</v>
          </cell>
          <cell r="P272">
            <v>0</v>
          </cell>
          <cell r="Q272">
            <v>0</v>
          </cell>
          <cell r="R272">
            <v>10</v>
          </cell>
          <cell r="S272">
            <v>0</v>
          </cell>
          <cell r="T272">
            <v>0</v>
          </cell>
          <cell r="U272">
            <v>0</v>
          </cell>
          <cell r="V272">
            <v>0</v>
          </cell>
          <cell r="X272">
            <v>0</v>
          </cell>
          <cell r="Y272">
            <v>0</v>
          </cell>
          <cell r="Z272">
            <v>0</v>
          </cell>
          <cell r="AA272">
            <v>69</v>
          </cell>
          <cell r="AB272">
            <v>0</v>
          </cell>
          <cell r="AC272">
            <v>69</v>
          </cell>
          <cell r="AG272">
            <v>0</v>
          </cell>
          <cell r="AH272">
            <v>0</v>
          </cell>
          <cell r="AJ272">
            <v>0</v>
          </cell>
        </row>
        <row r="273">
          <cell r="C273">
            <v>12639.624351355458</v>
          </cell>
          <cell r="D273">
            <v>3119</v>
          </cell>
          <cell r="E273">
            <v>2765.3333333333335</v>
          </cell>
          <cell r="M273">
            <v>2448.6445454545456</v>
          </cell>
          <cell r="N273">
            <v>-609</v>
          </cell>
          <cell r="O273">
            <v>951.81818181818107</v>
          </cell>
          <cell r="P273">
            <v>538</v>
          </cell>
          <cell r="Q273">
            <v>1192.9181818181814</v>
          </cell>
          <cell r="R273">
            <v>-580</v>
          </cell>
          <cell r="S273">
            <v>256.00000000000034</v>
          </cell>
          <cell r="T273">
            <v>270</v>
          </cell>
          <cell r="U273">
            <v>554.70000000000107</v>
          </cell>
          <cell r="V273">
            <v>-309</v>
          </cell>
          <cell r="X273">
            <v>785.2</v>
          </cell>
          <cell r="Y273">
            <v>97.799999999999955</v>
          </cell>
          <cell r="Z273">
            <v>882.99999999999955</v>
          </cell>
          <cell r="AA273">
            <v>0</v>
          </cell>
          <cell r="AB273">
            <v>0</v>
          </cell>
          <cell r="AC273">
            <v>0</v>
          </cell>
          <cell r="AG273">
            <v>-68</v>
          </cell>
          <cell r="AH273">
            <v>16898.915260446371</v>
          </cell>
          <cell r="AJ273">
            <v>16867.915260446367</v>
          </cell>
        </row>
        <row r="274">
          <cell r="C274">
            <v>0</v>
          </cell>
          <cell r="D274">
            <v>0</v>
          </cell>
          <cell r="E274">
            <v>0</v>
          </cell>
          <cell r="M274">
            <v>-425.88000000000011</v>
          </cell>
          <cell r="N274">
            <v>0</v>
          </cell>
          <cell r="O274">
            <v>469</v>
          </cell>
          <cell r="P274">
            <v>145</v>
          </cell>
          <cell r="Q274">
            <v>324</v>
          </cell>
          <cell r="R274">
            <v>0</v>
          </cell>
          <cell r="S274">
            <v>558</v>
          </cell>
          <cell r="T274">
            <v>182</v>
          </cell>
          <cell r="U274">
            <v>376</v>
          </cell>
          <cell r="V274">
            <v>0</v>
          </cell>
          <cell r="X274">
            <v>410</v>
          </cell>
          <cell r="Y274">
            <v>80</v>
          </cell>
          <cell r="Z274">
            <v>433</v>
          </cell>
          <cell r="AA274">
            <v>0</v>
          </cell>
          <cell r="AB274">
            <v>0</v>
          </cell>
          <cell r="AC274">
            <v>0</v>
          </cell>
          <cell r="AG274">
            <v>0</v>
          </cell>
          <cell r="AH274">
            <v>912</v>
          </cell>
          <cell r="AJ274">
            <v>912</v>
          </cell>
        </row>
        <row r="285">
          <cell r="C285" t="str">
            <v>лютий</v>
          </cell>
          <cell r="O285" t="str">
            <v>лютий</v>
          </cell>
          <cell r="S285" t="str">
            <v>лютий</v>
          </cell>
        </row>
        <row r="286">
          <cell r="C286" t="str">
            <v>АППАРАТ</v>
          </cell>
          <cell r="O286" t="str">
            <v>ТЕЦ5</v>
          </cell>
          <cell r="S286" t="str">
            <v>ТЕЦ6</v>
          </cell>
          <cell r="AH286" t="str">
            <v>АК "КЕ"</v>
          </cell>
          <cell r="AJ286" t="str">
            <v>Е/Е</v>
          </cell>
        </row>
        <row r="287">
          <cell r="C287" t="str">
            <v>ПЛАН</v>
          </cell>
          <cell r="O287" t="str">
            <v>ПЛАН</v>
          </cell>
          <cell r="S287" t="str">
            <v>ПЛАН</v>
          </cell>
          <cell r="AH287" t="str">
            <v>ПЛАН</v>
          </cell>
          <cell r="AJ287" t="str">
            <v>ПЛАН</v>
          </cell>
        </row>
        <row r="288">
          <cell r="C288">
            <v>164.3</v>
          </cell>
          <cell r="D288">
            <v>35</v>
          </cell>
          <cell r="E288">
            <v>35</v>
          </cell>
          <cell r="O288">
            <v>182</v>
          </cell>
          <cell r="P288">
            <v>56</v>
          </cell>
          <cell r="Q288">
            <v>56</v>
          </cell>
          <cell r="S288">
            <v>323.66666666666674</v>
          </cell>
          <cell r="T288">
            <v>106</v>
          </cell>
          <cell r="U288">
            <v>105</v>
          </cell>
          <cell r="AH288">
            <v>735.30000000000018</v>
          </cell>
          <cell r="AJ288">
            <v>329.33333333333337</v>
          </cell>
          <cell r="AK288">
            <v>226.33333333333334</v>
          </cell>
        </row>
        <row r="289">
          <cell r="C289">
            <v>29</v>
          </cell>
          <cell r="D289">
            <v>6</v>
          </cell>
          <cell r="O289">
            <v>0</v>
          </cell>
          <cell r="P289">
            <v>0</v>
          </cell>
          <cell r="S289">
            <v>3.6666666666666665</v>
          </cell>
          <cell r="T289">
            <v>1</v>
          </cell>
          <cell r="AH289">
            <v>46</v>
          </cell>
          <cell r="AJ289">
            <v>10</v>
          </cell>
        </row>
        <row r="290">
          <cell r="C290">
            <v>0</v>
          </cell>
          <cell r="D290">
            <v>0</v>
          </cell>
          <cell r="O290">
            <v>146.66666666666666</v>
          </cell>
          <cell r="P290">
            <v>45</v>
          </cell>
          <cell r="S290">
            <v>280.66666666666669</v>
          </cell>
          <cell r="T290">
            <v>92</v>
          </cell>
          <cell r="AH290">
            <v>428</v>
          </cell>
          <cell r="AJ290">
            <v>137.66666666666666</v>
          </cell>
        </row>
        <row r="291">
          <cell r="C291">
            <v>0</v>
          </cell>
          <cell r="D291">
            <v>0</v>
          </cell>
          <cell r="O291">
            <v>0</v>
          </cell>
          <cell r="P291">
            <v>0</v>
          </cell>
          <cell r="S291">
            <v>25</v>
          </cell>
          <cell r="T291">
            <v>8</v>
          </cell>
          <cell r="AH291">
            <v>33.666666666666671</v>
          </cell>
          <cell r="AJ291">
            <v>13</v>
          </cell>
        </row>
        <row r="292">
          <cell r="C292">
            <v>0</v>
          </cell>
          <cell r="D292">
            <v>0</v>
          </cell>
          <cell r="O292">
            <v>25.333333333333332</v>
          </cell>
          <cell r="P292">
            <v>8</v>
          </cell>
          <cell r="S292">
            <v>0.66666666666666663</v>
          </cell>
          <cell r="T292">
            <v>0</v>
          </cell>
          <cell r="AH292">
            <v>26</v>
          </cell>
          <cell r="AJ292">
            <v>8</v>
          </cell>
        </row>
        <row r="293">
          <cell r="C293">
            <v>120.63333333333333</v>
          </cell>
          <cell r="D293">
            <v>26</v>
          </cell>
          <cell r="O293">
            <v>0</v>
          </cell>
          <cell r="P293">
            <v>0</v>
          </cell>
          <cell r="S293" t="str">
            <v>Собівартість</v>
          </cell>
          <cell r="T293">
            <v>0</v>
          </cell>
          <cell r="AH293">
            <v>120.63333333333333</v>
          </cell>
          <cell r="AJ293">
            <v>28</v>
          </cell>
        </row>
        <row r="294">
          <cell r="C294">
            <v>8.6666666666666661</v>
          </cell>
          <cell r="D294">
            <v>2</v>
          </cell>
          <cell r="O294">
            <v>0</v>
          </cell>
          <cell r="P294">
            <v>0</v>
          </cell>
          <cell r="S294">
            <v>0</v>
          </cell>
          <cell r="T294">
            <v>0</v>
          </cell>
          <cell r="U294">
            <v>-25</v>
          </cell>
          <cell r="AH294">
            <v>8.6666666666666661</v>
          </cell>
          <cell r="AJ294">
            <v>0</v>
          </cell>
        </row>
        <row r="295">
          <cell r="C295">
            <v>0</v>
          </cell>
          <cell r="D295">
            <v>0</v>
          </cell>
          <cell r="O295">
            <v>0</v>
          </cell>
          <cell r="P295">
            <v>0</v>
          </cell>
          <cell r="S295">
            <v>0</v>
          </cell>
          <cell r="T295">
            <v>0</v>
          </cell>
          <cell r="U295">
            <v>-1.375</v>
          </cell>
          <cell r="AH295">
            <v>22</v>
          </cell>
          <cell r="AJ295">
            <v>15.333333333333332</v>
          </cell>
        </row>
        <row r="296">
          <cell r="C296">
            <v>5.333333333333333</v>
          </cell>
          <cell r="D296">
            <v>1</v>
          </cell>
          <cell r="O296">
            <v>0</v>
          </cell>
          <cell r="P296">
            <v>0</v>
          </cell>
          <cell r="S296">
            <v>0</v>
          </cell>
          <cell r="T296">
            <v>0</v>
          </cell>
          <cell r="U296">
            <v>-8</v>
          </cell>
          <cell r="AH296">
            <v>5.333333333333333</v>
          </cell>
          <cell r="AJ296">
            <v>1</v>
          </cell>
        </row>
        <row r="297">
          <cell r="C297">
            <v>0.33333333333333331</v>
          </cell>
          <cell r="D297">
            <v>0</v>
          </cell>
          <cell r="O297">
            <v>0</v>
          </cell>
          <cell r="P297">
            <v>0</v>
          </cell>
          <cell r="S297">
            <v>0</v>
          </cell>
          <cell r="T297">
            <v>0</v>
          </cell>
          <cell r="U297">
            <v>-2.1590909090909096</v>
          </cell>
          <cell r="AH297">
            <v>4.6666666666666661</v>
          </cell>
          <cell r="AJ297">
            <v>4.333333333333333</v>
          </cell>
        </row>
        <row r="298">
          <cell r="C298">
            <v>0.33333333333333331</v>
          </cell>
          <cell r="D298">
            <v>0</v>
          </cell>
          <cell r="O298">
            <v>10</v>
          </cell>
          <cell r="P298">
            <v>3</v>
          </cell>
          <cell r="S298">
            <v>13.666666666666666</v>
          </cell>
          <cell r="T298">
            <v>4</v>
          </cell>
          <cell r="AH298">
            <v>26</v>
          </cell>
          <cell r="AJ298">
            <v>9</v>
          </cell>
        </row>
        <row r="299">
          <cell r="C299">
            <v>0</v>
          </cell>
          <cell r="D299">
            <v>0</v>
          </cell>
          <cell r="O299">
            <v>0</v>
          </cell>
          <cell r="P299">
            <v>0</v>
          </cell>
          <cell r="S299">
            <v>0</v>
          </cell>
          <cell r="T299">
            <v>0</v>
          </cell>
          <cell r="AH299">
            <v>0</v>
          </cell>
        </row>
        <row r="300">
          <cell r="C300">
            <v>1.1666666666666667</v>
          </cell>
          <cell r="D300">
            <v>0</v>
          </cell>
          <cell r="O300">
            <v>522.33333333333337</v>
          </cell>
          <cell r="P300">
            <v>162</v>
          </cell>
          <cell r="S300">
            <v>43</v>
          </cell>
          <cell r="T300">
            <v>14</v>
          </cell>
          <cell r="AH300">
            <v>587.33333333333337</v>
          </cell>
          <cell r="AJ300">
            <v>196.5</v>
          </cell>
          <cell r="AK300">
            <v>196.83333333333334</v>
          </cell>
        </row>
        <row r="301">
          <cell r="C301">
            <v>0</v>
          </cell>
          <cell r="D301">
            <v>0</v>
          </cell>
          <cell r="O301">
            <v>0</v>
          </cell>
          <cell r="P301">
            <v>0</v>
          </cell>
          <cell r="S301">
            <v>0</v>
          </cell>
          <cell r="T301">
            <v>0</v>
          </cell>
          <cell r="AH301">
            <v>0</v>
          </cell>
          <cell r="AJ301">
            <v>0</v>
          </cell>
        </row>
        <row r="302">
          <cell r="C302">
            <v>0</v>
          </cell>
          <cell r="D302">
            <v>0</v>
          </cell>
          <cell r="O302">
            <v>480.66666666666669</v>
          </cell>
          <cell r="P302">
            <v>149</v>
          </cell>
          <cell r="S302">
            <v>11</v>
          </cell>
          <cell r="T302">
            <v>4</v>
          </cell>
          <cell r="AH302">
            <v>491.66666666666669</v>
          </cell>
          <cell r="AJ302">
            <v>153</v>
          </cell>
        </row>
        <row r="303">
          <cell r="C303">
            <v>0</v>
          </cell>
          <cell r="D303">
            <v>0</v>
          </cell>
          <cell r="O303">
            <v>0</v>
          </cell>
          <cell r="P303">
            <v>0</v>
          </cell>
          <cell r="S303" t="str">
            <v>ФМЗ ( з відрахуван)</v>
          </cell>
          <cell r="T303">
            <v>0</v>
          </cell>
          <cell r="U303">
            <v>25</v>
          </cell>
          <cell r="AH303">
            <v>0</v>
          </cell>
          <cell r="AJ303">
            <v>0</v>
          </cell>
        </row>
        <row r="304">
          <cell r="C304">
            <v>1.1666666666666667</v>
          </cell>
          <cell r="D304">
            <v>0</v>
          </cell>
          <cell r="O304">
            <v>41.666666666666664</v>
          </cell>
          <cell r="P304">
            <v>13</v>
          </cell>
          <cell r="S304">
            <v>32</v>
          </cell>
          <cell r="T304">
            <v>10</v>
          </cell>
          <cell r="AH304">
            <v>91</v>
          </cell>
          <cell r="AJ304">
            <v>43.833333333333336</v>
          </cell>
        </row>
        <row r="305">
          <cell r="C305">
            <v>0</v>
          </cell>
          <cell r="D305">
            <v>0</v>
          </cell>
          <cell r="O305">
            <v>0</v>
          </cell>
          <cell r="P305">
            <v>0</v>
          </cell>
          <cell r="S305">
            <v>0</v>
          </cell>
          <cell r="T305">
            <v>0</v>
          </cell>
          <cell r="AH305">
            <v>4.666666666666667</v>
          </cell>
          <cell r="AJ305">
            <v>0</v>
          </cell>
        </row>
        <row r="306">
          <cell r="C306">
            <v>0</v>
          </cell>
          <cell r="D306">
            <v>0</v>
          </cell>
          <cell r="O306">
            <v>0</v>
          </cell>
          <cell r="P306">
            <v>0</v>
          </cell>
          <cell r="S306">
            <v>0</v>
          </cell>
          <cell r="T306">
            <v>0</v>
          </cell>
          <cell r="AH306">
            <v>0</v>
          </cell>
        </row>
        <row r="307">
          <cell r="C307">
            <v>10</v>
          </cell>
          <cell r="D307">
            <v>2</v>
          </cell>
          <cell r="O307">
            <v>0</v>
          </cell>
          <cell r="P307">
            <v>0</v>
          </cell>
          <cell r="S307">
            <v>0</v>
          </cell>
          <cell r="T307">
            <v>0</v>
          </cell>
          <cell r="AH307">
            <v>49</v>
          </cell>
          <cell r="AJ307">
            <v>41</v>
          </cell>
          <cell r="AK307">
            <v>42</v>
          </cell>
        </row>
        <row r="308">
          <cell r="C308">
            <v>2.6666666666666665</v>
          </cell>
          <cell r="D308">
            <v>1</v>
          </cell>
          <cell r="O308">
            <v>0</v>
          </cell>
          <cell r="P308">
            <v>0</v>
          </cell>
          <cell r="S308">
            <v>0</v>
          </cell>
          <cell r="T308">
            <v>0</v>
          </cell>
          <cell r="AH308">
            <v>6</v>
          </cell>
          <cell r="AJ308">
            <v>4.3333333333333339</v>
          </cell>
        </row>
        <row r="309">
          <cell r="C309">
            <v>7.333333333333333</v>
          </cell>
          <cell r="D309">
            <v>2</v>
          </cell>
          <cell r="O309">
            <v>0</v>
          </cell>
          <cell r="P309">
            <v>0</v>
          </cell>
          <cell r="S309">
            <v>0</v>
          </cell>
          <cell r="T309">
            <v>0</v>
          </cell>
          <cell r="AH309">
            <v>43</v>
          </cell>
          <cell r="AJ309">
            <v>37.666666666666664</v>
          </cell>
        </row>
        <row r="310">
          <cell r="C310">
            <v>0</v>
          </cell>
          <cell r="D310">
            <v>0</v>
          </cell>
          <cell r="O310">
            <v>0</v>
          </cell>
          <cell r="P310">
            <v>0</v>
          </cell>
          <cell r="S310">
            <v>0</v>
          </cell>
          <cell r="T310">
            <v>0</v>
          </cell>
          <cell r="AH310">
            <v>0</v>
          </cell>
        </row>
        <row r="311">
          <cell r="C311">
            <v>206.33333333333329</v>
          </cell>
          <cell r="D311">
            <v>44</v>
          </cell>
          <cell r="E311">
            <v>43</v>
          </cell>
          <cell r="O311">
            <v>37.833333333333343</v>
          </cell>
          <cell r="P311">
            <v>12</v>
          </cell>
          <cell r="S311">
            <v>26.000000000000004</v>
          </cell>
          <cell r="T311">
            <v>9</v>
          </cell>
          <cell r="AH311">
            <v>1965.0000000000002</v>
          </cell>
          <cell r="AJ311">
            <v>373.16666666666663</v>
          </cell>
          <cell r="AK311">
            <v>373.16666666666663</v>
          </cell>
        </row>
        <row r="312">
          <cell r="C312">
            <v>0</v>
          </cell>
          <cell r="D312">
            <v>0</v>
          </cell>
          <cell r="O312">
            <v>0</v>
          </cell>
          <cell r="P312">
            <v>0</v>
          </cell>
          <cell r="S312">
            <v>0</v>
          </cell>
          <cell r="T312">
            <v>0</v>
          </cell>
          <cell r="AH312">
            <v>1350</v>
          </cell>
          <cell r="AJ312">
            <v>0</v>
          </cell>
        </row>
        <row r="313">
          <cell r="C313">
            <v>0</v>
          </cell>
          <cell r="D313">
            <v>0</v>
          </cell>
          <cell r="O313">
            <v>0</v>
          </cell>
          <cell r="P313">
            <v>0</v>
          </cell>
          <cell r="S313">
            <v>0</v>
          </cell>
          <cell r="T313">
            <v>0</v>
          </cell>
          <cell r="AH313">
            <v>95</v>
          </cell>
          <cell r="AJ313">
            <v>95</v>
          </cell>
        </row>
        <row r="314">
          <cell r="C314">
            <v>0</v>
          </cell>
          <cell r="D314">
            <v>0</v>
          </cell>
          <cell r="O314">
            <v>0</v>
          </cell>
          <cell r="P314">
            <v>0</v>
          </cell>
          <cell r="S314">
            <v>0</v>
          </cell>
          <cell r="T314">
            <v>0</v>
          </cell>
          <cell r="AH314">
            <v>0</v>
          </cell>
          <cell r="AJ314">
            <v>0</v>
          </cell>
        </row>
        <row r="315">
          <cell r="C315">
            <v>0</v>
          </cell>
          <cell r="D315">
            <v>0</v>
          </cell>
          <cell r="O315">
            <v>0</v>
          </cell>
          <cell r="P315">
            <v>0</v>
          </cell>
          <cell r="S315">
            <v>0</v>
          </cell>
          <cell r="T315">
            <v>0</v>
          </cell>
          <cell r="AH315">
            <v>12.333333333333334</v>
          </cell>
          <cell r="AJ315">
            <v>12.333333333333334</v>
          </cell>
        </row>
        <row r="316">
          <cell r="C316">
            <v>0</v>
          </cell>
          <cell r="D316">
            <v>0</v>
          </cell>
          <cell r="O316">
            <v>0</v>
          </cell>
          <cell r="P316">
            <v>0</v>
          </cell>
          <cell r="S316">
            <v>0</v>
          </cell>
          <cell r="T316">
            <v>0</v>
          </cell>
          <cell r="AH316">
            <v>0</v>
          </cell>
          <cell r="AJ316">
            <v>0</v>
          </cell>
        </row>
        <row r="317">
          <cell r="C317">
            <v>1.6666666666666667</v>
          </cell>
          <cell r="D317">
            <v>0</v>
          </cell>
          <cell r="O317">
            <v>3</v>
          </cell>
          <cell r="P317">
            <v>1</v>
          </cell>
          <cell r="S317">
            <v>3</v>
          </cell>
          <cell r="T317">
            <v>1</v>
          </cell>
          <cell r="AH317">
            <v>57.666666666666664</v>
          </cell>
          <cell r="AJ317">
            <v>47</v>
          </cell>
        </row>
        <row r="318">
          <cell r="C318">
            <v>0</v>
          </cell>
          <cell r="D318">
            <v>0</v>
          </cell>
          <cell r="O318">
            <v>0</v>
          </cell>
          <cell r="P318">
            <v>0</v>
          </cell>
          <cell r="S318">
            <v>0</v>
          </cell>
          <cell r="T318">
            <v>0</v>
          </cell>
          <cell r="AH318">
            <v>4</v>
          </cell>
          <cell r="AJ318">
            <v>0</v>
          </cell>
        </row>
        <row r="319">
          <cell r="C319">
            <v>0</v>
          </cell>
          <cell r="D319">
            <v>0</v>
          </cell>
          <cell r="O319">
            <v>0</v>
          </cell>
          <cell r="P319">
            <v>0</v>
          </cell>
          <cell r="S319">
            <v>0</v>
          </cell>
          <cell r="T319">
            <v>0</v>
          </cell>
          <cell r="AH319">
            <v>0</v>
          </cell>
          <cell r="AJ319">
            <v>0</v>
          </cell>
        </row>
        <row r="320">
          <cell r="C320">
            <v>0</v>
          </cell>
          <cell r="D320">
            <v>0</v>
          </cell>
          <cell r="O320">
            <v>4.5</v>
          </cell>
          <cell r="P320">
            <v>1</v>
          </cell>
          <cell r="S320">
            <v>1.3333333333333333</v>
          </cell>
          <cell r="T320">
            <v>0</v>
          </cell>
          <cell r="AH320">
            <v>28.5</v>
          </cell>
          <cell r="AJ320">
            <v>23.5</v>
          </cell>
        </row>
        <row r="321">
          <cell r="C321">
            <v>0</v>
          </cell>
          <cell r="D321">
            <v>0</v>
          </cell>
          <cell r="O321">
            <v>0</v>
          </cell>
          <cell r="P321">
            <v>0</v>
          </cell>
          <cell r="S321">
            <v>1.6666666666666667</v>
          </cell>
          <cell r="T321">
            <v>1</v>
          </cell>
          <cell r="AH321">
            <v>69</v>
          </cell>
          <cell r="AJ321">
            <v>52.333333333333336</v>
          </cell>
        </row>
        <row r="322">
          <cell r="C322">
            <v>177</v>
          </cell>
          <cell r="D322">
            <v>38</v>
          </cell>
          <cell r="O322">
            <v>0</v>
          </cell>
          <cell r="P322">
            <v>0</v>
          </cell>
          <cell r="S322">
            <v>0</v>
          </cell>
          <cell r="T322">
            <v>0</v>
          </cell>
          <cell r="AH322">
            <v>177</v>
          </cell>
          <cell r="AJ322">
            <v>38</v>
          </cell>
        </row>
        <row r="323">
          <cell r="C323">
            <v>0</v>
          </cell>
          <cell r="D323">
            <v>0</v>
          </cell>
          <cell r="O323">
            <v>10</v>
          </cell>
          <cell r="P323">
            <v>3</v>
          </cell>
          <cell r="S323">
            <v>7.666666666666667</v>
          </cell>
          <cell r="T323">
            <v>3</v>
          </cell>
          <cell r="AH323">
            <v>17.666666666666668</v>
          </cell>
          <cell r="AJ323">
            <v>6</v>
          </cell>
        </row>
        <row r="324">
          <cell r="C324">
            <v>0.66666666666666663</v>
          </cell>
          <cell r="D324">
            <v>0</v>
          </cell>
          <cell r="O324">
            <v>1.3333333333333333</v>
          </cell>
          <cell r="P324">
            <v>0</v>
          </cell>
          <cell r="S324">
            <v>1</v>
          </cell>
          <cell r="T324">
            <v>0</v>
          </cell>
          <cell r="AH324">
            <v>6</v>
          </cell>
          <cell r="AJ324">
            <v>2</v>
          </cell>
        </row>
        <row r="325">
          <cell r="C325">
            <v>2.6666666666666665</v>
          </cell>
          <cell r="D325">
            <v>1</v>
          </cell>
          <cell r="O325">
            <v>1</v>
          </cell>
          <cell r="P325">
            <v>0</v>
          </cell>
          <cell r="S325">
            <v>0.66666666666666663</v>
          </cell>
          <cell r="T325">
            <v>0</v>
          </cell>
          <cell r="AH325">
            <v>9.3333333333333339</v>
          </cell>
          <cell r="AJ325">
            <v>3.3333333333333335</v>
          </cell>
        </row>
        <row r="326">
          <cell r="C326">
            <v>0</v>
          </cell>
          <cell r="D326">
            <v>0</v>
          </cell>
          <cell r="O326">
            <v>6</v>
          </cell>
          <cell r="P326">
            <v>2</v>
          </cell>
          <cell r="S326">
            <v>5</v>
          </cell>
          <cell r="T326">
            <v>2</v>
          </cell>
          <cell r="AH326">
            <v>13.333333333333334</v>
          </cell>
          <cell r="AJ326">
            <v>6.3333333333333339</v>
          </cell>
        </row>
        <row r="327">
          <cell r="C327">
            <v>0</v>
          </cell>
          <cell r="D327">
            <v>0</v>
          </cell>
          <cell r="O327">
            <v>0</v>
          </cell>
          <cell r="P327">
            <v>0</v>
          </cell>
          <cell r="S327">
            <v>0</v>
          </cell>
          <cell r="T327">
            <v>0</v>
          </cell>
          <cell r="AH327">
            <v>0</v>
          </cell>
          <cell r="AJ327">
            <v>0</v>
          </cell>
        </row>
        <row r="328">
          <cell r="C328">
            <v>0</v>
          </cell>
          <cell r="D328">
            <v>0</v>
          </cell>
          <cell r="O328">
            <v>0</v>
          </cell>
          <cell r="P328">
            <v>0</v>
          </cell>
          <cell r="S328">
            <v>0</v>
          </cell>
          <cell r="T328">
            <v>0</v>
          </cell>
          <cell r="AH328">
            <v>0</v>
          </cell>
          <cell r="AJ328">
            <v>0</v>
          </cell>
        </row>
        <row r="329">
          <cell r="C329">
            <v>9.6666666666666661</v>
          </cell>
          <cell r="D329">
            <v>2</v>
          </cell>
          <cell r="O329">
            <v>0</v>
          </cell>
          <cell r="P329">
            <v>0</v>
          </cell>
          <cell r="S329">
            <v>0</v>
          </cell>
          <cell r="T329">
            <v>0</v>
          </cell>
          <cell r="AH329">
            <v>12</v>
          </cell>
          <cell r="AJ329">
            <v>4</v>
          </cell>
        </row>
        <row r="330">
          <cell r="C330">
            <v>0</v>
          </cell>
          <cell r="D330">
            <v>0</v>
          </cell>
          <cell r="O330">
            <v>0</v>
          </cell>
          <cell r="P330">
            <v>0</v>
          </cell>
          <cell r="S330">
            <v>0</v>
          </cell>
          <cell r="T330">
            <v>0</v>
          </cell>
          <cell r="AH330">
            <v>0</v>
          </cell>
          <cell r="AJ330">
            <v>0</v>
          </cell>
        </row>
        <row r="331">
          <cell r="C331">
            <v>2.3333333333333335</v>
          </cell>
          <cell r="D331">
            <v>0</v>
          </cell>
          <cell r="O331">
            <v>0.66666666666666663</v>
          </cell>
          <cell r="P331">
            <v>0</v>
          </cell>
          <cell r="S331">
            <v>0.66666666666666663</v>
          </cell>
          <cell r="T331">
            <v>0</v>
          </cell>
          <cell r="AH331">
            <v>4.333333333333333</v>
          </cell>
          <cell r="AJ331">
            <v>0.66666666666666663</v>
          </cell>
        </row>
        <row r="332">
          <cell r="C332">
            <v>1.6666666666666667</v>
          </cell>
          <cell r="D332">
            <v>0</v>
          </cell>
          <cell r="O332">
            <v>0.66666666666666663</v>
          </cell>
          <cell r="P332">
            <v>0</v>
          </cell>
          <cell r="S332">
            <v>0.66666666666666663</v>
          </cell>
          <cell r="T332">
            <v>0</v>
          </cell>
          <cell r="AH332">
            <v>3.6666666666666665</v>
          </cell>
          <cell r="AJ332">
            <v>0.66666666666666663</v>
          </cell>
        </row>
        <row r="333">
          <cell r="C333">
            <v>6.666666666666667</v>
          </cell>
          <cell r="D333">
            <v>1</v>
          </cell>
          <cell r="O333">
            <v>3</v>
          </cell>
          <cell r="P333">
            <v>1</v>
          </cell>
          <cell r="S333">
            <v>2</v>
          </cell>
          <cell r="T333">
            <v>1</v>
          </cell>
          <cell r="AH333">
            <v>33</v>
          </cell>
          <cell r="AJ333">
            <v>17.666666666666668</v>
          </cell>
        </row>
        <row r="334">
          <cell r="C334">
            <v>0</v>
          </cell>
          <cell r="D334">
            <v>0</v>
          </cell>
          <cell r="O334">
            <v>0</v>
          </cell>
          <cell r="P334">
            <v>0</v>
          </cell>
          <cell r="S334">
            <v>0</v>
          </cell>
          <cell r="T334">
            <v>0</v>
          </cell>
          <cell r="AH334">
            <v>0</v>
          </cell>
          <cell r="AJ334">
            <v>0</v>
          </cell>
        </row>
        <row r="335">
          <cell r="C335">
            <v>0</v>
          </cell>
          <cell r="D335">
            <v>0</v>
          </cell>
          <cell r="O335">
            <v>0</v>
          </cell>
          <cell r="P335">
            <v>0</v>
          </cell>
          <cell r="S335">
            <v>0</v>
          </cell>
          <cell r="T335">
            <v>0</v>
          </cell>
          <cell r="AH335">
            <v>0</v>
          </cell>
          <cell r="AJ335">
            <v>53</v>
          </cell>
        </row>
        <row r="336">
          <cell r="C336">
            <v>1</v>
          </cell>
          <cell r="D336">
            <v>0</v>
          </cell>
          <cell r="O336">
            <v>0</v>
          </cell>
          <cell r="P336">
            <v>0</v>
          </cell>
          <cell r="S336">
            <v>0</v>
          </cell>
          <cell r="T336">
            <v>0</v>
          </cell>
          <cell r="AH336">
            <v>1</v>
          </cell>
          <cell r="AJ336">
            <v>1</v>
          </cell>
        </row>
        <row r="337">
          <cell r="C337">
            <v>0</v>
          </cell>
          <cell r="D337">
            <v>0</v>
          </cell>
          <cell r="O337">
            <v>0</v>
          </cell>
          <cell r="P337">
            <v>0</v>
          </cell>
          <cell r="S337">
            <v>0</v>
          </cell>
          <cell r="T337">
            <v>0</v>
          </cell>
          <cell r="AH337">
            <v>0</v>
          </cell>
          <cell r="AJ337">
            <v>0</v>
          </cell>
        </row>
        <row r="338">
          <cell r="C338">
            <v>0</v>
          </cell>
          <cell r="D338">
            <v>0</v>
          </cell>
          <cell r="O338">
            <v>0</v>
          </cell>
          <cell r="P338">
            <v>0</v>
          </cell>
          <cell r="S338">
            <v>0</v>
          </cell>
          <cell r="T338">
            <v>0</v>
          </cell>
          <cell r="AH338">
            <v>0</v>
          </cell>
          <cell r="AJ338">
            <v>0</v>
          </cell>
        </row>
        <row r="339">
          <cell r="C339">
            <v>2.6666666666666665</v>
          </cell>
          <cell r="D339">
            <v>1</v>
          </cell>
          <cell r="O339">
            <v>4</v>
          </cell>
          <cell r="P339">
            <v>1</v>
          </cell>
          <cell r="S339">
            <v>2</v>
          </cell>
          <cell r="T339">
            <v>1</v>
          </cell>
          <cell r="AH339">
            <v>15.666666666666666</v>
          </cell>
          <cell r="AJ339">
            <v>7</v>
          </cell>
        </row>
        <row r="340">
          <cell r="C340">
            <v>0</v>
          </cell>
          <cell r="D340">
            <v>0</v>
          </cell>
          <cell r="O340">
            <v>0</v>
          </cell>
          <cell r="P340">
            <v>0</v>
          </cell>
          <cell r="S340">
            <v>0</v>
          </cell>
          <cell r="T340">
            <v>0</v>
          </cell>
          <cell r="AH340">
            <v>0</v>
          </cell>
          <cell r="AJ340">
            <v>0</v>
          </cell>
        </row>
        <row r="341">
          <cell r="C341">
            <v>0</v>
          </cell>
          <cell r="D341">
            <v>0</v>
          </cell>
          <cell r="O341">
            <v>3.3333333333333335</v>
          </cell>
          <cell r="P341">
            <v>1</v>
          </cell>
          <cell r="S341">
            <v>0</v>
          </cell>
          <cell r="T341">
            <v>0</v>
          </cell>
          <cell r="AH341">
            <v>3.3333333333333335</v>
          </cell>
          <cell r="AJ341">
            <v>1</v>
          </cell>
        </row>
        <row r="342">
          <cell r="C342">
            <v>0.33333333333333331</v>
          </cell>
          <cell r="D342">
            <v>0</v>
          </cell>
          <cell r="O342">
            <v>0.33333333333333331</v>
          </cell>
          <cell r="P342">
            <v>0</v>
          </cell>
          <cell r="S342">
            <v>0.33333333333333331</v>
          </cell>
          <cell r="T342">
            <v>0</v>
          </cell>
          <cell r="AH342">
            <v>1.9999999999999998</v>
          </cell>
          <cell r="AJ342">
            <v>0.33333333333333331</v>
          </cell>
        </row>
        <row r="343">
          <cell r="C343">
            <v>0</v>
          </cell>
          <cell r="D343">
            <v>0</v>
          </cell>
          <cell r="O343">
            <v>0</v>
          </cell>
          <cell r="P343">
            <v>0</v>
          </cell>
          <cell r="S343">
            <v>0</v>
          </cell>
          <cell r="T343">
            <v>0</v>
          </cell>
          <cell r="AH343">
            <v>0</v>
          </cell>
          <cell r="AJ343">
            <v>0</v>
          </cell>
        </row>
        <row r="344">
          <cell r="C344">
            <v>0</v>
          </cell>
          <cell r="D344">
            <v>0</v>
          </cell>
          <cell r="O344">
            <v>0</v>
          </cell>
          <cell r="P344">
            <v>0</v>
          </cell>
          <cell r="S344">
            <v>0</v>
          </cell>
          <cell r="T344">
            <v>0</v>
          </cell>
          <cell r="AH344">
            <v>0</v>
          </cell>
          <cell r="AJ344">
            <v>0</v>
          </cell>
        </row>
        <row r="345">
          <cell r="C345">
            <v>0</v>
          </cell>
          <cell r="D345">
            <v>0</v>
          </cell>
          <cell r="O345">
            <v>0</v>
          </cell>
          <cell r="P345">
            <v>0</v>
          </cell>
          <cell r="S345">
            <v>0</v>
          </cell>
          <cell r="T345">
            <v>0</v>
          </cell>
          <cell r="AH345">
            <v>0</v>
          </cell>
          <cell r="AJ345">
            <v>0</v>
          </cell>
        </row>
        <row r="346">
          <cell r="C346">
            <v>0</v>
          </cell>
          <cell r="D346">
            <v>0</v>
          </cell>
          <cell r="O346">
            <v>0</v>
          </cell>
          <cell r="P346">
            <v>0</v>
          </cell>
          <cell r="S346">
            <v>0</v>
          </cell>
          <cell r="T346">
            <v>0</v>
          </cell>
          <cell r="AH346">
            <v>0</v>
          </cell>
          <cell r="AJ346">
            <v>0</v>
          </cell>
        </row>
        <row r="347">
          <cell r="C347">
            <v>0</v>
          </cell>
          <cell r="D347">
            <v>0</v>
          </cell>
          <cell r="O347">
            <v>0</v>
          </cell>
          <cell r="P347">
            <v>0</v>
          </cell>
          <cell r="S347">
            <v>0</v>
          </cell>
          <cell r="T347">
            <v>0</v>
          </cell>
          <cell r="AH347">
            <v>0</v>
          </cell>
          <cell r="AJ347">
            <v>0</v>
          </cell>
        </row>
        <row r="348">
          <cell r="C348">
            <v>0</v>
          </cell>
          <cell r="D348">
            <v>0</v>
          </cell>
          <cell r="O348">
            <v>0</v>
          </cell>
          <cell r="P348">
            <v>0</v>
          </cell>
          <cell r="S348">
            <v>0</v>
          </cell>
          <cell r="T348">
            <v>0</v>
          </cell>
          <cell r="AH348">
            <v>0</v>
          </cell>
          <cell r="AJ348">
            <v>0</v>
          </cell>
        </row>
        <row r="349">
          <cell r="D349">
            <v>0</v>
          </cell>
          <cell r="O349">
            <v>0</v>
          </cell>
          <cell r="P349">
            <v>0</v>
          </cell>
          <cell r="S349">
            <v>0</v>
          </cell>
          <cell r="T349">
            <v>0</v>
          </cell>
          <cell r="AH349">
            <v>0</v>
          </cell>
          <cell r="AJ349">
            <v>2</v>
          </cell>
        </row>
        <row r="350">
          <cell r="O350">
            <v>0</v>
          </cell>
          <cell r="P350">
            <v>0</v>
          </cell>
          <cell r="S350">
            <v>0</v>
          </cell>
          <cell r="T350">
            <v>0</v>
          </cell>
          <cell r="AH350">
            <v>0</v>
          </cell>
          <cell r="AJ350">
            <v>0</v>
          </cell>
        </row>
      </sheetData>
      <sheetData sheetId="35"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20859.162484848486</v>
          </cell>
          <cell r="N39">
            <v>14796.902727272727</v>
          </cell>
          <cell r="O39">
            <v>51</v>
          </cell>
          <cell r="P39">
            <v>-14745.902727272727</v>
          </cell>
          <cell r="Q39">
            <v>44395.738575757583</v>
          </cell>
          <cell r="R39">
            <v>1921</v>
          </cell>
          <cell r="S39">
            <v>-42474.738575757583</v>
          </cell>
          <cell r="T39">
            <v>16978.723636363633</v>
          </cell>
          <cell r="W39">
            <v>504</v>
          </cell>
          <cell r="X39">
            <v>-16474.723636363633</v>
          </cell>
          <cell r="Y39">
            <v>10027.740606060592</v>
          </cell>
          <cell r="Z39">
            <v>4556</v>
          </cell>
          <cell r="AA39">
            <v>4527.307272727272</v>
          </cell>
          <cell r="AB39">
            <v>354</v>
          </cell>
          <cell r="AC39">
            <v>-9673.7406060605917</v>
          </cell>
          <cell r="AD39">
            <v>24120.28842424243</v>
          </cell>
          <cell r="AE39">
            <v>19507.011090909091</v>
          </cell>
          <cell r="AG39">
            <v>693</v>
          </cell>
          <cell r="AH39">
            <v>693</v>
          </cell>
          <cell r="AI39">
            <v>0</v>
          </cell>
          <cell r="AJ39">
            <v>-23427.28842424243</v>
          </cell>
          <cell r="AN39">
            <v>8475.2999999999993</v>
          </cell>
        </row>
        <row r="40">
          <cell r="AF40">
            <v>4613.2773333333389</v>
          </cell>
          <cell r="AI40">
            <v>0</v>
          </cell>
        </row>
        <row r="41">
          <cell r="C41">
            <v>2856.2818181818179</v>
          </cell>
          <cell r="D41">
            <v>1031</v>
          </cell>
          <cell r="E41">
            <v>1825.2818181818182</v>
          </cell>
          <cell r="N41">
            <v>4905.7127272727275</v>
          </cell>
          <cell r="Q41">
            <v>10981.60090909091</v>
          </cell>
          <cell r="T41">
            <v>4306.8772727272726</v>
          </cell>
          <cell r="U41">
            <v>2180</v>
          </cell>
          <cell r="V41">
            <v>2126.8772727272726</v>
          </cell>
          <cell r="Y41">
            <v>3481.4672727272728</v>
          </cell>
          <cell r="Z41">
            <v>1690</v>
          </cell>
          <cell r="AA41">
            <v>1791.4672727272728</v>
          </cell>
          <cell r="AE41">
            <v>8947.636363636364</v>
          </cell>
          <cell r="AG41">
            <v>535</v>
          </cell>
          <cell r="AH41">
            <v>535</v>
          </cell>
          <cell r="AN41">
            <v>545</v>
          </cell>
          <cell r="AR41">
            <v>3918.3445454545454</v>
          </cell>
        </row>
        <row r="42">
          <cell r="Q42">
            <v>970</v>
          </cell>
          <cell r="V42">
            <v>750</v>
          </cell>
          <cell r="AA42">
            <v>590</v>
          </cell>
          <cell r="AR42">
            <v>2095</v>
          </cell>
        </row>
        <row r="46">
          <cell r="C46">
            <v>3221.1759999999999</v>
          </cell>
          <cell r="D46">
            <v>1164</v>
          </cell>
          <cell r="E46">
            <v>2057.1759999999999</v>
          </cell>
          <cell r="N46">
            <v>2438.1680000000001</v>
          </cell>
          <cell r="P46">
            <v>-2438.1680000000001</v>
          </cell>
          <cell r="Q46">
            <v>4421.0159999999996</v>
          </cell>
          <cell r="S46">
            <v>-4421.0159999999996</v>
          </cell>
          <cell r="T46">
            <v>1050.8879999999999</v>
          </cell>
          <cell r="U46">
            <v>543</v>
          </cell>
          <cell r="V46">
            <v>507.88799999999992</v>
          </cell>
          <cell r="X46">
            <v>-1050.8879999999999</v>
          </cell>
          <cell r="Y46">
            <v>1577.3940000000002</v>
          </cell>
          <cell r="Z46">
            <v>869</v>
          </cell>
          <cell r="AA46">
            <v>708.39400000000012</v>
          </cell>
          <cell r="AC46">
            <v>-1577.3940000000002</v>
          </cell>
          <cell r="AD46">
            <v>2439.5913333333333</v>
          </cell>
          <cell r="AE46">
            <v>1718.93</v>
          </cell>
          <cell r="AF46">
            <v>720.66133333333323</v>
          </cell>
          <cell r="AJ46">
            <v>-2439.5913333333333</v>
          </cell>
          <cell r="AN46">
            <v>0</v>
          </cell>
          <cell r="AP46">
            <v>14758.572</v>
          </cell>
          <cell r="AQ46">
            <v>5120.1679999999997</v>
          </cell>
          <cell r="AR46">
            <v>9638.4040000000005</v>
          </cell>
          <cell r="AS46">
            <v>0</v>
          </cell>
          <cell r="AT46">
            <v>-14758.572</v>
          </cell>
          <cell r="AU46">
            <v>1412</v>
          </cell>
          <cell r="AV46">
            <v>2719</v>
          </cell>
          <cell r="AW46">
            <v>3708.1679999999997</v>
          </cell>
          <cell r="AX46">
            <v>6919.4040000000005</v>
          </cell>
        </row>
        <row r="47">
          <cell r="C47">
            <v>617</v>
          </cell>
          <cell r="E47">
            <v>617</v>
          </cell>
          <cell r="N47">
            <v>624</v>
          </cell>
          <cell r="Q47">
            <v>3327.0186666666668</v>
          </cell>
          <cell r="T47">
            <v>435.25866666666667</v>
          </cell>
          <cell r="U47">
            <v>240</v>
          </cell>
          <cell r="V47">
            <v>195.25866666666667</v>
          </cell>
          <cell r="Y47">
            <v>326.22533333333331</v>
          </cell>
          <cell r="Z47">
            <v>178</v>
          </cell>
          <cell r="AA47">
            <v>148.22533333333334</v>
          </cell>
          <cell r="AC47">
            <v>-326.22533333333331</v>
          </cell>
          <cell r="AD47">
            <v>1997.1707200000001</v>
          </cell>
          <cell r="AE47">
            <v>1860.8825001426665</v>
          </cell>
          <cell r="AF47">
            <v>64</v>
          </cell>
          <cell r="AP47">
            <v>7190.3851668093339</v>
          </cell>
        </row>
        <row r="48">
          <cell r="C48">
            <v>0</v>
          </cell>
          <cell r="E48">
            <v>0</v>
          </cell>
          <cell r="N48">
            <v>1</v>
          </cell>
          <cell r="Q48">
            <v>0</v>
          </cell>
          <cell r="T48">
            <v>114.19266666666665</v>
          </cell>
          <cell r="U48">
            <v>48</v>
          </cell>
          <cell r="V48">
            <v>66.192666666666653</v>
          </cell>
          <cell r="Y48">
            <v>253.52799999999999</v>
          </cell>
          <cell r="Z48">
            <v>102</v>
          </cell>
          <cell r="AA48">
            <v>151.52799999999999</v>
          </cell>
          <cell r="AC48">
            <v>-253.52799999999999</v>
          </cell>
          <cell r="AD48">
            <v>0</v>
          </cell>
          <cell r="AE48">
            <v>0</v>
          </cell>
          <cell r="AF48">
            <v>0</v>
          </cell>
          <cell r="AP48">
            <v>368.72066666666666</v>
          </cell>
        </row>
        <row r="49">
          <cell r="C49">
            <v>1639</v>
          </cell>
          <cell r="E49">
            <v>1639</v>
          </cell>
          <cell r="N49">
            <v>60</v>
          </cell>
          <cell r="Q49">
            <v>280.33333333333337</v>
          </cell>
          <cell r="T49">
            <v>212.62666666666667</v>
          </cell>
          <cell r="U49">
            <v>129</v>
          </cell>
          <cell r="V49">
            <v>83.626666666666665</v>
          </cell>
          <cell r="Y49">
            <v>206.78399999999999</v>
          </cell>
          <cell r="Z49">
            <v>112</v>
          </cell>
          <cell r="AA49">
            <v>94.784000000000006</v>
          </cell>
          <cell r="AC49">
            <v>-206.78399999999999</v>
          </cell>
          <cell r="AD49">
            <v>106.34026666666668</v>
          </cell>
          <cell r="AE49">
            <v>77.197208235490706</v>
          </cell>
          <cell r="AF49">
            <v>26</v>
          </cell>
          <cell r="AP49">
            <v>2475.9412082354906</v>
          </cell>
        </row>
        <row r="50">
          <cell r="C50">
            <v>33.266666666666666</v>
          </cell>
          <cell r="D50">
            <v>11</v>
          </cell>
          <cell r="E50">
            <v>22.266666666666666</v>
          </cell>
          <cell r="N50">
            <v>229.124</v>
          </cell>
          <cell r="P50">
            <v>-229.124</v>
          </cell>
          <cell r="Q50">
            <v>2545.3013333333338</v>
          </cell>
          <cell r="S50">
            <v>-2545.3013333333338</v>
          </cell>
          <cell r="T50">
            <v>5025.0773333333327</v>
          </cell>
          <cell r="U50">
            <v>2439</v>
          </cell>
          <cell r="V50">
            <v>2586.0773333333327</v>
          </cell>
          <cell r="X50">
            <v>-5025.0773333333327</v>
          </cell>
          <cell r="Y50">
            <v>475.97400000000005</v>
          </cell>
          <cell r="Z50">
            <v>228</v>
          </cell>
          <cell r="AA50">
            <v>247.97399999999999</v>
          </cell>
          <cell r="AC50">
            <v>-475.97400000000005</v>
          </cell>
          <cell r="AD50">
            <v>985.95733333333328</v>
          </cell>
          <cell r="AE50">
            <v>739.72</v>
          </cell>
          <cell r="AF50">
            <v>246.23733333333331</v>
          </cell>
          <cell r="AJ50">
            <v>-985.95733333333328</v>
          </cell>
          <cell r="AN50">
            <v>0</v>
          </cell>
          <cell r="AP50">
            <v>9000.4633333333331</v>
          </cell>
          <cell r="AQ50">
            <v>2907.1239999999998</v>
          </cell>
          <cell r="AR50">
            <v>6093.3393333333333</v>
          </cell>
          <cell r="AS50">
            <v>0</v>
          </cell>
          <cell r="AT50">
            <v>-9000.4633333333331</v>
          </cell>
          <cell r="AU50">
            <v>2667</v>
          </cell>
          <cell r="AV50">
            <v>3699</v>
          </cell>
          <cell r="AW50">
            <v>240.1239999999998</v>
          </cell>
          <cell r="AX50">
            <v>2394.3393333333333</v>
          </cell>
        </row>
        <row r="51">
          <cell r="N51">
            <v>0</v>
          </cell>
          <cell r="P51">
            <v>0</v>
          </cell>
          <cell r="Q51">
            <v>101.8</v>
          </cell>
          <cell r="S51">
            <v>-101.8</v>
          </cell>
          <cell r="T51">
            <v>4197.6000000000004</v>
          </cell>
          <cell r="U51">
            <v>1990</v>
          </cell>
          <cell r="V51">
            <v>2207.6000000000004</v>
          </cell>
          <cell r="X51">
            <v>-4197.6000000000004</v>
          </cell>
          <cell r="Y51">
            <v>78.2</v>
          </cell>
          <cell r="Z51">
            <v>38</v>
          </cell>
          <cell r="AA51">
            <v>40.200000000000003</v>
          </cell>
          <cell r="AC51">
            <v>-78.2</v>
          </cell>
          <cell r="AD51">
            <v>1</v>
          </cell>
          <cell r="AE51">
            <v>0</v>
          </cell>
          <cell r="AF51">
            <v>1</v>
          </cell>
          <cell r="AJ51">
            <v>-1</v>
          </cell>
          <cell r="AP51">
            <v>4976.6000000000004</v>
          </cell>
          <cell r="AQ51">
            <v>2627</v>
          </cell>
          <cell r="AR51">
            <v>2349.6000000000004</v>
          </cell>
          <cell r="AS51">
            <v>0</v>
          </cell>
          <cell r="AT51">
            <v>-4976.6000000000004</v>
          </cell>
          <cell r="AU51">
            <v>2028</v>
          </cell>
          <cell r="AV51">
            <v>2282</v>
          </cell>
          <cell r="AW51">
            <v>599</v>
          </cell>
          <cell r="AX51">
            <v>67.600000000000364</v>
          </cell>
        </row>
        <row r="52">
          <cell r="N52">
            <v>0</v>
          </cell>
          <cell r="P52">
            <v>0</v>
          </cell>
          <cell r="Q52">
            <v>69133</v>
          </cell>
          <cell r="S52">
            <v>-69133</v>
          </cell>
          <cell r="T52">
            <v>149098</v>
          </cell>
          <cell r="U52">
            <v>89993.347560975613</v>
          </cell>
          <cell r="V52">
            <v>59104.652439024387</v>
          </cell>
          <cell r="X52">
            <v>-149098</v>
          </cell>
          <cell r="Y52">
            <v>124226</v>
          </cell>
          <cell r="Z52">
            <v>71487.750161952048</v>
          </cell>
          <cell r="AA52">
            <v>52738.249838047945</v>
          </cell>
          <cell r="AC52">
            <v>-124226</v>
          </cell>
          <cell r="AD52">
            <v>0</v>
          </cell>
          <cell r="AE52">
            <v>0</v>
          </cell>
          <cell r="AF52">
            <v>0</v>
          </cell>
          <cell r="AJ52">
            <v>0</v>
          </cell>
          <cell r="AN52">
            <v>0</v>
          </cell>
          <cell r="AP52">
            <v>342458</v>
          </cell>
          <cell r="AQ52">
            <v>161482.09772292766</v>
          </cell>
          <cell r="AR52">
            <v>180975.90227707234</v>
          </cell>
          <cell r="AS52">
            <v>0</v>
          </cell>
          <cell r="AT52">
            <v>-342458</v>
          </cell>
          <cell r="AU52">
            <v>161481.09772292766</v>
          </cell>
          <cell r="AV52">
            <v>180976</v>
          </cell>
          <cell r="AW52">
            <v>1</v>
          </cell>
          <cell r="AX52">
            <v>-9.7722927661379799E-2</v>
          </cell>
        </row>
        <row r="53">
          <cell r="N53">
            <v>0</v>
          </cell>
          <cell r="P53">
            <v>0</v>
          </cell>
          <cell r="Q53">
            <v>69133</v>
          </cell>
          <cell r="S53">
            <v>-69133</v>
          </cell>
          <cell r="T53">
            <v>149098</v>
          </cell>
          <cell r="U53">
            <v>89993.347560975613</v>
          </cell>
          <cell r="V53">
            <v>59104.652439024387</v>
          </cell>
          <cell r="X53">
            <v>-149098</v>
          </cell>
          <cell r="Y53">
            <v>124226</v>
          </cell>
          <cell r="Z53">
            <v>71487.750161952048</v>
          </cell>
          <cell r="AA53">
            <v>52738.249838047945</v>
          </cell>
          <cell r="AC53">
            <v>-124226</v>
          </cell>
          <cell r="AD53">
            <v>0</v>
          </cell>
          <cell r="AE53">
            <v>0</v>
          </cell>
          <cell r="AF53">
            <v>0</v>
          </cell>
          <cell r="AJ53">
            <v>0</v>
          </cell>
          <cell r="AP53">
            <v>342457</v>
          </cell>
          <cell r="AQ53">
            <v>161481.09772292766</v>
          </cell>
          <cell r="AR53">
            <v>180975.90227707234</v>
          </cell>
          <cell r="AS53">
            <v>0</v>
          </cell>
          <cell r="AT53">
            <v>-342457</v>
          </cell>
          <cell r="AU53">
            <v>161481.09772292766</v>
          </cell>
          <cell r="AV53">
            <v>180976</v>
          </cell>
          <cell r="AW53">
            <v>0</v>
          </cell>
          <cell r="AX53">
            <v>-9.7722927661379799E-2</v>
          </cell>
        </row>
        <row r="54">
          <cell r="N54">
            <v>0</v>
          </cell>
          <cell r="P54">
            <v>0</v>
          </cell>
          <cell r="Q54">
            <v>0</v>
          </cell>
          <cell r="S54">
            <v>0</v>
          </cell>
          <cell r="T54">
            <v>0</v>
          </cell>
          <cell r="U54">
            <v>0</v>
          </cell>
          <cell r="Y54">
            <v>0</v>
          </cell>
          <cell r="Z54">
            <v>0</v>
          </cell>
          <cell r="AA54">
            <v>0</v>
          </cell>
          <cell r="AD54">
            <v>0</v>
          </cell>
          <cell r="AE54">
            <v>0</v>
          </cell>
          <cell r="AF54">
            <v>0</v>
          </cell>
          <cell r="AS54">
            <v>0</v>
          </cell>
          <cell r="AT54">
            <v>0</v>
          </cell>
          <cell r="AV54">
            <v>0</v>
          </cell>
        </row>
        <row r="55">
          <cell r="C55">
            <v>38.4</v>
          </cell>
          <cell r="D55">
            <v>14</v>
          </cell>
          <cell r="E55">
            <v>24.4</v>
          </cell>
          <cell r="N55">
            <v>219.08600000000001</v>
          </cell>
          <cell r="P55">
            <v>-219.08600000000001</v>
          </cell>
          <cell r="Q55">
            <v>11113.690666666667</v>
          </cell>
          <cell r="S55">
            <v>-11113.690666666667</v>
          </cell>
          <cell r="T55">
            <v>0</v>
          </cell>
          <cell r="U55">
            <v>0</v>
          </cell>
          <cell r="V55">
            <v>0</v>
          </cell>
          <cell r="X55">
            <v>0</v>
          </cell>
          <cell r="Y55">
            <v>0</v>
          </cell>
          <cell r="Z55">
            <v>0</v>
          </cell>
          <cell r="AA55">
            <v>0</v>
          </cell>
          <cell r="AC55">
            <v>0</v>
          </cell>
          <cell r="AD55">
            <v>4291.1900000000005</v>
          </cell>
          <cell r="AE55">
            <v>1816.672</v>
          </cell>
          <cell r="AF55">
            <v>2474.518</v>
          </cell>
          <cell r="AJ55">
            <v>-4291.1900000000005</v>
          </cell>
          <cell r="AN55">
            <v>0</v>
          </cell>
          <cell r="AP55">
            <v>13188.848666666669</v>
          </cell>
          <cell r="AQ55">
            <v>234.08600000000001</v>
          </cell>
          <cell r="AR55">
            <v>12954.762666666669</v>
          </cell>
          <cell r="AS55">
            <v>-1</v>
          </cell>
          <cell r="AT55">
            <v>-13189.848666666669</v>
          </cell>
          <cell r="AU55">
            <v>0</v>
          </cell>
          <cell r="AV55">
            <v>3779</v>
          </cell>
          <cell r="AW55">
            <v>234.08600000000001</v>
          </cell>
          <cell r="AX55">
            <v>9175.7626666666692</v>
          </cell>
        </row>
        <row r="56">
          <cell r="C56">
            <v>2080.2818181818179</v>
          </cell>
          <cell r="D56">
            <v>737</v>
          </cell>
          <cell r="E56">
            <v>1343.2818181818182</v>
          </cell>
          <cell r="N56">
            <v>3164.3793939393945</v>
          </cell>
          <cell r="P56">
            <v>-3164.3793939393945</v>
          </cell>
          <cell r="Q56">
            <v>5784.0554545454543</v>
          </cell>
          <cell r="S56">
            <v>-5784.0554545454543</v>
          </cell>
          <cell r="T56">
            <v>1859.6045454545456</v>
          </cell>
          <cell r="U56">
            <v>935</v>
          </cell>
          <cell r="V56">
            <v>924.60454545454559</v>
          </cell>
          <cell r="X56">
            <v>-1859.6045454545456</v>
          </cell>
          <cell r="Y56">
            <v>1648.4672727272728</v>
          </cell>
          <cell r="Z56">
            <v>799</v>
          </cell>
          <cell r="AA56">
            <v>849.46727272727276</v>
          </cell>
          <cell r="AC56">
            <v>-1648.4672727272728</v>
          </cell>
          <cell r="AD56">
            <v>6238.4354545454553</v>
          </cell>
          <cell r="AE56">
            <v>5686.545454545454</v>
          </cell>
          <cell r="AF56">
            <v>551.89000000000033</v>
          </cell>
          <cell r="AJ56">
            <v>-6238.4354545454553</v>
          </cell>
          <cell r="AN56">
            <v>0</v>
          </cell>
          <cell r="AP56">
            <v>20770.333939393939</v>
          </cell>
          <cell r="AQ56">
            <v>6005.3793939393945</v>
          </cell>
          <cell r="AR56">
            <v>14764.954545454544</v>
          </cell>
          <cell r="AS56">
            <v>0</v>
          </cell>
          <cell r="AT56">
            <v>-20770.333939393939</v>
          </cell>
          <cell r="AU56">
            <v>1734</v>
          </cell>
          <cell r="AV56">
            <v>3741</v>
          </cell>
          <cell r="AW56">
            <v>4271.3793939393945</v>
          </cell>
          <cell r="AX56">
            <v>11023.954545454544</v>
          </cell>
        </row>
        <row r="57">
          <cell r="C57">
            <v>113</v>
          </cell>
          <cell r="D57">
            <v>40</v>
          </cell>
          <cell r="E57">
            <v>73</v>
          </cell>
          <cell r="N57">
            <v>175</v>
          </cell>
          <cell r="P57">
            <v>-175</v>
          </cell>
          <cell r="Q57">
            <v>318</v>
          </cell>
          <cell r="S57">
            <v>-318</v>
          </cell>
          <cell r="T57">
            <v>101</v>
          </cell>
          <cell r="U57">
            <v>51</v>
          </cell>
          <cell r="V57">
            <v>50</v>
          </cell>
          <cell r="X57">
            <v>-101</v>
          </cell>
          <cell r="Y57">
            <v>90</v>
          </cell>
          <cell r="Z57">
            <v>44</v>
          </cell>
          <cell r="AA57">
            <v>46</v>
          </cell>
          <cell r="AC57">
            <v>-90</v>
          </cell>
          <cell r="AD57">
            <v>344</v>
          </cell>
          <cell r="AE57">
            <v>312</v>
          </cell>
          <cell r="AF57">
            <v>32</v>
          </cell>
          <cell r="AJ57">
            <v>-344</v>
          </cell>
          <cell r="AN57">
            <v>0</v>
          </cell>
          <cell r="AP57">
            <v>1138</v>
          </cell>
          <cell r="AQ57">
            <v>330</v>
          </cell>
          <cell r="AR57">
            <v>808</v>
          </cell>
          <cell r="AS57">
            <v>0</v>
          </cell>
          <cell r="AT57">
            <v>-1138</v>
          </cell>
          <cell r="AU57">
            <v>95</v>
          </cell>
          <cell r="AV57">
            <v>156</v>
          </cell>
          <cell r="AW57">
            <v>235</v>
          </cell>
          <cell r="AX57">
            <v>652</v>
          </cell>
        </row>
        <row r="58">
          <cell r="C58">
            <v>663</v>
          </cell>
          <cell r="D58">
            <v>254</v>
          </cell>
          <cell r="E58">
            <v>409</v>
          </cell>
          <cell r="N58">
            <v>1014</v>
          </cell>
          <cell r="P58">
            <v>-1014</v>
          </cell>
          <cell r="Q58">
            <v>1849</v>
          </cell>
          <cell r="S58">
            <v>-1849</v>
          </cell>
          <cell r="T58">
            <v>595</v>
          </cell>
          <cell r="U58">
            <v>299</v>
          </cell>
          <cell r="V58">
            <v>296</v>
          </cell>
          <cell r="X58">
            <v>-595</v>
          </cell>
          <cell r="Y58">
            <v>527</v>
          </cell>
          <cell r="Z58">
            <v>256</v>
          </cell>
          <cell r="AA58">
            <v>271</v>
          </cell>
          <cell r="AC58">
            <v>-527</v>
          </cell>
          <cell r="AD58">
            <v>1997</v>
          </cell>
          <cell r="AE58">
            <v>1820</v>
          </cell>
          <cell r="AF58">
            <v>177</v>
          </cell>
          <cell r="AJ58">
            <v>-1997</v>
          </cell>
          <cell r="AN58">
            <v>0</v>
          </cell>
          <cell r="AP58">
            <v>6643</v>
          </cell>
          <cell r="AQ58">
            <v>1940</v>
          </cell>
          <cell r="AR58">
            <v>4703</v>
          </cell>
          <cell r="AS58">
            <v>1</v>
          </cell>
          <cell r="AT58">
            <v>-6642</v>
          </cell>
          <cell r="AU58">
            <v>0</v>
          </cell>
          <cell r="AV58">
            <v>0</v>
          </cell>
          <cell r="AW58">
            <v>0</v>
          </cell>
          <cell r="AX58">
            <v>0</v>
          </cell>
        </row>
        <row r="59">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J59">
            <v>0</v>
          </cell>
          <cell r="AN59">
            <v>37</v>
          </cell>
          <cell r="AP59">
            <v>0</v>
          </cell>
          <cell r="AQ59">
            <v>0</v>
          </cell>
          <cell r="AR59">
            <v>0</v>
          </cell>
          <cell r="AS59">
            <v>0</v>
          </cell>
          <cell r="AT59">
            <v>0</v>
          </cell>
          <cell r="AU59">
            <v>0</v>
          </cell>
          <cell r="AV59">
            <v>0</v>
          </cell>
          <cell r="AW59">
            <v>0</v>
          </cell>
          <cell r="AX59">
            <v>0</v>
          </cell>
        </row>
        <row r="60">
          <cell r="C60">
            <v>499.66666666666663</v>
          </cell>
          <cell r="D60">
            <v>175</v>
          </cell>
          <cell r="E60">
            <v>324.66666666666663</v>
          </cell>
          <cell r="N60">
            <v>3174</v>
          </cell>
          <cell r="P60">
            <v>-3174</v>
          </cell>
          <cell r="Q60">
            <v>6950</v>
          </cell>
          <cell r="S60">
            <v>-6950</v>
          </cell>
          <cell r="T60">
            <v>3715</v>
          </cell>
          <cell r="U60">
            <v>1797</v>
          </cell>
          <cell r="V60">
            <v>1918</v>
          </cell>
          <cell r="X60">
            <v>-3715</v>
          </cell>
          <cell r="Y60">
            <v>3890</v>
          </cell>
          <cell r="Z60">
            <v>1798</v>
          </cell>
          <cell r="AA60">
            <v>2092</v>
          </cell>
          <cell r="AC60">
            <v>-3890</v>
          </cell>
          <cell r="AD60">
            <v>3303.666666666667</v>
          </cell>
          <cell r="AE60">
            <v>3152.3333333333335</v>
          </cell>
          <cell r="AF60">
            <v>151.33333333333326</v>
          </cell>
          <cell r="AJ60">
            <v>-3303.666666666667</v>
          </cell>
          <cell r="AN60">
            <v>0</v>
          </cell>
          <cell r="AP60">
            <v>21339.999999999996</v>
          </cell>
          <cell r="AQ60">
            <v>6957</v>
          </cell>
          <cell r="AR60">
            <v>14382.999999999996</v>
          </cell>
          <cell r="AS60">
            <v>0</v>
          </cell>
          <cell r="AT60">
            <v>-21339.999999999996</v>
          </cell>
          <cell r="AU60">
            <v>3595</v>
          </cell>
          <cell r="AV60">
            <v>6373</v>
          </cell>
          <cell r="AW60">
            <v>3362</v>
          </cell>
          <cell r="AX60">
            <v>8009.9999999999964</v>
          </cell>
        </row>
        <row r="61">
          <cell r="N61">
            <v>0</v>
          </cell>
          <cell r="P61">
            <v>0</v>
          </cell>
          <cell r="Q61">
            <v>0</v>
          </cell>
          <cell r="S61">
            <v>0</v>
          </cell>
          <cell r="T61">
            <v>0</v>
          </cell>
          <cell r="U61">
            <v>0</v>
          </cell>
          <cell r="X61">
            <v>0</v>
          </cell>
          <cell r="Y61">
            <v>0</v>
          </cell>
          <cell r="Z61">
            <v>0</v>
          </cell>
          <cell r="AA61">
            <v>0</v>
          </cell>
          <cell r="AC61">
            <v>0</v>
          </cell>
          <cell r="AD61">
            <v>0</v>
          </cell>
          <cell r="AE61">
            <v>0</v>
          </cell>
          <cell r="AF61">
            <v>0</v>
          </cell>
          <cell r="AJ61">
            <v>0</v>
          </cell>
          <cell r="AP61">
            <v>295</v>
          </cell>
          <cell r="AS61">
            <v>0</v>
          </cell>
          <cell r="AT61">
            <v>-295</v>
          </cell>
        </row>
        <row r="62">
          <cell r="C62">
            <v>410</v>
          </cell>
          <cell r="D62">
            <v>135</v>
          </cell>
          <cell r="E62">
            <v>275</v>
          </cell>
          <cell r="N62">
            <v>3294.15</v>
          </cell>
          <cell r="P62">
            <v>-3294.15</v>
          </cell>
          <cell r="Q62">
            <v>7217.8940000000002</v>
          </cell>
          <cell r="S62">
            <v>-7217.8940000000002</v>
          </cell>
          <cell r="T62">
            <v>502.97</v>
          </cell>
          <cell r="U62">
            <v>53</v>
          </cell>
          <cell r="X62">
            <v>-502.97</v>
          </cell>
          <cell r="Y62">
            <v>780.26</v>
          </cell>
          <cell r="Z62">
            <v>28</v>
          </cell>
          <cell r="AA62">
            <v>197.76000000000002</v>
          </cell>
          <cell r="AC62">
            <v>-780.26</v>
          </cell>
          <cell r="AD62">
            <v>2119.4499999999998</v>
          </cell>
          <cell r="AE62">
            <v>1959.45</v>
          </cell>
          <cell r="AF62">
            <v>160</v>
          </cell>
          <cell r="AJ62">
            <v>-2119.4499999999998</v>
          </cell>
          <cell r="AP62">
            <v>14190.724</v>
          </cell>
          <cell r="AQ62">
            <v>3533.15</v>
          </cell>
          <cell r="AR62">
            <v>10657.574000000001</v>
          </cell>
          <cell r="AS62">
            <v>0</v>
          </cell>
          <cell r="AT62">
            <v>-14190.724</v>
          </cell>
          <cell r="AV62">
            <v>2183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J63">
            <v>0</v>
          </cell>
          <cell r="AP63">
            <v>94</v>
          </cell>
          <cell r="AQ63">
            <v>94</v>
          </cell>
          <cell r="AR63">
            <v>0</v>
          </cell>
          <cell r="AS63">
            <v>0</v>
          </cell>
          <cell r="AT63">
            <v>-94</v>
          </cell>
          <cell r="AV63">
            <v>0</v>
          </cell>
        </row>
        <row r="64">
          <cell r="C64">
            <v>98.333333333333329</v>
          </cell>
          <cell r="D64">
            <v>40</v>
          </cell>
          <cell r="E64">
            <v>49.333333333333329</v>
          </cell>
          <cell r="N64">
            <v>-120.15000000000009</v>
          </cell>
          <cell r="P64">
            <v>120.15000000000009</v>
          </cell>
          <cell r="Q64">
            <v>-267.89399999999978</v>
          </cell>
          <cell r="S64">
            <v>267.89399999999978</v>
          </cell>
          <cell r="T64">
            <v>3212.0299999999997</v>
          </cell>
          <cell r="U64">
            <v>1744</v>
          </cell>
          <cell r="X64">
            <v>-3212.0299999999997</v>
          </cell>
          <cell r="Y64">
            <v>3109.74</v>
          </cell>
          <cell r="Z64">
            <v>1770</v>
          </cell>
          <cell r="AA64">
            <v>1894.24</v>
          </cell>
          <cell r="AC64">
            <v>-3109.74</v>
          </cell>
          <cell r="AD64">
            <v>1184.2166666666667</v>
          </cell>
          <cell r="AE64">
            <v>1109.8833333333334</v>
          </cell>
          <cell r="AF64">
            <v>74.333333333333258</v>
          </cell>
          <cell r="AJ64">
            <v>-1184.2166666666667</v>
          </cell>
          <cell r="AP64">
            <v>7128.9426666666659</v>
          </cell>
          <cell r="AS64">
            <v>0</v>
          </cell>
          <cell r="AT64">
            <v>-7128.9426666666659</v>
          </cell>
        </row>
        <row r="65">
          <cell r="C65">
            <v>1024.242</v>
          </cell>
          <cell r="D65">
            <v>352</v>
          </cell>
          <cell r="E65">
            <v>672.24199999999996</v>
          </cell>
          <cell r="N65">
            <v>3327.1</v>
          </cell>
          <cell r="P65">
            <v>-3327.1</v>
          </cell>
          <cell r="Q65">
            <v>7376.4954545454548</v>
          </cell>
          <cell r="S65">
            <v>-7376.4954545454548</v>
          </cell>
          <cell r="T65">
            <v>6917.4590909090903</v>
          </cell>
          <cell r="U65">
            <v>4051</v>
          </cell>
          <cell r="V65">
            <v>2866.4590909090903</v>
          </cell>
          <cell r="X65">
            <v>-6917.4590909090903</v>
          </cell>
          <cell r="Y65">
            <v>4112.3999999999996</v>
          </cell>
          <cell r="Z65">
            <v>2124</v>
          </cell>
          <cell r="AA65">
            <v>1988.4</v>
          </cell>
          <cell r="AC65">
            <v>-4112.3999999999996</v>
          </cell>
          <cell r="AD65">
            <v>4515.7636363636366</v>
          </cell>
          <cell r="AE65">
            <v>4442.7636363636366</v>
          </cell>
          <cell r="AF65">
            <v>73</v>
          </cell>
          <cell r="AJ65">
            <v>-4515.7636363636366</v>
          </cell>
          <cell r="AP65">
            <v>27128.46018181818</v>
          </cell>
          <cell r="AQ65">
            <v>9876.1</v>
          </cell>
          <cell r="AR65">
            <v>17252.360181818178</v>
          </cell>
          <cell r="AS65">
            <v>0</v>
          </cell>
          <cell r="AT65">
            <v>-27128.46018181818</v>
          </cell>
          <cell r="AU65">
            <v>6175</v>
          </cell>
          <cell r="AV65">
            <v>7363</v>
          </cell>
          <cell r="AW65">
            <v>3701.1000000000004</v>
          </cell>
          <cell r="AX65">
            <v>9889.3601818181778</v>
          </cell>
        </row>
        <row r="66">
          <cell r="C66">
            <v>0</v>
          </cell>
          <cell r="D66">
            <v>0</v>
          </cell>
          <cell r="E66">
            <v>0</v>
          </cell>
          <cell r="N66">
            <v>400.33333333333331</v>
          </cell>
          <cell r="P66">
            <v>-400.33333333333331</v>
          </cell>
          <cell r="Q66">
            <v>2205.545454545455</v>
          </cell>
          <cell r="S66">
            <v>-2205.545454545455</v>
          </cell>
          <cell r="T66">
            <v>1273.2727272727273</v>
          </cell>
          <cell r="U66">
            <v>651</v>
          </cell>
          <cell r="V66">
            <v>622.27272727272725</v>
          </cell>
          <cell r="X66">
            <v>-1273.2727272727273</v>
          </cell>
          <cell r="Y66">
            <v>883</v>
          </cell>
          <cell r="Z66">
            <v>428</v>
          </cell>
          <cell r="AA66">
            <v>455</v>
          </cell>
          <cell r="AC66">
            <v>-883</v>
          </cell>
          <cell r="AD66">
            <v>821.09090909090912</v>
          </cell>
          <cell r="AE66">
            <v>821.09090909090912</v>
          </cell>
          <cell r="AF66">
            <v>0</v>
          </cell>
          <cell r="AJ66">
            <v>-821.09090909090912</v>
          </cell>
          <cell r="AP66">
            <v>5583.2424242424249</v>
          </cell>
          <cell r="AQ66">
            <v>1479.3333333333333</v>
          </cell>
          <cell r="AR66">
            <v>4103.9090909090919</v>
          </cell>
          <cell r="AS66">
            <v>0</v>
          </cell>
          <cell r="AT66">
            <v>-5583.2424242424249</v>
          </cell>
        </row>
        <row r="67">
          <cell r="C67">
            <v>0</v>
          </cell>
          <cell r="D67">
            <v>0</v>
          </cell>
          <cell r="E67">
            <v>0</v>
          </cell>
          <cell r="N67">
            <v>23</v>
          </cell>
          <cell r="P67">
            <v>-23</v>
          </cell>
          <cell r="Q67">
            <v>121</v>
          </cell>
          <cell r="S67">
            <v>-121</v>
          </cell>
          <cell r="T67">
            <v>70</v>
          </cell>
          <cell r="U67">
            <v>36</v>
          </cell>
          <cell r="V67">
            <v>34</v>
          </cell>
          <cell r="X67">
            <v>-70</v>
          </cell>
          <cell r="Y67">
            <v>48</v>
          </cell>
          <cell r="Z67">
            <v>24</v>
          </cell>
          <cell r="AA67">
            <v>24</v>
          </cell>
          <cell r="AC67">
            <v>-48</v>
          </cell>
          <cell r="AD67">
            <v>45</v>
          </cell>
          <cell r="AE67">
            <v>45</v>
          </cell>
          <cell r="AF67">
            <v>0</v>
          </cell>
          <cell r="AJ67">
            <v>-45</v>
          </cell>
          <cell r="AP67">
            <v>369</v>
          </cell>
          <cell r="AQ67">
            <v>145</v>
          </cell>
          <cell r="AR67">
            <v>224</v>
          </cell>
          <cell r="AS67">
            <v>0</v>
          </cell>
          <cell r="AT67">
            <v>-369</v>
          </cell>
        </row>
        <row r="68">
          <cell r="C68">
            <v>0</v>
          </cell>
          <cell r="D68">
            <v>0</v>
          </cell>
          <cell r="E68">
            <v>0</v>
          </cell>
          <cell r="N68">
            <v>129</v>
          </cell>
          <cell r="P68">
            <v>-129</v>
          </cell>
          <cell r="Q68">
            <v>704</v>
          </cell>
          <cell r="S68">
            <v>-704</v>
          </cell>
          <cell r="T68">
            <v>408</v>
          </cell>
          <cell r="U68">
            <v>208</v>
          </cell>
          <cell r="V68">
            <v>200</v>
          </cell>
          <cell r="X68">
            <v>-408</v>
          </cell>
          <cell r="Y68">
            <v>285</v>
          </cell>
          <cell r="Z68">
            <v>139</v>
          </cell>
          <cell r="AA68">
            <v>146</v>
          </cell>
          <cell r="AC68">
            <v>-285</v>
          </cell>
          <cell r="AD68">
            <v>263</v>
          </cell>
          <cell r="AE68">
            <v>263</v>
          </cell>
          <cell r="AF68">
            <v>0</v>
          </cell>
          <cell r="AJ68">
            <v>-263</v>
          </cell>
          <cell r="AP68">
            <v>1789</v>
          </cell>
          <cell r="AQ68">
            <v>476</v>
          </cell>
          <cell r="AR68">
            <v>1313</v>
          </cell>
          <cell r="AS68">
            <v>620</v>
          </cell>
          <cell r="AT68">
            <v>-1169</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J69">
            <v>0</v>
          </cell>
          <cell r="AP69">
            <v>-13</v>
          </cell>
          <cell r="AQ69">
            <v>-13</v>
          </cell>
          <cell r="AR69">
            <v>0</v>
          </cell>
          <cell r="AS69">
            <v>0</v>
          </cell>
          <cell r="AT69">
            <v>13</v>
          </cell>
        </row>
        <row r="70">
          <cell r="C70">
            <v>0</v>
          </cell>
          <cell r="D70">
            <v>0</v>
          </cell>
          <cell r="E70">
            <v>0</v>
          </cell>
          <cell r="N70">
            <v>1554.6</v>
          </cell>
          <cell r="P70">
            <v>-1554.6</v>
          </cell>
          <cell r="Q70">
            <v>1487</v>
          </cell>
          <cell r="S70">
            <v>-1487</v>
          </cell>
          <cell r="T70">
            <v>0</v>
          </cell>
          <cell r="U70">
            <v>2102</v>
          </cell>
          <cell r="V70">
            <v>-2102</v>
          </cell>
          <cell r="X70">
            <v>0</v>
          </cell>
          <cell r="Y70">
            <v>0</v>
          </cell>
          <cell r="Z70">
            <v>838</v>
          </cell>
          <cell r="AA70">
            <v>1754</v>
          </cell>
          <cell r="AC70">
            <v>0</v>
          </cell>
          <cell r="AD70">
            <v>1173</v>
          </cell>
          <cell r="AE70">
            <v>1883</v>
          </cell>
          <cell r="AF70">
            <v>441</v>
          </cell>
          <cell r="AJ70">
            <v>-1173</v>
          </cell>
          <cell r="AP70">
            <v>5109.6000000000004</v>
          </cell>
          <cell r="AQ70">
            <v>4679.6000000000004</v>
          </cell>
          <cell r="AS70">
            <v>0</v>
          </cell>
          <cell r="AT70">
            <v>-5109.6000000000004</v>
          </cell>
        </row>
        <row r="71">
          <cell r="C71">
            <v>0</v>
          </cell>
          <cell r="D71">
            <v>0</v>
          </cell>
          <cell r="E71">
            <v>0</v>
          </cell>
          <cell r="N71">
            <v>289</v>
          </cell>
          <cell r="P71">
            <v>-289</v>
          </cell>
          <cell r="Q71">
            <v>1765.45</v>
          </cell>
          <cell r="S71">
            <v>-1765.45</v>
          </cell>
          <cell r="T71">
            <v>0</v>
          </cell>
          <cell r="U71">
            <v>408</v>
          </cell>
          <cell r="V71">
            <v>0</v>
          </cell>
          <cell r="X71">
            <v>0</v>
          </cell>
          <cell r="Y71">
            <v>0</v>
          </cell>
          <cell r="Z71">
            <v>218</v>
          </cell>
          <cell r="AA71">
            <v>102</v>
          </cell>
          <cell r="AC71">
            <v>0</v>
          </cell>
          <cell r="AD71">
            <v>0</v>
          </cell>
          <cell r="AE71">
            <v>148.36363636363637</v>
          </cell>
          <cell r="AF71">
            <v>70</v>
          </cell>
          <cell r="AJ71">
            <v>0</v>
          </cell>
          <cell r="AP71">
            <v>2202.8136363636363</v>
          </cell>
          <cell r="AQ71">
            <v>915</v>
          </cell>
          <cell r="AS71">
            <v>0</v>
          </cell>
          <cell r="AT71">
            <v>-2202.8136363636363</v>
          </cell>
        </row>
        <row r="72">
          <cell r="C72">
            <v>10849.462666666666</v>
          </cell>
          <cell r="D72">
            <v>4207</v>
          </cell>
          <cell r="E72">
            <v>6642.4626666666672</v>
          </cell>
          <cell r="N72">
            <v>473.07000000000005</v>
          </cell>
          <cell r="P72">
            <v>-473.07000000000005</v>
          </cell>
          <cell r="Q72">
            <v>1406.3516666666667</v>
          </cell>
          <cell r="S72">
            <v>-1406.3516666666667</v>
          </cell>
          <cell r="T72">
            <v>498.45800000000003</v>
          </cell>
          <cell r="U72">
            <v>255</v>
          </cell>
          <cell r="V72">
            <v>243.45800000000003</v>
          </cell>
          <cell r="X72">
            <v>-498.45800000000003</v>
          </cell>
          <cell r="Y72">
            <v>426.31200000000001</v>
          </cell>
          <cell r="Z72">
            <v>208</v>
          </cell>
          <cell r="AA72">
            <v>218.31200000000001</v>
          </cell>
          <cell r="AC72">
            <v>-426.31200000000001</v>
          </cell>
          <cell r="AD72">
            <v>1069.9006666666667</v>
          </cell>
          <cell r="AE72">
            <v>901.93000000000006</v>
          </cell>
          <cell r="AF72">
            <v>167.97066666666666</v>
          </cell>
          <cell r="AJ72">
            <v>-1069.9006666666667</v>
          </cell>
          <cell r="AN72">
            <v>0</v>
          </cell>
          <cell r="AP72">
            <v>15543.584333333334</v>
          </cell>
          <cell r="AQ72">
            <v>5655.07</v>
          </cell>
          <cell r="AR72">
            <v>9888.5143333333344</v>
          </cell>
          <cell r="AS72">
            <v>8</v>
          </cell>
          <cell r="AT72">
            <v>-15535.584333333334</v>
          </cell>
          <cell r="AU72">
            <v>463</v>
          </cell>
          <cell r="AV72">
            <v>940</v>
          </cell>
          <cell r="AW72">
            <v>2971.07</v>
          </cell>
          <cell r="AX72">
            <v>8948.5143333333344</v>
          </cell>
        </row>
        <row r="73">
          <cell r="C73">
            <v>243</v>
          </cell>
          <cell r="D73">
            <v>103</v>
          </cell>
          <cell r="E73">
            <v>140</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J73">
            <v>0</v>
          </cell>
          <cell r="AP73">
            <v>243</v>
          </cell>
          <cell r="AQ73">
            <v>103</v>
          </cell>
          <cell r="AR73">
            <v>140</v>
          </cell>
          <cell r="AS73">
            <v>0</v>
          </cell>
          <cell r="AT73">
            <v>-243</v>
          </cell>
          <cell r="AU73">
            <v>0</v>
          </cell>
          <cell r="AV73">
            <v>0</v>
          </cell>
          <cell r="AW73">
            <v>103</v>
          </cell>
          <cell r="AX73">
            <v>140</v>
          </cell>
        </row>
        <row r="74">
          <cell r="C74">
            <v>4428</v>
          </cell>
          <cell r="D74">
            <v>1883</v>
          </cell>
          <cell r="E74">
            <v>2545</v>
          </cell>
          <cell r="N74">
            <v>473.07000000000005</v>
          </cell>
          <cell r="P74">
            <v>-473.07000000000005</v>
          </cell>
          <cell r="Q74">
            <v>1406.3516666666667</v>
          </cell>
          <cell r="S74">
            <v>-1406.3516666666667</v>
          </cell>
          <cell r="T74">
            <v>498.45800000000003</v>
          </cell>
          <cell r="U74">
            <v>255</v>
          </cell>
          <cell r="V74">
            <v>243.45800000000003</v>
          </cell>
          <cell r="X74">
            <v>-498.45800000000003</v>
          </cell>
          <cell r="Y74">
            <v>426.31200000000001</v>
          </cell>
          <cell r="Z74">
            <v>208</v>
          </cell>
          <cell r="AA74">
            <v>218.31200000000001</v>
          </cell>
          <cell r="AC74">
            <v>-426.31200000000001</v>
          </cell>
          <cell r="AD74">
            <v>1069.9006666666667</v>
          </cell>
          <cell r="AE74">
            <v>901.32999999999993</v>
          </cell>
          <cell r="AF74">
            <v>168.57066666666665</v>
          </cell>
          <cell r="AJ74">
            <v>-1069.9006666666667</v>
          </cell>
          <cell r="AN74">
            <v>0</v>
          </cell>
          <cell r="AP74">
            <v>9121.5216666666656</v>
          </cell>
          <cell r="AQ74">
            <v>3331.07</v>
          </cell>
          <cell r="AR74">
            <v>5790.4516666666659</v>
          </cell>
          <cell r="AS74">
            <v>8</v>
          </cell>
          <cell r="AT74">
            <v>-9113.5216666666656</v>
          </cell>
          <cell r="AU74">
            <v>463</v>
          </cell>
          <cell r="AV74">
            <v>940</v>
          </cell>
          <cell r="AW74">
            <v>2868.07</v>
          </cell>
          <cell r="AX74">
            <v>4850.4516666666659</v>
          </cell>
        </row>
        <row r="75">
          <cell r="C75">
            <v>1177</v>
          </cell>
          <cell r="D75">
            <v>494</v>
          </cell>
          <cell r="E75">
            <v>683</v>
          </cell>
          <cell r="N75">
            <v>313.07</v>
          </cell>
          <cell r="P75">
            <v>-313.07</v>
          </cell>
          <cell r="Q75">
            <v>738.91</v>
          </cell>
          <cell r="S75">
            <v>-738.91</v>
          </cell>
          <cell r="T75">
            <v>272.80799999999999</v>
          </cell>
          <cell r="U75">
            <v>142</v>
          </cell>
          <cell r="V75">
            <v>130.80799999999999</v>
          </cell>
          <cell r="X75">
            <v>-272.80799999999999</v>
          </cell>
          <cell r="Y75">
            <v>178.36199999999999</v>
          </cell>
          <cell r="Z75">
            <v>153</v>
          </cell>
          <cell r="AA75">
            <v>25.361999999999988</v>
          </cell>
          <cell r="AC75">
            <v>-178.36199999999999</v>
          </cell>
          <cell r="AD75">
            <v>686.10066666666671</v>
          </cell>
          <cell r="AE75">
            <v>625.48</v>
          </cell>
          <cell r="AF75">
            <v>60.620666666666651</v>
          </cell>
          <cell r="AJ75">
            <v>-686.10066666666671</v>
          </cell>
          <cell r="AP75">
            <v>3490.63</v>
          </cell>
          <cell r="AQ75">
            <v>1266.07</v>
          </cell>
          <cell r="AR75">
            <v>2224.5600000000004</v>
          </cell>
          <cell r="AS75">
            <v>0</v>
          </cell>
          <cell r="AT75">
            <v>-3490.63</v>
          </cell>
          <cell r="AX75">
            <v>2224.5600000000004</v>
          </cell>
        </row>
        <row r="76">
          <cell r="C76">
            <v>33</v>
          </cell>
          <cell r="D76">
            <v>15</v>
          </cell>
          <cell r="E76">
            <v>18</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609</v>
          </cell>
          <cell r="AQ76">
            <v>354</v>
          </cell>
          <cell r="AR76">
            <v>255</v>
          </cell>
          <cell r="AS76">
            <v>0</v>
          </cell>
          <cell r="AT76">
            <v>-609</v>
          </cell>
          <cell r="AX76">
            <v>255</v>
          </cell>
        </row>
        <row r="77">
          <cell r="C77">
            <v>307</v>
          </cell>
          <cell r="D77">
            <v>134</v>
          </cell>
          <cell r="E77">
            <v>173</v>
          </cell>
          <cell r="N77">
            <v>58.75</v>
          </cell>
          <cell r="Q77">
            <v>415.4666666666667</v>
          </cell>
          <cell r="T77">
            <v>101.6</v>
          </cell>
          <cell r="U77">
            <v>8</v>
          </cell>
          <cell r="V77">
            <v>93.6</v>
          </cell>
          <cell r="Y77">
            <v>75.150000000000006</v>
          </cell>
          <cell r="Z77">
            <v>10</v>
          </cell>
          <cell r="AA77">
            <v>27.200000000000003</v>
          </cell>
          <cell r="AD77">
            <v>188.75</v>
          </cell>
          <cell r="AE77">
            <v>132.85</v>
          </cell>
          <cell r="AF77">
            <v>55.900000000000006</v>
          </cell>
        </row>
        <row r="78">
          <cell r="C78">
            <v>1549</v>
          </cell>
          <cell r="D78">
            <v>634</v>
          </cell>
          <cell r="E78">
            <v>915</v>
          </cell>
          <cell r="N78">
            <v>100.25</v>
          </cell>
          <cell r="Q78">
            <v>251.97500000000002</v>
          </cell>
          <cell r="T78">
            <v>123.05</v>
          </cell>
          <cell r="U78">
            <v>14</v>
          </cell>
          <cell r="V78">
            <v>109.05</v>
          </cell>
          <cell r="Y78">
            <v>172.8</v>
          </cell>
          <cell r="Z78">
            <v>14</v>
          </cell>
          <cell r="AA78">
            <v>67.599999999999994</v>
          </cell>
          <cell r="AD78">
            <v>194.05</v>
          </cell>
          <cell r="AE78">
            <v>143</v>
          </cell>
          <cell r="AF78">
            <v>51.050000000000004</v>
          </cell>
        </row>
        <row r="79">
          <cell r="C79">
            <v>0</v>
          </cell>
          <cell r="D79">
            <v>0</v>
          </cell>
          <cell r="E79">
            <v>0</v>
          </cell>
          <cell r="N79">
            <v>15.1</v>
          </cell>
          <cell r="P79">
            <v>-15.1</v>
          </cell>
          <cell r="Q79">
            <v>7.5</v>
          </cell>
          <cell r="S79">
            <v>-7.5</v>
          </cell>
          <cell r="T79">
            <v>0</v>
          </cell>
          <cell r="X79">
            <v>0</v>
          </cell>
          <cell r="Y79">
            <v>6.7</v>
          </cell>
          <cell r="Z79">
            <v>0</v>
          </cell>
          <cell r="AA79">
            <v>6.7</v>
          </cell>
          <cell r="AC79">
            <v>-6.7</v>
          </cell>
          <cell r="AD79">
            <v>38.799999999999997</v>
          </cell>
          <cell r="AE79">
            <v>34</v>
          </cell>
          <cell r="AF79">
            <v>4.7999999999999972</v>
          </cell>
          <cell r="AJ79">
            <v>-38.799999999999997</v>
          </cell>
          <cell r="AP79">
            <v>578.30000000000007</v>
          </cell>
          <cell r="AQ79">
            <v>530.1</v>
          </cell>
          <cell r="AS79">
            <v>0</v>
          </cell>
          <cell r="AT79">
            <v>-578.30000000000007</v>
          </cell>
        </row>
        <row r="80">
          <cell r="C80">
            <v>18522.495818181818</v>
          </cell>
          <cell r="D80">
            <v>6954</v>
          </cell>
          <cell r="E80">
            <v>11568.495818181818</v>
          </cell>
          <cell r="N80">
            <v>14213.927393939395</v>
          </cell>
          <cell r="O80">
            <v>0</v>
          </cell>
          <cell r="P80">
            <v>-14213.927393939395</v>
          </cell>
          <cell r="Q80">
            <v>110896.91057575757</v>
          </cell>
          <cell r="R80">
            <v>0</v>
          </cell>
          <cell r="S80">
            <v>-110896.91057575757</v>
          </cell>
          <cell r="T80">
            <v>168860.48696969697</v>
          </cell>
          <cell r="U80">
            <v>100363.34756097561</v>
          </cell>
          <cell r="V80">
            <v>68497.139408721356</v>
          </cell>
          <cell r="W80">
            <v>0</v>
          </cell>
          <cell r="X80">
            <v>-168860.48696969697</v>
          </cell>
          <cell r="Y80">
            <v>136973.54727272727</v>
          </cell>
          <cell r="Z80">
            <v>77813.750161952048</v>
          </cell>
          <cell r="AA80">
            <v>59159.797110775216</v>
          </cell>
          <cell r="AB80">
            <v>0</v>
          </cell>
          <cell r="AC80">
            <v>-136973.54727272727</v>
          </cell>
          <cell r="AD80">
            <v>25185.505090909097</v>
          </cell>
          <cell r="AE80">
            <v>20590.894424242426</v>
          </cell>
          <cell r="AF80">
            <v>4594.6106666666674</v>
          </cell>
          <cell r="AG80">
            <v>0</v>
          </cell>
          <cell r="AH80">
            <v>0</v>
          </cell>
          <cell r="AI80">
            <v>0</v>
          </cell>
          <cell r="AJ80">
            <v>-25185.505090909097</v>
          </cell>
          <cell r="AL80">
            <v>0</v>
          </cell>
          <cell r="AN80">
            <v>37</v>
          </cell>
          <cell r="AP80">
            <v>471969.26245454542</v>
          </cell>
          <cell r="AQ80">
            <v>200507.02511686707</v>
          </cell>
          <cell r="AR80">
            <v>271462.23733767844</v>
          </cell>
          <cell r="AS80">
            <v>8</v>
          </cell>
          <cell r="AT80">
            <v>-471961.26245454542</v>
          </cell>
          <cell r="AU80">
            <v>177622.09772292766</v>
          </cell>
          <cell r="AV80">
            <v>209746</v>
          </cell>
          <cell r="AW80">
            <v>18723.927393939397</v>
          </cell>
          <cell r="AX80">
            <v>57013.237337678387</v>
          </cell>
        </row>
        <row r="81">
          <cell r="C81">
            <v>18279.495818181818</v>
          </cell>
          <cell r="D81">
            <v>6851</v>
          </cell>
          <cell r="E81">
            <v>11428.495818181818</v>
          </cell>
          <cell r="P81">
            <v>0</v>
          </cell>
          <cell r="S81">
            <v>0</v>
          </cell>
          <cell r="X81">
            <v>0</v>
          </cell>
          <cell r="AC81">
            <v>0</v>
          </cell>
          <cell r="AJ81">
            <v>0</v>
          </cell>
          <cell r="AP81">
            <v>129511.26245454542</v>
          </cell>
          <cell r="AQ81">
            <v>39024.927393939404</v>
          </cell>
          <cell r="AR81">
            <v>90486.335060606099</v>
          </cell>
          <cell r="AS81">
            <v>0</v>
          </cell>
          <cell r="AT81">
            <v>-129511.26245454542</v>
          </cell>
          <cell r="AU81">
            <v>16141</v>
          </cell>
          <cell r="AV81">
            <v>28770</v>
          </cell>
          <cell r="AW81">
            <v>18722.927393939397</v>
          </cell>
          <cell r="AX81">
            <v>57013.335060606049</v>
          </cell>
        </row>
        <row r="82">
          <cell r="N82">
            <v>3564.712727272728</v>
          </cell>
          <cell r="O82">
            <v>0</v>
          </cell>
          <cell r="P82">
            <v>-3564.712727272728</v>
          </cell>
          <cell r="Q82">
            <v>7989.6009090909092</v>
          </cell>
          <cell r="R82">
            <v>0</v>
          </cell>
          <cell r="S82">
            <v>-7989.6009090909092</v>
          </cell>
          <cell r="T82">
            <v>3132.8772727272726</v>
          </cell>
          <cell r="U82">
            <v>1586</v>
          </cell>
          <cell r="V82">
            <v>1546.8772727272728</v>
          </cell>
          <cell r="W82">
            <v>0</v>
          </cell>
          <cell r="X82">
            <v>-3132.8772727272726</v>
          </cell>
          <cell r="Y82">
            <v>2531.4672727272728</v>
          </cell>
          <cell r="Z82">
            <v>1227</v>
          </cell>
          <cell r="AA82">
            <v>1304.4672727272728</v>
          </cell>
          <cell r="AB82">
            <v>0</v>
          </cell>
          <cell r="AC82">
            <v>-2531.4672727272728</v>
          </cell>
          <cell r="AD82">
            <v>7059.5263636363643</v>
          </cell>
          <cell r="AE82">
            <v>6507.6363636363631</v>
          </cell>
          <cell r="AF82">
            <v>551.89000000000033</v>
          </cell>
          <cell r="AG82">
            <v>0</v>
          </cell>
          <cell r="AH82">
            <v>0</v>
          </cell>
          <cell r="AI82">
            <v>0</v>
          </cell>
          <cell r="AJ82">
            <v>-7059.5263636363643</v>
          </cell>
          <cell r="AN82">
            <v>0</v>
          </cell>
          <cell r="AP82">
            <v>26353.576363636363</v>
          </cell>
          <cell r="AS82">
            <v>0</v>
          </cell>
          <cell r="AT82">
            <v>-26353.576363636363</v>
          </cell>
        </row>
        <row r="83">
          <cell r="C83">
            <v>11727</v>
          </cell>
          <cell r="D83">
            <v>11727</v>
          </cell>
          <cell r="E83">
            <v>0</v>
          </cell>
          <cell r="P83">
            <v>0</v>
          </cell>
          <cell r="S83">
            <v>0</v>
          </cell>
          <cell r="X83">
            <v>0</v>
          </cell>
          <cell r="AC83">
            <v>0</v>
          </cell>
          <cell r="AJ83">
            <v>0</v>
          </cell>
          <cell r="AP83">
            <v>11727</v>
          </cell>
          <cell r="AQ83">
            <v>11727</v>
          </cell>
          <cell r="AR83">
            <v>0</v>
          </cell>
          <cell r="AS83">
            <v>0</v>
          </cell>
          <cell r="AT83">
            <v>-11727</v>
          </cell>
          <cell r="AU83">
            <v>0</v>
          </cell>
          <cell r="AV83">
            <v>0</v>
          </cell>
          <cell r="AW83">
            <v>0</v>
          </cell>
          <cell r="AX83">
            <v>0</v>
          </cell>
        </row>
        <row r="84">
          <cell r="C84">
            <v>30249.495818181818</v>
          </cell>
          <cell r="D84">
            <v>18681</v>
          </cell>
          <cell r="E84">
            <v>11568.495818181818</v>
          </cell>
          <cell r="N84">
            <v>14213.927393939395</v>
          </cell>
          <cell r="O84">
            <v>0</v>
          </cell>
          <cell r="P84">
            <v>-14213.927393939395</v>
          </cell>
          <cell r="Q84">
            <v>110896.91057575757</v>
          </cell>
          <cell r="R84">
            <v>0</v>
          </cell>
          <cell r="S84">
            <v>-110896.91057575757</v>
          </cell>
          <cell r="T84">
            <v>168860.48696969697</v>
          </cell>
          <cell r="U84">
            <v>100363.34756097561</v>
          </cell>
          <cell r="V84">
            <v>68497.139408721356</v>
          </cell>
          <cell r="W84">
            <v>0</v>
          </cell>
          <cell r="X84">
            <v>-168860.48696969697</v>
          </cell>
          <cell r="Y84">
            <v>136973.54727272727</v>
          </cell>
          <cell r="Z84">
            <v>77813.750161952048</v>
          </cell>
          <cell r="AA84">
            <v>59159.797110775216</v>
          </cell>
          <cell r="AB84">
            <v>0</v>
          </cell>
          <cell r="AC84">
            <v>-136973.54727272727</v>
          </cell>
          <cell r="AD84">
            <v>25185.505090909097</v>
          </cell>
          <cell r="AE84">
            <v>20590.894424242426</v>
          </cell>
          <cell r="AF84">
            <v>4594.6106666666674</v>
          </cell>
          <cell r="AG84">
            <v>0</v>
          </cell>
          <cell r="AH84">
            <v>0</v>
          </cell>
          <cell r="AI84">
            <v>0</v>
          </cell>
          <cell r="AJ84">
            <v>-25185.505090909097</v>
          </cell>
          <cell r="AL84">
            <v>0</v>
          </cell>
          <cell r="AN84">
            <v>37</v>
          </cell>
          <cell r="AP84">
            <v>483696.26245454542</v>
          </cell>
          <cell r="AQ84">
            <v>212234.02511686707</v>
          </cell>
          <cell r="AR84">
            <v>271462.23733767844</v>
          </cell>
          <cell r="AS84">
            <v>8</v>
          </cell>
          <cell r="AT84">
            <v>-483688.26245454542</v>
          </cell>
          <cell r="AU84">
            <v>177622.09772292766</v>
          </cell>
          <cell r="AV84">
            <v>209746</v>
          </cell>
          <cell r="AW84">
            <v>18723.927393939397</v>
          </cell>
          <cell r="AX84">
            <v>57013.237337678387</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898</v>
          </cell>
          <cell r="D86">
            <v>709</v>
          </cell>
          <cell r="E86">
            <v>189</v>
          </cell>
          <cell r="N86">
            <v>0</v>
          </cell>
          <cell r="P86">
            <v>0</v>
          </cell>
          <cell r="Q86">
            <v>0</v>
          </cell>
          <cell r="S86">
            <v>0</v>
          </cell>
          <cell r="T86">
            <v>0</v>
          </cell>
          <cell r="U86">
            <v>0</v>
          </cell>
          <cell r="V86">
            <v>0</v>
          </cell>
          <cell r="X86">
            <v>0</v>
          </cell>
          <cell r="Y86">
            <v>0</v>
          </cell>
          <cell r="AC86">
            <v>0</v>
          </cell>
          <cell r="AI86">
            <v>0</v>
          </cell>
          <cell r="AJ86">
            <v>0</v>
          </cell>
          <cell r="AP86">
            <v>898</v>
          </cell>
          <cell r="AQ86">
            <v>709</v>
          </cell>
          <cell r="AR86">
            <v>189</v>
          </cell>
          <cell r="AS86">
            <v>0</v>
          </cell>
          <cell r="AT86">
            <v>-898</v>
          </cell>
          <cell r="AU86">
            <v>0</v>
          </cell>
          <cell r="AV86">
            <v>0</v>
          </cell>
          <cell r="AW86">
            <v>709</v>
          </cell>
          <cell r="AX86">
            <v>189</v>
          </cell>
        </row>
        <row r="87">
          <cell r="C87">
            <v>194</v>
          </cell>
          <cell r="D87">
            <v>113.16775798446338</v>
          </cell>
          <cell r="E87">
            <v>80.832242015536622</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193</v>
          </cell>
          <cell r="AQ87">
            <v>113.16775798446338</v>
          </cell>
          <cell r="AR87">
            <v>79.832242015536622</v>
          </cell>
          <cell r="AS87">
            <v>-1</v>
          </cell>
          <cell r="AT87">
            <v>-194</v>
          </cell>
          <cell r="AU87">
            <v>0</v>
          </cell>
          <cell r="AV87">
            <v>0</v>
          </cell>
          <cell r="AW87">
            <v>113.16775798446338</v>
          </cell>
          <cell r="AX87">
            <v>79.832242015536622</v>
          </cell>
        </row>
        <row r="88">
          <cell r="C88">
            <v>30</v>
          </cell>
          <cell r="D88">
            <v>17.548513572396324</v>
          </cell>
          <cell r="E88">
            <v>12.451486427603676</v>
          </cell>
          <cell r="N88">
            <v>118.13333333333333</v>
          </cell>
          <cell r="O88">
            <v>51</v>
          </cell>
          <cell r="P88">
            <v>-67.133333333333326</v>
          </cell>
          <cell r="Q88">
            <v>101.6</v>
          </cell>
          <cell r="S88">
            <v>-101.6</v>
          </cell>
          <cell r="T88">
            <v>428.26666666666665</v>
          </cell>
          <cell r="U88">
            <v>176</v>
          </cell>
          <cell r="V88">
            <v>252.26666666666665</v>
          </cell>
          <cell r="X88">
            <v>-428.26666666666665</v>
          </cell>
          <cell r="Y88">
            <v>389.93333333333328</v>
          </cell>
          <cell r="AB88">
            <v>0</v>
          </cell>
          <cell r="AC88">
            <v>-389.93333333333328</v>
          </cell>
          <cell r="AD88">
            <v>119</v>
          </cell>
          <cell r="AE88">
            <v>26</v>
          </cell>
          <cell r="AF88">
            <v>93</v>
          </cell>
          <cell r="AJ88">
            <v>-119</v>
          </cell>
          <cell r="AP88">
            <v>998.93333333333339</v>
          </cell>
          <cell r="AQ88">
            <v>242.68184690572969</v>
          </cell>
          <cell r="AR88">
            <v>756.25148642760371</v>
          </cell>
          <cell r="AS88">
            <v>50</v>
          </cell>
          <cell r="AT88">
            <v>-948.93333333333339</v>
          </cell>
          <cell r="AU88">
            <v>176</v>
          </cell>
          <cell r="AV88">
            <v>280</v>
          </cell>
          <cell r="AW88">
            <v>66.681846905729685</v>
          </cell>
          <cell r="AX88">
            <v>476.25148642760371</v>
          </cell>
        </row>
        <row r="89">
          <cell r="C89">
            <v>31371.495818181818</v>
          </cell>
          <cell r="D89">
            <v>19520.716271556859</v>
          </cell>
          <cell r="E89">
            <v>11850.779546624959</v>
          </cell>
          <cell r="N89">
            <v>14332.060727272728</v>
          </cell>
          <cell r="O89">
            <v>51</v>
          </cell>
          <cell r="P89">
            <v>-14281.060727272728</v>
          </cell>
          <cell r="Q89">
            <v>110998.51057575758</v>
          </cell>
          <cell r="R89">
            <v>0</v>
          </cell>
          <cell r="S89">
            <v>-110998.51057575758</v>
          </cell>
          <cell r="T89">
            <v>169288.75363636363</v>
          </cell>
          <cell r="U89">
            <v>100539.34756097561</v>
          </cell>
          <cell r="V89">
            <v>68749.406075388019</v>
          </cell>
          <cell r="W89">
            <v>0</v>
          </cell>
          <cell r="X89">
            <v>-169288.75363636363</v>
          </cell>
          <cell r="Y89">
            <v>137363.48060606059</v>
          </cell>
          <cell r="Z89">
            <v>77813.750161952048</v>
          </cell>
          <cell r="AA89">
            <v>59159.797110775216</v>
          </cell>
          <cell r="AB89">
            <v>0</v>
          </cell>
          <cell r="AC89">
            <v>-137363.48060606059</v>
          </cell>
          <cell r="AD89">
            <v>25304.505090909097</v>
          </cell>
          <cell r="AE89">
            <v>20616.894424242426</v>
          </cell>
          <cell r="AF89">
            <v>4687.6106666666674</v>
          </cell>
          <cell r="AJ89">
            <v>-25304.505090909097</v>
          </cell>
          <cell r="AK89">
            <v>0</v>
          </cell>
          <cell r="AN89">
            <v>37</v>
          </cell>
          <cell r="AP89">
            <v>485787.19578787877</v>
          </cell>
          <cell r="AQ89">
            <v>213299.87472175725</v>
          </cell>
          <cell r="AR89">
            <v>272487.32106612157</v>
          </cell>
          <cell r="AS89">
            <v>57</v>
          </cell>
          <cell r="AT89">
            <v>-485730.19578787877</v>
          </cell>
          <cell r="AU89">
            <v>177798.09772292766</v>
          </cell>
          <cell r="AV89">
            <v>210026</v>
          </cell>
          <cell r="AW89">
            <v>19612.776998829588</v>
          </cell>
          <cell r="AX89">
            <v>57757.321066121527</v>
          </cell>
        </row>
        <row r="90">
          <cell r="C90">
            <v>19644.495818181818</v>
          </cell>
          <cell r="D90">
            <v>7793.7162715568593</v>
          </cell>
          <cell r="E90">
            <v>11850.779546624959</v>
          </cell>
          <cell r="N90">
            <v>14332.060727272728</v>
          </cell>
          <cell r="O90">
            <v>51</v>
          </cell>
          <cell r="P90">
            <v>-14281.060727272728</v>
          </cell>
          <cell r="Q90">
            <v>41865.51057575758</v>
          </cell>
          <cell r="R90">
            <v>0</v>
          </cell>
          <cell r="S90">
            <v>-41865.51057575758</v>
          </cell>
          <cell r="T90">
            <v>20190.753636363632</v>
          </cell>
          <cell r="U90">
            <v>10546</v>
          </cell>
          <cell r="V90">
            <v>9644.7536363636318</v>
          </cell>
          <cell r="W90">
            <v>0</v>
          </cell>
          <cell r="X90">
            <v>-20190.753636363632</v>
          </cell>
          <cell r="Y90">
            <v>13137.480606060592</v>
          </cell>
          <cell r="Z90">
            <v>6326</v>
          </cell>
          <cell r="AA90">
            <v>6421.5472727272718</v>
          </cell>
          <cell r="AB90">
            <v>0</v>
          </cell>
          <cell r="AC90">
            <v>-13137.480606060592</v>
          </cell>
          <cell r="AD90">
            <v>25304.505090909097</v>
          </cell>
          <cell r="AE90">
            <v>20616.894424242426</v>
          </cell>
          <cell r="AF90">
            <v>4687.6106666666674</v>
          </cell>
          <cell r="AJ90">
            <v>-25304.505090909097</v>
          </cell>
          <cell r="AN90">
            <v>37</v>
          </cell>
          <cell r="AP90">
            <v>131602.19578787877</v>
          </cell>
          <cell r="AQ90">
            <v>40090.776998829591</v>
          </cell>
          <cell r="AR90">
            <v>91511.418789049232</v>
          </cell>
          <cell r="AS90">
            <v>57</v>
          </cell>
          <cell r="AT90">
            <v>-131545.19578787877</v>
          </cell>
          <cell r="AU90">
            <v>16317</v>
          </cell>
          <cell r="AV90">
            <v>29050</v>
          </cell>
          <cell r="AW90">
            <v>19611.776998829588</v>
          </cell>
          <cell r="AX90">
            <v>57757.418789049188</v>
          </cell>
        </row>
        <row r="91">
          <cell r="C91">
            <v>2080.2818181818179</v>
          </cell>
          <cell r="D91">
            <v>737</v>
          </cell>
          <cell r="E91">
            <v>1343.2818181818182</v>
          </cell>
          <cell r="N91">
            <v>3564.7127272727275</v>
          </cell>
          <cell r="O91">
            <v>0</v>
          </cell>
          <cell r="P91">
            <v>-3564.7127272727275</v>
          </cell>
          <cell r="Q91">
            <v>7989.6009090909092</v>
          </cell>
          <cell r="R91">
            <v>0</v>
          </cell>
          <cell r="S91">
            <v>-7989.6009090909092</v>
          </cell>
          <cell r="T91">
            <v>3132.8772727272726</v>
          </cell>
          <cell r="U91">
            <v>1586</v>
          </cell>
          <cell r="V91">
            <v>1546.8772727272728</v>
          </cell>
          <cell r="W91">
            <v>0</v>
          </cell>
          <cell r="X91">
            <v>-3132.8772727272726</v>
          </cell>
          <cell r="Y91">
            <v>2531.4672727272728</v>
          </cell>
          <cell r="Z91">
            <v>1227</v>
          </cell>
          <cell r="AA91">
            <v>1304.4672727272728</v>
          </cell>
          <cell r="AB91">
            <v>0</v>
          </cell>
          <cell r="AC91">
            <v>-2531.4672727272728</v>
          </cell>
          <cell r="AD91">
            <v>7059.5263636363643</v>
          </cell>
          <cell r="AE91">
            <v>6507.6363636363631</v>
          </cell>
          <cell r="AF91">
            <v>551.89000000000033</v>
          </cell>
          <cell r="AG91">
            <v>0</v>
          </cell>
          <cell r="AH91">
            <v>0</v>
          </cell>
          <cell r="AI91">
            <v>0</v>
          </cell>
          <cell r="AJ91">
            <v>-7059.5263636363643</v>
          </cell>
          <cell r="AN91">
            <v>0</v>
          </cell>
          <cell r="AP91">
            <v>26353.576363636363</v>
          </cell>
          <cell r="AQ91">
            <v>486070.19578787882</v>
          </cell>
          <cell r="AR91">
            <v>213370.87472175725</v>
          </cell>
          <cell r="AS91">
            <v>0</v>
          </cell>
        </row>
        <row r="92">
          <cell r="C92">
            <v>30006.495818181818</v>
          </cell>
          <cell r="P92">
            <v>0</v>
          </cell>
          <cell r="S92">
            <v>0</v>
          </cell>
          <cell r="X92">
            <v>0</v>
          </cell>
          <cell r="AC92">
            <v>0</v>
          </cell>
          <cell r="AJ92">
            <v>0</v>
          </cell>
          <cell r="AP92">
            <v>122996.30136363635</v>
          </cell>
          <cell r="AQ92">
            <v>283.00000000005821</v>
          </cell>
        </row>
        <row r="93">
          <cell r="C93">
            <v>1405</v>
          </cell>
          <cell r="N93">
            <v>3638.65</v>
          </cell>
          <cell r="P93">
            <v>-3638.65</v>
          </cell>
          <cell r="Q93">
            <v>8863.0939999999991</v>
          </cell>
          <cell r="S93">
            <v>-8863.0939999999991</v>
          </cell>
          <cell r="T93">
            <v>502.97</v>
          </cell>
          <cell r="X93">
            <v>-502.97</v>
          </cell>
          <cell r="Y93">
            <v>780.26</v>
          </cell>
          <cell r="AB93">
            <v>432</v>
          </cell>
          <cell r="AC93">
            <v>-348.26</v>
          </cell>
          <cell r="AD93">
            <v>2119</v>
          </cell>
          <cell r="AE93">
            <v>2119</v>
          </cell>
          <cell r="AF93">
            <v>0</v>
          </cell>
          <cell r="AI93">
            <v>0</v>
          </cell>
          <cell r="AJ93" t="e">
            <v>#REF!</v>
          </cell>
          <cell r="AN93">
            <v>2363</v>
          </cell>
          <cell r="AO93">
            <v>1616</v>
          </cell>
          <cell r="AP93">
            <v>20091.973999999998</v>
          </cell>
          <cell r="AS93">
            <v>2048</v>
          </cell>
        </row>
        <row r="94">
          <cell r="C94">
            <v>92</v>
          </cell>
          <cell r="N94">
            <v>3294.15</v>
          </cell>
          <cell r="P94">
            <v>-3294.15</v>
          </cell>
          <cell r="Q94">
            <v>7217.8940000000002</v>
          </cell>
          <cell r="S94">
            <v>-7217.8940000000002</v>
          </cell>
          <cell r="T94">
            <v>503.47</v>
          </cell>
          <cell r="W94">
            <v>0</v>
          </cell>
          <cell r="X94">
            <v>-503.47</v>
          </cell>
          <cell r="Y94">
            <v>780.76</v>
          </cell>
          <cell r="AB94">
            <v>432</v>
          </cell>
          <cell r="AC94">
            <v>-348.76</v>
          </cell>
          <cell r="AD94">
            <v>2119</v>
          </cell>
          <cell r="AE94">
            <v>2119</v>
          </cell>
          <cell r="AF94">
            <v>0</v>
          </cell>
          <cell r="AI94">
            <v>0</v>
          </cell>
          <cell r="AJ94">
            <v>-2119</v>
          </cell>
          <cell r="AN94">
            <v>12</v>
          </cell>
          <cell r="AP94">
            <v>14036.273999999999</v>
          </cell>
          <cell r="AS94">
            <v>432</v>
          </cell>
        </row>
        <row r="95">
          <cell r="C95">
            <v>0</v>
          </cell>
          <cell r="N95">
            <v>0</v>
          </cell>
          <cell r="P95">
            <v>0</v>
          </cell>
          <cell r="Q95">
            <v>0</v>
          </cell>
          <cell r="S95">
            <v>0</v>
          </cell>
          <cell r="T95">
            <v>9</v>
          </cell>
          <cell r="X95">
            <v>-9</v>
          </cell>
          <cell r="Y95">
            <v>0</v>
          </cell>
          <cell r="AC95">
            <v>0</v>
          </cell>
          <cell r="AD95">
            <v>0</v>
          </cell>
          <cell r="AE95">
            <v>0</v>
          </cell>
          <cell r="AF95">
            <v>0</v>
          </cell>
          <cell r="AI95">
            <v>0</v>
          </cell>
          <cell r="AJ95">
            <v>0</v>
          </cell>
          <cell r="AN95">
            <v>0</v>
          </cell>
          <cell r="AP95">
            <v>9</v>
          </cell>
          <cell r="AS95">
            <v>0</v>
          </cell>
        </row>
        <row r="96">
          <cell r="C96">
            <v>1313</v>
          </cell>
          <cell r="N96">
            <v>344.5</v>
          </cell>
          <cell r="P96">
            <v>-344.5</v>
          </cell>
          <cell r="Q96">
            <v>1645.2</v>
          </cell>
          <cell r="R96">
            <v>0</v>
          </cell>
          <cell r="S96">
            <v>-1645.2</v>
          </cell>
          <cell r="T96">
            <v>0</v>
          </cell>
          <cell r="X96">
            <v>0</v>
          </cell>
          <cell r="Y96">
            <v>0</v>
          </cell>
          <cell r="AC96">
            <v>0</v>
          </cell>
          <cell r="AD96">
            <v>0.29999999999998295</v>
          </cell>
          <cell r="AE96">
            <v>0</v>
          </cell>
          <cell r="AF96">
            <v>0.29999999999998295</v>
          </cell>
          <cell r="AI96">
            <v>0</v>
          </cell>
          <cell r="AJ96">
            <v>-0.29999999999998295</v>
          </cell>
          <cell r="AN96">
            <v>0</v>
          </cell>
          <cell r="AP96">
            <v>3502.7</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F99">
            <v>0</v>
          </cell>
          <cell r="AI99">
            <v>0</v>
          </cell>
          <cell r="AJ99">
            <v>0</v>
          </cell>
          <cell r="AN99">
            <v>3770.5939393939398</v>
          </cell>
          <cell r="AP99">
            <v>3770.5939393939398</v>
          </cell>
          <cell r="AS99">
            <v>0</v>
          </cell>
        </row>
        <row r="100">
          <cell r="P100">
            <v>0</v>
          </cell>
          <cell r="S100">
            <v>0</v>
          </cell>
          <cell r="X100">
            <v>0</v>
          </cell>
          <cell r="AC100">
            <v>0</v>
          </cell>
          <cell r="AI100">
            <v>0</v>
          </cell>
          <cell r="AJ100">
            <v>0</v>
          </cell>
          <cell r="AN100">
            <v>3770.5939393939398</v>
          </cell>
          <cell r="AP100">
            <v>3770.5939393939398</v>
          </cell>
          <cell r="AS100">
            <v>0</v>
          </cell>
        </row>
        <row r="101">
          <cell r="C101">
            <v>1313</v>
          </cell>
          <cell r="N101">
            <v>344.69200000000001</v>
          </cell>
          <cell r="P101">
            <v>-344.69200000000001</v>
          </cell>
          <cell r="Q101">
            <v>1369.88</v>
          </cell>
          <cell r="R101">
            <v>31</v>
          </cell>
          <cell r="S101">
            <v>-1338.88</v>
          </cell>
          <cell r="T101">
            <v>0</v>
          </cell>
          <cell r="W101">
            <v>2</v>
          </cell>
          <cell r="X101">
            <v>2</v>
          </cell>
          <cell r="Y101">
            <v>0</v>
          </cell>
          <cell r="AB101">
            <v>10</v>
          </cell>
          <cell r="AC101">
            <v>10</v>
          </cell>
          <cell r="AD101">
            <v>0</v>
          </cell>
          <cell r="AE101">
            <v>0</v>
          </cell>
          <cell r="AF101">
            <v>0</v>
          </cell>
          <cell r="AG101">
            <v>128</v>
          </cell>
          <cell r="AH101">
            <v>128</v>
          </cell>
          <cell r="AI101">
            <v>0</v>
          </cell>
          <cell r="AJ101">
            <v>128</v>
          </cell>
          <cell r="AN101">
            <v>7036.3</v>
          </cell>
          <cell r="AP101">
            <v>25001.272000000001</v>
          </cell>
          <cell r="AS101">
            <v>140</v>
          </cell>
        </row>
        <row r="102">
          <cell r="C102">
            <v>1313</v>
          </cell>
          <cell r="N102">
            <v>344.5</v>
          </cell>
          <cell r="P102">
            <v>-344.5</v>
          </cell>
          <cell r="Q102">
            <v>1369.2</v>
          </cell>
          <cell r="R102">
            <v>0</v>
          </cell>
          <cell r="S102">
            <v>-1369.2</v>
          </cell>
          <cell r="T102">
            <v>0</v>
          </cell>
          <cell r="X102">
            <v>0</v>
          </cell>
          <cell r="Y102">
            <v>0</v>
          </cell>
          <cell r="AC102">
            <v>0</v>
          </cell>
          <cell r="AD102">
            <v>0</v>
          </cell>
          <cell r="AE102">
            <v>0</v>
          </cell>
          <cell r="AF102">
            <v>0</v>
          </cell>
          <cell r="AI102">
            <v>0</v>
          </cell>
          <cell r="AJ102">
            <v>0</v>
          </cell>
          <cell r="AN102">
            <v>3334.3</v>
          </cell>
          <cell r="AP102">
            <v>6361</v>
          </cell>
          <cell r="AS102">
            <v>0</v>
          </cell>
        </row>
        <row r="103">
          <cell r="C103">
            <v>0</v>
          </cell>
          <cell r="N103">
            <v>0</v>
          </cell>
          <cell r="P103">
            <v>0</v>
          </cell>
          <cell r="Q103">
            <v>0</v>
          </cell>
          <cell r="S103">
            <v>0</v>
          </cell>
          <cell r="T103">
            <v>0</v>
          </cell>
          <cell r="X103">
            <v>0</v>
          </cell>
          <cell r="Y103">
            <v>0</v>
          </cell>
          <cell r="AC103">
            <v>0</v>
          </cell>
          <cell r="AD103">
            <v>0</v>
          </cell>
          <cell r="AE103">
            <v>0</v>
          </cell>
          <cell r="AF103">
            <v>0</v>
          </cell>
          <cell r="AI103">
            <v>0</v>
          </cell>
          <cell r="AJ103">
            <v>0</v>
          </cell>
          <cell r="AN103">
            <v>0</v>
          </cell>
          <cell r="AP103">
            <v>0</v>
          </cell>
          <cell r="AS103">
            <v>0</v>
          </cell>
        </row>
        <row r="104">
          <cell r="C104">
            <v>0</v>
          </cell>
          <cell r="N104">
            <v>0</v>
          </cell>
          <cell r="P104">
            <v>0</v>
          </cell>
          <cell r="Q104">
            <v>0</v>
          </cell>
          <cell r="R104">
            <v>31</v>
          </cell>
          <cell r="S104">
            <v>31</v>
          </cell>
          <cell r="T104">
            <v>0</v>
          </cell>
          <cell r="W104">
            <v>2</v>
          </cell>
          <cell r="X104">
            <v>2</v>
          </cell>
          <cell r="Y104">
            <v>0</v>
          </cell>
          <cell r="AB104">
            <v>10</v>
          </cell>
          <cell r="AC104">
            <v>10</v>
          </cell>
          <cell r="AD104">
            <v>0</v>
          </cell>
          <cell r="AE104">
            <v>0</v>
          </cell>
          <cell r="AF104">
            <v>0</v>
          </cell>
          <cell r="AG104">
            <v>128</v>
          </cell>
          <cell r="AH104">
            <v>128</v>
          </cell>
          <cell r="AI104">
            <v>0</v>
          </cell>
          <cell r="AJ104">
            <v>128</v>
          </cell>
          <cell r="AN104">
            <v>3702</v>
          </cell>
          <cell r="AP104">
            <v>3702</v>
          </cell>
          <cell r="AS104">
            <v>140</v>
          </cell>
        </row>
        <row r="105">
          <cell r="C105">
            <v>0</v>
          </cell>
          <cell r="N105">
            <v>0</v>
          </cell>
          <cell r="P105">
            <v>0</v>
          </cell>
          <cell r="Q105">
            <v>365.404</v>
          </cell>
          <cell r="R105">
            <v>154</v>
          </cell>
          <cell r="S105">
            <v>-211.404</v>
          </cell>
          <cell r="T105">
            <v>0</v>
          </cell>
          <cell r="W105">
            <v>79</v>
          </cell>
          <cell r="X105">
            <v>79</v>
          </cell>
          <cell r="Y105">
            <v>0</v>
          </cell>
          <cell r="AB105">
            <v>86</v>
          </cell>
          <cell r="AC105">
            <v>86</v>
          </cell>
          <cell r="AD105">
            <v>0</v>
          </cell>
          <cell r="AE105">
            <v>0</v>
          </cell>
          <cell r="AF105">
            <v>0</v>
          </cell>
          <cell r="AG105">
            <v>30</v>
          </cell>
          <cell r="AH105">
            <v>30</v>
          </cell>
          <cell r="AI105">
            <v>0</v>
          </cell>
          <cell r="AJ105">
            <v>30</v>
          </cell>
          <cell r="AN105">
            <v>875</v>
          </cell>
          <cell r="AP105">
            <v>1240.404</v>
          </cell>
          <cell r="AS105">
            <v>195</v>
          </cell>
        </row>
        <row r="106">
          <cell r="C106">
            <v>0</v>
          </cell>
          <cell r="N106">
            <v>0</v>
          </cell>
          <cell r="P106">
            <v>0</v>
          </cell>
          <cell r="Q106">
            <v>364.64</v>
          </cell>
          <cell r="R106">
            <v>0</v>
          </cell>
          <cell r="S106">
            <v>-364.64</v>
          </cell>
          <cell r="T106">
            <v>0</v>
          </cell>
          <cell r="W106">
            <v>0</v>
          </cell>
          <cell r="X106">
            <v>0</v>
          </cell>
          <cell r="Y106">
            <v>0</v>
          </cell>
          <cell r="AB106">
            <v>0</v>
          </cell>
          <cell r="AC106">
            <v>0</v>
          </cell>
          <cell r="AD106">
            <v>0</v>
          </cell>
          <cell r="AE106">
            <v>0</v>
          </cell>
          <cell r="AF106">
            <v>0</v>
          </cell>
          <cell r="AI106">
            <v>0</v>
          </cell>
          <cell r="AJ106">
            <v>0</v>
          </cell>
          <cell r="AN106">
            <v>80</v>
          </cell>
          <cell r="AP106">
            <v>444.64</v>
          </cell>
          <cell r="AS106">
            <v>0</v>
          </cell>
        </row>
        <row r="107">
          <cell r="C107">
            <v>0</v>
          </cell>
          <cell r="N107">
            <v>0</v>
          </cell>
          <cell r="P107">
            <v>0</v>
          </cell>
          <cell r="Q107">
            <v>0</v>
          </cell>
          <cell r="R107">
            <v>154</v>
          </cell>
          <cell r="S107">
            <v>154</v>
          </cell>
          <cell r="T107">
            <v>0</v>
          </cell>
          <cell r="W107">
            <v>79</v>
          </cell>
          <cell r="X107">
            <v>79</v>
          </cell>
          <cell r="Y107">
            <v>0</v>
          </cell>
          <cell r="AB107">
            <v>86</v>
          </cell>
          <cell r="AC107">
            <v>86</v>
          </cell>
          <cell r="AD107">
            <v>0</v>
          </cell>
          <cell r="AE107">
            <v>0</v>
          </cell>
          <cell r="AF107">
            <v>0</v>
          </cell>
          <cell r="AG107">
            <v>30</v>
          </cell>
          <cell r="AH107">
            <v>30</v>
          </cell>
          <cell r="AI107">
            <v>0</v>
          </cell>
          <cell r="AJ107">
            <v>30</v>
          </cell>
          <cell r="AN107">
            <v>822</v>
          </cell>
          <cell r="AP107">
            <v>822</v>
          </cell>
          <cell r="AS107">
            <v>195</v>
          </cell>
        </row>
        <row r="108">
          <cell r="C108">
            <v>0</v>
          </cell>
          <cell r="N108">
            <v>0</v>
          </cell>
          <cell r="P108">
            <v>0</v>
          </cell>
          <cell r="Q108">
            <v>527.04999999999995</v>
          </cell>
          <cell r="R108">
            <v>800</v>
          </cell>
          <cell r="S108">
            <v>272.95000000000005</v>
          </cell>
          <cell r="T108">
            <v>0</v>
          </cell>
          <cell r="X108">
            <v>0</v>
          </cell>
          <cell r="Y108">
            <v>0</v>
          </cell>
          <cell r="AC108">
            <v>0</v>
          </cell>
          <cell r="AD108">
            <v>0</v>
          </cell>
          <cell r="AE108">
            <v>0</v>
          </cell>
          <cell r="AF108">
            <v>0</v>
          </cell>
          <cell r="AI108">
            <v>0</v>
          </cell>
          <cell r="AJ108">
            <v>0</v>
          </cell>
          <cell r="AN108">
            <v>0</v>
          </cell>
          <cell r="AP108">
            <v>527.04999999999995</v>
          </cell>
          <cell r="AQ108">
            <v>-3236.8874721757256</v>
          </cell>
          <cell r="AR108">
            <v>-21648.532106612158</v>
          </cell>
          <cell r="AS108">
            <v>0</v>
          </cell>
        </row>
        <row r="109">
          <cell r="C109">
            <v>0</v>
          </cell>
          <cell r="N109">
            <v>0</v>
          </cell>
          <cell r="P109">
            <v>0</v>
          </cell>
          <cell r="Q109">
            <v>527.04999999999995</v>
          </cell>
          <cell r="R109">
            <v>800</v>
          </cell>
          <cell r="S109">
            <v>272.95000000000005</v>
          </cell>
          <cell r="T109">
            <v>0</v>
          </cell>
          <cell r="X109">
            <v>0</v>
          </cell>
          <cell r="Y109">
            <v>0</v>
          </cell>
          <cell r="AC109">
            <v>0</v>
          </cell>
          <cell r="AD109">
            <v>0</v>
          </cell>
          <cell r="AE109">
            <v>0</v>
          </cell>
          <cell r="AF109">
            <v>0</v>
          </cell>
          <cell r="AI109">
            <v>0</v>
          </cell>
          <cell r="AJ109">
            <v>0</v>
          </cell>
          <cell r="AN109">
            <v>0</v>
          </cell>
          <cell r="AP109">
            <v>527.04999999999995</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v>0</v>
          </cell>
          <cell r="AP110">
            <v>0</v>
          </cell>
          <cell r="AQ110">
            <v>0</v>
          </cell>
          <cell r="AR110">
            <v>0</v>
          </cell>
          <cell r="AS110">
            <v>0</v>
          </cell>
        </row>
        <row r="111">
          <cell r="C111">
            <v>0</v>
          </cell>
          <cell r="N111">
            <v>0</v>
          </cell>
          <cell r="P111">
            <v>0</v>
          </cell>
          <cell r="Q111">
            <v>0</v>
          </cell>
          <cell r="S111">
            <v>0</v>
          </cell>
          <cell r="T111">
            <v>0</v>
          </cell>
          <cell r="X111">
            <v>0</v>
          </cell>
          <cell r="Y111">
            <v>0</v>
          </cell>
          <cell r="AC111">
            <v>0</v>
          </cell>
          <cell r="AD111">
            <v>0</v>
          </cell>
          <cell r="AE111">
            <v>0</v>
          </cell>
          <cell r="AF111">
            <v>0</v>
          </cell>
          <cell r="AI111">
            <v>0</v>
          </cell>
          <cell r="AJ111">
            <v>0</v>
          </cell>
          <cell r="AN111">
            <v>0</v>
          </cell>
          <cell r="AP111">
            <v>0</v>
          </cell>
          <cell r="AS111">
            <v>0</v>
          </cell>
        </row>
        <row r="112">
          <cell r="C112">
            <v>0</v>
          </cell>
          <cell r="N112">
            <v>0</v>
          </cell>
          <cell r="P112">
            <v>0</v>
          </cell>
          <cell r="Q112">
            <v>0</v>
          </cell>
          <cell r="R112">
            <v>928</v>
          </cell>
          <cell r="S112">
            <v>928</v>
          </cell>
          <cell r="T112">
            <v>0</v>
          </cell>
          <cell r="W112">
            <v>366</v>
          </cell>
          <cell r="X112">
            <v>366</v>
          </cell>
          <cell r="Y112">
            <v>0</v>
          </cell>
          <cell r="AB112">
            <v>251</v>
          </cell>
          <cell r="AC112">
            <v>251</v>
          </cell>
          <cell r="AD112">
            <v>0</v>
          </cell>
          <cell r="AE112">
            <v>0</v>
          </cell>
          <cell r="AF112">
            <v>0</v>
          </cell>
          <cell r="AG112">
            <v>535</v>
          </cell>
          <cell r="AH112">
            <v>535</v>
          </cell>
          <cell r="AI112">
            <v>0</v>
          </cell>
          <cell r="AJ112">
            <v>535</v>
          </cell>
          <cell r="AN112">
            <v>508</v>
          </cell>
          <cell r="AP112">
            <v>508</v>
          </cell>
          <cell r="AS112">
            <v>1152</v>
          </cell>
        </row>
        <row r="113">
          <cell r="C113">
            <v>0</v>
          </cell>
          <cell r="N113">
            <v>0</v>
          </cell>
          <cell r="P113">
            <v>0</v>
          </cell>
          <cell r="R113">
            <v>8</v>
          </cell>
          <cell r="S113">
            <v>8</v>
          </cell>
          <cell r="T113">
            <v>0</v>
          </cell>
          <cell r="W113">
            <v>57</v>
          </cell>
          <cell r="X113">
            <v>57</v>
          </cell>
          <cell r="Y113">
            <v>0</v>
          </cell>
          <cell r="AB113">
            <v>7</v>
          </cell>
          <cell r="AC113">
            <v>7</v>
          </cell>
          <cell r="AD113">
            <v>0</v>
          </cell>
          <cell r="AE113">
            <v>0</v>
          </cell>
          <cell r="AF113">
            <v>0</v>
          </cell>
          <cell r="AI113">
            <v>0</v>
          </cell>
          <cell r="AJ113">
            <v>0</v>
          </cell>
          <cell r="AN113">
            <v>19</v>
          </cell>
          <cell r="AP113">
            <v>19</v>
          </cell>
          <cell r="AS113">
            <v>64</v>
          </cell>
        </row>
        <row r="114">
          <cell r="C114">
            <v>1295</v>
          </cell>
          <cell r="N114">
            <v>0</v>
          </cell>
          <cell r="P114">
            <v>0</v>
          </cell>
          <cell r="Q114">
            <v>0</v>
          </cell>
          <cell r="S114">
            <v>0</v>
          </cell>
          <cell r="T114">
            <v>0</v>
          </cell>
          <cell r="X114">
            <v>0</v>
          </cell>
          <cell r="Y114">
            <v>0</v>
          </cell>
          <cell r="AC114">
            <v>0</v>
          </cell>
          <cell r="AD114">
            <v>0</v>
          </cell>
          <cell r="AE114">
            <v>0</v>
          </cell>
          <cell r="AF114">
            <v>0</v>
          </cell>
          <cell r="AI114">
            <v>0</v>
          </cell>
          <cell r="AJ114">
            <v>0</v>
          </cell>
          <cell r="AN114">
            <v>0</v>
          </cell>
          <cell r="AP114">
            <v>1295</v>
          </cell>
          <cell r="AS114">
            <v>0</v>
          </cell>
        </row>
        <row r="115">
          <cell r="C115">
            <v>1000</v>
          </cell>
          <cell r="P115">
            <v>0</v>
          </cell>
          <cell r="S115">
            <v>0</v>
          </cell>
          <cell r="X115">
            <v>0</v>
          </cell>
          <cell r="AC115">
            <v>0</v>
          </cell>
          <cell r="AF115">
            <v>0</v>
          </cell>
          <cell r="AI115">
            <v>0</v>
          </cell>
          <cell r="AJ115">
            <v>0</v>
          </cell>
          <cell r="AP115">
            <v>1000</v>
          </cell>
          <cell r="AS115">
            <v>0</v>
          </cell>
        </row>
        <row r="116">
          <cell r="C116">
            <v>6305</v>
          </cell>
          <cell r="P116">
            <v>0</v>
          </cell>
          <cell r="S116">
            <v>0</v>
          </cell>
          <cell r="X116">
            <v>0</v>
          </cell>
          <cell r="AC116">
            <v>0</v>
          </cell>
          <cell r="AF116">
            <v>0</v>
          </cell>
          <cell r="AI116">
            <v>0</v>
          </cell>
          <cell r="AJ116">
            <v>0</v>
          </cell>
          <cell r="AP116">
            <v>6305</v>
          </cell>
          <cell r="AS116">
            <v>0</v>
          </cell>
        </row>
        <row r="117">
          <cell r="C117">
            <v>0</v>
          </cell>
        </row>
        <row r="120">
          <cell r="P120">
            <v>0</v>
          </cell>
          <cell r="S120">
            <v>0</v>
          </cell>
          <cell r="X120">
            <v>0</v>
          </cell>
          <cell r="AC120">
            <v>0</v>
          </cell>
          <cell r="AE120">
            <v>0</v>
          </cell>
          <cell r="AF120">
            <v>0</v>
          </cell>
          <cell r="AI120">
            <v>0</v>
          </cell>
          <cell r="AJ120">
            <v>0</v>
          </cell>
          <cell r="AN120">
            <v>0</v>
          </cell>
          <cell r="AP120">
            <v>36465</v>
          </cell>
          <cell r="AQ120">
            <v>-206256.39845151512</v>
          </cell>
          <cell r="AS120">
            <v>0</v>
          </cell>
        </row>
        <row r="121">
          <cell r="C121">
            <v>0</v>
          </cell>
          <cell r="P121">
            <v>0</v>
          </cell>
          <cell r="S121">
            <v>0</v>
          </cell>
          <cell r="X121">
            <v>0</v>
          </cell>
          <cell r="AC121">
            <v>0</v>
          </cell>
          <cell r="AJ121">
            <v>0</v>
          </cell>
          <cell r="AN121">
            <v>0</v>
          </cell>
          <cell r="AP121">
            <v>0</v>
          </cell>
          <cell r="AS121">
            <v>0</v>
          </cell>
        </row>
        <row r="122">
          <cell r="C122">
            <v>1313</v>
          </cell>
          <cell r="D122">
            <v>0</v>
          </cell>
          <cell r="E122">
            <v>0</v>
          </cell>
          <cell r="N122">
            <v>344.69200000000001</v>
          </cell>
          <cell r="O122">
            <v>0</v>
          </cell>
          <cell r="P122">
            <v>-344.69200000000001</v>
          </cell>
          <cell r="Q122">
            <v>2262.3339999999998</v>
          </cell>
          <cell r="R122">
            <v>1921</v>
          </cell>
          <cell r="S122">
            <v>-341.33399999999983</v>
          </cell>
          <cell r="T122">
            <v>0</v>
          </cell>
          <cell r="U122">
            <v>0</v>
          </cell>
          <cell r="V122">
            <v>0</v>
          </cell>
          <cell r="W122">
            <v>504</v>
          </cell>
          <cell r="X122">
            <v>504</v>
          </cell>
          <cell r="Y122">
            <v>0</v>
          </cell>
          <cell r="Z122">
            <v>0</v>
          </cell>
          <cell r="AA122">
            <v>0</v>
          </cell>
          <cell r="AB122">
            <v>354</v>
          </cell>
          <cell r="AC122">
            <v>354</v>
          </cell>
          <cell r="AD122">
            <v>0</v>
          </cell>
          <cell r="AE122">
            <v>0</v>
          </cell>
          <cell r="AF122">
            <v>0</v>
          </cell>
          <cell r="AG122">
            <v>693</v>
          </cell>
          <cell r="AH122">
            <v>693</v>
          </cell>
          <cell r="AI122">
            <v>0</v>
          </cell>
          <cell r="AJ122">
            <v>693</v>
          </cell>
          <cell r="AN122">
            <v>8438.2999999999993</v>
          </cell>
          <cell r="AP122">
            <v>35895.725999999995</v>
          </cell>
          <cell r="AU122">
            <v>0</v>
          </cell>
          <cell r="AV122">
            <v>0</v>
          </cell>
          <cell r="AW122">
            <v>0</v>
          </cell>
          <cell r="AX122">
            <v>0</v>
          </cell>
        </row>
        <row r="123">
          <cell r="C123">
            <v>9913</v>
          </cell>
          <cell r="D123">
            <v>0</v>
          </cell>
          <cell r="E123">
            <v>0</v>
          </cell>
          <cell r="N123">
            <v>344.5</v>
          </cell>
          <cell r="P123">
            <v>-344.5</v>
          </cell>
          <cell r="Q123">
            <v>2260.8900000000003</v>
          </cell>
          <cell r="T123">
            <v>0</v>
          </cell>
          <cell r="U123">
            <v>0</v>
          </cell>
          <cell r="V123">
            <v>0</v>
          </cell>
          <cell r="X123">
            <v>0</v>
          </cell>
          <cell r="Y123">
            <v>0</v>
          </cell>
          <cell r="Z123">
            <v>0</v>
          </cell>
          <cell r="AA123">
            <v>0</v>
          </cell>
          <cell r="AC123">
            <v>0</v>
          </cell>
          <cell r="AJ123">
            <v>0</v>
          </cell>
          <cell r="AN123">
            <v>8438.2999999999993</v>
          </cell>
          <cell r="AP123">
            <v>72360.725999999995</v>
          </cell>
        </row>
        <row r="124">
          <cell r="P124">
            <v>0</v>
          </cell>
          <cell r="X124">
            <v>0</v>
          </cell>
          <cell r="AC124">
            <v>0</v>
          </cell>
          <cell r="AJ124">
            <v>0</v>
          </cell>
          <cell r="AP124">
            <v>-170360.67245151513</v>
          </cell>
        </row>
        <row r="125">
          <cell r="P125">
            <v>0</v>
          </cell>
          <cell r="X125">
            <v>0</v>
          </cell>
          <cell r="AC125">
            <v>0</v>
          </cell>
          <cell r="AJ125">
            <v>0</v>
          </cell>
          <cell r="AP125">
            <v>-170360.67245151513</v>
          </cell>
        </row>
        <row r="126">
          <cell r="P126">
            <v>0</v>
          </cell>
          <cell r="X126">
            <v>0</v>
          </cell>
          <cell r="AC126">
            <v>0</v>
          </cell>
          <cell r="AJ126">
            <v>0</v>
          </cell>
          <cell r="AP126">
            <v>-246253.19578787877</v>
          </cell>
          <cell r="AQ126">
            <v>-32368.874721757253</v>
          </cell>
          <cell r="AR126">
            <v>-216485.32106612157</v>
          </cell>
        </row>
        <row r="127">
          <cell r="P127">
            <v>0</v>
          </cell>
          <cell r="X127">
            <v>0</v>
          </cell>
          <cell r="AC127">
            <v>0</v>
          </cell>
          <cell r="AJ127">
            <v>0</v>
          </cell>
        </row>
        <row r="128">
          <cell r="P128">
            <v>0</v>
          </cell>
          <cell r="X128">
            <v>0</v>
          </cell>
          <cell r="AC128">
            <v>0</v>
          </cell>
          <cell r="AJ128">
            <v>0</v>
          </cell>
          <cell r="AP128">
            <v>-75892.523336363636</v>
          </cell>
          <cell r="AU128">
            <v>0</v>
          </cell>
        </row>
        <row r="129">
          <cell r="P129">
            <v>0</v>
          </cell>
          <cell r="X129">
            <v>0</v>
          </cell>
          <cell r="AC129">
            <v>0</v>
          </cell>
          <cell r="AJ129">
            <v>0</v>
          </cell>
        </row>
        <row r="130">
          <cell r="P130">
            <v>0</v>
          </cell>
          <cell r="X130">
            <v>0</v>
          </cell>
          <cell r="AC130">
            <v>0</v>
          </cell>
          <cell r="AJ130">
            <v>0</v>
          </cell>
        </row>
        <row r="131">
          <cell r="P131">
            <v>0</v>
          </cell>
          <cell r="X131">
            <v>0</v>
          </cell>
          <cell r="AC131">
            <v>0</v>
          </cell>
          <cell r="AJ131">
            <v>0</v>
          </cell>
          <cell r="AP131">
            <v>56002</v>
          </cell>
          <cell r="AR131">
            <v>56002</v>
          </cell>
          <cell r="AU131">
            <v>0</v>
          </cell>
          <cell r="AW131">
            <v>0</v>
          </cell>
        </row>
        <row r="132">
          <cell r="P132">
            <v>0</v>
          </cell>
          <cell r="X132">
            <v>0</v>
          </cell>
          <cell r="AC132">
            <v>0</v>
          </cell>
          <cell r="AJ132">
            <v>0</v>
          </cell>
          <cell r="AP132">
            <v>-216485.32106612157</v>
          </cell>
          <cell r="AU132">
            <v>0</v>
          </cell>
        </row>
        <row r="133">
          <cell r="P133">
            <v>0</v>
          </cell>
          <cell r="X133">
            <v>0</v>
          </cell>
          <cell r="AC133">
            <v>0</v>
          </cell>
          <cell r="AJ133">
            <v>0</v>
          </cell>
          <cell r="AP133">
            <v>26.73</v>
          </cell>
          <cell r="AU133" t="e">
            <v>#DIV/0!</v>
          </cell>
        </row>
        <row r="134">
          <cell r="P134">
            <v>0</v>
          </cell>
          <cell r="X134">
            <v>0</v>
          </cell>
          <cell r="AC134">
            <v>0</v>
          </cell>
          <cell r="AJ134">
            <v>0</v>
          </cell>
          <cell r="AP134">
            <v>130.07</v>
          </cell>
          <cell r="AU134" t="e">
            <v>#DIV/0!</v>
          </cell>
        </row>
        <row r="135">
          <cell r="P135">
            <v>0</v>
          </cell>
          <cell r="X135">
            <v>0</v>
          </cell>
          <cell r="AC135">
            <v>0</v>
          </cell>
          <cell r="AJ135">
            <v>0</v>
          </cell>
          <cell r="AP135">
            <v>0</v>
          </cell>
          <cell r="AU135">
            <v>0</v>
          </cell>
        </row>
        <row r="136">
          <cell r="P136">
            <v>0</v>
          </cell>
          <cell r="X136">
            <v>0</v>
          </cell>
          <cell r="AC136">
            <v>0</v>
          </cell>
          <cell r="AJ136">
            <v>0</v>
          </cell>
        </row>
        <row r="137">
          <cell r="P137">
            <v>0</v>
          </cell>
          <cell r="X137">
            <v>0</v>
          </cell>
          <cell r="AC137">
            <v>0</v>
          </cell>
          <cell r="AJ137">
            <v>0</v>
          </cell>
          <cell r="AP137">
            <v>36.19</v>
          </cell>
          <cell r="AU137" t="e">
            <v>#DIV/0!</v>
          </cell>
        </row>
        <row r="138">
          <cell r="P138">
            <v>0</v>
          </cell>
          <cell r="X138">
            <v>0</v>
          </cell>
          <cell r="AC138">
            <v>0</v>
          </cell>
          <cell r="AJ138">
            <v>0</v>
          </cell>
        </row>
        <row r="139">
          <cell r="P139">
            <v>0</v>
          </cell>
          <cell r="X139">
            <v>0</v>
          </cell>
          <cell r="AC139">
            <v>0</v>
          </cell>
          <cell r="AJ139">
            <v>0</v>
          </cell>
          <cell r="AN139">
            <v>0</v>
          </cell>
          <cell r="AP139">
            <v>42.66</v>
          </cell>
          <cell r="AU139" t="e">
            <v>#DIV/0!</v>
          </cell>
        </row>
        <row r="140">
          <cell r="P140">
            <v>0</v>
          </cell>
          <cell r="X140">
            <v>0</v>
          </cell>
          <cell r="AC140">
            <v>0</v>
          </cell>
          <cell r="AJ140">
            <v>0</v>
          </cell>
          <cell r="AP140">
            <v>180931</v>
          </cell>
          <cell r="AQ140">
            <v>180931</v>
          </cell>
        </row>
        <row r="141">
          <cell r="C141" t="str">
            <v>коп/кВтг</v>
          </cell>
          <cell r="P141">
            <v>0</v>
          </cell>
          <cell r="X141">
            <v>0</v>
          </cell>
          <cell r="AC141">
            <v>0</v>
          </cell>
          <cell r="AJ141">
            <v>0</v>
          </cell>
        </row>
        <row r="142">
          <cell r="P142">
            <v>0</v>
          </cell>
          <cell r="X142">
            <v>0</v>
          </cell>
          <cell r="AC142">
            <v>0</v>
          </cell>
          <cell r="AJ142">
            <v>0</v>
          </cell>
          <cell r="AN142">
            <v>0</v>
          </cell>
          <cell r="AP142">
            <v>0</v>
          </cell>
        </row>
        <row r="143">
          <cell r="P143">
            <v>0</v>
          </cell>
          <cell r="Q143">
            <v>0</v>
          </cell>
          <cell r="X143">
            <v>0</v>
          </cell>
          <cell r="AC143">
            <v>0</v>
          </cell>
          <cell r="AJ143">
            <v>0</v>
          </cell>
          <cell r="AP143">
            <v>2601</v>
          </cell>
        </row>
        <row r="144">
          <cell r="P144">
            <v>0</v>
          </cell>
          <cell r="X144">
            <v>0</v>
          </cell>
          <cell r="AC144">
            <v>0</v>
          </cell>
          <cell r="AJ144">
            <v>0</v>
          </cell>
          <cell r="AN144">
            <v>0</v>
          </cell>
          <cell r="AP144">
            <v>236933</v>
          </cell>
          <cell r="AQ144">
            <v>180931</v>
          </cell>
          <cell r="AR144">
            <v>56002</v>
          </cell>
          <cell r="AU144">
            <v>0</v>
          </cell>
        </row>
        <row r="145">
          <cell r="P145">
            <v>0</v>
          </cell>
          <cell r="X145">
            <v>0</v>
          </cell>
          <cell r="AC145">
            <v>0</v>
          </cell>
          <cell r="AJ145">
            <v>0</v>
          </cell>
          <cell r="AP145">
            <v>0</v>
          </cell>
        </row>
        <row r="146">
          <cell r="P146">
            <v>0</v>
          </cell>
          <cell r="X146">
            <v>0</v>
          </cell>
          <cell r="AC146">
            <v>0</v>
          </cell>
          <cell r="AJ146">
            <v>0</v>
          </cell>
          <cell r="AP146">
            <v>236933</v>
          </cell>
          <cell r="AQ146">
            <v>180931</v>
          </cell>
          <cell r="AR146">
            <v>56002</v>
          </cell>
        </row>
        <row r="147">
          <cell r="P147">
            <v>0</v>
          </cell>
          <cell r="X147">
            <v>0</v>
          </cell>
          <cell r="AC147">
            <v>0</v>
          </cell>
          <cell r="AJ147">
            <v>0</v>
          </cell>
          <cell r="AU147">
            <v>16317</v>
          </cell>
          <cell r="AV147">
            <v>29050</v>
          </cell>
          <cell r="AW147">
            <v>19611.776998829588</v>
          </cell>
          <cell r="AX147">
            <v>57757.418789049188</v>
          </cell>
        </row>
        <row r="148">
          <cell r="P148">
            <v>0</v>
          </cell>
          <cell r="X148">
            <v>0</v>
          </cell>
          <cell r="AC148">
            <v>0</v>
          </cell>
          <cell r="AJ148">
            <v>0</v>
          </cell>
          <cell r="AP148">
            <v>-50.7</v>
          </cell>
          <cell r="AQ148">
            <v>-15.2</v>
          </cell>
          <cell r="AR148">
            <v>-79.400000000000006</v>
          </cell>
        </row>
        <row r="149">
          <cell r="P149">
            <v>0</v>
          </cell>
          <cell r="X149">
            <v>0</v>
          </cell>
          <cell r="AC149">
            <v>0</v>
          </cell>
          <cell r="AJ149">
            <v>0</v>
          </cell>
        </row>
        <row r="150">
          <cell r="C150">
            <v>0</v>
          </cell>
          <cell r="N150">
            <v>0</v>
          </cell>
          <cell r="P150">
            <v>0</v>
          </cell>
          <cell r="Q150">
            <v>0</v>
          </cell>
          <cell r="T150">
            <v>0</v>
          </cell>
          <cell r="X150">
            <v>0</v>
          </cell>
          <cell r="Y150">
            <v>0</v>
          </cell>
          <cell r="AC150">
            <v>0</v>
          </cell>
          <cell r="AJ150">
            <v>0</v>
          </cell>
          <cell r="AN150">
            <v>0</v>
          </cell>
        </row>
        <row r="152">
          <cell r="C152">
            <v>524</v>
          </cell>
          <cell r="N152">
            <v>1554.6</v>
          </cell>
          <cell r="P152">
            <v>-1554.6</v>
          </cell>
          <cell r="Q152">
            <v>2706.75</v>
          </cell>
          <cell r="S152">
            <v>-2706.75</v>
          </cell>
          <cell r="T152">
            <v>4521.1499999999996</v>
          </cell>
          <cell r="W152">
            <v>1510</v>
          </cell>
          <cell r="X152">
            <v>-3011.1499999999996</v>
          </cell>
          <cell r="Y152">
            <v>2132.6999999999998</v>
          </cell>
          <cell r="AC152">
            <v>-2132.6999999999998</v>
          </cell>
          <cell r="AD152">
            <v>2072</v>
          </cell>
          <cell r="AE152">
            <v>1999</v>
          </cell>
          <cell r="AF152">
            <v>73</v>
          </cell>
          <cell r="AG152">
            <v>0</v>
          </cell>
          <cell r="AH152">
            <v>938</v>
          </cell>
          <cell r="AI152">
            <v>0</v>
          </cell>
          <cell r="AJ152">
            <v>-2072</v>
          </cell>
          <cell r="AN152">
            <v>197</v>
          </cell>
          <cell r="AP152">
            <v>13708.2</v>
          </cell>
        </row>
        <row r="153">
          <cell r="C153">
            <v>524</v>
          </cell>
        </row>
        <row r="154">
          <cell r="N154">
            <v>552.33333333333326</v>
          </cell>
          <cell r="O154">
            <v>0</v>
          </cell>
          <cell r="P154">
            <v>-552.33333333333326</v>
          </cell>
          <cell r="Q154">
            <v>3030.545454545455</v>
          </cell>
          <cell r="R154">
            <v>0</v>
          </cell>
          <cell r="S154">
            <v>-3030.545454545455</v>
          </cell>
          <cell r="T154">
            <v>1751.2727272727273</v>
          </cell>
          <cell r="U154">
            <v>895</v>
          </cell>
          <cell r="V154">
            <v>856.27272727272725</v>
          </cell>
          <cell r="W154">
            <v>0</v>
          </cell>
          <cell r="X154">
            <v>-1751.2727272727273</v>
          </cell>
          <cell r="Y154">
            <v>1216</v>
          </cell>
          <cell r="Z154">
            <v>591</v>
          </cell>
          <cell r="AA154">
            <v>625</v>
          </cell>
          <cell r="AB154">
            <v>0</v>
          </cell>
          <cell r="AC154">
            <v>-1216</v>
          </cell>
          <cell r="AD154">
            <v>1129.090909090909</v>
          </cell>
          <cell r="AE154">
            <v>1129.090909090909</v>
          </cell>
          <cell r="AF154">
            <v>0</v>
          </cell>
          <cell r="AG154">
            <v>0</v>
          </cell>
          <cell r="AH154">
            <v>0</v>
          </cell>
          <cell r="AI154">
            <v>0</v>
          </cell>
          <cell r="AJ154">
            <v>-1129.090909090909</v>
          </cell>
          <cell r="AN154">
            <v>0</v>
          </cell>
        </row>
        <row r="155">
          <cell r="N155">
            <v>0</v>
          </cell>
          <cell r="P155">
            <v>0</v>
          </cell>
          <cell r="Q155">
            <v>0</v>
          </cell>
          <cell r="S155">
            <v>0</v>
          </cell>
          <cell r="T155">
            <v>70</v>
          </cell>
          <cell r="X155">
            <v>-70</v>
          </cell>
          <cell r="Y155">
            <v>24</v>
          </cell>
          <cell r="AC155">
            <v>-24</v>
          </cell>
          <cell r="AJ155">
            <v>0</v>
          </cell>
          <cell r="AP155" t="e">
            <v>#REF!</v>
          </cell>
        </row>
        <row r="156">
          <cell r="N156">
            <v>0</v>
          </cell>
          <cell r="P156">
            <v>0</v>
          </cell>
          <cell r="Q156">
            <v>0</v>
          </cell>
          <cell r="S156">
            <v>0</v>
          </cell>
          <cell r="T156">
            <v>0</v>
          </cell>
          <cell r="X156">
            <v>0</v>
          </cell>
          <cell r="Y156">
            <v>0</v>
          </cell>
          <cell r="AC156">
            <v>0</v>
          </cell>
          <cell r="AJ156">
            <v>0</v>
          </cell>
          <cell r="AP156" t="e">
            <v>#REF!</v>
          </cell>
        </row>
        <row r="157">
          <cell r="C157">
            <v>0</v>
          </cell>
          <cell r="N157">
            <v>681</v>
          </cell>
          <cell r="P157">
            <v>-681</v>
          </cell>
          <cell r="Q157">
            <v>1041.8333333333333</v>
          </cell>
          <cell r="S157">
            <v>-1041.8333333333333</v>
          </cell>
          <cell r="T157">
            <v>213</v>
          </cell>
          <cell r="X157">
            <v>-213</v>
          </cell>
          <cell r="Y157">
            <v>2086.9051145454541</v>
          </cell>
          <cell r="AC157">
            <v>-2086.9051145454541</v>
          </cell>
          <cell r="AJ157">
            <v>0</v>
          </cell>
          <cell r="AP157" t="e">
            <v>#REF!</v>
          </cell>
        </row>
        <row r="158">
          <cell r="C158">
            <v>0</v>
          </cell>
          <cell r="N158">
            <v>47</v>
          </cell>
          <cell r="P158">
            <v>-47</v>
          </cell>
          <cell r="Q158">
            <v>140</v>
          </cell>
          <cell r="S158">
            <v>-140</v>
          </cell>
          <cell r="T158">
            <v>105</v>
          </cell>
          <cell r="X158">
            <v>-105</v>
          </cell>
          <cell r="Y158">
            <v>190</v>
          </cell>
          <cell r="AC158">
            <v>-190</v>
          </cell>
          <cell r="AJ158">
            <v>0</v>
          </cell>
          <cell r="AP158" t="e">
            <v>#REF!</v>
          </cell>
        </row>
        <row r="159">
          <cell r="C159">
            <v>0</v>
          </cell>
          <cell r="N159">
            <v>1507.6</v>
          </cell>
          <cell r="P159">
            <v>-1507.6</v>
          </cell>
          <cell r="Q159">
            <v>140</v>
          </cell>
          <cell r="S159">
            <v>-140</v>
          </cell>
          <cell r="T159" t="str">
            <v xml:space="preserve">                   КОРИГУВАННЯ   ПЛАНУ   НА   СЕРПЕНЬ  1998 р</v>
          </cell>
          <cell r="X159" t="e">
            <v>#VALUE!</v>
          </cell>
          <cell r="Y159">
            <v>1942.6999999999998</v>
          </cell>
          <cell r="AC159">
            <v>-1942.6999999999998</v>
          </cell>
          <cell r="AJ159">
            <v>0</v>
          </cell>
          <cell r="AP159" t="e">
            <v>#VALUE!</v>
          </cell>
        </row>
        <row r="160">
          <cell r="C160">
            <v>0</v>
          </cell>
          <cell r="N160">
            <v>1554.6</v>
          </cell>
          <cell r="P160">
            <v>-1554.6</v>
          </cell>
          <cell r="Q160">
            <v>280</v>
          </cell>
          <cell r="S160">
            <v>-280</v>
          </cell>
          <cell r="X160">
            <v>0</v>
          </cell>
          <cell r="Y160">
            <v>2132.6999999999998</v>
          </cell>
          <cell r="AC160">
            <v>-2132.6999999999998</v>
          </cell>
          <cell r="AJ160">
            <v>0</v>
          </cell>
        </row>
        <row r="161">
          <cell r="N161">
            <v>0</v>
          </cell>
          <cell r="P161">
            <v>0</v>
          </cell>
          <cell r="Q161">
            <v>2426.75</v>
          </cell>
          <cell r="S161">
            <v>-2426.75</v>
          </cell>
          <cell r="X161">
            <v>0</v>
          </cell>
          <cell r="Y161">
            <v>0</v>
          </cell>
          <cell r="AC161">
            <v>0</v>
          </cell>
          <cell r="AJ161">
            <v>0</v>
          </cell>
          <cell r="AP161" t="e">
            <v>#REF!</v>
          </cell>
        </row>
        <row r="162">
          <cell r="C162">
            <v>0</v>
          </cell>
          <cell r="N162" t="e">
            <v>#REF!</v>
          </cell>
          <cell r="P162" t="e">
            <v>#REF!</v>
          </cell>
          <cell r="Q162">
            <v>0</v>
          </cell>
          <cell r="S162">
            <v>0</v>
          </cell>
          <cell r="X162">
            <v>0</v>
          </cell>
          <cell r="Y162" t="e">
            <v>#REF!</v>
          </cell>
          <cell r="AC162" t="e">
            <v>#REF!</v>
          </cell>
          <cell r="AJ162">
            <v>0</v>
          </cell>
          <cell r="AP162" t="e">
            <v>#REF!</v>
          </cell>
        </row>
        <row r="163">
          <cell r="C163">
            <v>1405</v>
          </cell>
          <cell r="N163">
            <v>3638.65</v>
          </cell>
          <cell r="O163">
            <v>0</v>
          </cell>
          <cell r="P163">
            <v>-3638.65</v>
          </cell>
          <cell r="Q163">
            <v>4446.2</v>
          </cell>
          <cell r="R163">
            <v>800</v>
          </cell>
          <cell r="S163">
            <v>-3646.2</v>
          </cell>
          <cell r="T163">
            <v>502.97</v>
          </cell>
          <cell r="U163">
            <v>0</v>
          </cell>
          <cell r="V163">
            <v>0</v>
          </cell>
          <cell r="W163">
            <v>0</v>
          </cell>
          <cell r="X163">
            <v>-502.97</v>
          </cell>
          <cell r="Y163">
            <v>780.26</v>
          </cell>
          <cell r="Z163">
            <v>0</v>
          </cell>
          <cell r="AA163">
            <v>0</v>
          </cell>
          <cell r="AB163">
            <v>432</v>
          </cell>
          <cell r="AC163">
            <v>-348.26</v>
          </cell>
          <cell r="AD163" t="e">
            <v>#REF!</v>
          </cell>
          <cell r="AE163">
            <v>2119</v>
          </cell>
          <cell r="AF163">
            <v>0</v>
          </cell>
          <cell r="AG163">
            <v>0</v>
          </cell>
          <cell r="AH163">
            <v>0</v>
          </cell>
          <cell r="AI163">
            <v>0</v>
          </cell>
          <cell r="AJ163" t="e">
            <v>#REF!</v>
          </cell>
          <cell r="AK163">
            <v>0</v>
          </cell>
          <cell r="AL163">
            <v>0</v>
          </cell>
          <cell r="AM163">
            <v>0</v>
          </cell>
          <cell r="AN163">
            <v>2443</v>
          </cell>
          <cell r="AO163">
            <v>1616</v>
          </cell>
          <cell r="AP163">
            <v>21063.663999999997</v>
          </cell>
          <cell r="AS163">
            <v>2048</v>
          </cell>
        </row>
        <row r="164">
          <cell r="C164">
            <v>0</v>
          </cell>
          <cell r="N164">
            <v>0</v>
          </cell>
          <cell r="O164">
            <v>0</v>
          </cell>
          <cell r="P164">
            <v>0</v>
          </cell>
          <cell r="Q164">
            <v>0</v>
          </cell>
          <cell r="R164">
            <v>154</v>
          </cell>
          <cell r="S164">
            <v>154</v>
          </cell>
          <cell r="T164">
            <v>0</v>
          </cell>
          <cell r="U164">
            <v>0</v>
          </cell>
          <cell r="V164">
            <v>0</v>
          </cell>
          <cell r="W164">
            <v>79</v>
          </cell>
          <cell r="X164">
            <v>79</v>
          </cell>
          <cell r="Y164">
            <v>0</v>
          </cell>
          <cell r="Z164">
            <v>0</v>
          </cell>
          <cell r="AA164">
            <v>0</v>
          </cell>
          <cell r="AB164">
            <v>86</v>
          </cell>
          <cell r="AC164">
            <v>86</v>
          </cell>
          <cell r="AD164">
            <v>0</v>
          </cell>
          <cell r="AE164">
            <v>0</v>
          </cell>
          <cell r="AF164">
            <v>0</v>
          </cell>
          <cell r="AG164">
            <v>30</v>
          </cell>
          <cell r="AH164">
            <v>30</v>
          </cell>
          <cell r="AI164">
            <v>0</v>
          </cell>
          <cell r="AJ164">
            <v>30</v>
          </cell>
          <cell r="AK164">
            <v>0</v>
          </cell>
          <cell r="AL164">
            <v>0</v>
          </cell>
          <cell r="AM164">
            <v>0</v>
          </cell>
          <cell r="AN164">
            <v>822</v>
          </cell>
          <cell r="AO164">
            <v>0</v>
          </cell>
          <cell r="AP164">
            <v>822</v>
          </cell>
          <cell r="AS164">
            <v>195</v>
          </cell>
        </row>
        <row r="165">
          <cell r="C165">
            <v>2856.2818181818179</v>
          </cell>
          <cell r="N165">
            <v>4905.7127272727275</v>
          </cell>
          <cell r="O165">
            <v>0</v>
          </cell>
          <cell r="P165">
            <v>-4905.7127272727275</v>
          </cell>
          <cell r="Q165">
            <v>10981.60090909091</v>
          </cell>
          <cell r="R165">
            <v>928</v>
          </cell>
          <cell r="S165">
            <v>-10053.60090909091</v>
          </cell>
          <cell r="T165">
            <v>4306.8772727272726</v>
          </cell>
          <cell r="U165">
            <v>2180</v>
          </cell>
          <cell r="V165">
            <v>2126.8772727272726</v>
          </cell>
          <cell r="W165">
            <v>366</v>
          </cell>
          <cell r="X165">
            <v>-3940.8772727272726</v>
          </cell>
          <cell r="Y165">
            <v>3481.4672727272728</v>
          </cell>
          <cell r="Z165">
            <v>1690</v>
          </cell>
          <cell r="AA165">
            <v>1791.4672727272728</v>
          </cell>
          <cell r="AB165">
            <v>251</v>
          </cell>
          <cell r="AC165">
            <v>-3230.4672727272728</v>
          </cell>
          <cell r="AD165">
            <v>9708.5263636363652</v>
          </cell>
          <cell r="AE165">
            <v>8947.636363636364</v>
          </cell>
          <cell r="AF165">
            <v>760.89000000000033</v>
          </cell>
          <cell r="AG165">
            <v>535</v>
          </cell>
          <cell r="AH165">
            <v>535</v>
          </cell>
          <cell r="AI165">
            <v>0</v>
          </cell>
          <cell r="AJ165">
            <v>-9173.5263636363652</v>
          </cell>
          <cell r="AK165">
            <v>0</v>
          </cell>
          <cell r="AL165">
            <v>0</v>
          </cell>
          <cell r="AM165">
            <v>0</v>
          </cell>
          <cell r="AN165">
            <v>545</v>
          </cell>
          <cell r="AO165">
            <v>0</v>
          </cell>
          <cell r="AP165">
            <v>36787.576363636363</v>
          </cell>
          <cell r="AS165">
            <v>1773</v>
          </cell>
        </row>
        <row r="166">
          <cell r="C166">
            <v>30</v>
          </cell>
          <cell r="N166">
            <v>118.13333333333333</v>
          </cell>
          <cell r="O166">
            <v>51</v>
          </cell>
          <cell r="P166">
            <v>-67.133333333333326</v>
          </cell>
          <cell r="Q166">
            <v>203.39999999999998</v>
          </cell>
          <cell r="R166">
            <v>8</v>
          </cell>
          <cell r="S166">
            <v>-195.39999999999998</v>
          </cell>
          <cell r="T166">
            <v>4625.8666666666668</v>
          </cell>
          <cell r="U166">
            <v>2166</v>
          </cell>
          <cell r="V166">
            <v>2459.8666666666668</v>
          </cell>
          <cell r="W166">
            <v>57</v>
          </cell>
          <cell r="X166">
            <v>-4568.8666666666668</v>
          </cell>
          <cell r="Y166">
            <v>468.13333333333327</v>
          </cell>
          <cell r="Z166">
            <v>38</v>
          </cell>
          <cell r="AA166">
            <v>40.200000000000003</v>
          </cell>
          <cell r="AB166">
            <v>7</v>
          </cell>
          <cell r="AC166">
            <v>-461.13333333333327</v>
          </cell>
          <cell r="AD166">
            <v>120</v>
          </cell>
          <cell r="AE166">
            <v>26</v>
          </cell>
          <cell r="AF166">
            <v>94</v>
          </cell>
          <cell r="AG166">
            <v>0</v>
          </cell>
          <cell r="AH166">
            <v>0</v>
          </cell>
          <cell r="AI166">
            <v>0</v>
          </cell>
          <cell r="AJ166">
            <v>-120</v>
          </cell>
          <cell r="AK166">
            <v>0</v>
          </cell>
          <cell r="AL166">
            <v>0</v>
          </cell>
          <cell r="AM166">
            <v>0</v>
          </cell>
          <cell r="AN166">
            <v>19</v>
          </cell>
          <cell r="AO166">
            <v>0</v>
          </cell>
          <cell r="AP166">
            <v>5994.5333333333338</v>
          </cell>
          <cell r="AS166">
            <v>114</v>
          </cell>
        </row>
        <row r="167">
          <cell r="C167">
            <v>-4815.2818181818184</v>
          </cell>
          <cell r="N167">
            <v>5132.1399999999985</v>
          </cell>
          <cell r="Q167">
            <v>29088.33312121213</v>
          </cell>
          <cell r="T167">
            <v>4773.1324242424198</v>
          </cell>
          <cell r="Y167">
            <v>4381.1799999999857</v>
          </cell>
          <cell r="AE167">
            <v>7544.4656363636359</v>
          </cell>
          <cell r="AG167">
            <v>128</v>
          </cell>
          <cell r="AH167">
            <v>-810</v>
          </cell>
          <cell r="AN167">
            <v>4449.2999999999993</v>
          </cell>
          <cell r="AP167">
            <v>65476.669363636363</v>
          </cell>
        </row>
        <row r="168">
          <cell r="C168">
            <v>0</v>
          </cell>
          <cell r="N168">
            <v>3294.15</v>
          </cell>
        </row>
        <row r="169">
          <cell r="C169">
            <v>474</v>
          </cell>
        </row>
        <row r="170">
          <cell r="C170">
            <v>87.333333333333329</v>
          </cell>
        </row>
        <row r="171">
          <cell r="AV171">
            <v>1507.2</v>
          </cell>
        </row>
        <row r="174">
          <cell r="C174" t="str">
            <v>АПАРАТ ВСЬОГО</v>
          </cell>
          <cell r="D174" t="str">
            <v>АПАРАТ ЕЛЕКТРО</v>
          </cell>
          <cell r="E174" t="str">
            <v>АПАРАТ ТЕПЛО</v>
          </cell>
          <cell r="N174" t="str">
            <v>ККМ</v>
          </cell>
          <cell r="Q174" t="str">
            <v>КТМ</v>
          </cell>
          <cell r="U174">
            <v>250</v>
          </cell>
          <cell r="Y174" t="str">
            <v>ТЕЦ-6 ВСЬОГО</v>
          </cell>
          <cell r="Z174" t="str">
            <v>Е/Е</v>
          </cell>
          <cell r="AA174" t="str">
            <v xml:space="preserve"> Т/Е</v>
          </cell>
          <cell r="AN174" t="str">
            <v>ДОП.ВИР. СТ.ОРГ.</v>
          </cell>
          <cell r="AP174" t="str">
            <v>АК КЕ ВСЬОГО</v>
          </cell>
          <cell r="AQ174" t="str">
            <v>Е/Е</v>
          </cell>
          <cell r="AR174" t="str">
            <v xml:space="preserve"> Т/Е</v>
          </cell>
          <cell r="AU174" t="str">
            <v>очикуваемАК КЕ ВСЬОГО</v>
          </cell>
          <cell r="AV174" t="str">
            <v>Е/Е</v>
          </cell>
          <cell r="AW174" t="str">
            <v xml:space="preserve"> Т/Е</v>
          </cell>
        </row>
        <row r="175">
          <cell r="C175">
            <v>1.895</v>
          </cell>
          <cell r="N175">
            <v>1.847</v>
          </cell>
          <cell r="Q175">
            <v>1.895</v>
          </cell>
          <cell r="U175">
            <v>1.895</v>
          </cell>
          <cell r="V175">
            <v>1.895</v>
          </cell>
          <cell r="Y175">
            <v>1.895</v>
          </cell>
          <cell r="Z175">
            <v>1.895</v>
          </cell>
          <cell r="AA175">
            <v>1.895</v>
          </cell>
          <cell r="AN175">
            <v>1.895</v>
          </cell>
          <cell r="AP175">
            <v>1.895</v>
          </cell>
          <cell r="AQ175">
            <v>1.895</v>
          </cell>
          <cell r="AU175">
            <v>1.905</v>
          </cell>
          <cell r="AV175">
            <v>1.895</v>
          </cell>
        </row>
        <row r="177">
          <cell r="Q177">
            <v>132.19999999999999</v>
          </cell>
          <cell r="Y177">
            <v>68.7</v>
          </cell>
          <cell r="AP177">
            <v>200.89999999999998</v>
          </cell>
          <cell r="AU177">
            <v>251.12700000000001</v>
          </cell>
        </row>
        <row r="178">
          <cell r="Q178">
            <v>150.5</v>
          </cell>
          <cell r="U178">
            <v>150.5</v>
          </cell>
          <cell r="Y178">
            <v>78.3</v>
          </cell>
          <cell r="AP178">
            <v>228.8</v>
          </cell>
          <cell r="AU178">
            <v>288.28500000000003</v>
          </cell>
        </row>
        <row r="179">
          <cell r="N179">
            <v>0</v>
          </cell>
          <cell r="Q179">
            <v>82.5</v>
          </cell>
          <cell r="U179">
            <v>82.5</v>
          </cell>
          <cell r="Y179">
            <v>82.5</v>
          </cell>
          <cell r="AP179">
            <v>82.5</v>
          </cell>
          <cell r="AU179">
            <v>66</v>
          </cell>
        </row>
        <row r="180">
          <cell r="N180">
            <v>0</v>
          </cell>
          <cell r="Q180">
            <v>156.34</v>
          </cell>
          <cell r="U180">
            <v>156.34</v>
          </cell>
          <cell r="Y180">
            <v>156.34</v>
          </cell>
          <cell r="AP180">
            <v>156.34</v>
          </cell>
          <cell r="AU180">
            <v>125.73</v>
          </cell>
        </row>
        <row r="181">
          <cell r="Q181">
            <v>20668</v>
          </cell>
          <cell r="U181">
            <v>0</v>
          </cell>
          <cell r="Y181">
            <v>10741</v>
          </cell>
          <cell r="AP181">
            <v>31409</v>
          </cell>
          <cell r="AU181">
            <v>31574</v>
          </cell>
        </row>
        <row r="182">
          <cell r="AP182">
            <v>31409</v>
          </cell>
          <cell r="AU182" t="e">
            <v>#REF!</v>
          </cell>
        </row>
        <row r="183">
          <cell r="Q183">
            <v>0</v>
          </cell>
          <cell r="U183">
            <v>0</v>
          </cell>
          <cell r="Y183">
            <v>52.1</v>
          </cell>
          <cell r="AP183">
            <v>52.1</v>
          </cell>
          <cell r="AU183">
            <v>67.933000000000007</v>
          </cell>
        </row>
        <row r="184">
          <cell r="Q184">
            <v>0</v>
          </cell>
          <cell r="U184">
            <v>0</v>
          </cell>
          <cell r="Y184">
            <v>71.3</v>
          </cell>
          <cell r="AP184">
            <v>71.3</v>
          </cell>
          <cell r="AU184">
            <v>91.201999999999998</v>
          </cell>
        </row>
        <row r="185">
          <cell r="C185">
            <v>75</v>
          </cell>
          <cell r="N185">
            <v>75</v>
          </cell>
          <cell r="AN185">
            <v>0</v>
          </cell>
          <cell r="AP185">
            <v>98.96042216358839</v>
          </cell>
          <cell r="AU185">
            <v>98.96042216358839</v>
          </cell>
        </row>
        <row r="186">
          <cell r="Q186">
            <v>187.53</v>
          </cell>
          <cell r="U186">
            <v>0</v>
          </cell>
          <cell r="Y186">
            <v>187.53</v>
          </cell>
          <cell r="AP186">
            <v>187.53</v>
          </cell>
          <cell r="AU186">
            <v>187.53</v>
          </cell>
        </row>
        <row r="187">
          <cell r="Q187">
            <v>0</v>
          </cell>
          <cell r="T187">
            <v>0</v>
          </cell>
          <cell r="Y187">
            <v>9770</v>
          </cell>
          <cell r="AP187">
            <v>9770</v>
          </cell>
          <cell r="AU187">
            <v>12739</v>
          </cell>
        </row>
        <row r="188">
          <cell r="AP188">
            <v>9770</v>
          </cell>
          <cell r="AU188" t="e">
            <v>#REF!</v>
          </cell>
        </row>
        <row r="189">
          <cell r="Q189">
            <v>150.5</v>
          </cell>
          <cell r="T189">
            <v>0</v>
          </cell>
          <cell r="U189">
            <v>51.4</v>
          </cell>
          <cell r="V189">
            <v>-51.4</v>
          </cell>
          <cell r="Y189">
            <v>149.6</v>
          </cell>
          <cell r="Z189">
            <v>52.7</v>
          </cell>
          <cell r="AA189">
            <v>96.899999999999991</v>
          </cell>
          <cell r="AP189">
            <v>300.10000000000002</v>
          </cell>
          <cell r="AQ189">
            <v>104.1</v>
          </cell>
          <cell r="AR189">
            <v>196</v>
          </cell>
          <cell r="AU189">
            <v>379.48700000000002</v>
          </cell>
          <cell r="AV189">
            <v>83.676000000000002</v>
          </cell>
          <cell r="AW189">
            <v>295.81100000000004</v>
          </cell>
        </row>
        <row r="190">
          <cell r="Q190">
            <v>20668</v>
          </cell>
          <cell r="T190">
            <v>0</v>
          </cell>
          <cell r="U190" t="e">
            <v>#DIV/0!</v>
          </cell>
          <cell r="V190" t="e">
            <v>#DIV/0!</v>
          </cell>
          <cell r="Y190">
            <v>20511</v>
          </cell>
          <cell r="Z190">
            <v>7225</v>
          </cell>
          <cell r="AA190">
            <v>13286</v>
          </cell>
          <cell r="AP190" t="e">
            <v>#DIV/0!</v>
          </cell>
          <cell r="AQ190" t="e">
            <v>#DIV/0!</v>
          </cell>
          <cell r="AR190" t="e">
            <v>#DIV/0!</v>
          </cell>
          <cell r="AU190">
            <v>44313</v>
          </cell>
          <cell r="AV190">
            <v>9770.9133329995493</v>
          </cell>
          <cell r="AW190">
            <v>34542.086667000447</v>
          </cell>
        </row>
        <row r="191">
          <cell r="Q191">
            <v>137.33000000000001</v>
          </cell>
          <cell r="T191" t="e">
            <v>#DIV/0!</v>
          </cell>
          <cell r="U191" t="e">
            <v>#DIV/0!</v>
          </cell>
          <cell r="V191" t="e">
            <v>#DIV/0!</v>
          </cell>
          <cell r="Y191">
            <v>137.11000000000001</v>
          </cell>
          <cell r="Z191">
            <v>137.1</v>
          </cell>
          <cell r="AA191">
            <v>137.11000000000001</v>
          </cell>
          <cell r="AN191" t="str">
            <v/>
          </cell>
          <cell r="AP191" t="e">
            <v>#DIV/0!</v>
          </cell>
          <cell r="AQ191" t="e">
            <v>#DIV/0!</v>
          </cell>
          <cell r="AR191" t="e">
            <v>#DIV/0!</v>
          </cell>
          <cell r="AU191">
            <v>116.77</v>
          </cell>
          <cell r="AV191">
            <v>116.77</v>
          </cell>
          <cell r="AW191">
            <v>116.77</v>
          </cell>
        </row>
        <row r="192">
          <cell r="AP192">
            <v>0</v>
          </cell>
          <cell r="AQ192">
            <v>0</v>
          </cell>
          <cell r="AR192">
            <v>0</v>
          </cell>
          <cell r="AU192">
            <v>0</v>
          </cell>
          <cell r="AV192">
            <v>0</v>
          </cell>
          <cell r="AW192">
            <v>0</v>
          </cell>
        </row>
        <row r="193">
          <cell r="T193" t="e">
            <v>#DIV/0!</v>
          </cell>
          <cell r="Y193">
            <v>20511</v>
          </cell>
          <cell r="AP193" t="e">
            <v>#DIV/0!</v>
          </cell>
          <cell r="AQ193" t="e">
            <v>#DIV/0!</v>
          </cell>
          <cell r="AR193" t="e">
            <v>#DIV/0!</v>
          </cell>
          <cell r="AU193">
            <v>44313</v>
          </cell>
          <cell r="AV193">
            <v>9770.9133329995493</v>
          </cell>
          <cell r="AW193">
            <v>34542.086667000447</v>
          </cell>
        </row>
        <row r="196">
          <cell r="T196" t="str">
            <v>ТЕЦ-5 ВСЬОГО</v>
          </cell>
          <cell r="U196" t="str">
            <v>Е/Е</v>
          </cell>
          <cell r="V196" t="str">
            <v xml:space="preserve"> Т/Е</v>
          </cell>
          <cell r="Y196" t="str">
            <v>ТЕЦ-6 ВСЬОГО</v>
          </cell>
          <cell r="Z196" t="str">
            <v>Е/Е</v>
          </cell>
          <cell r="AA196" t="str">
            <v xml:space="preserve"> Т/Е</v>
          </cell>
          <cell r="AP196" t="str">
            <v>АК КЕ ВСЬОГО</v>
          </cell>
          <cell r="AQ196" t="str">
            <v>Е/Е</v>
          </cell>
          <cell r="AR196" t="str">
            <v xml:space="preserve"> Т/Е</v>
          </cell>
        </row>
        <row r="197">
          <cell r="U197">
            <v>291.85000000000002</v>
          </cell>
          <cell r="V197">
            <v>750</v>
          </cell>
          <cell r="Z197">
            <v>268.14999999999998</v>
          </cell>
          <cell r="AA197">
            <v>590</v>
          </cell>
        </row>
        <row r="198">
          <cell r="U198">
            <v>176.1</v>
          </cell>
          <cell r="V198">
            <v>163.6</v>
          </cell>
          <cell r="Z198">
            <v>196.5</v>
          </cell>
          <cell r="AA198">
            <v>164.2</v>
          </cell>
        </row>
        <row r="199">
          <cell r="U199">
            <v>306.60000000000002</v>
          </cell>
          <cell r="V199">
            <v>112.8</v>
          </cell>
          <cell r="Z199">
            <v>301.89999999999998</v>
          </cell>
          <cell r="AA199">
            <v>116.3</v>
          </cell>
        </row>
        <row r="200">
          <cell r="U200">
            <v>130.50000000000003</v>
          </cell>
          <cell r="V200">
            <v>-50.8</v>
          </cell>
          <cell r="Z200">
            <v>105.39999999999998</v>
          </cell>
          <cell r="AA200">
            <v>-47.899999999999991</v>
          </cell>
        </row>
        <row r="201">
          <cell r="U201" t="e">
            <v>#DIV/0!</v>
          </cell>
          <cell r="V201" t="e">
            <v>#DIV/0!</v>
          </cell>
          <cell r="Z201">
            <v>137.1</v>
          </cell>
          <cell r="AA201">
            <v>137.11000000000001</v>
          </cell>
        </row>
        <row r="202">
          <cell r="U202" t="e">
            <v>#DIV/0!</v>
          </cell>
          <cell r="V202" t="e">
            <v>#DIV/0!</v>
          </cell>
          <cell r="Z202">
            <v>14.450339999999997</v>
          </cell>
          <cell r="AA202">
            <v>-6.5675689999999998</v>
          </cell>
        </row>
        <row r="203">
          <cell r="U203" t="e">
            <v>#DIV/0!</v>
          </cell>
          <cell r="V203" t="e">
            <v>#DIV/0!</v>
          </cell>
          <cell r="Z203">
            <v>3874.858670999999</v>
          </cell>
          <cell r="AA203">
            <v>-3874.86571</v>
          </cell>
          <cell r="AQ203" t="e">
            <v>#DIV/0!</v>
          </cell>
          <cell r="AR203" t="e">
            <v>#DIV/0!</v>
          </cell>
        </row>
        <row r="205">
          <cell r="AV205">
            <v>1507.2</v>
          </cell>
        </row>
        <row r="219">
          <cell r="Y219" t="str">
            <v>ЗАТВЕРДЖУЮ</v>
          </cell>
        </row>
        <row r="220">
          <cell r="Y220" t="str">
            <v>ГОЛОВА ПРАЛІННЯ АК КЕ</v>
          </cell>
        </row>
        <row r="221">
          <cell r="Z221" t="str">
            <v>І.В.ПЛАЧКОВ</v>
          </cell>
        </row>
        <row r="222">
          <cell r="C222" t="str">
            <v>ПОТРЕБА   В КОШТАХ НА  1 КВАРТАЛ 1998 року</v>
          </cell>
        </row>
        <row r="223">
          <cell r="C223" t="str">
            <v>ПО ФІЛІАЛАХ АК КИЇВЕНЕРГО</v>
          </cell>
        </row>
        <row r="225">
          <cell r="C225" t="str">
            <v>ВИКОН.ДИР.</v>
          </cell>
          <cell r="D225" t="str">
            <v>АПАРАТ ЕЛЕКТРО</v>
          </cell>
          <cell r="E225" t="str">
            <v>АПАРАТ ТЕПЛО</v>
          </cell>
          <cell r="N225" t="str">
            <v>ККМ</v>
          </cell>
          <cell r="Q225" t="str">
            <v>КТМ</v>
          </cell>
          <cell r="T225" t="str">
            <v>ТЕЦ-5 ВСЬОГО</v>
          </cell>
          <cell r="U225" t="str">
            <v>Е/Е</v>
          </cell>
          <cell r="V225" t="str">
            <v xml:space="preserve"> Т/Е</v>
          </cell>
          <cell r="Y225" t="str">
            <v>ТЕЦ-6 ВСЬОГО</v>
          </cell>
          <cell r="Z225" t="str">
            <v>Е/Е</v>
          </cell>
          <cell r="AA225" t="str">
            <v xml:space="preserve"> Т/Е</v>
          </cell>
          <cell r="AN225" t="str">
            <v>ДОП.ВИР. СТ.ОРГ.</v>
          </cell>
          <cell r="AP225" t="str">
            <v>АК КЕ ВСЬОГО</v>
          </cell>
          <cell r="AQ225" t="str">
            <v>Е/Е</v>
          </cell>
          <cell r="AR225" t="str">
            <v xml:space="preserve"> Т/Е</v>
          </cell>
          <cell r="AU225" t="str">
            <v>СТАНЦІї ЕЛЕКТРО</v>
          </cell>
          <cell r="AV225" t="str">
            <v>СТАНЦІІ ТЕПЛОВІ</v>
          </cell>
          <cell r="AW225" t="str">
            <v>МЕРЕЖІ ЕЛЕКТРО</v>
          </cell>
          <cell r="AX225" t="str">
            <v>МЕРЕЖІ ТЕПЛОВІ</v>
          </cell>
        </row>
        <row r="228">
          <cell r="C228">
            <v>32684.495818181818</v>
          </cell>
          <cell r="N228" t="e">
            <v>#REF!</v>
          </cell>
          <cell r="Q228">
            <v>44127.844575757583</v>
          </cell>
          <cell r="T228">
            <v>20190.753636363632</v>
          </cell>
          <cell r="Y228" t="e">
            <v>#REF!</v>
          </cell>
          <cell r="AN228">
            <v>8475.2999999999993</v>
          </cell>
          <cell r="AP228" t="e">
            <v>#REF!</v>
          </cell>
          <cell r="AQ228" t="e">
            <v>#REF!</v>
          </cell>
        </row>
        <row r="229">
          <cell r="C229">
            <v>27009.813999999998</v>
          </cell>
          <cell r="N229" t="e">
            <v>#REF!</v>
          </cell>
          <cell r="Q229">
            <v>17782.400999999998</v>
          </cell>
          <cell r="T229">
            <v>10444.198363636357</v>
          </cell>
          <cell r="Y229" t="e">
            <v>#REF!</v>
          </cell>
          <cell r="AP229" t="e">
            <v>#REF!</v>
          </cell>
          <cell r="AQ229" t="e">
            <v>#REF!</v>
          </cell>
        </row>
        <row r="231">
          <cell r="C231">
            <v>2856.2818181818179</v>
          </cell>
          <cell r="N231">
            <v>4905.7127272727275</v>
          </cell>
          <cell r="Q231">
            <v>10981.60090909091</v>
          </cell>
          <cell r="T231">
            <v>4306.8772727272726</v>
          </cell>
          <cell r="Y231">
            <v>3481.4672727272728</v>
          </cell>
          <cell r="AN231">
            <v>545</v>
          </cell>
          <cell r="AP231">
            <v>36787.576363636363</v>
          </cell>
          <cell r="AQ231" t="e">
            <v>#REF!</v>
          </cell>
        </row>
        <row r="232">
          <cell r="C232">
            <v>776</v>
          </cell>
          <cell r="N232">
            <v>1341</v>
          </cell>
          <cell r="Q232">
            <v>2992</v>
          </cell>
          <cell r="T232">
            <v>1174</v>
          </cell>
          <cell r="Y232">
            <v>950</v>
          </cell>
          <cell r="AP232">
            <v>10064.545454545456</v>
          </cell>
          <cell r="AQ232" t="e">
            <v>#REF!</v>
          </cell>
        </row>
        <row r="233">
          <cell r="AQ233" t="e">
            <v>#REF!</v>
          </cell>
        </row>
        <row r="234">
          <cell r="C234">
            <v>0</v>
          </cell>
          <cell r="N234">
            <v>0</v>
          </cell>
          <cell r="Q234">
            <v>101.8</v>
          </cell>
          <cell r="T234">
            <v>4197.6000000000004</v>
          </cell>
          <cell r="Y234">
            <v>78.2</v>
          </cell>
          <cell r="AP234">
            <v>4976.6000000000004</v>
          </cell>
          <cell r="AQ234" t="e">
            <v>#REF!</v>
          </cell>
        </row>
        <row r="235">
          <cell r="C235">
            <v>0</v>
          </cell>
          <cell r="N235">
            <v>0</v>
          </cell>
          <cell r="Q235">
            <v>0</v>
          </cell>
          <cell r="T235">
            <v>0</v>
          </cell>
          <cell r="Y235">
            <v>0</v>
          </cell>
          <cell r="AP235">
            <v>19</v>
          </cell>
          <cell r="AQ235" t="e">
            <v>#REF!</v>
          </cell>
        </row>
        <row r="236">
          <cell r="C236">
            <v>1092</v>
          </cell>
          <cell r="N236">
            <v>0</v>
          </cell>
          <cell r="Q236">
            <v>527.04999999999995</v>
          </cell>
          <cell r="T236">
            <v>0</v>
          </cell>
          <cell r="Y236">
            <v>0</v>
          </cell>
          <cell r="AP236">
            <v>1617.05</v>
          </cell>
          <cell r="AQ236" t="e">
            <v>#REF!</v>
          </cell>
        </row>
        <row r="237">
          <cell r="AQ237" t="e">
            <v>#REF!</v>
          </cell>
        </row>
        <row r="238">
          <cell r="C238">
            <v>1405</v>
          </cell>
          <cell r="N238">
            <v>3638.65</v>
          </cell>
          <cell r="Q238">
            <v>4446.2</v>
          </cell>
          <cell r="T238">
            <v>502.97</v>
          </cell>
          <cell r="Y238">
            <v>780.26</v>
          </cell>
          <cell r="AP238" t="e">
            <v>#REF!</v>
          </cell>
          <cell r="AQ238" t="e">
            <v>#REF!</v>
          </cell>
        </row>
        <row r="239">
          <cell r="C239">
            <v>524</v>
          </cell>
          <cell r="N239">
            <v>0</v>
          </cell>
          <cell r="Q239">
            <v>0</v>
          </cell>
          <cell r="T239">
            <v>0</v>
          </cell>
          <cell r="Y239">
            <v>0</v>
          </cell>
          <cell r="AP239">
            <v>0</v>
          </cell>
          <cell r="AQ239" t="e">
            <v>#REF!</v>
          </cell>
        </row>
        <row r="240">
          <cell r="AQ240" t="e">
            <v>#REF!</v>
          </cell>
        </row>
        <row r="241">
          <cell r="C241">
            <v>0</v>
          </cell>
          <cell r="N241" t="e">
            <v>#REF!</v>
          </cell>
          <cell r="Q241">
            <v>0</v>
          </cell>
          <cell r="T241">
            <v>0</v>
          </cell>
          <cell r="Y241" t="e">
            <v>#REF!</v>
          </cell>
          <cell r="AP241" t="e">
            <v>#REF!</v>
          </cell>
          <cell r="AQ241" t="e">
            <v>#REF!</v>
          </cell>
        </row>
        <row r="242">
          <cell r="AQ242" t="e">
            <v>#REF!</v>
          </cell>
        </row>
        <row r="243">
          <cell r="AQ243" t="e">
            <v>#REF!</v>
          </cell>
        </row>
        <row r="244">
          <cell r="C244">
            <v>617</v>
          </cell>
          <cell r="N244">
            <v>624</v>
          </cell>
          <cell r="Q244">
            <v>3327.0186666666668</v>
          </cell>
          <cell r="T244">
            <v>435.25866666666667</v>
          </cell>
          <cell r="Y244">
            <v>326.22533333333331</v>
          </cell>
          <cell r="AP244">
            <v>7190.3851668093339</v>
          </cell>
          <cell r="AQ244" t="e">
            <v>#REF!</v>
          </cell>
        </row>
        <row r="245">
          <cell r="C245">
            <v>1639</v>
          </cell>
          <cell r="N245">
            <v>60</v>
          </cell>
          <cell r="Q245">
            <v>280.33333333333337</v>
          </cell>
          <cell r="T245">
            <v>212.62666666666667</v>
          </cell>
          <cell r="Y245">
            <v>206.78399999999999</v>
          </cell>
          <cell r="AP245">
            <v>2475.9412082354906</v>
          </cell>
          <cell r="AQ245" t="e">
            <v>#REF!</v>
          </cell>
        </row>
        <row r="246">
          <cell r="AQ246" t="e">
            <v>#REF!</v>
          </cell>
        </row>
        <row r="247">
          <cell r="C247">
            <v>0</v>
          </cell>
          <cell r="N247">
            <v>1</v>
          </cell>
          <cell r="Q247">
            <v>0</v>
          </cell>
          <cell r="T247">
            <v>114.19266666666665</v>
          </cell>
          <cell r="Y247">
            <v>253.52799999999999</v>
          </cell>
          <cell r="AP247">
            <v>368.72066666666666</v>
          </cell>
          <cell r="AQ247" t="e">
            <v>#REF!</v>
          </cell>
        </row>
        <row r="248">
          <cell r="C248">
            <v>38.4</v>
          </cell>
          <cell r="N248">
            <v>219.08600000000001</v>
          </cell>
          <cell r="Q248">
            <v>11113.690666666667</v>
          </cell>
          <cell r="T248">
            <v>0</v>
          </cell>
          <cell r="Y248">
            <v>0</v>
          </cell>
          <cell r="AP248">
            <v>13188.848666666669</v>
          </cell>
          <cell r="AQ248" t="e">
            <v>#REF!</v>
          </cell>
        </row>
        <row r="249">
          <cell r="C249">
            <v>33</v>
          </cell>
          <cell r="N249">
            <v>0</v>
          </cell>
          <cell r="Q249">
            <v>0</v>
          </cell>
          <cell r="T249">
            <v>0</v>
          </cell>
          <cell r="Y249">
            <v>0</v>
          </cell>
          <cell r="AP249">
            <v>609</v>
          </cell>
          <cell r="AQ249" t="e">
            <v>#REF!</v>
          </cell>
        </row>
        <row r="250">
          <cell r="C250">
            <v>243</v>
          </cell>
          <cell r="N250">
            <v>0</v>
          </cell>
          <cell r="Q250">
            <v>0</v>
          </cell>
          <cell r="T250">
            <v>0</v>
          </cell>
          <cell r="Y250">
            <v>0</v>
          </cell>
          <cell r="AP250">
            <v>243</v>
          </cell>
          <cell r="AQ250" t="e">
            <v>#REF!</v>
          </cell>
        </row>
        <row r="251">
          <cell r="C251">
            <v>0</v>
          </cell>
          <cell r="N251">
            <v>0</v>
          </cell>
          <cell r="Q251">
            <v>0.76400000000001</v>
          </cell>
          <cell r="T251">
            <v>0</v>
          </cell>
          <cell r="Y251">
            <v>0</v>
          </cell>
          <cell r="AP251">
            <v>795.76400000000001</v>
          </cell>
          <cell r="AQ251" t="e">
            <v>#REF!</v>
          </cell>
        </row>
        <row r="252">
          <cell r="C252">
            <v>0</v>
          </cell>
          <cell r="N252">
            <v>0.19200000000000728</v>
          </cell>
          <cell r="Q252">
            <v>0.68000000000006366</v>
          </cell>
          <cell r="T252">
            <v>0</v>
          </cell>
          <cell r="Y252">
            <v>0</v>
          </cell>
          <cell r="AP252">
            <v>18640.272000000001</v>
          </cell>
          <cell r="AQ252" t="e">
            <v>#REF!</v>
          </cell>
        </row>
        <row r="253">
          <cell r="C253">
            <v>24236.813999999998</v>
          </cell>
          <cell r="N253" t="e">
            <v>#REF!</v>
          </cell>
          <cell r="Q253">
            <v>12807.707000000008</v>
          </cell>
          <cell r="T253">
            <v>9941.2283636363591</v>
          </cell>
          <cell r="Y253" t="e">
            <v>#REF!</v>
          </cell>
          <cell r="AP253" t="e">
            <v>#REF!</v>
          </cell>
          <cell r="AQ253" t="e">
            <v>#REF!</v>
          </cell>
        </row>
        <row r="254">
          <cell r="Q254">
            <v>541</v>
          </cell>
          <cell r="T254">
            <v>480</v>
          </cell>
          <cell r="Y254">
            <v>44</v>
          </cell>
          <cell r="AP254">
            <v>524</v>
          </cell>
          <cell r="AQ254" t="e">
            <v>#REF!</v>
          </cell>
        </row>
        <row r="294">
          <cell r="T294" t="str">
            <v>Собівартість</v>
          </cell>
        </row>
        <row r="295">
          <cell r="V295">
            <v>-25</v>
          </cell>
        </row>
        <row r="296">
          <cell r="V296">
            <v>-1.375</v>
          </cell>
        </row>
        <row r="297">
          <cell r="V297">
            <v>-8</v>
          </cell>
        </row>
        <row r="298">
          <cell r="V298">
            <v>-2.1590909090909096</v>
          </cell>
        </row>
        <row r="304">
          <cell r="T304" t="str">
            <v>ФМЗ ( з відрахуван)</v>
          </cell>
          <cell r="V304">
            <v>25</v>
          </cell>
        </row>
      </sheetData>
      <sheetData sheetId="36" refreshError="1">
        <row r="8">
          <cell r="S8" t="str">
            <v>ЗАТВЕРДЖУЮ</v>
          </cell>
        </row>
        <row r="16">
          <cell r="AP16" t="str">
            <v>ЗАТВЕРДЖУЮ</v>
          </cell>
        </row>
        <row r="17">
          <cell r="C17" t="str">
            <v>І.В.ПЛАЧКОВ</v>
          </cell>
          <cell r="AP17" t="str">
            <v>ГОЛОВА ПРАЛІННЯ АК КЕ</v>
          </cell>
        </row>
        <row r="22">
          <cell r="U22" t="str">
            <v>ЗАТВЕРДЖУЮ</v>
          </cell>
          <cell r="AV22" t="str">
            <v>І.В.ПЛАЧКОВ</v>
          </cell>
        </row>
        <row r="27">
          <cell r="U27" t="str">
            <v>ГЕНЕРАЛЬНИЙ ДИРЕКТОР -</v>
          </cell>
        </row>
        <row r="28">
          <cell r="U28" t="str">
            <v>ГОЛОВА ПРАВЛІННЯ КЕ</v>
          </cell>
          <cell r="X28" t="str">
            <v>ВЕРЕСЕНЬ очІк.</v>
          </cell>
          <cell r="Y28" t="str">
            <v>8 мес звіт</v>
          </cell>
          <cell r="Z28" t="str">
            <v>9 мес.очІк.</v>
          </cell>
          <cell r="AA28" t="str">
            <v>4 кв. план</v>
          </cell>
          <cell r="AB28" t="str">
            <v>1998 рік очІк.</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S31" t="str">
            <v>ЗАТВЕРДЖУЮ</v>
          </cell>
          <cell r="U31">
            <v>330</v>
          </cell>
          <cell r="Z31">
            <v>298</v>
          </cell>
          <cell r="AQ31">
            <v>628</v>
          </cell>
        </row>
        <row r="32">
          <cell r="S32" t="str">
            <v>ГОЛОВА ПРАЛІННЯ  КЕ</v>
          </cell>
          <cell r="U32">
            <v>291.85000000000002</v>
          </cell>
          <cell r="Z32">
            <v>268.14999999999998</v>
          </cell>
          <cell r="AQ32">
            <v>560</v>
          </cell>
        </row>
        <row r="33">
          <cell r="AQ33">
            <v>0</v>
          </cell>
        </row>
        <row r="34">
          <cell r="AQ34">
            <v>0</v>
          </cell>
        </row>
        <row r="35">
          <cell r="S35" t="str">
            <v xml:space="preserve">                   ПЛАЧКОВ І.В.</v>
          </cell>
          <cell r="T35" t="str">
            <v>І.В.ПЛАЧКОВ</v>
          </cell>
          <cell r="AQ35">
            <v>32</v>
          </cell>
        </row>
        <row r="36">
          <cell r="AQ36">
            <v>0</v>
          </cell>
        </row>
        <row r="37">
          <cell r="U37" t="str">
            <v xml:space="preserve">                      ПЛАЧКОВ І.В.</v>
          </cell>
          <cell r="AQ37">
            <v>500</v>
          </cell>
        </row>
        <row r="38">
          <cell r="C38" t="str">
            <v>ВИК.ДИР.</v>
          </cell>
          <cell r="D38" t="str">
            <v>Е/Е</v>
          </cell>
          <cell r="E38" t="str">
            <v xml:space="preserve"> Т/Е</v>
          </cell>
          <cell r="N38">
            <v>0</v>
          </cell>
          <cell r="O38" t="str">
            <v xml:space="preserve"> Т/Е</v>
          </cell>
          <cell r="P38" t="str">
            <v>ТЕЦ-6 ВСЬОГО</v>
          </cell>
          <cell r="Q38" t="str">
            <v>Е/Е</v>
          </cell>
          <cell r="R38" t="str">
            <v xml:space="preserve"> Т/Е</v>
          </cell>
          <cell r="S38" t="str">
            <v xml:space="preserve">ДОП.ВИР. </v>
          </cell>
          <cell r="T38" t="str">
            <v>ДОП.ВИР. СТ.ОРГ.</v>
          </cell>
          <cell r="U38" t="str">
            <v>АК КЕ ВСЬОГО</v>
          </cell>
          <cell r="V38" t="str">
            <v>Е/Е</v>
          </cell>
          <cell r="W38" t="str">
            <v xml:space="preserve"> Т/Е</v>
          </cell>
          <cell r="X38" t="str">
            <v xml:space="preserve"> Т/Е</v>
          </cell>
          <cell r="Y38" t="str">
            <v xml:space="preserve"> Т/Е</v>
          </cell>
          <cell r="Z38" t="str">
            <v xml:space="preserve"> Т/Е</v>
          </cell>
          <cell r="AB38" t="str">
            <v xml:space="preserve"> Т/Е</v>
          </cell>
          <cell r="AC38" t="str">
            <v>СТАНЦІї ЕЛЕКТРО</v>
          </cell>
          <cell r="AD38" t="str">
            <v>СТАНЦІІ ТЕПЛОВІ</v>
          </cell>
          <cell r="AE38" t="str">
            <v>МЕРЕЖІ ЕЛЕКТРО</v>
          </cell>
          <cell r="AF38" t="str">
            <v>МЕРЕЖІ ТЕПЛОВІ</v>
          </cell>
          <cell r="AQ38">
            <v>468</v>
          </cell>
        </row>
        <row r="39">
          <cell r="C39" t="e">
            <v>#REF!</v>
          </cell>
          <cell r="N39">
            <v>17877.730727272734</v>
          </cell>
          <cell r="O39">
            <v>6571</v>
          </cell>
          <cell r="P39">
            <v>-11306.730727272734</v>
          </cell>
          <cell r="Q39">
            <v>52962.258575757587</v>
          </cell>
          <cell r="R39">
            <v>23576</v>
          </cell>
          <cell r="S39">
            <v>-29386.258575757587</v>
          </cell>
          <cell r="T39">
            <v>19554.09145454544</v>
          </cell>
          <cell r="V39">
            <v>380</v>
          </cell>
          <cell r="W39">
            <v>8380</v>
          </cell>
          <cell r="X39">
            <v>-11174.09145454544</v>
          </cell>
          <cell r="Y39">
            <v>12737.657696969683</v>
          </cell>
          <cell r="Z39">
            <v>6454</v>
          </cell>
          <cell r="AA39">
            <v>5893.3763636363637</v>
          </cell>
          <cell r="AB39">
            <v>5452</v>
          </cell>
          <cell r="AC39">
            <v>-7285.6576969696835</v>
          </cell>
          <cell r="AD39">
            <v>28587.80260606061</v>
          </cell>
          <cell r="AG39">
            <v>8513</v>
          </cell>
          <cell r="AH39">
            <v>6481</v>
          </cell>
          <cell r="AI39">
            <v>2032</v>
          </cell>
          <cell r="AJ39">
            <v>-20074.80260606061</v>
          </cell>
          <cell r="AN39" t="e">
            <v>#REF!</v>
          </cell>
        </row>
        <row r="40">
          <cell r="C40">
            <v>12426.396999999997</v>
          </cell>
          <cell r="N40">
            <v>202.3</v>
          </cell>
          <cell r="Q40">
            <v>145</v>
          </cell>
          <cell r="V40">
            <v>347.3</v>
          </cell>
        </row>
        <row r="41">
          <cell r="C41">
            <v>1651.8969999999999</v>
          </cell>
          <cell r="D41">
            <v>443</v>
          </cell>
          <cell r="E41">
            <v>1208.8969999999999</v>
          </cell>
          <cell r="N41">
            <v>5904.3327272727274</v>
          </cell>
          <cell r="Q41">
            <v>13067.120909090911</v>
          </cell>
          <cell r="T41">
            <v>5028.8272727272724</v>
          </cell>
          <cell r="U41">
            <v>2766</v>
          </cell>
          <cell r="V41">
            <v>2262.8272727272729</v>
          </cell>
          <cell r="Y41">
            <v>4079.1272727272726</v>
          </cell>
          <cell r="Z41">
            <v>2165</v>
          </cell>
          <cell r="AA41">
            <v>1914.1272727272726</v>
          </cell>
          <cell r="AE41">
            <v>10579.936363636363</v>
          </cell>
          <cell r="AG41">
            <v>4464</v>
          </cell>
          <cell r="AH41">
            <v>3202</v>
          </cell>
          <cell r="AN41" t="e">
            <v>#REF!</v>
          </cell>
          <cell r="AR41">
            <v>4176.954545454546</v>
          </cell>
        </row>
        <row r="42">
          <cell r="Q42">
            <v>970</v>
          </cell>
          <cell r="V42">
            <v>750</v>
          </cell>
          <cell r="AA42">
            <v>590</v>
          </cell>
          <cell r="AR42">
            <v>2095</v>
          </cell>
        </row>
        <row r="43">
          <cell r="V43">
            <v>0</v>
          </cell>
        </row>
        <row r="44">
          <cell r="V44">
            <v>0</v>
          </cell>
        </row>
        <row r="45">
          <cell r="V45">
            <v>350</v>
          </cell>
        </row>
        <row r="46">
          <cell r="C46">
            <v>2157</v>
          </cell>
          <cell r="D46">
            <v>327</v>
          </cell>
          <cell r="E46">
            <v>1830</v>
          </cell>
          <cell r="N46">
            <v>2758.1680000000001</v>
          </cell>
          <cell r="O46">
            <v>1204</v>
          </cell>
          <cell r="P46">
            <v>-1554.1680000000001</v>
          </cell>
          <cell r="Q46">
            <v>5334.0159999999996</v>
          </cell>
          <cell r="R46">
            <v>2125</v>
          </cell>
          <cell r="S46">
            <v>-3209.0159999999996</v>
          </cell>
          <cell r="T46">
            <v>1237.8879999999999</v>
          </cell>
          <cell r="U46">
            <v>695</v>
          </cell>
          <cell r="V46">
            <v>542.88799999999992</v>
          </cell>
          <cell r="W46">
            <v>431</v>
          </cell>
          <cell r="X46">
            <v>-806.88799999999992</v>
          </cell>
          <cell r="Y46">
            <v>1625.3940000000002</v>
          </cell>
          <cell r="Z46">
            <v>907</v>
          </cell>
          <cell r="AA46">
            <v>718.39400000000023</v>
          </cell>
          <cell r="AB46">
            <v>400</v>
          </cell>
          <cell r="AC46">
            <v>-1225.3940000000002</v>
          </cell>
          <cell r="AD46">
            <v>2922.5913333333333</v>
          </cell>
          <cell r="AE46">
            <v>2118.9300000000003</v>
          </cell>
          <cell r="AF46">
            <v>803.661333333333</v>
          </cell>
          <cell r="AG46">
            <v>1087</v>
          </cell>
          <cell r="AH46">
            <v>292</v>
          </cell>
          <cell r="AI46">
            <v>134</v>
          </cell>
          <cell r="AJ46">
            <v>-1835.5913333333333</v>
          </cell>
          <cell r="AN46">
            <v>0</v>
          </cell>
          <cell r="AP46">
            <v>15485.116000000002</v>
          </cell>
          <cell r="AQ46">
            <v>4865.768</v>
          </cell>
          <cell r="AR46">
            <v>10619.348000000002</v>
          </cell>
          <cell r="AS46">
            <v>4452</v>
          </cell>
          <cell r="AT46">
            <v>-11033.116000000002</v>
          </cell>
          <cell r="AU46">
            <v>1602</v>
          </cell>
          <cell r="AV46">
            <v>3075</v>
          </cell>
          <cell r="AW46">
            <v>3263.768</v>
          </cell>
          <cell r="AX46">
            <v>7544.3480000000018</v>
          </cell>
        </row>
        <row r="47">
          <cell r="C47">
            <v>393</v>
          </cell>
          <cell r="E47">
            <v>393</v>
          </cell>
          <cell r="N47">
            <v>924</v>
          </cell>
          <cell r="O47">
            <v>160</v>
          </cell>
          <cell r="Q47">
            <v>3963.0186666666668</v>
          </cell>
          <cell r="R47">
            <v>145</v>
          </cell>
          <cell r="T47">
            <v>567.25866666666661</v>
          </cell>
          <cell r="U47">
            <v>347</v>
          </cell>
          <cell r="V47">
            <v>220.25866666666661</v>
          </cell>
          <cell r="W47">
            <v>385</v>
          </cell>
          <cell r="Y47">
            <v>426.22533333333331</v>
          </cell>
          <cell r="Z47">
            <v>257</v>
          </cell>
          <cell r="AA47">
            <v>169.22533333333331</v>
          </cell>
          <cell r="AC47">
            <v>-426.22533333333331</v>
          </cell>
          <cell r="AD47">
            <v>2340.1707200000001</v>
          </cell>
          <cell r="AE47">
            <v>2160.8825001426667</v>
          </cell>
          <cell r="AP47">
            <v>8434.3851668093339</v>
          </cell>
        </row>
        <row r="48">
          <cell r="C48">
            <v>0</v>
          </cell>
          <cell r="E48">
            <v>0</v>
          </cell>
          <cell r="N48">
            <v>1</v>
          </cell>
          <cell r="Q48">
            <v>0</v>
          </cell>
          <cell r="T48">
            <v>114.19266666666665</v>
          </cell>
          <cell r="U48">
            <v>48</v>
          </cell>
          <cell r="V48">
            <v>66.192666666666653</v>
          </cell>
          <cell r="W48">
            <v>0</v>
          </cell>
          <cell r="Y48">
            <v>-46.472000000000008</v>
          </cell>
          <cell r="Z48">
            <v>-136</v>
          </cell>
          <cell r="AA48">
            <v>89.527999999999992</v>
          </cell>
          <cell r="AC48">
            <v>46.472000000000008</v>
          </cell>
          <cell r="AD48">
            <v>0</v>
          </cell>
          <cell r="AE48">
            <v>0</v>
          </cell>
          <cell r="AP48">
            <v>68.720666666666645</v>
          </cell>
        </row>
        <row r="49">
          <cell r="C49">
            <v>1653</v>
          </cell>
          <cell r="E49">
            <v>1653</v>
          </cell>
          <cell r="N49">
            <v>67</v>
          </cell>
          <cell r="O49">
            <v>160</v>
          </cell>
          <cell r="Q49">
            <v>345.33333333333337</v>
          </cell>
          <cell r="R49">
            <v>145</v>
          </cell>
          <cell r="T49">
            <v>256.62666666666667</v>
          </cell>
          <cell r="U49">
            <v>165</v>
          </cell>
          <cell r="V49">
            <v>91.626666666666665</v>
          </cell>
          <cell r="W49">
            <v>285</v>
          </cell>
          <cell r="Y49">
            <v>253.78399999999999</v>
          </cell>
          <cell r="Z49">
            <v>149</v>
          </cell>
          <cell r="AA49">
            <v>104.78399999999999</v>
          </cell>
          <cell r="AC49">
            <v>-253.78399999999999</v>
          </cell>
          <cell r="AD49">
            <v>131.34026666666668</v>
          </cell>
          <cell r="AE49">
            <v>107.19720823549071</v>
          </cell>
          <cell r="AP49">
            <v>2682.9412082354906</v>
          </cell>
        </row>
        <row r="50">
          <cell r="C50">
            <v>6</v>
          </cell>
          <cell r="D50">
            <v>2</v>
          </cell>
          <cell r="E50">
            <v>4</v>
          </cell>
          <cell r="N50">
            <v>271.12400000000002</v>
          </cell>
          <cell r="O50">
            <v>121</v>
          </cell>
          <cell r="P50">
            <v>-150.12400000000002</v>
          </cell>
          <cell r="Q50">
            <v>2874.3013333333338</v>
          </cell>
          <cell r="R50">
            <v>1386</v>
          </cell>
          <cell r="S50">
            <v>-1488.3013333333338</v>
          </cell>
          <cell r="T50">
            <v>6020.0773333333327</v>
          </cell>
          <cell r="U50">
            <v>3246</v>
          </cell>
          <cell r="V50">
            <v>2774.0773333333327</v>
          </cell>
          <cell r="W50">
            <v>2636</v>
          </cell>
          <cell r="X50">
            <v>-3384.0773333333327</v>
          </cell>
          <cell r="Y50">
            <v>559.97400000000005</v>
          </cell>
          <cell r="Z50">
            <v>295</v>
          </cell>
          <cell r="AA50">
            <v>264.97400000000005</v>
          </cell>
          <cell r="AB50">
            <v>292</v>
          </cell>
          <cell r="AC50">
            <v>-267.97400000000005</v>
          </cell>
          <cell r="AD50">
            <v>1181.9573333333333</v>
          </cell>
          <cell r="AE50">
            <v>874.72</v>
          </cell>
          <cell r="AF50">
            <v>307.23733333333325</v>
          </cell>
          <cell r="AG50">
            <v>288</v>
          </cell>
          <cell r="AH50">
            <v>601</v>
          </cell>
          <cell r="AI50">
            <v>56</v>
          </cell>
          <cell r="AJ50">
            <v>-893.95733333333328</v>
          </cell>
          <cell r="AN50">
            <v>0</v>
          </cell>
          <cell r="AP50">
            <v>10567.596666666666</v>
          </cell>
          <cell r="AQ50">
            <v>3819.5239999999999</v>
          </cell>
          <cell r="AR50">
            <v>6748.0726666666669</v>
          </cell>
          <cell r="AS50">
            <v>5036</v>
          </cell>
          <cell r="AT50">
            <v>-5531.5966666666664</v>
          </cell>
          <cell r="AU50">
            <v>3541</v>
          </cell>
          <cell r="AV50">
            <v>4016</v>
          </cell>
          <cell r="AW50">
            <v>278.52399999999989</v>
          </cell>
          <cell r="AX50">
            <v>2732.0726666666669</v>
          </cell>
        </row>
        <row r="51">
          <cell r="C51">
            <v>0</v>
          </cell>
          <cell r="D51">
            <v>0</v>
          </cell>
          <cell r="E51">
            <v>0</v>
          </cell>
          <cell r="N51">
            <v>0</v>
          </cell>
          <cell r="O51">
            <v>46</v>
          </cell>
          <cell r="P51">
            <v>0</v>
          </cell>
          <cell r="Q51">
            <v>111.8</v>
          </cell>
          <cell r="R51">
            <v>54</v>
          </cell>
          <cell r="S51">
            <v>-57.8</v>
          </cell>
          <cell r="T51">
            <v>5107.6000000000004</v>
          </cell>
          <cell r="U51">
            <v>2728</v>
          </cell>
          <cell r="V51">
            <v>2379.6000000000004</v>
          </cell>
          <cell r="W51">
            <v>2407</v>
          </cell>
          <cell r="X51">
            <v>-2700.6000000000004</v>
          </cell>
          <cell r="Y51">
            <v>91.533333333333331</v>
          </cell>
          <cell r="Z51">
            <v>49</v>
          </cell>
          <cell r="AA51">
            <v>42.533333333333331</v>
          </cell>
          <cell r="AB51">
            <v>20</v>
          </cell>
          <cell r="AC51">
            <v>-71.533333333333331</v>
          </cell>
          <cell r="AD51">
            <v>3</v>
          </cell>
          <cell r="AE51">
            <v>2</v>
          </cell>
          <cell r="AF51">
            <v>1</v>
          </cell>
          <cell r="AI51">
            <v>0</v>
          </cell>
          <cell r="AJ51">
            <v>-3</v>
          </cell>
          <cell r="AP51">
            <v>5312.9333333333343</v>
          </cell>
          <cell r="AQ51">
            <v>2777</v>
          </cell>
          <cell r="AR51">
            <v>2535.9333333333343</v>
          </cell>
          <cell r="AS51">
            <v>2481</v>
          </cell>
          <cell r="AT51">
            <v>-2831.9333333333343</v>
          </cell>
          <cell r="AU51">
            <v>2777</v>
          </cell>
          <cell r="AV51">
            <v>2460</v>
          </cell>
          <cell r="AW51">
            <v>0</v>
          </cell>
          <cell r="AX51">
            <v>75.933333333334303</v>
          </cell>
        </row>
        <row r="52">
          <cell r="C52">
            <v>0</v>
          </cell>
          <cell r="D52">
            <v>0</v>
          </cell>
          <cell r="E52">
            <v>0</v>
          </cell>
          <cell r="N52">
            <v>0</v>
          </cell>
          <cell r="O52">
            <v>1</v>
          </cell>
          <cell r="P52">
            <v>0</v>
          </cell>
          <cell r="Q52">
            <v>71308</v>
          </cell>
          <cell r="R52">
            <v>61402</v>
          </cell>
          <cell r="S52">
            <v>-9906</v>
          </cell>
          <cell r="T52">
            <v>160398</v>
          </cell>
          <cell r="U52">
            <v>99161.347560975613</v>
          </cell>
          <cell r="V52">
            <v>61236.652439024387</v>
          </cell>
          <cell r="W52">
            <v>93632</v>
          </cell>
          <cell r="X52">
            <v>-66766</v>
          </cell>
          <cell r="Y52">
            <v>134814</v>
          </cell>
          <cell r="Z52">
            <v>79890.750161952048</v>
          </cell>
          <cell r="AA52">
            <v>54923.249838047952</v>
          </cell>
          <cell r="AB52">
            <v>76301</v>
          </cell>
          <cell r="AC52">
            <v>-58513</v>
          </cell>
          <cell r="AD52">
            <v>0</v>
          </cell>
          <cell r="AE52">
            <v>0</v>
          </cell>
          <cell r="AF52">
            <v>0</v>
          </cell>
          <cell r="AI52">
            <v>0</v>
          </cell>
          <cell r="AJ52">
            <v>0</v>
          </cell>
          <cell r="AN52">
            <v>0</v>
          </cell>
          <cell r="AP52">
            <v>366521</v>
          </cell>
          <cell r="AQ52">
            <v>179053.09772292766</v>
          </cell>
          <cell r="AR52">
            <v>187467.90227707234</v>
          </cell>
          <cell r="AS52">
            <v>231335</v>
          </cell>
          <cell r="AT52">
            <v>-135186</v>
          </cell>
          <cell r="AU52">
            <v>179052.09772292766</v>
          </cell>
          <cell r="AV52">
            <v>187468</v>
          </cell>
          <cell r="AW52">
            <v>1</v>
          </cell>
          <cell r="AX52">
            <v>-9.7722927661379799E-2</v>
          </cell>
        </row>
        <row r="53">
          <cell r="C53">
            <v>0</v>
          </cell>
          <cell r="D53">
            <v>0</v>
          </cell>
          <cell r="E53">
            <v>0</v>
          </cell>
          <cell r="N53">
            <v>0</v>
          </cell>
          <cell r="O53">
            <v>17</v>
          </cell>
          <cell r="P53">
            <v>0</v>
          </cell>
          <cell r="Q53">
            <v>71308</v>
          </cell>
          <cell r="R53">
            <v>61402</v>
          </cell>
          <cell r="S53">
            <v>-9906</v>
          </cell>
          <cell r="T53">
            <v>160398</v>
          </cell>
          <cell r="U53">
            <v>99161.347560975613</v>
          </cell>
          <cell r="V53">
            <v>61236.652439024387</v>
          </cell>
          <cell r="W53">
            <v>93632</v>
          </cell>
          <cell r="X53">
            <v>-66766</v>
          </cell>
          <cell r="Y53">
            <v>134814</v>
          </cell>
          <cell r="Z53">
            <v>79890.750161952048</v>
          </cell>
          <cell r="AA53">
            <v>54923.249838047952</v>
          </cell>
          <cell r="AB53">
            <v>46301</v>
          </cell>
          <cell r="AC53">
            <v>-88513</v>
          </cell>
          <cell r="AD53">
            <v>0</v>
          </cell>
          <cell r="AE53">
            <v>0</v>
          </cell>
          <cell r="AF53">
            <v>0</v>
          </cell>
          <cell r="AI53">
            <v>0</v>
          </cell>
          <cell r="AJ53">
            <v>0</v>
          </cell>
          <cell r="AP53">
            <v>366520</v>
          </cell>
          <cell r="AQ53">
            <v>179052.09772292766</v>
          </cell>
          <cell r="AR53">
            <v>187467.90227707234</v>
          </cell>
          <cell r="AS53">
            <v>201335</v>
          </cell>
          <cell r="AT53">
            <v>-165185</v>
          </cell>
          <cell r="AU53">
            <v>179052.09772292766</v>
          </cell>
          <cell r="AV53">
            <v>187468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234.08600000000001</v>
          </cell>
          <cell r="O55">
            <v>140</v>
          </cell>
          <cell r="P55">
            <v>-94.086000000000013</v>
          </cell>
          <cell r="Q55">
            <v>11619.690666666667</v>
          </cell>
          <cell r="R55">
            <v>8493</v>
          </cell>
          <cell r="S55">
            <v>-3126.6906666666673</v>
          </cell>
          <cell r="T55">
            <v>0</v>
          </cell>
          <cell r="U55">
            <v>0</v>
          </cell>
          <cell r="V55">
            <v>0</v>
          </cell>
          <cell r="W55">
            <v>532</v>
          </cell>
          <cell r="X55">
            <v>0</v>
          </cell>
          <cell r="Y55">
            <v>0</v>
          </cell>
          <cell r="Z55">
            <v>0</v>
          </cell>
          <cell r="AA55">
            <v>0</v>
          </cell>
          <cell r="AB55">
            <v>0</v>
          </cell>
          <cell r="AC55">
            <v>0</v>
          </cell>
          <cell r="AD55">
            <v>4961.1900000000005</v>
          </cell>
          <cell r="AE55">
            <v>2069.672</v>
          </cell>
          <cell r="AF55">
            <v>2891.5180000000005</v>
          </cell>
          <cell r="AG55">
            <v>809</v>
          </cell>
          <cell r="AH55">
            <v>810</v>
          </cell>
          <cell r="AI55">
            <v>1225</v>
          </cell>
          <cell r="AJ55">
            <v>-4152.1900000000005</v>
          </cell>
          <cell r="AN55">
            <v>0</v>
          </cell>
          <cell r="AP55">
            <v>13936.448666666667</v>
          </cell>
          <cell r="AQ55">
            <v>240.08600000000001</v>
          </cell>
          <cell r="AR55">
            <v>13696.362666666668</v>
          </cell>
          <cell r="AS55">
            <v>9442</v>
          </cell>
          <cell r="AT55">
            <v>-4494.4486666666671</v>
          </cell>
          <cell r="AU55">
            <v>0</v>
          </cell>
          <cell r="AV55">
            <v>3951</v>
          </cell>
          <cell r="AW55">
            <v>240.08600000000001</v>
          </cell>
          <cell r="AX55">
            <v>9745.3626666666678</v>
          </cell>
        </row>
        <row r="56">
          <cell r="C56">
            <v>1201.8969999999999</v>
          </cell>
          <cell r="D56">
            <v>310</v>
          </cell>
          <cell r="E56">
            <v>891.89699999999993</v>
          </cell>
          <cell r="N56">
            <v>3768.9993939393944</v>
          </cell>
          <cell r="O56">
            <v>1303</v>
          </cell>
          <cell r="P56">
            <v>-2465.9993939393944</v>
          </cell>
          <cell r="Q56">
            <v>6834.5754545454547</v>
          </cell>
          <cell r="R56">
            <v>2369</v>
          </cell>
          <cell r="S56">
            <v>-4465.5754545454547</v>
          </cell>
          <cell r="T56">
            <v>2050.7363636363639</v>
          </cell>
          <cell r="U56">
            <v>1090</v>
          </cell>
          <cell r="V56">
            <v>960.73636363636388</v>
          </cell>
          <cell r="W56">
            <v>745</v>
          </cell>
          <cell r="X56">
            <v>-1305.7363636363639</v>
          </cell>
          <cell r="Y56">
            <v>1926.0363636363636</v>
          </cell>
          <cell r="Z56">
            <v>1019</v>
          </cell>
          <cell r="AA56">
            <v>907.0363636363636</v>
          </cell>
          <cell r="AB56">
            <v>662</v>
          </cell>
          <cell r="AC56">
            <v>-1264.0363636363636</v>
          </cell>
          <cell r="AD56">
            <v>7374.3136363636368</v>
          </cell>
          <cell r="AE56">
            <v>6655.8454545454542</v>
          </cell>
          <cell r="AF56">
            <v>718.46818181818253</v>
          </cell>
          <cell r="AG56">
            <v>2563</v>
          </cell>
          <cell r="AH56">
            <v>1747</v>
          </cell>
          <cell r="AI56">
            <v>306</v>
          </cell>
          <cell r="AJ56">
            <v>-4811.3136363636368</v>
          </cell>
          <cell r="AN56">
            <v>0</v>
          </cell>
          <cell r="AP56">
            <v>23209.090030303032</v>
          </cell>
          <cell r="AQ56">
            <v>6696.8175757575764</v>
          </cell>
          <cell r="AR56">
            <v>16512.272454545455</v>
          </cell>
          <cell r="AS56">
            <v>6826</v>
          </cell>
          <cell r="AT56">
            <v>-16383.090030303032</v>
          </cell>
          <cell r="AU56">
            <v>2109</v>
          </cell>
          <cell r="AV56">
            <v>4192</v>
          </cell>
          <cell r="AW56">
            <v>4587.8175757575764</v>
          </cell>
          <cell r="AX56">
            <v>12320.272454545455</v>
          </cell>
        </row>
        <row r="57">
          <cell r="C57">
            <v>66</v>
          </cell>
          <cell r="D57">
            <v>16</v>
          </cell>
          <cell r="E57">
            <v>50</v>
          </cell>
          <cell r="N57">
            <v>208</v>
          </cell>
          <cell r="O57">
            <v>70</v>
          </cell>
          <cell r="P57">
            <v>-138</v>
          </cell>
          <cell r="Q57">
            <v>376</v>
          </cell>
          <cell r="R57">
            <v>129</v>
          </cell>
          <cell r="S57">
            <v>-247</v>
          </cell>
          <cell r="T57">
            <v>112</v>
          </cell>
          <cell r="U57">
            <v>60</v>
          </cell>
          <cell r="V57">
            <v>52</v>
          </cell>
          <cell r="W57">
            <v>39</v>
          </cell>
          <cell r="X57">
            <v>-73</v>
          </cell>
          <cell r="Y57">
            <v>105</v>
          </cell>
          <cell r="Z57">
            <v>56</v>
          </cell>
          <cell r="AA57">
            <v>49</v>
          </cell>
          <cell r="AB57">
            <v>35</v>
          </cell>
          <cell r="AC57">
            <v>-70</v>
          </cell>
          <cell r="AD57">
            <v>406</v>
          </cell>
          <cell r="AE57">
            <v>365</v>
          </cell>
          <cell r="AF57">
            <v>41</v>
          </cell>
          <cell r="AG57">
            <v>136</v>
          </cell>
          <cell r="AH57">
            <v>96</v>
          </cell>
          <cell r="AI57">
            <v>18</v>
          </cell>
          <cell r="AJ57">
            <v>-270</v>
          </cell>
          <cell r="AN57">
            <v>0</v>
          </cell>
          <cell r="AP57">
            <v>1275</v>
          </cell>
          <cell r="AQ57">
            <v>368</v>
          </cell>
          <cell r="AR57">
            <v>907</v>
          </cell>
          <cell r="AS57">
            <v>369</v>
          </cell>
          <cell r="AT57">
            <v>-906</v>
          </cell>
          <cell r="AU57">
            <v>116</v>
          </cell>
          <cell r="AV57">
            <v>172</v>
          </cell>
          <cell r="AW57">
            <v>252</v>
          </cell>
          <cell r="AX57">
            <v>735</v>
          </cell>
        </row>
        <row r="58">
          <cell r="C58">
            <v>384</v>
          </cell>
          <cell r="D58">
            <v>117</v>
          </cell>
          <cell r="E58">
            <v>267</v>
          </cell>
          <cell r="N58">
            <v>1207</v>
          </cell>
          <cell r="O58">
            <v>417</v>
          </cell>
          <cell r="P58">
            <v>-790</v>
          </cell>
          <cell r="Q58">
            <v>2186</v>
          </cell>
          <cell r="R58">
            <v>610</v>
          </cell>
          <cell r="S58">
            <v>-1576</v>
          </cell>
          <cell r="T58">
            <v>656</v>
          </cell>
          <cell r="U58">
            <v>348</v>
          </cell>
          <cell r="V58">
            <v>308</v>
          </cell>
          <cell r="W58">
            <v>229</v>
          </cell>
          <cell r="X58">
            <v>-427</v>
          </cell>
          <cell r="Y58">
            <v>616</v>
          </cell>
          <cell r="Z58">
            <v>327</v>
          </cell>
          <cell r="AA58">
            <v>289</v>
          </cell>
          <cell r="AB58">
            <v>205</v>
          </cell>
          <cell r="AC58">
            <v>-411</v>
          </cell>
          <cell r="AD58">
            <v>2360</v>
          </cell>
          <cell r="AE58">
            <v>2130</v>
          </cell>
          <cell r="AF58">
            <v>230</v>
          </cell>
          <cell r="AG58">
            <v>793</v>
          </cell>
          <cell r="AH58">
            <v>559</v>
          </cell>
          <cell r="AI58">
            <v>103</v>
          </cell>
          <cell r="AJ58">
            <v>-1567</v>
          </cell>
          <cell r="AN58">
            <v>0</v>
          </cell>
          <cell r="AP58">
            <v>7426</v>
          </cell>
          <cell r="AQ58">
            <v>2160</v>
          </cell>
          <cell r="AR58">
            <v>5266</v>
          </cell>
          <cell r="AS58">
            <v>2021</v>
          </cell>
          <cell r="AT58">
            <v>-5405</v>
          </cell>
          <cell r="AU58">
            <v>0</v>
          </cell>
          <cell r="AV58">
            <v>0</v>
          </cell>
          <cell r="AW58">
            <v>0</v>
          </cell>
          <cell r="AX58">
            <v>0</v>
          </cell>
        </row>
        <row r="59">
          <cell r="C59">
            <v>0</v>
          </cell>
          <cell r="D59">
            <v>0</v>
          </cell>
          <cell r="E59">
            <v>0</v>
          </cell>
          <cell r="N59">
            <v>0</v>
          </cell>
          <cell r="O59">
            <v>0</v>
          </cell>
          <cell r="P59">
            <v>0</v>
          </cell>
          <cell r="Q59">
            <v>0</v>
          </cell>
          <cell r="R59">
            <v>0</v>
          </cell>
          <cell r="S59">
            <v>0</v>
          </cell>
          <cell r="T59">
            <v>0</v>
          </cell>
          <cell r="U59">
            <v>0</v>
          </cell>
          <cell r="V59">
            <v>0</v>
          </cell>
          <cell r="W59">
            <v>0</v>
          </cell>
          <cell r="X59">
            <v>0</v>
          </cell>
          <cell r="Y59">
            <v>0</v>
          </cell>
          <cell r="Z59">
            <v>0</v>
          </cell>
          <cell r="AA59">
            <v>0</v>
          </cell>
          <cell r="AB59">
            <v>-20749</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3638</v>
          </cell>
          <cell r="O60">
            <v>1794</v>
          </cell>
          <cell r="P60">
            <v>-1844</v>
          </cell>
          <cell r="Q60">
            <v>7968</v>
          </cell>
          <cell r="R60">
            <v>3886</v>
          </cell>
          <cell r="S60">
            <v>-4082</v>
          </cell>
          <cell r="T60">
            <v>4266</v>
          </cell>
          <cell r="U60">
            <v>2244</v>
          </cell>
          <cell r="V60">
            <v>2022</v>
          </cell>
          <cell r="W60">
            <v>2064</v>
          </cell>
          <cell r="X60">
            <v>-2202</v>
          </cell>
          <cell r="Y60">
            <v>4463</v>
          </cell>
          <cell r="Z60">
            <v>2253</v>
          </cell>
          <cell r="AA60">
            <v>2210</v>
          </cell>
          <cell r="AB60">
            <v>2209</v>
          </cell>
          <cell r="AC60">
            <v>-2254</v>
          </cell>
          <cell r="AD60">
            <v>3829.666666666667</v>
          </cell>
          <cell r="AE60">
            <v>3678.3333333333335</v>
          </cell>
          <cell r="AF60">
            <v>151.33333333333348</v>
          </cell>
          <cell r="AG60">
            <v>1641</v>
          </cell>
          <cell r="AH60">
            <v>1265</v>
          </cell>
          <cell r="AI60">
            <v>155</v>
          </cell>
          <cell r="AJ60">
            <v>-2188.666666666667</v>
          </cell>
          <cell r="AN60">
            <v>0</v>
          </cell>
          <cell r="AP60">
            <v>24226.333333333332</v>
          </cell>
          <cell r="AQ60">
            <v>8248</v>
          </cell>
          <cell r="AR60">
            <v>15978.333333333332</v>
          </cell>
          <cell r="AS60">
            <v>11218</v>
          </cell>
          <cell r="AT60">
            <v>-13008.333333333332</v>
          </cell>
          <cell r="AU60">
            <v>4497</v>
          </cell>
          <cell r="AV60">
            <v>6941</v>
          </cell>
          <cell r="AW60">
            <v>3751</v>
          </cell>
          <cell r="AX60">
            <v>9037.3333333333321</v>
          </cell>
        </row>
        <row r="61">
          <cell r="C61">
            <v>0</v>
          </cell>
          <cell r="D61">
            <v>0</v>
          </cell>
          <cell r="E61">
            <v>0</v>
          </cell>
          <cell r="N61">
            <v>0</v>
          </cell>
          <cell r="O61">
            <v>47.175438596491233</v>
          </cell>
          <cell r="P61">
            <v>0</v>
          </cell>
          <cell r="Q61">
            <v>0</v>
          </cell>
          <cell r="R61">
            <v>22.423728813559308</v>
          </cell>
          <cell r="S61">
            <v>0</v>
          </cell>
          <cell r="T61">
            <v>0</v>
          </cell>
          <cell r="U61">
            <v>0</v>
          </cell>
          <cell r="V61">
            <v>748.3098245614035</v>
          </cell>
          <cell r="W61">
            <v>618.1254831995243</v>
          </cell>
          <cell r="X61">
            <v>0</v>
          </cell>
          <cell r="Y61">
            <v>0</v>
          </cell>
          <cell r="Z61">
            <v>0</v>
          </cell>
          <cell r="AA61">
            <v>0</v>
          </cell>
          <cell r="AB61">
            <v>8244.1254831995248</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3758.15</v>
          </cell>
          <cell r="O62">
            <v>3</v>
          </cell>
          <cell r="P62">
            <v>-3758.15</v>
          </cell>
          <cell r="Q62">
            <v>8235.8940000000002</v>
          </cell>
          <cell r="R62">
            <v>1</v>
          </cell>
          <cell r="S62">
            <v>-8235.8940000000002</v>
          </cell>
          <cell r="T62">
            <v>582.97</v>
          </cell>
          <cell r="U62">
            <v>53</v>
          </cell>
          <cell r="V62">
            <v>41</v>
          </cell>
          <cell r="W62">
            <v>34</v>
          </cell>
          <cell r="X62">
            <v>-582.97</v>
          </cell>
          <cell r="Y62">
            <v>1080.26</v>
          </cell>
          <cell r="Z62">
            <v>28</v>
          </cell>
          <cell r="AA62">
            <v>1052.26</v>
          </cell>
          <cell r="AB62">
            <v>460</v>
          </cell>
          <cell r="AC62">
            <v>-1080.26</v>
          </cell>
          <cell r="AD62">
            <v>2673.45</v>
          </cell>
          <cell r="AE62">
            <v>2513.4499999999998</v>
          </cell>
          <cell r="AF62">
            <v>160</v>
          </cell>
          <cell r="AI62">
            <v>0</v>
          </cell>
          <cell r="AJ62">
            <v>-2673.45</v>
          </cell>
          <cell r="AP62">
            <v>16435.723999999998</v>
          </cell>
          <cell r="AQ62">
            <v>3928.15</v>
          </cell>
          <cell r="AR62">
            <v>12507.573999999999</v>
          </cell>
          <cell r="AS62">
            <v>0</v>
          </cell>
          <cell r="AT62">
            <v>-16435.723999999998</v>
          </cell>
          <cell r="AV62">
            <v>3317</v>
          </cell>
        </row>
        <row r="63">
          <cell r="C63">
            <v>0</v>
          </cell>
          <cell r="D63">
            <v>0</v>
          </cell>
          <cell r="E63">
            <v>0</v>
          </cell>
          <cell r="N63">
            <v>0</v>
          </cell>
          <cell r="O63">
            <v>15</v>
          </cell>
          <cell r="P63">
            <v>0</v>
          </cell>
          <cell r="Q63">
            <v>0</v>
          </cell>
          <cell r="R63">
            <v>8</v>
          </cell>
          <cell r="S63">
            <v>0</v>
          </cell>
          <cell r="T63">
            <v>0</v>
          </cell>
          <cell r="U63">
            <v>0</v>
          </cell>
          <cell r="V63">
            <v>240</v>
          </cell>
          <cell r="W63">
            <v>198</v>
          </cell>
          <cell r="X63">
            <v>0</v>
          </cell>
          <cell r="Y63">
            <v>0</v>
          </cell>
          <cell r="Z63">
            <v>0</v>
          </cell>
          <cell r="AA63">
            <v>0</v>
          </cell>
          <cell r="AB63">
            <v>2637</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O64">
            <v>4</v>
          </cell>
          <cell r="P64">
            <v>120.15000000000009</v>
          </cell>
          <cell r="Q64">
            <v>-267.89399999999978</v>
          </cell>
          <cell r="R64">
            <v>4</v>
          </cell>
          <cell r="S64">
            <v>267.89399999999978</v>
          </cell>
          <cell r="T64">
            <v>3683.0299999999997</v>
          </cell>
          <cell r="U64">
            <v>2191</v>
          </cell>
          <cell r="V64">
            <v>58</v>
          </cell>
          <cell r="W64">
            <v>48</v>
          </cell>
          <cell r="X64">
            <v>-3683.0299999999997</v>
          </cell>
          <cell r="Y64">
            <v>3382.74</v>
          </cell>
          <cell r="Z64">
            <v>2225</v>
          </cell>
          <cell r="AA64">
            <v>1157.7399999999998</v>
          </cell>
          <cell r="AB64">
            <v>989</v>
          </cell>
          <cell r="AC64">
            <v>-3382.74</v>
          </cell>
          <cell r="AD64">
            <v>1156.2166666666667</v>
          </cell>
          <cell r="AE64">
            <v>1081.8833333333334</v>
          </cell>
          <cell r="AF64">
            <v>74.333333333333258</v>
          </cell>
          <cell r="AG64">
            <v>1641</v>
          </cell>
          <cell r="AH64">
            <v>1139</v>
          </cell>
          <cell r="AI64">
            <v>155</v>
          </cell>
          <cell r="AJ64">
            <v>484.7833333333333</v>
          </cell>
          <cell r="AP64">
            <v>7766.6093333333329</v>
          </cell>
          <cell r="AS64">
            <v>1139</v>
          </cell>
          <cell r="AT64">
            <v>-6627.6093333333329</v>
          </cell>
        </row>
        <row r="65">
          <cell r="C65">
            <v>569</v>
          </cell>
          <cell r="D65">
            <v>63</v>
          </cell>
          <cell r="E65">
            <v>506</v>
          </cell>
          <cell r="N65">
            <v>4217.1000000000004</v>
          </cell>
          <cell r="O65">
            <v>1295</v>
          </cell>
          <cell r="P65">
            <v>-2922.1000000000004</v>
          </cell>
          <cell r="Q65">
            <v>8816.4954545454548</v>
          </cell>
          <cell r="R65">
            <v>2254</v>
          </cell>
          <cell r="S65">
            <v>-6562.4954545454548</v>
          </cell>
          <cell r="T65">
            <v>7987.4590909090903</v>
          </cell>
          <cell r="U65">
            <v>4919</v>
          </cell>
          <cell r="V65">
            <v>3068.4590909090903</v>
          </cell>
          <cell r="W65">
            <v>1557</v>
          </cell>
          <cell r="X65">
            <v>-6430.4590909090903</v>
          </cell>
          <cell r="Y65">
            <v>5889.4</v>
          </cell>
          <cell r="Z65">
            <v>3534</v>
          </cell>
          <cell r="AA65">
            <v>2355.3999999999996</v>
          </cell>
          <cell r="AB65">
            <v>1201</v>
          </cell>
          <cell r="AC65">
            <v>-4688.3999999999996</v>
          </cell>
          <cell r="AD65">
            <v>5295.7636363636366</v>
          </cell>
          <cell r="AE65">
            <v>5222.7636363636366</v>
          </cell>
          <cell r="AF65">
            <v>73</v>
          </cell>
          <cell r="AG65">
            <v>1946</v>
          </cell>
          <cell r="AH65">
            <v>938</v>
          </cell>
          <cell r="AI65">
            <v>0</v>
          </cell>
          <cell r="AJ65">
            <v>-3349.7636363636366</v>
          </cell>
          <cell r="AP65">
            <v>32708.218181818182</v>
          </cell>
          <cell r="AQ65">
            <v>12703.1</v>
          </cell>
          <cell r="AR65">
            <v>20005.118181818179</v>
          </cell>
          <cell r="AS65">
            <v>7245</v>
          </cell>
          <cell r="AT65">
            <v>-25463.218181818182</v>
          </cell>
          <cell r="AU65">
            <v>8453</v>
          </cell>
          <cell r="AV65">
            <v>8421</v>
          </cell>
          <cell r="AW65">
            <v>4250.1000000000004</v>
          </cell>
          <cell r="AX65">
            <v>11584.118181818179</v>
          </cell>
        </row>
        <row r="66">
          <cell r="C66">
            <v>0</v>
          </cell>
          <cell r="D66">
            <v>0</v>
          </cell>
          <cell r="E66">
            <v>0</v>
          </cell>
          <cell r="N66">
            <v>465.33333333333331</v>
          </cell>
          <cell r="O66">
            <v>198</v>
          </cell>
          <cell r="P66">
            <v>-267.33333333333331</v>
          </cell>
          <cell r="Q66">
            <v>2670.545454545455</v>
          </cell>
          <cell r="R66">
            <v>1097</v>
          </cell>
          <cell r="S66">
            <v>-1573.545454545455</v>
          </cell>
          <cell r="T66">
            <v>1607.090909090909</v>
          </cell>
          <cell r="U66">
            <v>922</v>
          </cell>
          <cell r="V66">
            <v>685.09090909090901</v>
          </cell>
          <cell r="W66">
            <v>608</v>
          </cell>
          <cell r="X66">
            <v>-999.09090909090901</v>
          </cell>
          <cell r="Y66">
            <v>1040.090909090909</v>
          </cell>
          <cell r="Z66">
            <v>553</v>
          </cell>
          <cell r="AA66">
            <v>487.09090909090901</v>
          </cell>
          <cell r="AB66">
            <v>435</v>
          </cell>
          <cell r="AC66">
            <v>-605.09090909090901</v>
          </cell>
          <cell r="AD66">
            <v>1039.2727272727273</v>
          </cell>
          <cell r="AE66">
            <v>1039.090909090909</v>
          </cell>
          <cell r="AF66">
            <v>0.18181818181824383</v>
          </cell>
          <cell r="AG66">
            <v>318</v>
          </cell>
          <cell r="AH66">
            <v>237</v>
          </cell>
          <cell r="AI66">
            <v>0</v>
          </cell>
          <cell r="AJ66">
            <v>-721.27272727272725</v>
          </cell>
          <cell r="AP66">
            <v>6822.1515151515159</v>
          </cell>
          <cell r="AQ66">
            <v>1940.3333333333333</v>
          </cell>
          <cell r="AR66">
            <v>4881.8181818181829</v>
          </cell>
          <cell r="AS66">
            <v>2575</v>
          </cell>
          <cell r="AT66">
            <v>-4247.1515151515159</v>
          </cell>
        </row>
        <row r="67">
          <cell r="C67">
            <v>0</v>
          </cell>
          <cell r="D67">
            <v>0</v>
          </cell>
          <cell r="E67">
            <v>0</v>
          </cell>
          <cell r="N67">
            <v>27</v>
          </cell>
          <cell r="O67">
            <v>11</v>
          </cell>
          <cell r="P67">
            <v>-16</v>
          </cell>
          <cell r="Q67">
            <v>147</v>
          </cell>
          <cell r="R67">
            <v>60</v>
          </cell>
          <cell r="S67">
            <v>-87</v>
          </cell>
          <cell r="T67">
            <v>88</v>
          </cell>
          <cell r="U67">
            <v>51</v>
          </cell>
          <cell r="V67">
            <v>37</v>
          </cell>
          <cell r="W67">
            <v>33</v>
          </cell>
          <cell r="X67">
            <v>-55</v>
          </cell>
          <cell r="Y67">
            <v>57</v>
          </cell>
          <cell r="Z67">
            <v>31</v>
          </cell>
          <cell r="AA67">
            <v>26</v>
          </cell>
          <cell r="AB67">
            <v>24</v>
          </cell>
          <cell r="AC67">
            <v>-33</v>
          </cell>
          <cell r="AD67">
            <v>57</v>
          </cell>
          <cell r="AE67">
            <v>57</v>
          </cell>
          <cell r="AF67">
            <v>0</v>
          </cell>
          <cell r="AG67">
            <v>17</v>
          </cell>
          <cell r="AH67">
            <v>12</v>
          </cell>
          <cell r="AI67">
            <v>0</v>
          </cell>
          <cell r="AJ67">
            <v>-40</v>
          </cell>
          <cell r="AP67">
            <v>376</v>
          </cell>
          <cell r="AQ67">
            <v>109</v>
          </cell>
          <cell r="AR67">
            <v>267</v>
          </cell>
          <cell r="AS67">
            <v>140</v>
          </cell>
          <cell r="AT67">
            <v>-236</v>
          </cell>
        </row>
        <row r="68">
          <cell r="C68">
            <v>0</v>
          </cell>
          <cell r="D68">
            <v>0</v>
          </cell>
          <cell r="E68">
            <v>0</v>
          </cell>
          <cell r="N68">
            <v>150</v>
          </cell>
          <cell r="O68">
            <v>63</v>
          </cell>
          <cell r="P68">
            <v>-87</v>
          </cell>
          <cell r="Q68">
            <v>853</v>
          </cell>
          <cell r="R68">
            <v>330</v>
          </cell>
          <cell r="S68">
            <v>-523</v>
          </cell>
          <cell r="T68">
            <v>515</v>
          </cell>
          <cell r="U68">
            <v>295</v>
          </cell>
          <cell r="V68">
            <v>220</v>
          </cell>
          <cell r="W68">
            <v>190</v>
          </cell>
          <cell r="X68">
            <v>-325</v>
          </cell>
          <cell r="Y68">
            <v>335</v>
          </cell>
          <cell r="Z68">
            <v>179</v>
          </cell>
          <cell r="AA68">
            <v>156</v>
          </cell>
          <cell r="AB68">
            <v>137</v>
          </cell>
          <cell r="AC68">
            <v>-198</v>
          </cell>
          <cell r="AD68">
            <v>333</v>
          </cell>
          <cell r="AE68">
            <v>333</v>
          </cell>
          <cell r="AF68">
            <v>0</v>
          </cell>
          <cell r="AG68">
            <v>102</v>
          </cell>
          <cell r="AH68">
            <v>16</v>
          </cell>
          <cell r="AI68">
            <v>0</v>
          </cell>
          <cell r="AJ68">
            <v>-231</v>
          </cell>
          <cell r="AP68">
            <v>2186</v>
          </cell>
          <cell r="AQ68">
            <v>624</v>
          </cell>
          <cell r="AR68">
            <v>1562</v>
          </cell>
          <cell r="AS68">
            <v>620</v>
          </cell>
          <cell r="AT68">
            <v>-1566</v>
          </cell>
        </row>
        <row r="69">
          <cell r="C69">
            <v>0</v>
          </cell>
          <cell r="D69">
            <v>0</v>
          </cell>
          <cell r="E69">
            <v>0</v>
          </cell>
          <cell r="N69">
            <v>78</v>
          </cell>
          <cell r="O69">
            <v>39.824561403508767</v>
          </cell>
          <cell r="P69">
            <v>-78</v>
          </cell>
          <cell r="Q69">
            <v>0</v>
          </cell>
          <cell r="R69">
            <v>23.192982456140342</v>
          </cell>
          <cell r="S69">
            <v>0</v>
          </cell>
          <cell r="T69">
            <v>0</v>
          </cell>
          <cell r="U69">
            <v>0</v>
          </cell>
          <cell r="V69">
            <v>0</v>
          </cell>
          <cell r="W69">
            <v>252.4912280701754</v>
          </cell>
          <cell r="X69">
            <v>0</v>
          </cell>
          <cell r="Y69">
            <v>0</v>
          </cell>
          <cell r="Z69">
            <v>0</v>
          </cell>
          <cell r="AA69">
            <v>0</v>
          </cell>
          <cell r="AB69">
            <v>3117.4912280701756</v>
          </cell>
          <cell r="AC69">
            <v>0</v>
          </cell>
          <cell r="AD69">
            <v>0</v>
          </cell>
          <cell r="AE69">
            <v>0</v>
          </cell>
          <cell r="AF69">
            <v>0</v>
          </cell>
          <cell r="AI69">
            <v>0</v>
          </cell>
          <cell r="AJ69">
            <v>0</v>
          </cell>
          <cell r="AP69">
            <v>78</v>
          </cell>
          <cell r="AQ69">
            <v>78</v>
          </cell>
          <cell r="AR69">
            <v>0</v>
          </cell>
          <cell r="AS69">
            <v>0</v>
          </cell>
          <cell r="AT69">
            <v>-78</v>
          </cell>
        </row>
        <row r="70">
          <cell r="C70" t="e">
            <v>#REF!</v>
          </cell>
          <cell r="D70" t="e">
            <v>#REF!</v>
          </cell>
          <cell r="E70" t="e">
            <v>#REF!</v>
          </cell>
          <cell r="N70">
            <v>1182.5</v>
          </cell>
          <cell r="O70">
            <v>2</v>
          </cell>
          <cell r="P70">
            <v>-1182.5</v>
          </cell>
          <cell r="Q70">
            <v>500.6</v>
          </cell>
          <cell r="R70">
            <v>1</v>
          </cell>
          <cell r="S70">
            <v>-500.6</v>
          </cell>
          <cell r="T70">
            <v>527</v>
          </cell>
          <cell r="U70">
            <v>0</v>
          </cell>
          <cell r="V70">
            <v>527</v>
          </cell>
          <cell r="W70">
            <v>13</v>
          </cell>
          <cell r="X70">
            <v>-527</v>
          </cell>
          <cell r="Y70">
            <v>0</v>
          </cell>
          <cell r="Z70">
            <v>170</v>
          </cell>
          <cell r="AA70">
            <v>-170</v>
          </cell>
          <cell r="AB70">
            <v>188</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O71">
            <v>13</v>
          </cell>
          <cell r="P71">
            <v>0</v>
          </cell>
          <cell r="Q71">
            <v>0</v>
          </cell>
          <cell r="R71">
            <v>7</v>
          </cell>
          <cell r="S71">
            <v>0</v>
          </cell>
          <cell r="T71">
            <v>0</v>
          </cell>
          <cell r="U71">
            <v>0</v>
          </cell>
          <cell r="V71">
            <v>0</v>
          </cell>
          <cell r="W71">
            <v>82</v>
          </cell>
          <cell r="X71">
            <v>0</v>
          </cell>
          <cell r="Y71">
            <v>0</v>
          </cell>
          <cell r="Z71">
            <v>0</v>
          </cell>
          <cell r="AA71">
            <v>0</v>
          </cell>
          <cell r="AB71">
            <v>978</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624.07000000000005</v>
          </cell>
          <cell r="O72">
            <v>227</v>
          </cell>
          <cell r="P72">
            <v>-397.07000000000005</v>
          </cell>
          <cell r="Q72">
            <v>2013.3516666666667</v>
          </cell>
          <cell r="R72">
            <v>403</v>
          </cell>
          <cell r="S72">
            <v>-1610.3516666666667</v>
          </cell>
          <cell r="T72">
            <v>608.45800000000008</v>
          </cell>
          <cell r="U72">
            <v>344</v>
          </cell>
          <cell r="V72">
            <v>264.45800000000008</v>
          </cell>
          <cell r="W72">
            <v>175</v>
          </cell>
          <cell r="X72">
            <v>-433.45800000000008</v>
          </cell>
          <cell r="Y72">
            <v>545.31200000000001</v>
          </cell>
          <cell r="Z72">
            <v>288</v>
          </cell>
          <cell r="AA72">
            <v>257.31200000000001</v>
          </cell>
          <cell r="AB72">
            <v>94</v>
          </cell>
          <cell r="AC72">
            <v>-451.31200000000001</v>
          </cell>
          <cell r="AD72">
            <v>1279.9006666666667</v>
          </cell>
          <cell r="AE72">
            <v>1052.93</v>
          </cell>
          <cell r="AF72">
            <v>226.9706666666666</v>
          </cell>
          <cell r="AG72">
            <v>379</v>
          </cell>
          <cell r="AH72">
            <v>173</v>
          </cell>
          <cell r="AI72">
            <v>35</v>
          </cell>
          <cell r="AJ72">
            <v>-900.90066666666667</v>
          </cell>
          <cell r="AN72">
            <v>0</v>
          </cell>
          <cell r="AP72">
            <v>16100.752333333334</v>
          </cell>
          <cell r="AQ72" t="e">
            <v>#REF!</v>
          </cell>
          <cell r="AR72" t="e">
            <v>#REF!</v>
          </cell>
          <cell r="AS72">
            <v>181</v>
          </cell>
          <cell r="AT72">
            <v>-15919.752333333334</v>
          </cell>
          <cell r="AU72">
            <v>632</v>
          </cell>
          <cell r="AV72">
            <v>1206</v>
          </cell>
          <cell r="AW72">
            <v>2438.67</v>
          </cell>
          <cell r="AX72" t="e">
            <v>#REF!</v>
          </cell>
        </row>
        <row r="73">
          <cell r="C73">
            <v>988</v>
          </cell>
          <cell r="D73">
            <v>70</v>
          </cell>
          <cell r="E73">
            <v>918</v>
          </cell>
          <cell r="N73">
            <v>0</v>
          </cell>
          <cell r="O73">
            <v>180</v>
          </cell>
          <cell r="P73">
            <v>0</v>
          </cell>
          <cell r="Q73">
            <v>0</v>
          </cell>
          <cell r="R73">
            <v>476</v>
          </cell>
          <cell r="S73">
            <v>0</v>
          </cell>
          <cell r="T73">
            <v>0</v>
          </cell>
          <cell r="U73">
            <v>0</v>
          </cell>
          <cell r="V73">
            <v>0</v>
          </cell>
          <cell r="W73">
            <v>2244</v>
          </cell>
          <cell r="X73">
            <v>0</v>
          </cell>
          <cell r="Y73">
            <v>18</v>
          </cell>
          <cell r="Z73">
            <v>0</v>
          </cell>
          <cell r="AA73">
            <v>18</v>
          </cell>
          <cell r="AB73">
            <v>2244</v>
          </cell>
          <cell r="AC73">
            <v>-18</v>
          </cell>
          <cell r="AD73">
            <v>0</v>
          </cell>
          <cell r="AE73">
            <v>0</v>
          </cell>
          <cell r="AF73">
            <v>0</v>
          </cell>
          <cell r="AI73">
            <v>0</v>
          </cell>
          <cell r="AJ73">
            <v>0</v>
          </cell>
          <cell r="AP73">
            <v>1006</v>
          </cell>
          <cell r="AQ73">
            <v>70</v>
          </cell>
          <cell r="AR73">
            <v>936</v>
          </cell>
          <cell r="AS73">
            <v>0</v>
          </cell>
          <cell r="AT73">
            <v>-1006</v>
          </cell>
          <cell r="AU73">
            <v>0</v>
          </cell>
          <cell r="AV73">
            <v>18</v>
          </cell>
          <cell r="AW73">
            <v>70</v>
          </cell>
          <cell r="AX73">
            <v>918</v>
          </cell>
        </row>
        <row r="74">
          <cell r="C74">
            <v>9038.5</v>
          </cell>
          <cell r="D74">
            <v>1182</v>
          </cell>
          <cell r="E74">
            <v>7856.5</v>
          </cell>
          <cell r="N74">
            <v>624.07000000000005</v>
          </cell>
          <cell r="O74">
            <v>0</v>
          </cell>
          <cell r="P74">
            <v>-624.07000000000005</v>
          </cell>
          <cell r="Q74">
            <v>2013.3516666666667</v>
          </cell>
          <cell r="R74">
            <v>2</v>
          </cell>
          <cell r="S74">
            <v>-2013.3516666666667</v>
          </cell>
          <cell r="T74">
            <v>608.45800000000008</v>
          </cell>
          <cell r="U74">
            <v>344</v>
          </cell>
          <cell r="V74">
            <v>264.45800000000008</v>
          </cell>
          <cell r="W74">
            <v>491</v>
          </cell>
          <cell r="X74">
            <v>-608.45800000000008</v>
          </cell>
          <cell r="Y74">
            <v>527.31200000000001</v>
          </cell>
          <cell r="Z74">
            <v>288</v>
          </cell>
          <cell r="AA74">
            <v>239.31200000000001</v>
          </cell>
          <cell r="AB74">
            <v>491</v>
          </cell>
          <cell r="AC74">
            <v>-527.31200000000001</v>
          </cell>
          <cell r="AD74">
            <v>1279.9006666666667</v>
          </cell>
          <cell r="AE74">
            <v>1052.33</v>
          </cell>
          <cell r="AF74">
            <v>227.57066666666674</v>
          </cell>
          <cell r="AG74">
            <v>379</v>
          </cell>
          <cell r="AH74">
            <v>173</v>
          </cell>
          <cell r="AI74">
            <v>35</v>
          </cell>
          <cell r="AJ74">
            <v>-900.90066666666667</v>
          </cell>
          <cell r="AN74">
            <v>0</v>
          </cell>
          <cell r="AP74">
            <v>15094.152333333333</v>
          </cell>
          <cell r="AQ74">
            <v>3000.67</v>
          </cell>
          <cell r="AR74">
            <v>12093.482333333333</v>
          </cell>
          <cell r="AS74">
            <v>181</v>
          </cell>
          <cell r="AT74">
            <v>-14913.152333333333</v>
          </cell>
          <cell r="AU74">
            <v>632</v>
          </cell>
          <cell r="AV74">
            <v>1188</v>
          </cell>
          <cell r="AW74">
            <v>2368.67</v>
          </cell>
          <cell r="AX74">
            <v>10905.482333333333</v>
          </cell>
        </row>
        <row r="75">
          <cell r="C75">
            <v>3287</v>
          </cell>
          <cell r="D75">
            <v>299</v>
          </cell>
          <cell r="E75">
            <v>2988</v>
          </cell>
          <cell r="N75">
            <v>439.07</v>
          </cell>
          <cell r="O75">
            <v>12</v>
          </cell>
          <cell r="P75">
            <v>-439.07</v>
          </cell>
          <cell r="Q75">
            <v>1244.9099999999999</v>
          </cell>
          <cell r="R75">
            <v>11</v>
          </cell>
          <cell r="S75">
            <v>-1244.9099999999999</v>
          </cell>
          <cell r="T75">
            <v>346.80799999999999</v>
          </cell>
          <cell r="U75">
            <v>202</v>
          </cell>
          <cell r="V75">
            <v>144.80799999999999</v>
          </cell>
          <cell r="W75">
            <v>2284.666666666667</v>
          </cell>
          <cell r="X75">
            <v>-346.80799999999999</v>
          </cell>
          <cell r="Y75">
            <v>214.36199999999999</v>
          </cell>
          <cell r="Z75">
            <v>182</v>
          </cell>
          <cell r="AA75">
            <v>32.361999999999995</v>
          </cell>
          <cell r="AB75">
            <v>23945.666666666668</v>
          </cell>
          <cell r="AC75">
            <v>-214.36199999999999</v>
          </cell>
          <cell r="AD75">
            <v>823.10066666666671</v>
          </cell>
          <cell r="AE75">
            <v>721.48</v>
          </cell>
          <cell r="AF75">
            <v>101.62066666666669</v>
          </cell>
          <cell r="AJ75">
            <v>-823.10066666666671</v>
          </cell>
          <cell r="AP75">
            <v>6653.6299999999992</v>
          </cell>
          <cell r="AQ75">
            <v>1346.67</v>
          </cell>
          <cell r="AR75">
            <v>5306.9599999999991</v>
          </cell>
          <cell r="AS75">
            <v>0</v>
          </cell>
          <cell r="AT75">
            <v>-6653.6299999999992</v>
          </cell>
          <cell r="AX75">
            <v>5306.9599999999991</v>
          </cell>
        </row>
        <row r="76">
          <cell r="C76">
            <v>0</v>
          </cell>
          <cell r="D76">
            <v>0</v>
          </cell>
          <cell r="E76">
            <v>0</v>
          </cell>
          <cell r="N76">
            <v>0</v>
          </cell>
          <cell r="O76">
            <v>0</v>
          </cell>
          <cell r="P76">
            <v>0</v>
          </cell>
          <cell r="Q76">
            <v>0</v>
          </cell>
          <cell r="S76">
            <v>0</v>
          </cell>
          <cell r="T76">
            <v>0</v>
          </cell>
          <cell r="U76">
            <v>0</v>
          </cell>
          <cell r="V76">
            <v>0</v>
          </cell>
          <cell r="W76">
            <v>0</v>
          </cell>
          <cell r="X76">
            <v>0</v>
          </cell>
          <cell r="Y76">
            <v>0</v>
          </cell>
          <cell r="Z76">
            <v>0</v>
          </cell>
          <cell r="AA76">
            <v>0</v>
          </cell>
          <cell r="AB76">
            <v>401</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62.75</v>
          </cell>
          <cell r="O77">
            <v>12</v>
          </cell>
          <cell r="P77">
            <v>31</v>
          </cell>
          <cell r="Q77">
            <v>465.4666666666667</v>
          </cell>
          <cell r="R77">
            <v>11</v>
          </cell>
          <cell r="T77">
            <v>112.6</v>
          </cell>
          <cell r="U77">
            <v>17</v>
          </cell>
          <cell r="V77">
            <v>95.6</v>
          </cell>
          <cell r="W77">
            <v>2284.666666666667</v>
          </cell>
          <cell r="X77">
            <v>2284.666666666667</v>
          </cell>
          <cell r="Y77">
            <v>101.15</v>
          </cell>
          <cell r="Z77">
            <v>31</v>
          </cell>
          <cell r="AA77">
            <v>70.150000000000006</v>
          </cell>
          <cell r="AB77">
            <v>23529.666666666668</v>
          </cell>
          <cell r="AC77">
            <v>46</v>
          </cell>
          <cell r="AD77">
            <v>221.75</v>
          </cell>
          <cell r="AE77">
            <v>157.85</v>
          </cell>
          <cell r="AF77">
            <v>63.900000000000006</v>
          </cell>
        </row>
        <row r="78">
          <cell r="C78">
            <v>3123.5</v>
          </cell>
          <cell r="D78">
            <v>363</v>
          </cell>
          <cell r="E78">
            <v>2760.5</v>
          </cell>
          <cell r="N78">
            <v>121.25</v>
          </cell>
          <cell r="O78">
            <v>12</v>
          </cell>
          <cell r="P78">
            <v>31</v>
          </cell>
          <cell r="Q78">
            <v>302.97500000000002</v>
          </cell>
          <cell r="R78">
            <v>11</v>
          </cell>
          <cell r="T78">
            <v>148.05000000000001</v>
          </cell>
          <cell r="U78">
            <v>34</v>
          </cell>
          <cell r="V78">
            <v>114.05000000000001</v>
          </cell>
          <cell r="W78">
            <v>330</v>
          </cell>
          <cell r="X78">
            <v>330</v>
          </cell>
          <cell r="Y78">
            <v>211.8</v>
          </cell>
          <cell r="Z78">
            <v>45</v>
          </cell>
          <cell r="AA78">
            <v>166.8</v>
          </cell>
          <cell r="AB78">
            <v>330</v>
          </cell>
          <cell r="AD78">
            <v>234.05</v>
          </cell>
          <cell r="AE78">
            <v>173</v>
          </cell>
          <cell r="AF78">
            <v>61.050000000000011</v>
          </cell>
        </row>
        <row r="79">
          <cell r="C79">
            <v>13</v>
          </cell>
          <cell r="D79">
            <v>85</v>
          </cell>
          <cell r="E79">
            <v>-72</v>
          </cell>
          <cell r="N79">
            <v>15.1</v>
          </cell>
          <cell r="P79">
            <v>-15.1</v>
          </cell>
          <cell r="Q79">
            <v>7.5</v>
          </cell>
          <cell r="S79">
            <v>-7.5</v>
          </cell>
          <cell r="T79">
            <v>0</v>
          </cell>
          <cell r="U79">
            <v>0</v>
          </cell>
          <cell r="V79">
            <v>0</v>
          </cell>
          <cell r="W79">
            <v>1955</v>
          </cell>
          <cell r="X79">
            <v>0</v>
          </cell>
          <cell r="Y79">
            <v>6.7</v>
          </cell>
          <cell r="Z79">
            <v>0</v>
          </cell>
          <cell r="AA79">
            <v>6.7</v>
          </cell>
          <cell r="AB79">
            <v>1955</v>
          </cell>
          <cell r="AC79">
            <v>-6.7</v>
          </cell>
          <cell r="AD79">
            <v>38.799999999999997</v>
          </cell>
          <cell r="AE79">
            <v>34</v>
          </cell>
          <cell r="AF79">
            <v>4.7999999999999972</v>
          </cell>
          <cell r="AJ79">
            <v>-38.799999999999997</v>
          </cell>
          <cell r="AP79">
            <v>79.300000000000011</v>
          </cell>
          <cell r="AQ79">
            <v>103.1</v>
          </cell>
          <cell r="AS79">
            <v>0</v>
          </cell>
          <cell r="AT79">
            <v>-79.300000000000011</v>
          </cell>
        </row>
        <row r="80">
          <cell r="C80">
            <v>14660.397000000001</v>
          </cell>
          <cell r="D80">
            <v>2178</v>
          </cell>
          <cell r="E80">
            <v>12482.397000000001</v>
          </cell>
          <cell r="N80">
            <v>16926.547393939396</v>
          </cell>
          <cell r="O80">
            <v>6571</v>
          </cell>
          <cell r="P80">
            <v>-10355.547393939396</v>
          </cell>
          <cell r="Q80">
            <v>119330.43057575758</v>
          </cell>
          <cell r="R80">
            <v>83057</v>
          </cell>
          <cell r="S80">
            <v>-36273.430575757578</v>
          </cell>
          <cell r="T80">
            <v>183336.61878787878</v>
          </cell>
          <cell r="U80">
            <v>112107.34756097561</v>
          </cell>
          <cell r="V80">
            <v>71229.271226903176</v>
          </cell>
          <cell r="W80">
            <v>101508</v>
          </cell>
          <cell r="X80">
            <v>-81828.618787878775</v>
          </cell>
          <cell r="Y80">
            <v>150544.11636363636</v>
          </cell>
          <cell r="Z80">
            <v>88569.750161952048</v>
          </cell>
          <cell r="AA80">
            <v>61974.366201684315</v>
          </cell>
          <cell r="AB80">
            <v>81399</v>
          </cell>
          <cell r="AC80">
            <v>-69145.116363636364</v>
          </cell>
          <cell r="AD80">
            <v>29611.383272727278</v>
          </cell>
          <cell r="AE80">
            <v>24168.194424242425</v>
          </cell>
          <cell r="AF80">
            <v>5443.1888484848496</v>
          </cell>
          <cell r="AG80">
            <v>9642</v>
          </cell>
          <cell r="AH80">
            <v>6481</v>
          </cell>
          <cell r="AI80">
            <v>2032</v>
          </cell>
          <cell r="AJ80">
            <v>-19969.383272727278</v>
          </cell>
          <cell r="AL80">
            <v>0</v>
          </cell>
          <cell r="AN80">
            <v>0</v>
          </cell>
          <cell r="AP80">
            <v>511455.55521212122</v>
          </cell>
          <cell r="AQ80" t="e">
            <v>#REF!</v>
          </cell>
          <cell r="AR80" t="e">
            <v>#REF!</v>
          </cell>
          <cell r="AS80">
            <v>278125</v>
          </cell>
          <cell r="AT80">
            <v>-233330.55521212122</v>
          </cell>
          <cell r="AU80">
            <v>200002.09772292766</v>
          </cell>
          <cell r="AV80">
            <v>219442</v>
          </cell>
          <cell r="AW80">
            <v>19062.965575757575</v>
          </cell>
          <cell r="AX80" t="e">
            <v>#REF!</v>
          </cell>
        </row>
        <row r="81">
          <cell r="C81">
            <v>13672.397000000001</v>
          </cell>
          <cell r="D81">
            <v>2108</v>
          </cell>
          <cell r="E81">
            <v>11564.397000000001</v>
          </cell>
          <cell r="P81">
            <v>0</v>
          </cell>
          <cell r="S81">
            <v>0</v>
          </cell>
          <cell r="U81">
            <v>65</v>
          </cell>
          <cell r="V81">
            <v>30</v>
          </cell>
          <cell r="W81">
            <v>35</v>
          </cell>
          <cell r="X81">
            <v>0</v>
          </cell>
          <cell r="AC81">
            <v>0</v>
          </cell>
          <cell r="AJ81">
            <v>0</v>
          </cell>
          <cell r="AP81">
            <v>144934.55521212122</v>
          </cell>
          <cell r="AQ81" t="e">
            <v>#REF!</v>
          </cell>
          <cell r="AR81" t="e">
            <v>#REF!</v>
          </cell>
          <cell r="AS81">
            <v>0</v>
          </cell>
          <cell r="AT81">
            <v>-144934.55521212122</v>
          </cell>
          <cell r="AU81">
            <v>20950</v>
          </cell>
          <cell r="AV81">
            <v>31974</v>
          </cell>
          <cell r="AW81">
            <v>19061.965575757575</v>
          </cell>
          <cell r="AX81" t="e">
            <v>#REF!</v>
          </cell>
        </row>
        <row r="82">
          <cell r="C82">
            <v>813.00000000000011</v>
          </cell>
          <cell r="D82">
            <v>501</v>
          </cell>
          <cell r="E82">
            <v>312.33333333333337</v>
          </cell>
          <cell r="N82">
            <v>4234.3327272727274</v>
          </cell>
          <cell r="O82">
            <v>1501</v>
          </cell>
          <cell r="P82">
            <v>-2733.3327272727274</v>
          </cell>
          <cell r="Q82">
            <v>9505.1209090909106</v>
          </cell>
          <cell r="R82">
            <v>3466</v>
          </cell>
          <cell r="S82">
            <v>-6039.1209090909106</v>
          </cell>
          <cell r="T82">
            <v>3657.8272727272729</v>
          </cell>
          <cell r="U82">
            <v>2012</v>
          </cell>
          <cell r="V82">
            <v>1645.8272727272729</v>
          </cell>
          <cell r="W82">
            <v>1353</v>
          </cell>
          <cell r="X82">
            <v>-2304.8272727272729</v>
          </cell>
          <cell r="Y82">
            <v>2966.1272727272726</v>
          </cell>
          <cell r="Z82">
            <v>1572</v>
          </cell>
          <cell r="AA82">
            <v>1394.1272727272726</v>
          </cell>
          <cell r="AB82">
            <v>1097</v>
          </cell>
          <cell r="AC82">
            <v>-1869.1272727272726</v>
          </cell>
          <cell r="AD82">
            <v>8413.5863636363647</v>
          </cell>
          <cell r="AE82">
            <v>7694.9363636363632</v>
          </cell>
          <cell r="AF82">
            <v>718.65000000000077</v>
          </cell>
          <cell r="AG82">
            <v>2881</v>
          </cell>
          <cell r="AH82">
            <v>1984</v>
          </cell>
          <cell r="AI82">
            <v>306</v>
          </cell>
          <cell r="AJ82">
            <v>-5532.5863636363647</v>
          </cell>
          <cell r="AN82">
            <v>0</v>
          </cell>
          <cell r="AP82">
            <v>30031.241545454548</v>
          </cell>
          <cell r="AS82">
            <v>9401</v>
          </cell>
          <cell r="AT82">
            <v>-20630.241545454548</v>
          </cell>
        </row>
        <row r="83">
          <cell r="C83">
            <v>16699</v>
          </cell>
          <cell r="D83">
            <v>11292</v>
          </cell>
          <cell r="E83">
            <v>0</v>
          </cell>
          <cell r="P83">
            <v>0</v>
          </cell>
          <cell r="S83">
            <v>0</v>
          </cell>
          <cell r="U83">
            <v>14098.435307760927</v>
          </cell>
          <cell r="V83">
            <v>5945.3098245614019</v>
          </cell>
          <cell r="W83">
            <v>8153.1254831995248</v>
          </cell>
          <cell r="X83">
            <v>0</v>
          </cell>
          <cell r="AC83">
            <v>0</v>
          </cell>
          <cell r="AD83">
            <v>2918</v>
          </cell>
          <cell r="AE83">
            <v>2545.3098245614037</v>
          </cell>
          <cell r="AF83">
            <v>5037.1254831995248</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16926.547393939396</v>
          </cell>
          <cell r="O84">
            <v>6571</v>
          </cell>
          <cell r="P84">
            <v>-10355.547393939396</v>
          </cell>
          <cell r="Q84">
            <v>119330.43057575758</v>
          </cell>
          <cell r="R84">
            <v>83057</v>
          </cell>
          <cell r="S84">
            <v>-36273.430575757578</v>
          </cell>
          <cell r="T84">
            <v>183336.61878787878</v>
          </cell>
          <cell r="U84">
            <v>112107.34756097561</v>
          </cell>
          <cell r="V84">
            <v>71229.271226903176</v>
          </cell>
          <cell r="W84">
            <v>101508</v>
          </cell>
          <cell r="X84">
            <v>-81828.618787878775</v>
          </cell>
          <cell r="Y84">
            <v>150544.11636363636</v>
          </cell>
          <cell r="Z84">
            <v>88569.750161952048</v>
          </cell>
          <cell r="AA84">
            <v>61974.366201684315</v>
          </cell>
          <cell r="AB84">
            <v>81399</v>
          </cell>
          <cell r="AC84">
            <v>-69145.116363636364</v>
          </cell>
          <cell r="AD84">
            <v>29611.383272727278</v>
          </cell>
          <cell r="AE84">
            <v>24168.194424242425</v>
          </cell>
          <cell r="AF84">
            <v>5443.1888484848496</v>
          </cell>
          <cell r="AG84">
            <v>9642</v>
          </cell>
          <cell r="AH84">
            <v>6481</v>
          </cell>
          <cell r="AI84">
            <v>2032</v>
          </cell>
          <cell r="AJ84">
            <v>-19969.383272727278</v>
          </cell>
          <cell r="AL84">
            <v>0</v>
          </cell>
          <cell r="AN84">
            <v>0</v>
          </cell>
          <cell r="AP84">
            <v>528154.55521212122</v>
          </cell>
          <cell r="AQ84" t="e">
            <v>#REF!</v>
          </cell>
          <cell r="AR84" t="e">
            <v>#REF!</v>
          </cell>
          <cell r="AS84">
            <v>278125</v>
          </cell>
          <cell r="AT84">
            <v>-250029.55521212122</v>
          </cell>
          <cell r="AU84">
            <v>200002.09772292766</v>
          </cell>
          <cell r="AV84">
            <v>219442</v>
          </cell>
          <cell r="AW84">
            <v>19062.965575757575</v>
          </cell>
          <cell r="AX84" t="e">
            <v>#REF!</v>
          </cell>
        </row>
        <row r="85">
          <cell r="C85">
            <v>0</v>
          </cell>
          <cell r="D85">
            <v>0</v>
          </cell>
          <cell r="E85">
            <v>0</v>
          </cell>
          <cell r="N85">
            <v>0</v>
          </cell>
          <cell r="P85">
            <v>0</v>
          </cell>
          <cell r="Q85">
            <v>0</v>
          </cell>
          <cell r="S85">
            <v>0</v>
          </cell>
          <cell r="T85">
            <v>0</v>
          </cell>
          <cell r="U85">
            <v>0</v>
          </cell>
          <cell r="V85">
            <v>0</v>
          </cell>
          <cell r="W85">
            <v>0</v>
          </cell>
          <cell r="X85">
            <v>0</v>
          </cell>
          <cell r="Y85">
            <v>0</v>
          </cell>
          <cell r="Z85">
            <v>747</v>
          </cell>
          <cell r="AA85">
            <v>0</v>
          </cell>
          <cell r="AB85">
            <v>747</v>
          </cell>
          <cell r="AC85">
            <v>0</v>
          </cell>
          <cell r="AD85">
            <v>0</v>
          </cell>
          <cell r="AE85">
            <v>0</v>
          </cell>
          <cell r="AF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O86">
            <v>4065.1754385964914</v>
          </cell>
          <cell r="P86">
            <v>0</v>
          </cell>
          <cell r="Q86">
            <v>0</v>
          </cell>
          <cell r="R86">
            <v>3768.4237288135591</v>
          </cell>
          <cell r="S86">
            <v>0</v>
          </cell>
          <cell r="T86">
            <v>0</v>
          </cell>
          <cell r="U86">
            <v>0</v>
          </cell>
          <cell r="V86">
            <v>0</v>
          </cell>
          <cell r="W86">
            <v>15924.125483199525</v>
          </cell>
          <cell r="X86">
            <v>0</v>
          </cell>
          <cell r="Y86">
            <v>0</v>
          </cell>
          <cell r="Z86">
            <v>195401.12548319952</v>
          </cell>
          <cell r="AA86">
            <v>173414</v>
          </cell>
          <cell r="AB86">
            <v>368815.12548319955</v>
          </cell>
          <cell r="AC86">
            <v>0</v>
          </cell>
          <cell r="AD86">
            <v>10689</v>
          </cell>
          <cell r="AE86">
            <v>2570.3098245614037</v>
          </cell>
          <cell r="AF86">
            <v>5037.1254831995248</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W87">
            <v>52.068000000000012</v>
          </cell>
          <cell r="X87">
            <v>0</v>
          </cell>
          <cell r="Y87">
            <v>0</v>
          </cell>
          <cell r="Z87">
            <v>0</v>
          </cell>
          <cell r="AA87">
            <v>0</v>
          </cell>
          <cell r="AB87">
            <v>2186.0680000000002</v>
          </cell>
          <cell r="AC87">
            <v>0</v>
          </cell>
          <cell r="AD87">
            <v>0</v>
          </cell>
          <cell r="AE87">
            <v>178.35599999999999</v>
          </cell>
          <cell r="AF87">
            <v>52.068000000000012</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120.13333333333333</v>
          </cell>
          <cell r="O88">
            <v>51</v>
          </cell>
          <cell r="P88">
            <v>-69.133333333333326</v>
          </cell>
          <cell r="Q88">
            <v>108.6</v>
          </cell>
          <cell r="S88">
            <v>-108.6</v>
          </cell>
          <cell r="T88">
            <v>299.26666666666665</v>
          </cell>
          <cell r="U88">
            <v>176</v>
          </cell>
          <cell r="V88">
            <v>123.26666666666665</v>
          </cell>
          <cell r="W88">
            <v>87</v>
          </cell>
          <cell r="X88">
            <v>-299.26666666666665</v>
          </cell>
          <cell r="Y88">
            <v>389.93333333333328</v>
          </cell>
          <cell r="Z88">
            <v>0</v>
          </cell>
          <cell r="AA88">
            <v>1294</v>
          </cell>
          <cell r="AB88">
            <v>0</v>
          </cell>
          <cell r="AC88">
            <v>-389.93333333333328</v>
          </cell>
          <cell r="AD88">
            <v>132</v>
          </cell>
          <cell r="AE88">
            <v>39</v>
          </cell>
          <cell r="AF88">
            <v>93</v>
          </cell>
          <cell r="AG88">
            <v>44</v>
          </cell>
          <cell r="AH88">
            <v>15</v>
          </cell>
          <cell r="AI88">
            <v>29</v>
          </cell>
          <cell r="AJ88">
            <v>-88</v>
          </cell>
          <cell r="AP88">
            <v>923.93333333333328</v>
          </cell>
          <cell r="AQ88">
            <v>239.13333333333333</v>
          </cell>
          <cell r="AR88">
            <v>684.8</v>
          </cell>
          <cell r="AS88">
            <v>65</v>
          </cell>
          <cell r="AT88">
            <v>-858.93333333333328</v>
          </cell>
          <cell r="AU88">
            <v>176</v>
          </cell>
          <cell r="AV88">
            <v>153</v>
          </cell>
          <cell r="AW88">
            <v>63.133333333333326</v>
          </cell>
          <cell r="AX88">
            <v>531.79999999999995</v>
          </cell>
        </row>
        <row r="89">
          <cell r="C89">
            <v>32876.396999999997</v>
          </cell>
          <cell r="D89">
            <v>15922</v>
          </cell>
          <cell r="E89">
            <v>11547.397000000001</v>
          </cell>
          <cell r="N89">
            <v>17046.680727272731</v>
          </cell>
          <cell r="O89">
            <v>6622</v>
          </cell>
          <cell r="P89">
            <v>-10424.680727272731</v>
          </cell>
          <cell r="Q89">
            <v>119439.03057575758</v>
          </cell>
          <cell r="R89">
            <v>83057</v>
          </cell>
          <cell r="S89">
            <v>-36382.030575757584</v>
          </cell>
          <cell r="T89">
            <v>183635.88545454544</v>
          </cell>
          <cell r="U89">
            <v>112283.34756097561</v>
          </cell>
          <cell r="V89">
            <v>71352.537893569839</v>
          </cell>
          <cell r="W89">
            <v>101508</v>
          </cell>
          <cell r="X89">
            <v>-82127.885454545438</v>
          </cell>
          <cell r="Y89">
            <v>150934.04969696968</v>
          </cell>
          <cell r="Z89">
            <v>88569.750161952048</v>
          </cell>
          <cell r="AA89">
            <v>61974.366201684315</v>
          </cell>
          <cell r="AB89">
            <v>81399</v>
          </cell>
          <cell r="AC89">
            <v>-69535.049696969683</v>
          </cell>
          <cell r="AD89">
            <v>29743.383272727278</v>
          </cell>
          <cell r="AE89">
            <v>24207.194424242425</v>
          </cell>
          <cell r="AF89">
            <v>5536.1888484848496</v>
          </cell>
          <cell r="AG89">
            <v>9686</v>
          </cell>
          <cell r="AH89">
            <v>6496</v>
          </cell>
          <cell r="AI89">
            <v>2061</v>
          </cell>
          <cell r="AJ89">
            <v>-20057.383272727278</v>
          </cell>
          <cell r="AK89">
            <v>0</v>
          </cell>
          <cell r="AN89">
            <v>0</v>
          </cell>
          <cell r="AP89">
            <v>530533.48854545457</v>
          </cell>
          <cell r="AQ89" t="e">
            <v>#REF!</v>
          </cell>
          <cell r="AR89" t="e">
            <v>#REF!</v>
          </cell>
          <cell r="AS89">
            <v>278189</v>
          </cell>
          <cell r="AT89">
            <v>-252344.48854545457</v>
          </cell>
          <cell r="AU89">
            <v>200178.09772292766</v>
          </cell>
          <cell r="AV89">
            <v>219595</v>
          </cell>
          <cell r="AW89">
            <v>21566.09890909091</v>
          </cell>
          <cell r="AX89" t="e">
            <v>#REF!</v>
          </cell>
        </row>
        <row r="90">
          <cell r="C90">
            <v>16177.396999999997</v>
          </cell>
          <cell r="D90">
            <v>4630</v>
          </cell>
          <cell r="E90">
            <v>11547.397000000001</v>
          </cell>
          <cell r="N90">
            <v>17046.680727272731</v>
          </cell>
          <cell r="O90">
            <v>6622</v>
          </cell>
          <cell r="P90">
            <v>-10424.680727272731</v>
          </cell>
          <cell r="Q90">
            <v>48131.030575757584</v>
          </cell>
          <cell r="R90">
            <v>21655</v>
          </cell>
          <cell r="S90">
            <v>-26476.030575757584</v>
          </cell>
          <cell r="T90">
            <v>23237.885454545438</v>
          </cell>
          <cell r="U90">
            <v>13122</v>
          </cell>
          <cell r="V90">
            <v>10115.885454545452</v>
          </cell>
          <cell r="W90">
            <v>7876</v>
          </cell>
          <cell r="X90">
            <v>-15361.885454545438</v>
          </cell>
          <cell r="Y90">
            <v>16120.049696969683</v>
          </cell>
          <cell r="Z90">
            <v>8679</v>
          </cell>
          <cell r="AA90">
            <v>7051.1163636363635</v>
          </cell>
          <cell r="AB90">
            <v>5098</v>
          </cell>
          <cell r="AC90">
            <v>-11022.049696969683</v>
          </cell>
          <cell r="AD90">
            <v>29743.383272727278</v>
          </cell>
          <cell r="AE90">
            <v>24207.194424242425</v>
          </cell>
          <cell r="AF90">
            <v>5536.1888484848496</v>
          </cell>
          <cell r="AG90">
            <v>9686</v>
          </cell>
          <cell r="AH90">
            <v>6496</v>
          </cell>
          <cell r="AI90">
            <v>2061</v>
          </cell>
          <cell r="AJ90">
            <v>-20057.383272727278</v>
          </cell>
          <cell r="AN90">
            <v>0</v>
          </cell>
          <cell r="AP90">
            <v>147313.48854545457</v>
          </cell>
          <cell r="AQ90" t="e">
            <v>#REF!</v>
          </cell>
          <cell r="AR90" t="e">
            <v>#REF!</v>
          </cell>
          <cell r="AS90">
            <v>46854</v>
          </cell>
          <cell r="AT90">
            <v>-100459.48854545457</v>
          </cell>
          <cell r="AU90">
            <v>21126</v>
          </cell>
          <cell r="AV90">
            <v>32127</v>
          </cell>
          <cell r="AW90">
            <v>21565.09890909091</v>
          </cell>
          <cell r="AX90" t="e">
            <v>#REF!</v>
          </cell>
        </row>
        <row r="91">
          <cell r="C91">
            <v>1201.8969999999999</v>
          </cell>
          <cell r="D91">
            <v>310</v>
          </cell>
          <cell r="E91">
            <v>891.89699999999993</v>
          </cell>
          <cell r="N91">
            <v>4234.3327272727274</v>
          </cell>
          <cell r="O91">
            <v>1501</v>
          </cell>
          <cell r="P91">
            <v>-2733.3327272727274</v>
          </cell>
          <cell r="Q91">
            <v>9505.1209090909106</v>
          </cell>
          <cell r="R91">
            <v>3466</v>
          </cell>
          <cell r="S91">
            <v>-6039.1209090909106</v>
          </cell>
          <cell r="T91">
            <v>3657.8272727272729</v>
          </cell>
          <cell r="U91">
            <v>2012</v>
          </cell>
          <cell r="V91">
            <v>1645.8272727272729</v>
          </cell>
          <cell r="W91">
            <v>1353</v>
          </cell>
          <cell r="X91">
            <v>-2304.8272727272729</v>
          </cell>
          <cell r="Y91">
            <v>2966.1272727272726</v>
          </cell>
          <cell r="Z91">
            <v>1572</v>
          </cell>
          <cell r="AA91">
            <v>1394.1272727272726</v>
          </cell>
          <cell r="AB91">
            <v>1097</v>
          </cell>
          <cell r="AC91">
            <v>-1869.1272727272726</v>
          </cell>
          <cell r="AD91">
            <v>8413.5863636363647</v>
          </cell>
          <cell r="AE91">
            <v>7694.9363636363632</v>
          </cell>
          <cell r="AF91">
            <v>718.65000000000077</v>
          </cell>
          <cell r="AG91">
            <v>2881</v>
          </cell>
          <cell r="AH91">
            <v>1984</v>
          </cell>
          <cell r="AI91">
            <v>306</v>
          </cell>
          <cell r="AJ91">
            <v>-5532.5863636363647</v>
          </cell>
          <cell r="AN91">
            <v>0</v>
          </cell>
          <cell r="AP91">
            <v>30031.241545454548</v>
          </cell>
          <cell r="AQ91">
            <v>530686.48854545457</v>
          </cell>
          <cell r="AR91">
            <v>235268.19663201857</v>
          </cell>
          <cell r="AS91">
            <v>9401</v>
          </cell>
        </row>
        <row r="92">
          <cell r="C92">
            <v>-1273</v>
          </cell>
          <cell r="D92">
            <v>1012.3559999999998</v>
          </cell>
          <cell r="E92">
            <v>473.06800000000004</v>
          </cell>
          <cell r="N92">
            <v>4468.6499999999996</v>
          </cell>
          <cell r="O92">
            <v>777.1754385964914</v>
          </cell>
          <cell r="P92">
            <v>-4468.6499999999996</v>
          </cell>
          <cell r="Q92">
            <v>12039.093999999999</v>
          </cell>
          <cell r="R92">
            <v>796.42372881355914</v>
          </cell>
          <cell r="S92">
            <v>-12039.093999999999</v>
          </cell>
          <cell r="T92">
            <v>582.97</v>
          </cell>
          <cell r="U92">
            <v>14770.52597442759</v>
          </cell>
          <cell r="V92">
            <v>6456.6658245614017</v>
          </cell>
          <cell r="W92">
            <v>8313.8601498661901</v>
          </cell>
          <cell r="X92">
            <v>-582.97</v>
          </cell>
          <cell r="Y92">
            <v>1080.26</v>
          </cell>
          <cell r="Z92">
            <v>73006.860149866174</v>
          </cell>
          <cell r="AA92">
            <v>30183</v>
          </cell>
          <cell r="AB92">
            <v>432</v>
          </cell>
          <cell r="AC92">
            <v>-648.26</v>
          </cell>
          <cell r="AD92">
            <v>2673</v>
          </cell>
          <cell r="AE92">
            <v>932.45</v>
          </cell>
          <cell r="AF92">
            <v>1740.55</v>
          </cell>
          <cell r="AI92">
            <v>0</v>
          </cell>
          <cell r="AJ92" t="e">
            <v>#REF!</v>
          </cell>
          <cell r="AN92" t="e">
            <v>#REF!</v>
          </cell>
          <cell r="AO92">
            <v>1616</v>
          </cell>
          <cell r="AP92" t="e">
            <v>#REF!</v>
          </cell>
          <cell r="AS92">
            <v>2048</v>
          </cell>
        </row>
        <row r="93">
          <cell r="C93">
            <v>35</v>
          </cell>
          <cell r="D93">
            <v>54</v>
          </cell>
          <cell r="E93">
            <v>34</v>
          </cell>
          <cell r="N93">
            <v>3758.15</v>
          </cell>
          <cell r="O93">
            <v>87</v>
          </cell>
          <cell r="P93">
            <v>-3758.15</v>
          </cell>
          <cell r="Q93">
            <v>8235.8940000000002</v>
          </cell>
          <cell r="R93">
            <v>45.61671126969965</v>
          </cell>
          <cell r="S93">
            <v>-8235.8940000000002</v>
          </cell>
          <cell r="T93">
            <v>583.47</v>
          </cell>
          <cell r="U93">
            <v>1776.9967112696997</v>
          </cell>
          <cell r="V93">
            <v>906.38</v>
          </cell>
          <cell r="W93">
            <v>0</v>
          </cell>
          <cell r="X93">
            <v>-583.47</v>
          </cell>
          <cell r="Y93">
            <v>1080.76</v>
          </cell>
          <cell r="AB93">
            <v>432</v>
          </cell>
          <cell r="AC93">
            <v>-648.76</v>
          </cell>
          <cell r="AD93">
            <v>2673</v>
          </cell>
          <cell r="AE93">
            <v>932.45</v>
          </cell>
          <cell r="AF93">
            <v>1740.55</v>
          </cell>
          <cell r="AI93">
            <v>0</v>
          </cell>
          <cell r="AJ93">
            <v>-2673</v>
          </cell>
          <cell r="AN93" t="e">
            <v>#REF!</v>
          </cell>
          <cell r="AP93" t="e">
            <v>#REF!</v>
          </cell>
          <cell r="AS93">
            <v>432</v>
          </cell>
        </row>
        <row r="94">
          <cell r="C94">
            <v>950</v>
          </cell>
          <cell r="P94">
            <v>450</v>
          </cell>
          <cell r="S94">
            <v>153</v>
          </cell>
          <cell r="T94">
            <v>0</v>
          </cell>
          <cell r="U94">
            <v>3306</v>
          </cell>
        </row>
        <row r="95">
          <cell r="C95">
            <v>-1308</v>
          </cell>
          <cell r="N95">
            <v>710.5</v>
          </cell>
          <cell r="P95">
            <v>-710.5</v>
          </cell>
          <cell r="Q95">
            <v>3803.2</v>
          </cell>
          <cell r="R95">
            <v>0</v>
          </cell>
          <cell r="S95">
            <v>-3803.2</v>
          </cell>
          <cell r="T95">
            <v>0</v>
          </cell>
          <cell r="U95">
            <v>1754</v>
          </cell>
          <cell r="X95">
            <v>0</v>
          </cell>
          <cell r="Y95">
            <v>0</v>
          </cell>
          <cell r="AC95">
            <v>0</v>
          </cell>
          <cell r="AD95">
            <v>0.29999999999998295</v>
          </cell>
          <cell r="AE95">
            <v>0</v>
          </cell>
          <cell r="AF95">
            <v>0.29999999999998295</v>
          </cell>
          <cell r="AI95">
            <v>0</v>
          </cell>
          <cell r="AJ95">
            <v>-0.29999999999998295</v>
          </cell>
          <cell r="AN95" t="e">
            <v>#REF!</v>
          </cell>
          <cell r="AP95" t="e">
            <v>#REF!</v>
          </cell>
          <cell r="AS95">
            <v>0</v>
          </cell>
        </row>
        <row r="96">
          <cell r="C96">
            <v>0</v>
          </cell>
          <cell r="P96">
            <v>0</v>
          </cell>
          <cell r="S96">
            <v>0</v>
          </cell>
          <cell r="U96">
            <v>494</v>
          </cell>
          <cell r="X96">
            <v>0</v>
          </cell>
          <cell r="AC96">
            <v>0</v>
          </cell>
          <cell r="AF96">
            <v>0</v>
          </cell>
          <cell r="AI96">
            <v>0</v>
          </cell>
          <cell r="AJ96">
            <v>0</v>
          </cell>
          <cell r="AN96" t="e">
            <v>#REF!</v>
          </cell>
          <cell r="AP96" t="e">
            <v>#REF!</v>
          </cell>
          <cell r="AS96">
            <v>0</v>
          </cell>
        </row>
        <row r="97">
          <cell r="C97">
            <v>913</v>
          </cell>
          <cell r="P97">
            <v>0</v>
          </cell>
          <cell r="S97">
            <v>0</v>
          </cell>
          <cell r="U97">
            <v>913</v>
          </cell>
          <cell r="X97">
            <v>0</v>
          </cell>
          <cell r="AC97">
            <v>0</v>
          </cell>
          <cell r="AF97">
            <v>0</v>
          </cell>
          <cell r="AI97">
            <v>0</v>
          </cell>
          <cell r="AJ97">
            <v>0</v>
          </cell>
          <cell r="AN97" t="e">
            <v>#REF!</v>
          </cell>
          <cell r="AP97" t="e">
            <v>#REF!</v>
          </cell>
          <cell r="AS97">
            <v>0</v>
          </cell>
        </row>
        <row r="98">
          <cell r="P98">
            <v>0</v>
          </cell>
          <cell r="S98">
            <v>0</v>
          </cell>
          <cell r="U98">
            <v>0</v>
          </cell>
          <cell r="X98">
            <v>0</v>
          </cell>
          <cell r="AC98">
            <v>0</v>
          </cell>
          <cell r="AF98">
            <v>0</v>
          </cell>
          <cell r="AI98">
            <v>0</v>
          </cell>
          <cell r="AJ98">
            <v>0</v>
          </cell>
          <cell r="AN98" t="e">
            <v>#REF!</v>
          </cell>
          <cell r="AP98" t="e">
            <v>#REF!</v>
          </cell>
          <cell r="AS98">
            <v>0</v>
          </cell>
        </row>
        <row r="99">
          <cell r="P99">
            <v>0</v>
          </cell>
          <cell r="S99">
            <v>0</v>
          </cell>
          <cell r="U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U100">
            <v>1093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U101">
            <v>913</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U102">
            <v>50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U103">
            <v>130</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U104">
            <v>3922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U105">
            <v>261</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U106">
            <v>3661</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U107">
            <v>-38.052597442759001</v>
          </cell>
          <cell r="V107">
            <v>-38.052597442759001</v>
          </cell>
          <cell r="W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U108">
            <v>268</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U109">
            <v>0</v>
          </cell>
          <cell r="V109">
            <v>0</v>
          </cell>
          <cell r="W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U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U111">
            <v>1568.5</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U112">
            <v>53.583333333333336</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U114" t="e">
            <v>#REF!</v>
          </cell>
          <cell r="V114" t="e">
            <v>#REF!</v>
          </cell>
          <cell r="X114">
            <v>0</v>
          </cell>
          <cell r="AC114">
            <v>0</v>
          </cell>
          <cell r="AF114">
            <v>0</v>
          </cell>
          <cell r="AI114">
            <v>0</v>
          </cell>
          <cell r="AJ114">
            <v>0</v>
          </cell>
          <cell r="AP114">
            <v>0</v>
          </cell>
          <cell r="AS114">
            <v>0</v>
          </cell>
        </row>
        <row r="115">
          <cell r="C115">
            <v>10509</v>
          </cell>
          <cell r="P115">
            <v>0</v>
          </cell>
          <cell r="S115">
            <v>0</v>
          </cell>
          <cell r="U115" t="e">
            <v>#REF!</v>
          </cell>
          <cell r="X115">
            <v>0</v>
          </cell>
          <cell r="AC115">
            <v>0</v>
          </cell>
          <cell r="AF115">
            <v>0</v>
          </cell>
          <cell r="AI115">
            <v>0</v>
          </cell>
          <cell r="AJ115">
            <v>0</v>
          </cell>
          <cell r="AP115">
            <v>10509</v>
          </cell>
          <cell r="AS115">
            <v>0</v>
          </cell>
        </row>
        <row r="116">
          <cell r="C116">
            <v>0</v>
          </cell>
          <cell r="D116">
            <v>0</v>
          </cell>
          <cell r="E116">
            <v>0</v>
          </cell>
          <cell r="N116">
            <v>0</v>
          </cell>
          <cell r="O116">
            <v>0</v>
          </cell>
          <cell r="P116">
            <v>291.25</v>
          </cell>
          <cell r="Q116">
            <v>0</v>
          </cell>
          <cell r="R116">
            <v>0</v>
          </cell>
          <cell r="S116">
            <v>1077.625</v>
          </cell>
          <cell r="T116">
            <v>0</v>
          </cell>
          <cell r="U116">
            <v>7512.0307358905739</v>
          </cell>
          <cell r="V116" t="e">
            <v>#REF!</v>
          </cell>
          <cell r="AC116">
            <v>0</v>
          </cell>
          <cell r="AD116">
            <v>0</v>
          </cell>
          <cell r="AE116">
            <v>0</v>
          </cell>
          <cell r="AF116">
            <v>0</v>
          </cell>
        </row>
        <row r="117">
          <cell r="C117" t="e">
            <v>#REF!</v>
          </cell>
          <cell r="D117">
            <v>0</v>
          </cell>
          <cell r="E117">
            <v>0</v>
          </cell>
          <cell r="N117">
            <v>0</v>
          </cell>
          <cell r="O117">
            <v>0</v>
          </cell>
          <cell r="P117">
            <v>291.25</v>
          </cell>
          <cell r="S117">
            <v>1077.625</v>
          </cell>
          <cell r="T117">
            <v>0</v>
          </cell>
          <cell r="U117">
            <v>6599.0307358905739</v>
          </cell>
        </row>
        <row r="118">
          <cell r="U118" t="e">
            <v>#REF!</v>
          </cell>
        </row>
        <row r="119">
          <cell r="P119">
            <v>0</v>
          </cell>
          <cell r="S119">
            <v>0</v>
          </cell>
          <cell r="U119">
            <v>-230.79318209931299</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U120">
            <v>-380.52597442758997</v>
          </cell>
          <cell r="V120">
            <v>6725.3341754385983</v>
          </cell>
          <cell r="W120">
            <v>-7406.8601498661901</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710.9</v>
          </cell>
          <cell r="P122">
            <v>-710.9</v>
          </cell>
          <cell r="Q122">
            <v>4563.3339999999998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U125">
            <v>8678</v>
          </cell>
          <cell r="W125">
            <v>8678</v>
          </cell>
          <cell r="X125">
            <v>0</v>
          </cell>
          <cell r="AC125">
            <v>0</v>
          </cell>
          <cell r="AE125">
            <v>0</v>
          </cell>
          <cell r="AJ125">
            <v>0</v>
          </cell>
          <cell r="AP125" t="e">
            <v>#REF!</v>
          </cell>
          <cell r="AQ125" t="e">
            <v>#REF!</v>
          </cell>
          <cell r="AR125" t="e">
            <v>#REF!</v>
          </cell>
        </row>
        <row r="126">
          <cell r="P126">
            <v>0</v>
          </cell>
          <cell r="U126">
            <v>-7406.8601498661901</v>
          </cell>
          <cell r="X126">
            <v>0</v>
          </cell>
          <cell r="AC126">
            <v>0</v>
          </cell>
          <cell r="AJ126">
            <v>0</v>
          </cell>
        </row>
        <row r="127">
          <cell r="P127">
            <v>0</v>
          </cell>
          <cell r="U127">
            <v>30.45</v>
          </cell>
          <cell r="X127">
            <v>0</v>
          </cell>
          <cell r="AC127">
            <v>0</v>
          </cell>
          <cell r="AJ127">
            <v>0</v>
          </cell>
          <cell r="AP127" t="e">
            <v>#REF!</v>
          </cell>
          <cell r="AU127">
            <v>0</v>
          </cell>
        </row>
        <row r="128">
          <cell r="P128">
            <v>0</v>
          </cell>
          <cell r="U128">
            <v>56.44</v>
          </cell>
          <cell r="X128">
            <v>0</v>
          </cell>
          <cell r="AC128">
            <v>0</v>
          </cell>
          <cell r="AJ128">
            <v>0</v>
          </cell>
        </row>
        <row r="129">
          <cell r="P129">
            <v>0</v>
          </cell>
          <cell r="U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U131">
            <v>8.49</v>
          </cell>
          <cell r="X131">
            <v>0</v>
          </cell>
          <cell r="AC131">
            <v>0</v>
          </cell>
          <cell r="AJ131">
            <v>0</v>
          </cell>
          <cell r="AP131" t="e">
            <v>#REF!</v>
          </cell>
          <cell r="AU131">
            <v>0</v>
          </cell>
        </row>
        <row r="132">
          <cell r="P132">
            <v>0</v>
          </cell>
          <cell r="U132">
            <v>0</v>
          </cell>
          <cell r="X132">
            <v>0</v>
          </cell>
          <cell r="AC132">
            <v>0</v>
          </cell>
          <cell r="AJ132">
            <v>0</v>
          </cell>
          <cell r="AP132" t="e">
            <v>#REF!</v>
          </cell>
          <cell r="AU132" t="e">
            <v>#DIV/0!</v>
          </cell>
        </row>
        <row r="133">
          <cell r="P133">
            <v>0</v>
          </cell>
          <cell r="T133">
            <v>0</v>
          </cell>
          <cell r="U133">
            <v>6.57</v>
          </cell>
          <cell r="X133">
            <v>0</v>
          </cell>
          <cell r="AC133">
            <v>0</v>
          </cell>
          <cell r="AJ133">
            <v>0</v>
          </cell>
          <cell r="AP133" t="e">
            <v>#REF!</v>
          </cell>
          <cell r="AU133" t="e">
            <v>#DIV/0!</v>
          </cell>
        </row>
        <row r="134">
          <cell r="P134">
            <v>0</v>
          </cell>
          <cell r="U134">
            <v>29726</v>
          </cell>
          <cell r="V134">
            <v>29726</v>
          </cell>
          <cell r="X134">
            <v>0</v>
          </cell>
          <cell r="AC134">
            <v>0</v>
          </cell>
          <cell r="AJ134">
            <v>0</v>
          </cell>
          <cell r="AP134">
            <v>0</v>
          </cell>
          <cell r="AU134">
            <v>0</v>
          </cell>
        </row>
        <row r="135">
          <cell r="P135">
            <v>0</v>
          </cell>
          <cell r="X135">
            <v>0</v>
          </cell>
          <cell r="AC135">
            <v>0</v>
          </cell>
          <cell r="AJ135">
            <v>0</v>
          </cell>
        </row>
        <row r="136">
          <cell r="P136">
            <v>0</v>
          </cell>
          <cell r="T136">
            <v>300</v>
          </cell>
          <cell r="U136">
            <v>300</v>
          </cell>
          <cell r="X136">
            <v>0</v>
          </cell>
          <cell r="AC136">
            <v>0</v>
          </cell>
          <cell r="AJ136">
            <v>0</v>
          </cell>
          <cell r="AP136">
            <v>36.19</v>
          </cell>
          <cell r="AU136" t="e">
            <v>#DIV/0!</v>
          </cell>
        </row>
        <row r="137">
          <cell r="P137">
            <v>0</v>
          </cell>
          <cell r="U137">
            <v>1</v>
          </cell>
          <cell r="X137">
            <v>0</v>
          </cell>
          <cell r="AC137">
            <v>0</v>
          </cell>
          <cell r="AJ137">
            <v>0</v>
          </cell>
        </row>
        <row r="138">
          <cell r="P138">
            <v>0</v>
          </cell>
          <cell r="X138">
            <v>0</v>
          </cell>
          <cell r="AC138">
            <v>0</v>
          </cell>
          <cell r="AJ138">
            <v>0</v>
          </cell>
          <cell r="AN138">
            <v>0</v>
          </cell>
          <cell r="AP138" t="e">
            <v>#REF!</v>
          </cell>
          <cell r="AU138" t="e">
            <v>#DIV/0!</v>
          </cell>
        </row>
        <row r="139">
          <cell r="P139">
            <v>0</v>
          </cell>
          <cell r="T139">
            <v>0</v>
          </cell>
          <cell r="U139">
            <v>38404</v>
          </cell>
          <cell r="V139">
            <v>29726</v>
          </cell>
          <cell r="W139">
            <v>8678</v>
          </cell>
          <cell r="X139">
            <v>0</v>
          </cell>
          <cell r="AC139">
            <v>0</v>
          </cell>
          <cell r="AJ139">
            <v>0</v>
          </cell>
          <cell r="AP139">
            <v>180931</v>
          </cell>
          <cell r="AQ139">
            <v>180931</v>
          </cell>
        </row>
        <row r="140">
          <cell r="C140" t="str">
            <v>коп/кВтг</v>
          </cell>
          <cell r="P140">
            <v>0</v>
          </cell>
          <cell r="U140">
            <v>0</v>
          </cell>
          <cell r="V140">
            <v>0</v>
          </cell>
          <cell r="X140">
            <v>0</v>
          </cell>
          <cell r="AC140">
            <v>0</v>
          </cell>
          <cell r="AJ140">
            <v>0</v>
          </cell>
        </row>
        <row r="141">
          <cell r="P141">
            <v>0</v>
          </cell>
          <cell r="U141">
            <v>38404</v>
          </cell>
          <cell r="V141">
            <v>29726</v>
          </cell>
          <cell r="W141">
            <v>8678</v>
          </cell>
          <cell r="X141">
            <v>0</v>
          </cell>
          <cell r="AC141">
            <v>0</v>
          </cell>
          <cell r="AJ141">
            <v>0</v>
          </cell>
          <cell r="AN141">
            <v>0</v>
          </cell>
          <cell r="AP141">
            <v>0</v>
          </cell>
        </row>
        <row r="142">
          <cell r="P142">
            <v>0</v>
          </cell>
          <cell r="Q142">
            <v>0</v>
          </cell>
          <cell r="X142">
            <v>0</v>
          </cell>
          <cell r="AC142">
            <v>0</v>
          </cell>
          <cell r="AD142">
            <v>2918</v>
          </cell>
          <cell r="AE142">
            <v>3056.6658245614035</v>
          </cell>
          <cell r="AF142">
            <v>5197.8601498661919</v>
          </cell>
          <cell r="AJ142">
            <v>0</v>
          </cell>
          <cell r="AP142">
            <v>2601</v>
          </cell>
        </row>
        <row r="143">
          <cell r="P143">
            <v>0</v>
          </cell>
          <cell r="U143">
            <v>-1</v>
          </cell>
          <cell r="V143">
            <v>29.2</v>
          </cell>
          <cell r="W143">
            <v>-46</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C145">
            <v>0</v>
          </cell>
          <cell r="P145">
            <v>0</v>
          </cell>
          <cell r="S145">
            <v>0</v>
          </cell>
          <cell r="U145">
            <v>0</v>
          </cell>
          <cell r="X145">
            <v>0</v>
          </cell>
          <cell r="AC145">
            <v>0</v>
          </cell>
          <cell r="AJ145">
            <v>0</v>
          </cell>
          <cell r="AP145" t="e">
            <v>#REF!</v>
          </cell>
          <cell r="AQ145">
            <v>180931</v>
          </cell>
          <cell r="AR145" t="e">
            <v>#REF!</v>
          </cell>
        </row>
        <row r="146">
          <cell r="C146">
            <v>80</v>
          </cell>
          <cell r="P146">
            <v>0</v>
          </cell>
          <cell r="U146">
            <v>4402</v>
          </cell>
          <cell r="X146">
            <v>0</v>
          </cell>
          <cell r="AC146">
            <v>0</v>
          </cell>
          <cell r="AJ146">
            <v>0</v>
          </cell>
          <cell r="AU146">
            <v>21126</v>
          </cell>
          <cell r="AV146">
            <v>32127</v>
          </cell>
          <cell r="AW146">
            <v>21565.09890909091</v>
          </cell>
          <cell r="AX146" t="e">
            <v>#REF!</v>
          </cell>
        </row>
        <row r="147">
          <cell r="C147">
            <v>80</v>
          </cell>
          <cell r="P147">
            <v>0</v>
          </cell>
          <cell r="U147">
            <v>2921</v>
          </cell>
          <cell r="X147">
            <v>0</v>
          </cell>
          <cell r="AC147">
            <v>0</v>
          </cell>
          <cell r="AJ147">
            <v>0</v>
          </cell>
          <cell r="AP147" t="e">
            <v>#REF!</v>
          </cell>
          <cell r="AQ147" t="e">
            <v>#REF!</v>
          </cell>
          <cell r="AR147" t="e">
            <v>#REF!</v>
          </cell>
        </row>
        <row r="148">
          <cell r="P148">
            <v>0</v>
          </cell>
          <cell r="U148">
            <v>0</v>
          </cell>
          <cell r="X148">
            <v>0</v>
          </cell>
          <cell r="AC148">
            <v>0</v>
          </cell>
          <cell r="AJ148">
            <v>0</v>
          </cell>
        </row>
        <row r="149">
          <cell r="C149">
            <v>0</v>
          </cell>
          <cell r="N149">
            <v>0</v>
          </cell>
          <cell r="P149">
            <v>0</v>
          </cell>
          <cell r="Q149">
            <v>0</v>
          </cell>
          <cell r="T149">
            <v>0</v>
          </cell>
          <cell r="U149">
            <v>0</v>
          </cell>
          <cell r="X149">
            <v>0</v>
          </cell>
          <cell r="Y149">
            <v>0</v>
          </cell>
          <cell r="AC149">
            <v>0</v>
          </cell>
          <cell r="AJ149">
            <v>0</v>
          </cell>
          <cell r="AN149">
            <v>0</v>
          </cell>
        </row>
        <row r="150">
          <cell r="P150">
            <v>0</v>
          </cell>
          <cell r="U150">
            <v>317</v>
          </cell>
        </row>
        <row r="151">
          <cell r="C151">
            <v>916.24199999999996</v>
          </cell>
          <cell r="N151">
            <v>1295.5</v>
          </cell>
          <cell r="P151">
            <v>-1295.5</v>
          </cell>
          <cell r="Q151">
            <v>2567.7454545454548</v>
          </cell>
          <cell r="S151">
            <v>-2567.7454545454548</v>
          </cell>
          <cell r="T151">
            <v>1558.3090909090909</v>
          </cell>
          <cell r="U151">
            <v>1774.0124999999998</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cell r="U152">
            <v>0</v>
          </cell>
        </row>
        <row r="153">
          <cell r="C153">
            <v>80</v>
          </cell>
          <cell r="N153">
            <v>720.33333333333326</v>
          </cell>
          <cell r="O153">
            <v>272</v>
          </cell>
          <cell r="P153">
            <v>-448.33333333333326</v>
          </cell>
          <cell r="Q153">
            <v>3670.545454545455</v>
          </cell>
          <cell r="R153">
            <v>1487</v>
          </cell>
          <cell r="S153">
            <v>-2183.545454545455</v>
          </cell>
          <cell r="T153">
            <v>2210.090909090909</v>
          </cell>
          <cell r="U153">
            <v>1268</v>
          </cell>
          <cell r="V153">
            <v>942.09090909090901</v>
          </cell>
          <cell r="W153">
            <v>831</v>
          </cell>
          <cell r="X153">
            <v>-1379.090909090909</v>
          </cell>
          <cell r="Y153">
            <v>1432.090909090909</v>
          </cell>
          <cell r="Z153">
            <v>763</v>
          </cell>
          <cell r="AA153">
            <v>669.09090909090901</v>
          </cell>
          <cell r="AB153">
            <v>596</v>
          </cell>
          <cell r="AC153">
            <v>-836.09090909090901</v>
          </cell>
          <cell r="AD153">
            <v>1429.2727272727273</v>
          </cell>
          <cell r="AE153">
            <v>1429.090909090909</v>
          </cell>
          <cell r="AF153">
            <v>0.18181818181824383</v>
          </cell>
          <cell r="AG153">
            <v>437</v>
          </cell>
          <cell r="AH153">
            <v>265</v>
          </cell>
          <cell r="AI153">
            <v>0</v>
          </cell>
          <cell r="AJ153">
            <v>-992.27272727272725</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U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U156">
            <v>-578</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U157">
            <v>0</v>
          </cell>
          <cell r="X157">
            <v>-105</v>
          </cell>
          <cell r="Y157">
            <v>190</v>
          </cell>
          <cell r="AC157">
            <v>-190</v>
          </cell>
          <cell r="AJ157">
            <v>0</v>
          </cell>
          <cell r="AP157" t="e">
            <v>#REF!</v>
          </cell>
        </row>
        <row r="158">
          <cell r="C158" t="e">
            <v>#REF!</v>
          </cell>
          <cell r="N158">
            <v>1248.5</v>
          </cell>
          <cell r="O158">
            <v>0</v>
          </cell>
          <cell r="P158">
            <v>-1248.5</v>
          </cell>
          <cell r="Q158">
            <v>140</v>
          </cell>
          <cell r="S158">
            <v>-140</v>
          </cell>
          <cell r="T158" t="str">
            <v xml:space="preserve">                   КОРИГУВАННЯ   ПЛАНУ   НА   СЕРПЕНЬ  1998 р</v>
          </cell>
          <cell r="U158">
            <v>4643</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C160">
            <v>57</v>
          </cell>
          <cell r="N160">
            <v>0</v>
          </cell>
          <cell r="O160">
            <v>250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4468.6499999999996</v>
          </cell>
          <cell r="O162">
            <v>0</v>
          </cell>
          <cell r="P162">
            <v>-4468.6499999999996</v>
          </cell>
          <cell r="Q162">
            <v>1739.5839999999998</v>
          </cell>
          <cell r="R162">
            <v>800</v>
          </cell>
          <cell r="S162">
            <v>-939.58399999999983</v>
          </cell>
          <cell r="T162">
            <v>582.97</v>
          </cell>
          <cell r="U162">
            <v>0</v>
          </cell>
          <cell r="V162">
            <v>0</v>
          </cell>
          <cell r="W162">
            <v>0</v>
          </cell>
          <cell r="X162">
            <v>-582.97</v>
          </cell>
          <cell r="Y162">
            <v>1080.26</v>
          </cell>
          <cell r="Z162">
            <v>0</v>
          </cell>
          <cell r="AA162">
            <v>0</v>
          </cell>
          <cell r="AB162">
            <v>432</v>
          </cell>
          <cell r="AC162">
            <v>-648.26</v>
          </cell>
          <cell r="AD162" t="e">
            <v>#REF!</v>
          </cell>
          <cell r="AE162">
            <v>2673</v>
          </cell>
          <cell r="AF162">
            <v>1740.55</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5904.3327272727274</v>
          </cell>
          <cell r="O164">
            <v>2062</v>
          </cell>
          <cell r="P164">
            <v>-3842.3327272727274</v>
          </cell>
          <cell r="Q164">
            <v>13067.120909090911</v>
          </cell>
          <cell r="R164">
            <v>5523</v>
          </cell>
          <cell r="S164">
            <v>-7544.1209090909106</v>
          </cell>
          <cell r="T164">
            <v>5028.8272727272724</v>
          </cell>
          <cell r="U164">
            <v>2766</v>
          </cell>
          <cell r="V164">
            <v>2262.8272727272729</v>
          </cell>
          <cell r="W164">
            <v>2210</v>
          </cell>
          <cell r="X164">
            <v>-2818.8272727272724</v>
          </cell>
          <cell r="Y164">
            <v>4079.1272727272726</v>
          </cell>
          <cell r="Z164">
            <v>2165</v>
          </cell>
          <cell r="AA164">
            <v>1914.1272727272726</v>
          </cell>
          <cell r="AB164">
            <v>1749</v>
          </cell>
          <cell r="AC164">
            <v>-2330.1272727272726</v>
          </cell>
          <cell r="AD164">
            <v>11569.586363636365</v>
          </cell>
          <cell r="AE164">
            <v>10579.936363636363</v>
          </cell>
          <cell r="AF164">
            <v>989.65000000000077</v>
          </cell>
          <cell r="AG164">
            <v>4464</v>
          </cell>
          <cell r="AH164">
            <v>3202</v>
          </cell>
          <cell r="AI164">
            <v>427</v>
          </cell>
          <cell r="AJ164">
            <v>-7105.5863636363647</v>
          </cell>
          <cell r="AK164">
            <v>0</v>
          </cell>
          <cell r="AL164">
            <v>0</v>
          </cell>
          <cell r="AM164">
            <v>0</v>
          </cell>
          <cell r="AN164" t="e">
            <v>#REF!</v>
          </cell>
          <cell r="AO164">
            <v>0</v>
          </cell>
          <cell r="AP164" t="e">
            <v>#REF!</v>
          </cell>
          <cell r="AS164">
            <v>13703</v>
          </cell>
        </row>
        <row r="165">
          <cell r="C165">
            <v>62</v>
          </cell>
          <cell r="D165" t="str">
            <v>АПАРАТ ЕЛЕКТРО</v>
          </cell>
          <cell r="E165" t="str">
            <v>АПАРАТ ТЕПЛО</v>
          </cell>
          <cell r="N165">
            <v>120.13333333333333</v>
          </cell>
          <cell r="O165">
            <v>51</v>
          </cell>
          <cell r="P165">
            <v>-69.133333333333326</v>
          </cell>
          <cell r="Q165">
            <v>220.39999999999998</v>
          </cell>
          <cell r="R165">
            <v>62</v>
          </cell>
          <cell r="S165">
            <v>-158.39999999999998</v>
          </cell>
          <cell r="T165">
            <v>5406.8666666666668</v>
          </cell>
          <cell r="U165">
            <v>2904</v>
          </cell>
          <cell r="V165">
            <v>2502.8666666666668</v>
          </cell>
          <cell r="W165">
            <v>2464</v>
          </cell>
          <cell r="X165">
            <v>-2942.8666666666668</v>
          </cell>
          <cell r="Y165">
            <v>481.46666666666658</v>
          </cell>
          <cell r="Z165">
            <v>49</v>
          </cell>
          <cell r="AA165">
            <v>42.533333333333331</v>
          </cell>
          <cell r="AB165">
            <v>27</v>
          </cell>
          <cell r="AC165">
            <v>-454.46666666666658</v>
          </cell>
          <cell r="AD165">
            <v>135</v>
          </cell>
          <cell r="AE165">
            <v>41</v>
          </cell>
          <cell r="AF165">
            <v>94</v>
          </cell>
          <cell r="AG165">
            <v>44</v>
          </cell>
          <cell r="AH165">
            <v>15</v>
          </cell>
          <cell r="AI165">
            <v>29</v>
          </cell>
          <cell r="AJ165">
            <v>-91</v>
          </cell>
          <cell r="AK165">
            <v>0</v>
          </cell>
          <cell r="AL165">
            <v>0</v>
          </cell>
          <cell r="AM165">
            <v>0</v>
          </cell>
          <cell r="AN165">
            <v>19</v>
          </cell>
          <cell r="AO165">
            <v>0</v>
          </cell>
          <cell r="AP165">
            <v>6255.8666666666677</v>
          </cell>
          <cell r="AS165">
            <v>2610</v>
          </cell>
        </row>
        <row r="166">
          <cell r="C166">
            <v>11069.257999999996</v>
          </cell>
          <cell r="N166">
            <v>6809.2400000000071</v>
          </cell>
          <cell r="O166">
            <v>2.1435</v>
          </cell>
          <cell r="P166">
            <v>2.1435</v>
          </cell>
          <cell r="Q166">
            <v>39038.189666666673</v>
          </cell>
          <cell r="R166">
            <v>2.1435</v>
          </cell>
          <cell r="S166">
            <v>2.1435</v>
          </cell>
          <cell r="T166">
            <v>9187.6373333333177</v>
          </cell>
          <cell r="U166">
            <v>2.1435</v>
          </cell>
          <cell r="Y166">
            <v>7332.1266666666525</v>
          </cell>
          <cell r="AC166">
            <v>2.1804999999999999</v>
          </cell>
          <cell r="AD166">
            <v>2.1804999999999999</v>
          </cell>
          <cell r="AE166">
            <v>-13656.893090909089</v>
          </cell>
          <cell r="AF166">
            <v>1.905</v>
          </cell>
          <cell r="AG166">
            <v>2466</v>
          </cell>
          <cell r="AH166">
            <v>2561</v>
          </cell>
          <cell r="AN166" t="e">
            <v>#REF!</v>
          </cell>
          <cell r="AP166" t="e">
            <v>#REF!</v>
          </cell>
        </row>
        <row r="167">
          <cell r="C167" t="e">
            <v>#REF!</v>
          </cell>
          <cell r="N167">
            <v>3758.15</v>
          </cell>
        </row>
        <row r="168">
          <cell r="C168" t="e">
            <v>#REF!</v>
          </cell>
          <cell r="P168">
            <v>17.39</v>
          </cell>
          <cell r="U168">
            <v>44.3</v>
          </cell>
          <cell r="AC168">
            <v>221.49122807017542</v>
          </cell>
        </row>
        <row r="169">
          <cell r="C169" t="e">
            <v>#REF!</v>
          </cell>
          <cell r="P169">
            <v>19.82</v>
          </cell>
          <cell r="U169">
            <v>50.49</v>
          </cell>
          <cell r="AC169">
            <v>252.49999999999997</v>
          </cell>
        </row>
        <row r="170">
          <cell r="P170">
            <v>82.5</v>
          </cell>
          <cell r="S170">
            <v>82.5</v>
          </cell>
          <cell r="T170">
            <v>82.5</v>
          </cell>
          <cell r="U170">
            <v>82.5</v>
          </cell>
          <cell r="AC170">
            <v>66</v>
          </cell>
          <cell r="AV170">
            <v>1507.2</v>
          </cell>
        </row>
        <row r="171">
          <cell r="P171">
            <v>176.84</v>
          </cell>
          <cell r="U171">
            <v>176.84</v>
          </cell>
          <cell r="AC171">
            <v>143.91299999999998</v>
          </cell>
        </row>
        <row r="172">
          <cell r="P172">
            <v>3075</v>
          </cell>
          <cell r="U172">
            <v>7834</v>
          </cell>
          <cell r="AC172">
            <v>31875</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P174">
            <v>31.61</v>
          </cell>
          <cell r="Q174">
            <v>1.895</v>
          </cell>
          <cell r="U174">
            <v>1.895</v>
          </cell>
          <cell r="V174">
            <v>1.895</v>
          </cell>
          <cell r="Y174">
            <v>1.895</v>
          </cell>
          <cell r="Z174">
            <v>1.895</v>
          </cell>
          <cell r="AA174">
            <v>1.895</v>
          </cell>
          <cell r="AN174">
            <v>1.895</v>
          </cell>
          <cell r="AP174">
            <v>1.895</v>
          </cell>
          <cell r="AQ174">
            <v>1.895</v>
          </cell>
          <cell r="AU174">
            <v>1.905</v>
          </cell>
          <cell r="AV174">
            <v>1.895</v>
          </cell>
        </row>
        <row r="175">
          <cell r="P175">
            <v>36</v>
          </cell>
          <cell r="U175">
            <v>91.91</v>
          </cell>
        </row>
        <row r="176">
          <cell r="P176">
            <v>63.33</v>
          </cell>
          <cell r="Q176">
            <v>132.19999999999999</v>
          </cell>
          <cell r="U176">
            <v>63.33</v>
          </cell>
          <cell r="Y176">
            <v>68.7</v>
          </cell>
          <cell r="AP176">
            <v>200.89999999999998</v>
          </cell>
          <cell r="AU176">
            <v>251.12700000000001</v>
          </cell>
        </row>
        <row r="177">
          <cell r="P177">
            <v>135.75</v>
          </cell>
          <cell r="Q177">
            <v>150.5</v>
          </cell>
          <cell r="U177">
            <v>150.5</v>
          </cell>
          <cell r="Y177">
            <v>78.3</v>
          </cell>
          <cell r="AP177">
            <v>228.8</v>
          </cell>
          <cell r="AU177">
            <v>288.28500000000003</v>
          </cell>
        </row>
        <row r="178">
          <cell r="N178">
            <v>0</v>
          </cell>
          <cell r="P178">
            <v>4291</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P180">
            <v>4.2</v>
          </cell>
          <cell r="Q180">
            <v>20668</v>
          </cell>
          <cell r="U180">
            <v>0</v>
          </cell>
          <cell r="Y180">
            <v>10741</v>
          </cell>
          <cell r="AC180">
            <v>75.839416058394164</v>
          </cell>
          <cell r="AP180">
            <v>31409</v>
          </cell>
          <cell r="AU180">
            <v>31574</v>
          </cell>
        </row>
        <row r="181">
          <cell r="P181">
            <v>5.8</v>
          </cell>
          <cell r="U181">
            <v>11.7</v>
          </cell>
          <cell r="AC181">
            <v>103.9</v>
          </cell>
          <cell r="AP181">
            <v>31409</v>
          </cell>
          <cell r="AU181" t="e">
            <v>#REF!</v>
          </cell>
        </row>
        <row r="182">
          <cell r="C182">
            <v>75</v>
          </cell>
          <cell r="P182">
            <v>100.5</v>
          </cell>
          <cell r="Q182">
            <v>0</v>
          </cell>
          <cell r="T182">
            <v>0</v>
          </cell>
          <cell r="U182">
            <v>0</v>
          </cell>
          <cell r="Y182">
            <v>52.1</v>
          </cell>
          <cell r="AC182">
            <v>89.557440953909662</v>
          </cell>
          <cell r="AF182">
            <v>75</v>
          </cell>
          <cell r="AP182">
            <v>52.1</v>
          </cell>
          <cell r="AU182">
            <v>67.933000000000007</v>
          </cell>
        </row>
        <row r="183">
          <cell r="P183">
            <v>215.42175</v>
          </cell>
          <cell r="Q183">
            <v>0</v>
          </cell>
          <cell r="U183">
            <v>0</v>
          </cell>
          <cell r="Y183">
            <v>71.3</v>
          </cell>
          <cell r="AC183">
            <v>195.28</v>
          </cell>
          <cell r="AP183">
            <v>71.3</v>
          </cell>
          <cell r="AU183">
            <v>91.201999999999998</v>
          </cell>
        </row>
        <row r="184">
          <cell r="C184">
            <v>75</v>
          </cell>
          <cell r="N184">
            <v>75</v>
          </cell>
          <cell r="P184">
            <v>905</v>
          </cell>
          <cell r="U184">
            <v>1831</v>
          </cell>
          <cell r="AC184">
            <v>14810</v>
          </cell>
          <cell r="AN184">
            <v>0</v>
          </cell>
          <cell r="AP184">
            <v>98.96042216358839</v>
          </cell>
          <cell r="AU184">
            <v>98.96042216358839</v>
          </cell>
        </row>
        <row r="185">
          <cell r="Q185">
            <v>187.53</v>
          </cell>
          <cell r="U185">
            <v>0</v>
          </cell>
          <cell r="Y185">
            <v>187.53</v>
          </cell>
          <cell r="AP185">
            <v>187.53</v>
          </cell>
          <cell r="AU185">
            <v>187.53</v>
          </cell>
        </row>
        <row r="186">
          <cell r="N186">
            <v>55.82</v>
          </cell>
          <cell r="O186">
            <v>24.309999999999995</v>
          </cell>
          <cell r="P186">
            <v>61.620000000000005</v>
          </cell>
          <cell r="Q186">
            <v>0</v>
          </cell>
          <cell r="R186">
            <v>22.140000000000008</v>
          </cell>
          <cell r="T186">
            <v>0</v>
          </cell>
          <cell r="U186">
            <v>154.1</v>
          </cell>
          <cell r="V186">
            <v>95.3</v>
          </cell>
          <cell r="W186">
            <v>58.8</v>
          </cell>
          <cell r="Y186">
            <v>9770</v>
          </cell>
          <cell r="AC186">
            <v>356.4</v>
          </cell>
          <cell r="AD186">
            <v>74.900000000000006</v>
          </cell>
          <cell r="AE186">
            <v>281.5</v>
          </cell>
          <cell r="AP186">
            <v>9770</v>
          </cell>
          <cell r="AU186">
            <v>12739</v>
          </cell>
        </row>
        <row r="187">
          <cell r="N187">
            <v>7550</v>
          </cell>
          <cell r="O187">
            <v>3288</v>
          </cell>
          <cell r="P187">
            <v>8271</v>
          </cell>
          <cell r="Q187">
            <v>5299</v>
          </cell>
          <cell r="R187">
            <v>2972</v>
          </cell>
          <cell r="U187">
            <v>20620</v>
          </cell>
          <cell r="V187">
            <v>12849</v>
          </cell>
          <cell r="W187">
            <v>7771</v>
          </cell>
          <cell r="AC187">
            <v>46685</v>
          </cell>
          <cell r="AD187">
            <v>9811.1854657688</v>
          </cell>
          <cell r="AE187">
            <v>36873.814534231198</v>
          </cell>
          <cell r="AP187">
            <v>9770</v>
          </cell>
          <cell r="AU187" t="e">
            <v>#REF!</v>
          </cell>
        </row>
        <row r="188">
          <cell r="N188">
            <v>135.26</v>
          </cell>
          <cell r="O188">
            <v>135.25</v>
          </cell>
          <cell r="P188">
            <v>134.22999999999999</v>
          </cell>
          <cell r="Q188">
            <v>150.5</v>
          </cell>
          <cell r="R188">
            <v>134.24</v>
          </cell>
          <cell r="S188" t="str">
            <v/>
          </cell>
          <cell r="T188">
            <v>0</v>
          </cell>
          <cell r="U188">
            <v>51.4</v>
          </cell>
          <cell r="V188">
            <v>-51.4</v>
          </cell>
          <cell r="W188">
            <v>132.16</v>
          </cell>
          <cell r="Y188">
            <v>149.6</v>
          </cell>
          <cell r="Z188">
            <v>52.7</v>
          </cell>
          <cell r="AA188">
            <v>96.899999999999991</v>
          </cell>
          <cell r="AC188">
            <v>130.99</v>
          </cell>
          <cell r="AD188">
            <v>130.99</v>
          </cell>
          <cell r="AE188">
            <v>130.99</v>
          </cell>
          <cell r="AF188" t="str">
            <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W189">
            <v>0</v>
          </cell>
          <cell r="Y189">
            <v>20511</v>
          </cell>
          <cell r="Z189">
            <v>7225</v>
          </cell>
          <cell r="AA189">
            <v>13286</v>
          </cell>
          <cell r="AC189">
            <v>52</v>
          </cell>
          <cell r="AD189">
            <v>52</v>
          </cell>
          <cell r="AP189" t="e">
            <v>#DIV/0!</v>
          </cell>
          <cell r="AQ189" t="e">
            <v>#DIV/0!</v>
          </cell>
          <cell r="AR189" t="e">
            <v>#DIV/0!</v>
          </cell>
          <cell r="AU189">
            <v>44313</v>
          </cell>
          <cell r="AV189">
            <v>9770.9133329995493</v>
          </cell>
          <cell r="AW189">
            <v>34542.086667000447</v>
          </cell>
        </row>
        <row r="190">
          <cell r="P190">
            <v>8271</v>
          </cell>
          <cell r="Q190">
            <v>137.33000000000001</v>
          </cell>
          <cell r="T190" t="e">
            <v>#DIV/0!</v>
          </cell>
          <cell r="U190" t="e">
            <v>#DIV/0!</v>
          </cell>
          <cell r="V190" t="e">
            <v>#DIV/0!</v>
          </cell>
          <cell r="W190">
            <v>7771</v>
          </cell>
          <cell r="Y190">
            <v>137.11000000000001</v>
          </cell>
          <cell r="Z190">
            <v>137.1</v>
          </cell>
          <cell r="AA190">
            <v>137.11000000000001</v>
          </cell>
          <cell r="AC190">
            <v>46737</v>
          </cell>
          <cell r="AD190">
            <v>9863.1854657688</v>
          </cell>
          <cell r="AE190">
            <v>36873.814534231198</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4">
          <cell r="X194">
            <v>4948.1398501338099</v>
          </cell>
          <cell r="Z194">
            <v>4948.1398501338263</v>
          </cell>
          <cell r="AB194">
            <v>4948.1398501337389</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N218" t="str">
            <v xml:space="preserve">      І.В.ПЛАЧКОВ</v>
          </cell>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5">
          <cell r="C225" t="str">
            <v>ПОТРЕБА   В КОШТАХ НА  вересень 1998 року</v>
          </cell>
        </row>
        <row r="226">
          <cell r="C226" t="str">
            <v>ПО ФІЛІАЛАХ АК КИЇВЕНЕРГО</v>
          </cell>
        </row>
        <row r="227">
          <cell r="C227" t="e">
            <v>#REF!</v>
          </cell>
          <cell r="N227" t="e">
            <v>#REF!</v>
          </cell>
          <cell r="Q227">
            <v>48907.030575757584</v>
          </cell>
          <cell r="T227">
            <v>23237.121454545439</v>
          </cell>
          <cell r="Y227" t="e">
            <v>#REF!</v>
          </cell>
          <cell r="AN227" t="e">
            <v>#REF!</v>
          </cell>
          <cell r="AP227" t="e">
            <v>#REF!</v>
          </cell>
          <cell r="AQ227" t="e">
            <v>#REF!</v>
          </cell>
        </row>
        <row r="228">
          <cell r="C228" t="e">
            <v>#REF!</v>
          </cell>
          <cell r="N228" t="e">
            <v>#REF!</v>
          </cell>
          <cell r="Q228">
            <v>19259.066999999999</v>
          </cell>
          <cell r="T228">
            <v>11682.61618181817</v>
          </cell>
          <cell r="Y228" t="e">
            <v>#REF!</v>
          </cell>
          <cell r="AP228" t="e">
            <v>#REF!</v>
          </cell>
          <cell r="AQ228" t="e">
            <v>#REF!</v>
          </cell>
        </row>
        <row r="229">
          <cell r="S229" t="str">
            <v>ТИС.ГРН.</v>
          </cell>
        </row>
        <row r="230">
          <cell r="C230">
            <v>1651.8969999999999</v>
          </cell>
          <cell r="D230" t="str">
            <v>АПАРАТ ЕЛЕКТРО</v>
          </cell>
          <cell r="E230" t="str">
            <v>АПАРАТ ТЕПЛО</v>
          </cell>
          <cell r="N230">
            <v>5904.3327272727274</v>
          </cell>
          <cell r="O230" t="str">
            <v xml:space="preserve"> Т/Е</v>
          </cell>
          <cell r="P230" t="str">
            <v>ТЕЦ-6 ВСЬОГО</v>
          </cell>
          <cell r="Q230">
            <v>13067.120909090911</v>
          </cell>
          <cell r="R230" t="str">
            <v xml:space="preserve"> Т/Е</v>
          </cell>
          <cell r="S230" t="str">
            <v xml:space="preserve">ДОП.ВИР. </v>
          </cell>
          <cell r="T230">
            <v>5028.8272727272724</v>
          </cell>
          <cell r="U230" t="str">
            <v>АК КЕ ВСЬОГО</v>
          </cell>
          <cell r="V230" t="str">
            <v>Е/Е</v>
          </cell>
          <cell r="W230" t="str">
            <v xml:space="preserve"> Т/Е</v>
          </cell>
          <cell r="Y230">
            <v>4079.1272727272726</v>
          </cell>
          <cell r="AC230" t="str">
            <v>СТАНЦІї ЕЛЕКТРО</v>
          </cell>
          <cell r="AD230" t="str">
            <v>СТАНЦІІ ТЕПЛОВІ</v>
          </cell>
          <cell r="AE230" t="str">
            <v>МЕРЕЖІ ЕЛЕКТРО</v>
          </cell>
          <cell r="AF230" t="str">
            <v>МЕРЕЖІ ТЕПЛОВІ</v>
          </cell>
          <cell r="AN230" t="e">
            <v>#REF!</v>
          </cell>
          <cell r="AP230" t="e">
            <v>#REF!</v>
          </cell>
          <cell r="AQ230" t="e">
            <v>#REF!</v>
          </cell>
        </row>
        <row r="231">
          <cell r="C231">
            <v>450</v>
          </cell>
          <cell r="N231">
            <v>1670</v>
          </cell>
          <cell r="Q231">
            <v>3562</v>
          </cell>
          <cell r="T231">
            <v>1371</v>
          </cell>
          <cell r="Y231">
            <v>1113</v>
          </cell>
          <cell r="AP231" t="e">
            <v>#REF!</v>
          </cell>
          <cell r="AQ231" t="e">
            <v>#REF!</v>
          </cell>
        </row>
        <row r="232">
          <cell r="AQ232" t="e">
            <v>#REF!</v>
          </cell>
        </row>
        <row r="233">
          <cell r="C233">
            <v>0</v>
          </cell>
          <cell r="D233">
            <v>1012.3559999999998</v>
          </cell>
          <cell r="E233">
            <v>473.06800000000004</v>
          </cell>
          <cell r="N233">
            <v>0</v>
          </cell>
          <cell r="O233">
            <v>777.1754385964914</v>
          </cell>
          <cell r="P233">
            <v>2409.6737288135591</v>
          </cell>
          <cell r="Q233">
            <v>111.8</v>
          </cell>
          <cell r="R233">
            <v>796.42372881355914</v>
          </cell>
          <cell r="S233">
            <v>1077.625</v>
          </cell>
          <cell r="T233">
            <v>5107.6000000000004</v>
          </cell>
          <cell r="U233">
            <v>23976.15725132322</v>
          </cell>
          <cell r="V233" t="e">
            <v>#REF!</v>
          </cell>
          <cell r="W233">
            <v>44621.157251323224</v>
          </cell>
          <cell r="Y233">
            <v>91.533333333333331</v>
          </cell>
          <cell r="AP233">
            <v>5312.9333333333343</v>
          </cell>
          <cell r="AQ233" t="e">
            <v>#REF!</v>
          </cell>
        </row>
        <row r="234">
          <cell r="C234">
            <v>0</v>
          </cell>
          <cell r="D234">
            <v>934.35599999999977</v>
          </cell>
          <cell r="E234">
            <v>424.06800000000004</v>
          </cell>
          <cell r="N234">
            <v>0</v>
          </cell>
          <cell r="O234">
            <v>691.00000000000023</v>
          </cell>
          <cell r="P234">
            <v>733.8070175438595</v>
          </cell>
          <cell r="Q234">
            <v>0</v>
          </cell>
          <cell r="R234">
            <v>742.99999999999977</v>
          </cell>
          <cell r="S234">
            <v>605</v>
          </cell>
          <cell r="T234">
            <v>0</v>
          </cell>
          <cell r="U234">
            <v>15320.660540053519</v>
          </cell>
          <cell r="V234" t="e">
            <v>#REF!</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C236">
            <v>7782.6740000000009</v>
          </cell>
          <cell r="D236">
            <v>934.35599999999977</v>
          </cell>
          <cell r="E236">
            <v>424.06800000000004</v>
          </cell>
          <cell r="N236">
            <v>1585</v>
          </cell>
          <cell r="O236">
            <v>691.00000000000023</v>
          </cell>
          <cell r="P236">
            <v>733.8070175438595</v>
          </cell>
          <cell r="S236">
            <v>685</v>
          </cell>
          <cell r="U236">
            <v>15689.007333333333</v>
          </cell>
          <cell r="V236">
            <v>15376.340666666665</v>
          </cell>
          <cell r="AQ236" t="e">
            <v>#REF!</v>
          </cell>
        </row>
        <row r="237">
          <cell r="C237">
            <v>-1273</v>
          </cell>
          <cell r="D237">
            <v>78</v>
          </cell>
          <cell r="E237">
            <v>49</v>
          </cell>
          <cell r="N237">
            <v>4468.6499999999996</v>
          </cell>
          <cell r="O237">
            <v>69.175438596491233</v>
          </cell>
          <cell r="P237">
            <v>431.86671126969964</v>
          </cell>
          <cell r="Q237">
            <v>1739.5839999999998</v>
          </cell>
          <cell r="R237">
            <v>35.423728813559308</v>
          </cell>
          <cell r="S237">
            <v>537.625</v>
          </cell>
          <cell r="T237">
            <v>582.97</v>
          </cell>
          <cell r="U237">
            <v>4138.4967112696995</v>
          </cell>
          <cell r="V237">
            <v>4138.4967112696995</v>
          </cell>
          <cell r="Y237">
            <v>1080.26</v>
          </cell>
          <cell r="AP237" t="e">
            <v>#REF!</v>
          </cell>
          <cell r="AQ237" t="e">
            <v>#REF!</v>
          </cell>
        </row>
        <row r="238">
          <cell r="C238">
            <v>916.24199999999996</v>
          </cell>
          <cell r="N238">
            <v>0</v>
          </cell>
          <cell r="P238">
            <v>131.12735849056605</v>
          </cell>
          <cell r="Q238">
            <v>0</v>
          </cell>
          <cell r="S238">
            <v>146.625</v>
          </cell>
          <cell r="T238">
            <v>0</v>
          </cell>
          <cell r="U238">
            <v>1220.7727272727273</v>
          </cell>
          <cell r="V238">
            <v>1231.382075471698</v>
          </cell>
          <cell r="Y238">
            <v>0</v>
          </cell>
          <cell r="AP238">
            <v>0</v>
          </cell>
          <cell r="AQ238" t="e">
            <v>#REF!</v>
          </cell>
        </row>
        <row r="239">
          <cell r="C239">
            <v>2944.9412076717231</v>
          </cell>
          <cell r="N239">
            <v>0</v>
          </cell>
          <cell r="O239">
            <v>0</v>
          </cell>
          <cell r="P239">
            <v>42</v>
          </cell>
          <cell r="Q239">
            <v>0</v>
          </cell>
          <cell r="R239">
            <v>0</v>
          </cell>
          <cell r="S239">
            <v>0</v>
          </cell>
          <cell r="T239">
            <v>0</v>
          </cell>
          <cell r="U239">
            <v>3586.2745410050566</v>
          </cell>
          <cell r="V239">
            <v>3586.2745410050566</v>
          </cell>
          <cell r="AQ239" t="e">
            <v>#REF!</v>
          </cell>
        </row>
        <row r="240">
          <cell r="C240" t="e">
            <v>#REF!</v>
          </cell>
          <cell r="N240" t="e">
            <v>#REF!</v>
          </cell>
          <cell r="P240">
            <v>12</v>
          </cell>
          <cell r="Q240">
            <v>776</v>
          </cell>
          <cell r="S240">
            <v>0</v>
          </cell>
          <cell r="T240">
            <v>0</v>
          </cell>
          <cell r="U240">
            <v>589</v>
          </cell>
          <cell r="V240">
            <v>589</v>
          </cell>
          <cell r="Y240" t="e">
            <v>#REF!</v>
          </cell>
          <cell r="AP240" t="e">
            <v>#REF!</v>
          </cell>
          <cell r="AQ240" t="e">
            <v>#REF!</v>
          </cell>
        </row>
        <row r="241">
          <cell r="C241">
            <v>1.25</v>
          </cell>
          <cell r="P241">
            <v>30</v>
          </cell>
          <cell r="S241">
            <v>0</v>
          </cell>
          <cell r="U241">
            <v>53.583333333333336</v>
          </cell>
          <cell r="V241">
            <v>53.583333333333336</v>
          </cell>
          <cell r="AC241">
            <v>6</v>
          </cell>
          <cell r="AD241">
            <v>6</v>
          </cell>
          <cell r="AE241">
            <v>12</v>
          </cell>
          <cell r="AQ241" t="e">
            <v>#REF!</v>
          </cell>
        </row>
        <row r="242">
          <cell r="C242">
            <v>-149.73279232827699</v>
          </cell>
          <cell r="U242">
            <v>-149.73279232827699</v>
          </cell>
          <cell r="V242">
            <v>-149.73279232827699</v>
          </cell>
          <cell r="AQ242" t="e">
            <v>#REF!</v>
          </cell>
        </row>
        <row r="243">
          <cell r="C243">
            <v>393</v>
          </cell>
          <cell r="N243">
            <v>924</v>
          </cell>
          <cell r="Q243">
            <v>3963.0186666666668</v>
          </cell>
          <cell r="T243">
            <v>567.25866666666661</v>
          </cell>
          <cell r="U243">
            <v>2421.3333333333335</v>
          </cell>
          <cell r="V243">
            <v>2421.3333333333335</v>
          </cell>
          <cell r="Y243">
            <v>426.22533333333331</v>
          </cell>
          <cell r="AP243">
            <v>8434.3851668093339</v>
          </cell>
          <cell r="AQ243" t="e">
            <v>#REF!</v>
          </cell>
        </row>
        <row r="244">
          <cell r="C244">
            <v>1653</v>
          </cell>
          <cell r="D244">
            <v>511.35599999999999</v>
          </cell>
          <cell r="E244">
            <v>160.73466666666667</v>
          </cell>
          <cell r="N244">
            <v>67</v>
          </cell>
          <cell r="O244">
            <v>0</v>
          </cell>
          <cell r="P244">
            <v>0</v>
          </cell>
          <cell r="Q244">
            <v>345.33333333333337</v>
          </cell>
          <cell r="R244">
            <v>0</v>
          </cell>
          <cell r="S244">
            <v>0</v>
          </cell>
          <cell r="T244">
            <v>256.62666666666667</v>
          </cell>
          <cell r="U244">
            <v>672.09066666666661</v>
          </cell>
          <cell r="V244">
            <v>672.09066666666661</v>
          </cell>
          <cell r="Y244">
            <v>253.78399999999999</v>
          </cell>
          <cell r="AP244">
            <v>2682.9412082354906</v>
          </cell>
          <cell r="AQ244" t="e">
            <v>#REF!</v>
          </cell>
        </row>
        <row r="245">
          <cell r="V245">
            <v>0</v>
          </cell>
          <cell r="AQ245" t="e">
            <v>#REF!</v>
          </cell>
        </row>
        <row r="246">
          <cell r="C246">
            <v>0</v>
          </cell>
          <cell r="N246">
            <v>1</v>
          </cell>
          <cell r="P246">
            <v>450</v>
          </cell>
          <cell r="Q246">
            <v>0</v>
          </cell>
          <cell r="S246">
            <v>406</v>
          </cell>
          <cell r="T246">
            <v>114.19266666666665</v>
          </cell>
          <cell r="U246">
            <v>4903</v>
          </cell>
          <cell r="V246">
            <v>4635</v>
          </cell>
          <cell r="Y246">
            <v>-46.472000000000008</v>
          </cell>
          <cell r="AP246">
            <v>68.720666666666645</v>
          </cell>
          <cell r="AQ246" t="e">
            <v>#REF!</v>
          </cell>
        </row>
        <row r="247">
          <cell r="C247">
            <v>13</v>
          </cell>
          <cell r="N247">
            <v>234.08600000000001</v>
          </cell>
          <cell r="P247">
            <v>1174</v>
          </cell>
          <cell r="Q247">
            <v>11619.690666666667</v>
          </cell>
          <cell r="S247">
            <v>0</v>
          </cell>
          <cell r="T247">
            <v>0</v>
          </cell>
          <cell r="U247">
            <v>2921</v>
          </cell>
          <cell r="V247">
            <v>2921</v>
          </cell>
          <cell r="Y247">
            <v>0</v>
          </cell>
          <cell r="AP247">
            <v>13936.448666666667</v>
          </cell>
          <cell r="AQ247" t="e">
            <v>#REF!</v>
          </cell>
        </row>
        <row r="248">
          <cell r="C248">
            <v>0</v>
          </cell>
          <cell r="N248">
            <v>0</v>
          </cell>
          <cell r="Q248">
            <v>0</v>
          </cell>
          <cell r="T248">
            <v>0</v>
          </cell>
          <cell r="V248">
            <v>0</v>
          </cell>
          <cell r="Y248">
            <v>0</v>
          </cell>
          <cell r="AP248">
            <v>658.33066666666662</v>
          </cell>
          <cell r="AQ248" t="e">
            <v>#REF!</v>
          </cell>
        </row>
        <row r="249">
          <cell r="C249">
            <v>988</v>
          </cell>
          <cell r="N249">
            <v>0</v>
          </cell>
          <cell r="O249">
            <v>0</v>
          </cell>
          <cell r="P249">
            <v>-100</v>
          </cell>
          <cell r="Q249">
            <v>0</v>
          </cell>
          <cell r="R249">
            <v>0</v>
          </cell>
          <cell r="S249">
            <v>0</v>
          </cell>
          <cell r="T249">
            <v>0</v>
          </cell>
          <cell r="U249">
            <v>-578</v>
          </cell>
          <cell r="V249">
            <v>-578</v>
          </cell>
          <cell r="Y249">
            <v>18</v>
          </cell>
          <cell r="AP249">
            <v>1006</v>
          </cell>
          <cell r="AQ249" t="e">
            <v>#REF!</v>
          </cell>
        </row>
        <row r="250">
          <cell r="C250">
            <v>0</v>
          </cell>
          <cell r="N250">
            <v>0.20800000000000018</v>
          </cell>
          <cell r="O250">
            <v>0</v>
          </cell>
          <cell r="P250">
            <v>0</v>
          </cell>
          <cell r="Q250">
            <v>0.76399999999998158</v>
          </cell>
          <cell r="R250">
            <v>0</v>
          </cell>
          <cell r="S250">
            <v>0</v>
          </cell>
          <cell r="T250">
            <v>-0.42800000000000082</v>
          </cell>
          <cell r="U250">
            <v>0</v>
          </cell>
          <cell r="V250">
            <v>0</v>
          </cell>
          <cell r="Y250">
            <v>6.799999999999784E-2</v>
          </cell>
          <cell r="AP250" t="e">
            <v>#REF!</v>
          </cell>
          <cell r="AQ250" t="e">
            <v>#REF!</v>
          </cell>
        </row>
        <row r="251">
          <cell r="C251">
            <v>0</v>
          </cell>
          <cell r="N251">
            <v>0.19200000000000017</v>
          </cell>
          <cell r="Q251">
            <v>-0.32000000000000028</v>
          </cell>
          <cell r="T251">
            <v>-0.3360000000000003</v>
          </cell>
          <cell r="V251">
            <v>0</v>
          </cell>
          <cell r="Y251">
            <v>0.28000000000000114</v>
          </cell>
          <cell r="AP251" t="e">
            <v>#REF!</v>
          </cell>
          <cell r="AQ251" t="e">
            <v>#REF!</v>
          </cell>
        </row>
        <row r="252">
          <cell r="C252" t="e">
            <v>#REF!</v>
          </cell>
          <cell r="N252" t="e">
            <v>#REF!</v>
          </cell>
          <cell r="P252">
            <v>6</v>
          </cell>
          <cell r="Q252">
            <v>16216.988999999998</v>
          </cell>
          <cell r="S252">
            <v>0</v>
          </cell>
          <cell r="T252">
            <v>11100.410181818164</v>
          </cell>
          <cell r="U252">
            <v>331</v>
          </cell>
          <cell r="V252">
            <v>331</v>
          </cell>
          <cell r="Y252" t="e">
            <v>#REF!</v>
          </cell>
          <cell r="AP252" t="e">
            <v>#REF!</v>
          </cell>
          <cell r="AQ252" t="e">
            <v>#REF!</v>
          </cell>
        </row>
        <row r="253">
          <cell r="C253">
            <v>200</v>
          </cell>
          <cell r="P253">
            <v>0</v>
          </cell>
          <cell r="Q253">
            <v>541</v>
          </cell>
          <cell r="S253">
            <v>0</v>
          </cell>
          <cell r="T253">
            <v>480</v>
          </cell>
          <cell r="U253">
            <v>200</v>
          </cell>
          <cell r="V253">
            <v>200</v>
          </cell>
          <cell r="Y253">
            <v>44</v>
          </cell>
          <cell r="AP253">
            <v>524</v>
          </cell>
          <cell r="AQ253" t="e">
            <v>#REF!</v>
          </cell>
        </row>
        <row r="254">
          <cell r="V254">
            <v>0</v>
          </cell>
        </row>
        <row r="255">
          <cell r="C255">
            <v>0</v>
          </cell>
          <cell r="N255">
            <v>43</v>
          </cell>
          <cell r="O255">
            <v>17</v>
          </cell>
          <cell r="P255">
            <v>50</v>
          </cell>
          <cell r="Q255">
            <v>32</v>
          </cell>
          <cell r="R255">
            <v>18</v>
          </cell>
          <cell r="S255">
            <v>0</v>
          </cell>
          <cell r="T255">
            <v>0</v>
          </cell>
          <cell r="U255">
            <v>110</v>
          </cell>
          <cell r="V255">
            <v>110</v>
          </cell>
        </row>
        <row r="256">
          <cell r="C256">
            <v>2</v>
          </cell>
          <cell r="P256">
            <v>0</v>
          </cell>
          <cell r="S256">
            <v>0</v>
          </cell>
          <cell r="U256">
            <v>366</v>
          </cell>
          <cell r="V256">
            <v>366</v>
          </cell>
        </row>
        <row r="257">
          <cell r="P257">
            <v>41</v>
          </cell>
          <cell r="U257">
            <v>556</v>
          </cell>
          <cell r="V257">
            <v>556</v>
          </cell>
        </row>
        <row r="258">
          <cell r="U258">
            <v>0</v>
          </cell>
          <cell r="V258">
            <v>0</v>
          </cell>
        </row>
        <row r="259">
          <cell r="C259">
            <v>0</v>
          </cell>
          <cell r="P259">
            <v>0</v>
          </cell>
          <cell r="S259">
            <v>0</v>
          </cell>
          <cell r="U259">
            <v>2217</v>
          </cell>
          <cell r="V259">
            <v>2217</v>
          </cell>
        </row>
        <row r="260">
          <cell r="C260">
            <v>0</v>
          </cell>
          <cell r="P260">
            <v>0</v>
          </cell>
          <cell r="S260">
            <v>0</v>
          </cell>
          <cell r="U260">
            <v>0</v>
          </cell>
          <cell r="V260">
            <v>0</v>
          </cell>
        </row>
        <row r="261">
          <cell r="C261">
            <v>0</v>
          </cell>
          <cell r="N261">
            <v>0</v>
          </cell>
          <cell r="O261">
            <v>0</v>
          </cell>
          <cell r="P261">
            <v>2</v>
          </cell>
          <cell r="Q261">
            <v>0</v>
          </cell>
          <cell r="R261">
            <v>0</v>
          </cell>
          <cell r="S261">
            <v>0</v>
          </cell>
        </row>
        <row r="262">
          <cell r="C262">
            <v>3285</v>
          </cell>
          <cell r="P262">
            <v>-14</v>
          </cell>
          <cell r="S262">
            <v>278</v>
          </cell>
          <cell r="U262">
            <v>3661</v>
          </cell>
          <cell r="V262">
            <v>3661</v>
          </cell>
        </row>
        <row r="263">
          <cell r="C263">
            <v>145</v>
          </cell>
          <cell r="P263">
            <v>31</v>
          </cell>
          <cell r="S263">
            <v>1</v>
          </cell>
          <cell r="U263">
            <v>180</v>
          </cell>
          <cell r="V263">
            <v>180</v>
          </cell>
        </row>
        <row r="264">
          <cell r="C264">
            <v>308.00000000000011</v>
          </cell>
          <cell r="D264">
            <v>934.35599999999977</v>
          </cell>
          <cell r="E264">
            <v>424.06800000000004</v>
          </cell>
          <cell r="N264">
            <v>1585</v>
          </cell>
          <cell r="O264">
            <v>691.00000000000023</v>
          </cell>
          <cell r="P264">
            <v>295.8070175438595</v>
          </cell>
          <cell r="Q264">
            <v>178</v>
          </cell>
          <cell r="R264">
            <v>99</v>
          </cell>
          <cell r="S264">
            <v>0</v>
          </cell>
          <cell r="T264">
            <v>0</v>
          </cell>
          <cell r="U264">
            <v>1603.0000000000005</v>
          </cell>
          <cell r="V264">
            <v>1558.3333333333326</v>
          </cell>
        </row>
        <row r="265">
          <cell r="C265">
            <v>5.3333333333333712</v>
          </cell>
          <cell r="N265">
            <v>61</v>
          </cell>
          <cell r="O265">
            <v>28</v>
          </cell>
          <cell r="P265">
            <v>168</v>
          </cell>
          <cell r="Q265">
            <v>108</v>
          </cell>
          <cell r="R265">
            <v>60</v>
          </cell>
          <cell r="S265">
            <v>0</v>
          </cell>
          <cell r="T265">
            <v>16</v>
          </cell>
          <cell r="U265">
            <v>405.33333333333348</v>
          </cell>
        </row>
        <row r="266">
          <cell r="C266">
            <v>0</v>
          </cell>
          <cell r="N266">
            <v>72</v>
          </cell>
          <cell r="O266">
            <v>31</v>
          </cell>
          <cell r="P266">
            <v>78</v>
          </cell>
          <cell r="Q266">
            <v>50</v>
          </cell>
          <cell r="R266">
            <v>28</v>
          </cell>
          <cell r="S266">
            <v>0</v>
          </cell>
          <cell r="T266">
            <v>51</v>
          </cell>
          <cell r="U266">
            <v>495</v>
          </cell>
        </row>
        <row r="267">
          <cell r="C267">
            <v>302.66666666666674</v>
          </cell>
          <cell r="N267">
            <v>26</v>
          </cell>
          <cell r="O267">
            <v>12</v>
          </cell>
          <cell r="P267">
            <v>29</v>
          </cell>
          <cell r="Q267">
            <v>20</v>
          </cell>
          <cell r="R267">
            <v>11</v>
          </cell>
          <cell r="S267">
            <v>0</v>
          </cell>
          <cell r="T267">
            <v>12</v>
          </cell>
          <cell r="U267">
            <v>702.66666666666697</v>
          </cell>
          <cell r="V267">
            <v>637.66666666666674</v>
          </cell>
        </row>
        <row r="268">
          <cell r="C268">
            <v>0</v>
          </cell>
          <cell r="N268">
            <v>0</v>
          </cell>
          <cell r="O268">
            <v>0</v>
          </cell>
          <cell r="P268">
            <v>0</v>
          </cell>
          <cell r="Q268">
            <v>0</v>
          </cell>
          <cell r="R268">
            <v>0</v>
          </cell>
          <cell r="S268">
            <v>0</v>
          </cell>
          <cell r="U268">
            <v>0</v>
          </cell>
          <cell r="V268">
            <v>11</v>
          </cell>
        </row>
        <row r="272">
          <cell r="N272" t="str">
            <v>Собівартість</v>
          </cell>
        </row>
        <row r="282">
          <cell r="N282" t="str">
            <v>ФМЗ ( з відрахуван)</v>
          </cell>
          <cell r="P282">
            <v>25</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7" refreshError="1">
        <row r="16">
          <cell r="AP16" t="str">
            <v>ЗАТВЕРДЖУЮ</v>
          </cell>
        </row>
        <row r="17">
          <cell r="C17" t="str">
            <v>І.В.ПЛАЧКОВ</v>
          </cell>
          <cell r="AP17" t="str">
            <v>ГОЛОВА ПРАЛІННЯ АК КЕ</v>
          </cell>
        </row>
        <row r="22">
          <cell r="AV22" t="str">
            <v>І.В.ПЛАЧКОВ</v>
          </cell>
        </row>
        <row r="29">
          <cell r="Q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20486.350727272733</v>
          </cell>
          <cell r="O39">
            <v>6571</v>
          </cell>
          <cell r="P39">
            <v>-13915.350727272733</v>
          </cell>
          <cell r="Q39">
            <v>54693.999787878791</v>
          </cell>
          <cell r="R39">
            <v>23576</v>
          </cell>
          <cell r="S39">
            <v>-31117.999787878791</v>
          </cell>
          <cell r="T39">
            <v>21495.944484848496</v>
          </cell>
          <cell r="W39">
            <v>8380</v>
          </cell>
          <cell r="X39">
            <v>-13115.944484848496</v>
          </cell>
          <cell r="Y39">
            <v>27933.426181818169</v>
          </cell>
          <cell r="Z39">
            <v>7534</v>
          </cell>
          <cell r="AA39">
            <v>6566.9272727272873</v>
          </cell>
          <cell r="AB39">
            <v>5452</v>
          </cell>
          <cell r="AC39">
            <v>-22481.426181818169</v>
          </cell>
          <cell r="AD39">
            <v>31351.068666666666</v>
          </cell>
          <cell r="AG39">
            <v>8513</v>
          </cell>
          <cell r="AH39">
            <v>6481</v>
          </cell>
          <cell r="AI39">
            <v>2032</v>
          </cell>
          <cell r="AJ39">
            <v>-22838.068666666666</v>
          </cell>
          <cell r="AN39" t="e">
            <v>#REF!</v>
          </cell>
        </row>
        <row r="40">
          <cell r="C40">
            <v>13503.597000000002</v>
          </cell>
        </row>
        <row r="41">
          <cell r="C41">
            <v>1910.097</v>
          </cell>
          <cell r="D41">
            <v>443</v>
          </cell>
          <cell r="E41">
            <v>1467.097</v>
          </cell>
          <cell r="N41">
            <v>6859.9527272727273</v>
          </cell>
          <cell r="Q41">
            <v>14962.540909090911</v>
          </cell>
          <cell r="T41">
            <v>5669.5772727272724</v>
          </cell>
          <cell r="U41">
            <v>2766</v>
          </cell>
          <cell r="V41">
            <v>2903.5772727272729</v>
          </cell>
          <cell r="Y41">
            <v>4613.8872727272728</v>
          </cell>
          <cell r="Z41">
            <v>2495</v>
          </cell>
          <cell r="AA41">
            <v>2118.8872727272728</v>
          </cell>
          <cell r="AE41">
            <v>12073.936363636363</v>
          </cell>
          <cell r="AG41">
            <v>4464</v>
          </cell>
          <cell r="AH41">
            <v>3202</v>
          </cell>
          <cell r="AN41" t="e">
            <v>#REF!</v>
          </cell>
          <cell r="AR41">
            <v>5022.4645454545462</v>
          </cell>
        </row>
        <row r="42">
          <cell r="Q42">
            <v>970</v>
          </cell>
          <cell r="V42">
            <v>750</v>
          </cell>
          <cell r="AA42">
            <v>590</v>
          </cell>
          <cell r="AR42">
            <v>2095</v>
          </cell>
        </row>
        <row r="46">
          <cell r="C46">
            <v>2198</v>
          </cell>
          <cell r="D46">
            <v>327</v>
          </cell>
          <cell r="E46">
            <v>1871</v>
          </cell>
          <cell r="N46">
            <v>3078.1680000000001</v>
          </cell>
          <cell r="O46">
            <v>1204</v>
          </cell>
          <cell r="P46">
            <v>-1874.1680000000001</v>
          </cell>
          <cell r="Q46">
            <v>6265.6826666666666</v>
          </cell>
          <cell r="R46">
            <v>2125</v>
          </cell>
          <cell r="S46">
            <v>-4140.6826666666666</v>
          </cell>
          <cell r="T46">
            <v>1421.8879999999999</v>
          </cell>
          <cell r="U46">
            <v>695</v>
          </cell>
          <cell r="V46">
            <v>726.88799999999992</v>
          </cell>
          <cell r="W46">
            <v>431</v>
          </cell>
          <cell r="X46">
            <v>-990.88799999999992</v>
          </cell>
          <cell r="Y46">
            <v>1425.3940000000002</v>
          </cell>
          <cell r="Z46">
            <v>784</v>
          </cell>
          <cell r="AA46">
            <v>641.39400000000023</v>
          </cell>
          <cell r="AB46">
            <v>400</v>
          </cell>
          <cell r="AC46">
            <v>-1025.3940000000002</v>
          </cell>
          <cell r="AD46">
            <v>3412.9246666666668</v>
          </cell>
          <cell r="AE46">
            <v>2932.9300000000003</v>
          </cell>
          <cell r="AF46">
            <v>479.99466666666649</v>
          </cell>
          <cell r="AG46">
            <v>1087</v>
          </cell>
          <cell r="AH46">
            <v>292</v>
          </cell>
          <cell r="AI46">
            <v>134</v>
          </cell>
          <cell r="AJ46">
            <v>-2325.9246666666668</v>
          </cell>
          <cell r="AN46">
            <v>0</v>
          </cell>
          <cell r="AP46">
            <v>17575.782666666666</v>
          </cell>
          <cell r="AQ46">
            <v>5062.768</v>
          </cell>
          <cell r="AR46">
            <v>12513.014666666666</v>
          </cell>
          <cell r="AS46">
            <v>4452</v>
          </cell>
          <cell r="AT46">
            <v>-13123.782666666666</v>
          </cell>
          <cell r="AU46">
            <v>1479</v>
          </cell>
          <cell r="AV46">
            <v>3499</v>
          </cell>
          <cell r="AW46">
            <v>3583.768</v>
          </cell>
          <cell r="AX46">
            <v>9014.014666666666</v>
          </cell>
        </row>
        <row r="47">
          <cell r="C47">
            <v>377</v>
          </cell>
          <cell r="E47">
            <v>377</v>
          </cell>
          <cell r="N47">
            <v>1234</v>
          </cell>
          <cell r="Q47">
            <v>4713.0186666666668</v>
          </cell>
          <cell r="T47">
            <v>682.25866666666661</v>
          </cell>
          <cell r="U47">
            <v>347</v>
          </cell>
          <cell r="V47">
            <v>335.25866666666661</v>
          </cell>
          <cell r="Y47">
            <v>536.22533333333331</v>
          </cell>
          <cell r="Z47">
            <v>325</v>
          </cell>
          <cell r="AA47">
            <v>211.22533333333331</v>
          </cell>
          <cell r="AC47">
            <v>-536.22533333333331</v>
          </cell>
          <cell r="AD47">
            <v>2795.1707200000001</v>
          </cell>
          <cell r="AE47">
            <v>2874.8825001426667</v>
          </cell>
          <cell r="AP47">
            <v>10417.385166809334</v>
          </cell>
        </row>
        <row r="48">
          <cell r="C48">
            <v>0</v>
          </cell>
          <cell r="E48">
            <v>0</v>
          </cell>
          <cell r="N48">
            <v>1</v>
          </cell>
          <cell r="Q48">
            <v>0</v>
          </cell>
          <cell r="T48">
            <v>114.19266666666665</v>
          </cell>
          <cell r="U48">
            <v>48</v>
          </cell>
          <cell r="V48">
            <v>66.192666666666653</v>
          </cell>
          <cell r="Y48">
            <v>-46.472000000000008</v>
          </cell>
          <cell r="Z48">
            <v>-136</v>
          </cell>
          <cell r="AA48">
            <v>89.527999999999992</v>
          </cell>
          <cell r="AC48">
            <v>46.472000000000008</v>
          </cell>
          <cell r="AD48">
            <v>0</v>
          </cell>
          <cell r="AE48">
            <v>0</v>
          </cell>
          <cell r="AP48">
            <v>68.720666666666645</v>
          </cell>
        </row>
        <row r="49">
          <cell r="C49">
            <v>1612</v>
          </cell>
          <cell r="E49">
            <v>1612</v>
          </cell>
          <cell r="N49">
            <v>76</v>
          </cell>
          <cell r="Q49">
            <v>429.33333333333337</v>
          </cell>
          <cell r="T49">
            <v>313.62666666666667</v>
          </cell>
          <cell r="U49">
            <v>165</v>
          </cell>
          <cell r="V49">
            <v>148.62666666666667</v>
          </cell>
          <cell r="Y49">
            <v>315.78399999999999</v>
          </cell>
          <cell r="Z49">
            <v>187</v>
          </cell>
          <cell r="AA49">
            <v>128.78399999999999</v>
          </cell>
          <cell r="AC49">
            <v>-315.78399999999999</v>
          </cell>
          <cell r="AD49">
            <v>163.34026666666668</v>
          </cell>
          <cell r="AE49">
            <v>137.19720823549071</v>
          </cell>
          <cell r="AP49">
            <v>2883.9412082354906</v>
          </cell>
        </row>
        <row r="50">
          <cell r="C50">
            <v>6</v>
          </cell>
          <cell r="D50">
            <v>2</v>
          </cell>
          <cell r="E50">
            <v>4</v>
          </cell>
          <cell r="N50">
            <v>313.12400000000002</v>
          </cell>
          <cell r="O50">
            <v>121</v>
          </cell>
          <cell r="P50">
            <v>-192.12400000000002</v>
          </cell>
          <cell r="Q50">
            <v>3203.3013333333338</v>
          </cell>
          <cell r="R50">
            <v>1386</v>
          </cell>
          <cell r="S50">
            <v>-1817.3013333333338</v>
          </cell>
          <cell r="T50">
            <v>6441.0773333333327</v>
          </cell>
          <cell r="U50">
            <v>3246</v>
          </cell>
          <cell r="V50">
            <v>3195.0773333333327</v>
          </cell>
          <cell r="W50">
            <v>2636</v>
          </cell>
          <cell r="X50">
            <v>-3805.0773333333327</v>
          </cell>
          <cell r="Y50">
            <v>643.97400000000005</v>
          </cell>
          <cell r="Z50">
            <v>347</v>
          </cell>
          <cell r="AA50">
            <v>296.97400000000005</v>
          </cell>
          <cell r="AB50">
            <v>292</v>
          </cell>
          <cell r="AC50">
            <v>-351.97400000000005</v>
          </cell>
          <cell r="AD50">
            <v>1378.2906666666665</v>
          </cell>
          <cell r="AE50">
            <v>1009.72</v>
          </cell>
          <cell r="AF50">
            <v>368.57066666666651</v>
          </cell>
          <cell r="AG50">
            <v>288</v>
          </cell>
          <cell r="AH50">
            <v>601</v>
          </cell>
          <cell r="AI50">
            <v>56</v>
          </cell>
          <cell r="AJ50">
            <v>-1090.2906666666665</v>
          </cell>
          <cell r="AN50">
            <v>0</v>
          </cell>
          <cell r="AP50">
            <v>11578.596666666666</v>
          </cell>
          <cell r="AQ50">
            <v>3913.5239999999999</v>
          </cell>
          <cell r="AR50">
            <v>7665.0726666666669</v>
          </cell>
          <cell r="AS50">
            <v>5036</v>
          </cell>
          <cell r="AT50">
            <v>-6542.5966666666664</v>
          </cell>
          <cell r="AU50">
            <v>3593</v>
          </cell>
          <cell r="AV50">
            <v>4581</v>
          </cell>
          <cell r="AW50">
            <v>320.52399999999989</v>
          </cell>
          <cell r="AX50">
            <v>3084.0726666666669</v>
          </cell>
        </row>
        <row r="51">
          <cell r="C51">
            <v>0</v>
          </cell>
          <cell r="D51">
            <v>0</v>
          </cell>
          <cell r="E51">
            <v>0</v>
          </cell>
          <cell r="N51">
            <v>0</v>
          </cell>
          <cell r="P51">
            <v>0</v>
          </cell>
          <cell r="Q51">
            <v>121.8</v>
          </cell>
          <cell r="R51">
            <v>54</v>
          </cell>
          <cell r="S51">
            <v>-67.8</v>
          </cell>
          <cell r="T51">
            <v>5443.6</v>
          </cell>
          <cell r="U51">
            <v>2728</v>
          </cell>
          <cell r="V51">
            <v>2715.6000000000004</v>
          </cell>
          <cell r="W51">
            <v>2407</v>
          </cell>
          <cell r="X51">
            <v>-3036.6000000000004</v>
          </cell>
          <cell r="Y51">
            <v>104.86666666666666</v>
          </cell>
          <cell r="Z51">
            <v>57</v>
          </cell>
          <cell r="AA51">
            <v>47.86666666666666</v>
          </cell>
          <cell r="AB51">
            <v>20</v>
          </cell>
          <cell r="AC51">
            <v>-84.86666666666666</v>
          </cell>
          <cell r="AD51">
            <v>5</v>
          </cell>
          <cell r="AE51">
            <v>4</v>
          </cell>
          <cell r="AF51">
            <v>1</v>
          </cell>
          <cell r="AI51">
            <v>0</v>
          </cell>
          <cell r="AJ51">
            <v>-5</v>
          </cell>
          <cell r="AP51">
            <v>5674.2666666666673</v>
          </cell>
          <cell r="AQ51">
            <v>2785</v>
          </cell>
          <cell r="AR51">
            <v>2889.2666666666673</v>
          </cell>
          <cell r="AS51">
            <v>2481</v>
          </cell>
          <cell r="AT51">
            <v>-3193.2666666666673</v>
          </cell>
          <cell r="AU51">
            <v>2785</v>
          </cell>
          <cell r="AV51">
            <v>2805</v>
          </cell>
          <cell r="AW51">
            <v>0</v>
          </cell>
          <cell r="AX51">
            <v>84.266666666667334</v>
          </cell>
        </row>
        <row r="52">
          <cell r="C52">
            <v>0</v>
          </cell>
          <cell r="D52">
            <v>0</v>
          </cell>
          <cell r="E52">
            <v>0</v>
          </cell>
          <cell r="N52">
            <v>0</v>
          </cell>
          <cell r="P52">
            <v>0</v>
          </cell>
          <cell r="Q52">
            <v>72540</v>
          </cell>
          <cell r="R52">
            <v>61402</v>
          </cell>
          <cell r="S52">
            <v>-11138</v>
          </cell>
          <cell r="T52">
            <v>172968</v>
          </cell>
          <cell r="U52">
            <v>99161.347560975613</v>
          </cell>
          <cell r="V52">
            <v>73806.652439024387</v>
          </cell>
          <cell r="W52">
            <v>93632</v>
          </cell>
          <cell r="X52">
            <v>-79336</v>
          </cell>
          <cell r="Y52">
            <v>145979</v>
          </cell>
          <cell r="Z52">
            <v>86757.750161952048</v>
          </cell>
          <cell r="AA52">
            <v>59221.249838047952</v>
          </cell>
          <cell r="AB52">
            <v>76301</v>
          </cell>
          <cell r="AC52">
            <v>-69678</v>
          </cell>
          <cell r="AD52">
            <v>0</v>
          </cell>
          <cell r="AE52">
            <v>0</v>
          </cell>
          <cell r="AF52">
            <v>0</v>
          </cell>
          <cell r="AI52">
            <v>0</v>
          </cell>
          <cell r="AJ52">
            <v>0</v>
          </cell>
          <cell r="AN52">
            <v>0</v>
          </cell>
          <cell r="AP52">
            <v>391488</v>
          </cell>
          <cell r="AQ52">
            <v>185920.09772292766</v>
          </cell>
          <cell r="AR52">
            <v>205567.90227707234</v>
          </cell>
          <cell r="AS52">
            <v>231335</v>
          </cell>
          <cell r="AT52">
            <v>-160153</v>
          </cell>
          <cell r="AU52">
            <v>185919.09772292766</v>
          </cell>
          <cell r="AV52">
            <v>205568</v>
          </cell>
          <cell r="AW52">
            <v>1</v>
          </cell>
          <cell r="AX52">
            <v>-9.7722927661379799E-2</v>
          </cell>
        </row>
        <row r="53">
          <cell r="C53">
            <v>0</v>
          </cell>
          <cell r="D53">
            <v>0</v>
          </cell>
          <cell r="E53">
            <v>0</v>
          </cell>
          <cell r="N53">
            <v>0</v>
          </cell>
          <cell r="P53">
            <v>0</v>
          </cell>
          <cell r="Q53">
            <v>72540</v>
          </cell>
          <cell r="R53">
            <v>61402</v>
          </cell>
          <cell r="S53">
            <v>-11138</v>
          </cell>
          <cell r="T53">
            <v>172968</v>
          </cell>
          <cell r="U53">
            <v>99161.347560975613</v>
          </cell>
          <cell r="V53">
            <v>73806.652439024387</v>
          </cell>
          <cell r="W53">
            <v>93632</v>
          </cell>
          <cell r="X53">
            <v>-79336</v>
          </cell>
          <cell r="Y53">
            <v>145979</v>
          </cell>
          <cell r="Z53">
            <v>86757.750161952048</v>
          </cell>
          <cell r="AA53">
            <v>59221.249838047952</v>
          </cell>
          <cell r="AB53">
            <v>46301</v>
          </cell>
          <cell r="AC53">
            <v>-99678</v>
          </cell>
          <cell r="AD53">
            <v>0</v>
          </cell>
          <cell r="AE53">
            <v>0</v>
          </cell>
          <cell r="AF53">
            <v>0</v>
          </cell>
          <cell r="AI53">
            <v>0</v>
          </cell>
          <cell r="AJ53">
            <v>0</v>
          </cell>
          <cell r="AP53">
            <v>391487</v>
          </cell>
          <cell r="AQ53">
            <v>185919.09772292766</v>
          </cell>
          <cell r="AR53">
            <v>205567.90227707234</v>
          </cell>
          <cell r="AS53">
            <v>201335</v>
          </cell>
          <cell r="AT53">
            <v>-190152</v>
          </cell>
          <cell r="AU53">
            <v>185919.09772292766</v>
          </cell>
          <cell r="AV53">
            <v>205568</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14</v>
          </cell>
          <cell r="D55">
            <v>6</v>
          </cell>
          <cell r="E55">
            <v>8</v>
          </cell>
          <cell r="N55">
            <v>248.08600000000001</v>
          </cell>
          <cell r="O55">
            <v>140</v>
          </cell>
          <cell r="P55">
            <v>-108.08600000000001</v>
          </cell>
          <cell r="Q55">
            <v>12039.690666666667</v>
          </cell>
          <cell r="R55">
            <v>8493</v>
          </cell>
          <cell r="S55">
            <v>-3546.6906666666673</v>
          </cell>
          <cell r="T55">
            <v>0</v>
          </cell>
          <cell r="U55">
            <v>0</v>
          </cell>
          <cell r="V55">
            <v>0</v>
          </cell>
          <cell r="X55">
            <v>0</v>
          </cell>
          <cell r="Y55">
            <v>0</v>
          </cell>
          <cell r="Z55">
            <v>0</v>
          </cell>
          <cell r="AA55">
            <v>0</v>
          </cell>
          <cell r="AB55">
            <v>0</v>
          </cell>
          <cell r="AC55">
            <v>0</v>
          </cell>
          <cell r="AD55">
            <v>5631.1900000000005</v>
          </cell>
          <cell r="AE55">
            <v>2322.672</v>
          </cell>
          <cell r="AF55">
            <v>3308.5180000000005</v>
          </cell>
          <cell r="AG55">
            <v>809</v>
          </cell>
          <cell r="AH55">
            <v>810</v>
          </cell>
          <cell r="AI55">
            <v>1225</v>
          </cell>
          <cell r="AJ55">
            <v>-4822.1900000000005</v>
          </cell>
          <cell r="AN55">
            <v>0</v>
          </cell>
          <cell r="AP55">
            <v>14624.448666666667</v>
          </cell>
          <cell r="AQ55">
            <v>254.08600000000001</v>
          </cell>
          <cell r="AR55">
            <v>14370.362666666668</v>
          </cell>
          <cell r="AS55">
            <v>9442</v>
          </cell>
          <cell r="AT55">
            <v>-5182.4486666666671</v>
          </cell>
          <cell r="AU55">
            <v>0</v>
          </cell>
          <cell r="AV55">
            <v>4093</v>
          </cell>
          <cell r="AW55">
            <v>254.08600000000001</v>
          </cell>
          <cell r="AX55">
            <v>10277.362666666668</v>
          </cell>
        </row>
        <row r="56">
          <cell r="C56">
            <v>1390.097</v>
          </cell>
          <cell r="D56">
            <v>310</v>
          </cell>
          <cell r="E56">
            <v>1080.097</v>
          </cell>
          <cell r="N56">
            <v>4321.6193939393943</v>
          </cell>
          <cell r="O56">
            <v>1303</v>
          </cell>
          <cell r="P56">
            <v>-3018.6193939393943</v>
          </cell>
          <cell r="Q56">
            <v>7790.4500000000007</v>
          </cell>
          <cell r="R56">
            <v>2369</v>
          </cell>
          <cell r="S56">
            <v>-5421.4500000000007</v>
          </cell>
          <cell r="T56">
            <v>2320.1227272727274</v>
          </cell>
          <cell r="U56">
            <v>1090</v>
          </cell>
          <cell r="V56">
            <v>1230.1227272727274</v>
          </cell>
          <cell r="W56">
            <v>745</v>
          </cell>
          <cell r="X56">
            <v>-1575.1227272727274</v>
          </cell>
          <cell r="Y56">
            <v>2183.8872727272728</v>
          </cell>
          <cell r="Z56">
            <v>1178</v>
          </cell>
          <cell r="AA56">
            <v>1005.8872727272728</v>
          </cell>
          <cell r="AB56">
            <v>662</v>
          </cell>
          <cell r="AC56">
            <v>-1521.8872727272728</v>
          </cell>
          <cell r="AD56">
            <v>8412.3463636363631</v>
          </cell>
          <cell r="AE56">
            <v>7525.8454545454542</v>
          </cell>
          <cell r="AF56">
            <v>886.50090909090886</v>
          </cell>
          <cell r="AG56">
            <v>2563</v>
          </cell>
          <cell r="AH56">
            <v>1747</v>
          </cell>
          <cell r="AI56">
            <v>306</v>
          </cell>
          <cell r="AJ56">
            <v>-5849.3463636363631</v>
          </cell>
          <cell r="AN56">
            <v>0</v>
          </cell>
          <cell r="AP56">
            <v>26303.021848484848</v>
          </cell>
          <cell r="AQ56">
            <v>7408.4375757575763</v>
          </cell>
          <cell r="AR56">
            <v>18894.584272727272</v>
          </cell>
          <cell r="AS56">
            <v>6826</v>
          </cell>
          <cell r="AT56">
            <v>-19477.021848484848</v>
          </cell>
          <cell r="AU56">
            <v>2268</v>
          </cell>
          <cell r="AV56">
            <v>4885</v>
          </cell>
          <cell r="AW56">
            <v>5140.4375757575763</v>
          </cell>
          <cell r="AX56">
            <v>14009.584272727272</v>
          </cell>
        </row>
        <row r="57">
          <cell r="C57">
            <v>76</v>
          </cell>
          <cell r="D57">
            <v>16</v>
          </cell>
          <cell r="E57">
            <v>60</v>
          </cell>
          <cell r="N57">
            <v>238</v>
          </cell>
          <cell r="O57">
            <v>70</v>
          </cell>
          <cell r="P57">
            <v>-168</v>
          </cell>
          <cell r="Q57">
            <v>429</v>
          </cell>
          <cell r="R57">
            <v>129</v>
          </cell>
          <cell r="S57">
            <v>-300</v>
          </cell>
          <cell r="T57">
            <v>127</v>
          </cell>
          <cell r="U57">
            <v>60</v>
          </cell>
          <cell r="V57">
            <v>67</v>
          </cell>
          <cell r="W57">
            <v>39</v>
          </cell>
          <cell r="X57">
            <v>-88</v>
          </cell>
          <cell r="Y57">
            <v>119</v>
          </cell>
          <cell r="Z57">
            <v>65</v>
          </cell>
          <cell r="AA57">
            <v>54</v>
          </cell>
          <cell r="AB57">
            <v>35</v>
          </cell>
          <cell r="AC57">
            <v>-84</v>
          </cell>
          <cell r="AD57">
            <v>463</v>
          </cell>
          <cell r="AE57">
            <v>413</v>
          </cell>
          <cell r="AF57">
            <v>50</v>
          </cell>
          <cell r="AG57">
            <v>136</v>
          </cell>
          <cell r="AH57">
            <v>96</v>
          </cell>
          <cell r="AI57">
            <v>18</v>
          </cell>
          <cell r="AJ57">
            <v>-327</v>
          </cell>
          <cell r="AN57">
            <v>0</v>
          </cell>
          <cell r="AP57">
            <v>1445</v>
          </cell>
          <cell r="AQ57">
            <v>407</v>
          </cell>
          <cell r="AR57">
            <v>1038</v>
          </cell>
          <cell r="AS57">
            <v>369</v>
          </cell>
          <cell r="AT57">
            <v>-1076</v>
          </cell>
          <cell r="AU57">
            <v>125</v>
          </cell>
          <cell r="AV57">
            <v>202</v>
          </cell>
          <cell r="AW57">
            <v>282</v>
          </cell>
          <cell r="AX57">
            <v>836</v>
          </cell>
        </row>
        <row r="58">
          <cell r="C58">
            <v>444</v>
          </cell>
          <cell r="D58">
            <v>117</v>
          </cell>
          <cell r="E58">
            <v>327</v>
          </cell>
          <cell r="N58">
            <v>1384</v>
          </cell>
          <cell r="O58">
            <v>417</v>
          </cell>
          <cell r="P58">
            <v>-967</v>
          </cell>
          <cell r="Q58">
            <v>2492</v>
          </cell>
          <cell r="R58">
            <v>610</v>
          </cell>
          <cell r="S58">
            <v>-1882</v>
          </cell>
          <cell r="T58">
            <v>742</v>
          </cell>
          <cell r="U58">
            <v>348</v>
          </cell>
          <cell r="V58">
            <v>394</v>
          </cell>
          <cell r="W58">
            <v>229</v>
          </cell>
          <cell r="X58">
            <v>-513</v>
          </cell>
          <cell r="Y58">
            <v>699</v>
          </cell>
          <cell r="Z58">
            <v>378</v>
          </cell>
          <cell r="AA58">
            <v>321</v>
          </cell>
          <cell r="AB58">
            <v>205</v>
          </cell>
          <cell r="AC58">
            <v>-494</v>
          </cell>
          <cell r="AD58">
            <v>2692</v>
          </cell>
          <cell r="AE58">
            <v>2408</v>
          </cell>
          <cell r="AF58">
            <v>284</v>
          </cell>
          <cell r="AG58">
            <v>793</v>
          </cell>
          <cell r="AH58">
            <v>559</v>
          </cell>
          <cell r="AI58">
            <v>103</v>
          </cell>
          <cell r="AJ58">
            <v>-1899</v>
          </cell>
          <cell r="AN58">
            <v>0</v>
          </cell>
          <cell r="AP58">
            <v>8416</v>
          </cell>
          <cell r="AQ58">
            <v>2388</v>
          </cell>
          <cell r="AR58">
            <v>6028</v>
          </cell>
          <cell r="AS58">
            <v>2021</v>
          </cell>
          <cell r="AT58">
            <v>-6395</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4102</v>
          </cell>
          <cell r="O60">
            <v>1794</v>
          </cell>
          <cell r="P60">
            <v>-2308</v>
          </cell>
          <cell r="Q60">
            <v>8986</v>
          </cell>
          <cell r="R60">
            <v>3886</v>
          </cell>
          <cell r="S60">
            <v>-5100</v>
          </cell>
          <cell r="T60">
            <v>4817</v>
          </cell>
          <cell r="U60">
            <v>2244</v>
          </cell>
          <cell r="V60">
            <v>2573</v>
          </cell>
          <cell r="W60">
            <v>2064</v>
          </cell>
          <cell r="X60">
            <v>-2753</v>
          </cell>
          <cell r="Y60">
            <v>5046.666666666667</v>
          </cell>
          <cell r="Z60">
            <v>2612</v>
          </cell>
          <cell r="AA60">
            <v>2434.666666666667</v>
          </cell>
          <cell r="AB60">
            <v>2209</v>
          </cell>
          <cell r="AC60">
            <v>-2837.666666666667</v>
          </cell>
          <cell r="AD60">
            <v>4355.666666666667</v>
          </cell>
          <cell r="AE60">
            <v>4204.3333333333339</v>
          </cell>
          <cell r="AF60">
            <v>151.33333333333303</v>
          </cell>
          <cell r="AG60">
            <v>1641</v>
          </cell>
          <cell r="AH60">
            <v>1265</v>
          </cell>
          <cell r="AI60">
            <v>155</v>
          </cell>
          <cell r="AJ60">
            <v>-2714.666666666667</v>
          </cell>
          <cell r="AN60">
            <v>0</v>
          </cell>
          <cell r="AP60">
            <v>27369</v>
          </cell>
          <cell r="AQ60">
            <v>9071</v>
          </cell>
          <cell r="AR60">
            <v>18298</v>
          </cell>
          <cell r="AS60">
            <v>11218</v>
          </cell>
          <cell r="AT60">
            <v>-16151</v>
          </cell>
          <cell r="AU60">
            <v>4856</v>
          </cell>
          <cell r="AV60">
            <v>8063</v>
          </cell>
          <cell r="AW60">
            <v>4215</v>
          </cell>
          <cell r="AX60">
            <v>10235</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4222.1499999999996</v>
          </cell>
          <cell r="P62">
            <v>-4222.1499999999996</v>
          </cell>
          <cell r="Q62">
            <v>8235.8940000000002</v>
          </cell>
          <cell r="S62">
            <v>-8235.8940000000002</v>
          </cell>
          <cell r="T62">
            <v>667.97</v>
          </cell>
          <cell r="U62">
            <v>53</v>
          </cell>
          <cell r="X62">
            <v>-667.97</v>
          </cell>
          <cell r="Y62">
            <v>1140.26</v>
          </cell>
          <cell r="Z62">
            <v>65</v>
          </cell>
          <cell r="AA62">
            <v>1075.26</v>
          </cell>
          <cell r="AC62">
            <v>-1140.26</v>
          </cell>
          <cell r="AD62">
            <v>1769</v>
          </cell>
          <cell r="AE62">
            <v>1769</v>
          </cell>
          <cell r="AF62">
            <v>0</v>
          </cell>
          <cell r="AI62">
            <v>0</v>
          </cell>
          <cell r="AJ62">
            <v>-1769</v>
          </cell>
          <cell r="AP62">
            <v>16300.273999999999</v>
          </cell>
          <cell r="AQ62">
            <v>4429.1499999999996</v>
          </cell>
          <cell r="AR62">
            <v>11871.124</v>
          </cell>
          <cell r="AS62">
            <v>0</v>
          </cell>
          <cell r="AT62">
            <v>-16300.273999999999</v>
          </cell>
          <cell r="AV62">
            <v>3340</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-120.15000000000009</v>
          </cell>
          <cell r="P64">
            <v>120.15000000000009</v>
          </cell>
          <cell r="Q64">
            <v>750.10600000000022</v>
          </cell>
          <cell r="S64">
            <v>-750.10600000000022</v>
          </cell>
          <cell r="T64">
            <v>4149.03</v>
          </cell>
          <cell r="U64">
            <v>2191</v>
          </cell>
          <cell r="X64">
            <v>-4149.03</v>
          </cell>
          <cell r="Y64">
            <v>3906.4066666666663</v>
          </cell>
          <cell r="Z64">
            <v>2547</v>
          </cell>
          <cell r="AA64">
            <v>1359.4066666666663</v>
          </cell>
          <cell r="AC64">
            <v>-3906.4066666666663</v>
          </cell>
          <cell r="AD64">
            <v>2586</v>
          </cell>
          <cell r="AE64">
            <v>2435</v>
          </cell>
          <cell r="AF64">
            <v>151</v>
          </cell>
          <cell r="AG64">
            <v>1641</v>
          </cell>
          <cell r="AH64">
            <v>1139</v>
          </cell>
          <cell r="AI64">
            <v>155</v>
          </cell>
          <cell r="AJ64">
            <v>-945</v>
          </cell>
          <cell r="AP64">
            <v>11127.392666666667</v>
          </cell>
          <cell r="AS64">
            <v>1139</v>
          </cell>
          <cell r="AT64">
            <v>-9988.3926666666666</v>
          </cell>
        </row>
        <row r="65">
          <cell r="C65">
            <v>810</v>
          </cell>
          <cell r="D65">
            <v>63</v>
          </cell>
          <cell r="E65">
            <v>747</v>
          </cell>
          <cell r="N65">
            <v>4888.6000000000004</v>
          </cell>
          <cell r="O65">
            <v>1295</v>
          </cell>
          <cell r="P65">
            <v>-3593.6000000000004</v>
          </cell>
          <cell r="Q65">
            <v>10553.895454545454</v>
          </cell>
          <cell r="R65">
            <v>2254</v>
          </cell>
          <cell r="S65">
            <v>-8299.8954545454544</v>
          </cell>
          <cell r="T65">
            <v>8878.2590909090904</v>
          </cell>
          <cell r="U65">
            <v>4919</v>
          </cell>
          <cell r="V65">
            <v>3959.2590909090904</v>
          </cell>
          <cell r="W65">
            <v>1557</v>
          </cell>
          <cell r="X65">
            <v>-7321.2590909090904</v>
          </cell>
          <cell r="Y65">
            <v>7244.0999999999995</v>
          </cell>
          <cell r="Z65">
            <v>4367</v>
          </cell>
          <cell r="AA65">
            <v>2877.0999999999995</v>
          </cell>
          <cell r="AB65">
            <v>1201</v>
          </cell>
          <cell r="AC65">
            <v>-6043.0999999999995</v>
          </cell>
          <cell r="AD65">
            <v>5961.1136363636369</v>
          </cell>
          <cell r="AE65">
            <v>5888.1136363636369</v>
          </cell>
          <cell r="AF65">
            <v>73</v>
          </cell>
          <cell r="AG65">
            <v>1946</v>
          </cell>
          <cell r="AH65">
            <v>938</v>
          </cell>
          <cell r="AI65">
            <v>0</v>
          </cell>
          <cell r="AJ65">
            <v>-4015.1136363636369</v>
          </cell>
          <cell r="AP65">
            <v>38268.968181818185</v>
          </cell>
          <cell r="AQ65">
            <v>14207.6</v>
          </cell>
          <cell r="AR65">
            <v>24061.368181818187</v>
          </cell>
          <cell r="AS65">
            <v>7245</v>
          </cell>
          <cell r="AT65">
            <v>-31023.968181818185</v>
          </cell>
          <cell r="AU65">
            <v>9286</v>
          </cell>
          <cell r="AV65">
            <v>10425</v>
          </cell>
          <cell r="AW65">
            <v>4921.6000000000004</v>
          </cell>
          <cell r="AX65">
            <v>13636.368181818187</v>
          </cell>
        </row>
        <row r="66">
          <cell r="C66">
            <v>0</v>
          </cell>
          <cell r="D66">
            <v>0</v>
          </cell>
          <cell r="E66">
            <v>0</v>
          </cell>
          <cell r="N66">
            <v>520.33333333333326</v>
          </cell>
          <cell r="O66">
            <v>198</v>
          </cell>
          <cell r="P66">
            <v>-322.33333333333326</v>
          </cell>
          <cell r="Q66">
            <v>3093.0909090909095</v>
          </cell>
          <cell r="R66">
            <v>1097</v>
          </cell>
          <cell r="S66">
            <v>-1996.0909090909095</v>
          </cell>
          <cell r="T66">
            <v>1803.4545454545455</v>
          </cell>
          <cell r="U66">
            <v>922</v>
          </cell>
          <cell r="V66">
            <v>881.4545454545455</v>
          </cell>
          <cell r="W66">
            <v>608</v>
          </cell>
          <cell r="X66">
            <v>-1195.4545454545455</v>
          </cell>
          <cell r="Y66">
            <v>1171</v>
          </cell>
          <cell r="Z66">
            <v>634</v>
          </cell>
          <cell r="AA66">
            <v>537</v>
          </cell>
          <cell r="AB66">
            <v>435</v>
          </cell>
          <cell r="AC66">
            <v>-736</v>
          </cell>
          <cell r="AD66">
            <v>1256</v>
          </cell>
          <cell r="AE66">
            <v>1256.090909090909</v>
          </cell>
          <cell r="AF66">
            <v>-9.0909090909008228E-2</v>
          </cell>
          <cell r="AG66">
            <v>318</v>
          </cell>
          <cell r="AH66">
            <v>237</v>
          </cell>
          <cell r="AI66">
            <v>0</v>
          </cell>
          <cell r="AJ66">
            <v>-938</v>
          </cell>
          <cell r="AP66">
            <v>7843.969696969697</v>
          </cell>
          <cell r="AQ66">
            <v>2076.333333333333</v>
          </cell>
          <cell r="AR66">
            <v>5767.636363636364</v>
          </cell>
          <cell r="AS66">
            <v>2575</v>
          </cell>
          <cell r="AT66">
            <v>-5268.969696969697</v>
          </cell>
        </row>
        <row r="67">
          <cell r="C67">
            <v>0</v>
          </cell>
          <cell r="D67">
            <v>0</v>
          </cell>
          <cell r="E67">
            <v>0</v>
          </cell>
          <cell r="N67">
            <v>30</v>
          </cell>
          <cell r="O67">
            <v>11</v>
          </cell>
          <cell r="P67">
            <v>-19</v>
          </cell>
          <cell r="Q67">
            <v>170</v>
          </cell>
          <cell r="R67">
            <v>60</v>
          </cell>
          <cell r="S67">
            <v>-110</v>
          </cell>
          <cell r="T67">
            <v>99</v>
          </cell>
          <cell r="U67">
            <v>51</v>
          </cell>
          <cell r="V67">
            <v>48</v>
          </cell>
          <cell r="W67">
            <v>33</v>
          </cell>
          <cell r="X67">
            <v>-66</v>
          </cell>
          <cell r="Y67">
            <v>64</v>
          </cell>
          <cell r="Z67">
            <v>35</v>
          </cell>
          <cell r="AA67">
            <v>29</v>
          </cell>
          <cell r="AB67">
            <v>24</v>
          </cell>
          <cell r="AC67">
            <v>-40</v>
          </cell>
          <cell r="AD67">
            <v>69</v>
          </cell>
          <cell r="AE67">
            <v>69</v>
          </cell>
          <cell r="AF67">
            <v>0</v>
          </cell>
          <cell r="AG67">
            <v>17</v>
          </cell>
          <cell r="AH67">
            <v>12</v>
          </cell>
          <cell r="AI67">
            <v>0</v>
          </cell>
          <cell r="AJ67">
            <v>-52</v>
          </cell>
          <cell r="AP67">
            <v>432</v>
          </cell>
          <cell r="AQ67">
            <v>116</v>
          </cell>
          <cell r="AR67">
            <v>316</v>
          </cell>
          <cell r="AS67">
            <v>140</v>
          </cell>
          <cell r="AT67">
            <v>-292</v>
          </cell>
        </row>
        <row r="68">
          <cell r="C68">
            <v>0</v>
          </cell>
          <cell r="D68">
            <v>0</v>
          </cell>
          <cell r="E68">
            <v>0</v>
          </cell>
          <cell r="N68">
            <v>168</v>
          </cell>
          <cell r="O68">
            <v>63</v>
          </cell>
          <cell r="P68">
            <v>-105</v>
          </cell>
          <cell r="Q68">
            <v>988</v>
          </cell>
          <cell r="R68">
            <v>330</v>
          </cell>
          <cell r="S68">
            <v>-658</v>
          </cell>
          <cell r="T68">
            <v>578</v>
          </cell>
          <cell r="U68">
            <v>295</v>
          </cell>
          <cell r="V68">
            <v>283</v>
          </cell>
          <cell r="W68">
            <v>190</v>
          </cell>
          <cell r="X68">
            <v>-388</v>
          </cell>
          <cell r="Y68">
            <v>377</v>
          </cell>
          <cell r="Z68">
            <v>205</v>
          </cell>
          <cell r="AA68">
            <v>172</v>
          </cell>
          <cell r="AB68">
            <v>137</v>
          </cell>
          <cell r="AC68">
            <v>-240</v>
          </cell>
          <cell r="AD68">
            <v>402</v>
          </cell>
          <cell r="AE68">
            <v>402</v>
          </cell>
          <cell r="AF68">
            <v>0</v>
          </cell>
          <cell r="AG68">
            <v>102</v>
          </cell>
          <cell r="AH68">
            <v>16</v>
          </cell>
          <cell r="AI68">
            <v>0</v>
          </cell>
          <cell r="AJ68">
            <v>-300</v>
          </cell>
          <cell r="AP68">
            <v>2513</v>
          </cell>
          <cell r="AQ68">
            <v>668</v>
          </cell>
          <cell r="AR68">
            <v>1845</v>
          </cell>
          <cell r="AS68">
            <v>620</v>
          </cell>
          <cell r="AT68">
            <v>-1893</v>
          </cell>
        </row>
        <row r="69">
          <cell r="C69">
            <v>0</v>
          </cell>
          <cell r="D69">
            <v>0</v>
          </cell>
          <cell r="E69">
            <v>0</v>
          </cell>
          <cell r="N69">
            <v>198</v>
          </cell>
          <cell r="P69">
            <v>-198</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198</v>
          </cell>
          <cell r="AQ69">
            <v>198</v>
          </cell>
          <cell r="AR69">
            <v>0</v>
          </cell>
          <cell r="AS69">
            <v>0</v>
          </cell>
          <cell r="AT69">
            <v>-198</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10489.5</v>
          </cell>
          <cell r="D72">
            <v>1252</v>
          </cell>
          <cell r="E72">
            <v>9237.5</v>
          </cell>
          <cell r="N72">
            <v>710.07</v>
          </cell>
          <cell r="O72">
            <v>227</v>
          </cell>
          <cell r="P72">
            <v>-483.07000000000005</v>
          </cell>
          <cell r="Q72">
            <v>2114.3516666666665</v>
          </cell>
          <cell r="R72">
            <v>403</v>
          </cell>
          <cell r="S72">
            <v>-1711.3516666666665</v>
          </cell>
          <cell r="T72">
            <v>728.45800000000008</v>
          </cell>
          <cell r="U72">
            <v>344</v>
          </cell>
          <cell r="V72">
            <v>384.45800000000008</v>
          </cell>
          <cell r="W72">
            <v>175</v>
          </cell>
          <cell r="X72">
            <v>-553.45800000000008</v>
          </cell>
          <cell r="Y72">
            <v>645.31200000000001</v>
          </cell>
          <cell r="Z72">
            <v>350</v>
          </cell>
          <cell r="AA72">
            <v>295.31200000000001</v>
          </cell>
          <cell r="AB72">
            <v>94</v>
          </cell>
          <cell r="AC72">
            <v>-551.31200000000001</v>
          </cell>
          <cell r="AD72">
            <v>1489.9006666666667</v>
          </cell>
          <cell r="AE72">
            <v>1233.93</v>
          </cell>
          <cell r="AF72">
            <v>255.9706666666666</v>
          </cell>
          <cell r="AG72">
            <v>379</v>
          </cell>
          <cell r="AH72">
            <v>173</v>
          </cell>
          <cell r="AI72">
            <v>35</v>
          </cell>
          <cell r="AJ72">
            <v>-1110.9006666666667</v>
          </cell>
          <cell r="AN72">
            <v>0</v>
          </cell>
          <cell r="AP72">
            <v>17151.752333333334</v>
          </cell>
          <cell r="AQ72" t="e">
            <v>#REF!</v>
          </cell>
          <cell r="AR72" t="e">
            <v>#REF!</v>
          </cell>
          <cell r="AS72">
            <v>181</v>
          </cell>
          <cell r="AT72">
            <v>-16970.752333333334</v>
          </cell>
          <cell r="AU72">
            <v>694</v>
          </cell>
          <cell r="AV72">
            <v>1364</v>
          </cell>
          <cell r="AW72">
            <v>2524.67</v>
          </cell>
          <cell r="AX72" t="e">
            <v>#REF!</v>
          </cell>
        </row>
        <row r="73">
          <cell r="C73">
            <v>927</v>
          </cell>
          <cell r="D73">
            <v>70</v>
          </cell>
          <cell r="E73">
            <v>857</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945</v>
          </cell>
          <cell r="AQ73">
            <v>70</v>
          </cell>
          <cell r="AR73">
            <v>875</v>
          </cell>
          <cell r="AS73">
            <v>0</v>
          </cell>
          <cell r="AT73">
            <v>-945</v>
          </cell>
          <cell r="AU73">
            <v>0</v>
          </cell>
          <cell r="AV73">
            <v>18</v>
          </cell>
          <cell r="AW73">
            <v>70</v>
          </cell>
          <cell r="AX73">
            <v>857</v>
          </cell>
        </row>
        <row r="74">
          <cell r="C74">
            <v>9562.5</v>
          </cell>
          <cell r="D74">
            <v>1182</v>
          </cell>
          <cell r="E74">
            <v>8380.5</v>
          </cell>
          <cell r="N74">
            <v>710.07</v>
          </cell>
          <cell r="P74">
            <v>-710.07</v>
          </cell>
          <cell r="Q74">
            <v>2013.3516666666667</v>
          </cell>
          <cell r="S74">
            <v>-2013.3516666666667</v>
          </cell>
          <cell r="T74">
            <v>728.45800000000008</v>
          </cell>
          <cell r="U74">
            <v>344</v>
          </cell>
          <cell r="V74">
            <v>384.45800000000008</v>
          </cell>
          <cell r="X74">
            <v>-728.45800000000008</v>
          </cell>
          <cell r="Y74">
            <v>627.31200000000001</v>
          </cell>
          <cell r="Z74">
            <v>350</v>
          </cell>
          <cell r="AA74">
            <v>277.31200000000001</v>
          </cell>
          <cell r="AC74">
            <v>-627.31200000000001</v>
          </cell>
          <cell r="AD74">
            <v>1489.9006666666667</v>
          </cell>
          <cell r="AE74">
            <v>1233.33</v>
          </cell>
          <cell r="AF74">
            <v>256.57066666666674</v>
          </cell>
          <cell r="AG74">
            <v>379</v>
          </cell>
          <cell r="AH74">
            <v>173</v>
          </cell>
          <cell r="AI74">
            <v>35</v>
          </cell>
          <cell r="AJ74">
            <v>-1110.9006666666667</v>
          </cell>
          <cell r="AN74">
            <v>0</v>
          </cell>
          <cell r="AP74">
            <v>16105.152333333333</v>
          </cell>
          <cell r="AQ74">
            <v>3148.67</v>
          </cell>
          <cell r="AR74">
            <v>12956.482333333333</v>
          </cell>
          <cell r="AS74">
            <v>181</v>
          </cell>
          <cell r="AT74">
            <v>-15924.152333333333</v>
          </cell>
          <cell r="AU74">
            <v>694</v>
          </cell>
          <cell r="AV74">
            <v>1346</v>
          </cell>
          <cell r="AW74">
            <v>2454.67</v>
          </cell>
          <cell r="AX74">
            <v>11610.482333333333</v>
          </cell>
        </row>
        <row r="75">
          <cell r="C75">
            <v>1066</v>
          </cell>
          <cell r="D75">
            <v>299</v>
          </cell>
          <cell r="E75">
            <v>767</v>
          </cell>
          <cell r="N75">
            <v>479.07</v>
          </cell>
          <cell r="P75">
            <v>-479.07</v>
          </cell>
          <cell r="Q75">
            <v>1244.9099999999999</v>
          </cell>
          <cell r="S75">
            <v>-1244.9099999999999</v>
          </cell>
          <cell r="T75">
            <v>420.80799999999999</v>
          </cell>
          <cell r="U75">
            <v>202</v>
          </cell>
          <cell r="V75">
            <v>218.80799999999999</v>
          </cell>
          <cell r="X75">
            <v>-420.80799999999999</v>
          </cell>
          <cell r="Y75">
            <v>250.36199999999999</v>
          </cell>
          <cell r="Z75">
            <v>204</v>
          </cell>
          <cell r="AA75">
            <v>46.361999999999995</v>
          </cell>
          <cell r="AC75">
            <v>-250.36199999999999</v>
          </cell>
          <cell r="AD75">
            <v>961.10066666666671</v>
          </cell>
          <cell r="AE75">
            <v>817.48</v>
          </cell>
          <cell r="AF75">
            <v>143.62066666666669</v>
          </cell>
          <cell r="AJ75">
            <v>-961.10066666666671</v>
          </cell>
          <cell r="AP75">
            <v>4678.6299999999992</v>
          </cell>
          <cell r="AQ75">
            <v>1408.67</v>
          </cell>
          <cell r="AR75">
            <v>3269.9599999999991</v>
          </cell>
          <cell r="AS75">
            <v>0</v>
          </cell>
          <cell r="AT75">
            <v>-4678.6299999999992</v>
          </cell>
          <cell r="AX75">
            <v>3269.9599999999991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915</v>
          </cell>
          <cell r="D77">
            <v>323</v>
          </cell>
          <cell r="E77">
            <v>592</v>
          </cell>
          <cell r="N77">
            <v>87.75</v>
          </cell>
          <cell r="Q77">
            <v>515.4666666666667</v>
          </cell>
          <cell r="T77">
            <v>133.6</v>
          </cell>
          <cell r="U77">
            <v>17</v>
          </cell>
          <cell r="V77">
            <v>116.6</v>
          </cell>
          <cell r="Y77">
            <v>126.15</v>
          </cell>
          <cell r="Z77">
            <v>46</v>
          </cell>
          <cell r="AA77">
            <v>80.150000000000006</v>
          </cell>
          <cell r="AD77">
            <v>253.75</v>
          </cell>
          <cell r="AE77">
            <v>212.85</v>
          </cell>
          <cell r="AF77">
            <v>40.900000000000006</v>
          </cell>
        </row>
        <row r="78">
          <cell r="C78">
            <v>3122.5</v>
          </cell>
          <cell r="D78">
            <v>363</v>
          </cell>
          <cell r="E78">
            <v>2759.5</v>
          </cell>
          <cell r="N78">
            <v>142.25</v>
          </cell>
          <cell r="Q78">
            <v>353.97500000000002</v>
          </cell>
          <cell r="T78">
            <v>173.05</v>
          </cell>
          <cell r="U78">
            <v>34</v>
          </cell>
          <cell r="V78">
            <v>139.05000000000001</v>
          </cell>
          <cell r="Y78">
            <v>250.8</v>
          </cell>
          <cell r="Z78">
            <v>69</v>
          </cell>
          <cell r="AA78">
            <v>181.8</v>
          </cell>
          <cell r="AD78">
            <v>274.05</v>
          </cell>
          <cell r="AE78">
            <v>203</v>
          </cell>
          <cell r="AF78">
            <v>71.050000000000011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15664.597</v>
          </cell>
          <cell r="D80">
            <v>2178</v>
          </cell>
          <cell r="E80">
            <v>13486.597</v>
          </cell>
          <cell r="N80">
            <v>19283.667393939395</v>
          </cell>
          <cell r="O80">
            <v>6571</v>
          </cell>
          <cell r="P80">
            <v>-12712.667393939395</v>
          </cell>
          <cell r="Q80">
            <v>126414.37178787879</v>
          </cell>
          <cell r="R80">
            <v>83057</v>
          </cell>
          <cell r="S80">
            <v>-43357.371787878787</v>
          </cell>
          <cell r="T80">
            <v>198443.80515151517</v>
          </cell>
          <cell r="U80">
            <v>112107.34756097561</v>
          </cell>
          <cell r="V80">
            <v>86336.457590539532</v>
          </cell>
          <cell r="W80">
            <v>101508</v>
          </cell>
          <cell r="X80">
            <v>-96935.805151515175</v>
          </cell>
          <cell r="Y80">
            <v>163986.33393939392</v>
          </cell>
          <cell r="Z80">
            <v>96838.750161952048</v>
          </cell>
          <cell r="AA80">
            <v>67147.583777441905</v>
          </cell>
          <cell r="AB80">
            <v>81399</v>
          </cell>
          <cell r="AC80">
            <v>-82587.333939393924</v>
          </cell>
          <cell r="AD80">
            <v>33796.432666666668</v>
          </cell>
          <cell r="AE80">
            <v>27938.544424242424</v>
          </cell>
          <cell r="AF80">
            <v>5857.888242424242</v>
          </cell>
          <cell r="AG80">
            <v>9642</v>
          </cell>
          <cell r="AH80">
            <v>6481</v>
          </cell>
          <cell r="AI80">
            <v>2032</v>
          </cell>
          <cell r="AJ80">
            <v>-24154.432666666668</v>
          </cell>
          <cell r="AL80">
            <v>0</v>
          </cell>
          <cell r="AN80">
            <v>0</v>
          </cell>
          <cell r="AP80">
            <v>554220.57036363648</v>
          </cell>
          <cell r="AQ80" t="e">
            <v>#REF!</v>
          </cell>
          <cell r="AR80" t="e">
            <v>#REF!</v>
          </cell>
          <cell r="AS80">
            <v>278125</v>
          </cell>
          <cell r="AT80">
            <v>-276095.57036363648</v>
          </cell>
          <cell r="AU80">
            <v>208220.09772292766</v>
          </cell>
          <cell r="AV80">
            <v>242680</v>
          </cell>
          <cell r="AW80">
            <v>21243.085575757577</v>
          </cell>
          <cell r="AX80" t="e">
            <v>#REF!</v>
          </cell>
        </row>
        <row r="81">
          <cell r="C81">
            <v>14737.597</v>
          </cell>
          <cell r="D81">
            <v>2108</v>
          </cell>
          <cell r="E81">
            <v>12629.597</v>
          </cell>
          <cell r="P81">
            <v>0</v>
          </cell>
          <cell r="S81">
            <v>0</v>
          </cell>
          <cell r="X81">
            <v>0</v>
          </cell>
          <cell r="AC81">
            <v>0</v>
          </cell>
          <cell r="AJ81">
            <v>0</v>
          </cell>
          <cell r="AP81">
            <v>162732.57036363648</v>
          </cell>
          <cell r="AQ81" t="e">
            <v>#REF!</v>
          </cell>
          <cell r="AR81" t="e">
            <v>#REF!</v>
          </cell>
          <cell r="AS81">
            <v>0</v>
          </cell>
          <cell r="AT81">
            <v>-162732.57036363648</v>
          </cell>
          <cell r="AU81">
            <v>22301</v>
          </cell>
          <cell r="AV81">
            <v>37112</v>
          </cell>
          <cell r="AW81">
            <v>21242.085575757577</v>
          </cell>
          <cell r="AX81" t="e">
            <v>#REF!</v>
          </cell>
        </row>
        <row r="82">
          <cell r="N82">
            <v>4841.9527272727273</v>
          </cell>
          <cell r="O82">
            <v>1501</v>
          </cell>
          <cell r="P82">
            <v>-3340.9527272727273</v>
          </cell>
          <cell r="Q82">
            <v>10883.540909090911</v>
          </cell>
          <cell r="R82">
            <v>3466</v>
          </cell>
          <cell r="S82">
            <v>-7417.5409090909106</v>
          </cell>
          <cell r="T82">
            <v>4123.5772727272724</v>
          </cell>
          <cell r="U82">
            <v>2012</v>
          </cell>
          <cell r="V82">
            <v>2111.5772727272729</v>
          </cell>
          <cell r="W82">
            <v>1353</v>
          </cell>
          <cell r="X82">
            <v>-2770.5772727272724</v>
          </cell>
          <cell r="Y82">
            <v>3354.8872727272728</v>
          </cell>
          <cell r="Z82">
            <v>1812</v>
          </cell>
          <cell r="AA82">
            <v>1542.8872727272728</v>
          </cell>
          <cell r="AB82">
            <v>1097</v>
          </cell>
          <cell r="AC82">
            <v>-2257.8872727272728</v>
          </cell>
          <cell r="AD82">
            <v>9668.3463636363631</v>
          </cell>
          <cell r="AE82">
            <v>8781.9363636363632</v>
          </cell>
          <cell r="AF82">
            <v>886.40999999999985</v>
          </cell>
          <cell r="AG82">
            <v>2881</v>
          </cell>
          <cell r="AH82">
            <v>1984</v>
          </cell>
          <cell r="AI82">
            <v>306</v>
          </cell>
          <cell r="AJ82">
            <v>-6787.3463636363631</v>
          </cell>
          <cell r="AN82">
            <v>0</v>
          </cell>
          <cell r="AP82">
            <v>34146.991545454548</v>
          </cell>
          <cell r="AS82">
            <v>9401</v>
          </cell>
          <cell r="AT82">
            <v>-24745.991545454548</v>
          </cell>
        </row>
        <row r="83">
          <cell r="C83">
            <v>14767</v>
          </cell>
          <cell r="D83">
            <v>11292</v>
          </cell>
          <cell r="E83">
            <v>0</v>
          </cell>
          <cell r="P83">
            <v>0</v>
          </cell>
          <cell r="S83">
            <v>0</v>
          </cell>
          <cell r="X83">
            <v>0</v>
          </cell>
          <cell r="AC83">
            <v>0</v>
          </cell>
          <cell r="AJ83">
            <v>0</v>
          </cell>
          <cell r="AP83">
            <v>14767</v>
          </cell>
          <cell r="AQ83">
            <v>11292</v>
          </cell>
          <cell r="AR83">
            <v>0</v>
          </cell>
          <cell r="AS83">
            <v>0</v>
          </cell>
          <cell r="AT83">
            <v>-14767</v>
          </cell>
          <cell r="AU83">
            <v>0</v>
          </cell>
          <cell r="AV83">
            <v>0</v>
          </cell>
          <cell r="AW83">
            <v>0</v>
          </cell>
          <cell r="AX83">
            <v>0</v>
          </cell>
        </row>
        <row r="84">
          <cell r="C84">
            <v>30431.597000000002</v>
          </cell>
          <cell r="D84">
            <v>13470</v>
          </cell>
          <cell r="E84">
            <v>13486.597</v>
          </cell>
          <cell r="N84">
            <v>19283.667393939395</v>
          </cell>
          <cell r="O84">
            <v>6571</v>
          </cell>
          <cell r="P84">
            <v>-12712.667393939395</v>
          </cell>
          <cell r="Q84">
            <v>126414.37178787879</v>
          </cell>
          <cell r="R84">
            <v>83057</v>
          </cell>
          <cell r="S84">
            <v>-43357.371787878787</v>
          </cell>
          <cell r="T84">
            <v>198443.80515151517</v>
          </cell>
          <cell r="U84">
            <v>112107.34756097561</v>
          </cell>
          <cell r="V84">
            <v>86336.457590539532</v>
          </cell>
          <cell r="W84">
            <v>101508</v>
          </cell>
          <cell r="X84">
            <v>-96935.805151515175</v>
          </cell>
          <cell r="Y84">
            <v>163986.33393939392</v>
          </cell>
          <cell r="Z84">
            <v>96838.750161952048</v>
          </cell>
          <cell r="AA84">
            <v>67147.583777441905</v>
          </cell>
          <cell r="AB84">
            <v>81399</v>
          </cell>
          <cell r="AC84">
            <v>-82587.333939393924</v>
          </cell>
          <cell r="AD84">
            <v>33796.432666666668</v>
          </cell>
          <cell r="AE84">
            <v>27938.544424242424</v>
          </cell>
          <cell r="AF84">
            <v>5857.888242424242</v>
          </cell>
          <cell r="AG84">
            <v>9642</v>
          </cell>
          <cell r="AH84">
            <v>6481</v>
          </cell>
          <cell r="AI84">
            <v>2032</v>
          </cell>
          <cell r="AJ84">
            <v>-24154.432666666668</v>
          </cell>
          <cell r="AL84">
            <v>0</v>
          </cell>
          <cell r="AN84">
            <v>0</v>
          </cell>
          <cell r="AP84">
            <v>568987.57036363648</v>
          </cell>
          <cell r="AQ84" t="e">
            <v>#REF!</v>
          </cell>
          <cell r="AR84" t="e">
            <v>#REF!</v>
          </cell>
          <cell r="AS84">
            <v>278125</v>
          </cell>
          <cell r="AT84">
            <v>-290862.57036363648</v>
          </cell>
          <cell r="AU84">
            <v>208220.09772292766</v>
          </cell>
          <cell r="AV84">
            <v>242680</v>
          </cell>
          <cell r="AW84">
            <v>21243.085575757577</v>
          </cell>
          <cell r="AX84" t="e">
            <v>#REF!</v>
          </cell>
        </row>
        <row r="85">
          <cell r="C85">
            <v>0</v>
          </cell>
          <cell r="D85">
            <v>0</v>
          </cell>
          <cell r="E85">
            <v>0</v>
          </cell>
          <cell r="N85">
            <v>0</v>
          </cell>
          <cell r="P85">
            <v>0</v>
          </cell>
          <cell r="Q85">
            <v>0</v>
          </cell>
          <cell r="S85">
            <v>0</v>
          </cell>
          <cell r="U85">
            <v>0</v>
          </cell>
          <cell r="V85">
            <v>0</v>
          </cell>
          <cell r="X85">
            <v>0</v>
          </cell>
          <cell r="Y85">
            <v>13442.217575757575</v>
          </cell>
          <cell r="AC85">
            <v>-13442.217575757575</v>
          </cell>
          <cell r="AI85">
            <v>0</v>
          </cell>
          <cell r="AJ85">
            <v>0</v>
          </cell>
          <cell r="AP85">
            <v>13441.217575757575</v>
          </cell>
          <cell r="AQ85">
            <v>0</v>
          </cell>
          <cell r="AR85">
            <v>13441.217575757575</v>
          </cell>
          <cell r="AS85">
            <v>0</v>
          </cell>
          <cell r="AT85">
            <v>-13441.217575757575</v>
          </cell>
          <cell r="AU85">
            <v>0</v>
          </cell>
          <cell r="AV85">
            <v>0</v>
          </cell>
          <cell r="AW85">
            <v>0</v>
          </cell>
          <cell r="AX85">
            <v>13441.217575757575</v>
          </cell>
        </row>
        <row r="86">
          <cell r="C86">
            <v>1383</v>
          </cell>
          <cell r="D86">
            <v>1959</v>
          </cell>
          <cell r="E86">
            <v>-576</v>
          </cell>
          <cell r="N86">
            <v>0</v>
          </cell>
          <cell r="P86">
            <v>0</v>
          </cell>
          <cell r="Q86">
            <v>0</v>
          </cell>
          <cell r="S86">
            <v>0</v>
          </cell>
          <cell r="T86">
            <v>0</v>
          </cell>
          <cell r="U86">
            <v>0</v>
          </cell>
          <cell r="V86">
            <v>0</v>
          </cell>
          <cell r="X86">
            <v>0</v>
          </cell>
          <cell r="Y86">
            <v>0</v>
          </cell>
          <cell r="AC86">
            <v>0</v>
          </cell>
          <cell r="AI86">
            <v>0</v>
          </cell>
          <cell r="AJ86">
            <v>0</v>
          </cell>
          <cell r="AP86">
            <v>1383</v>
          </cell>
          <cell r="AQ86">
            <v>1959</v>
          </cell>
          <cell r="AR86">
            <v>-576</v>
          </cell>
          <cell r="AS86">
            <v>0</v>
          </cell>
          <cell r="AT86">
            <v>-1383</v>
          </cell>
          <cell r="AU86">
            <v>0</v>
          </cell>
          <cell r="AV86">
            <v>0</v>
          </cell>
          <cell r="AW86">
            <v>1959</v>
          </cell>
          <cell r="AX86">
            <v>-576</v>
          </cell>
        </row>
        <row r="87">
          <cell r="C87">
            <v>101</v>
          </cell>
          <cell r="D87">
            <v>481</v>
          </cell>
          <cell r="E87">
            <v>-380</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100</v>
          </cell>
          <cell r="AQ87">
            <v>481</v>
          </cell>
          <cell r="AR87">
            <v>-381</v>
          </cell>
          <cell r="AS87">
            <v>-1</v>
          </cell>
          <cell r="AT87">
            <v>-101</v>
          </cell>
          <cell r="AU87">
            <v>0</v>
          </cell>
          <cell r="AV87">
            <v>0</v>
          </cell>
          <cell r="AW87">
            <v>481</v>
          </cell>
          <cell r="AX87">
            <v>-381</v>
          </cell>
        </row>
        <row r="88">
          <cell r="C88">
            <v>74</v>
          </cell>
          <cell r="D88">
            <v>12</v>
          </cell>
          <cell r="E88">
            <v>62</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140</v>
          </cell>
          <cell r="AE88">
            <v>46</v>
          </cell>
          <cell r="AF88">
            <v>94</v>
          </cell>
          <cell r="AG88">
            <v>44</v>
          </cell>
          <cell r="AH88">
            <v>15</v>
          </cell>
          <cell r="AI88">
            <v>29</v>
          </cell>
          <cell r="AJ88">
            <v>-96</v>
          </cell>
          <cell r="AP88">
            <v>956.59999999999991</v>
          </cell>
          <cell r="AQ88">
            <v>301.13333333333333</v>
          </cell>
          <cell r="AR88">
            <v>655.46666666666658</v>
          </cell>
          <cell r="AS88">
            <v>65</v>
          </cell>
          <cell r="AT88">
            <v>-891.59999999999991</v>
          </cell>
          <cell r="AU88">
            <v>176</v>
          </cell>
          <cell r="AV88">
            <v>46</v>
          </cell>
          <cell r="AW88">
            <v>125.13333333333333</v>
          </cell>
          <cell r="AX88">
            <v>609.46666666666658</v>
          </cell>
        </row>
        <row r="89">
          <cell r="C89">
            <v>31989.597000000002</v>
          </cell>
          <cell r="D89">
            <v>15922</v>
          </cell>
          <cell r="E89">
            <v>12592.597</v>
          </cell>
          <cell r="N89">
            <v>19465.80072727273</v>
          </cell>
          <cell r="O89">
            <v>6622</v>
          </cell>
          <cell r="P89">
            <v>-12843.80072727273</v>
          </cell>
          <cell r="Q89">
            <v>126603.97178787879</v>
          </cell>
          <cell r="R89">
            <v>83057</v>
          </cell>
          <cell r="S89">
            <v>-43546.971787878792</v>
          </cell>
          <cell r="T89">
            <v>198613.73848484849</v>
          </cell>
          <cell r="U89">
            <v>112283.34756097561</v>
          </cell>
          <cell r="V89">
            <v>86330.390923872867</v>
          </cell>
          <cell r="W89">
            <v>101508</v>
          </cell>
          <cell r="X89">
            <v>-97105.738484848494</v>
          </cell>
          <cell r="Y89">
            <v>177818.48484848483</v>
          </cell>
          <cell r="Z89">
            <v>96838.750161952048</v>
          </cell>
          <cell r="AA89">
            <v>67147.583777441905</v>
          </cell>
          <cell r="AB89">
            <v>81399</v>
          </cell>
          <cell r="AC89">
            <v>-96419.484848484833</v>
          </cell>
          <cell r="AD89">
            <v>33936.432666666668</v>
          </cell>
          <cell r="AE89">
            <v>27984.544424242424</v>
          </cell>
          <cell r="AF89">
            <v>5951.888242424242</v>
          </cell>
          <cell r="AG89">
            <v>9686</v>
          </cell>
          <cell r="AH89">
            <v>6496</v>
          </cell>
          <cell r="AI89">
            <v>2061</v>
          </cell>
          <cell r="AJ89">
            <v>-24250.432666666668</v>
          </cell>
          <cell r="AK89">
            <v>0</v>
          </cell>
          <cell r="AN89">
            <v>0</v>
          </cell>
          <cell r="AP89">
            <v>584870.38793939399</v>
          </cell>
          <cell r="AQ89" t="e">
            <v>#REF!</v>
          </cell>
          <cell r="AR89" t="e">
            <v>#REF!</v>
          </cell>
          <cell r="AS89">
            <v>278189</v>
          </cell>
          <cell r="AT89">
            <v>-306681.38793939399</v>
          </cell>
          <cell r="AU89">
            <v>208396.09772292766</v>
          </cell>
          <cell r="AV89">
            <v>242726</v>
          </cell>
          <cell r="AW89">
            <v>23808.218909090912</v>
          </cell>
          <cell r="AX89" t="e">
            <v>#REF!</v>
          </cell>
        </row>
        <row r="90">
          <cell r="C90">
            <v>17222.597000000002</v>
          </cell>
          <cell r="D90">
            <v>4630</v>
          </cell>
          <cell r="E90">
            <v>12592.597</v>
          </cell>
          <cell r="N90">
            <v>19465.80072727273</v>
          </cell>
          <cell r="O90">
            <v>6622</v>
          </cell>
          <cell r="P90">
            <v>-12843.80072727273</v>
          </cell>
          <cell r="Q90">
            <v>54063.971787878792</v>
          </cell>
          <cell r="R90">
            <v>21655</v>
          </cell>
          <cell r="S90">
            <v>-32408.971787878792</v>
          </cell>
          <cell r="T90">
            <v>25645.738484848494</v>
          </cell>
          <cell r="U90">
            <v>13122</v>
          </cell>
          <cell r="V90">
            <v>12523.73848484848</v>
          </cell>
          <cell r="W90">
            <v>7876</v>
          </cell>
          <cell r="X90">
            <v>-17769.738484848494</v>
          </cell>
          <cell r="Y90">
            <v>31839.484848484833</v>
          </cell>
          <cell r="Z90">
            <v>10081</v>
          </cell>
          <cell r="AA90">
            <v>7926.3339393939532</v>
          </cell>
          <cell r="AB90">
            <v>5098</v>
          </cell>
          <cell r="AC90">
            <v>-26741.484848484833</v>
          </cell>
          <cell r="AD90">
            <v>33936.432666666668</v>
          </cell>
          <cell r="AE90">
            <v>27984.544424242424</v>
          </cell>
          <cell r="AF90">
            <v>5951.888242424242</v>
          </cell>
          <cell r="AG90">
            <v>9686</v>
          </cell>
          <cell r="AH90">
            <v>6496</v>
          </cell>
          <cell r="AI90">
            <v>2061</v>
          </cell>
          <cell r="AJ90">
            <v>-24250.432666666668</v>
          </cell>
          <cell r="AN90">
            <v>0</v>
          </cell>
          <cell r="AP90">
            <v>178615.38793939399</v>
          </cell>
          <cell r="AQ90" t="e">
            <v>#REF!</v>
          </cell>
          <cell r="AR90" t="e">
            <v>#REF!</v>
          </cell>
          <cell r="AS90">
            <v>46854</v>
          </cell>
          <cell r="AT90">
            <v>-131761.38793939399</v>
          </cell>
          <cell r="AU90">
            <v>22477</v>
          </cell>
          <cell r="AV90">
            <v>37158</v>
          </cell>
          <cell r="AW90">
            <v>23807.218909090912</v>
          </cell>
          <cell r="AX90" t="e">
            <v>#REF!</v>
          </cell>
        </row>
        <row r="91">
          <cell r="C91">
            <v>1390.097</v>
          </cell>
          <cell r="D91">
            <v>310</v>
          </cell>
          <cell r="E91">
            <v>1080.097</v>
          </cell>
          <cell r="N91">
            <v>4841.9527272727273</v>
          </cell>
          <cell r="O91">
            <v>1501</v>
          </cell>
          <cell r="P91">
            <v>-3340.9527272727273</v>
          </cell>
          <cell r="Q91">
            <v>10883.540909090911</v>
          </cell>
          <cell r="R91">
            <v>3466</v>
          </cell>
          <cell r="S91">
            <v>-7417.5409090909106</v>
          </cell>
          <cell r="T91">
            <v>4123.5772727272724</v>
          </cell>
          <cell r="U91">
            <v>2012</v>
          </cell>
          <cell r="V91">
            <v>2111.5772727272729</v>
          </cell>
          <cell r="W91">
            <v>1353</v>
          </cell>
          <cell r="X91">
            <v>-2770.5772727272724</v>
          </cell>
          <cell r="Y91">
            <v>3354.8872727272728</v>
          </cell>
          <cell r="AB91">
            <v>1097</v>
          </cell>
          <cell r="AC91">
            <v>-2257.8872727272728</v>
          </cell>
          <cell r="AD91">
            <v>9668.3463636363631</v>
          </cell>
          <cell r="AE91">
            <v>8781.9363636363632</v>
          </cell>
          <cell r="AF91">
            <v>886.40999999999985</v>
          </cell>
          <cell r="AG91">
            <v>2881</v>
          </cell>
          <cell r="AH91">
            <v>1984</v>
          </cell>
          <cell r="AI91">
            <v>306</v>
          </cell>
          <cell r="AJ91">
            <v>-6787.3463636363631</v>
          </cell>
          <cell r="AN91">
            <v>0</v>
          </cell>
          <cell r="AP91">
            <v>34146.991545454548</v>
          </cell>
          <cell r="AQ91">
            <v>585023.38793939399</v>
          </cell>
          <cell r="AR91">
            <v>245956.31663201857</v>
          </cell>
          <cell r="AS91">
            <v>9401</v>
          </cell>
        </row>
        <row r="92">
          <cell r="C92">
            <v>4245.2000000000007</v>
          </cell>
          <cell r="N92">
            <v>6155.65</v>
          </cell>
          <cell r="P92">
            <v>-6155.65</v>
          </cell>
          <cell r="Q92">
            <v>16301.093999999999</v>
          </cell>
          <cell r="S92">
            <v>-16301.093999999999</v>
          </cell>
          <cell r="T92">
            <v>668.47</v>
          </cell>
          <cell r="X92">
            <v>-668.47</v>
          </cell>
          <cell r="Y92">
            <v>3357.9775757575753</v>
          </cell>
          <cell r="AB92">
            <v>432</v>
          </cell>
          <cell r="AC92">
            <v>-2925.9775757575753</v>
          </cell>
          <cell r="AD92">
            <v>1768.6</v>
          </cell>
          <cell r="AE92">
            <v>932.45</v>
          </cell>
          <cell r="AF92">
            <v>836.14999999999986</v>
          </cell>
          <cell r="AG92">
            <v>1768.6</v>
          </cell>
          <cell r="AI92">
            <v>1768.6</v>
          </cell>
          <cell r="AJ92" t="e">
            <v>#REF!</v>
          </cell>
          <cell r="AN92" t="e">
            <v>#REF!</v>
          </cell>
          <cell r="AO92">
            <v>1616</v>
          </cell>
          <cell r="AP92" t="e">
            <v>#REF!</v>
          </cell>
          <cell r="AS92">
            <v>2048</v>
          </cell>
        </row>
        <row r="93">
          <cell r="C93">
            <v>-1273</v>
          </cell>
          <cell r="N93">
            <v>1687</v>
          </cell>
          <cell r="P93">
            <v>-1687</v>
          </cell>
          <cell r="Q93">
            <v>4262</v>
          </cell>
          <cell r="S93">
            <v>-4262</v>
          </cell>
          <cell r="T93">
            <v>0</v>
          </cell>
          <cell r="W93">
            <v>0</v>
          </cell>
          <cell r="X93">
            <v>0</v>
          </cell>
          <cell r="Y93">
            <v>3358</v>
          </cell>
          <cell r="AB93">
            <v>432</v>
          </cell>
          <cell r="AC93">
            <v>-2926</v>
          </cell>
          <cell r="AD93">
            <v>-904.4</v>
          </cell>
          <cell r="AE93">
            <v>932.45</v>
          </cell>
          <cell r="AF93">
            <v>-1836.85</v>
          </cell>
          <cell r="AI93">
            <v>0</v>
          </cell>
          <cell r="AJ93">
            <v>904.4</v>
          </cell>
          <cell r="AN93" t="e">
            <v>#REF!</v>
          </cell>
          <cell r="AP93" t="e">
            <v>#REF!</v>
          </cell>
          <cell r="AS93">
            <v>432</v>
          </cell>
        </row>
        <row r="95">
          <cell r="C95">
            <v>-1308</v>
          </cell>
          <cell r="N95">
            <v>900</v>
          </cell>
          <cell r="P95">
            <v>-900</v>
          </cell>
          <cell r="Q95">
            <v>620</v>
          </cell>
          <cell r="R95">
            <v>0</v>
          </cell>
          <cell r="S95">
            <v>-620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-2616</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-1308</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695</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100</v>
          </cell>
          <cell r="P114">
            <v>0</v>
          </cell>
          <cell r="S114">
            <v>0</v>
          </cell>
          <cell r="X114">
            <v>0</v>
          </cell>
          <cell r="AC114">
            <v>0</v>
          </cell>
          <cell r="AF114">
            <v>0</v>
          </cell>
          <cell r="AI114">
            <v>0</v>
          </cell>
          <cell r="AJ114">
            <v>0</v>
          </cell>
          <cell r="AP114">
            <v>100</v>
          </cell>
          <cell r="AS114">
            <v>0</v>
          </cell>
        </row>
        <row r="115">
          <cell r="C115">
            <v>7109</v>
          </cell>
          <cell r="P115">
            <v>0</v>
          </cell>
          <cell r="S115">
            <v>0</v>
          </cell>
          <cell r="X115">
            <v>0</v>
          </cell>
          <cell r="AC115">
            <v>0</v>
          </cell>
          <cell r="AF115">
            <v>0</v>
          </cell>
          <cell r="AI115">
            <v>0</v>
          </cell>
          <cell r="AJ115">
            <v>0</v>
          </cell>
          <cell r="AP115">
            <v>7109</v>
          </cell>
          <cell r="AS115">
            <v>0</v>
          </cell>
        </row>
        <row r="116">
          <cell r="C116">
            <v>3500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900.4</v>
          </cell>
          <cell r="P122">
            <v>-900.4</v>
          </cell>
          <cell r="Q122">
            <v>1380.134</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22477</v>
          </cell>
          <cell r="AV146">
            <v>37158</v>
          </cell>
          <cell r="AW146">
            <v>23807.218909090912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916.33333333333326</v>
          </cell>
          <cell r="O153">
            <v>272</v>
          </cell>
          <cell r="P153">
            <v>-644.33333333333326</v>
          </cell>
          <cell r="Q153">
            <v>4251.0909090909099</v>
          </cell>
          <cell r="R153">
            <v>1487</v>
          </cell>
          <cell r="S153">
            <v>-2764.0909090909099</v>
          </cell>
          <cell r="T153">
            <v>2480.4545454545455</v>
          </cell>
          <cell r="U153">
            <v>1268</v>
          </cell>
          <cell r="V153">
            <v>1212.4545454545455</v>
          </cell>
          <cell r="W153">
            <v>831</v>
          </cell>
          <cell r="X153">
            <v>-1649.4545454545455</v>
          </cell>
          <cell r="Y153">
            <v>1612</v>
          </cell>
          <cell r="Z153">
            <v>874</v>
          </cell>
          <cell r="AA153">
            <v>738</v>
          </cell>
          <cell r="AB153">
            <v>596</v>
          </cell>
          <cell r="AC153">
            <v>-1016</v>
          </cell>
          <cell r="AD153">
            <v>1727</v>
          </cell>
          <cell r="AE153">
            <v>1727.090909090909</v>
          </cell>
          <cell r="AF153">
            <v>-9.0909090909008228E-2</v>
          </cell>
          <cell r="AG153">
            <v>437</v>
          </cell>
          <cell r="AH153">
            <v>265</v>
          </cell>
          <cell r="AI153">
            <v>0</v>
          </cell>
          <cell r="AJ153">
            <v>-1290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4245.2000000000007</v>
          </cell>
          <cell r="N162">
            <v>6155.65</v>
          </cell>
          <cell r="O162">
            <v>0</v>
          </cell>
          <cell r="P162">
            <v>-6155.65</v>
          </cell>
          <cell r="Q162">
            <v>1739.5839999999998</v>
          </cell>
          <cell r="R162">
            <v>800</v>
          </cell>
          <cell r="S162">
            <v>-939.58399999999983</v>
          </cell>
          <cell r="T162">
            <v>668.47</v>
          </cell>
          <cell r="U162">
            <v>0</v>
          </cell>
          <cell r="V162">
            <v>0</v>
          </cell>
          <cell r="W162">
            <v>0</v>
          </cell>
          <cell r="X162">
            <v>-668.47</v>
          </cell>
          <cell r="Y162">
            <v>3357.9775757575753</v>
          </cell>
          <cell r="Z162">
            <v>0</v>
          </cell>
          <cell r="AA162">
            <v>0</v>
          </cell>
          <cell r="AB162">
            <v>432</v>
          </cell>
          <cell r="AC162">
            <v>-2925.9775757575753</v>
          </cell>
          <cell r="AD162" t="e">
            <v>#REF!</v>
          </cell>
          <cell r="AE162">
            <v>1768.6</v>
          </cell>
          <cell r="AF162">
            <v>836.14999999999986</v>
          </cell>
          <cell r="AG162">
            <v>1768.6</v>
          </cell>
          <cell r="AH162">
            <v>0</v>
          </cell>
          <cell r="AI162">
            <v>1768.6</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1910.097</v>
          </cell>
          <cell r="N164">
            <v>6859.9527272727273</v>
          </cell>
          <cell r="O164">
            <v>2062</v>
          </cell>
          <cell r="P164">
            <v>-4797.9527272727273</v>
          </cell>
          <cell r="Q164">
            <v>14962.540909090911</v>
          </cell>
          <cell r="R164">
            <v>5523</v>
          </cell>
          <cell r="S164">
            <v>-9439.5409090909106</v>
          </cell>
          <cell r="T164">
            <v>5669.5772727272724</v>
          </cell>
          <cell r="U164">
            <v>2766</v>
          </cell>
          <cell r="V164">
            <v>2903.5772727272729</v>
          </cell>
          <cell r="W164">
            <v>2210</v>
          </cell>
          <cell r="X164">
            <v>-3459.5772727272724</v>
          </cell>
          <cell r="Y164">
            <v>4613.8872727272728</v>
          </cell>
          <cell r="Z164">
            <v>2495</v>
          </cell>
          <cell r="AA164">
            <v>2118.8872727272728</v>
          </cell>
          <cell r="AB164">
            <v>1749</v>
          </cell>
          <cell r="AC164">
            <v>-2864.8872727272728</v>
          </cell>
          <cell r="AD164">
            <v>13294.346363636363</v>
          </cell>
          <cell r="AE164">
            <v>12073.936363636363</v>
          </cell>
          <cell r="AF164">
            <v>1220.4099999999999</v>
          </cell>
          <cell r="AG164">
            <v>4464</v>
          </cell>
          <cell r="AH164">
            <v>3202</v>
          </cell>
          <cell r="AI164">
            <v>427</v>
          </cell>
          <cell r="AJ164">
            <v>-8830.3463636363631</v>
          </cell>
          <cell r="AK164">
            <v>0</v>
          </cell>
          <cell r="AL164">
            <v>0</v>
          </cell>
          <cell r="AM164">
            <v>0</v>
          </cell>
          <cell r="AN164" t="e">
            <v>#REF!</v>
          </cell>
          <cell r="AO164">
            <v>0</v>
          </cell>
          <cell r="AP164" t="e">
            <v>#REF!</v>
          </cell>
          <cell r="AS164">
            <v>13703</v>
          </cell>
        </row>
        <row r="165">
          <cell r="C165">
            <v>74</v>
          </cell>
          <cell r="N165">
            <v>182.13333333333333</v>
          </cell>
          <cell r="O165">
            <v>51</v>
          </cell>
          <cell r="P165">
            <v>-131.13333333333333</v>
          </cell>
          <cell r="Q165">
            <v>311.39999999999998</v>
          </cell>
          <cell r="R165">
            <v>62</v>
          </cell>
          <cell r="S165">
            <v>-249.39999999999998</v>
          </cell>
          <cell r="T165">
            <v>5613.5333333333338</v>
          </cell>
          <cell r="U165">
            <v>2904</v>
          </cell>
          <cell r="V165">
            <v>2709.5333333333338</v>
          </cell>
          <cell r="W165">
            <v>2464</v>
          </cell>
          <cell r="X165">
            <v>-3149.5333333333338</v>
          </cell>
          <cell r="Y165">
            <v>494.79999999999995</v>
          </cell>
          <cell r="Z165">
            <v>57</v>
          </cell>
          <cell r="AA165">
            <v>47.86666666666666</v>
          </cell>
          <cell r="AB165">
            <v>27</v>
          </cell>
          <cell r="AC165">
            <v>-467.79999999999995</v>
          </cell>
          <cell r="AD165">
            <v>145</v>
          </cell>
          <cell r="AE165">
            <v>50</v>
          </cell>
          <cell r="AF165">
            <v>95</v>
          </cell>
          <cell r="AG165">
            <v>44</v>
          </cell>
          <cell r="AH165">
            <v>15</v>
          </cell>
          <cell r="AI165">
            <v>29</v>
          </cell>
          <cell r="AJ165">
            <v>-101</v>
          </cell>
          <cell r="AK165">
            <v>0</v>
          </cell>
          <cell r="AL165">
            <v>0</v>
          </cell>
          <cell r="AM165">
            <v>0</v>
          </cell>
          <cell r="AN165">
            <v>19</v>
          </cell>
          <cell r="AO165">
            <v>0</v>
          </cell>
          <cell r="AP165">
            <v>6649.8666666666668</v>
          </cell>
          <cell r="AS165">
            <v>2610</v>
          </cell>
        </row>
        <row r="166">
          <cell r="C166">
            <v>6358.0580000000009</v>
          </cell>
          <cell r="N166">
            <v>6909.2400000000052</v>
          </cell>
          <cell r="Q166">
            <v>39364.056333333334</v>
          </cell>
          <cell r="T166">
            <v>10466.937333333344</v>
          </cell>
          <cell r="Y166">
            <v>19881.993333333321</v>
          </cell>
          <cell r="AE166">
            <v>-13957.493090909091</v>
          </cell>
          <cell r="AG166">
            <v>697.40000000000009</v>
          </cell>
          <cell r="AH166">
            <v>2561</v>
          </cell>
          <cell r="AN166" t="e">
            <v>#REF!</v>
          </cell>
          <cell r="AP166" t="e">
            <v>#REF!</v>
          </cell>
        </row>
        <row r="167">
          <cell r="C167" t="e">
            <v>#REF!</v>
          </cell>
          <cell r="N167">
            <v>4222.1499999999996</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54839.971787878792</v>
          </cell>
          <cell r="T227">
            <v>25644.974484848495</v>
          </cell>
          <cell r="Y227" t="e">
            <v>#REF!</v>
          </cell>
          <cell r="AN227" t="e">
            <v>#REF!</v>
          </cell>
          <cell r="AP227" t="e">
            <v>#REF!</v>
          </cell>
          <cell r="AQ227" t="e">
            <v>#REF!</v>
          </cell>
        </row>
        <row r="228">
          <cell r="C228" t="e">
            <v>#REF!</v>
          </cell>
          <cell r="N228" t="e">
            <v>#REF!</v>
          </cell>
          <cell r="Q228">
            <v>22032.588212121209</v>
          </cell>
          <cell r="T228">
            <v>12941.719212121227</v>
          </cell>
          <cell r="Y228" t="e">
            <v>#REF!</v>
          </cell>
          <cell r="AP228" t="e">
            <v>#REF!</v>
          </cell>
          <cell r="AQ228" t="e">
            <v>#REF!</v>
          </cell>
        </row>
        <row r="230">
          <cell r="C230">
            <v>1910.097</v>
          </cell>
          <cell r="N230">
            <v>6859.9527272727273</v>
          </cell>
          <cell r="Q230">
            <v>14962.540909090911</v>
          </cell>
          <cell r="T230">
            <v>5669.5772727272724</v>
          </cell>
          <cell r="Y230">
            <v>4613.8872727272728</v>
          </cell>
          <cell r="AN230" t="e">
            <v>#REF!</v>
          </cell>
          <cell r="AP230" t="e">
            <v>#REF!</v>
          </cell>
          <cell r="AQ230" t="e">
            <v>#REF!</v>
          </cell>
        </row>
        <row r="231">
          <cell r="C231">
            <v>520</v>
          </cell>
          <cell r="N231">
            <v>2018</v>
          </cell>
          <cell r="Q231">
            <v>4079</v>
          </cell>
          <cell r="T231">
            <v>1546</v>
          </cell>
          <cell r="Y231">
            <v>1259</v>
          </cell>
          <cell r="AP231" t="e">
            <v>#REF!</v>
          </cell>
          <cell r="AQ231" t="e">
            <v>#REF!</v>
          </cell>
        </row>
        <row r="232">
          <cell r="AQ232" t="e">
            <v>#REF!</v>
          </cell>
        </row>
        <row r="233">
          <cell r="C233">
            <v>0</v>
          </cell>
          <cell r="N233">
            <v>0</v>
          </cell>
          <cell r="Q233">
            <v>121.8</v>
          </cell>
          <cell r="T233">
            <v>5443.6</v>
          </cell>
          <cell r="Y233">
            <v>104.86666666666666</v>
          </cell>
          <cell r="AP233">
            <v>5674.2666666666673</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13442.217575757575</v>
          </cell>
          <cell r="AP235" t="e">
            <v>#REF!</v>
          </cell>
          <cell r="AQ235" t="e">
            <v>#REF!</v>
          </cell>
        </row>
        <row r="236">
          <cell r="AQ236" t="e">
            <v>#REF!</v>
          </cell>
        </row>
        <row r="237">
          <cell r="C237">
            <v>4245.2000000000007</v>
          </cell>
          <cell r="N237">
            <v>6155.65</v>
          </cell>
          <cell r="Q237">
            <v>1739.5839999999998</v>
          </cell>
          <cell r="T237">
            <v>668.47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377</v>
          </cell>
          <cell r="N243">
            <v>1234</v>
          </cell>
          <cell r="Q243">
            <v>4713.0186666666668</v>
          </cell>
          <cell r="T243">
            <v>682.25866666666661</v>
          </cell>
          <cell r="Y243">
            <v>536.22533333333331</v>
          </cell>
          <cell r="AP243">
            <v>10417.385166809334</v>
          </cell>
          <cell r="AQ243" t="e">
            <v>#REF!</v>
          </cell>
        </row>
        <row r="244">
          <cell r="C244">
            <v>1612</v>
          </cell>
          <cell r="N244">
            <v>76</v>
          </cell>
          <cell r="Q244">
            <v>429.33333333333337</v>
          </cell>
          <cell r="T244">
            <v>313.62666666666667</v>
          </cell>
          <cell r="Y244">
            <v>315.78399999999999</v>
          </cell>
          <cell r="AP244">
            <v>2883.9412082354906</v>
          </cell>
          <cell r="AQ244" t="e">
            <v>#REF!</v>
          </cell>
        </row>
        <row r="245">
          <cell r="AQ245" t="e">
            <v>#REF!</v>
          </cell>
        </row>
        <row r="246">
          <cell r="C246">
            <v>0</v>
          </cell>
          <cell r="N246">
            <v>1</v>
          </cell>
          <cell r="Q246">
            <v>0</v>
          </cell>
          <cell r="T246">
            <v>114.19266666666665</v>
          </cell>
          <cell r="Y246">
            <v>-46.472000000000008</v>
          </cell>
          <cell r="AP246">
            <v>68.720666666666645</v>
          </cell>
          <cell r="AQ246" t="e">
            <v>#REF!</v>
          </cell>
        </row>
        <row r="247">
          <cell r="C247">
            <v>14</v>
          </cell>
          <cell r="N247">
            <v>248.08600000000001</v>
          </cell>
          <cell r="Q247">
            <v>12039.690666666667</v>
          </cell>
          <cell r="T247">
            <v>0</v>
          </cell>
          <cell r="Y247">
            <v>0</v>
          </cell>
          <cell r="AP247">
            <v>14624.448666666667</v>
          </cell>
          <cell r="AQ247" t="e">
            <v>#REF!</v>
          </cell>
        </row>
        <row r="248">
          <cell r="C248">
            <v>0</v>
          </cell>
          <cell r="N248">
            <v>0</v>
          </cell>
          <cell r="Q248">
            <v>0</v>
          </cell>
          <cell r="T248">
            <v>0</v>
          </cell>
          <cell r="Y248">
            <v>0</v>
          </cell>
          <cell r="AP248">
            <v>658.33066666666662</v>
          </cell>
          <cell r="AQ248" t="e">
            <v>#REF!</v>
          </cell>
        </row>
        <row r="249">
          <cell r="C249">
            <v>927</v>
          </cell>
          <cell r="N249">
            <v>0</v>
          </cell>
          <cell r="Q249">
            <v>0</v>
          </cell>
          <cell r="T249">
            <v>0</v>
          </cell>
          <cell r="Y249">
            <v>18</v>
          </cell>
          <cell r="AP249">
            <v>945</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1308</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18990.510212121208</v>
          </cell>
          <cell r="T252">
            <v>12274.013212121221</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8" refreshError="1">
        <row r="16">
          <cell r="AP16" t="str">
            <v>ЗАТВЕРДЖУЮ</v>
          </cell>
        </row>
        <row r="17">
          <cell r="C17" t="str">
            <v>І.В.ПЛАЧКОВ</v>
          </cell>
          <cell r="AP17" t="str">
            <v>ГОЛОВА ПРАЛІННЯ АК КЕ</v>
          </cell>
        </row>
        <row r="22">
          <cell r="AV22" t="str">
            <v>І.В.ПЛАЧКОВ</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6918.5707272727286</v>
          </cell>
          <cell r="O39">
            <v>6571</v>
          </cell>
          <cell r="P39">
            <v>-347.57072727272862</v>
          </cell>
          <cell r="Q39">
            <v>22108.007454545455</v>
          </cell>
          <cell r="R39">
            <v>23576</v>
          </cell>
          <cell r="S39">
            <v>1467.9925454545446</v>
          </cell>
          <cell r="T39">
            <v>6545.5823636363884</v>
          </cell>
          <cell r="W39">
            <v>8380</v>
          </cell>
          <cell r="X39">
            <v>1834.4176363636116</v>
          </cell>
          <cell r="Y39">
            <v>3583.0152727272871</v>
          </cell>
          <cell r="Z39">
            <v>1208</v>
          </cell>
          <cell r="AA39">
            <v>2300.067272727274</v>
          </cell>
          <cell r="AB39">
            <v>5452</v>
          </cell>
          <cell r="AC39">
            <v>1868.9847272727129</v>
          </cell>
          <cell r="AD39">
            <v>11439.317757575758</v>
          </cell>
          <cell r="AG39">
            <v>8513</v>
          </cell>
          <cell r="AH39">
            <v>6481</v>
          </cell>
          <cell r="AI39">
            <v>2032</v>
          </cell>
          <cell r="AJ39">
            <v>-2926.3177575757582</v>
          </cell>
          <cell r="AN39" t="e">
            <v>#REF!</v>
          </cell>
        </row>
        <row r="40">
          <cell r="C40">
            <v>12426.396999999997</v>
          </cell>
        </row>
        <row r="41">
          <cell r="C41">
            <v>1651.8969999999999</v>
          </cell>
          <cell r="D41">
            <v>443</v>
          </cell>
          <cell r="E41">
            <v>1208.8969999999999</v>
          </cell>
          <cell r="N41">
            <v>2372.272727272727</v>
          </cell>
          <cell r="Q41">
            <v>5435.727272727273</v>
          </cell>
          <cell r="T41">
            <v>2142.727272727273</v>
          </cell>
          <cell r="U41">
            <v>846</v>
          </cell>
          <cell r="V41">
            <v>1296.7272727272727</v>
          </cell>
          <cell r="Y41">
            <v>1732.7272727272727</v>
          </cell>
          <cell r="Z41">
            <v>647</v>
          </cell>
          <cell r="AA41">
            <v>1085.7272727272727</v>
          </cell>
          <cell r="AE41">
            <v>4482.6363636363631</v>
          </cell>
          <cell r="AG41">
            <v>4464</v>
          </cell>
          <cell r="AH41">
            <v>3202</v>
          </cell>
          <cell r="AN41" t="e">
            <v>#REF!</v>
          </cell>
          <cell r="AR41">
            <v>2382.4545454545455</v>
          </cell>
        </row>
        <row r="42">
          <cell r="Q42">
            <v>970</v>
          </cell>
          <cell r="V42">
            <v>750</v>
          </cell>
          <cell r="AA42">
            <v>590</v>
          </cell>
          <cell r="AR42">
            <v>2095</v>
          </cell>
        </row>
        <row r="46">
          <cell r="C46">
            <v>2157</v>
          </cell>
          <cell r="D46">
            <v>327</v>
          </cell>
          <cell r="E46">
            <v>1830</v>
          </cell>
          <cell r="N46">
            <v>1361.5680000000002</v>
          </cell>
          <cell r="O46">
            <v>1204</v>
          </cell>
          <cell r="P46">
            <v>-157.56800000000021</v>
          </cell>
          <cell r="Q46">
            <v>1683.0160000000001</v>
          </cell>
          <cell r="R46">
            <v>2125</v>
          </cell>
          <cell r="S46">
            <v>441.98399999999992</v>
          </cell>
          <cell r="T46">
            <v>419.488</v>
          </cell>
          <cell r="U46">
            <v>155</v>
          </cell>
          <cell r="V46">
            <v>264.488</v>
          </cell>
          <cell r="W46">
            <v>431</v>
          </cell>
          <cell r="X46">
            <v>11.512</v>
          </cell>
          <cell r="Y46">
            <v>522.74400000000003</v>
          </cell>
          <cell r="Z46">
            <v>197</v>
          </cell>
          <cell r="AA46">
            <v>325.74400000000003</v>
          </cell>
          <cell r="AB46">
            <v>400</v>
          </cell>
          <cell r="AC46">
            <v>-122.74400000000003</v>
          </cell>
          <cell r="AD46">
            <v>998.3413333333333</v>
          </cell>
          <cell r="AE46">
            <v>844.68000000000006</v>
          </cell>
          <cell r="AF46">
            <v>153.66133333333323</v>
          </cell>
          <cell r="AG46">
            <v>1087</v>
          </cell>
          <cell r="AH46">
            <v>292</v>
          </cell>
          <cell r="AI46">
            <v>134</v>
          </cell>
          <cell r="AJ46">
            <v>88.658666666666704</v>
          </cell>
          <cell r="AN46">
            <v>0</v>
          </cell>
          <cell r="AP46">
            <v>7242.2160000000003</v>
          </cell>
          <cell r="AQ46">
            <v>2219.1680000000001</v>
          </cell>
          <cell r="AR46">
            <v>5023.0480000000007</v>
          </cell>
          <cell r="AS46">
            <v>4452</v>
          </cell>
          <cell r="AT46">
            <v>-2790.2160000000003</v>
          </cell>
          <cell r="AU46">
            <v>352</v>
          </cell>
          <cell r="AV46">
            <v>1162</v>
          </cell>
          <cell r="AW46">
            <v>1867.1680000000001</v>
          </cell>
          <cell r="AX46">
            <v>3861.0480000000007</v>
          </cell>
        </row>
        <row r="47">
          <cell r="C47">
            <v>393</v>
          </cell>
          <cell r="E47">
            <v>393</v>
          </cell>
          <cell r="Q47">
            <v>1473.1853333333333</v>
          </cell>
          <cell r="T47">
            <v>145.25866666666667</v>
          </cell>
          <cell r="U47">
            <v>53</v>
          </cell>
          <cell r="V47">
            <v>92.25866666666667</v>
          </cell>
          <cell r="Y47">
            <v>100.22533333333334</v>
          </cell>
          <cell r="Z47">
            <v>38</v>
          </cell>
          <cell r="AA47">
            <v>62.225333333333339</v>
          </cell>
          <cell r="AC47">
            <v>-100.22533333333334</v>
          </cell>
          <cell r="AD47">
            <v>698.17071999999996</v>
          </cell>
          <cell r="AE47">
            <v>625.88250014266646</v>
          </cell>
          <cell r="AP47">
            <v>2737.551833476</v>
          </cell>
        </row>
        <row r="48">
          <cell r="C48">
            <v>0</v>
          </cell>
          <cell r="E48">
            <v>0</v>
          </cell>
          <cell r="Q48">
            <v>0</v>
          </cell>
          <cell r="T48">
            <v>95.642666666666656</v>
          </cell>
          <cell r="U48">
            <v>39</v>
          </cell>
          <cell r="V48">
            <v>56.642666666666656</v>
          </cell>
          <cell r="Y48">
            <v>206.52799999999999</v>
          </cell>
          <cell r="Z48">
            <v>80</v>
          </cell>
          <cell r="AA48">
            <v>126.52799999999999</v>
          </cell>
          <cell r="AC48">
            <v>-206.52799999999999</v>
          </cell>
          <cell r="AD48">
            <v>0</v>
          </cell>
          <cell r="AE48">
            <v>0</v>
          </cell>
          <cell r="AP48">
            <v>302.17066666666665</v>
          </cell>
        </row>
        <row r="49">
          <cell r="C49">
            <v>1653</v>
          </cell>
          <cell r="E49">
            <v>1653</v>
          </cell>
          <cell r="Q49">
            <v>113.33333333333334</v>
          </cell>
          <cell r="T49">
            <v>48.626666666666665</v>
          </cell>
          <cell r="U49">
            <v>22</v>
          </cell>
          <cell r="V49">
            <v>26.626666666666665</v>
          </cell>
          <cell r="Y49">
            <v>65.784000000000006</v>
          </cell>
          <cell r="Z49">
            <v>25</v>
          </cell>
          <cell r="AA49">
            <v>40.784000000000006</v>
          </cell>
          <cell r="AC49">
            <v>-65.784000000000006</v>
          </cell>
          <cell r="AD49">
            <v>50.74026666666667</v>
          </cell>
          <cell r="AE49">
            <v>48.597208235490712</v>
          </cell>
          <cell r="AP49">
            <v>1929.3412082354907</v>
          </cell>
        </row>
        <row r="50">
          <cell r="C50">
            <v>6</v>
          </cell>
          <cell r="D50">
            <v>2</v>
          </cell>
          <cell r="E50">
            <v>4</v>
          </cell>
          <cell r="N50">
            <v>93.024000000000001</v>
          </cell>
          <cell r="O50">
            <v>121</v>
          </cell>
          <cell r="P50">
            <v>27.975999999999999</v>
          </cell>
          <cell r="Q50">
            <v>1194.9680000000001</v>
          </cell>
          <cell r="R50">
            <v>1386</v>
          </cell>
          <cell r="S50">
            <v>191.03199999999993</v>
          </cell>
          <cell r="T50">
            <v>2642.7440000000001</v>
          </cell>
          <cell r="U50">
            <v>1031</v>
          </cell>
          <cell r="V50">
            <v>1611.7440000000001</v>
          </cell>
          <cell r="W50">
            <v>2636</v>
          </cell>
          <cell r="X50">
            <v>-6.7440000000001419</v>
          </cell>
          <cell r="Y50">
            <v>235.624</v>
          </cell>
          <cell r="Z50">
            <v>87</v>
          </cell>
          <cell r="AA50">
            <v>148.624</v>
          </cell>
          <cell r="AB50">
            <v>292</v>
          </cell>
          <cell r="AC50">
            <v>56.376000000000005</v>
          </cell>
          <cell r="AD50">
            <v>446.35733333333337</v>
          </cell>
          <cell r="AE50">
            <v>369.72</v>
          </cell>
          <cell r="AF50">
            <v>76.637333333333345</v>
          </cell>
          <cell r="AG50">
            <v>288</v>
          </cell>
          <cell r="AH50">
            <v>601</v>
          </cell>
          <cell r="AI50">
            <v>56</v>
          </cell>
          <cell r="AJ50">
            <v>-158.35733333333337</v>
          </cell>
          <cell r="AN50">
            <v>0</v>
          </cell>
          <cell r="AP50">
            <v>4503.4800000000005</v>
          </cell>
          <cell r="AQ50">
            <v>1218.424</v>
          </cell>
          <cell r="AR50">
            <v>3285.0560000000005</v>
          </cell>
          <cell r="AS50">
            <v>5036</v>
          </cell>
          <cell r="AT50">
            <v>532.51999999999953</v>
          </cell>
          <cell r="AU50">
            <v>1118</v>
          </cell>
          <cell r="AV50">
            <v>2167</v>
          </cell>
          <cell r="AW50">
            <v>100.42399999999998</v>
          </cell>
          <cell r="AX50">
            <v>1118.0560000000005</v>
          </cell>
        </row>
        <row r="51">
          <cell r="C51">
            <v>0</v>
          </cell>
          <cell r="D51">
            <v>0</v>
          </cell>
          <cell r="E51">
            <v>0</v>
          </cell>
          <cell r="N51">
            <v>0</v>
          </cell>
          <cell r="P51">
            <v>0</v>
          </cell>
          <cell r="Q51">
            <v>60.8</v>
          </cell>
          <cell r="R51">
            <v>54</v>
          </cell>
          <cell r="S51">
            <v>-6.7999999999999972</v>
          </cell>
          <cell r="T51">
            <v>2406.6</v>
          </cell>
          <cell r="U51">
            <v>943</v>
          </cell>
          <cell r="V51">
            <v>1463.6</v>
          </cell>
          <cell r="W51">
            <v>2407</v>
          </cell>
          <cell r="X51">
            <v>0.40000000000009095</v>
          </cell>
          <cell r="Y51">
            <v>38.200000000000003</v>
          </cell>
          <cell r="Z51">
            <v>15</v>
          </cell>
          <cell r="AA51">
            <v>23.200000000000003</v>
          </cell>
          <cell r="AB51">
            <v>20</v>
          </cell>
          <cell r="AC51">
            <v>-18.200000000000003</v>
          </cell>
          <cell r="AD51">
            <v>0</v>
          </cell>
          <cell r="AE51">
            <v>0</v>
          </cell>
          <cell r="AF51">
            <v>0</v>
          </cell>
          <cell r="AI51">
            <v>0</v>
          </cell>
          <cell r="AJ51">
            <v>0</v>
          </cell>
          <cell r="AP51">
            <v>2505.6</v>
          </cell>
          <cell r="AQ51">
            <v>958</v>
          </cell>
          <cell r="AR51">
            <v>1547.6</v>
          </cell>
          <cell r="AS51">
            <v>2481</v>
          </cell>
          <cell r="AT51">
            <v>-24.599999999999909</v>
          </cell>
          <cell r="AU51">
            <v>958</v>
          </cell>
          <cell r="AV51">
            <v>1507</v>
          </cell>
          <cell r="AW51">
            <v>0</v>
          </cell>
          <cell r="AX51">
            <v>40.599999999999909</v>
          </cell>
        </row>
        <row r="52">
          <cell r="C52">
            <v>0</v>
          </cell>
          <cell r="D52">
            <v>0</v>
          </cell>
          <cell r="E52">
            <v>0</v>
          </cell>
          <cell r="N52">
            <v>0</v>
          </cell>
          <cell r="P52">
            <v>0</v>
          </cell>
          <cell r="Q52">
            <v>54080</v>
          </cell>
          <cell r="R52">
            <v>61402</v>
          </cell>
          <cell r="S52">
            <v>7322</v>
          </cell>
          <cell r="T52">
            <v>109560</v>
          </cell>
          <cell r="U52">
            <v>66108.347560975613</v>
          </cell>
          <cell r="V52">
            <v>43451.652439024387</v>
          </cell>
          <cell r="W52">
            <v>93632</v>
          </cell>
          <cell r="X52">
            <v>-15928</v>
          </cell>
          <cell r="Y52">
            <v>90327</v>
          </cell>
          <cell r="Z52">
            <v>51744.750161952055</v>
          </cell>
          <cell r="AA52">
            <v>38582.249838047945</v>
          </cell>
          <cell r="AB52">
            <v>76301</v>
          </cell>
          <cell r="AC52">
            <v>-14026</v>
          </cell>
          <cell r="AD52">
            <v>0</v>
          </cell>
          <cell r="AE52">
            <v>0</v>
          </cell>
          <cell r="AF52">
            <v>0</v>
          </cell>
          <cell r="AI52">
            <v>0</v>
          </cell>
          <cell r="AJ52">
            <v>0</v>
          </cell>
          <cell r="AN52">
            <v>0</v>
          </cell>
          <cell r="AP52">
            <v>253968</v>
          </cell>
          <cell r="AQ52">
            <v>117854.09772292766</v>
          </cell>
          <cell r="AR52">
            <v>136113.90227707234</v>
          </cell>
          <cell r="AS52">
            <v>231335</v>
          </cell>
          <cell r="AT52">
            <v>-22633</v>
          </cell>
          <cell r="AU52">
            <v>117853.09772292766</v>
          </cell>
          <cell r="AV52">
            <v>136114</v>
          </cell>
          <cell r="AW52">
            <v>1</v>
          </cell>
          <cell r="AX52">
            <v>-9.7722927661379799E-2</v>
          </cell>
        </row>
        <row r="53">
          <cell r="C53">
            <v>0</v>
          </cell>
          <cell r="D53">
            <v>0</v>
          </cell>
          <cell r="E53">
            <v>0</v>
          </cell>
          <cell r="N53">
            <v>0</v>
          </cell>
          <cell r="P53">
            <v>0</v>
          </cell>
          <cell r="Q53">
            <v>54080</v>
          </cell>
          <cell r="R53">
            <v>61402</v>
          </cell>
          <cell r="S53">
            <v>7322</v>
          </cell>
          <cell r="T53">
            <v>109560</v>
          </cell>
          <cell r="U53">
            <v>66108.347560975613</v>
          </cell>
          <cell r="V53">
            <v>43451.652439024387</v>
          </cell>
          <cell r="W53">
            <v>93632</v>
          </cell>
          <cell r="X53">
            <v>-15928</v>
          </cell>
          <cell r="Y53">
            <v>90327</v>
          </cell>
          <cell r="Z53">
            <v>51744.750161952055</v>
          </cell>
          <cell r="AA53">
            <v>38582.249838047945</v>
          </cell>
          <cell r="AB53">
            <v>46301</v>
          </cell>
          <cell r="AC53">
            <v>-44026</v>
          </cell>
          <cell r="AD53">
            <v>0</v>
          </cell>
          <cell r="AE53">
            <v>0</v>
          </cell>
          <cell r="AF53">
            <v>0</v>
          </cell>
          <cell r="AI53">
            <v>0</v>
          </cell>
          <cell r="AJ53">
            <v>0</v>
          </cell>
          <cell r="AP53">
            <v>253967</v>
          </cell>
          <cell r="AQ53">
            <v>117853.09772292766</v>
          </cell>
          <cell r="AR53">
            <v>136113.90227707234</v>
          </cell>
          <cell r="AS53">
            <v>201335</v>
          </cell>
          <cell r="AT53">
            <v>-52632</v>
          </cell>
          <cell r="AU53">
            <v>117853.09772292766</v>
          </cell>
          <cell r="AV53">
            <v>136114</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13</v>
          </cell>
          <cell r="D55">
            <v>6</v>
          </cell>
          <cell r="E55">
            <v>7</v>
          </cell>
          <cell r="N55">
            <v>157.33600000000001</v>
          </cell>
          <cell r="O55">
            <v>140</v>
          </cell>
          <cell r="P55">
            <v>-17.336000000000013</v>
          </cell>
          <cell r="Q55">
            <v>9035.0240000000013</v>
          </cell>
          <cell r="R55">
            <v>8493</v>
          </cell>
          <cell r="S55">
            <v>-542.02400000000125</v>
          </cell>
          <cell r="T55">
            <v>0</v>
          </cell>
          <cell r="U55">
            <v>0</v>
          </cell>
          <cell r="V55">
            <v>0</v>
          </cell>
          <cell r="X55">
            <v>0</v>
          </cell>
          <cell r="Y55">
            <v>0</v>
          </cell>
          <cell r="Z55">
            <v>0</v>
          </cell>
          <cell r="AA55">
            <v>0</v>
          </cell>
          <cell r="AB55">
            <v>0</v>
          </cell>
          <cell r="AC55">
            <v>0</v>
          </cell>
          <cell r="AD55">
            <v>2239.04</v>
          </cell>
          <cell r="AE55">
            <v>996.67200000000003</v>
          </cell>
          <cell r="AF55">
            <v>1242.3679999999999</v>
          </cell>
          <cell r="AG55">
            <v>809</v>
          </cell>
          <cell r="AH55">
            <v>810</v>
          </cell>
          <cell r="AI55">
            <v>1225</v>
          </cell>
          <cell r="AJ55">
            <v>-1430.04</v>
          </cell>
          <cell r="AN55">
            <v>0</v>
          </cell>
          <cell r="AP55">
            <v>10202.032000000001</v>
          </cell>
          <cell r="AQ55">
            <v>163.33600000000001</v>
          </cell>
          <cell r="AR55">
            <v>10038.696000000002</v>
          </cell>
          <cell r="AS55">
            <v>9442</v>
          </cell>
          <cell r="AT55">
            <v>-760.03200000000106</v>
          </cell>
          <cell r="AU55">
            <v>0</v>
          </cell>
          <cell r="AV55">
            <v>3072</v>
          </cell>
          <cell r="AW55">
            <v>163.33600000000001</v>
          </cell>
          <cell r="AX55">
            <v>6966.6960000000017</v>
          </cell>
        </row>
        <row r="56">
          <cell r="C56">
            <v>1201.8969999999999</v>
          </cell>
          <cell r="D56">
            <v>310</v>
          </cell>
          <cell r="E56">
            <v>891.89699999999993</v>
          </cell>
          <cell r="N56">
            <v>1568.2727272727273</v>
          </cell>
          <cell r="O56">
            <v>1303</v>
          </cell>
          <cell r="P56">
            <v>-265.27272727272725</v>
          </cell>
          <cell r="Q56">
            <v>3026</v>
          </cell>
          <cell r="R56">
            <v>2369</v>
          </cell>
          <cell r="S56">
            <v>-657</v>
          </cell>
          <cell r="T56">
            <v>966.72727272727275</v>
          </cell>
          <cell r="U56">
            <v>384</v>
          </cell>
          <cell r="V56">
            <v>582.72727272727275</v>
          </cell>
          <cell r="W56">
            <v>745</v>
          </cell>
          <cell r="X56">
            <v>-221.72727272727275</v>
          </cell>
          <cell r="Y56">
            <v>825.72727272727275</v>
          </cell>
          <cell r="Z56">
            <v>308</v>
          </cell>
          <cell r="AA56">
            <v>517.72727272727275</v>
          </cell>
          <cell r="AB56">
            <v>662</v>
          </cell>
          <cell r="AC56">
            <v>-163.72727272727275</v>
          </cell>
          <cell r="AD56">
            <v>3267.5454545454545</v>
          </cell>
          <cell r="AE56">
            <v>2998.5454545454545</v>
          </cell>
          <cell r="AF56">
            <v>269</v>
          </cell>
          <cell r="AG56">
            <v>2563</v>
          </cell>
          <cell r="AH56">
            <v>1747</v>
          </cell>
          <cell r="AI56">
            <v>306</v>
          </cell>
          <cell r="AJ56">
            <v>-704.5454545454545</v>
          </cell>
          <cell r="AN56">
            <v>0</v>
          </cell>
          <cell r="AP56">
            <v>11358.169727272727</v>
          </cell>
          <cell r="AQ56">
            <v>3079.090909090909</v>
          </cell>
          <cell r="AR56">
            <v>8279.078818181817</v>
          </cell>
          <cell r="AS56">
            <v>6826</v>
          </cell>
          <cell r="AT56">
            <v>-4532.169727272727</v>
          </cell>
          <cell r="AU56">
            <v>692</v>
          </cell>
          <cell r="AV56">
            <v>2129</v>
          </cell>
          <cell r="AW56">
            <v>2387.090909090909</v>
          </cell>
          <cell r="AX56">
            <v>6150.078818181817</v>
          </cell>
        </row>
        <row r="57">
          <cell r="C57">
            <v>66</v>
          </cell>
          <cell r="D57">
            <v>16</v>
          </cell>
          <cell r="E57">
            <v>50</v>
          </cell>
          <cell r="N57">
            <v>86</v>
          </cell>
          <cell r="O57">
            <v>70</v>
          </cell>
          <cell r="P57">
            <v>-16</v>
          </cell>
          <cell r="Q57">
            <v>166</v>
          </cell>
          <cell r="R57">
            <v>129</v>
          </cell>
          <cell r="S57">
            <v>-37</v>
          </cell>
          <cell r="T57">
            <v>53</v>
          </cell>
          <cell r="U57">
            <v>22</v>
          </cell>
          <cell r="V57">
            <v>31</v>
          </cell>
          <cell r="W57">
            <v>39</v>
          </cell>
          <cell r="X57">
            <v>-14</v>
          </cell>
          <cell r="Y57">
            <v>45</v>
          </cell>
          <cell r="Z57">
            <v>17</v>
          </cell>
          <cell r="AA57">
            <v>28</v>
          </cell>
          <cell r="AB57">
            <v>35</v>
          </cell>
          <cell r="AC57">
            <v>-10</v>
          </cell>
          <cell r="AD57">
            <v>180</v>
          </cell>
          <cell r="AE57">
            <v>165</v>
          </cell>
          <cell r="AF57">
            <v>15</v>
          </cell>
          <cell r="AG57">
            <v>136</v>
          </cell>
          <cell r="AH57">
            <v>96</v>
          </cell>
          <cell r="AI57">
            <v>18</v>
          </cell>
          <cell r="AJ57">
            <v>-44</v>
          </cell>
          <cell r="AN57">
            <v>0</v>
          </cell>
          <cell r="AP57">
            <v>624</v>
          </cell>
          <cell r="AQ57">
            <v>169</v>
          </cell>
          <cell r="AR57">
            <v>455</v>
          </cell>
          <cell r="AS57">
            <v>369</v>
          </cell>
          <cell r="AT57">
            <v>-255</v>
          </cell>
          <cell r="AU57">
            <v>39</v>
          </cell>
          <cell r="AV57">
            <v>88</v>
          </cell>
          <cell r="AW57">
            <v>130</v>
          </cell>
          <cell r="AX57">
            <v>367</v>
          </cell>
        </row>
        <row r="58">
          <cell r="C58">
            <v>384</v>
          </cell>
          <cell r="D58">
            <v>117</v>
          </cell>
          <cell r="E58">
            <v>267</v>
          </cell>
          <cell r="N58">
            <v>503</v>
          </cell>
          <cell r="O58">
            <v>417</v>
          </cell>
          <cell r="P58">
            <v>-86</v>
          </cell>
          <cell r="Q58">
            <v>968</v>
          </cell>
          <cell r="R58">
            <v>610</v>
          </cell>
          <cell r="S58">
            <v>-358</v>
          </cell>
          <cell r="T58">
            <v>309</v>
          </cell>
          <cell r="U58">
            <v>123</v>
          </cell>
          <cell r="V58">
            <v>186</v>
          </cell>
          <cell r="W58">
            <v>229</v>
          </cell>
          <cell r="X58">
            <v>-80</v>
          </cell>
          <cell r="Y58">
            <v>264</v>
          </cell>
          <cell r="Z58">
            <v>99</v>
          </cell>
          <cell r="AA58">
            <v>165</v>
          </cell>
          <cell r="AB58">
            <v>205</v>
          </cell>
          <cell r="AC58">
            <v>-59</v>
          </cell>
          <cell r="AD58">
            <v>1046</v>
          </cell>
          <cell r="AE58">
            <v>960</v>
          </cell>
          <cell r="AF58">
            <v>86</v>
          </cell>
          <cell r="AG58">
            <v>793</v>
          </cell>
          <cell r="AH58">
            <v>559</v>
          </cell>
          <cell r="AI58">
            <v>103</v>
          </cell>
          <cell r="AJ58">
            <v>-253</v>
          </cell>
          <cell r="AN58">
            <v>0</v>
          </cell>
          <cell r="AP58">
            <v>3635</v>
          </cell>
          <cell r="AQ58">
            <v>1003</v>
          </cell>
          <cell r="AR58">
            <v>2632</v>
          </cell>
          <cell r="AS58">
            <v>2021</v>
          </cell>
          <cell r="AT58">
            <v>-1614</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N59" t="e">
            <v>#REF!</v>
          </cell>
          <cell r="AP59">
            <v>0</v>
          </cell>
          <cell r="AQ59">
            <v>0</v>
          </cell>
          <cell r="AR59">
            <v>0</v>
          </cell>
          <cell r="AS59">
            <v>0</v>
          </cell>
          <cell r="AT59">
            <v>0</v>
          </cell>
          <cell r="AU59">
            <v>0</v>
          </cell>
          <cell r="AV59">
            <v>0</v>
          </cell>
          <cell r="AW59">
            <v>0</v>
          </cell>
          <cell r="AX59">
            <v>0</v>
          </cell>
        </row>
        <row r="60">
          <cell r="C60">
            <v>237</v>
          </cell>
          <cell r="D60">
            <v>85</v>
          </cell>
          <cell r="E60">
            <v>152</v>
          </cell>
          <cell r="N60">
            <v>1782</v>
          </cell>
          <cell r="O60">
            <v>1794</v>
          </cell>
          <cell r="P60">
            <v>12</v>
          </cell>
          <cell r="Q60">
            <v>4149</v>
          </cell>
          <cell r="R60">
            <v>3886</v>
          </cell>
          <cell r="S60">
            <v>-263</v>
          </cell>
          <cell r="T60">
            <v>2122</v>
          </cell>
          <cell r="U60">
            <v>823</v>
          </cell>
          <cell r="V60">
            <v>1299</v>
          </cell>
          <cell r="W60">
            <v>2064</v>
          </cell>
          <cell r="X60">
            <v>-58</v>
          </cell>
          <cell r="Y60">
            <v>2201</v>
          </cell>
          <cell r="Z60">
            <v>818</v>
          </cell>
          <cell r="AA60">
            <v>1383</v>
          </cell>
          <cell r="AB60">
            <v>2209</v>
          </cell>
          <cell r="AC60">
            <v>8</v>
          </cell>
          <cell r="AD60">
            <v>1725.6666666666667</v>
          </cell>
          <cell r="AE60">
            <v>1574.3333333333335</v>
          </cell>
          <cell r="AF60">
            <v>151.33333333333326</v>
          </cell>
          <cell r="AG60">
            <v>1641</v>
          </cell>
          <cell r="AH60">
            <v>1265</v>
          </cell>
          <cell r="AI60">
            <v>155</v>
          </cell>
          <cell r="AJ60">
            <v>-84.666666666666742</v>
          </cell>
          <cell r="AN60">
            <v>0</v>
          </cell>
          <cell r="AP60">
            <v>12041.333333333334</v>
          </cell>
          <cell r="AQ60">
            <v>3536</v>
          </cell>
          <cell r="AR60">
            <v>8505.3333333333339</v>
          </cell>
          <cell r="AS60">
            <v>11218</v>
          </cell>
          <cell r="AT60">
            <v>-823.33333333333394</v>
          </cell>
          <cell r="AU60">
            <v>1641</v>
          </cell>
          <cell r="AV60">
            <v>4093</v>
          </cell>
          <cell r="AW60">
            <v>1895</v>
          </cell>
          <cell r="AX60">
            <v>4412.3333333333339</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1614.15</v>
          </cell>
          <cell r="P62">
            <v>-1614.15</v>
          </cell>
          <cell r="Q62">
            <v>2962.8939999999998</v>
          </cell>
          <cell r="S62">
            <v>-2962.8939999999998</v>
          </cell>
          <cell r="T62">
            <v>176.47000000000003</v>
          </cell>
          <cell r="U62">
            <v>53</v>
          </cell>
          <cell r="X62">
            <v>-176.47000000000003</v>
          </cell>
          <cell r="Y62">
            <v>225.76000000000002</v>
          </cell>
          <cell r="Z62">
            <v>28</v>
          </cell>
          <cell r="AA62">
            <v>197.76000000000002</v>
          </cell>
          <cell r="AC62">
            <v>-225.76000000000002</v>
          </cell>
          <cell r="AD62">
            <v>1009.45</v>
          </cell>
          <cell r="AE62">
            <v>932.45</v>
          </cell>
          <cell r="AF62">
            <v>77</v>
          </cell>
          <cell r="AI62">
            <v>0</v>
          </cell>
          <cell r="AJ62">
            <v>-1009.45</v>
          </cell>
          <cell r="AP62">
            <v>6176.7240000000002</v>
          </cell>
          <cell r="AQ62">
            <v>1784.15</v>
          </cell>
          <cell r="AR62">
            <v>4392.5740000000005</v>
          </cell>
          <cell r="AS62">
            <v>0</v>
          </cell>
          <cell r="AT62">
            <v>-6176.7240000000002</v>
          </cell>
          <cell r="AV62">
            <v>1013</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167.84999999999991</v>
          </cell>
          <cell r="P64">
            <v>-167.84999999999991</v>
          </cell>
          <cell r="Q64">
            <v>1186.1060000000002</v>
          </cell>
          <cell r="S64">
            <v>-1186.1060000000002</v>
          </cell>
          <cell r="T64">
            <v>1945.53</v>
          </cell>
          <cell r="U64">
            <v>770</v>
          </cell>
          <cell r="X64">
            <v>-1945.53</v>
          </cell>
          <cell r="Y64">
            <v>1975.24</v>
          </cell>
          <cell r="Z64">
            <v>790</v>
          </cell>
          <cell r="AA64">
            <v>1185.24</v>
          </cell>
          <cell r="AC64">
            <v>-1975.24</v>
          </cell>
          <cell r="AD64">
            <v>716.2166666666667</v>
          </cell>
          <cell r="AE64">
            <v>641.88333333333344</v>
          </cell>
          <cell r="AF64">
            <v>74.333333333333258</v>
          </cell>
          <cell r="AG64">
            <v>1641</v>
          </cell>
          <cell r="AH64">
            <v>1139</v>
          </cell>
          <cell r="AI64">
            <v>155</v>
          </cell>
          <cell r="AJ64">
            <v>924.7833333333333</v>
          </cell>
          <cell r="AP64">
            <v>5923.6093333333329</v>
          </cell>
          <cell r="AS64">
            <v>1139</v>
          </cell>
          <cell r="AT64">
            <v>-4784.6093333333329</v>
          </cell>
        </row>
        <row r="65">
          <cell r="C65">
            <v>569</v>
          </cell>
          <cell r="D65">
            <v>63</v>
          </cell>
          <cell r="E65">
            <v>506</v>
          </cell>
          <cell r="N65">
            <v>1295.5</v>
          </cell>
          <cell r="O65">
            <v>1295</v>
          </cell>
          <cell r="P65">
            <v>-0.5</v>
          </cell>
          <cell r="Q65">
            <v>2567.7454545454548</v>
          </cell>
          <cell r="R65">
            <v>2254</v>
          </cell>
          <cell r="S65">
            <v>-313.74545454545478</v>
          </cell>
          <cell r="T65">
            <v>1558.3090909090909</v>
          </cell>
          <cell r="U65">
            <v>591</v>
          </cell>
          <cell r="V65">
            <v>967.30909090909086</v>
          </cell>
          <cell r="W65">
            <v>1557</v>
          </cell>
          <cell r="X65">
            <v>-1.3090909090908553</v>
          </cell>
          <cell r="Y65">
            <v>1196.7</v>
          </cell>
          <cell r="Z65">
            <v>400</v>
          </cell>
          <cell r="AA65">
            <v>796.7</v>
          </cell>
          <cell r="AB65">
            <v>1201</v>
          </cell>
          <cell r="AC65">
            <v>4.2999999999999545</v>
          </cell>
          <cell r="AD65">
            <v>1791.7636363636364</v>
          </cell>
          <cell r="AE65">
            <v>1791.7636363636364</v>
          </cell>
          <cell r="AF65">
            <v>0</v>
          </cell>
          <cell r="AG65">
            <v>1946</v>
          </cell>
          <cell r="AH65">
            <v>938</v>
          </cell>
          <cell r="AI65">
            <v>0</v>
          </cell>
          <cell r="AJ65">
            <v>154.23636363636365</v>
          </cell>
          <cell r="AP65">
            <v>8985.0181818181809</v>
          </cell>
          <cell r="AQ65">
            <v>2319.5</v>
          </cell>
          <cell r="AR65">
            <v>6665.5181818181809</v>
          </cell>
          <cell r="AS65">
            <v>7245</v>
          </cell>
          <cell r="AT65">
            <v>-1740.0181818181809</v>
          </cell>
          <cell r="AU65">
            <v>991</v>
          </cell>
          <cell r="AV65">
            <v>2637</v>
          </cell>
          <cell r="AW65">
            <v>1328.5</v>
          </cell>
          <cell r="AX65">
            <v>4028.5181818181809</v>
          </cell>
        </row>
        <row r="66">
          <cell r="C66">
            <v>0</v>
          </cell>
          <cell r="D66">
            <v>0</v>
          </cell>
          <cell r="E66">
            <v>0</v>
          </cell>
          <cell r="N66">
            <v>156</v>
          </cell>
          <cell r="O66">
            <v>198</v>
          </cell>
          <cell r="P66">
            <v>42</v>
          </cell>
          <cell r="Q66">
            <v>927.72727272727275</v>
          </cell>
          <cell r="R66">
            <v>1097</v>
          </cell>
          <cell r="S66">
            <v>169.27272727272725</v>
          </cell>
          <cell r="T66">
            <v>592</v>
          </cell>
          <cell r="U66">
            <v>231</v>
          </cell>
          <cell r="V66">
            <v>361</v>
          </cell>
          <cell r="W66">
            <v>608</v>
          </cell>
          <cell r="X66">
            <v>16</v>
          </cell>
          <cell r="Y66">
            <v>435</v>
          </cell>
          <cell r="Z66">
            <v>162</v>
          </cell>
          <cell r="AA66">
            <v>273</v>
          </cell>
          <cell r="AB66">
            <v>435</v>
          </cell>
          <cell r="AC66">
            <v>0</v>
          </cell>
          <cell r="AD66">
            <v>261.09090909090912</v>
          </cell>
          <cell r="AE66">
            <v>261.09090909090912</v>
          </cell>
          <cell r="AF66">
            <v>0</v>
          </cell>
          <cell r="AG66">
            <v>318</v>
          </cell>
          <cell r="AH66">
            <v>237</v>
          </cell>
          <cell r="AI66">
            <v>0</v>
          </cell>
          <cell r="AJ66">
            <v>56.909090909090878</v>
          </cell>
          <cell r="AP66">
            <v>2371.818181818182</v>
          </cell>
          <cell r="AQ66">
            <v>549</v>
          </cell>
          <cell r="AR66">
            <v>1822.818181818182</v>
          </cell>
          <cell r="AS66">
            <v>2575</v>
          </cell>
          <cell r="AT66">
            <v>203.18181818181802</v>
          </cell>
        </row>
        <row r="67">
          <cell r="C67">
            <v>0</v>
          </cell>
          <cell r="D67">
            <v>0</v>
          </cell>
          <cell r="E67">
            <v>0</v>
          </cell>
          <cell r="N67">
            <v>9</v>
          </cell>
          <cell r="O67">
            <v>11</v>
          </cell>
          <cell r="P67">
            <v>2</v>
          </cell>
          <cell r="Q67">
            <v>51</v>
          </cell>
          <cell r="R67">
            <v>60</v>
          </cell>
          <cell r="S67">
            <v>9</v>
          </cell>
          <cell r="T67">
            <v>33</v>
          </cell>
          <cell r="U67">
            <v>13</v>
          </cell>
          <cell r="V67">
            <v>20</v>
          </cell>
          <cell r="W67">
            <v>33</v>
          </cell>
          <cell r="X67">
            <v>0</v>
          </cell>
          <cell r="Y67">
            <v>24</v>
          </cell>
          <cell r="Z67">
            <v>9</v>
          </cell>
          <cell r="AA67">
            <v>15</v>
          </cell>
          <cell r="AB67">
            <v>24</v>
          </cell>
          <cell r="AC67">
            <v>0</v>
          </cell>
          <cell r="AD67">
            <v>15</v>
          </cell>
          <cell r="AE67">
            <v>15</v>
          </cell>
          <cell r="AF67">
            <v>0</v>
          </cell>
          <cell r="AG67">
            <v>17</v>
          </cell>
          <cell r="AH67">
            <v>12</v>
          </cell>
          <cell r="AI67">
            <v>0</v>
          </cell>
          <cell r="AJ67">
            <v>2</v>
          </cell>
          <cell r="AP67">
            <v>132</v>
          </cell>
          <cell r="AQ67">
            <v>31</v>
          </cell>
          <cell r="AR67">
            <v>101</v>
          </cell>
          <cell r="AS67">
            <v>140</v>
          </cell>
          <cell r="AT67">
            <v>8</v>
          </cell>
        </row>
        <row r="68">
          <cell r="C68">
            <v>0</v>
          </cell>
          <cell r="D68">
            <v>0</v>
          </cell>
          <cell r="E68">
            <v>0</v>
          </cell>
          <cell r="N68">
            <v>50</v>
          </cell>
          <cell r="O68">
            <v>63</v>
          </cell>
          <cell r="P68">
            <v>13</v>
          </cell>
          <cell r="Q68">
            <v>297</v>
          </cell>
          <cell r="R68">
            <v>330</v>
          </cell>
          <cell r="S68">
            <v>33</v>
          </cell>
          <cell r="T68">
            <v>189</v>
          </cell>
          <cell r="U68">
            <v>73</v>
          </cell>
          <cell r="V68">
            <v>116</v>
          </cell>
          <cell r="W68">
            <v>190</v>
          </cell>
          <cell r="X68">
            <v>1</v>
          </cell>
          <cell r="Y68">
            <v>139</v>
          </cell>
          <cell r="Z68">
            <v>52</v>
          </cell>
          <cell r="AA68">
            <v>87</v>
          </cell>
          <cell r="AB68">
            <v>137</v>
          </cell>
          <cell r="AC68">
            <v>-2</v>
          </cell>
          <cell r="AD68">
            <v>83</v>
          </cell>
          <cell r="AE68">
            <v>83</v>
          </cell>
          <cell r="AF68">
            <v>0</v>
          </cell>
          <cell r="AG68">
            <v>102</v>
          </cell>
          <cell r="AH68">
            <v>16</v>
          </cell>
          <cell r="AI68">
            <v>0</v>
          </cell>
          <cell r="AJ68">
            <v>19</v>
          </cell>
          <cell r="AP68">
            <v>758</v>
          </cell>
          <cell r="AQ68">
            <v>175</v>
          </cell>
          <cell r="AR68">
            <v>583</v>
          </cell>
          <cell r="AS68">
            <v>620</v>
          </cell>
          <cell r="AT68">
            <v>-138</v>
          </cell>
        </row>
        <row r="69">
          <cell r="C69">
            <v>0</v>
          </cell>
          <cell r="D69">
            <v>0</v>
          </cell>
          <cell r="E69">
            <v>0</v>
          </cell>
          <cell r="N69">
            <v>0</v>
          </cell>
          <cell r="P69">
            <v>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0</v>
          </cell>
          <cell r="AQ69">
            <v>0</v>
          </cell>
          <cell r="AR69">
            <v>0</v>
          </cell>
          <cell r="AS69">
            <v>0</v>
          </cell>
          <cell r="AT69">
            <v>0</v>
          </cell>
        </row>
        <row r="70">
          <cell r="C70" t="e">
            <v>#REF!</v>
          </cell>
          <cell r="D70" t="e">
            <v>#REF!</v>
          </cell>
          <cell r="E70" t="e">
            <v>#REF!</v>
          </cell>
          <cell r="N70">
            <v>1182.5</v>
          </cell>
          <cell r="P70">
            <v>-1182.5</v>
          </cell>
          <cell r="Q70" t="e">
            <v>#REF!</v>
          </cell>
          <cell r="S70" t="e">
            <v>#REF!</v>
          </cell>
          <cell r="T70">
            <v>897.27272727272725</v>
          </cell>
          <cell r="U70">
            <v>386</v>
          </cell>
          <cell r="V70">
            <v>511.27272727272725</v>
          </cell>
          <cell r="X70">
            <v>-897.27272727272725</v>
          </cell>
          <cell r="Y70">
            <v>713.9</v>
          </cell>
          <cell r="Z70">
            <v>283</v>
          </cell>
          <cell r="AA70">
            <v>430.9</v>
          </cell>
          <cell r="AC70">
            <v>-713.9</v>
          </cell>
          <cell r="AD70">
            <v>1285.7636363636364</v>
          </cell>
          <cell r="AE70">
            <v>1285.7636363636364</v>
          </cell>
          <cell r="AF70">
            <v>0</v>
          </cell>
          <cell r="AI70">
            <v>0</v>
          </cell>
          <cell r="AJ70">
            <v>-1285.7636363636364</v>
          </cell>
          <cell r="AP70" t="e">
            <v>#REF!</v>
          </cell>
          <cell r="AQ70" t="e">
            <v>#REF!</v>
          </cell>
          <cell r="AS70">
            <v>0</v>
          </cell>
          <cell r="AT70" t="e">
            <v>#REF!</v>
          </cell>
        </row>
        <row r="71">
          <cell r="C71" t="e">
            <v>#REF!</v>
          </cell>
          <cell r="D71" t="e">
            <v>#REF!</v>
          </cell>
          <cell r="E71" t="e">
            <v>#REF!</v>
          </cell>
          <cell r="N71">
            <v>0</v>
          </cell>
          <cell r="P71">
            <v>0</v>
          </cell>
          <cell r="Q71" t="e">
            <v>#REF!</v>
          </cell>
          <cell r="S71" t="e">
            <v>#REF!</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10026.5</v>
          </cell>
          <cell r="D72">
            <v>1252</v>
          </cell>
          <cell r="E72">
            <v>8774.5</v>
          </cell>
          <cell r="N72">
            <v>189.52</v>
          </cell>
          <cell r="O72">
            <v>227</v>
          </cell>
          <cell r="P72">
            <v>37.47999999999999</v>
          </cell>
          <cell r="Q72">
            <v>483.76</v>
          </cell>
          <cell r="R72">
            <v>403</v>
          </cell>
          <cell r="S72">
            <v>-80.759999999999991</v>
          </cell>
          <cell r="T72">
            <v>221.00800000000004</v>
          </cell>
          <cell r="U72">
            <v>84</v>
          </cell>
          <cell r="V72">
            <v>137.00800000000004</v>
          </cell>
          <cell r="W72">
            <v>175</v>
          </cell>
          <cell r="X72">
            <v>-46.008000000000038</v>
          </cell>
          <cell r="Y72">
            <v>192.512</v>
          </cell>
          <cell r="Z72">
            <v>72</v>
          </cell>
          <cell r="AA72">
            <v>120.512</v>
          </cell>
          <cell r="AB72">
            <v>94</v>
          </cell>
          <cell r="AC72">
            <v>-98.512</v>
          </cell>
          <cell r="AD72">
            <v>423.85066666666671</v>
          </cell>
          <cell r="AE72">
            <v>380.04</v>
          </cell>
          <cell r="AF72">
            <v>43.810666666666691</v>
          </cell>
          <cell r="AG72">
            <v>379</v>
          </cell>
          <cell r="AH72">
            <v>173</v>
          </cell>
          <cell r="AI72">
            <v>35</v>
          </cell>
          <cell r="AJ72">
            <v>-44.850666666666712</v>
          </cell>
          <cell r="AN72">
            <v>0</v>
          </cell>
          <cell r="AP72">
            <v>12723.470666666668</v>
          </cell>
          <cell r="AQ72" t="e">
            <v>#REF!</v>
          </cell>
          <cell r="AR72" t="e">
            <v>#REF!</v>
          </cell>
          <cell r="AS72">
            <v>181</v>
          </cell>
          <cell r="AT72">
            <v>-12542.470666666668</v>
          </cell>
          <cell r="AU72">
            <v>156</v>
          </cell>
          <cell r="AV72">
            <v>422</v>
          </cell>
          <cell r="AW72">
            <v>2004.12</v>
          </cell>
          <cell r="AX72" t="e">
            <v>#REF!</v>
          </cell>
        </row>
        <row r="73">
          <cell r="C73">
            <v>988</v>
          </cell>
          <cell r="D73">
            <v>70</v>
          </cell>
          <cell r="E73">
            <v>918</v>
          </cell>
          <cell r="N73">
            <v>0</v>
          </cell>
          <cell r="P73">
            <v>0</v>
          </cell>
          <cell r="Q73">
            <v>0</v>
          </cell>
          <cell r="S73">
            <v>0</v>
          </cell>
          <cell r="T73">
            <v>0</v>
          </cell>
          <cell r="U73">
            <v>0</v>
          </cell>
          <cell r="V73">
            <v>0</v>
          </cell>
          <cell r="X73">
            <v>0</v>
          </cell>
          <cell r="Y73">
            <v>0</v>
          </cell>
          <cell r="Z73">
            <v>0</v>
          </cell>
          <cell r="AA73">
            <v>0</v>
          </cell>
          <cell r="AC73">
            <v>0</v>
          </cell>
          <cell r="AD73">
            <v>0</v>
          </cell>
          <cell r="AE73">
            <v>0</v>
          </cell>
          <cell r="AF73">
            <v>0</v>
          </cell>
          <cell r="AI73">
            <v>0</v>
          </cell>
          <cell r="AJ73">
            <v>0</v>
          </cell>
          <cell r="AP73">
            <v>988</v>
          </cell>
          <cell r="AQ73">
            <v>70</v>
          </cell>
          <cell r="AR73">
            <v>918</v>
          </cell>
          <cell r="AS73">
            <v>0</v>
          </cell>
          <cell r="AT73">
            <v>-988</v>
          </cell>
          <cell r="AU73">
            <v>0</v>
          </cell>
          <cell r="AV73">
            <v>0</v>
          </cell>
          <cell r="AW73">
            <v>70</v>
          </cell>
          <cell r="AX73">
            <v>918</v>
          </cell>
        </row>
        <row r="74">
          <cell r="C74">
            <v>9038.5</v>
          </cell>
          <cell r="D74">
            <v>1182</v>
          </cell>
          <cell r="E74">
            <v>7856.5</v>
          </cell>
          <cell r="N74">
            <v>189.52</v>
          </cell>
          <cell r="P74">
            <v>-189.52</v>
          </cell>
          <cell r="Q74">
            <v>483.76</v>
          </cell>
          <cell r="S74">
            <v>-483.76</v>
          </cell>
          <cell r="T74">
            <v>221.00800000000004</v>
          </cell>
          <cell r="U74">
            <v>84</v>
          </cell>
          <cell r="V74">
            <v>137.00800000000004</v>
          </cell>
          <cell r="X74">
            <v>-221.00800000000004</v>
          </cell>
          <cell r="Y74">
            <v>192.512</v>
          </cell>
          <cell r="Z74">
            <v>72</v>
          </cell>
          <cell r="AA74">
            <v>120.512</v>
          </cell>
          <cell r="AC74">
            <v>-192.512</v>
          </cell>
          <cell r="AD74">
            <v>423.85066666666671</v>
          </cell>
          <cell r="AE74">
            <v>380.04</v>
          </cell>
          <cell r="AF74">
            <v>43.810666666666691</v>
          </cell>
          <cell r="AG74">
            <v>379</v>
          </cell>
          <cell r="AH74">
            <v>173</v>
          </cell>
          <cell r="AI74">
            <v>35</v>
          </cell>
          <cell r="AJ74">
            <v>-44.850666666666712</v>
          </cell>
          <cell r="AN74">
            <v>0</v>
          </cell>
          <cell r="AP74">
            <v>11735.470666666668</v>
          </cell>
          <cell r="AQ74">
            <v>2090.12</v>
          </cell>
          <cell r="AR74">
            <v>9645.350666666669</v>
          </cell>
          <cell r="AS74">
            <v>181</v>
          </cell>
          <cell r="AT74">
            <v>-11554.470666666668</v>
          </cell>
          <cell r="AU74">
            <v>156</v>
          </cell>
          <cell r="AV74">
            <v>422</v>
          </cell>
          <cell r="AW74">
            <v>1934.12</v>
          </cell>
          <cell r="AX74">
            <v>9223.350666666669</v>
          </cell>
        </row>
        <row r="75">
          <cell r="C75">
            <v>3287</v>
          </cell>
          <cell r="D75">
            <v>299</v>
          </cell>
          <cell r="E75">
            <v>2988</v>
          </cell>
          <cell r="N75">
            <v>117.32</v>
          </cell>
          <cell r="P75">
            <v>-117.32</v>
          </cell>
          <cell r="Q75">
            <v>304.76</v>
          </cell>
          <cell r="S75">
            <v>-304.76</v>
          </cell>
          <cell r="T75">
            <v>120.80800000000002</v>
          </cell>
          <cell r="U75">
            <v>46</v>
          </cell>
          <cell r="V75">
            <v>74.808000000000021</v>
          </cell>
          <cell r="X75">
            <v>-120.80800000000002</v>
          </cell>
          <cell r="Y75">
            <v>73.711999999999989</v>
          </cell>
          <cell r="Z75">
            <v>48</v>
          </cell>
          <cell r="AA75">
            <v>25.711999999999989</v>
          </cell>
          <cell r="AC75">
            <v>-73.711999999999989</v>
          </cell>
          <cell r="AD75">
            <v>284.25066666666669</v>
          </cell>
          <cell r="AE75">
            <v>260.28000000000003</v>
          </cell>
          <cell r="AF75">
            <v>23.970666666666659</v>
          </cell>
          <cell r="AJ75">
            <v>-284.25066666666669</v>
          </cell>
          <cell r="AP75">
            <v>4563.88</v>
          </cell>
          <cell r="AQ75">
            <v>734.92000000000007</v>
          </cell>
          <cell r="AR75">
            <v>3828.96</v>
          </cell>
          <cell r="AS75">
            <v>0</v>
          </cell>
          <cell r="AT75">
            <v>-4563.88</v>
          </cell>
          <cell r="AX75">
            <v>3828.96</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865</v>
          </cell>
          <cell r="D77">
            <v>323</v>
          </cell>
          <cell r="E77">
            <v>542</v>
          </cell>
          <cell r="N77">
            <v>34</v>
          </cell>
          <cell r="Q77">
            <v>80.800000000000011</v>
          </cell>
          <cell r="T77">
            <v>48.400000000000006</v>
          </cell>
          <cell r="U77">
            <v>8</v>
          </cell>
          <cell r="V77">
            <v>40.400000000000006</v>
          </cell>
          <cell r="Y77">
            <v>37.200000000000003</v>
          </cell>
          <cell r="Z77">
            <v>10</v>
          </cell>
          <cell r="AA77">
            <v>27.200000000000003</v>
          </cell>
          <cell r="AD77">
            <v>58.6</v>
          </cell>
          <cell r="AE77">
            <v>54.76</v>
          </cell>
          <cell r="AF77">
            <v>3.8400000000000034</v>
          </cell>
        </row>
        <row r="78">
          <cell r="C78">
            <v>3123.5</v>
          </cell>
          <cell r="D78">
            <v>363</v>
          </cell>
          <cell r="E78">
            <v>2760.5</v>
          </cell>
          <cell r="N78">
            <v>38.200000000000003</v>
          </cell>
          <cell r="Q78">
            <v>98.2</v>
          </cell>
          <cell r="T78">
            <v>51.8</v>
          </cell>
          <cell r="U78">
            <v>14</v>
          </cell>
          <cell r="V78">
            <v>37.799999999999997</v>
          </cell>
          <cell r="Y78">
            <v>81.599999999999994</v>
          </cell>
          <cell r="Z78">
            <v>14</v>
          </cell>
          <cell r="AA78">
            <v>67.599999999999994</v>
          </cell>
          <cell r="AD78">
            <v>81</v>
          </cell>
          <cell r="AE78">
            <v>65</v>
          </cell>
          <cell r="AF78">
            <v>16</v>
          </cell>
        </row>
        <row r="79">
          <cell r="C79">
            <v>13</v>
          </cell>
          <cell r="D79">
            <v>85</v>
          </cell>
          <cell r="E79">
            <v>-72</v>
          </cell>
          <cell r="N79">
            <v>15.1</v>
          </cell>
          <cell r="P79">
            <v>-15.1</v>
          </cell>
          <cell r="Q79">
            <v>7.5</v>
          </cell>
          <cell r="S79">
            <v>-7.5</v>
          </cell>
          <cell r="U79">
            <v>1</v>
          </cell>
          <cell r="V79">
            <v>-1</v>
          </cell>
          <cell r="X79">
            <v>0</v>
          </cell>
          <cell r="Y79">
            <v>6.7</v>
          </cell>
          <cell r="Z79">
            <v>0</v>
          </cell>
          <cell r="AA79">
            <v>6.7</v>
          </cell>
          <cell r="AC79">
            <v>-6.7</v>
          </cell>
          <cell r="AD79">
            <v>38.799999999999997</v>
          </cell>
          <cell r="AE79">
            <v>34</v>
          </cell>
          <cell r="AF79">
            <v>4.7999999999999972</v>
          </cell>
          <cell r="AJ79">
            <v>-38.799999999999997</v>
          </cell>
          <cell r="AP79">
            <v>79.300000000000011</v>
          </cell>
          <cell r="AQ79">
            <v>104.1</v>
          </cell>
          <cell r="AS79">
            <v>0</v>
          </cell>
          <cell r="AT79">
            <v>-79.300000000000011</v>
          </cell>
        </row>
        <row r="80">
          <cell r="C80">
            <v>14660.397000000001</v>
          </cell>
          <cell r="D80">
            <v>2178</v>
          </cell>
          <cell r="E80">
            <v>12482.397000000001</v>
          </cell>
          <cell r="N80">
            <v>7036.2207272727283</v>
          </cell>
          <cell r="O80">
            <v>6571</v>
          </cell>
          <cell r="P80">
            <v>-465.22072727272825</v>
          </cell>
          <cell r="Q80">
            <v>77353.513454545449</v>
          </cell>
          <cell r="R80">
            <v>83057</v>
          </cell>
          <cell r="S80">
            <v>5703.4865454545507</v>
          </cell>
          <cell r="T80">
            <v>117852.27636363638</v>
          </cell>
          <cell r="U80">
            <v>69321.347560975613</v>
          </cell>
          <cell r="V80">
            <v>48530.928802660754</v>
          </cell>
          <cell r="W80">
            <v>101508</v>
          </cell>
          <cell r="X80">
            <v>-16344.276363636382</v>
          </cell>
          <cell r="Y80">
            <v>95810.307272727281</v>
          </cell>
          <cell r="Z80">
            <v>53742.750161952055</v>
          </cell>
          <cell r="AA80">
            <v>42067.557110775218</v>
          </cell>
          <cell r="AB80">
            <v>81399</v>
          </cell>
          <cell r="AC80">
            <v>-14411.307272727281</v>
          </cell>
          <cell r="AD80">
            <v>12118.565090909091</v>
          </cell>
          <cell r="AE80">
            <v>10080.754424242425</v>
          </cell>
          <cell r="AF80">
            <v>2037.8106666666665</v>
          </cell>
          <cell r="AG80">
            <v>9642</v>
          </cell>
          <cell r="AH80">
            <v>6481</v>
          </cell>
          <cell r="AI80">
            <v>2032</v>
          </cell>
          <cell r="AJ80">
            <v>-2476.5650909090909</v>
          </cell>
          <cell r="AL80">
            <v>0</v>
          </cell>
          <cell r="AN80" t="e">
            <v>#REF!</v>
          </cell>
          <cell r="AP80">
            <v>325282.7199090909</v>
          </cell>
          <cell r="AQ80" t="e">
            <v>#REF!</v>
          </cell>
          <cell r="AR80" t="e">
            <v>#REF!</v>
          </cell>
          <cell r="AS80">
            <v>278125</v>
          </cell>
          <cell r="AT80">
            <v>-47157.719909090898</v>
          </cell>
          <cell r="AU80">
            <v>122842.09772292766</v>
          </cell>
          <cell r="AV80">
            <v>151884</v>
          </cell>
          <cell r="AW80">
            <v>9876.6389090909088</v>
          </cell>
          <cell r="AX80" t="e">
            <v>#REF!</v>
          </cell>
        </row>
        <row r="81">
          <cell r="C81">
            <v>13672.397000000001</v>
          </cell>
          <cell r="D81">
            <v>2108</v>
          </cell>
          <cell r="E81">
            <v>11564.397000000001</v>
          </cell>
          <cell r="P81">
            <v>0</v>
          </cell>
          <cell r="S81">
            <v>0</v>
          </cell>
          <cell r="X81">
            <v>0</v>
          </cell>
          <cell r="AC81">
            <v>0</v>
          </cell>
          <cell r="AJ81">
            <v>0</v>
          </cell>
          <cell r="AP81">
            <v>71314.719909090898</v>
          </cell>
          <cell r="AQ81" t="e">
            <v>#REF!</v>
          </cell>
          <cell r="AR81" t="e">
            <v>#REF!</v>
          </cell>
          <cell r="AS81">
            <v>0</v>
          </cell>
          <cell r="AT81">
            <v>-71314.719909090898</v>
          </cell>
          <cell r="AU81">
            <v>4989</v>
          </cell>
          <cell r="AV81">
            <v>15770</v>
          </cell>
          <cell r="AW81">
            <v>9875.6389090909088</v>
          </cell>
          <cell r="AX81" t="e">
            <v>#REF!</v>
          </cell>
        </row>
        <row r="82">
          <cell r="N82">
            <v>1724.2727272727273</v>
          </cell>
          <cell r="O82">
            <v>1501</v>
          </cell>
          <cell r="P82">
            <v>-223.27272727272725</v>
          </cell>
          <cell r="Q82">
            <v>3953.727272727273</v>
          </cell>
          <cell r="R82">
            <v>3466</v>
          </cell>
          <cell r="S82">
            <v>-487.72727272727298</v>
          </cell>
          <cell r="T82">
            <v>1558.7272727272727</v>
          </cell>
          <cell r="U82">
            <v>615</v>
          </cell>
          <cell r="V82">
            <v>943.72727272727275</v>
          </cell>
          <cell r="W82">
            <v>1353</v>
          </cell>
          <cell r="X82">
            <v>-205.72727272727275</v>
          </cell>
          <cell r="Y82">
            <v>1260.7272727272727</v>
          </cell>
          <cell r="Z82">
            <v>470</v>
          </cell>
          <cell r="AA82">
            <v>790.72727272727275</v>
          </cell>
          <cell r="AB82">
            <v>1097</v>
          </cell>
          <cell r="AC82">
            <v>-163.72727272727275</v>
          </cell>
          <cell r="AD82">
            <v>3528.6363636363635</v>
          </cell>
          <cell r="AE82">
            <v>3259.6363636363635</v>
          </cell>
          <cell r="AF82">
            <v>269</v>
          </cell>
          <cell r="AG82">
            <v>2881</v>
          </cell>
          <cell r="AH82">
            <v>1984</v>
          </cell>
          <cell r="AI82">
            <v>306</v>
          </cell>
          <cell r="AJ82">
            <v>-647.63636363636351</v>
          </cell>
          <cell r="AN82">
            <v>0</v>
          </cell>
          <cell r="AP82">
            <v>13729.987909090909</v>
          </cell>
          <cell r="AS82">
            <v>9401</v>
          </cell>
          <cell r="AT82">
            <v>-4328.9879090909089</v>
          </cell>
        </row>
        <row r="83">
          <cell r="C83">
            <v>16699</v>
          </cell>
          <cell r="D83">
            <v>11292</v>
          </cell>
          <cell r="E83">
            <v>0</v>
          </cell>
          <cell r="P83">
            <v>0</v>
          </cell>
          <cell r="S83">
            <v>0</v>
          </cell>
          <cell r="X83">
            <v>0</v>
          </cell>
          <cell r="AC83">
            <v>0</v>
          </cell>
          <cell r="AJ83">
            <v>0</v>
          </cell>
          <cell r="AP83">
            <v>16699</v>
          </cell>
          <cell r="AQ83">
            <v>11292</v>
          </cell>
          <cell r="AR83">
            <v>0</v>
          </cell>
          <cell r="AS83">
            <v>0</v>
          </cell>
          <cell r="AT83">
            <v>-16699</v>
          </cell>
          <cell r="AU83">
            <v>0</v>
          </cell>
          <cell r="AV83">
            <v>0</v>
          </cell>
          <cell r="AW83">
            <v>0</v>
          </cell>
          <cell r="AX83">
            <v>0</v>
          </cell>
        </row>
        <row r="84">
          <cell r="C84">
            <v>31359.397000000001</v>
          </cell>
          <cell r="D84">
            <v>13470</v>
          </cell>
          <cell r="E84">
            <v>12482.397000000001</v>
          </cell>
          <cell r="N84">
            <v>7036.2207272727283</v>
          </cell>
          <cell r="O84">
            <v>6571</v>
          </cell>
          <cell r="P84">
            <v>-465.22072727272825</v>
          </cell>
          <cell r="Q84">
            <v>77353.513454545449</v>
          </cell>
          <cell r="R84">
            <v>83057</v>
          </cell>
          <cell r="S84">
            <v>5703.4865454545507</v>
          </cell>
          <cell r="T84">
            <v>117852.27636363638</v>
          </cell>
          <cell r="U84">
            <v>69321.347560975613</v>
          </cell>
          <cell r="V84">
            <v>48530.928802660754</v>
          </cell>
          <cell r="W84">
            <v>101508</v>
          </cell>
          <cell r="X84">
            <v>-16344.276363636382</v>
          </cell>
          <cell r="Y84">
            <v>95810.307272727281</v>
          </cell>
          <cell r="Z84">
            <v>53742.750161952055</v>
          </cell>
          <cell r="AA84">
            <v>42067.557110775218</v>
          </cell>
          <cell r="AB84">
            <v>81399</v>
          </cell>
          <cell r="AC84">
            <v>-14411.307272727281</v>
          </cell>
          <cell r="AD84">
            <v>12118.565090909091</v>
          </cell>
          <cell r="AE84">
            <v>10080.754424242425</v>
          </cell>
          <cell r="AF84">
            <v>2037.8106666666665</v>
          </cell>
          <cell r="AG84">
            <v>9642</v>
          </cell>
          <cell r="AH84">
            <v>6481</v>
          </cell>
          <cell r="AI84">
            <v>2032</v>
          </cell>
          <cell r="AJ84">
            <v>-2476.5650909090909</v>
          </cell>
          <cell r="AL84">
            <v>0</v>
          </cell>
          <cell r="AN84" t="e">
            <v>#REF!</v>
          </cell>
          <cell r="AP84">
            <v>341981.7199090909</v>
          </cell>
          <cell r="AQ84" t="e">
            <v>#REF!</v>
          </cell>
          <cell r="AR84" t="e">
            <v>#REF!</v>
          </cell>
          <cell r="AS84">
            <v>278125</v>
          </cell>
          <cell r="AT84">
            <v>-63856.719909090898</v>
          </cell>
          <cell r="AU84">
            <v>122842.09772292766</v>
          </cell>
          <cell r="AV84">
            <v>151884</v>
          </cell>
          <cell r="AW84">
            <v>9876.6389090909088</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1341</v>
          </cell>
          <cell r="D86">
            <v>1959</v>
          </cell>
          <cell r="E86">
            <v>-618</v>
          </cell>
          <cell r="N86">
            <v>0</v>
          </cell>
          <cell r="P86">
            <v>0</v>
          </cell>
          <cell r="Q86">
            <v>0</v>
          </cell>
          <cell r="S86">
            <v>0</v>
          </cell>
          <cell r="T86">
            <v>0</v>
          </cell>
          <cell r="U86">
            <v>0</v>
          </cell>
          <cell r="V86">
            <v>0</v>
          </cell>
          <cell r="X86">
            <v>0</v>
          </cell>
          <cell r="Y86">
            <v>0</v>
          </cell>
          <cell r="AC86">
            <v>0</v>
          </cell>
          <cell r="AI86">
            <v>0</v>
          </cell>
          <cell r="AJ86">
            <v>0</v>
          </cell>
          <cell r="AP86">
            <v>1341</v>
          </cell>
          <cell r="AQ86">
            <v>1959</v>
          </cell>
          <cell r="AR86">
            <v>-618</v>
          </cell>
          <cell r="AS86">
            <v>0</v>
          </cell>
          <cell r="AT86">
            <v>-1341</v>
          </cell>
          <cell r="AU86">
            <v>0</v>
          </cell>
          <cell r="AV86">
            <v>0</v>
          </cell>
          <cell r="AW86">
            <v>1959</v>
          </cell>
          <cell r="AX86">
            <v>-618</v>
          </cell>
        </row>
        <row r="87">
          <cell r="C87">
            <v>114</v>
          </cell>
          <cell r="D87">
            <v>481</v>
          </cell>
          <cell r="E87">
            <v>-367</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113</v>
          </cell>
          <cell r="AQ87">
            <v>481</v>
          </cell>
          <cell r="AR87">
            <v>-368</v>
          </cell>
          <cell r="AS87">
            <v>-1</v>
          </cell>
          <cell r="AT87">
            <v>-114</v>
          </cell>
          <cell r="AU87">
            <v>0</v>
          </cell>
          <cell r="AV87">
            <v>0</v>
          </cell>
          <cell r="AW87">
            <v>481</v>
          </cell>
          <cell r="AX87">
            <v>-368</v>
          </cell>
        </row>
        <row r="88">
          <cell r="C88">
            <v>62</v>
          </cell>
          <cell r="D88">
            <v>12</v>
          </cell>
          <cell r="E88">
            <v>50</v>
          </cell>
          <cell r="N88">
            <v>49.800000000000004</v>
          </cell>
          <cell r="O88">
            <v>51</v>
          </cell>
          <cell r="P88">
            <v>1.1999999999999957</v>
          </cell>
          <cell r="Q88">
            <v>20.6</v>
          </cell>
          <cell r="S88">
            <v>-20.6</v>
          </cell>
          <cell r="T88">
            <v>199.6</v>
          </cell>
          <cell r="U88">
            <v>20</v>
          </cell>
          <cell r="V88">
            <v>179.6</v>
          </cell>
          <cell r="X88">
            <v>-199.6</v>
          </cell>
          <cell r="Y88">
            <v>74.599999999999994</v>
          </cell>
          <cell r="AB88">
            <v>0</v>
          </cell>
          <cell r="AC88">
            <v>-74.599999999999994</v>
          </cell>
          <cell r="AD88">
            <v>36.333333333333336</v>
          </cell>
          <cell r="AE88">
            <v>22</v>
          </cell>
          <cell r="AF88">
            <v>14.333333333333336</v>
          </cell>
          <cell r="AG88">
            <v>44</v>
          </cell>
          <cell r="AH88">
            <v>15</v>
          </cell>
          <cell r="AI88">
            <v>29</v>
          </cell>
          <cell r="AJ88">
            <v>7.6666666666666643</v>
          </cell>
          <cell r="AP88">
            <v>333.6</v>
          </cell>
          <cell r="AQ88">
            <v>12.800000000000011</v>
          </cell>
          <cell r="AR88">
            <v>320.8</v>
          </cell>
          <cell r="AS88">
            <v>65</v>
          </cell>
          <cell r="AT88">
            <v>-268.60000000000002</v>
          </cell>
          <cell r="AU88">
            <v>20</v>
          </cell>
          <cell r="AV88">
            <v>185</v>
          </cell>
          <cell r="AW88">
            <v>-7.1999999999999886</v>
          </cell>
          <cell r="AX88">
            <v>135.80000000000001</v>
          </cell>
        </row>
        <row r="89">
          <cell r="C89">
            <v>32876.396999999997</v>
          </cell>
          <cell r="D89">
            <v>15922</v>
          </cell>
          <cell r="E89">
            <v>11547.397000000001</v>
          </cell>
          <cell r="N89">
            <v>7086.0207272727284</v>
          </cell>
          <cell r="O89">
            <v>6622</v>
          </cell>
          <cell r="P89">
            <v>-464.02072727272844</v>
          </cell>
          <cell r="Q89">
            <v>77374.113454545455</v>
          </cell>
          <cell r="R89">
            <v>83057</v>
          </cell>
          <cell r="S89">
            <v>5682.8865454545448</v>
          </cell>
          <cell r="T89">
            <v>118051.87636363639</v>
          </cell>
          <cell r="U89">
            <v>69341.347560975613</v>
          </cell>
          <cell r="V89">
            <v>48710.528802660752</v>
          </cell>
          <cell r="W89">
            <v>101508</v>
          </cell>
          <cell r="X89">
            <v>-16543.876363636387</v>
          </cell>
          <cell r="Y89">
            <v>95884.907272727287</v>
          </cell>
          <cell r="Z89">
            <v>53742.750161952055</v>
          </cell>
          <cell r="AA89">
            <v>42067.557110775218</v>
          </cell>
          <cell r="AB89">
            <v>81399</v>
          </cell>
          <cell r="AC89">
            <v>-14485.907272727287</v>
          </cell>
          <cell r="AD89">
            <v>12154.898424242425</v>
          </cell>
          <cell r="AE89">
            <v>10102.754424242425</v>
          </cell>
          <cell r="AF89">
            <v>2052.1439999999998</v>
          </cell>
          <cell r="AG89">
            <v>9686</v>
          </cell>
          <cell r="AH89">
            <v>6496</v>
          </cell>
          <cell r="AI89">
            <v>2061</v>
          </cell>
          <cell r="AJ89">
            <v>-2468.8984242424249</v>
          </cell>
          <cell r="AK89">
            <v>0</v>
          </cell>
          <cell r="AN89" t="e">
            <v>#REF!</v>
          </cell>
          <cell r="AP89">
            <v>343770.31990909087</v>
          </cell>
          <cell r="AQ89" t="e">
            <v>#REF!</v>
          </cell>
          <cell r="AR89" t="e">
            <v>#REF!</v>
          </cell>
          <cell r="AS89">
            <v>278189</v>
          </cell>
          <cell r="AT89">
            <v>-65581.319909090875</v>
          </cell>
          <cell r="AU89">
            <v>122862.09772292766</v>
          </cell>
          <cell r="AV89">
            <v>152069</v>
          </cell>
          <cell r="AW89">
            <v>12309.438909090908</v>
          </cell>
          <cell r="AX89" t="e">
            <v>#REF!</v>
          </cell>
        </row>
        <row r="90">
          <cell r="C90">
            <v>16177.396999999997</v>
          </cell>
          <cell r="D90">
            <v>4630</v>
          </cell>
          <cell r="E90">
            <v>11547.397000000001</v>
          </cell>
          <cell r="N90">
            <v>7086.0207272727284</v>
          </cell>
          <cell r="O90">
            <v>6622</v>
          </cell>
          <cell r="P90">
            <v>-464.02072727272844</v>
          </cell>
          <cell r="Q90">
            <v>23294.113454545455</v>
          </cell>
          <cell r="R90">
            <v>21655</v>
          </cell>
          <cell r="S90">
            <v>-1639.1134545454552</v>
          </cell>
          <cell r="T90">
            <v>8491.8763636363874</v>
          </cell>
          <cell r="U90">
            <v>3233</v>
          </cell>
          <cell r="V90">
            <v>5258.8763636363656</v>
          </cell>
          <cell r="W90">
            <v>7876</v>
          </cell>
          <cell r="X90">
            <v>-615.8763636363874</v>
          </cell>
          <cell r="Y90">
            <v>5557.9072727272869</v>
          </cell>
          <cell r="Z90">
            <v>1998</v>
          </cell>
          <cell r="AA90">
            <v>3485.3072727272738</v>
          </cell>
          <cell r="AB90">
            <v>5098</v>
          </cell>
          <cell r="AC90">
            <v>-459.90727272728691</v>
          </cell>
          <cell r="AD90">
            <v>12154.898424242425</v>
          </cell>
          <cell r="AE90">
            <v>10102.754424242425</v>
          </cell>
          <cell r="AF90">
            <v>2052.1439999999998</v>
          </cell>
          <cell r="AG90">
            <v>9686</v>
          </cell>
          <cell r="AH90">
            <v>6496</v>
          </cell>
          <cell r="AI90">
            <v>2061</v>
          </cell>
          <cell r="AJ90">
            <v>-2468.8984242424249</v>
          </cell>
          <cell r="AN90" t="e">
            <v>#REF!</v>
          </cell>
          <cell r="AP90">
            <v>73103.319909090875</v>
          </cell>
          <cell r="AQ90" t="e">
            <v>#REF!</v>
          </cell>
          <cell r="AR90" t="e">
            <v>#REF!</v>
          </cell>
          <cell r="AS90">
            <v>46854</v>
          </cell>
          <cell r="AT90">
            <v>-26249.319909090875</v>
          </cell>
          <cell r="AU90">
            <v>5009</v>
          </cell>
          <cell r="AV90">
            <v>15955</v>
          </cell>
          <cell r="AW90">
            <v>12308.438909090908</v>
          </cell>
          <cell r="AX90" t="e">
            <v>#REF!</v>
          </cell>
        </row>
        <row r="91">
          <cell r="C91">
            <v>1201.8969999999999</v>
          </cell>
          <cell r="D91">
            <v>310</v>
          </cell>
          <cell r="E91">
            <v>891.89699999999993</v>
          </cell>
          <cell r="N91">
            <v>1724.2727272727273</v>
          </cell>
          <cell r="O91">
            <v>1501</v>
          </cell>
          <cell r="P91">
            <v>-223.27272727272725</v>
          </cell>
          <cell r="Q91">
            <v>3953.727272727273</v>
          </cell>
          <cell r="R91">
            <v>3466</v>
          </cell>
          <cell r="S91">
            <v>-487.72727272727298</v>
          </cell>
          <cell r="T91">
            <v>1558.7272727272727</v>
          </cell>
          <cell r="U91">
            <v>615</v>
          </cell>
          <cell r="V91">
            <v>943.72727272727275</v>
          </cell>
          <cell r="W91">
            <v>1353</v>
          </cell>
          <cell r="X91">
            <v>-205.72727272727275</v>
          </cell>
          <cell r="Y91">
            <v>1260.7272727272727</v>
          </cell>
          <cell r="Z91">
            <v>470</v>
          </cell>
          <cell r="AA91">
            <v>790.72727272727275</v>
          </cell>
          <cell r="AB91">
            <v>1097</v>
          </cell>
          <cell r="AC91">
            <v>-163.72727272727275</v>
          </cell>
          <cell r="AD91">
            <v>3528.6363636363635</v>
          </cell>
          <cell r="AE91">
            <v>3259.6363636363635</v>
          </cell>
          <cell r="AF91">
            <v>269</v>
          </cell>
          <cell r="AG91">
            <v>2881</v>
          </cell>
          <cell r="AH91">
            <v>1984</v>
          </cell>
          <cell r="AI91">
            <v>306</v>
          </cell>
          <cell r="AJ91">
            <v>-647.63636363636351</v>
          </cell>
          <cell r="AN91">
            <v>0</v>
          </cell>
          <cell r="AP91">
            <v>13729.987909090909</v>
          </cell>
          <cell r="AQ91">
            <v>343923.31990909093</v>
          </cell>
          <cell r="AR91">
            <v>147538.53663201857</v>
          </cell>
          <cell r="AS91">
            <v>9401</v>
          </cell>
        </row>
        <row r="92">
          <cell r="C92">
            <v>-1273</v>
          </cell>
          <cell r="N92">
            <v>1614.15</v>
          </cell>
          <cell r="P92">
            <v>-1614.15</v>
          </cell>
          <cell r="Q92">
            <v>3583.5499999999997</v>
          </cell>
          <cell r="S92">
            <v>-3583.5499999999997</v>
          </cell>
          <cell r="T92">
            <v>176.47000000000003</v>
          </cell>
          <cell r="X92">
            <v>-176.47000000000003</v>
          </cell>
          <cell r="Y92">
            <v>225.76000000000002</v>
          </cell>
          <cell r="AB92">
            <v>432</v>
          </cell>
          <cell r="AC92">
            <v>206.23999999999998</v>
          </cell>
          <cell r="AD92">
            <v>1009.45</v>
          </cell>
          <cell r="AE92">
            <v>932.45</v>
          </cell>
          <cell r="AF92">
            <v>77</v>
          </cell>
          <cell r="AI92">
            <v>0</v>
          </cell>
          <cell r="AJ92" t="e">
            <v>#REF!</v>
          </cell>
          <cell r="AN92" t="e">
            <v>#REF!</v>
          </cell>
          <cell r="AO92">
            <v>1616</v>
          </cell>
          <cell r="AP92" t="e">
            <v>#REF!</v>
          </cell>
          <cell r="AS92">
            <v>2048</v>
          </cell>
        </row>
        <row r="93">
          <cell r="C93">
            <v>35</v>
          </cell>
          <cell r="N93">
            <v>1614.15</v>
          </cell>
          <cell r="P93">
            <v>-1614.15</v>
          </cell>
          <cell r="Q93">
            <v>3583.5499999999997</v>
          </cell>
          <cell r="S93">
            <v>-3583.5499999999997</v>
          </cell>
          <cell r="T93">
            <v>176.47000000000003</v>
          </cell>
          <cell r="W93">
            <v>0</v>
          </cell>
          <cell r="X93">
            <v>-176.47000000000003</v>
          </cell>
          <cell r="Y93">
            <v>225.76000000000002</v>
          </cell>
          <cell r="AB93">
            <v>432</v>
          </cell>
          <cell r="AC93">
            <v>206.23999999999998</v>
          </cell>
          <cell r="AD93">
            <v>1009.45</v>
          </cell>
          <cell r="AE93">
            <v>932.45</v>
          </cell>
          <cell r="AF93">
            <v>77</v>
          </cell>
          <cell r="AI93">
            <v>0</v>
          </cell>
          <cell r="AJ93">
            <v>-1009.45</v>
          </cell>
          <cell r="AN93" t="e">
            <v>#REF!</v>
          </cell>
          <cell r="AP93" t="e">
            <v>#REF!</v>
          </cell>
          <cell r="AS93">
            <v>432</v>
          </cell>
        </row>
        <row r="95">
          <cell r="C95">
            <v>-1308</v>
          </cell>
          <cell r="N95">
            <v>0</v>
          </cell>
          <cell r="P95">
            <v>0</v>
          </cell>
          <cell r="Q95">
            <v>0</v>
          </cell>
          <cell r="R95">
            <v>0</v>
          </cell>
          <cell r="S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t="e">
            <v>#REF!</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10509</v>
          </cell>
          <cell r="P115">
            <v>0</v>
          </cell>
          <cell r="S115">
            <v>0</v>
          </cell>
          <cell r="X115">
            <v>0</v>
          </cell>
          <cell r="AC115">
            <v>0</v>
          </cell>
          <cell r="AF115">
            <v>0</v>
          </cell>
          <cell r="AI115">
            <v>0</v>
          </cell>
          <cell r="AJ115">
            <v>0</v>
          </cell>
          <cell r="AP115">
            <v>10509</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0.40000000000000036</v>
          </cell>
          <cell r="P122">
            <v>-0.40000000000000036</v>
          </cell>
          <cell r="Q122">
            <v>0</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5009</v>
          </cell>
          <cell r="AV146">
            <v>15955</v>
          </cell>
          <cell r="AW146">
            <v>12308.438909090908</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215</v>
          </cell>
          <cell r="O153">
            <v>272</v>
          </cell>
          <cell r="P153">
            <v>57</v>
          </cell>
          <cell r="Q153">
            <v>1275.7272727272727</v>
          </cell>
          <cell r="R153">
            <v>1487</v>
          </cell>
          <cell r="S153">
            <v>211.27272727272725</v>
          </cell>
          <cell r="T153">
            <v>814</v>
          </cell>
          <cell r="U153">
            <v>317</v>
          </cell>
          <cell r="V153">
            <v>497</v>
          </cell>
          <cell r="W153">
            <v>831</v>
          </cell>
          <cell r="X153">
            <v>17</v>
          </cell>
          <cell r="Y153">
            <v>598</v>
          </cell>
          <cell r="Z153">
            <v>223</v>
          </cell>
          <cell r="AA153">
            <v>375</v>
          </cell>
          <cell r="AB153">
            <v>596</v>
          </cell>
          <cell r="AC153">
            <v>-2</v>
          </cell>
          <cell r="AD153">
            <v>359.09090909090912</v>
          </cell>
          <cell r="AE153">
            <v>359.09090909090912</v>
          </cell>
          <cell r="AF153">
            <v>0</v>
          </cell>
          <cell r="AG153">
            <v>437</v>
          </cell>
          <cell r="AH153">
            <v>265</v>
          </cell>
          <cell r="AI153">
            <v>0</v>
          </cell>
          <cell r="AJ153">
            <v>77.909090909090878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-1273</v>
          </cell>
          <cell r="N162">
            <v>1614.15</v>
          </cell>
          <cell r="O162">
            <v>0</v>
          </cell>
          <cell r="P162">
            <v>-1614.15</v>
          </cell>
          <cell r="Q162">
            <v>1739.5839999999998</v>
          </cell>
          <cell r="R162">
            <v>800</v>
          </cell>
          <cell r="S162">
            <v>-939.58399999999983</v>
          </cell>
          <cell r="T162">
            <v>176.47000000000003</v>
          </cell>
          <cell r="U162">
            <v>0</v>
          </cell>
          <cell r="V162">
            <v>0</v>
          </cell>
          <cell r="W162">
            <v>0</v>
          </cell>
          <cell r="X162">
            <v>-176.47000000000003</v>
          </cell>
          <cell r="Y162">
            <v>225.76000000000002</v>
          </cell>
          <cell r="Z162">
            <v>0</v>
          </cell>
          <cell r="AA162">
            <v>0</v>
          </cell>
          <cell r="AB162">
            <v>432</v>
          </cell>
          <cell r="AC162">
            <v>206.23999999999998</v>
          </cell>
          <cell r="AD162" t="e">
            <v>#REF!</v>
          </cell>
          <cell r="AE162">
            <v>1009.45</v>
          </cell>
          <cell r="AF162">
            <v>77</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1651.8969999999999</v>
          </cell>
          <cell r="N164">
            <v>2372.272727272727</v>
          </cell>
          <cell r="O164">
            <v>2062</v>
          </cell>
          <cell r="P164">
            <v>-310.27272727272702</v>
          </cell>
          <cell r="Q164">
            <v>5435.727272727273</v>
          </cell>
          <cell r="R164">
            <v>5523</v>
          </cell>
          <cell r="S164">
            <v>87.272727272727025</v>
          </cell>
          <cell r="T164">
            <v>2142.727272727273</v>
          </cell>
          <cell r="U164">
            <v>846</v>
          </cell>
          <cell r="V164">
            <v>1296.7272727272727</v>
          </cell>
          <cell r="W164">
            <v>2210</v>
          </cell>
          <cell r="X164">
            <v>67.272727272727025</v>
          </cell>
          <cell r="Y164">
            <v>1732.7272727272727</v>
          </cell>
          <cell r="Z164">
            <v>647</v>
          </cell>
          <cell r="AA164">
            <v>1085.7272727272727</v>
          </cell>
          <cell r="AB164">
            <v>1749</v>
          </cell>
          <cell r="AC164">
            <v>16.272727272727252</v>
          </cell>
          <cell r="AD164">
            <v>4852.6363636363631</v>
          </cell>
          <cell r="AE164">
            <v>4482.6363636363631</v>
          </cell>
          <cell r="AF164">
            <v>370</v>
          </cell>
          <cell r="AG164">
            <v>4464</v>
          </cell>
          <cell r="AH164">
            <v>3202</v>
          </cell>
          <cell r="AI164">
            <v>427</v>
          </cell>
          <cell r="AJ164">
            <v>-388.63636363636306</v>
          </cell>
          <cell r="AK164">
            <v>0</v>
          </cell>
          <cell r="AL164">
            <v>0</v>
          </cell>
          <cell r="AM164">
            <v>0</v>
          </cell>
          <cell r="AN164" t="e">
            <v>#REF!</v>
          </cell>
          <cell r="AO164">
            <v>0</v>
          </cell>
          <cell r="AP164" t="e">
            <v>#REF!</v>
          </cell>
          <cell r="AS164">
            <v>13703</v>
          </cell>
        </row>
        <row r="165">
          <cell r="C165">
            <v>62</v>
          </cell>
          <cell r="N165">
            <v>49.800000000000004</v>
          </cell>
          <cell r="O165">
            <v>51</v>
          </cell>
          <cell r="P165">
            <v>1.1999999999999957</v>
          </cell>
          <cell r="Q165">
            <v>81.400000000000006</v>
          </cell>
          <cell r="R165">
            <v>62</v>
          </cell>
          <cell r="S165">
            <v>-19.400000000000006</v>
          </cell>
          <cell r="T165">
            <v>2606.1999999999998</v>
          </cell>
          <cell r="U165">
            <v>963</v>
          </cell>
          <cell r="V165">
            <v>1643.1999999999998</v>
          </cell>
          <cell r="W165">
            <v>2464</v>
          </cell>
          <cell r="X165">
            <v>-142.19999999999982</v>
          </cell>
          <cell r="Y165">
            <v>112.8</v>
          </cell>
          <cell r="Z165">
            <v>15</v>
          </cell>
          <cell r="AA165">
            <v>23.200000000000003</v>
          </cell>
          <cell r="AB165">
            <v>27</v>
          </cell>
          <cell r="AC165">
            <v>-85.8</v>
          </cell>
          <cell r="AD165">
            <v>36.333333333333336</v>
          </cell>
          <cell r="AE165">
            <v>22</v>
          </cell>
          <cell r="AF165">
            <v>14.333333333333336</v>
          </cell>
          <cell r="AG165">
            <v>44</v>
          </cell>
          <cell r="AH165">
            <v>15</v>
          </cell>
          <cell r="AI165">
            <v>29</v>
          </cell>
          <cell r="AJ165">
            <v>7.6666666666666643</v>
          </cell>
          <cell r="AK165">
            <v>0</v>
          </cell>
          <cell r="AL165">
            <v>0</v>
          </cell>
          <cell r="AM165">
            <v>0</v>
          </cell>
          <cell r="AN165">
            <v>19</v>
          </cell>
          <cell r="AO165">
            <v>0</v>
          </cell>
          <cell r="AP165">
            <v>2858.2</v>
          </cell>
          <cell r="AS165">
            <v>2610</v>
          </cell>
        </row>
        <row r="166">
          <cell r="C166">
            <v>11069.257999999996</v>
          </cell>
          <cell r="N166">
            <v>1801.6400000000015</v>
          </cell>
          <cell r="Q166">
            <v>13559.514000000001</v>
          </cell>
          <cell r="T166">
            <v>876.30400000002464</v>
          </cell>
          <cell r="Y166">
            <v>912.96000000001436</v>
          </cell>
          <cell r="AE166">
            <v>-6947.0430909090901</v>
          </cell>
          <cell r="AG166">
            <v>2466</v>
          </cell>
          <cell r="AH166">
            <v>2561</v>
          </cell>
          <cell r="AN166" t="e">
            <v>#REF!</v>
          </cell>
          <cell r="AP166" t="e">
            <v>#REF!</v>
          </cell>
        </row>
        <row r="167">
          <cell r="C167" t="e">
            <v>#REF!</v>
          </cell>
          <cell r="N167">
            <v>1614.15</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24070.113454545455</v>
          </cell>
          <cell r="T227">
            <v>8491.1123636363882</v>
          </cell>
          <cell r="Y227" t="e">
            <v>#REF!</v>
          </cell>
          <cell r="AN227" t="e">
            <v>#REF!</v>
          </cell>
          <cell r="AP227" t="e">
            <v>#REF!</v>
          </cell>
          <cell r="AQ227" t="e">
            <v>#REF!</v>
          </cell>
        </row>
        <row r="228">
          <cell r="C228" t="e">
            <v>#REF!</v>
          </cell>
          <cell r="N228" t="e">
            <v>#REF!</v>
          </cell>
          <cell r="Q228">
            <v>7411.0435151515139</v>
          </cell>
          <cell r="T228">
            <v>3172.257090909115</v>
          </cell>
          <cell r="Y228" t="e">
            <v>#REF!</v>
          </cell>
          <cell r="AP228" t="e">
            <v>#REF!</v>
          </cell>
          <cell r="AQ228" t="e">
            <v>#REF!</v>
          </cell>
        </row>
        <row r="230">
          <cell r="C230">
            <v>1651.8969999999999</v>
          </cell>
          <cell r="N230">
            <v>2372.272727272727</v>
          </cell>
          <cell r="Q230">
            <v>5435.727272727273</v>
          </cell>
          <cell r="T230">
            <v>2142.727272727273</v>
          </cell>
          <cell r="Y230">
            <v>1732.7272727272727</v>
          </cell>
          <cell r="AN230" t="e">
            <v>#REF!</v>
          </cell>
          <cell r="AP230" t="e">
            <v>#REF!</v>
          </cell>
          <cell r="AQ230" t="e">
            <v>#REF!</v>
          </cell>
        </row>
        <row r="231">
          <cell r="C231">
            <v>450</v>
          </cell>
          <cell r="N231">
            <v>648</v>
          </cell>
          <cell r="Q231">
            <v>1482</v>
          </cell>
          <cell r="T231">
            <v>584</v>
          </cell>
          <cell r="Y231">
            <v>472</v>
          </cell>
          <cell r="AP231" t="e">
            <v>#REF!</v>
          </cell>
          <cell r="AQ231" t="e">
            <v>#REF!</v>
          </cell>
        </row>
        <row r="232">
          <cell r="AQ232" t="e">
            <v>#REF!</v>
          </cell>
        </row>
        <row r="233">
          <cell r="C233">
            <v>0</v>
          </cell>
          <cell r="N233">
            <v>0</v>
          </cell>
          <cell r="Q233">
            <v>60.8</v>
          </cell>
          <cell r="T233">
            <v>2406.6</v>
          </cell>
          <cell r="Y233">
            <v>38.200000000000003</v>
          </cell>
          <cell r="AP233">
            <v>2505.6</v>
          </cell>
          <cell r="AQ233" t="e">
            <v>#REF!</v>
          </cell>
        </row>
        <row r="234">
          <cell r="C234">
            <v>0</v>
          </cell>
          <cell r="N234">
            <v>0</v>
          </cell>
          <cell r="Q234">
            <v>0</v>
          </cell>
          <cell r="T234">
            <v>0</v>
          </cell>
          <cell r="Y234">
            <v>0</v>
          </cell>
          <cell r="AP234">
            <v>19</v>
          </cell>
          <cell r="AQ234" t="e">
            <v>#REF!</v>
          </cell>
        </row>
        <row r="235">
          <cell r="C235" t="e">
            <v>#REF!</v>
          </cell>
          <cell r="N235">
            <v>0</v>
          </cell>
          <cell r="Q235">
            <v>526.04999999999995</v>
          </cell>
          <cell r="T235">
            <v>0</v>
          </cell>
          <cell r="Y235">
            <v>0</v>
          </cell>
          <cell r="AP235" t="e">
            <v>#REF!</v>
          </cell>
          <cell r="AQ235" t="e">
            <v>#REF!</v>
          </cell>
        </row>
        <row r="236">
          <cell r="AQ236" t="e">
            <v>#REF!</v>
          </cell>
        </row>
        <row r="237">
          <cell r="C237">
            <v>-1273</v>
          </cell>
          <cell r="N237">
            <v>1614.15</v>
          </cell>
          <cell r="Q237">
            <v>1739.5839999999998</v>
          </cell>
          <cell r="T237">
            <v>176.47000000000003</v>
          </cell>
          <cell r="Y237">
            <v>225.76000000000002</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393</v>
          </cell>
          <cell r="N243">
            <v>0</v>
          </cell>
          <cell r="Q243">
            <v>1473.1853333333333</v>
          </cell>
          <cell r="T243">
            <v>145.25866666666667</v>
          </cell>
          <cell r="Y243">
            <v>100.22533333333334</v>
          </cell>
          <cell r="AP243">
            <v>2737.551833476</v>
          </cell>
          <cell r="AQ243" t="e">
            <v>#REF!</v>
          </cell>
        </row>
        <row r="244">
          <cell r="C244">
            <v>1653</v>
          </cell>
          <cell r="N244">
            <v>0</v>
          </cell>
          <cell r="Q244">
            <v>113.33333333333334</v>
          </cell>
          <cell r="T244">
            <v>48.626666666666665</v>
          </cell>
          <cell r="Y244">
            <v>65.784000000000006</v>
          </cell>
          <cell r="AP244">
            <v>1929.3412082354907</v>
          </cell>
          <cell r="AQ244" t="e">
            <v>#REF!</v>
          </cell>
        </row>
        <row r="245">
          <cell r="AQ245" t="e">
            <v>#REF!</v>
          </cell>
        </row>
        <row r="246">
          <cell r="C246">
            <v>0</v>
          </cell>
          <cell r="N246">
            <v>0</v>
          </cell>
          <cell r="Q246">
            <v>0</v>
          </cell>
          <cell r="T246">
            <v>95.642666666666656</v>
          </cell>
          <cell r="Y246">
            <v>206.52799999999999</v>
          </cell>
          <cell r="AP246">
            <v>302.17066666666665</v>
          </cell>
          <cell r="AQ246" t="e">
            <v>#REF!</v>
          </cell>
        </row>
        <row r="247">
          <cell r="C247">
            <v>13</v>
          </cell>
          <cell r="N247">
            <v>157.33600000000001</v>
          </cell>
          <cell r="Q247">
            <v>9035.0240000000013</v>
          </cell>
          <cell r="T247">
            <v>0</v>
          </cell>
          <cell r="Y247">
            <v>0</v>
          </cell>
          <cell r="AP247">
            <v>10202.032000000001</v>
          </cell>
          <cell r="AQ247" t="e">
            <v>#REF!</v>
          </cell>
        </row>
        <row r="248">
          <cell r="C248">
            <v>0</v>
          </cell>
          <cell r="N248">
            <v>0</v>
          </cell>
          <cell r="Q248">
            <v>0</v>
          </cell>
          <cell r="T248">
            <v>0</v>
          </cell>
          <cell r="Y248">
            <v>0</v>
          </cell>
          <cell r="AP248">
            <v>658.33066666666662</v>
          </cell>
          <cell r="AQ248" t="e">
            <v>#REF!</v>
          </cell>
        </row>
        <row r="249">
          <cell r="C249">
            <v>988</v>
          </cell>
          <cell r="N249">
            <v>0</v>
          </cell>
          <cell r="Q249">
            <v>0</v>
          </cell>
          <cell r="T249">
            <v>0</v>
          </cell>
          <cell r="Y249">
            <v>0</v>
          </cell>
          <cell r="AP249">
            <v>988</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4368.9655151515171</v>
          </cell>
          <cell r="T252">
            <v>2996.5510909091154</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39" refreshError="1">
        <row r="16">
          <cell r="AP16" t="str">
            <v>ЗАТВЕРДЖУЮ</v>
          </cell>
        </row>
        <row r="17">
          <cell r="C17" t="str">
            <v>І.В.ПЛАЧКОВ</v>
          </cell>
          <cell r="AP17" t="str">
            <v>ГОЛОВА ПРАЛІННЯ АК КЕ</v>
          </cell>
        </row>
        <row r="22">
          <cell r="AV22" t="str">
            <v>І.В.ПЛАЧКОВ</v>
          </cell>
        </row>
        <row r="29">
          <cell r="N29" t="str">
            <v>+</v>
          </cell>
          <cell r="O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t="e">
            <v>#REF!</v>
          </cell>
          <cell r="N39">
            <v>25153.006727272728</v>
          </cell>
          <cell r="O39">
            <v>23770</v>
          </cell>
          <cell r="P39">
            <v>-1383.0067272727283</v>
          </cell>
          <cell r="Q39">
            <v>70908</v>
          </cell>
          <cell r="R39">
            <v>68863</v>
          </cell>
          <cell r="S39">
            <v>-2045</v>
          </cell>
          <cell r="T39">
            <v>24169.194848484854</v>
          </cell>
          <cell r="W39">
            <v>23055</v>
          </cell>
          <cell r="X39">
            <v>-1114.1948484848544</v>
          </cell>
          <cell r="Y39">
            <v>15818.40496969693</v>
          </cell>
          <cell r="Z39">
            <v>7534</v>
          </cell>
          <cell r="AA39">
            <v>7894.1236363636372</v>
          </cell>
          <cell r="AB39">
            <v>5452</v>
          </cell>
          <cell r="AC39">
            <v>-10366.40496969693</v>
          </cell>
          <cell r="AD39">
            <v>35536.355939393943</v>
          </cell>
          <cell r="AE39">
            <v>29017.047090909095</v>
          </cell>
          <cell r="AF39">
            <v>6518.3088484848477</v>
          </cell>
          <cell r="AG39">
            <v>8513</v>
          </cell>
          <cell r="AH39">
            <v>6481</v>
          </cell>
          <cell r="AI39">
            <v>2032</v>
          </cell>
          <cell r="AJ39">
            <v>-27023.355939393943</v>
          </cell>
          <cell r="AN39" t="e">
            <v>#REF!</v>
          </cell>
        </row>
        <row r="40">
          <cell r="C40">
            <v>14127.593999999997</v>
          </cell>
        </row>
        <row r="41">
          <cell r="C41">
            <v>1767.5940000000001</v>
          </cell>
          <cell r="D41">
            <v>443</v>
          </cell>
          <cell r="E41">
            <v>1324.5940000000001</v>
          </cell>
          <cell r="N41">
            <v>7954.272727272727</v>
          </cell>
          <cell r="Q41">
            <v>16866.860909090909</v>
          </cell>
          <cell r="T41">
            <v>6313.227272727273</v>
          </cell>
          <cell r="U41">
            <v>3221</v>
          </cell>
          <cell r="V41">
            <v>3092.227272727273</v>
          </cell>
          <cell r="Y41">
            <v>5089.647272727273</v>
          </cell>
          <cell r="Z41">
            <v>2495</v>
          </cell>
          <cell r="AA41">
            <v>2594.647272727273</v>
          </cell>
          <cell r="AE41">
            <v>13500.136363636364</v>
          </cell>
          <cell r="AG41">
            <v>4464</v>
          </cell>
          <cell r="AH41">
            <v>3202</v>
          </cell>
          <cell r="AN41" t="e">
            <v>#REF!</v>
          </cell>
          <cell r="AR41">
            <v>5686.874545454546</v>
          </cell>
        </row>
        <row r="42">
          <cell r="Q42">
            <v>970</v>
          </cell>
          <cell r="V42">
            <v>750</v>
          </cell>
          <cell r="AA42">
            <v>590</v>
          </cell>
          <cell r="AR42">
            <v>2095</v>
          </cell>
        </row>
        <row r="46">
          <cell r="C46">
            <v>2167</v>
          </cell>
          <cell r="D46">
            <v>327</v>
          </cell>
          <cell r="E46">
            <v>1840</v>
          </cell>
          <cell r="N46">
            <v>3382.404</v>
          </cell>
          <cell r="O46">
            <v>3054</v>
          </cell>
          <cell r="P46">
            <v>-328.404</v>
          </cell>
          <cell r="Q46">
            <v>7025.9493333333339</v>
          </cell>
          <cell r="R46">
            <v>6922</v>
          </cell>
          <cell r="S46">
            <v>-103.94933333333393</v>
          </cell>
          <cell r="T46">
            <v>1618.6879999999999</v>
          </cell>
          <cell r="U46">
            <v>834</v>
          </cell>
          <cell r="V46">
            <v>784.68799999999987</v>
          </cell>
          <cell r="W46">
            <v>1577</v>
          </cell>
          <cell r="X46">
            <v>-41.687999999999874</v>
          </cell>
          <cell r="Y46">
            <v>1529.3940000000002</v>
          </cell>
          <cell r="Z46">
            <v>784</v>
          </cell>
          <cell r="AA46">
            <v>745.39400000000023</v>
          </cell>
          <cell r="AB46">
            <v>400</v>
          </cell>
          <cell r="AC46">
            <v>-1129.3940000000002</v>
          </cell>
          <cell r="AD46">
            <v>3811.058</v>
          </cell>
          <cell r="AE46">
            <v>3232.9300000000003</v>
          </cell>
          <cell r="AF46">
            <v>578.1279999999997</v>
          </cell>
          <cell r="AG46">
            <v>1087</v>
          </cell>
          <cell r="AH46">
            <v>292</v>
          </cell>
          <cell r="AI46">
            <v>134</v>
          </cell>
          <cell r="AJ46">
            <v>-2724.058</v>
          </cell>
          <cell r="AN46">
            <v>0</v>
          </cell>
          <cell r="AP46">
            <v>19210.085333333336</v>
          </cell>
          <cell r="AQ46">
            <v>5506.0039999999999</v>
          </cell>
          <cell r="AR46">
            <v>13704.081333333335</v>
          </cell>
          <cell r="AS46">
            <v>12245</v>
          </cell>
          <cell r="AT46">
            <v>-6965.0853333333362</v>
          </cell>
          <cell r="AU46">
            <v>1618</v>
          </cell>
          <cell r="AV46">
            <v>3919</v>
          </cell>
          <cell r="AW46">
            <v>3888.0039999999999</v>
          </cell>
          <cell r="AX46">
            <v>9785.0813333333354</v>
          </cell>
        </row>
        <row r="47">
          <cell r="C47">
            <v>388</v>
          </cell>
          <cell r="E47">
            <v>388</v>
          </cell>
          <cell r="N47">
            <v>3127</v>
          </cell>
          <cell r="O47">
            <v>2823</v>
          </cell>
          <cell r="Q47">
            <v>5703</v>
          </cell>
          <cell r="R47">
            <v>5677</v>
          </cell>
          <cell r="T47">
            <v>797.25866666666661</v>
          </cell>
          <cell r="U47">
            <v>428</v>
          </cell>
          <cell r="V47">
            <v>369.25866666666661</v>
          </cell>
          <cell r="W47">
            <v>885</v>
          </cell>
          <cell r="Y47">
            <v>632.22533333333331</v>
          </cell>
          <cell r="Z47">
            <v>325</v>
          </cell>
          <cell r="AA47">
            <v>307.22533333333331</v>
          </cell>
          <cell r="AC47">
            <v>-632.22533333333331</v>
          </cell>
          <cell r="AD47">
            <v>3156.1707200000001</v>
          </cell>
          <cell r="AE47">
            <v>2874.8825001426667</v>
          </cell>
          <cell r="AP47">
            <v>13522.366500142667</v>
          </cell>
        </row>
        <row r="48">
          <cell r="C48">
            <v>0</v>
          </cell>
          <cell r="E48">
            <v>0</v>
          </cell>
          <cell r="N48">
            <v>1</v>
          </cell>
          <cell r="O48">
            <v>0.2</v>
          </cell>
          <cell r="Q48">
            <v>0</v>
          </cell>
          <cell r="T48">
            <v>118.19266666666665</v>
          </cell>
          <cell r="U48">
            <v>51</v>
          </cell>
          <cell r="V48">
            <v>67.192666666666653</v>
          </cell>
          <cell r="W48">
            <v>27</v>
          </cell>
          <cell r="Y48">
            <v>-46.472000000000008</v>
          </cell>
          <cell r="Z48">
            <v>-136</v>
          </cell>
          <cell r="AA48">
            <v>89.527999999999992</v>
          </cell>
          <cell r="AC48">
            <v>46.472000000000008</v>
          </cell>
          <cell r="AD48">
            <v>0</v>
          </cell>
          <cell r="AE48">
            <v>0</v>
          </cell>
          <cell r="AP48">
            <v>72.720666666666645</v>
          </cell>
        </row>
        <row r="49">
          <cell r="C49">
            <v>1661</v>
          </cell>
          <cell r="E49">
            <v>1661</v>
          </cell>
          <cell r="N49">
            <v>46</v>
          </cell>
          <cell r="O49">
            <v>25.7</v>
          </cell>
          <cell r="Q49">
            <v>900</v>
          </cell>
          <cell r="R49">
            <v>619</v>
          </cell>
          <cell r="T49">
            <v>343.62666666666667</v>
          </cell>
          <cell r="U49">
            <v>186</v>
          </cell>
          <cell r="V49">
            <v>157.62666666666667</v>
          </cell>
          <cell r="W49">
            <v>84</v>
          </cell>
          <cell r="Y49">
            <v>323.78399999999999</v>
          </cell>
          <cell r="Z49">
            <v>187</v>
          </cell>
          <cell r="AA49">
            <v>136.78399999999999</v>
          </cell>
          <cell r="AC49">
            <v>-323.78399999999999</v>
          </cell>
          <cell r="AD49">
            <v>178.34026666666668</v>
          </cell>
          <cell r="AE49">
            <v>152.19720823549071</v>
          </cell>
          <cell r="AP49">
            <v>3426.6078749021572</v>
          </cell>
        </row>
        <row r="50">
          <cell r="C50">
            <v>6</v>
          </cell>
          <cell r="D50">
            <v>2</v>
          </cell>
          <cell r="E50">
            <v>4</v>
          </cell>
          <cell r="N50">
            <v>353.92400000000004</v>
          </cell>
          <cell r="O50">
            <v>251</v>
          </cell>
          <cell r="P50">
            <v>-102.92400000000004</v>
          </cell>
          <cell r="Q50">
            <v>3466.5013333333336</v>
          </cell>
          <cell r="R50">
            <v>3246</v>
          </cell>
          <cell r="S50">
            <v>-220.5013333333336</v>
          </cell>
          <cell r="T50">
            <v>7231.4773333333324</v>
          </cell>
          <cell r="U50">
            <v>3806</v>
          </cell>
          <cell r="V50">
            <v>3425.4773333333324</v>
          </cell>
          <cell r="W50">
            <v>6765</v>
          </cell>
          <cell r="X50">
            <v>-466.47733333333235</v>
          </cell>
          <cell r="Y50">
            <v>707.97400000000005</v>
          </cell>
          <cell r="Z50">
            <v>347</v>
          </cell>
          <cell r="AA50">
            <v>360.97400000000005</v>
          </cell>
          <cell r="AB50">
            <v>292</v>
          </cell>
          <cell r="AC50">
            <v>-415.97400000000005</v>
          </cell>
          <cell r="AD50">
            <v>1535.6239999999998</v>
          </cell>
          <cell r="AE50">
            <v>1117.72</v>
          </cell>
          <cell r="AF50">
            <v>417.90399999999977</v>
          </cell>
          <cell r="AG50">
            <v>288</v>
          </cell>
          <cell r="AH50">
            <v>601</v>
          </cell>
          <cell r="AI50">
            <v>56</v>
          </cell>
          <cell r="AJ50">
            <v>-1247.6239999999998</v>
          </cell>
          <cell r="AN50">
            <v>0</v>
          </cell>
          <cell r="AP50">
            <v>12844.996666666666</v>
          </cell>
          <cell r="AQ50">
            <v>4514.3239999999996</v>
          </cell>
          <cell r="AR50">
            <v>8330.6726666666655</v>
          </cell>
          <cell r="AS50">
            <v>11155</v>
          </cell>
          <cell r="AT50">
            <v>-1689.996666666666</v>
          </cell>
          <cell r="AU50">
            <v>4153</v>
          </cell>
          <cell r="AV50">
            <v>4965</v>
          </cell>
          <cell r="AW50">
            <v>361.32399999999961</v>
          </cell>
          <cell r="AX50">
            <v>3365.6726666666655</v>
          </cell>
        </row>
        <row r="51">
          <cell r="C51">
            <v>0</v>
          </cell>
          <cell r="D51">
            <v>0</v>
          </cell>
          <cell r="E51">
            <v>0</v>
          </cell>
          <cell r="N51">
            <v>0</v>
          </cell>
          <cell r="P51">
            <v>0</v>
          </cell>
          <cell r="Q51">
            <v>135.46666666666667</v>
          </cell>
          <cell r="R51">
            <v>92</v>
          </cell>
          <cell r="S51">
            <v>-43.466666666666669</v>
          </cell>
          <cell r="T51">
            <v>6152.4000000000005</v>
          </cell>
          <cell r="U51">
            <v>3230</v>
          </cell>
          <cell r="V51">
            <v>2922.4000000000005</v>
          </cell>
          <cell r="W51">
            <v>5900</v>
          </cell>
          <cell r="X51">
            <v>-252.40000000000055</v>
          </cell>
          <cell r="Y51">
            <v>118.19999999999999</v>
          </cell>
          <cell r="Z51">
            <v>57</v>
          </cell>
          <cell r="AA51">
            <v>61.199999999999989</v>
          </cell>
          <cell r="AB51">
            <v>20</v>
          </cell>
          <cell r="AC51">
            <v>-98.199999999999989</v>
          </cell>
          <cell r="AD51">
            <v>5</v>
          </cell>
          <cell r="AE51">
            <v>4</v>
          </cell>
          <cell r="AF51">
            <v>1</v>
          </cell>
          <cell r="AI51">
            <v>0</v>
          </cell>
          <cell r="AJ51">
            <v>-5</v>
          </cell>
          <cell r="AP51">
            <v>6410.0666666666666</v>
          </cell>
          <cell r="AQ51">
            <v>3287</v>
          </cell>
          <cell r="AR51">
            <v>3123.0666666666666</v>
          </cell>
          <cell r="AS51">
            <v>6012</v>
          </cell>
          <cell r="AT51">
            <v>-398.06666666666661</v>
          </cell>
          <cell r="AU51">
            <v>3287</v>
          </cell>
          <cell r="AV51">
            <v>3030</v>
          </cell>
          <cell r="AW51">
            <v>0</v>
          </cell>
          <cell r="AX51">
            <v>93.066666666666606</v>
          </cell>
        </row>
        <row r="52">
          <cell r="C52">
            <v>0</v>
          </cell>
          <cell r="D52">
            <v>0</v>
          </cell>
          <cell r="E52">
            <v>0</v>
          </cell>
          <cell r="N52">
            <v>0</v>
          </cell>
          <cell r="P52">
            <v>0</v>
          </cell>
          <cell r="Q52">
            <v>74138</v>
          </cell>
          <cell r="R52">
            <v>81135</v>
          </cell>
          <cell r="S52">
            <v>6997</v>
          </cell>
          <cell r="T52">
            <v>186578</v>
          </cell>
          <cell r="U52">
            <v>108806.34756097561</v>
          </cell>
          <cell r="V52">
            <v>77771.652439024387</v>
          </cell>
          <cell r="W52">
            <v>154257</v>
          </cell>
          <cell r="X52">
            <v>-32321</v>
          </cell>
          <cell r="Y52">
            <v>157568</v>
          </cell>
          <cell r="Z52">
            <v>86757.750161952048</v>
          </cell>
          <cell r="AA52">
            <v>70810.249838047952</v>
          </cell>
          <cell r="AB52">
            <v>76301</v>
          </cell>
          <cell r="AC52">
            <v>-81267</v>
          </cell>
          <cell r="AD52">
            <v>0</v>
          </cell>
          <cell r="AE52">
            <v>0</v>
          </cell>
          <cell r="AF52">
            <v>0</v>
          </cell>
          <cell r="AI52">
            <v>0</v>
          </cell>
          <cell r="AJ52">
            <v>0</v>
          </cell>
          <cell r="AN52">
            <v>0</v>
          </cell>
          <cell r="AP52">
            <v>418285</v>
          </cell>
          <cell r="AQ52">
            <v>195565.09772292766</v>
          </cell>
          <cell r="AR52">
            <v>222719.90227707234</v>
          </cell>
          <cell r="AS52">
            <v>311693</v>
          </cell>
          <cell r="AT52">
            <v>-106592</v>
          </cell>
          <cell r="AU52">
            <v>195564.09772292766</v>
          </cell>
          <cell r="AV52">
            <v>222720</v>
          </cell>
          <cell r="AW52">
            <v>1</v>
          </cell>
          <cell r="AX52">
            <v>-9.7722927661379799E-2</v>
          </cell>
        </row>
        <row r="53">
          <cell r="C53">
            <v>0</v>
          </cell>
          <cell r="D53">
            <v>0</v>
          </cell>
          <cell r="E53">
            <v>0</v>
          </cell>
          <cell r="N53">
            <v>0</v>
          </cell>
          <cell r="P53">
            <v>0</v>
          </cell>
          <cell r="Q53">
            <v>74138</v>
          </cell>
          <cell r="R53">
            <v>81135</v>
          </cell>
          <cell r="S53">
            <v>6997</v>
          </cell>
          <cell r="T53">
            <v>186578</v>
          </cell>
          <cell r="U53">
            <v>108806.34756097561</v>
          </cell>
          <cell r="V53">
            <v>77771.652439024387</v>
          </cell>
          <cell r="W53">
            <v>157257</v>
          </cell>
          <cell r="X53">
            <v>-29321</v>
          </cell>
          <cell r="Y53">
            <v>157568</v>
          </cell>
          <cell r="Z53">
            <v>86757.750161952048</v>
          </cell>
          <cell r="AA53">
            <v>70810.249838047952</v>
          </cell>
          <cell r="AB53">
            <v>46301</v>
          </cell>
          <cell r="AC53">
            <v>-111267</v>
          </cell>
          <cell r="AD53">
            <v>0</v>
          </cell>
          <cell r="AE53">
            <v>0</v>
          </cell>
          <cell r="AF53">
            <v>0</v>
          </cell>
          <cell r="AI53">
            <v>0</v>
          </cell>
          <cell r="AJ53">
            <v>0</v>
          </cell>
          <cell r="AP53">
            <v>418284</v>
          </cell>
          <cell r="AQ53">
            <v>195564.09772292766</v>
          </cell>
          <cell r="AR53">
            <v>222719.90227707234</v>
          </cell>
          <cell r="AS53">
            <v>284693</v>
          </cell>
          <cell r="AT53">
            <v>-133591</v>
          </cell>
          <cell r="AU53">
            <v>195564.09772292766</v>
          </cell>
          <cell r="AV53">
            <v>222720</v>
          </cell>
          <cell r="AW53">
            <v>0</v>
          </cell>
          <cell r="AX53">
            <v>-9.7722927661379799E-2</v>
          </cell>
        </row>
        <row r="54">
          <cell r="C54">
            <v>0</v>
          </cell>
          <cell r="D54">
            <v>0</v>
          </cell>
          <cell r="E54">
            <v>0</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7</v>
          </cell>
          <cell r="D55">
            <v>6</v>
          </cell>
          <cell r="E55">
            <v>1</v>
          </cell>
          <cell r="N55">
            <v>259.286</v>
          </cell>
          <cell r="O55">
            <v>252</v>
          </cell>
          <cell r="P55">
            <v>-7.2860000000000014</v>
          </cell>
          <cell r="Q55">
            <v>12306.890666666668</v>
          </cell>
          <cell r="R55">
            <v>12691</v>
          </cell>
          <cell r="S55">
            <v>384.10933333333196</v>
          </cell>
          <cell r="T55">
            <v>0</v>
          </cell>
          <cell r="U55">
            <v>0</v>
          </cell>
          <cell r="V55">
            <v>0</v>
          </cell>
          <cell r="X55">
            <v>0</v>
          </cell>
          <cell r="Y55">
            <v>0</v>
          </cell>
          <cell r="Z55">
            <v>0</v>
          </cell>
          <cell r="AA55">
            <v>0</v>
          </cell>
          <cell r="AB55">
            <v>0</v>
          </cell>
          <cell r="AC55">
            <v>0</v>
          </cell>
          <cell r="AD55">
            <v>6167.1900000000005</v>
          </cell>
          <cell r="AE55">
            <v>2542.672</v>
          </cell>
          <cell r="AF55">
            <v>3624.5180000000005</v>
          </cell>
          <cell r="AG55">
            <v>809</v>
          </cell>
          <cell r="AH55">
            <v>810</v>
          </cell>
          <cell r="AI55">
            <v>1225</v>
          </cell>
          <cell r="AJ55">
            <v>-5358.1900000000005</v>
          </cell>
          <cell r="AN55">
            <v>0</v>
          </cell>
          <cell r="AP55">
            <v>15115.848666666669</v>
          </cell>
          <cell r="AQ55">
            <v>265.286</v>
          </cell>
          <cell r="AR55">
            <v>14850.562666666669</v>
          </cell>
          <cell r="AS55">
            <v>13752</v>
          </cell>
          <cell r="AT55">
            <v>-1363.8486666666686</v>
          </cell>
          <cell r="AU55">
            <v>0</v>
          </cell>
          <cell r="AV55">
            <v>4184</v>
          </cell>
          <cell r="AW55">
            <v>265.286</v>
          </cell>
          <cell r="AX55">
            <v>10666.562666666669</v>
          </cell>
        </row>
        <row r="56">
          <cell r="C56">
            <v>1285.5940000000001</v>
          </cell>
          <cell r="D56">
            <v>310</v>
          </cell>
          <cell r="E56">
            <v>975.59400000000005</v>
          </cell>
          <cell r="N56">
            <v>4867.939393939394</v>
          </cell>
          <cell r="O56">
            <v>4618</v>
          </cell>
          <cell r="P56">
            <v>-249.93939393939399</v>
          </cell>
          <cell r="Q56">
            <v>8678.2245454545464</v>
          </cell>
          <cell r="R56">
            <v>8264</v>
          </cell>
          <cell r="S56">
            <v>-414.22454545454639</v>
          </cell>
          <cell r="T56">
            <v>2616.409090909091</v>
          </cell>
          <cell r="U56">
            <v>1300</v>
          </cell>
          <cell r="V56">
            <v>1316.409090909091</v>
          </cell>
          <cell r="W56">
            <v>2473</v>
          </cell>
          <cell r="X56">
            <v>-143.40909090909099</v>
          </cell>
          <cell r="Y56">
            <v>2415.2836363636366</v>
          </cell>
          <cell r="Z56">
            <v>1178</v>
          </cell>
          <cell r="AA56">
            <v>1237.2836363636366</v>
          </cell>
          <cell r="AB56">
            <v>662</v>
          </cell>
          <cell r="AC56">
            <v>-1753.2836363636366</v>
          </cell>
          <cell r="AD56">
            <v>9455.8336363636354</v>
          </cell>
          <cell r="AE56">
            <v>8350.045454545454</v>
          </cell>
          <cell r="AF56">
            <v>1105.7881818181813</v>
          </cell>
          <cell r="AG56">
            <v>2563</v>
          </cell>
          <cell r="AH56">
            <v>1747</v>
          </cell>
          <cell r="AI56">
            <v>306</v>
          </cell>
          <cell r="AJ56">
            <v>-6892.8336363636354</v>
          </cell>
          <cell r="AN56">
            <v>0</v>
          </cell>
          <cell r="AP56">
            <v>28984.496121212127</v>
          </cell>
          <cell r="AQ56">
            <v>8164.757575757576</v>
          </cell>
          <cell r="AR56">
            <v>20819.738545454551</v>
          </cell>
          <cell r="AS56">
            <v>17764</v>
          </cell>
          <cell r="AT56">
            <v>-11220.496121212127</v>
          </cell>
          <cell r="AU56">
            <v>2478</v>
          </cell>
          <cell r="AV56">
            <v>5504</v>
          </cell>
          <cell r="AW56">
            <v>5686.757575757576</v>
          </cell>
          <cell r="AX56">
            <v>15315.738545454551</v>
          </cell>
        </row>
        <row r="57">
          <cell r="C57">
            <v>71</v>
          </cell>
          <cell r="D57">
            <v>16</v>
          </cell>
          <cell r="E57">
            <v>55</v>
          </cell>
          <cell r="N57">
            <v>269</v>
          </cell>
          <cell r="O57">
            <v>237</v>
          </cell>
          <cell r="P57">
            <v>-32</v>
          </cell>
          <cell r="Q57">
            <v>480</v>
          </cell>
          <cell r="R57">
            <v>444</v>
          </cell>
          <cell r="S57">
            <v>-36</v>
          </cell>
          <cell r="T57">
            <v>143</v>
          </cell>
          <cell r="U57">
            <v>71</v>
          </cell>
          <cell r="V57">
            <v>72</v>
          </cell>
          <cell r="W57">
            <v>123</v>
          </cell>
          <cell r="X57">
            <v>-20</v>
          </cell>
          <cell r="Y57">
            <v>132</v>
          </cell>
          <cell r="Z57">
            <v>65</v>
          </cell>
          <cell r="AA57">
            <v>67</v>
          </cell>
          <cell r="AB57">
            <v>35</v>
          </cell>
          <cell r="AC57">
            <v>-97</v>
          </cell>
          <cell r="AD57">
            <v>520</v>
          </cell>
          <cell r="AE57">
            <v>458</v>
          </cell>
          <cell r="AF57">
            <v>62</v>
          </cell>
          <cell r="AG57">
            <v>136</v>
          </cell>
          <cell r="AH57">
            <v>96</v>
          </cell>
          <cell r="AI57">
            <v>18</v>
          </cell>
          <cell r="AJ57">
            <v>-384</v>
          </cell>
          <cell r="AN57">
            <v>0</v>
          </cell>
          <cell r="AP57">
            <v>1596</v>
          </cell>
          <cell r="AQ57">
            <v>449</v>
          </cell>
          <cell r="AR57">
            <v>1147</v>
          </cell>
          <cell r="AS57">
            <v>935</v>
          </cell>
          <cell r="AT57">
            <v>-661</v>
          </cell>
          <cell r="AU57">
            <v>136</v>
          </cell>
          <cell r="AV57">
            <v>230</v>
          </cell>
          <cell r="AW57">
            <v>313</v>
          </cell>
          <cell r="AX57">
            <v>917</v>
          </cell>
        </row>
        <row r="58">
          <cell r="C58">
            <v>411</v>
          </cell>
          <cell r="D58">
            <v>117</v>
          </cell>
          <cell r="E58">
            <v>294</v>
          </cell>
          <cell r="N58">
            <v>1560</v>
          </cell>
          <cell r="O58">
            <v>1363</v>
          </cell>
          <cell r="P58">
            <v>-197</v>
          </cell>
          <cell r="Q58">
            <v>2778</v>
          </cell>
          <cell r="R58">
            <v>2397</v>
          </cell>
          <cell r="S58">
            <v>-381</v>
          </cell>
          <cell r="T58">
            <v>837</v>
          </cell>
          <cell r="U58">
            <v>415</v>
          </cell>
          <cell r="V58">
            <v>422</v>
          </cell>
          <cell r="W58">
            <v>718</v>
          </cell>
          <cell r="X58">
            <v>-119</v>
          </cell>
          <cell r="Y58">
            <v>771</v>
          </cell>
          <cell r="Z58">
            <v>378</v>
          </cell>
          <cell r="AA58">
            <v>393</v>
          </cell>
          <cell r="AB58">
            <v>205</v>
          </cell>
          <cell r="AC58">
            <v>-566</v>
          </cell>
          <cell r="AD58">
            <v>3026</v>
          </cell>
          <cell r="AE58">
            <v>2669</v>
          </cell>
          <cell r="AF58">
            <v>357</v>
          </cell>
          <cell r="AG58">
            <v>793</v>
          </cell>
          <cell r="AH58">
            <v>559</v>
          </cell>
          <cell r="AI58">
            <v>103</v>
          </cell>
          <cell r="AJ58">
            <v>-2233</v>
          </cell>
          <cell r="AN58">
            <v>0</v>
          </cell>
          <cell r="AP58">
            <v>9273</v>
          </cell>
          <cell r="AQ58">
            <v>2631</v>
          </cell>
          <cell r="AR58">
            <v>6642</v>
          </cell>
          <cell r="AS58">
            <v>5243</v>
          </cell>
          <cell r="AT58">
            <v>-4030</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237</v>
          </cell>
          <cell r="D60">
            <v>85</v>
          </cell>
          <cell r="E60">
            <v>152</v>
          </cell>
          <cell r="N60">
            <v>4622</v>
          </cell>
          <cell r="O60">
            <v>4632</v>
          </cell>
          <cell r="P60">
            <v>10</v>
          </cell>
          <cell r="Q60">
            <v>10004</v>
          </cell>
          <cell r="R60">
            <v>9952</v>
          </cell>
          <cell r="S60">
            <v>-52</v>
          </cell>
          <cell r="T60">
            <v>5387</v>
          </cell>
          <cell r="U60">
            <v>2648</v>
          </cell>
          <cell r="V60">
            <v>2739</v>
          </cell>
          <cell r="W60">
            <v>5386</v>
          </cell>
          <cell r="X60">
            <v>-1</v>
          </cell>
          <cell r="Y60">
            <v>5687.666666666667</v>
          </cell>
          <cell r="Z60">
            <v>2612</v>
          </cell>
          <cell r="AA60">
            <v>3075.666666666667</v>
          </cell>
          <cell r="AB60">
            <v>2209</v>
          </cell>
          <cell r="AC60">
            <v>-3478.666666666667</v>
          </cell>
          <cell r="AD60">
            <v>4881.666666666667</v>
          </cell>
          <cell r="AE60">
            <v>4679.3333333333339</v>
          </cell>
          <cell r="AF60">
            <v>202.33333333333303</v>
          </cell>
          <cell r="AG60">
            <v>1641</v>
          </cell>
          <cell r="AH60">
            <v>1265</v>
          </cell>
          <cell r="AI60">
            <v>155</v>
          </cell>
          <cell r="AJ60">
            <v>-3240.666666666667</v>
          </cell>
          <cell r="AN60">
            <v>0</v>
          </cell>
          <cell r="AP60">
            <v>30593</v>
          </cell>
          <cell r="AQ60">
            <v>9995</v>
          </cell>
          <cell r="AR60">
            <v>20598</v>
          </cell>
          <cell r="AS60">
            <v>23444</v>
          </cell>
          <cell r="AT60">
            <v>-7149</v>
          </cell>
          <cell r="AU60">
            <v>5260</v>
          </cell>
          <cell r="AV60">
            <v>9216</v>
          </cell>
          <cell r="AW60">
            <v>4735</v>
          </cell>
          <cell r="AX60">
            <v>11382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252</v>
          </cell>
          <cell r="D62">
            <v>76</v>
          </cell>
          <cell r="E62">
            <v>176</v>
          </cell>
          <cell r="N62">
            <v>4169</v>
          </cell>
          <cell r="O62">
            <v>4632</v>
          </cell>
          <cell r="P62">
            <v>463</v>
          </cell>
          <cell r="Q62">
            <v>13130.894</v>
          </cell>
          <cell r="R62">
            <v>9952</v>
          </cell>
          <cell r="S62">
            <v>-3178.8940000000002</v>
          </cell>
          <cell r="T62">
            <v>957.97</v>
          </cell>
          <cell r="U62">
            <v>53</v>
          </cell>
          <cell r="W62">
            <v>700</v>
          </cell>
          <cell r="X62">
            <v>-257.97000000000003</v>
          </cell>
          <cell r="Y62">
            <v>1225.26</v>
          </cell>
          <cell r="Z62">
            <v>65</v>
          </cell>
          <cell r="AA62">
            <v>1160.26</v>
          </cell>
          <cell r="AC62">
            <v>-1225.26</v>
          </cell>
          <cell r="AD62">
            <v>1774</v>
          </cell>
          <cell r="AE62">
            <v>1774</v>
          </cell>
          <cell r="AF62">
            <v>0</v>
          </cell>
          <cell r="AI62">
            <v>0</v>
          </cell>
          <cell r="AJ62">
            <v>-1774</v>
          </cell>
          <cell r="AP62">
            <v>21522.124</v>
          </cell>
          <cell r="AQ62">
            <v>4376</v>
          </cell>
          <cell r="AR62">
            <v>17146.124</v>
          </cell>
          <cell r="AS62">
            <v>15284</v>
          </cell>
          <cell r="AT62">
            <v>-6238.1239999999998</v>
          </cell>
          <cell r="AV62">
            <v>4771</v>
          </cell>
        </row>
        <row r="63">
          <cell r="C63">
            <v>0</v>
          </cell>
          <cell r="D63">
            <v>0</v>
          </cell>
          <cell r="E63">
            <v>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0</v>
          </cell>
          <cell r="AQ63">
            <v>0</v>
          </cell>
          <cell r="AR63">
            <v>0</v>
          </cell>
          <cell r="AS63">
            <v>0</v>
          </cell>
          <cell r="AT63">
            <v>0</v>
          </cell>
          <cell r="AV63">
            <v>0</v>
          </cell>
        </row>
        <row r="64">
          <cell r="C64">
            <v>0</v>
          </cell>
          <cell r="D64">
            <v>9</v>
          </cell>
          <cell r="E64">
            <v>-9</v>
          </cell>
          <cell r="N64">
            <v>453</v>
          </cell>
          <cell r="O64">
            <v>0</v>
          </cell>
          <cell r="P64">
            <v>-453</v>
          </cell>
          <cell r="Q64">
            <v>-3126.8939999999998</v>
          </cell>
          <cell r="S64">
            <v>3126.8939999999998</v>
          </cell>
          <cell r="T64">
            <v>4429.03</v>
          </cell>
          <cell r="U64">
            <v>2595</v>
          </cell>
          <cell r="W64">
            <v>4686</v>
          </cell>
          <cell r="X64">
            <v>256.97000000000025</v>
          </cell>
          <cell r="Y64">
            <v>4462.4066666666668</v>
          </cell>
          <cell r="Z64">
            <v>2547</v>
          </cell>
          <cell r="AA64">
            <v>1915.4066666666668</v>
          </cell>
          <cell r="AC64">
            <v>-4462.4066666666668</v>
          </cell>
          <cell r="AD64">
            <v>3107.666666666667</v>
          </cell>
          <cell r="AE64">
            <v>2905.3333333333339</v>
          </cell>
          <cell r="AF64">
            <v>202.33333333333303</v>
          </cell>
          <cell r="AG64">
            <v>1641</v>
          </cell>
          <cell r="AH64">
            <v>1139</v>
          </cell>
          <cell r="AI64">
            <v>155</v>
          </cell>
          <cell r="AJ64">
            <v>-1466.666666666667</v>
          </cell>
          <cell r="AP64">
            <v>9129.8760000000002</v>
          </cell>
          <cell r="AS64">
            <v>5825</v>
          </cell>
          <cell r="AT64">
            <v>-3304.8760000000002</v>
          </cell>
        </row>
        <row r="65">
          <cell r="C65">
            <v>897</v>
          </cell>
          <cell r="D65">
            <v>63</v>
          </cell>
          <cell r="E65">
            <v>834</v>
          </cell>
          <cell r="N65">
            <v>5759</v>
          </cell>
          <cell r="O65">
            <v>5424</v>
          </cell>
          <cell r="P65">
            <v>-335</v>
          </cell>
          <cell r="Q65">
            <v>12472.295454545454</v>
          </cell>
          <cell r="R65">
            <v>12295</v>
          </cell>
          <cell r="S65">
            <v>-177.29545454545405</v>
          </cell>
          <cell r="T65">
            <v>9781.4590909090912</v>
          </cell>
          <cell r="U65">
            <v>5559</v>
          </cell>
          <cell r="V65">
            <v>4222.4590909090912</v>
          </cell>
          <cell r="W65">
            <v>9596</v>
          </cell>
          <cell r="X65">
            <v>-185.45909090909117</v>
          </cell>
          <cell r="Y65">
            <v>7866.4999999999991</v>
          </cell>
          <cell r="Z65">
            <v>4367</v>
          </cell>
          <cell r="AA65">
            <v>3499.4999999999991</v>
          </cell>
          <cell r="AB65">
            <v>1201</v>
          </cell>
          <cell r="AC65">
            <v>-6665.4999999999991</v>
          </cell>
          <cell r="AD65">
            <v>7436.1136363636369</v>
          </cell>
          <cell r="AE65">
            <v>7363.1136363636369</v>
          </cell>
          <cell r="AF65">
            <v>73</v>
          </cell>
          <cell r="AG65">
            <v>1946</v>
          </cell>
          <cell r="AH65">
            <v>938</v>
          </cell>
          <cell r="AI65">
            <v>0</v>
          </cell>
          <cell r="AJ65">
            <v>-5490.1136363636369</v>
          </cell>
          <cell r="AP65">
            <v>44145.368181818187</v>
          </cell>
          <cell r="AQ65">
            <v>15718</v>
          </cell>
          <cell r="AR65">
            <v>28427.368181818187</v>
          </cell>
          <cell r="AS65">
            <v>29454</v>
          </cell>
          <cell r="AT65">
            <v>-14691.368181818187</v>
          </cell>
          <cell r="AU65">
            <v>9926</v>
          </cell>
          <cell r="AV65">
            <v>11963</v>
          </cell>
          <cell r="AW65">
            <v>5792</v>
          </cell>
          <cell r="AX65">
            <v>16464.368181818187</v>
          </cell>
        </row>
        <row r="66">
          <cell r="C66">
            <v>0</v>
          </cell>
          <cell r="D66">
            <v>0</v>
          </cell>
          <cell r="E66">
            <v>0</v>
          </cell>
          <cell r="N66">
            <v>585.33333333333326</v>
          </cell>
          <cell r="O66">
            <v>610</v>
          </cell>
          <cell r="P66">
            <v>24.666666666666742</v>
          </cell>
          <cell r="Q66">
            <v>3587.636363636364</v>
          </cell>
          <cell r="R66">
            <v>3503</v>
          </cell>
          <cell r="S66">
            <v>-84.636363636363967</v>
          </cell>
          <cell r="T66">
            <v>1975.818181818182</v>
          </cell>
          <cell r="U66">
            <v>1044</v>
          </cell>
          <cell r="V66">
            <v>931.81818181818198</v>
          </cell>
          <cell r="W66">
            <v>1870</v>
          </cell>
          <cell r="X66">
            <v>-105.81818181818198</v>
          </cell>
          <cell r="Y66">
            <v>1287.3636363636363</v>
          </cell>
          <cell r="Z66">
            <v>634</v>
          </cell>
          <cell r="AA66">
            <v>653.36363636363626</v>
          </cell>
          <cell r="AB66">
            <v>435</v>
          </cell>
          <cell r="AC66">
            <v>-852.36363636363626</v>
          </cell>
          <cell r="AD66">
            <v>1471.2727272727273</v>
          </cell>
          <cell r="AE66">
            <v>1471.090909090909</v>
          </cell>
          <cell r="AF66">
            <v>0.18181818181824383</v>
          </cell>
          <cell r="AG66">
            <v>318</v>
          </cell>
          <cell r="AH66">
            <v>237</v>
          </cell>
          <cell r="AI66">
            <v>0</v>
          </cell>
          <cell r="AJ66">
            <v>-1153.2727272727273</v>
          </cell>
          <cell r="AP66">
            <v>8907.242424242424</v>
          </cell>
          <cell r="AQ66">
            <v>2263.333333333333</v>
          </cell>
          <cell r="AR66">
            <v>6643.909090909091</v>
          </cell>
          <cell r="AS66">
            <v>6655</v>
          </cell>
          <cell r="AT66">
            <v>-2252.242424242424</v>
          </cell>
        </row>
        <row r="67">
          <cell r="C67">
            <v>0</v>
          </cell>
          <cell r="D67">
            <v>0</v>
          </cell>
          <cell r="E67">
            <v>0</v>
          </cell>
          <cell r="N67">
            <v>34</v>
          </cell>
          <cell r="O67">
            <v>33</v>
          </cell>
          <cell r="P67">
            <v>-1</v>
          </cell>
          <cell r="Q67">
            <v>197</v>
          </cell>
          <cell r="R67">
            <v>192</v>
          </cell>
          <cell r="S67">
            <v>-5</v>
          </cell>
          <cell r="T67">
            <v>108</v>
          </cell>
          <cell r="U67">
            <v>57</v>
          </cell>
          <cell r="V67">
            <v>51</v>
          </cell>
          <cell r="W67">
            <v>99</v>
          </cell>
          <cell r="X67">
            <v>-9</v>
          </cell>
          <cell r="Y67">
            <v>70</v>
          </cell>
          <cell r="Z67">
            <v>35</v>
          </cell>
          <cell r="AA67">
            <v>35</v>
          </cell>
          <cell r="AB67">
            <v>24</v>
          </cell>
          <cell r="AC67">
            <v>-46</v>
          </cell>
          <cell r="AD67">
            <v>81</v>
          </cell>
          <cell r="AE67">
            <v>81</v>
          </cell>
          <cell r="AF67">
            <v>0</v>
          </cell>
          <cell r="AG67">
            <v>17</v>
          </cell>
          <cell r="AH67">
            <v>12</v>
          </cell>
          <cell r="AI67">
            <v>0</v>
          </cell>
          <cell r="AJ67">
            <v>-64</v>
          </cell>
          <cell r="AP67">
            <v>490</v>
          </cell>
          <cell r="AQ67">
            <v>126</v>
          </cell>
          <cell r="AR67">
            <v>364</v>
          </cell>
          <cell r="AS67">
            <v>360</v>
          </cell>
          <cell r="AT67">
            <v>-130</v>
          </cell>
        </row>
        <row r="68">
          <cell r="C68">
            <v>0</v>
          </cell>
          <cell r="D68">
            <v>0</v>
          </cell>
          <cell r="E68">
            <v>0</v>
          </cell>
          <cell r="N68">
            <v>189</v>
          </cell>
          <cell r="O68">
            <v>195</v>
          </cell>
          <cell r="P68">
            <v>6</v>
          </cell>
          <cell r="Q68">
            <v>1146</v>
          </cell>
          <cell r="R68">
            <v>1104</v>
          </cell>
          <cell r="S68">
            <v>-42</v>
          </cell>
          <cell r="T68">
            <v>633</v>
          </cell>
          <cell r="U68">
            <v>334</v>
          </cell>
          <cell r="V68">
            <v>299</v>
          </cell>
          <cell r="W68">
            <v>565</v>
          </cell>
          <cell r="X68">
            <v>-68</v>
          </cell>
          <cell r="Y68">
            <v>414</v>
          </cell>
          <cell r="Z68">
            <v>205</v>
          </cell>
          <cell r="AA68">
            <v>209</v>
          </cell>
          <cell r="AB68">
            <v>137</v>
          </cell>
          <cell r="AC68">
            <v>-277</v>
          </cell>
          <cell r="AD68">
            <v>471</v>
          </cell>
          <cell r="AE68">
            <v>471</v>
          </cell>
          <cell r="AF68">
            <v>0</v>
          </cell>
          <cell r="AG68">
            <v>102</v>
          </cell>
          <cell r="AH68">
            <v>16</v>
          </cell>
          <cell r="AI68">
            <v>0</v>
          </cell>
          <cell r="AJ68">
            <v>-369</v>
          </cell>
          <cell r="AP68">
            <v>2853</v>
          </cell>
          <cell r="AQ68">
            <v>728</v>
          </cell>
          <cell r="AR68">
            <v>2125</v>
          </cell>
          <cell r="AS68">
            <v>620</v>
          </cell>
          <cell r="AT68">
            <v>-2233</v>
          </cell>
        </row>
        <row r="69">
          <cell r="C69">
            <v>0</v>
          </cell>
          <cell r="D69">
            <v>0</v>
          </cell>
          <cell r="E69">
            <v>0</v>
          </cell>
          <cell r="N69">
            <v>449</v>
          </cell>
          <cell r="O69">
            <v>779</v>
          </cell>
          <cell r="P69">
            <v>330</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449</v>
          </cell>
          <cell r="AQ69">
            <v>449</v>
          </cell>
          <cell r="AR69">
            <v>0</v>
          </cell>
          <cell r="AS69">
            <v>779</v>
          </cell>
          <cell r="AT69">
            <v>330</v>
          </cell>
        </row>
        <row r="70">
          <cell r="C70" t="e">
            <v>#REF!</v>
          </cell>
          <cell r="D70" t="e">
            <v>#REF!</v>
          </cell>
          <cell r="E70" t="e">
            <v>#REF!</v>
          </cell>
          <cell r="N70">
            <v>1182.5</v>
          </cell>
          <cell r="P70">
            <v>-1182.5</v>
          </cell>
          <cell r="Q70">
            <v>500.6</v>
          </cell>
          <cell r="S70">
            <v>-500.6</v>
          </cell>
          <cell r="T70">
            <v>527</v>
          </cell>
          <cell r="U70">
            <v>0</v>
          </cell>
          <cell r="V70">
            <v>527</v>
          </cell>
          <cell r="X70">
            <v>-527</v>
          </cell>
          <cell r="Y70">
            <v>0</v>
          </cell>
          <cell r="Z70">
            <v>170</v>
          </cell>
          <cell r="AA70">
            <v>-170</v>
          </cell>
          <cell r="AC70">
            <v>0</v>
          </cell>
          <cell r="AD70">
            <v>1020.7636363636364</v>
          </cell>
          <cell r="AE70">
            <v>1020.7636363636364</v>
          </cell>
          <cell r="AF70">
            <v>0</v>
          </cell>
          <cell r="AI70">
            <v>0</v>
          </cell>
          <cell r="AJ70">
            <v>-1020.7636363636364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11223</v>
          </cell>
          <cell r="D72">
            <v>1252</v>
          </cell>
          <cell r="E72">
            <v>9971</v>
          </cell>
          <cell r="N72">
            <v>798.2700000000001</v>
          </cell>
          <cell r="O72">
            <v>784</v>
          </cell>
          <cell r="P72">
            <v>-14.270000000000095</v>
          </cell>
          <cell r="Q72">
            <v>2316.2183333333332</v>
          </cell>
          <cell r="R72">
            <v>2083</v>
          </cell>
          <cell r="S72">
            <v>-233.21833333333325</v>
          </cell>
          <cell r="T72">
            <v>813.25800000000004</v>
          </cell>
          <cell r="U72">
            <v>404</v>
          </cell>
          <cell r="V72">
            <v>409.25800000000004</v>
          </cell>
          <cell r="W72">
            <v>11920</v>
          </cell>
          <cell r="X72">
            <v>11106.742</v>
          </cell>
          <cell r="Y72">
            <v>780.71199999999999</v>
          </cell>
          <cell r="Z72">
            <v>350</v>
          </cell>
          <cell r="AA72">
            <v>430.71199999999999</v>
          </cell>
          <cell r="AB72">
            <v>94</v>
          </cell>
          <cell r="AC72">
            <v>-686.71199999999999</v>
          </cell>
          <cell r="AD72">
            <v>1657.9006666666667</v>
          </cell>
          <cell r="AE72">
            <v>1373.93</v>
          </cell>
          <cell r="AF72">
            <v>283.9706666666666</v>
          </cell>
          <cell r="AG72">
            <v>379</v>
          </cell>
          <cell r="AH72">
            <v>173</v>
          </cell>
          <cell r="AI72">
            <v>35</v>
          </cell>
          <cell r="AJ72">
            <v>-1278.9006666666667</v>
          </cell>
          <cell r="AN72">
            <v>0</v>
          </cell>
          <cell r="AP72">
            <v>18535.519</v>
          </cell>
          <cell r="AQ72" t="e">
            <v>#REF!</v>
          </cell>
          <cell r="AR72" t="e">
            <v>#REF!</v>
          </cell>
          <cell r="AS72">
            <v>2959</v>
          </cell>
          <cell r="AT72">
            <v>-15576.519</v>
          </cell>
          <cell r="AU72">
            <v>754</v>
          </cell>
          <cell r="AV72">
            <v>1593</v>
          </cell>
          <cell r="AW72">
            <v>2612.87</v>
          </cell>
          <cell r="AX72" t="e">
            <v>#REF!</v>
          </cell>
        </row>
        <row r="73">
          <cell r="C73">
            <v>906</v>
          </cell>
          <cell r="D73">
            <v>70</v>
          </cell>
          <cell r="E73">
            <v>836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924</v>
          </cell>
          <cell r="AQ73">
            <v>70</v>
          </cell>
          <cell r="AR73">
            <v>854</v>
          </cell>
          <cell r="AS73">
            <v>0</v>
          </cell>
          <cell r="AT73">
            <v>-924</v>
          </cell>
          <cell r="AU73">
            <v>0</v>
          </cell>
          <cell r="AV73">
            <v>18</v>
          </cell>
          <cell r="AW73">
            <v>70</v>
          </cell>
          <cell r="AX73">
            <v>836</v>
          </cell>
        </row>
        <row r="74">
          <cell r="C74">
            <v>10317</v>
          </cell>
          <cell r="D74">
            <v>1182</v>
          </cell>
          <cell r="E74">
            <v>9135</v>
          </cell>
          <cell r="N74">
            <v>798.2700000000001</v>
          </cell>
          <cell r="O74">
            <v>695</v>
          </cell>
          <cell r="P74">
            <v>-103.2700000000001</v>
          </cell>
          <cell r="Q74">
            <v>2215.2183333333332</v>
          </cell>
          <cell r="R74">
            <v>2083</v>
          </cell>
          <cell r="S74">
            <v>-132.21833333333325</v>
          </cell>
          <cell r="T74">
            <v>813.25800000000004</v>
          </cell>
          <cell r="U74">
            <v>404</v>
          </cell>
          <cell r="V74">
            <v>409.25800000000004</v>
          </cell>
          <cell r="X74">
            <v>-813.25800000000004</v>
          </cell>
          <cell r="Y74">
            <v>762.71199999999999</v>
          </cell>
          <cell r="Z74">
            <v>350</v>
          </cell>
          <cell r="AA74">
            <v>412.71199999999999</v>
          </cell>
          <cell r="AC74">
            <v>-762.71199999999999</v>
          </cell>
          <cell r="AD74">
            <v>1657.9006666666667</v>
          </cell>
          <cell r="AE74">
            <v>1373.33</v>
          </cell>
          <cell r="AF74">
            <v>284.57066666666674</v>
          </cell>
          <cell r="AG74">
            <v>379</v>
          </cell>
          <cell r="AH74">
            <v>173</v>
          </cell>
          <cell r="AI74">
            <v>35</v>
          </cell>
          <cell r="AJ74">
            <v>-1278.9006666666667</v>
          </cell>
          <cell r="AN74">
            <v>0</v>
          </cell>
          <cell r="AP74">
            <v>17509.918999999998</v>
          </cell>
          <cell r="AQ74">
            <v>3296.87</v>
          </cell>
          <cell r="AR74">
            <v>14213.048999999999</v>
          </cell>
          <cell r="AS74">
            <v>2959</v>
          </cell>
          <cell r="AT74">
            <v>-14550.918999999998</v>
          </cell>
          <cell r="AU74">
            <v>754</v>
          </cell>
          <cell r="AV74">
            <v>1575</v>
          </cell>
          <cell r="AW74">
            <v>2542.87</v>
          </cell>
          <cell r="AX74">
            <v>12638.048999999999</v>
          </cell>
        </row>
        <row r="75">
          <cell r="C75">
            <v>1559</v>
          </cell>
          <cell r="D75">
            <v>299</v>
          </cell>
          <cell r="E75">
            <v>1260</v>
          </cell>
          <cell r="N75">
            <v>542.27</v>
          </cell>
          <cell r="P75">
            <v>-542.27</v>
          </cell>
          <cell r="Q75">
            <v>1366.7766666666664</v>
          </cell>
          <cell r="R75">
            <v>1384</v>
          </cell>
          <cell r="S75">
            <v>17.223333333333585</v>
          </cell>
          <cell r="T75">
            <v>486.40800000000002</v>
          </cell>
          <cell r="U75">
            <v>248</v>
          </cell>
          <cell r="V75">
            <v>238.40800000000002</v>
          </cell>
          <cell r="X75">
            <v>-486.40800000000002</v>
          </cell>
          <cell r="Y75">
            <v>277.56200000000001</v>
          </cell>
          <cell r="Z75">
            <v>204</v>
          </cell>
          <cell r="AA75">
            <v>73.562000000000012</v>
          </cell>
          <cell r="AC75">
            <v>-277.56200000000001</v>
          </cell>
          <cell r="AD75">
            <v>1071.5006666666668</v>
          </cell>
          <cell r="AE75">
            <v>912.48</v>
          </cell>
          <cell r="AF75">
            <v>159.02066666666678</v>
          </cell>
          <cell r="AJ75">
            <v>-1071.5006666666668</v>
          </cell>
          <cell r="AP75">
            <v>5544.496666666666</v>
          </cell>
          <cell r="AQ75">
            <v>1517.87</v>
          </cell>
          <cell r="AR75">
            <v>4026.6266666666661</v>
          </cell>
          <cell r="AS75">
            <v>1384</v>
          </cell>
          <cell r="AT75">
            <v>-4160.496666666666</v>
          </cell>
          <cell r="AX75">
            <v>4026.6266666666661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816</v>
          </cell>
          <cell r="D77">
            <v>323</v>
          </cell>
          <cell r="E77">
            <v>493</v>
          </cell>
          <cell r="N77">
            <v>92.75</v>
          </cell>
          <cell r="O77">
            <v>2</v>
          </cell>
          <cell r="Q77">
            <v>555.4666666666667</v>
          </cell>
          <cell r="R77">
            <v>168</v>
          </cell>
          <cell r="T77">
            <v>133.6</v>
          </cell>
          <cell r="U77">
            <v>17</v>
          </cell>
          <cell r="V77">
            <v>116.6</v>
          </cell>
          <cell r="W77">
            <v>76</v>
          </cell>
          <cell r="Y77">
            <v>153.35000000000002</v>
          </cell>
          <cell r="Z77">
            <v>46</v>
          </cell>
          <cell r="AA77">
            <v>107.35000000000002</v>
          </cell>
          <cell r="AD77">
            <v>280.35000000000002</v>
          </cell>
          <cell r="AE77">
            <v>232.85</v>
          </cell>
          <cell r="AF77">
            <v>47.500000000000028</v>
          </cell>
        </row>
        <row r="78">
          <cell r="C78">
            <v>4799</v>
          </cell>
          <cell r="D78">
            <v>363</v>
          </cell>
          <cell r="E78">
            <v>4436</v>
          </cell>
          <cell r="N78">
            <v>162.25</v>
          </cell>
          <cell r="O78">
            <v>87</v>
          </cell>
          <cell r="Q78">
            <v>393.97500000000002</v>
          </cell>
          <cell r="R78">
            <v>516</v>
          </cell>
          <cell r="T78">
            <v>192.25</v>
          </cell>
          <cell r="U78">
            <v>48</v>
          </cell>
          <cell r="V78">
            <v>144.25</v>
          </cell>
          <cell r="W78">
            <v>192</v>
          </cell>
          <cell r="Y78">
            <v>331.8</v>
          </cell>
          <cell r="Z78">
            <v>69</v>
          </cell>
          <cell r="AA78">
            <v>262.8</v>
          </cell>
          <cell r="AD78">
            <v>306.05</v>
          </cell>
          <cell r="AE78">
            <v>228</v>
          </cell>
          <cell r="AF78">
            <v>78.050000000000011</v>
          </cell>
        </row>
        <row r="79">
          <cell r="C79">
            <v>0</v>
          </cell>
          <cell r="D79">
            <v>85</v>
          </cell>
          <cell r="E79">
            <v>-85</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66.300000000000011</v>
          </cell>
          <cell r="AQ79">
            <v>103.1</v>
          </cell>
          <cell r="AS79">
            <v>0</v>
          </cell>
          <cell r="AT79">
            <v>-66.300000000000011</v>
          </cell>
        </row>
        <row r="80">
          <cell r="C80">
            <v>16304.594000000001</v>
          </cell>
          <cell r="D80">
            <v>2178</v>
          </cell>
          <cell r="E80">
            <v>14126.594000000001</v>
          </cell>
          <cell r="N80">
            <v>21871.823393939394</v>
          </cell>
          <cell r="O80">
            <v>20615</v>
          </cell>
          <cell r="P80">
            <v>-1256.823393939394</v>
          </cell>
          <cell r="Q80">
            <v>133666.07966666666</v>
          </cell>
          <cell r="R80">
            <v>139429</v>
          </cell>
          <cell r="S80">
            <v>5762.9203333333426</v>
          </cell>
          <cell r="T80">
            <v>215006.29151515153</v>
          </cell>
          <cell r="U80">
            <v>123843.34756097561</v>
          </cell>
          <cell r="V80">
            <v>91162.943954175906</v>
          </cell>
          <cell r="W80">
            <v>192815</v>
          </cell>
          <cell r="X80">
            <v>-22191.291515151534</v>
          </cell>
          <cell r="Y80">
            <v>177458.53030303027</v>
          </cell>
          <cell r="Z80">
            <v>96838.750161952048</v>
          </cell>
          <cell r="AA80">
            <v>80619.780141078256</v>
          </cell>
          <cell r="AB80">
            <v>81399</v>
          </cell>
          <cell r="AC80">
            <v>-96059.530303030275</v>
          </cell>
          <cell r="AD80">
            <v>38491.386606060609</v>
          </cell>
          <cell r="AE80">
            <v>31786.744424242428</v>
          </cell>
          <cell r="AF80">
            <v>6704.6421818181807</v>
          </cell>
          <cell r="AG80">
            <v>9642</v>
          </cell>
          <cell r="AH80">
            <v>6481</v>
          </cell>
          <cell r="AI80">
            <v>2032</v>
          </cell>
          <cell r="AJ80">
            <v>-28849.386606060609</v>
          </cell>
          <cell r="AL80">
            <v>0</v>
          </cell>
          <cell r="AN80">
            <v>0</v>
          </cell>
          <cell r="AP80">
            <v>598583.31396969699</v>
          </cell>
          <cell r="AQ80" t="e">
            <v>#REF!</v>
          </cell>
          <cell r="AR80" t="e">
            <v>#REF!</v>
          </cell>
          <cell r="AS80">
            <v>428644</v>
          </cell>
          <cell r="AT80">
            <v>-169939.31396969699</v>
          </cell>
          <cell r="AU80">
            <v>219889.09772292766</v>
          </cell>
          <cell r="AV80">
            <v>264294</v>
          </cell>
          <cell r="AW80">
            <v>23655.241575757576</v>
          </cell>
          <cell r="AX80" t="e">
            <v>#REF!</v>
          </cell>
        </row>
        <row r="81">
          <cell r="C81">
            <v>15398.594000000001</v>
          </cell>
          <cell r="D81">
            <v>2108</v>
          </cell>
          <cell r="E81">
            <v>13290.594000000001</v>
          </cell>
          <cell r="P81">
            <v>0</v>
          </cell>
          <cell r="S81">
            <v>0</v>
          </cell>
          <cell r="X81">
            <v>0</v>
          </cell>
          <cell r="AC81">
            <v>0</v>
          </cell>
          <cell r="AJ81">
            <v>0</v>
          </cell>
          <cell r="AP81">
            <v>180298.31396969699</v>
          </cell>
          <cell r="AQ81" t="e">
            <v>#REF!</v>
          </cell>
          <cell r="AR81" t="e">
            <v>#REF!</v>
          </cell>
          <cell r="AS81">
            <v>0</v>
          </cell>
          <cell r="AT81">
            <v>-180298.31396969699</v>
          </cell>
          <cell r="AU81">
            <v>24325</v>
          </cell>
          <cell r="AV81">
            <v>41574</v>
          </cell>
          <cell r="AW81">
            <v>23654.241575757576</v>
          </cell>
          <cell r="AX81" t="e">
            <v>#REF!</v>
          </cell>
        </row>
        <row r="82">
          <cell r="N82">
            <v>5453.272727272727</v>
          </cell>
          <cell r="O82">
            <v>5228</v>
          </cell>
          <cell r="P82">
            <v>-225.27272727272702</v>
          </cell>
          <cell r="Q82">
            <v>12265.86090909091</v>
          </cell>
          <cell r="R82">
            <v>11767</v>
          </cell>
          <cell r="S82">
            <v>-498.86090909091035</v>
          </cell>
          <cell r="T82">
            <v>4592.227272727273</v>
          </cell>
          <cell r="U82">
            <v>2344</v>
          </cell>
          <cell r="V82">
            <v>2248.227272727273</v>
          </cell>
          <cell r="W82">
            <v>4343</v>
          </cell>
          <cell r="X82">
            <v>-249.22727272727298</v>
          </cell>
          <cell r="Y82">
            <v>3702.647272727273</v>
          </cell>
          <cell r="Z82">
            <v>1812</v>
          </cell>
          <cell r="AA82">
            <v>1890.6472727272728</v>
          </cell>
          <cell r="AB82">
            <v>1097</v>
          </cell>
          <cell r="AC82">
            <v>-2605.647272727273</v>
          </cell>
          <cell r="AD82">
            <v>10927.106363636363</v>
          </cell>
          <cell r="AE82">
            <v>9821.136363636364</v>
          </cell>
          <cell r="AF82">
            <v>1105.9699999999996</v>
          </cell>
          <cell r="AG82">
            <v>2881</v>
          </cell>
          <cell r="AH82">
            <v>1984</v>
          </cell>
          <cell r="AI82">
            <v>306</v>
          </cell>
          <cell r="AJ82">
            <v>-8046.1063636363633</v>
          </cell>
          <cell r="AN82">
            <v>0</v>
          </cell>
          <cell r="AP82">
            <v>37891.738545454551</v>
          </cell>
          <cell r="AS82">
            <v>24419</v>
          </cell>
          <cell r="AT82">
            <v>-13472.738545454551</v>
          </cell>
        </row>
        <row r="83">
          <cell r="C83">
            <v>15794</v>
          </cell>
          <cell r="D83">
            <v>11292</v>
          </cell>
          <cell r="E83">
            <v>0</v>
          </cell>
          <cell r="P83">
            <v>0</v>
          </cell>
          <cell r="S83">
            <v>0</v>
          </cell>
          <cell r="X83">
            <v>0</v>
          </cell>
          <cell r="AC83">
            <v>0</v>
          </cell>
          <cell r="AJ83">
            <v>0</v>
          </cell>
          <cell r="AP83">
            <v>15794</v>
          </cell>
          <cell r="AQ83">
            <v>11292</v>
          </cell>
          <cell r="AR83">
            <v>0</v>
          </cell>
          <cell r="AS83">
            <v>0</v>
          </cell>
          <cell r="AT83">
            <v>-15794</v>
          </cell>
          <cell r="AU83">
            <v>0</v>
          </cell>
          <cell r="AV83">
            <v>0</v>
          </cell>
          <cell r="AW83">
            <v>0</v>
          </cell>
          <cell r="AX83">
            <v>0</v>
          </cell>
        </row>
        <row r="84">
          <cell r="C84">
            <v>32098.594000000001</v>
          </cell>
          <cell r="D84">
            <v>13470</v>
          </cell>
          <cell r="E84">
            <v>14126.594000000001</v>
          </cell>
          <cell r="N84">
            <v>21871.823393939394</v>
          </cell>
          <cell r="O84">
            <v>20615</v>
          </cell>
          <cell r="P84">
            <v>-1256.823393939394</v>
          </cell>
          <cell r="Q84">
            <v>133666.07966666666</v>
          </cell>
          <cell r="R84">
            <v>139429</v>
          </cell>
          <cell r="S84">
            <v>5762.9203333333426</v>
          </cell>
          <cell r="T84">
            <v>215006.29151515153</v>
          </cell>
          <cell r="U84">
            <v>123843.34756097561</v>
          </cell>
          <cell r="V84">
            <v>91162.943954175906</v>
          </cell>
          <cell r="W84">
            <v>192815</v>
          </cell>
          <cell r="X84">
            <v>-22191.291515151534</v>
          </cell>
          <cell r="Y84">
            <v>177458.53030303027</v>
          </cell>
          <cell r="Z84">
            <v>96838.750161952048</v>
          </cell>
          <cell r="AA84">
            <v>80619.780141078256</v>
          </cell>
          <cell r="AB84">
            <v>81399</v>
          </cell>
          <cell r="AC84">
            <v>-96059.530303030275</v>
          </cell>
          <cell r="AD84">
            <v>38491.386606060609</v>
          </cell>
          <cell r="AE84">
            <v>31786.744424242428</v>
          </cell>
          <cell r="AF84">
            <v>6704.6421818181807</v>
          </cell>
          <cell r="AG84">
            <v>9642</v>
          </cell>
          <cell r="AH84">
            <v>6481</v>
          </cell>
          <cell r="AI84">
            <v>2032</v>
          </cell>
          <cell r="AJ84">
            <v>-28849.386606060609</v>
          </cell>
          <cell r="AL84">
            <v>0</v>
          </cell>
          <cell r="AN84">
            <v>0</v>
          </cell>
          <cell r="AP84">
            <v>614377.31396969699</v>
          </cell>
          <cell r="AQ84" t="e">
            <v>#REF!</v>
          </cell>
          <cell r="AR84" t="e">
            <v>#REF!</v>
          </cell>
          <cell r="AS84">
            <v>428644</v>
          </cell>
          <cell r="AT84">
            <v>-185733.31396969699</v>
          </cell>
          <cell r="AU84">
            <v>219889.09772292766</v>
          </cell>
          <cell r="AV84">
            <v>264294</v>
          </cell>
          <cell r="AW84">
            <v>23655.241575757576</v>
          </cell>
          <cell r="AX84" t="e">
            <v>#REF!</v>
          </cell>
        </row>
        <row r="85">
          <cell r="C85">
            <v>0</v>
          </cell>
          <cell r="D85">
            <v>0</v>
          </cell>
          <cell r="E85">
            <v>0</v>
          </cell>
          <cell r="N85">
            <v>0</v>
          </cell>
          <cell r="P85">
            <v>0</v>
          </cell>
          <cell r="Q85">
            <v>0</v>
          </cell>
          <cell r="S85">
            <v>0</v>
          </cell>
          <cell r="T85">
            <v>0</v>
          </cell>
          <cell r="U85">
            <v>0</v>
          </cell>
          <cell r="V85">
            <v>0</v>
          </cell>
          <cell r="X85">
            <v>0</v>
          </cell>
          <cell r="Y85">
            <v>0</v>
          </cell>
          <cell r="AC85">
            <v>0</v>
          </cell>
          <cell r="AI85">
            <v>0</v>
          </cell>
          <cell r="AJ85">
            <v>0</v>
          </cell>
          <cell r="AP85">
            <v>-1</v>
          </cell>
          <cell r="AQ85">
            <v>0</v>
          </cell>
          <cell r="AR85">
            <v>-1</v>
          </cell>
          <cell r="AS85">
            <v>0</v>
          </cell>
          <cell r="AT85">
            <v>1</v>
          </cell>
          <cell r="AU85">
            <v>0</v>
          </cell>
          <cell r="AV85">
            <v>0</v>
          </cell>
          <cell r="AW85">
            <v>0</v>
          </cell>
          <cell r="AX85">
            <v>-1</v>
          </cell>
        </row>
        <row r="86">
          <cell r="C86">
            <v>1437</v>
          </cell>
          <cell r="D86">
            <v>1959</v>
          </cell>
          <cell r="E86">
            <v>-522</v>
          </cell>
          <cell r="N86">
            <v>0</v>
          </cell>
          <cell r="P86">
            <v>0</v>
          </cell>
          <cell r="Q86">
            <v>0</v>
          </cell>
          <cell r="S86">
            <v>0</v>
          </cell>
          <cell r="T86">
            <v>0</v>
          </cell>
          <cell r="U86">
            <v>0</v>
          </cell>
          <cell r="V86">
            <v>0</v>
          </cell>
          <cell r="X86">
            <v>0</v>
          </cell>
          <cell r="Y86">
            <v>0</v>
          </cell>
          <cell r="AC86">
            <v>0</v>
          </cell>
          <cell r="AI86">
            <v>0</v>
          </cell>
          <cell r="AJ86">
            <v>0</v>
          </cell>
          <cell r="AP86">
            <v>1437</v>
          </cell>
          <cell r="AQ86">
            <v>1959</v>
          </cell>
          <cell r="AR86">
            <v>-522</v>
          </cell>
          <cell r="AS86">
            <v>0</v>
          </cell>
          <cell r="AT86">
            <v>-1437</v>
          </cell>
          <cell r="AU86">
            <v>0</v>
          </cell>
          <cell r="AV86">
            <v>0</v>
          </cell>
          <cell r="AW86">
            <v>1959</v>
          </cell>
          <cell r="AX86">
            <v>-522</v>
          </cell>
        </row>
        <row r="87">
          <cell r="C87">
            <v>112</v>
          </cell>
          <cell r="D87">
            <v>481</v>
          </cell>
          <cell r="E87">
            <v>-369</v>
          </cell>
          <cell r="N87">
            <v>0</v>
          </cell>
          <cell r="P87">
            <v>0</v>
          </cell>
          <cell r="Q87">
            <v>0</v>
          </cell>
          <cell r="S87">
            <v>0</v>
          </cell>
          <cell r="T87">
            <v>0</v>
          </cell>
          <cell r="U87">
            <v>0</v>
          </cell>
          <cell r="V87">
            <v>0</v>
          </cell>
          <cell r="X87">
            <v>0</v>
          </cell>
          <cell r="Y87">
            <v>0</v>
          </cell>
          <cell r="Z87">
            <v>0</v>
          </cell>
          <cell r="AA87">
            <v>0</v>
          </cell>
          <cell r="AC87">
            <v>0</v>
          </cell>
          <cell r="AI87">
            <v>0</v>
          </cell>
          <cell r="AJ87">
            <v>0</v>
          </cell>
          <cell r="AP87">
            <v>111</v>
          </cell>
          <cell r="AQ87">
            <v>481</v>
          </cell>
          <cell r="AR87">
            <v>-370</v>
          </cell>
          <cell r="AS87">
            <v>-1</v>
          </cell>
          <cell r="AT87">
            <v>-112</v>
          </cell>
          <cell r="AU87">
            <v>0</v>
          </cell>
          <cell r="AV87">
            <v>0</v>
          </cell>
          <cell r="AW87">
            <v>481</v>
          </cell>
          <cell r="AX87">
            <v>-370</v>
          </cell>
        </row>
        <row r="88">
          <cell r="C88">
            <v>37</v>
          </cell>
          <cell r="D88">
            <v>12</v>
          </cell>
          <cell r="E88">
            <v>25</v>
          </cell>
          <cell r="N88">
            <v>182.13333333333333</v>
          </cell>
          <cell r="O88">
            <v>4</v>
          </cell>
          <cell r="P88">
            <v>-178.13333333333333</v>
          </cell>
          <cell r="Q88">
            <v>189.6</v>
          </cell>
          <cell r="S88">
            <v>-189.6</v>
          </cell>
          <cell r="T88">
            <v>169.93333333333331</v>
          </cell>
          <cell r="U88">
            <v>176</v>
          </cell>
          <cell r="V88">
            <v>-6.0666666666666913</v>
          </cell>
          <cell r="W88">
            <v>169</v>
          </cell>
          <cell r="X88">
            <v>-0.9333333333333087</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187</v>
          </cell>
          <cell r="AT88">
            <v>-821.59999999999991</v>
          </cell>
          <cell r="AU88">
            <v>176</v>
          </cell>
          <cell r="AV88">
            <v>46</v>
          </cell>
          <cell r="AW88">
            <v>125.13333333333333</v>
          </cell>
          <cell r="AX88">
            <v>661.46666666666658</v>
          </cell>
        </row>
        <row r="89">
          <cell r="C89">
            <v>33684.593999999997</v>
          </cell>
          <cell r="D89">
            <v>15922</v>
          </cell>
          <cell r="E89">
            <v>13260.594000000001</v>
          </cell>
          <cell r="N89">
            <v>22053.956727272729</v>
          </cell>
          <cell r="O89">
            <v>20619</v>
          </cell>
          <cell r="P89">
            <v>-1434.956727272729</v>
          </cell>
          <cell r="Q89">
            <v>133855.67966666666</v>
          </cell>
          <cell r="R89">
            <v>139429</v>
          </cell>
          <cell r="S89">
            <v>5573.3203333333367</v>
          </cell>
          <cell r="T89">
            <v>215176.22484848485</v>
          </cell>
          <cell r="U89">
            <v>124019.34756097561</v>
          </cell>
          <cell r="V89">
            <v>91156.87728750924</v>
          </cell>
          <cell r="W89">
            <v>192984</v>
          </cell>
          <cell r="X89">
            <v>-22192.224848484853</v>
          </cell>
          <cell r="Y89">
            <v>177848.46363636359</v>
          </cell>
          <cell r="Z89">
            <v>96838.750161952048</v>
          </cell>
          <cell r="AA89">
            <v>80619.780141078256</v>
          </cell>
          <cell r="AB89">
            <v>81399</v>
          </cell>
          <cell r="AC89">
            <v>-96449.463636363595</v>
          </cell>
          <cell r="AD89">
            <v>38643.386606060609</v>
          </cell>
          <cell r="AE89">
            <v>31921.744424242428</v>
          </cell>
          <cell r="AF89">
            <v>6720.6421818181807</v>
          </cell>
          <cell r="AG89">
            <v>9686</v>
          </cell>
          <cell r="AH89">
            <v>6496</v>
          </cell>
          <cell r="AI89">
            <v>2061</v>
          </cell>
          <cell r="AJ89">
            <v>-28957.386606060609</v>
          </cell>
          <cell r="AK89">
            <v>0</v>
          </cell>
          <cell r="AN89">
            <v>0</v>
          </cell>
          <cell r="AP89">
            <v>616934.91396969697</v>
          </cell>
          <cell r="AQ89" t="e">
            <v>#REF!</v>
          </cell>
          <cell r="AR89" t="e">
            <v>#REF!</v>
          </cell>
          <cell r="AS89">
            <v>428830</v>
          </cell>
          <cell r="AT89">
            <v>-188104.91396969697</v>
          </cell>
          <cell r="AU89">
            <v>220065.09772292766</v>
          </cell>
          <cell r="AV89">
            <v>264340</v>
          </cell>
          <cell r="AW89">
            <v>26220.374909090911</v>
          </cell>
          <cell r="AX89" t="e">
            <v>#REF!</v>
          </cell>
        </row>
        <row r="90">
          <cell r="C90">
            <v>17890.593999999997</v>
          </cell>
          <cell r="D90">
            <v>4630</v>
          </cell>
          <cell r="E90">
            <v>13260.594000000001</v>
          </cell>
          <cell r="N90">
            <v>22053.956727272729</v>
          </cell>
          <cell r="O90">
            <v>20619</v>
          </cell>
          <cell r="P90">
            <v>-1434.956727272729</v>
          </cell>
          <cell r="Q90">
            <v>59717.679666666663</v>
          </cell>
          <cell r="R90">
            <v>58294</v>
          </cell>
          <cell r="S90">
            <v>-1423.6796666666633</v>
          </cell>
          <cell r="T90">
            <v>28598.224848484853</v>
          </cell>
          <cell r="U90">
            <v>15213</v>
          </cell>
          <cell r="V90">
            <v>13385.224848484853</v>
          </cell>
          <cell r="W90">
            <v>27624</v>
          </cell>
          <cell r="X90">
            <v>-974.22484848485328</v>
          </cell>
          <cell r="Y90">
            <v>20280.463636363595</v>
          </cell>
          <cell r="Z90">
            <v>10081</v>
          </cell>
          <cell r="AA90">
            <v>9809.5303030303039</v>
          </cell>
          <cell r="AB90">
            <v>5098</v>
          </cell>
          <cell r="AC90">
            <v>-15182.463636363595</v>
          </cell>
          <cell r="AD90">
            <v>38643.386606060609</v>
          </cell>
          <cell r="AE90">
            <v>31921.744424242428</v>
          </cell>
          <cell r="AF90">
            <v>6720.6421818181807</v>
          </cell>
          <cell r="AG90">
            <v>9686</v>
          </cell>
          <cell r="AH90">
            <v>6496</v>
          </cell>
          <cell r="AI90">
            <v>2061</v>
          </cell>
          <cell r="AJ90">
            <v>-28957.386606060609</v>
          </cell>
          <cell r="AN90">
            <v>0</v>
          </cell>
          <cell r="AP90">
            <v>182855.91396969697</v>
          </cell>
          <cell r="AQ90" t="e">
            <v>#REF!</v>
          </cell>
          <cell r="AR90" t="e">
            <v>#REF!</v>
          </cell>
          <cell r="AS90">
            <v>117137</v>
          </cell>
          <cell r="AT90">
            <v>-65718.913969696965</v>
          </cell>
          <cell r="AU90">
            <v>24501</v>
          </cell>
          <cell r="AV90">
            <v>41620</v>
          </cell>
          <cell r="AW90">
            <v>26219.374909090911</v>
          </cell>
          <cell r="AX90" t="e">
            <v>#REF!</v>
          </cell>
        </row>
        <row r="91">
          <cell r="C91">
            <v>1285.5940000000001</v>
          </cell>
          <cell r="D91">
            <v>310</v>
          </cell>
          <cell r="E91">
            <v>975.59400000000005</v>
          </cell>
          <cell r="P91">
            <v>0</v>
          </cell>
          <cell r="Q91">
            <v>12265.86090909091</v>
          </cell>
          <cell r="R91">
            <v>11767</v>
          </cell>
          <cell r="S91">
            <v>-498.86090909091035</v>
          </cell>
          <cell r="T91">
            <v>4592.227272727273</v>
          </cell>
          <cell r="U91">
            <v>2344</v>
          </cell>
          <cell r="V91">
            <v>2248.227272727273</v>
          </cell>
          <cell r="W91">
            <v>4343</v>
          </cell>
          <cell r="X91">
            <v>-249.22727272727298</v>
          </cell>
          <cell r="Y91">
            <v>3702.647272727273</v>
          </cell>
          <cell r="Z91">
            <v>1812</v>
          </cell>
          <cell r="AA91">
            <v>1890.6472727272728</v>
          </cell>
          <cell r="AB91">
            <v>1097</v>
          </cell>
          <cell r="AC91">
            <v>-2605.647272727273</v>
          </cell>
          <cell r="AD91">
            <v>10927.106363636363</v>
          </cell>
          <cell r="AE91">
            <v>9821.136363636364</v>
          </cell>
          <cell r="AF91">
            <v>1105.9699999999996</v>
          </cell>
          <cell r="AG91">
            <v>2881</v>
          </cell>
          <cell r="AH91">
            <v>1984</v>
          </cell>
          <cell r="AI91">
            <v>306</v>
          </cell>
          <cell r="AJ91">
            <v>-8046.1063636363633</v>
          </cell>
          <cell r="AN91">
            <v>0</v>
          </cell>
          <cell r="AP91">
            <v>37891.738545454551</v>
          </cell>
          <cell r="AQ91">
            <v>617087.91396969697</v>
          </cell>
          <cell r="AR91">
            <v>260280.47263201856</v>
          </cell>
          <cell r="AS91">
            <v>24419</v>
          </cell>
        </row>
        <row r="92">
          <cell r="C92">
            <v>-1238</v>
          </cell>
          <cell r="N92">
            <v>7720.65</v>
          </cell>
          <cell r="O92">
            <v>7638</v>
          </cell>
          <cell r="P92">
            <v>-82.649999999999636</v>
          </cell>
          <cell r="Q92">
            <v>21196.243999999999</v>
          </cell>
          <cell r="R92">
            <v>20519</v>
          </cell>
          <cell r="S92">
            <v>-677.24399999999878</v>
          </cell>
          <cell r="T92">
            <v>958.47</v>
          </cell>
          <cell r="W92">
            <v>817</v>
          </cell>
          <cell r="X92">
            <v>-141.47000000000003</v>
          </cell>
          <cell r="Y92">
            <v>3357.9775757575753</v>
          </cell>
          <cell r="AB92">
            <v>432</v>
          </cell>
          <cell r="AC92">
            <v>-2925.9775757575753</v>
          </cell>
          <cell r="AD92">
            <v>1773.6</v>
          </cell>
          <cell r="AE92">
            <v>1774</v>
          </cell>
          <cell r="AF92">
            <v>-0.40000000000009095</v>
          </cell>
          <cell r="AI92">
            <v>0</v>
          </cell>
          <cell r="AJ92" t="e">
            <v>#REF!</v>
          </cell>
          <cell r="AN92" t="e">
            <v>#REF!</v>
          </cell>
          <cell r="AO92">
            <v>1616</v>
          </cell>
          <cell r="AP92" t="e">
            <v>#REF!</v>
          </cell>
          <cell r="AS92">
            <v>10503</v>
          </cell>
        </row>
        <row r="93">
          <cell r="C93">
            <v>70</v>
          </cell>
          <cell r="N93">
            <v>4169</v>
          </cell>
          <cell r="O93">
            <v>4632</v>
          </cell>
          <cell r="P93">
            <v>463</v>
          </cell>
          <cell r="Q93">
            <v>9157</v>
          </cell>
          <cell r="R93">
            <v>14928</v>
          </cell>
          <cell r="S93">
            <v>5771</v>
          </cell>
          <cell r="T93">
            <v>958</v>
          </cell>
          <cell r="W93">
            <v>700</v>
          </cell>
          <cell r="X93">
            <v>-258</v>
          </cell>
          <cell r="Y93">
            <v>0</v>
          </cell>
          <cell r="AB93">
            <v>432</v>
          </cell>
          <cell r="AC93">
            <v>432</v>
          </cell>
          <cell r="AD93">
            <v>1774</v>
          </cell>
          <cell r="AE93">
            <v>1774</v>
          </cell>
          <cell r="AF93">
            <v>0</v>
          </cell>
          <cell r="AI93">
            <v>0</v>
          </cell>
          <cell r="AJ93">
            <v>-1774</v>
          </cell>
          <cell r="AN93" t="e">
            <v>#REF!</v>
          </cell>
          <cell r="AP93" t="e">
            <v>#REF!</v>
          </cell>
          <cell r="AS93">
            <v>5764</v>
          </cell>
        </row>
        <row r="95">
          <cell r="C95">
            <v>-1308</v>
          </cell>
          <cell r="N95">
            <v>3551.6499999999996</v>
          </cell>
          <cell r="O95">
            <v>3006</v>
          </cell>
          <cell r="P95">
            <v>-545.64999999999964</v>
          </cell>
          <cell r="Q95">
            <v>8884</v>
          </cell>
          <cell r="R95">
            <v>0</v>
          </cell>
          <cell r="S95">
            <v>-8884</v>
          </cell>
          <cell r="T95">
            <v>0</v>
          </cell>
          <cell r="W95">
            <v>117</v>
          </cell>
          <cell r="X95">
            <v>117</v>
          </cell>
          <cell r="Y95">
            <v>0</v>
          </cell>
          <cell r="AC95">
            <v>0</v>
          </cell>
          <cell r="AD95">
            <v>0</v>
          </cell>
          <cell r="AE95">
            <v>0</v>
          </cell>
          <cell r="AF95">
            <v>0</v>
          </cell>
          <cell r="AI95">
            <v>0</v>
          </cell>
          <cell r="AJ95">
            <v>0</v>
          </cell>
          <cell r="AN95" t="e">
            <v>#REF!</v>
          </cell>
          <cell r="AP95" t="e">
            <v>#REF!</v>
          </cell>
          <cell r="AS95">
            <v>3123</v>
          </cell>
        </row>
        <row r="96">
          <cell r="P96">
            <v>0</v>
          </cell>
          <cell r="Q96">
            <v>4262</v>
          </cell>
          <cell r="R96">
            <v>5226</v>
          </cell>
          <cell r="S96">
            <v>964</v>
          </cell>
          <cell r="X96">
            <v>0</v>
          </cell>
          <cell r="AC96">
            <v>0</v>
          </cell>
          <cell r="AF96">
            <v>0</v>
          </cell>
          <cell r="AI96">
            <v>0</v>
          </cell>
          <cell r="AJ96">
            <v>0</v>
          </cell>
          <cell r="AN96" t="e">
            <v>#REF!</v>
          </cell>
          <cell r="AP96" t="e">
            <v>#REF!</v>
          </cell>
          <cell r="AS96">
            <v>0</v>
          </cell>
        </row>
        <row r="97">
          <cell r="O97">
            <v>145</v>
          </cell>
          <cell r="P97">
            <v>145</v>
          </cell>
          <cell r="S97">
            <v>0</v>
          </cell>
          <cell r="X97">
            <v>0</v>
          </cell>
          <cell r="AC97">
            <v>0</v>
          </cell>
          <cell r="AF97">
            <v>0</v>
          </cell>
          <cell r="AI97">
            <v>0</v>
          </cell>
          <cell r="AJ97">
            <v>0</v>
          </cell>
          <cell r="AN97" t="e">
            <v>#REF!</v>
          </cell>
          <cell r="AP97" t="e">
            <v>#REF!</v>
          </cell>
          <cell r="AS97">
            <v>145</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S100">
            <v>0.32000000000000028</v>
          </cell>
          <cell r="T100">
            <v>-0.3360000000000003</v>
          </cell>
          <cell r="X100">
            <v>0.3360000000000003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138</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S103">
            <v>0.32000000000000028</v>
          </cell>
          <cell r="T103">
            <v>-0.3360000000000003</v>
          </cell>
          <cell r="X103">
            <v>0.3360000000000003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138</v>
          </cell>
        </row>
        <row r="104">
          <cell r="C104">
            <v>0</v>
          </cell>
          <cell r="N104">
            <v>0.20800000000000018</v>
          </cell>
          <cell r="P104">
            <v>-0.20800000000000018</v>
          </cell>
          <cell r="S104">
            <v>0</v>
          </cell>
          <cell r="T104">
            <v>-0.42800000000000082</v>
          </cell>
          <cell r="X104">
            <v>0.42800000000000082</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116</v>
          </cell>
        </row>
        <row r="105">
          <cell r="C105">
            <v>0</v>
          </cell>
          <cell r="N105">
            <v>0</v>
          </cell>
          <cell r="P105">
            <v>0</v>
          </cell>
          <cell r="Q105">
            <v>324</v>
          </cell>
          <cell r="R105">
            <v>365</v>
          </cell>
          <cell r="S105">
            <v>41</v>
          </cell>
          <cell r="T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S106">
            <v>0.23600000000000065</v>
          </cell>
          <cell r="T106">
            <v>-0.42800000000000082</v>
          </cell>
          <cell r="X106">
            <v>0.42800000000000082</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116</v>
          </cell>
        </row>
        <row r="107">
          <cell r="C107" t="e">
            <v>#REF!</v>
          </cell>
          <cell r="N107">
            <v>0</v>
          </cell>
          <cell r="P107">
            <v>0</v>
          </cell>
          <cell r="S107">
            <v>0</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S108">
            <v>0</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0</v>
          </cell>
          <cell r="N111">
            <v>0</v>
          </cell>
          <cell r="P111">
            <v>0</v>
          </cell>
          <cell r="Q111">
            <v>0</v>
          </cell>
          <cell r="S111">
            <v>0</v>
          </cell>
          <cell r="T111">
            <v>0</v>
          </cell>
          <cell r="X111">
            <v>0</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786</v>
          </cell>
        </row>
        <row r="112">
          <cell r="C112">
            <v>0</v>
          </cell>
          <cell r="N112">
            <v>0</v>
          </cell>
          <cell r="P112">
            <v>0</v>
          </cell>
          <cell r="Q112">
            <v>0</v>
          </cell>
          <cell r="S112">
            <v>0</v>
          </cell>
          <cell r="T112">
            <v>0</v>
          </cell>
          <cell r="X112">
            <v>0</v>
          </cell>
          <cell r="Y112">
            <v>0</v>
          </cell>
          <cell r="AB112">
            <v>7</v>
          </cell>
          <cell r="AC112">
            <v>7</v>
          </cell>
          <cell r="AD112">
            <v>0</v>
          </cell>
          <cell r="AE112">
            <v>0</v>
          </cell>
          <cell r="AF112">
            <v>0</v>
          </cell>
          <cell r="AI112">
            <v>0</v>
          </cell>
          <cell r="AJ112">
            <v>0</v>
          </cell>
          <cell r="AN112">
            <v>19</v>
          </cell>
          <cell r="AP112">
            <v>19</v>
          </cell>
          <cell r="AS112">
            <v>7</v>
          </cell>
        </row>
        <row r="113">
          <cell r="C113">
            <v>1290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10718</v>
          </cell>
          <cell r="P115">
            <v>0</v>
          </cell>
          <cell r="S115">
            <v>0</v>
          </cell>
          <cell r="X115">
            <v>0</v>
          </cell>
          <cell r="AC115">
            <v>0</v>
          </cell>
          <cell r="AF115">
            <v>0</v>
          </cell>
          <cell r="AI115">
            <v>0</v>
          </cell>
          <cell r="AJ115">
            <v>0</v>
          </cell>
          <cell r="AP115">
            <v>10718</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4586</v>
          </cell>
          <cell r="R121">
            <v>0</v>
          </cell>
          <cell r="S121">
            <v>-4586</v>
          </cell>
          <cell r="T121">
            <v>0</v>
          </cell>
          <cell r="U121">
            <v>0</v>
          </cell>
          <cell r="V121">
            <v>0</v>
          </cell>
          <cell r="W121">
            <v>117</v>
          </cell>
          <cell r="X121">
            <v>117</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t="e">
            <v>#REF!</v>
          </cell>
          <cell r="D122">
            <v>0</v>
          </cell>
          <cell r="E122">
            <v>0</v>
          </cell>
          <cell r="N122">
            <v>3552.0499999999997</v>
          </cell>
          <cell r="O122">
            <v>3151</v>
          </cell>
          <cell r="P122">
            <v>-401.04999999999973</v>
          </cell>
          <cell r="Q122">
            <v>9207.68</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41620</v>
          </cell>
          <cell r="AW146">
            <v>26219.374909090911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1257.3333333333333</v>
          </cell>
          <cell r="O153">
            <v>1617</v>
          </cell>
          <cell r="P153">
            <v>359.66666666666674</v>
          </cell>
          <cell r="Q153">
            <v>4930.636363636364</v>
          </cell>
          <cell r="R153">
            <v>4799</v>
          </cell>
          <cell r="S153">
            <v>-131.63636363636397</v>
          </cell>
          <cell r="T153">
            <v>2716.818181818182</v>
          </cell>
          <cell r="U153">
            <v>1435</v>
          </cell>
          <cell r="V153">
            <v>1281.818181818182</v>
          </cell>
          <cell r="W153">
            <v>2534</v>
          </cell>
          <cell r="X153">
            <v>-182.81818181818198</v>
          </cell>
          <cell r="Y153">
            <v>1771.3636363636363</v>
          </cell>
          <cell r="Z153">
            <v>874</v>
          </cell>
          <cell r="AA153">
            <v>897.36363636363626</v>
          </cell>
          <cell r="AB153">
            <v>596</v>
          </cell>
          <cell r="AC153">
            <v>-1175.3636363636363</v>
          </cell>
          <cell r="AD153">
            <v>2023.2727272727273</v>
          </cell>
          <cell r="AE153">
            <v>2023.090909090909</v>
          </cell>
          <cell r="AF153">
            <v>0.18181818181824383</v>
          </cell>
          <cell r="AG153">
            <v>437</v>
          </cell>
          <cell r="AH153">
            <v>265</v>
          </cell>
          <cell r="AI153">
            <v>0</v>
          </cell>
          <cell r="AJ153">
            <v>-1586.2727272727273</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-1238</v>
          </cell>
          <cell r="N162">
            <v>7720.65</v>
          </cell>
          <cell r="O162">
            <v>7638</v>
          </cell>
          <cell r="P162">
            <v>-82.649999999999636</v>
          </cell>
          <cell r="Q162">
            <v>1739.5839999999998</v>
          </cell>
          <cell r="R162">
            <v>20884</v>
          </cell>
          <cell r="S162">
            <v>19144.416000000001</v>
          </cell>
          <cell r="T162">
            <v>958.47</v>
          </cell>
          <cell r="U162">
            <v>0</v>
          </cell>
          <cell r="V162">
            <v>0</v>
          </cell>
          <cell r="W162">
            <v>817</v>
          </cell>
          <cell r="X162">
            <v>-141.47000000000003</v>
          </cell>
          <cell r="Y162">
            <v>3357.9775757575753</v>
          </cell>
          <cell r="Z162">
            <v>0</v>
          </cell>
          <cell r="AA162">
            <v>0</v>
          </cell>
          <cell r="AB162">
            <v>432</v>
          </cell>
          <cell r="AC162">
            <v>-2925.9775757575753</v>
          </cell>
          <cell r="AD162" t="e">
            <v>#REF!</v>
          </cell>
          <cell r="AE162">
            <v>1773.6</v>
          </cell>
          <cell r="AF162">
            <v>-0.40000000000009095</v>
          </cell>
          <cell r="AG162">
            <v>0</v>
          </cell>
          <cell r="AH162">
            <v>0</v>
          </cell>
          <cell r="AI162">
            <v>0</v>
          </cell>
          <cell r="AJ162" t="e">
            <v>#REF!</v>
          </cell>
          <cell r="AK162">
            <v>0</v>
          </cell>
          <cell r="AL162">
            <v>0</v>
          </cell>
          <cell r="AM162">
            <v>0</v>
          </cell>
          <cell r="AN162" t="e">
            <v>#REF!</v>
          </cell>
          <cell r="AO162">
            <v>1616</v>
          </cell>
          <cell r="AP162" t="e">
            <v>#REF!</v>
          </cell>
          <cell r="AS162">
            <v>10503</v>
          </cell>
        </row>
        <row r="163">
          <cell r="C163">
            <v>0</v>
          </cell>
          <cell r="N163">
            <v>0.20800000000000018</v>
          </cell>
          <cell r="O163">
            <v>0</v>
          </cell>
          <cell r="P163">
            <v>-0.20800000000000018</v>
          </cell>
          <cell r="Q163">
            <v>-0.23600000000000065</v>
          </cell>
          <cell r="R163">
            <v>0</v>
          </cell>
          <cell r="S163">
            <v>0.23600000000000065</v>
          </cell>
          <cell r="T163">
            <v>-0.42800000000000082</v>
          </cell>
          <cell r="U163">
            <v>0</v>
          </cell>
          <cell r="V163">
            <v>0</v>
          </cell>
          <cell r="W163">
            <v>0</v>
          </cell>
          <cell r="X163">
            <v>0.42800000000000082</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116</v>
          </cell>
        </row>
        <row r="164">
          <cell r="C164">
            <v>1767.5940000000001</v>
          </cell>
          <cell r="N164">
            <v>7954.272727272727</v>
          </cell>
          <cell r="O164">
            <v>7835</v>
          </cell>
          <cell r="P164">
            <v>-119.27272727272702</v>
          </cell>
          <cell r="Q164">
            <v>16866.860909090909</v>
          </cell>
          <cell r="R164">
            <v>15904</v>
          </cell>
          <cell r="S164">
            <v>-962.86090909090854</v>
          </cell>
          <cell r="T164">
            <v>6313.227272727273</v>
          </cell>
          <cell r="U164">
            <v>3221</v>
          </cell>
          <cell r="V164">
            <v>3092.227272727273</v>
          </cell>
          <cell r="W164">
            <v>5848</v>
          </cell>
          <cell r="X164">
            <v>-465.22727272727298</v>
          </cell>
          <cell r="Y164">
            <v>5089.647272727273</v>
          </cell>
          <cell r="Z164">
            <v>2495</v>
          </cell>
          <cell r="AA164">
            <v>2594.647272727273</v>
          </cell>
          <cell r="AB164">
            <v>1749</v>
          </cell>
          <cell r="AC164">
            <v>-3340.647272727273</v>
          </cell>
          <cell r="AD164">
            <v>15025.106363636363</v>
          </cell>
          <cell r="AE164">
            <v>13500.136363636364</v>
          </cell>
          <cell r="AF164">
            <v>1524.9699999999996</v>
          </cell>
          <cell r="AG164">
            <v>4464</v>
          </cell>
          <cell r="AH164">
            <v>3202</v>
          </cell>
          <cell r="AI164">
            <v>427</v>
          </cell>
          <cell r="AJ164">
            <v>-10561.106363636363</v>
          </cell>
          <cell r="AK164">
            <v>0</v>
          </cell>
          <cell r="AL164">
            <v>0</v>
          </cell>
          <cell r="AM164">
            <v>0</v>
          </cell>
          <cell r="AN164" t="e">
            <v>#REF!</v>
          </cell>
          <cell r="AO164">
            <v>0</v>
          </cell>
          <cell r="AP164" t="e">
            <v>#REF!</v>
          </cell>
          <cell r="AS164">
            <v>33142</v>
          </cell>
        </row>
        <row r="165">
          <cell r="C165">
            <v>37</v>
          </cell>
          <cell r="N165">
            <v>182.13333333333333</v>
          </cell>
          <cell r="O165">
            <v>4</v>
          </cell>
          <cell r="P165">
            <v>-178.13333333333333</v>
          </cell>
          <cell r="Q165">
            <v>325.06666666666666</v>
          </cell>
          <cell r="R165">
            <v>92</v>
          </cell>
          <cell r="S165">
            <v>-233.06666666666666</v>
          </cell>
          <cell r="T165">
            <v>6322.3333333333339</v>
          </cell>
          <cell r="U165">
            <v>3406</v>
          </cell>
          <cell r="V165">
            <v>2916.3333333333339</v>
          </cell>
          <cell r="W165">
            <v>6069</v>
          </cell>
          <cell r="X165">
            <v>-253.33333333333394</v>
          </cell>
          <cell r="Y165">
            <v>508.13333333333327</v>
          </cell>
          <cell r="Z165">
            <v>57</v>
          </cell>
          <cell r="AA165">
            <v>61.199999999999989</v>
          </cell>
          <cell r="AB165">
            <v>27</v>
          </cell>
          <cell r="AC165">
            <v>-481.13333333333327</v>
          </cell>
          <cell r="AD165">
            <v>157</v>
          </cell>
          <cell r="AE165">
            <v>139</v>
          </cell>
          <cell r="AF165">
            <v>18</v>
          </cell>
          <cell r="AG165">
            <v>44</v>
          </cell>
          <cell r="AH165">
            <v>15</v>
          </cell>
          <cell r="AI165">
            <v>29</v>
          </cell>
          <cell r="AJ165">
            <v>-113</v>
          </cell>
          <cell r="AK165">
            <v>0</v>
          </cell>
          <cell r="AL165">
            <v>0</v>
          </cell>
          <cell r="AM165">
            <v>0</v>
          </cell>
          <cell r="AN165">
            <v>19</v>
          </cell>
          <cell r="AO165">
            <v>0</v>
          </cell>
          <cell r="AP165">
            <v>7437.6666666666661</v>
          </cell>
          <cell r="AS165">
            <v>6206</v>
          </cell>
        </row>
        <row r="166">
          <cell r="C166">
            <v>12644.757999999996</v>
          </cell>
          <cell r="N166">
            <v>9257.5760000000009</v>
          </cell>
          <cell r="Q166">
            <v>54339.615333333335</v>
          </cell>
          <cell r="T166">
            <v>11734.101333333339</v>
          </cell>
          <cell r="Y166">
            <v>7437.2424242423831</v>
          </cell>
          <cell r="AE166">
            <v>13835.354000000003</v>
          </cell>
          <cell r="AG166">
            <v>2466</v>
          </cell>
          <cell r="AH166">
            <v>2561</v>
          </cell>
          <cell r="AN166" t="e">
            <v>#REF!</v>
          </cell>
          <cell r="AP166" t="e">
            <v>#REF!</v>
          </cell>
        </row>
        <row r="167">
          <cell r="C167" t="e">
            <v>#REF!</v>
          </cell>
          <cell r="N167">
            <v>4169</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65079.679666666663</v>
          </cell>
          <cell r="T227">
            <v>28598.224848484853</v>
          </cell>
          <cell r="Y227" t="e">
            <v>#REF!</v>
          </cell>
          <cell r="AN227" t="e">
            <v>#REF!</v>
          </cell>
          <cell r="AP227" t="e">
            <v>#REF!</v>
          </cell>
          <cell r="AQ227" t="e">
            <v>#REF!</v>
          </cell>
        </row>
        <row r="228">
          <cell r="C228" t="e">
            <v>#REF!</v>
          </cell>
          <cell r="N228" t="e">
            <v>#REF!</v>
          </cell>
          <cell r="Q228">
            <v>28626.461424242421</v>
          </cell>
          <cell r="T228">
            <v>14393.519575757578</v>
          </cell>
          <cell r="Y228" t="e">
            <v>#REF!</v>
          </cell>
          <cell r="AP228" t="e">
            <v>#REF!</v>
          </cell>
          <cell r="AQ228" t="e">
            <v>#REF!</v>
          </cell>
        </row>
        <row r="230">
          <cell r="C230">
            <v>1767.5940000000001</v>
          </cell>
          <cell r="N230">
            <v>7954.272727272727</v>
          </cell>
          <cell r="Q230">
            <v>16866.860909090909</v>
          </cell>
          <cell r="T230">
            <v>6313.227272727273</v>
          </cell>
          <cell r="Y230">
            <v>5089.647272727273</v>
          </cell>
          <cell r="AN230" t="e">
            <v>#REF!</v>
          </cell>
          <cell r="AP230" t="e">
            <v>#REF!</v>
          </cell>
          <cell r="AQ230" t="e">
            <v>#REF!</v>
          </cell>
        </row>
        <row r="231">
          <cell r="C231">
            <v>482</v>
          </cell>
          <cell r="N231">
            <v>2501</v>
          </cell>
          <cell r="Q231">
            <v>4601</v>
          </cell>
          <cell r="T231">
            <v>1721</v>
          </cell>
          <cell r="Y231">
            <v>1387</v>
          </cell>
          <cell r="AP231" t="e">
            <v>#REF!</v>
          </cell>
          <cell r="AQ231" t="e">
            <v>#REF!</v>
          </cell>
        </row>
        <row r="232">
          <cell r="AQ232" t="e">
            <v>#REF!</v>
          </cell>
        </row>
        <row r="233">
          <cell r="C233">
            <v>0</v>
          </cell>
          <cell r="N233">
            <v>0</v>
          </cell>
          <cell r="Q233">
            <v>135.46666666666667</v>
          </cell>
          <cell r="T233">
            <v>6152.4000000000005</v>
          </cell>
          <cell r="Y233">
            <v>118.19999999999999</v>
          </cell>
          <cell r="AP233">
            <v>6410.0666666666666</v>
          </cell>
          <cell r="AQ233" t="e">
            <v>#REF!</v>
          </cell>
        </row>
        <row r="234">
          <cell r="C234">
            <v>0</v>
          </cell>
          <cell r="N234">
            <v>0</v>
          </cell>
          <cell r="Q234">
            <v>0</v>
          </cell>
          <cell r="T234">
            <v>0</v>
          </cell>
          <cell r="Y234">
            <v>0</v>
          </cell>
          <cell r="AP234">
            <v>19</v>
          </cell>
          <cell r="AQ234" t="e">
            <v>#REF!</v>
          </cell>
        </row>
        <row r="235">
          <cell r="C235" t="e">
            <v>#REF!</v>
          </cell>
          <cell r="N235">
            <v>0</v>
          </cell>
          <cell r="Q235">
            <v>0</v>
          </cell>
          <cell r="T235">
            <v>0</v>
          </cell>
          <cell r="Y235">
            <v>0</v>
          </cell>
          <cell r="AP235" t="e">
            <v>#REF!</v>
          </cell>
          <cell r="AQ235" t="e">
            <v>#REF!</v>
          </cell>
        </row>
        <row r="236">
          <cell r="AQ236" t="e">
            <v>#REF!</v>
          </cell>
        </row>
        <row r="237">
          <cell r="C237">
            <v>-1238</v>
          </cell>
          <cell r="N237">
            <v>7720.65</v>
          </cell>
          <cell r="Q237">
            <v>1739.5839999999998</v>
          </cell>
          <cell r="T237">
            <v>958.47</v>
          </cell>
          <cell r="Y237">
            <v>3357.9775757575753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388</v>
          </cell>
          <cell r="N243">
            <v>3127</v>
          </cell>
          <cell r="Q243">
            <v>5703</v>
          </cell>
          <cell r="T243">
            <v>797.25866666666661</v>
          </cell>
          <cell r="Y243">
            <v>632.22533333333331</v>
          </cell>
          <cell r="AP243">
            <v>13522.366500142667</v>
          </cell>
          <cell r="AQ243" t="e">
            <v>#REF!</v>
          </cell>
        </row>
        <row r="244">
          <cell r="C244">
            <v>1661</v>
          </cell>
          <cell r="N244">
            <v>46</v>
          </cell>
          <cell r="Q244">
            <v>900</v>
          </cell>
          <cell r="T244">
            <v>343.62666666666667</v>
          </cell>
          <cell r="Y244">
            <v>323.78399999999999</v>
          </cell>
          <cell r="AP244">
            <v>3426.6078749021572</v>
          </cell>
          <cell r="AQ244" t="e">
            <v>#REF!</v>
          </cell>
        </row>
        <row r="245">
          <cell r="AQ245" t="e">
            <v>#REF!</v>
          </cell>
        </row>
        <row r="246">
          <cell r="C246">
            <v>0</v>
          </cell>
          <cell r="N246">
            <v>1</v>
          </cell>
          <cell r="Q246">
            <v>0</v>
          </cell>
          <cell r="T246">
            <v>118.19266666666665</v>
          </cell>
          <cell r="Y246">
            <v>-46.472000000000008</v>
          </cell>
          <cell r="AP246">
            <v>72.720666666666645</v>
          </cell>
          <cell r="AQ246" t="e">
            <v>#REF!</v>
          </cell>
        </row>
        <row r="247">
          <cell r="C247">
            <v>7</v>
          </cell>
          <cell r="N247">
            <v>259.286</v>
          </cell>
          <cell r="Q247">
            <v>12306.890666666668</v>
          </cell>
          <cell r="T247">
            <v>0</v>
          </cell>
          <cell r="Y247">
            <v>0</v>
          </cell>
          <cell r="AP247">
            <v>15115.848666666669</v>
          </cell>
          <cell r="AQ247" t="e">
            <v>#REF!</v>
          </cell>
        </row>
        <row r="248">
          <cell r="C248">
            <v>0</v>
          </cell>
          <cell r="N248">
            <v>0</v>
          </cell>
          <cell r="Q248">
            <v>0</v>
          </cell>
          <cell r="T248">
            <v>0</v>
          </cell>
          <cell r="Y248">
            <v>0</v>
          </cell>
          <cell r="AP248">
            <v>658.33066666666662</v>
          </cell>
          <cell r="AQ248" t="e">
            <v>#REF!</v>
          </cell>
        </row>
        <row r="249">
          <cell r="C249">
            <v>906</v>
          </cell>
          <cell r="N249">
            <v>0</v>
          </cell>
          <cell r="Q249">
            <v>0</v>
          </cell>
          <cell r="T249">
            <v>0</v>
          </cell>
          <cell r="Y249">
            <v>18</v>
          </cell>
          <cell r="AP249">
            <v>924</v>
          </cell>
          <cell r="AQ249" t="e">
            <v>#REF!</v>
          </cell>
        </row>
        <row r="250">
          <cell r="C250">
            <v>0</v>
          </cell>
          <cell r="N250">
            <v>0.20800000000000018</v>
          </cell>
          <cell r="Q250">
            <v>-324</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26435.197424242418</v>
          </cell>
          <cell r="T252">
            <v>13435.81357575758</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0"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20566.2</v>
          </cell>
          <cell r="N39">
            <v>30682.273393939395</v>
          </cell>
          <cell r="O39">
            <v>6571</v>
          </cell>
          <cell r="P39">
            <v>-24111.273393939395</v>
          </cell>
          <cell r="Q39">
            <v>82056.196636363631</v>
          </cell>
          <cell r="R39">
            <v>23576</v>
          </cell>
          <cell r="S39">
            <v>-58480.196636363631</v>
          </cell>
          <cell r="T39">
            <v>27742.144545454503</v>
          </cell>
          <cell r="W39">
            <v>8380</v>
          </cell>
          <cell r="X39">
            <v>-19362.144545454503</v>
          </cell>
          <cell r="Y39">
            <v>17695.022545454543</v>
          </cell>
          <cell r="Z39">
            <v>7534</v>
          </cell>
          <cell r="AA39">
            <v>9770.7412121212074</v>
          </cell>
          <cell r="AB39">
            <v>5452</v>
          </cell>
          <cell r="AC39">
            <v>-12243.022545454543</v>
          </cell>
          <cell r="AD39">
            <v>40828.740181818175</v>
          </cell>
          <cell r="AE39">
            <v>33499.447090909096</v>
          </cell>
          <cell r="AF39">
            <v>7329.293090909091</v>
          </cell>
          <cell r="AG39">
            <v>8513</v>
          </cell>
          <cell r="AH39">
            <v>6481</v>
          </cell>
          <cell r="AI39">
            <v>2032</v>
          </cell>
          <cell r="AJ39">
            <v>-32315.740181818175</v>
          </cell>
          <cell r="AN39" t="e">
            <v>#REF!</v>
          </cell>
        </row>
        <row r="40">
          <cell r="C40">
            <v>5739.2000000000007</v>
          </cell>
        </row>
        <row r="41">
          <cell r="C41">
            <v>1334.2</v>
          </cell>
          <cell r="D41">
            <v>443</v>
          </cell>
          <cell r="E41">
            <v>691.2</v>
          </cell>
          <cell r="N41">
            <v>8907.5227272727279</v>
          </cell>
          <cell r="Q41">
            <v>18788.680909090908</v>
          </cell>
          <cell r="T41">
            <v>6953.1772727272728</v>
          </cell>
          <cell r="U41">
            <v>3221</v>
          </cell>
          <cell r="V41">
            <v>3732.1772727272732</v>
          </cell>
          <cell r="Y41">
            <v>5686.5072727272727</v>
          </cell>
          <cell r="Z41">
            <v>2495</v>
          </cell>
          <cell r="AA41">
            <v>3191.5072727272727</v>
          </cell>
          <cell r="AE41">
            <v>15260.045454545454</v>
          </cell>
          <cell r="AG41">
            <v>4464</v>
          </cell>
          <cell r="AH41">
            <v>3202</v>
          </cell>
          <cell r="AN41" t="e">
            <v>#REF!</v>
          </cell>
          <cell r="AR41">
            <v>6923.6845454545455</v>
          </cell>
        </row>
        <row r="42">
          <cell r="Q42">
            <v>970</v>
          </cell>
          <cell r="V42">
            <v>750</v>
          </cell>
          <cell r="AA42">
            <v>590</v>
          </cell>
          <cell r="AR42">
            <v>2095</v>
          </cell>
        </row>
        <row r="46">
          <cell r="C46">
            <v>743</v>
          </cell>
          <cell r="D46">
            <v>327</v>
          </cell>
          <cell r="E46">
            <v>416</v>
          </cell>
          <cell r="N46">
            <v>3655.404</v>
          </cell>
          <cell r="O46">
            <v>1204</v>
          </cell>
          <cell r="P46">
            <v>-2451.404</v>
          </cell>
          <cell r="Q46">
            <v>7915.9493333333339</v>
          </cell>
          <cell r="R46">
            <v>2125</v>
          </cell>
          <cell r="S46">
            <v>-5790.9493333333339</v>
          </cell>
          <cell r="T46">
            <v>1893.3546666666666</v>
          </cell>
          <cell r="U46">
            <v>834</v>
          </cell>
          <cell r="V46">
            <v>1059.3546666666666</v>
          </cell>
          <cell r="W46">
            <v>431</v>
          </cell>
          <cell r="X46">
            <v>-1462.3546666666666</v>
          </cell>
          <cell r="Y46">
            <v>1793.3940000000002</v>
          </cell>
          <cell r="Z46">
            <v>784</v>
          </cell>
          <cell r="AA46">
            <v>1009.3940000000002</v>
          </cell>
          <cell r="AB46">
            <v>400</v>
          </cell>
          <cell r="AC46">
            <v>-1393.3940000000002</v>
          </cell>
          <cell r="AD46">
            <v>4347.058</v>
          </cell>
          <cell r="AE46">
            <v>3725.9300000000003</v>
          </cell>
          <cell r="AF46">
            <v>621.1279999999997</v>
          </cell>
          <cell r="AG46">
            <v>1087</v>
          </cell>
          <cell r="AH46">
            <v>292</v>
          </cell>
          <cell r="AI46">
            <v>134</v>
          </cell>
          <cell r="AJ46">
            <v>-3260.058</v>
          </cell>
          <cell r="AN46">
            <v>0</v>
          </cell>
          <cell r="AP46">
            <v>19980.752</v>
          </cell>
          <cell r="AQ46">
            <v>5779.0039999999999</v>
          </cell>
          <cell r="AR46">
            <v>14201.748</v>
          </cell>
          <cell r="AS46">
            <v>4452</v>
          </cell>
          <cell r="AT46">
            <v>-15528.752</v>
          </cell>
          <cell r="AU46">
            <v>1618</v>
          </cell>
          <cell r="AV46">
            <v>4760</v>
          </cell>
          <cell r="AW46">
            <v>4161.0039999999999</v>
          </cell>
          <cell r="AX46">
            <v>9441.7479999999996</v>
          </cell>
        </row>
        <row r="47">
          <cell r="C47">
            <v>1252</v>
          </cell>
          <cell r="E47">
            <v>1252</v>
          </cell>
          <cell r="N47">
            <v>3387</v>
          </cell>
          <cell r="Q47">
            <v>6353</v>
          </cell>
          <cell r="T47">
            <v>929.25866666666661</v>
          </cell>
          <cell r="U47">
            <v>428</v>
          </cell>
          <cell r="V47">
            <v>501.25866666666661</v>
          </cell>
          <cell r="Y47">
            <v>737.22533333333331</v>
          </cell>
          <cell r="Z47">
            <v>325</v>
          </cell>
          <cell r="AA47">
            <v>412.22533333333331</v>
          </cell>
          <cell r="AC47">
            <v>-737.22533333333331</v>
          </cell>
          <cell r="AD47">
            <v>3676.1707200000001</v>
          </cell>
          <cell r="AE47">
            <v>3356.8825001426667</v>
          </cell>
          <cell r="AP47">
            <v>16015.366500142667</v>
          </cell>
        </row>
        <row r="48">
          <cell r="C48">
            <v>4</v>
          </cell>
          <cell r="E48">
            <v>4</v>
          </cell>
          <cell r="N48">
            <v>1</v>
          </cell>
          <cell r="Q48">
            <v>0</v>
          </cell>
          <cell r="T48">
            <v>138.19266666666664</v>
          </cell>
          <cell r="U48">
            <v>51</v>
          </cell>
          <cell r="V48">
            <v>87.192666666666639</v>
          </cell>
          <cell r="Y48">
            <v>-46.472000000000008</v>
          </cell>
          <cell r="Z48">
            <v>-136</v>
          </cell>
          <cell r="AA48">
            <v>89.527999999999992</v>
          </cell>
          <cell r="AC48">
            <v>46.472000000000008</v>
          </cell>
          <cell r="AD48">
            <v>0</v>
          </cell>
          <cell r="AE48">
            <v>0</v>
          </cell>
          <cell r="AP48">
            <v>96.720666666666631</v>
          </cell>
        </row>
        <row r="49">
          <cell r="C49">
            <v>521</v>
          </cell>
          <cell r="E49">
            <v>521</v>
          </cell>
          <cell r="N49">
            <v>59</v>
          </cell>
          <cell r="Q49">
            <v>921</v>
          </cell>
          <cell r="T49">
            <v>372.62666666666667</v>
          </cell>
          <cell r="U49">
            <v>186</v>
          </cell>
          <cell r="V49">
            <v>186.62666666666667</v>
          </cell>
          <cell r="Y49">
            <v>389.78399999999999</v>
          </cell>
          <cell r="Z49">
            <v>187</v>
          </cell>
          <cell r="AA49">
            <v>202.78399999999999</v>
          </cell>
          <cell r="AC49">
            <v>-389.78399999999999</v>
          </cell>
          <cell r="AD49">
            <v>194.34026666666668</v>
          </cell>
          <cell r="AE49">
            <v>163.19720823549071</v>
          </cell>
          <cell r="AP49">
            <v>2426.6078749021572</v>
          </cell>
        </row>
        <row r="50">
          <cell r="C50">
            <v>2</v>
          </cell>
          <cell r="D50">
            <v>2</v>
          </cell>
          <cell r="E50">
            <v>0</v>
          </cell>
          <cell r="N50">
            <v>395.25733333333335</v>
          </cell>
          <cell r="O50">
            <v>121</v>
          </cell>
          <cell r="P50">
            <v>-274.25733333333335</v>
          </cell>
          <cell r="Q50">
            <v>4054.1680000000001</v>
          </cell>
          <cell r="R50">
            <v>1386</v>
          </cell>
          <cell r="S50">
            <v>-2668.1680000000001</v>
          </cell>
          <cell r="T50">
            <v>8049.4773333333324</v>
          </cell>
          <cell r="U50">
            <v>3806</v>
          </cell>
          <cell r="V50">
            <v>4243.4773333333324</v>
          </cell>
          <cell r="W50">
            <v>2636</v>
          </cell>
          <cell r="X50">
            <v>-5413.4773333333324</v>
          </cell>
          <cell r="Y50">
            <v>942.30733333333342</v>
          </cell>
          <cell r="Z50">
            <v>347</v>
          </cell>
          <cell r="AA50">
            <v>595.30733333333342</v>
          </cell>
          <cell r="AB50">
            <v>292</v>
          </cell>
          <cell r="AC50">
            <v>-650.30733333333342</v>
          </cell>
          <cell r="AD50">
            <v>1714.9573333333331</v>
          </cell>
          <cell r="AE50">
            <v>1227.72</v>
          </cell>
          <cell r="AF50">
            <v>487.23733333333303</v>
          </cell>
          <cell r="AG50">
            <v>288</v>
          </cell>
          <cell r="AH50">
            <v>601</v>
          </cell>
          <cell r="AI50">
            <v>56</v>
          </cell>
          <cell r="AJ50">
            <v>-1426.9573333333331</v>
          </cell>
          <cell r="AN50">
            <v>0</v>
          </cell>
          <cell r="AP50">
            <v>14632.33</v>
          </cell>
          <cell r="AQ50">
            <v>4555.6573333333336</v>
          </cell>
          <cell r="AR50">
            <v>10076.672666666665</v>
          </cell>
          <cell r="AS50">
            <v>5036</v>
          </cell>
          <cell r="AT50">
            <v>-9596.33</v>
          </cell>
          <cell r="AU50">
            <v>4153</v>
          </cell>
          <cell r="AV50">
            <v>6217</v>
          </cell>
          <cell r="AW50">
            <v>402.65733333333355</v>
          </cell>
          <cell r="AX50">
            <v>3859.6726666666655</v>
          </cell>
        </row>
        <row r="51">
          <cell r="C51">
            <v>0</v>
          </cell>
          <cell r="D51">
            <v>0</v>
          </cell>
          <cell r="E51">
            <v>0</v>
          </cell>
          <cell r="N51">
            <v>0</v>
          </cell>
          <cell r="P51">
            <v>0</v>
          </cell>
          <cell r="Q51">
            <v>149.13333333333333</v>
          </cell>
          <cell r="R51">
            <v>54</v>
          </cell>
          <cell r="S51">
            <v>-95.133333333333326</v>
          </cell>
          <cell r="T51">
            <v>6799.4000000000005</v>
          </cell>
          <cell r="U51">
            <v>3230</v>
          </cell>
          <cell r="V51">
            <v>3569.4000000000005</v>
          </cell>
          <cell r="W51">
            <v>2407</v>
          </cell>
          <cell r="X51">
            <v>-4392.4000000000005</v>
          </cell>
          <cell r="Y51">
            <v>131.53333333333333</v>
          </cell>
          <cell r="Z51">
            <v>57</v>
          </cell>
          <cell r="AA51">
            <v>74.533333333333331</v>
          </cell>
          <cell r="AB51">
            <v>20</v>
          </cell>
          <cell r="AC51">
            <v>-111.53333333333333</v>
          </cell>
          <cell r="AD51">
            <v>5.3</v>
          </cell>
          <cell r="AE51">
            <v>4</v>
          </cell>
          <cell r="AF51">
            <v>1.2999999999999998</v>
          </cell>
          <cell r="AI51">
            <v>0</v>
          </cell>
          <cell r="AJ51">
            <v>-5.3</v>
          </cell>
          <cell r="AP51">
            <v>7084.0666666666675</v>
          </cell>
          <cell r="AQ51">
            <v>3287</v>
          </cell>
          <cell r="AR51">
            <v>3797.0666666666675</v>
          </cell>
          <cell r="AS51">
            <v>2481</v>
          </cell>
          <cell r="AT51">
            <v>-4603.0666666666675</v>
          </cell>
          <cell r="AU51">
            <v>3287</v>
          </cell>
          <cell r="AV51">
            <v>3695</v>
          </cell>
          <cell r="AW51">
            <v>0</v>
          </cell>
          <cell r="AX51">
            <v>102.06666666666752</v>
          </cell>
        </row>
        <row r="52">
          <cell r="C52">
            <v>0</v>
          </cell>
          <cell r="D52">
            <v>0</v>
          </cell>
          <cell r="E52">
            <v>0</v>
          </cell>
          <cell r="N52">
            <v>0</v>
          </cell>
          <cell r="P52">
            <v>0</v>
          </cell>
          <cell r="Q52">
            <v>84552</v>
          </cell>
          <cell r="R52">
            <v>61402</v>
          </cell>
          <cell r="S52">
            <v>-23150</v>
          </cell>
          <cell r="T52">
            <v>202560</v>
          </cell>
          <cell r="U52">
            <v>108806.34756097561</v>
          </cell>
          <cell r="V52">
            <v>93753.652439024387</v>
          </cell>
          <cell r="W52">
            <v>93632</v>
          </cell>
          <cell r="X52">
            <v>-108928</v>
          </cell>
          <cell r="Y52">
            <v>173049</v>
          </cell>
          <cell r="Z52">
            <v>86757.750161952048</v>
          </cell>
          <cell r="AA52">
            <v>86291.249838047952</v>
          </cell>
          <cell r="AB52">
            <v>76301</v>
          </cell>
          <cell r="AC52">
            <v>-96748</v>
          </cell>
          <cell r="AD52">
            <v>0</v>
          </cell>
          <cell r="AE52">
            <v>0</v>
          </cell>
          <cell r="AF52">
            <v>0</v>
          </cell>
          <cell r="AI52">
            <v>0</v>
          </cell>
          <cell r="AJ52">
            <v>0</v>
          </cell>
          <cell r="AN52">
            <v>0</v>
          </cell>
          <cell r="AP52">
            <v>460162</v>
          </cell>
          <cell r="AQ52">
            <v>195565.09772292766</v>
          </cell>
          <cell r="AR52">
            <v>264596.90227707231</v>
          </cell>
          <cell r="AS52">
            <v>231335</v>
          </cell>
          <cell r="AT52">
            <v>-228827</v>
          </cell>
          <cell r="AU52">
            <v>195564.09772292766</v>
          </cell>
          <cell r="AV52">
            <v>264597</v>
          </cell>
          <cell r="AW52">
            <v>1</v>
          </cell>
          <cell r="AX52">
            <v>-9.772292769048363E-2</v>
          </cell>
        </row>
        <row r="53">
          <cell r="C53">
            <v>10</v>
          </cell>
          <cell r="D53">
            <v>0</v>
          </cell>
          <cell r="E53">
            <v>10</v>
          </cell>
          <cell r="N53">
            <v>0</v>
          </cell>
          <cell r="P53">
            <v>0</v>
          </cell>
          <cell r="Q53">
            <v>84552</v>
          </cell>
          <cell r="R53">
            <v>61402</v>
          </cell>
          <cell r="S53">
            <v>-23150</v>
          </cell>
          <cell r="T53">
            <v>202560</v>
          </cell>
          <cell r="U53">
            <v>108806.34756097561</v>
          </cell>
          <cell r="V53">
            <v>93753.652439024387</v>
          </cell>
          <cell r="W53">
            <v>93632</v>
          </cell>
          <cell r="X53">
            <v>-108928</v>
          </cell>
          <cell r="Y53">
            <v>173049</v>
          </cell>
          <cell r="Z53">
            <v>86757.750161952048</v>
          </cell>
          <cell r="AA53">
            <v>86291.249838047952</v>
          </cell>
          <cell r="AB53">
            <v>46301</v>
          </cell>
          <cell r="AC53">
            <v>-126748</v>
          </cell>
          <cell r="AD53">
            <v>0</v>
          </cell>
          <cell r="AE53">
            <v>0</v>
          </cell>
          <cell r="AF53">
            <v>0</v>
          </cell>
          <cell r="AI53">
            <v>0</v>
          </cell>
          <cell r="AJ53">
            <v>0</v>
          </cell>
          <cell r="AP53">
            <v>460171</v>
          </cell>
          <cell r="AQ53">
            <v>195564.09772292766</v>
          </cell>
          <cell r="AR53">
            <v>264606.90227707231</v>
          </cell>
          <cell r="AS53">
            <v>201335</v>
          </cell>
          <cell r="AT53">
            <v>-258836</v>
          </cell>
          <cell r="AU53">
            <v>195564.09772292766</v>
          </cell>
          <cell r="AV53">
            <v>264597</v>
          </cell>
          <cell r="AW53">
            <v>0</v>
          </cell>
          <cell r="AX53">
            <v>9.9022770723095164</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317.95266666666669</v>
          </cell>
          <cell r="O55">
            <v>140</v>
          </cell>
          <cell r="P55">
            <v>-177.95266666666669</v>
          </cell>
          <cell r="Q55">
            <v>14676.890666666668</v>
          </cell>
          <cell r="R55">
            <v>8493</v>
          </cell>
          <cell r="S55">
            <v>-6183.890666666668</v>
          </cell>
          <cell r="T55">
            <v>0</v>
          </cell>
          <cell r="U55">
            <v>0</v>
          </cell>
          <cell r="V55">
            <v>0</v>
          </cell>
          <cell r="X55">
            <v>0</v>
          </cell>
          <cell r="Y55">
            <v>0</v>
          </cell>
          <cell r="Z55">
            <v>0</v>
          </cell>
          <cell r="AA55">
            <v>0</v>
          </cell>
          <cell r="AB55">
            <v>0</v>
          </cell>
          <cell r="AC55">
            <v>0</v>
          </cell>
          <cell r="AD55">
            <v>7067.8566666666675</v>
          </cell>
          <cell r="AE55">
            <v>2812.672</v>
          </cell>
          <cell r="AF55">
            <v>4255.1846666666679</v>
          </cell>
          <cell r="AG55">
            <v>809</v>
          </cell>
          <cell r="AH55">
            <v>810</v>
          </cell>
          <cell r="AI55">
            <v>1225</v>
          </cell>
          <cell r="AJ55">
            <v>-6258.8566666666675</v>
          </cell>
          <cell r="AN55">
            <v>0</v>
          </cell>
          <cell r="AP55">
            <v>17860.515333333333</v>
          </cell>
          <cell r="AQ55">
            <v>323.95266666666669</v>
          </cell>
          <cell r="AR55">
            <v>17536.562666666665</v>
          </cell>
          <cell r="AS55">
            <v>9442</v>
          </cell>
          <cell r="AT55">
            <v>-8418.5153333333328</v>
          </cell>
          <cell r="AU55">
            <v>0</v>
          </cell>
          <cell r="AV55">
            <v>4990</v>
          </cell>
          <cell r="AW55">
            <v>323.95266666666669</v>
          </cell>
          <cell r="AX55">
            <v>12546.562666666665</v>
          </cell>
        </row>
        <row r="56">
          <cell r="C56">
            <v>772.2</v>
          </cell>
          <cell r="D56">
            <v>310</v>
          </cell>
          <cell r="E56">
            <v>462.20000000000005</v>
          </cell>
          <cell r="N56">
            <v>5430.189393939394</v>
          </cell>
          <cell r="O56">
            <v>1303</v>
          </cell>
          <cell r="P56">
            <v>-4127.189393939394</v>
          </cell>
          <cell r="Q56">
            <v>9713.4081818181821</v>
          </cell>
          <cell r="R56">
            <v>2369</v>
          </cell>
          <cell r="S56">
            <v>-7344.4081818181821</v>
          </cell>
          <cell r="T56">
            <v>2893.9954545454548</v>
          </cell>
          <cell r="U56">
            <v>1300</v>
          </cell>
          <cell r="V56">
            <v>1593.9954545454548</v>
          </cell>
          <cell r="W56">
            <v>745</v>
          </cell>
          <cell r="X56">
            <v>-2148.9954545454548</v>
          </cell>
          <cell r="Y56">
            <v>2718.2345454545457</v>
          </cell>
          <cell r="Z56">
            <v>1178</v>
          </cell>
          <cell r="AA56">
            <v>1540.2345454545457</v>
          </cell>
          <cell r="AB56">
            <v>662</v>
          </cell>
          <cell r="AC56">
            <v>-2056.2345454545457</v>
          </cell>
          <cell r="AD56">
            <v>10620.884545454544</v>
          </cell>
          <cell r="AE56">
            <v>9515.045454545454</v>
          </cell>
          <cell r="AF56">
            <v>1105.8390909090904</v>
          </cell>
          <cell r="AG56">
            <v>2563</v>
          </cell>
          <cell r="AH56">
            <v>1747</v>
          </cell>
          <cell r="AI56">
            <v>306</v>
          </cell>
          <cell r="AJ56">
            <v>-8057.8845454545444</v>
          </cell>
          <cell r="AN56">
            <v>0</v>
          </cell>
          <cell r="AP56">
            <v>31814.073030303029</v>
          </cell>
          <cell r="AQ56">
            <v>8727.007575757576</v>
          </cell>
          <cell r="AR56">
            <v>23087.065454545453</v>
          </cell>
          <cell r="AS56">
            <v>6826</v>
          </cell>
          <cell r="AT56">
            <v>-24988.073030303029</v>
          </cell>
          <cell r="AU56">
            <v>2478</v>
          </cell>
          <cell r="AV56">
            <v>6437</v>
          </cell>
          <cell r="AW56">
            <v>6249.007575757576</v>
          </cell>
          <cell r="AX56">
            <v>16650.065454545453</v>
          </cell>
        </row>
        <row r="57">
          <cell r="C57">
            <v>27</v>
          </cell>
          <cell r="D57">
            <v>16</v>
          </cell>
          <cell r="E57">
            <v>11</v>
          </cell>
          <cell r="N57">
            <v>300</v>
          </cell>
          <cell r="O57">
            <v>70</v>
          </cell>
          <cell r="P57">
            <v>-230</v>
          </cell>
          <cell r="Q57">
            <v>537</v>
          </cell>
          <cell r="R57">
            <v>129</v>
          </cell>
          <cell r="S57">
            <v>-408</v>
          </cell>
          <cell r="T57">
            <v>158</v>
          </cell>
          <cell r="U57">
            <v>71</v>
          </cell>
          <cell r="V57">
            <v>87</v>
          </cell>
          <cell r="W57">
            <v>39</v>
          </cell>
          <cell r="X57">
            <v>-119</v>
          </cell>
          <cell r="Y57">
            <v>146</v>
          </cell>
          <cell r="Z57">
            <v>65</v>
          </cell>
          <cell r="AA57">
            <v>81</v>
          </cell>
          <cell r="AB57">
            <v>35</v>
          </cell>
          <cell r="AC57">
            <v>-111</v>
          </cell>
          <cell r="AD57">
            <v>584</v>
          </cell>
          <cell r="AE57">
            <v>522</v>
          </cell>
          <cell r="AF57">
            <v>62</v>
          </cell>
          <cell r="AG57">
            <v>136</v>
          </cell>
          <cell r="AH57">
            <v>96</v>
          </cell>
          <cell r="AI57">
            <v>18</v>
          </cell>
          <cell r="AJ57">
            <v>-448</v>
          </cell>
          <cell r="AN57">
            <v>0</v>
          </cell>
          <cell r="AP57">
            <v>1733</v>
          </cell>
          <cell r="AQ57">
            <v>480</v>
          </cell>
          <cell r="AR57">
            <v>1253</v>
          </cell>
          <cell r="AS57">
            <v>369</v>
          </cell>
          <cell r="AT57">
            <v>-1364</v>
          </cell>
          <cell r="AU57">
            <v>136</v>
          </cell>
          <cell r="AV57">
            <v>270</v>
          </cell>
          <cell r="AW57">
            <v>344</v>
          </cell>
          <cell r="AX57">
            <v>983</v>
          </cell>
        </row>
        <row r="58">
          <cell r="C58">
            <v>335</v>
          </cell>
          <cell r="D58">
            <v>117</v>
          </cell>
          <cell r="E58">
            <v>218</v>
          </cell>
          <cell r="N58">
            <v>1740</v>
          </cell>
          <cell r="O58">
            <v>417</v>
          </cell>
          <cell r="P58">
            <v>-1323</v>
          </cell>
          <cell r="Q58">
            <v>3109</v>
          </cell>
          <cell r="R58">
            <v>610</v>
          </cell>
          <cell r="S58">
            <v>-2499</v>
          </cell>
          <cell r="T58">
            <v>926</v>
          </cell>
          <cell r="U58">
            <v>415</v>
          </cell>
          <cell r="V58">
            <v>511</v>
          </cell>
          <cell r="W58">
            <v>229</v>
          </cell>
          <cell r="X58">
            <v>-697</v>
          </cell>
          <cell r="Y58">
            <v>870</v>
          </cell>
          <cell r="Z58">
            <v>378</v>
          </cell>
          <cell r="AA58">
            <v>492</v>
          </cell>
          <cell r="AB58">
            <v>205</v>
          </cell>
          <cell r="AC58">
            <v>-665</v>
          </cell>
          <cell r="AD58">
            <v>3399</v>
          </cell>
          <cell r="AE58">
            <v>3042</v>
          </cell>
          <cell r="AF58">
            <v>357</v>
          </cell>
          <cell r="AG58">
            <v>793</v>
          </cell>
          <cell r="AH58">
            <v>559</v>
          </cell>
          <cell r="AI58">
            <v>103</v>
          </cell>
          <cell r="AJ58">
            <v>-2606</v>
          </cell>
          <cell r="AN58">
            <v>0</v>
          </cell>
          <cell r="AP58">
            <v>10269</v>
          </cell>
          <cell r="AQ58">
            <v>2811</v>
          </cell>
          <cell r="AR58">
            <v>7458</v>
          </cell>
          <cell r="AS58">
            <v>2021</v>
          </cell>
          <cell r="AT58">
            <v>-8248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5092</v>
          </cell>
          <cell r="O60">
            <v>1794</v>
          </cell>
          <cell r="P60">
            <v>-3298</v>
          </cell>
          <cell r="Q60">
            <v>11022</v>
          </cell>
          <cell r="R60">
            <v>3886</v>
          </cell>
          <cell r="S60">
            <v>-7136</v>
          </cell>
          <cell r="T60">
            <v>5956</v>
          </cell>
          <cell r="U60">
            <v>2648</v>
          </cell>
          <cell r="V60">
            <v>3308</v>
          </cell>
          <cell r="W60">
            <v>2064</v>
          </cell>
          <cell r="X60">
            <v>-3892</v>
          </cell>
          <cell r="Y60">
            <v>6214.666666666667</v>
          </cell>
          <cell r="Z60">
            <v>2612</v>
          </cell>
          <cell r="AA60">
            <v>3602.666666666667</v>
          </cell>
          <cell r="AB60">
            <v>2209</v>
          </cell>
          <cell r="AC60">
            <v>-4005.666666666667</v>
          </cell>
          <cell r="AD60">
            <v>5407.666666666667</v>
          </cell>
          <cell r="AE60">
            <v>5205.3333333333339</v>
          </cell>
          <cell r="AF60">
            <v>202.33333333333303</v>
          </cell>
          <cell r="AG60">
            <v>1641</v>
          </cell>
          <cell r="AH60">
            <v>1265</v>
          </cell>
          <cell r="AI60">
            <v>155</v>
          </cell>
          <cell r="AJ60">
            <v>-3766.666666666667</v>
          </cell>
          <cell r="AN60">
            <v>0</v>
          </cell>
          <cell r="AP60">
            <v>33545</v>
          </cell>
          <cell r="AQ60">
            <v>10465</v>
          </cell>
          <cell r="AR60">
            <v>23080</v>
          </cell>
          <cell r="AS60">
            <v>11218</v>
          </cell>
          <cell r="AT60">
            <v>-22327</v>
          </cell>
          <cell r="AU60">
            <v>5260</v>
          </cell>
          <cell r="AV60">
            <v>10658</v>
          </cell>
          <cell r="AW60">
            <v>5205</v>
          </cell>
          <cell r="AX60">
            <v>12422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5092</v>
          </cell>
          <cell r="P62">
            <v>-5092</v>
          </cell>
          <cell r="Q62">
            <v>11022</v>
          </cell>
          <cell r="S62">
            <v>-11022</v>
          </cell>
          <cell r="T62">
            <v>1182.97</v>
          </cell>
          <cell r="U62">
            <v>53</v>
          </cell>
          <cell r="X62">
            <v>-1182.97</v>
          </cell>
          <cell r="Y62">
            <v>1395.26</v>
          </cell>
          <cell r="Z62">
            <v>65</v>
          </cell>
          <cell r="AA62">
            <v>1330.26</v>
          </cell>
          <cell r="AC62">
            <v>-1395.26</v>
          </cell>
          <cell r="AD62">
            <v>2635</v>
          </cell>
          <cell r="AE62">
            <v>2635</v>
          </cell>
          <cell r="AF62">
            <v>0</v>
          </cell>
          <cell r="AI62">
            <v>0</v>
          </cell>
          <cell r="AJ62">
            <v>-2635</v>
          </cell>
          <cell r="AP62">
            <v>21424.23</v>
          </cell>
          <cell r="AQ62">
            <v>5299</v>
          </cell>
          <cell r="AR62">
            <v>16125.23</v>
          </cell>
          <cell r="AS62">
            <v>0</v>
          </cell>
          <cell r="AT62">
            <v>-21424.23</v>
          </cell>
          <cell r="AV62">
            <v>4361</v>
          </cell>
        </row>
        <row r="63">
          <cell r="C63">
            <v>260</v>
          </cell>
          <cell r="D63">
            <v>0</v>
          </cell>
          <cell r="E63">
            <v>260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260</v>
          </cell>
          <cell r="AQ63">
            <v>0</v>
          </cell>
          <cell r="AR63">
            <v>260</v>
          </cell>
          <cell r="AS63">
            <v>0</v>
          </cell>
          <cell r="AT63">
            <v>-260</v>
          </cell>
          <cell r="AV63">
            <v>0</v>
          </cell>
        </row>
        <row r="64">
          <cell r="C64">
            <v>0</v>
          </cell>
          <cell r="D64">
            <v>9</v>
          </cell>
          <cell r="E64">
            <v>-9</v>
          </cell>
          <cell r="N64">
            <v>0</v>
          </cell>
          <cell r="P64">
            <v>0</v>
          </cell>
          <cell r="S64">
            <v>0</v>
          </cell>
          <cell r="T64">
            <v>4773.03</v>
          </cell>
          <cell r="U64">
            <v>2595</v>
          </cell>
          <cell r="X64">
            <v>-4773.03</v>
          </cell>
          <cell r="Y64">
            <v>4819.4066666666668</v>
          </cell>
          <cell r="Z64">
            <v>2547</v>
          </cell>
          <cell r="AA64">
            <v>2272.4066666666668</v>
          </cell>
          <cell r="AC64">
            <v>-4819.4066666666668</v>
          </cell>
          <cell r="AD64">
            <v>2772.666666666667</v>
          </cell>
          <cell r="AE64">
            <v>2570.3333333333339</v>
          </cell>
          <cell r="AF64">
            <v>202.33333333333303</v>
          </cell>
          <cell r="AG64">
            <v>1641</v>
          </cell>
          <cell r="AH64">
            <v>1139</v>
          </cell>
          <cell r="AI64">
            <v>155</v>
          </cell>
          <cell r="AJ64">
            <v>-1131.666666666667</v>
          </cell>
          <cell r="AP64">
            <v>12169.77</v>
          </cell>
          <cell r="AS64">
            <v>1139</v>
          </cell>
          <cell r="AT64">
            <v>-11030.77</v>
          </cell>
        </row>
        <row r="65">
          <cell r="C65">
            <v>241</v>
          </cell>
          <cell r="D65">
            <v>63</v>
          </cell>
          <cell r="E65">
            <v>178</v>
          </cell>
          <cell r="N65">
            <v>6489</v>
          </cell>
          <cell r="O65">
            <v>1295</v>
          </cell>
          <cell r="P65">
            <v>-5194</v>
          </cell>
          <cell r="Q65">
            <v>14640.295454545454</v>
          </cell>
          <cell r="R65">
            <v>2254</v>
          </cell>
          <cell r="S65">
            <v>-12386.295454545454</v>
          </cell>
          <cell r="T65">
            <v>11566.459090909091</v>
          </cell>
          <cell r="U65">
            <v>5559</v>
          </cell>
          <cell r="V65">
            <v>6007.4590909090912</v>
          </cell>
          <cell r="W65">
            <v>1557</v>
          </cell>
          <cell r="X65">
            <v>-10009.459090909091</v>
          </cell>
          <cell r="Y65">
            <v>8589.5</v>
          </cell>
          <cell r="Z65">
            <v>4367</v>
          </cell>
          <cell r="AA65">
            <v>4222.5</v>
          </cell>
          <cell r="AB65">
            <v>1201</v>
          </cell>
          <cell r="AC65">
            <v>-7388.5</v>
          </cell>
          <cell r="AD65">
            <v>8399.113636363636</v>
          </cell>
          <cell r="AE65">
            <v>8326.113636363636</v>
          </cell>
          <cell r="AF65">
            <v>73</v>
          </cell>
          <cell r="AG65">
            <v>1946</v>
          </cell>
          <cell r="AH65">
            <v>938</v>
          </cell>
          <cell r="AI65">
            <v>0</v>
          </cell>
          <cell r="AJ65">
            <v>-6453.113636363636</v>
          </cell>
          <cell r="AP65">
            <v>49858.368181818179</v>
          </cell>
          <cell r="AQ65">
            <v>16448</v>
          </cell>
          <cell r="AR65">
            <v>33410.368181818179</v>
          </cell>
          <cell r="AS65">
            <v>7245</v>
          </cell>
          <cell r="AT65">
            <v>-42613.368181818179</v>
          </cell>
          <cell r="AU65">
            <v>9926</v>
          </cell>
          <cell r="AV65">
            <v>15208</v>
          </cell>
          <cell r="AW65">
            <v>6522</v>
          </cell>
          <cell r="AX65">
            <v>18202.368181818179</v>
          </cell>
        </row>
        <row r="66">
          <cell r="C66">
            <v>0</v>
          </cell>
          <cell r="D66">
            <v>0</v>
          </cell>
          <cell r="E66">
            <v>0</v>
          </cell>
          <cell r="N66">
            <v>650.33333333333326</v>
          </cell>
          <cell r="O66">
            <v>198</v>
          </cell>
          <cell r="P66">
            <v>-452.33333333333326</v>
          </cell>
          <cell r="Q66">
            <v>3951.2727272727275</v>
          </cell>
          <cell r="R66">
            <v>1097</v>
          </cell>
          <cell r="S66">
            <v>-2854.2727272727275</v>
          </cell>
          <cell r="T66">
            <v>2164.1818181818185</v>
          </cell>
          <cell r="U66">
            <v>1044</v>
          </cell>
          <cell r="V66">
            <v>1120.1818181818185</v>
          </cell>
          <cell r="W66">
            <v>608</v>
          </cell>
          <cell r="X66">
            <v>-1556.1818181818185</v>
          </cell>
          <cell r="Y66">
            <v>1418.2727272727273</v>
          </cell>
          <cell r="Z66">
            <v>634</v>
          </cell>
          <cell r="AA66">
            <v>784.27272727272725</v>
          </cell>
          <cell r="AB66">
            <v>435</v>
          </cell>
          <cell r="AC66">
            <v>-983.27272727272725</v>
          </cell>
          <cell r="AD66">
            <v>1586.1818181818182</v>
          </cell>
          <cell r="AE66">
            <v>1586</v>
          </cell>
          <cell r="AF66">
            <v>0.18181818181824383</v>
          </cell>
          <cell r="AG66">
            <v>318</v>
          </cell>
          <cell r="AH66">
            <v>237</v>
          </cell>
          <cell r="AI66">
            <v>0</v>
          </cell>
          <cell r="AJ66">
            <v>-1268.1818181818182</v>
          </cell>
          <cell r="AP66">
            <v>9770.0606060606078</v>
          </cell>
          <cell r="AQ66">
            <v>2328.333333333333</v>
          </cell>
          <cell r="AR66">
            <v>7441.7272727272748</v>
          </cell>
          <cell r="AS66">
            <v>2575</v>
          </cell>
          <cell r="AT66">
            <v>-7195.0606060606078</v>
          </cell>
        </row>
        <row r="67">
          <cell r="C67">
            <v>0</v>
          </cell>
          <cell r="D67">
            <v>0</v>
          </cell>
          <cell r="E67">
            <v>0</v>
          </cell>
          <cell r="N67">
            <v>38</v>
          </cell>
          <cell r="O67">
            <v>11</v>
          </cell>
          <cell r="P67">
            <v>-27</v>
          </cell>
          <cell r="Q67">
            <v>217</v>
          </cell>
          <cell r="R67">
            <v>60</v>
          </cell>
          <cell r="S67">
            <v>-157</v>
          </cell>
          <cell r="T67">
            <v>118</v>
          </cell>
          <cell r="U67">
            <v>57</v>
          </cell>
          <cell r="V67">
            <v>61</v>
          </cell>
          <cell r="W67">
            <v>33</v>
          </cell>
          <cell r="X67">
            <v>-85</v>
          </cell>
          <cell r="Y67">
            <v>77</v>
          </cell>
          <cell r="Z67">
            <v>35</v>
          </cell>
          <cell r="AA67">
            <v>42</v>
          </cell>
          <cell r="AB67">
            <v>24</v>
          </cell>
          <cell r="AC67">
            <v>-53</v>
          </cell>
          <cell r="AD67">
            <v>87</v>
          </cell>
          <cell r="AE67">
            <v>87</v>
          </cell>
          <cell r="AF67">
            <v>0</v>
          </cell>
          <cell r="AG67">
            <v>17</v>
          </cell>
          <cell r="AH67">
            <v>12</v>
          </cell>
          <cell r="AI67">
            <v>0</v>
          </cell>
          <cell r="AJ67">
            <v>-70</v>
          </cell>
          <cell r="AP67">
            <v>537</v>
          </cell>
          <cell r="AQ67">
            <v>130</v>
          </cell>
          <cell r="AR67">
            <v>407</v>
          </cell>
          <cell r="AS67">
            <v>140</v>
          </cell>
          <cell r="AT67">
            <v>-397</v>
          </cell>
        </row>
        <row r="68">
          <cell r="C68">
            <v>0</v>
          </cell>
          <cell r="D68">
            <v>0</v>
          </cell>
          <cell r="E68">
            <v>0</v>
          </cell>
          <cell r="N68">
            <v>210</v>
          </cell>
          <cell r="O68">
            <v>63</v>
          </cell>
          <cell r="P68">
            <v>-147</v>
          </cell>
          <cell r="Q68">
            <v>1261</v>
          </cell>
          <cell r="R68">
            <v>330</v>
          </cell>
          <cell r="S68">
            <v>-931</v>
          </cell>
          <cell r="T68">
            <v>693</v>
          </cell>
          <cell r="U68">
            <v>334</v>
          </cell>
          <cell r="V68">
            <v>359</v>
          </cell>
          <cell r="W68">
            <v>190</v>
          </cell>
          <cell r="X68">
            <v>-503</v>
          </cell>
          <cell r="Y68">
            <v>457</v>
          </cell>
          <cell r="Z68">
            <v>205</v>
          </cell>
          <cell r="AA68">
            <v>252</v>
          </cell>
          <cell r="AB68">
            <v>137</v>
          </cell>
          <cell r="AC68">
            <v>-320</v>
          </cell>
          <cell r="AD68">
            <v>508</v>
          </cell>
          <cell r="AE68">
            <v>508</v>
          </cell>
          <cell r="AF68">
            <v>0</v>
          </cell>
          <cell r="AG68">
            <v>102</v>
          </cell>
          <cell r="AH68">
            <v>16</v>
          </cell>
          <cell r="AI68">
            <v>0</v>
          </cell>
          <cell r="AJ68">
            <v>-406</v>
          </cell>
          <cell r="AP68">
            <v>3129</v>
          </cell>
          <cell r="AQ68">
            <v>749</v>
          </cell>
          <cell r="AR68">
            <v>2380</v>
          </cell>
          <cell r="AS68">
            <v>620</v>
          </cell>
          <cell r="AT68">
            <v>-2509</v>
          </cell>
        </row>
        <row r="69">
          <cell r="C69">
            <v>0</v>
          </cell>
          <cell r="D69">
            <v>0</v>
          </cell>
          <cell r="E69">
            <v>0</v>
          </cell>
          <cell r="N69">
            <v>539</v>
          </cell>
          <cell r="P69">
            <v>-539</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539</v>
          </cell>
          <cell r="AQ69">
            <v>539</v>
          </cell>
          <cell r="AR69">
            <v>0</v>
          </cell>
          <cell r="AS69">
            <v>0</v>
          </cell>
          <cell r="AT69">
            <v>-539</v>
          </cell>
        </row>
        <row r="70">
          <cell r="C70" t="e">
            <v>#REF!</v>
          </cell>
          <cell r="D70" t="e">
            <v>#REF!</v>
          </cell>
          <cell r="E70" t="e">
            <v>#REF!</v>
          </cell>
          <cell r="N70">
            <v>1182.5</v>
          </cell>
          <cell r="P70">
            <v>-1182.5</v>
          </cell>
          <cell r="Q70">
            <v>2058.6</v>
          </cell>
          <cell r="S70">
            <v>-2058.6</v>
          </cell>
          <cell r="T70">
            <v>2312</v>
          </cell>
          <cell r="U70">
            <v>0</v>
          </cell>
          <cell r="V70">
            <v>2312</v>
          </cell>
          <cell r="X70">
            <v>-2312</v>
          </cell>
          <cell r="Y70">
            <v>633</v>
          </cell>
          <cell r="Z70">
            <v>170</v>
          </cell>
          <cell r="AA70">
            <v>463</v>
          </cell>
          <cell r="AC70">
            <v>-633</v>
          </cell>
          <cell r="AD70">
            <v>1550.7636363636364</v>
          </cell>
          <cell r="AE70">
            <v>1550.7636363636364</v>
          </cell>
          <cell r="AF70">
            <v>0</v>
          </cell>
          <cell r="AI70">
            <v>0</v>
          </cell>
          <cell r="AJ70">
            <v>-1550.7636363636364</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8264</v>
          </cell>
          <cell r="D72">
            <v>1252</v>
          </cell>
          <cell r="E72">
            <v>7012</v>
          </cell>
          <cell r="N72">
            <v>903.93666666666672</v>
          </cell>
          <cell r="O72">
            <v>227</v>
          </cell>
          <cell r="P72">
            <v>-676.93666666666672</v>
          </cell>
          <cell r="Q72">
            <v>2558.8849999999998</v>
          </cell>
          <cell r="R72">
            <v>403</v>
          </cell>
          <cell r="S72">
            <v>-2155.8849999999998</v>
          </cell>
          <cell r="T72">
            <v>901.92466666666667</v>
          </cell>
          <cell r="U72">
            <v>404</v>
          </cell>
          <cell r="V72">
            <v>497.92466666666667</v>
          </cell>
          <cell r="W72">
            <v>175</v>
          </cell>
          <cell r="X72">
            <v>-726.92466666666667</v>
          </cell>
          <cell r="Y72">
            <v>850.04533333333336</v>
          </cell>
          <cell r="Z72">
            <v>350</v>
          </cell>
          <cell r="AA72">
            <v>500.04533333333336</v>
          </cell>
          <cell r="AB72">
            <v>94</v>
          </cell>
          <cell r="AC72">
            <v>-756.04533333333336</v>
          </cell>
          <cell r="AD72">
            <v>1908.2339999999999</v>
          </cell>
          <cell r="AE72">
            <v>1557.3300000000002</v>
          </cell>
          <cell r="AF72">
            <v>350.90399999999977</v>
          </cell>
          <cell r="AG72">
            <v>379</v>
          </cell>
          <cell r="AH72">
            <v>173</v>
          </cell>
          <cell r="AI72">
            <v>35</v>
          </cell>
          <cell r="AJ72">
            <v>-1529.2339999999999</v>
          </cell>
          <cell r="AN72">
            <v>0</v>
          </cell>
          <cell r="AP72">
            <v>16266.252333333332</v>
          </cell>
          <cell r="AQ72" t="e">
            <v>#REF!</v>
          </cell>
          <cell r="AR72" t="e">
            <v>#REF!</v>
          </cell>
          <cell r="AS72">
            <v>181</v>
          </cell>
          <cell r="AT72">
            <v>-16085.252333333332</v>
          </cell>
          <cell r="AU72">
            <v>754</v>
          </cell>
          <cell r="AV72">
            <v>1834</v>
          </cell>
          <cell r="AW72">
            <v>2718.5366666666669</v>
          </cell>
          <cell r="AX72" t="e">
            <v>#REF!</v>
          </cell>
        </row>
        <row r="73">
          <cell r="C73">
            <v>3706</v>
          </cell>
          <cell r="D73">
            <v>70</v>
          </cell>
          <cell r="E73">
            <v>3636</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3724</v>
          </cell>
          <cell r="AQ73">
            <v>70</v>
          </cell>
          <cell r="AR73">
            <v>3654</v>
          </cell>
          <cell r="AS73">
            <v>0</v>
          </cell>
          <cell r="AT73">
            <v>-3724</v>
          </cell>
          <cell r="AU73">
            <v>0</v>
          </cell>
          <cell r="AV73">
            <v>18</v>
          </cell>
          <cell r="AW73">
            <v>70</v>
          </cell>
          <cell r="AX73">
            <v>3636</v>
          </cell>
        </row>
        <row r="74">
          <cell r="C74">
            <v>2936</v>
          </cell>
          <cell r="D74">
            <v>1182</v>
          </cell>
          <cell r="E74">
            <v>1754</v>
          </cell>
          <cell r="N74">
            <v>903.93666666666672</v>
          </cell>
          <cell r="P74">
            <v>-903.93666666666672</v>
          </cell>
          <cell r="Q74">
            <v>2457.8849999999998</v>
          </cell>
          <cell r="S74">
            <v>-2457.8849999999998</v>
          </cell>
          <cell r="T74">
            <v>901.92466666666667</v>
          </cell>
          <cell r="U74">
            <v>404</v>
          </cell>
          <cell r="V74">
            <v>497.92466666666667</v>
          </cell>
          <cell r="X74">
            <v>-901.92466666666667</v>
          </cell>
          <cell r="Y74">
            <v>832.04533333333336</v>
          </cell>
          <cell r="Z74">
            <v>350</v>
          </cell>
          <cell r="AA74">
            <v>482.04533333333336</v>
          </cell>
          <cell r="AC74">
            <v>-832.04533333333336</v>
          </cell>
          <cell r="AD74">
            <v>1908.2339999999999</v>
          </cell>
          <cell r="AE74">
            <v>1556.73</v>
          </cell>
          <cell r="AF74">
            <v>351.50399999999991</v>
          </cell>
          <cell r="AG74">
            <v>379</v>
          </cell>
          <cell r="AH74">
            <v>173</v>
          </cell>
          <cell r="AI74">
            <v>35</v>
          </cell>
          <cell r="AJ74">
            <v>-1529.2339999999999</v>
          </cell>
          <cell r="AN74">
            <v>0</v>
          </cell>
          <cell r="AP74">
            <v>10818.652333333332</v>
          </cell>
          <cell r="AQ74">
            <v>3402.5366666666669</v>
          </cell>
          <cell r="AR74">
            <v>7416.1156666666648</v>
          </cell>
          <cell r="AS74">
            <v>181</v>
          </cell>
          <cell r="AT74">
            <v>-10637.652333333332</v>
          </cell>
          <cell r="AU74">
            <v>754</v>
          </cell>
          <cell r="AV74">
            <v>1816</v>
          </cell>
          <cell r="AW74">
            <v>2648.5366666666669</v>
          </cell>
          <cell r="AX74">
            <v>5600.1156666666648</v>
          </cell>
        </row>
        <row r="75">
          <cell r="C75">
            <v>821</v>
          </cell>
          <cell r="D75">
            <v>299</v>
          </cell>
          <cell r="E75">
            <v>522</v>
          </cell>
          <cell r="N75">
            <v>614.93666666666661</v>
          </cell>
          <cell r="P75">
            <v>-614.93666666666661</v>
          </cell>
          <cell r="Q75">
            <v>1518.4433333333332</v>
          </cell>
          <cell r="S75">
            <v>-1518.4433333333332</v>
          </cell>
          <cell r="T75">
            <v>543.40800000000002</v>
          </cell>
          <cell r="U75">
            <v>248</v>
          </cell>
          <cell r="V75">
            <v>295.40800000000002</v>
          </cell>
          <cell r="X75">
            <v>-543.40800000000002</v>
          </cell>
          <cell r="Y75">
            <v>314.56200000000001</v>
          </cell>
          <cell r="Z75">
            <v>204</v>
          </cell>
          <cell r="AA75">
            <v>110.56200000000001</v>
          </cell>
          <cell r="AC75">
            <v>-314.56200000000001</v>
          </cell>
          <cell r="AD75">
            <v>1208.1673333333335</v>
          </cell>
          <cell r="AE75">
            <v>1031.48</v>
          </cell>
          <cell r="AF75">
            <v>176.68733333333353</v>
          </cell>
          <cell r="AJ75">
            <v>-1208.1673333333335</v>
          </cell>
          <cell r="AP75">
            <v>5243.83</v>
          </cell>
          <cell r="AQ75">
            <v>1590.5366666666666</v>
          </cell>
          <cell r="AR75">
            <v>3653.2933333333331</v>
          </cell>
          <cell r="AS75">
            <v>0</v>
          </cell>
          <cell r="AT75">
            <v>-5243.83</v>
          </cell>
          <cell r="AX75">
            <v>3653.2933333333331</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103.08333333333333</v>
          </cell>
          <cell r="Q77">
            <v>593.80000000000007</v>
          </cell>
          <cell r="T77">
            <v>139.93333333333334</v>
          </cell>
          <cell r="U77">
            <v>17</v>
          </cell>
          <cell r="V77">
            <v>122.93333333333334</v>
          </cell>
          <cell r="Y77">
            <v>160.68333333333337</v>
          </cell>
          <cell r="Z77">
            <v>46</v>
          </cell>
          <cell r="AA77">
            <v>114.68333333333337</v>
          </cell>
          <cell r="AD77">
            <v>336.01666666666671</v>
          </cell>
          <cell r="AE77">
            <v>266.25</v>
          </cell>
          <cell r="AF77">
            <v>69.766666666666708</v>
          </cell>
        </row>
        <row r="78">
          <cell r="C78">
            <v>482</v>
          </cell>
          <cell r="D78">
            <v>363</v>
          </cell>
          <cell r="E78">
            <v>119</v>
          </cell>
          <cell r="N78">
            <v>184.91666666666666</v>
          </cell>
          <cell r="Q78">
            <v>446.64166666666671</v>
          </cell>
          <cell r="T78">
            <v>217.58333333333334</v>
          </cell>
          <cell r="U78">
            <v>48</v>
          </cell>
          <cell r="V78">
            <v>169.58333333333334</v>
          </cell>
          <cell r="Y78">
            <v>356.8</v>
          </cell>
          <cell r="Z78">
            <v>69</v>
          </cell>
          <cell r="AA78">
            <v>287.8</v>
          </cell>
          <cell r="AD78">
            <v>359.05</v>
          </cell>
          <cell r="AE78">
            <v>254</v>
          </cell>
          <cell r="AF78">
            <v>105.05000000000001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10516.2</v>
          </cell>
          <cell r="D80">
            <v>2178</v>
          </cell>
          <cell r="E80">
            <v>8338.2000000000007</v>
          </cell>
          <cell r="N80">
            <v>24323.740060606062</v>
          </cell>
          <cell r="O80">
            <v>6571</v>
          </cell>
          <cell r="P80">
            <v>-17752.740060606062</v>
          </cell>
          <cell r="Q80">
            <v>152779.59663636363</v>
          </cell>
          <cell r="R80">
            <v>83057</v>
          </cell>
          <cell r="S80">
            <v>-69722.596636363625</v>
          </cell>
          <cell r="T80">
            <v>234905.21121212118</v>
          </cell>
          <cell r="U80">
            <v>123843.34756097561</v>
          </cell>
          <cell r="V80">
            <v>111061.8636511456</v>
          </cell>
          <cell r="W80">
            <v>101508</v>
          </cell>
          <cell r="X80">
            <v>-133397.21121212118</v>
          </cell>
          <cell r="Y80">
            <v>195173.14787878789</v>
          </cell>
          <cell r="Z80">
            <v>96838.750161952048</v>
          </cell>
          <cell r="AA80">
            <v>98334.397716835825</v>
          </cell>
          <cell r="AB80">
            <v>81399</v>
          </cell>
          <cell r="AC80">
            <v>-113774.14787878789</v>
          </cell>
          <cell r="AD80">
            <v>43448.770848484841</v>
          </cell>
          <cell r="AE80">
            <v>35934.144424242433</v>
          </cell>
          <cell r="AF80">
            <v>7514.626424242424</v>
          </cell>
          <cell r="AG80">
            <v>9642</v>
          </cell>
          <cell r="AH80">
            <v>6481</v>
          </cell>
          <cell r="AI80">
            <v>2032</v>
          </cell>
          <cell r="AJ80">
            <v>-33806.770848484841</v>
          </cell>
          <cell r="AL80">
            <v>0</v>
          </cell>
          <cell r="AN80">
            <v>0</v>
          </cell>
          <cell r="AP80">
            <v>656121.29087878787</v>
          </cell>
          <cell r="AQ80" t="e">
            <v>#REF!</v>
          </cell>
          <cell r="AR80" t="e">
            <v>#REF!</v>
          </cell>
          <cell r="AS80">
            <v>278125</v>
          </cell>
          <cell r="AT80">
            <v>-377996.29087878787</v>
          </cell>
          <cell r="AU80">
            <v>219889.09772292766</v>
          </cell>
          <cell r="AV80">
            <v>314971</v>
          </cell>
          <cell r="AW80">
            <v>25927.158242424244</v>
          </cell>
          <cell r="AX80" t="e">
            <v>#REF!</v>
          </cell>
        </row>
        <row r="81">
          <cell r="C81">
            <v>6810.2000000000007</v>
          </cell>
          <cell r="D81">
            <v>2108</v>
          </cell>
          <cell r="E81">
            <v>4702.2000000000007</v>
          </cell>
          <cell r="P81">
            <v>0</v>
          </cell>
          <cell r="S81">
            <v>0</v>
          </cell>
          <cell r="X81">
            <v>0</v>
          </cell>
          <cell r="AC81">
            <v>0</v>
          </cell>
          <cell r="AJ81">
            <v>0</v>
          </cell>
          <cell r="AP81">
            <v>195959.29087878787</v>
          </cell>
          <cell r="AQ81" t="e">
            <v>#REF!</v>
          </cell>
          <cell r="AR81" t="e">
            <v>#REF!</v>
          </cell>
          <cell r="AS81">
            <v>0</v>
          </cell>
          <cell r="AT81">
            <v>-195959.29087878787</v>
          </cell>
          <cell r="AU81">
            <v>24325</v>
          </cell>
          <cell r="AV81">
            <v>50374</v>
          </cell>
          <cell r="AW81">
            <v>25926.158242424244</v>
          </cell>
          <cell r="AX81" t="e">
            <v>#REF!</v>
          </cell>
        </row>
        <row r="82">
          <cell r="N82">
            <v>6080.522727272727</v>
          </cell>
          <cell r="O82">
            <v>1501</v>
          </cell>
          <cell r="P82">
            <v>-4579.522727272727</v>
          </cell>
          <cell r="Q82">
            <v>13664.68090909091</v>
          </cell>
          <cell r="R82">
            <v>3466</v>
          </cell>
          <cell r="S82">
            <v>-10198.68090909091</v>
          </cell>
          <cell r="T82">
            <v>5058.1772727272728</v>
          </cell>
          <cell r="U82">
            <v>2344</v>
          </cell>
          <cell r="V82">
            <v>2714.1772727272732</v>
          </cell>
          <cell r="W82">
            <v>1353</v>
          </cell>
          <cell r="X82">
            <v>-3705.1772727272728</v>
          </cell>
          <cell r="Y82">
            <v>4136.5072727272727</v>
          </cell>
          <cell r="Z82">
            <v>1812</v>
          </cell>
          <cell r="AA82">
            <v>2324.5072727272727</v>
          </cell>
          <cell r="AB82">
            <v>1097</v>
          </cell>
          <cell r="AC82">
            <v>-3039.5072727272727</v>
          </cell>
          <cell r="AD82">
            <v>12207.066363636362</v>
          </cell>
          <cell r="AE82">
            <v>11101.045454545454</v>
          </cell>
          <cell r="AF82">
            <v>1106.0209090909086</v>
          </cell>
          <cell r="AG82">
            <v>2881</v>
          </cell>
          <cell r="AH82">
            <v>1984</v>
          </cell>
          <cell r="AI82">
            <v>306</v>
          </cell>
          <cell r="AJ82">
            <v>-9326.0663636363624</v>
          </cell>
          <cell r="AN82">
            <v>0</v>
          </cell>
          <cell r="AP82">
            <v>41584.133636363636</v>
          </cell>
          <cell r="AS82">
            <v>9401</v>
          </cell>
          <cell r="AT82">
            <v>-32183.133636363636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15096.2</v>
          </cell>
          <cell r="D84">
            <v>13470</v>
          </cell>
          <cell r="E84">
            <v>8338.2000000000007</v>
          </cell>
          <cell r="N84">
            <v>24323.740060606062</v>
          </cell>
          <cell r="O84">
            <v>6571</v>
          </cell>
          <cell r="P84">
            <v>-17752.740060606062</v>
          </cell>
          <cell r="Q84">
            <v>152779.59663636363</v>
          </cell>
          <cell r="R84">
            <v>83057</v>
          </cell>
          <cell r="S84">
            <v>-69722.596636363625</v>
          </cell>
          <cell r="T84">
            <v>234905.21121212118</v>
          </cell>
          <cell r="U84">
            <v>123843.34756097561</v>
          </cell>
          <cell r="V84">
            <v>111061.8636511456</v>
          </cell>
          <cell r="W84">
            <v>101508</v>
          </cell>
          <cell r="X84">
            <v>-133397.21121212118</v>
          </cell>
          <cell r="Y84">
            <v>195173.14787878789</v>
          </cell>
          <cell r="Z84">
            <v>96838.750161952048</v>
          </cell>
          <cell r="AA84">
            <v>98334.397716835825</v>
          </cell>
          <cell r="AB84">
            <v>81399</v>
          </cell>
          <cell r="AC84">
            <v>-113774.14787878789</v>
          </cell>
          <cell r="AD84">
            <v>43448.770848484841</v>
          </cell>
          <cell r="AE84">
            <v>35934.144424242433</v>
          </cell>
          <cell r="AF84">
            <v>7514.626424242424</v>
          </cell>
          <cell r="AG84">
            <v>9642</v>
          </cell>
          <cell r="AH84">
            <v>6481</v>
          </cell>
          <cell r="AI84">
            <v>2032</v>
          </cell>
          <cell r="AJ84">
            <v>-33806.770848484841</v>
          </cell>
          <cell r="AL84">
            <v>0</v>
          </cell>
          <cell r="AN84">
            <v>0</v>
          </cell>
          <cell r="AP84">
            <v>660701.29087878787</v>
          </cell>
          <cell r="AQ84" t="e">
            <v>#REF!</v>
          </cell>
          <cell r="AR84" t="e">
            <v>#REF!</v>
          </cell>
          <cell r="AS84">
            <v>278125</v>
          </cell>
          <cell r="AT84">
            <v>-382576.29087878787</v>
          </cell>
          <cell r="AU84">
            <v>219889.09772292766</v>
          </cell>
          <cell r="AV84">
            <v>314971</v>
          </cell>
          <cell r="AW84">
            <v>25927.158242424244</v>
          </cell>
          <cell r="AX84" t="e">
            <v>#REF!</v>
          </cell>
        </row>
        <row r="85">
          <cell r="C85">
            <v>88</v>
          </cell>
          <cell r="D85">
            <v>0</v>
          </cell>
          <cell r="E85">
            <v>88</v>
          </cell>
          <cell r="P85">
            <v>0</v>
          </cell>
          <cell r="S85">
            <v>0</v>
          </cell>
          <cell r="U85">
            <v>0</v>
          </cell>
          <cell r="V85">
            <v>0</v>
          </cell>
          <cell r="X85">
            <v>0</v>
          </cell>
          <cell r="Y85">
            <v>0</v>
          </cell>
          <cell r="AC85">
            <v>0</v>
          </cell>
          <cell r="AI85">
            <v>0</v>
          </cell>
          <cell r="AJ85">
            <v>0</v>
          </cell>
          <cell r="AP85">
            <v>87</v>
          </cell>
          <cell r="AQ85">
            <v>0</v>
          </cell>
          <cell r="AR85">
            <v>87</v>
          </cell>
          <cell r="AS85">
            <v>0</v>
          </cell>
          <cell r="AT85">
            <v>-87</v>
          </cell>
          <cell r="AU85">
            <v>0</v>
          </cell>
          <cell r="AV85">
            <v>0</v>
          </cell>
          <cell r="AW85">
            <v>0</v>
          </cell>
          <cell r="AX85">
            <v>87</v>
          </cell>
        </row>
        <row r="86">
          <cell r="C86">
            <v>443</v>
          </cell>
          <cell r="D86">
            <v>1959</v>
          </cell>
          <cell r="E86">
            <v>-1516</v>
          </cell>
          <cell r="N86">
            <v>0</v>
          </cell>
          <cell r="P86">
            <v>0</v>
          </cell>
          <cell r="Q86">
            <v>0</v>
          </cell>
          <cell r="S86">
            <v>0</v>
          </cell>
          <cell r="U86">
            <v>0</v>
          </cell>
          <cell r="V86">
            <v>0</v>
          </cell>
          <cell r="X86">
            <v>0</v>
          </cell>
          <cell r="Y86">
            <v>0</v>
          </cell>
          <cell r="AC86">
            <v>0</v>
          </cell>
          <cell r="AD86">
            <v>0</v>
          </cell>
          <cell r="AE86">
            <v>0</v>
          </cell>
          <cell r="AF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U87">
            <v>0</v>
          </cell>
          <cell r="V87">
            <v>0</v>
          </cell>
          <cell r="X87">
            <v>0</v>
          </cell>
          <cell r="Y87">
            <v>0</v>
          </cell>
          <cell r="Z87">
            <v>0</v>
          </cell>
          <cell r="AA87">
            <v>0</v>
          </cell>
          <cell r="AC87">
            <v>0</v>
          </cell>
          <cell r="AD87">
            <v>0</v>
          </cell>
          <cell r="AE87">
            <v>0</v>
          </cell>
          <cell r="AF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182.13333333333333</v>
          </cell>
          <cell r="O88">
            <v>51</v>
          </cell>
          <cell r="P88">
            <v>-131.13333333333333</v>
          </cell>
          <cell r="Q88">
            <v>189.6</v>
          </cell>
          <cell r="S88">
            <v>-189.6</v>
          </cell>
          <cell r="T88">
            <v>169.93333333333331</v>
          </cell>
          <cell r="U88">
            <v>176</v>
          </cell>
          <cell r="V88">
            <v>-6.0666666666666913</v>
          </cell>
          <cell r="X88">
            <v>-169.93333333333331</v>
          </cell>
          <cell r="Y88">
            <v>389.93333333333328</v>
          </cell>
          <cell r="Z88">
            <v>0</v>
          </cell>
          <cell r="AB88">
            <v>0</v>
          </cell>
          <cell r="AC88">
            <v>-389.93333333333328</v>
          </cell>
          <cell r="AD88">
            <v>152</v>
          </cell>
          <cell r="AE88">
            <v>135</v>
          </cell>
          <cell r="AF88">
            <v>17</v>
          </cell>
          <cell r="AG88">
            <v>44</v>
          </cell>
          <cell r="AH88">
            <v>15</v>
          </cell>
          <cell r="AI88">
            <v>29</v>
          </cell>
          <cell r="AJ88">
            <v>-108</v>
          </cell>
          <cell r="AP88">
            <v>1008.5999999999999</v>
          </cell>
          <cell r="AQ88">
            <v>301.13333333333333</v>
          </cell>
          <cell r="AR88">
            <v>707.46666666666658</v>
          </cell>
          <cell r="AS88">
            <v>65</v>
          </cell>
          <cell r="AT88">
            <v>-943.59999999999991</v>
          </cell>
          <cell r="AU88">
            <v>176</v>
          </cell>
          <cell r="AV88">
            <v>46</v>
          </cell>
          <cell r="AW88">
            <v>125.13333333333333</v>
          </cell>
          <cell r="AX88">
            <v>661.46666666666658</v>
          </cell>
        </row>
        <row r="89">
          <cell r="C89">
            <v>15694.2</v>
          </cell>
          <cell r="D89">
            <v>15922</v>
          </cell>
          <cell r="E89">
            <v>6484.2000000000007</v>
          </cell>
          <cell r="N89">
            <v>24505.873393939397</v>
          </cell>
          <cell r="O89">
            <v>6622</v>
          </cell>
          <cell r="P89">
            <v>-17883.873393939397</v>
          </cell>
          <cell r="Q89">
            <v>152969.19663636363</v>
          </cell>
          <cell r="R89">
            <v>83057</v>
          </cell>
          <cell r="S89">
            <v>-69912.196636363631</v>
          </cell>
          <cell r="T89">
            <v>235075.1445454545</v>
          </cell>
          <cell r="U89">
            <v>124019.34756097561</v>
          </cell>
          <cell r="V89">
            <v>111055.79698447893</v>
          </cell>
          <cell r="W89">
            <v>101508</v>
          </cell>
          <cell r="X89">
            <v>-133567.1445454545</v>
          </cell>
          <cell r="Y89">
            <v>195563.08121212121</v>
          </cell>
          <cell r="Z89">
            <v>96838.750161952048</v>
          </cell>
          <cell r="AA89">
            <v>98334.397716835825</v>
          </cell>
          <cell r="AB89">
            <v>81399</v>
          </cell>
          <cell r="AC89">
            <v>-114164.08121212121</v>
          </cell>
          <cell r="AD89">
            <v>43600.770848484841</v>
          </cell>
          <cell r="AE89">
            <v>36069.144424242433</v>
          </cell>
          <cell r="AF89">
            <v>7531.626424242424</v>
          </cell>
          <cell r="AG89">
            <v>9686</v>
          </cell>
          <cell r="AH89">
            <v>6496</v>
          </cell>
          <cell r="AI89">
            <v>2061</v>
          </cell>
          <cell r="AJ89">
            <v>-33914.770848484841</v>
          </cell>
          <cell r="AK89">
            <v>0</v>
          </cell>
          <cell r="AN89">
            <v>0</v>
          </cell>
          <cell r="AP89">
            <v>662270.89087878785</v>
          </cell>
          <cell r="AQ89" t="e">
            <v>#REF!</v>
          </cell>
          <cell r="AR89" t="e">
            <v>#REF!</v>
          </cell>
          <cell r="AS89">
            <v>278189</v>
          </cell>
          <cell r="AT89">
            <v>-384081.89087878785</v>
          </cell>
          <cell r="AU89">
            <v>220065.09772292766</v>
          </cell>
          <cell r="AV89">
            <v>315017</v>
          </cell>
          <cell r="AW89">
            <v>28492.291575757579</v>
          </cell>
          <cell r="AX89" t="e">
            <v>#REF!</v>
          </cell>
        </row>
        <row r="90">
          <cell r="C90">
            <v>11114.2</v>
          </cell>
          <cell r="D90">
            <v>4630</v>
          </cell>
          <cell r="E90">
            <v>6484.2000000000007</v>
          </cell>
          <cell r="N90">
            <v>24505.873393939397</v>
          </cell>
          <cell r="O90">
            <v>6622</v>
          </cell>
          <cell r="P90">
            <v>-17883.873393939397</v>
          </cell>
          <cell r="Q90">
            <v>68417.196636363631</v>
          </cell>
          <cell r="R90">
            <v>21655</v>
          </cell>
          <cell r="S90">
            <v>-46762.196636363631</v>
          </cell>
          <cell r="T90">
            <v>32515.144545454503</v>
          </cell>
          <cell r="U90">
            <v>15213</v>
          </cell>
          <cell r="V90">
            <v>17302.144545454546</v>
          </cell>
          <cell r="W90">
            <v>7876</v>
          </cell>
          <cell r="X90">
            <v>-24639.144545454503</v>
          </cell>
          <cell r="Y90">
            <v>22514.081212121207</v>
          </cell>
          <cell r="Z90">
            <v>10081</v>
          </cell>
          <cell r="AA90">
            <v>12043.147878787873</v>
          </cell>
          <cell r="AB90">
            <v>5098</v>
          </cell>
          <cell r="AC90">
            <v>-17416.081212121207</v>
          </cell>
          <cell r="AD90">
            <v>43600.770848484841</v>
          </cell>
          <cell r="AE90">
            <v>36069.144424242433</v>
          </cell>
          <cell r="AF90">
            <v>7531.626424242424</v>
          </cell>
          <cell r="AG90">
            <v>9686</v>
          </cell>
          <cell r="AH90">
            <v>6496</v>
          </cell>
          <cell r="AI90">
            <v>2061</v>
          </cell>
          <cell r="AJ90">
            <v>-33914.770848484841</v>
          </cell>
          <cell r="AN90">
            <v>0</v>
          </cell>
          <cell r="AP90">
            <v>197528.89087878785</v>
          </cell>
          <cell r="AQ90" t="e">
            <v>#REF!</v>
          </cell>
          <cell r="AR90" t="e">
            <v>#REF!</v>
          </cell>
          <cell r="AS90">
            <v>46854</v>
          </cell>
          <cell r="AT90">
            <v>-150674.89087878785</v>
          </cell>
          <cell r="AU90">
            <v>24501</v>
          </cell>
          <cell r="AV90">
            <v>50420</v>
          </cell>
          <cell r="AW90">
            <v>28491.291575757579</v>
          </cell>
          <cell r="AX90" t="e">
            <v>#REF!</v>
          </cell>
        </row>
        <row r="91">
          <cell r="C91">
            <v>772.2</v>
          </cell>
          <cell r="D91">
            <v>310</v>
          </cell>
          <cell r="E91">
            <v>462.20000000000005</v>
          </cell>
          <cell r="N91">
            <v>6080.522727272727</v>
          </cell>
          <cell r="O91">
            <v>1501</v>
          </cell>
          <cell r="P91">
            <v>-4579.522727272727</v>
          </cell>
          <cell r="Q91">
            <v>13664.68090909091</v>
          </cell>
          <cell r="R91">
            <v>3466</v>
          </cell>
          <cell r="S91">
            <v>-10198.68090909091</v>
          </cell>
          <cell r="T91">
            <v>5058.1772727272728</v>
          </cell>
          <cell r="U91">
            <v>2344</v>
          </cell>
          <cell r="V91">
            <v>2714.1772727272732</v>
          </cell>
          <cell r="W91">
            <v>1353</v>
          </cell>
          <cell r="X91">
            <v>-3705.1772727272728</v>
          </cell>
          <cell r="Y91">
            <v>4136.5072727272727</v>
          </cell>
          <cell r="Z91">
            <v>1812</v>
          </cell>
          <cell r="AA91">
            <v>2324.5072727272727</v>
          </cell>
          <cell r="AB91">
            <v>1097</v>
          </cell>
          <cell r="AC91">
            <v>-3039.5072727272727</v>
          </cell>
          <cell r="AD91">
            <v>12207.066363636362</v>
          </cell>
          <cell r="AE91">
            <v>11101.045454545454</v>
          </cell>
          <cell r="AF91">
            <v>1106.0209090909086</v>
          </cell>
          <cell r="AG91">
            <v>2881</v>
          </cell>
          <cell r="AH91">
            <v>1984</v>
          </cell>
          <cell r="AI91">
            <v>306</v>
          </cell>
          <cell r="AJ91">
            <v>-9326.0663636363624</v>
          </cell>
          <cell r="AN91">
            <v>0</v>
          </cell>
          <cell r="AP91">
            <v>41584.133636363636</v>
          </cell>
          <cell r="AQ91">
            <v>662423.89087878785</v>
          </cell>
          <cell r="AR91">
            <v>262732.38929868524</v>
          </cell>
          <cell r="AS91">
            <v>9401</v>
          </cell>
        </row>
        <row r="92">
          <cell r="C92">
            <v>-1308</v>
          </cell>
          <cell r="N92">
            <v>11268</v>
          </cell>
          <cell r="P92">
            <v>-11268</v>
          </cell>
          <cell r="Q92">
            <v>24661</v>
          </cell>
          <cell r="S92">
            <v>-24661</v>
          </cell>
          <cell r="T92">
            <v>1183</v>
          </cell>
          <cell r="X92">
            <v>-1183</v>
          </cell>
          <cell r="Y92">
            <v>3527.9775757575753</v>
          </cell>
          <cell r="AB92">
            <v>432</v>
          </cell>
          <cell r="AC92">
            <v>-3095.9775757575753</v>
          </cell>
          <cell r="AD92">
            <v>2635</v>
          </cell>
          <cell r="AE92">
            <v>2635</v>
          </cell>
          <cell r="AF92">
            <v>0</v>
          </cell>
          <cell r="AI92">
            <v>0</v>
          </cell>
          <cell r="AJ92" t="e">
            <v>#REF!</v>
          </cell>
          <cell r="AN92" t="e">
            <v>#REF!</v>
          </cell>
          <cell r="AO92">
            <v>1616</v>
          </cell>
          <cell r="AP92" t="e">
            <v>#REF!</v>
          </cell>
          <cell r="AS92">
            <v>2048</v>
          </cell>
        </row>
        <row r="93">
          <cell r="C93">
            <v>0</v>
          </cell>
          <cell r="N93">
            <v>5092</v>
          </cell>
          <cell r="P93">
            <v>-5092</v>
          </cell>
          <cell r="Q93">
            <v>8742</v>
          </cell>
          <cell r="S93">
            <v>-8742</v>
          </cell>
          <cell r="T93">
            <v>0</v>
          </cell>
          <cell r="W93">
            <v>0</v>
          </cell>
          <cell r="X93">
            <v>0</v>
          </cell>
          <cell r="Y93">
            <v>0</v>
          </cell>
          <cell r="AB93">
            <v>432</v>
          </cell>
          <cell r="AC93">
            <v>432</v>
          </cell>
          <cell r="AD93">
            <v>2635</v>
          </cell>
          <cell r="AE93">
            <v>2635</v>
          </cell>
          <cell r="AF93">
            <v>0</v>
          </cell>
          <cell r="AI93">
            <v>0</v>
          </cell>
          <cell r="AJ93">
            <v>-2635</v>
          </cell>
          <cell r="AN93" t="e">
            <v>#REF!</v>
          </cell>
          <cell r="AP93" t="e">
            <v>#REF!</v>
          </cell>
          <cell r="AS93">
            <v>432</v>
          </cell>
        </row>
        <row r="95">
          <cell r="C95">
            <v>-1308</v>
          </cell>
          <cell r="N95">
            <v>6176</v>
          </cell>
          <cell r="P95">
            <v>-6176</v>
          </cell>
          <cell r="Q95">
            <v>15919</v>
          </cell>
          <cell r="R95">
            <v>0</v>
          </cell>
          <cell r="S95">
            <v>-15919</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E119" t="e">
            <v>#REF!</v>
          </cell>
          <cell r="AF119" t="e">
            <v>#REF!</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6176.4</v>
          </cell>
          <cell r="P122">
            <v>-6176.4</v>
          </cell>
          <cell r="Q122">
            <v>16679.134000000002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50420</v>
          </cell>
          <cell r="AW146">
            <v>28491.291575757579</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1437.3333333333333</v>
          </cell>
          <cell r="O153">
            <v>272</v>
          </cell>
          <cell r="P153">
            <v>-1165.3333333333333</v>
          </cell>
          <cell r="Q153">
            <v>5429.2727272727279</v>
          </cell>
          <cell r="R153">
            <v>1487</v>
          </cell>
          <cell r="S153">
            <v>-3942.2727272727279</v>
          </cell>
          <cell r="T153">
            <v>2975.1818181818185</v>
          </cell>
          <cell r="U153">
            <v>1435</v>
          </cell>
          <cell r="V153">
            <v>1540.1818181818185</v>
          </cell>
          <cell r="W153">
            <v>831</v>
          </cell>
          <cell r="X153">
            <v>-2144.1818181818185</v>
          </cell>
          <cell r="Y153">
            <v>1952.2727272727273</v>
          </cell>
          <cell r="Z153">
            <v>874</v>
          </cell>
          <cell r="AA153">
            <v>1078.2727272727273</v>
          </cell>
          <cell r="AB153">
            <v>596</v>
          </cell>
          <cell r="AC153">
            <v>-1356.2727272727273</v>
          </cell>
          <cell r="AD153">
            <v>2181.181818181818</v>
          </cell>
          <cell r="AE153">
            <v>2181</v>
          </cell>
          <cell r="AF153">
            <v>0.18181818181824383</v>
          </cell>
          <cell r="AG153">
            <v>437</v>
          </cell>
          <cell r="AH153">
            <v>265</v>
          </cell>
          <cell r="AI153">
            <v>0</v>
          </cell>
          <cell r="AJ153">
            <v>-1744.181818181818</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11268</v>
          </cell>
          <cell r="O162">
            <v>0</v>
          </cell>
          <cell r="P162">
            <v>-11268</v>
          </cell>
          <cell r="Q162">
            <v>1739.5839999999998</v>
          </cell>
          <cell r="R162">
            <v>800</v>
          </cell>
          <cell r="S162">
            <v>-939.58399999999983</v>
          </cell>
          <cell r="T162">
            <v>1183</v>
          </cell>
          <cell r="U162">
            <v>0</v>
          </cell>
          <cell r="V162">
            <v>0</v>
          </cell>
          <cell r="W162">
            <v>0</v>
          </cell>
          <cell r="X162">
            <v>-1183</v>
          </cell>
          <cell r="Y162">
            <v>3527.9775757575753</v>
          </cell>
          <cell r="Z162">
            <v>0</v>
          </cell>
          <cell r="AA162">
            <v>0</v>
          </cell>
          <cell r="AB162">
            <v>432</v>
          </cell>
          <cell r="AC162">
            <v>-3095.9775757575753</v>
          </cell>
          <cell r="AD162" t="e">
            <v>#REF!</v>
          </cell>
          <cell r="AE162">
            <v>2635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8907.5227272727279</v>
          </cell>
          <cell r="O164">
            <v>2062</v>
          </cell>
          <cell r="P164">
            <v>-6845.5227272727279</v>
          </cell>
          <cell r="Q164">
            <v>18788.680909090908</v>
          </cell>
          <cell r="R164">
            <v>5523</v>
          </cell>
          <cell r="S164">
            <v>-13265.680909090908</v>
          </cell>
          <cell r="T164">
            <v>6953.1772727272728</v>
          </cell>
          <cell r="U164">
            <v>3221</v>
          </cell>
          <cell r="V164">
            <v>3732.1772727272732</v>
          </cell>
          <cell r="W164">
            <v>2210</v>
          </cell>
          <cell r="X164">
            <v>-4743.1772727272728</v>
          </cell>
          <cell r="Y164">
            <v>5686.5072727272727</v>
          </cell>
          <cell r="Z164">
            <v>2495</v>
          </cell>
          <cell r="AA164">
            <v>3191.5072727272727</v>
          </cell>
          <cell r="AB164">
            <v>1749</v>
          </cell>
          <cell r="AC164">
            <v>-3937.5072727272727</v>
          </cell>
          <cell r="AD164">
            <v>16785.066363636361</v>
          </cell>
          <cell r="AE164">
            <v>15260.045454545454</v>
          </cell>
          <cell r="AF164">
            <v>1525.0209090909086</v>
          </cell>
          <cell r="AG164">
            <v>4464</v>
          </cell>
          <cell r="AH164">
            <v>3202</v>
          </cell>
          <cell r="AI164">
            <v>427</v>
          </cell>
          <cell r="AJ164">
            <v>-12321.066363636361</v>
          </cell>
          <cell r="AK164">
            <v>0</v>
          </cell>
          <cell r="AL164">
            <v>0</v>
          </cell>
          <cell r="AM164">
            <v>0</v>
          </cell>
          <cell r="AN164" t="e">
            <v>#REF!</v>
          </cell>
          <cell r="AO164">
            <v>0</v>
          </cell>
          <cell r="AP164" t="e">
            <v>#REF!</v>
          </cell>
          <cell r="AS164">
            <v>13703</v>
          </cell>
        </row>
        <row r="165">
          <cell r="C165">
            <v>37</v>
          </cell>
          <cell r="N165">
            <v>182.13333333333333</v>
          </cell>
          <cell r="O165">
            <v>51</v>
          </cell>
          <cell r="P165">
            <v>-131.13333333333333</v>
          </cell>
          <cell r="Q165">
            <v>338.73333333333335</v>
          </cell>
          <cell r="R165">
            <v>62</v>
          </cell>
          <cell r="S165">
            <v>-276.73333333333335</v>
          </cell>
          <cell r="T165">
            <v>6969.3333333333339</v>
          </cell>
          <cell r="U165">
            <v>3406</v>
          </cell>
          <cell r="V165">
            <v>3563.3333333333339</v>
          </cell>
          <cell r="W165">
            <v>2464</v>
          </cell>
          <cell r="X165">
            <v>-4505.3333333333339</v>
          </cell>
          <cell r="Y165">
            <v>521.46666666666658</v>
          </cell>
          <cell r="Z165">
            <v>57</v>
          </cell>
          <cell r="AA165">
            <v>74.533333333333331</v>
          </cell>
          <cell r="AB165">
            <v>27</v>
          </cell>
          <cell r="AC165">
            <v>-494.46666666666658</v>
          </cell>
          <cell r="AD165">
            <v>157.30000000000001</v>
          </cell>
          <cell r="AE165">
            <v>139</v>
          </cell>
          <cell r="AF165">
            <v>18.3</v>
          </cell>
          <cell r="AG165">
            <v>44</v>
          </cell>
          <cell r="AH165">
            <v>15</v>
          </cell>
          <cell r="AI165">
            <v>29</v>
          </cell>
          <cell r="AJ165">
            <v>-113.30000000000001</v>
          </cell>
          <cell r="AK165">
            <v>0</v>
          </cell>
          <cell r="AL165">
            <v>0</v>
          </cell>
          <cell r="AM165">
            <v>0</v>
          </cell>
          <cell r="AN165">
            <v>19</v>
          </cell>
          <cell r="AO165">
            <v>0</v>
          </cell>
          <cell r="AP165">
            <v>8111.6666666666679</v>
          </cell>
          <cell r="AS165">
            <v>2610</v>
          </cell>
        </row>
        <row r="166">
          <cell r="C166">
            <v>4759.7580000000007</v>
          </cell>
          <cell r="N166">
            <v>10466.242666666667</v>
          </cell>
          <cell r="Q166">
            <v>64050.961666666662</v>
          </cell>
          <cell r="T166">
            <v>14053.934666666624</v>
          </cell>
          <cell r="Y166">
            <v>8714.5757575757561</v>
          </cell>
          <cell r="AE166">
            <v>15854.354000000003</v>
          </cell>
          <cell r="AG166">
            <v>2466</v>
          </cell>
          <cell r="AH166">
            <v>2561</v>
          </cell>
          <cell r="AN166" t="e">
            <v>#REF!</v>
          </cell>
          <cell r="AP166" t="e">
            <v>#REF!</v>
          </cell>
        </row>
        <row r="167">
          <cell r="C167" t="e">
            <v>#REF!</v>
          </cell>
          <cell r="N167">
            <v>5092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69193.196636363631</v>
          </cell>
          <cell r="T227">
            <v>32514.380545454504</v>
          </cell>
          <cell r="Y227" t="e">
            <v>#REF!</v>
          </cell>
          <cell r="AN227" t="e">
            <v>#REF!</v>
          </cell>
          <cell r="AP227" t="e">
            <v>#REF!</v>
          </cell>
          <cell r="AQ227" t="e">
            <v>#REF!</v>
          </cell>
        </row>
        <row r="228">
          <cell r="C228" t="e">
            <v>#REF!</v>
          </cell>
          <cell r="N228" t="e">
            <v>#REF!</v>
          </cell>
          <cell r="Q228">
            <v>27763.491727272722</v>
          </cell>
          <cell r="T228">
            <v>16841.725272727232</v>
          </cell>
          <cell r="Y228" t="e">
            <v>#REF!</v>
          </cell>
          <cell r="AP228" t="e">
            <v>#REF!</v>
          </cell>
          <cell r="AQ228" t="e">
            <v>#REF!</v>
          </cell>
        </row>
        <row r="230">
          <cell r="C230">
            <v>1334.2</v>
          </cell>
          <cell r="N230">
            <v>8907.5227272727279</v>
          </cell>
          <cell r="Q230">
            <v>18788.680909090908</v>
          </cell>
          <cell r="T230">
            <v>6953.1772727272728</v>
          </cell>
          <cell r="Y230">
            <v>5686.5072727272727</v>
          </cell>
          <cell r="AN230" t="e">
            <v>#REF!</v>
          </cell>
          <cell r="AP230" t="e">
            <v>#REF!</v>
          </cell>
          <cell r="AQ230" t="e">
            <v>#REF!</v>
          </cell>
        </row>
        <row r="231">
          <cell r="C231">
            <v>416.54545454545456</v>
          </cell>
          <cell r="N231">
            <v>2827</v>
          </cell>
          <cell r="Q231">
            <v>5124</v>
          </cell>
          <cell r="T231">
            <v>1895</v>
          </cell>
          <cell r="Y231">
            <v>1550</v>
          </cell>
          <cell r="AP231" t="e">
            <v>#REF!</v>
          </cell>
          <cell r="AQ231" t="e">
            <v>#REF!</v>
          </cell>
        </row>
        <row r="232">
          <cell r="AQ232" t="e">
            <v>#REF!</v>
          </cell>
        </row>
        <row r="233">
          <cell r="C233">
            <v>0</v>
          </cell>
          <cell r="N233">
            <v>0</v>
          </cell>
          <cell r="Q233">
            <v>149.13333333333333</v>
          </cell>
          <cell r="T233">
            <v>6799.4000000000005</v>
          </cell>
          <cell r="Y233">
            <v>131.53333333333333</v>
          </cell>
          <cell r="AP233">
            <v>7084.0666666666675</v>
          </cell>
          <cell r="AQ233" t="e">
            <v>#REF!</v>
          </cell>
        </row>
        <row r="234">
          <cell r="C234">
            <v>0</v>
          </cell>
          <cell r="N234">
            <v>0</v>
          </cell>
          <cell r="Q234">
            <v>0</v>
          </cell>
          <cell r="T234">
            <v>0</v>
          </cell>
          <cell r="Y234">
            <v>0</v>
          </cell>
          <cell r="AP234">
            <v>19</v>
          </cell>
          <cell r="AQ234" t="e">
            <v>#REF!</v>
          </cell>
        </row>
        <row r="235">
          <cell r="C235">
            <v>561</v>
          </cell>
          <cell r="N235">
            <v>0</v>
          </cell>
          <cell r="Q235">
            <v>526.04999999999995</v>
          </cell>
          <cell r="T235">
            <v>0</v>
          </cell>
          <cell r="Y235">
            <v>0</v>
          </cell>
          <cell r="AP235" t="e">
            <v>#REF!</v>
          </cell>
          <cell r="AQ235" t="e">
            <v>#REF!</v>
          </cell>
        </row>
        <row r="236">
          <cell r="AQ236" t="e">
            <v>#REF!</v>
          </cell>
        </row>
        <row r="237">
          <cell r="C237">
            <v>-1308</v>
          </cell>
          <cell r="N237">
            <v>11268</v>
          </cell>
          <cell r="Q237">
            <v>1739.5839999999998</v>
          </cell>
          <cell r="T237">
            <v>1183</v>
          </cell>
          <cell r="Y237">
            <v>3527.9775757575753</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3387</v>
          </cell>
          <cell r="Q243">
            <v>6353</v>
          </cell>
          <cell r="T243">
            <v>929.25866666666661</v>
          </cell>
          <cell r="Y243">
            <v>737.22533333333331</v>
          </cell>
          <cell r="AP243">
            <v>16015.366500142667</v>
          </cell>
          <cell r="AQ243" t="e">
            <v>#REF!</v>
          </cell>
        </row>
        <row r="244">
          <cell r="C244">
            <v>521</v>
          </cell>
          <cell r="N244">
            <v>59</v>
          </cell>
          <cell r="Q244">
            <v>921</v>
          </cell>
          <cell r="T244">
            <v>372.62666666666667</v>
          </cell>
          <cell r="Y244">
            <v>389.78399999999999</v>
          </cell>
          <cell r="AP244">
            <v>2426.6078749021572</v>
          </cell>
          <cell r="AQ244" t="e">
            <v>#REF!</v>
          </cell>
        </row>
        <row r="245">
          <cell r="AQ245" t="e">
            <v>#REF!</v>
          </cell>
        </row>
        <row r="246">
          <cell r="C246">
            <v>4</v>
          </cell>
          <cell r="N246">
            <v>1</v>
          </cell>
          <cell r="Q246">
            <v>0</v>
          </cell>
          <cell r="T246">
            <v>138.19266666666664</v>
          </cell>
          <cell r="Y246">
            <v>-46.472000000000008</v>
          </cell>
          <cell r="AP246">
            <v>96.720666666666631</v>
          </cell>
          <cell r="AQ246" t="e">
            <v>#REF!</v>
          </cell>
        </row>
        <row r="247">
          <cell r="C247">
            <v>53</v>
          </cell>
          <cell r="N247">
            <v>317.95266666666669</v>
          </cell>
          <cell r="Q247">
            <v>14676.890666666668</v>
          </cell>
          <cell r="T247">
            <v>0</v>
          </cell>
          <cell r="Y247">
            <v>0</v>
          </cell>
          <cell r="AP247">
            <v>17860.515333333333</v>
          </cell>
          <cell r="AQ247" t="e">
            <v>#REF!</v>
          </cell>
        </row>
        <row r="248">
          <cell r="C248">
            <v>0</v>
          </cell>
          <cell r="N248">
            <v>0</v>
          </cell>
          <cell r="Q248">
            <v>0</v>
          </cell>
          <cell r="T248">
            <v>0</v>
          </cell>
          <cell r="Y248">
            <v>0</v>
          </cell>
          <cell r="AP248">
            <v>658.33066666666662</v>
          </cell>
          <cell r="AQ248" t="e">
            <v>#REF!</v>
          </cell>
        </row>
        <row r="249">
          <cell r="C249">
            <v>3706</v>
          </cell>
          <cell r="N249">
            <v>0</v>
          </cell>
          <cell r="Q249">
            <v>0</v>
          </cell>
          <cell r="T249">
            <v>0</v>
          </cell>
          <cell r="Y249">
            <v>18</v>
          </cell>
          <cell r="AP249">
            <v>3724</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24721.41372727272</v>
          </cell>
          <cell r="T252">
            <v>15659.489272727227</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1"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t="str">
            <v>+</v>
          </cell>
          <cell r="Y29" t="str">
            <v>+</v>
          </cell>
          <cell r="AD29" t="str">
            <v>+</v>
          </cell>
          <cell r="AE29" t="str">
            <v>+</v>
          </cell>
          <cell r="AF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22720.2</v>
          </cell>
          <cell r="N39">
            <v>34558.056727272728</v>
          </cell>
          <cell r="O39">
            <v>6571</v>
          </cell>
          <cell r="P39">
            <v>-27987.056727272728</v>
          </cell>
          <cell r="Q39">
            <v>91572.222696969693</v>
          </cell>
          <cell r="R39">
            <v>23576</v>
          </cell>
          <cell r="S39">
            <v>-67996.222696969693</v>
          </cell>
          <cell r="T39">
            <v>30972.740242424297</v>
          </cell>
          <cell r="W39">
            <v>8380</v>
          </cell>
          <cell r="X39">
            <v>-22592.740242424297</v>
          </cell>
          <cell r="Y39">
            <v>19357.834060606037</v>
          </cell>
          <cell r="Z39">
            <v>7534</v>
          </cell>
          <cell r="AA39">
            <v>11433.552727272716</v>
          </cell>
          <cell r="AB39">
            <v>5452</v>
          </cell>
          <cell r="AC39">
            <v>-13905.834060606037</v>
          </cell>
          <cell r="AD39">
            <v>45046.924424242425</v>
          </cell>
          <cell r="AE39">
            <v>36955.447090909096</v>
          </cell>
          <cell r="AF39">
            <v>8091.4773333333314</v>
          </cell>
          <cell r="AG39">
            <v>8513</v>
          </cell>
          <cell r="AH39">
            <v>6481</v>
          </cell>
          <cell r="AI39">
            <v>2032</v>
          </cell>
          <cell r="AJ39">
            <v>-36533.924424242425</v>
          </cell>
          <cell r="AN39" t="e">
            <v>#REF!</v>
          </cell>
        </row>
        <row r="40">
          <cell r="C40">
            <v>6661.2000000000007</v>
          </cell>
        </row>
        <row r="41">
          <cell r="C41">
            <v>1334.2</v>
          </cell>
          <cell r="D41">
            <v>443</v>
          </cell>
          <cell r="E41">
            <v>691.2</v>
          </cell>
          <cell r="N41">
            <v>9853.7727272727279</v>
          </cell>
          <cell r="Q41">
            <v>20350.500909090908</v>
          </cell>
          <cell r="T41">
            <v>7594.1272727272735</v>
          </cell>
          <cell r="U41">
            <v>3221</v>
          </cell>
          <cell r="V41">
            <v>4373.1272727272735</v>
          </cell>
          <cell r="Y41">
            <v>6222.3672727272733</v>
          </cell>
          <cell r="Z41">
            <v>2495</v>
          </cell>
          <cell r="AA41">
            <v>3727.3672727272728</v>
          </cell>
          <cell r="AE41">
            <v>16792.954545454544</v>
          </cell>
          <cell r="AG41">
            <v>4464</v>
          </cell>
          <cell r="AH41">
            <v>3202</v>
          </cell>
          <cell r="AN41" t="e">
            <v>#REF!</v>
          </cell>
          <cell r="AR41">
            <v>8100.4945454545468</v>
          </cell>
        </row>
        <row r="42">
          <cell r="Q42">
            <v>970</v>
          </cell>
          <cell r="V42">
            <v>750</v>
          </cell>
          <cell r="AA42">
            <v>590</v>
          </cell>
          <cell r="AR42">
            <v>2095</v>
          </cell>
        </row>
        <row r="46">
          <cell r="C46">
            <v>743</v>
          </cell>
          <cell r="D46">
            <v>327</v>
          </cell>
          <cell r="E46">
            <v>416</v>
          </cell>
          <cell r="N46">
            <v>4075.404</v>
          </cell>
          <cell r="O46">
            <v>1204</v>
          </cell>
          <cell r="P46">
            <v>-2871.404</v>
          </cell>
          <cell r="Q46">
            <v>8700.9493333333339</v>
          </cell>
          <cell r="R46">
            <v>2125</v>
          </cell>
          <cell r="S46">
            <v>-6575.9493333333339</v>
          </cell>
          <cell r="T46">
            <v>2326.0213333333331</v>
          </cell>
          <cell r="U46">
            <v>834</v>
          </cell>
          <cell r="V46">
            <v>1492.0213333333331</v>
          </cell>
          <cell r="W46">
            <v>431</v>
          </cell>
          <cell r="X46">
            <v>-1895.0213333333331</v>
          </cell>
          <cell r="Y46">
            <v>1936.060666666667</v>
          </cell>
          <cell r="Z46">
            <v>784</v>
          </cell>
          <cell r="AA46">
            <v>1152.060666666667</v>
          </cell>
          <cell r="AB46">
            <v>400</v>
          </cell>
          <cell r="AC46">
            <v>-1536.060666666667</v>
          </cell>
          <cell r="AD46">
            <v>4870.058</v>
          </cell>
          <cell r="AE46">
            <v>4160.93</v>
          </cell>
          <cell r="AF46">
            <v>709.1279999999997</v>
          </cell>
          <cell r="AG46">
            <v>1087</v>
          </cell>
          <cell r="AH46">
            <v>292</v>
          </cell>
          <cell r="AI46">
            <v>134</v>
          </cell>
          <cell r="AJ46">
            <v>-3783.058</v>
          </cell>
          <cell r="AN46">
            <v>0</v>
          </cell>
          <cell r="AP46">
            <v>22196.085333333336</v>
          </cell>
          <cell r="AQ46">
            <v>6199.0039999999999</v>
          </cell>
          <cell r="AR46">
            <v>15997.081333333335</v>
          </cell>
          <cell r="AS46">
            <v>4452</v>
          </cell>
          <cell r="AT46">
            <v>-17744.085333333336</v>
          </cell>
          <cell r="AU46">
            <v>1618</v>
          </cell>
          <cell r="AV46">
            <v>5602</v>
          </cell>
          <cell r="AW46">
            <v>4581.0039999999999</v>
          </cell>
          <cell r="AX46">
            <v>10395.081333333335</v>
          </cell>
        </row>
        <row r="47">
          <cell r="C47">
            <v>1122</v>
          </cell>
          <cell r="E47">
            <v>1122</v>
          </cell>
          <cell r="N47">
            <v>3754</v>
          </cell>
          <cell r="Q47">
            <v>7041</v>
          </cell>
          <cell r="T47">
            <v>1022.2586666666666</v>
          </cell>
          <cell r="U47">
            <v>428</v>
          </cell>
          <cell r="V47">
            <v>594.25866666666661</v>
          </cell>
          <cell r="Y47">
            <v>827.22533333333331</v>
          </cell>
          <cell r="Z47">
            <v>325</v>
          </cell>
          <cell r="AA47">
            <v>502.22533333333331</v>
          </cell>
          <cell r="AC47">
            <v>-827.22533333333331</v>
          </cell>
          <cell r="AD47">
            <v>4184.1707200000001</v>
          </cell>
          <cell r="AE47">
            <v>3776.8825001426667</v>
          </cell>
          <cell r="AP47">
            <v>17543.366500142667</v>
          </cell>
        </row>
        <row r="48">
          <cell r="C48">
            <v>2</v>
          </cell>
          <cell r="E48">
            <v>2</v>
          </cell>
          <cell r="N48">
            <v>1</v>
          </cell>
          <cell r="Q48">
            <v>0</v>
          </cell>
          <cell r="T48">
            <v>143.19266666666664</v>
          </cell>
          <cell r="U48">
            <v>51</v>
          </cell>
          <cell r="V48">
            <v>92.192666666666639</v>
          </cell>
          <cell r="Y48">
            <v>-46.472000000000008</v>
          </cell>
          <cell r="Z48">
            <v>-136</v>
          </cell>
          <cell r="AA48">
            <v>89.527999999999992</v>
          </cell>
          <cell r="AC48">
            <v>46.472000000000008</v>
          </cell>
          <cell r="AD48">
            <v>0</v>
          </cell>
          <cell r="AE48">
            <v>0</v>
          </cell>
          <cell r="AP48">
            <v>99.720666666666631</v>
          </cell>
        </row>
        <row r="49">
          <cell r="C49">
            <v>521</v>
          </cell>
          <cell r="E49">
            <v>521</v>
          </cell>
          <cell r="N49">
            <v>79</v>
          </cell>
          <cell r="Q49">
            <v>942</v>
          </cell>
          <cell r="T49">
            <v>442.62666666666667</v>
          </cell>
          <cell r="U49">
            <v>186</v>
          </cell>
          <cell r="V49">
            <v>256.62666666666667</v>
          </cell>
          <cell r="Y49">
            <v>414.78399999999999</v>
          </cell>
          <cell r="Z49">
            <v>187</v>
          </cell>
          <cell r="AA49">
            <v>227.78399999999999</v>
          </cell>
          <cell r="AC49">
            <v>-414.78399999999999</v>
          </cell>
          <cell r="AD49">
            <v>209.34026666666668</v>
          </cell>
          <cell r="AE49">
            <v>178.19720823549071</v>
          </cell>
          <cell r="AP49">
            <v>2577.6078749021572</v>
          </cell>
        </row>
        <row r="50">
          <cell r="C50">
            <v>2</v>
          </cell>
          <cell r="D50">
            <v>2</v>
          </cell>
          <cell r="E50">
            <v>0</v>
          </cell>
          <cell r="N50">
            <v>436.59066666666666</v>
          </cell>
          <cell r="O50">
            <v>121</v>
          </cell>
          <cell r="P50">
            <v>-315.59066666666666</v>
          </cell>
          <cell r="Q50">
            <v>4420.8346666666666</v>
          </cell>
          <cell r="R50">
            <v>1386</v>
          </cell>
          <cell r="S50">
            <v>-3034.8346666666666</v>
          </cell>
          <cell r="T50">
            <v>9010.4773333333324</v>
          </cell>
          <cell r="U50">
            <v>3806</v>
          </cell>
          <cell r="V50">
            <v>5204.4773333333324</v>
          </cell>
          <cell r="W50">
            <v>2636</v>
          </cell>
          <cell r="X50">
            <v>-6374.4773333333324</v>
          </cell>
          <cell r="Y50">
            <v>1206.6406666666667</v>
          </cell>
          <cell r="Z50">
            <v>347</v>
          </cell>
          <cell r="AA50">
            <v>859.64066666666668</v>
          </cell>
          <cell r="AB50">
            <v>292</v>
          </cell>
          <cell r="AC50">
            <v>-914.64066666666668</v>
          </cell>
          <cell r="AD50">
            <v>1894.2906666666663</v>
          </cell>
          <cell r="AE50">
            <v>1362.72</v>
          </cell>
          <cell r="AF50">
            <v>531.57066666666628</v>
          </cell>
          <cell r="AG50">
            <v>288</v>
          </cell>
          <cell r="AH50">
            <v>601</v>
          </cell>
          <cell r="AI50">
            <v>56</v>
          </cell>
          <cell r="AJ50">
            <v>-1606.2906666666663</v>
          </cell>
          <cell r="AN50">
            <v>0</v>
          </cell>
          <cell r="AP50">
            <v>16400.663333333334</v>
          </cell>
          <cell r="AQ50">
            <v>4596.9906666666666</v>
          </cell>
          <cell r="AR50">
            <v>11803.672666666667</v>
          </cell>
          <cell r="AS50">
            <v>5036</v>
          </cell>
          <cell r="AT50">
            <v>-11364.663333333334</v>
          </cell>
          <cell r="AU50">
            <v>4153</v>
          </cell>
          <cell r="AV50">
            <v>7567</v>
          </cell>
          <cell r="AW50">
            <v>443.99066666666658</v>
          </cell>
          <cell r="AX50">
            <v>4236.6726666666673</v>
          </cell>
        </row>
        <row r="51">
          <cell r="C51">
            <v>0</v>
          </cell>
          <cell r="D51">
            <v>0</v>
          </cell>
          <cell r="E51">
            <v>0</v>
          </cell>
          <cell r="N51">
            <v>0</v>
          </cell>
          <cell r="P51">
            <v>0</v>
          </cell>
          <cell r="Q51">
            <v>162.79999999999998</v>
          </cell>
          <cell r="R51">
            <v>54</v>
          </cell>
          <cell r="S51">
            <v>-108.79999999999998</v>
          </cell>
          <cell r="T51">
            <v>7199.4000000000005</v>
          </cell>
          <cell r="U51">
            <v>3230</v>
          </cell>
          <cell r="V51">
            <v>3969.4000000000005</v>
          </cell>
          <cell r="W51">
            <v>2407</v>
          </cell>
          <cell r="X51">
            <v>-4792.4000000000005</v>
          </cell>
          <cell r="Y51">
            <v>144.86666666666667</v>
          </cell>
          <cell r="Z51">
            <v>57</v>
          </cell>
          <cell r="AA51">
            <v>87.866666666666674</v>
          </cell>
          <cell r="AB51">
            <v>20</v>
          </cell>
          <cell r="AC51">
            <v>-124.86666666666667</v>
          </cell>
          <cell r="AD51">
            <v>5.6</v>
          </cell>
          <cell r="AE51">
            <v>4</v>
          </cell>
          <cell r="AF51">
            <v>1.5999999999999996</v>
          </cell>
          <cell r="AI51">
            <v>0</v>
          </cell>
          <cell r="AJ51">
            <v>-5.6</v>
          </cell>
          <cell r="AP51">
            <v>7511.0666666666675</v>
          </cell>
          <cell r="AQ51">
            <v>3287</v>
          </cell>
          <cell r="AR51">
            <v>4224.0666666666675</v>
          </cell>
          <cell r="AS51">
            <v>2481</v>
          </cell>
          <cell r="AT51">
            <v>-5030.0666666666675</v>
          </cell>
          <cell r="AU51">
            <v>3287</v>
          </cell>
          <cell r="AV51">
            <v>4113</v>
          </cell>
          <cell r="AW51">
            <v>0</v>
          </cell>
          <cell r="AX51">
            <v>111.06666666666752</v>
          </cell>
        </row>
        <row r="52">
          <cell r="C52">
            <v>0</v>
          </cell>
          <cell r="D52">
            <v>0</v>
          </cell>
          <cell r="E52">
            <v>0</v>
          </cell>
          <cell r="N52">
            <v>0</v>
          </cell>
          <cell r="P52">
            <v>0</v>
          </cell>
          <cell r="Q52">
            <v>104052</v>
          </cell>
          <cell r="R52">
            <v>61402</v>
          </cell>
          <cell r="S52">
            <v>-42650</v>
          </cell>
          <cell r="T52">
            <v>227529</v>
          </cell>
          <cell r="U52">
            <v>108806.34756097561</v>
          </cell>
          <cell r="V52">
            <v>118722.65243902439</v>
          </cell>
          <cell r="W52">
            <v>93632</v>
          </cell>
          <cell r="X52">
            <v>-133897</v>
          </cell>
          <cell r="Y52">
            <v>197077</v>
          </cell>
          <cell r="Z52">
            <v>86757.750161952048</v>
          </cell>
          <cell r="AA52">
            <v>110319.24983804795</v>
          </cell>
          <cell r="AB52">
            <v>76301</v>
          </cell>
          <cell r="AC52">
            <v>-120776</v>
          </cell>
          <cell r="AD52">
            <v>0</v>
          </cell>
          <cell r="AE52">
            <v>0</v>
          </cell>
          <cell r="AF52">
            <v>0</v>
          </cell>
          <cell r="AI52">
            <v>0</v>
          </cell>
          <cell r="AJ52">
            <v>0</v>
          </cell>
          <cell r="AN52">
            <v>0</v>
          </cell>
          <cell r="AP52">
            <v>528659</v>
          </cell>
          <cell r="AQ52">
            <v>195565.09772292766</v>
          </cell>
          <cell r="AR52">
            <v>333093.90227707231</v>
          </cell>
          <cell r="AS52">
            <v>231335</v>
          </cell>
          <cell r="AT52">
            <v>-297324</v>
          </cell>
          <cell r="AU52">
            <v>195564.09772292766</v>
          </cell>
          <cell r="AV52">
            <v>333094</v>
          </cell>
          <cell r="AW52">
            <v>1</v>
          </cell>
          <cell r="AX52">
            <v>-9.772292769048363E-2</v>
          </cell>
        </row>
        <row r="53">
          <cell r="C53">
            <v>14</v>
          </cell>
          <cell r="D53">
            <v>0</v>
          </cell>
          <cell r="E53">
            <v>14</v>
          </cell>
          <cell r="N53">
            <v>0</v>
          </cell>
          <cell r="P53">
            <v>0</v>
          </cell>
          <cell r="Q53">
            <v>104052</v>
          </cell>
          <cell r="R53">
            <v>61402</v>
          </cell>
          <cell r="S53">
            <v>-42650</v>
          </cell>
          <cell r="T53">
            <v>227529</v>
          </cell>
          <cell r="U53">
            <v>108806.34756097561</v>
          </cell>
          <cell r="V53">
            <v>118722.65243902439</v>
          </cell>
          <cell r="W53">
            <v>93632</v>
          </cell>
          <cell r="X53">
            <v>-133897</v>
          </cell>
          <cell r="Y53">
            <v>197077</v>
          </cell>
          <cell r="Z53">
            <v>86757.750161952048</v>
          </cell>
          <cell r="AA53">
            <v>110319.24983804795</v>
          </cell>
          <cell r="AB53">
            <v>46301</v>
          </cell>
          <cell r="AC53">
            <v>-150776</v>
          </cell>
          <cell r="AD53">
            <v>0</v>
          </cell>
          <cell r="AE53">
            <v>0</v>
          </cell>
          <cell r="AF53">
            <v>0</v>
          </cell>
          <cell r="AI53">
            <v>0</v>
          </cell>
          <cell r="AJ53">
            <v>0</v>
          </cell>
          <cell r="AP53">
            <v>528672</v>
          </cell>
          <cell r="AQ53">
            <v>195564.09772292766</v>
          </cell>
          <cell r="AR53">
            <v>333107.90227707231</v>
          </cell>
          <cell r="AS53">
            <v>201335</v>
          </cell>
          <cell r="AT53">
            <v>-327337</v>
          </cell>
          <cell r="AU53">
            <v>195564.09772292766</v>
          </cell>
          <cell r="AV53">
            <v>333094</v>
          </cell>
          <cell r="AW53">
            <v>0</v>
          </cell>
          <cell r="AX53">
            <v>13.902277072309516</v>
          </cell>
        </row>
        <row r="54">
          <cell r="C54">
            <v>854</v>
          </cell>
          <cell r="D54">
            <v>0</v>
          </cell>
          <cell r="E54">
            <v>854</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53</v>
          </cell>
          <cell r="D55">
            <v>6</v>
          </cell>
          <cell r="E55">
            <v>47</v>
          </cell>
          <cell r="N55">
            <v>376.61933333333337</v>
          </cell>
          <cell r="O55">
            <v>140</v>
          </cell>
          <cell r="P55">
            <v>-236.61933333333337</v>
          </cell>
          <cell r="Q55">
            <v>17046.890666666666</v>
          </cell>
          <cell r="R55">
            <v>8493</v>
          </cell>
          <cell r="S55">
            <v>-8553.8906666666662</v>
          </cell>
          <cell r="T55">
            <v>0</v>
          </cell>
          <cell r="U55">
            <v>0</v>
          </cell>
          <cell r="V55">
            <v>0</v>
          </cell>
          <cell r="X55">
            <v>0</v>
          </cell>
          <cell r="Y55">
            <v>0</v>
          </cell>
          <cell r="Z55">
            <v>0</v>
          </cell>
          <cell r="AA55">
            <v>0</v>
          </cell>
          <cell r="AB55">
            <v>0</v>
          </cell>
          <cell r="AC55">
            <v>0</v>
          </cell>
          <cell r="AD55">
            <v>7968.5233333333344</v>
          </cell>
          <cell r="AE55">
            <v>3312.672</v>
          </cell>
          <cell r="AF55">
            <v>4655.851333333334</v>
          </cell>
          <cell r="AG55">
            <v>809</v>
          </cell>
          <cell r="AH55">
            <v>810</v>
          </cell>
          <cell r="AI55">
            <v>1225</v>
          </cell>
          <cell r="AJ55">
            <v>-7159.5233333333344</v>
          </cell>
          <cell r="AN55">
            <v>0</v>
          </cell>
          <cell r="AP55">
            <v>20789.181999999997</v>
          </cell>
          <cell r="AQ55">
            <v>382.61933333333337</v>
          </cell>
          <cell r="AR55">
            <v>20406.562666666665</v>
          </cell>
          <cell r="AS55">
            <v>9442</v>
          </cell>
          <cell r="AT55">
            <v>-11347.181999999997</v>
          </cell>
          <cell r="AU55">
            <v>0</v>
          </cell>
          <cell r="AV55">
            <v>5796</v>
          </cell>
          <cell r="AW55">
            <v>382.61933333333337</v>
          </cell>
          <cell r="AX55">
            <v>14610.562666666665</v>
          </cell>
        </row>
        <row r="56">
          <cell r="C56">
            <v>772.2</v>
          </cell>
          <cell r="D56">
            <v>310</v>
          </cell>
          <cell r="E56">
            <v>462.20000000000005</v>
          </cell>
          <cell r="N56">
            <v>6007.439393939394</v>
          </cell>
          <cell r="O56">
            <v>1303</v>
          </cell>
          <cell r="P56">
            <v>-4704.439393939394</v>
          </cell>
          <cell r="Q56">
            <v>10537.50090909091</v>
          </cell>
          <cell r="R56">
            <v>2369</v>
          </cell>
          <cell r="S56">
            <v>-8168.5009090909098</v>
          </cell>
          <cell r="T56">
            <v>3179.5818181818186</v>
          </cell>
          <cell r="U56">
            <v>1300</v>
          </cell>
          <cell r="V56">
            <v>1879.5818181818186</v>
          </cell>
          <cell r="W56">
            <v>745</v>
          </cell>
          <cell r="X56">
            <v>-2434.5818181818186</v>
          </cell>
          <cell r="Y56">
            <v>2968.9127272727274</v>
          </cell>
          <cell r="Z56">
            <v>1178</v>
          </cell>
          <cell r="AA56">
            <v>1790.9127272727274</v>
          </cell>
          <cell r="AB56">
            <v>662</v>
          </cell>
          <cell r="AC56">
            <v>-2306.9127272727274</v>
          </cell>
          <cell r="AD56">
            <v>11785.935454545453</v>
          </cell>
          <cell r="AE56">
            <v>10515.045454545454</v>
          </cell>
          <cell r="AF56">
            <v>1270.8899999999994</v>
          </cell>
          <cell r="AG56">
            <v>2563</v>
          </cell>
          <cell r="AH56">
            <v>1747</v>
          </cell>
          <cell r="AI56">
            <v>306</v>
          </cell>
          <cell r="AJ56">
            <v>-9222.9354545454535</v>
          </cell>
          <cell r="AN56">
            <v>0</v>
          </cell>
          <cell r="AP56">
            <v>34751.680303030305</v>
          </cell>
          <cell r="AQ56">
            <v>9304.257575757576</v>
          </cell>
          <cell r="AR56">
            <v>25447.422727272729</v>
          </cell>
          <cell r="AS56">
            <v>6826</v>
          </cell>
          <cell r="AT56">
            <v>-27925.680303030305</v>
          </cell>
          <cell r="AU56">
            <v>2478</v>
          </cell>
          <cell r="AV56">
            <v>7253</v>
          </cell>
          <cell r="AW56">
            <v>6826.257575757576</v>
          </cell>
          <cell r="AX56">
            <v>18194.422727272729</v>
          </cell>
        </row>
        <row r="57">
          <cell r="C57">
            <v>27</v>
          </cell>
          <cell r="D57">
            <v>16</v>
          </cell>
          <cell r="E57">
            <v>11</v>
          </cell>
          <cell r="N57">
            <v>332</v>
          </cell>
          <cell r="O57">
            <v>70</v>
          </cell>
          <cell r="P57">
            <v>-262</v>
          </cell>
          <cell r="Q57">
            <v>582</v>
          </cell>
          <cell r="R57">
            <v>129</v>
          </cell>
          <cell r="S57">
            <v>-453</v>
          </cell>
          <cell r="T57">
            <v>174</v>
          </cell>
          <cell r="U57">
            <v>71</v>
          </cell>
          <cell r="V57">
            <v>103</v>
          </cell>
          <cell r="W57">
            <v>39</v>
          </cell>
          <cell r="X57">
            <v>-135</v>
          </cell>
          <cell r="Y57">
            <v>160</v>
          </cell>
          <cell r="Z57">
            <v>65</v>
          </cell>
          <cell r="AA57">
            <v>95</v>
          </cell>
          <cell r="AB57">
            <v>35</v>
          </cell>
          <cell r="AC57">
            <v>-125</v>
          </cell>
          <cell r="AD57">
            <v>648</v>
          </cell>
          <cell r="AE57">
            <v>577</v>
          </cell>
          <cell r="AF57">
            <v>71</v>
          </cell>
          <cell r="AG57">
            <v>136</v>
          </cell>
          <cell r="AH57">
            <v>96</v>
          </cell>
          <cell r="AI57">
            <v>18</v>
          </cell>
          <cell r="AJ57">
            <v>-512</v>
          </cell>
          <cell r="AN57">
            <v>0</v>
          </cell>
          <cell r="AP57">
            <v>1895</v>
          </cell>
          <cell r="AQ57">
            <v>512</v>
          </cell>
          <cell r="AR57">
            <v>1383</v>
          </cell>
          <cell r="AS57">
            <v>369</v>
          </cell>
          <cell r="AT57">
            <v>-1526</v>
          </cell>
          <cell r="AU57">
            <v>136</v>
          </cell>
          <cell r="AV57">
            <v>311</v>
          </cell>
          <cell r="AW57">
            <v>376</v>
          </cell>
          <cell r="AX57">
            <v>1072</v>
          </cell>
        </row>
        <row r="58">
          <cell r="C58">
            <v>335</v>
          </cell>
          <cell r="D58">
            <v>117</v>
          </cell>
          <cell r="E58">
            <v>218</v>
          </cell>
          <cell r="N58">
            <v>1925</v>
          </cell>
          <cell r="O58">
            <v>417</v>
          </cell>
          <cell r="P58">
            <v>-1508</v>
          </cell>
          <cell r="Q58">
            <v>3373</v>
          </cell>
          <cell r="R58">
            <v>610</v>
          </cell>
          <cell r="S58">
            <v>-2763</v>
          </cell>
          <cell r="T58">
            <v>1017</v>
          </cell>
          <cell r="U58">
            <v>415</v>
          </cell>
          <cell r="V58">
            <v>602</v>
          </cell>
          <cell r="W58">
            <v>229</v>
          </cell>
          <cell r="X58">
            <v>-788</v>
          </cell>
          <cell r="Y58">
            <v>950</v>
          </cell>
          <cell r="Z58">
            <v>378</v>
          </cell>
          <cell r="AA58">
            <v>572</v>
          </cell>
          <cell r="AB58">
            <v>205</v>
          </cell>
          <cell r="AC58">
            <v>-745</v>
          </cell>
          <cell r="AD58">
            <v>3772</v>
          </cell>
          <cell r="AE58">
            <v>3362</v>
          </cell>
          <cell r="AF58">
            <v>410</v>
          </cell>
          <cell r="AG58">
            <v>793</v>
          </cell>
          <cell r="AH58">
            <v>559</v>
          </cell>
          <cell r="AI58">
            <v>103</v>
          </cell>
          <cell r="AJ58">
            <v>-2979</v>
          </cell>
          <cell r="AN58">
            <v>0</v>
          </cell>
          <cell r="AP58">
            <v>11209</v>
          </cell>
          <cell r="AQ58">
            <v>2996</v>
          </cell>
          <cell r="AR58">
            <v>8213</v>
          </cell>
          <cell r="AS58">
            <v>2021</v>
          </cell>
          <cell r="AT58">
            <v>-9188</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5562</v>
          </cell>
          <cell r="O60">
            <v>1794</v>
          </cell>
          <cell r="P60">
            <v>-3768</v>
          </cell>
          <cell r="Q60">
            <v>12022</v>
          </cell>
          <cell r="R60">
            <v>3886</v>
          </cell>
          <cell r="S60">
            <v>-8136</v>
          </cell>
          <cell r="T60">
            <v>6493</v>
          </cell>
          <cell r="U60">
            <v>2648</v>
          </cell>
          <cell r="V60">
            <v>3845</v>
          </cell>
          <cell r="W60">
            <v>2064</v>
          </cell>
          <cell r="X60">
            <v>-4429</v>
          </cell>
          <cell r="Y60">
            <v>6741.666666666667</v>
          </cell>
          <cell r="Z60">
            <v>2612</v>
          </cell>
          <cell r="AA60">
            <v>4129.666666666667</v>
          </cell>
          <cell r="AB60">
            <v>2209</v>
          </cell>
          <cell r="AC60">
            <v>-4532.666666666667</v>
          </cell>
          <cell r="AD60">
            <v>5807.666666666667</v>
          </cell>
          <cell r="AE60">
            <v>5605.3333333333339</v>
          </cell>
          <cell r="AF60">
            <v>202.33333333333303</v>
          </cell>
          <cell r="AG60">
            <v>1641</v>
          </cell>
          <cell r="AH60">
            <v>1265</v>
          </cell>
          <cell r="AI60">
            <v>155</v>
          </cell>
          <cell r="AJ60">
            <v>-4166.666666666667</v>
          </cell>
          <cell r="AN60">
            <v>0</v>
          </cell>
          <cell r="AP60">
            <v>36479</v>
          </cell>
          <cell r="AQ60">
            <v>10935</v>
          </cell>
          <cell r="AR60">
            <v>25544</v>
          </cell>
          <cell r="AS60">
            <v>11218</v>
          </cell>
          <cell r="AT60">
            <v>-25261</v>
          </cell>
          <cell r="AU60">
            <v>5260</v>
          </cell>
          <cell r="AV60">
            <v>12062</v>
          </cell>
          <cell r="AW60">
            <v>5675</v>
          </cell>
          <cell r="AX60">
            <v>13482</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5562</v>
          </cell>
          <cell r="P62">
            <v>-5562</v>
          </cell>
          <cell r="Q62">
            <v>12022</v>
          </cell>
          <cell r="S62">
            <v>-12022</v>
          </cell>
          <cell r="T62">
            <v>1688.97</v>
          </cell>
          <cell r="U62">
            <v>53</v>
          </cell>
          <cell r="X62">
            <v>-1688.97</v>
          </cell>
          <cell r="Y62">
            <v>1810.26</v>
          </cell>
          <cell r="Z62">
            <v>65</v>
          </cell>
          <cell r="AA62">
            <v>1745.26</v>
          </cell>
          <cell r="AC62">
            <v>-1810.26</v>
          </cell>
          <cell r="AD62">
            <v>3089</v>
          </cell>
          <cell r="AE62">
            <v>3089</v>
          </cell>
          <cell r="AF62">
            <v>0</v>
          </cell>
          <cell r="AI62">
            <v>0</v>
          </cell>
          <cell r="AJ62">
            <v>-3089</v>
          </cell>
          <cell r="AP62">
            <v>24269.23</v>
          </cell>
          <cell r="AQ62">
            <v>5769</v>
          </cell>
          <cell r="AR62">
            <v>18500.23</v>
          </cell>
          <cell r="AS62">
            <v>0</v>
          </cell>
          <cell r="AT62">
            <v>-24269.23</v>
          </cell>
          <cell r="AV62">
            <v>5051</v>
          </cell>
        </row>
        <row r="63">
          <cell r="C63">
            <v>654</v>
          </cell>
          <cell r="D63">
            <v>0</v>
          </cell>
          <cell r="E63">
            <v>654</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654</v>
          </cell>
          <cell r="AQ63">
            <v>0</v>
          </cell>
          <cell r="AR63">
            <v>654</v>
          </cell>
          <cell r="AS63">
            <v>0</v>
          </cell>
          <cell r="AT63">
            <v>-654</v>
          </cell>
          <cell r="AV63">
            <v>0</v>
          </cell>
        </row>
        <row r="64">
          <cell r="C64">
            <v>0</v>
          </cell>
          <cell r="D64">
            <v>9</v>
          </cell>
          <cell r="E64">
            <v>-9</v>
          </cell>
          <cell r="N64">
            <v>0</v>
          </cell>
          <cell r="P64">
            <v>0</v>
          </cell>
          <cell r="Q64">
            <v>0</v>
          </cell>
          <cell r="S64">
            <v>0</v>
          </cell>
          <cell r="T64">
            <v>4804.03</v>
          </cell>
          <cell r="U64">
            <v>2595</v>
          </cell>
          <cell r="X64">
            <v>-4804.03</v>
          </cell>
          <cell r="Y64">
            <v>4931.4066666666668</v>
          </cell>
          <cell r="Z64">
            <v>2547</v>
          </cell>
          <cell r="AA64">
            <v>2384.4066666666668</v>
          </cell>
          <cell r="AC64">
            <v>-4931.4066666666668</v>
          </cell>
          <cell r="AD64">
            <v>2718.666666666667</v>
          </cell>
          <cell r="AE64">
            <v>2516.3333333333339</v>
          </cell>
          <cell r="AF64">
            <v>202.33333333333303</v>
          </cell>
          <cell r="AG64">
            <v>1641</v>
          </cell>
          <cell r="AH64">
            <v>1139</v>
          </cell>
          <cell r="AI64">
            <v>155</v>
          </cell>
          <cell r="AJ64">
            <v>-1077.666666666667</v>
          </cell>
          <cell r="AP64">
            <v>12258.77</v>
          </cell>
          <cell r="AS64">
            <v>1139</v>
          </cell>
          <cell r="AT64">
            <v>-11119.77</v>
          </cell>
        </row>
        <row r="65">
          <cell r="C65">
            <v>241</v>
          </cell>
          <cell r="D65">
            <v>63</v>
          </cell>
          <cell r="E65">
            <v>178</v>
          </cell>
          <cell r="N65">
            <v>7209</v>
          </cell>
          <cell r="O65">
            <v>1295</v>
          </cell>
          <cell r="P65">
            <v>-5914</v>
          </cell>
          <cell r="Q65">
            <v>16003.095454545455</v>
          </cell>
          <cell r="R65">
            <v>2254</v>
          </cell>
          <cell r="S65">
            <v>-13749.095454545455</v>
          </cell>
          <cell r="T65">
            <v>12363.25909090909</v>
          </cell>
          <cell r="U65">
            <v>5559</v>
          </cell>
          <cell r="V65">
            <v>6804.2590909090904</v>
          </cell>
          <cell r="W65">
            <v>1557</v>
          </cell>
          <cell r="X65">
            <v>-10806.25909090909</v>
          </cell>
          <cell r="Y65">
            <v>9028.7000000000007</v>
          </cell>
          <cell r="Z65">
            <v>4367</v>
          </cell>
          <cell r="AA65">
            <v>4661.7000000000007</v>
          </cell>
          <cell r="AB65">
            <v>1201</v>
          </cell>
          <cell r="AC65">
            <v>-7827.7000000000007</v>
          </cell>
          <cell r="AD65">
            <v>8711.9136363636353</v>
          </cell>
          <cell r="AE65">
            <v>8639.113636363636</v>
          </cell>
          <cell r="AF65">
            <v>72.799999999999272</v>
          </cell>
          <cell r="AG65">
            <v>1946</v>
          </cell>
          <cell r="AH65">
            <v>938</v>
          </cell>
          <cell r="AI65">
            <v>0</v>
          </cell>
          <cell r="AJ65">
            <v>-6765.9136363636353</v>
          </cell>
          <cell r="AP65">
            <v>53490.168181818182</v>
          </cell>
          <cell r="AQ65">
            <v>17168</v>
          </cell>
          <cell r="AR65">
            <v>36322.168181818182</v>
          </cell>
          <cell r="AS65">
            <v>7245</v>
          </cell>
          <cell r="AT65">
            <v>-46245.168181818182</v>
          </cell>
          <cell r="AU65">
            <v>9926</v>
          </cell>
          <cell r="AV65">
            <v>16907</v>
          </cell>
          <cell r="AW65">
            <v>7242</v>
          </cell>
          <cell r="AX65">
            <v>19415.168181818182</v>
          </cell>
        </row>
        <row r="66">
          <cell r="C66">
            <v>0</v>
          </cell>
          <cell r="D66">
            <v>0</v>
          </cell>
          <cell r="E66">
            <v>0</v>
          </cell>
          <cell r="N66">
            <v>700.33333333333326</v>
          </cell>
          <cell r="O66">
            <v>198</v>
          </cell>
          <cell r="P66">
            <v>-502.33333333333326</v>
          </cell>
          <cell r="Q66">
            <v>4264</v>
          </cell>
          <cell r="R66">
            <v>1097</v>
          </cell>
          <cell r="S66">
            <v>-3167</v>
          </cell>
          <cell r="T66">
            <v>2344.545454545455</v>
          </cell>
          <cell r="U66">
            <v>1044</v>
          </cell>
          <cell r="V66">
            <v>1300.545454545455</v>
          </cell>
          <cell r="W66">
            <v>608</v>
          </cell>
          <cell r="X66">
            <v>-1736.545454545455</v>
          </cell>
          <cell r="Y66">
            <v>1556.4545454545455</v>
          </cell>
          <cell r="Z66">
            <v>634</v>
          </cell>
          <cell r="AA66">
            <v>922.4545454545455</v>
          </cell>
          <cell r="AB66">
            <v>435</v>
          </cell>
          <cell r="AC66">
            <v>-1121.4545454545455</v>
          </cell>
          <cell r="AD66">
            <v>1701.0909090909092</v>
          </cell>
          <cell r="AE66">
            <v>1700.909090909091</v>
          </cell>
          <cell r="AF66">
            <v>0.18181818181824383</v>
          </cell>
          <cell r="AG66">
            <v>318</v>
          </cell>
          <cell r="AH66">
            <v>237</v>
          </cell>
          <cell r="AI66">
            <v>0</v>
          </cell>
          <cell r="AJ66">
            <v>-1383.0909090909092</v>
          </cell>
          <cell r="AP66">
            <v>10566.242424242424</v>
          </cell>
          <cell r="AQ66">
            <v>2378.333333333333</v>
          </cell>
          <cell r="AR66">
            <v>8187.909090909091</v>
          </cell>
          <cell r="AS66">
            <v>2575</v>
          </cell>
          <cell r="AT66">
            <v>-7991.242424242424</v>
          </cell>
        </row>
        <row r="67">
          <cell r="C67">
            <v>0</v>
          </cell>
          <cell r="D67">
            <v>0</v>
          </cell>
          <cell r="E67">
            <v>0</v>
          </cell>
          <cell r="N67">
            <v>41</v>
          </cell>
          <cell r="O67">
            <v>11</v>
          </cell>
          <cell r="P67">
            <v>-30</v>
          </cell>
          <cell r="Q67">
            <v>234</v>
          </cell>
          <cell r="R67">
            <v>60</v>
          </cell>
          <cell r="S67">
            <v>-174</v>
          </cell>
          <cell r="T67">
            <v>128</v>
          </cell>
          <cell r="U67">
            <v>57</v>
          </cell>
          <cell r="V67">
            <v>71</v>
          </cell>
          <cell r="W67">
            <v>33</v>
          </cell>
          <cell r="X67">
            <v>-95</v>
          </cell>
          <cell r="Y67">
            <v>85</v>
          </cell>
          <cell r="Z67">
            <v>35</v>
          </cell>
          <cell r="AA67">
            <v>50</v>
          </cell>
          <cell r="AB67">
            <v>24</v>
          </cell>
          <cell r="AC67">
            <v>-61</v>
          </cell>
          <cell r="AD67">
            <v>93</v>
          </cell>
          <cell r="AE67">
            <v>93</v>
          </cell>
          <cell r="AF67">
            <v>0</v>
          </cell>
          <cell r="AG67">
            <v>17</v>
          </cell>
          <cell r="AH67">
            <v>12</v>
          </cell>
          <cell r="AI67">
            <v>0</v>
          </cell>
          <cell r="AJ67">
            <v>-76</v>
          </cell>
          <cell r="AP67">
            <v>581</v>
          </cell>
          <cell r="AQ67">
            <v>133</v>
          </cell>
          <cell r="AR67">
            <v>448</v>
          </cell>
          <cell r="AS67">
            <v>140</v>
          </cell>
          <cell r="AT67">
            <v>-441</v>
          </cell>
        </row>
        <row r="68">
          <cell r="C68">
            <v>0</v>
          </cell>
          <cell r="D68">
            <v>0</v>
          </cell>
          <cell r="E68">
            <v>0</v>
          </cell>
          <cell r="N68">
            <v>226</v>
          </cell>
          <cell r="O68">
            <v>63</v>
          </cell>
          <cell r="P68">
            <v>-163</v>
          </cell>
          <cell r="Q68">
            <v>1360</v>
          </cell>
          <cell r="R68">
            <v>330</v>
          </cell>
          <cell r="S68">
            <v>-1030</v>
          </cell>
          <cell r="T68">
            <v>751</v>
          </cell>
          <cell r="U68">
            <v>334</v>
          </cell>
          <cell r="V68">
            <v>417</v>
          </cell>
          <cell r="W68">
            <v>190</v>
          </cell>
          <cell r="X68">
            <v>-561</v>
          </cell>
          <cell r="Y68">
            <v>502</v>
          </cell>
          <cell r="Z68">
            <v>205</v>
          </cell>
          <cell r="AA68">
            <v>297</v>
          </cell>
          <cell r="AB68">
            <v>137</v>
          </cell>
          <cell r="AC68">
            <v>-365</v>
          </cell>
          <cell r="AD68">
            <v>545</v>
          </cell>
          <cell r="AE68">
            <v>545</v>
          </cell>
          <cell r="AF68">
            <v>0</v>
          </cell>
          <cell r="AG68">
            <v>102</v>
          </cell>
          <cell r="AH68">
            <v>16</v>
          </cell>
          <cell r="AI68">
            <v>0</v>
          </cell>
          <cell r="AJ68">
            <v>-443</v>
          </cell>
          <cell r="AP68">
            <v>3384</v>
          </cell>
          <cell r="AQ68">
            <v>765</v>
          </cell>
          <cell r="AR68">
            <v>2619</v>
          </cell>
          <cell r="AS68">
            <v>620</v>
          </cell>
          <cell r="AT68">
            <v>-2764</v>
          </cell>
        </row>
        <row r="69">
          <cell r="C69">
            <v>0</v>
          </cell>
          <cell r="D69">
            <v>0</v>
          </cell>
          <cell r="E69">
            <v>0</v>
          </cell>
          <cell r="N69">
            <v>622</v>
          </cell>
          <cell r="P69">
            <v>-622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622</v>
          </cell>
          <cell r="AQ69">
            <v>622</v>
          </cell>
          <cell r="AR69">
            <v>0</v>
          </cell>
          <cell r="AS69">
            <v>0</v>
          </cell>
          <cell r="AT69">
            <v>-622</v>
          </cell>
        </row>
        <row r="70">
          <cell r="C70" t="e">
            <v>#REF!</v>
          </cell>
          <cell r="D70" t="e">
            <v>#REF!</v>
          </cell>
          <cell r="E70" t="e">
            <v>#REF!</v>
          </cell>
          <cell r="N70">
            <v>1182.5</v>
          </cell>
          <cell r="P70">
            <v>-1182.5</v>
          </cell>
          <cell r="Q70">
            <v>3616.6</v>
          </cell>
          <cell r="S70">
            <v>-3616.6</v>
          </cell>
          <cell r="T70">
            <v>4097</v>
          </cell>
          <cell r="U70">
            <v>0</v>
          </cell>
          <cell r="V70">
            <v>4097</v>
          </cell>
          <cell r="X70">
            <v>-4097</v>
          </cell>
          <cell r="Y70">
            <v>1266</v>
          </cell>
          <cell r="Z70">
            <v>170</v>
          </cell>
          <cell r="AA70">
            <v>1096</v>
          </cell>
          <cell r="AC70">
            <v>-1266</v>
          </cell>
          <cell r="AD70">
            <v>2080.7636363636366</v>
          </cell>
          <cell r="AE70">
            <v>2080.7636363636366</v>
          </cell>
          <cell r="AF70">
            <v>0</v>
          </cell>
          <cell r="AI70">
            <v>0</v>
          </cell>
          <cell r="AJ70">
            <v>-2080.7636363636366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9368</v>
          </cell>
          <cell r="D72">
            <v>1252</v>
          </cell>
          <cell r="E72">
            <v>8116</v>
          </cell>
          <cell r="N72">
            <v>1060.6033333333335</v>
          </cell>
          <cell r="O72">
            <v>227</v>
          </cell>
          <cell r="P72">
            <v>-833.60333333333347</v>
          </cell>
          <cell r="Q72">
            <v>2731.3516666666665</v>
          </cell>
          <cell r="R72">
            <v>403</v>
          </cell>
          <cell r="S72">
            <v>-2328.3516666666665</v>
          </cell>
          <cell r="T72">
            <v>1044.2613333333334</v>
          </cell>
          <cell r="U72">
            <v>404</v>
          </cell>
          <cell r="V72">
            <v>640.26133333333337</v>
          </cell>
          <cell r="W72">
            <v>175</v>
          </cell>
          <cell r="X72">
            <v>-869.26133333333337</v>
          </cell>
          <cell r="Y72">
            <v>906.97866666666664</v>
          </cell>
          <cell r="Z72">
            <v>350</v>
          </cell>
          <cell r="AA72">
            <v>556.97866666666664</v>
          </cell>
          <cell r="AB72">
            <v>94</v>
          </cell>
          <cell r="AC72">
            <v>-812.97866666666664</v>
          </cell>
          <cell r="AD72">
            <v>2158.5673333333334</v>
          </cell>
          <cell r="AE72">
            <v>1794.3300000000002</v>
          </cell>
          <cell r="AF72">
            <v>364.23733333333325</v>
          </cell>
          <cell r="AG72">
            <v>379</v>
          </cell>
          <cell r="AH72">
            <v>173</v>
          </cell>
          <cell r="AI72">
            <v>35</v>
          </cell>
          <cell r="AJ72">
            <v>-1779.5673333333334</v>
          </cell>
          <cell r="AN72">
            <v>0</v>
          </cell>
          <cell r="AP72">
            <v>18135.655666666666</v>
          </cell>
          <cell r="AQ72" t="e">
            <v>#REF!</v>
          </cell>
          <cell r="AR72" t="e">
            <v>#REF!</v>
          </cell>
          <cell r="AS72">
            <v>181</v>
          </cell>
          <cell r="AT72">
            <v>-17954.655666666666</v>
          </cell>
          <cell r="AU72">
            <v>754</v>
          </cell>
          <cell r="AV72">
            <v>2092</v>
          </cell>
          <cell r="AW72">
            <v>2875.2033333333334</v>
          </cell>
          <cell r="AX72" t="e">
            <v>#REF!</v>
          </cell>
        </row>
        <row r="73">
          <cell r="C73">
            <v>3888</v>
          </cell>
          <cell r="D73">
            <v>70</v>
          </cell>
          <cell r="E73">
            <v>3818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3906</v>
          </cell>
          <cell r="AQ73">
            <v>70</v>
          </cell>
          <cell r="AR73">
            <v>3836</v>
          </cell>
          <cell r="AS73">
            <v>0</v>
          </cell>
          <cell r="AT73">
            <v>-3906</v>
          </cell>
          <cell r="AU73">
            <v>0</v>
          </cell>
          <cell r="AV73">
            <v>18</v>
          </cell>
          <cell r="AW73">
            <v>70</v>
          </cell>
          <cell r="AX73">
            <v>3818</v>
          </cell>
        </row>
        <row r="74">
          <cell r="C74">
            <v>2936</v>
          </cell>
          <cell r="D74">
            <v>1182</v>
          </cell>
          <cell r="E74">
            <v>1754</v>
          </cell>
          <cell r="N74">
            <v>1060.6033333333335</v>
          </cell>
          <cell r="P74">
            <v>-1060.6033333333335</v>
          </cell>
          <cell r="Q74">
            <v>2630.3516666666665</v>
          </cell>
          <cell r="S74">
            <v>-2630.3516666666665</v>
          </cell>
          <cell r="T74">
            <v>1044.2613333333334</v>
          </cell>
          <cell r="U74">
            <v>404</v>
          </cell>
          <cell r="V74">
            <v>640.26133333333337</v>
          </cell>
          <cell r="X74">
            <v>-1044.2613333333334</v>
          </cell>
          <cell r="Y74">
            <v>888.97866666666664</v>
          </cell>
          <cell r="Z74">
            <v>350</v>
          </cell>
          <cell r="AA74">
            <v>538.97866666666664</v>
          </cell>
          <cell r="AC74">
            <v>-888.97866666666664</v>
          </cell>
          <cell r="AD74">
            <v>2158.5673333333334</v>
          </cell>
          <cell r="AE74">
            <v>1787.73</v>
          </cell>
          <cell r="AF74">
            <v>370.83733333333339</v>
          </cell>
          <cell r="AG74">
            <v>379</v>
          </cell>
          <cell r="AH74">
            <v>173</v>
          </cell>
          <cell r="AI74">
            <v>35</v>
          </cell>
          <cell r="AJ74">
            <v>-1779.5673333333334</v>
          </cell>
          <cell r="AN74">
            <v>0</v>
          </cell>
          <cell r="AP74">
            <v>11578.055666666665</v>
          </cell>
          <cell r="AQ74">
            <v>3559.2033333333334</v>
          </cell>
          <cell r="AR74">
            <v>8018.8523333333324</v>
          </cell>
          <cell r="AS74">
            <v>181</v>
          </cell>
          <cell r="AT74">
            <v>-11397.055666666665</v>
          </cell>
          <cell r="AU74">
            <v>754</v>
          </cell>
          <cell r="AV74">
            <v>2074</v>
          </cell>
          <cell r="AW74">
            <v>2805.2033333333334</v>
          </cell>
          <cell r="AX74">
            <v>5944.8523333333324</v>
          </cell>
        </row>
        <row r="75">
          <cell r="C75">
            <v>823</v>
          </cell>
          <cell r="D75">
            <v>299</v>
          </cell>
          <cell r="E75">
            <v>524</v>
          </cell>
          <cell r="N75">
            <v>687.60333333333324</v>
          </cell>
          <cell r="P75">
            <v>-687.60333333333324</v>
          </cell>
          <cell r="Q75">
            <v>1618.11</v>
          </cell>
          <cell r="S75">
            <v>-1618.11</v>
          </cell>
          <cell r="T75">
            <v>609.40800000000002</v>
          </cell>
          <cell r="U75">
            <v>248</v>
          </cell>
          <cell r="V75">
            <v>361.40800000000002</v>
          </cell>
          <cell r="X75">
            <v>-609.40800000000002</v>
          </cell>
          <cell r="Y75">
            <v>344.16200000000003</v>
          </cell>
          <cell r="Z75">
            <v>204</v>
          </cell>
          <cell r="AA75">
            <v>140.16200000000003</v>
          </cell>
          <cell r="AC75">
            <v>-344.16200000000003</v>
          </cell>
          <cell r="AD75">
            <v>1350.8340000000003</v>
          </cell>
          <cell r="AE75">
            <v>1168.48</v>
          </cell>
          <cell r="AF75">
            <v>182.35400000000027</v>
          </cell>
          <cell r="AJ75">
            <v>-1350.8340000000003</v>
          </cell>
          <cell r="AP75">
            <v>5650.7633333333342</v>
          </cell>
          <cell r="AQ75">
            <v>1663.2033333333334</v>
          </cell>
          <cell r="AR75">
            <v>3987.5600000000009</v>
          </cell>
          <cell r="AS75">
            <v>0</v>
          </cell>
          <cell r="AT75">
            <v>-5650.7633333333342</v>
          </cell>
          <cell r="AX75">
            <v>3987.5600000000009</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113.41666666666666</v>
          </cell>
          <cell r="Q77">
            <v>624.4666666666667</v>
          </cell>
          <cell r="T77">
            <v>191.26666666666668</v>
          </cell>
          <cell r="U77">
            <v>17</v>
          </cell>
          <cell r="V77">
            <v>174.26666666666668</v>
          </cell>
          <cell r="Y77">
            <v>168.01666666666671</v>
          </cell>
          <cell r="Z77">
            <v>46</v>
          </cell>
          <cell r="AA77">
            <v>122.01666666666671</v>
          </cell>
          <cell r="AD77">
            <v>391.68333333333339</v>
          </cell>
          <cell r="AE77">
            <v>316.25</v>
          </cell>
          <cell r="AF77">
            <v>75.433333333333394</v>
          </cell>
        </row>
        <row r="78">
          <cell r="C78">
            <v>482</v>
          </cell>
          <cell r="D78">
            <v>363</v>
          </cell>
          <cell r="E78">
            <v>119</v>
          </cell>
          <cell r="N78">
            <v>258.58333333333331</v>
          </cell>
          <cell r="Q78">
            <v>488.77500000000003</v>
          </cell>
          <cell r="T78">
            <v>242.58666666666667</v>
          </cell>
          <cell r="U78">
            <v>48</v>
          </cell>
          <cell r="V78">
            <v>194.58666666666667</v>
          </cell>
          <cell r="Y78">
            <v>376.8</v>
          </cell>
          <cell r="Z78">
            <v>69</v>
          </cell>
          <cell r="AA78">
            <v>307.8</v>
          </cell>
          <cell r="AD78">
            <v>412.05</v>
          </cell>
          <cell r="AE78">
            <v>299</v>
          </cell>
          <cell r="AF78">
            <v>113.05000000000001</v>
          </cell>
        </row>
        <row r="79">
          <cell r="C79">
            <v>1174</v>
          </cell>
          <cell r="D79">
            <v>85</v>
          </cell>
          <cell r="E79">
            <v>1089</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1240.3</v>
          </cell>
          <cell r="AQ79">
            <v>103.1</v>
          </cell>
          <cell r="AS79">
            <v>0</v>
          </cell>
          <cell r="AT79">
            <v>-1240.3</v>
          </cell>
        </row>
        <row r="80">
          <cell r="C80">
            <v>11620.2</v>
          </cell>
          <cell r="D80">
            <v>2178</v>
          </cell>
          <cell r="E80">
            <v>9442.2000000000007</v>
          </cell>
          <cell r="N80">
            <v>26984.656727272726</v>
          </cell>
          <cell r="O80">
            <v>6571</v>
          </cell>
          <cell r="P80">
            <v>-20413.656727272726</v>
          </cell>
          <cell r="Q80">
            <v>179469.62269696969</v>
          </cell>
          <cell r="R80">
            <v>83057</v>
          </cell>
          <cell r="S80">
            <v>-96412.622696969687</v>
          </cell>
          <cell r="T80">
            <v>263136.60090909095</v>
          </cell>
          <cell r="U80">
            <v>123843.34756097561</v>
          </cell>
          <cell r="V80">
            <v>139293.25334811531</v>
          </cell>
          <cell r="W80">
            <v>101508</v>
          </cell>
          <cell r="X80">
            <v>-161628.60090909095</v>
          </cell>
          <cell r="Y80">
            <v>220975.95939393938</v>
          </cell>
          <cell r="Z80">
            <v>96838.750161952048</v>
          </cell>
          <cell r="AA80">
            <v>124137.20923198733</v>
          </cell>
          <cell r="AB80">
            <v>81399</v>
          </cell>
          <cell r="AC80">
            <v>-139576.95939393938</v>
          </cell>
          <cell r="AD80">
            <v>47616.95509090909</v>
          </cell>
          <cell r="AE80">
            <v>39329.144424242433</v>
          </cell>
          <cell r="AF80">
            <v>8287.8106666666645</v>
          </cell>
          <cell r="AG80">
            <v>9642</v>
          </cell>
          <cell r="AH80">
            <v>6481</v>
          </cell>
          <cell r="AI80">
            <v>2032</v>
          </cell>
          <cell r="AJ80">
            <v>-37974.95509090909</v>
          </cell>
          <cell r="AL80">
            <v>0</v>
          </cell>
          <cell r="AN80">
            <v>0</v>
          </cell>
          <cell r="AP80">
            <v>744005.43481818191</v>
          </cell>
          <cell r="AQ80" t="e">
            <v>#REF!</v>
          </cell>
          <cell r="AR80" t="e">
            <v>#REF!</v>
          </cell>
          <cell r="AS80">
            <v>278125</v>
          </cell>
          <cell r="AT80">
            <v>-465880.43481818191</v>
          </cell>
          <cell r="AU80">
            <v>219889.09772292766</v>
          </cell>
          <cell r="AV80">
            <v>390684</v>
          </cell>
          <cell r="AW80">
            <v>28403.074909090912</v>
          </cell>
          <cell r="AX80" t="e">
            <v>#REF!</v>
          </cell>
        </row>
        <row r="81">
          <cell r="C81">
            <v>7732.2000000000007</v>
          </cell>
          <cell r="D81">
            <v>2108</v>
          </cell>
          <cell r="E81">
            <v>5624.2000000000007</v>
          </cell>
          <cell r="P81">
            <v>0</v>
          </cell>
          <cell r="S81">
            <v>0</v>
          </cell>
          <cell r="X81">
            <v>0</v>
          </cell>
          <cell r="AC81">
            <v>0</v>
          </cell>
          <cell r="AJ81">
            <v>0</v>
          </cell>
          <cell r="AP81">
            <v>215346.43481818191</v>
          </cell>
          <cell r="AQ81" t="e">
            <v>#REF!</v>
          </cell>
          <cell r="AR81" t="e">
            <v>#REF!</v>
          </cell>
          <cell r="AS81">
            <v>0</v>
          </cell>
          <cell r="AT81">
            <v>-215346.43481818191</v>
          </cell>
          <cell r="AU81">
            <v>24325</v>
          </cell>
          <cell r="AV81">
            <v>57590</v>
          </cell>
          <cell r="AW81">
            <v>28402.074909090912</v>
          </cell>
          <cell r="AX81" t="e">
            <v>#REF!</v>
          </cell>
        </row>
        <row r="82">
          <cell r="N82">
            <v>6707.772727272727</v>
          </cell>
          <cell r="O82">
            <v>1501</v>
          </cell>
          <cell r="P82">
            <v>-5206.772727272727</v>
          </cell>
          <cell r="Q82">
            <v>14801.50090909091</v>
          </cell>
          <cell r="R82">
            <v>3466</v>
          </cell>
          <cell r="S82">
            <v>-11335.50090909091</v>
          </cell>
          <cell r="T82">
            <v>5524.1272727272735</v>
          </cell>
          <cell r="U82">
            <v>2344</v>
          </cell>
          <cell r="V82">
            <v>3180.1272727272735</v>
          </cell>
          <cell r="W82">
            <v>1353</v>
          </cell>
          <cell r="X82">
            <v>-4171.1272727272735</v>
          </cell>
          <cell r="Y82">
            <v>4525.3672727272733</v>
          </cell>
          <cell r="Z82">
            <v>1812</v>
          </cell>
          <cell r="AA82">
            <v>2713.3672727272728</v>
          </cell>
          <cell r="AB82">
            <v>1097</v>
          </cell>
          <cell r="AC82">
            <v>-3428.3672727272733</v>
          </cell>
          <cell r="AD82">
            <v>13487.026363636363</v>
          </cell>
          <cell r="AE82">
            <v>12215.954545454544</v>
          </cell>
          <cell r="AF82">
            <v>1271.0718181818177</v>
          </cell>
          <cell r="AG82">
            <v>2881</v>
          </cell>
          <cell r="AH82">
            <v>1984</v>
          </cell>
          <cell r="AI82">
            <v>306</v>
          </cell>
          <cell r="AJ82">
            <v>-10606.026363636363</v>
          </cell>
          <cell r="AN82">
            <v>0</v>
          </cell>
          <cell r="AP82">
            <v>45317.922727272729</v>
          </cell>
          <cell r="AS82">
            <v>9401</v>
          </cell>
          <cell r="AT82">
            <v>-35916.922727272729</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16200.2</v>
          </cell>
          <cell r="D84">
            <v>13470</v>
          </cell>
          <cell r="E84">
            <v>9442.2000000000007</v>
          </cell>
          <cell r="N84">
            <v>26984.656727272726</v>
          </cell>
          <cell r="O84">
            <v>6571</v>
          </cell>
          <cell r="P84">
            <v>-20413.656727272726</v>
          </cell>
          <cell r="Q84">
            <v>179469.62269696969</v>
          </cell>
          <cell r="R84">
            <v>83057</v>
          </cell>
          <cell r="S84">
            <v>-96412.622696969687</v>
          </cell>
          <cell r="T84">
            <v>263136.60090909095</v>
          </cell>
          <cell r="U84">
            <v>123843.34756097561</v>
          </cell>
          <cell r="V84">
            <v>139293.25334811531</v>
          </cell>
          <cell r="W84">
            <v>101508</v>
          </cell>
          <cell r="X84">
            <v>-161628.60090909095</v>
          </cell>
          <cell r="Y84">
            <v>220975.95939393938</v>
          </cell>
          <cell r="Z84">
            <v>96838.750161952048</v>
          </cell>
          <cell r="AA84">
            <v>124137.20923198733</v>
          </cell>
          <cell r="AB84">
            <v>81399</v>
          </cell>
          <cell r="AC84">
            <v>-139576.95939393938</v>
          </cell>
          <cell r="AD84">
            <v>47616.95509090909</v>
          </cell>
          <cell r="AE84">
            <v>39329.144424242433</v>
          </cell>
          <cell r="AF84">
            <v>8287.8106666666645</v>
          </cell>
          <cell r="AG84">
            <v>9642</v>
          </cell>
          <cell r="AH84">
            <v>6481</v>
          </cell>
          <cell r="AI84">
            <v>2032</v>
          </cell>
          <cell r="AJ84">
            <v>-37974.95509090909</v>
          </cell>
          <cell r="AL84">
            <v>0</v>
          </cell>
          <cell r="AN84">
            <v>0</v>
          </cell>
          <cell r="AP84">
            <v>748585.43481818191</v>
          </cell>
          <cell r="AQ84" t="e">
            <v>#REF!</v>
          </cell>
          <cell r="AR84" t="e">
            <v>#REF!</v>
          </cell>
          <cell r="AS84">
            <v>278125</v>
          </cell>
          <cell r="AT84">
            <v>-470460.43481818191</v>
          </cell>
          <cell r="AU84">
            <v>219889.09772292766</v>
          </cell>
          <cell r="AV84">
            <v>390684</v>
          </cell>
          <cell r="AW84">
            <v>28403.074909090912</v>
          </cell>
          <cell r="AX84" t="e">
            <v>#REF!</v>
          </cell>
        </row>
        <row r="85">
          <cell r="C85">
            <v>98</v>
          </cell>
          <cell r="D85">
            <v>0</v>
          </cell>
          <cell r="E85">
            <v>98</v>
          </cell>
          <cell r="P85">
            <v>0</v>
          </cell>
          <cell r="S85">
            <v>0</v>
          </cell>
          <cell r="U85">
            <v>0</v>
          </cell>
          <cell r="V85">
            <v>0</v>
          </cell>
          <cell r="X85">
            <v>0</v>
          </cell>
          <cell r="AC85">
            <v>0</v>
          </cell>
          <cell r="AI85">
            <v>0</v>
          </cell>
          <cell r="AJ85">
            <v>0</v>
          </cell>
          <cell r="AP85">
            <v>97</v>
          </cell>
          <cell r="AQ85">
            <v>0</v>
          </cell>
          <cell r="AR85">
            <v>97</v>
          </cell>
          <cell r="AS85">
            <v>0</v>
          </cell>
          <cell r="AT85">
            <v>-97</v>
          </cell>
          <cell r="AU85">
            <v>0</v>
          </cell>
          <cell r="AV85">
            <v>0</v>
          </cell>
          <cell r="AW85">
            <v>0</v>
          </cell>
          <cell r="AX85">
            <v>97</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131</v>
          </cell>
          <cell r="O88">
            <v>51</v>
          </cell>
          <cell r="P88">
            <v>-80</v>
          </cell>
          <cell r="Q88">
            <v>99.6</v>
          </cell>
          <cell r="S88">
            <v>-99.6</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874.46666666666658</v>
          </cell>
          <cell r="AQ88">
            <v>250</v>
          </cell>
          <cell r="AR88">
            <v>624.46666666666658</v>
          </cell>
          <cell r="AS88">
            <v>65</v>
          </cell>
          <cell r="AT88">
            <v>-809.46666666666658</v>
          </cell>
          <cell r="AU88">
            <v>176</v>
          </cell>
          <cell r="AV88">
            <v>21</v>
          </cell>
          <cell r="AW88">
            <v>74</v>
          </cell>
          <cell r="AX88">
            <v>603.46666666666658</v>
          </cell>
        </row>
        <row r="89">
          <cell r="C89">
            <v>16808.2</v>
          </cell>
          <cell r="D89">
            <v>15922</v>
          </cell>
          <cell r="E89">
            <v>7598.2000000000007</v>
          </cell>
          <cell r="N89">
            <v>27115.656727272726</v>
          </cell>
          <cell r="O89">
            <v>6622</v>
          </cell>
          <cell r="P89">
            <v>-20493.656727272726</v>
          </cell>
          <cell r="Q89">
            <v>179569.22269696969</v>
          </cell>
          <cell r="R89">
            <v>83057</v>
          </cell>
          <cell r="S89">
            <v>-96512.222696969693</v>
          </cell>
          <cell r="T89">
            <v>263306.5342424243</v>
          </cell>
          <cell r="U89">
            <v>124019.34756097561</v>
          </cell>
          <cell r="V89">
            <v>139287.18668144863</v>
          </cell>
          <cell r="W89">
            <v>101508</v>
          </cell>
          <cell r="X89">
            <v>-161798.5342424243</v>
          </cell>
          <cell r="Y89">
            <v>221365.8927272727</v>
          </cell>
          <cell r="Z89">
            <v>96838.750161952048</v>
          </cell>
          <cell r="AA89">
            <v>124137.20923198733</v>
          </cell>
          <cell r="AB89">
            <v>81399</v>
          </cell>
          <cell r="AC89">
            <v>-139966.8927272727</v>
          </cell>
          <cell r="AD89">
            <v>47764.95509090909</v>
          </cell>
          <cell r="AE89">
            <v>39471.144424242433</v>
          </cell>
          <cell r="AF89">
            <v>8293.8106666666645</v>
          </cell>
          <cell r="AG89">
            <v>9686</v>
          </cell>
          <cell r="AH89">
            <v>6496</v>
          </cell>
          <cell r="AI89">
            <v>2061</v>
          </cell>
          <cell r="AJ89">
            <v>-38078.95509090909</v>
          </cell>
          <cell r="AK89">
            <v>0</v>
          </cell>
          <cell r="AN89">
            <v>0</v>
          </cell>
          <cell r="AP89">
            <v>750030.90148484858</v>
          </cell>
          <cell r="AQ89" t="e">
            <v>#REF!</v>
          </cell>
          <cell r="AR89" t="e">
            <v>#REF!</v>
          </cell>
          <cell r="AS89">
            <v>278189</v>
          </cell>
          <cell r="AT89">
            <v>-471841.90148484858</v>
          </cell>
          <cell r="AU89">
            <v>220065.09772292766</v>
          </cell>
          <cell r="AV89">
            <v>390705</v>
          </cell>
          <cell r="AW89">
            <v>30917.074909090912</v>
          </cell>
          <cell r="AX89" t="e">
            <v>#REF!</v>
          </cell>
        </row>
        <row r="90">
          <cell r="C90">
            <v>12228.2</v>
          </cell>
          <cell r="D90">
            <v>4630</v>
          </cell>
          <cell r="E90">
            <v>7598.2000000000007</v>
          </cell>
          <cell r="N90">
            <v>27115.656727272726</v>
          </cell>
          <cell r="O90">
            <v>6622</v>
          </cell>
          <cell r="P90">
            <v>-20493.656727272726</v>
          </cell>
          <cell r="Q90">
            <v>75517.222696969693</v>
          </cell>
          <cell r="R90">
            <v>21655</v>
          </cell>
          <cell r="S90">
            <v>-53862.222696969693</v>
          </cell>
          <cell r="T90">
            <v>35777.534242424299</v>
          </cell>
          <cell r="U90">
            <v>15213</v>
          </cell>
          <cell r="V90">
            <v>20564.534242424241</v>
          </cell>
          <cell r="W90">
            <v>7876</v>
          </cell>
          <cell r="X90">
            <v>-27901.534242424299</v>
          </cell>
          <cell r="Y90">
            <v>24288.892727272701</v>
          </cell>
          <cell r="Z90">
            <v>10081</v>
          </cell>
          <cell r="AA90">
            <v>13817.959393939382</v>
          </cell>
          <cell r="AB90">
            <v>5098</v>
          </cell>
          <cell r="AC90">
            <v>-19190.892727272701</v>
          </cell>
          <cell r="AD90">
            <v>47764.95509090909</v>
          </cell>
          <cell r="AE90">
            <v>39471.144424242433</v>
          </cell>
          <cell r="AF90">
            <v>8293.8106666666645</v>
          </cell>
          <cell r="AG90">
            <v>9686</v>
          </cell>
          <cell r="AH90">
            <v>6496</v>
          </cell>
          <cell r="AI90">
            <v>2061</v>
          </cell>
          <cell r="AJ90">
            <v>-38078.95509090909</v>
          </cell>
          <cell r="AN90">
            <v>0</v>
          </cell>
          <cell r="AP90">
            <v>216791.90148484858</v>
          </cell>
          <cell r="AQ90" t="e">
            <v>#REF!</v>
          </cell>
          <cell r="AR90" t="e">
            <v>#REF!</v>
          </cell>
          <cell r="AS90">
            <v>46854</v>
          </cell>
          <cell r="AT90">
            <v>-169937.90148484858</v>
          </cell>
          <cell r="AU90">
            <v>24501</v>
          </cell>
          <cell r="AV90">
            <v>57611</v>
          </cell>
          <cell r="AW90">
            <v>30916.074909090912</v>
          </cell>
          <cell r="AX90" t="e">
            <v>#REF!</v>
          </cell>
        </row>
        <row r="91">
          <cell r="C91">
            <v>772.2</v>
          </cell>
          <cell r="D91">
            <v>310</v>
          </cell>
          <cell r="E91">
            <v>462.20000000000005</v>
          </cell>
          <cell r="N91">
            <v>6707.772727272727</v>
          </cell>
          <cell r="O91">
            <v>1501</v>
          </cell>
          <cell r="P91">
            <v>-5206.772727272727</v>
          </cell>
          <cell r="Q91">
            <v>14801.50090909091</v>
          </cell>
          <cell r="R91">
            <v>3466</v>
          </cell>
          <cell r="S91">
            <v>-11335.50090909091</v>
          </cell>
          <cell r="T91">
            <v>5524.1272727272735</v>
          </cell>
          <cell r="U91">
            <v>2344</v>
          </cell>
          <cell r="V91">
            <v>3180.1272727272735</v>
          </cell>
          <cell r="W91">
            <v>1353</v>
          </cell>
          <cell r="X91">
            <v>-4171.1272727272735</v>
          </cell>
          <cell r="Y91">
            <v>4525.3672727272733</v>
          </cell>
          <cell r="Z91">
            <v>1812</v>
          </cell>
          <cell r="AA91">
            <v>2713.3672727272728</v>
          </cell>
          <cell r="AB91">
            <v>1097</v>
          </cell>
          <cell r="AC91">
            <v>-3428.3672727272733</v>
          </cell>
          <cell r="AD91">
            <v>13487.026363636363</v>
          </cell>
          <cell r="AE91">
            <v>12215.954545454544</v>
          </cell>
          <cell r="AF91">
            <v>1271.0718181818177</v>
          </cell>
          <cell r="AG91">
            <v>2881</v>
          </cell>
          <cell r="AH91">
            <v>1984</v>
          </cell>
          <cell r="AI91">
            <v>306</v>
          </cell>
          <cell r="AJ91">
            <v>-10606.026363636363</v>
          </cell>
          <cell r="AN91">
            <v>0</v>
          </cell>
          <cell r="AP91">
            <v>45317.922727272729</v>
          </cell>
          <cell r="AQ91">
            <v>750183.90148484847</v>
          </cell>
          <cell r="AR91">
            <v>265342.17263201857</v>
          </cell>
          <cell r="AS91">
            <v>9401</v>
          </cell>
        </row>
        <row r="92">
          <cell r="C92">
            <v>-1308</v>
          </cell>
          <cell r="N92">
            <v>13004</v>
          </cell>
          <cell r="P92">
            <v>-13004</v>
          </cell>
          <cell r="Q92">
            <v>28077</v>
          </cell>
          <cell r="S92">
            <v>-28077</v>
          </cell>
          <cell r="T92">
            <v>1689</v>
          </cell>
          <cell r="X92">
            <v>-1689</v>
          </cell>
          <cell r="Y92">
            <v>1811</v>
          </cell>
          <cell r="AB92">
            <v>432</v>
          </cell>
          <cell r="AC92">
            <v>-1379</v>
          </cell>
          <cell r="AD92">
            <v>3089</v>
          </cell>
          <cell r="AE92">
            <v>3089</v>
          </cell>
          <cell r="AF92">
            <v>0</v>
          </cell>
          <cell r="AI92">
            <v>0</v>
          </cell>
          <cell r="AJ92" t="e">
            <v>#REF!</v>
          </cell>
          <cell r="AN92" t="e">
            <v>#REF!</v>
          </cell>
          <cell r="AO92">
            <v>1616</v>
          </cell>
          <cell r="AP92" t="e">
            <v>#REF!</v>
          </cell>
          <cell r="AS92">
            <v>2048</v>
          </cell>
        </row>
        <row r="93">
          <cell r="C93">
            <v>0</v>
          </cell>
          <cell r="N93">
            <v>5562</v>
          </cell>
          <cell r="P93">
            <v>-5562</v>
          </cell>
          <cell r="Q93">
            <v>12022</v>
          </cell>
          <cell r="S93">
            <v>-12022</v>
          </cell>
          <cell r="T93">
            <v>1689</v>
          </cell>
          <cell r="W93">
            <v>0</v>
          </cell>
          <cell r="X93">
            <v>-1689</v>
          </cell>
          <cell r="Y93">
            <v>1811</v>
          </cell>
          <cell r="AB93">
            <v>432</v>
          </cell>
          <cell r="AC93">
            <v>-1379</v>
          </cell>
          <cell r="AD93">
            <v>3089</v>
          </cell>
          <cell r="AE93">
            <v>3089</v>
          </cell>
          <cell r="AF93">
            <v>0</v>
          </cell>
          <cell r="AI93">
            <v>0</v>
          </cell>
          <cell r="AJ93">
            <v>-3089</v>
          </cell>
          <cell r="AN93" t="e">
            <v>#REF!</v>
          </cell>
          <cell r="AP93" t="e">
            <v>#REF!</v>
          </cell>
          <cell r="AS93">
            <v>432</v>
          </cell>
        </row>
        <row r="95">
          <cell r="C95">
            <v>-1308</v>
          </cell>
          <cell r="N95">
            <v>7442</v>
          </cell>
          <cell r="P95">
            <v>-7442</v>
          </cell>
          <cell r="Q95">
            <v>16055</v>
          </cell>
          <cell r="R95">
            <v>0</v>
          </cell>
          <cell r="S95">
            <v>-16055</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8100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10492</v>
          </cell>
          <cell r="D122">
            <v>0</v>
          </cell>
          <cell r="E122">
            <v>0</v>
          </cell>
          <cell r="N122">
            <v>7442.4</v>
          </cell>
          <cell r="P122">
            <v>-7442.4</v>
          </cell>
          <cell r="Q122">
            <v>16815.134000000002</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57611</v>
          </cell>
          <cell r="AW146">
            <v>30916.074909090912</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1589.3333333333333</v>
          </cell>
          <cell r="O153">
            <v>272</v>
          </cell>
          <cell r="P153">
            <v>-1317.3333333333333</v>
          </cell>
          <cell r="Q153">
            <v>5858</v>
          </cell>
          <cell r="R153">
            <v>1487</v>
          </cell>
          <cell r="S153">
            <v>-4371</v>
          </cell>
          <cell r="T153">
            <v>3223.545454545455</v>
          </cell>
          <cell r="U153">
            <v>1435</v>
          </cell>
          <cell r="V153">
            <v>1788.545454545455</v>
          </cell>
          <cell r="W153">
            <v>831</v>
          </cell>
          <cell r="X153">
            <v>-2392.545454545455</v>
          </cell>
          <cell r="Y153">
            <v>2143.4545454545455</v>
          </cell>
          <cell r="Z153">
            <v>874</v>
          </cell>
          <cell r="AA153">
            <v>1269.4545454545455</v>
          </cell>
          <cell r="AB153">
            <v>596</v>
          </cell>
          <cell r="AC153">
            <v>-1547.4545454545455</v>
          </cell>
          <cell r="AD153">
            <v>2339.090909090909</v>
          </cell>
          <cell r="AE153">
            <v>2338.909090909091</v>
          </cell>
          <cell r="AF153">
            <v>0.18181818181824383</v>
          </cell>
          <cell r="AG153">
            <v>437</v>
          </cell>
          <cell r="AH153">
            <v>265</v>
          </cell>
          <cell r="AI153">
            <v>0</v>
          </cell>
          <cell r="AJ153">
            <v>-1902.090909090909</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-1308</v>
          </cell>
          <cell r="N162">
            <v>13004</v>
          </cell>
          <cell r="O162">
            <v>0</v>
          </cell>
          <cell r="P162">
            <v>-13004</v>
          </cell>
          <cell r="Q162">
            <v>1739.5839999999998</v>
          </cell>
          <cell r="R162">
            <v>800</v>
          </cell>
          <cell r="S162">
            <v>-939.58399999999983</v>
          </cell>
          <cell r="T162">
            <v>1689</v>
          </cell>
          <cell r="U162">
            <v>0</v>
          </cell>
          <cell r="V162">
            <v>0</v>
          </cell>
          <cell r="W162">
            <v>0</v>
          </cell>
          <cell r="X162">
            <v>-1689</v>
          </cell>
          <cell r="Y162">
            <v>1811</v>
          </cell>
          <cell r="Z162">
            <v>0</v>
          </cell>
          <cell r="AA162">
            <v>0</v>
          </cell>
          <cell r="AB162">
            <v>432</v>
          </cell>
          <cell r="AC162">
            <v>-1379</v>
          </cell>
          <cell r="AD162" t="e">
            <v>#REF!</v>
          </cell>
          <cell r="AE162">
            <v>3089</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1334.2</v>
          </cell>
          <cell r="N164">
            <v>9853.7727272727279</v>
          </cell>
          <cell r="O164">
            <v>2062</v>
          </cell>
          <cell r="P164">
            <v>-7791.7727272727279</v>
          </cell>
          <cell r="Q164">
            <v>20350.500909090908</v>
          </cell>
          <cell r="R164">
            <v>5523</v>
          </cell>
          <cell r="S164">
            <v>-14827.500909090908</v>
          </cell>
          <cell r="T164">
            <v>7594.1272727272735</v>
          </cell>
          <cell r="U164">
            <v>3221</v>
          </cell>
          <cell r="V164">
            <v>4373.1272727272735</v>
          </cell>
          <cell r="W164">
            <v>2210</v>
          </cell>
          <cell r="X164">
            <v>-5384.1272727272735</v>
          </cell>
          <cell r="Y164">
            <v>6222.3672727272733</v>
          </cell>
          <cell r="Z164">
            <v>2495</v>
          </cell>
          <cell r="AA164">
            <v>3727.3672727272728</v>
          </cell>
          <cell r="AB164">
            <v>1749</v>
          </cell>
          <cell r="AC164">
            <v>-4473.3672727272733</v>
          </cell>
          <cell r="AD164">
            <v>18545.026363636363</v>
          </cell>
          <cell r="AE164">
            <v>16792.954545454544</v>
          </cell>
          <cell r="AF164">
            <v>1752.0718181818177</v>
          </cell>
          <cell r="AG164">
            <v>4464</v>
          </cell>
          <cell r="AH164">
            <v>3202</v>
          </cell>
          <cell r="AI164">
            <v>427</v>
          </cell>
          <cell r="AJ164">
            <v>-14081.026363636363</v>
          </cell>
          <cell r="AK164">
            <v>0</v>
          </cell>
          <cell r="AL164">
            <v>0</v>
          </cell>
          <cell r="AM164">
            <v>0</v>
          </cell>
          <cell r="AN164" t="e">
            <v>#REF!</v>
          </cell>
          <cell r="AO164">
            <v>0</v>
          </cell>
          <cell r="AP164" t="e">
            <v>#REF!</v>
          </cell>
          <cell r="AS164">
            <v>13703</v>
          </cell>
        </row>
        <row r="165">
          <cell r="C165">
            <v>37</v>
          </cell>
          <cell r="N165">
            <v>131</v>
          </cell>
          <cell r="O165">
            <v>51</v>
          </cell>
          <cell r="P165">
            <v>-80</v>
          </cell>
          <cell r="Q165">
            <v>262.39999999999998</v>
          </cell>
          <cell r="R165">
            <v>62</v>
          </cell>
          <cell r="S165">
            <v>-200.39999999999998</v>
          </cell>
          <cell r="T165">
            <v>7369.3333333333339</v>
          </cell>
          <cell r="U165">
            <v>3406</v>
          </cell>
          <cell r="V165">
            <v>3963.3333333333339</v>
          </cell>
          <cell r="W165">
            <v>2464</v>
          </cell>
          <cell r="X165">
            <v>-4905.3333333333339</v>
          </cell>
          <cell r="Y165">
            <v>534.79999999999995</v>
          </cell>
          <cell r="Z165">
            <v>57</v>
          </cell>
          <cell r="AA165">
            <v>87.866666666666674</v>
          </cell>
          <cell r="AB165">
            <v>27</v>
          </cell>
          <cell r="AC165">
            <v>-507.79999999999995</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8404.5333333333347</v>
          </cell>
          <cell r="AS165">
            <v>2610</v>
          </cell>
        </row>
        <row r="166">
          <cell r="C166">
            <v>5681.7580000000007</v>
          </cell>
          <cell r="N166">
            <v>11862.909333333333</v>
          </cell>
          <cell r="Q166">
            <v>72510.228333333333</v>
          </cell>
          <cell r="T166">
            <v>15985.944000000054</v>
          </cell>
          <cell r="Y166">
            <v>11736.353333333311</v>
          </cell>
          <cell r="AE166">
            <v>17474.354000000007</v>
          </cell>
          <cell r="AG166">
            <v>2466</v>
          </cell>
          <cell r="AH166">
            <v>2561</v>
          </cell>
          <cell r="AN166" t="e">
            <v>#REF!</v>
          </cell>
          <cell r="AP166" t="e">
            <v>#REF!</v>
          </cell>
        </row>
        <row r="167">
          <cell r="C167" t="e">
            <v>#REF!</v>
          </cell>
          <cell r="N167">
            <v>5562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76293.222696969693</v>
          </cell>
          <cell r="T227">
            <v>35776.770242424296</v>
          </cell>
          <cell r="Y227" t="e">
            <v>#REF!</v>
          </cell>
          <cell r="AN227" t="e">
            <v>#REF!</v>
          </cell>
          <cell r="AP227" t="e">
            <v>#REF!</v>
          </cell>
          <cell r="AQ227" t="e">
            <v>#REF!</v>
          </cell>
        </row>
        <row r="228">
          <cell r="C228" t="e">
            <v>#REF!</v>
          </cell>
          <cell r="N228" t="e">
            <v>#REF!</v>
          </cell>
          <cell r="Q228">
            <v>30209.03112121212</v>
          </cell>
          <cell r="T228">
            <v>18895.16496969702</v>
          </cell>
          <cell r="Y228" t="e">
            <v>#REF!</v>
          </cell>
          <cell r="AP228" t="e">
            <v>#REF!</v>
          </cell>
          <cell r="AQ228" t="e">
            <v>#REF!</v>
          </cell>
        </row>
        <row r="230">
          <cell r="C230">
            <v>1334.2</v>
          </cell>
          <cell r="N230">
            <v>9853.7727272727279</v>
          </cell>
          <cell r="Q230">
            <v>20350.500909090908</v>
          </cell>
          <cell r="T230">
            <v>7594.1272727272735</v>
          </cell>
          <cell r="Y230">
            <v>6222.3672727272733</v>
          </cell>
          <cell r="AN230" t="e">
            <v>#REF!</v>
          </cell>
          <cell r="AP230" t="e">
            <v>#REF!</v>
          </cell>
          <cell r="AQ230" t="e">
            <v>#REF!</v>
          </cell>
        </row>
        <row r="231">
          <cell r="C231">
            <v>416.54545454545456</v>
          </cell>
          <cell r="N231">
            <v>3146</v>
          </cell>
          <cell r="Q231">
            <v>5549</v>
          </cell>
          <cell r="T231">
            <v>2070</v>
          </cell>
          <cell r="Y231">
            <v>1697</v>
          </cell>
          <cell r="AP231" t="e">
            <v>#REF!</v>
          </cell>
          <cell r="AQ231" t="e">
            <v>#REF!</v>
          </cell>
        </row>
        <row r="232">
          <cell r="AQ232" t="e">
            <v>#REF!</v>
          </cell>
        </row>
        <row r="233">
          <cell r="C233">
            <v>0</v>
          </cell>
          <cell r="N233">
            <v>0</v>
          </cell>
          <cell r="Q233">
            <v>162.79999999999998</v>
          </cell>
          <cell r="T233">
            <v>7199.4000000000005</v>
          </cell>
          <cell r="Y233">
            <v>144.86666666666667</v>
          </cell>
          <cell r="AP233">
            <v>7511.0666666666675</v>
          </cell>
          <cell r="AQ233" t="e">
            <v>#REF!</v>
          </cell>
        </row>
        <row r="234">
          <cell r="C234">
            <v>0</v>
          </cell>
          <cell r="N234">
            <v>0</v>
          </cell>
          <cell r="Q234">
            <v>0</v>
          </cell>
          <cell r="T234">
            <v>0</v>
          </cell>
          <cell r="Y234">
            <v>0</v>
          </cell>
          <cell r="AP234">
            <v>19</v>
          </cell>
          <cell r="AQ234" t="e">
            <v>#REF!</v>
          </cell>
        </row>
        <row r="235">
          <cell r="C235">
            <v>571</v>
          </cell>
          <cell r="N235">
            <v>0</v>
          </cell>
          <cell r="Q235">
            <v>526.04999999999995</v>
          </cell>
          <cell r="T235">
            <v>0</v>
          </cell>
          <cell r="Y235">
            <v>0</v>
          </cell>
          <cell r="AP235" t="e">
            <v>#REF!</v>
          </cell>
          <cell r="AQ235" t="e">
            <v>#REF!</v>
          </cell>
        </row>
        <row r="236">
          <cell r="AQ236" t="e">
            <v>#REF!</v>
          </cell>
        </row>
        <row r="237">
          <cell r="C237">
            <v>-1308</v>
          </cell>
          <cell r="N237">
            <v>13004</v>
          </cell>
          <cell r="Q237">
            <v>1739.5839999999998</v>
          </cell>
          <cell r="T237">
            <v>1689</v>
          </cell>
          <cell r="Y237">
            <v>1811</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1122</v>
          </cell>
          <cell r="N243">
            <v>3754</v>
          </cell>
          <cell r="Q243">
            <v>7041</v>
          </cell>
          <cell r="T243">
            <v>1022.2586666666666</v>
          </cell>
          <cell r="Y243">
            <v>827.22533333333331</v>
          </cell>
          <cell r="AP243">
            <v>17543.366500142667</v>
          </cell>
          <cell r="AQ243" t="e">
            <v>#REF!</v>
          </cell>
        </row>
        <row r="244">
          <cell r="C244">
            <v>521</v>
          </cell>
          <cell r="N244">
            <v>79</v>
          </cell>
          <cell r="Q244">
            <v>942</v>
          </cell>
          <cell r="T244">
            <v>442.62666666666667</v>
          </cell>
          <cell r="Y244">
            <v>414.78399999999999</v>
          </cell>
          <cell r="AP244">
            <v>2577.6078749021572</v>
          </cell>
          <cell r="AQ244" t="e">
            <v>#REF!</v>
          </cell>
        </row>
        <row r="245">
          <cell r="AQ245" t="e">
            <v>#REF!</v>
          </cell>
        </row>
        <row r="246">
          <cell r="C246">
            <v>2</v>
          </cell>
          <cell r="N246">
            <v>1</v>
          </cell>
          <cell r="Q246">
            <v>0</v>
          </cell>
          <cell r="T246">
            <v>143.19266666666664</v>
          </cell>
          <cell r="Y246">
            <v>-46.472000000000008</v>
          </cell>
          <cell r="AP246">
            <v>99.720666666666631</v>
          </cell>
          <cell r="AQ246" t="e">
            <v>#REF!</v>
          </cell>
        </row>
        <row r="247">
          <cell r="C247">
            <v>53</v>
          </cell>
          <cell r="N247">
            <v>376.61933333333337</v>
          </cell>
          <cell r="Q247">
            <v>17046.890666666666</v>
          </cell>
          <cell r="T247">
            <v>0</v>
          </cell>
          <cell r="Y247">
            <v>0</v>
          </cell>
          <cell r="AP247">
            <v>20789.181999999997</v>
          </cell>
          <cell r="AQ247" t="e">
            <v>#REF!</v>
          </cell>
        </row>
        <row r="248">
          <cell r="C248">
            <v>0</v>
          </cell>
          <cell r="N248">
            <v>0</v>
          </cell>
          <cell r="Q248">
            <v>0</v>
          </cell>
          <cell r="T248">
            <v>0</v>
          </cell>
          <cell r="Y248">
            <v>0</v>
          </cell>
          <cell r="AP248">
            <v>658.33066666666662</v>
          </cell>
          <cell r="AQ248" t="e">
            <v>#REF!</v>
          </cell>
        </row>
        <row r="249">
          <cell r="C249">
            <v>3888</v>
          </cell>
          <cell r="N249">
            <v>0</v>
          </cell>
          <cell r="Q249">
            <v>0</v>
          </cell>
          <cell r="T249">
            <v>0</v>
          </cell>
          <cell r="Y249">
            <v>18</v>
          </cell>
          <cell r="AP249">
            <v>3906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27166.953121212111</v>
          </cell>
          <cell r="T252">
            <v>17206.928969697019</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2" refreshError="1">
        <row r="16">
          <cell r="AP16" t="str">
            <v>ЗАТВЕРДЖУЮ</v>
          </cell>
        </row>
        <row r="17">
          <cell r="C17" t="str">
            <v>І.В.ПЛАЧКОВ</v>
          </cell>
          <cell r="AP17" t="str">
            <v>ГОЛОВА ПРАЛІННЯ АК КЕ</v>
          </cell>
        </row>
        <row r="22">
          <cell r="AV22" t="str">
            <v>І.В.ПЛАЧКОВ</v>
          </cell>
        </row>
        <row r="29">
          <cell r="N29" t="str">
            <v>+</v>
          </cell>
          <cell r="Q29" t="str">
            <v>+</v>
          </cell>
          <cell r="T29">
            <v>34328</v>
          </cell>
          <cell r="AD29" t="str">
            <v>+</v>
          </cell>
        </row>
        <row r="30">
          <cell r="C30" t="str">
            <v>ВИКОН.ДИР.ПЛАН</v>
          </cell>
          <cell r="D30" t="str">
            <v>Е/Е</v>
          </cell>
          <cell r="E30" t="str">
            <v xml:space="preserve"> Т/Е</v>
          </cell>
          <cell r="N30" t="str">
            <v xml:space="preserve">ККМ ПЛАН </v>
          </cell>
          <cell r="O30" t="str">
            <v>ЗВІТ</v>
          </cell>
          <cell r="P30" t="str">
            <v>ВІДХ.</v>
          </cell>
          <cell r="Q30" t="str">
            <v>КТМ ПЛАН</v>
          </cell>
          <cell r="R30" t="str">
            <v>ЗВІТ</v>
          </cell>
          <cell r="S30" t="str">
            <v>ВІДХ.</v>
          </cell>
          <cell r="T30" t="str">
            <v>ТЕЦ-5   ПЛАН</v>
          </cell>
          <cell r="U30" t="str">
            <v>Е/Е</v>
          </cell>
          <cell r="V30" t="str">
            <v xml:space="preserve"> Т/Е</v>
          </cell>
          <cell r="W30" t="str">
            <v>ЗВІТ</v>
          </cell>
          <cell r="X30" t="str">
            <v>ВІДХ.</v>
          </cell>
          <cell r="Y30" t="str">
            <v>ТЕЦ-6  ПЛАН</v>
          </cell>
          <cell r="Z30" t="str">
            <v>Е/Е</v>
          </cell>
          <cell r="AA30" t="str">
            <v xml:space="preserve"> Т/Е</v>
          </cell>
          <cell r="AB30" t="str">
            <v>ЗВІТ</v>
          </cell>
          <cell r="AC30" t="str">
            <v>ВІДХ.</v>
          </cell>
          <cell r="AD30" t="str">
            <v>ТРМ ВСЬОГО ПЛАН</v>
          </cell>
          <cell r="AE30" t="str">
            <v>ТРМ АК ПЛАН</v>
          </cell>
          <cell r="AF30" t="str">
            <v>ТРМ СТОР  ПЛАН</v>
          </cell>
          <cell r="AG30" t="str">
            <v>ТРМ ВСЬОГО ЗВІТ</v>
          </cell>
          <cell r="AH30" t="str">
            <v>ТРМ АК ЗВІТ</v>
          </cell>
          <cell r="AI30" t="str">
            <v>ТРМ СТОР  ЗВІТ</v>
          </cell>
          <cell r="AJ30" t="str">
            <v>відх всього</v>
          </cell>
          <cell r="AK30" t="str">
            <v>Е/Е</v>
          </cell>
          <cell r="AL30" t="str">
            <v xml:space="preserve"> Т/Е</v>
          </cell>
          <cell r="AN30" t="str">
            <v>ДОП.ВИР. ПЛАН</v>
          </cell>
          <cell r="AO30" t="str">
            <v>ЗВІТ</v>
          </cell>
          <cell r="AP30" t="str">
            <v>АК КЕ  ПЛАН</v>
          </cell>
          <cell r="AQ30" t="str">
            <v xml:space="preserve"> Е/Е</v>
          </cell>
          <cell r="AR30" t="str">
            <v xml:space="preserve"> Т/Е</v>
          </cell>
          <cell r="AS30" t="str">
            <v>ЗВІТ</v>
          </cell>
          <cell r="AT30" t="str">
            <v>відх</v>
          </cell>
          <cell r="AU30" t="str">
            <v>СТАНЦІї ЕЛЕКТРО</v>
          </cell>
          <cell r="AV30" t="str">
            <v>СТАНЦІІ ТЕПЛОВІ</v>
          </cell>
          <cell r="AW30" t="str">
            <v>МЕРЕЖІ ЕЛЕКТРО</v>
          </cell>
          <cell r="AX30" t="str">
            <v>МЕРЕЖІ ТЕПЛОВІ</v>
          </cell>
        </row>
        <row r="31">
          <cell r="U31">
            <v>330</v>
          </cell>
          <cell r="Z31">
            <v>298</v>
          </cell>
          <cell r="AQ31">
            <v>628</v>
          </cell>
        </row>
        <row r="32">
          <cell r="U32">
            <v>291.85000000000002</v>
          </cell>
          <cell r="Z32">
            <v>268.14999999999998</v>
          </cell>
          <cell r="AQ32">
            <v>560</v>
          </cell>
        </row>
        <row r="33">
          <cell r="AQ33">
            <v>0</v>
          </cell>
        </row>
        <row r="34">
          <cell r="AQ34">
            <v>0</v>
          </cell>
        </row>
        <row r="35">
          <cell r="AQ35">
            <v>32</v>
          </cell>
        </row>
        <row r="36">
          <cell r="AQ36">
            <v>0</v>
          </cell>
        </row>
        <row r="37">
          <cell r="AQ37">
            <v>500</v>
          </cell>
        </row>
        <row r="38">
          <cell r="N38">
            <v>0</v>
          </cell>
          <cell r="AQ38">
            <v>468</v>
          </cell>
        </row>
        <row r="39">
          <cell r="C39">
            <v>21158.2</v>
          </cell>
          <cell r="N39">
            <v>31198.706727272729</v>
          </cell>
          <cell r="O39">
            <v>6571</v>
          </cell>
          <cell r="P39">
            <v>-24627.706727272729</v>
          </cell>
          <cell r="Q39">
            <v>98918.709363636386</v>
          </cell>
          <cell r="R39">
            <v>23576</v>
          </cell>
          <cell r="S39">
            <v>-75342.709363636386</v>
          </cell>
          <cell r="T39">
            <v>35357.6157878788</v>
          </cell>
          <cell r="W39">
            <v>8380</v>
          </cell>
          <cell r="X39">
            <v>-26977.6157878788</v>
          </cell>
          <cell r="Y39">
            <v>20993.651636363633</v>
          </cell>
          <cell r="Z39">
            <v>7534</v>
          </cell>
          <cell r="AA39">
            <v>13069.370303030311</v>
          </cell>
          <cell r="AB39">
            <v>5452</v>
          </cell>
          <cell r="AC39">
            <v>-15541.651636363633</v>
          </cell>
          <cell r="AD39">
            <v>49910.87533333333</v>
          </cell>
          <cell r="AE39">
            <v>41348.447090909096</v>
          </cell>
          <cell r="AF39">
            <v>8563.428242424241</v>
          </cell>
          <cell r="AG39">
            <v>8513</v>
          </cell>
          <cell r="AH39">
            <v>6481</v>
          </cell>
          <cell r="AI39">
            <v>2032</v>
          </cell>
          <cell r="AJ39">
            <v>-41397.87533333333</v>
          </cell>
          <cell r="AN39" t="e">
            <v>#REF!</v>
          </cell>
        </row>
        <row r="40">
          <cell r="C40">
            <v>9041.2000000000007</v>
          </cell>
        </row>
        <row r="41">
          <cell r="C41">
            <v>1416.2</v>
          </cell>
          <cell r="D41">
            <v>443</v>
          </cell>
          <cell r="E41">
            <v>773.2</v>
          </cell>
          <cell r="N41">
            <v>11176.222727272727</v>
          </cell>
          <cell r="Q41">
            <v>22385.220909090909</v>
          </cell>
          <cell r="T41">
            <v>8424.2482727272745</v>
          </cell>
          <cell r="U41">
            <v>3221</v>
          </cell>
          <cell r="V41">
            <v>5203.2482727272736</v>
          </cell>
          <cell r="Y41">
            <v>6912.2272727272721</v>
          </cell>
          <cell r="Z41">
            <v>2495</v>
          </cell>
          <cell r="AA41">
            <v>4417.227272727273</v>
          </cell>
          <cell r="AE41">
            <v>18490.863636363636</v>
          </cell>
          <cell r="AG41">
            <v>4464</v>
          </cell>
          <cell r="AH41">
            <v>3202</v>
          </cell>
          <cell r="AN41" t="e">
            <v>#REF!</v>
          </cell>
          <cell r="AR41">
            <v>9620.4755454545466</v>
          </cell>
        </row>
        <row r="42">
          <cell r="Q42">
            <v>970</v>
          </cell>
          <cell r="V42">
            <v>750</v>
          </cell>
          <cell r="AA42">
            <v>590</v>
          </cell>
          <cell r="AR42">
            <v>2095</v>
          </cell>
        </row>
        <row r="46">
          <cell r="C46">
            <v>743</v>
          </cell>
          <cell r="D46">
            <v>327</v>
          </cell>
          <cell r="E46">
            <v>416</v>
          </cell>
          <cell r="N46">
            <v>4379.4040000000005</v>
          </cell>
          <cell r="O46">
            <v>1204</v>
          </cell>
          <cell r="P46">
            <v>-3175.4040000000005</v>
          </cell>
          <cell r="Q46">
            <v>10032.949333333334</v>
          </cell>
          <cell r="R46">
            <v>2125</v>
          </cell>
          <cell r="S46">
            <v>-7907.9493333333339</v>
          </cell>
          <cell r="T46">
            <v>2869.0213333333331</v>
          </cell>
          <cell r="U46">
            <v>834</v>
          </cell>
          <cell r="V46">
            <v>2035.0213333333331</v>
          </cell>
          <cell r="W46">
            <v>431</v>
          </cell>
          <cell r="X46">
            <v>-2438.0213333333331</v>
          </cell>
          <cell r="Y46">
            <v>2136.0606666666672</v>
          </cell>
          <cell r="Z46">
            <v>784</v>
          </cell>
          <cell r="AA46">
            <v>1352.0606666666672</v>
          </cell>
          <cell r="AB46">
            <v>400</v>
          </cell>
          <cell r="AC46">
            <v>-1736.0606666666672</v>
          </cell>
          <cell r="AD46">
            <v>5406.058</v>
          </cell>
          <cell r="AE46">
            <v>4660.93</v>
          </cell>
          <cell r="AF46">
            <v>746.1279999999997</v>
          </cell>
          <cell r="AG46">
            <v>1087</v>
          </cell>
          <cell r="AH46">
            <v>292</v>
          </cell>
          <cell r="AI46">
            <v>134</v>
          </cell>
          <cell r="AJ46">
            <v>-4319.058</v>
          </cell>
          <cell r="AN46">
            <v>0</v>
          </cell>
          <cell r="AP46">
            <v>25075.085333333336</v>
          </cell>
          <cell r="AQ46">
            <v>6503.0040000000008</v>
          </cell>
          <cell r="AR46">
            <v>18572.081333333335</v>
          </cell>
          <cell r="AS46">
            <v>4452</v>
          </cell>
          <cell r="AT46">
            <v>-20623.085333333336</v>
          </cell>
          <cell r="AU46">
            <v>1618</v>
          </cell>
          <cell r="AV46">
            <v>6798</v>
          </cell>
          <cell r="AW46">
            <v>4885.0040000000008</v>
          </cell>
          <cell r="AX46">
            <v>11774.081333333335</v>
          </cell>
        </row>
        <row r="47">
          <cell r="C47">
            <v>1252</v>
          </cell>
          <cell r="E47">
            <v>1252</v>
          </cell>
          <cell r="N47">
            <v>3964</v>
          </cell>
          <cell r="Q47">
            <v>7771</v>
          </cell>
          <cell r="T47">
            <v>1077.2586666666666</v>
          </cell>
          <cell r="U47">
            <v>428</v>
          </cell>
          <cell r="V47">
            <v>649.25866666666661</v>
          </cell>
          <cell r="Y47">
            <v>917.22533333333331</v>
          </cell>
          <cell r="Z47">
            <v>325</v>
          </cell>
          <cell r="AA47">
            <v>592.22533333333331</v>
          </cell>
          <cell r="AC47">
            <v>-917.22533333333331</v>
          </cell>
          <cell r="AD47">
            <v>4679.1707200000001</v>
          </cell>
          <cell r="AE47">
            <v>4236.8825001426667</v>
          </cell>
          <cell r="AP47">
            <v>19218.366500142667</v>
          </cell>
        </row>
        <row r="48">
          <cell r="C48">
            <v>2</v>
          </cell>
          <cell r="E48">
            <v>2</v>
          </cell>
          <cell r="N48">
            <v>1</v>
          </cell>
          <cell r="Q48">
            <v>0</v>
          </cell>
          <cell r="T48">
            <v>285.19266666666664</v>
          </cell>
          <cell r="U48">
            <v>51</v>
          </cell>
          <cell r="V48">
            <v>234.19266666666664</v>
          </cell>
          <cell r="Y48">
            <v>-46.472000000000008</v>
          </cell>
          <cell r="Z48">
            <v>-136</v>
          </cell>
          <cell r="AA48">
            <v>89.527999999999992</v>
          </cell>
          <cell r="AC48">
            <v>46.472000000000008</v>
          </cell>
          <cell r="AD48">
            <v>0</v>
          </cell>
          <cell r="AE48">
            <v>0</v>
          </cell>
          <cell r="AP48">
            <v>241.72066666666663</v>
          </cell>
        </row>
        <row r="49">
          <cell r="C49">
            <v>521</v>
          </cell>
          <cell r="E49">
            <v>521</v>
          </cell>
          <cell r="N49">
            <v>143</v>
          </cell>
          <cell r="Q49">
            <v>963</v>
          </cell>
          <cell r="T49">
            <v>492.62666666666667</v>
          </cell>
          <cell r="U49">
            <v>186</v>
          </cell>
          <cell r="V49">
            <v>306.62666666666667</v>
          </cell>
          <cell r="Y49">
            <v>480.78399999999999</v>
          </cell>
          <cell r="Z49">
            <v>187</v>
          </cell>
          <cell r="AA49">
            <v>293.78399999999999</v>
          </cell>
          <cell r="AC49">
            <v>-480.78399999999999</v>
          </cell>
          <cell r="AD49">
            <v>247.34026666666668</v>
          </cell>
          <cell r="AE49">
            <v>216.19720823549071</v>
          </cell>
          <cell r="AP49">
            <v>2816.6078749021572</v>
          </cell>
        </row>
        <row r="50">
          <cell r="C50">
            <v>2</v>
          </cell>
          <cell r="D50">
            <v>2</v>
          </cell>
          <cell r="E50">
            <v>0</v>
          </cell>
          <cell r="N50">
            <v>492.92399999999998</v>
          </cell>
          <cell r="O50">
            <v>121</v>
          </cell>
          <cell r="P50">
            <v>-371.92399999999998</v>
          </cell>
          <cell r="Q50">
            <v>5349.8346666666666</v>
          </cell>
          <cell r="R50">
            <v>1386</v>
          </cell>
          <cell r="S50">
            <v>-3963.8346666666666</v>
          </cell>
          <cell r="T50">
            <v>9793.4773333333324</v>
          </cell>
          <cell r="U50">
            <v>3806</v>
          </cell>
          <cell r="V50">
            <v>5987.4773333333324</v>
          </cell>
          <cell r="W50">
            <v>2636</v>
          </cell>
          <cell r="X50">
            <v>-7157.4773333333324</v>
          </cell>
          <cell r="Y50">
            <v>1393.9739999999999</v>
          </cell>
          <cell r="Z50">
            <v>347</v>
          </cell>
          <cell r="AA50">
            <v>1046.9739999999999</v>
          </cell>
          <cell r="AB50">
            <v>292</v>
          </cell>
          <cell r="AC50">
            <v>-1101.9739999999999</v>
          </cell>
          <cell r="AD50">
            <v>2343.2906666666663</v>
          </cell>
          <cell r="AE50">
            <v>1762.72</v>
          </cell>
          <cell r="AF50">
            <v>580.57066666666628</v>
          </cell>
          <cell r="AG50">
            <v>288</v>
          </cell>
          <cell r="AH50">
            <v>601</v>
          </cell>
          <cell r="AI50">
            <v>56</v>
          </cell>
          <cell r="AJ50">
            <v>-2055.2906666666663</v>
          </cell>
          <cell r="AN50">
            <v>0</v>
          </cell>
          <cell r="AP50">
            <v>18756.329999999998</v>
          </cell>
          <cell r="AQ50">
            <v>4653.3239999999996</v>
          </cell>
          <cell r="AR50">
            <v>14103.005999999998</v>
          </cell>
          <cell r="AS50">
            <v>5036</v>
          </cell>
          <cell r="AT50">
            <v>-13720.329999999998</v>
          </cell>
          <cell r="AU50">
            <v>4153</v>
          </cell>
          <cell r="AV50">
            <v>8853</v>
          </cell>
          <cell r="AW50">
            <v>500.32399999999961</v>
          </cell>
          <cell r="AX50">
            <v>5250.0059999999976</v>
          </cell>
        </row>
        <row r="51">
          <cell r="C51">
            <v>0</v>
          </cell>
          <cell r="D51">
            <v>0</v>
          </cell>
          <cell r="E51">
            <v>0</v>
          </cell>
          <cell r="N51">
            <v>0</v>
          </cell>
          <cell r="P51">
            <v>0</v>
          </cell>
          <cell r="Q51">
            <v>176.46666666666664</v>
          </cell>
          <cell r="R51">
            <v>54</v>
          </cell>
          <cell r="S51">
            <v>-122.46666666666664</v>
          </cell>
          <cell r="T51">
            <v>7822.4000000000005</v>
          </cell>
          <cell r="U51">
            <v>3230</v>
          </cell>
          <cell r="V51">
            <v>4592.4000000000005</v>
          </cell>
          <cell r="W51">
            <v>2407</v>
          </cell>
          <cell r="X51">
            <v>-5415.4000000000005</v>
          </cell>
          <cell r="Y51">
            <v>158.20000000000002</v>
          </cell>
          <cell r="Z51">
            <v>57</v>
          </cell>
          <cell r="AA51">
            <v>101.20000000000002</v>
          </cell>
          <cell r="AB51">
            <v>20</v>
          </cell>
          <cell r="AC51">
            <v>-138.20000000000002</v>
          </cell>
          <cell r="AD51">
            <v>5.6</v>
          </cell>
          <cell r="AE51">
            <v>4</v>
          </cell>
          <cell r="AF51">
            <v>1.5999999999999996</v>
          </cell>
          <cell r="AI51">
            <v>0</v>
          </cell>
          <cell r="AJ51">
            <v>-5.6</v>
          </cell>
          <cell r="AP51">
            <v>8161.0666666666666</v>
          </cell>
          <cell r="AQ51">
            <v>3287</v>
          </cell>
          <cell r="AR51">
            <v>4874.0666666666666</v>
          </cell>
          <cell r="AS51">
            <v>2481</v>
          </cell>
          <cell r="AT51">
            <v>-5680.0666666666666</v>
          </cell>
          <cell r="AU51">
            <v>3287</v>
          </cell>
          <cell r="AV51">
            <v>4754</v>
          </cell>
          <cell r="AW51">
            <v>0</v>
          </cell>
          <cell r="AX51">
            <v>120.06666666666661</v>
          </cell>
        </row>
        <row r="52">
          <cell r="C52">
            <v>0</v>
          </cell>
          <cell r="D52">
            <v>0</v>
          </cell>
          <cell r="E52">
            <v>0</v>
          </cell>
          <cell r="N52">
            <v>0</v>
          </cell>
          <cell r="P52">
            <v>0</v>
          </cell>
          <cell r="Q52">
            <v>125574</v>
          </cell>
          <cell r="R52">
            <v>61402</v>
          </cell>
          <cell r="S52">
            <v>-64172</v>
          </cell>
          <cell r="T52">
            <v>253209</v>
          </cell>
          <cell r="U52">
            <v>108806.34756097561</v>
          </cell>
          <cell r="V52">
            <v>144402.65243902439</v>
          </cell>
          <cell r="W52">
            <v>93632</v>
          </cell>
          <cell r="X52">
            <v>-159577</v>
          </cell>
          <cell r="Y52">
            <v>219657</v>
          </cell>
          <cell r="Z52">
            <v>86757.750161952048</v>
          </cell>
          <cell r="AA52">
            <v>132899.24983804795</v>
          </cell>
          <cell r="AB52">
            <v>76301</v>
          </cell>
          <cell r="AC52">
            <v>-143356</v>
          </cell>
          <cell r="AD52">
            <v>0</v>
          </cell>
          <cell r="AE52">
            <v>0</v>
          </cell>
          <cell r="AF52">
            <v>0</v>
          </cell>
          <cell r="AI52">
            <v>0</v>
          </cell>
          <cell r="AJ52">
            <v>0</v>
          </cell>
          <cell r="AN52">
            <v>0</v>
          </cell>
          <cell r="AP52">
            <v>598441</v>
          </cell>
          <cell r="AQ52">
            <v>195565.09772292766</v>
          </cell>
          <cell r="AR52">
            <v>402875.90227707231</v>
          </cell>
          <cell r="AS52">
            <v>231335</v>
          </cell>
          <cell r="AT52">
            <v>-367106</v>
          </cell>
          <cell r="AU52">
            <v>195564.09772292766</v>
          </cell>
          <cell r="AV52">
            <v>402876</v>
          </cell>
          <cell r="AW52">
            <v>1</v>
          </cell>
          <cell r="AX52">
            <v>-9.772292769048363E-2</v>
          </cell>
        </row>
        <row r="53">
          <cell r="C53">
            <v>0</v>
          </cell>
          <cell r="D53">
            <v>0</v>
          </cell>
          <cell r="E53">
            <v>0</v>
          </cell>
          <cell r="N53">
            <v>0</v>
          </cell>
          <cell r="P53">
            <v>0</v>
          </cell>
          <cell r="Q53">
            <v>125574</v>
          </cell>
          <cell r="R53">
            <v>61402</v>
          </cell>
          <cell r="S53">
            <v>-64172</v>
          </cell>
          <cell r="T53">
            <v>253209</v>
          </cell>
          <cell r="U53">
            <v>108806.34756097561</v>
          </cell>
          <cell r="V53">
            <v>144402.65243902439</v>
          </cell>
          <cell r="W53">
            <v>93632</v>
          </cell>
          <cell r="X53">
            <v>-159577</v>
          </cell>
          <cell r="Y53">
            <v>219657</v>
          </cell>
          <cell r="Z53">
            <v>86757.750161952048</v>
          </cell>
          <cell r="AA53">
            <v>132899.24983804795</v>
          </cell>
          <cell r="AB53">
            <v>46301</v>
          </cell>
          <cell r="AC53">
            <v>-173356</v>
          </cell>
          <cell r="AD53">
            <v>0</v>
          </cell>
          <cell r="AE53">
            <v>0</v>
          </cell>
          <cell r="AF53">
            <v>0</v>
          </cell>
          <cell r="AI53">
            <v>0</v>
          </cell>
          <cell r="AJ53">
            <v>0</v>
          </cell>
          <cell r="AP53">
            <v>598440</v>
          </cell>
          <cell r="AQ53">
            <v>195564.09772292766</v>
          </cell>
          <cell r="AR53">
            <v>402875.90227707231</v>
          </cell>
          <cell r="AS53">
            <v>201335</v>
          </cell>
          <cell r="AT53">
            <v>-397105</v>
          </cell>
          <cell r="AU53">
            <v>195564.09772292766</v>
          </cell>
          <cell r="AV53">
            <v>402876</v>
          </cell>
          <cell r="AW53">
            <v>0</v>
          </cell>
          <cell r="AX53">
            <v>-9.772292769048363E-2</v>
          </cell>
        </row>
        <row r="54">
          <cell r="C54">
            <v>1078.5999999999999</v>
          </cell>
          <cell r="D54">
            <v>0</v>
          </cell>
          <cell r="E54">
            <v>1078.5999999999999</v>
          </cell>
          <cell r="N54">
            <v>0</v>
          </cell>
          <cell r="P54">
            <v>0</v>
          </cell>
          <cell r="Q54">
            <v>0</v>
          </cell>
          <cell r="S54">
            <v>0</v>
          </cell>
          <cell r="T54">
            <v>0</v>
          </cell>
          <cell r="U54">
            <v>0</v>
          </cell>
          <cell r="Y54">
            <v>0</v>
          </cell>
          <cell r="Z54">
            <v>0</v>
          </cell>
          <cell r="AA54">
            <v>0</v>
          </cell>
          <cell r="AD54">
            <v>0</v>
          </cell>
          <cell r="AE54">
            <v>0</v>
          </cell>
          <cell r="AS54">
            <v>0</v>
          </cell>
          <cell r="AT54">
            <v>0</v>
          </cell>
          <cell r="AV54">
            <v>0</v>
          </cell>
        </row>
        <row r="55">
          <cell r="C55">
            <v>67</v>
          </cell>
          <cell r="D55">
            <v>6</v>
          </cell>
          <cell r="E55">
            <v>61</v>
          </cell>
          <cell r="N55">
            <v>439.28600000000006</v>
          </cell>
          <cell r="O55">
            <v>140</v>
          </cell>
          <cell r="P55">
            <v>-299.28600000000006</v>
          </cell>
          <cell r="Q55">
            <v>19570.890666666666</v>
          </cell>
          <cell r="R55">
            <v>8493</v>
          </cell>
          <cell r="S55">
            <v>-11077.890666666666</v>
          </cell>
          <cell r="T55">
            <v>0</v>
          </cell>
          <cell r="U55">
            <v>0</v>
          </cell>
          <cell r="V55">
            <v>0</v>
          </cell>
          <cell r="X55">
            <v>0</v>
          </cell>
          <cell r="Y55">
            <v>0</v>
          </cell>
          <cell r="Z55">
            <v>0</v>
          </cell>
          <cell r="AA55">
            <v>0</v>
          </cell>
          <cell r="AB55">
            <v>0</v>
          </cell>
          <cell r="AC55">
            <v>0</v>
          </cell>
          <cell r="AD55">
            <v>8274.5233333333344</v>
          </cell>
          <cell r="AE55">
            <v>3418.672</v>
          </cell>
          <cell r="AF55">
            <v>4855.851333333334</v>
          </cell>
          <cell r="AG55">
            <v>809</v>
          </cell>
          <cell r="AH55">
            <v>810</v>
          </cell>
          <cell r="AI55">
            <v>1225</v>
          </cell>
          <cell r="AJ55">
            <v>-7465.5233333333344</v>
          </cell>
          <cell r="AN55">
            <v>0</v>
          </cell>
          <cell r="AP55">
            <v>23495.848666666665</v>
          </cell>
          <cell r="AQ55">
            <v>445.28600000000006</v>
          </cell>
          <cell r="AR55">
            <v>23050.562666666665</v>
          </cell>
          <cell r="AS55">
            <v>9442</v>
          </cell>
          <cell r="AT55">
            <v>-14053.848666666665</v>
          </cell>
          <cell r="AU55">
            <v>0</v>
          </cell>
          <cell r="AV55">
            <v>6654</v>
          </cell>
          <cell r="AW55">
            <v>445.28600000000006</v>
          </cell>
          <cell r="AX55">
            <v>16396.562666666665</v>
          </cell>
        </row>
        <row r="56">
          <cell r="C56">
            <v>844.2</v>
          </cell>
          <cell r="D56">
            <v>310</v>
          </cell>
          <cell r="E56">
            <v>534.20000000000005</v>
          </cell>
          <cell r="N56">
            <v>6641.8893939393938</v>
          </cell>
          <cell r="O56">
            <v>1303</v>
          </cell>
          <cell r="P56">
            <v>-5338.8893939393938</v>
          </cell>
          <cell r="Q56">
            <v>11516.720909090909</v>
          </cell>
          <cell r="R56">
            <v>2369</v>
          </cell>
          <cell r="S56">
            <v>-9147.7209090909091</v>
          </cell>
          <cell r="T56">
            <v>3480.1573636363642</v>
          </cell>
          <cell r="U56">
            <v>1300</v>
          </cell>
          <cell r="V56">
            <v>2180.1573636363642</v>
          </cell>
          <cell r="W56">
            <v>745</v>
          </cell>
          <cell r="X56">
            <v>-2735.1573636363642</v>
          </cell>
          <cell r="Y56">
            <v>3339.8636363636365</v>
          </cell>
          <cell r="Z56">
            <v>1178</v>
          </cell>
          <cell r="AA56">
            <v>2161.8636363636365</v>
          </cell>
          <cell r="AB56">
            <v>662</v>
          </cell>
          <cell r="AC56">
            <v>-2677.8636363636365</v>
          </cell>
          <cell r="AD56">
            <v>12968.886363636362</v>
          </cell>
          <cell r="AE56">
            <v>11635.045454545454</v>
          </cell>
          <cell r="AF56">
            <v>1333.8409090909081</v>
          </cell>
          <cell r="AG56">
            <v>2563</v>
          </cell>
          <cell r="AH56">
            <v>1747</v>
          </cell>
          <cell r="AI56">
            <v>306</v>
          </cell>
          <cell r="AJ56">
            <v>-10405.886363636362</v>
          </cell>
          <cell r="AN56">
            <v>0</v>
          </cell>
          <cell r="AP56">
            <v>38228.876757575759</v>
          </cell>
          <cell r="AQ56">
            <v>9938.7075757575767</v>
          </cell>
          <cell r="AR56">
            <v>28290.169181818183</v>
          </cell>
          <cell r="AS56">
            <v>6826</v>
          </cell>
          <cell r="AT56">
            <v>-31402.876757575759</v>
          </cell>
          <cell r="AU56">
            <v>2478</v>
          </cell>
          <cell r="AV56">
            <v>8258</v>
          </cell>
          <cell r="AW56">
            <v>7460.7075757575767</v>
          </cell>
          <cell r="AX56">
            <v>20032.169181818183</v>
          </cell>
        </row>
        <row r="57">
          <cell r="C57">
            <v>27</v>
          </cell>
          <cell r="D57">
            <v>16</v>
          </cell>
          <cell r="E57">
            <v>11</v>
          </cell>
          <cell r="N57">
            <v>367</v>
          </cell>
          <cell r="O57">
            <v>70</v>
          </cell>
          <cell r="P57">
            <v>-297</v>
          </cell>
          <cell r="Q57">
            <v>636</v>
          </cell>
          <cell r="R57">
            <v>129</v>
          </cell>
          <cell r="S57">
            <v>-507</v>
          </cell>
          <cell r="T57">
            <v>191</v>
          </cell>
          <cell r="U57">
            <v>71</v>
          </cell>
          <cell r="V57">
            <v>120</v>
          </cell>
          <cell r="W57">
            <v>39</v>
          </cell>
          <cell r="X57">
            <v>-152</v>
          </cell>
          <cell r="Y57">
            <v>180</v>
          </cell>
          <cell r="Z57">
            <v>65</v>
          </cell>
          <cell r="AA57">
            <v>115</v>
          </cell>
          <cell r="AB57">
            <v>35</v>
          </cell>
          <cell r="AC57">
            <v>-145</v>
          </cell>
          <cell r="AD57">
            <v>713</v>
          </cell>
          <cell r="AE57">
            <v>639</v>
          </cell>
          <cell r="AF57">
            <v>74</v>
          </cell>
          <cell r="AG57">
            <v>136</v>
          </cell>
          <cell r="AH57">
            <v>96</v>
          </cell>
          <cell r="AI57">
            <v>18</v>
          </cell>
          <cell r="AJ57">
            <v>-577</v>
          </cell>
          <cell r="AN57">
            <v>0</v>
          </cell>
          <cell r="AP57">
            <v>2083</v>
          </cell>
          <cell r="AQ57">
            <v>547</v>
          </cell>
          <cell r="AR57">
            <v>1536</v>
          </cell>
          <cell r="AS57">
            <v>369</v>
          </cell>
          <cell r="AT57">
            <v>-1714</v>
          </cell>
          <cell r="AU57">
            <v>136</v>
          </cell>
          <cell r="AV57">
            <v>360</v>
          </cell>
          <cell r="AW57">
            <v>411</v>
          </cell>
          <cell r="AX57">
            <v>1176</v>
          </cell>
        </row>
        <row r="58">
          <cell r="C58">
            <v>345</v>
          </cell>
          <cell r="D58">
            <v>117</v>
          </cell>
          <cell r="E58">
            <v>228</v>
          </cell>
          <cell r="N58">
            <v>2128</v>
          </cell>
          <cell r="O58">
            <v>417</v>
          </cell>
          <cell r="P58">
            <v>-1711</v>
          </cell>
          <cell r="Q58">
            <v>3686</v>
          </cell>
          <cell r="R58">
            <v>610</v>
          </cell>
          <cell r="S58">
            <v>-3076</v>
          </cell>
          <cell r="T58">
            <v>1113</v>
          </cell>
          <cell r="U58">
            <v>415</v>
          </cell>
          <cell r="V58">
            <v>698</v>
          </cell>
          <cell r="W58">
            <v>229</v>
          </cell>
          <cell r="X58">
            <v>-884</v>
          </cell>
          <cell r="Y58">
            <v>1069</v>
          </cell>
          <cell r="Z58">
            <v>378</v>
          </cell>
          <cell r="AA58">
            <v>691</v>
          </cell>
          <cell r="AB58">
            <v>205</v>
          </cell>
          <cell r="AC58">
            <v>-864</v>
          </cell>
          <cell r="AD58">
            <v>4151</v>
          </cell>
          <cell r="AE58">
            <v>3720</v>
          </cell>
          <cell r="AF58">
            <v>431</v>
          </cell>
          <cell r="AG58">
            <v>793</v>
          </cell>
          <cell r="AH58">
            <v>559</v>
          </cell>
          <cell r="AI58">
            <v>103</v>
          </cell>
          <cell r="AJ58">
            <v>-3358</v>
          </cell>
          <cell r="AN58">
            <v>0</v>
          </cell>
          <cell r="AP58">
            <v>12308</v>
          </cell>
          <cell r="AQ58">
            <v>3199</v>
          </cell>
          <cell r="AR58">
            <v>9109</v>
          </cell>
          <cell r="AS58">
            <v>2021</v>
          </cell>
          <cell r="AT58">
            <v>-10287</v>
          </cell>
          <cell r="AU58">
            <v>0</v>
          </cell>
          <cell r="AV58">
            <v>0</v>
          </cell>
          <cell r="AW58">
            <v>0</v>
          </cell>
          <cell r="AX58">
            <v>0</v>
          </cell>
        </row>
        <row r="59">
          <cell r="C59">
            <v>0</v>
          </cell>
          <cell r="D59">
            <v>0</v>
          </cell>
          <cell r="E59">
            <v>0</v>
          </cell>
          <cell r="N59">
            <v>0</v>
          </cell>
          <cell r="P59">
            <v>0</v>
          </cell>
          <cell r="Q59">
            <v>0</v>
          </cell>
          <cell r="S59">
            <v>0</v>
          </cell>
          <cell r="T59">
            <v>0</v>
          </cell>
          <cell r="U59">
            <v>0</v>
          </cell>
          <cell r="V59">
            <v>0</v>
          </cell>
          <cell r="X59">
            <v>0</v>
          </cell>
          <cell r="Y59">
            <v>0</v>
          </cell>
          <cell r="Z59">
            <v>0</v>
          </cell>
          <cell r="AA59">
            <v>0</v>
          </cell>
          <cell r="AC59">
            <v>0</v>
          </cell>
          <cell r="AD59">
            <v>0</v>
          </cell>
          <cell r="AE59">
            <v>0</v>
          </cell>
          <cell r="AF59">
            <v>0</v>
          </cell>
          <cell r="AI59">
            <v>0</v>
          </cell>
          <cell r="AJ59">
            <v>0</v>
          </cell>
          <cell r="AP59">
            <v>0</v>
          </cell>
          <cell r="AQ59">
            <v>0</v>
          </cell>
          <cell r="AR59">
            <v>0</v>
          </cell>
          <cell r="AS59">
            <v>0</v>
          </cell>
          <cell r="AT59">
            <v>0</v>
          </cell>
          <cell r="AU59">
            <v>0</v>
          </cell>
          <cell r="AV59">
            <v>0</v>
          </cell>
          <cell r="AW59">
            <v>0</v>
          </cell>
          <cell r="AX59">
            <v>0</v>
          </cell>
        </row>
        <row r="60">
          <cell r="C60">
            <v>79</v>
          </cell>
          <cell r="D60">
            <v>85</v>
          </cell>
          <cell r="E60">
            <v>-6</v>
          </cell>
          <cell r="N60">
            <v>6409</v>
          </cell>
          <cell r="O60">
            <v>1794</v>
          </cell>
          <cell r="P60">
            <v>-4615</v>
          </cell>
          <cell r="Q60">
            <v>13950</v>
          </cell>
          <cell r="R60">
            <v>3886</v>
          </cell>
          <cell r="S60">
            <v>-10064</v>
          </cell>
          <cell r="T60">
            <v>6973</v>
          </cell>
          <cell r="U60">
            <v>2648</v>
          </cell>
          <cell r="V60">
            <v>4325</v>
          </cell>
          <cell r="W60">
            <v>2064</v>
          </cell>
          <cell r="X60">
            <v>-4909</v>
          </cell>
          <cell r="Y60">
            <v>7268.666666666667</v>
          </cell>
          <cell r="Z60">
            <v>2612</v>
          </cell>
          <cell r="AA60">
            <v>4656.666666666667</v>
          </cell>
          <cell r="AB60">
            <v>2209</v>
          </cell>
          <cell r="AC60">
            <v>-5059.666666666667</v>
          </cell>
          <cell r="AD60">
            <v>6460.666666666667</v>
          </cell>
          <cell r="AE60">
            <v>6258.3333333333339</v>
          </cell>
          <cell r="AF60">
            <v>202.33333333333303</v>
          </cell>
          <cell r="AG60">
            <v>1641</v>
          </cell>
          <cell r="AH60">
            <v>1265</v>
          </cell>
          <cell r="AI60">
            <v>155</v>
          </cell>
          <cell r="AJ60">
            <v>-4819.666666666667</v>
          </cell>
          <cell r="AN60">
            <v>0</v>
          </cell>
          <cell r="AP60">
            <v>40914</v>
          </cell>
          <cell r="AQ60">
            <v>11782</v>
          </cell>
          <cell r="AR60">
            <v>29132</v>
          </cell>
          <cell r="AS60">
            <v>11218</v>
          </cell>
          <cell r="AT60">
            <v>-29696</v>
          </cell>
          <cell r="AU60">
            <v>5260</v>
          </cell>
          <cell r="AV60">
            <v>13725</v>
          </cell>
          <cell r="AW60">
            <v>6522</v>
          </cell>
          <cell r="AX60">
            <v>15407</v>
          </cell>
        </row>
        <row r="61">
          <cell r="C61">
            <v>0</v>
          </cell>
          <cell r="D61">
            <v>0</v>
          </cell>
          <cell r="E61">
            <v>0</v>
          </cell>
          <cell r="N61">
            <v>0</v>
          </cell>
          <cell r="P61">
            <v>0</v>
          </cell>
          <cell r="Q61">
            <v>0</v>
          </cell>
          <cell r="S61">
            <v>0</v>
          </cell>
          <cell r="T61">
            <v>0</v>
          </cell>
          <cell r="U61">
            <v>0</v>
          </cell>
          <cell r="X61">
            <v>0</v>
          </cell>
          <cell r="Y61">
            <v>0</v>
          </cell>
          <cell r="Z61">
            <v>0</v>
          </cell>
          <cell r="AA61">
            <v>0</v>
          </cell>
          <cell r="AC61">
            <v>0</v>
          </cell>
          <cell r="AD61">
            <v>0</v>
          </cell>
          <cell r="AE61">
            <v>0</v>
          </cell>
          <cell r="AF61">
            <v>0</v>
          </cell>
          <cell r="AG61">
            <v>0</v>
          </cell>
          <cell r="AH61">
            <v>126</v>
          </cell>
          <cell r="AI61">
            <v>0</v>
          </cell>
          <cell r="AJ61">
            <v>0</v>
          </cell>
          <cell r="AP61">
            <v>0</v>
          </cell>
          <cell r="AS61">
            <v>126</v>
          </cell>
          <cell r="AT61">
            <v>126</v>
          </cell>
        </row>
        <row r="62">
          <cell r="C62">
            <v>84</v>
          </cell>
          <cell r="D62">
            <v>76</v>
          </cell>
          <cell r="E62">
            <v>8</v>
          </cell>
          <cell r="N62">
            <v>6372</v>
          </cell>
          <cell r="P62">
            <v>-6372</v>
          </cell>
          <cell r="Q62">
            <v>11548</v>
          </cell>
          <cell r="S62">
            <v>-11548</v>
          </cell>
          <cell r="T62">
            <v>2717.9700000000003</v>
          </cell>
          <cell r="U62">
            <v>53</v>
          </cell>
          <cell r="X62">
            <v>-2717.9700000000003</v>
          </cell>
          <cell r="Y62">
            <v>1693.26</v>
          </cell>
          <cell r="Z62">
            <v>65</v>
          </cell>
          <cell r="AA62">
            <v>1628.26</v>
          </cell>
          <cell r="AC62">
            <v>-1693.26</v>
          </cell>
          <cell r="AD62">
            <v>3355</v>
          </cell>
          <cell r="AE62">
            <v>3355</v>
          </cell>
          <cell r="AF62">
            <v>0</v>
          </cell>
          <cell r="AI62">
            <v>0</v>
          </cell>
          <cell r="AJ62">
            <v>-3355</v>
          </cell>
          <cell r="AP62">
            <v>25783.23</v>
          </cell>
          <cell r="AQ62">
            <v>6579</v>
          </cell>
          <cell r="AR62">
            <v>19204.23</v>
          </cell>
          <cell r="AS62">
            <v>0</v>
          </cell>
          <cell r="AT62">
            <v>-25783.23</v>
          </cell>
          <cell r="AV62">
            <v>4804</v>
          </cell>
        </row>
        <row r="63">
          <cell r="C63">
            <v>510</v>
          </cell>
          <cell r="D63">
            <v>0</v>
          </cell>
          <cell r="E63">
            <v>510</v>
          </cell>
          <cell r="N63">
            <v>0</v>
          </cell>
          <cell r="P63">
            <v>0</v>
          </cell>
          <cell r="Q63">
            <v>0</v>
          </cell>
          <cell r="S63">
            <v>0</v>
          </cell>
          <cell r="T63">
            <v>0</v>
          </cell>
          <cell r="U63">
            <v>0</v>
          </cell>
          <cell r="X63">
            <v>0</v>
          </cell>
          <cell r="Y63">
            <v>0</v>
          </cell>
          <cell r="Z63">
            <v>0</v>
          </cell>
          <cell r="AA63">
            <v>0</v>
          </cell>
          <cell r="AC63">
            <v>0</v>
          </cell>
          <cell r="AD63">
            <v>0</v>
          </cell>
          <cell r="AE63">
            <v>0</v>
          </cell>
          <cell r="AF63">
            <v>0</v>
          </cell>
          <cell r="AI63">
            <v>0</v>
          </cell>
          <cell r="AJ63">
            <v>0</v>
          </cell>
          <cell r="AP63">
            <v>510</v>
          </cell>
          <cell r="AQ63">
            <v>0</v>
          </cell>
          <cell r="AR63">
            <v>510</v>
          </cell>
          <cell r="AS63">
            <v>0</v>
          </cell>
          <cell r="AT63">
            <v>-510</v>
          </cell>
          <cell r="AV63">
            <v>0</v>
          </cell>
        </row>
        <row r="64">
          <cell r="C64">
            <v>0</v>
          </cell>
          <cell r="D64">
            <v>9</v>
          </cell>
          <cell r="E64">
            <v>-9</v>
          </cell>
          <cell r="N64">
            <v>37</v>
          </cell>
          <cell r="P64">
            <v>-37</v>
          </cell>
          <cell r="Q64">
            <v>2402</v>
          </cell>
          <cell r="S64">
            <v>-2402</v>
          </cell>
          <cell r="T64">
            <v>4255.03</v>
          </cell>
          <cell r="U64">
            <v>2595</v>
          </cell>
          <cell r="X64">
            <v>-4255.03</v>
          </cell>
          <cell r="Y64">
            <v>5575.4066666666668</v>
          </cell>
          <cell r="Z64">
            <v>2547</v>
          </cell>
          <cell r="AA64">
            <v>3028.4066666666668</v>
          </cell>
          <cell r="AC64">
            <v>-5575.4066666666668</v>
          </cell>
          <cell r="AD64">
            <v>3105.666666666667</v>
          </cell>
          <cell r="AE64">
            <v>2903.3333333333339</v>
          </cell>
          <cell r="AF64">
            <v>202.33333333333303</v>
          </cell>
          <cell r="AG64">
            <v>1641</v>
          </cell>
          <cell r="AH64">
            <v>1139</v>
          </cell>
          <cell r="AI64">
            <v>155</v>
          </cell>
          <cell r="AJ64">
            <v>-1464.666666666667</v>
          </cell>
          <cell r="AP64">
            <v>15179.77</v>
          </cell>
          <cell r="AS64">
            <v>1139</v>
          </cell>
          <cell r="AT64">
            <v>-14040.77</v>
          </cell>
        </row>
        <row r="65">
          <cell r="C65">
            <v>241</v>
          </cell>
          <cell r="D65">
            <v>63</v>
          </cell>
          <cell r="E65">
            <v>178</v>
          </cell>
          <cell r="N65">
            <v>8068</v>
          </cell>
          <cell r="O65">
            <v>1295</v>
          </cell>
          <cell r="P65">
            <v>-6773</v>
          </cell>
          <cell r="Q65">
            <v>17392.095454545455</v>
          </cell>
          <cell r="R65">
            <v>2254</v>
          </cell>
          <cell r="S65">
            <v>-15138.095454545455</v>
          </cell>
          <cell r="T65">
            <v>13778.25909090909</v>
          </cell>
          <cell r="U65">
            <v>5559</v>
          </cell>
          <cell r="V65">
            <v>8219.2590909090904</v>
          </cell>
          <cell r="W65">
            <v>1557</v>
          </cell>
          <cell r="X65">
            <v>-12221.25909090909</v>
          </cell>
          <cell r="Y65">
            <v>9752.7000000000007</v>
          </cell>
          <cell r="Z65">
            <v>4367</v>
          </cell>
          <cell r="AA65">
            <v>5385.7000000000007</v>
          </cell>
          <cell r="AB65">
            <v>1201</v>
          </cell>
          <cell r="AC65">
            <v>-8551.7000000000007</v>
          </cell>
          <cell r="AD65">
            <v>9914.9136363636353</v>
          </cell>
          <cell r="AE65">
            <v>9842.113636363636</v>
          </cell>
          <cell r="AF65">
            <v>72.799999999999272</v>
          </cell>
          <cell r="AG65">
            <v>1946</v>
          </cell>
          <cell r="AH65">
            <v>938</v>
          </cell>
          <cell r="AI65">
            <v>0</v>
          </cell>
          <cell r="AJ65">
            <v>-7968.9136363636353</v>
          </cell>
          <cell r="AP65">
            <v>59080.168181818182</v>
          </cell>
          <cell r="AQ65">
            <v>18027</v>
          </cell>
          <cell r="AR65">
            <v>41053.168181818182</v>
          </cell>
          <cell r="AS65">
            <v>7245</v>
          </cell>
          <cell r="AT65">
            <v>-51835.168181818182</v>
          </cell>
          <cell r="AU65">
            <v>9926</v>
          </cell>
          <cell r="AV65">
            <v>19518</v>
          </cell>
          <cell r="AW65">
            <v>8101</v>
          </cell>
          <cell r="AX65">
            <v>21535.168181818182</v>
          </cell>
        </row>
        <row r="66">
          <cell r="C66">
            <v>0</v>
          </cell>
          <cell r="D66">
            <v>0</v>
          </cell>
          <cell r="E66">
            <v>0</v>
          </cell>
          <cell r="N66">
            <v>765.33333333333326</v>
          </cell>
          <cell r="O66">
            <v>198</v>
          </cell>
          <cell r="P66">
            <v>-567.33333333333326</v>
          </cell>
          <cell r="Q66">
            <v>4764.5</v>
          </cell>
          <cell r="R66">
            <v>1097</v>
          </cell>
          <cell r="S66">
            <v>-3667.5</v>
          </cell>
          <cell r="T66">
            <v>2647.0909090909095</v>
          </cell>
          <cell r="U66">
            <v>1044</v>
          </cell>
          <cell r="V66">
            <v>1603.0909090909095</v>
          </cell>
          <cell r="W66">
            <v>608</v>
          </cell>
          <cell r="X66">
            <v>-2039.0909090909095</v>
          </cell>
          <cell r="Y66">
            <v>1687.3636363636365</v>
          </cell>
          <cell r="Z66">
            <v>634</v>
          </cell>
          <cell r="AA66">
            <v>1053.3636363636365</v>
          </cell>
          <cell r="AB66">
            <v>435</v>
          </cell>
          <cell r="AC66">
            <v>-1252.3636363636365</v>
          </cell>
          <cell r="AD66">
            <v>1816.0000000000002</v>
          </cell>
          <cell r="AE66">
            <v>1815.818181818182</v>
          </cell>
          <cell r="AF66">
            <v>0.18181818181824383</v>
          </cell>
          <cell r="AG66">
            <v>318</v>
          </cell>
          <cell r="AH66">
            <v>237</v>
          </cell>
          <cell r="AI66">
            <v>0</v>
          </cell>
          <cell r="AJ66">
            <v>-1498.0000000000002</v>
          </cell>
          <cell r="AP66">
            <v>11680.10606060606</v>
          </cell>
          <cell r="AQ66">
            <v>2443.333333333333</v>
          </cell>
          <cell r="AR66">
            <v>9236.7727272727279</v>
          </cell>
          <cell r="AS66">
            <v>2575</v>
          </cell>
          <cell r="AT66">
            <v>-9105.1060606060601</v>
          </cell>
        </row>
        <row r="67">
          <cell r="C67">
            <v>0</v>
          </cell>
          <cell r="D67">
            <v>0</v>
          </cell>
          <cell r="E67">
            <v>0</v>
          </cell>
          <cell r="N67">
            <v>45</v>
          </cell>
          <cell r="O67">
            <v>11</v>
          </cell>
          <cell r="P67">
            <v>-34</v>
          </cell>
          <cell r="Q67">
            <v>262</v>
          </cell>
          <cell r="R67">
            <v>60</v>
          </cell>
          <cell r="S67">
            <v>-202</v>
          </cell>
          <cell r="T67">
            <v>145</v>
          </cell>
          <cell r="U67">
            <v>57</v>
          </cell>
          <cell r="V67">
            <v>88</v>
          </cell>
          <cell r="W67">
            <v>33</v>
          </cell>
          <cell r="X67">
            <v>-112</v>
          </cell>
          <cell r="Y67">
            <v>92</v>
          </cell>
          <cell r="Z67">
            <v>35</v>
          </cell>
          <cell r="AA67">
            <v>57</v>
          </cell>
          <cell r="AB67">
            <v>24</v>
          </cell>
          <cell r="AC67">
            <v>-68</v>
          </cell>
          <cell r="AD67">
            <v>99</v>
          </cell>
          <cell r="AE67">
            <v>99</v>
          </cell>
          <cell r="AF67">
            <v>0</v>
          </cell>
          <cell r="AG67">
            <v>17</v>
          </cell>
          <cell r="AH67">
            <v>12</v>
          </cell>
          <cell r="AI67">
            <v>0</v>
          </cell>
          <cell r="AJ67">
            <v>-82</v>
          </cell>
          <cell r="AP67">
            <v>643</v>
          </cell>
          <cell r="AQ67">
            <v>137</v>
          </cell>
          <cell r="AR67">
            <v>506</v>
          </cell>
          <cell r="AS67">
            <v>140</v>
          </cell>
          <cell r="AT67">
            <v>-503</v>
          </cell>
        </row>
        <row r="68">
          <cell r="C68">
            <v>0</v>
          </cell>
          <cell r="D68">
            <v>0</v>
          </cell>
          <cell r="E68">
            <v>0</v>
          </cell>
          <cell r="N68">
            <v>247</v>
          </cell>
          <cell r="O68">
            <v>63</v>
          </cell>
          <cell r="P68">
            <v>-184</v>
          </cell>
          <cell r="Q68">
            <v>1520</v>
          </cell>
          <cell r="R68">
            <v>330</v>
          </cell>
          <cell r="S68">
            <v>-1190</v>
          </cell>
          <cell r="T68">
            <v>848</v>
          </cell>
          <cell r="U68">
            <v>334</v>
          </cell>
          <cell r="V68">
            <v>514</v>
          </cell>
          <cell r="W68">
            <v>190</v>
          </cell>
          <cell r="X68">
            <v>-658</v>
          </cell>
          <cell r="Y68">
            <v>544</v>
          </cell>
          <cell r="Z68">
            <v>205</v>
          </cell>
          <cell r="AA68">
            <v>339</v>
          </cell>
          <cell r="AB68">
            <v>137</v>
          </cell>
          <cell r="AC68">
            <v>-407</v>
          </cell>
          <cell r="AD68">
            <v>582</v>
          </cell>
          <cell r="AE68">
            <v>582</v>
          </cell>
          <cell r="AF68">
            <v>0</v>
          </cell>
          <cell r="AG68">
            <v>102</v>
          </cell>
          <cell r="AH68">
            <v>16</v>
          </cell>
          <cell r="AI68">
            <v>0</v>
          </cell>
          <cell r="AJ68">
            <v>-480</v>
          </cell>
          <cell r="AP68">
            <v>3741</v>
          </cell>
          <cell r="AQ68">
            <v>786</v>
          </cell>
          <cell r="AR68">
            <v>2955</v>
          </cell>
          <cell r="AS68">
            <v>620</v>
          </cell>
          <cell r="AT68">
            <v>-3121</v>
          </cell>
        </row>
        <row r="69">
          <cell r="C69">
            <v>0</v>
          </cell>
          <cell r="D69">
            <v>0</v>
          </cell>
          <cell r="E69">
            <v>0</v>
          </cell>
          <cell r="N69">
            <v>982</v>
          </cell>
          <cell r="P69">
            <v>-982</v>
          </cell>
          <cell r="Q69">
            <v>0</v>
          </cell>
          <cell r="S69">
            <v>0</v>
          </cell>
          <cell r="T69">
            <v>0</v>
          </cell>
          <cell r="U69">
            <v>0</v>
          </cell>
          <cell r="V69">
            <v>0</v>
          </cell>
          <cell r="X69">
            <v>0</v>
          </cell>
          <cell r="Y69">
            <v>0</v>
          </cell>
          <cell r="Z69">
            <v>0</v>
          </cell>
          <cell r="AA69">
            <v>0</v>
          </cell>
          <cell r="AC69">
            <v>0</v>
          </cell>
          <cell r="AD69">
            <v>0</v>
          </cell>
          <cell r="AE69">
            <v>0</v>
          </cell>
          <cell r="AF69">
            <v>0</v>
          </cell>
          <cell r="AI69">
            <v>0</v>
          </cell>
          <cell r="AJ69">
            <v>0</v>
          </cell>
          <cell r="AP69">
            <v>982</v>
          </cell>
          <cell r="AQ69">
            <v>982</v>
          </cell>
          <cell r="AR69">
            <v>0</v>
          </cell>
          <cell r="AS69">
            <v>0</v>
          </cell>
          <cell r="AT69">
            <v>-982</v>
          </cell>
        </row>
        <row r="70">
          <cell r="C70" t="e">
            <v>#REF!</v>
          </cell>
          <cell r="D70" t="e">
            <v>#REF!</v>
          </cell>
          <cell r="E70" t="e">
            <v>#REF!</v>
          </cell>
          <cell r="N70">
            <v>1182.5</v>
          </cell>
          <cell r="P70">
            <v>-1182.5</v>
          </cell>
          <cell r="Q70">
            <v>5174.6000000000004</v>
          </cell>
          <cell r="S70">
            <v>-5174.6000000000004</v>
          </cell>
          <cell r="T70">
            <v>5882</v>
          </cell>
          <cell r="U70">
            <v>0</v>
          </cell>
          <cell r="V70">
            <v>5882</v>
          </cell>
          <cell r="X70">
            <v>-5882</v>
          </cell>
          <cell r="Y70">
            <v>1899</v>
          </cell>
          <cell r="Z70">
            <v>170</v>
          </cell>
          <cell r="AA70">
            <v>1729</v>
          </cell>
          <cell r="AC70">
            <v>-1899</v>
          </cell>
          <cell r="AD70">
            <v>2610.7636363636366</v>
          </cell>
          <cell r="AE70">
            <v>2610.7636363636366</v>
          </cell>
          <cell r="AF70">
            <v>0</v>
          </cell>
          <cell r="AI70">
            <v>0</v>
          </cell>
          <cell r="AJ70">
            <v>-2610.7636363636366</v>
          </cell>
          <cell r="AP70" t="e">
            <v>#REF!</v>
          </cell>
          <cell r="AQ70" t="e">
            <v>#REF!</v>
          </cell>
          <cell r="AS70">
            <v>0</v>
          </cell>
          <cell r="AT70" t="e">
            <v>#REF!</v>
          </cell>
        </row>
        <row r="71">
          <cell r="C71" t="e">
            <v>#REF!</v>
          </cell>
          <cell r="D71" t="e">
            <v>#REF!</v>
          </cell>
          <cell r="E71" t="e">
            <v>#REF!</v>
          </cell>
          <cell r="N71">
            <v>0</v>
          </cell>
          <cell r="P71">
            <v>0</v>
          </cell>
          <cell r="Q71">
            <v>0</v>
          </cell>
          <cell r="S71">
            <v>0</v>
          </cell>
          <cell r="T71">
            <v>0</v>
          </cell>
          <cell r="U71">
            <v>0</v>
          </cell>
          <cell r="V71">
            <v>0</v>
          </cell>
          <cell r="X71">
            <v>0</v>
          </cell>
          <cell r="Y71">
            <v>0</v>
          </cell>
          <cell r="Z71">
            <v>0</v>
          </cell>
          <cell r="AA71">
            <v>0</v>
          </cell>
          <cell r="AC71">
            <v>0</v>
          </cell>
          <cell r="AD71">
            <v>0</v>
          </cell>
          <cell r="AE71">
            <v>0</v>
          </cell>
          <cell r="AF71">
            <v>0</v>
          </cell>
          <cell r="AI71">
            <v>0</v>
          </cell>
          <cell r="AJ71">
            <v>0</v>
          </cell>
          <cell r="AP71" t="e">
            <v>#REF!</v>
          </cell>
          <cell r="AQ71" t="e">
            <v>#REF!</v>
          </cell>
          <cell r="AS71">
            <v>0</v>
          </cell>
          <cell r="AT71" t="e">
            <v>#REF!</v>
          </cell>
        </row>
        <row r="72">
          <cell r="C72">
            <v>8712</v>
          </cell>
          <cell r="D72">
            <v>1252</v>
          </cell>
          <cell r="E72">
            <v>7460</v>
          </cell>
          <cell r="N72">
            <v>1485.8033333333335</v>
          </cell>
          <cell r="O72">
            <v>227</v>
          </cell>
          <cell r="P72">
            <v>-1258.8033333333335</v>
          </cell>
          <cell r="Q72">
            <v>3121.6183333333329</v>
          </cell>
          <cell r="R72">
            <v>403</v>
          </cell>
          <cell r="S72">
            <v>-2718.6183333333329</v>
          </cell>
          <cell r="T72">
            <v>1245.5613333333333</v>
          </cell>
          <cell r="U72">
            <v>404</v>
          </cell>
          <cell r="V72">
            <v>841.56133333333332</v>
          </cell>
          <cell r="W72">
            <v>175</v>
          </cell>
          <cell r="X72">
            <v>-1070.5613333333333</v>
          </cell>
          <cell r="Y72">
            <v>1038.5119999999999</v>
          </cell>
          <cell r="Z72">
            <v>350</v>
          </cell>
          <cell r="AA72">
            <v>688.51199999999994</v>
          </cell>
          <cell r="AB72">
            <v>94</v>
          </cell>
          <cell r="AC72">
            <v>-944.51199999999994</v>
          </cell>
          <cell r="AD72">
            <v>2635.5673333333334</v>
          </cell>
          <cell r="AE72">
            <v>2172.33</v>
          </cell>
          <cell r="AF72">
            <v>463.23733333333348</v>
          </cell>
          <cell r="AG72">
            <v>379</v>
          </cell>
          <cell r="AH72">
            <v>173</v>
          </cell>
          <cell r="AI72">
            <v>35</v>
          </cell>
          <cell r="AJ72">
            <v>-2256.5673333333334</v>
          </cell>
          <cell r="AN72">
            <v>0</v>
          </cell>
          <cell r="AP72">
            <v>19005.955666666669</v>
          </cell>
          <cell r="AQ72" t="e">
            <v>#REF!</v>
          </cell>
          <cell r="AR72" t="e">
            <v>#REF!</v>
          </cell>
          <cell r="AS72">
            <v>181</v>
          </cell>
          <cell r="AT72">
            <v>-18824.955666666669</v>
          </cell>
          <cell r="AU72">
            <v>754</v>
          </cell>
          <cell r="AV72">
            <v>2557</v>
          </cell>
          <cell r="AW72">
            <v>3300.4033333333336</v>
          </cell>
          <cell r="AX72" t="e">
            <v>#REF!</v>
          </cell>
        </row>
        <row r="73">
          <cell r="C73">
            <v>948</v>
          </cell>
          <cell r="D73">
            <v>70</v>
          </cell>
          <cell r="E73">
            <v>878</v>
          </cell>
          <cell r="N73">
            <v>0</v>
          </cell>
          <cell r="P73">
            <v>0</v>
          </cell>
          <cell r="Q73">
            <v>0</v>
          </cell>
          <cell r="S73">
            <v>0</v>
          </cell>
          <cell r="T73">
            <v>0</v>
          </cell>
          <cell r="U73">
            <v>0</v>
          </cell>
          <cell r="V73">
            <v>0</v>
          </cell>
          <cell r="X73">
            <v>0</v>
          </cell>
          <cell r="Y73">
            <v>18</v>
          </cell>
          <cell r="Z73">
            <v>0</v>
          </cell>
          <cell r="AA73">
            <v>18</v>
          </cell>
          <cell r="AC73">
            <v>-18</v>
          </cell>
          <cell r="AD73">
            <v>0</v>
          </cell>
          <cell r="AE73">
            <v>0</v>
          </cell>
          <cell r="AF73">
            <v>0</v>
          </cell>
          <cell r="AI73">
            <v>0</v>
          </cell>
          <cell r="AJ73">
            <v>0</v>
          </cell>
          <cell r="AP73">
            <v>966</v>
          </cell>
          <cell r="AQ73">
            <v>70</v>
          </cell>
          <cell r="AR73">
            <v>896</v>
          </cell>
          <cell r="AS73">
            <v>0</v>
          </cell>
          <cell r="AT73">
            <v>-966</v>
          </cell>
          <cell r="AU73">
            <v>0</v>
          </cell>
          <cell r="AV73">
            <v>18</v>
          </cell>
          <cell r="AW73">
            <v>70</v>
          </cell>
          <cell r="AX73">
            <v>878</v>
          </cell>
        </row>
        <row r="74">
          <cell r="C74">
            <v>2936</v>
          </cell>
          <cell r="D74">
            <v>1182</v>
          </cell>
          <cell r="E74">
            <v>1754</v>
          </cell>
          <cell r="N74">
            <v>1485.8033333333335</v>
          </cell>
          <cell r="P74">
            <v>-1485.8033333333335</v>
          </cell>
          <cell r="Q74">
            <v>3020.6183333333329</v>
          </cell>
          <cell r="S74">
            <v>-3020.6183333333329</v>
          </cell>
          <cell r="T74">
            <v>1245.5613333333333</v>
          </cell>
          <cell r="U74">
            <v>404</v>
          </cell>
          <cell r="V74">
            <v>841.56133333333332</v>
          </cell>
          <cell r="X74">
            <v>-1245.5613333333333</v>
          </cell>
          <cell r="Y74">
            <v>1020.5119999999999</v>
          </cell>
          <cell r="Z74">
            <v>350</v>
          </cell>
          <cell r="AA74">
            <v>670.51199999999994</v>
          </cell>
          <cell r="AC74">
            <v>-1020.5119999999999</v>
          </cell>
          <cell r="AD74">
            <v>2635.5673333333334</v>
          </cell>
          <cell r="AE74">
            <v>2165.73</v>
          </cell>
          <cell r="AF74">
            <v>469.83733333333339</v>
          </cell>
          <cell r="AG74">
            <v>379</v>
          </cell>
          <cell r="AH74">
            <v>173</v>
          </cell>
          <cell r="AI74">
            <v>35</v>
          </cell>
          <cell r="AJ74">
            <v>-2256.5673333333334</v>
          </cell>
          <cell r="AN74">
            <v>0</v>
          </cell>
          <cell r="AP74">
            <v>13104.355666666666</v>
          </cell>
          <cell r="AQ74">
            <v>3984.4033333333336</v>
          </cell>
          <cell r="AR74">
            <v>9119.9523333333327</v>
          </cell>
          <cell r="AS74">
            <v>181</v>
          </cell>
          <cell r="AT74">
            <v>-12923.355666666666</v>
          </cell>
          <cell r="AU74">
            <v>754</v>
          </cell>
          <cell r="AV74">
            <v>2539</v>
          </cell>
          <cell r="AW74">
            <v>3230.4033333333336</v>
          </cell>
          <cell r="AX74">
            <v>6580.9523333333327</v>
          </cell>
        </row>
        <row r="75">
          <cell r="C75">
            <v>823</v>
          </cell>
          <cell r="D75">
            <v>299</v>
          </cell>
          <cell r="E75">
            <v>524</v>
          </cell>
          <cell r="N75">
            <v>837.60333333333324</v>
          </cell>
          <cell r="P75">
            <v>-837.60333333333324</v>
          </cell>
          <cell r="Q75">
            <v>1769.7766666666666</v>
          </cell>
          <cell r="S75">
            <v>-1769.7766666666666</v>
          </cell>
          <cell r="T75">
            <v>671.40800000000002</v>
          </cell>
          <cell r="U75">
            <v>248</v>
          </cell>
          <cell r="V75">
            <v>423.40800000000002</v>
          </cell>
          <cell r="X75">
            <v>-671.40800000000002</v>
          </cell>
          <cell r="Y75">
            <v>421.16200000000003</v>
          </cell>
          <cell r="Z75">
            <v>204</v>
          </cell>
          <cell r="AA75">
            <v>217.16200000000003</v>
          </cell>
          <cell r="AC75">
            <v>-421.16200000000003</v>
          </cell>
          <cell r="AD75">
            <v>1636.8340000000003</v>
          </cell>
          <cell r="AE75">
            <v>1368.48</v>
          </cell>
          <cell r="AF75">
            <v>268.35400000000027</v>
          </cell>
          <cell r="AJ75">
            <v>-1636.8340000000003</v>
          </cell>
          <cell r="AP75">
            <v>6291.43</v>
          </cell>
          <cell r="AQ75">
            <v>1813.2033333333334</v>
          </cell>
          <cell r="AR75">
            <v>4478.2266666666674</v>
          </cell>
          <cell r="AS75">
            <v>0</v>
          </cell>
          <cell r="AT75">
            <v>-6291.43</v>
          </cell>
          <cell r="AX75">
            <v>4478.2266666666674</v>
          </cell>
        </row>
        <row r="76">
          <cell r="C76">
            <v>0</v>
          </cell>
          <cell r="D76">
            <v>0</v>
          </cell>
          <cell r="E76">
            <v>0</v>
          </cell>
          <cell r="N76">
            <v>0</v>
          </cell>
          <cell r="P76">
            <v>0</v>
          </cell>
          <cell r="Q76">
            <v>0</v>
          </cell>
          <cell r="S76">
            <v>0</v>
          </cell>
          <cell r="T76">
            <v>0</v>
          </cell>
          <cell r="U76">
            <v>0</v>
          </cell>
          <cell r="V76">
            <v>0</v>
          </cell>
          <cell r="X76">
            <v>0</v>
          </cell>
          <cell r="Y76">
            <v>0</v>
          </cell>
          <cell r="Z76">
            <v>0</v>
          </cell>
          <cell r="AA76">
            <v>0</v>
          </cell>
          <cell r="AC76">
            <v>0</v>
          </cell>
          <cell r="AD76">
            <v>0</v>
          </cell>
          <cell r="AE76">
            <v>0</v>
          </cell>
          <cell r="AF76">
            <v>0</v>
          </cell>
          <cell r="AJ76">
            <v>0</v>
          </cell>
          <cell r="AP76">
            <v>658.33066666666662</v>
          </cell>
          <cell r="AQ76">
            <v>324</v>
          </cell>
          <cell r="AR76">
            <v>334.33066666666662</v>
          </cell>
          <cell r="AS76">
            <v>0</v>
          </cell>
          <cell r="AT76">
            <v>-658.33066666666662</v>
          </cell>
          <cell r="AX76">
            <v>334.33066666666662</v>
          </cell>
        </row>
        <row r="77">
          <cell r="C77">
            <v>338</v>
          </cell>
          <cell r="D77">
            <v>323</v>
          </cell>
          <cell r="E77">
            <v>15</v>
          </cell>
          <cell r="N77">
            <v>126.41666666666666</v>
          </cell>
          <cell r="Q77">
            <v>662.80000000000007</v>
          </cell>
          <cell r="T77">
            <v>244.26666666666668</v>
          </cell>
          <cell r="U77">
            <v>17</v>
          </cell>
          <cell r="V77">
            <v>227.26666666666668</v>
          </cell>
          <cell r="Y77">
            <v>175.35000000000005</v>
          </cell>
          <cell r="Z77">
            <v>46</v>
          </cell>
          <cell r="AA77">
            <v>129.35000000000005</v>
          </cell>
          <cell r="AD77">
            <v>464.68333333333339</v>
          </cell>
          <cell r="AE77">
            <v>384.25</v>
          </cell>
          <cell r="AF77">
            <v>80.433333333333394</v>
          </cell>
        </row>
        <row r="78">
          <cell r="C78">
            <v>482</v>
          </cell>
          <cell r="D78">
            <v>363</v>
          </cell>
          <cell r="E78">
            <v>119</v>
          </cell>
          <cell r="N78">
            <v>520.7833333333333</v>
          </cell>
          <cell r="Q78">
            <v>689.04166666666674</v>
          </cell>
          <cell r="T78">
            <v>328.88666666666666</v>
          </cell>
          <cell r="U78">
            <v>48</v>
          </cell>
          <cell r="V78">
            <v>280.88666666666666</v>
          </cell>
          <cell r="Y78">
            <v>424</v>
          </cell>
          <cell r="Z78">
            <v>69</v>
          </cell>
          <cell r="AA78">
            <v>355</v>
          </cell>
          <cell r="AD78">
            <v>530.04999999999995</v>
          </cell>
          <cell r="AE78">
            <v>408</v>
          </cell>
          <cell r="AF78">
            <v>122.04999999999995</v>
          </cell>
        </row>
        <row r="79">
          <cell r="C79">
            <v>1484.6</v>
          </cell>
          <cell r="D79">
            <v>85</v>
          </cell>
          <cell r="E79">
            <v>1399.6</v>
          </cell>
          <cell r="N79">
            <v>15.1</v>
          </cell>
          <cell r="P79">
            <v>-15.1</v>
          </cell>
          <cell r="Q79">
            <v>7.5</v>
          </cell>
          <cell r="S79">
            <v>-7.5</v>
          </cell>
          <cell r="T79">
            <v>0</v>
          </cell>
          <cell r="U79">
            <v>0</v>
          </cell>
          <cell r="V79">
            <v>0</v>
          </cell>
          <cell r="X79">
            <v>0</v>
          </cell>
          <cell r="Y79">
            <v>6.7</v>
          </cell>
          <cell r="Z79">
            <v>0</v>
          </cell>
          <cell r="AA79">
            <v>6.7</v>
          </cell>
          <cell r="AC79">
            <v>-6.7</v>
          </cell>
          <cell r="AD79">
            <v>38.799999999999997</v>
          </cell>
          <cell r="AE79">
            <v>34</v>
          </cell>
          <cell r="AF79">
            <v>4.7999999999999972</v>
          </cell>
          <cell r="AJ79">
            <v>-38.799999999999997</v>
          </cell>
          <cell r="AP79">
            <v>1550.8999999999999</v>
          </cell>
          <cell r="AQ79">
            <v>103.1</v>
          </cell>
          <cell r="AS79">
            <v>0</v>
          </cell>
          <cell r="AT79">
            <v>-1550.8999999999999</v>
          </cell>
        </row>
        <row r="80">
          <cell r="C80">
            <v>11060.2</v>
          </cell>
          <cell r="D80">
            <v>2178</v>
          </cell>
          <cell r="E80">
            <v>8882.2000000000007</v>
          </cell>
          <cell r="N80">
            <v>30411.306727272728</v>
          </cell>
          <cell r="O80">
            <v>6571</v>
          </cell>
          <cell r="P80">
            <v>-23840.306727272728</v>
          </cell>
          <cell r="Q80">
            <v>210830.10936363638</v>
          </cell>
          <cell r="R80">
            <v>83057</v>
          </cell>
          <cell r="S80">
            <v>-127773.10936363638</v>
          </cell>
          <cell r="T80">
            <v>292652.47645454545</v>
          </cell>
          <cell r="U80">
            <v>123843.34756097561</v>
          </cell>
          <cell r="V80">
            <v>168809.12889356984</v>
          </cell>
          <cell r="W80">
            <v>101508</v>
          </cell>
          <cell r="X80">
            <v>-191144.47645454545</v>
          </cell>
          <cell r="Y80">
            <v>245835.77696969698</v>
          </cell>
          <cell r="Z80">
            <v>96838.750161952048</v>
          </cell>
          <cell r="AA80">
            <v>148997.02680774493</v>
          </cell>
          <cell r="AB80">
            <v>81399</v>
          </cell>
          <cell r="AC80">
            <v>-164436.77696969698</v>
          </cell>
          <cell r="AD80">
            <v>52867.905999999995</v>
          </cell>
          <cell r="AE80">
            <v>44109.144424242433</v>
          </cell>
          <cell r="AF80">
            <v>8759.7615757575732</v>
          </cell>
          <cell r="AG80">
            <v>9642</v>
          </cell>
          <cell r="AH80">
            <v>6481</v>
          </cell>
          <cell r="AI80">
            <v>2032</v>
          </cell>
          <cell r="AJ80">
            <v>-43225.905999999995</v>
          </cell>
          <cell r="AL80">
            <v>0</v>
          </cell>
          <cell r="AN80">
            <v>0</v>
          </cell>
          <cell r="AP80">
            <v>837388.26460606058</v>
          </cell>
          <cell r="AQ80" t="e">
            <v>#REF!</v>
          </cell>
          <cell r="AR80" t="e">
            <v>#REF!</v>
          </cell>
          <cell r="AS80">
            <v>278125</v>
          </cell>
          <cell r="AT80">
            <v>-559263.26460606058</v>
          </cell>
          <cell r="AU80">
            <v>219889.09772292766</v>
          </cell>
          <cell r="AV80">
            <v>469599</v>
          </cell>
          <cell r="AW80">
            <v>31626.72490909091</v>
          </cell>
          <cell r="AX80" t="e">
            <v>#REF!</v>
          </cell>
        </row>
        <row r="81">
          <cell r="C81">
            <v>10112.200000000001</v>
          </cell>
          <cell r="D81">
            <v>2108</v>
          </cell>
          <cell r="E81">
            <v>8004.2000000000007</v>
          </cell>
          <cell r="P81">
            <v>0</v>
          </cell>
          <cell r="S81">
            <v>0</v>
          </cell>
          <cell r="X81">
            <v>0</v>
          </cell>
          <cell r="AC81">
            <v>0</v>
          </cell>
          <cell r="AJ81">
            <v>0</v>
          </cell>
          <cell r="AP81">
            <v>238947.26460606058</v>
          </cell>
          <cell r="AQ81" t="e">
            <v>#REF!</v>
          </cell>
          <cell r="AR81" t="e">
            <v>#REF!</v>
          </cell>
          <cell r="AS81">
            <v>0</v>
          </cell>
          <cell r="AT81">
            <v>-238947.26460606058</v>
          </cell>
          <cell r="AU81">
            <v>24325</v>
          </cell>
          <cell r="AV81">
            <v>66723</v>
          </cell>
          <cell r="AW81">
            <v>31625.72490909091</v>
          </cell>
          <cell r="AX81" t="e">
            <v>#REF!</v>
          </cell>
        </row>
        <row r="82">
          <cell r="N82">
            <v>7407.2227272727268</v>
          </cell>
          <cell r="O82">
            <v>1501</v>
          </cell>
          <cell r="P82">
            <v>-5906.2227272727268</v>
          </cell>
          <cell r="Q82">
            <v>16281.220909090909</v>
          </cell>
          <cell r="R82">
            <v>3466</v>
          </cell>
          <cell r="S82">
            <v>-12815.220909090909</v>
          </cell>
          <cell r="T82">
            <v>6127.2482727272736</v>
          </cell>
          <cell r="U82">
            <v>2344</v>
          </cell>
          <cell r="V82">
            <v>3783.2482727272736</v>
          </cell>
          <cell r="W82">
            <v>1353</v>
          </cell>
          <cell r="X82">
            <v>-4774.2482727272736</v>
          </cell>
          <cell r="Y82">
            <v>5027.227272727273</v>
          </cell>
          <cell r="Z82">
            <v>1812</v>
          </cell>
          <cell r="AA82">
            <v>3215.227272727273</v>
          </cell>
          <cell r="AB82">
            <v>1097</v>
          </cell>
          <cell r="AC82">
            <v>-3930.227272727273</v>
          </cell>
          <cell r="AD82">
            <v>14784.886363636362</v>
          </cell>
          <cell r="AE82">
            <v>13450.863636363636</v>
          </cell>
          <cell r="AF82">
            <v>1334.0227272727263</v>
          </cell>
          <cell r="AG82">
            <v>2881</v>
          </cell>
          <cell r="AH82">
            <v>1984</v>
          </cell>
          <cell r="AI82">
            <v>306</v>
          </cell>
          <cell r="AJ82">
            <v>-11903.886363636362</v>
          </cell>
          <cell r="AN82">
            <v>0</v>
          </cell>
          <cell r="AP82">
            <v>49908.982818181816</v>
          </cell>
          <cell r="AS82">
            <v>9401</v>
          </cell>
          <cell r="AT82">
            <v>-40507.982818181816</v>
          </cell>
        </row>
        <row r="83">
          <cell r="C83">
            <v>4580</v>
          </cell>
          <cell r="D83">
            <v>11292</v>
          </cell>
          <cell r="E83">
            <v>0</v>
          </cell>
          <cell r="P83">
            <v>0</v>
          </cell>
          <cell r="S83">
            <v>0</v>
          </cell>
          <cell r="X83">
            <v>0</v>
          </cell>
          <cell r="AC83">
            <v>0</v>
          </cell>
          <cell r="AJ83">
            <v>0</v>
          </cell>
          <cell r="AP83">
            <v>4580</v>
          </cell>
          <cell r="AQ83">
            <v>11292</v>
          </cell>
          <cell r="AR83">
            <v>0</v>
          </cell>
          <cell r="AS83">
            <v>0</v>
          </cell>
          <cell r="AT83">
            <v>-4580</v>
          </cell>
          <cell r="AU83">
            <v>0</v>
          </cell>
          <cell r="AV83">
            <v>0</v>
          </cell>
          <cell r="AW83">
            <v>0</v>
          </cell>
          <cell r="AX83">
            <v>0</v>
          </cell>
        </row>
        <row r="84">
          <cell r="C84">
            <v>15640.2</v>
          </cell>
          <cell r="D84">
            <v>13470</v>
          </cell>
          <cell r="E84">
            <v>8882.2000000000007</v>
          </cell>
          <cell r="N84">
            <v>30411.306727272728</v>
          </cell>
          <cell r="O84">
            <v>6571</v>
          </cell>
          <cell r="P84">
            <v>-23840.306727272728</v>
          </cell>
          <cell r="Q84">
            <v>210830.10936363638</v>
          </cell>
          <cell r="R84">
            <v>83057</v>
          </cell>
          <cell r="S84">
            <v>-127773.10936363638</v>
          </cell>
          <cell r="T84">
            <v>292652.47645454545</v>
          </cell>
          <cell r="U84">
            <v>123843.34756097561</v>
          </cell>
          <cell r="V84">
            <v>168809.12889356984</v>
          </cell>
          <cell r="W84">
            <v>101508</v>
          </cell>
          <cell r="X84">
            <v>-191144.47645454545</v>
          </cell>
          <cell r="Y84">
            <v>245835.77696969698</v>
          </cell>
          <cell r="Z84">
            <v>96838.750161952048</v>
          </cell>
          <cell r="AA84">
            <v>148997.02680774493</v>
          </cell>
          <cell r="AB84">
            <v>81399</v>
          </cell>
          <cell r="AC84">
            <v>-164436.77696969698</v>
          </cell>
          <cell r="AD84">
            <v>52867.905999999995</v>
          </cell>
          <cell r="AE84">
            <v>44109.144424242433</v>
          </cell>
          <cell r="AF84">
            <v>8759.7615757575732</v>
          </cell>
          <cell r="AG84">
            <v>9642</v>
          </cell>
          <cell r="AH84">
            <v>6481</v>
          </cell>
          <cell r="AI84">
            <v>2032</v>
          </cell>
          <cell r="AJ84">
            <v>-43225.905999999995</v>
          </cell>
          <cell r="AL84">
            <v>0</v>
          </cell>
          <cell r="AN84">
            <v>0</v>
          </cell>
          <cell r="AP84">
            <v>841968.26460606058</v>
          </cell>
          <cell r="AQ84" t="e">
            <v>#REF!</v>
          </cell>
          <cell r="AR84" t="e">
            <v>#REF!</v>
          </cell>
          <cell r="AS84">
            <v>278125</v>
          </cell>
          <cell r="AT84">
            <v>-563843.26460606058</v>
          </cell>
          <cell r="AU84">
            <v>219889.09772292766</v>
          </cell>
          <cell r="AV84">
            <v>469599</v>
          </cell>
          <cell r="AW84">
            <v>31626.72490909091</v>
          </cell>
          <cell r="AX84" t="e">
            <v>#REF!</v>
          </cell>
        </row>
        <row r="85">
          <cell r="C85">
            <v>136</v>
          </cell>
          <cell r="D85">
            <v>0</v>
          </cell>
          <cell r="E85">
            <v>136</v>
          </cell>
          <cell r="P85">
            <v>0</v>
          </cell>
          <cell r="S85">
            <v>0</v>
          </cell>
          <cell r="U85">
            <v>0</v>
          </cell>
          <cell r="V85">
            <v>0</v>
          </cell>
          <cell r="X85">
            <v>0</v>
          </cell>
          <cell r="AC85">
            <v>0</v>
          </cell>
          <cell r="AI85">
            <v>0</v>
          </cell>
          <cell r="AJ85">
            <v>0</v>
          </cell>
          <cell r="AP85">
            <v>135</v>
          </cell>
          <cell r="AQ85">
            <v>0</v>
          </cell>
          <cell r="AR85">
            <v>135</v>
          </cell>
          <cell r="AS85">
            <v>0</v>
          </cell>
          <cell r="AT85">
            <v>-135</v>
          </cell>
          <cell r="AU85">
            <v>0</v>
          </cell>
          <cell r="AV85">
            <v>0</v>
          </cell>
          <cell r="AW85">
            <v>0</v>
          </cell>
          <cell r="AX85">
            <v>135</v>
          </cell>
        </row>
        <row r="86">
          <cell r="C86">
            <v>443</v>
          </cell>
          <cell r="D86">
            <v>1959</v>
          </cell>
          <cell r="E86">
            <v>-1516</v>
          </cell>
          <cell r="N86">
            <v>0</v>
          </cell>
          <cell r="P86">
            <v>0</v>
          </cell>
          <cell r="Q86">
            <v>0</v>
          </cell>
          <cell r="S86">
            <v>0</v>
          </cell>
          <cell r="T86">
            <v>0</v>
          </cell>
          <cell r="U86">
            <v>0</v>
          </cell>
          <cell r="V86">
            <v>0</v>
          </cell>
          <cell r="X86">
            <v>0</v>
          </cell>
          <cell r="Y86">
            <v>0</v>
          </cell>
          <cell r="AC86">
            <v>0</v>
          </cell>
          <cell r="AD86">
            <v>0</v>
          </cell>
          <cell r="AE86">
            <v>0</v>
          </cell>
          <cell r="AI86">
            <v>0</v>
          </cell>
          <cell r="AJ86">
            <v>0</v>
          </cell>
          <cell r="AP86">
            <v>443</v>
          </cell>
          <cell r="AQ86">
            <v>1959</v>
          </cell>
          <cell r="AR86">
            <v>-1516</v>
          </cell>
          <cell r="AS86">
            <v>0</v>
          </cell>
          <cell r="AT86">
            <v>-443</v>
          </cell>
          <cell r="AU86">
            <v>0</v>
          </cell>
          <cell r="AV86">
            <v>0</v>
          </cell>
          <cell r="AW86">
            <v>1959</v>
          </cell>
          <cell r="AX86">
            <v>-1516</v>
          </cell>
        </row>
        <row r="87">
          <cell r="C87">
            <v>30</v>
          </cell>
          <cell r="D87">
            <v>481</v>
          </cell>
          <cell r="E87">
            <v>-451</v>
          </cell>
          <cell r="N87">
            <v>0</v>
          </cell>
          <cell r="P87">
            <v>0</v>
          </cell>
          <cell r="Q87">
            <v>0</v>
          </cell>
          <cell r="S87">
            <v>0</v>
          </cell>
          <cell r="T87">
            <v>0</v>
          </cell>
          <cell r="U87">
            <v>0</v>
          </cell>
          <cell r="V87">
            <v>0</v>
          </cell>
          <cell r="X87">
            <v>0</v>
          </cell>
          <cell r="Y87">
            <v>0</v>
          </cell>
          <cell r="Z87">
            <v>0</v>
          </cell>
          <cell r="AA87">
            <v>0</v>
          </cell>
          <cell r="AC87">
            <v>0</v>
          </cell>
          <cell r="AD87">
            <v>0</v>
          </cell>
          <cell r="AE87">
            <v>0</v>
          </cell>
          <cell r="AI87">
            <v>0</v>
          </cell>
          <cell r="AJ87">
            <v>0</v>
          </cell>
          <cell r="AP87">
            <v>29</v>
          </cell>
          <cell r="AQ87">
            <v>481</v>
          </cell>
          <cell r="AR87">
            <v>-452</v>
          </cell>
          <cell r="AS87">
            <v>-1</v>
          </cell>
          <cell r="AT87">
            <v>-30</v>
          </cell>
          <cell r="AU87">
            <v>0</v>
          </cell>
          <cell r="AV87">
            <v>0</v>
          </cell>
          <cell r="AW87">
            <v>481</v>
          </cell>
          <cell r="AX87">
            <v>-452</v>
          </cell>
        </row>
        <row r="88">
          <cell r="C88">
            <v>37</v>
          </cell>
          <cell r="D88">
            <v>12</v>
          </cell>
          <cell r="E88">
            <v>25</v>
          </cell>
          <cell r="N88">
            <v>24</v>
          </cell>
          <cell r="O88">
            <v>51</v>
          </cell>
          <cell r="P88">
            <v>27</v>
          </cell>
          <cell r="Q88">
            <v>9.5999999999999943</v>
          </cell>
          <cell r="S88">
            <v>-9.5999999999999943</v>
          </cell>
          <cell r="T88">
            <v>169.93333333333331</v>
          </cell>
          <cell r="U88">
            <v>176</v>
          </cell>
          <cell r="V88">
            <v>-6.0666666666666913</v>
          </cell>
          <cell r="X88">
            <v>-169.93333333333331</v>
          </cell>
          <cell r="Y88">
            <v>389.93333333333328</v>
          </cell>
          <cell r="Z88">
            <v>0</v>
          </cell>
          <cell r="AB88">
            <v>0</v>
          </cell>
          <cell r="AC88">
            <v>-389.93333333333328</v>
          </cell>
          <cell r="AD88">
            <v>148</v>
          </cell>
          <cell r="AE88">
            <v>142</v>
          </cell>
          <cell r="AF88">
            <v>6</v>
          </cell>
          <cell r="AG88">
            <v>44</v>
          </cell>
          <cell r="AH88">
            <v>15</v>
          </cell>
          <cell r="AI88">
            <v>29</v>
          </cell>
          <cell r="AJ88">
            <v>-104</v>
          </cell>
          <cell r="AP88">
            <v>677.46666666666658</v>
          </cell>
          <cell r="AQ88">
            <v>143</v>
          </cell>
          <cell r="AR88">
            <v>534.46666666666658</v>
          </cell>
          <cell r="AS88">
            <v>65</v>
          </cell>
          <cell r="AT88">
            <v>-612.46666666666658</v>
          </cell>
          <cell r="AU88">
            <v>176</v>
          </cell>
          <cell r="AV88">
            <v>-3</v>
          </cell>
          <cell r="AW88">
            <v>-33</v>
          </cell>
          <cell r="AX88">
            <v>537.46666666666658</v>
          </cell>
        </row>
        <row r="89">
          <cell r="C89">
            <v>16286.2</v>
          </cell>
          <cell r="D89">
            <v>15922</v>
          </cell>
          <cell r="E89">
            <v>7076.2000000000007</v>
          </cell>
          <cell r="N89">
            <v>30435.306727272728</v>
          </cell>
          <cell r="O89">
            <v>6622</v>
          </cell>
          <cell r="P89">
            <v>-23813.306727272728</v>
          </cell>
          <cell r="Q89">
            <v>210839.70936363639</v>
          </cell>
          <cell r="R89">
            <v>83057</v>
          </cell>
          <cell r="S89">
            <v>-127782.70936363639</v>
          </cell>
          <cell r="T89">
            <v>292822.4097878788</v>
          </cell>
          <cell r="U89">
            <v>124019.34756097561</v>
          </cell>
          <cell r="V89">
            <v>168803.06222690316</v>
          </cell>
          <cell r="W89">
            <v>101508</v>
          </cell>
          <cell r="X89">
            <v>-191314.4097878788</v>
          </cell>
          <cell r="Y89">
            <v>246225.7103030303</v>
          </cell>
          <cell r="Z89">
            <v>96838.750161952048</v>
          </cell>
          <cell r="AA89">
            <v>148997.02680774493</v>
          </cell>
          <cell r="AB89">
            <v>81399</v>
          </cell>
          <cell r="AC89">
            <v>-164826.7103030303</v>
          </cell>
          <cell r="AD89">
            <v>53015.905999999995</v>
          </cell>
          <cell r="AE89">
            <v>44251.144424242433</v>
          </cell>
          <cell r="AF89">
            <v>8765.7615757575732</v>
          </cell>
          <cell r="AG89">
            <v>9686</v>
          </cell>
          <cell r="AH89">
            <v>6496</v>
          </cell>
          <cell r="AI89">
            <v>2061</v>
          </cell>
          <cell r="AJ89">
            <v>-43329.905999999995</v>
          </cell>
          <cell r="AK89">
            <v>0</v>
          </cell>
          <cell r="AN89">
            <v>0</v>
          </cell>
          <cell r="AP89">
            <v>843254.73127272725</v>
          </cell>
          <cell r="AQ89" t="e">
            <v>#REF!</v>
          </cell>
          <cell r="AR89" t="e">
            <v>#REF!</v>
          </cell>
          <cell r="AS89">
            <v>278189</v>
          </cell>
          <cell r="AT89">
            <v>-565065.73127272725</v>
          </cell>
          <cell r="AU89">
            <v>220065.09772292766</v>
          </cell>
          <cell r="AV89">
            <v>469596</v>
          </cell>
          <cell r="AW89">
            <v>34033.72490909091</v>
          </cell>
          <cell r="AX89" t="e">
            <v>#REF!</v>
          </cell>
        </row>
        <row r="90">
          <cell r="C90">
            <v>11706.2</v>
          </cell>
          <cell r="D90">
            <v>4630</v>
          </cell>
          <cell r="E90">
            <v>7076.2000000000007</v>
          </cell>
          <cell r="N90">
            <v>30435.306727272728</v>
          </cell>
          <cell r="O90">
            <v>6622</v>
          </cell>
          <cell r="P90">
            <v>-23813.306727272728</v>
          </cell>
          <cell r="Q90">
            <v>85265.709363636386</v>
          </cell>
          <cell r="R90">
            <v>21655</v>
          </cell>
          <cell r="S90">
            <v>-63610.709363636386</v>
          </cell>
          <cell r="T90">
            <v>39613.409787878802</v>
          </cell>
          <cell r="U90">
            <v>15213</v>
          </cell>
          <cell r="V90">
            <v>24400.409787878772</v>
          </cell>
          <cell r="W90">
            <v>7876</v>
          </cell>
          <cell r="X90">
            <v>-31737.409787878802</v>
          </cell>
          <cell r="Y90">
            <v>26568.710303030297</v>
          </cell>
          <cell r="Z90">
            <v>10081</v>
          </cell>
          <cell r="AA90">
            <v>16097.776969696977</v>
          </cell>
          <cell r="AB90">
            <v>5098</v>
          </cell>
          <cell r="AC90">
            <v>-21470.710303030297</v>
          </cell>
          <cell r="AD90">
            <v>53015.905999999995</v>
          </cell>
          <cell r="AE90">
            <v>44251.144424242433</v>
          </cell>
          <cell r="AF90">
            <v>8765.7615757575732</v>
          </cell>
          <cell r="AG90">
            <v>9686</v>
          </cell>
          <cell r="AH90">
            <v>6496</v>
          </cell>
          <cell r="AI90">
            <v>2061</v>
          </cell>
          <cell r="AJ90">
            <v>-43329.905999999995</v>
          </cell>
          <cell r="AN90">
            <v>0</v>
          </cell>
          <cell r="AP90">
            <v>240233.73127272725</v>
          </cell>
          <cell r="AQ90" t="e">
            <v>#REF!</v>
          </cell>
          <cell r="AR90" t="e">
            <v>#REF!</v>
          </cell>
          <cell r="AS90">
            <v>46854</v>
          </cell>
          <cell r="AT90">
            <v>-193379.73127272725</v>
          </cell>
          <cell r="AU90">
            <v>24501</v>
          </cell>
          <cell r="AV90">
            <v>66720</v>
          </cell>
          <cell r="AW90">
            <v>34032.72490909091</v>
          </cell>
          <cell r="AX90" t="e">
            <v>#REF!</v>
          </cell>
        </row>
        <row r="91">
          <cell r="C91">
            <v>844.2</v>
          </cell>
          <cell r="D91">
            <v>310</v>
          </cell>
          <cell r="E91">
            <v>534.20000000000005</v>
          </cell>
          <cell r="N91">
            <v>7407.2227272727268</v>
          </cell>
          <cell r="O91">
            <v>1501</v>
          </cell>
          <cell r="P91">
            <v>-5906.2227272727268</v>
          </cell>
          <cell r="Q91">
            <v>16281.220909090909</v>
          </cell>
          <cell r="R91">
            <v>3466</v>
          </cell>
          <cell r="S91">
            <v>-12815.220909090909</v>
          </cell>
          <cell r="T91">
            <v>6127.2482727272736</v>
          </cell>
          <cell r="U91">
            <v>2344</v>
          </cell>
          <cell r="V91">
            <v>3783.2482727272736</v>
          </cell>
          <cell r="W91">
            <v>1353</v>
          </cell>
          <cell r="X91">
            <v>-4774.2482727272736</v>
          </cell>
          <cell r="Y91">
            <v>5027.227272727273</v>
          </cell>
          <cell r="Z91">
            <v>1812</v>
          </cell>
          <cell r="AA91">
            <v>3215.227272727273</v>
          </cell>
          <cell r="AB91">
            <v>1097</v>
          </cell>
          <cell r="AC91">
            <v>-3930.227272727273</v>
          </cell>
          <cell r="AD91">
            <v>14784.886363636362</v>
          </cell>
          <cell r="AE91">
            <v>13450.863636363636</v>
          </cell>
          <cell r="AF91">
            <v>1334.0227272727263</v>
          </cell>
          <cell r="AG91">
            <v>2881</v>
          </cell>
          <cell r="AH91">
            <v>1984</v>
          </cell>
          <cell r="AI91">
            <v>306</v>
          </cell>
          <cell r="AJ91">
            <v>-11903.886363636362</v>
          </cell>
          <cell r="AN91">
            <v>0</v>
          </cell>
          <cell r="AP91">
            <v>49908.982818181816</v>
          </cell>
          <cell r="AQ91">
            <v>843407.73127272737</v>
          </cell>
          <cell r="AR91">
            <v>268661.82263201859</v>
          </cell>
          <cell r="AS91">
            <v>9401</v>
          </cell>
        </row>
        <row r="92">
          <cell r="C92">
            <v>-1122</v>
          </cell>
          <cell r="N92">
            <v>15020</v>
          </cell>
          <cell r="P92">
            <v>-15020</v>
          </cell>
          <cell r="Q92">
            <v>27603</v>
          </cell>
          <cell r="S92">
            <v>-27603</v>
          </cell>
          <cell r="T92">
            <v>2718</v>
          </cell>
          <cell r="X92">
            <v>-2718</v>
          </cell>
          <cell r="Y92">
            <v>1694</v>
          </cell>
          <cell r="AB92">
            <v>432</v>
          </cell>
          <cell r="AC92">
            <v>-1262</v>
          </cell>
          <cell r="AD92">
            <v>3355</v>
          </cell>
          <cell r="AE92">
            <v>3355</v>
          </cell>
          <cell r="AF92">
            <v>0</v>
          </cell>
          <cell r="AI92">
            <v>0</v>
          </cell>
          <cell r="AJ92" t="e">
            <v>#REF!</v>
          </cell>
          <cell r="AN92" t="e">
            <v>#REF!</v>
          </cell>
          <cell r="AO92">
            <v>1616</v>
          </cell>
          <cell r="AP92" t="e">
            <v>#REF!</v>
          </cell>
          <cell r="AS92">
            <v>2048</v>
          </cell>
        </row>
        <row r="93">
          <cell r="C93">
            <v>186</v>
          </cell>
          <cell r="N93">
            <v>0</v>
          </cell>
          <cell r="P93">
            <v>0</v>
          </cell>
          <cell r="Q93">
            <v>0</v>
          </cell>
          <cell r="S93">
            <v>0</v>
          </cell>
          <cell r="T93">
            <v>0</v>
          </cell>
          <cell r="W93">
            <v>0</v>
          </cell>
          <cell r="X93">
            <v>0</v>
          </cell>
          <cell r="Y93">
            <v>0</v>
          </cell>
          <cell r="AB93">
            <v>432</v>
          </cell>
          <cell r="AC93">
            <v>432</v>
          </cell>
          <cell r="AD93">
            <v>0</v>
          </cell>
          <cell r="AE93">
            <v>0</v>
          </cell>
          <cell r="AF93">
            <v>0</v>
          </cell>
          <cell r="AI93">
            <v>0</v>
          </cell>
          <cell r="AJ93">
            <v>0</v>
          </cell>
          <cell r="AN93" t="e">
            <v>#REF!</v>
          </cell>
          <cell r="AP93" t="e">
            <v>#REF!</v>
          </cell>
          <cell r="AS93">
            <v>432</v>
          </cell>
        </row>
        <row r="95">
          <cell r="C95">
            <v>-1308</v>
          </cell>
          <cell r="N95">
            <v>800</v>
          </cell>
          <cell r="P95">
            <v>-800</v>
          </cell>
          <cell r="Q95">
            <v>0</v>
          </cell>
          <cell r="R95">
            <v>0</v>
          </cell>
          <cell r="S95">
            <v>0</v>
          </cell>
          <cell r="T95">
            <v>0</v>
          </cell>
          <cell r="X95">
            <v>0</v>
          </cell>
          <cell r="Y95">
            <v>0</v>
          </cell>
          <cell r="AC95">
            <v>0</v>
          </cell>
          <cell r="AD95">
            <v>0</v>
          </cell>
          <cell r="AE95">
            <v>0</v>
          </cell>
          <cell r="AF95">
            <v>0</v>
          </cell>
          <cell r="AI95">
            <v>0</v>
          </cell>
          <cell r="AJ95">
            <v>0</v>
          </cell>
          <cell r="AN95" t="e">
            <v>#REF!</v>
          </cell>
          <cell r="AP95" t="e">
            <v>#REF!</v>
          </cell>
          <cell r="AS95">
            <v>0</v>
          </cell>
        </row>
        <row r="96">
          <cell r="P96">
            <v>0</v>
          </cell>
          <cell r="S96">
            <v>0</v>
          </cell>
          <cell r="X96">
            <v>0</v>
          </cell>
          <cell r="AC96">
            <v>0</v>
          </cell>
          <cell r="AF96">
            <v>0</v>
          </cell>
          <cell r="AI96">
            <v>0</v>
          </cell>
          <cell r="AJ96">
            <v>0</v>
          </cell>
          <cell r="AN96" t="e">
            <v>#REF!</v>
          </cell>
          <cell r="AP96" t="e">
            <v>#REF!</v>
          </cell>
          <cell r="AS96">
            <v>0</v>
          </cell>
        </row>
        <row r="97">
          <cell r="P97">
            <v>0</v>
          </cell>
          <cell r="S97">
            <v>0</v>
          </cell>
          <cell r="X97">
            <v>0</v>
          </cell>
          <cell r="AC97">
            <v>0</v>
          </cell>
          <cell r="AF97">
            <v>0</v>
          </cell>
          <cell r="AI97">
            <v>0</v>
          </cell>
          <cell r="AJ97">
            <v>0</v>
          </cell>
          <cell r="AN97" t="e">
            <v>#REF!</v>
          </cell>
          <cell r="AP97" t="e">
            <v>#REF!</v>
          </cell>
          <cell r="AS97">
            <v>0</v>
          </cell>
        </row>
        <row r="98">
          <cell r="P98">
            <v>0</v>
          </cell>
          <cell r="S98">
            <v>0</v>
          </cell>
          <cell r="X98">
            <v>0</v>
          </cell>
          <cell r="AC98">
            <v>0</v>
          </cell>
          <cell r="AF98">
            <v>0</v>
          </cell>
          <cell r="AI98">
            <v>0</v>
          </cell>
          <cell r="AJ98">
            <v>0</v>
          </cell>
          <cell r="AN98" t="e">
            <v>#REF!</v>
          </cell>
          <cell r="AP98" t="e">
            <v>#REF!</v>
          </cell>
          <cell r="AS98">
            <v>0</v>
          </cell>
        </row>
        <row r="99">
          <cell r="P99">
            <v>0</v>
          </cell>
          <cell r="S99">
            <v>0</v>
          </cell>
          <cell r="X99">
            <v>0</v>
          </cell>
          <cell r="AC99">
            <v>0</v>
          </cell>
          <cell r="AI99">
            <v>0</v>
          </cell>
          <cell r="AJ99">
            <v>0</v>
          </cell>
          <cell r="AN99" t="e">
            <v>#REF!</v>
          </cell>
          <cell r="AP99" t="e">
            <v>#REF!</v>
          </cell>
          <cell r="AS99">
            <v>0</v>
          </cell>
        </row>
        <row r="100">
          <cell r="C100">
            <v>-1308</v>
          </cell>
          <cell r="N100">
            <v>0.19200000000000017</v>
          </cell>
          <cell r="P100">
            <v>-0.19200000000000017</v>
          </cell>
          <cell r="Q100">
            <v>-0.32000000000000028</v>
          </cell>
          <cell r="R100">
            <v>31</v>
          </cell>
          <cell r="S100">
            <v>31.32</v>
          </cell>
          <cell r="T100">
            <v>-0.3360000000000003</v>
          </cell>
          <cell r="W100">
            <v>2</v>
          </cell>
          <cell r="X100">
            <v>2.3360000000000003</v>
          </cell>
          <cell r="Y100">
            <v>0.28000000000000114</v>
          </cell>
          <cell r="AB100">
            <v>10</v>
          </cell>
          <cell r="AC100">
            <v>9.7199999999999989</v>
          </cell>
          <cell r="AD100">
            <v>0.35200000000000031</v>
          </cell>
          <cell r="AE100">
            <v>0.35200000000000031</v>
          </cell>
          <cell r="AF100">
            <v>0</v>
          </cell>
          <cell r="AG100">
            <v>128</v>
          </cell>
          <cell r="AH100">
            <v>128</v>
          </cell>
          <cell r="AI100">
            <v>0</v>
          </cell>
          <cell r="AJ100">
            <v>127.648</v>
          </cell>
          <cell r="AN100" t="e">
            <v>#REF!</v>
          </cell>
          <cell r="AP100" t="e">
            <v>#REF!</v>
          </cell>
          <cell r="AS100">
            <v>140</v>
          </cell>
        </row>
        <row r="101">
          <cell r="C101">
            <v>-1308</v>
          </cell>
          <cell r="N101">
            <v>0</v>
          </cell>
          <cell r="P101">
            <v>0</v>
          </cell>
          <cell r="Q101">
            <v>0</v>
          </cell>
          <cell r="R101">
            <v>0</v>
          </cell>
          <cell r="S101">
            <v>0</v>
          </cell>
          <cell r="T101">
            <v>0</v>
          </cell>
          <cell r="X101">
            <v>0</v>
          </cell>
          <cell r="Y101">
            <v>0</v>
          </cell>
          <cell r="AC101">
            <v>0</v>
          </cell>
          <cell r="AD101">
            <v>0</v>
          </cell>
          <cell r="AE101">
            <v>0</v>
          </cell>
          <cell r="AF101">
            <v>0</v>
          </cell>
          <cell r="AI101">
            <v>0</v>
          </cell>
          <cell r="AJ101">
            <v>0</v>
          </cell>
          <cell r="AN101" t="e">
            <v>#REF!</v>
          </cell>
          <cell r="AP101" t="e">
            <v>#REF!</v>
          </cell>
          <cell r="AS101">
            <v>0</v>
          </cell>
        </row>
        <row r="102">
          <cell r="C102">
            <v>0</v>
          </cell>
          <cell r="N102">
            <v>0</v>
          </cell>
          <cell r="P102">
            <v>0</v>
          </cell>
          <cell r="Q102">
            <v>0</v>
          </cell>
          <cell r="S102">
            <v>0</v>
          </cell>
          <cell r="T102">
            <v>0</v>
          </cell>
          <cell r="X102">
            <v>0</v>
          </cell>
          <cell r="Y102">
            <v>0</v>
          </cell>
          <cell r="AC102">
            <v>0</v>
          </cell>
          <cell r="AD102">
            <v>0</v>
          </cell>
          <cell r="AE102">
            <v>0</v>
          </cell>
          <cell r="AF102">
            <v>0</v>
          </cell>
          <cell r="AI102">
            <v>0</v>
          </cell>
          <cell r="AJ102">
            <v>0</v>
          </cell>
          <cell r="AN102" t="e">
            <v>#REF!</v>
          </cell>
          <cell r="AP102" t="e">
            <v>#REF!</v>
          </cell>
          <cell r="AS102">
            <v>0</v>
          </cell>
        </row>
        <row r="103">
          <cell r="C103">
            <v>0</v>
          </cell>
          <cell r="N103">
            <v>0.19200000000000017</v>
          </cell>
          <cell r="P103">
            <v>-0.19200000000000017</v>
          </cell>
          <cell r="Q103">
            <v>-0.32000000000000028</v>
          </cell>
          <cell r="R103">
            <v>31</v>
          </cell>
          <cell r="S103">
            <v>31.32</v>
          </cell>
          <cell r="T103">
            <v>-0.3360000000000003</v>
          </cell>
          <cell r="W103">
            <v>2</v>
          </cell>
          <cell r="X103">
            <v>2.3360000000000003</v>
          </cell>
          <cell r="Y103">
            <v>0.28000000000000114</v>
          </cell>
          <cell r="AB103">
            <v>10</v>
          </cell>
          <cell r="AC103">
            <v>9.7199999999999989</v>
          </cell>
          <cell r="AD103">
            <v>0.35200000000000031</v>
          </cell>
          <cell r="AE103">
            <v>0.35200000000000031</v>
          </cell>
          <cell r="AF103">
            <v>0</v>
          </cell>
          <cell r="AG103">
            <v>128</v>
          </cell>
          <cell r="AH103">
            <v>128</v>
          </cell>
          <cell r="AI103">
            <v>0</v>
          </cell>
          <cell r="AJ103">
            <v>127.648</v>
          </cell>
          <cell r="AN103">
            <v>3701.768</v>
          </cell>
          <cell r="AP103">
            <v>3702</v>
          </cell>
          <cell r="AS103">
            <v>140</v>
          </cell>
        </row>
        <row r="104">
          <cell r="C104">
            <v>0</v>
          </cell>
          <cell r="N104">
            <v>0.20800000000000018</v>
          </cell>
          <cell r="P104">
            <v>-0.20800000000000018</v>
          </cell>
          <cell r="Q104">
            <v>234.404</v>
          </cell>
          <cell r="R104">
            <v>154</v>
          </cell>
          <cell r="S104">
            <v>-80.403999999999996</v>
          </cell>
          <cell r="T104">
            <v>-0.42800000000000082</v>
          </cell>
          <cell r="W104">
            <v>79</v>
          </cell>
          <cell r="X104">
            <v>79.427999999999997</v>
          </cell>
          <cell r="Y104">
            <v>6.799999999999784E-2</v>
          </cell>
          <cell r="AB104">
            <v>86</v>
          </cell>
          <cell r="AC104">
            <v>85.932000000000002</v>
          </cell>
          <cell r="AD104">
            <v>0.28399999999999892</v>
          </cell>
          <cell r="AE104">
            <v>0.28399999999999892</v>
          </cell>
          <cell r="AF104">
            <v>0</v>
          </cell>
          <cell r="AG104">
            <v>30</v>
          </cell>
          <cell r="AH104">
            <v>30</v>
          </cell>
          <cell r="AI104">
            <v>0</v>
          </cell>
          <cell r="AJ104">
            <v>29.716000000000001</v>
          </cell>
          <cell r="AN104" t="e">
            <v>#REF!</v>
          </cell>
          <cell r="AP104" t="e">
            <v>#REF!</v>
          </cell>
          <cell r="AS104">
            <v>195</v>
          </cell>
        </row>
        <row r="105">
          <cell r="C105">
            <v>0</v>
          </cell>
          <cell r="N105">
            <v>0</v>
          </cell>
          <cell r="P105">
            <v>0</v>
          </cell>
          <cell r="Q105">
            <v>233.64000000000001</v>
          </cell>
          <cell r="R105">
            <v>0</v>
          </cell>
          <cell r="S105">
            <v>-233.64000000000001</v>
          </cell>
          <cell r="T105">
            <v>0</v>
          </cell>
          <cell r="W105">
            <v>0</v>
          </cell>
          <cell r="X105">
            <v>0</v>
          </cell>
          <cell r="Y105">
            <v>0</v>
          </cell>
          <cell r="AB105">
            <v>0</v>
          </cell>
          <cell r="AC105">
            <v>0</v>
          </cell>
          <cell r="AD105">
            <v>0</v>
          </cell>
          <cell r="AE105">
            <v>0</v>
          </cell>
          <cell r="AF105">
            <v>0</v>
          </cell>
          <cell r="AI105">
            <v>0</v>
          </cell>
          <cell r="AJ105">
            <v>0</v>
          </cell>
          <cell r="AN105" t="e">
            <v>#REF!</v>
          </cell>
          <cell r="AP105" t="e">
            <v>#REF!</v>
          </cell>
          <cell r="AS105">
            <v>0</v>
          </cell>
        </row>
        <row r="106">
          <cell r="C106">
            <v>0</v>
          </cell>
          <cell r="N106">
            <v>0.20800000000000018</v>
          </cell>
          <cell r="P106">
            <v>-0.20800000000000018</v>
          </cell>
          <cell r="Q106">
            <v>-0.23600000000000065</v>
          </cell>
          <cell r="R106">
            <v>154</v>
          </cell>
          <cell r="S106">
            <v>154.23599999999999</v>
          </cell>
          <cell r="T106">
            <v>-0.42800000000000082</v>
          </cell>
          <cell r="W106">
            <v>79</v>
          </cell>
          <cell r="X106">
            <v>79.427999999999997</v>
          </cell>
          <cell r="Y106">
            <v>6.799999999999784E-2</v>
          </cell>
          <cell r="AB106">
            <v>86</v>
          </cell>
          <cell r="AC106">
            <v>85.932000000000002</v>
          </cell>
          <cell r="AD106">
            <v>0.28399999999999892</v>
          </cell>
          <cell r="AE106">
            <v>0.28399999999999892</v>
          </cell>
          <cell r="AF106">
            <v>0</v>
          </cell>
          <cell r="AG106">
            <v>30</v>
          </cell>
          <cell r="AH106">
            <v>30</v>
          </cell>
          <cell r="AI106">
            <v>0</v>
          </cell>
          <cell r="AJ106">
            <v>29.716000000000001</v>
          </cell>
          <cell r="AN106" t="e">
            <v>#REF!</v>
          </cell>
          <cell r="AP106" t="e">
            <v>#REF!</v>
          </cell>
          <cell r="AS106">
            <v>195</v>
          </cell>
        </row>
        <row r="107">
          <cell r="C107">
            <v>0</v>
          </cell>
          <cell r="N107">
            <v>0</v>
          </cell>
          <cell r="P107">
            <v>0</v>
          </cell>
          <cell r="Q107">
            <v>526.04999999999995</v>
          </cell>
          <cell r="R107">
            <v>800</v>
          </cell>
          <cell r="S107">
            <v>273.95000000000005</v>
          </cell>
          <cell r="T107">
            <v>0</v>
          </cell>
          <cell r="X107">
            <v>0</v>
          </cell>
          <cell r="Y107">
            <v>0</v>
          </cell>
          <cell r="AC107">
            <v>0</v>
          </cell>
          <cell r="AD107">
            <v>0</v>
          </cell>
          <cell r="AE107">
            <v>0</v>
          </cell>
          <cell r="AF107">
            <v>0</v>
          </cell>
          <cell r="AI107">
            <v>0</v>
          </cell>
          <cell r="AJ107">
            <v>0</v>
          </cell>
          <cell r="AN107" t="e">
            <v>#REF!</v>
          </cell>
          <cell r="AP107" t="e">
            <v>#REF!</v>
          </cell>
          <cell r="AQ107" t="e">
            <v>#REF!</v>
          </cell>
          <cell r="AR107" t="e">
            <v>#REF!</v>
          </cell>
          <cell r="AS107">
            <v>0</v>
          </cell>
        </row>
        <row r="108">
          <cell r="C108">
            <v>0</v>
          </cell>
          <cell r="N108">
            <v>0</v>
          </cell>
          <cell r="P108">
            <v>0</v>
          </cell>
          <cell r="Q108">
            <v>526.04999999999995</v>
          </cell>
          <cell r="R108">
            <v>800</v>
          </cell>
          <cell r="S108">
            <v>273.95000000000005</v>
          </cell>
          <cell r="T108">
            <v>0</v>
          </cell>
          <cell r="X108">
            <v>0</v>
          </cell>
          <cell r="Y108">
            <v>0</v>
          </cell>
          <cell r="AC108">
            <v>0</v>
          </cell>
          <cell r="AD108">
            <v>0</v>
          </cell>
          <cell r="AE108">
            <v>0</v>
          </cell>
          <cell r="AF108">
            <v>0</v>
          </cell>
          <cell r="AI108">
            <v>0</v>
          </cell>
          <cell r="AJ108">
            <v>0</v>
          </cell>
          <cell r="AN108" t="e">
            <v>#REF!</v>
          </cell>
          <cell r="AP108" t="e">
            <v>#REF!</v>
          </cell>
          <cell r="AS108">
            <v>0</v>
          </cell>
        </row>
        <row r="109">
          <cell r="C109">
            <v>0</v>
          </cell>
          <cell r="N109">
            <v>0</v>
          </cell>
          <cell r="P109">
            <v>0</v>
          </cell>
          <cell r="Q109">
            <v>0</v>
          </cell>
          <cell r="S109">
            <v>0</v>
          </cell>
          <cell r="T109">
            <v>0</v>
          </cell>
          <cell r="X109">
            <v>0</v>
          </cell>
          <cell r="Y109">
            <v>0</v>
          </cell>
          <cell r="AC109">
            <v>0</v>
          </cell>
          <cell r="AD109">
            <v>0</v>
          </cell>
          <cell r="AE109">
            <v>0</v>
          </cell>
          <cell r="AF109">
            <v>0</v>
          </cell>
          <cell r="AI109">
            <v>0</v>
          </cell>
          <cell r="AJ109">
            <v>0</v>
          </cell>
          <cell r="AN109" t="e">
            <v>#REF!</v>
          </cell>
          <cell r="AP109" t="e">
            <v>#REF!</v>
          </cell>
          <cell r="AQ109">
            <v>0</v>
          </cell>
          <cell r="AR109">
            <v>0</v>
          </cell>
          <cell r="AS109">
            <v>0</v>
          </cell>
        </row>
        <row r="110">
          <cell r="C110">
            <v>0</v>
          </cell>
          <cell r="N110">
            <v>0</v>
          </cell>
          <cell r="P110">
            <v>0</v>
          </cell>
          <cell r="Q110">
            <v>0</v>
          </cell>
          <cell r="S110">
            <v>0</v>
          </cell>
          <cell r="T110">
            <v>0</v>
          </cell>
          <cell r="X110">
            <v>0</v>
          </cell>
          <cell r="Y110">
            <v>0</v>
          </cell>
          <cell r="AC110">
            <v>0</v>
          </cell>
          <cell r="AD110">
            <v>0</v>
          </cell>
          <cell r="AE110">
            <v>0</v>
          </cell>
          <cell r="AF110">
            <v>0</v>
          </cell>
          <cell r="AI110">
            <v>0</v>
          </cell>
          <cell r="AJ110">
            <v>0</v>
          </cell>
          <cell r="AN110" t="e">
            <v>#REF!</v>
          </cell>
          <cell r="AP110" t="e">
            <v>#REF!</v>
          </cell>
          <cell r="AS110">
            <v>0</v>
          </cell>
        </row>
        <row r="111">
          <cell r="C111">
            <v>200</v>
          </cell>
          <cell r="N111">
            <v>0</v>
          </cell>
          <cell r="P111">
            <v>0</v>
          </cell>
          <cell r="Q111">
            <v>0</v>
          </cell>
          <cell r="R111">
            <v>928</v>
          </cell>
          <cell r="S111">
            <v>928</v>
          </cell>
          <cell r="T111">
            <v>0</v>
          </cell>
          <cell r="W111">
            <v>366</v>
          </cell>
          <cell r="X111">
            <v>366</v>
          </cell>
          <cell r="Y111">
            <v>0</v>
          </cell>
          <cell r="AB111">
            <v>251</v>
          </cell>
          <cell r="AC111">
            <v>251</v>
          </cell>
          <cell r="AD111">
            <v>0</v>
          </cell>
          <cell r="AE111">
            <v>0</v>
          </cell>
          <cell r="AF111">
            <v>0</v>
          </cell>
          <cell r="AG111">
            <v>535</v>
          </cell>
          <cell r="AH111">
            <v>535</v>
          </cell>
          <cell r="AI111">
            <v>0</v>
          </cell>
          <cell r="AJ111">
            <v>535</v>
          </cell>
          <cell r="AN111" t="e">
            <v>#REF!</v>
          </cell>
          <cell r="AP111" t="e">
            <v>#REF!</v>
          </cell>
          <cell r="AS111">
            <v>1152</v>
          </cell>
        </row>
        <row r="112">
          <cell r="C112">
            <v>0</v>
          </cell>
          <cell r="N112">
            <v>0</v>
          </cell>
          <cell r="P112">
            <v>0</v>
          </cell>
          <cell r="Q112">
            <v>0</v>
          </cell>
          <cell r="R112">
            <v>8</v>
          </cell>
          <cell r="S112">
            <v>8</v>
          </cell>
          <cell r="T112">
            <v>0</v>
          </cell>
          <cell r="W112">
            <v>57</v>
          </cell>
          <cell r="X112">
            <v>57</v>
          </cell>
          <cell r="Y112">
            <v>0</v>
          </cell>
          <cell r="AB112">
            <v>7</v>
          </cell>
          <cell r="AC112">
            <v>7</v>
          </cell>
          <cell r="AD112">
            <v>0</v>
          </cell>
          <cell r="AE112">
            <v>0</v>
          </cell>
          <cell r="AF112">
            <v>0</v>
          </cell>
          <cell r="AI112">
            <v>0</v>
          </cell>
          <cell r="AJ112">
            <v>0</v>
          </cell>
          <cell r="AN112">
            <v>19</v>
          </cell>
          <cell r="AP112">
            <v>19</v>
          </cell>
          <cell r="AS112">
            <v>64</v>
          </cell>
        </row>
        <row r="113">
          <cell r="C113">
            <v>7060</v>
          </cell>
          <cell r="N113">
            <v>0</v>
          </cell>
          <cell r="P113">
            <v>0</v>
          </cell>
          <cell r="Q113">
            <v>0</v>
          </cell>
          <cell r="S113">
            <v>0</v>
          </cell>
          <cell r="T113">
            <v>0</v>
          </cell>
          <cell r="X113">
            <v>0</v>
          </cell>
          <cell r="Y113">
            <v>0</v>
          </cell>
          <cell r="AC113">
            <v>0</v>
          </cell>
          <cell r="AD113">
            <v>0</v>
          </cell>
          <cell r="AE113">
            <v>0</v>
          </cell>
          <cell r="AF113">
            <v>0</v>
          </cell>
          <cell r="AI113">
            <v>0</v>
          </cell>
          <cell r="AJ113">
            <v>0</v>
          </cell>
          <cell r="AN113" t="e">
            <v>#REF!</v>
          </cell>
          <cell r="AP113" t="e">
            <v>#REF!</v>
          </cell>
          <cell r="AS113">
            <v>0</v>
          </cell>
        </row>
        <row r="114">
          <cell r="C114">
            <v>0</v>
          </cell>
          <cell r="P114">
            <v>0</v>
          </cell>
          <cell r="S114">
            <v>0</v>
          </cell>
          <cell r="X114">
            <v>0</v>
          </cell>
          <cell r="AC114">
            <v>0</v>
          </cell>
          <cell r="AF114">
            <v>0</v>
          </cell>
          <cell r="AI114">
            <v>0</v>
          </cell>
          <cell r="AJ114">
            <v>0</v>
          </cell>
          <cell r="AP114">
            <v>0</v>
          </cell>
          <cell r="AS114">
            <v>0</v>
          </cell>
        </row>
        <row r="115">
          <cell r="C115">
            <v>3500</v>
          </cell>
          <cell r="P115">
            <v>0</v>
          </cell>
          <cell r="S115">
            <v>0</v>
          </cell>
          <cell r="X115">
            <v>0</v>
          </cell>
          <cell r="AC115">
            <v>0</v>
          </cell>
          <cell r="AF115">
            <v>0</v>
          </cell>
          <cell r="AI115">
            <v>0</v>
          </cell>
          <cell r="AJ115">
            <v>0</v>
          </cell>
          <cell r="AP115">
            <v>3500</v>
          </cell>
          <cell r="AS115">
            <v>0</v>
          </cell>
        </row>
        <row r="116">
          <cell r="C116">
            <v>0</v>
          </cell>
        </row>
        <row r="119">
          <cell r="P119">
            <v>0</v>
          </cell>
          <cell r="S119">
            <v>0</v>
          </cell>
          <cell r="X119">
            <v>0</v>
          </cell>
          <cell r="AC119">
            <v>0</v>
          </cell>
          <cell r="AI119">
            <v>0</v>
          </cell>
          <cell r="AJ119">
            <v>0</v>
          </cell>
          <cell r="AN119" t="e">
            <v>#REF!</v>
          </cell>
          <cell r="AP119">
            <v>36465</v>
          </cell>
          <cell r="AQ119" t="e">
            <v>#REF!</v>
          </cell>
          <cell r="AS119">
            <v>0</v>
          </cell>
        </row>
        <row r="120">
          <cell r="C120">
            <v>0</v>
          </cell>
          <cell r="P120">
            <v>0</v>
          </cell>
          <cell r="S120">
            <v>0</v>
          </cell>
          <cell r="X120">
            <v>0</v>
          </cell>
          <cell r="AC120">
            <v>0</v>
          </cell>
          <cell r="AJ120">
            <v>0</v>
          </cell>
          <cell r="AN120" t="e">
            <v>#REF!</v>
          </cell>
          <cell r="AP120" t="e">
            <v>#REF!</v>
          </cell>
          <cell r="AS120">
            <v>0</v>
          </cell>
        </row>
        <row r="121">
          <cell r="C121">
            <v>11853</v>
          </cell>
          <cell r="D121">
            <v>0</v>
          </cell>
          <cell r="E121">
            <v>0</v>
          </cell>
          <cell r="N121">
            <v>0.40000000000000036</v>
          </cell>
          <cell r="O121">
            <v>0</v>
          </cell>
          <cell r="P121">
            <v>-0.40000000000000036</v>
          </cell>
          <cell r="Q121">
            <v>0</v>
          </cell>
          <cell r="R121">
            <v>1921</v>
          </cell>
          <cell r="S121">
            <v>1921</v>
          </cell>
          <cell r="T121">
            <v>-0.76400000000000112</v>
          </cell>
          <cell r="U121">
            <v>0</v>
          </cell>
          <cell r="V121">
            <v>0</v>
          </cell>
          <cell r="W121">
            <v>504</v>
          </cell>
          <cell r="X121">
            <v>504.76400000000001</v>
          </cell>
          <cell r="Y121">
            <v>0.34799999999999898</v>
          </cell>
          <cell r="Z121">
            <v>0</v>
          </cell>
          <cell r="AA121">
            <v>0</v>
          </cell>
          <cell r="AB121">
            <v>354</v>
          </cell>
          <cell r="AC121">
            <v>353.65199999999999</v>
          </cell>
          <cell r="AD121">
            <v>0.63599999999999923</v>
          </cell>
          <cell r="AE121">
            <v>0.63599999999999923</v>
          </cell>
          <cell r="AF121">
            <v>0</v>
          </cell>
          <cell r="AG121">
            <v>693</v>
          </cell>
          <cell r="AH121">
            <v>693</v>
          </cell>
          <cell r="AI121">
            <v>0</v>
          </cell>
          <cell r="AJ121">
            <v>692.36400000000003</v>
          </cell>
          <cell r="AN121" t="e">
            <v>#REF!</v>
          </cell>
          <cell r="AP121" t="e">
            <v>#REF!</v>
          </cell>
          <cell r="AU121">
            <v>0</v>
          </cell>
          <cell r="AV121">
            <v>0</v>
          </cell>
          <cell r="AW121">
            <v>0</v>
          </cell>
          <cell r="AX121">
            <v>0</v>
          </cell>
        </row>
        <row r="122">
          <cell r="C122">
            <v>9452</v>
          </cell>
          <cell r="D122">
            <v>0</v>
          </cell>
          <cell r="E122">
            <v>0</v>
          </cell>
          <cell r="N122">
            <v>800.4</v>
          </cell>
          <cell r="P122">
            <v>-800.4</v>
          </cell>
          <cell r="Q122">
            <v>760.13400000000001</v>
          </cell>
          <cell r="T122">
            <v>-0.76400000000000112</v>
          </cell>
          <cell r="U122">
            <v>0</v>
          </cell>
          <cell r="V122">
            <v>0</v>
          </cell>
          <cell r="X122">
            <v>0.76400000000000112</v>
          </cell>
          <cell r="Y122">
            <v>0.34799999999999898</v>
          </cell>
          <cell r="Z122">
            <v>0</v>
          </cell>
          <cell r="AA122">
            <v>0</v>
          </cell>
          <cell r="AC122">
            <v>-0.34799999999999898</v>
          </cell>
          <cell r="AJ122">
            <v>0</v>
          </cell>
          <cell r="AN122" t="e">
            <v>#REF!</v>
          </cell>
          <cell r="AP122" t="e">
            <v>#REF!</v>
          </cell>
        </row>
        <row r="123">
          <cell r="P123">
            <v>0</v>
          </cell>
          <cell r="X123">
            <v>0</v>
          </cell>
          <cell r="AC123">
            <v>0</v>
          </cell>
          <cell r="AJ123">
            <v>0</v>
          </cell>
          <cell r="AP123" t="e">
            <v>#REF!</v>
          </cell>
        </row>
        <row r="124">
          <cell r="P124">
            <v>0</v>
          </cell>
          <cell r="X124">
            <v>0</v>
          </cell>
          <cell r="AC124">
            <v>0</v>
          </cell>
          <cell r="AJ124">
            <v>0</v>
          </cell>
          <cell r="AP124" t="e">
            <v>#REF!</v>
          </cell>
        </row>
        <row r="125">
          <cell r="P125">
            <v>0</v>
          </cell>
          <cell r="X125">
            <v>0</v>
          </cell>
          <cell r="AC125">
            <v>0</v>
          </cell>
          <cell r="AJ125">
            <v>0</v>
          </cell>
          <cell r="AP125" t="e">
            <v>#REF!</v>
          </cell>
          <cell r="AQ125" t="e">
            <v>#REF!</v>
          </cell>
          <cell r="AR125" t="e">
            <v>#REF!</v>
          </cell>
        </row>
        <row r="126">
          <cell r="P126">
            <v>0</v>
          </cell>
          <cell r="X126">
            <v>0</v>
          </cell>
          <cell r="AC126">
            <v>0</v>
          </cell>
          <cell r="AJ126">
            <v>0</v>
          </cell>
        </row>
        <row r="127">
          <cell r="P127">
            <v>0</v>
          </cell>
          <cell r="X127">
            <v>0</v>
          </cell>
          <cell r="AC127">
            <v>0</v>
          </cell>
          <cell r="AJ127">
            <v>0</v>
          </cell>
          <cell r="AP127" t="e">
            <v>#REF!</v>
          </cell>
          <cell r="AU127">
            <v>0</v>
          </cell>
        </row>
        <row r="128">
          <cell r="P128">
            <v>0</v>
          </cell>
          <cell r="X128">
            <v>0</v>
          </cell>
          <cell r="AC128">
            <v>0</v>
          </cell>
          <cell r="AJ128">
            <v>0</v>
          </cell>
        </row>
        <row r="129">
          <cell r="P129">
            <v>0</v>
          </cell>
          <cell r="X129">
            <v>0</v>
          </cell>
          <cell r="AC129">
            <v>0</v>
          </cell>
          <cell r="AJ129">
            <v>0</v>
          </cell>
        </row>
        <row r="130">
          <cell r="P130">
            <v>0</v>
          </cell>
          <cell r="X130">
            <v>0</v>
          </cell>
          <cell r="AC130">
            <v>0</v>
          </cell>
          <cell r="AJ130">
            <v>0</v>
          </cell>
          <cell r="AP130" t="e">
            <v>#REF!</v>
          </cell>
          <cell r="AR130" t="e">
            <v>#REF!</v>
          </cell>
          <cell r="AU130">
            <v>0</v>
          </cell>
          <cell r="AW130">
            <v>0</v>
          </cell>
        </row>
        <row r="131">
          <cell r="P131">
            <v>0</v>
          </cell>
          <cell r="X131">
            <v>0</v>
          </cell>
          <cell r="AC131">
            <v>0</v>
          </cell>
          <cell r="AJ131">
            <v>0</v>
          </cell>
          <cell r="AP131" t="e">
            <v>#REF!</v>
          </cell>
          <cell r="AU131">
            <v>0</v>
          </cell>
        </row>
        <row r="132">
          <cell r="P132">
            <v>0</v>
          </cell>
          <cell r="X132">
            <v>0</v>
          </cell>
          <cell r="AC132">
            <v>0</v>
          </cell>
          <cell r="AJ132">
            <v>0</v>
          </cell>
          <cell r="AP132" t="e">
            <v>#REF!</v>
          </cell>
          <cell r="AU132" t="e">
            <v>#DIV/0!</v>
          </cell>
        </row>
        <row r="133">
          <cell r="P133">
            <v>0</v>
          </cell>
          <cell r="X133">
            <v>0</v>
          </cell>
          <cell r="AC133">
            <v>0</v>
          </cell>
          <cell r="AJ133">
            <v>0</v>
          </cell>
          <cell r="AP133" t="e">
            <v>#REF!</v>
          </cell>
          <cell r="AU133" t="e">
            <v>#DIV/0!</v>
          </cell>
        </row>
        <row r="134">
          <cell r="P134">
            <v>0</v>
          </cell>
          <cell r="X134">
            <v>0</v>
          </cell>
          <cell r="AC134">
            <v>0</v>
          </cell>
          <cell r="AJ134">
            <v>0</v>
          </cell>
          <cell r="AP134">
            <v>0</v>
          </cell>
          <cell r="AU134">
            <v>0</v>
          </cell>
        </row>
        <row r="135">
          <cell r="P135">
            <v>0</v>
          </cell>
          <cell r="X135">
            <v>0</v>
          </cell>
          <cell r="AC135">
            <v>0</v>
          </cell>
          <cell r="AJ135">
            <v>0</v>
          </cell>
        </row>
        <row r="136">
          <cell r="P136">
            <v>0</v>
          </cell>
          <cell r="X136">
            <v>0</v>
          </cell>
          <cell r="AC136">
            <v>0</v>
          </cell>
          <cell r="AJ136">
            <v>0</v>
          </cell>
          <cell r="AP136">
            <v>36.19</v>
          </cell>
          <cell r="AU136" t="e">
            <v>#DIV/0!</v>
          </cell>
        </row>
        <row r="137">
          <cell r="P137">
            <v>0</v>
          </cell>
          <cell r="X137">
            <v>0</v>
          </cell>
          <cell r="AC137">
            <v>0</v>
          </cell>
          <cell r="AJ137">
            <v>0</v>
          </cell>
        </row>
        <row r="138">
          <cell r="P138">
            <v>0</v>
          </cell>
          <cell r="X138">
            <v>0</v>
          </cell>
          <cell r="AC138">
            <v>0</v>
          </cell>
          <cell r="AJ138">
            <v>0</v>
          </cell>
          <cell r="AN138">
            <v>0</v>
          </cell>
          <cell r="AP138" t="e">
            <v>#REF!</v>
          </cell>
          <cell r="AU138" t="e">
            <v>#DIV/0!</v>
          </cell>
        </row>
        <row r="139">
          <cell r="P139">
            <v>0</v>
          </cell>
          <cell r="X139">
            <v>0</v>
          </cell>
          <cell r="AC139">
            <v>0</v>
          </cell>
          <cell r="AJ139">
            <v>0</v>
          </cell>
          <cell r="AP139">
            <v>180931</v>
          </cell>
          <cell r="AQ139">
            <v>180931</v>
          </cell>
        </row>
        <row r="140">
          <cell r="C140" t="str">
            <v>коп/кВтг</v>
          </cell>
          <cell r="P140">
            <v>0</v>
          </cell>
          <cell r="X140">
            <v>0</v>
          </cell>
          <cell r="AC140">
            <v>0</v>
          </cell>
          <cell r="AJ140">
            <v>0</v>
          </cell>
        </row>
        <row r="141">
          <cell r="P141">
            <v>0</v>
          </cell>
          <cell r="X141">
            <v>0</v>
          </cell>
          <cell r="AC141">
            <v>0</v>
          </cell>
          <cell r="AJ141">
            <v>0</v>
          </cell>
          <cell r="AN141">
            <v>0</v>
          </cell>
          <cell r="AP141">
            <v>0</v>
          </cell>
        </row>
        <row r="142">
          <cell r="P142">
            <v>0</v>
          </cell>
          <cell r="Q142">
            <v>0</v>
          </cell>
          <cell r="X142">
            <v>0</v>
          </cell>
          <cell r="AC142">
            <v>0</v>
          </cell>
          <cell r="AJ142">
            <v>0</v>
          </cell>
          <cell r="AP142">
            <v>2601</v>
          </cell>
        </row>
        <row r="143">
          <cell r="P143">
            <v>0</v>
          </cell>
          <cell r="X143">
            <v>0</v>
          </cell>
          <cell r="AC143">
            <v>0</v>
          </cell>
          <cell r="AJ143">
            <v>0</v>
          </cell>
          <cell r="AN143">
            <v>0</v>
          </cell>
          <cell r="AP143" t="e">
            <v>#REF!</v>
          </cell>
          <cell r="AQ143">
            <v>180931</v>
          </cell>
          <cell r="AR143" t="e">
            <v>#REF!</v>
          </cell>
          <cell r="AU143">
            <v>0</v>
          </cell>
        </row>
        <row r="144">
          <cell r="P144">
            <v>0</v>
          </cell>
          <cell r="X144">
            <v>0</v>
          </cell>
          <cell r="AC144">
            <v>0</v>
          </cell>
          <cell r="AJ144">
            <v>0</v>
          </cell>
          <cell r="AP144">
            <v>0</v>
          </cell>
        </row>
        <row r="145">
          <cell r="P145">
            <v>0</v>
          </cell>
          <cell r="X145">
            <v>0</v>
          </cell>
          <cell r="AC145">
            <v>0</v>
          </cell>
          <cell r="AJ145">
            <v>0</v>
          </cell>
          <cell r="AP145" t="e">
            <v>#REF!</v>
          </cell>
          <cell r="AQ145">
            <v>180931</v>
          </cell>
          <cell r="AR145" t="e">
            <v>#REF!</v>
          </cell>
        </row>
        <row r="146">
          <cell r="P146">
            <v>0</v>
          </cell>
          <cell r="X146">
            <v>0</v>
          </cell>
          <cell r="AC146">
            <v>0</v>
          </cell>
          <cell r="AJ146">
            <v>0</v>
          </cell>
          <cell r="AU146">
            <v>24501</v>
          </cell>
          <cell r="AV146">
            <v>66720</v>
          </cell>
          <cell r="AW146">
            <v>34032.72490909091</v>
          </cell>
          <cell r="AX146" t="e">
            <v>#REF!</v>
          </cell>
        </row>
        <row r="147">
          <cell r="P147">
            <v>0</v>
          </cell>
          <cell r="X147">
            <v>0</v>
          </cell>
          <cell r="AC147">
            <v>0</v>
          </cell>
          <cell r="AJ147">
            <v>0</v>
          </cell>
          <cell r="AP147" t="e">
            <v>#REF!</v>
          </cell>
          <cell r="AQ147" t="e">
            <v>#REF!</v>
          </cell>
          <cell r="AR147" t="e">
            <v>#REF!</v>
          </cell>
        </row>
        <row r="148">
          <cell r="P148">
            <v>0</v>
          </cell>
          <cell r="X148">
            <v>0</v>
          </cell>
          <cell r="AC148">
            <v>0</v>
          </cell>
          <cell r="AJ148">
            <v>0</v>
          </cell>
        </row>
        <row r="149">
          <cell r="C149">
            <v>0</v>
          </cell>
          <cell r="N149">
            <v>0</v>
          </cell>
          <cell r="P149">
            <v>0</v>
          </cell>
          <cell r="Q149">
            <v>0</v>
          </cell>
          <cell r="T149">
            <v>0</v>
          </cell>
          <cell r="X149">
            <v>0</v>
          </cell>
          <cell r="Y149">
            <v>0</v>
          </cell>
          <cell r="AC149">
            <v>0</v>
          </cell>
          <cell r="AJ149">
            <v>0</v>
          </cell>
          <cell r="AN149">
            <v>0</v>
          </cell>
        </row>
        <row r="151">
          <cell r="C151">
            <v>916.24199999999996</v>
          </cell>
          <cell r="N151">
            <v>1295.5</v>
          </cell>
          <cell r="P151">
            <v>-1295.5</v>
          </cell>
          <cell r="Q151">
            <v>2567.7454545454548</v>
          </cell>
          <cell r="S151">
            <v>-2567.7454545454548</v>
          </cell>
          <cell r="T151">
            <v>1558.3090909090909</v>
          </cell>
          <cell r="W151">
            <v>1510</v>
          </cell>
          <cell r="X151">
            <v>-48.309090909090855</v>
          </cell>
          <cell r="Y151">
            <v>1196.7</v>
          </cell>
          <cell r="AC151">
            <v>-1196.7</v>
          </cell>
          <cell r="AD151">
            <v>1791.7636363636364</v>
          </cell>
          <cell r="AE151">
            <v>1791.7636363636364</v>
          </cell>
          <cell r="AF151">
            <v>0</v>
          </cell>
          <cell r="AG151">
            <v>1946</v>
          </cell>
          <cell r="AH151">
            <v>938</v>
          </cell>
          <cell r="AI151">
            <v>0</v>
          </cell>
          <cell r="AJ151">
            <v>154.23636363636365</v>
          </cell>
          <cell r="AN151">
            <v>197</v>
          </cell>
          <cell r="AP151">
            <v>9542.2601818181811</v>
          </cell>
        </row>
        <row r="152">
          <cell r="C152">
            <v>916.24199999999996</v>
          </cell>
        </row>
        <row r="153">
          <cell r="N153">
            <v>2039.3333333333333</v>
          </cell>
          <cell r="O153">
            <v>272</v>
          </cell>
          <cell r="P153">
            <v>-1767.3333333333333</v>
          </cell>
          <cell r="Q153">
            <v>6546.5</v>
          </cell>
          <cell r="R153">
            <v>1487</v>
          </cell>
          <cell r="S153">
            <v>-5059.5</v>
          </cell>
          <cell r="T153">
            <v>3640.0909090909095</v>
          </cell>
          <cell r="U153">
            <v>1435</v>
          </cell>
          <cell r="V153">
            <v>2205.0909090909095</v>
          </cell>
          <cell r="W153">
            <v>831</v>
          </cell>
          <cell r="X153">
            <v>-2809.0909090909095</v>
          </cell>
          <cell r="Y153">
            <v>2323.3636363636365</v>
          </cell>
          <cell r="Z153">
            <v>874</v>
          </cell>
          <cell r="AA153">
            <v>1449.3636363636365</v>
          </cell>
          <cell r="AB153">
            <v>596</v>
          </cell>
          <cell r="AC153">
            <v>-1727.3636363636365</v>
          </cell>
          <cell r="AD153">
            <v>2497</v>
          </cell>
          <cell r="AE153">
            <v>2496.818181818182</v>
          </cell>
          <cell r="AF153">
            <v>0.18181818181824383</v>
          </cell>
          <cell r="AG153">
            <v>437</v>
          </cell>
          <cell r="AH153">
            <v>265</v>
          </cell>
          <cell r="AI153">
            <v>0</v>
          </cell>
          <cell r="AJ153">
            <v>-2060</v>
          </cell>
          <cell r="AN153">
            <v>0</v>
          </cell>
        </row>
        <row r="154">
          <cell r="N154">
            <v>0</v>
          </cell>
          <cell r="P154">
            <v>0</v>
          </cell>
          <cell r="Q154">
            <v>0</v>
          </cell>
          <cell r="S154">
            <v>0</v>
          </cell>
          <cell r="T154">
            <v>70</v>
          </cell>
          <cell r="X154">
            <v>-70</v>
          </cell>
          <cell r="Y154">
            <v>24</v>
          </cell>
          <cell r="AC154">
            <v>-24</v>
          </cell>
          <cell r="AJ154">
            <v>0</v>
          </cell>
          <cell r="AP154" t="e">
            <v>#REF!</v>
          </cell>
        </row>
        <row r="155">
          <cell r="N155">
            <v>0</v>
          </cell>
          <cell r="P155">
            <v>0</v>
          </cell>
          <cell r="Q155">
            <v>0</v>
          </cell>
          <cell r="S155">
            <v>0</v>
          </cell>
          <cell r="T155">
            <v>0</v>
          </cell>
          <cell r="X155">
            <v>0</v>
          </cell>
          <cell r="Y155">
            <v>0</v>
          </cell>
          <cell r="AC155">
            <v>0</v>
          </cell>
          <cell r="AJ155">
            <v>0</v>
          </cell>
          <cell r="AP155" t="e">
            <v>#REF!</v>
          </cell>
        </row>
        <row r="156">
          <cell r="C156" t="e">
            <v>#REF!</v>
          </cell>
          <cell r="N156">
            <v>681</v>
          </cell>
          <cell r="P156">
            <v>-681</v>
          </cell>
          <cell r="Q156">
            <v>1041.8333333333333</v>
          </cell>
          <cell r="S156">
            <v>-1041.8333333333333</v>
          </cell>
          <cell r="T156">
            <v>213</v>
          </cell>
          <cell r="X156">
            <v>-213</v>
          </cell>
          <cell r="Y156">
            <v>1171.0035872727274</v>
          </cell>
          <cell r="AC156">
            <v>-1171.0035872727274</v>
          </cell>
          <cell r="AJ156">
            <v>0</v>
          </cell>
          <cell r="AP156" t="e">
            <v>#REF!</v>
          </cell>
        </row>
        <row r="157">
          <cell r="C157" t="e">
            <v>#REF!</v>
          </cell>
          <cell r="N157">
            <v>47</v>
          </cell>
          <cell r="P157">
            <v>-47</v>
          </cell>
          <cell r="Q157">
            <v>140</v>
          </cell>
          <cell r="S157">
            <v>-140</v>
          </cell>
          <cell r="T157">
            <v>105</v>
          </cell>
          <cell r="X157">
            <v>-105</v>
          </cell>
          <cell r="Y157">
            <v>190</v>
          </cell>
          <cell r="AC157">
            <v>-190</v>
          </cell>
          <cell r="AJ157">
            <v>0</v>
          </cell>
          <cell r="AP157" t="e">
            <v>#REF!</v>
          </cell>
        </row>
        <row r="158">
          <cell r="C158" t="e">
            <v>#REF!</v>
          </cell>
          <cell r="N158">
            <v>1248.5</v>
          </cell>
          <cell r="P158">
            <v>-1248.5</v>
          </cell>
          <cell r="Q158">
            <v>140</v>
          </cell>
          <cell r="S158">
            <v>-140</v>
          </cell>
          <cell r="T158" t="str">
            <v xml:space="preserve">                   КОРИГУВАННЯ   ПЛАНУ   НА   СЕРПЕНЬ  1998 р</v>
          </cell>
          <cell r="X158" t="e">
            <v>#VALUE!</v>
          </cell>
          <cell r="Y158">
            <v>1006.7</v>
          </cell>
          <cell r="AC158">
            <v>-1006.7</v>
          </cell>
          <cell r="AJ158">
            <v>0</v>
          </cell>
          <cell r="AP158" t="e">
            <v>#REF!</v>
          </cell>
        </row>
        <row r="159">
          <cell r="C159" t="e">
            <v>#REF!</v>
          </cell>
          <cell r="N159">
            <v>1295.5</v>
          </cell>
          <cell r="P159">
            <v>-1295.5</v>
          </cell>
          <cell r="Q159">
            <v>280</v>
          </cell>
          <cell r="S159">
            <v>-280</v>
          </cell>
          <cell r="X159">
            <v>0</v>
          </cell>
          <cell r="Y159">
            <v>1196.7</v>
          </cell>
          <cell r="AC159">
            <v>-1196.7</v>
          </cell>
          <cell r="AJ159">
            <v>0</v>
          </cell>
        </row>
        <row r="160">
          <cell r="N160">
            <v>0</v>
          </cell>
          <cell r="P160">
            <v>0</v>
          </cell>
          <cell r="Q160">
            <v>2287.7454545454548</v>
          </cell>
          <cell r="S160">
            <v>-2287.7454545454548</v>
          </cell>
          <cell r="X160">
            <v>0</v>
          </cell>
          <cell r="Y160">
            <v>0</v>
          </cell>
          <cell r="AC160">
            <v>0</v>
          </cell>
          <cell r="AJ160">
            <v>0</v>
          </cell>
          <cell r="AP160" t="e">
            <v>#REF!</v>
          </cell>
        </row>
        <row r="161">
          <cell r="C161" t="e">
            <v>#REF!</v>
          </cell>
          <cell r="N161" t="e">
            <v>#REF!</v>
          </cell>
          <cell r="P161" t="e">
            <v>#REF!</v>
          </cell>
          <cell r="Q161">
            <v>776</v>
          </cell>
          <cell r="S161">
            <v>-776</v>
          </cell>
          <cell r="X161">
            <v>0</v>
          </cell>
          <cell r="Y161" t="e">
            <v>#REF!</v>
          </cell>
          <cell r="AC161" t="e">
            <v>#REF!</v>
          </cell>
          <cell r="AJ161">
            <v>0</v>
          </cell>
          <cell r="AP161" t="e">
            <v>#REF!</v>
          </cell>
        </row>
        <row r="162">
          <cell r="C162">
            <v>-1122</v>
          </cell>
          <cell r="N162">
            <v>15020</v>
          </cell>
          <cell r="O162">
            <v>0</v>
          </cell>
          <cell r="P162">
            <v>-15020</v>
          </cell>
          <cell r="Q162">
            <v>1739.5839999999998</v>
          </cell>
          <cell r="R162">
            <v>800</v>
          </cell>
          <cell r="S162">
            <v>-939.58399999999983</v>
          </cell>
          <cell r="T162">
            <v>2718</v>
          </cell>
          <cell r="U162">
            <v>0</v>
          </cell>
          <cell r="V162">
            <v>0</v>
          </cell>
          <cell r="W162">
            <v>0</v>
          </cell>
          <cell r="X162">
            <v>-2718</v>
          </cell>
          <cell r="Y162">
            <v>1694</v>
          </cell>
          <cell r="Z162">
            <v>0</v>
          </cell>
          <cell r="AA162">
            <v>0</v>
          </cell>
          <cell r="AB162">
            <v>432</v>
          </cell>
          <cell r="AC162">
            <v>-1262</v>
          </cell>
          <cell r="AD162" t="e">
            <v>#REF!</v>
          </cell>
          <cell r="AE162">
            <v>3355</v>
          </cell>
          <cell r="AF162">
            <v>0</v>
          </cell>
          <cell r="AG162">
            <v>0</v>
          </cell>
          <cell r="AH162">
            <v>0</v>
          </cell>
          <cell r="AI162">
            <v>0</v>
          </cell>
          <cell r="AJ162" t="e">
            <v>#REF!</v>
          </cell>
          <cell r="AK162">
            <v>0</v>
          </cell>
          <cell r="AL162">
            <v>0</v>
          </cell>
          <cell r="AM162">
            <v>0</v>
          </cell>
          <cell r="AN162" t="e">
            <v>#REF!</v>
          </cell>
          <cell r="AO162">
            <v>1616</v>
          </cell>
          <cell r="AP162" t="e">
            <v>#REF!</v>
          </cell>
          <cell r="AS162">
            <v>2048</v>
          </cell>
        </row>
        <row r="163">
          <cell r="C163">
            <v>0</v>
          </cell>
          <cell r="N163">
            <v>0.20800000000000018</v>
          </cell>
          <cell r="O163">
            <v>0</v>
          </cell>
          <cell r="P163">
            <v>-0.20800000000000018</v>
          </cell>
          <cell r="Q163">
            <v>-0.23600000000000065</v>
          </cell>
          <cell r="R163">
            <v>154</v>
          </cell>
          <cell r="S163">
            <v>154.23599999999999</v>
          </cell>
          <cell r="T163">
            <v>-0.42800000000000082</v>
          </cell>
          <cell r="U163">
            <v>0</v>
          </cell>
          <cell r="V163">
            <v>0</v>
          </cell>
          <cell r="W163">
            <v>79</v>
          </cell>
          <cell r="X163">
            <v>79.427999999999997</v>
          </cell>
          <cell r="Y163">
            <v>6.799999999999784E-2</v>
          </cell>
          <cell r="Z163">
            <v>0</v>
          </cell>
          <cell r="AA163">
            <v>0</v>
          </cell>
          <cell r="AB163">
            <v>86</v>
          </cell>
          <cell r="AC163">
            <v>85.932000000000002</v>
          </cell>
          <cell r="AD163">
            <v>0.28399999999999892</v>
          </cell>
          <cell r="AE163">
            <v>0.28399999999999892</v>
          </cell>
          <cell r="AF163">
            <v>0</v>
          </cell>
          <cell r="AG163">
            <v>30</v>
          </cell>
          <cell r="AH163">
            <v>30</v>
          </cell>
          <cell r="AI163">
            <v>0</v>
          </cell>
          <cell r="AJ163">
            <v>29.716000000000001</v>
          </cell>
          <cell r="AK163">
            <v>0</v>
          </cell>
          <cell r="AL163">
            <v>0</v>
          </cell>
          <cell r="AM163">
            <v>0</v>
          </cell>
          <cell r="AN163" t="e">
            <v>#REF!</v>
          </cell>
          <cell r="AO163">
            <v>0</v>
          </cell>
          <cell r="AP163" t="e">
            <v>#REF!</v>
          </cell>
          <cell r="AS163">
            <v>195</v>
          </cell>
        </row>
        <row r="164">
          <cell r="C164">
            <v>1416.2</v>
          </cell>
          <cell r="N164">
            <v>11176.222727272727</v>
          </cell>
          <cell r="O164">
            <v>2062</v>
          </cell>
          <cell r="P164">
            <v>-9114.2227272727268</v>
          </cell>
          <cell r="Q164">
            <v>22385.220909090909</v>
          </cell>
          <cell r="R164">
            <v>5523</v>
          </cell>
          <cell r="S164">
            <v>-16862.220909090909</v>
          </cell>
          <cell r="T164">
            <v>8424.2482727272745</v>
          </cell>
          <cell r="U164">
            <v>3221</v>
          </cell>
          <cell r="V164">
            <v>5203.2482727272736</v>
          </cell>
          <cell r="W164">
            <v>2210</v>
          </cell>
          <cell r="X164">
            <v>-6214.2482727272745</v>
          </cell>
          <cell r="Y164">
            <v>6912.2272727272721</v>
          </cell>
          <cell r="Z164">
            <v>2495</v>
          </cell>
          <cell r="AA164">
            <v>4417.227272727273</v>
          </cell>
          <cell r="AB164">
            <v>1749</v>
          </cell>
          <cell r="AC164">
            <v>-5163.2272727272721</v>
          </cell>
          <cell r="AD164">
            <v>20329.88636363636</v>
          </cell>
          <cell r="AE164">
            <v>18490.863636363636</v>
          </cell>
          <cell r="AF164">
            <v>1839.0227272727263</v>
          </cell>
          <cell r="AG164">
            <v>4464</v>
          </cell>
          <cell r="AH164">
            <v>3202</v>
          </cell>
          <cell r="AI164">
            <v>427</v>
          </cell>
          <cell r="AJ164">
            <v>-15865.88636363636</v>
          </cell>
          <cell r="AK164">
            <v>0</v>
          </cell>
          <cell r="AL164">
            <v>0</v>
          </cell>
          <cell r="AM164">
            <v>0</v>
          </cell>
          <cell r="AN164" t="e">
            <v>#REF!</v>
          </cell>
          <cell r="AO164">
            <v>0</v>
          </cell>
          <cell r="AP164" t="e">
            <v>#REF!</v>
          </cell>
          <cell r="AS164">
            <v>13703</v>
          </cell>
        </row>
        <row r="165">
          <cell r="C165">
            <v>37</v>
          </cell>
          <cell r="N165">
            <v>24</v>
          </cell>
          <cell r="O165">
            <v>51</v>
          </cell>
          <cell r="P165">
            <v>27</v>
          </cell>
          <cell r="Q165">
            <v>186.06666666666663</v>
          </cell>
          <cell r="R165">
            <v>62</v>
          </cell>
          <cell r="S165">
            <v>-124.06666666666663</v>
          </cell>
          <cell r="T165">
            <v>7992.3333333333339</v>
          </cell>
          <cell r="U165">
            <v>3406</v>
          </cell>
          <cell r="V165">
            <v>4586.3333333333339</v>
          </cell>
          <cell r="W165">
            <v>2464</v>
          </cell>
          <cell r="X165">
            <v>-5528.3333333333339</v>
          </cell>
          <cell r="Y165">
            <v>548.13333333333333</v>
          </cell>
          <cell r="Z165">
            <v>57</v>
          </cell>
          <cell r="AA165">
            <v>101.20000000000002</v>
          </cell>
          <cell r="AB165">
            <v>27</v>
          </cell>
          <cell r="AC165">
            <v>-521.13333333333333</v>
          </cell>
          <cell r="AD165">
            <v>153.6</v>
          </cell>
          <cell r="AE165">
            <v>146</v>
          </cell>
          <cell r="AF165">
            <v>7.6</v>
          </cell>
          <cell r="AG165">
            <v>44</v>
          </cell>
          <cell r="AH165">
            <v>15</v>
          </cell>
          <cell r="AI165">
            <v>29</v>
          </cell>
          <cell r="AJ165">
            <v>-109.6</v>
          </cell>
          <cell r="AK165">
            <v>0</v>
          </cell>
          <cell r="AL165">
            <v>0</v>
          </cell>
          <cell r="AM165">
            <v>0</v>
          </cell>
          <cell r="AN165">
            <v>19</v>
          </cell>
          <cell r="AO165">
            <v>0</v>
          </cell>
          <cell r="AP165">
            <v>8857.5333333333328</v>
          </cell>
          <cell r="AS165">
            <v>2610</v>
          </cell>
        </row>
        <row r="166">
          <cell r="C166">
            <v>7793.7580000000007</v>
          </cell>
          <cell r="N166">
            <v>5722.1093333333374</v>
          </cell>
          <cell r="Q166">
            <v>78586.828333333353</v>
          </cell>
          <cell r="T166">
            <v>18305.244000000013</v>
          </cell>
          <cell r="Y166">
            <v>12965.886666666664</v>
          </cell>
          <cell r="AE166">
            <v>20061.354000000007</v>
          </cell>
          <cell r="AG166">
            <v>2466</v>
          </cell>
          <cell r="AH166">
            <v>2561</v>
          </cell>
          <cell r="AN166" t="e">
            <v>#REF!</v>
          </cell>
          <cell r="AP166" t="e">
            <v>#REF!</v>
          </cell>
        </row>
        <row r="167">
          <cell r="C167" t="e">
            <v>#REF!</v>
          </cell>
          <cell r="N167">
            <v>6372</v>
          </cell>
        </row>
        <row r="168">
          <cell r="C168" t="e">
            <v>#REF!</v>
          </cell>
        </row>
        <row r="169">
          <cell r="C169" t="e">
            <v>#REF!</v>
          </cell>
        </row>
        <row r="170">
          <cell r="AV170">
            <v>1507.2</v>
          </cell>
        </row>
        <row r="173">
          <cell r="C173" t="str">
            <v>АПАРАТ ВСЬОГО</v>
          </cell>
          <cell r="D173" t="str">
            <v>АПАРАТ ЕЛЕКТРО</v>
          </cell>
          <cell r="E173" t="str">
            <v>АПАРАТ ТЕПЛО</v>
          </cell>
          <cell r="N173" t="str">
            <v>ККМ</v>
          </cell>
          <cell r="Q173" t="str">
            <v>КТМ</v>
          </cell>
          <cell r="U173">
            <v>250</v>
          </cell>
          <cell r="Y173" t="str">
            <v>ТЕЦ-6 ВСЬОГО</v>
          </cell>
          <cell r="Z173" t="str">
            <v>Е/Е</v>
          </cell>
          <cell r="AA173" t="str">
            <v xml:space="preserve"> Т/Е</v>
          </cell>
          <cell r="AN173" t="str">
            <v>ДОП.ВИР. СТ.ОРГ.</v>
          </cell>
          <cell r="AP173" t="str">
            <v>АК КЕ ВСЬОГО</v>
          </cell>
          <cell r="AQ173" t="str">
            <v>Е/Е</v>
          </cell>
          <cell r="AR173" t="str">
            <v xml:space="preserve"> Т/Е</v>
          </cell>
          <cell r="AU173" t="str">
            <v>очикуваемАК КЕ ВСЬОГО</v>
          </cell>
          <cell r="AV173" t="str">
            <v>Е/Е</v>
          </cell>
          <cell r="AW173" t="str">
            <v xml:space="preserve"> Т/Е</v>
          </cell>
        </row>
        <row r="174">
          <cell r="C174">
            <v>1.895</v>
          </cell>
          <cell r="N174">
            <v>1.847</v>
          </cell>
          <cell r="Q174">
            <v>1.895</v>
          </cell>
          <cell r="U174">
            <v>1.895</v>
          </cell>
          <cell r="V174">
            <v>1.895</v>
          </cell>
          <cell r="Y174">
            <v>1.895</v>
          </cell>
          <cell r="Z174">
            <v>1.895</v>
          </cell>
          <cell r="AA174">
            <v>1.895</v>
          </cell>
          <cell r="AN174">
            <v>1.895</v>
          </cell>
          <cell r="AP174">
            <v>1.895</v>
          </cell>
          <cell r="AQ174">
            <v>1.895</v>
          </cell>
          <cell r="AU174">
            <v>1.905</v>
          </cell>
          <cell r="AV174">
            <v>1.895</v>
          </cell>
        </row>
        <row r="176">
          <cell r="Q176">
            <v>132.19999999999999</v>
          </cell>
          <cell r="Y176">
            <v>68.7</v>
          </cell>
          <cell r="AP176">
            <v>200.89999999999998</v>
          </cell>
          <cell r="AU176">
            <v>251.12700000000001</v>
          </cell>
        </row>
        <row r="177">
          <cell r="Q177">
            <v>150.5</v>
          </cell>
          <cell r="U177">
            <v>150.5</v>
          </cell>
          <cell r="Y177">
            <v>78.3</v>
          </cell>
          <cell r="AP177">
            <v>228.8</v>
          </cell>
          <cell r="AU177">
            <v>288.28500000000003</v>
          </cell>
        </row>
        <row r="178">
          <cell r="N178">
            <v>0</v>
          </cell>
          <cell r="Q178">
            <v>82.5</v>
          </cell>
          <cell r="U178">
            <v>82.5</v>
          </cell>
          <cell r="Y178">
            <v>82.5</v>
          </cell>
          <cell r="AP178">
            <v>82.5</v>
          </cell>
          <cell r="AU178">
            <v>66</v>
          </cell>
        </row>
        <row r="179">
          <cell r="N179">
            <v>0</v>
          </cell>
          <cell r="Q179">
            <v>156.34</v>
          </cell>
          <cell r="U179">
            <v>156.34</v>
          </cell>
          <cell r="Y179">
            <v>156.34</v>
          </cell>
          <cell r="AP179">
            <v>156.34</v>
          </cell>
          <cell r="AU179">
            <v>125.73</v>
          </cell>
        </row>
        <row r="180">
          <cell r="Q180">
            <v>20668</v>
          </cell>
          <cell r="U180">
            <v>0</v>
          </cell>
          <cell r="Y180">
            <v>10741</v>
          </cell>
          <cell r="AP180">
            <v>31409</v>
          </cell>
          <cell r="AU180">
            <v>31574</v>
          </cell>
        </row>
        <row r="181">
          <cell r="AP181">
            <v>31409</v>
          </cell>
          <cell r="AU181" t="e">
            <v>#REF!</v>
          </cell>
        </row>
        <row r="182">
          <cell r="Q182">
            <v>0</v>
          </cell>
          <cell r="U182">
            <v>0</v>
          </cell>
          <cell r="Y182">
            <v>52.1</v>
          </cell>
          <cell r="AP182">
            <v>52.1</v>
          </cell>
          <cell r="AU182">
            <v>67.933000000000007</v>
          </cell>
        </row>
        <row r="183">
          <cell r="Q183">
            <v>0</v>
          </cell>
          <cell r="U183">
            <v>0</v>
          </cell>
          <cell r="Y183">
            <v>71.3</v>
          </cell>
          <cell r="AP183">
            <v>71.3</v>
          </cell>
          <cell r="AU183">
            <v>91.201999999999998</v>
          </cell>
        </row>
        <row r="184">
          <cell r="C184">
            <v>75</v>
          </cell>
          <cell r="N184">
            <v>75</v>
          </cell>
          <cell r="AN184">
            <v>0</v>
          </cell>
          <cell r="AP184">
            <v>98.96042216358839</v>
          </cell>
          <cell r="AU184">
            <v>98.96042216358839</v>
          </cell>
        </row>
        <row r="185">
          <cell r="Q185">
            <v>187.53</v>
          </cell>
          <cell r="U185">
            <v>0</v>
          </cell>
          <cell r="Y185">
            <v>187.53</v>
          </cell>
          <cell r="AP185">
            <v>187.53</v>
          </cell>
          <cell r="AU185">
            <v>187.53</v>
          </cell>
        </row>
        <row r="186">
          <cell r="Q186">
            <v>0</v>
          </cell>
          <cell r="T186">
            <v>0</v>
          </cell>
          <cell r="Y186">
            <v>9770</v>
          </cell>
          <cell r="AP186">
            <v>9770</v>
          </cell>
          <cell r="AU186">
            <v>12739</v>
          </cell>
        </row>
        <row r="187">
          <cell r="AP187">
            <v>9770</v>
          </cell>
          <cell r="AU187" t="e">
            <v>#REF!</v>
          </cell>
        </row>
        <row r="188">
          <cell r="Q188">
            <v>150.5</v>
          </cell>
          <cell r="T188">
            <v>0</v>
          </cell>
          <cell r="U188">
            <v>51.4</v>
          </cell>
          <cell r="V188">
            <v>-51.4</v>
          </cell>
          <cell r="Y188">
            <v>149.6</v>
          </cell>
          <cell r="Z188">
            <v>52.7</v>
          </cell>
          <cell r="AA188">
            <v>96.899999999999991</v>
          </cell>
          <cell r="AP188">
            <v>300.10000000000002</v>
          </cell>
          <cell r="AQ188">
            <v>104.1</v>
          </cell>
          <cell r="AR188">
            <v>196</v>
          </cell>
          <cell r="AU188">
            <v>379.48700000000002</v>
          </cell>
          <cell r="AV188">
            <v>83.676000000000002</v>
          </cell>
          <cell r="AW188">
            <v>295.81100000000004</v>
          </cell>
        </row>
        <row r="189">
          <cell r="Q189">
            <v>20668</v>
          </cell>
          <cell r="T189">
            <v>0</v>
          </cell>
          <cell r="U189" t="e">
            <v>#DIV/0!</v>
          </cell>
          <cell r="V189" t="e">
            <v>#DIV/0!</v>
          </cell>
          <cell r="Y189">
            <v>20511</v>
          </cell>
          <cell r="Z189">
            <v>7225</v>
          </cell>
          <cell r="AA189">
            <v>13286</v>
          </cell>
          <cell r="AP189" t="e">
            <v>#DIV/0!</v>
          </cell>
          <cell r="AQ189" t="e">
            <v>#DIV/0!</v>
          </cell>
          <cell r="AR189" t="e">
            <v>#DIV/0!</v>
          </cell>
          <cell r="AU189">
            <v>44313</v>
          </cell>
          <cell r="AV189">
            <v>9770.9133329995493</v>
          </cell>
          <cell r="AW189">
            <v>34542.086667000447</v>
          </cell>
        </row>
        <row r="190">
          <cell r="Q190">
            <v>137.33000000000001</v>
          </cell>
          <cell r="T190" t="e">
            <v>#DIV/0!</v>
          </cell>
          <cell r="U190" t="e">
            <v>#DIV/0!</v>
          </cell>
          <cell r="V190" t="e">
            <v>#DIV/0!</v>
          </cell>
          <cell r="Y190">
            <v>137.11000000000001</v>
          </cell>
          <cell r="Z190">
            <v>137.1</v>
          </cell>
          <cell r="AA190">
            <v>137.11000000000001</v>
          </cell>
          <cell r="AN190" t="str">
            <v/>
          </cell>
          <cell r="AP190" t="e">
            <v>#DIV/0!</v>
          </cell>
          <cell r="AQ190" t="e">
            <v>#DIV/0!</v>
          </cell>
          <cell r="AR190" t="e">
            <v>#DIV/0!</v>
          </cell>
          <cell r="AU190">
            <v>116.77</v>
          </cell>
          <cell r="AV190">
            <v>116.77</v>
          </cell>
          <cell r="AW190">
            <v>116.77</v>
          </cell>
        </row>
        <row r="191">
          <cell r="AP191">
            <v>0</v>
          </cell>
          <cell r="AQ191">
            <v>0</v>
          </cell>
          <cell r="AR191">
            <v>0</v>
          </cell>
          <cell r="AU191">
            <v>0</v>
          </cell>
          <cell r="AV191">
            <v>0</v>
          </cell>
          <cell r="AW191">
            <v>0</v>
          </cell>
        </row>
        <row r="192">
          <cell r="T192" t="e">
            <v>#DIV/0!</v>
          </cell>
          <cell r="Y192">
            <v>20511</v>
          </cell>
          <cell r="AP192" t="e">
            <v>#DIV/0!</v>
          </cell>
          <cell r="AQ192" t="e">
            <v>#DIV/0!</v>
          </cell>
          <cell r="AR192" t="e">
            <v>#DIV/0!</v>
          </cell>
          <cell r="AU192">
            <v>44313</v>
          </cell>
          <cell r="AV192">
            <v>9770.9133329995493</v>
          </cell>
          <cell r="AW192">
            <v>34542.086667000447</v>
          </cell>
        </row>
        <row r="195">
          <cell r="T195" t="str">
            <v>ТЕЦ-5 ВСЬОГО</v>
          </cell>
          <cell r="U195" t="str">
            <v>Е/Е</v>
          </cell>
          <cell r="V195" t="str">
            <v xml:space="preserve"> Т/Е</v>
          </cell>
          <cell r="Y195" t="str">
            <v>ТЕЦ-6 ВСЬОГО</v>
          </cell>
          <cell r="Z195" t="str">
            <v>Е/Е</v>
          </cell>
          <cell r="AA195" t="str">
            <v xml:space="preserve"> Т/Е</v>
          </cell>
          <cell r="AP195" t="str">
            <v>АК КЕ ВСЬОГО</v>
          </cell>
          <cell r="AQ195" t="str">
            <v>Е/Е</v>
          </cell>
          <cell r="AR195" t="str">
            <v xml:space="preserve"> Т/Е</v>
          </cell>
        </row>
        <row r="196">
          <cell r="U196">
            <v>291.85000000000002</v>
          </cell>
          <cell r="V196">
            <v>750</v>
          </cell>
          <cell r="Z196">
            <v>268.14999999999998</v>
          </cell>
          <cell r="AA196">
            <v>590</v>
          </cell>
        </row>
        <row r="197">
          <cell r="U197">
            <v>176.1</v>
          </cell>
          <cell r="V197">
            <v>163.6</v>
          </cell>
          <cell r="Z197">
            <v>196.5</v>
          </cell>
          <cell r="AA197">
            <v>164.2</v>
          </cell>
        </row>
        <row r="198">
          <cell r="U198">
            <v>306.60000000000002</v>
          </cell>
          <cell r="V198">
            <v>112.8</v>
          </cell>
          <cell r="Z198">
            <v>301.89999999999998</v>
          </cell>
          <cell r="AA198">
            <v>116.3</v>
          </cell>
        </row>
        <row r="199">
          <cell r="U199">
            <v>130.50000000000003</v>
          </cell>
          <cell r="V199">
            <v>-50.8</v>
          </cell>
          <cell r="Z199">
            <v>105.39999999999998</v>
          </cell>
          <cell r="AA199">
            <v>-47.899999999999991</v>
          </cell>
        </row>
        <row r="200">
          <cell r="U200" t="e">
            <v>#DIV/0!</v>
          </cell>
          <cell r="V200" t="e">
            <v>#DIV/0!</v>
          </cell>
          <cell r="Z200">
            <v>137.1</v>
          </cell>
          <cell r="AA200">
            <v>137.11000000000001</v>
          </cell>
        </row>
        <row r="201">
          <cell r="U201" t="e">
            <v>#DIV/0!</v>
          </cell>
          <cell r="V201" t="e">
            <v>#DIV/0!</v>
          </cell>
          <cell r="Z201">
            <v>14.450339999999997</v>
          </cell>
          <cell r="AA201">
            <v>-6.5675689999999998</v>
          </cell>
        </row>
        <row r="202">
          <cell r="U202" t="e">
            <v>#DIV/0!</v>
          </cell>
          <cell r="V202" t="e">
            <v>#DIV/0!</v>
          </cell>
          <cell r="Z202">
            <v>3874.858670999999</v>
          </cell>
          <cell r="AA202">
            <v>-3874.86571</v>
          </cell>
          <cell r="AQ202" t="e">
            <v>#DIV/0!</v>
          </cell>
          <cell r="AR202" t="e">
            <v>#DIV/0!</v>
          </cell>
        </row>
        <row r="204">
          <cell r="AV204">
            <v>1507.2</v>
          </cell>
        </row>
        <row r="218">
          <cell r="Y218" t="str">
            <v>ЗАТВЕРДЖУЮ</v>
          </cell>
        </row>
        <row r="219">
          <cell r="Y219" t="str">
            <v>ГОЛОВА ПРАЛІННЯ АК КЕ</v>
          </cell>
        </row>
        <row r="220">
          <cell r="Z220" t="str">
            <v>І.В.ПЛАЧКОВ</v>
          </cell>
        </row>
        <row r="221">
          <cell r="C221" t="str">
            <v>ПОТРЕБА   В КОШТАХ НА  1 КВАРТАЛ 1998 року</v>
          </cell>
        </row>
        <row r="222">
          <cell r="C222" t="str">
            <v>ПО ФІЛІАЛАХ АК КИЇВЕНЕРГО</v>
          </cell>
        </row>
        <row r="224">
          <cell r="C224" t="str">
            <v>ВИКОН.ДИР.</v>
          </cell>
          <cell r="D224" t="str">
            <v>АПАРАТ ЕЛЕКТРО</v>
          </cell>
          <cell r="E224" t="str">
            <v>АПАРАТ ТЕПЛО</v>
          </cell>
          <cell r="N224" t="str">
            <v>ККМ</v>
          </cell>
          <cell r="Q224" t="str">
            <v>КТМ</v>
          </cell>
          <cell r="T224" t="str">
            <v>ТЕЦ-5 ВСЬОГО</v>
          </cell>
          <cell r="U224" t="str">
            <v>Е/Е</v>
          </cell>
          <cell r="V224" t="str">
            <v xml:space="preserve"> Т/Е</v>
          </cell>
          <cell r="Y224" t="str">
            <v>ТЕЦ-6 ВСЬОГО</v>
          </cell>
          <cell r="Z224" t="str">
            <v>Е/Е</v>
          </cell>
          <cell r="AA224" t="str">
            <v xml:space="preserve"> Т/Е</v>
          </cell>
          <cell r="AN224" t="str">
            <v>ДОП.ВИР. СТ.ОРГ.</v>
          </cell>
          <cell r="AP224" t="str">
            <v>АК КЕ ВСЬОГО</v>
          </cell>
          <cell r="AQ224" t="str">
            <v>Е/Е</v>
          </cell>
          <cell r="AR224" t="str">
            <v xml:space="preserve"> Т/Е</v>
          </cell>
          <cell r="AU224" t="str">
            <v>СТАНЦІї ЕЛЕКТРО</v>
          </cell>
          <cell r="AV224" t="str">
            <v>СТАНЦІІ ТЕПЛОВІ</v>
          </cell>
          <cell r="AW224" t="str">
            <v>МЕРЕЖІ ЕЛЕКТРО</v>
          </cell>
          <cell r="AX224" t="str">
            <v>МЕРЕЖІ ТЕПЛОВІ</v>
          </cell>
        </row>
        <row r="227">
          <cell r="C227" t="e">
            <v>#REF!</v>
          </cell>
          <cell r="N227" t="e">
            <v>#REF!</v>
          </cell>
          <cell r="Q227">
            <v>86041.709363636386</v>
          </cell>
          <cell r="T227">
            <v>39612.645787878799</v>
          </cell>
          <cell r="Y227" t="e">
            <v>#REF!</v>
          </cell>
          <cell r="AN227" t="e">
            <v>#REF!</v>
          </cell>
          <cell r="AP227" t="e">
            <v>#REF!</v>
          </cell>
          <cell r="AQ227" t="e">
            <v>#REF!</v>
          </cell>
        </row>
        <row r="228">
          <cell r="C228" t="e">
            <v>#REF!</v>
          </cell>
          <cell r="N228" t="e">
            <v>#REF!</v>
          </cell>
          <cell r="Q228">
            <v>34634.131121212144</v>
          </cell>
          <cell r="T228">
            <v>21030.919515151523</v>
          </cell>
          <cell r="Y228" t="e">
            <v>#REF!</v>
          </cell>
          <cell r="AP228" t="e">
            <v>#REF!</v>
          </cell>
          <cell r="AQ228" t="e">
            <v>#REF!</v>
          </cell>
        </row>
        <row r="230">
          <cell r="C230">
            <v>1416.2</v>
          </cell>
          <cell r="N230">
            <v>11176.222727272727</v>
          </cell>
          <cell r="Q230">
            <v>22385.220909090909</v>
          </cell>
          <cell r="T230">
            <v>8424.2482727272745</v>
          </cell>
          <cell r="Y230">
            <v>6912.2272727272721</v>
          </cell>
          <cell r="AN230" t="e">
            <v>#REF!</v>
          </cell>
          <cell r="AP230" t="e">
            <v>#REF!</v>
          </cell>
          <cell r="AQ230" t="e">
            <v>#REF!</v>
          </cell>
        </row>
        <row r="231">
          <cell r="C231">
            <v>426.54545454545456</v>
          </cell>
          <cell r="N231">
            <v>3769</v>
          </cell>
          <cell r="Q231">
            <v>6104</v>
          </cell>
          <cell r="T231">
            <v>2297</v>
          </cell>
          <cell r="Y231">
            <v>1885</v>
          </cell>
          <cell r="AP231" t="e">
            <v>#REF!</v>
          </cell>
          <cell r="AQ231" t="e">
            <v>#REF!</v>
          </cell>
        </row>
        <row r="232">
          <cell r="AQ232" t="e">
            <v>#REF!</v>
          </cell>
        </row>
        <row r="233">
          <cell r="C233">
            <v>0</v>
          </cell>
          <cell r="N233">
            <v>0</v>
          </cell>
          <cell r="Q233">
            <v>176.46666666666664</v>
          </cell>
          <cell r="T233">
            <v>7822.4000000000005</v>
          </cell>
          <cell r="Y233">
            <v>158.20000000000002</v>
          </cell>
          <cell r="AP233">
            <v>8161.0666666666666</v>
          </cell>
          <cell r="AQ233" t="e">
            <v>#REF!</v>
          </cell>
        </row>
        <row r="234">
          <cell r="C234">
            <v>0</v>
          </cell>
          <cell r="N234">
            <v>0</v>
          </cell>
          <cell r="Q234">
            <v>0</v>
          </cell>
          <cell r="T234">
            <v>0</v>
          </cell>
          <cell r="Y234">
            <v>0</v>
          </cell>
          <cell r="AP234">
            <v>19</v>
          </cell>
          <cell r="AQ234" t="e">
            <v>#REF!</v>
          </cell>
        </row>
        <row r="235">
          <cell r="C235">
            <v>609</v>
          </cell>
          <cell r="N235">
            <v>0</v>
          </cell>
          <cell r="Q235">
            <v>526.04999999999995</v>
          </cell>
          <cell r="T235">
            <v>0</v>
          </cell>
          <cell r="Y235">
            <v>0</v>
          </cell>
          <cell r="AP235" t="e">
            <v>#REF!</v>
          </cell>
          <cell r="AQ235" t="e">
            <v>#REF!</v>
          </cell>
        </row>
        <row r="236">
          <cell r="AQ236" t="e">
            <v>#REF!</v>
          </cell>
        </row>
        <row r="237">
          <cell r="C237">
            <v>-1122</v>
          </cell>
          <cell r="N237">
            <v>15020</v>
          </cell>
          <cell r="Q237">
            <v>1739.5839999999998</v>
          </cell>
          <cell r="T237">
            <v>2718</v>
          </cell>
          <cell r="Y237">
            <v>1694</v>
          </cell>
          <cell r="AP237" t="e">
            <v>#REF!</v>
          </cell>
          <cell r="AQ237" t="e">
            <v>#REF!</v>
          </cell>
        </row>
        <row r="238">
          <cell r="C238">
            <v>916.24199999999996</v>
          </cell>
          <cell r="N238">
            <v>0</v>
          </cell>
          <cell r="Q238">
            <v>0</v>
          </cell>
          <cell r="T238">
            <v>0</v>
          </cell>
          <cell r="Y238">
            <v>0</v>
          </cell>
          <cell r="AP238">
            <v>0</v>
          </cell>
          <cell r="AQ238" t="e">
            <v>#REF!</v>
          </cell>
        </row>
        <row r="239">
          <cell r="AQ239" t="e">
            <v>#REF!</v>
          </cell>
        </row>
        <row r="240">
          <cell r="C240" t="e">
            <v>#REF!</v>
          </cell>
          <cell r="N240" t="e">
            <v>#REF!</v>
          </cell>
          <cell r="Q240">
            <v>776</v>
          </cell>
          <cell r="T240">
            <v>0</v>
          </cell>
          <cell r="Y240" t="e">
            <v>#REF!</v>
          </cell>
          <cell r="AP240" t="e">
            <v>#REF!</v>
          </cell>
          <cell r="AQ240" t="e">
            <v>#REF!</v>
          </cell>
        </row>
        <row r="241">
          <cell r="AQ241" t="e">
            <v>#REF!</v>
          </cell>
        </row>
        <row r="242">
          <cell r="AQ242" t="e">
            <v>#REF!</v>
          </cell>
        </row>
        <row r="243">
          <cell r="C243">
            <v>1252</v>
          </cell>
          <cell r="N243">
            <v>3964</v>
          </cell>
          <cell r="Q243">
            <v>7771</v>
          </cell>
          <cell r="T243">
            <v>1077.2586666666666</v>
          </cell>
          <cell r="Y243">
            <v>917.22533333333331</v>
          </cell>
          <cell r="AP243">
            <v>19218.366500142667</v>
          </cell>
          <cell r="AQ243" t="e">
            <v>#REF!</v>
          </cell>
        </row>
        <row r="244">
          <cell r="C244">
            <v>521</v>
          </cell>
          <cell r="N244">
            <v>143</v>
          </cell>
          <cell r="Q244">
            <v>963</v>
          </cell>
          <cell r="T244">
            <v>492.62666666666667</v>
          </cell>
          <cell r="Y244">
            <v>480.78399999999999</v>
          </cell>
          <cell r="AP244">
            <v>2816.6078749021572</v>
          </cell>
          <cell r="AQ244" t="e">
            <v>#REF!</v>
          </cell>
        </row>
        <row r="245">
          <cell r="AQ245" t="e">
            <v>#REF!</v>
          </cell>
        </row>
        <row r="246">
          <cell r="C246">
            <v>2</v>
          </cell>
          <cell r="N246">
            <v>1</v>
          </cell>
          <cell r="Q246">
            <v>0</v>
          </cell>
          <cell r="T246">
            <v>285.19266666666664</v>
          </cell>
          <cell r="Y246">
            <v>-46.472000000000008</v>
          </cell>
          <cell r="AP246">
            <v>241.72066666666663</v>
          </cell>
          <cell r="AQ246" t="e">
            <v>#REF!</v>
          </cell>
        </row>
        <row r="247">
          <cell r="C247">
            <v>67</v>
          </cell>
          <cell r="N247">
            <v>439.28600000000006</v>
          </cell>
          <cell r="Q247">
            <v>19570.890666666666</v>
          </cell>
          <cell r="T247">
            <v>0</v>
          </cell>
          <cell r="Y247">
            <v>0</v>
          </cell>
          <cell r="AP247">
            <v>23495.848666666665</v>
          </cell>
          <cell r="AQ247" t="e">
            <v>#REF!</v>
          </cell>
        </row>
        <row r="248">
          <cell r="C248">
            <v>0</v>
          </cell>
          <cell r="N248">
            <v>0</v>
          </cell>
          <cell r="Q248">
            <v>0</v>
          </cell>
          <cell r="T248">
            <v>0</v>
          </cell>
          <cell r="Y248">
            <v>0</v>
          </cell>
          <cell r="AP248">
            <v>658.33066666666662</v>
          </cell>
          <cell r="AQ248" t="e">
            <v>#REF!</v>
          </cell>
        </row>
        <row r="249">
          <cell r="C249">
            <v>948</v>
          </cell>
          <cell r="N249">
            <v>0</v>
          </cell>
          <cell r="Q249">
            <v>0</v>
          </cell>
          <cell r="T249">
            <v>0</v>
          </cell>
          <cell r="Y249">
            <v>18</v>
          </cell>
          <cell r="AP249">
            <v>966</v>
          </cell>
          <cell r="AQ249" t="e">
            <v>#REF!</v>
          </cell>
        </row>
        <row r="250">
          <cell r="C250">
            <v>0</v>
          </cell>
          <cell r="N250">
            <v>0.20800000000000018</v>
          </cell>
          <cell r="Q250">
            <v>0.76399999999998158</v>
          </cell>
          <cell r="T250">
            <v>-0.42800000000000082</v>
          </cell>
          <cell r="Y250">
            <v>6.799999999999784E-2</v>
          </cell>
          <cell r="AP250" t="e">
            <v>#REF!</v>
          </cell>
          <cell r="AQ250" t="e">
            <v>#REF!</v>
          </cell>
        </row>
        <row r="251">
          <cell r="C251">
            <v>0</v>
          </cell>
          <cell r="N251">
            <v>0.19200000000000017</v>
          </cell>
          <cell r="Q251">
            <v>-0.32000000000000028</v>
          </cell>
          <cell r="T251">
            <v>-0.3360000000000003</v>
          </cell>
          <cell r="Y251">
            <v>0.28000000000000114</v>
          </cell>
          <cell r="AP251" t="e">
            <v>#REF!</v>
          </cell>
          <cell r="AQ251" t="e">
            <v>#REF!</v>
          </cell>
        </row>
        <row r="252">
          <cell r="C252" t="e">
            <v>#REF!</v>
          </cell>
          <cell r="N252" t="e">
            <v>#REF!</v>
          </cell>
          <cell r="Q252">
            <v>31592.053121212139</v>
          </cell>
          <cell r="T252">
            <v>18313.683515151522</v>
          </cell>
          <cell r="Y252" t="e">
            <v>#REF!</v>
          </cell>
          <cell r="AP252" t="e">
            <v>#REF!</v>
          </cell>
          <cell r="AQ252" t="e">
            <v>#REF!</v>
          </cell>
        </row>
        <row r="253">
          <cell r="Q253">
            <v>541</v>
          </cell>
          <cell r="T253">
            <v>480</v>
          </cell>
          <cell r="Y253">
            <v>44</v>
          </cell>
          <cell r="AP253">
            <v>524</v>
          </cell>
          <cell r="AQ253" t="e">
            <v>#REF!</v>
          </cell>
        </row>
        <row r="293">
          <cell r="T293" t="str">
            <v>Собівартість</v>
          </cell>
        </row>
        <row r="294">
          <cell r="V294">
            <v>-25</v>
          </cell>
        </row>
        <row r="295">
          <cell r="V295">
            <v>-1.375</v>
          </cell>
        </row>
        <row r="296">
          <cell r="V296">
            <v>-8</v>
          </cell>
        </row>
        <row r="297">
          <cell r="V297">
            <v>-2.1590909090909096</v>
          </cell>
        </row>
        <row r="303">
          <cell r="T303" t="str">
            <v>ФМЗ ( з відрахуван)</v>
          </cell>
          <cell r="V303">
            <v>25</v>
          </cell>
        </row>
      </sheetData>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 sheetId="67" refreshError="1"/>
      <sheetData sheetId="68" refreshError="1"/>
      <sheetData sheetId="69" refreshError="1"/>
      <sheetData sheetId="70" refreshError="1"/>
      <sheetData sheetId="71">
        <row r="1">
          <cell r="L1" t="str">
            <v>п</v>
          </cell>
        </row>
      </sheetData>
      <sheetData sheetId="72"/>
      <sheetData sheetId="73"/>
      <sheetData sheetId="74"/>
      <sheetData sheetId="75" refreshError="1"/>
      <sheetData sheetId="76" refreshError="1"/>
      <sheetData sheetId="77" refreshError="1"/>
      <sheetData sheetId="78" refreshError="1"/>
      <sheetData sheetId="79" refreshError="1"/>
      <sheetData sheetId="80" refreshError="1"/>
      <sheetData sheetId="81" refreshError="1"/>
      <sheetData sheetId="82" refreshError="1"/>
      <sheetData sheetId="83" refreshError="1"/>
      <sheetData sheetId="84" refreshError="1"/>
      <sheetData sheetId="85" refreshError="1"/>
      <sheetData sheetId="86" refreshError="1"/>
      <sheetData sheetId="87" refreshError="1"/>
      <sheetData sheetId="88" refreshError="1"/>
    </sheetDataSet>
  </externalBook>
</externalLink>
</file>

<file path=xl/externalLinks/externalLink1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812"/>
      <sheetName val="рік"/>
    </sheetNames>
    <sheetDataSet>
      <sheetData sheetId="0">
        <row r="2">
          <cell r="E2" t="str">
            <v xml:space="preserve"> ДАРНИЦКАЯ ТЭЦ</v>
          </cell>
        </row>
      </sheetData>
      <sheetData sheetId="1"/>
      <sheetData sheetId="2"/>
      <sheetData sheetId="3"/>
      <sheetData sheetId="4"/>
      <sheetData sheetId="5"/>
      <sheetData sheetId="6"/>
      <sheetData sheetId="7"/>
      <sheetData sheetId="8" refreshError="1"/>
      <sheetData sheetId="9" refreshError="1"/>
    </sheetDataSet>
  </externalBook>
</externalLink>
</file>

<file path=xl/externalLinks/externalLink1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Ф2"/>
      <sheetName val="1_структура по елементах"/>
    </sheetNames>
    <sheetDataSet>
      <sheetData sheetId="0"/>
      <sheetData sheetId="1"/>
      <sheetData sheetId="2"/>
      <sheetData sheetId="3"/>
      <sheetData sheetId="4">
        <row r="1">
          <cell r="D1" t="str">
            <v>ПЛАН  ВИТРАТ  НА  ПЕРЕДАЧУ  ЕЛЕКТРОЕНЕРГІЇ</v>
          </cell>
        </row>
      </sheetData>
      <sheetData sheetId="5"/>
      <sheetData sheetId="6"/>
      <sheetData sheetId="7"/>
      <sheetData sheetId="8"/>
      <sheetData sheetId="9"/>
      <sheetData sheetId="10"/>
      <sheetData sheetId="11"/>
      <sheetData sheetId="12"/>
      <sheetData sheetId="13"/>
      <sheetData sheetId="14" refreshError="1"/>
      <sheetData sheetId="15"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 val="Д 8_Паливо"/>
      <sheetName val="812"/>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 sheetId="9" refreshError="1"/>
      <sheetData sheetId="10" refreshError="1"/>
    </sheetDataSet>
  </externalBook>
</externalLink>
</file>

<file path=xl/externalLinks/externalLink2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Д (анал)"/>
      <sheetName val="м_812"/>
      <sheetName val="Ini"/>
    </sheetNames>
    <sheetDataSet>
      <sheetData sheetId="0"/>
      <sheetData sheetId="1" refreshError="1"/>
      <sheetData sheetId="2" refreshError="1"/>
    </sheetDataSet>
  </externalBook>
</externalLink>
</file>

<file path=xl/externalLinks/externalLink2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У_З"/>
      <sheetName val="У_П"/>
      <sheetName val="О"/>
      <sheetName val="Рахувалочко"/>
      <sheetName val="Коригування"/>
      <sheetName val="НС"/>
      <sheetName val="ЗД"/>
      <sheetName val="ВСписки"/>
      <sheetName val="Енергоресурси"/>
      <sheetName val="середня номінальна зп 2013"/>
      <sheetName val="Розрахунок"/>
      <sheetName val="Б_П"/>
      <sheetName val="Лист1"/>
    </sheetNames>
    <sheetDataSet>
      <sheetData sheetId="0" refreshError="1"/>
      <sheetData sheetId="1" refreshError="1"/>
      <sheetData sheetId="2" refreshError="1"/>
      <sheetData sheetId="3" refreshError="1"/>
      <sheetData sheetId="4">
        <row r="9">
          <cell r="A9" t="str">
            <v>м. Бердичів</v>
          </cell>
          <cell r="W9">
            <v>177.34</v>
          </cell>
          <cell r="AF9">
            <v>39639</v>
          </cell>
          <cell r="AG9" t="str">
            <v>№ 25/1992-167</v>
          </cell>
          <cell r="AH9">
            <v>184.1428624282247</v>
          </cell>
          <cell r="AM9">
            <v>135144</v>
          </cell>
          <cell r="AO9">
            <v>23966436.960000001</v>
          </cell>
          <cell r="AQ9">
            <v>24885803</v>
          </cell>
          <cell r="AU9">
            <v>0</v>
          </cell>
          <cell r="AW9">
            <v>163548</v>
          </cell>
          <cell r="AY9">
            <v>16286252.71944</v>
          </cell>
          <cell r="AZ9">
            <v>120.51036464393536</v>
          </cell>
          <cell r="BA9">
            <v>0</v>
          </cell>
          <cell r="BB9">
            <v>0</v>
          </cell>
          <cell r="BC9">
            <v>0</v>
          </cell>
          <cell r="BD9">
            <v>0</v>
          </cell>
          <cell r="BG9">
            <v>0</v>
          </cell>
          <cell r="BH9">
            <v>0</v>
          </cell>
          <cell r="BI9">
            <v>2777481</v>
          </cell>
          <cell r="BJ9">
            <v>20.552011188066064</v>
          </cell>
          <cell r="BK9">
            <v>0</v>
          </cell>
          <cell r="BL9">
            <v>0</v>
          </cell>
          <cell r="BM9">
            <v>4078967</v>
          </cell>
          <cell r="BN9">
            <v>30.182375836145148</v>
          </cell>
          <cell r="BO9">
            <v>0</v>
          </cell>
          <cell r="BP9">
            <v>0</v>
          </cell>
          <cell r="BY9">
            <v>1190.72</v>
          </cell>
          <cell r="CF9">
            <v>22392.142</v>
          </cell>
          <cell r="CG9">
            <v>727.32</v>
          </cell>
          <cell r="CJ9">
            <v>0</v>
          </cell>
          <cell r="CK9">
            <v>0</v>
          </cell>
          <cell r="CL9">
            <v>0</v>
          </cell>
          <cell r="CM9">
            <v>1062</v>
          </cell>
          <cell r="CN9">
            <v>154</v>
          </cell>
          <cell r="CO9">
            <v>154</v>
          </cell>
          <cell r="CX9">
            <v>0</v>
          </cell>
          <cell r="CY9">
            <v>0</v>
          </cell>
          <cell r="DB9">
            <v>0</v>
          </cell>
          <cell r="DC9">
            <v>0</v>
          </cell>
          <cell r="DJ9" t="str">
            <v>НКРЕ</v>
          </cell>
          <cell r="DL9">
            <v>40526</v>
          </cell>
          <cell r="DM9" t="str">
            <v>№ 1821</v>
          </cell>
          <cell r="DO9" t="str">
            <v>на теплову енергію</v>
          </cell>
          <cell r="DT9">
            <v>221.66</v>
          </cell>
        </row>
        <row r="10">
          <cell r="W10">
            <v>452.61</v>
          </cell>
          <cell r="AF10">
            <v>39967</v>
          </cell>
          <cell r="AG10" t="str">
            <v>№ 25/475-40</v>
          </cell>
          <cell r="AH10">
            <v>418.06525188417294</v>
          </cell>
          <cell r="AM10">
            <v>35294</v>
          </cell>
          <cell r="AO10">
            <v>15974417.34</v>
          </cell>
          <cell r="AQ10">
            <v>14755195</v>
          </cell>
          <cell r="AU10">
            <v>0</v>
          </cell>
          <cell r="AW10">
            <v>24178</v>
          </cell>
          <cell r="AY10">
            <v>12535686.501250001</v>
          </cell>
          <cell r="AZ10">
            <v>355.17896813197711</v>
          </cell>
          <cell r="BA10">
            <v>0</v>
          </cell>
          <cell r="BB10">
            <v>0</v>
          </cell>
          <cell r="BC10">
            <v>0</v>
          </cell>
          <cell r="BD10">
            <v>0</v>
          </cell>
          <cell r="BG10">
            <v>0</v>
          </cell>
          <cell r="BH10">
            <v>0</v>
          </cell>
          <cell r="BI10">
            <v>727792</v>
          </cell>
          <cell r="BJ10">
            <v>20.620842069473564</v>
          </cell>
          <cell r="BK10">
            <v>0</v>
          </cell>
          <cell r="BL10">
            <v>0</v>
          </cell>
          <cell r="BM10">
            <v>1065247</v>
          </cell>
          <cell r="BN10">
            <v>30.182098940329801</v>
          </cell>
          <cell r="BO10">
            <v>0</v>
          </cell>
          <cell r="BP10">
            <v>0</v>
          </cell>
          <cell r="BY10">
            <v>1190.72</v>
          </cell>
          <cell r="CF10">
            <v>5851.6450000000004</v>
          </cell>
          <cell r="CG10">
            <v>2142.25</v>
          </cell>
          <cell r="CJ10">
            <v>0</v>
          </cell>
          <cell r="CK10">
            <v>0</v>
          </cell>
          <cell r="CL10">
            <v>0</v>
          </cell>
          <cell r="CM10">
            <v>157</v>
          </cell>
          <cell r="CN10">
            <v>154</v>
          </cell>
          <cell r="CO10">
            <v>271.11</v>
          </cell>
          <cell r="CX10">
            <v>0</v>
          </cell>
          <cell r="CY10">
            <v>0</v>
          </cell>
          <cell r="DB10">
            <v>0</v>
          </cell>
          <cell r="DC10">
            <v>0</v>
          </cell>
          <cell r="DJ10" t="str">
            <v>НКРКП</v>
          </cell>
          <cell r="DL10">
            <v>40816</v>
          </cell>
          <cell r="DM10">
            <v>126</v>
          </cell>
          <cell r="DT10">
            <v>720.02</v>
          </cell>
        </row>
        <row r="11">
          <cell r="W11">
            <v>458.54</v>
          </cell>
          <cell r="AF11">
            <v>39967</v>
          </cell>
          <cell r="AG11" t="str">
            <v>№ 25/475-41</v>
          </cell>
          <cell r="AH11">
            <v>423.98929254302101</v>
          </cell>
          <cell r="AM11">
            <v>10460</v>
          </cell>
          <cell r="AO11">
            <v>4796328.4000000004</v>
          </cell>
          <cell r="AQ11">
            <v>4434928</v>
          </cell>
          <cell r="AU11">
            <v>0</v>
          </cell>
          <cell r="AW11">
            <v>5236</v>
          </cell>
          <cell r="AY11">
            <v>3778750.4586000005</v>
          </cell>
          <cell r="AZ11">
            <v>361.25721401529643</v>
          </cell>
          <cell r="BA11">
            <v>0</v>
          </cell>
          <cell r="BB11">
            <v>0</v>
          </cell>
          <cell r="BC11">
            <v>0</v>
          </cell>
          <cell r="BD11">
            <v>0</v>
          </cell>
          <cell r="BG11">
            <v>0</v>
          </cell>
          <cell r="BH11">
            <v>0</v>
          </cell>
          <cell r="BI11">
            <v>215973</v>
          </cell>
          <cell r="BJ11">
            <v>20.64751434034417</v>
          </cell>
          <cell r="BK11">
            <v>0</v>
          </cell>
          <cell r="BL11">
            <v>0</v>
          </cell>
          <cell r="BM11">
            <v>315728</v>
          </cell>
          <cell r="BN11">
            <v>30.184321223709368</v>
          </cell>
          <cell r="BO11">
            <v>0</v>
          </cell>
          <cell r="BP11">
            <v>0</v>
          </cell>
          <cell r="BY11">
            <v>1190.72</v>
          </cell>
          <cell r="CF11">
            <v>1734.8440000000001</v>
          </cell>
          <cell r="CG11">
            <v>2178.15</v>
          </cell>
          <cell r="CJ11">
            <v>0</v>
          </cell>
          <cell r="CK11">
            <v>0</v>
          </cell>
          <cell r="CL11">
            <v>0</v>
          </cell>
          <cell r="CM11">
            <v>34</v>
          </cell>
          <cell r="CN11">
            <v>154</v>
          </cell>
          <cell r="CO11">
            <v>271.11</v>
          </cell>
          <cell r="CX11">
            <v>0</v>
          </cell>
          <cell r="CY11">
            <v>0</v>
          </cell>
          <cell r="DB11">
            <v>0</v>
          </cell>
          <cell r="DC11">
            <v>0</v>
          </cell>
          <cell r="DJ11" t="str">
            <v>НКРКП</v>
          </cell>
          <cell r="DL11">
            <v>40816</v>
          </cell>
          <cell r="DM11">
            <v>126</v>
          </cell>
          <cell r="DT11">
            <v>730.36</v>
          </cell>
        </row>
        <row r="12">
          <cell r="W12">
            <v>241.86</v>
          </cell>
          <cell r="AF12">
            <v>39763</v>
          </cell>
          <cell r="AG12">
            <v>126</v>
          </cell>
          <cell r="AH12">
            <v>248.38386855862584</v>
          </cell>
          <cell r="AM12">
            <v>26780</v>
          </cell>
          <cell r="AO12">
            <v>6477010.8000000007</v>
          </cell>
          <cell r="AQ12">
            <v>6651720</v>
          </cell>
          <cell r="AU12">
            <v>0</v>
          </cell>
          <cell r="AW12">
            <v>0</v>
          </cell>
          <cell r="AY12">
            <v>3528956.64</v>
          </cell>
          <cell r="AZ12">
            <v>131.77582673637042</v>
          </cell>
          <cell r="BA12">
            <v>0</v>
          </cell>
          <cell r="BB12">
            <v>0</v>
          </cell>
          <cell r="BC12">
            <v>0</v>
          </cell>
          <cell r="BD12">
            <v>0</v>
          </cell>
          <cell r="BG12">
            <v>0</v>
          </cell>
          <cell r="BH12">
            <v>0</v>
          </cell>
          <cell r="BI12">
            <v>547490</v>
          </cell>
          <cell r="BJ12">
            <v>20.443988050784167</v>
          </cell>
          <cell r="BK12">
            <v>0</v>
          </cell>
          <cell r="BL12">
            <v>0</v>
          </cell>
          <cell r="BM12">
            <v>1988762</v>
          </cell>
          <cell r="BN12">
            <v>74.26295743091859</v>
          </cell>
          <cell r="BO12">
            <v>0</v>
          </cell>
          <cell r="BP12">
            <v>0</v>
          </cell>
          <cell r="BY12">
            <v>1735</v>
          </cell>
          <cell r="CF12">
            <v>4852</v>
          </cell>
          <cell r="CG12">
            <v>727.32</v>
          </cell>
          <cell r="CJ12">
            <v>0</v>
          </cell>
          <cell r="CK12">
            <v>0</v>
          </cell>
          <cell r="CL12">
            <v>0</v>
          </cell>
          <cell r="CM12">
            <v>0</v>
          </cell>
          <cell r="CN12">
            <v>0</v>
          </cell>
          <cell r="CO12">
            <v>0</v>
          </cell>
          <cell r="CX12">
            <v>0</v>
          </cell>
          <cell r="CY12">
            <v>0</v>
          </cell>
          <cell r="DB12">
            <v>0</v>
          </cell>
          <cell r="DC12">
            <v>0</v>
          </cell>
          <cell r="DJ12" t="str">
            <v>МОС</v>
          </cell>
          <cell r="DL12">
            <v>40582</v>
          </cell>
          <cell r="DM12" t="str">
            <v>№ 55</v>
          </cell>
          <cell r="DO12" t="str">
            <v>тариф на послуги з централізованого опалення</v>
          </cell>
          <cell r="DT12">
            <v>241.86</v>
          </cell>
        </row>
        <row r="13">
          <cell r="W13">
            <v>507.68</v>
          </cell>
          <cell r="AF13">
            <v>39861</v>
          </cell>
          <cell r="AG13">
            <v>26</v>
          </cell>
          <cell r="AH13">
            <v>507.6817310943311</v>
          </cell>
          <cell r="AM13">
            <v>8873</v>
          </cell>
          <cell r="AO13">
            <v>4504644.6399999997</v>
          </cell>
          <cell r="AQ13">
            <v>4504660</v>
          </cell>
          <cell r="AU13">
            <v>0</v>
          </cell>
          <cell r="AW13">
            <v>0</v>
          </cell>
          <cell r="AY13">
            <v>3443479.9625249999</v>
          </cell>
          <cell r="AZ13">
            <v>388.08519807562266</v>
          </cell>
          <cell r="BA13">
            <v>0</v>
          </cell>
          <cell r="BB13">
            <v>0</v>
          </cell>
          <cell r="BC13">
            <v>0</v>
          </cell>
          <cell r="BD13">
            <v>0</v>
          </cell>
          <cell r="BG13">
            <v>0</v>
          </cell>
          <cell r="BH13">
            <v>0</v>
          </cell>
          <cell r="BI13">
            <v>182740</v>
          </cell>
          <cell r="BJ13">
            <v>20.595063676321423</v>
          </cell>
          <cell r="BK13">
            <v>0</v>
          </cell>
          <cell r="BL13">
            <v>0</v>
          </cell>
          <cell r="BM13">
            <v>658927</v>
          </cell>
          <cell r="BN13">
            <v>74.262030880198353</v>
          </cell>
          <cell r="BO13">
            <v>0</v>
          </cell>
          <cell r="BP13">
            <v>0</v>
          </cell>
          <cell r="BY13">
            <v>1735</v>
          </cell>
          <cell r="CF13">
            <v>1704.4820999999999</v>
          </cell>
          <cell r="CG13">
            <v>2020.25</v>
          </cell>
          <cell r="CJ13">
            <v>0</v>
          </cell>
          <cell r="CK13">
            <v>0</v>
          </cell>
          <cell r="CL13">
            <v>0</v>
          </cell>
          <cell r="CM13">
            <v>0</v>
          </cell>
          <cell r="CN13">
            <v>0</v>
          </cell>
          <cell r="CO13">
            <v>0</v>
          </cell>
          <cell r="CX13">
            <v>0</v>
          </cell>
          <cell r="CY13">
            <v>0</v>
          </cell>
          <cell r="DB13">
            <v>0</v>
          </cell>
          <cell r="DC13">
            <v>0</v>
          </cell>
          <cell r="DJ13" t="str">
            <v>НКРЕ</v>
          </cell>
          <cell r="DL13">
            <v>40836</v>
          </cell>
          <cell r="DM13">
            <v>218</v>
          </cell>
          <cell r="DT13">
            <v>840.33</v>
          </cell>
        </row>
        <row r="14">
          <cell r="W14">
            <v>507.68</v>
          </cell>
          <cell r="AF14">
            <v>39861</v>
          </cell>
          <cell r="AG14">
            <v>26</v>
          </cell>
          <cell r="AH14">
            <v>507.68014022187543</v>
          </cell>
          <cell r="AM14">
            <v>4678.3</v>
          </cell>
          <cell r="AO14">
            <v>2375079.344</v>
          </cell>
          <cell r="AQ14">
            <v>2375080</v>
          </cell>
          <cell r="AU14">
            <v>0</v>
          </cell>
          <cell r="AW14">
            <v>0</v>
          </cell>
          <cell r="AY14">
            <v>1815529.9865000001</v>
          </cell>
          <cell r="AZ14">
            <v>388.07472511382343</v>
          </cell>
          <cell r="BA14">
            <v>0</v>
          </cell>
          <cell r="BB14">
            <v>0</v>
          </cell>
          <cell r="BC14">
            <v>0</v>
          </cell>
          <cell r="BD14">
            <v>0</v>
          </cell>
          <cell r="BG14">
            <v>0</v>
          </cell>
          <cell r="BH14">
            <v>0</v>
          </cell>
          <cell r="BI14">
            <v>96360</v>
          </cell>
          <cell r="BJ14">
            <v>20.597225487890899</v>
          </cell>
          <cell r="BK14">
            <v>0</v>
          </cell>
          <cell r="BL14">
            <v>0</v>
          </cell>
          <cell r="BM14">
            <v>347435</v>
          </cell>
          <cell r="BN14">
            <v>74.265224547378324</v>
          </cell>
          <cell r="BO14">
            <v>0</v>
          </cell>
          <cell r="BP14">
            <v>0</v>
          </cell>
          <cell r="BY14">
            <v>1735</v>
          </cell>
          <cell r="CF14">
            <v>898.66600000000005</v>
          </cell>
          <cell r="CG14">
            <v>2020.25</v>
          </cell>
          <cell r="CJ14">
            <v>0</v>
          </cell>
          <cell r="CK14">
            <v>0</v>
          </cell>
          <cell r="CL14">
            <v>0</v>
          </cell>
          <cell r="CM14">
            <v>0</v>
          </cell>
          <cell r="CN14">
            <v>0</v>
          </cell>
          <cell r="CO14">
            <v>0</v>
          </cell>
          <cell r="CX14">
            <v>0</v>
          </cell>
          <cell r="CY14">
            <v>0</v>
          </cell>
          <cell r="DB14">
            <v>0</v>
          </cell>
          <cell r="DC14">
            <v>0</v>
          </cell>
          <cell r="DJ14" t="str">
            <v>НКРЕ</v>
          </cell>
          <cell r="DL14">
            <v>40836</v>
          </cell>
          <cell r="DM14">
            <v>218</v>
          </cell>
          <cell r="DT14">
            <v>840.33</v>
          </cell>
        </row>
        <row r="15">
          <cell r="W15">
            <v>205.53</v>
          </cell>
          <cell r="AF15">
            <v>39769</v>
          </cell>
          <cell r="AG15">
            <v>1079</v>
          </cell>
          <cell r="AH15">
            <v>199.5398205173324</v>
          </cell>
          <cell r="AM15">
            <v>85245</v>
          </cell>
          <cell r="AO15">
            <v>17520404.850000001</v>
          </cell>
          <cell r="AQ15">
            <v>17009772</v>
          </cell>
          <cell r="AU15">
            <v>0</v>
          </cell>
          <cell r="AW15">
            <v>0</v>
          </cell>
          <cell r="AY15">
            <v>8872576.6799999997</v>
          </cell>
          <cell r="AZ15">
            <v>104.08325039591764</v>
          </cell>
          <cell r="BA15">
            <v>0</v>
          </cell>
          <cell r="BB15">
            <v>0</v>
          </cell>
          <cell r="BC15">
            <v>0</v>
          </cell>
          <cell r="BD15">
            <v>0</v>
          </cell>
          <cell r="BG15">
            <v>0</v>
          </cell>
          <cell r="BH15">
            <v>0</v>
          </cell>
          <cell r="BI15">
            <v>1168890</v>
          </cell>
          <cell r="BJ15">
            <v>13.712123878233328</v>
          </cell>
          <cell r="BK15">
            <v>0</v>
          </cell>
          <cell r="BL15">
            <v>0</v>
          </cell>
          <cell r="BM15">
            <v>2801832</v>
          </cell>
          <cell r="BN15">
            <v>32.867992257610418</v>
          </cell>
          <cell r="BO15">
            <v>0</v>
          </cell>
          <cell r="BP15">
            <v>0</v>
          </cell>
          <cell r="BY15">
            <v>595</v>
          </cell>
          <cell r="CF15">
            <v>12199</v>
          </cell>
          <cell r="CG15">
            <v>727.32</v>
          </cell>
          <cell r="CJ15">
            <v>0</v>
          </cell>
          <cell r="CK15">
            <v>0</v>
          </cell>
          <cell r="CL15">
            <v>0</v>
          </cell>
          <cell r="CM15">
            <v>0</v>
          </cell>
          <cell r="CN15">
            <v>0</v>
          </cell>
          <cell r="CO15">
            <v>0</v>
          </cell>
          <cell r="CX15">
            <v>0</v>
          </cell>
          <cell r="CY15">
            <v>0</v>
          </cell>
          <cell r="DB15">
            <v>0</v>
          </cell>
          <cell r="DC15">
            <v>0</v>
          </cell>
          <cell r="DJ15" t="str">
            <v>НКРЕ</v>
          </cell>
          <cell r="DL15">
            <v>40526</v>
          </cell>
          <cell r="DM15" t="str">
            <v>№ 1750</v>
          </cell>
          <cell r="DO15" t="str">
            <v>тарифи на теплову енергію</v>
          </cell>
          <cell r="DT15">
            <v>226.08</v>
          </cell>
        </row>
        <row r="16">
          <cell r="W16">
            <v>454.96</v>
          </cell>
          <cell r="AF16">
            <v>39876</v>
          </cell>
          <cell r="AG16">
            <v>1476</v>
          </cell>
          <cell r="AH16">
            <v>406.21210381258612</v>
          </cell>
          <cell r="AM16">
            <v>26124</v>
          </cell>
          <cell r="AO16">
            <v>11885375.039999999</v>
          </cell>
          <cell r="AQ16">
            <v>10611885</v>
          </cell>
          <cell r="AU16">
            <v>0</v>
          </cell>
          <cell r="AW16">
            <v>0</v>
          </cell>
          <cell r="AY16">
            <v>8008586.9715499999</v>
          </cell>
          <cell r="AZ16">
            <v>306.56051797389375</v>
          </cell>
          <cell r="BA16">
            <v>0</v>
          </cell>
          <cell r="BB16">
            <v>0</v>
          </cell>
          <cell r="BC16">
            <v>0</v>
          </cell>
          <cell r="BD16">
            <v>0</v>
          </cell>
          <cell r="BG16">
            <v>0</v>
          </cell>
          <cell r="BH16">
            <v>0</v>
          </cell>
          <cell r="BI16">
            <v>358206</v>
          </cell>
          <cell r="BJ16">
            <v>13.711759301791457</v>
          </cell>
          <cell r="BK16">
            <v>0</v>
          </cell>
          <cell r="BL16">
            <v>0</v>
          </cell>
          <cell r="BM16">
            <v>858401</v>
          </cell>
          <cell r="BN16">
            <v>32.858712295207475</v>
          </cell>
          <cell r="BO16">
            <v>0</v>
          </cell>
          <cell r="BP16">
            <v>0</v>
          </cell>
          <cell r="BY16">
            <v>595</v>
          </cell>
          <cell r="CF16">
            <v>3738.3998000000001</v>
          </cell>
          <cell r="CG16">
            <v>2142.25</v>
          </cell>
          <cell r="CJ16">
            <v>0</v>
          </cell>
          <cell r="CK16">
            <v>0</v>
          </cell>
          <cell r="CL16">
            <v>0</v>
          </cell>
          <cell r="CM16">
            <v>0</v>
          </cell>
          <cell r="CN16">
            <v>0</v>
          </cell>
          <cell r="CO16">
            <v>0</v>
          </cell>
          <cell r="CX16">
            <v>0</v>
          </cell>
          <cell r="CY16">
            <v>0</v>
          </cell>
          <cell r="DB16">
            <v>0</v>
          </cell>
          <cell r="DC16">
            <v>0</v>
          </cell>
          <cell r="DJ16" t="str">
            <v>НКРКП</v>
          </cell>
          <cell r="DL16">
            <v>40816</v>
          </cell>
          <cell r="DM16">
            <v>98</v>
          </cell>
          <cell r="DT16">
            <v>690.1</v>
          </cell>
        </row>
        <row r="17">
          <cell r="W17">
            <v>459.95</v>
          </cell>
          <cell r="AF17">
            <v>39876</v>
          </cell>
          <cell r="AG17">
            <v>1477</v>
          </cell>
          <cell r="AH17">
            <v>410.60964178105121</v>
          </cell>
          <cell r="AM17">
            <v>2987</v>
          </cell>
          <cell r="AO17">
            <v>1373870.65</v>
          </cell>
          <cell r="AQ17">
            <v>1226491</v>
          </cell>
          <cell r="AU17">
            <v>0</v>
          </cell>
          <cell r="AW17">
            <v>0</v>
          </cell>
          <cell r="AY17">
            <v>928632.91545000009</v>
          </cell>
          <cell r="AZ17">
            <v>310.89150165718115</v>
          </cell>
          <cell r="BA17">
            <v>0</v>
          </cell>
          <cell r="BB17">
            <v>0</v>
          </cell>
          <cell r="BC17">
            <v>0</v>
          </cell>
          <cell r="BD17">
            <v>0</v>
          </cell>
          <cell r="BG17">
            <v>0</v>
          </cell>
          <cell r="BH17">
            <v>0</v>
          </cell>
          <cell r="BI17">
            <v>40956</v>
          </cell>
          <cell r="BJ17">
            <v>13.711416136591899</v>
          </cell>
          <cell r="BK17">
            <v>0</v>
          </cell>
          <cell r="BL17">
            <v>0</v>
          </cell>
          <cell r="BM17">
            <v>98092</v>
          </cell>
          <cell r="BN17">
            <v>32.839638433210581</v>
          </cell>
          <cell r="BO17">
            <v>0</v>
          </cell>
          <cell r="BP17">
            <v>0</v>
          </cell>
          <cell r="BY17">
            <v>595</v>
          </cell>
          <cell r="CF17">
            <v>427.39980000000003</v>
          </cell>
          <cell r="CG17">
            <v>2172.75</v>
          </cell>
          <cell r="CJ17">
            <v>0</v>
          </cell>
          <cell r="CK17">
            <v>0</v>
          </cell>
          <cell r="CL17">
            <v>0</v>
          </cell>
          <cell r="CM17">
            <v>0</v>
          </cell>
          <cell r="CN17">
            <v>0</v>
          </cell>
          <cell r="CO17">
            <v>0</v>
          </cell>
          <cell r="CX17">
            <v>0</v>
          </cell>
          <cell r="CY17">
            <v>0</v>
          </cell>
          <cell r="DB17">
            <v>0</v>
          </cell>
          <cell r="DC17">
            <v>0</v>
          </cell>
          <cell r="DJ17" t="str">
            <v>НКРКП</v>
          </cell>
          <cell r="DL17">
            <v>40816</v>
          </cell>
          <cell r="DM17">
            <v>98</v>
          </cell>
          <cell r="DT17">
            <v>690.63</v>
          </cell>
        </row>
        <row r="18">
          <cell r="W18">
            <v>227.1</v>
          </cell>
          <cell r="AF18">
            <v>39737</v>
          </cell>
          <cell r="AG18">
            <v>1026</v>
          </cell>
          <cell r="AH18">
            <v>214.24409327304434</v>
          </cell>
          <cell r="AM18">
            <v>64799</v>
          </cell>
          <cell r="AO18">
            <v>14715852.9</v>
          </cell>
          <cell r="AQ18">
            <v>13882803</v>
          </cell>
          <cell r="AU18">
            <v>0</v>
          </cell>
          <cell r="AW18">
            <v>0</v>
          </cell>
          <cell r="AY18">
            <v>7420055.9450160004</v>
          </cell>
          <cell r="AZ18">
            <v>114.50880329968055</v>
          </cell>
          <cell r="BA18">
            <v>0</v>
          </cell>
          <cell r="BB18">
            <v>0</v>
          </cell>
          <cell r="BC18">
            <v>0</v>
          </cell>
          <cell r="BD18">
            <v>0</v>
          </cell>
          <cell r="BG18">
            <v>0</v>
          </cell>
          <cell r="BH18">
            <v>0</v>
          </cell>
          <cell r="BI18">
            <v>1224739</v>
          </cell>
          <cell r="BJ18">
            <v>18.90058488556922</v>
          </cell>
          <cell r="BK18">
            <v>0</v>
          </cell>
          <cell r="BL18">
            <v>0</v>
          </cell>
          <cell r="BM18">
            <v>2988314</v>
          </cell>
          <cell r="BN18">
            <v>46.116668467105974</v>
          </cell>
          <cell r="BO18">
            <v>0</v>
          </cell>
          <cell r="BP18">
            <v>0</v>
          </cell>
          <cell r="BY18">
            <v>1523.52</v>
          </cell>
          <cell r="CF18">
            <v>10201.9138</v>
          </cell>
          <cell r="CG18">
            <v>727.32</v>
          </cell>
          <cell r="CJ18">
            <v>0</v>
          </cell>
          <cell r="CK18">
            <v>0</v>
          </cell>
          <cell r="CL18">
            <v>0</v>
          </cell>
          <cell r="CM18">
            <v>0</v>
          </cell>
          <cell r="CN18">
            <v>0</v>
          </cell>
          <cell r="CO18">
            <v>0</v>
          </cell>
          <cell r="CX18">
            <v>0</v>
          </cell>
          <cell r="CY18">
            <v>0</v>
          </cell>
          <cell r="DB18">
            <v>0</v>
          </cell>
          <cell r="DC18">
            <v>0</v>
          </cell>
          <cell r="DJ18" t="str">
            <v>НКРЕ</v>
          </cell>
          <cell r="DL18">
            <v>40526</v>
          </cell>
          <cell r="DM18">
            <v>1751</v>
          </cell>
          <cell r="DO18" t="str">
            <v>тариф на теплову енергію</v>
          </cell>
          <cell r="DT18">
            <v>249.81</v>
          </cell>
        </row>
        <row r="19">
          <cell r="W19">
            <v>524.24</v>
          </cell>
          <cell r="AF19">
            <v>39882</v>
          </cell>
          <cell r="AG19">
            <v>1512</v>
          </cell>
          <cell r="AH19">
            <v>437.59736790025727</v>
          </cell>
          <cell r="AM19">
            <v>20212</v>
          </cell>
          <cell r="AO19">
            <v>10595938.880000001</v>
          </cell>
          <cell r="AQ19">
            <v>8844718</v>
          </cell>
          <cell r="AU19">
            <v>0</v>
          </cell>
          <cell r="AW19">
            <v>0</v>
          </cell>
          <cell r="AY19">
            <v>6850493.4767499994</v>
          </cell>
          <cell r="AZ19">
            <v>338.93199469374628</v>
          </cell>
          <cell r="BA19">
            <v>0</v>
          </cell>
          <cell r="BB19">
            <v>0</v>
          </cell>
          <cell r="BC19">
            <v>0</v>
          </cell>
          <cell r="BD19">
            <v>0</v>
          </cell>
          <cell r="BG19">
            <v>0</v>
          </cell>
          <cell r="BH19">
            <v>0</v>
          </cell>
          <cell r="BI19">
            <v>391050</v>
          </cell>
          <cell r="BJ19">
            <v>19.347417375816345</v>
          </cell>
          <cell r="BK19">
            <v>0</v>
          </cell>
          <cell r="BL19">
            <v>0</v>
          </cell>
          <cell r="BM19">
            <v>932062</v>
          </cell>
          <cell r="BN19">
            <v>46.114288541460517</v>
          </cell>
          <cell r="BO19">
            <v>0</v>
          </cell>
          <cell r="BP19">
            <v>0</v>
          </cell>
          <cell r="BY19">
            <v>1523.52</v>
          </cell>
          <cell r="CF19">
            <v>3197.8029999999999</v>
          </cell>
          <cell r="CG19">
            <v>2142.25</v>
          </cell>
          <cell r="CJ19">
            <v>0</v>
          </cell>
          <cell r="CK19">
            <v>0</v>
          </cell>
          <cell r="CL19">
            <v>0</v>
          </cell>
          <cell r="CM19">
            <v>0</v>
          </cell>
          <cell r="CN19">
            <v>0</v>
          </cell>
          <cell r="CO19">
            <v>0</v>
          </cell>
          <cell r="CX19">
            <v>0</v>
          </cell>
          <cell r="CY19">
            <v>0</v>
          </cell>
          <cell r="DB19">
            <v>0</v>
          </cell>
          <cell r="DC19">
            <v>0</v>
          </cell>
          <cell r="DJ19" t="str">
            <v>НКРКП</v>
          </cell>
          <cell r="DL19">
            <v>40816</v>
          </cell>
          <cell r="DM19">
            <v>97</v>
          </cell>
          <cell r="DT19">
            <v>778.53</v>
          </cell>
        </row>
        <row r="20">
          <cell r="W20">
            <v>524.20000000000005</v>
          </cell>
          <cell r="AF20">
            <v>39882</v>
          </cell>
          <cell r="AG20">
            <v>1513</v>
          </cell>
          <cell r="AH20">
            <v>440.50589519650657</v>
          </cell>
          <cell r="AM20">
            <v>4580</v>
          </cell>
          <cell r="AO20">
            <v>2400836</v>
          </cell>
          <cell r="AQ20">
            <v>2017517</v>
          </cell>
          <cell r="AU20">
            <v>0</v>
          </cell>
          <cell r="AW20">
            <v>0</v>
          </cell>
          <cell r="AY20">
            <v>1550224.2167500001</v>
          </cell>
          <cell r="AZ20">
            <v>338.47690322052404</v>
          </cell>
          <cell r="BA20">
            <v>0</v>
          </cell>
          <cell r="BB20">
            <v>0</v>
          </cell>
          <cell r="BC20">
            <v>0</v>
          </cell>
          <cell r="BD20">
            <v>0</v>
          </cell>
          <cell r="BG20">
            <v>0</v>
          </cell>
          <cell r="BH20">
            <v>0</v>
          </cell>
          <cell r="BI20">
            <v>104165</v>
          </cell>
          <cell r="BJ20">
            <v>22.74344978165939</v>
          </cell>
          <cell r="BK20">
            <v>0</v>
          </cell>
          <cell r="BL20">
            <v>0</v>
          </cell>
          <cell r="BM20">
            <v>211121</v>
          </cell>
          <cell r="BN20">
            <v>46.096288209606989</v>
          </cell>
          <cell r="BO20">
            <v>0</v>
          </cell>
          <cell r="BP20">
            <v>0</v>
          </cell>
          <cell r="BY20">
            <v>1523.52</v>
          </cell>
          <cell r="CF20">
            <v>723.64300000000003</v>
          </cell>
          <cell r="CG20">
            <v>2142.25</v>
          </cell>
          <cell r="CJ20">
            <v>0</v>
          </cell>
          <cell r="CK20">
            <v>0</v>
          </cell>
          <cell r="CL20">
            <v>0</v>
          </cell>
          <cell r="CM20">
            <v>0</v>
          </cell>
          <cell r="CN20">
            <v>0</v>
          </cell>
          <cell r="CO20">
            <v>0</v>
          </cell>
          <cell r="CX20">
            <v>0</v>
          </cell>
          <cell r="CY20">
            <v>0</v>
          </cell>
          <cell r="DB20">
            <v>0</v>
          </cell>
          <cell r="DC20">
            <v>0</v>
          </cell>
          <cell r="DJ20" t="str">
            <v>НКРКП</v>
          </cell>
          <cell r="DL20">
            <v>40816</v>
          </cell>
          <cell r="DM20">
            <v>97</v>
          </cell>
          <cell r="DT20">
            <v>778.53</v>
          </cell>
        </row>
        <row r="21">
          <cell r="W21">
            <v>215.62298999999999</v>
          </cell>
          <cell r="AF21">
            <v>39678</v>
          </cell>
          <cell r="AG21">
            <v>89</v>
          </cell>
          <cell r="AH21">
            <v>205.35495036166552</v>
          </cell>
          <cell r="AM21">
            <v>48249</v>
          </cell>
          <cell r="AO21">
            <v>10403593.644509999</v>
          </cell>
          <cell r="AQ21">
            <v>9908171</v>
          </cell>
          <cell r="AU21">
            <v>0</v>
          </cell>
          <cell r="AW21">
            <v>0</v>
          </cell>
          <cell r="AY21">
            <v>5573474.9941464001</v>
          </cell>
          <cell r="AZ21">
            <v>115.51482920156687</v>
          </cell>
          <cell r="BA21">
            <v>0</v>
          </cell>
          <cell r="BB21">
            <v>0</v>
          </cell>
          <cell r="BC21">
            <v>0</v>
          </cell>
          <cell r="BD21">
            <v>0</v>
          </cell>
          <cell r="BG21">
            <v>0</v>
          </cell>
          <cell r="BH21">
            <v>0</v>
          </cell>
          <cell r="BI21">
            <v>622216</v>
          </cell>
          <cell r="BJ21">
            <v>12.895935667060456</v>
          </cell>
          <cell r="BK21">
            <v>0</v>
          </cell>
          <cell r="BL21">
            <v>0</v>
          </cell>
          <cell r="BM21">
            <v>3046056</v>
          </cell>
          <cell r="BN21">
            <v>63.132002735807994</v>
          </cell>
          <cell r="BO21">
            <v>0</v>
          </cell>
          <cell r="BP21">
            <v>0</v>
          </cell>
          <cell r="BY21">
            <v>1937.69</v>
          </cell>
          <cell r="CF21">
            <v>7663.0300200000001</v>
          </cell>
          <cell r="CG21">
            <v>727.32</v>
          </cell>
          <cell r="CJ21">
            <v>0</v>
          </cell>
          <cell r="CK21">
            <v>0</v>
          </cell>
          <cell r="CL21">
            <v>0</v>
          </cell>
          <cell r="CM21">
            <v>0</v>
          </cell>
          <cell r="CN21">
            <v>0</v>
          </cell>
          <cell r="CO21">
            <v>0</v>
          </cell>
          <cell r="CX21">
            <v>0</v>
          </cell>
          <cell r="CY21">
            <v>0</v>
          </cell>
          <cell r="DB21">
            <v>0</v>
          </cell>
          <cell r="DC21">
            <v>0</v>
          </cell>
          <cell r="DJ21" t="str">
            <v>НКРЕ</v>
          </cell>
          <cell r="DL21">
            <v>40526</v>
          </cell>
          <cell r="DM21" t="str">
            <v>№ 1847</v>
          </cell>
          <cell r="DO21" t="str">
            <v>тариф на послуги</v>
          </cell>
          <cell r="DT21">
            <v>237.18</v>
          </cell>
        </row>
        <row r="22">
          <cell r="W22">
            <v>490.63600000000002</v>
          </cell>
          <cell r="AF22">
            <v>40112</v>
          </cell>
          <cell r="AG22">
            <v>68</v>
          </cell>
          <cell r="AH22">
            <v>447.98800766520367</v>
          </cell>
          <cell r="AM22">
            <v>16177</v>
          </cell>
          <cell r="AO22">
            <v>7937018.5720000006</v>
          </cell>
          <cell r="AQ22">
            <v>7247102</v>
          </cell>
          <cell r="AU22">
            <v>0</v>
          </cell>
          <cell r="AW22">
            <v>0</v>
          </cell>
          <cell r="AY22">
            <v>5536848.7859759992</v>
          </cell>
          <cell r="AZ22">
            <v>342.26672349483829</v>
          </cell>
          <cell r="BA22">
            <v>0</v>
          </cell>
          <cell r="BB22">
            <v>0</v>
          </cell>
          <cell r="BC22">
            <v>0</v>
          </cell>
          <cell r="BD22">
            <v>0</v>
          </cell>
          <cell r="BG22">
            <v>0</v>
          </cell>
          <cell r="BH22">
            <v>0</v>
          </cell>
          <cell r="BI22">
            <v>278351</v>
          </cell>
          <cell r="BJ22">
            <v>17.206589602522101</v>
          </cell>
          <cell r="BK22">
            <v>0</v>
          </cell>
          <cell r="BL22">
            <v>0</v>
          </cell>
          <cell r="BM22">
            <v>1209519</v>
          </cell>
          <cell r="BN22">
            <v>74.767818507757923</v>
          </cell>
          <cell r="BO22">
            <v>0</v>
          </cell>
          <cell r="BP22">
            <v>0</v>
          </cell>
          <cell r="BY22">
            <v>2294.6</v>
          </cell>
          <cell r="CF22">
            <v>2536.7435999999998</v>
          </cell>
          <cell r="CG22">
            <v>2182.66</v>
          </cell>
          <cell r="CJ22">
            <v>0</v>
          </cell>
          <cell r="CK22">
            <v>0</v>
          </cell>
          <cell r="CL22">
            <v>0</v>
          </cell>
          <cell r="CM22">
            <v>0</v>
          </cell>
          <cell r="CN22">
            <v>0</v>
          </cell>
          <cell r="CO22">
            <v>0</v>
          </cell>
          <cell r="CX22">
            <v>0</v>
          </cell>
          <cell r="CY22">
            <v>0</v>
          </cell>
          <cell r="DB22">
            <v>0</v>
          </cell>
          <cell r="DC22">
            <v>0</v>
          </cell>
          <cell r="DJ22" t="str">
            <v>НКРКП</v>
          </cell>
          <cell r="DL22">
            <v>40816</v>
          </cell>
          <cell r="DM22" t="str">
            <v>№ 9</v>
          </cell>
          <cell r="DT22">
            <v>736.71</v>
          </cell>
        </row>
        <row r="23">
          <cell r="W23">
            <v>519.21799999999996</v>
          </cell>
          <cell r="AF23">
            <v>40112</v>
          </cell>
          <cell r="AG23">
            <v>68</v>
          </cell>
          <cell r="AH23">
            <v>447.98812415654521</v>
          </cell>
          <cell r="AM23">
            <v>3705</v>
          </cell>
          <cell r="AO23">
            <v>1923702.69</v>
          </cell>
          <cell r="AQ23">
            <v>1659796</v>
          </cell>
          <cell r="AU23">
            <v>0</v>
          </cell>
          <cell r="AW23">
            <v>0</v>
          </cell>
          <cell r="AY23">
            <v>1268098.0021372</v>
          </cell>
          <cell r="AZ23">
            <v>342.26666724350878</v>
          </cell>
          <cell r="BA23">
            <v>0</v>
          </cell>
          <cell r="BB23">
            <v>0</v>
          </cell>
          <cell r="BC23">
            <v>0</v>
          </cell>
          <cell r="BD23">
            <v>0</v>
          </cell>
          <cell r="BG23">
            <v>0</v>
          </cell>
          <cell r="BH23">
            <v>0</v>
          </cell>
          <cell r="BI23">
            <v>63751</v>
          </cell>
          <cell r="BJ23">
            <v>17.206747638326586</v>
          </cell>
          <cell r="BK23">
            <v>0</v>
          </cell>
          <cell r="BL23">
            <v>0</v>
          </cell>
          <cell r="BM23">
            <v>277015</v>
          </cell>
          <cell r="BN23">
            <v>74.767881241565448</v>
          </cell>
          <cell r="BO23">
            <v>0</v>
          </cell>
          <cell r="BP23">
            <v>0</v>
          </cell>
          <cell r="BY23">
            <v>2294.6</v>
          </cell>
          <cell r="CF23">
            <v>580.98742000000004</v>
          </cell>
          <cell r="CG23">
            <v>2182.66</v>
          </cell>
          <cell r="CJ23">
            <v>0</v>
          </cell>
          <cell r="CK23">
            <v>0</v>
          </cell>
          <cell r="CL23">
            <v>0</v>
          </cell>
          <cell r="CM23">
            <v>0</v>
          </cell>
          <cell r="CN23">
            <v>0</v>
          </cell>
          <cell r="CO23">
            <v>0</v>
          </cell>
          <cell r="CX23">
            <v>0</v>
          </cell>
          <cell r="CY23">
            <v>0</v>
          </cell>
          <cell r="DB23">
            <v>0</v>
          </cell>
          <cell r="DC23">
            <v>0</v>
          </cell>
          <cell r="DJ23" t="str">
            <v>НКРКП</v>
          </cell>
          <cell r="DL23">
            <v>40816</v>
          </cell>
          <cell r="DM23" t="str">
            <v>№ 9</v>
          </cell>
          <cell r="DT23">
            <v>765.31</v>
          </cell>
        </row>
        <row r="24">
          <cell r="W24">
            <v>229.61</v>
          </cell>
          <cell r="AF24">
            <v>39743</v>
          </cell>
          <cell r="AG24" t="str">
            <v>№ 174</v>
          </cell>
          <cell r="AH24">
            <v>210.64645729253638</v>
          </cell>
          <cell r="AM24">
            <v>74666.34</v>
          </cell>
          <cell r="AO24">
            <v>17144138.327399999</v>
          </cell>
          <cell r="AQ24">
            <v>15728200</v>
          </cell>
          <cell r="AU24">
            <v>0</v>
          </cell>
          <cell r="AW24">
            <v>0</v>
          </cell>
          <cell r="AY24">
            <v>8652629.9480280001</v>
          </cell>
          <cell r="AZ24">
            <v>115.88394379620054</v>
          </cell>
          <cell r="BA24">
            <v>0</v>
          </cell>
          <cell r="BB24">
            <v>0</v>
          </cell>
          <cell r="BC24">
            <v>0</v>
          </cell>
          <cell r="BD24">
            <v>0</v>
          </cell>
          <cell r="BG24">
            <v>0</v>
          </cell>
          <cell r="BH24">
            <v>0</v>
          </cell>
          <cell r="BI24">
            <v>1035170</v>
          </cell>
          <cell r="BJ24">
            <v>13.863944583328982</v>
          </cell>
          <cell r="BK24">
            <v>0</v>
          </cell>
          <cell r="BL24">
            <v>0</v>
          </cell>
          <cell r="BM24">
            <v>4149260</v>
          </cell>
          <cell r="BN24">
            <v>55.570689550338216</v>
          </cell>
          <cell r="BO24">
            <v>0</v>
          </cell>
          <cell r="BP24">
            <v>0</v>
          </cell>
          <cell r="BY24">
            <v>1536</v>
          </cell>
          <cell r="CF24">
            <v>11896.5929</v>
          </cell>
          <cell r="CG24">
            <v>727.32</v>
          </cell>
          <cell r="CJ24">
            <v>0</v>
          </cell>
          <cell r="CK24">
            <v>0</v>
          </cell>
          <cell r="CL24">
            <v>0</v>
          </cell>
          <cell r="CM24">
            <v>0</v>
          </cell>
          <cell r="CN24">
            <v>0</v>
          </cell>
          <cell r="CO24">
            <v>0</v>
          </cell>
          <cell r="CX24">
            <v>0</v>
          </cell>
          <cell r="CY24">
            <v>0</v>
          </cell>
          <cell r="DB24">
            <v>0</v>
          </cell>
          <cell r="DC24">
            <v>0</v>
          </cell>
          <cell r="DJ24" t="str">
            <v>НКРЕ</v>
          </cell>
          <cell r="DL24">
            <v>40526</v>
          </cell>
          <cell r="DM24" t="str">
            <v>№ 16987</v>
          </cell>
          <cell r="DO24" t="str">
            <v>тариф на теплову енергію</v>
          </cell>
          <cell r="DT24">
            <v>252.57</v>
          </cell>
        </row>
        <row r="25">
          <cell r="W25">
            <v>513.03</v>
          </cell>
          <cell r="AF25">
            <v>40028</v>
          </cell>
          <cell r="AG25" t="str">
            <v>№ 102</v>
          </cell>
          <cell r="AH25">
            <v>446.10895617649373</v>
          </cell>
          <cell r="AM25">
            <v>10936.14</v>
          </cell>
          <cell r="AO25">
            <v>5610567.9041999998</v>
          </cell>
          <cell r="AQ25">
            <v>4878710</v>
          </cell>
          <cell r="AU25">
            <v>0</v>
          </cell>
          <cell r="AW25">
            <v>0</v>
          </cell>
          <cell r="AY25">
            <v>3689379.9508499997</v>
          </cell>
          <cell r="AZ25">
            <v>337.35668625767408</v>
          </cell>
          <cell r="BA25">
            <v>0</v>
          </cell>
          <cell r="BB25">
            <v>0</v>
          </cell>
          <cell r="BC25">
            <v>0</v>
          </cell>
          <cell r="BD25">
            <v>0</v>
          </cell>
          <cell r="BG25">
            <v>0</v>
          </cell>
          <cell r="BH25">
            <v>0</v>
          </cell>
          <cell r="BI25">
            <v>154420</v>
          </cell>
          <cell r="BJ25">
            <v>14.120155740508078</v>
          </cell>
          <cell r="BK25">
            <v>0</v>
          </cell>
          <cell r="BL25">
            <v>0</v>
          </cell>
          <cell r="BM25">
            <v>709720</v>
          </cell>
          <cell r="BN25">
            <v>64.896755162241888</v>
          </cell>
          <cell r="BO25">
            <v>0</v>
          </cell>
          <cell r="BP25">
            <v>0</v>
          </cell>
          <cell r="BY25">
            <v>1536</v>
          </cell>
          <cell r="CF25">
            <v>1722.1985999999999</v>
          </cell>
          <cell r="CG25">
            <v>2142.25</v>
          </cell>
          <cell r="CJ25">
            <v>0</v>
          </cell>
          <cell r="CK25">
            <v>0</v>
          </cell>
          <cell r="CL25">
            <v>0</v>
          </cell>
          <cell r="CM25">
            <v>0</v>
          </cell>
          <cell r="CN25">
            <v>0</v>
          </cell>
          <cell r="CO25">
            <v>0</v>
          </cell>
          <cell r="CX25">
            <v>0</v>
          </cell>
          <cell r="CY25">
            <v>0</v>
          </cell>
          <cell r="DB25">
            <v>0</v>
          </cell>
          <cell r="DC25">
            <v>0</v>
          </cell>
          <cell r="DJ25" t="str">
            <v>НКРКП</v>
          </cell>
          <cell r="DL25">
            <v>40816</v>
          </cell>
          <cell r="DM25" t="str">
            <v>№ 108</v>
          </cell>
          <cell r="DT25">
            <v>766.52</v>
          </cell>
        </row>
        <row r="26">
          <cell r="W26">
            <v>535.33000000000004</v>
          </cell>
          <cell r="AF26">
            <v>40028</v>
          </cell>
          <cell r="AG26" t="str">
            <v>№ 102</v>
          </cell>
          <cell r="AH26">
            <v>446.11088657824155</v>
          </cell>
          <cell r="AM26">
            <v>1360.85</v>
          </cell>
          <cell r="AO26">
            <v>728503.83050000004</v>
          </cell>
          <cell r="AQ26">
            <v>607090</v>
          </cell>
          <cell r="AU26">
            <v>0</v>
          </cell>
          <cell r="AW26">
            <v>0</v>
          </cell>
          <cell r="AY26">
            <v>459089.95907499996</v>
          </cell>
          <cell r="AZ26">
            <v>337.35529931660358</v>
          </cell>
          <cell r="BA26">
            <v>0</v>
          </cell>
          <cell r="BB26">
            <v>0</v>
          </cell>
          <cell r="BC26">
            <v>0</v>
          </cell>
          <cell r="BD26">
            <v>0</v>
          </cell>
          <cell r="BG26">
            <v>0</v>
          </cell>
          <cell r="BH26">
            <v>0</v>
          </cell>
          <cell r="BI26">
            <v>19220</v>
          </cell>
          <cell r="BJ26">
            <v>14.123525737590478</v>
          </cell>
          <cell r="BK26">
            <v>0</v>
          </cell>
          <cell r="BL26">
            <v>0</v>
          </cell>
          <cell r="BM26">
            <v>88320</v>
          </cell>
          <cell r="BN26">
            <v>64.900613587096302</v>
          </cell>
          <cell r="BO26">
            <v>0</v>
          </cell>
          <cell r="BP26">
            <v>0</v>
          </cell>
          <cell r="BY26">
            <v>1536</v>
          </cell>
          <cell r="CF26">
            <v>214.30269999999999</v>
          </cell>
          <cell r="CG26">
            <v>2142.25</v>
          </cell>
          <cell r="CJ26">
            <v>0</v>
          </cell>
          <cell r="CK26">
            <v>0</v>
          </cell>
          <cell r="CL26">
            <v>0</v>
          </cell>
          <cell r="CM26">
            <v>0</v>
          </cell>
          <cell r="CN26">
            <v>0</v>
          </cell>
          <cell r="CO26">
            <v>0</v>
          </cell>
          <cell r="CX26">
            <v>0</v>
          </cell>
          <cell r="CY26">
            <v>0</v>
          </cell>
          <cell r="DB26">
            <v>0</v>
          </cell>
          <cell r="DC26">
            <v>0</v>
          </cell>
          <cell r="DJ26" t="str">
            <v>НКРКП</v>
          </cell>
          <cell r="DL26">
            <v>40816</v>
          </cell>
          <cell r="DM26" t="str">
            <v>№ 108</v>
          </cell>
          <cell r="DT26">
            <v>788.79</v>
          </cell>
        </row>
        <row r="27">
          <cell r="W27">
            <v>227.1</v>
          </cell>
          <cell r="AF27">
            <v>39678</v>
          </cell>
          <cell r="AG27" t="str">
            <v>№ 564</v>
          </cell>
          <cell r="AH27">
            <v>216.28816734089224</v>
          </cell>
          <cell r="AM27">
            <v>140408</v>
          </cell>
          <cell r="AO27">
            <v>31886656.800000001</v>
          </cell>
          <cell r="AQ27">
            <v>30368589</v>
          </cell>
          <cell r="AU27">
            <v>0</v>
          </cell>
          <cell r="AW27">
            <v>0</v>
          </cell>
          <cell r="AY27">
            <v>17219748.552021001</v>
          </cell>
          <cell r="AZ27">
            <v>122.64079363014216</v>
          </cell>
          <cell r="BA27">
            <v>245674</v>
          </cell>
          <cell r="BB27">
            <v>1.7497151159478093</v>
          </cell>
          <cell r="BC27">
            <v>0</v>
          </cell>
          <cell r="BD27">
            <v>0</v>
          </cell>
          <cell r="BG27">
            <v>0</v>
          </cell>
          <cell r="BH27">
            <v>0</v>
          </cell>
          <cell r="BI27">
            <v>3111828</v>
          </cell>
          <cell r="BJ27">
            <v>22.16275425901658</v>
          </cell>
          <cell r="BK27">
            <v>0</v>
          </cell>
          <cell r="BL27">
            <v>0</v>
          </cell>
          <cell r="BM27">
            <v>6334056</v>
          </cell>
          <cell r="BN27">
            <v>45.111788502079655</v>
          </cell>
          <cell r="BO27">
            <v>0</v>
          </cell>
          <cell r="BP27">
            <v>0</v>
          </cell>
          <cell r="BY27">
            <v>1366.62</v>
          </cell>
          <cell r="CF27">
            <v>23675.713</v>
          </cell>
          <cell r="CG27">
            <v>727.31700000000001</v>
          </cell>
          <cell r="CJ27">
            <v>0</v>
          </cell>
          <cell r="CK27">
            <v>0</v>
          </cell>
          <cell r="CL27">
            <v>0</v>
          </cell>
          <cell r="CM27">
            <v>0</v>
          </cell>
          <cell r="CN27">
            <v>0</v>
          </cell>
          <cell r="CO27">
            <v>0</v>
          </cell>
          <cell r="CX27">
            <v>0</v>
          </cell>
          <cell r="CY27">
            <v>0</v>
          </cell>
          <cell r="DB27">
            <v>0</v>
          </cell>
          <cell r="DC27">
            <v>0</v>
          </cell>
          <cell r="DJ27" t="str">
            <v>НКРЕ</v>
          </cell>
          <cell r="DL27">
            <v>40526</v>
          </cell>
          <cell r="DM27" t="str">
            <v>№ 1833</v>
          </cell>
          <cell r="DO27" t="str">
            <v>на телову енергію</v>
          </cell>
          <cell r="DT27">
            <v>249.81</v>
          </cell>
        </row>
        <row r="28">
          <cell r="W28">
            <v>552.70000000000005</v>
          </cell>
          <cell r="AF28">
            <v>40088</v>
          </cell>
          <cell r="AG28" t="str">
            <v>№ 877</v>
          </cell>
          <cell r="AH28">
            <v>460.58439009661834</v>
          </cell>
          <cell r="AM28">
            <v>26496</v>
          </cell>
          <cell r="AO28">
            <v>14644339.200000001</v>
          </cell>
          <cell r="AQ28">
            <v>12203644</v>
          </cell>
          <cell r="AU28">
            <v>0</v>
          </cell>
          <cell r="AW28">
            <v>0</v>
          </cell>
          <cell r="AY28">
            <v>9586221.7054999992</v>
          </cell>
          <cell r="AZ28">
            <v>361.79882644550116</v>
          </cell>
          <cell r="BA28">
            <v>46360</v>
          </cell>
          <cell r="BB28">
            <v>1.7496980676328502</v>
          </cell>
          <cell r="BC28">
            <v>0</v>
          </cell>
          <cell r="BD28">
            <v>0</v>
          </cell>
          <cell r="BG28">
            <v>0</v>
          </cell>
          <cell r="BH28">
            <v>0</v>
          </cell>
          <cell r="BI28">
            <v>699184</v>
          </cell>
          <cell r="BJ28">
            <v>26.388285024154591</v>
          </cell>
          <cell r="BK28">
            <v>0</v>
          </cell>
          <cell r="BL28">
            <v>0</v>
          </cell>
          <cell r="BM28">
            <v>1195282</v>
          </cell>
          <cell r="BN28">
            <v>45.1117904589372</v>
          </cell>
          <cell r="BO28">
            <v>0</v>
          </cell>
          <cell r="BP28">
            <v>0</v>
          </cell>
          <cell r="BY28">
            <v>1366.62</v>
          </cell>
          <cell r="CF28">
            <v>4474.8379999999997</v>
          </cell>
          <cell r="CG28">
            <v>2142.25</v>
          </cell>
          <cell r="CJ28">
            <v>0</v>
          </cell>
          <cell r="CK28">
            <v>0</v>
          </cell>
          <cell r="CL28">
            <v>0</v>
          </cell>
          <cell r="CM28">
            <v>0</v>
          </cell>
          <cell r="CN28">
            <v>0</v>
          </cell>
          <cell r="CO28">
            <v>0</v>
          </cell>
          <cell r="CX28">
            <v>0</v>
          </cell>
          <cell r="CY28">
            <v>0</v>
          </cell>
          <cell r="DB28">
            <v>0</v>
          </cell>
          <cell r="DC28">
            <v>0</v>
          </cell>
          <cell r="DJ28" t="str">
            <v>НКРКП</v>
          </cell>
          <cell r="DL28">
            <v>40816</v>
          </cell>
          <cell r="DM28" t="str">
            <v>№ 23</v>
          </cell>
          <cell r="DT28">
            <v>824.56</v>
          </cell>
        </row>
        <row r="29">
          <cell r="W29">
            <v>598.75</v>
          </cell>
          <cell r="AF29">
            <v>40088</v>
          </cell>
          <cell r="AG29" t="str">
            <v>№ 877</v>
          </cell>
          <cell r="AH29">
            <v>460.58431044109437</v>
          </cell>
          <cell r="AM29">
            <v>14328</v>
          </cell>
          <cell r="AO29">
            <v>8578890</v>
          </cell>
          <cell r="AQ29">
            <v>6599252</v>
          </cell>
          <cell r="AU29">
            <v>0</v>
          </cell>
          <cell r="AW29">
            <v>0</v>
          </cell>
          <cell r="AY29">
            <v>5183852.9682499999</v>
          </cell>
          <cell r="AZ29">
            <v>361.79878337869906</v>
          </cell>
          <cell r="BA29">
            <v>25070</v>
          </cell>
          <cell r="BB29">
            <v>1.7497208263539923</v>
          </cell>
          <cell r="BC29">
            <v>0</v>
          </cell>
          <cell r="BD29">
            <v>0</v>
          </cell>
          <cell r="BG29">
            <v>0</v>
          </cell>
          <cell r="BH29">
            <v>0</v>
          </cell>
          <cell r="BI29">
            <v>378091</v>
          </cell>
          <cell r="BJ29">
            <v>26.38826074818537</v>
          </cell>
          <cell r="BK29">
            <v>0</v>
          </cell>
          <cell r="BL29">
            <v>0</v>
          </cell>
          <cell r="BM29">
            <v>646362</v>
          </cell>
          <cell r="BN29">
            <v>45.111809045226131</v>
          </cell>
          <cell r="BO29">
            <v>0</v>
          </cell>
          <cell r="BP29">
            <v>0</v>
          </cell>
          <cell r="BY29">
            <v>1366.62</v>
          </cell>
          <cell r="CF29">
            <v>2419.817</v>
          </cell>
          <cell r="CG29">
            <v>2142.25</v>
          </cell>
          <cell r="CJ29">
            <v>0</v>
          </cell>
          <cell r="CK29">
            <v>0</v>
          </cell>
          <cell r="CL29">
            <v>0</v>
          </cell>
          <cell r="CM29">
            <v>0</v>
          </cell>
          <cell r="CN29">
            <v>0</v>
          </cell>
          <cell r="CO29">
            <v>0</v>
          </cell>
          <cell r="CX29">
            <v>0</v>
          </cell>
          <cell r="CY29">
            <v>0</v>
          </cell>
          <cell r="DB29">
            <v>0</v>
          </cell>
          <cell r="DC29">
            <v>0</v>
          </cell>
          <cell r="DJ29" t="str">
            <v>НКРКП</v>
          </cell>
          <cell r="DL29">
            <v>40816</v>
          </cell>
          <cell r="DM29" t="str">
            <v>№ 23</v>
          </cell>
          <cell r="DT29">
            <v>870.61</v>
          </cell>
        </row>
        <row r="30">
          <cell r="W30">
            <v>235.76</v>
          </cell>
          <cell r="AF30">
            <v>39798</v>
          </cell>
          <cell r="AG30">
            <v>590</v>
          </cell>
          <cell r="AH30">
            <v>217.4814814814815</v>
          </cell>
          <cell r="AM30">
            <v>182250</v>
          </cell>
          <cell r="AO30">
            <v>42967260</v>
          </cell>
          <cell r="AQ30">
            <v>39636000</v>
          </cell>
          <cell r="AU30">
            <v>0</v>
          </cell>
          <cell r="AW30">
            <v>0</v>
          </cell>
          <cell r="AY30">
            <v>24134659.560000002</v>
          </cell>
          <cell r="AZ30">
            <v>132.42611555555555</v>
          </cell>
          <cell r="BA30">
            <v>0</v>
          </cell>
          <cell r="BB30">
            <v>0</v>
          </cell>
          <cell r="BC30">
            <v>0</v>
          </cell>
          <cell r="BD30">
            <v>0</v>
          </cell>
          <cell r="BG30">
            <v>0</v>
          </cell>
          <cell r="BH30">
            <v>0</v>
          </cell>
          <cell r="BI30">
            <v>4594800</v>
          </cell>
          <cell r="BJ30">
            <v>25.211522633744856</v>
          </cell>
          <cell r="BK30">
            <v>0</v>
          </cell>
          <cell r="BL30">
            <v>0</v>
          </cell>
          <cell r="BM30">
            <v>7210700</v>
          </cell>
          <cell r="BN30">
            <v>39.56488340192044</v>
          </cell>
          <cell r="BO30">
            <v>0</v>
          </cell>
          <cell r="BP30">
            <v>0</v>
          </cell>
          <cell r="BY30">
            <v>1251</v>
          </cell>
          <cell r="CF30">
            <v>33183</v>
          </cell>
          <cell r="CG30">
            <v>727.32</v>
          </cell>
          <cell r="CJ30">
            <v>0</v>
          </cell>
          <cell r="CK30">
            <v>0</v>
          </cell>
          <cell r="CL30">
            <v>0</v>
          </cell>
          <cell r="CM30">
            <v>0</v>
          </cell>
          <cell r="CN30">
            <v>0</v>
          </cell>
          <cell r="CO30">
            <v>0</v>
          </cell>
          <cell r="CX30">
            <v>0</v>
          </cell>
          <cell r="CY30">
            <v>0</v>
          </cell>
          <cell r="DB30">
            <v>0</v>
          </cell>
          <cell r="DC30">
            <v>0</v>
          </cell>
          <cell r="DJ30" t="str">
            <v>НКРЕ</v>
          </cell>
          <cell r="DL30">
            <v>40526</v>
          </cell>
          <cell r="DM30">
            <v>1785</v>
          </cell>
          <cell r="DO30" t="str">
            <v>Тариф на теплову енергію</v>
          </cell>
          <cell r="DT30">
            <v>259.33</v>
          </cell>
        </row>
        <row r="31">
          <cell r="W31">
            <v>514.33000000000004</v>
          </cell>
          <cell r="AF31">
            <v>40123</v>
          </cell>
          <cell r="AG31">
            <v>262</v>
          </cell>
          <cell r="AH31">
            <v>481.65482014831224</v>
          </cell>
          <cell r="AM31">
            <v>32499</v>
          </cell>
          <cell r="AO31">
            <v>16715210.670000002</v>
          </cell>
          <cell r="AQ31">
            <v>15653300</v>
          </cell>
          <cell r="AU31">
            <v>0</v>
          </cell>
          <cell r="AW31">
            <v>0</v>
          </cell>
          <cell r="AY31">
            <v>12914799.219999999</v>
          </cell>
          <cell r="AZ31">
            <v>397.39066494353671</v>
          </cell>
          <cell r="BA31">
            <v>0</v>
          </cell>
          <cell r="BB31">
            <v>0</v>
          </cell>
          <cell r="BC31">
            <v>0</v>
          </cell>
          <cell r="BD31">
            <v>0</v>
          </cell>
          <cell r="BG31">
            <v>0</v>
          </cell>
          <cell r="BH31">
            <v>0</v>
          </cell>
          <cell r="BI31">
            <v>819300</v>
          </cell>
          <cell r="BJ31">
            <v>25.210006461737283</v>
          </cell>
          <cell r="BK31">
            <v>0</v>
          </cell>
          <cell r="BL31">
            <v>0</v>
          </cell>
          <cell r="BM31">
            <v>1285900</v>
          </cell>
          <cell r="BN31">
            <v>39.567371303732422</v>
          </cell>
          <cell r="BO31">
            <v>0</v>
          </cell>
          <cell r="BP31">
            <v>0</v>
          </cell>
          <cell r="BY31">
            <v>1251</v>
          </cell>
          <cell r="CF31">
            <v>5917</v>
          </cell>
          <cell r="CG31">
            <v>2182.66</v>
          </cell>
          <cell r="CJ31">
            <v>0</v>
          </cell>
          <cell r="CK31">
            <v>0</v>
          </cell>
          <cell r="CL31">
            <v>0</v>
          </cell>
          <cell r="CM31">
            <v>0</v>
          </cell>
          <cell r="CN31">
            <v>0</v>
          </cell>
          <cell r="CO31">
            <v>0</v>
          </cell>
          <cell r="CX31">
            <v>0</v>
          </cell>
          <cell r="CY31">
            <v>0</v>
          </cell>
          <cell r="DB31">
            <v>0</v>
          </cell>
          <cell r="DC31">
            <v>0</v>
          </cell>
          <cell r="DJ31" t="str">
            <v>НКРКП</v>
          </cell>
          <cell r="DL31">
            <v>40816</v>
          </cell>
          <cell r="DM31">
            <v>67</v>
          </cell>
          <cell r="DT31">
            <v>800.04</v>
          </cell>
        </row>
        <row r="32">
          <cell r="W32">
            <v>553.65</v>
          </cell>
          <cell r="AF32">
            <v>40123</v>
          </cell>
          <cell r="AG32">
            <v>263</v>
          </cell>
          <cell r="AH32">
            <v>483.87443560524616</v>
          </cell>
          <cell r="AM32">
            <v>13953</v>
          </cell>
          <cell r="AO32">
            <v>7725078.4499999993</v>
          </cell>
          <cell r="AQ32">
            <v>6751500</v>
          </cell>
          <cell r="AU32">
            <v>0</v>
          </cell>
          <cell r="AW32">
            <v>0</v>
          </cell>
          <cell r="AY32">
            <v>5543956.3999999994</v>
          </cell>
          <cell r="AZ32">
            <v>397.33078191070018</v>
          </cell>
          <cell r="BA32">
            <v>0</v>
          </cell>
          <cell r="BB32">
            <v>0</v>
          </cell>
          <cell r="BC32">
            <v>0</v>
          </cell>
          <cell r="BD32">
            <v>0</v>
          </cell>
          <cell r="BG32">
            <v>0</v>
          </cell>
          <cell r="BH32">
            <v>0</v>
          </cell>
          <cell r="BI32">
            <v>351700</v>
          </cell>
          <cell r="BJ32">
            <v>25.206048878377409</v>
          </cell>
          <cell r="BK32">
            <v>0</v>
          </cell>
          <cell r="BL32">
            <v>0</v>
          </cell>
          <cell r="BM32">
            <v>551800</v>
          </cell>
          <cell r="BN32">
            <v>39.547050813445139</v>
          </cell>
          <cell r="BO32">
            <v>0</v>
          </cell>
          <cell r="BP32">
            <v>0</v>
          </cell>
          <cell r="BY32">
            <v>1251</v>
          </cell>
          <cell r="CF32">
            <v>2540</v>
          </cell>
          <cell r="CG32">
            <v>2182.66</v>
          </cell>
          <cell r="CJ32">
            <v>0</v>
          </cell>
          <cell r="CK32">
            <v>0</v>
          </cell>
          <cell r="CL32">
            <v>0</v>
          </cell>
          <cell r="CM32">
            <v>0</v>
          </cell>
          <cell r="CN32">
            <v>0</v>
          </cell>
          <cell r="CO32">
            <v>0</v>
          </cell>
          <cell r="CX32">
            <v>0</v>
          </cell>
          <cell r="CY32">
            <v>0</v>
          </cell>
          <cell r="DB32">
            <v>0</v>
          </cell>
          <cell r="DC32">
            <v>0</v>
          </cell>
          <cell r="DJ32" t="str">
            <v>НКРКП</v>
          </cell>
          <cell r="DL32">
            <v>40816</v>
          </cell>
          <cell r="DM32">
            <v>67</v>
          </cell>
          <cell r="DT32">
            <v>839.32</v>
          </cell>
        </row>
        <row r="33">
          <cell r="W33">
            <v>208.84</v>
          </cell>
          <cell r="AF33">
            <v>39755</v>
          </cell>
          <cell r="AG33">
            <v>236</v>
          </cell>
          <cell r="AH33">
            <v>189.84577504196977</v>
          </cell>
          <cell r="AM33">
            <v>35740</v>
          </cell>
          <cell r="AO33">
            <v>7463941.6000000006</v>
          </cell>
          <cell r="AQ33">
            <v>6785088</v>
          </cell>
          <cell r="AU33">
            <v>0</v>
          </cell>
          <cell r="AW33">
            <v>0</v>
          </cell>
          <cell r="AY33">
            <v>4124631.72</v>
          </cell>
          <cell r="AZ33">
            <v>115.40659541130387</v>
          </cell>
          <cell r="BA33">
            <v>0</v>
          </cell>
          <cell r="BB33">
            <v>0</v>
          </cell>
          <cell r="BC33">
            <v>0</v>
          </cell>
          <cell r="BD33">
            <v>0</v>
          </cell>
          <cell r="BG33">
            <v>0</v>
          </cell>
          <cell r="BH33">
            <v>0</v>
          </cell>
          <cell r="BI33">
            <v>577142</v>
          </cell>
          <cell r="BJ33">
            <v>16.14834918858422</v>
          </cell>
          <cell r="BK33">
            <v>0</v>
          </cell>
          <cell r="BL33">
            <v>0</v>
          </cell>
          <cell r="BM33">
            <v>1650444</v>
          </cell>
          <cell r="BN33">
            <v>46.179182988248463</v>
          </cell>
          <cell r="BO33">
            <v>0</v>
          </cell>
          <cell r="BP33">
            <v>0</v>
          </cell>
          <cell r="BY33">
            <v>1779.68</v>
          </cell>
          <cell r="CF33">
            <v>5671</v>
          </cell>
          <cell r="CG33">
            <v>727.32</v>
          </cell>
          <cell r="CJ33">
            <v>0</v>
          </cell>
          <cell r="CK33">
            <v>0</v>
          </cell>
          <cell r="CL33">
            <v>0</v>
          </cell>
          <cell r="CM33">
            <v>0</v>
          </cell>
          <cell r="CN33">
            <v>0</v>
          </cell>
          <cell r="CO33">
            <v>0</v>
          </cell>
          <cell r="CX33">
            <v>0</v>
          </cell>
          <cell r="CY33">
            <v>0</v>
          </cell>
          <cell r="DB33">
            <v>0</v>
          </cell>
          <cell r="DC33">
            <v>0</v>
          </cell>
          <cell r="DJ33" t="str">
            <v>НКРЕ</v>
          </cell>
          <cell r="DL33">
            <v>40526</v>
          </cell>
          <cell r="DM33" t="str">
            <v>№ 1703</v>
          </cell>
          <cell r="DO33" t="str">
            <v>Тариф на теплову енергію</v>
          </cell>
          <cell r="DT33">
            <v>229.72</v>
          </cell>
        </row>
        <row r="34">
          <cell r="W34">
            <v>467.33</v>
          </cell>
          <cell r="AF34">
            <v>39864</v>
          </cell>
          <cell r="AG34">
            <v>311</v>
          </cell>
          <cell r="AH34">
            <v>417.25531914893617</v>
          </cell>
          <cell r="AM34">
            <v>6110</v>
          </cell>
          <cell r="AO34">
            <v>2855386.3</v>
          </cell>
          <cell r="AQ34">
            <v>2549430</v>
          </cell>
          <cell r="AU34">
            <v>0</v>
          </cell>
          <cell r="AW34">
            <v>0</v>
          </cell>
          <cell r="AY34">
            <v>2076547.1925000001</v>
          </cell>
          <cell r="AZ34">
            <v>339.86042430441898</v>
          </cell>
          <cell r="BA34">
            <v>0</v>
          </cell>
          <cell r="BB34">
            <v>0</v>
          </cell>
          <cell r="BC34">
            <v>0</v>
          </cell>
          <cell r="BD34">
            <v>0</v>
          </cell>
          <cell r="BG34">
            <v>0</v>
          </cell>
          <cell r="BH34">
            <v>0</v>
          </cell>
          <cell r="BI34">
            <v>108040</v>
          </cell>
          <cell r="BJ34">
            <v>17.682487725040918</v>
          </cell>
          <cell r="BK34">
            <v>0</v>
          </cell>
          <cell r="BL34">
            <v>0</v>
          </cell>
          <cell r="BM34">
            <v>286678</v>
          </cell>
          <cell r="BN34">
            <v>46.919476268412438</v>
          </cell>
          <cell r="BO34">
            <v>0</v>
          </cell>
          <cell r="BP34">
            <v>0</v>
          </cell>
          <cell r="BY34">
            <v>1779.68</v>
          </cell>
          <cell r="CF34">
            <v>969.33</v>
          </cell>
          <cell r="CG34">
            <v>2142.25</v>
          </cell>
          <cell r="CJ34">
            <v>0</v>
          </cell>
          <cell r="CK34">
            <v>0</v>
          </cell>
          <cell r="CL34">
            <v>0</v>
          </cell>
          <cell r="CM34">
            <v>0</v>
          </cell>
          <cell r="CN34">
            <v>0</v>
          </cell>
          <cell r="CO34">
            <v>0</v>
          </cell>
          <cell r="CX34">
            <v>0</v>
          </cell>
          <cell r="CY34">
            <v>0</v>
          </cell>
          <cell r="DB34">
            <v>0</v>
          </cell>
          <cell r="DC34">
            <v>0</v>
          </cell>
          <cell r="DJ34" t="str">
            <v>НКРКП</v>
          </cell>
          <cell r="DL34">
            <v>40816</v>
          </cell>
          <cell r="DM34" t="str">
            <v>№ 85</v>
          </cell>
          <cell r="DT34">
            <v>722.6</v>
          </cell>
        </row>
        <row r="35">
          <cell r="W35">
            <v>479.85</v>
          </cell>
          <cell r="AF35">
            <v>39864</v>
          </cell>
          <cell r="AG35">
            <v>311</v>
          </cell>
          <cell r="AH35">
            <v>417.255033557047</v>
          </cell>
          <cell r="AM35">
            <v>1788</v>
          </cell>
          <cell r="AO35">
            <v>857971.8</v>
          </cell>
          <cell r="AQ35">
            <v>746052</v>
          </cell>
          <cell r="AU35">
            <v>0</v>
          </cell>
          <cell r="AW35">
            <v>0</v>
          </cell>
          <cell r="AY35">
            <v>607670.63500000001</v>
          </cell>
          <cell r="AZ35">
            <v>339.86053411633111</v>
          </cell>
          <cell r="BA35">
            <v>0</v>
          </cell>
          <cell r="BB35">
            <v>0</v>
          </cell>
          <cell r="BC35">
            <v>0</v>
          </cell>
          <cell r="BD35">
            <v>0</v>
          </cell>
          <cell r="BG35">
            <v>0</v>
          </cell>
          <cell r="BH35">
            <v>0</v>
          </cell>
          <cell r="BI35">
            <v>31616</v>
          </cell>
          <cell r="BJ35">
            <v>17.682326621923938</v>
          </cell>
          <cell r="BK35">
            <v>0</v>
          </cell>
          <cell r="BL35">
            <v>0</v>
          </cell>
          <cell r="BM35">
            <v>83892</v>
          </cell>
          <cell r="BN35">
            <v>46.919463087248324</v>
          </cell>
          <cell r="BO35">
            <v>0</v>
          </cell>
          <cell r="BP35">
            <v>0</v>
          </cell>
          <cell r="BY35">
            <v>1779.68</v>
          </cell>
          <cell r="CF35">
            <v>283.66000000000003</v>
          </cell>
          <cell r="CG35">
            <v>2142.25</v>
          </cell>
          <cell r="CJ35">
            <v>0</v>
          </cell>
          <cell r="CK35">
            <v>0</v>
          </cell>
          <cell r="CL35">
            <v>0</v>
          </cell>
          <cell r="CM35">
            <v>0</v>
          </cell>
          <cell r="CN35">
            <v>0</v>
          </cell>
          <cell r="CO35">
            <v>0</v>
          </cell>
          <cell r="CX35">
            <v>0</v>
          </cell>
          <cell r="CY35">
            <v>0</v>
          </cell>
          <cell r="DB35">
            <v>0</v>
          </cell>
          <cell r="DC35">
            <v>0</v>
          </cell>
          <cell r="DJ35" t="str">
            <v>НКРКП</v>
          </cell>
          <cell r="DL35">
            <v>40816</v>
          </cell>
          <cell r="DM35" t="str">
            <v>№ 85</v>
          </cell>
          <cell r="DT35">
            <v>735.12</v>
          </cell>
        </row>
        <row r="36">
          <cell r="W36">
            <v>231.22</v>
          </cell>
          <cell r="AF36">
            <v>39770</v>
          </cell>
          <cell r="AG36">
            <v>247</v>
          </cell>
          <cell r="AH36">
            <v>225.96157265281448</v>
          </cell>
          <cell r="AM36">
            <v>84367</v>
          </cell>
          <cell r="AO36">
            <v>19507337.739999998</v>
          </cell>
          <cell r="AQ36">
            <v>19063700</v>
          </cell>
          <cell r="AU36">
            <v>0</v>
          </cell>
          <cell r="AW36">
            <v>0</v>
          </cell>
          <cell r="AY36">
            <v>10168499.964084001</v>
          </cell>
          <cell r="AZ36">
            <v>120.52698287344579</v>
          </cell>
          <cell r="BA36">
            <v>0</v>
          </cell>
          <cell r="BB36">
            <v>0</v>
          </cell>
          <cell r="BC36">
            <v>0</v>
          </cell>
          <cell r="BD36">
            <v>0</v>
          </cell>
          <cell r="BG36">
            <v>0</v>
          </cell>
          <cell r="BH36">
            <v>0</v>
          </cell>
          <cell r="BI36">
            <v>1999240</v>
          </cell>
          <cell r="BJ36">
            <v>23.696943117569667</v>
          </cell>
          <cell r="BK36">
            <v>0</v>
          </cell>
          <cell r="BL36">
            <v>0</v>
          </cell>
          <cell r="BM36">
            <v>5610705</v>
          </cell>
          <cell r="BN36">
            <v>66.503549966219026</v>
          </cell>
          <cell r="BO36">
            <v>0</v>
          </cell>
          <cell r="BP36">
            <v>0</v>
          </cell>
          <cell r="BY36">
            <v>1988.33</v>
          </cell>
          <cell r="CF36">
            <v>13980.778700000001</v>
          </cell>
          <cell r="CG36">
            <v>727.32</v>
          </cell>
          <cell r="CJ36">
            <v>0</v>
          </cell>
          <cell r="CK36">
            <v>0</v>
          </cell>
          <cell r="CL36">
            <v>0</v>
          </cell>
          <cell r="CM36">
            <v>0</v>
          </cell>
          <cell r="CN36">
            <v>0</v>
          </cell>
          <cell r="CO36">
            <v>0</v>
          </cell>
          <cell r="CX36">
            <v>0</v>
          </cell>
          <cell r="CY36">
            <v>0</v>
          </cell>
          <cell r="DB36">
            <v>0</v>
          </cell>
          <cell r="DC36">
            <v>0</v>
          </cell>
          <cell r="DJ36" t="str">
            <v>НКРЕ</v>
          </cell>
          <cell r="DL36">
            <v>40526</v>
          </cell>
          <cell r="DM36" t="str">
            <v>№ 1769</v>
          </cell>
          <cell r="DO36" t="str">
            <v>Тариф на теплову енергію</v>
          </cell>
          <cell r="DT36">
            <v>254.35</v>
          </cell>
        </row>
        <row r="37">
          <cell r="W37">
            <v>577.32000000000005</v>
          </cell>
          <cell r="AF37">
            <v>39853</v>
          </cell>
          <cell r="AG37">
            <v>300</v>
          </cell>
          <cell r="AH37">
            <v>465.90515636974055</v>
          </cell>
          <cell r="AM37">
            <v>27403</v>
          </cell>
          <cell r="AO37">
            <v>15820299.960000001</v>
          </cell>
          <cell r="AQ37">
            <v>12767199</v>
          </cell>
          <cell r="AU37">
            <v>0</v>
          </cell>
          <cell r="AW37">
            <v>0</v>
          </cell>
          <cell r="AY37">
            <v>9853409.9807000011</v>
          </cell>
          <cell r="AZ37">
            <v>359.57413351457876</v>
          </cell>
          <cell r="BA37">
            <v>0</v>
          </cell>
          <cell r="BB37">
            <v>0</v>
          </cell>
          <cell r="BC37">
            <v>0</v>
          </cell>
          <cell r="BD37">
            <v>0</v>
          </cell>
          <cell r="BG37">
            <v>0</v>
          </cell>
          <cell r="BH37">
            <v>0</v>
          </cell>
          <cell r="BI37">
            <v>681101</v>
          </cell>
          <cell r="BJ37">
            <v>24.854979381819508</v>
          </cell>
          <cell r="BK37">
            <v>0</v>
          </cell>
          <cell r="BL37">
            <v>0</v>
          </cell>
          <cell r="BM37">
            <v>1822415</v>
          </cell>
          <cell r="BN37">
            <v>66.504214866985365</v>
          </cell>
          <cell r="BO37">
            <v>0</v>
          </cell>
          <cell r="BP37">
            <v>0</v>
          </cell>
          <cell r="BY37">
            <v>1988.33</v>
          </cell>
          <cell r="CF37">
            <v>4599.5612000000001</v>
          </cell>
          <cell r="CG37">
            <v>2142.25</v>
          </cell>
          <cell r="CJ37">
            <v>0</v>
          </cell>
          <cell r="CK37">
            <v>0</v>
          </cell>
          <cell r="CL37">
            <v>0</v>
          </cell>
          <cell r="CM37">
            <v>0</v>
          </cell>
          <cell r="CN37">
            <v>0</v>
          </cell>
          <cell r="CO37">
            <v>0</v>
          </cell>
          <cell r="CX37">
            <v>0</v>
          </cell>
          <cell r="CY37">
            <v>0</v>
          </cell>
          <cell r="DB37">
            <v>0</v>
          </cell>
          <cell r="DC37">
            <v>0</v>
          </cell>
          <cell r="DJ37" t="str">
            <v>НКРКП</v>
          </cell>
          <cell r="DL37">
            <v>40816</v>
          </cell>
          <cell r="DM37" t="str">
            <v>№ 84</v>
          </cell>
          <cell r="DT37">
            <v>847.49</v>
          </cell>
        </row>
        <row r="38">
          <cell r="W38">
            <v>577.32000000000005</v>
          </cell>
          <cell r="AF38">
            <v>39853</v>
          </cell>
          <cell r="AG38">
            <v>300</v>
          </cell>
          <cell r="AH38">
            <v>465.90500836053826</v>
          </cell>
          <cell r="AM38">
            <v>12559</v>
          </cell>
          <cell r="AO38">
            <v>7250561.8800000008</v>
          </cell>
          <cell r="AQ38">
            <v>5851301</v>
          </cell>
          <cell r="AU38">
            <v>0</v>
          </cell>
          <cell r="AW38">
            <v>0</v>
          </cell>
          <cell r="AY38">
            <v>4515890.84925</v>
          </cell>
          <cell r="AZ38">
            <v>359.574078290469</v>
          </cell>
          <cell r="BA38">
            <v>0</v>
          </cell>
          <cell r="BB38">
            <v>0</v>
          </cell>
          <cell r="BC38">
            <v>0</v>
          </cell>
          <cell r="BD38">
            <v>0</v>
          </cell>
          <cell r="BG38">
            <v>0</v>
          </cell>
          <cell r="BH38">
            <v>0</v>
          </cell>
          <cell r="BI38">
            <v>312154</v>
          </cell>
          <cell r="BJ38">
            <v>24.855004379329564</v>
          </cell>
          <cell r="BK38">
            <v>0</v>
          </cell>
          <cell r="BL38">
            <v>0</v>
          </cell>
          <cell r="BM38">
            <v>835226</v>
          </cell>
          <cell r="BN38">
            <v>66.504180269129705</v>
          </cell>
          <cell r="BO38">
            <v>0</v>
          </cell>
          <cell r="BP38">
            <v>0</v>
          </cell>
          <cell r="BY38">
            <v>1988.33</v>
          </cell>
          <cell r="CF38">
            <v>2108.0129999999999</v>
          </cell>
          <cell r="CG38">
            <v>2142.25</v>
          </cell>
          <cell r="CJ38">
            <v>0</v>
          </cell>
          <cell r="CK38">
            <v>0</v>
          </cell>
          <cell r="CL38">
            <v>0</v>
          </cell>
          <cell r="CM38">
            <v>0</v>
          </cell>
          <cell r="CN38">
            <v>0</v>
          </cell>
          <cell r="CO38">
            <v>0</v>
          </cell>
          <cell r="CX38">
            <v>0</v>
          </cell>
          <cell r="CY38">
            <v>0</v>
          </cell>
          <cell r="DB38">
            <v>0</v>
          </cell>
          <cell r="DC38">
            <v>0</v>
          </cell>
          <cell r="DJ38" t="str">
            <v>НКРКП</v>
          </cell>
          <cell r="DL38">
            <v>40816</v>
          </cell>
          <cell r="DM38" t="str">
            <v>№ 84</v>
          </cell>
          <cell r="DT38">
            <v>847.49</v>
          </cell>
        </row>
        <row r="39">
          <cell r="W39">
            <v>257.75</v>
          </cell>
          <cell r="AF39">
            <v>39770</v>
          </cell>
          <cell r="AG39">
            <v>242</v>
          </cell>
          <cell r="AH39">
            <v>252.69882587505538</v>
          </cell>
          <cell r="AM39">
            <v>54168</v>
          </cell>
          <cell r="AO39">
            <v>13961802</v>
          </cell>
          <cell r="AQ39">
            <v>13688190</v>
          </cell>
          <cell r="AU39">
            <v>0</v>
          </cell>
          <cell r="AW39">
            <v>0</v>
          </cell>
          <cell r="AY39">
            <v>6372399.6336000003</v>
          </cell>
          <cell r="AZ39">
            <v>117.6414051395658</v>
          </cell>
          <cell r="BA39">
            <v>0</v>
          </cell>
          <cell r="BB39">
            <v>0</v>
          </cell>
          <cell r="BC39">
            <v>0</v>
          </cell>
          <cell r="BD39">
            <v>0</v>
          </cell>
          <cell r="BG39">
            <v>0</v>
          </cell>
          <cell r="BH39">
            <v>0</v>
          </cell>
          <cell r="BI39">
            <v>1162445</v>
          </cell>
          <cell r="BJ39">
            <v>21.45999483089647</v>
          </cell>
          <cell r="BK39">
            <v>0</v>
          </cell>
          <cell r="BL39">
            <v>0</v>
          </cell>
          <cell r="BM39">
            <v>4292814</v>
          </cell>
          <cell r="BN39">
            <v>79.25</v>
          </cell>
          <cell r="BO39">
            <v>0</v>
          </cell>
          <cell r="BP39">
            <v>0</v>
          </cell>
          <cell r="BY39">
            <v>2187</v>
          </cell>
          <cell r="CF39">
            <v>8761.48</v>
          </cell>
          <cell r="CG39">
            <v>727.32</v>
          </cell>
          <cell r="CJ39">
            <v>0</v>
          </cell>
          <cell r="CK39">
            <v>0</v>
          </cell>
          <cell r="CL39">
            <v>0</v>
          </cell>
          <cell r="CM39">
            <v>0</v>
          </cell>
          <cell r="CN39">
            <v>0</v>
          </cell>
          <cell r="CO39">
            <v>0</v>
          </cell>
          <cell r="CX39">
            <v>0</v>
          </cell>
          <cell r="CY39">
            <v>0</v>
          </cell>
          <cell r="DB39">
            <v>0</v>
          </cell>
          <cell r="DC39">
            <v>0</v>
          </cell>
          <cell r="DJ39" t="str">
            <v>НКРЕ</v>
          </cell>
          <cell r="DL39">
            <v>40526</v>
          </cell>
          <cell r="DM39" t="str">
            <v>№ 1771</v>
          </cell>
          <cell r="DO39" t="str">
            <v>Тариф на теплову енергію</v>
          </cell>
          <cell r="DT39">
            <v>283.52999999999997</v>
          </cell>
        </row>
        <row r="40">
          <cell r="W40">
            <v>549.17999999999995</v>
          </cell>
          <cell r="AF40">
            <v>39854</v>
          </cell>
          <cell r="AG40">
            <v>302</v>
          </cell>
          <cell r="AH40">
            <v>490.33687036563538</v>
          </cell>
          <cell r="AM40">
            <v>15644</v>
          </cell>
          <cell r="AO40">
            <v>8591371.9199999999</v>
          </cell>
          <cell r="AQ40">
            <v>7670830</v>
          </cell>
          <cell r="AU40">
            <v>0</v>
          </cell>
          <cell r="AW40">
            <v>0</v>
          </cell>
          <cell r="AY40">
            <v>5453559.886775</v>
          </cell>
          <cell r="AZ40">
            <v>348.60393037426491</v>
          </cell>
          <cell r="BA40">
            <v>0</v>
          </cell>
          <cell r="BB40">
            <v>0</v>
          </cell>
          <cell r="BC40">
            <v>0</v>
          </cell>
          <cell r="BD40">
            <v>0</v>
          </cell>
          <cell r="BG40">
            <v>0</v>
          </cell>
          <cell r="BH40">
            <v>0</v>
          </cell>
          <cell r="BI40">
            <v>335720</v>
          </cell>
          <cell r="BJ40">
            <v>21.459984658655074</v>
          </cell>
          <cell r="BK40">
            <v>0</v>
          </cell>
          <cell r="BL40">
            <v>0</v>
          </cell>
          <cell r="BM40">
            <v>1239787</v>
          </cell>
          <cell r="BN40">
            <v>79.25</v>
          </cell>
          <cell r="BO40">
            <v>0</v>
          </cell>
          <cell r="BP40">
            <v>0</v>
          </cell>
          <cell r="BY40">
            <v>2187</v>
          </cell>
          <cell r="CF40">
            <v>2545.7159000000001</v>
          </cell>
          <cell r="CG40">
            <v>2142.25</v>
          </cell>
          <cell r="CJ40">
            <v>0</v>
          </cell>
          <cell r="CK40">
            <v>0</v>
          </cell>
          <cell r="CL40">
            <v>0</v>
          </cell>
          <cell r="CM40">
            <v>0</v>
          </cell>
          <cell r="CN40">
            <v>0</v>
          </cell>
          <cell r="CO40">
            <v>0</v>
          </cell>
          <cell r="CX40">
            <v>0</v>
          </cell>
          <cell r="CY40">
            <v>0</v>
          </cell>
          <cell r="DB40">
            <v>0</v>
          </cell>
          <cell r="DC40">
            <v>0</v>
          </cell>
          <cell r="DJ40" t="str">
            <v>НКРКП</v>
          </cell>
          <cell r="DL40">
            <v>40816</v>
          </cell>
          <cell r="DM40" t="str">
            <v>№ 83</v>
          </cell>
          <cell r="DT40">
            <v>811.12</v>
          </cell>
        </row>
        <row r="41">
          <cell r="W41">
            <v>549.17999999999995</v>
          </cell>
          <cell r="AF41">
            <v>39854</v>
          </cell>
          <cell r="AG41">
            <v>302</v>
          </cell>
          <cell r="AH41">
            <v>490.33687002652522</v>
          </cell>
          <cell r="AM41">
            <v>3770</v>
          </cell>
          <cell r="AO41">
            <v>2070408.5999999999</v>
          </cell>
          <cell r="AQ41">
            <v>1848570</v>
          </cell>
          <cell r="AU41">
            <v>0</v>
          </cell>
          <cell r="AW41">
            <v>0</v>
          </cell>
          <cell r="AY41">
            <v>1314238.0270250002</v>
          </cell>
          <cell r="AZ41">
            <v>348.60425120026531</v>
          </cell>
          <cell r="BA41">
            <v>0</v>
          </cell>
          <cell r="BB41">
            <v>0</v>
          </cell>
          <cell r="BC41">
            <v>0</v>
          </cell>
          <cell r="BD41">
            <v>0</v>
          </cell>
          <cell r="BG41">
            <v>0</v>
          </cell>
          <cell r="BH41">
            <v>0</v>
          </cell>
          <cell r="BI41">
            <v>80915</v>
          </cell>
          <cell r="BJ41">
            <v>21.46286472148541</v>
          </cell>
          <cell r="BK41">
            <v>0</v>
          </cell>
          <cell r="BL41">
            <v>0</v>
          </cell>
          <cell r="BM41">
            <v>298773</v>
          </cell>
          <cell r="BN41">
            <v>79.250132625994695</v>
          </cell>
          <cell r="BO41">
            <v>0</v>
          </cell>
          <cell r="BP41">
            <v>0</v>
          </cell>
          <cell r="BY41">
            <v>2187</v>
          </cell>
          <cell r="CF41">
            <v>613.48490000000004</v>
          </cell>
          <cell r="CG41">
            <v>2142.25</v>
          </cell>
          <cell r="CJ41">
            <v>0</v>
          </cell>
          <cell r="CK41">
            <v>0</v>
          </cell>
          <cell r="CL41">
            <v>0</v>
          </cell>
          <cell r="CM41">
            <v>0</v>
          </cell>
          <cell r="CN41">
            <v>0</v>
          </cell>
          <cell r="CO41">
            <v>0</v>
          </cell>
          <cell r="CX41">
            <v>0</v>
          </cell>
          <cell r="CY41">
            <v>0</v>
          </cell>
          <cell r="DB41">
            <v>0</v>
          </cell>
          <cell r="DC41">
            <v>0</v>
          </cell>
          <cell r="DJ41" t="str">
            <v>НКРКП</v>
          </cell>
          <cell r="DL41">
            <v>40816</v>
          </cell>
          <cell r="DM41" t="str">
            <v>№ 83</v>
          </cell>
          <cell r="DT41">
            <v>811.12</v>
          </cell>
        </row>
        <row r="42">
          <cell r="W42">
            <v>216.44</v>
          </cell>
          <cell r="AF42">
            <v>39924</v>
          </cell>
          <cell r="AG42">
            <v>340</v>
          </cell>
          <cell r="AH42">
            <v>193.24520347684182</v>
          </cell>
          <cell r="AM42">
            <v>176482</v>
          </cell>
          <cell r="AO42">
            <v>38197764.079999998</v>
          </cell>
          <cell r="AQ42">
            <v>34104300</v>
          </cell>
          <cell r="AU42">
            <v>0</v>
          </cell>
          <cell r="AW42">
            <v>0</v>
          </cell>
          <cell r="AY42">
            <v>20437401.072000001</v>
          </cell>
          <cell r="AZ42">
            <v>115.80445072018676</v>
          </cell>
          <cell r="BA42">
            <v>0</v>
          </cell>
          <cell r="BB42">
            <v>0</v>
          </cell>
          <cell r="BC42">
            <v>0</v>
          </cell>
          <cell r="BD42">
            <v>0</v>
          </cell>
          <cell r="BG42">
            <v>0</v>
          </cell>
          <cell r="BH42">
            <v>0</v>
          </cell>
          <cell r="BI42">
            <v>4768900</v>
          </cell>
          <cell r="BJ42">
            <v>27.022019242755636</v>
          </cell>
          <cell r="BK42">
            <v>0</v>
          </cell>
          <cell r="BL42">
            <v>0</v>
          </cell>
          <cell r="BM42">
            <v>5142900</v>
          </cell>
          <cell r="BN42">
            <v>29.141215534728754</v>
          </cell>
          <cell r="BO42">
            <v>0</v>
          </cell>
          <cell r="BP42">
            <v>0</v>
          </cell>
          <cell r="BY42">
            <v>2210.2800000000002</v>
          </cell>
          <cell r="CF42">
            <v>28099.599999999999</v>
          </cell>
          <cell r="CG42">
            <v>727.32</v>
          </cell>
          <cell r="CJ42">
            <v>0</v>
          </cell>
          <cell r="CK42">
            <v>0</v>
          </cell>
          <cell r="CL42">
            <v>0</v>
          </cell>
          <cell r="CM42">
            <v>0</v>
          </cell>
          <cell r="CN42">
            <v>0</v>
          </cell>
          <cell r="CO42">
            <v>0</v>
          </cell>
          <cell r="CX42">
            <v>0</v>
          </cell>
          <cell r="CY42">
            <v>0</v>
          </cell>
          <cell r="DB42">
            <v>0</v>
          </cell>
          <cell r="DC42">
            <v>0</v>
          </cell>
          <cell r="DJ42" t="str">
            <v>НКРЕ</v>
          </cell>
          <cell r="DL42">
            <v>40526</v>
          </cell>
          <cell r="DM42" t="str">
            <v>№ 1772</v>
          </cell>
          <cell r="DO42" t="str">
            <v>Тариф на теплову енергію</v>
          </cell>
          <cell r="DT42">
            <v>238.07</v>
          </cell>
        </row>
        <row r="43">
          <cell r="W43">
            <v>476.65</v>
          </cell>
          <cell r="AF43">
            <v>39854</v>
          </cell>
          <cell r="AG43">
            <v>305</v>
          </cell>
          <cell r="AH43">
            <v>425.58171676785628</v>
          </cell>
          <cell r="AM43">
            <v>20259</v>
          </cell>
          <cell r="AO43">
            <v>9656452.3499999996</v>
          </cell>
          <cell r="AQ43">
            <v>8621860</v>
          </cell>
          <cell r="AU43">
            <v>0</v>
          </cell>
          <cell r="AW43">
            <v>0</v>
          </cell>
          <cell r="AY43">
            <v>6915889.9424999999</v>
          </cell>
          <cell r="AZ43">
            <v>341.37370761143194</v>
          </cell>
          <cell r="BA43">
            <v>0</v>
          </cell>
          <cell r="BB43">
            <v>0</v>
          </cell>
          <cell r="BC43">
            <v>0</v>
          </cell>
          <cell r="BD43">
            <v>0</v>
          </cell>
          <cell r="BG43">
            <v>0</v>
          </cell>
          <cell r="BH43">
            <v>0</v>
          </cell>
          <cell r="BI43">
            <v>524100</v>
          </cell>
          <cell r="BJ43">
            <v>25.869983710943284</v>
          </cell>
          <cell r="BK43">
            <v>0</v>
          </cell>
          <cell r="BL43">
            <v>0</v>
          </cell>
          <cell r="BM43">
            <v>625800</v>
          </cell>
          <cell r="BN43">
            <v>30.889974826003257</v>
          </cell>
          <cell r="BO43">
            <v>0</v>
          </cell>
          <cell r="BP43">
            <v>0</v>
          </cell>
          <cell r="BY43">
            <v>2337.71</v>
          </cell>
          <cell r="CF43">
            <v>3228.33</v>
          </cell>
          <cell r="CG43">
            <v>2142.25</v>
          </cell>
          <cell r="CJ43">
            <v>0</v>
          </cell>
          <cell r="CK43">
            <v>0</v>
          </cell>
          <cell r="CL43">
            <v>0</v>
          </cell>
          <cell r="CM43">
            <v>0</v>
          </cell>
          <cell r="CN43">
            <v>0</v>
          </cell>
          <cell r="CO43">
            <v>0</v>
          </cell>
          <cell r="CX43">
            <v>0</v>
          </cell>
          <cell r="CY43">
            <v>0</v>
          </cell>
          <cell r="DB43">
            <v>0</v>
          </cell>
          <cell r="DC43">
            <v>0</v>
          </cell>
          <cell r="DJ43" t="str">
            <v>НКРКП</v>
          </cell>
          <cell r="DL43">
            <v>40816</v>
          </cell>
          <cell r="DM43" t="str">
            <v>№ 82</v>
          </cell>
          <cell r="DT43">
            <v>733.16</v>
          </cell>
        </row>
        <row r="44">
          <cell r="W44">
            <v>476.65</v>
          </cell>
          <cell r="AF44">
            <v>39854</v>
          </cell>
          <cell r="AG44">
            <v>305</v>
          </cell>
          <cell r="AH44">
            <v>425.57688113413303</v>
          </cell>
          <cell r="AM44">
            <v>9170</v>
          </cell>
          <cell r="AO44">
            <v>4370880.5</v>
          </cell>
          <cell r="AQ44">
            <v>3902540</v>
          </cell>
          <cell r="AU44">
            <v>0</v>
          </cell>
          <cell r="AW44">
            <v>0</v>
          </cell>
          <cell r="AY44">
            <v>3130512.77</v>
          </cell>
          <cell r="AZ44">
            <v>341.38634351145038</v>
          </cell>
          <cell r="BA44">
            <v>0</v>
          </cell>
          <cell r="BB44">
            <v>0</v>
          </cell>
          <cell r="BC44">
            <v>0</v>
          </cell>
          <cell r="BD44">
            <v>0</v>
          </cell>
          <cell r="BG44">
            <v>0</v>
          </cell>
          <cell r="BH44">
            <v>0</v>
          </cell>
          <cell r="BI44">
            <v>237200</v>
          </cell>
          <cell r="BJ44">
            <v>25.866957470010906</v>
          </cell>
          <cell r="BK44">
            <v>0</v>
          </cell>
          <cell r="BL44">
            <v>0</v>
          </cell>
          <cell r="BM44">
            <v>283100</v>
          </cell>
          <cell r="BN44">
            <v>30.872410032715376</v>
          </cell>
          <cell r="BO44">
            <v>0</v>
          </cell>
          <cell r="BP44">
            <v>0</v>
          </cell>
          <cell r="BY44">
            <v>2337.71</v>
          </cell>
          <cell r="CF44">
            <v>1461.32</v>
          </cell>
          <cell r="CG44">
            <v>2142.25</v>
          </cell>
          <cell r="CJ44">
            <v>0</v>
          </cell>
          <cell r="CK44">
            <v>0</v>
          </cell>
          <cell r="CL44">
            <v>0</v>
          </cell>
          <cell r="CM44">
            <v>0</v>
          </cell>
          <cell r="CN44">
            <v>0</v>
          </cell>
          <cell r="CO44">
            <v>0</v>
          </cell>
          <cell r="CX44">
            <v>0</v>
          </cell>
          <cell r="CY44">
            <v>0</v>
          </cell>
          <cell r="DB44">
            <v>0</v>
          </cell>
          <cell r="DC44">
            <v>0</v>
          </cell>
          <cell r="DJ44" t="str">
            <v>НКРКП</v>
          </cell>
          <cell r="DL44">
            <v>40816</v>
          </cell>
          <cell r="DM44" t="str">
            <v>№ 82</v>
          </cell>
          <cell r="DT44">
            <v>733.16</v>
          </cell>
        </row>
        <row r="45">
          <cell r="W45">
            <v>188.61135374957965</v>
          </cell>
          <cell r="AF45">
            <v>40072</v>
          </cell>
          <cell r="AG45" t="str">
            <v>№ В 346/01-15/2651</v>
          </cell>
          <cell r="AH45">
            <v>188.60664723685684</v>
          </cell>
          <cell r="AM45">
            <v>89210</v>
          </cell>
          <cell r="AO45">
            <v>16826018.868000001</v>
          </cell>
          <cell r="AQ45">
            <v>16825599</v>
          </cell>
          <cell r="AU45">
            <v>0</v>
          </cell>
          <cell r="AW45">
            <v>0</v>
          </cell>
          <cell r="AY45">
            <v>11503759</v>
          </cell>
          <cell r="AZ45">
            <v>128.95145163098309</v>
          </cell>
          <cell r="BA45">
            <v>0</v>
          </cell>
          <cell r="BB45">
            <v>0</v>
          </cell>
          <cell r="BC45">
            <v>0</v>
          </cell>
          <cell r="BD45">
            <v>0</v>
          </cell>
          <cell r="BG45">
            <v>0</v>
          </cell>
          <cell r="BH45">
            <v>0</v>
          </cell>
          <cell r="BI45">
            <v>2581922</v>
          </cell>
          <cell r="BJ45">
            <v>28.942069274744984</v>
          </cell>
          <cell r="BK45">
            <v>0</v>
          </cell>
          <cell r="BL45">
            <v>0</v>
          </cell>
          <cell r="BM45">
            <v>665918</v>
          </cell>
          <cell r="BN45">
            <v>7.464611590628853</v>
          </cell>
          <cell r="BO45">
            <v>0</v>
          </cell>
          <cell r="BP45">
            <v>0</v>
          </cell>
          <cell r="BY45">
            <v>1410.05</v>
          </cell>
          <cell r="CF45">
            <v>13986.547313175983</v>
          </cell>
          <cell r="CG45">
            <v>822.48740467655807</v>
          </cell>
          <cell r="CJ45">
            <v>0</v>
          </cell>
          <cell r="CK45">
            <v>0</v>
          </cell>
          <cell r="CL45">
            <v>0</v>
          </cell>
          <cell r="CM45">
            <v>0</v>
          </cell>
          <cell r="CN45">
            <v>0</v>
          </cell>
          <cell r="CO45">
            <v>0</v>
          </cell>
          <cell r="CX45">
            <v>0</v>
          </cell>
          <cell r="CY45">
            <v>0</v>
          </cell>
          <cell r="DB45">
            <v>0</v>
          </cell>
          <cell r="DC45">
            <v>0</v>
          </cell>
          <cell r="DJ45" t="str">
            <v>МОС</v>
          </cell>
          <cell r="DL45">
            <v>40100</v>
          </cell>
          <cell r="DM45" t="str">
            <v>№ 14901/07-26</v>
          </cell>
          <cell r="DO45" t="str">
            <v>Тарифи на виробництво, транспортування та постачання т/е</v>
          </cell>
          <cell r="DT45">
            <v>188.61135374957965</v>
          </cell>
        </row>
        <row r="46">
          <cell r="W46">
            <v>409.86411267587533</v>
          </cell>
          <cell r="AF46">
            <v>40072</v>
          </cell>
          <cell r="AG46" t="str">
            <v>№ В 346/01-15/2652</v>
          </cell>
          <cell r="AH46">
            <v>405.2443302280758</v>
          </cell>
          <cell r="AM46">
            <v>31130</v>
          </cell>
          <cell r="AO46">
            <v>12759069.827599999</v>
          </cell>
          <cell r="AQ46">
            <v>12615256</v>
          </cell>
          <cell r="AU46">
            <v>0</v>
          </cell>
          <cell r="AW46">
            <v>0</v>
          </cell>
          <cell r="AY46">
            <v>10652761.987247998</v>
          </cell>
          <cell r="AZ46">
            <v>342.20244096524249</v>
          </cell>
          <cell r="BA46">
            <v>0</v>
          </cell>
          <cell r="BB46">
            <v>0</v>
          </cell>
          <cell r="BC46">
            <v>0</v>
          </cell>
          <cell r="BD46">
            <v>0</v>
          </cell>
          <cell r="BG46">
            <v>0</v>
          </cell>
          <cell r="BH46">
            <v>0</v>
          </cell>
          <cell r="BI46">
            <v>900966</v>
          </cell>
          <cell r="BJ46">
            <v>28.942049469964665</v>
          </cell>
          <cell r="BK46">
            <v>0</v>
          </cell>
          <cell r="BL46">
            <v>0</v>
          </cell>
          <cell r="BM46">
            <v>232374</v>
          </cell>
          <cell r="BN46">
            <v>7.4646321876003858</v>
          </cell>
          <cell r="BO46">
            <v>0</v>
          </cell>
          <cell r="BP46">
            <v>0</v>
          </cell>
          <cell r="BY46">
            <v>1410.05</v>
          </cell>
          <cell r="CF46">
            <v>4880.6327999999994</v>
          </cell>
          <cell r="CG46">
            <v>2182.66</v>
          </cell>
          <cell r="CJ46">
            <v>0</v>
          </cell>
          <cell r="CK46">
            <v>0</v>
          </cell>
          <cell r="CL46">
            <v>0</v>
          </cell>
          <cell r="CM46">
            <v>0</v>
          </cell>
          <cell r="CN46">
            <v>0</v>
          </cell>
          <cell r="CO46">
            <v>0</v>
          </cell>
          <cell r="CX46">
            <v>0</v>
          </cell>
          <cell r="CY46">
            <v>0</v>
          </cell>
          <cell r="DB46">
            <v>0</v>
          </cell>
          <cell r="DC46">
            <v>0</v>
          </cell>
          <cell r="DJ46" t="str">
            <v>НКРКП</v>
          </cell>
          <cell r="DL46">
            <v>40942</v>
          </cell>
          <cell r="DM46" t="str">
            <v>№ 62</v>
          </cell>
          <cell r="DT46">
            <v>676.72</v>
          </cell>
        </row>
        <row r="47">
          <cell r="W47">
            <v>426.04923236614479</v>
          </cell>
          <cell r="AF47">
            <v>40072</v>
          </cell>
          <cell r="AG47" t="str">
            <v>№ В 346/01-15/2653</v>
          </cell>
          <cell r="AH47">
            <v>411.74189203985549</v>
          </cell>
          <cell r="AM47">
            <v>182660</v>
          </cell>
          <cell r="AO47">
            <v>77822152.784000009</v>
          </cell>
          <cell r="AQ47">
            <v>75208774</v>
          </cell>
          <cell r="AU47">
            <v>0</v>
          </cell>
          <cell r="AW47">
            <v>0</v>
          </cell>
          <cell r="AY47">
            <v>62506694.919383995</v>
          </cell>
          <cell r="AZ47">
            <v>342.20242482965068</v>
          </cell>
          <cell r="BA47">
            <v>0</v>
          </cell>
          <cell r="BB47">
            <v>0</v>
          </cell>
          <cell r="BC47">
            <v>0</v>
          </cell>
          <cell r="BD47">
            <v>0</v>
          </cell>
          <cell r="BG47">
            <v>0</v>
          </cell>
          <cell r="BH47">
            <v>0</v>
          </cell>
          <cell r="BI47">
            <v>5286556</v>
          </cell>
          <cell r="BJ47">
            <v>28.942056279426257</v>
          </cell>
          <cell r="BK47">
            <v>0</v>
          </cell>
          <cell r="BL47">
            <v>0</v>
          </cell>
          <cell r="BM47">
            <v>1502472</v>
          </cell>
          <cell r="BN47">
            <v>8.2255118799956204</v>
          </cell>
          <cell r="BO47">
            <v>0</v>
          </cell>
          <cell r="BP47">
            <v>0</v>
          </cell>
          <cell r="BY47">
            <v>1393.36</v>
          </cell>
          <cell r="CF47">
            <v>28637.8524</v>
          </cell>
          <cell r="CG47">
            <v>2182.66</v>
          </cell>
          <cell r="CJ47">
            <v>0</v>
          </cell>
          <cell r="CK47">
            <v>0</v>
          </cell>
          <cell r="CL47">
            <v>0</v>
          </cell>
          <cell r="CM47">
            <v>0</v>
          </cell>
          <cell r="CN47">
            <v>0</v>
          </cell>
          <cell r="CO47">
            <v>0</v>
          </cell>
          <cell r="CX47">
            <v>0</v>
          </cell>
          <cell r="CY47">
            <v>0</v>
          </cell>
          <cell r="DB47">
            <v>0</v>
          </cell>
          <cell r="DC47">
            <v>0</v>
          </cell>
          <cell r="DJ47" t="str">
            <v>НКРКП</v>
          </cell>
          <cell r="DL47">
            <v>40942</v>
          </cell>
          <cell r="DM47" t="str">
            <v>№ 62</v>
          </cell>
          <cell r="DT47">
            <v>692.91</v>
          </cell>
        </row>
        <row r="48">
          <cell r="W48">
            <v>247.89</v>
          </cell>
          <cell r="AF48">
            <v>40078</v>
          </cell>
          <cell r="AG48">
            <v>159</v>
          </cell>
          <cell r="AH48">
            <v>247.8941073795132</v>
          </cell>
          <cell r="AM48">
            <v>30937</v>
          </cell>
          <cell r="AO48">
            <v>7668972.9299999997</v>
          </cell>
          <cell r="AQ48">
            <v>7669100</v>
          </cell>
          <cell r="AU48">
            <v>0</v>
          </cell>
          <cell r="AW48">
            <v>0</v>
          </cell>
          <cell r="AY48">
            <v>3676852.9435439999</v>
          </cell>
          <cell r="AZ48">
            <v>118.84969271564793</v>
          </cell>
          <cell r="BA48">
            <v>0</v>
          </cell>
          <cell r="BB48">
            <v>0</v>
          </cell>
          <cell r="BC48">
            <v>0</v>
          </cell>
          <cell r="BD48">
            <v>0</v>
          </cell>
          <cell r="BG48">
            <v>0</v>
          </cell>
          <cell r="BH48">
            <v>0</v>
          </cell>
          <cell r="BI48">
            <v>841400</v>
          </cell>
          <cell r="BJ48">
            <v>27.197207227591559</v>
          </cell>
          <cell r="BK48">
            <v>0</v>
          </cell>
          <cell r="BL48">
            <v>0</v>
          </cell>
          <cell r="BM48">
            <v>1334706</v>
          </cell>
          <cell r="BN48">
            <v>43.14270937712125</v>
          </cell>
          <cell r="BO48">
            <v>0</v>
          </cell>
          <cell r="BP48">
            <v>0</v>
          </cell>
          <cell r="BY48">
            <v>1936.32</v>
          </cell>
          <cell r="CF48">
            <v>5055.3441999999995</v>
          </cell>
          <cell r="CG48">
            <v>727.32</v>
          </cell>
          <cell r="CJ48">
            <v>0</v>
          </cell>
          <cell r="CK48">
            <v>0</v>
          </cell>
          <cell r="CL48">
            <v>0</v>
          </cell>
          <cell r="CM48">
            <v>0</v>
          </cell>
          <cell r="CN48">
            <v>0</v>
          </cell>
          <cell r="CO48">
            <v>0</v>
          </cell>
          <cell r="CX48">
            <v>0</v>
          </cell>
          <cell r="CY48">
            <v>0</v>
          </cell>
          <cell r="DB48">
            <v>0</v>
          </cell>
          <cell r="DC48">
            <v>0</v>
          </cell>
          <cell r="DJ48" t="str">
            <v>НКРЕ</v>
          </cell>
          <cell r="DL48">
            <v>40526</v>
          </cell>
          <cell r="DM48">
            <v>1766</v>
          </cell>
          <cell r="DO48" t="str">
            <v>Тариф на теплову енергію</v>
          </cell>
          <cell r="DT48">
            <v>272.68</v>
          </cell>
        </row>
        <row r="49">
          <cell r="W49">
            <v>577.16</v>
          </cell>
          <cell r="AF49">
            <v>40078</v>
          </cell>
          <cell r="AG49">
            <v>160</v>
          </cell>
          <cell r="AH49">
            <v>501.87018701870187</v>
          </cell>
          <cell r="AM49">
            <v>8181</v>
          </cell>
          <cell r="AO49">
            <v>4721745.96</v>
          </cell>
          <cell r="AQ49">
            <v>4105800</v>
          </cell>
          <cell r="AU49">
            <v>0</v>
          </cell>
          <cell r="AW49">
            <v>0</v>
          </cell>
          <cell r="AY49">
            <v>2957785.8631399996</v>
          </cell>
          <cell r="AZ49">
            <v>361.54331538198261</v>
          </cell>
          <cell r="BA49">
            <v>0</v>
          </cell>
          <cell r="BB49">
            <v>0</v>
          </cell>
          <cell r="BC49">
            <v>0</v>
          </cell>
          <cell r="BD49">
            <v>0</v>
          </cell>
          <cell r="BG49">
            <v>0</v>
          </cell>
          <cell r="BH49">
            <v>0</v>
          </cell>
          <cell r="BI49">
            <v>222496</v>
          </cell>
          <cell r="BJ49">
            <v>27.196675223077865</v>
          </cell>
          <cell r="BK49">
            <v>0</v>
          </cell>
          <cell r="BL49">
            <v>0</v>
          </cell>
          <cell r="BM49">
            <v>352900</v>
          </cell>
          <cell r="BN49">
            <v>43.136535875809805</v>
          </cell>
          <cell r="BO49">
            <v>0</v>
          </cell>
          <cell r="BP49">
            <v>0</v>
          </cell>
          <cell r="BY49">
            <v>1936.32</v>
          </cell>
          <cell r="CF49">
            <v>1355.1289999999999</v>
          </cell>
          <cell r="CG49">
            <v>2182.66</v>
          </cell>
          <cell r="CJ49">
            <v>0</v>
          </cell>
          <cell r="CK49">
            <v>0</v>
          </cell>
          <cell r="CL49">
            <v>0</v>
          </cell>
          <cell r="CM49">
            <v>0</v>
          </cell>
          <cell r="CN49">
            <v>0</v>
          </cell>
          <cell r="CO49">
            <v>0</v>
          </cell>
          <cell r="CX49">
            <v>0</v>
          </cell>
          <cell r="CY49">
            <v>0</v>
          </cell>
          <cell r="DB49">
            <v>0</v>
          </cell>
          <cell r="DC49">
            <v>0</v>
          </cell>
          <cell r="DJ49" t="str">
            <v>НКРКП</v>
          </cell>
          <cell r="DL49">
            <v>40816</v>
          </cell>
          <cell r="DM49">
            <v>86</v>
          </cell>
          <cell r="DT49">
            <v>837.11</v>
          </cell>
        </row>
        <row r="50">
          <cell r="W50">
            <v>652.44000000000005</v>
          </cell>
          <cell r="AF50">
            <v>40078</v>
          </cell>
          <cell r="AG50">
            <v>160</v>
          </cell>
          <cell r="AH50">
            <v>501.8738229755179</v>
          </cell>
          <cell r="AM50">
            <v>2124</v>
          </cell>
          <cell r="AO50">
            <v>1385782.56</v>
          </cell>
          <cell r="AQ50">
            <v>1065980</v>
          </cell>
          <cell r="AU50">
            <v>0</v>
          </cell>
          <cell r="AW50">
            <v>0</v>
          </cell>
          <cell r="AY50">
            <v>768126.07252000005</v>
          </cell>
          <cell r="AZ50">
            <v>361.64127708097931</v>
          </cell>
          <cell r="BA50">
            <v>0</v>
          </cell>
          <cell r="BB50">
            <v>0</v>
          </cell>
          <cell r="BC50">
            <v>0</v>
          </cell>
          <cell r="BD50">
            <v>0</v>
          </cell>
          <cell r="BG50">
            <v>0</v>
          </cell>
          <cell r="BH50">
            <v>0</v>
          </cell>
          <cell r="BI50">
            <v>57772</v>
          </cell>
          <cell r="BJ50">
            <v>27.199623352165727</v>
          </cell>
          <cell r="BK50">
            <v>0</v>
          </cell>
          <cell r="BL50">
            <v>0</v>
          </cell>
          <cell r="BM50">
            <v>91631</v>
          </cell>
          <cell r="BN50">
            <v>43.140772128060263</v>
          </cell>
          <cell r="BO50">
            <v>0</v>
          </cell>
          <cell r="BP50">
            <v>0</v>
          </cell>
          <cell r="BY50">
            <v>1936.32</v>
          </cell>
          <cell r="CF50">
            <v>351.92200000000003</v>
          </cell>
          <cell r="CG50">
            <v>2182.66</v>
          </cell>
          <cell r="CJ50">
            <v>0</v>
          </cell>
          <cell r="CK50">
            <v>0</v>
          </cell>
          <cell r="CL50">
            <v>0</v>
          </cell>
          <cell r="CM50">
            <v>0</v>
          </cell>
          <cell r="CN50">
            <v>0</v>
          </cell>
          <cell r="CO50">
            <v>0</v>
          </cell>
          <cell r="CX50">
            <v>0</v>
          </cell>
          <cell r="CY50">
            <v>0</v>
          </cell>
          <cell r="DB50">
            <v>0</v>
          </cell>
          <cell r="DC50">
            <v>0</v>
          </cell>
          <cell r="DJ50" t="str">
            <v>НКРКП</v>
          </cell>
          <cell r="DL50">
            <v>40816</v>
          </cell>
          <cell r="DM50">
            <v>86</v>
          </cell>
          <cell r="DT50">
            <v>912.39</v>
          </cell>
        </row>
        <row r="51">
          <cell r="W51">
            <v>236.67</v>
          </cell>
          <cell r="AF51">
            <v>39783</v>
          </cell>
          <cell r="AG51">
            <v>253</v>
          </cell>
          <cell r="AH51">
            <v>261.46577504568864</v>
          </cell>
          <cell r="AM51">
            <v>24076</v>
          </cell>
          <cell r="AO51">
            <v>5698066.9199999999</v>
          </cell>
          <cell r="AQ51">
            <v>6295050</v>
          </cell>
          <cell r="AU51">
            <v>0</v>
          </cell>
          <cell r="AW51">
            <v>0</v>
          </cell>
          <cell r="AY51">
            <v>2759670.2760000005</v>
          </cell>
          <cell r="AZ51">
            <v>114.62328775544113</v>
          </cell>
          <cell r="BA51">
            <v>0</v>
          </cell>
          <cell r="BB51">
            <v>0</v>
          </cell>
          <cell r="BC51">
            <v>0</v>
          </cell>
          <cell r="BD51">
            <v>0</v>
          </cell>
          <cell r="BG51">
            <v>0</v>
          </cell>
          <cell r="BH51">
            <v>0</v>
          </cell>
          <cell r="BI51">
            <v>524890</v>
          </cell>
          <cell r="BJ51">
            <v>21.80137896660575</v>
          </cell>
          <cell r="BK51">
            <v>0</v>
          </cell>
          <cell r="BL51">
            <v>0</v>
          </cell>
          <cell r="BM51">
            <v>2374030</v>
          </cell>
          <cell r="BN51">
            <v>98.605665392922418</v>
          </cell>
          <cell r="BO51">
            <v>0</v>
          </cell>
          <cell r="BP51">
            <v>0</v>
          </cell>
          <cell r="BY51">
            <v>2046.56</v>
          </cell>
          <cell r="CF51">
            <v>3794.3</v>
          </cell>
          <cell r="CG51">
            <v>727.32</v>
          </cell>
          <cell r="CJ51">
            <v>0</v>
          </cell>
          <cell r="CK51">
            <v>0</v>
          </cell>
          <cell r="CL51">
            <v>0</v>
          </cell>
          <cell r="CM51">
            <v>0</v>
          </cell>
          <cell r="CN51">
            <v>0</v>
          </cell>
          <cell r="CO51">
            <v>0</v>
          </cell>
          <cell r="CX51">
            <v>0</v>
          </cell>
          <cell r="CY51">
            <v>0</v>
          </cell>
          <cell r="DB51">
            <v>0</v>
          </cell>
          <cell r="DC51">
            <v>0</v>
          </cell>
          <cell r="DJ51" t="str">
            <v>НКРЕ</v>
          </cell>
          <cell r="DL51">
            <v>40526</v>
          </cell>
          <cell r="DM51">
            <v>1765</v>
          </cell>
          <cell r="DO51" t="str">
            <v>Тариф на теплову енергію</v>
          </cell>
          <cell r="DT51">
            <v>287.62</v>
          </cell>
        </row>
        <row r="52">
          <cell r="W52">
            <v>546.92999999999995</v>
          </cell>
          <cell r="AF52">
            <v>39860</v>
          </cell>
          <cell r="AG52">
            <v>38</v>
          </cell>
          <cell r="AH52">
            <v>481.70962574632301</v>
          </cell>
          <cell r="AM52">
            <v>6867</v>
          </cell>
          <cell r="AO52">
            <v>3755768.3099999996</v>
          </cell>
          <cell r="AQ52">
            <v>3307900</v>
          </cell>
          <cell r="AU52">
            <v>0</v>
          </cell>
          <cell r="AW52">
            <v>0</v>
          </cell>
          <cell r="AY52">
            <v>2318064.4575</v>
          </cell>
          <cell r="AZ52">
            <v>337.56581585845345</v>
          </cell>
          <cell r="BA52">
            <v>0</v>
          </cell>
          <cell r="BB52">
            <v>0</v>
          </cell>
          <cell r="BC52">
            <v>0</v>
          </cell>
          <cell r="BD52">
            <v>0</v>
          </cell>
          <cell r="BG52">
            <v>0</v>
          </cell>
          <cell r="BH52">
            <v>0</v>
          </cell>
          <cell r="BI52">
            <v>149720</v>
          </cell>
          <cell r="BJ52">
            <v>21.802825105577398</v>
          </cell>
          <cell r="BK52">
            <v>0</v>
          </cell>
          <cell r="BL52">
            <v>0</v>
          </cell>
          <cell r="BM52">
            <v>677130</v>
          </cell>
          <cell r="BN52">
            <v>98.606378331148974</v>
          </cell>
          <cell r="BO52">
            <v>0</v>
          </cell>
          <cell r="BP52">
            <v>0</v>
          </cell>
          <cell r="BY52">
            <v>2046.56</v>
          </cell>
          <cell r="CF52">
            <v>1082.07</v>
          </cell>
          <cell r="CG52">
            <v>2142.25</v>
          </cell>
          <cell r="CJ52">
            <v>0</v>
          </cell>
          <cell r="CK52">
            <v>0</v>
          </cell>
          <cell r="CL52">
            <v>0</v>
          </cell>
          <cell r="CM52">
            <v>0</v>
          </cell>
          <cell r="CN52">
            <v>0</v>
          </cell>
          <cell r="CO52">
            <v>0</v>
          </cell>
          <cell r="CX52">
            <v>0</v>
          </cell>
          <cell r="CY52">
            <v>0</v>
          </cell>
          <cell r="DB52">
            <v>0</v>
          </cell>
          <cell r="DC52">
            <v>0</v>
          </cell>
          <cell r="DJ52" t="str">
            <v>НКРКП</v>
          </cell>
          <cell r="DL52">
            <v>40816</v>
          </cell>
          <cell r="DM52">
            <v>87</v>
          </cell>
          <cell r="DT52">
            <v>800.6</v>
          </cell>
        </row>
        <row r="53">
          <cell r="W53">
            <v>554.15</v>
          </cell>
          <cell r="AF53">
            <v>39860</v>
          </cell>
          <cell r="AG53">
            <v>38</v>
          </cell>
          <cell r="AH53">
            <v>481.70790878214461</v>
          </cell>
          <cell r="AM53">
            <v>2061</v>
          </cell>
          <cell r="AO53">
            <v>1142103.1499999999</v>
          </cell>
          <cell r="AQ53">
            <v>992800</v>
          </cell>
          <cell r="AU53">
            <v>0</v>
          </cell>
          <cell r="AW53">
            <v>0</v>
          </cell>
          <cell r="AY53">
            <v>695738.53249999997</v>
          </cell>
          <cell r="AZ53">
            <v>337.57328117418729</v>
          </cell>
          <cell r="BA53">
            <v>0</v>
          </cell>
          <cell r="BB53">
            <v>0</v>
          </cell>
          <cell r="BC53">
            <v>0</v>
          </cell>
          <cell r="BD53">
            <v>0</v>
          </cell>
          <cell r="BG53">
            <v>0</v>
          </cell>
          <cell r="BH53">
            <v>0</v>
          </cell>
          <cell r="BI53">
            <v>44930</v>
          </cell>
          <cell r="BJ53">
            <v>21.800097040271712</v>
          </cell>
          <cell r="BK53">
            <v>0</v>
          </cell>
          <cell r="BL53">
            <v>0</v>
          </cell>
          <cell r="BM53">
            <v>203220</v>
          </cell>
          <cell r="BN53">
            <v>98.602620087336248</v>
          </cell>
          <cell r="BO53">
            <v>0</v>
          </cell>
          <cell r="BP53">
            <v>0</v>
          </cell>
          <cell r="BY53">
            <v>2046.56</v>
          </cell>
          <cell r="CF53">
            <v>324.77</v>
          </cell>
          <cell r="CG53">
            <v>2142.25</v>
          </cell>
          <cell r="CJ53">
            <v>0</v>
          </cell>
          <cell r="CK53">
            <v>0</v>
          </cell>
          <cell r="CL53">
            <v>0</v>
          </cell>
          <cell r="CM53">
            <v>0</v>
          </cell>
          <cell r="CN53">
            <v>0</v>
          </cell>
          <cell r="CO53">
            <v>0</v>
          </cell>
          <cell r="CX53">
            <v>0</v>
          </cell>
          <cell r="CY53">
            <v>0</v>
          </cell>
          <cell r="DB53">
            <v>0</v>
          </cell>
          <cell r="DC53">
            <v>0</v>
          </cell>
          <cell r="DJ53" t="str">
            <v>НКРКП</v>
          </cell>
          <cell r="DL53">
            <v>40816</v>
          </cell>
          <cell r="DM53">
            <v>87</v>
          </cell>
          <cell r="DT53">
            <v>807.82</v>
          </cell>
        </row>
        <row r="54">
          <cell r="W54">
            <v>684.37</v>
          </cell>
          <cell r="AF54">
            <v>39602</v>
          </cell>
          <cell r="AG54">
            <v>238</v>
          </cell>
          <cell r="AH54">
            <v>618.61904761904759</v>
          </cell>
          <cell r="AM54">
            <v>420</v>
          </cell>
          <cell r="AO54">
            <v>287435.40000000002</v>
          </cell>
          <cell r="AQ54">
            <v>259820</v>
          </cell>
          <cell r="AU54">
            <v>221110</v>
          </cell>
          <cell r="AW54">
            <v>0</v>
          </cell>
          <cell r="AY54">
            <v>0</v>
          </cell>
          <cell r="AZ54">
            <v>0</v>
          </cell>
          <cell r="BA54">
            <v>0</v>
          </cell>
          <cell r="BB54">
            <v>0</v>
          </cell>
          <cell r="BC54">
            <v>0</v>
          </cell>
          <cell r="BD54">
            <v>0</v>
          </cell>
          <cell r="BG54">
            <v>0</v>
          </cell>
          <cell r="BH54">
            <v>0</v>
          </cell>
          <cell r="BI54">
            <v>0</v>
          </cell>
          <cell r="BJ54">
            <v>0</v>
          </cell>
          <cell r="BK54">
            <v>0</v>
          </cell>
          <cell r="BL54">
            <v>0</v>
          </cell>
          <cell r="BM54">
            <v>26610</v>
          </cell>
          <cell r="BN54">
            <v>63.357142857142854</v>
          </cell>
          <cell r="BO54">
            <v>0</v>
          </cell>
          <cell r="BP54">
            <v>0</v>
          </cell>
          <cell r="BY54">
            <v>1625</v>
          </cell>
          <cell r="CF54">
            <v>0</v>
          </cell>
          <cell r="CG54">
            <v>0</v>
          </cell>
          <cell r="CJ54">
            <v>500</v>
          </cell>
          <cell r="CK54">
            <v>442.22</v>
          </cell>
          <cell r="CL54">
            <v>734.41</v>
          </cell>
          <cell r="CM54">
            <v>0</v>
          </cell>
          <cell r="CN54">
            <v>0</v>
          </cell>
          <cell r="CO54">
            <v>0</v>
          </cell>
          <cell r="CX54">
            <v>0</v>
          </cell>
          <cell r="CY54">
            <v>0</v>
          </cell>
          <cell r="DB54">
            <v>0</v>
          </cell>
          <cell r="DC54">
            <v>0</v>
          </cell>
          <cell r="DJ54" t="str">
            <v>НКРКП</v>
          </cell>
          <cell r="DL54">
            <v>40984</v>
          </cell>
          <cell r="DM54">
            <v>138</v>
          </cell>
          <cell r="DO54" t="str">
            <v xml:space="preserve"> з теплоносієм у вигляді гарячої води</v>
          </cell>
          <cell r="DT54">
            <v>956.43</v>
          </cell>
        </row>
        <row r="55">
          <cell r="W55">
            <v>709.78</v>
          </cell>
          <cell r="AF55">
            <v>39602</v>
          </cell>
          <cell r="AG55">
            <v>238</v>
          </cell>
          <cell r="AH55">
            <v>827.7</v>
          </cell>
          <cell r="AM55">
            <v>60</v>
          </cell>
          <cell r="AO55">
            <v>42586.799999999996</v>
          </cell>
          <cell r="AQ55">
            <v>49662</v>
          </cell>
          <cell r="AU55">
            <v>44222</v>
          </cell>
          <cell r="AW55">
            <v>0</v>
          </cell>
          <cell r="AY55">
            <v>0</v>
          </cell>
          <cell r="AZ55">
            <v>0</v>
          </cell>
          <cell r="BA55">
            <v>0</v>
          </cell>
          <cell r="BB55">
            <v>0</v>
          </cell>
          <cell r="BC55">
            <v>0</v>
          </cell>
          <cell r="BD55">
            <v>0</v>
          </cell>
          <cell r="BG55">
            <v>0</v>
          </cell>
          <cell r="BH55">
            <v>0</v>
          </cell>
          <cell r="BI55">
            <v>0</v>
          </cell>
          <cell r="BJ55">
            <v>0</v>
          </cell>
          <cell r="BK55">
            <v>0</v>
          </cell>
          <cell r="BL55">
            <v>0</v>
          </cell>
          <cell r="BM55">
            <v>3500</v>
          </cell>
          <cell r="BN55">
            <v>58.333333333333336</v>
          </cell>
          <cell r="BO55">
            <v>0</v>
          </cell>
          <cell r="BP55">
            <v>0</v>
          </cell>
          <cell r="BY55">
            <v>1625</v>
          </cell>
          <cell r="CF55">
            <v>0</v>
          </cell>
          <cell r="CG55">
            <v>0</v>
          </cell>
          <cell r="CJ55">
            <v>100</v>
          </cell>
          <cell r="CK55">
            <v>442.22</v>
          </cell>
          <cell r="CL55">
            <v>734.41</v>
          </cell>
          <cell r="CM55">
            <v>0</v>
          </cell>
          <cell r="CN55">
            <v>0</v>
          </cell>
          <cell r="CO55">
            <v>0</v>
          </cell>
          <cell r="CX55">
            <v>0</v>
          </cell>
          <cell r="CY55">
            <v>0</v>
          </cell>
          <cell r="DB55">
            <v>0</v>
          </cell>
          <cell r="DC55">
            <v>0</v>
          </cell>
          <cell r="DJ55" t="str">
            <v>НКРКП</v>
          </cell>
          <cell r="DL55">
            <v>40984</v>
          </cell>
          <cell r="DM55">
            <v>138</v>
          </cell>
          <cell r="DO55" t="str">
            <v>з теплоносієм у вигляді пари</v>
          </cell>
          <cell r="DT55">
            <v>956.43</v>
          </cell>
        </row>
        <row r="56">
          <cell r="W56">
            <v>235.97</v>
          </cell>
          <cell r="AF56">
            <v>39617</v>
          </cell>
          <cell r="AG56">
            <v>279</v>
          </cell>
          <cell r="AH56">
            <v>303.74665915915915</v>
          </cell>
          <cell r="AM56">
            <v>26640</v>
          </cell>
          <cell r="AO56">
            <v>6286240.7999999998</v>
          </cell>
          <cell r="AQ56">
            <v>8091811</v>
          </cell>
          <cell r="AU56">
            <v>7979741</v>
          </cell>
          <cell r="AW56">
            <v>0</v>
          </cell>
          <cell r="AY56">
            <v>0</v>
          </cell>
          <cell r="AZ56">
            <v>0</v>
          </cell>
          <cell r="BA56">
            <v>0</v>
          </cell>
          <cell r="BB56">
            <v>0</v>
          </cell>
          <cell r="BC56">
            <v>0</v>
          </cell>
          <cell r="BD56">
            <v>0</v>
          </cell>
          <cell r="BG56">
            <v>0</v>
          </cell>
          <cell r="BH56">
            <v>0</v>
          </cell>
          <cell r="BI56">
            <v>0</v>
          </cell>
          <cell r="BJ56">
            <v>0</v>
          </cell>
          <cell r="BK56">
            <v>0</v>
          </cell>
          <cell r="BL56">
            <v>0</v>
          </cell>
          <cell r="BM56">
            <v>64510</v>
          </cell>
          <cell r="BN56">
            <v>2.4215465465465464</v>
          </cell>
          <cell r="BO56">
            <v>0</v>
          </cell>
          <cell r="BP56">
            <v>0</v>
          </cell>
          <cell r="BY56">
            <v>1625</v>
          </cell>
          <cell r="CF56">
            <v>0</v>
          </cell>
          <cell r="CG56">
            <v>0</v>
          </cell>
          <cell r="CJ56">
            <v>34100</v>
          </cell>
          <cell r="CK56">
            <v>234.01</v>
          </cell>
          <cell r="CL56">
            <v>258.62</v>
          </cell>
          <cell r="CM56">
            <v>0</v>
          </cell>
          <cell r="CN56">
            <v>0</v>
          </cell>
          <cell r="CO56">
            <v>0</v>
          </cell>
          <cell r="CX56">
            <v>0</v>
          </cell>
          <cell r="CY56">
            <v>0</v>
          </cell>
          <cell r="DB56">
            <v>0</v>
          </cell>
          <cell r="DC56">
            <v>0</v>
          </cell>
          <cell r="DJ56" t="str">
            <v>МОС</v>
          </cell>
          <cell r="DL56">
            <v>40479</v>
          </cell>
          <cell r="DM56" t="str">
            <v>384/В-10</v>
          </cell>
          <cell r="DO56" t="str">
            <v>тариф натеплову енергію для ОСББ</v>
          </cell>
          <cell r="DT56">
            <v>235.97</v>
          </cell>
        </row>
        <row r="57">
          <cell r="W57">
            <v>658.76</v>
          </cell>
          <cell r="AF57">
            <v>39617</v>
          </cell>
          <cell r="AG57">
            <v>277</v>
          </cell>
          <cell r="AH57">
            <v>645.02993959478533</v>
          </cell>
          <cell r="AM57">
            <v>2281.2600000000002</v>
          </cell>
          <cell r="AO57">
            <v>1502802.8376000002</v>
          </cell>
          <cell r="AQ57">
            <v>1471481</v>
          </cell>
          <cell r="AU57">
            <v>1298357.9200000002</v>
          </cell>
          <cell r="AW57">
            <v>0</v>
          </cell>
          <cell r="AY57">
            <v>0</v>
          </cell>
          <cell r="AZ57">
            <v>0</v>
          </cell>
          <cell r="BA57">
            <v>0</v>
          </cell>
          <cell r="BB57">
            <v>0</v>
          </cell>
          <cell r="BC57">
            <v>0</v>
          </cell>
          <cell r="BD57">
            <v>0</v>
          </cell>
          <cell r="BG57">
            <v>0</v>
          </cell>
          <cell r="BH57">
            <v>0</v>
          </cell>
          <cell r="BI57">
            <v>0</v>
          </cell>
          <cell r="BJ57">
            <v>0</v>
          </cell>
          <cell r="BK57">
            <v>0</v>
          </cell>
          <cell r="BL57">
            <v>0</v>
          </cell>
          <cell r="BM57">
            <v>117952</v>
          </cell>
          <cell r="BN57">
            <v>51.704759650368651</v>
          </cell>
          <cell r="BO57">
            <v>0</v>
          </cell>
          <cell r="BP57">
            <v>0</v>
          </cell>
          <cell r="BY57">
            <v>1625</v>
          </cell>
          <cell r="CF57">
            <v>0</v>
          </cell>
          <cell r="CG57">
            <v>0</v>
          </cell>
          <cell r="CJ57">
            <v>2936</v>
          </cell>
          <cell r="CK57">
            <v>442.22</v>
          </cell>
          <cell r="CL57">
            <v>734.41</v>
          </cell>
          <cell r="CM57">
            <v>0</v>
          </cell>
          <cell r="CN57">
            <v>0</v>
          </cell>
          <cell r="CO57">
            <v>0</v>
          </cell>
          <cell r="CX57">
            <v>0</v>
          </cell>
          <cell r="CY57">
            <v>0</v>
          </cell>
          <cell r="DB57">
            <v>0</v>
          </cell>
          <cell r="DC57">
            <v>0</v>
          </cell>
          <cell r="DJ57" t="str">
            <v>НКРКП</v>
          </cell>
          <cell r="DL57">
            <v>40984</v>
          </cell>
          <cell r="DM57">
            <v>138</v>
          </cell>
          <cell r="DT57">
            <v>956.43</v>
          </cell>
        </row>
        <row r="58">
          <cell r="W58">
            <v>658.76</v>
          </cell>
          <cell r="AF58">
            <v>39617</v>
          </cell>
          <cell r="AG58">
            <v>277</v>
          </cell>
          <cell r="AH58">
            <v>645.03018990201406</v>
          </cell>
          <cell r="AM58">
            <v>438.226</v>
          </cell>
          <cell r="AO58">
            <v>288685.75975999999</v>
          </cell>
          <cell r="AQ58">
            <v>282669</v>
          </cell>
          <cell r="AU58">
            <v>249412.08000000002</v>
          </cell>
          <cell r="AW58">
            <v>0</v>
          </cell>
          <cell r="AY58">
            <v>0</v>
          </cell>
          <cell r="AZ58">
            <v>0</v>
          </cell>
          <cell r="BA58">
            <v>0</v>
          </cell>
          <cell r="BB58">
            <v>0</v>
          </cell>
          <cell r="BC58">
            <v>0</v>
          </cell>
          <cell r="BD58">
            <v>0</v>
          </cell>
          <cell r="BG58">
            <v>0</v>
          </cell>
          <cell r="BH58">
            <v>0</v>
          </cell>
          <cell r="BI58">
            <v>0</v>
          </cell>
          <cell r="BJ58">
            <v>0</v>
          </cell>
          <cell r="BK58">
            <v>0</v>
          </cell>
          <cell r="BL58">
            <v>0</v>
          </cell>
          <cell r="BM58">
            <v>22658</v>
          </cell>
          <cell r="BN58">
            <v>51.703915331358708</v>
          </cell>
          <cell r="BO58">
            <v>0</v>
          </cell>
          <cell r="BP58">
            <v>0</v>
          </cell>
          <cell r="BY58">
            <v>1625</v>
          </cell>
          <cell r="CF58">
            <v>0</v>
          </cell>
          <cell r="CG58">
            <v>0</v>
          </cell>
          <cell r="CJ58">
            <v>564</v>
          </cell>
          <cell r="CK58">
            <v>442.22</v>
          </cell>
          <cell r="CL58">
            <v>734.41</v>
          </cell>
          <cell r="CM58">
            <v>0</v>
          </cell>
          <cell r="CN58">
            <v>0</v>
          </cell>
          <cell r="CO58">
            <v>0</v>
          </cell>
          <cell r="CX58">
            <v>0</v>
          </cell>
          <cell r="CY58">
            <v>0</v>
          </cell>
          <cell r="DB58">
            <v>0</v>
          </cell>
          <cell r="DC58">
            <v>0</v>
          </cell>
          <cell r="DJ58" t="str">
            <v>НКРКП</v>
          </cell>
          <cell r="DL58">
            <v>40984</v>
          </cell>
          <cell r="DM58">
            <v>138</v>
          </cell>
          <cell r="DO58" t="str">
            <v>для підприємств ЖКГ</v>
          </cell>
          <cell r="DT58">
            <v>956.43</v>
          </cell>
        </row>
        <row r="59">
          <cell r="W59">
            <v>155.77000000000001</v>
          </cell>
          <cell r="AF59">
            <v>39742</v>
          </cell>
          <cell r="AG59">
            <v>414</v>
          </cell>
          <cell r="AH59">
            <v>311.54256553003944</v>
          </cell>
          <cell r="AM59">
            <v>21555</v>
          </cell>
          <cell r="AO59">
            <v>3357622.35</v>
          </cell>
          <cell r="AQ59">
            <v>6715300</v>
          </cell>
          <cell r="AU59">
            <v>0</v>
          </cell>
          <cell r="AW59">
            <v>0</v>
          </cell>
          <cell r="AY59">
            <v>3665505.8774999999</v>
          </cell>
          <cell r="AZ59">
            <v>170.05362456506612</v>
          </cell>
          <cell r="BA59">
            <v>0</v>
          </cell>
          <cell r="BB59">
            <v>0</v>
          </cell>
          <cell r="BC59">
            <v>0</v>
          </cell>
          <cell r="BD59">
            <v>0</v>
          </cell>
          <cell r="BG59">
            <v>0</v>
          </cell>
          <cell r="BH59">
            <v>0</v>
          </cell>
          <cell r="BI59">
            <v>329600</v>
          </cell>
          <cell r="BJ59">
            <v>15.291115750405938</v>
          </cell>
          <cell r="BK59">
            <v>0</v>
          </cell>
          <cell r="BL59">
            <v>0</v>
          </cell>
          <cell r="BM59">
            <v>1928741</v>
          </cell>
          <cell r="BN59">
            <v>89.479981442820687</v>
          </cell>
          <cell r="BO59">
            <v>0</v>
          </cell>
          <cell r="BP59">
            <v>0</v>
          </cell>
          <cell r="BY59">
            <v>1286.98</v>
          </cell>
          <cell r="CF59">
            <v>5071.75</v>
          </cell>
          <cell r="CG59">
            <v>722.73</v>
          </cell>
          <cell r="CJ59">
            <v>0</v>
          </cell>
          <cell r="CK59">
            <v>0</v>
          </cell>
          <cell r="CL59">
            <v>0</v>
          </cell>
          <cell r="CM59">
            <v>0</v>
          </cell>
          <cell r="CN59">
            <v>0</v>
          </cell>
          <cell r="CO59">
            <v>0</v>
          </cell>
          <cell r="CX59">
            <v>0</v>
          </cell>
          <cell r="CY59">
            <v>0</v>
          </cell>
          <cell r="DB59">
            <v>0</v>
          </cell>
          <cell r="DC59">
            <v>0</v>
          </cell>
          <cell r="DJ59" t="str">
            <v>НКРЕ</v>
          </cell>
          <cell r="DL59">
            <v>40526</v>
          </cell>
          <cell r="DM59" t="str">
            <v>№ 1696</v>
          </cell>
          <cell r="DO59" t="str">
            <v>тариф на теплову енергію</v>
          </cell>
          <cell r="DT59">
            <v>194.73</v>
          </cell>
        </row>
        <row r="60">
          <cell r="W60">
            <v>602.36699999999996</v>
          </cell>
          <cell r="AF60">
            <v>39884</v>
          </cell>
          <cell r="AG60">
            <v>154</v>
          </cell>
          <cell r="AH60">
            <v>498.99244152880777</v>
          </cell>
          <cell r="AM60">
            <v>14024</v>
          </cell>
          <cell r="AO60">
            <v>8447594.8080000002</v>
          </cell>
          <cell r="AQ60">
            <v>6997870</v>
          </cell>
          <cell r="AU60">
            <v>0</v>
          </cell>
          <cell r="AW60">
            <v>0</v>
          </cell>
          <cell r="AY60">
            <v>5019927.9514000006</v>
          </cell>
          <cell r="AZ60">
            <v>357.95264913006281</v>
          </cell>
          <cell r="BA60">
            <v>0</v>
          </cell>
          <cell r="BB60">
            <v>0</v>
          </cell>
          <cell r="BC60">
            <v>0</v>
          </cell>
          <cell r="BD60">
            <v>0</v>
          </cell>
          <cell r="BG60">
            <v>0</v>
          </cell>
          <cell r="BH60">
            <v>0</v>
          </cell>
          <cell r="BI60">
            <v>207061</v>
          </cell>
          <cell r="BJ60">
            <v>14.764760410724472</v>
          </cell>
          <cell r="BK60">
            <v>0</v>
          </cell>
          <cell r="BL60">
            <v>0</v>
          </cell>
          <cell r="BM60">
            <v>1254869</v>
          </cell>
          <cell r="BN60">
            <v>89.480105533371358</v>
          </cell>
          <cell r="BO60">
            <v>0</v>
          </cell>
          <cell r="BP60">
            <v>0</v>
          </cell>
          <cell r="BY60">
            <v>1286.98</v>
          </cell>
          <cell r="CF60">
            <v>2633.17</v>
          </cell>
          <cell r="CG60">
            <v>1906.42</v>
          </cell>
          <cell r="CJ60">
            <v>0</v>
          </cell>
          <cell r="CK60">
            <v>0</v>
          </cell>
          <cell r="CL60">
            <v>0</v>
          </cell>
          <cell r="CM60">
            <v>0</v>
          </cell>
          <cell r="CN60">
            <v>0</v>
          </cell>
          <cell r="CO60">
            <v>0</v>
          </cell>
          <cell r="CX60">
            <v>0</v>
          </cell>
          <cell r="CY60">
            <v>0</v>
          </cell>
          <cell r="DB60">
            <v>0</v>
          </cell>
          <cell r="DC60">
            <v>0</v>
          </cell>
          <cell r="DJ60" t="str">
            <v>НКРКП</v>
          </cell>
          <cell r="DL60">
            <v>40816</v>
          </cell>
          <cell r="DM60" t="str">
            <v>№ 64</v>
          </cell>
          <cell r="DT60">
            <v>948.76</v>
          </cell>
        </row>
        <row r="61">
          <cell r="W61">
            <v>602.36699999999996</v>
          </cell>
          <cell r="AF61">
            <v>39884</v>
          </cell>
          <cell r="AG61">
            <v>155</v>
          </cell>
          <cell r="AH61">
            <v>498.98885350318471</v>
          </cell>
          <cell r="AM61">
            <v>1256</v>
          </cell>
          <cell r="AO61">
            <v>756572.95199999993</v>
          </cell>
          <cell r="AQ61">
            <v>626730</v>
          </cell>
          <cell r="AU61">
            <v>0</v>
          </cell>
          <cell r="AW61">
            <v>0</v>
          </cell>
          <cell r="AY61">
            <v>449591.02860000002</v>
          </cell>
          <cell r="AZ61">
            <v>357.95464060509556</v>
          </cell>
          <cell r="BA61">
            <v>0</v>
          </cell>
          <cell r="BB61">
            <v>0</v>
          </cell>
          <cell r="BC61">
            <v>0</v>
          </cell>
          <cell r="BD61">
            <v>0</v>
          </cell>
          <cell r="BG61">
            <v>0</v>
          </cell>
          <cell r="BH61">
            <v>0</v>
          </cell>
          <cell r="BI61">
            <v>18539</v>
          </cell>
          <cell r="BJ61">
            <v>14.760350318471337</v>
          </cell>
          <cell r="BK61">
            <v>0</v>
          </cell>
          <cell r="BL61">
            <v>0</v>
          </cell>
          <cell r="BM61">
            <v>112386</v>
          </cell>
          <cell r="BN61">
            <v>89.479299363057322</v>
          </cell>
          <cell r="BO61">
            <v>0</v>
          </cell>
          <cell r="BP61">
            <v>0</v>
          </cell>
          <cell r="BY61">
            <v>1286.98</v>
          </cell>
          <cell r="CF61">
            <v>235.83</v>
          </cell>
          <cell r="CG61">
            <v>1906.42</v>
          </cell>
          <cell r="CJ61">
            <v>0</v>
          </cell>
          <cell r="CK61">
            <v>0</v>
          </cell>
          <cell r="CL61">
            <v>0</v>
          </cell>
          <cell r="CM61">
            <v>0</v>
          </cell>
          <cell r="CN61">
            <v>0</v>
          </cell>
          <cell r="CO61">
            <v>0</v>
          </cell>
          <cell r="CX61">
            <v>0</v>
          </cell>
          <cell r="CY61">
            <v>0</v>
          </cell>
          <cell r="DB61">
            <v>0</v>
          </cell>
          <cell r="DC61">
            <v>0</v>
          </cell>
          <cell r="DJ61" t="str">
            <v>НКРКП</v>
          </cell>
          <cell r="DL61">
            <v>40816</v>
          </cell>
          <cell r="DM61" t="str">
            <v>№ 64</v>
          </cell>
          <cell r="DT61">
            <v>948.76</v>
          </cell>
        </row>
        <row r="62">
          <cell r="W62">
            <v>691.45</v>
          </cell>
          <cell r="AF62" t="str">
            <v>немає</v>
          </cell>
          <cell r="AG62" t="str">
            <v>немає</v>
          </cell>
          <cell r="AH62">
            <v>634.50286776755331</v>
          </cell>
          <cell r="AM62">
            <v>31732</v>
          </cell>
          <cell r="AO62">
            <v>21941091.400000002</v>
          </cell>
          <cell r="AQ62">
            <v>20134045</v>
          </cell>
          <cell r="AU62">
            <v>0</v>
          </cell>
          <cell r="AW62">
            <v>0</v>
          </cell>
          <cell r="AY62">
            <v>17760987</v>
          </cell>
          <cell r="AZ62">
            <v>559.71848607084337</v>
          </cell>
          <cell r="BA62">
            <v>0</v>
          </cell>
          <cell r="BB62">
            <v>0</v>
          </cell>
          <cell r="BC62">
            <v>0</v>
          </cell>
          <cell r="BD62">
            <v>0</v>
          </cell>
          <cell r="BG62">
            <v>0</v>
          </cell>
          <cell r="BH62">
            <v>0</v>
          </cell>
          <cell r="BI62">
            <v>887200</v>
          </cell>
          <cell r="BJ62">
            <v>27.959157947812933</v>
          </cell>
          <cell r="BK62">
            <v>0</v>
          </cell>
          <cell r="BL62">
            <v>0</v>
          </cell>
          <cell r="BM62">
            <v>435600</v>
          </cell>
          <cell r="BN62">
            <v>13.727467540652968</v>
          </cell>
          <cell r="BO62">
            <v>0</v>
          </cell>
          <cell r="BP62">
            <v>0</v>
          </cell>
          <cell r="BY62">
            <v>2414.79</v>
          </cell>
          <cell r="CF62">
            <v>4525</v>
          </cell>
          <cell r="CG62">
            <v>3925.08</v>
          </cell>
          <cell r="CJ62">
            <v>0</v>
          </cell>
          <cell r="CK62">
            <v>0</v>
          </cell>
          <cell r="CL62">
            <v>0</v>
          </cell>
          <cell r="CM62">
            <v>0</v>
          </cell>
          <cell r="CN62">
            <v>0</v>
          </cell>
          <cell r="CO62">
            <v>0</v>
          </cell>
          <cell r="CX62">
            <v>0</v>
          </cell>
          <cell r="CY62">
            <v>0</v>
          </cell>
          <cell r="DB62">
            <v>0</v>
          </cell>
          <cell r="DC62">
            <v>0</v>
          </cell>
          <cell r="DJ62" t="str">
            <v>МОС</v>
          </cell>
          <cell r="DL62">
            <v>40918</v>
          </cell>
          <cell r="DM62">
            <v>15</v>
          </cell>
          <cell r="DT62">
            <v>691.45</v>
          </cell>
        </row>
        <row r="63">
          <cell r="W63">
            <v>336.23551599899218</v>
          </cell>
          <cell r="AF63">
            <v>40424</v>
          </cell>
          <cell r="AG63" t="str">
            <v>6/1/1-254</v>
          </cell>
          <cell r="AH63">
            <v>336.23551604014449</v>
          </cell>
          <cell r="AM63">
            <v>119070</v>
          </cell>
          <cell r="AO63">
            <v>40035562.890000001</v>
          </cell>
          <cell r="AQ63">
            <v>40035562.894900002</v>
          </cell>
          <cell r="AU63">
            <v>0</v>
          </cell>
          <cell r="AW63">
            <v>0</v>
          </cell>
          <cell r="AY63">
            <v>21846193.030000001</v>
          </cell>
          <cell r="AZ63">
            <v>183.47352842865541</v>
          </cell>
          <cell r="BA63">
            <v>0</v>
          </cell>
          <cell r="BB63">
            <v>0</v>
          </cell>
          <cell r="BC63">
            <v>0</v>
          </cell>
          <cell r="BD63">
            <v>0</v>
          </cell>
          <cell r="BG63">
            <v>2499872.63</v>
          </cell>
          <cell r="BH63">
            <v>20.994983035189385</v>
          </cell>
          <cell r="BI63">
            <v>102750.32</v>
          </cell>
          <cell r="BJ63">
            <v>0.86294045519442353</v>
          </cell>
          <cell r="BK63">
            <v>0</v>
          </cell>
          <cell r="BL63">
            <v>0</v>
          </cell>
          <cell r="BM63">
            <v>11487581.007100001</v>
          </cell>
          <cell r="BN63">
            <v>96.477542681615859</v>
          </cell>
          <cell r="BO63">
            <v>0</v>
          </cell>
          <cell r="BP63">
            <v>0</v>
          </cell>
          <cell r="BY63">
            <v>2403.5700000000002</v>
          </cell>
          <cell r="CF63">
            <v>20024.008276810266</v>
          </cell>
          <cell r="CG63">
            <v>1091</v>
          </cell>
          <cell r="CJ63">
            <v>0</v>
          </cell>
          <cell r="CK63">
            <v>0</v>
          </cell>
          <cell r="CL63">
            <v>0</v>
          </cell>
          <cell r="CM63">
            <v>0</v>
          </cell>
          <cell r="CN63">
            <v>0</v>
          </cell>
          <cell r="CO63">
            <v>0</v>
          </cell>
          <cell r="CX63">
            <v>0</v>
          </cell>
          <cell r="CY63">
            <v>0</v>
          </cell>
          <cell r="DB63">
            <v>0</v>
          </cell>
          <cell r="DC63">
            <v>0</v>
          </cell>
          <cell r="DJ63" t="str">
            <v>МОС</v>
          </cell>
          <cell r="DL63">
            <v>40469</v>
          </cell>
          <cell r="DM63" t="str">
            <v xml:space="preserve"> № 571</v>
          </cell>
          <cell r="DO63" t="str">
            <v>тариф на теплову енергію</v>
          </cell>
          <cell r="DT63">
            <v>336.24</v>
          </cell>
        </row>
        <row r="64">
          <cell r="W64">
            <v>618.73</v>
          </cell>
          <cell r="AF64">
            <v>40424</v>
          </cell>
          <cell r="AG64" t="str">
            <v>6/1/1-254</v>
          </cell>
          <cell r="AH64">
            <v>562.00000000000011</v>
          </cell>
          <cell r="AM64">
            <v>14049.999999999998</v>
          </cell>
          <cell r="AO64">
            <v>8693156.5</v>
          </cell>
          <cell r="AQ64">
            <v>7896100</v>
          </cell>
          <cell r="AU64">
            <v>0</v>
          </cell>
          <cell r="AW64">
            <v>0</v>
          </cell>
          <cell r="AY64">
            <v>5749794.0700000003</v>
          </cell>
          <cell r="AZ64">
            <v>409.23801209964421</v>
          </cell>
          <cell r="BA64">
            <v>0</v>
          </cell>
          <cell r="BB64">
            <v>0</v>
          </cell>
          <cell r="BC64">
            <v>0</v>
          </cell>
          <cell r="BD64">
            <v>0</v>
          </cell>
          <cell r="BG64">
            <v>294979.51</v>
          </cell>
          <cell r="BH64">
            <v>20.994982918149468</v>
          </cell>
          <cell r="BI64">
            <v>12124.31</v>
          </cell>
          <cell r="BJ64">
            <v>0.86294021352313177</v>
          </cell>
          <cell r="BK64">
            <v>0</v>
          </cell>
          <cell r="BL64">
            <v>0</v>
          </cell>
          <cell r="BM64">
            <v>1355509.4747000001</v>
          </cell>
          <cell r="BN64">
            <v>96.477542683274038</v>
          </cell>
          <cell r="BO64">
            <v>0</v>
          </cell>
          <cell r="BP64">
            <v>0</v>
          </cell>
          <cell r="BY64">
            <v>2403.5700000000002</v>
          </cell>
          <cell r="CF64">
            <v>2332.6304372520226</v>
          </cell>
          <cell r="CG64">
            <v>2464.94</v>
          </cell>
          <cell r="CJ64">
            <v>0</v>
          </cell>
          <cell r="CK64">
            <v>0</v>
          </cell>
          <cell r="CL64">
            <v>0</v>
          </cell>
          <cell r="CM64">
            <v>0</v>
          </cell>
          <cell r="CN64">
            <v>0</v>
          </cell>
          <cell r="CO64">
            <v>0</v>
          </cell>
          <cell r="CX64">
            <v>0</v>
          </cell>
          <cell r="CY64">
            <v>0</v>
          </cell>
          <cell r="DB64">
            <v>0</v>
          </cell>
          <cell r="DC64">
            <v>0</v>
          </cell>
          <cell r="DJ64" t="str">
            <v>МОС</v>
          </cell>
          <cell r="DL64">
            <v>40469</v>
          </cell>
          <cell r="DM64" t="str">
            <v xml:space="preserve"> № 571</v>
          </cell>
          <cell r="DT64">
            <v>618.73</v>
          </cell>
        </row>
        <row r="65">
          <cell r="W65">
            <v>729.69</v>
          </cell>
          <cell r="AF65">
            <v>40424</v>
          </cell>
          <cell r="AG65" t="str">
            <v>6/1/1-254</v>
          </cell>
          <cell r="AH65">
            <v>562</v>
          </cell>
          <cell r="AM65">
            <v>2300</v>
          </cell>
          <cell r="AO65">
            <v>1678287.0000000002</v>
          </cell>
          <cell r="AQ65">
            <v>1292600</v>
          </cell>
          <cell r="AU65">
            <v>0</v>
          </cell>
          <cell r="AW65">
            <v>0</v>
          </cell>
          <cell r="AY65">
            <v>941247.42999999993</v>
          </cell>
          <cell r="AZ65">
            <v>409.23801304347825</v>
          </cell>
          <cell r="BA65">
            <v>0</v>
          </cell>
          <cell r="BB65">
            <v>0</v>
          </cell>
          <cell r="BC65">
            <v>0</v>
          </cell>
          <cell r="BD65">
            <v>0</v>
          </cell>
          <cell r="BG65">
            <v>48288.46</v>
          </cell>
          <cell r="BH65">
            <v>20.994982608695651</v>
          </cell>
          <cell r="BI65">
            <v>1984.76</v>
          </cell>
          <cell r="BJ65">
            <v>0.86293913043478265</v>
          </cell>
          <cell r="BK65">
            <v>0</v>
          </cell>
          <cell r="BL65">
            <v>0</v>
          </cell>
          <cell r="BM65">
            <v>221898.3481</v>
          </cell>
          <cell r="BN65">
            <v>96.477542652173909</v>
          </cell>
          <cell r="BO65">
            <v>0</v>
          </cell>
          <cell r="BP65">
            <v>0</v>
          </cell>
          <cell r="BY65">
            <v>2403.5700000000002</v>
          </cell>
          <cell r="CF65">
            <v>381.85409381161406</v>
          </cell>
          <cell r="CG65">
            <v>2464.94</v>
          </cell>
          <cell r="CJ65">
            <v>0</v>
          </cell>
          <cell r="CK65">
            <v>0</v>
          </cell>
          <cell r="CL65">
            <v>0</v>
          </cell>
          <cell r="CM65">
            <v>0</v>
          </cell>
          <cell r="CN65">
            <v>0</v>
          </cell>
          <cell r="CO65">
            <v>0</v>
          </cell>
          <cell r="CX65">
            <v>0</v>
          </cell>
          <cell r="CY65">
            <v>0</v>
          </cell>
          <cell r="DB65">
            <v>0</v>
          </cell>
          <cell r="DC65">
            <v>0</v>
          </cell>
          <cell r="DJ65" t="str">
            <v>МОС</v>
          </cell>
          <cell r="DL65">
            <v>40469</v>
          </cell>
          <cell r="DM65" t="str">
            <v xml:space="preserve"> № 571</v>
          </cell>
          <cell r="DT65">
            <v>729.69</v>
          </cell>
        </row>
        <row r="66">
          <cell r="W66">
            <v>243.69</v>
          </cell>
          <cell r="AF66">
            <v>39738</v>
          </cell>
          <cell r="AG66">
            <v>449</v>
          </cell>
          <cell r="AH66">
            <v>235.00246327276437</v>
          </cell>
          <cell r="AM66">
            <v>101865.6982</v>
          </cell>
          <cell r="AO66">
            <v>24823651.994357999</v>
          </cell>
          <cell r="AQ66">
            <v>23938690</v>
          </cell>
          <cell r="AU66">
            <v>0</v>
          </cell>
          <cell r="AW66">
            <v>0</v>
          </cell>
          <cell r="AY66">
            <v>11744733.938938001</v>
          </cell>
          <cell r="AZ66">
            <v>115.29625915760916</v>
          </cell>
          <cell r="BA66">
            <v>0</v>
          </cell>
          <cell r="BB66">
            <v>0</v>
          </cell>
          <cell r="BC66">
            <v>0</v>
          </cell>
          <cell r="BD66">
            <v>0</v>
          </cell>
          <cell r="BG66">
            <v>0</v>
          </cell>
          <cell r="BH66">
            <v>0</v>
          </cell>
          <cell r="BI66">
            <v>1791680</v>
          </cell>
          <cell r="BJ66">
            <v>17.58864889417702</v>
          </cell>
          <cell r="BK66">
            <v>0</v>
          </cell>
          <cell r="BL66">
            <v>0</v>
          </cell>
          <cell r="BM66">
            <v>7977510</v>
          </cell>
          <cell r="BN66">
            <v>78.313997164552887</v>
          </cell>
          <cell r="BO66">
            <v>0</v>
          </cell>
          <cell r="BP66">
            <v>0</v>
          </cell>
          <cell r="BY66">
            <v>2337.34</v>
          </cell>
          <cell r="CF66">
            <v>16713.010600000001</v>
          </cell>
          <cell r="CG66">
            <v>702.73</v>
          </cell>
          <cell r="CJ66">
            <v>0</v>
          </cell>
          <cell r="CK66">
            <v>0</v>
          </cell>
          <cell r="CL66">
            <v>0</v>
          </cell>
          <cell r="CM66">
            <v>0</v>
          </cell>
          <cell r="CN66">
            <v>0</v>
          </cell>
          <cell r="CO66">
            <v>0</v>
          </cell>
          <cell r="CX66">
            <v>0</v>
          </cell>
          <cell r="CY66">
            <v>0</v>
          </cell>
          <cell r="DB66">
            <v>0</v>
          </cell>
          <cell r="DC66">
            <v>0</v>
          </cell>
          <cell r="DJ66" t="str">
            <v>НКРЕ</v>
          </cell>
          <cell r="DL66">
            <v>40526</v>
          </cell>
          <cell r="DM66" t="str">
            <v>№ 1787</v>
          </cell>
          <cell r="DO66" t="str">
            <v>Тариф на теплову енергію</v>
          </cell>
          <cell r="DT66">
            <v>268.06</v>
          </cell>
        </row>
        <row r="67">
          <cell r="W67">
            <v>532.64</v>
          </cell>
          <cell r="AF67">
            <v>39857</v>
          </cell>
          <cell r="AG67">
            <v>54</v>
          </cell>
          <cell r="AH67">
            <v>476.26610157759274</v>
          </cell>
          <cell r="AM67">
            <v>25426.080000000002</v>
          </cell>
          <cell r="AO67">
            <v>13542947.2512</v>
          </cell>
          <cell r="AQ67">
            <v>12109580</v>
          </cell>
          <cell r="AU67">
            <v>0</v>
          </cell>
          <cell r="AW67">
            <v>0</v>
          </cell>
          <cell r="AY67">
            <v>8720306.9032749999</v>
          </cell>
          <cell r="AZ67">
            <v>342.9670206054177</v>
          </cell>
          <cell r="BA67">
            <v>0</v>
          </cell>
          <cell r="BB67">
            <v>0</v>
          </cell>
          <cell r="BC67">
            <v>0</v>
          </cell>
          <cell r="BD67">
            <v>0</v>
          </cell>
          <cell r="BG67">
            <v>0</v>
          </cell>
          <cell r="BH67">
            <v>0</v>
          </cell>
          <cell r="BI67">
            <v>512620</v>
          </cell>
          <cell r="BJ67">
            <v>20.161188826590649</v>
          </cell>
          <cell r="BK67">
            <v>0</v>
          </cell>
          <cell r="BL67">
            <v>0</v>
          </cell>
          <cell r="BM67">
            <v>2210410</v>
          </cell>
          <cell r="BN67">
            <v>86.93475360731972</v>
          </cell>
          <cell r="BO67">
            <v>0</v>
          </cell>
          <cell r="BP67">
            <v>0</v>
          </cell>
          <cell r="BY67">
            <v>2337.34</v>
          </cell>
          <cell r="CF67">
            <v>4070.6298999999999</v>
          </cell>
          <cell r="CG67">
            <v>2142.25</v>
          </cell>
          <cell r="CJ67">
            <v>0</v>
          </cell>
          <cell r="CK67">
            <v>0</v>
          </cell>
          <cell r="CL67">
            <v>0</v>
          </cell>
          <cell r="CM67">
            <v>0</v>
          </cell>
          <cell r="CN67">
            <v>0</v>
          </cell>
          <cell r="CO67">
            <v>0</v>
          </cell>
          <cell r="CX67">
            <v>0</v>
          </cell>
          <cell r="CY67">
            <v>0</v>
          </cell>
          <cell r="DB67">
            <v>0</v>
          </cell>
          <cell r="DC67">
            <v>0</v>
          </cell>
          <cell r="DJ67" t="str">
            <v>НКРКП</v>
          </cell>
          <cell r="DL67">
            <v>40816</v>
          </cell>
          <cell r="DM67" t="str">
            <v>№ 66</v>
          </cell>
          <cell r="DT67">
            <v>790.35</v>
          </cell>
        </row>
        <row r="68">
          <cell r="W68">
            <v>576.42999999999995</v>
          </cell>
          <cell r="AF68">
            <v>39857</v>
          </cell>
          <cell r="AG68">
            <v>55</v>
          </cell>
          <cell r="AH68">
            <v>499.06486130449997</v>
          </cell>
          <cell r="AM68">
            <v>6620.9430000000002</v>
          </cell>
          <cell r="AO68">
            <v>3816510.17349</v>
          </cell>
          <cell r="AQ68">
            <v>3304280</v>
          </cell>
          <cell r="AU68">
            <v>0</v>
          </cell>
          <cell r="AW68">
            <v>0</v>
          </cell>
          <cell r="AY68">
            <v>2294113.8882749998</v>
          </cell>
          <cell r="AZ68">
            <v>346.4935264168563</v>
          </cell>
          <cell r="BA68">
            <v>0</v>
          </cell>
          <cell r="BB68">
            <v>0</v>
          </cell>
          <cell r="BC68">
            <v>0</v>
          </cell>
          <cell r="BD68">
            <v>0</v>
          </cell>
          <cell r="BG68">
            <v>0</v>
          </cell>
          <cell r="BH68">
            <v>0</v>
          </cell>
          <cell r="BI68">
            <v>133490</v>
          </cell>
          <cell r="BJ68">
            <v>20.161780580198318</v>
          </cell>
          <cell r="BK68">
            <v>0</v>
          </cell>
          <cell r="BL68">
            <v>0</v>
          </cell>
          <cell r="BM68">
            <v>575600</v>
          </cell>
          <cell r="BN68">
            <v>86.936256663136959</v>
          </cell>
          <cell r="BO68">
            <v>0</v>
          </cell>
          <cell r="BP68">
            <v>0</v>
          </cell>
          <cell r="BY68">
            <v>2337.34</v>
          </cell>
          <cell r="CF68">
            <v>1070.8898999999999</v>
          </cell>
          <cell r="CG68">
            <v>2142.25</v>
          </cell>
          <cell r="CJ68">
            <v>0</v>
          </cell>
          <cell r="CK68">
            <v>0</v>
          </cell>
          <cell r="CL68">
            <v>0</v>
          </cell>
          <cell r="CM68">
            <v>0</v>
          </cell>
          <cell r="CN68">
            <v>0</v>
          </cell>
          <cell r="CO68">
            <v>0</v>
          </cell>
          <cell r="CX68">
            <v>0</v>
          </cell>
          <cell r="CY68">
            <v>0</v>
          </cell>
          <cell r="DB68">
            <v>0</v>
          </cell>
          <cell r="DC68">
            <v>0</v>
          </cell>
          <cell r="DJ68" t="str">
            <v>НКРКП</v>
          </cell>
          <cell r="DL68">
            <v>40816</v>
          </cell>
          <cell r="DM68" t="str">
            <v>№ 66</v>
          </cell>
          <cell r="DT68">
            <v>836.77</v>
          </cell>
        </row>
        <row r="69">
          <cell r="W69">
            <v>255.84</v>
          </cell>
          <cell r="AF69">
            <v>39966</v>
          </cell>
          <cell r="AG69" t="str">
            <v>6/1/2-258</v>
          </cell>
          <cell r="AH69">
            <v>255.84183934057816</v>
          </cell>
          <cell r="AM69">
            <v>127263</v>
          </cell>
          <cell r="AO69">
            <v>32558965.920000002</v>
          </cell>
          <cell r="AQ69">
            <v>32559200</v>
          </cell>
          <cell r="AU69">
            <v>0</v>
          </cell>
          <cell r="AW69">
            <v>0</v>
          </cell>
          <cell r="AY69">
            <v>17879667.245189998</v>
          </cell>
          <cell r="AZ69">
            <v>140.4938375269324</v>
          </cell>
          <cell r="BA69">
            <v>0</v>
          </cell>
          <cell r="BB69">
            <v>0</v>
          </cell>
          <cell r="BC69">
            <v>0</v>
          </cell>
          <cell r="BD69">
            <v>0</v>
          </cell>
          <cell r="BG69">
            <v>2133439</v>
          </cell>
          <cell r="BH69">
            <v>16.764016249813377</v>
          </cell>
          <cell r="BI69">
            <v>904363</v>
          </cell>
          <cell r="BJ69">
            <v>7.1062524064339199</v>
          </cell>
          <cell r="BK69">
            <v>0</v>
          </cell>
          <cell r="BL69">
            <v>0</v>
          </cell>
          <cell r="BM69">
            <v>9013880</v>
          </cell>
          <cell r="BN69">
            <v>70.828756197795116</v>
          </cell>
          <cell r="BO69">
            <v>0</v>
          </cell>
          <cell r="BP69">
            <v>0</v>
          </cell>
          <cell r="BY69">
            <v>2032.2</v>
          </cell>
          <cell r="CF69">
            <v>24072.902999999998</v>
          </cell>
          <cell r="CG69">
            <v>742.73</v>
          </cell>
          <cell r="CJ69">
            <v>0</v>
          </cell>
          <cell r="CK69">
            <v>0</v>
          </cell>
          <cell r="CL69">
            <v>0</v>
          </cell>
          <cell r="CM69">
            <v>0</v>
          </cell>
          <cell r="CN69">
            <v>0</v>
          </cell>
          <cell r="CO69">
            <v>0</v>
          </cell>
          <cell r="CX69">
            <v>0</v>
          </cell>
          <cell r="CY69">
            <v>0</v>
          </cell>
          <cell r="DB69">
            <v>0</v>
          </cell>
          <cell r="DC69">
            <v>0</v>
          </cell>
          <cell r="DJ69" t="str">
            <v>НКРЕ</v>
          </cell>
          <cell r="DL69">
            <v>40526</v>
          </cell>
          <cell r="DM69">
            <v>1841</v>
          </cell>
          <cell r="DO69" t="str">
            <v xml:space="preserve"> тариф на теплову енергію </v>
          </cell>
          <cell r="DT69">
            <v>281.42</v>
          </cell>
        </row>
        <row r="70">
          <cell r="W70">
            <v>489.03</v>
          </cell>
          <cell r="AF70">
            <v>39966</v>
          </cell>
          <cell r="AG70" t="str">
            <v>6/1/2-258</v>
          </cell>
          <cell r="AH70">
            <v>483.70971278228461</v>
          </cell>
          <cell r="AM70">
            <v>22805</v>
          </cell>
          <cell r="AO70">
            <v>11152329.149999999</v>
          </cell>
          <cell r="AQ70">
            <v>11031000</v>
          </cell>
          <cell r="AU70">
            <v>0</v>
          </cell>
          <cell r="AW70">
            <v>0</v>
          </cell>
          <cell r="AY70">
            <v>8401075.8337999992</v>
          </cell>
          <cell r="AZ70">
            <v>368.38745160271867</v>
          </cell>
          <cell r="BA70">
            <v>0</v>
          </cell>
          <cell r="BB70">
            <v>0</v>
          </cell>
          <cell r="BC70">
            <v>0</v>
          </cell>
          <cell r="BD70">
            <v>0</v>
          </cell>
          <cell r="BG70">
            <v>384655</v>
          </cell>
          <cell r="BH70">
            <v>16.8671344003508</v>
          </cell>
          <cell r="BI70">
            <v>161469</v>
          </cell>
          <cell r="BJ70">
            <v>7.0804209603157204</v>
          </cell>
          <cell r="BK70">
            <v>0</v>
          </cell>
          <cell r="BL70">
            <v>0</v>
          </cell>
          <cell r="BM70">
            <v>1615120</v>
          </cell>
          <cell r="BN70">
            <v>70.823065117298839</v>
          </cell>
          <cell r="BO70">
            <v>0</v>
          </cell>
          <cell r="BP70">
            <v>0</v>
          </cell>
          <cell r="BY70">
            <v>2032.2</v>
          </cell>
          <cell r="CF70">
            <v>3935.8150000000001</v>
          </cell>
          <cell r="CG70">
            <v>2134.52</v>
          </cell>
          <cell r="CJ70">
            <v>0</v>
          </cell>
          <cell r="CK70">
            <v>0</v>
          </cell>
          <cell r="CL70">
            <v>0</v>
          </cell>
          <cell r="CM70">
            <v>0</v>
          </cell>
          <cell r="CN70">
            <v>0</v>
          </cell>
          <cell r="CO70">
            <v>0</v>
          </cell>
          <cell r="CX70">
            <v>0</v>
          </cell>
          <cell r="CY70">
            <v>0</v>
          </cell>
          <cell r="DB70">
            <v>0</v>
          </cell>
          <cell r="DC70">
            <v>0</v>
          </cell>
          <cell r="DJ70" t="str">
            <v>НКРКП</v>
          </cell>
          <cell r="DL70">
            <v>40816</v>
          </cell>
          <cell r="DM70">
            <v>14</v>
          </cell>
          <cell r="DT70">
            <v>768.32</v>
          </cell>
        </row>
        <row r="71">
          <cell r="W71">
            <v>725.57</v>
          </cell>
          <cell r="AF71">
            <v>39966</v>
          </cell>
          <cell r="AG71" t="str">
            <v>6/1/2-258</v>
          </cell>
          <cell r="AH71">
            <v>483.70944051275205</v>
          </cell>
          <cell r="AM71">
            <v>14978</v>
          </cell>
          <cell r="AO71">
            <v>10867587.460000001</v>
          </cell>
          <cell r="AQ71">
            <v>7245000</v>
          </cell>
          <cell r="AU71">
            <v>0</v>
          </cell>
          <cell r="AW71">
            <v>0</v>
          </cell>
          <cell r="AY71">
            <v>5517782.4834000003</v>
          </cell>
          <cell r="AZ71">
            <v>368.39247452263322</v>
          </cell>
          <cell r="BA71">
            <v>0</v>
          </cell>
          <cell r="BB71">
            <v>0</v>
          </cell>
          <cell r="BC71">
            <v>0</v>
          </cell>
          <cell r="BD71">
            <v>0</v>
          </cell>
          <cell r="BG71">
            <v>252606</v>
          </cell>
          <cell r="BH71">
            <v>16.865135532113769</v>
          </cell>
          <cell r="BI71">
            <v>106068</v>
          </cell>
          <cell r="BJ71">
            <v>7.0815863266123644</v>
          </cell>
          <cell r="BK71">
            <v>0</v>
          </cell>
          <cell r="BL71">
            <v>0</v>
          </cell>
          <cell r="BM71">
            <v>1060700</v>
          </cell>
          <cell r="BN71">
            <v>70.817198557884893</v>
          </cell>
          <cell r="BO71">
            <v>0</v>
          </cell>
          <cell r="BP71">
            <v>0</v>
          </cell>
          <cell r="BY71">
            <v>2032.2</v>
          </cell>
          <cell r="CF71">
            <v>2586.21</v>
          </cell>
          <cell r="CG71">
            <v>2133.54</v>
          </cell>
          <cell r="CJ71">
            <v>0</v>
          </cell>
          <cell r="CK71">
            <v>0</v>
          </cell>
          <cell r="CL71">
            <v>0</v>
          </cell>
          <cell r="CM71">
            <v>0</v>
          </cell>
          <cell r="CN71">
            <v>0</v>
          </cell>
          <cell r="CO71">
            <v>0</v>
          </cell>
          <cell r="CX71">
            <v>0</v>
          </cell>
          <cell r="CY71">
            <v>0</v>
          </cell>
          <cell r="DB71">
            <v>0</v>
          </cell>
          <cell r="DC71">
            <v>0</v>
          </cell>
          <cell r="DJ71" t="str">
            <v>НКРКП</v>
          </cell>
          <cell r="DL71">
            <v>40816</v>
          </cell>
          <cell r="DM71">
            <v>14</v>
          </cell>
          <cell r="DT71">
            <v>999.9</v>
          </cell>
        </row>
        <row r="72">
          <cell r="W72">
            <v>200.88</v>
          </cell>
          <cell r="AF72">
            <v>39689</v>
          </cell>
          <cell r="AG72">
            <v>94</v>
          </cell>
          <cell r="AH72">
            <v>195.0258260227925</v>
          </cell>
          <cell r="AM72">
            <v>121970</v>
          </cell>
          <cell r="AO72">
            <v>24501333.599999998</v>
          </cell>
          <cell r="AQ72">
            <v>23787300</v>
          </cell>
          <cell r="AU72">
            <v>0</v>
          </cell>
          <cell r="AW72">
            <v>0</v>
          </cell>
          <cell r="AY72">
            <v>15058869.672</v>
          </cell>
          <cell r="AZ72">
            <v>123.46371789784374</v>
          </cell>
          <cell r="BA72">
            <v>0</v>
          </cell>
          <cell r="BB72">
            <v>0</v>
          </cell>
          <cell r="BC72">
            <v>0</v>
          </cell>
          <cell r="BD72">
            <v>0</v>
          </cell>
          <cell r="BG72">
            <v>0</v>
          </cell>
          <cell r="BH72">
            <v>0</v>
          </cell>
          <cell r="BI72">
            <v>2548000</v>
          </cell>
          <cell r="BJ72">
            <v>20.89038288103632</v>
          </cell>
          <cell r="BK72">
            <v>0</v>
          </cell>
          <cell r="BL72">
            <v>0</v>
          </cell>
          <cell r="BM72">
            <v>4393800</v>
          </cell>
          <cell r="BN72">
            <v>36.023612363695989</v>
          </cell>
          <cell r="BO72">
            <v>0</v>
          </cell>
          <cell r="BP72">
            <v>0</v>
          </cell>
          <cell r="BY72">
            <v>1311.6</v>
          </cell>
          <cell r="CF72">
            <v>20704.599999999999</v>
          </cell>
          <cell r="CG72">
            <v>727.32</v>
          </cell>
          <cell r="CJ72">
            <v>0</v>
          </cell>
          <cell r="CK72">
            <v>0</v>
          </cell>
          <cell r="CL72">
            <v>0</v>
          </cell>
          <cell r="CM72">
            <v>0</v>
          </cell>
          <cell r="CN72">
            <v>0</v>
          </cell>
          <cell r="CO72">
            <v>0</v>
          </cell>
          <cell r="CX72">
            <v>0</v>
          </cell>
          <cell r="CY72">
            <v>0</v>
          </cell>
          <cell r="DB72">
            <v>0</v>
          </cell>
          <cell r="DC72">
            <v>0</v>
          </cell>
          <cell r="DJ72" t="str">
            <v>НКРЕ</v>
          </cell>
          <cell r="DL72">
            <v>40526</v>
          </cell>
          <cell r="DM72">
            <v>1848</v>
          </cell>
          <cell r="DO72" t="str">
            <v xml:space="preserve"> тариф на теплову енергію </v>
          </cell>
          <cell r="DT72">
            <v>220.97</v>
          </cell>
        </row>
        <row r="73">
          <cell r="W73">
            <v>455.57</v>
          </cell>
          <cell r="AF73">
            <v>39864</v>
          </cell>
          <cell r="AG73">
            <v>32</v>
          </cell>
          <cell r="AH73">
            <v>438.05308502633557</v>
          </cell>
          <cell r="AM73">
            <v>26580</v>
          </cell>
          <cell r="AO73">
            <v>12109050.6</v>
          </cell>
          <cell r="AQ73">
            <v>11643451</v>
          </cell>
          <cell r="AU73">
            <v>0</v>
          </cell>
          <cell r="AW73">
            <v>0</v>
          </cell>
          <cell r="AY73">
            <v>9664760.875</v>
          </cell>
          <cell r="AZ73">
            <v>363.6102661775771</v>
          </cell>
          <cell r="BA73">
            <v>0</v>
          </cell>
          <cell r="BB73">
            <v>0</v>
          </cell>
          <cell r="BC73">
            <v>0</v>
          </cell>
          <cell r="BD73">
            <v>0</v>
          </cell>
          <cell r="BG73">
            <v>0</v>
          </cell>
          <cell r="BH73">
            <v>0</v>
          </cell>
          <cell r="BI73">
            <v>636000</v>
          </cell>
          <cell r="BJ73">
            <v>23.927765237020317</v>
          </cell>
          <cell r="BK73">
            <v>0</v>
          </cell>
          <cell r="BL73">
            <v>0</v>
          </cell>
          <cell r="BM73">
            <v>957800</v>
          </cell>
          <cell r="BN73">
            <v>36.034612490594434</v>
          </cell>
          <cell r="BO73">
            <v>0</v>
          </cell>
          <cell r="BP73">
            <v>0</v>
          </cell>
          <cell r="BY73">
            <v>1311.6</v>
          </cell>
          <cell r="CF73">
            <v>4511.5</v>
          </cell>
          <cell r="CG73">
            <v>2142.25</v>
          </cell>
          <cell r="CJ73">
            <v>0</v>
          </cell>
          <cell r="CK73">
            <v>0</v>
          </cell>
          <cell r="CL73">
            <v>0</v>
          </cell>
          <cell r="CM73">
            <v>0</v>
          </cell>
          <cell r="CN73">
            <v>0</v>
          </cell>
          <cell r="CO73">
            <v>0</v>
          </cell>
          <cell r="CX73">
            <v>0</v>
          </cell>
          <cell r="CY73">
            <v>0</v>
          </cell>
          <cell r="DB73">
            <v>0</v>
          </cell>
          <cell r="DC73">
            <v>0</v>
          </cell>
          <cell r="DJ73" t="str">
            <v>НКРКП</v>
          </cell>
          <cell r="DL73">
            <v>40816</v>
          </cell>
          <cell r="DM73">
            <v>8</v>
          </cell>
          <cell r="DT73">
            <v>728.82</v>
          </cell>
        </row>
        <row r="74">
          <cell r="W74">
            <v>503.76</v>
          </cell>
          <cell r="AF74">
            <v>39864</v>
          </cell>
          <cell r="AG74">
            <v>31</v>
          </cell>
          <cell r="AH74">
            <v>438.05384615384617</v>
          </cell>
          <cell r="AM74">
            <v>13000</v>
          </cell>
          <cell r="AO74">
            <v>6548880</v>
          </cell>
          <cell r="AQ74">
            <v>5694700</v>
          </cell>
          <cell r="AU74">
            <v>0</v>
          </cell>
          <cell r="AW74">
            <v>0</v>
          </cell>
          <cell r="AY74">
            <v>4726874.625</v>
          </cell>
          <cell r="AZ74">
            <v>363.60574038461539</v>
          </cell>
          <cell r="BA74">
            <v>0</v>
          </cell>
          <cell r="BB74">
            <v>0</v>
          </cell>
          <cell r="BC74">
            <v>0</v>
          </cell>
          <cell r="BD74">
            <v>0</v>
          </cell>
          <cell r="BG74">
            <v>0</v>
          </cell>
          <cell r="BH74">
            <v>0</v>
          </cell>
          <cell r="BI74">
            <v>311400</v>
          </cell>
          <cell r="BJ74">
            <v>23.953846153846154</v>
          </cell>
          <cell r="BK74">
            <v>0</v>
          </cell>
          <cell r="BL74">
            <v>0</v>
          </cell>
          <cell r="BM74">
            <v>468500</v>
          </cell>
          <cell r="BN74">
            <v>36.03846153846154</v>
          </cell>
          <cell r="BO74">
            <v>0</v>
          </cell>
          <cell r="BP74">
            <v>0</v>
          </cell>
          <cell r="BY74">
            <v>1311.6</v>
          </cell>
          <cell r="CF74">
            <v>2206.5</v>
          </cell>
          <cell r="CG74">
            <v>2142.25</v>
          </cell>
          <cell r="CJ74">
            <v>0</v>
          </cell>
          <cell r="CK74">
            <v>0</v>
          </cell>
          <cell r="CL74">
            <v>0</v>
          </cell>
          <cell r="CM74">
            <v>0</v>
          </cell>
          <cell r="CN74">
            <v>0</v>
          </cell>
          <cell r="CO74">
            <v>0</v>
          </cell>
          <cell r="CX74">
            <v>0</v>
          </cell>
          <cell r="CY74">
            <v>0</v>
          </cell>
          <cell r="DB74">
            <v>0</v>
          </cell>
          <cell r="DC74">
            <v>0</v>
          </cell>
          <cell r="DJ74" t="str">
            <v>НКРКП</v>
          </cell>
          <cell r="DL74">
            <v>40816</v>
          </cell>
          <cell r="DM74">
            <v>8</v>
          </cell>
          <cell r="DT74">
            <v>777.01</v>
          </cell>
        </row>
        <row r="75">
          <cell r="W75">
            <v>179.83</v>
          </cell>
          <cell r="AF75">
            <v>39874</v>
          </cell>
          <cell r="AG75" t="str">
            <v>№25/447-35</v>
          </cell>
          <cell r="AH75">
            <v>201.13303064549174</v>
          </cell>
          <cell r="AM75">
            <v>75655.5</v>
          </cell>
          <cell r="AO75">
            <v>13605128.565000001</v>
          </cell>
          <cell r="AQ75">
            <v>15216820</v>
          </cell>
          <cell r="AU75">
            <v>0</v>
          </cell>
          <cell r="AW75">
            <v>0</v>
          </cell>
          <cell r="AY75">
            <v>8401807.9002000019</v>
          </cell>
          <cell r="AZ75">
            <v>111.0534977655293</v>
          </cell>
          <cell r="BA75">
            <v>0</v>
          </cell>
          <cell r="BB75">
            <v>0</v>
          </cell>
          <cell r="BC75">
            <v>0</v>
          </cell>
          <cell r="BD75">
            <v>0</v>
          </cell>
          <cell r="BG75">
            <v>0</v>
          </cell>
          <cell r="BH75">
            <v>0</v>
          </cell>
          <cell r="BI75">
            <v>1739090</v>
          </cell>
          <cell r="BJ75">
            <v>22.986960630753877</v>
          </cell>
          <cell r="BK75">
            <v>0</v>
          </cell>
          <cell r="BL75">
            <v>0</v>
          </cell>
          <cell r="BM75">
            <v>3802110</v>
          </cell>
          <cell r="BN75">
            <v>50.255566350100125</v>
          </cell>
          <cell r="BO75">
            <v>0</v>
          </cell>
          <cell r="BP75">
            <v>0</v>
          </cell>
          <cell r="BY75">
            <v>1476</v>
          </cell>
          <cell r="CF75">
            <v>11551.735000000001</v>
          </cell>
          <cell r="CG75">
            <v>727.32</v>
          </cell>
          <cell r="CJ75">
            <v>0</v>
          </cell>
          <cell r="CK75">
            <v>0</v>
          </cell>
          <cell r="CL75">
            <v>0</v>
          </cell>
          <cell r="CM75">
            <v>0</v>
          </cell>
          <cell r="CN75">
            <v>0</v>
          </cell>
          <cell r="CO75">
            <v>0</v>
          </cell>
          <cell r="CX75">
            <v>0</v>
          </cell>
          <cell r="CY75">
            <v>0</v>
          </cell>
          <cell r="DB75">
            <v>0</v>
          </cell>
          <cell r="DC75">
            <v>0</v>
          </cell>
          <cell r="DJ75" t="str">
            <v>НКРЕ</v>
          </cell>
          <cell r="DL75">
            <v>40526</v>
          </cell>
          <cell r="DM75">
            <v>1819</v>
          </cell>
          <cell r="DO75" t="str">
            <v>тариф на теплову енергію</v>
          </cell>
          <cell r="DT75">
            <v>224.79</v>
          </cell>
        </row>
        <row r="76">
          <cell r="W76">
            <v>425.04</v>
          </cell>
          <cell r="AF76">
            <v>39874</v>
          </cell>
          <cell r="AG76" t="str">
            <v>№25/448-36</v>
          </cell>
          <cell r="AH76">
            <v>412.95634507188998</v>
          </cell>
          <cell r="AM76">
            <v>19196</v>
          </cell>
          <cell r="AO76">
            <v>8159067.8400000008</v>
          </cell>
          <cell r="AQ76">
            <v>7927110</v>
          </cell>
          <cell r="AU76">
            <v>0</v>
          </cell>
          <cell r="AW76">
            <v>0</v>
          </cell>
          <cell r="AY76">
            <v>6220219.9620000003</v>
          </cell>
          <cell r="AZ76">
            <v>324.03729745780373</v>
          </cell>
          <cell r="BA76">
            <v>0</v>
          </cell>
          <cell r="BB76">
            <v>0</v>
          </cell>
          <cell r="BC76">
            <v>0</v>
          </cell>
          <cell r="BD76">
            <v>0</v>
          </cell>
          <cell r="BG76">
            <v>0</v>
          </cell>
          <cell r="BH76">
            <v>0</v>
          </cell>
          <cell r="BI76">
            <v>441260</v>
          </cell>
          <cell r="BJ76">
            <v>22.987080641800375</v>
          </cell>
          <cell r="BK76">
            <v>0</v>
          </cell>
          <cell r="BL76">
            <v>0</v>
          </cell>
          <cell r="BM76">
            <v>964710</v>
          </cell>
          <cell r="BN76">
            <v>50.255782454678055</v>
          </cell>
          <cell r="BO76">
            <v>0</v>
          </cell>
          <cell r="BP76">
            <v>0</v>
          </cell>
          <cell r="BY76">
            <v>1476</v>
          </cell>
          <cell r="CF76">
            <v>2903.5920000000001</v>
          </cell>
          <cell r="CG76">
            <v>2142.25</v>
          </cell>
          <cell r="CJ76">
            <v>0</v>
          </cell>
          <cell r="CK76">
            <v>0</v>
          </cell>
          <cell r="CL76">
            <v>0</v>
          </cell>
          <cell r="CM76">
            <v>0</v>
          </cell>
          <cell r="CN76">
            <v>0</v>
          </cell>
          <cell r="CO76">
            <v>0</v>
          </cell>
          <cell r="CX76">
            <v>0</v>
          </cell>
          <cell r="CY76">
            <v>0</v>
          </cell>
          <cell r="DB76">
            <v>0</v>
          </cell>
          <cell r="DC76">
            <v>0</v>
          </cell>
          <cell r="DJ76" t="str">
            <v>НКРКП</v>
          </cell>
          <cell r="DL76">
            <v>40816</v>
          </cell>
          <cell r="DM76">
            <v>32</v>
          </cell>
          <cell r="DT76">
            <v>668.51</v>
          </cell>
        </row>
        <row r="77">
          <cell r="W77">
            <v>429.71</v>
          </cell>
          <cell r="AF77">
            <v>39874</v>
          </cell>
          <cell r="AG77" t="str">
            <v>№25/449-37</v>
          </cell>
          <cell r="AH77">
            <v>417.62857025213083</v>
          </cell>
          <cell r="AM77">
            <v>7285.9</v>
          </cell>
          <cell r="AO77">
            <v>3130824.0889999997</v>
          </cell>
          <cell r="AQ77">
            <v>3042800</v>
          </cell>
          <cell r="AU77">
            <v>0</v>
          </cell>
          <cell r="AW77">
            <v>0</v>
          </cell>
          <cell r="AY77">
            <v>2394943.3832500004</v>
          </cell>
          <cell r="AZ77">
            <v>328.7093404040682</v>
          </cell>
          <cell r="BA77">
            <v>0</v>
          </cell>
          <cell r="BB77">
            <v>0</v>
          </cell>
          <cell r="BC77">
            <v>0</v>
          </cell>
          <cell r="BD77">
            <v>0</v>
          </cell>
          <cell r="BG77">
            <v>0</v>
          </cell>
          <cell r="BH77">
            <v>0</v>
          </cell>
          <cell r="BI77">
            <v>167480</v>
          </cell>
          <cell r="BJ77">
            <v>22.986865040695044</v>
          </cell>
          <cell r="BK77">
            <v>0</v>
          </cell>
          <cell r="BL77">
            <v>0</v>
          </cell>
          <cell r="BM77">
            <v>366160</v>
          </cell>
          <cell r="BN77">
            <v>50.255973867332798</v>
          </cell>
          <cell r="BO77">
            <v>0</v>
          </cell>
          <cell r="BP77">
            <v>0</v>
          </cell>
          <cell r="BY77">
            <v>1476</v>
          </cell>
          <cell r="CF77">
            <v>1117.9570000000001</v>
          </cell>
          <cell r="CG77">
            <v>2142.25</v>
          </cell>
          <cell r="CJ77">
            <v>0</v>
          </cell>
          <cell r="CK77">
            <v>0</v>
          </cell>
          <cell r="CL77">
            <v>0</v>
          </cell>
          <cell r="CM77">
            <v>0</v>
          </cell>
          <cell r="CN77">
            <v>0</v>
          </cell>
          <cell r="CO77">
            <v>0</v>
          </cell>
          <cell r="CX77">
            <v>0</v>
          </cell>
          <cell r="CY77">
            <v>0</v>
          </cell>
          <cell r="DB77">
            <v>0</v>
          </cell>
          <cell r="DC77">
            <v>0</v>
          </cell>
          <cell r="DJ77" t="str">
            <v>НКРКП</v>
          </cell>
          <cell r="DL77">
            <v>40816</v>
          </cell>
          <cell r="DM77">
            <v>32</v>
          </cell>
          <cell r="DT77">
            <v>676.7</v>
          </cell>
        </row>
        <row r="78">
          <cell r="W78">
            <v>240.09</v>
          </cell>
          <cell r="AF78">
            <v>40415</v>
          </cell>
          <cell r="AG78">
            <v>82</v>
          </cell>
          <cell r="AH78">
            <v>220.27331849456581</v>
          </cell>
          <cell r="AM78">
            <v>35007.001541088757</v>
          </cell>
          <cell r="AO78">
            <v>8404831</v>
          </cell>
          <cell r="AQ78">
            <v>7711108.4000000004</v>
          </cell>
          <cell r="AU78">
            <v>0</v>
          </cell>
          <cell r="AW78">
            <v>0</v>
          </cell>
          <cell r="AY78">
            <v>4257082</v>
          </cell>
          <cell r="AZ78">
            <v>121.60658761371883</v>
          </cell>
          <cell r="BA78">
            <v>0</v>
          </cell>
          <cell r="BB78">
            <v>0</v>
          </cell>
          <cell r="BC78">
            <v>0</v>
          </cell>
          <cell r="BD78">
            <v>0</v>
          </cell>
          <cell r="BG78">
            <v>0</v>
          </cell>
          <cell r="BH78">
            <v>0</v>
          </cell>
          <cell r="BI78">
            <v>732389</v>
          </cell>
          <cell r="BJ78">
            <v>20.921214835848573</v>
          </cell>
          <cell r="BK78">
            <v>0</v>
          </cell>
          <cell r="BL78">
            <v>0</v>
          </cell>
          <cell r="BM78">
            <v>2179068</v>
          </cell>
          <cell r="BN78">
            <v>62.246633646768153</v>
          </cell>
          <cell r="BO78">
            <v>0</v>
          </cell>
          <cell r="BP78">
            <v>0</v>
          </cell>
          <cell r="BY78">
            <v>2481.4299999999998</v>
          </cell>
          <cell r="CF78">
            <v>3902</v>
          </cell>
          <cell r="CG78">
            <v>1091</v>
          </cell>
          <cell r="CJ78">
            <v>0</v>
          </cell>
          <cell r="CK78">
            <v>0</v>
          </cell>
          <cell r="CL78">
            <v>0</v>
          </cell>
          <cell r="CM78">
            <v>0</v>
          </cell>
          <cell r="CN78">
            <v>0</v>
          </cell>
          <cell r="CO78">
            <v>0</v>
          </cell>
          <cell r="CX78">
            <v>0</v>
          </cell>
          <cell r="CY78">
            <v>0</v>
          </cell>
          <cell r="DB78">
            <v>0</v>
          </cell>
          <cell r="DC78">
            <v>0</v>
          </cell>
          <cell r="DJ78" t="str">
            <v>МОС</v>
          </cell>
          <cell r="DL78">
            <v>40430</v>
          </cell>
          <cell r="DM78">
            <v>262</v>
          </cell>
          <cell r="DO78" t="str">
            <v xml:space="preserve"> на теплову енергію для І групи споживачів (населення)</v>
          </cell>
          <cell r="DT78">
            <v>240.09</v>
          </cell>
        </row>
        <row r="79">
          <cell r="W79">
            <v>713.9</v>
          </cell>
          <cell r="AF79">
            <v>40443</v>
          </cell>
          <cell r="AG79">
            <v>124</v>
          </cell>
          <cell r="AH79">
            <v>620.7847851793457</v>
          </cell>
          <cell r="AM79">
            <v>10148</v>
          </cell>
          <cell r="AO79">
            <v>7244657.2000000002</v>
          </cell>
          <cell r="AQ79">
            <v>6299724</v>
          </cell>
          <cell r="AU79">
            <v>0</v>
          </cell>
          <cell r="AW79">
            <v>0</v>
          </cell>
          <cell r="AY79">
            <v>5257882</v>
          </cell>
          <cell r="AZ79">
            <v>518.12002364998034</v>
          </cell>
          <cell r="BA79">
            <v>0</v>
          </cell>
          <cell r="BB79">
            <v>0</v>
          </cell>
          <cell r="BC79">
            <v>0</v>
          </cell>
          <cell r="BD79">
            <v>0</v>
          </cell>
          <cell r="BG79">
            <v>0</v>
          </cell>
          <cell r="BH79">
            <v>0</v>
          </cell>
          <cell r="BI79">
            <v>211170</v>
          </cell>
          <cell r="BJ79">
            <v>20.809026409144661</v>
          </cell>
          <cell r="BK79">
            <v>0</v>
          </cell>
          <cell r="BL79">
            <v>0</v>
          </cell>
          <cell r="BM79">
            <v>631671</v>
          </cell>
          <cell r="BN79">
            <v>62.245861253448957</v>
          </cell>
          <cell r="BO79">
            <v>0</v>
          </cell>
          <cell r="BP79">
            <v>0</v>
          </cell>
          <cell r="BY79">
            <v>2481.4299999999998</v>
          </cell>
          <cell r="CF79">
            <v>2133.0669306352283</v>
          </cell>
          <cell r="CG79">
            <v>2464.94</v>
          </cell>
          <cell r="CJ79">
            <v>0</v>
          </cell>
          <cell r="CK79">
            <v>0</v>
          </cell>
          <cell r="CL79">
            <v>0</v>
          </cell>
          <cell r="CM79">
            <v>0</v>
          </cell>
          <cell r="CN79">
            <v>0</v>
          </cell>
          <cell r="CO79">
            <v>0</v>
          </cell>
          <cell r="CX79">
            <v>0</v>
          </cell>
          <cell r="CY79">
            <v>0</v>
          </cell>
          <cell r="DB79">
            <v>0</v>
          </cell>
          <cell r="DC79">
            <v>0</v>
          </cell>
          <cell r="DJ79" t="str">
            <v>НКРКП</v>
          </cell>
          <cell r="DL79">
            <v>40942</v>
          </cell>
          <cell r="DM79">
            <v>29</v>
          </cell>
          <cell r="DT79">
            <v>999.9</v>
          </cell>
        </row>
        <row r="80">
          <cell r="W80">
            <v>713.9</v>
          </cell>
          <cell r="AF80">
            <v>40443</v>
          </cell>
          <cell r="AG80">
            <v>124</v>
          </cell>
          <cell r="AH80">
            <v>620.7845382963493</v>
          </cell>
          <cell r="AM80">
            <v>1397</v>
          </cell>
          <cell r="AO80">
            <v>997318.29999999993</v>
          </cell>
          <cell r="AQ80">
            <v>867236</v>
          </cell>
          <cell r="AU80">
            <v>0</v>
          </cell>
          <cell r="AW80">
            <v>0</v>
          </cell>
          <cell r="AY80">
            <v>723814</v>
          </cell>
          <cell r="AZ80">
            <v>518.1202576950609</v>
          </cell>
          <cell r="BA80">
            <v>0</v>
          </cell>
          <cell r="BB80">
            <v>0</v>
          </cell>
          <cell r="BC80">
            <v>0</v>
          </cell>
          <cell r="BD80">
            <v>0</v>
          </cell>
          <cell r="BG80">
            <v>0</v>
          </cell>
          <cell r="BH80">
            <v>0</v>
          </cell>
          <cell r="BI80">
            <v>29069</v>
          </cell>
          <cell r="BJ80">
            <v>20.808160343593414</v>
          </cell>
          <cell r="BK80">
            <v>0</v>
          </cell>
          <cell r="BL80">
            <v>0</v>
          </cell>
          <cell r="BM80">
            <v>86958</v>
          </cell>
          <cell r="BN80">
            <v>62.246241947029347</v>
          </cell>
          <cell r="BO80">
            <v>0</v>
          </cell>
          <cell r="BP80">
            <v>0</v>
          </cell>
          <cell r="BY80">
            <v>2481.4299999999998</v>
          </cell>
          <cell r="CF80">
            <v>293.64365866917655</v>
          </cell>
          <cell r="CG80">
            <v>2464.94</v>
          </cell>
          <cell r="CJ80">
            <v>0</v>
          </cell>
          <cell r="CK80">
            <v>0</v>
          </cell>
          <cell r="CL80">
            <v>0</v>
          </cell>
          <cell r="CM80">
            <v>0</v>
          </cell>
          <cell r="CN80">
            <v>0</v>
          </cell>
          <cell r="CO80">
            <v>0</v>
          </cell>
          <cell r="CX80">
            <v>0</v>
          </cell>
          <cell r="CY80">
            <v>0</v>
          </cell>
          <cell r="DB80">
            <v>0</v>
          </cell>
          <cell r="DC80">
            <v>0</v>
          </cell>
          <cell r="DJ80" t="str">
            <v>НКРКП</v>
          </cell>
          <cell r="DL80">
            <v>40942</v>
          </cell>
          <cell r="DM80">
            <v>29</v>
          </cell>
          <cell r="DT80">
            <v>999.9</v>
          </cell>
        </row>
        <row r="81">
          <cell r="W81">
            <v>190.49</v>
          </cell>
          <cell r="AF81">
            <v>39612</v>
          </cell>
          <cell r="AG81" t="str">
            <v>4/6-5/1790</v>
          </cell>
          <cell r="AH81">
            <v>170.08501792114694</v>
          </cell>
          <cell r="AM81">
            <v>69750</v>
          </cell>
          <cell r="AO81">
            <v>13286677.5</v>
          </cell>
          <cell r="AQ81">
            <v>11863430</v>
          </cell>
          <cell r="AU81">
            <v>0</v>
          </cell>
          <cell r="AW81">
            <v>0</v>
          </cell>
          <cell r="AY81">
            <v>6460210.4602229996</v>
          </cell>
          <cell r="AZ81">
            <v>92.619504806064512</v>
          </cell>
          <cell r="BA81">
            <v>0</v>
          </cell>
          <cell r="BB81">
            <v>0</v>
          </cell>
          <cell r="BC81">
            <v>0</v>
          </cell>
          <cell r="BD81">
            <v>0</v>
          </cell>
          <cell r="BG81">
            <v>0</v>
          </cell>
          <cell r="BH81">
            <v>0</v>
          </cell>
          <cell r="BI81">
            <v>1429993.7531296946</v>
          </cell>
          <cell r="BJ81">
            <v>20.501702553830746</v>
          </cell>
          <cell r="BK81">
            <v>0</v>
          </cell>
          <cell r="BL81">
            <v>0</v>
          </cell>
          <cell r="BM81">
            <v>2020357.7601151727</v>
          </cell>
          <cell r="BN81">
            <v>28.965702653980969</v>
          </cell>
          <cell r="BO81">
            <v>0</v>
          </cell>
          <cell r="BP81">
            <v>0</v>
          </cell>
          <cell r="BY81">
            <v>1324.11</v>
          </cell>
          <cell r="CF81">
            <v>11148.11</v>
          </cell>
          <cell r="CG81">
            <v>579.48929999999996</v>
          </cell>
          <cell r="CJ81">
            <v>0</v>
          </cell>
          <cell r="CK81">
            <v>0</v>
          </cell>
          <cell r="CL81">
            <v>0</v>
          </cell>
          <cell r="CM81">
            <v>0</v>
          </cell>
          <cell r="CN81">
            <v>0</v>
          </cell>
          <cell r="CO81">
            <v>0</v>
          </cell>
          <cell r="CX81">
            <v>0</v>
          </cell>
          <cell r="CY81">
            <v>0</v>
          </cell>
          <cell r="DB81">
            <v>0</v>
          </cell>
          <cell r="DC81">
            <v>0</v>
          </cell>
          <cell r="DJ81" t="str">
            <v>НКРЕ</v>
          </cell>
          <cell r="DL81">
            <v>40526</v>
          </cell>
          <cell r="DM81">
            <v>1720</v>
          </cell>
          <cell r="DO81" t="str">
            <v>тариф на теплову енергію</v>
          </cell>
          <cell r="DT81">
            <v>238.11</v>
          </cell>
        </row>
        <row r="82">
          <cell r="W82">
            <v>254.27</v>
          </cell>
          <cell r="AF82">
            <v>39612</v>
          </cell>
          <cell r="AG82" t="str">
            <v>4/6-5/1790</v>
          </cell>
          <cell r="AH82">
            <v>275.41658341658342</v>
          </cell>
          <cell r="AM82">
            <v>10010</v>
          </cell>
          <cell r="AO82">
            <v>2545242.7000000002</v>
          </cell>
          <cell r="AQ82">
            <v>2756920</v>
          </cell>
          <cell r="AU82">
            <v>0</v>
          </cell>
          <cell r="AW82">
            <v>0</v>
          </cell>
          <cell r="AY82">
            <v>1812979.3491000002</v>
          </cell>
          <cell r="AZ82">
            <v>181.1168180919081</v>
          </cell>
          <cell r="BA82">
            <v>0</v>
          </cell>
          <cell r="BB82">
            <v>0</v>
          </cell>
          <cell r="BC82">
            <v>0</v>
          </cell>
          <cell r="BD82">
            <v>0</v>
          </cell>
          <cell r="BG82">
            <v>0</v>
          </cell>
          <cell r="BH82">
            <v>0</v>
          </cell>
          <cell r="BI82">
            <v>205222.04256384575</v>
          </cell>
          <cell r="BJ82">
            <v>20.501702553830743</v>
          </cell>
          <cell r="BK82">
            <v>0</v>
          </cell>
          <cell r="BL82">
            <v>0</v>
          </cell>
          <cell r="BM82">
            <v>289946.6835663495</v>
          </cell>
          <cell r="BN82">
            <v>28.965702653980969</v>
          </cell>
          <cell r="BO82">
            <v>0</v>
          </cell>
          <cell r="BP82">
            <v>0</v>
          </cell>
          <cell r="BY82">
            <v>1324.11</v>
          </cell>
          <cell r="CF82">
            <v>1599.89</v>
          </cell>
          <cell r="CG82">
            <v>1133.19</v>
          </cell>
          <cell r="CJ82">
            <v>0</v>
          </cell>
          <cell r="CK82">
            <v>0</v>
          </cell>
          <cell r="CL82">
            <v>0</v>
          </cell>
          <cell r="CM82">
            <v>0</v>
          </cell>
          <cell r="CN82">
            <v>0</v>
          </cell>
          <cell r="CO82">
            <v>0</v>
          </cell>
          <cell r="CX82">
            <v>0</v>
          </cell>
          <cell r="CY82">
            <v>0</v>
          </cell>
          <cell r="DB82">
            <v>0</v>
          </cell>
          <cell r="DC82">
            <v>0</v>
          </cell>
          <cell r="DJ82" t="str">
            <v>НКРКП</v>
          </cell>
          <cell r="DL82">
            <v>40816</v>
          </cell>
          <cell r="DM82">
            <v>18</v>
          </cell>
          <cell r="DT82">
            <v>633.46</v>
          </cell>
        </row>
        <row r="83">
          <cell r="W83">
            <v>430.39</v>
          </cell>
          <cell r="AF83">
            <v>39612</v>
          </cell>
          <cell r="AG83" t="str">
            <v>4/6-5/1790</v>
          </cell>
          <cell r="AH83">
            <v>278.95520159283228</v>
          </cell>
          <cell r="AM83">
            <v>20090</v>
          </cell>
          <cell r="AO83">
            <v>8646535.0999999996</v>
          </cell>
          <cell r="AQ83">
            <v>5604210</v>
          </cell>
          <cell r="AU83">
            <v>0</v>
          </cell>
          <cell r="AW83">
            <v>0</v>
          </cell>
          <cell r="AY83">
            <v>3711764.4408</v>
          </cell>
          <cell r="AZ83">
            <v>184.75681636635142</v>
          </cell>
          <cell r="BA83">
            <v>0</v>
          </cell>
          <cell r="BB83">
            <v>0</v>
          </cell>
          <cell r="BC83">
            <v>0</v>
          </cell>
          <cell r="BD83">
            <v>0</v>
          </cell>
          <cell r="BG83">
            <v>0</v>
          </cell>
          <cell r="BH83">
            <v>0</v>
          </cell>
          <cell r="BI83">
            <v>411879.20430645969</v>
          </cell>
          <cell r="BJ83">
            <v>20.501702553830746</v>
          </cell>
          <cell r="BK83">
            <v>0</v>
          </cell>
          <cell r="BL83">
            <v>0</v>
          </cell>
          <cell r="BM83">
            <v>581920.96631847776</v>
          </cell>
          <cell r="BN83">
            <v>28.965702653980973</v>
          </cell>
          <cell r="BO83">
            <v>0</v>
          </cell>
          <cell r="BP83">
            <v>0</v>
          </cell>
          <cell r="BY83">
            <v>1324.11</v>
          </cell>
          <cell r="CF83">
            <v>3210.98</v>
          </cell>
          <cell r="CG83">
            <v>1155.96</v>
          </cell>
          <cell r="CJ83">
            <v>0</v>
          </cell>
          <cell r="CK83">
            <v>0</v>
          </cell>
          <cell r="CL83">
            <v>0</v>
          </cell>
          <cell r="CM83">
            <v>0</v>
          </cell>
          <cell r="CN83">
            <v>0</v>
          </cell>
          <cell r="CO83">
            <v>0</v>
          </cell>
          <cell r="CX83">
            <v>0</v>
          </cell>
          <cell r="CY83">
            <v>0</v>
          </cell>
          <cell r="DB83">
            <v>0</v>
          </cell>
          <cell r="DC83">
            <v>0</v>
          </cell>
          <cell r="DJ83" t="str">
            <v>НКРКП</v>
          </cell>
          <cell r="DL83">
            <v>40816</v>
          </cell>
          <cell r="DM83">
            <v>18</v>
          </cell>
          <cell r="DT83">
            <v>797.95</v>
          </cell>
        </row>
        <row r="84">
          <cell r="W84">
            <v>125.47</v>
          </cell>
          <cell r="AF84">
            <v>40380</v>
          </cell>
          <cell r="AG84">
            <v>39</v>
          </cell>
          <cell r="AH84">
            <v>272.3899941656943</v>
          </cell>
          <cell r="AM84">
            <v>34280</v>
          </cell>
          <cell r="AO84">
            <v>4301111.5999999996</v>
          </cell>
          <cell r="AQ84">
            <v>9337529</v>
          </cell>
          <cell r="AU84">
            <v>0</v>
          </cell>
          <cell r="AW84">
            <v>0</v>
          </cell>
          <cell r="AY84">
            <v>5865216</v>
          </cell>
          <cell r="AZ84">
            <v>171.0973162193699</v>
          </cell>
          <cell r="BA84">
            <v>0</v>
          </cell>
          <cell r="BB84">
            <v>0</v>
          </cell>
          <cell r="BC84">
            <v>0</v>
          </cell>
          <cell r="BD84">
            <v>0</v>
          </cell>
          <cell r="BG84">
            <v>0</v>
          </cell>
          <cell r="BH84">
            <v>0</v>
          </cell>
          <cell r="BI84">
            <v>876673</v>
          </cell>
          <cell r="BJ84">
            <v>25.573891481913652</v>
          </cell>
          <cell r="BK84">
            <v>0</v>
          </cell>
          <cell r="BL84">
            <v>0</v>
          </cell>
          <cell r="BM84">
            <v>2420074</v>
          </cell>
          <cell r="BN84">
            <v>70.597257876312725</v>
          </cell>
          <cell r="BO84">
            <v>0</v>
          </cell>
          <cell r="BP84">
            <v>0</v>
          </cell>
          <cell r="BY84">
            <v>5021.74</v>
          </cell>
          <cell r="CF84">
            <v>5376</v>
          </cell>
          <cell r="CG84">
            <v>1091</v>
          </cell>
          <cell r="CJ84">
            <v>0</v>
          </cell>
          <cell r="CK84">
            <v>0</v>
          </cell>
          <cell r="CL84">
            <v>0</v>
          </cell>
          <cell r="CM84">
            <v>0</v>
          </cell>
          <cell r="CN84">
            <v>0</v>
          </cell>
          <cell r="CO84">
            <v>0</v>
          </cell>
          <cell r="CX84">
            <v>0</v>
          </cell>
          <cell r="CY84">
            <v>0</v>
          </cell>
          <cell r="DB84">
            <v>0</v>
          </cell>
          <cell r="DC84">
            <v>0</v>
          </cell>
          <cell r="DJ84" t="str">
            <v>МОС</v>
          </cell>
          <cell r="DL84">
            <v>40694</v>
          </cell>
          <cell r="DM84">
            <v>857</v>
          </cell>
          <cell r="DO84" t="str">
            <v>Тариф на теплову енергію, що виробляється підприємствами, установами та організаціями, на балансі яких знаходяться котельні, для потреб населення</v>
          </cell>
          <cell r="DT84">
            <v>169.38</v>
          </cell>
        </row>
        <row r="85">
          <cell r="W85">
            <v>460.68</v>
          </cell>
          <cell r="AF85">
            <v>40380</v>
          </cell>
          <cell r="AG85">
            <v>39</v>
          </cell>
          <cell r="AH85">
            <v>460.67738095238093</v>
          </cell>
          <cell r="AM85">
            <v>6720</v>
          </cell>
          <cell r="AO85">
            <v>3095769.6</v>
          </cell>
          <cell r="AQ85">
            <v>3095752</v>
          </cell>
          <cell r="AU85">
            <v>0</v>
          </cell>
          <cell r="AW85">
            <v>0</v>
          </cell>
          <cell r="AY85">
            <v>2316850.1</v>
          </cell>
          <cell r="AZ85">
            <v>344.76936011904763</v>
          </cell>
          <cell r="BA85">
            <v>0</v>
          </cell>
          <cell r="BB85">
            <v>0</v>
          </cell>
          <cell r="BC85">
            <v>0</v>
          </cell>
          <cell r="BD85">
            <v>0</v>
          </cell>
          <cell r="BG85">
            <v>0</v>
          </cell>
          <cell r="BH85">
            <v>0</v>
          </cell>
          <cell r="BI85">
            <v>171857</v>
          </cell>
          <cell r="BJ85">
            <v>25.573958333333334</v>
          </cell>
          <cell r="BK85">
            <v>0</v>
          </cell>
          <cell r="BL85">
            <v>0</v>
          </cell>
          <cell r="BM85">
            <v>474633</v>
          </cell>
          <cell r="BN85">
            <v>70.629910714285714</v>
          </cell>
          <cell r="BO85">
            <v>0</v>
          </cell>
          <cell r="BP85">
            <v>0</v>
          </cell>
          <cell r="BY85">
            <v>5021.74</v>
          </cell>
          <cell r="CF85">
            <v>1054</v>
          </cell>
          <cell r="CG85">
            <v>2198.15</v>
          </cell>
          <cell r="CJ85">
            <v>0</v>
          </cell>
          <cell r="CK85">
            <v>0</v>
          </cell>
          <cell r="CL85">
            <v>0</v>
          </cell>
          <cell r="CM85">
            <v>0</v>
          </cell>
          <cell r="CN85">
            <v>0</v>
          </cell>
          <cell r="CO85">
            <v>0</v>
          </cell>
          <cell r="CX85">
            <v>0</v>
          </cell>
          <cell r="CY85">
            <v>0</v>
          </cell>
          <cell r="DB85">
            <v>0</v>
          </cell>
          <cell r="DC85">
            <v>0</v>
          </cell>
          <cell r="DJ85" t="str">
            <v>НКРКП</v>
          </cell>
          <cell r="DL85">
            <v>40984</v>
          </cell>
          <cell r="DM85">
            <v>135</v>
          </cell>
          <cell r="DT85">
            <v>725.18</v>
          </cell>
        </row>
        <row r="86">
          <cell r="W86">
            <v>232.41</v>
          </cell>
          <cell r="AF86">
            <v>39868</v>
          </cell>
          <cell r="AG86">
            <v>17</v>
          </cell>
          <cell r="AH86">
            <v>232.4059980725398</v>
          </cell>
          <cell r="AM86">
            <v>130742</v>
          </cell>
          <cell r="AO86">
            <v>30385748.219999999</v>
          </cell>
          <cell r="AQ86">
            <v>30385225</v>
          </cell>
          <cell r="AU86">
            <v>0</v>
          </cell>
          <cell r="AW86">
            <v>0</v>
          </cell>
          <cell r="AY86">
            <v>16099228.200000001</v>
          </cell>
          <cell r="AZ86">
            <v>123.13738660874088</v>
          </cell>
          <cell r="BA86">
            <v>0</v>
          </cell>
          <cell r="BB86">
            <v>0</v>
          </cell>
          <cell r="BC86">
            <v>0</v>
          </cell>
          <cell r="BD86">
            <v>0</v>
          </cell>
          <cell r="BG86">
            <v>0</v>
          </cell>
          <cell r="BH86">
            <v>0</v>
          </cell>
          <cell r="BI86">
            <v>3408942</v>
          </cell>
          <cell r="BJ86">
            <v>26.073809487387372</v>
          </cell>
          <cell r="BK86">
            <v>0</v>
          </cell>
          <cell r="BL86">
            <v>0</v>
          </cell>
          <cell r="BM86">
            <v>7795277</v>
          </cell>
          <cell r="BN86">
            <v>59.623357452081201</v>
          </cell>
          <cell r="BO86">
            <v>0</v>
          </cell>
          <cell r="BP86">
            <v>0</v>
          </cell>
          <cell r="BY86">
            <v>1954.06</v>
          </cell>
          <cell r="CF86">
            <v>22135</v>
          </cell>
          <cell r="CG86">
            <v>727.32</v>
          </cell>
          <cell r="CJ86">
            <v>0</v>
          </cell>
          <cell r="CK86">
            <v>0</v>
          </cell>
          <cell r="CL86">
            <v>0</v>
          </cell>
          <cell r="CM86">
            <v>0</v>
          </cell>
          <cell r="CN86">
            <v>0</v>
          </cell>
          <cell r="CO86">
            <v>0</v>
          </cell>
          <cell r="CX86">
            <v>0</v>
          </cell>
          <cell r="CY86">
            <v>0</v>
          </cell>
          <cell r="DB86">
            <v>0</v>
          </cell>
          <cell r="DC86">
            <v>0</v>
          </cell>
          <cell r="DJ86" t="str">
            <v>НКРЕ</v>
          </cell>
          <cell r="DL86">
            <v>40526</v>
          </cell>
          <cell r="DM86">
            <v>1731</v>
          </cell>
          <cell r="DO86" t="str">
            <v>Тариф на теплову енергію для населення</v>
          </cell>
          <cell r="DT86">
            <v>255.65</v>
          </cell>
        </row>
        <row r="87">
          <cell r="W87">
            <v>523.32000000000005</v>
          </cell>
          <cell r="AF87">
            <v>39868</v>
          </cell>
          <cell r="AG87">
            <v>18</v>
          </cell>
          <cell r="AH87">
            <v>482.00243399576198</v>
          </cell>
          <cell r="AM87">
            <v>34922</v>
          </cell>
          <cell r="AO87">
            <v>18275381.040000003</v>
          </cell>
          <cell r="AQ87">
            <v>16832489</v>
          </cell>
          <cell r="AU87">
            <v>0</v>
          </cell>
          <cell r="AW87">
            <v>0</v>
          </cell>
          <cell r="AY87">
            <v>13016311</v>
          </cell>
          <cell r="AZ87">
            <v>372.72524483133839</v>
          </cell>
          <cell r="BA87">
            <v>0</v>
          </cell>
          <cell r="BB87">
            <v>0</v>
          </cell>
          <cell r="BC87">
            <v>0</v>
          </cell>
          <cell r="BD87">
            <v>0</v>
          </cell>
          <cell r="BG87">
            <v>0</v>
          </cell>
          <cell r="BH87">
            <v>0</v>
          </cell>
          <cell r="BI87">
            <v>910550</v>
          </cell>
          <cell r="BJ87">
            <v>26.073821659698758</v>
          </cell>
          <cell r="BK87">
            <v>0</v>
          </cell>
          <cell r="BL87">
            <v>0</v>
          </cell>
          <cell r="BM87">
            <v>2082167</v>
          </cell>
          <cell r="BN87">
            <v>59.623360632266191</v>
          </cell>
          <cell r="BO87">
            <v>0</v>
          </cell>
          <cell r="BP87">
            <v>0</v>
          </cell>
          <cell r="BY87">
            <v>1954.06</v>
          </cell>
          <cell r="CF87">
            <v>6076</v>
          </cell>
          <cell r="CG87">
            <v>2142.25</v>
          </cell>
          <cell r="CJ87">
            <v>0</v>
          </cell>
          <cell r="CK87">
            <v>0</v>
          </cell>
          <cell r="CL87">
            <v>0</v>
          </cell>
          <cell r="CM87">
            <v>0</v>
          </cell>
          <cell r="CN87">
            <v>0</v>
          </cell>
          <cell r="CO87">
            <v>0</v>
          </cell>
          <cell r="CX87">
            <v>0</v>
          </cell>
          <cell r="CY87">
            <v>0</v>
          </cell>
          <cell r="DB87">
            <v>0</v>
          </cell>
          <cell r="DC87">
            <v>0</v>
          </cell>
          <cell r="DJ87" t="str">
            <v>НКРКП</v>
          </cell>
          <cell r="DL87">
            <v>40970</v>
          </cell>
          <cell r="DM87">
            <v>50</v>
          </cell>
          <cell r="DT87">
            <v>834.47</v>
          </cell>
        </row>
        <row r="88">
          <cell r="W88">
            <v>562.25</v>
          </cell>
          <cell r="AF88">
            <v>39868</v>
          </cell>
          <cell r="AG88">
            <v>18</v>
          </cell>
          <cell r="AH88">
            <v>482.00137241446919</v>
          </cell>
          <cell r="AM88">
            <v>10201</v>
          </cell>
          <cell r="AO88">
            <v>5735512.25</v>
          </cell>
          <cell r="AQ88">
            <v>4916896</v>
          </cell>
          <cell r="AU88">
            <v>0</v>
          </cell>
          <cell r="AW88">
            <v>0</v>
          </cell>
          <cell r="AY88">
            <v>3802279.5250000004</v>
          </cell>
          <cell r="AZ88">
            <v>372.7359597098324</v>
          </cell>
          <cell r="BA88">
            <v>0</v>
          </cell>
          <cell r="BB88">
            <v>0</v>
          </cell>
          <cell r="BC88">
            <v>0</v>
          </cell>
          <cell r="BD88">
            <v>0</v>
          </cell>
          <cell r="BG88">
            <v>0</v>
          </cell>
          <cell r="BH88">
            <v>0</v>
          </cell>
          <cell r="BI88">
            <v>265979</v>
          </cell>
          <cell r="BJ88">
            <v>26.073816292520341</v>
          </cell>
          <cell r="BK88">
            <v>0</v>
          </cell>
          <cell r="BL88">
            <v>0</v>
          </cell>
          <cell r="BM88">
            <v>608218</v>
          </cell>
          <cell r="BN88">
            <v>59.623370257817861</v>
          </cell>
          <cell r="BO88">
            <v>0</v>
          </cell>
          <cell r="BP88">
            <v>0</v>
          </cell>
          <cell r="BY88">
            <v>1954.06</v>
          </cell>
          <cell r="CF88">
            <v>1774.9</v>
          </cell>
          <cell r="CG88">
            <v>2142.25</v>
          </cell>
          <cell r="CJ88">
            <v>0</v>
          </cell>
          <cell r="CK88">
            <v>0</v>
          </cell>
          <cell r="CL88">
            <v>0</v>
          </cell>
          <cell r="CM88">
            <v>0</v>
          </cell>
          <cell r="CN88">
            <v>0</v>
          </cell>
          <cell r="CO88">
            <v>0</v>
          </cell>
          <cell r="CX88">
            <v>0</v>
          </cell>
          <cell r="CY88">
            <v>0</v>
          </cell>
          <cell r="DB88">
            <v>0</v>
          </cell>
          <cell r="DC88">
            <v>0</v>
          </cell>
          <cell r="DJ88" t="str">
            <v>НКРКП</v>
          </cell>
          <cell r="DL88">
            <v>40970</v>
          </cell>
          <cell r="DM88">
            <v>50</v>
          </cell>
          <cell r="DT88">
            <v>873.4</v>
          </cell>
        </row>
        <row r="89">
          <cell r="W89">
            <v>232.42</v>
          </cell>
          <cell r="AF89">
            <v>40344</v>
          </cell>
          <cell r="AG89" t="str">
            <v>припис 01-15/1907</v>
          </cell>
          <cell r="AH89">
            <v>232.42000000008787</v>
          </cell>
          <cell r="AM89">
            <v>34853.584028899997</v>
          </cell>
          <cell r="AO89">
            <v>8100669.9999969369</v>
          </cell>
          <cell r="AQ89">
            <v>8100670</v>
          </cell>
          <cell r="AU89">
            <v>0</v>
          </cell>
          <cell r="AW89">
            <v>0</v>
          </cell>
          <cell r="AY89">
            <v>4114420.1472000005</v>
          </cell>
          <cell r="AZ89">
            <v>118.04869604768318</v>
          </cell>
          <cell r="BA89">
            <v>0</v>
          </cell>
          <cell r="BB89">
            <v>0</v>
          </cell>
          <cell r="BC89">
            <v>0</v>
          </cell>
          <cell r="BD89">
            <v>0</v>
          </cell>
          <cell r="BG89">
            <v>829610</v>
          </cell>
          <cell r="BH89">
            <v>23.802717083904529</v>
          </cell>
          <cell r="BI89">
            <v>44380</v>
          </cell>
          <cell r="BJ89">
            <v>1.2733267248269464</v>
          </cell>
          <cell r="BK89">
            <v>0</v>
          </cell>
          <cell r="BL89">
            <v>0</v>
          </cell>
          <cell r="BM89">
            <v>2457230</v>
          </cell>
          <cell r="BN89">
            <v>70.501501307943158</v>
          </cell>
          <cell r="BO89">
            <v>0</v>
          </cell>
          <cell r="BP89">
            <v>0</v>
          </cell>
          <cell r="BY89">
            <v>2063.9899999999998</v>
          </cell>
          <cell r="CF89">
            <v>5656.96</v>
          </cell>
          <cell r="CG89">
            <v>727.32</v>
          </cell>
          <cell r="CJ89">
            <v>0</v>
          </cell>
          <cell r="CK89">
            <v>0</v>
          </cell>
          <cell r="CL89">
            <v>0</v>
          </cell>
          <cell r="CM89">
            <v>0</v>
          </cell>
          <cell r="CN89">
            <v>0</v>
          </cell>
          <cell r="CO89">
            <v>0</v>
          </cell>
          <cell r="CX89">
            <v>0</v>
          </cell>
          <cell r="CY89">
            <v>0</v>
          </cell>
          <cell r="DB89">
            <v>0</v>
          </cell>
          <cell r="DC89">
            <v>0</v>
          </cell>
          <cell r="DJ89" t="str">
            <v>НКРЕ</v>
          </cell>
          <cell r="DL89">
            <v>40526</v>
          </cell>
          <cell r="DM89" t="str">
            <v>№ 1725</v>
          </cell>
          <cell r="DO89" t="str">
            <v xml:space="preserve"> тариф на теплову енергію</v>
          </cell>
          <cell r="DT89">
            <v>255.66</v>
          </cell>
        </row>
        <row r="90">
          <cell r="W90">
            <v>538.37</v>
          </cell>
          <cell r="AF90">
            <v>40344</v>
          </cell>
          <cell r="AG90" t="str">
            <v>припис 01-15/1907</v>
          </cell>
          <cell r="AH90">
            <v>467.90343382234403</v>
          </cell>
          <cell r="AM90">
            <v>12406</v>
          </cell>
          <cell r="AO90">
            <v>6679018.2199999997</v>
          </cell>
          <cell r="AQ90">
            <v>5804810</v>
          </cell>
          <cell r="AU90">
            <v>0</v>
          </cell>
          <cell r="AW90">
            <v>0</v>
          </cell>
          <cell r="AY90">
            <v>4385880.6572000002</v>
          </cell>
          <cell r="AZ90">
            <v>353.52899058520075</v>
          </cell>
          <cell r="BA90">
            <v>0</v>
          </cell>
          <cell r="BB90">
            <v>0</v>
          </cell>
          <cell r="BC90">
            <v>0</v>
          </cell>
          <cell r="BD90">
            <v>0</v>
          </cell>
          <cell r="BG90">
            <v>295300</v>
          </cell>
          <cell r="BH90">
            <v>23.80299854908915</v>
          </cell>
          <cell r="BI90">
            <v>15800</v>
          </cell>
          <cell r="BJ90">
            <v>1.2735773013058198</v>
          </cell>
          <cell r="BK90">
            <v>0</v>
          </cell>
          <cell r="BL90">
            <v>0</v>
          </cell>
          <cell r="BM90">
            <v>874670</v>
          </cell>
          <cell r="BN90">
            <v>70.503788489440595</v>
          </cell>
          <cell r="BO90">
            <v>0</v>
          </cell>
          <cell r="BP90">
            <v>0</v>
          </cell>
          <cell r="BY90">
            <v>2063.9899999999998</v>
          </cell>
          <cell r="CF90">
            <v>2009.42</v>
          </cell>
          <cell r="CG90">
            <v>2182.66</v>
          </cell>
          <cell r="CJ90">
            <v>0</v>
          </cell>
          <cell r="CK90">
            <v>0</v>
          </cell>
          <cell r="CL90">
            <v>0</v>
          </cell>
          <cell r="CM90">
            <v>0</v>
          </cell>
          <cell r="CN90">
            <v>0</v>
          </cell>
          <cell r="CO90">
            <v>0</v>
          </cell>
          <cell r="CX90">
            <v>0</v>
          </cell>
          <cell r="CY90">
            <v>0</v>
          </cell>
          <cell r="DB90">
            <v>0</v>
          </cell>
          <cell r="DC90">
            <v>0</v>
          </cell>
          <cell r="DJ90" t="str">
            <v>НКРКП</v>
          </cell>
          <cell r="DL90">
            <v>41558</v>
          </cell>
          <cell r="DM90" t="str">
            <v>№ 201</v>
          </cell>
          <cell r="DT90">
            <v>792.55</v>
          </cell>
        </row>
        <row r="91">
          <cell r="W91">
            <v>585.34</v>
          </cell>
          <cell r="AF91">
            <v>40344</v>
          </cell>
          <cell r="AG91" t="str">
            <v>припис 01-15/1907</v>
          </cell>
          <cell r="AH91">
            <v>467.90140225612612</v>
          </cell>
          <cell r="AM91">
            <v>2298.98862199</v>
          </cell>
          <cell r="AO91">
            <v>1345689.9999956267</v>
          </cell>
          <cell r="AQ91">
            <v>1075700</v>
          </cell>
          <cell r="AU91">
            <v>0</v>
          </cell>
          <cell r="AW91">
            <v>0</v>
          </cell>
          <cell r="AY91">
            <v>812757.10419999994</v>
          </cell>
          <cell r="AZ91">
            <v>353.52811076397541</v>
          </cell>
          <cell r="BA91">
            <v>0</v>
          </cell>
          <cell r="BB91">
            <v>0</v>
          </cell>
          <cell r="BC91">
            <v>0</v>
          </cell>
          <cell r="BD91">
            <v>0</v>
          </cell>
          <cell r="BG91">
            <v>54720</v>
          </cell>
          <cell r="BH91">
            <v>23.801770690206581</v>
          </cell>
          <cell r="BI91">
            <v>2930</v>
          </cell>
          <cell r="BJ91">
            <v>1.2744734671473918</v>
          </cell>
          <cell r="BK91">
            <v>0</v>
          </cell>
          <cell r="BL91">
            <v>0</v>
          </cell>
          <cell r="BM91">
            <v>162070</v>
          </cell>
          <cell r="BN91">
            <v>70.496216662313245</v>
          </cell>
          <cell r="BO91">
            <v>0</v>
          </cell>
          <cell r="BP91">
            <v>0</v>
          </cell>
          <cell r="BY91">
            <v>2063.9899999999998</v>
          </cell>
          <cell r="CF91">
            <v>372.37</v>
          </cell>
          <cell r="CG91">
            <v>2182.66</v>
          </cell>
          <cell r="CJ91">
            <v>0</v>
          </cell>
          <cell r="CK91">
            <v>0</v>
          </cell>
          <cell r="CL91">
            <v>0</v>
          </cell>
          <cell r="CM91">
            <v>0</v>
          </cell>
          <cell r="CN91">
            <v>0</v>
          </cell>
          <cell r="CO91">
            <v>0</v>
          </cell>
          <cell r="CX91">
            <v>0</v>
          </cell>
          <cell r="CY91">
            <v>0</v>
          </cell>
          <cell r="DB91">
            <v>0</v>
          </cell>
          <cell r="DC91">
            <v>0</v>
          </cell>
          <cell r="DJ91" t="str">
            <v>НКРКП</v>
          </cell>
          <cell r="DL91">
            <v>41558</v>
          </cell>
          <cell r="DM91" t="str">
            <v>№ 201</v>
          </cell>
          <cell r="DT91">
            <v>839.52</v>
          </cell>
        </row>
        <row r="92">
          <cell r="W92">
            <v>239.52</v>
          </cell>
          <cell r="AF92">
            <v>39784</v>
          </cell>
          <cell r="AG92">
            <v>560</v>
          </cell>
          <cell r="AH92">
            <v>232.54016653449642</v>
          </cell>
          <cell r="AM92">
            <v>25220</v>
          </cell>
          <cell r="AO92">
            <v>6040694.4000000004</v>
          </cell>
          <cell r="AQ92">
            <v>5864663</v>
          </cell>
          <cell r="AU92">
            <v>0</v>
          </cell>
          <cell r="AW92">
            <v>0</v>
          </cell>
          <cell r="AY92">
            <v>2916989.9999974277</v>
          </cell>
          <cell r="AZ92">
            <v>115.66177636785994</v>
          </cell>
          <cell r="BA92">
            <v>0</v>
          </cell>
          <cell r="BB92">
            <v>0</v>
          </cell>
          <cell r="BC92">
            <v>0</v>
          </cell>
          <cell r="BD92">
            <v>0</v>
          </cell>
          <cell r="BG92">
            <v>0</v>
          </cell>
          <cell r="BH92">
            <v>0</v>
          </cell>
          <cell r="BI92">
            <v>594941</v>
          </cell>
          <cell r="BJ92">
            <v>23.590047581284693</v>
          </cell>
          <cell r="BK92">
            <v>0</v>
          </cell>
          <cell r="BL92">
            <v>0</v>
          </cell>
          <cell r="BM92">
            <v>1960976</v>
          </cell>
          <cell r="BN92">
            <v>77.754797779540041</v>
          </cell>
          <cell r="BO92">
            <v>0</v>
          </cell>
          <cell r="BP92">
            <v>0</v>
          </cell>
          <cell r="BY92">
            <v>1480.39</v>
          </cell>
          <cell r="CF92">
            <v>4010.6005609600002</v>
          </cell>
          <cell r="CG92">
            <v>727.32</v>
          </cell>
          <cell r="CJ92">
            <v>0</v>
          </cell>
          <cell r="CK92">
            <v>0</v>
          </cell>
          <cell r="CL92">
            <v>0</v>
          </cell>
          <cell r="CM92">
            <v>0</v>
          </cell>
          <cell r="CN92">
            <v>0</v>
          </cell>
          <cell r="CO92">
            <v>0</v>
          </cell>
          <cell r="CX92">
            <v>0</v>
          </cell>
          <cell r="CY92">
            <v>0</v>
          </cell>
          <cell r="DB92">
            <v>0</v>
          </cell>
          <cell r="DC92">
            <v>0</v>
          </cell>
          <cell r="DJ92" t="str">
            <v>НКРЕ</v>
          </cell>
          <cell r="DL92">
            <v>40526</v>
          </cell>
          <cell r="DM92" t="str">
            <v>№ 1708</v>
          </cell>
          <cell r="DO92" t="str">
            <v>тариф на теплову енергію</v>
          </cell>
          <cell r="DT92">
            <v>263.47000000000003</v>
          </cell>
        </row>
        <row r="93">
          <cell r="W93">
            <v>526.16</v>
          </cell>
          <cell r="AF93">
            <v>39857</v>
          </cell>
          <cell r="AG93">
            <v>49</v>
          </cell>
          <cell r="AH93">
            <v>457.53057553956836</v>
          </cell>
          <cell r="AM93">
            <v>5560</v>
          </cell>
          <cell r="AO93">
            <v>2925449.5999999996</v>
          </cell>
          <cell r="AQ93">
            <v>2543870</v>
          </cell>
          <cell r="AU93">
            <v>0</v>
          </cell>
          <cell r="AW93">
            <v>0</v>
          </cell>
          <cell r="AY93">
            <v>1894026.9997825001</v>
          </cell>
          <cell r="AZ93">
            <v>340.65233809037773</v>
          </cell>
          <cell r="BA93">
            <v>0</v>
          </cell>
          <cell r="BB93">
            <v>0</v>
          </cell>
          <cell r="BC93">
            <v>0</v>
          </cell>
          <cell r="BD93">
            <v>0</v>
          </cell>
          <cell r="BG93">
            <v>0</v>
          </cell>
          <cell r="BH93">
            <v>0</v>
          </cell>
          <cell r="BI93">
            <v>131160</v>
          </cell>
          <cell r="BJ93">
            <v>23.589928057553958</v>
          </cell>
          <cell r="BK93">
            <v>0</v>
          </cell>
          <cell r="BL93">
            <v>0</v>
          </cell>
          <cell r="BM93">
            <v>432317</v>
          </cell>
          <cell r="BN93">
            <v>77.754856115107913</v>
          </cell>
          <cell r="BO93">
            <v>0</v>
          </cell>
          <cell r="BP93">
            <v>0</v>
          </cell>
          <cell r="BY93">
            <v>1480.39</v>
          </cell>
          <cell r="CF93">
            <v>884.12977000000001</v>
          </cell>
          <cell r="CG93">
            <v>2142.25</v>
          </cell>
          <cell r="CJ93">
            <v>0</v>
          </cell>
          <cell r="CK93">
            <v>0</v>
          </cell>
          <cell r="CL93">
            <v>0</v>
          </cell>
          <cell r="CM93">
            <v>0</v>
          </cell>
          <cell r="CN93">
            <v>0</v>
          </cell>
          <cell r="CO93">
            <v>0</v>
          </cell>
          <cell r="CX93">
            <v>0</v>
          </cell>
          <cell r="CY93">
            <v>0</v>
          </cell>
          <cell r="DB93">
            <v>0</v>
          </cell>
          <cell r="DC93">
            <v>0</v>
          </cell>
          <cell r="DJ93" t="str">
            <v>НКРКП</v>
          </cell>
          <cell r="DL93">
            <v>40816</v>
          </cell>
          <cell r="DM93" t="str">
            <v>№ 73</v>
          </cell>
          <cell r="DT93">
            <v>782.12</v>
          </cell>
        </row>
        <row r="94">
          <cell r="W94">
            <v>571.91999999999996</v>
          </cell>
          <cell r="AF94">
            <v>39857</v>
          </cell>
          <cell r="AG94">
            <v>49</v>
          </cell>
          <cell r="AH94">
            <v>457.53034482758619</v>
          </cell>
          <cell r="AM94">
            <v>1450</v>
          </cell>
          <cell r="AO94">
            <v>829283.99999999988</v>
          </cell>
          <cell r="AQ94">
            <v>663419</v>
          </cell>
          <cell r="AU94">
            <v>0</v>
          </cell>
          <cell r="AW94">
            <v>0</v>
          </cell>
          <cell r="AY94">
            <v>493938.58249999996</v>
          </cell>
          <cell r="AZ94">
            <v>340.64729827586206</v>
          </cell>
          <cell r="BA94">
            <v>0</v>
          </cell>
          <cell r="BB94">
            <v>0</v>
          </cell>
          <cell r="BC94">
            <v>0</v>
          </cell>
          <cell r="BD94">
            <v>0</v>
          </cell>
          <cell r="BG94">
            <v>0</v>
          </cell>
          <cell r="BH94">
            <v>0</v>
          </cell>
          <cell r="BI94">
            <v>34207</v>
          </cell>
          <cell r="BJ94">
            <v>23.591034482758619</v>
          </cell>
          <cell r="BK94">
            <v>0</v>
          </cell>
          <cell r="BL94">
            <v>0</v>
          </cell>
          <cell r="BM94">
            <v>112746</v>
          </cell>
          <cell r="BN94">
            <v>77.755862068965513</v>
          </cell>
          <cell r="BO94">
            <v>0</v>
          </cell>
          <cell r="BP94">
            <v>0</v>
          </cell>
          <cell r="BY94">
            <v>1480.39</v>
          </cell>
          <cell r="CF94">
            <v>230.57</v>
          </cell>
          <cell r="CG94">
            <v>2142.25</v>
          </cell>
          <cell r="CJ94">
            <v>0</v>
          </cell>
          <cell r="CK94">
            <v>0</v>
          </cell>
          <cell r="CL94">
            <v>0</v>
          </cell>
          <cell r="CM94">
            <v>0</v>
          </cell>
          <cell r="CN94">
            <v>0</v>
          </cell>
          <cell r="CO94">
            <v>0</v>
          </cell>
          <cell r="CX94">
            <v>0</v>
          </cell>
          <cell r="CY94">
            <v>0</v>
          </cell>
          <cell r="DB94">
            <v>0</v>
          </cell>
          <cell r="DC94">
            <v>0</v>
          </cell>
          <cell r="DJ94" t="str">
            <v>НКРКП</v>
          </cell>
          <cell r="DL94">
            <v>40816</v>
          </cell>
          <cell r="DM94" t="str">
            <v>№ 73</v>
          </cell>
          <cell r="DT94">
            <v>827.88</v>
          </cell>
        </row>
        <row r="95">
          <cell r="W95">
            <v>223.46</v>
          </cell>
          <cell r="AF95">
            <v>39974</v>
          </cell>
          <cell r="AG95">
            <v>127</v>
          </cell>
          <cell r="AH95">
            <v>222.55789822383741</v>
          </cell>
          <cell r="AM95">
            <v>102637</v>
          </cell>
          <cell r="AO95">
            <v>22935264.02</v>
          </cell>
          <cell r="AQ95">
            <v>22842675</v>
          </cell>
          <cell r="AU95">
            <v>0</v>
          </cell>
          <cell r="AW95">
            <v>0</v>
          </cell>
          <cell r="AY95">
            <v>12209375.376</v>
          </cell>
          <cell r="AZ95">
            <v>118.95686132681197</v>
          </cell>
          <cell r="BA95">
            <v>0</v>
          </cell>
          <cell r="BB95">
            <v>0</v>
          </cell>
          <cell r="BC95">
            <v>0</v>
          </cell>
          <cell r="BD95">
            <v>0</v>
          </cell>
          <cell r="BG95">
            <v>0</v>
          </cell>
          <cell r="BH95">
            <v>0</v>
          </cell>
          <cell r="BI95">
            <v>2076000</v>
          </cell>
          <cell r="BJ95">
            <v>20.226623927043853</v>
          </cell>
          <cell r="BK95">
            <v>0</v>
          </cell>
          <cell r="BL95">
            <v>0</v>
          </cell>
          <cell r="BM95">
            <v>4820300</v>
          </cell>
          <cell r="BN95">
            <v>46.96454494967702</v>
          </cell>
          <cell r="BO95">
            <v>0</v>
          </cell>
          <cell r="BP95">
            <v>0</v>
          </cell>
          <cell r="BY95">
            <v>1943</v>
          </cell>
          <cell r="CF95">
            <v>16786.8</v>
          </cell>
          <cell r="CG95">
            <v>727.32</v>
          </cell>
          <cell r="CJ95">
            <v>0</v>
          </cell>
          <cell r="CK95">
            <v>0</v>
          </cell>
          <cell r="CL95">
            <v>0</v>
          </cell>
          <cell r="CM95">
            <v>0</v>
          </cell>
          <cell r="CN95">
            <v>0</v>
          </cell>
          <cell r="CO95">
            <v>0</v>
          </cell>
          <cell r="CX95">
            <v>0</v>
          </cell>
          <cell r="CY95">
            <v>0</v>
          </cell>
          <cell r="DB95">
            <v>0</v>
          </cell>
          <cell r="DC95">
            <v>0</v>
          </cell>
          <cell r="DJ95" t="str">
            <v>НКРКП</v>
          </cell>
          <cell r="DL95">
            <v>41243</v>
          </cell>
          <cell r="DM95">
            <v>372</v>
          </cell>
          <cell r="DO95" t="str">
            <v>Тариф на теплову енергію</v>
          </cell>
          <cell r="DT95">
            <v>245.8</v>
          </cell>
        </row>
        <row r="96">
          <cell r="W96">
            <v>518.54</v>
          </cell>
          <cell r="AF96">
            <v>39974</v>
          </cell>
          <cell r="AG96">
            <v>128</v>
          </cell>
          <cell r="AH96">
            <v>455.8217717838973</v>
          </cell>
          <cell r="AM96">
            <v>12383</v>
          </cell>
          <cell r="AO96">
            <v>6421080.8199999994</v>
          </cell>
          <cell r="AQ96">
            <v>5644441</v>
          </cell>
          <cell r="AU96">
            <v>0</v>
          </cell>
          <cell r="AW96">
            <v>0</v>
          </cell>
          <cell r="AY96">
            <v>4420584.9512</v>
          </cell>
          <cell r="AZ96">
            <v>356.98820570136479</v>
          </cell>
          <cell r="BA96">
            <v>0</v>
          </cell>
          <cell r="BB96">
            <v>0</v>
          </cell>
          <cell r="BC96">
            <v>0</v>
          </cell>
          <cell r="BD96">
            <v>0</v>
          </cell>
          <cell r="BG96">
            <v>0</v>
          </cell>
          <cell r="BH96">
            <v>0</v>
          </cell>
          <cell r="BI96">
            <v>250500</v>
          </cell>
          <cell r="BJ96">
            <v>20.229346684971333</v>
          </cell>
          <cell r="BK96">
            <v>0</v>
          </cell>
          <cell r="BL96">
            <v>0</v>
          </cell>
          <cell r="BM96">
            <v>581600</v>
          </cell>
          <cell r="BN96">
            <v>46.967616894129051</v>
          </cell>
          <cell r="BO96">
            <v>0</v>
          </cell>
          <cell r="BP96">
            <v>0</v>
          </cell>
          <cell r="BY96">
            <v>1943</v>
          </cell>
          <cell r="CF96">
            <v>2025.32</v>
          </cell>
          <cell r="CG96">
            <v>2182.66</v>
          </cell>
          <cell r="CJ96">
            <v>0</v>
          </cell>
          <cell r="CK96">
            <v>0</v>
          </cell>
          <cell r="CL96">
            <v>0</v>
          </cell>
          <cell r="CM96">
            <v>0</v>
          </cell>
          <cell r="CN96">
            <v>0</v>
          </cell>
          <cell r="CO96">
            <v>0</v>
          </cell>
          <cell r="CX96">
            <v>0</v>
          </cell>
          <cell r="CY96">
            <v>0</v>
          </cell>
          <cell r="DB96">
            <v>0</v>
          </cell>
          <cell r="DC96">
            <v>0</v>
          </cell>
          <cell r="DJ96" t="str">
            <v>НКРКП</v>
          </cell>
          <cell r="DL96">
            <v>41243</v>
          </cell>
          <cell r="DM96">
            <v>372</v>
          </cell>
          <cell r="DT96">
            <v>775.2</v>
          </cell>
        </row>
        <row r="97">
          <cell r="W97">
            <v>554.66</v>
          </cell>
          <cell r="AF97">
            <v>39974</v>
          </cell>
          <cell r="AG97">
            <v>129</v>
          </cell>
          <cell r="AH97">
            <v>455.81497035573125</v>
          </cell>
          <cell r="AM97">
            <v>4048</v>
          </cell>
          <cell r="AO97">
            <v>2245263.6799999997</v>
          </cell>
          <cell r="AQ97">
            <v>1845139</v>
          </cell>
          <cell r="AU97">
            <v>0</v>
          </cell>
          <cell r="AW97">
            <v>0</v>
          </cell>
          <cell r="AY97">
            <v>1445095.5327999999</v>
          </cell>
          <cell r="AZ97">
            <v>356.9900031620553</v>
          </cell>
          <cell r="BA97">
            <v>0</v>
          </cell>
          <cell r="BB97">
            <v>0</v>
          </cell>
          <cell r="BC97">
            <v>0</v>
          </cell>
          <cell r="BD97">
            <v>0</v>
          </cell>
          <cell r="BG97">
            <v>0</v>
          </cell>
          <cell r="BH97">
            <v>0</v>
          </cell>
          <cell r="BI97">
            <v>81800</v>
          </cell>
          <cell r="BJ97">
            <v>20.207509881422926</v>
          </cell>
          <cell r="BK97">
            <v>0</v>
          </cell>
          <cell r="BL97">
            <v>0</v>
          </cell>
          <cell r="BM97">
            <v>190200</v>
          </cell>
          <cell r="BN97">
            <v>46.98616600790514</v>
          </cell>
          <cell r="BO97">
            <v>0</v>
          </cell>
          <cell r="BP97">
            <v>0</v>
          </cell>
          <cell r="BY97">
            <v>1943</v>
          </cell>
          <cell r="CF97">
            <v>662.08</v>
          </cell>
          <cell r="CG97">
            <v>2182.66</v>
          </cell>
          <cell r="CJ97">
            <v>0</v>
          </cell>
          <cell r="CK97">
            <v>0</v>
          </cell>
          <cell r="CL97">
            <v>0</v>
          </cell>
          <cell r="CM97">
            <v>0</v>
          </cell>
          <cell r="CN97">
            <v>0</v>
          </cell>
          <cell r="CO97">
            <v>0</v>
          </cell>
          <cell r="CX97">
            <v>0</v>
          </cell>
          <cell r="CY97">
            <v>0</v>
          </cell>
          <cell r="DB97">
            <v>0</v>
          </cell>
          <cell r="DC97">
            <v>0</v>
          </cell>
          <cell r="DJ97" t="str">
            <v>НКРКП</v>
          </cell>
          <cell r="DL97">
            <v>41243</v>
          </cell>
          <cell r="DM97">
            <v>372</v>
          </cell>
          <cell r="DT97">
            <v>811.33</v>
          </cell>
        </row>
        <row r="98">
          <cell r="W98">
            <v>238.76</v>
          </cell>
          <cell r="AF98">
            <v>39710</v>
          </cell>
          <cell r="AG98">
            <v>222</v>
          </cell>
          <cell r="AH98">
            <v>238.76000055914602</v>
          </cell>
          <cell r="AM98">
            <v>38630.339999999997</v>
          </cell>
          <cell r="AO98">
            <v>9223379.9783999994</v>
          </cell>
          <cell r="AQ98">
            <v>9223380</v>
          </cell>
          <cell r="AU98">
            <v>0</v>
          </cell>
          <cell r="AW98">
            <v>0</v>
          </cell>
          <cell r="AY98">
            <v>4457699.9336640006</v>
          </cell>
          <cell r="AZ98">
            <v>115.39375355391645</v>
          </cell>
          <cell r="BA98">
            <v>0</v>
          </cell>
          <cell r="BB98">
            <v>0</v>
          </cell>
          <cell r="BC98">
            <v>0</v>
          </cell>
          <cell r="BD98">
            <v>0</v>
          </cell>
          <cell r="BG98">
            <v>0</v>
          </cell>
          <cell r="BH98">
            <v>0</v>
          </cell>
          <cell r="BI98">
            <v>994950</v>
          </cell>
          <cell r="BJ98">
            <v>25.755662518114004</v>
          </cell>
          <cell r="BK98">
            <v>0</v>
          </cell>
          <cell r="BL98">
            <v>0</v>
          </cell>
          <cell r="BM98">
            <v>2391860</v>
          </cell>
          <cell r="BN98">
            <v>61.916617870823821</v>
          </cell>
          <cell r="BO98">
            <v>0</v>
          </cell>
          <cell r="BP98">
            <v>0</v>
          </cell>
          <cell r="BY98">
            <v>2249.4</v>
          </cell>
          <cell r="CF98">
            <v>6183.0059000000001</v>
          </cell>
          <cell r="CG98">
            <v>720.96</v>
          </cell>
          <cell r="CJ98">
            <v>0</v>
          </cell>
          <cell r="CK98">
            <v>0</v>
          </cell>
          <cell r="CL98">
            <v>0</v>
          </cell>
          <cell r="CM98">
            <v>0</v>
          </cell>
          <cell r="CN98">
            <v>0</v>
          </cell>
          <cell r="CO98">
            <v>0</v>
          </cell>
          <cell r="CX98">
            <v>0</v>
          </cell>
          <cell r="CY98">
            <v>0</v>
          </cell>
          <cell r="DB98">
            <v>0</v>
          </cell>
          <cell r="DC98">
            <v>0</v>
          </cell>
          <cell r="DJ98" t="str">
            <v>НКРЕ</v>
          </cell>
          <cell r="DL98">
            <v>40526</v>
          </cell>
          <cell r="DM98" t="str">
            <v>№ 1795</v>
          </cell>
          <cell r="DO98" t="str">
            <v>Тариф на теплову енергію</v>
          </cell>
          <cell r="DT98">
            <v>262.64</v>
          </cell>
        </row>
        <row r="99">
          <cell r="W99">
            <v>583.08000000000004</v>
          </cell>
          <cell r="AF99">
            <v>39856</v>
          </cell>
          <cell r="AG99">
            <v>90</v>
          </cell>
          <cell r="AH99">
            <v>429.78065241844769</v>
          </cell>
          <cell r="AM99">
            <v>8890</v>
          </cell>
          <cell r="AO99">
            <v>5183581.2</v>
          </cell>
          <cell r="AQ99">
            <v>3820750</v>
          </cell>
          <cell r="AU99">
            <v>0</v>
          </cell>
          <cell r="AW99">
            <v>0</v>
          </cell>
          <cell r="AY99">
            <v>2690439.9926250004</v>
          </cell>
          <cell r="AZ99">
            <v>302.63666958661423</v>
          </cell>
          <cell r="BA99">
            <v>0</v>
          </cell>
          <cell r="BB99">
            <v>0</v>
          </cell>
          <cell r="BC99">
            <v>0</v>
          </cell>
          <cell r="BD99">
            <v>0</v>
          </cell>
          <cell r="BG99">
            <v>0</v>
          </cell>
          <cell r="BH99">
            <v>0</v>
          </cell>
          <cell r="BI99">
            <v>262360</v>
          </cell>
          <cell r="BJ99">
            <v>29.511811023622048</v>
          </cell>
          <cell r="BK99">
            <v>0</v>
          </cell>
          <cell r="BL99">
            <v>0</v>
          </cell>
          <cell r="BM99">
            <v>550470</v>
          </cell>
          <cell r="BN99">
            <v>61.920134983127106</v>
          </cell>
          <cell r="BO99">
            <v>0</v>
          </cell>
          <cell r="BP99">
            <v>0</v>
          </cell>
          <cell r="BY99">
            <v>2249.4</v>
          </cell>
          <cell r="CF99">
            <v>1255.8945000000001</v>
          </cell>
          <cell r="CG99">
            <v>2142.25</v>
          </cell>
          <cell r="CJ99">
            <v>0</v>
          </cell>
          <cell r="CK99">
            <v>0</v>
          </cell>
          <cell r="CL99">
            <v>0</v>
          </cell>
          <cell r="CM99">
            <v>0</v>
          </cell>
          <cell r="CN99">
            <v>0</v>
          </cell>
          <cell r="CO99">
            <v>0</v>
          </cell>
          <cell r="CX99">
            <v>0</v>
          </cell>
          <cell r="CY99">
            <v>0</v>
          </cell>
          <cell r="DB99">
            <v>0</v>
          </cell>
          <cell r="DC99">
            <v>0</v>
          </cell>
          <cell r="DJ99" t="str">
            <v>НКРКП</v>
          </cell>
          <cell r="DL99">
            <v>40816</v>
          </cell>
          <cell r="DM99" t="str">
            <v>№ 59</v>
          </cell>
          <cell r="DT99">
            <v>848.15</v>
          </cell>
        </row>
        <row r="100">
          <cell r="W100">
            <v>583.08000000000004</v>
          </cell>
          <cell r="AF100">
            <v>39856</v>
          </cell>
          <cell r="AG100">
            <v>91</v>
          </cell>
          <cell r="AH100">
            <v>429.78160919540232</v>
          </cell>
          <cell r="AM100">
            <v>870</v>
          </cell>
          <cell r="AO100">
            <v>507279.60000000003</v>
          </cell>
          <cell r="AQ100">
            <v>373910</v>
          </cell>
          <cell r="AU100">
            <v>0</v>
          </cell>
          <cell r="AW100">
            <v>0</v>
          </cell>
          <cell r="AY100">
            <v>263292.80780000001</v>
          </cell>
          <cell r="AZ100">
            <v>302.6354112643678</v>
          </cell>
          <cell r="BA100">
            <v>0</v>
          </cell>
          <cell r="BB100">
            <v>0</v>
          </cell>
          <cell r="BC100">
            <v>0</v>
          </cell>
          <cell r="BD100">
            <v>0</v>
          </cell>
          <cell r="BG100">
            <v>0</v>
          </cell>
          <cell r="BH100">
            <v>0</v>
          </cell>
          <cell r="BI100">
            <v>25670</v>
          </cell>
          <cell r="BJ100">
            <v>29.505747126436781</v>
          </cell>
          <cell r="BK100">
            <v>0</v>
          </cell>
          <cell r="BL100">
            <v>0</v>
          </cell>
          <cell r="BM100">
            <v>53870</v>
          </cell>
          <cell r="BN100">
            <v>61.919540229885058</v>
          </cell>
          <cell r="BO100">
            <v>0</v>
          </cell>
          <cell r="BP100">
            <v>0</v>
          </cell>
          <cell r="BY100">
            <v>2249.4</v>
          </cell>
          <cell r="CF100">
            <v>122.90479999999999</v>
          </cell>
          <cell r="CG100">
            <v>2142.25</v>
          </cell>
          <cell r="CJ100">
            <v>0</v>
          </cell>
          <cell r="CK100">
            <v>0</v>
          </cell>
          <cell r="CL100">
            <v>0</v>
          </cell>
          <cell r="CM100">
            <v>0</v>
          </cell>
          <cell r="CN100">
            <v>0</v>
          </cell>
          <cell r="CO100">
            <v>0</v>
          </cell>
          <cell r="CX100">
            <v>0</v>
          </cell>
          <cell r="CY100">
            <v>0</v>
          </cell>
          <cell r="DB100">
            <v>0</v>
          </cell>
          <cell r="DC100">
            <v>0</v>
          </cell>
          <cell r="DJ100" t="str">
            <v>НКРКП</v>
          </cell>
          <cell r="DL100">
            <v>40816</v>
          </cell>
          <cell r="DM100" t="str">
            <v>№ 59</v>
          </cell>
          <cell r="DT100">
            <v>848.15</v>
          </cell>
        </row>
        <row r="101">
          <cell r="W101">
            <v>272.67</v>
          </cell>
          <cell r="AF101">
            <v>40091</v>
          </cell>
          <cell r="AG101">
            <v>443</v>
          </cell>
          <cell r="AH101">
            <v>259.18999059810517</v>
          </cell>
          <cell r="AM101">
            <v>69135</v>
          </cell>
          <cell r="AO101">
            <v>18851040.449999999</v>
          </cell>
          <cell r="AQ101">
            <v>17919100</v>
          </cell>
          <cell r="AU101">
            <v>0</v>
          </cell>
          <cell r="AW101">
            <v>0</v>
          </cell>
          <cell r="AY101">
            <v>7869602.4000000004</v>
          </cell>
          <cell r="AZ101">
            <v>113.82949880668258</v>
          </cell>
          <cell r="BA101">
            <v>0</v>
          </cell>
          <cell r="BB101">
            <v>0</v>
          </cell>
          <cell r="BC101">
            <v>0</v>
          </cell>
          <cell r="BD101">
            <v>0</v>
          </cell>
          <cell r="BG101">
            <v>0</v>
          </cell>
          <cell r="BH101">
            <v>0</v>
          </cell>
          <cell r="BI101">
            <v>1519683</v>
          </cell>
          <cell r="BJ101">
            <v>21.981384248210023</v>
          </cell>
          <cell r="BK101">
            <v>0</v>
          </cell>
          <cell r="BL101">
            <v>0</v>
          </cell>
          <cell r="BM101">
            <v>6535567</v>
          </cell>
          <cell r="BN101">
            <v>94.533405655601356</v>
          </cell>
          <cell r="BO101">
            <v>0</v>
          </cell>
          <cell r="BP101">
            <v>0</v>
          </cell>
          <cell r="BY101">
            <v>2309.48</v>
          </cell>
          <cell r="CF101">
            <v>10820</v>
          </cell>
          <cell r="CG101">
            <v>727.32</v>
          </cell>
          <cell r="CJ101">
            <v>0</v>
          </cell>
          <cell r="CK101">
            <v>0</v>
          </cell>
          <cell r="CL101">
            <v>0</v>
          </cell>
          <cell r="CM101">
            <v>0</v>
          </cell>
          <cell r="CN101">
            <v>0</v>
          </cell>
          <cell r="CO101">
            <v>0</v>
          </cell>
          <cell r="CX101">
            <v>0</v>
          </cell>
          <cell r="CY101">
            <v>0</v>
          </cell>
          <cell r="DB101">
            <v>0</v>
          </cell>
          <cell r="DC101">
            <v>0</v>
          </cell>
          <cell r="DJ101" t="str">
            <v>НКРЕ</v>
          </cell>
          <cell r="DL101">
            <v>40526</v>
          </cell>
          <cell r="DM101" t="str">
            <v>№ 1798</v>
          </cell>
          <cell r="DO101" t="str">
            <v>Тариф на теплову енергію</v>
          </cell>
          <cell r="DT101">
            <v>299.94</v>
          </cell>
        </row>
        <row r="102">
          <cell r="W102">
            <v>555.5</v>
          </cell>
          <cell r="AF102">
            <v>40091</v>
          </cell>
          <cell r="AG102">
            <v>444</v>
          </cell>
          <cell r="AH102">
            <v>483.06002670977716</v>
          </cell>
          <cell r="AM102">
            <v>14227</v>
          </cell>
          <cell r="AO102">
            <v>7903098.5</v>
          </cell>
          <cell r="AQ102">
            <v>6872495</v>
          </cell>
          <cell r="AU102">
            <v>0</v>
          </cell>
          <cell r="AW102">
            <v>0</v>
          </cell>
          <cell r="AY102">
            <v>4838937.7943259999</v>
          </cell>
          <cell r="AZ102">
            <v>340.1235534073241</v>
          </cell>
          <cell r="BA102">
            <v>0</v>
          </cell>
          <cell r="BB102">
            <v>0</v>
          </cell>
          <cell r="BC102">
            <v>0</v>
          </cell>
          <cell r="BD102">
            <v>0</v>
          </cell>
          <cell r="BG102">
            <v>0</v>
          </cell>
          <cell r="BH102">
            <v>0</v>
          </cell>
          <cell r="BI102">
            <v>312729</v>
          </cell>
          <cell r="BJ102">
            <v>21.981373444858367</v>
          </cell>
          <cell r="BK102">
            <v>0</v>
          </cell>
          <cell r="BL102">
            <v>0</v>
          </cell>
          <cell r="BM102">
            <v>1335517</v>
          </cell>
          <cell r="BN102">
            <v>93.872003936177691</v>
          </cell>
          <cell r="BO102">
            <v>0</v>
          </cell>
          <cell r="BP102">
            <v>0</v>
          </cell>
          <cell r="BY102">
            <v>2309.48</v>
          </cell>
          <cell r="CF102">
            <v>2216.9911000000002</v>
          </cell>
          <cell r="CG102">
            <v>2182.66</v>
          </cell>
          <cell r="CJ102">
            <v>0</v>
          </cell>
          <cell r="CK102">
            <v>0</v>
          </cell>
          <cell r="CL102">
            <v>0</v>
          </cell>
          <cell r="CM102">
            <v>0</v>
          </cell>
          <cell r="CN102">
            <v>0</v>
          </cell>
          <cell r="CO102">
            <v>0</v>
          </cell>
          <cell r="CX102">
            <v>0</v>
          </cell>
          <cell r="CY102">
            <v>0</v>
          </cell>
          <cell r="DB102">
            <v>0</v>
          </cell>
          <cell r="DC102">
            <v>0</v>
          </cell>
          <cell r="DJ102" t="str">
            <v>НКРКП</v>
          </cell>
          <cell r="DL102">
            <v>40816</v>
          </cell>
          <cell r="DM102" t="str">
            <v>№ 57</v>
          </cell>
          <cell r="DT102">
            <v>798.08</v>
          </cell>
        </row>
        <row r="103">
          <cell r="W103">
            <v>724.58</v>
          </cell>
          <cell r="AF103">
            <v>40091</v>
          </cell>
          <cell r="AG103">
            <v>445</v>
          </cell>
          <cell r="AH103">
            <v>483.06002928257686</v>
          </cell>
          <cell r="AM103">
            <v>2049</v>
          </cell>
          <cell r="AO103">
            <v>1484664.4200000002</v>
          </cell>
          <cell r="AQ103">
            <v>989790</v>
          </cell>
          <cell r="AU103">
            <v>0</v>
          </cell>
          <cell r="AW103">
            <v>0</v>
          </cell>
          <cell r="AY103">
            <v>696911.98816800001</v>
          </cell>
          <cell r="AZ103">
            <v>340.12298104831626</v>
          </cell>
          <cell r="BA103">
            <v>0</v>
          </cell>
          <cell r="BB103">
            <v>0</v>
          </cell>
          <cell r="BC103">
            <v>0</v>
          </cell>
          <cell r="BD103">
            <v>0</v>
          </cell>
          <cell r="BG103">
            <v>0</v>
          </cell>
          <cell r="BH103">
            <v>0</v>
          </cell>
          <cell r="BI103">
            <v>45041</v>
          </cell>
          <cell r="BJ103">
            <v>21.981942410932163</v>
          </cell>
          <cell r="BK103">
            <v>0</v>
          </cell>
          <cell r="BL103">
            <v>0</v>
          </cell>
          <cell r="BM103">
            <v>192344</v>
          </cell>
          <cell r="BN103">
            <v>93.872132747681789</v>
          </cell>
          <cell r="BO103">
            <v>0</v>
          </cell>
          <cell r="BP103">
            <v>0</v>
          </cell>
          <cell r="BY103">
            <v>2309.48</v>
          </cell>
          <cell r="CF103">
            <v>319.29480000000001</v>
          </cell>
          <cell r="CG103">
            <v>2182.66</v>
          </cell>
          <cell r="CJ103">
            <v>0</v>
          </cell>
          <cell r="CK103">
            <v>0</v>
          </cell>
          <cell r="CL103">
            <v>0</v>
          </cell>
          <cell r="CM103">
            <v>0</v>
          </cell>
          <cell r="CN103">
            <v>0</v>
          </cell>
          <cell r="CO103">
            <v>0</v>
          </cell>
          <cell r="CX103">
            <v>0</v>
          </cell>
          <cell r="CY103">
            <v>0</v>
          </cell>
          <cell r="DB103">
            <v>0</v>
          </cell>
          <cell r="DC103">
            <v>0</v>
          </cell>
          <cell r="DJ103" t="str">
            <v>НКРКП</v>
          </cell>
          <cell r="DL103">
            <v>40816</v>
          </cell>
          <cell r="DM103" t="str">
            <v>№ 57</v>
          </cell>
          <cell r="DT103">
            <v>967.16</v>
          </cell>
        </row>
        <row r="104">
          <cell r="W104">
            <v>199.83</v>
          </cell>
          <cell r="AF104">
            <v>39758</v>
          </cell>
          <cell r="AG104">
            <v>431</v>
          </cell>
          <cell r="AH104">
            <v>199.83018429845083</v>
          </cell>
          <cell r="AM104">
            <v>192090.6</v>
          </cell>
          <cell r="AO104">
            <v>38385464.598000005</v>
          </cell>
          <cell r="AQ104">
            <v>38385500</v>
          </cell>
          <cell r="AU104">
            <v>0</v>
          </cell>
          <cell r="AW104">
            <v>0</v>
          </cell>
          <cell r="AY104">
            <v>22326499.983257998</v>
          </cell>
          <cell r="AZ104">
            <v>116.22900851607521</v>
          </cell>
          <cell r="BA104">
            <v>0</v>
          </cell>
          <cell r="BB104">
            <v>0</v>
          </cell>
          <cell r="BC104">
            <v>0</v>
          </cell>
          <cell r="BD104">
            <v>0</v>
          </cell>
          <cell r="BG104">
            <v>1249400</v>
          </cell>
          <cell r="BH104">
            <v>6.5042224866807636</v>
          </cell>
          <cell r="BI104">
            <v>2356500</v>
          </cell>
          <cell r="BJ104">
            <v>12.267648703268145</v>
          </cell>
          <cell r="BK104">
            <v>0</v>
          </cell>
          <cell r="BL104">
            <v>0</v>
          </cell>
          <cell r="BM104">
            <v>8053000</v>
          </cell>
          <cell r="BN104">
            <v>41.922925952649429</v>
          </cell>
          <cell r="BO104">
            <v>0</v>
          </cell>
          <cell r="BP104">
            <v>0</v>
          </cell>
          <cell r="BY104">
            <v>1697.14</v>
          </cell>
          <cell r="CF104">
            <v>30974.181799999998</v>
          </cell>
          <cell r="CG104">
            <v>720.81</v>
          </cell>
          <cell r="CJ104">
            <v>0</v>
          </cell>
          <cell r="CK104">
            <v>0</v>
          </cell>
          <cell r="CL104">
            <v>0</v>
          </cell>
          <cell r="CM104">
            <v>0</v>
          </cell>
          <cell r="CN104">
            <v>0</v>
          </cell>
          <cell r="CO104">
            <v>0</v>
          </cell>
          <cell r="CX104">
            <v>0</v>
          </cell>
          <cell r="CY104">
            <v>0</v>
          </cell>
          <cell r="DB104">
            <v>0</v>
          </cell>
          <cell r="DC104">
            <v>0</v>
          </cell>
          <cell r="DJ104" t="str">
            <v>НКРЕ</v>
          </cell>
          <cell r="DL104">
            <v>40526</v>
          </cell>
          <cell r="DM104" t="str">
            <v>№ 1799</v>
          </cell>
          <cell r="DO104" t="str">
            <v>Тариф на теплову енергію</v>
          </cell>
          <cell r="DT104">
            <v>219.81</v>
          </cell>
        </row>
        <row r="105">
          <cell r="W105">
            <v>538.44000000000005</v>
          </cell>
          <cell r="AF105">
            <v>39876</v>
          </cell>
          <cell r="AG105">
            <v>143</v>
          </cell>
          <cell r="AH105">
            <v>375.93486104490512</v>
          </cell>
          <cell r="AM105">
            <v>25803.3</v>
          </cell>
          <cell r="AO105">
            <v>13893528.852000002</v>
          </cell>
          <cell r="AQ105">
            <v>9700360</v>
          </cell>
          <cell r="AU105">
            <v>0</v>
          </cell>
          <cell r="AW105">
            <v>0</v>
          </cell>
          <cell r="AY105">
            <v>7532097</v>
          </cell>
          <cell r="AZ105">
            <v>291.90440757577522</v>
          </cell>
          <cell r="BA105">
            <v>0</v>
          </cell>
          <cell r="BB105">
            <v>0</v>
          </cell>
          <cell r="BC105">
            <v>0</v>
          </cell>
          <cell r="BD105">
            <v>0</v>
          </cell>
          <cell r="BG105">
            <v>173500</v>
          </cell>
          <cell r="BH105">
            <v>6.7239461619250251</v>
          </cell>
          <cell r="BI105">
            <v>321900</v>
          </cell>
          <cell r="BJ105">
            <v>12.475148527513923</v>
          </cell>
          <cell r="BK105">
            <v>0</v>
          </cell>
          <cell r="BL105">
            <v>0</v>
          </cell>
          <cell r="BM105">
            <v>1081700</v>
          </cell>
          <cell r="BN105">
            <v>41.920994601465708</v>
          </cell>
          <cell r="BO105">
            <v>0</v>
          </cell>
          <cell r="BP105">
            <v>0</v>
          </cell>
          <cell r="BY105">
            <v>1697.14</v>
          </cell>
          <cell r="CF105">
            <v>3515.9747928579764</v>
          </cell>
          <cell r="CG105">
            <v>2142.25</v>
          </cell>
          <cell r="CJ105">
            <v>0</v>
          </cell>
          <cell r="CK105">
            <v>0</v>
          </cell>
          <cell r="CL105">
            <v>0</v>
          </cell>
          <cell r="CM105">
            <v>0</v>
          </cell>
          <cell r="CN105">
            <v>0</v>
          </cell>
          <cell r="CO105">
            <v>0</v>
          </cell>
          <cell r="CX105">
            <v>0</v>
          </cell>
          <cell r="CY105">
            <v>0</v>
          </cell>
          <cell r="DB105">
            <v>0</v>
          </cell>
          <cell r="DC105">
            <v>0</v>
          </cell>
          <cell r="DJ105" t="str">
            <v>НКРКП</v>
          </cell>
          <cell r="DL105">
            <v>40816</v>
          </cell>
          <cell r="DM105" t="str">
            <v>№ 56</v>
          </cell>
          <cell r="DT105">
            <v>797.94</v>
          </cell>
        </row>
        <row r="106">
          <cell r="W106">
            <v>538.44000000000005</v>
          </cell>
          <cell r="AF106">
            <v>39876</v>
          </cell>
          <cell r="AG106">
            <v>144</v>
          </cell>
          <cell r="AH106">
            <v>375.93141575194301</v>
          </cell>
          <cell r="AM106">
            <v>4992.3999999999996</v>
          </cell>
          <cell r="AO106">
            <v>2688107.8560000001</v>
          </cell>
          <cell r="AQ106">
            <v>1876800</v>
          </cell>
          <cell r="AU106">
            <v>0</v>
          </cell>
          <cell r="AW106">
            <v>0</v>
          </cell>
          <cell r="AY106">
            <v>1457303</v>
          </cell>
          <cell r="AZ106">
            <v>291.90429452768211</v>
          </cell>
          <cell r="BA106">
            <v>0</v>
          </cell>
          <cell r="BB106">
            <v>0</v>
          </cell>
          <cell r="BC106">
            <v>0</v>
          </cell>
          <cell r="BD106">
            <v>0</v>
          </cell>
          <cell r="BG106">
            <v>33530</v>
          </cell>
          <cell r="BH106">
            <v>6.7162086371284353</v>
          </cell>
          <cell r="BI106">
            <v>62300</v>
          </cell>
          <cell r="BJ106">
            <v>12.47896803140774</v>
          </cell>
          <cell r="BK106">
            <v>0</v>
          </cell>
          <cell r="BL106">
            <v>0</v>
          </cell>
          <cell r="BM106">
            <v>209300</v>
          </cell>
          <cell r="BN106">
            <v>41.92372406057207</v>
          </cell>
          <cell r="BO106">
            <v>0</v>
          </cell>
          <cell r="BP106">
            <v>0</v>
          </cell>
          <cell r="BY106">
            <v>1697.14</v>
          </cell>
          <cell r="CF106">
            <v>680.2674757848057</v>
          </cell>
          <cell r="CG106">
            <v>2142.25</v>
          </cell>
          <cell r="CJ106">
            <v>0</v>
          </cell>
          <cell r="CK106">
            <v>0</v>
          </cell>
          <cell r="CL106">
            <v>0</v>
          </cell>
          <cell r="CM106">
            <v>0</v>
          </cell>
          <cell r="CN106">
            <v>0</v>
          </cell>
          <cell r="CO106">
            <v>0</v>
          </cell>
          <cell r="CX106">
            <v>0</v>
          </cell>
          <cell r="CY106">
            <v>0</v>
          </cell>
          <cell r="DB106">
            <v>0</v>
          </cell>
          <cell r="DC106">
            <v>0</v>
          </cell>
          <cell r="DJ106" t="str">
            <v>НКРКП</v>
          </cell>
          <cell r="DL106">
            <v>40816</v>
          </cell>
          <cell r="DM106" t="str">
            <v>№ 56</v>
          </cell>
          <cell r="DT106">
            <v>797.94</v>
          </cell>
        </row>
        <row r="107">
          <cell r="W107">
            <v>160.16</v>
          </cell>
          <cell r="AF107">
            <v>39013</v>
          </cell>
          <cell r="AG107" t="str">
            <v>Акт ДЦІ від 23.10.06</v>
          </cell>
          <cell r="AH107">
            <v>148.29702557932367</v>
          </cell>
          <cell r="AM107">
            <v>172874</v>
          </cell>
          <cell r="AO107">
            <v>27687499.84</v>
          </cell>
          <cell r="AQ107">
            <v>25636700</v>
          </cell>
          <cell r="AU107">
            <v>0</v>
          </cell>
          <cell r="AW107">
            <v>0</v>
          </cell>
          <cell r="AY107">
            <v>16268013.189999999</v>
          </cell>
          <cell r="AZ107">
            <v>94.103295984358553</v>
          </cell>
          <cell r="BA107">
            <v>0</v>
          </cell>
          <cell r="BB107">
            <v>0</v>
          </cell>
          <cell r="BC107">
            <v>0</v>
          </cell>
          <cell r="BD107">
            <v>0</v>
          </cell>
          <cell r="BG107">
            <v>0</v>
          </cell>
          <cell r="BH107">
            <v>0</v>
          </cell>
          <cell r="BI107">
            <v>2676307</v>
          </cell>
          <cell r="BJ107">
            <v>15.481258026076796</v>
          </cell>
          <cell r="BK107">
            <v>0</v>
          </cell>
          <cell r="BL107">
            <v>0</v>
          </cell>
          <cell r="BM107">
            <v>4232240</v>
          </cell>
          <cell r="BN107">
            <v>24.481645591586936</v>
          </cell>
          <cell r="BO107">
            <v>0</v>
          </cell>
          <cell r="BP107">
            <v>0</v>
          </cell>
          <cell r="BY107">
            <v>789.69</v>
          </cell>
          <cell r="CF107">
            <v>28457</v>
          </cell>
          <cell r="CG107">
            <v>571.66999999999996</v>
          </cell>
          <cell r="CJ107">
            <v>0</v>
          </cell>
          <cell r="CK107">
            <v>0</v>
          </cell>
          <cell r="CL107">
            <v>0</v>
          </cell>
          <cell r="CM107">
            <v>0</v>
          </cell>
          <cell r="CN107">
            <v>0</v>
          </cell>
          <cell r="CO107">
            <v>0</v>
          </cell>
          <cell r="CX107">
            <v>0</v>
          </cell>
          <cell r="CY107">
            <v>0</v>
          </cell>
          <cell r="DB107">
            <v>0</v>
          </cell>
          <cell r="DC107">
            <v>0</v>
          </cell>
          <cell r="DJ107" t="str">
            <v>НКРЕ</v>
          </cell>
          <cell r="DL107">
            <v>40526</v>
          </cell>
          <cell r="DM107" t="str">
            <v>№ 1801</v>
          </cell>
          <cell r="DO107" t="str">
            <v>Тариф на теплову енергію</v>
          </cell>
          <cell r="DT107">
            <v>200.2</v>
          </cell>
        </row>
        <row r="108">
          <cell r="W108">
            <v>519.54999999999995</v>
          </cell>
          <cell r="AF108">
            <v>39988</v>
          </cell>
          <cell r="AG108">
            <v>82</v>
          </cell>
          <cell r="AH108">
            <v>451.78245411038893</v>
          </cell>
          <cell r="AM108">
            <v>37672.782209999998</v>
          </cell>
          <cell r="AO108">
            <v>19572893.997205496</v>
          </cell>
          <cell r="AQ108">
            <v>17019902</v>
          </cell>
          <cell r="AU108">
            <v>0</v>
          </cell>
          <cell r="AW108">
            <v>0</v>
          </cell>
          <cell r="AY108">
            <v>13130882.559999999</v>
          </cell>
          <cell r="AZ108">
            <v>348.55091102123299</v>
          </cell>
          <cell r="BA108">
            <v>0</v>
          </cell>
          <cell r="BB108">
            <v>0</v>
          </cell>
          <cell r="BC108">
            <v>0</v>
          </cell>
          <cell r="BD108">
            <v>0</v>
          </cell>
          <cell r="BG108">
            <v>0</v>
          </cell>
          <cell r="BH108">
            <v>0</v>
          </cell>
          <cell r="BI108">
            <v>895526</v>
          </cell>
          <cell r="BJ108">
            <v>23.771167072504891</v>
          </cell>
          <cell r="BK108">
            <v>0</v>
          </cell>
          <cell r="BL108">
            <v>0</v>
          </cell>
          <cell r="BM108">
            <v>1876215</v>
          </cell>
          <cell r="BN108">
            <v>49.802931717158145</v>
          </cell>
          <cell r="BO108">
            <v>0</v>
          </cell>
          <cell r="BP108">
            <v>0</v>
          </cell>
          <cell r="BY108">
            <v>1686</v>
          </cell>
          <cell r="CF108">
            <v>6016</v>
          </cell>
          <cell r="CG108">
            <v>2182.66</v>
          </cell>
          <cell r="CJ108">
            <v>0</v>
          </cell>
          <cell r="CK108">
            <v>0</v>
          </cell>
          <cell r="CL108">
            <v>0</v>
          </cell>
          <cell r="CM108">
            <v>0</v>
          </cell>
          <cell r="CN108">
            <v>0</v>
          </cell>
          <cell r="CO108">
            <v>0</v>
          </cell>
          <cell r="CX108">
            <v>0</v>
          </cell>
          <cell r="CY108">
            <v>0</v>
          </cell>
          <cell r="DB108">
            <v>0</v>
          </cell>
          <cell r="DC108">
            <v>0</v>
          </cell>
          <cell r="DJ108" t="str">
            <v>НКРКП</v>
          </cell>
          <cell r="DL108">
            <v>40816</v>
          </cell>
          <cell r="DM108" t="str">
            <v>№ 55</v>
          </cell>
          <cell r="DT108">
            <v>770.15</v>
          </cell>
        </row>
        <row r="109">
          <cell r="W109">
            <v>542.15</v>
          </cell>
          <cell r="AF109">
            <v>39988</v>
          </cell>
          <cell r="AG109">
            <v>82</v>
          </cell>
          <cell r="AH109">
            <v>451.78471711976488</v>
          </cell>
          <cell r="AM109">
            <v>8166</v>
          </cell>
          <cell r="AO109">
            <v>4427196.8999999994</v>
          </cell>
          <cell r="AQ109">
            <v>3689274</v>
          </cell>
          <cell r="AU109">
            <v>0</v>
          </cell>
          <cell r="AW109">
            <v>0</v>
          </cell>
          <cell r="AY109">
            <v>2846188.6399999997</v>
          </cell>
          <cell r="AZ109">
            <v>348.54134704873866</v>
          </cell>
          <cell r="BA109">
            <v>0</v>
          </cell>
          <cell r="BB109">
            <v>0</v>
          </cell>
          <cell r="BC109">
            <v>0</v>
          </cell>
          <cell r="BD109">
            <v>0</v>
          </cell>
          <cell r="BG109">
            <v>0</v>
          </cell>
          <cell r="BH109">
            <v>0</v>
          </cell>
          <cell r="BI109">
            <v>194114</v>
          </cell>
          <cell r="BJ109">
            <v>23.771001714425669</v>
          </cell>
          <cell r="BK109">
            <v>0</v>
          </cell>
          <cell r="BL109">
            <v>0</v>
          </cell>
          <cell r="BM109">
            <v>406688</v>
          </cell>
          <cell r="BN109">
            <v>49.802596130296351</v>
          </cell>
          <cell r="BO109">
            <v>0</v>
          </cell>
          <cell r="BP109">
            <v>0</v>
          </cell>
          <cell r="BY109">
            <v>1686</v>
          </cell>
          <cell r="CF109">
            <v>1304</v>
          </cell>
          <cell r="CG109">
            <v>2182.66</v>
          </cell>
          <cell r="CJ109">
            <v>0</v>
          </cell>
          <cell r="CK109">
            <v>0</v>
          </cell>
          <cell r="CL109">
            <v>0</v>
          </cell>
          <cell r="CM109">
            <v>0</v>
          </cell>
          <cell r="CN109">
            <v>0</v>
          </cell>
          <cell r="CO109">
            <v>0</v>
          </cell>
          <cell r="CX109">
            <v>0</v>
          </cell>
          <cell r="CY109">
            <v>0</v>
          </cell>
          <cell r="DB109">
            <v>0</v>
          </cell>
          <cell r="DC109">
            <v>0</v>
          </cell>
          <cell r="DJ109" t="str">
            <v>НКРКП</v>
          </cell>
          <cell r="DL109">
            <v>40816</v>
          </cell>
          <cell r="DM109" t="str">
            <v>№ 55</v>
          </cell>
          <cell r="DT109">
            <v>792.73</v>
          </cell>
        </row>
        <row r="110">
          <cell r="W110">
            <v>226.03</v>
          </cell>
          <cell r="AF110">
            <v>39800</v>
          </cell>
          <cell r="AG110">
            <v>173</v>
          </cell>
          <cell r="AH110">
            <v>231.43570712420768</v>
          </cell>
          <cell r="AM110">
            <v>27540.892800000001</v>
          </cell>
          <cell r="AO110">
            <v>6225067.9995840006</v>
          </cell>
          <cell r="AQ110">
            <v>6373946</v>
          </cell>
          <cell r="AU110">
            <v>0</v>
          </cell>
          <cell r="AW110">
            <v>0</v>
          </cell>
          <cell r="AY110">
            <v>2857722.9999946319</v>
          </cell>
          <cell r="AZ110">
            <v>103.76290343044477</v>
          </cell>
          <cell r="BA110">
            <v>0</v>
          </cell>
          <cell r="BB110">
            <v>0</v>
          </cell>
          <cell r="BC110">
            <v>0</v>
          </cell>
          <cell r="BD110">
            <v>0</v>
          </cell>
          <cell r="BG110">
            <v>0</v>
          </cell>
          <cell r="BH110">
            <v>0</v>
          </cell>
          <cell r="BI110">
            <v>400557</v>
          </cell>
          <cell r="BJ110">
            <v>14.54408188248712</v>
          </cell>
          <cell r="BK110">
            <v>0</v>
          </cell>
          <cell r="BL110">
            <v>0</v>
          </cell>
          <cell r="BM110">
            <v>1375404</v>
          </cell>
          <cell r="BN110">
            <v>49.940428946442864</v>
          </cell>
          <cell r="BO110">
            <v>0</v>
          </cell>
          <cell r="BP110">
            <v>0</v>
          </cell>
          <cell r="BY110">
            <v>1792</v>
          </cell>
          <cell r="CF110">
            <v>3929.1137325999998</v>
          </cell>
          <cell r="CG110">
            <v>727.32</v>
          </cell>
          <cell r="CJ110">
            <v>0</v>
          </cell>
          <cell r="CK110">
            <v>0</v>
          </cell>
          <cell r="CL110">
            <v>0</v>
          </cell>
          <cell r="CM110">
            <v>0</v>
          </cell>
          <cell r="CN110">
            <v>0</v>
          </cell>
          <cell r="CO110">
            <v>0</v>
          </cell>
          <cell r="CX110">
            <v>0</v>
          </cell>
          <cell r="CY110">
            <v>0</v>
          </cell>
          <cell r="DB110">
            <v>0</v>
          </cell>
          <cell r="DC110">
            <v>0</v>
          </cell>
          <cell r="DJ110" t="str">
            <v>НКРЕ</v>
          </cell>
          <cell r="DL110">
            <v>40526</v>
          </cell>
          <cell r="DM110" t="str">
            <v>№ 1713</v>
          </cell>
          <cell r="DO110" t="str">
            <v>Тариф на теплову енергію</v>
          </cell>
          <cell r="DT110">
            <v>248.63</v>
          </cell>
        </row>
        <row r="111">
          <cell r="W111">
            <v>451.92</v>
          </cell>
          <cell r="AF111">
            <v>39862</v>
          </cell>
          <cell r="AG111">
            <v>36</v>
          </cell>
          <cell r="AH111">
            <v>429.3131228538054</v>
          </cell>
          <cell r="AM111">
            <v>5903.4719999999998</v>
          </cell>
          <cell r="AO111">
            <v>2667897.0662400001</v>
          </cell>
          <cell r="AQ111">
            <v>2534438</v>
          </cell>
          <cell r="AU111">
            <v>0</v>
          </cell>
          <cell r="AW111">
            <v>0</v>
          </cell>
          <cell r="AY111">
            <v>1780819.9913349999</v>
          </cell>
          <cell r="AZ111">
            <v>301.65637972620181</v>
          </cell>
          <cell r="BA111">
            <v>0</v>
          </cell>
          <cell r="BB111">
            <v>0</v>
          </cell>
          <cell r="BC111">
            <v>0</v>
          </cell>
          <cell r="BD111">
            <v>0</v>
          </cell>
          <cell r="BG111">
            <v>0</v>
          </cell>
          <cell r="BH111">
            <v>0</v>
          </cell>
          <cell r="BI111">
            <v>85862</v>
          </cell>
          <cell r="BJ111">
            <v>14.544322391975435</v>
          </cell>
          <cell r="BK111">
            <v>0</v>
          </cell>
          <cell r="BL111">
            <v>0</v>
          </cell>
          <cell r="BM111">
            <v>294827</v>
          </cell>
          <cell r="BN111">
            <v>49.941288787344128</v>
          </cell>
          <cell r="BO111">
            <v>0</v>
          </cell>
          <cell r="BP111">
            <v>0</v>
          </cell>
          <cell r="BY111">
            <v>1792</v>
          </cell>
          <cell r="CF111">
            <v>831.28485999999998</v>
          </cell>
          <cell r="CG111">
            <v>2142.25</v>
          </cell>
          <cell r="CJ111">
            <v>0</v>
          </cell>
          <cell r="CK111">
            <v>0</v>
          </cell>
          <cell r="CL111">
            <v>0</v>
          </cell>
          <cell r="CM111">
            <v>0</v>
          </cell>
          <cell r="CN111">
            <v>0</v>
          </cell>
          <cell r="CO111">
            <v>0</v>
          </cell>
          <cell r="CX111">
            <v>0</v>
          </cell>
          <cell r="CY111">
            <v>0</v>
          </cell>
          <cell r="DB111">
            <v>0</v>
          </cell>
          <cell r="DC111">
            <v>0</v>
          </cell>
          <cell r="DJ111" t="str">
            <v>НКРКП</v>
          </cell>
          <cell r="DL111">
            <v>40816</v>
          </cell>
          <cell r="DM111" t="str">
            <v>№ 54</v>
          </cell>
          <cell r="DT111">
            <v>678.57</v>
          </cell>
        </row>
        <row r="112">
          <cell r="W112">
            <v>451.92</v>
          </cell>
          <cell r="AF112">
            <v>39862</v>
          </cell>
          <cell r="AG112">
            <v>36</v>
          </cell>
          <cell r="AH112">
            <v>429.3132551679962</v>
          </cell>
          <cell r="AM112">
            <v>1754.742</v>
          </cell>
          <cell r="AO112">
            <v>793003.00464000006</v>
          </cell>
          <cell r="AQ112">
            <v>753334</v>
          </cell>
          <cell r="AU112">
            <v>0</v>
          </cell>
          <cell r="AW112">
            <v>0</v>
          </cell>
          <cell r="AY112">
            <v>529312.99976499996</v>
          </cell>
          <cell r="AZ112">
            <v>301.64719358458393</v>
          </cell>
          <cell r="BA112">
            <v>0</v>
          </cell>
          <cell r="BB112">
            <v>0</v>
          </cell>
          <cell r="BC112">
            <v>0</v>
          </cell>
          <cell r="BD112">
            <v>0</v>
          </cell>
          <cell r="BG112">
            <v>0</v>
          </cell>
          <cell r="BH112">
            <v>0</v>
          </cell>
          <cell r="BI112">
            <v>25521</v>
          </cell>
          <cell r="BJ112">
            <v>14.544018436898416</v>
          </cell>
          <cell r="BK112">
            <v>0</v>
          </cell>
          <cell r="BL112">
            <v>0</v>
          </cell>
          <cell r="BM112">
            <v>87634</v>
          </cell>
          <cell r="BN112">
            <v>49.941244923755171</v>
          </cell>
          <cell r="BO112">
            <v>0</v>
          </cell>
          <cell r="BP112">
            <v>0</v>
          </cell>
          <cell r="BY112">
            <v>1792</v>
          </cell>
          <cell r="CF112">
            <v>247.08274</v>
          </cell>
          <cell r="CG112">
            <v>2142.25</v>
          </cell>
          <cell r="CJ112">
            <v>0</v>
          </cell>
          <cell r="CK112">
            <v>0</v>
          </cell>
          <cell r="CL112">
            <v>0</v>
          </cell>
          <cell r="CM112">
            <v>0</v>
          </cell>
          <cell r="CN112">
            <v>0</v>
          </cell>
          <cell r="CO112">
            <v>0</v>
          </cell>
          <cell r="CX112">
            <v>0</v>
          </cell>
          <cell r="CY112">
            <v>0</v>
          </cell>
          <cell r="DB112">
            <v>0</v>
          </cell>
          <cell r="DC112">
            <v>0</v>
          </cell>
          <cell r="DJ112" t="str">
            <v>НКРКП</v>
          </cell>
          <cell r="DL112">
            <v>40816</v>
          </cell>
          <cell r="DM112" t="str">
            <v>№ 54</v>
          </cell>
          <cell r="DT112">
            <v>678.57</v>
          </cell>
        </row>
        <row r="113">
          <cell r="W113">
            <v>206.3</v>
          </cell>
          <cell r="AF113">
            <v>40092</v>
          </cell>
          <cell r="AG113">
            <v>745</v>
          </cell>
          <cell r="AH113">
            <v>213.18598045898659</v>
          </cell>
          <cell r="AM113">
            <v>88020</v>
          </cell>
          <cell r="AO113">
            <v>18158526</v>
          </cell>
          <cell r="AQ113">
            <v>18764630</v>
          </cell>
          <cell r="AU113">
            <v>0</v>
          </cell>
          <cell r="AW113">
            <v>0</v>
          </cell>
          <cell r="AY113">
            <v>10024651.999955868</v>
          </cell>
          <cell r="AZ113">
            <v>113.89061576864199</v>
          </cell>
          <cell r="BA113">
            <v>0</v>
          </cell>
          <cell r="BB113">
            <v>0</v>
          </cell>
          <cell r="BC113">
            <v>0</v>
          </cell>
          <cell r="BD113">
            <v>0</v>
          </cell>
          <cell r="BG113">
            <v>0</v>
          </cell>
          <cell r="BH113">
            <v>0</v>
          </cell>
          <cell r="BI113">
            <v>1713940</v>
          </cell>
          <cell r="BJ113">
            <v>19.472165416950691</v>
          </cell>
          <cell r="BK113">
            <v>0</v>
          </cell>
          <cell r="BL113">
            <v>0</v>
          </cell>
          <cell r="BM113">
            <v>2579090</v>
          </cell>
          <cell r="BN113">
            <v>29.301181549647808</v>
          </cell>
          <cell r="BO113">
            <v>0</v>
          </cell>
          <cell r="BP113">
            <v>0</v>
          </cell>
          <cell r="BY113">
            <v>1760.26</v>
          </cell>
          <cell r="CF113">
            <v>13783.0006049</v>
          </cell>
          <cell r="CG113">
            <v>727.32</v>
          </cell>
          <cell r="CJ113">
            <v>0</v>
          </cell>
          <cell r="CK113">
            <v>0</v>
          </cell>
          <cell r="CL113">
            <v>0</v>
          </cell>
          <cell r="CM113">
            <v>0</v>
          </cell>
          <cell r="CN113">
            <v>0</v>
          </cell>
          <cell r="CO113">
            <v>0</v>
          </cell>
          <cell r="CX113">
            <v>0</v>
          </cell>
          <cell r="CY113">
            <v>0</v>
          </cell>
          <cell r="DB113">
            <v>0</v>
          </cell>
          <cell r="DC113">
            <v>0</v>
          </cell>
          <cell r="DJ113" t="str">
            <v>НКРЕ</v>
          </cell>
          <cell r="DL113">
            <v>40526</v>
          </cell>
          <cell r="DM113" t="str">
            <v>№ 1718</v>
          </cell>
          <cell r="DO113" t="str">
            <v>тариф на теплову енергію</v>
          </cell>
          <cell r="DT113">
            <v>226.93</v>
          </cell>
        </row>
        <row r="114">
          <cell r="W114">
            <v>486.49</v>
          </cell>
          <cell r="AF114">
            <v>40092</v>
          </cell>
          <cell r="AG114">
            <v>746</v>
          </cell>
          <cell r="AH114">
            <v>441.66814133191764</v>
          </cell>
          <cell r="AM114">
            <v>16953</v>
          </cell>
          <cell r="AO114">
            <v>8247464.9699999997</v>
          </cell>
          <cell r="AQ114">
            <v>7487600</v>
          </cell>
          <cell r="AU114">
            <v>0</v>
          </cell>
          <cell r="AW114">
            <v>0</v>
          </cell>
          <cell r="AY114">
            <v>5794962.2999999998</v>
          </cell>
          <cell r="AZ114">
            <v>341.82518138382585</v>
          </cell>
          <cell r="BA114">
            <v>0</v>
          </cell>
          <cell r="BB114">
            <v>0</v>
          </cell>
          <cell r="BC114">
            <v>0</v>
          </cell>
          <cell r="BD114">
            <v>0</v>
          </cell>
          <cell r="BG114">
            <v>0</v>
          </cell>
          <cell r="BH114">
            <v>0</v>
          </cell>
          <cell r="BI114">
            <v>330110</v>
          </cell>
          <cell r="BJ114">
            <v>19.472069840146286</v>
          </cell>
          <cell r="BK114">
            <v>0</v>
          </cell>
          <cell r="BL114">
            <v>0</v>
          </cell>
          <cell r="BM114">
            <v>496740</v>
          </cell>
          <cell r="BN114">
            <v>29.301008671031674</v>
          </cell>
          <cell r="BO114">
            <v>0</v>
          </cell>
          <cell r="BP114">
            <v>0</v>
          </cell>
          <cell r="BY114">
            <v>1760.26</v>
          </cell>
          <cell r="CF114">
            <v>2655</v>
          </cell>
          <cell r="CG114">
            <v>2182.66</v>
          </cell>
          <cell r="CJ114">
            <v>0</v>
          </cell>
          <cell r="CK114">
            <v>0</v>
          </cell>
          <cell r="CL114">
            <v>0</v>
          </cell>
          <cell r="CM114">
            <v>0</v>
          </cell>
          <cell r="CN114">
            <v>0</v>
          </cell>
          <cell r="CO114">
            <v>0</v>
          </cell>
          <cell r="CX114">
            <v>0</v>
          </cell>
          <cell r="CY114">
            <v>0</v>
          </cell>
          <cell r="DB114">
            <v>0</v>
          </cell>
          <cell r="DC114">
            <v>0</v>
          </cell>
          <cell r="DJ114" t="str">
            <v>НКРКП</v>
          </cell>
          <cell r="DL114">
            <v>40816</v>
          </cell>
          <cell r="DM114" t="str">
            <v>№ 44</v>
          </cell>
          <cell r="DT114">
            <v>732.26</v>
          </cell>
        </row>
        <row r="115">
          <cell r="W115">
            <v>486.49</v>
          </cell>
          <cell r="AF115">
            <v>40092</v>
          </cell>
          <cell r="AG115">
            <v>746</v>
          </cell>
          <cell r="AH115">
            <v>441.66771422585379</v>
          </cell>
          <cell r="AM115">
            <v>9546</v>
          </cell>
          <cell r="AO115">
            <v>4644033.54</v>
          </cell>
          <cell r="AQ115">
            <v>4216160</v>
          </cell>
          <cell r="AU115">
            <v>0</v>
          </cell>
          <cell r="AW115">
            <v>0</v>
          </cell>
          <cell r="AY115">
            <v>3263076.6999999997</v>
          </cell>
          <cell r="AZ115">
            <v>341.82659752776027</v>
          </cell>
          <cell r="BA115">
            <v>0</v>
          </cell>
          <cell r="BB115">
            <v>0</v>
          </cell>
          <cell r="BC115">
            <v>0</v>
          </cell>
          <cell r="BD115">
            <v>0</v>
          </cell>
          <cell r="BG115">
            <v>0</v>
          </cell>
          <cell r="BH115">
            <v>0</v>
          </cell>
          <cell r="BI115">
            <v>185880</v>
          </cell>
          <cell r="BJ115">
            <v>19.472030169704588</v>
          </cell>
          <cell r="BK115">
            <v>0</v>
          </cell>
          <cell r="BL115">
            <v>0</v>
          </cell>
          <cell r="BM115">
            <v>279710</v>
          </cell>
          <cell r="BN115">
            <v>29.301278022208255</v>
          </cell>
          <cell r="BO115">
            <v>0</v>
          </cell>
          <cell r="BP115">
            <v>0</v>
          </cell>
          <cell r="BY115">
            <v>1760.26</v>
          </cell>
          <cell r="CF115">
            <v>1495</v>
          </cell>
          <cell r="CG115">
            <v>2182.66</v>
          </cell>
          <cell r="CJ115">
            <v>0</v>
          </cell>
          <cell r="CK115">
            <v>0</v>
          </cell>
          <cell r="CL115">
            <v>0</v>
          </cell>
          <cell r="CM115">
            <v>0</v>
          </cell>
          <cell r="CN115">
            <v>0</v>
          </cell>
          <cell r="CO115">
            <v>0</v>
          </cell>
          <cell r="CX115">
            <v>0</v>
          </cell>
          <cell r="CY115">
            <v>0</v>
          </cell>
          <cell r="DB115">
            <v>0</v>
          </cell>
          <cell r="DC115">
            <v>0</v>
          </cell>
          <cell r="DJ115" t="str">
            <v>НКРКП</v>
          </cell>
          <cell r="DL115">
            <v>40816</v>
          </cell>
          <cell r="DM115" t="str">
            <v>№ 44</v>
          </cell>
          <cell r="DT115">
            <v>732.26</v>
          </cell>
        </row>
        <row r="116">
          <cell r="W116">
            <v>277.08</v>
          </cell>
          <cell r="AF116">
            <v>39692</v>
          </cell>
          <cell r="AG116">
            <v>429</v>
          </cell>
          <cell r="AH116">
            <v>263.87723154134028</v>
          </cell>
          <cell r="AM116">
            <v>61637.33</v>
          </cell>
          <cell r="AO116">
            <v>17078471.396400001</v>
          </cell>
          <cell r="AQ116">
            <v>16264688</v>
          </cell>
          <cell r="AU116">
            <v>0</v>
          </cell>
          <cell r="AW116">
            <v>0</v>
          </cell>
          <cell r="AY116">
            <v>7326048.7746000001</v>
          </cell>
          <cell r="AZ116">
            <v>118.85733490727129</v>
          </cell>
          <cell r="BA116">
            <v>0</v>
          </cell>
          <cell r="BB116">
            <v>0</v>
          </cell>
          <cell r="BC116">
            <v>0</v>
          </cell>
          <cell r="BD116">
            <v>0</v>
          </cell>
          <cell r="BG116">
            <v>0</v>
          </cell>
          <cell r="BH116">
            <v>0</v>
          </cell>
          <cell r="BI116">
            <v>1302091</v>
          </cell>
          <cell r="BJ116">
            <v>21.125038998282371</v>
          </cell>
          <cell r="BK116">
            <v>0</v>
          </cell>
          <cell r="BL116">
            <v>0</v>
          </cell>
          <cell r="BM116">
            <v>6698485</v>
          </cell>
          <cell r="BN116">
            <v>108.67578138118571</v>
          </cell>
          <cell r="BO116">
            <v>0</v>
          </cell>
          <cell r="BP116">
            <v>0</v>
          </cell>
          <cell r="BY116">
            <v>1844.47</v>
          </cell>
          <cell r="CF116">
            <v>10192.0545</v>
          </cell>
          <cell r="CG116">
            <v>718.8</v>
          </cell>
          <cell r="CJ116">
            <v>0</v>
          </cell>
          <cell r="CK116">
            <v>0</v>
          </cell>
          <cell r="CL116">
            <v>0</v>
          </cell>
          <cell r="CM116">
            <v>0</v>
          </cell>
          <cell r="CN116">
            <v>0</v>
          </cell>
          <cell r="CO116">
            <v>0</v>
          </cell>
          <cell r="CX116">
            <v>0</v>
          </cell>
          <cell r="CY116">
            <v>0</v>
          </cell>
          <cell r="DB116">
            <v>0</v>
          </cell>
          <cell r="DC116">
            <v>0</v>
          </cell>
          <cell r="DJ116" t="str">
            <v>НКРЕ</v>
          </cell>
          <cell r="DL116">
            <v>40526</v>
          </cell>
          <cell r="DM116">
            <v>1809</v>
          </cell>
          <cell r="DO116" t="str">
            <v>тариф на теплову енергію</v>
          </cell>
          <cell r="DT116">
            <v>304.79000000000002</v>
          </cell>
        </row>
        <row r="117">
          <cell r="W117">
            <v>588.33000000000004</v>
          </cell>
          <cell r="AF117">
            <v>39867</v>
          </cell>
          <cell r="AG117">
            <v>608</v>
          </cell>
          <cell r="AH117">
            <v>507.18039659115334</v>
          </cell>
          <cell r="AM117">
            <v>29131.26</v>
          </cell>
          <cell r="AO117">
            <v>17138794.195799999</v>
          </cell>
          <cell r="AQ117">
            <v>14774804</v>
          </cell>
          <cell r="AU117">
            <v>0</v>
          </cell>
          <cell r="AW117">
            <v>0</v>
          </cell>
          <cell r="AY117">
            <v>10224332.856099999</v>
          </cell>
          <cell r="AZ117">
            <v>350.97461819708445</v>
          </cell>
          <cell r="BA117">
            <v>0</v>
          </cell>
          <cell r="BB117">
            <v>0</v>
          </cell>
          <cell r="BC117">
            <v>0</v>
          </cell>
          <cell r="BD117">
            <v>0</v>
          </cell>
          <cell r="BG117">
            <v>0</v>
          </cell>
          <cell r="BH117">
            <v>0</v>
          </cell>
          <cell r="BI117">
            <v>813345</v>
          </cell>
          <cell r="BJ117">
            <v>27.920007579486779</v>
          </cell>
          <cell r="BK117">
            <v>0</v>
          </cell>
          <cell r="BL117">
            <v>0</v>
          </cell>
          <cell r="BM117">
            <v>3260185</v>
          </cell>
          <cell r="BN117">
            <v>111.9136281781152</v>
          </cell>
          <cell r="BO117">
            <v>0</v>
          </cell>
          <cell r="BP117">
            <v>0</v>
          </cell>
          <cell r="BY117">
            <v>1844.47</v>
          </cell>
          <cell r="CF117">
            <v>4772.7075999999997</v>
          </cell>
          <cell r="CG117">
            <v>2142.25</v>
          </cell>
          <cell r="CJ117">
            <v>0</v>
          </cell>
          <cell r="CK117">
            <v>0</v>
          </cell>
          <cell r="CL117">
            <v>0</v>
          </cell>
          <cell r="CM117">
            <v>0</v>
          </cell>
          <cell r="CN117">
            <v>0</v>
          </cell>
          <cell r="CO117">
            <v>0</v>
          </cell>
          <cell r="CX117">
            <v>0</v>
          </cell>
          <cell r="CY117">
            <v>0</v>
          </cell>
          <cell r="DB117">
            <v>0</v>
          </cell>
          <cell r="DC117">
            <v>0</v>
          </cell>
          <cell r="DJ117" t="str">
            <v>НКРКП</v>
          </cell>
          <cell r="DL117">
            <v>40816</v>
          </cell>
          <cell r="DM117" t="str">
            <v>№ 39</v>
          </cell>
          <cell r="DT117">
            <v>852.05</v>
          </cell>
        </row>
        <row r="118">
          <cell r="W118">
            <v>591.80999999999995</v>
          </cell>
          <cell r="AF118">
            <v>39867</v>
          </cell>
          <cell r="AG118">
            <v>609</v>
          </cell>
          <cell r="AH118">
            <v>510.1843964252194</v>
          </cell>
          <cell r="AM118">
            <v>5536.116</v>
          </cell>
          <cell r="AO118">
            <v>3276328.8099599998</v>
          </cell>
          <cell r="AQ118">
            <v>2824440</v>
          </cell>
          <cell r="AU118">
            <v>0</v>
          </cell>
          <cell r="AW118">
            <v>0</v>
          </cell>
          <cell r="AY118">
            <v>1967210.822775</v>
          </cell>
          <cell r="AZ118">
            <v>355.34133005431966</v>
          </cell>
          <cell r="BA118">
            <v>0</v>
          </cell>
          <cell r="BB118">
            <v>0</v>
          </cell>
          <cell r="BC118">
            <v>0</v>
          </cell>
          <cell r="BD118">
            <v>0</v>
          </cell>
          <cell r="BG118">
            <v>0</v>
          </cell>
          <cell r="BH118">
            <v>0</v>
          </cell>
          <cell r="BI118">
            <v>150250</v>
          </cell>
          <cell r="BJ118">
            <v>27.139965997822301</v>
          </cell>
          <cell r="BK118">
            <v>0</v>
          </cell>
          <cell r="BL118">
            <v>0</v>
          </cell>
          <cell r="BM118">
            <v>620988</v>
          </cell>
          <cell r="BN118">
            <v>112.17033747125241</v>
          </cell>
          <cell r="BO118">
            <v>0</v>
          </cell>
          <cell r="BP118">
            <v>0</v>
          </cell>
          <cell r="BY118">
            <v>1844.47</v>
          </cell>
          <cell r="CF118">
            <v>918.29190000000006</v>
          </cell>
          <cell r="CG118">
            <v>2142.25</v>
          </cell>
          <cell r="CJ118">
            <v>0</v>
          </cell>
          <cell r="CK118">
            <v>0</v>
          </cell>
          <cell r="CL118">
            <v>0</v>
          </cell>
          <cell r="CM118">
            <v>0</v>
          </cell>
          <cell r="CN118">
            <v>0</v>
          </cell>
          <cell r="CO118">
            <v>0</v>
          </cell>
          <cell r="CX118">
            <v>0</v>
          </cell>
          <cell r="CY118">
            <v>0</v>
          </cell>
          <cell r="DB118">
            <v>0</v>
          </cell>
          <cell r="DC118">
            <v>0</v>
          </cell>
          <cell r="DJ118" t="str">
            <v>НКРКП</v>
          </cell>
          <cell r="DL118">
            <v>40816</v>
          </cell>
          <cell r="DM118" t="str">
            <v>№ 39</v>
          </cell>
          <cell r="DT118">
            <v>858.81</v>
          </cell>
        </row>
        <row r="119">
          <cell r="W119">
            <v>228.4</v>
          </cell>
          <cell r="AF119">
            <v>39811</v>
          </cell>
          <cell r="AG119">
            <v>526</v>
          </cell>
          <cell r="AH119">
            <v>198.40881582861573</v>
          </cell>
          <cell r="AM119">
            <v>187955.74100000001</v>
          </cell>
          <cell r="AO119">
            <v>42929091.244400002</v>
          </cell>
          <cell r="AQ119">
            <v>37292076</v>
          </cell>
          <cell r="AU119">
            <v>0</v>
          </cell>
          <cell r="AW119">
            <v>0</v>
          </cell>
          <cell r="AY119">
            <v>22573502.999581002</v>
          </cell>
          <cell r="AZ119">
            <v>120.10009845658824</v>
          </cell>
          <cell r="BA119">
            <v>0</v>
          </cell>
          <cell r="BB119">
            <v>0</v>
          </cell>
          <cell r="BC119">
            <v>0</v>
          </cell>
          <cell r="BD119">
            <v>0</v>
          </cell>
          <cell r="BG119">
            <v>0</v>
          </cell>
          <cell r="BH119">
            <v>0</v>
          </cell>
          <cell r="BI119">
            <v>3151987</v>
          </cell>
          <cell r="BJ119">
            <v>16.769836256291846</v>
          </cell>
          <cell r="BK119">
            <v>0</v>
          </cell>
          <cell r="BL119">
            <v>0</v>
          </cell>
          <cell r="BM119">
            <v>7858693.5</v>
          </cell>
          <cell r="BN119">
            <v>41.811404419937347</v>
          </cell>
          <cell r="BO119">
            <v>0</v>
          </cell>
          <cell r="BP119">
            <v>0</v>
          </cell>
          <cell r="BY119">
            <v>2295.64</v>
          </cell>
          <cell r="CF119">
            <v>31291.243415000001</v>
          </cell>
          <cell r="CG119">
            <v>721.4</v>
          </cell>
          <cell r="CJ119">
            <v>0</v>
          </cell>
          <cell r="CK119">
            <v>0</v>
          </cell>
          <cell r="CL119">
            <v>0</v>
          </cell>
          <cell r="CM119">
            <v>0</v>
          </cell>
          <cell r="CN119">
            <v>0</v>
          </cell>
          <cell r="CO119">
            <v>0</v>
          </cell>
          <cell r="CX119">
            <v>0</v>
          </cell>
          <cell r="CY119">
            <v>0</v>
          </cell>
          <cell r="DB119">
            <v>0</v>
          </cell>
          <cell r="DC119">
            <v>0</v>
          </cell>
          <cell r="DJ119" t="str">
            <v>НКРЕ</v>
          </cell>
          <cell r="DL119">
            <v>40526</v>
          </cell>
          <cell r="DM119" t="str">
            <v>№ 1724</v>
          </cell>
          <cell r="DO119" t="str">
            <v>Тариф на теплову енергію</v>
          </cell>
          <cell r="DT119">
            <v>251.42</v>
          </cell>
        </row>
        <row r="120">
          <cell r="W120">
            <v>495.75</v>
          </cell>
          <cell r="AF120">
            <v>39876</v>
          </cell>
          <cell r="AG120">
            <v>145</v>
          </cell>
          <cell r="AH120">
            <v>367.22497131210474</v>
          </cell>
          <cell r="AM120">
            <v>9391.3302999999996</v>
          </cell>
          <cell r="AO120">
            <v>4655751.9962249994</v>
          </cell>
          <cell r="AQ120">
            <v>3448731</v>
          </cell>
          <cell r="AU120">
            <v>0</v>
          </cell>
          <cell r="AW120">
            <v>0</v>
          </cell>
          <cell r="AY120">
            <v>2731824.8350249999</v>
          </cell>
          <cell r="AZ120">
            <v>290.88795173405839</v>
          </cell>
          <cell r="BA120">
            <v>0</v>
          </cell>
          <cell r="BB120">
            <v>0</v>
          </cell>
          <cell r="BC120">
            <v>0</v>
          </cell>
          <cell r="BD120">
            <v>0</v>
          </cell>
          <cell r="BG120">
            <v>0</v>
          </cell>
          <cell r="BH120">
            <v>0</v>
          </cell>
          <cell r="BI120">
            <v>158113</v>
          </cell>
          <cell r="BJ120">
            <v>16.836059956276909</v>
          </cell>
          <cell r="BK120">
            <v>0</v>
          </cell>
          <cell r="BL120">
            <v>0</v>
          </cell>
          <cell r="BM120">
            <v>422044</v>
          </cell>
          <cell r="BN120">
            <v>44.939746182710664</v>
          </cell>
          <cell r="BO120">
            <v>0</v>
          </cell>
          <cell r="BP120">
            <v>0</v>
          </cell>
          <cell r="BY120">
            <v>2295.64</v>
          </cell>
          <cell r="CF120">
            <v>1275.2129</v>
          </cell>
          <cell r="CG120">
            <v>2142.25</v>
          </cell>
          <cell r="CJ120">
            <v>0</v>
          </cell>
          <cell r="CK120">
            <v>0</v>
          </cell>
          <cell r="CL120">
            <v>0</v>
          </cell>
          <cell r="CM120">
            <v>0</v>
          </cell>
          <cell r="CN120">
            <v>0</v>
          </cell>
          <cell r="CO120">
            <v>0</v>
          </cell>
          <cell r="CX120">
            <v>0</v>
          </cell>
          <cell r="CY120">
            <v>0</v>
          </cell>
          <cell r="DB120">
            <v>0</v>
          </cell>
          <cell r="DC120">
            <v>0</v>
          </cell>
          <cell r="DJ120" t="str">
            <v>НКРКП</v>
          </cell>
          <cell r="DL120">
            <v>40942</v>
          </cell>
          <cell r="DM120">
            <v>45</v>
          </cell>
          <cell r="DT120">
            <v>699.2</v>
          </cell>
        </row>
        <row r="121">
          <cell r="W121">
            <v>535.02</v>
          </cell>
          <cell r="AF121">
            <v>39876</v>
          </cell>
          <cell r="AG121">
            <v>146</v>
          </cell>
          <cell r="AH121">
            <v>368.95819140504523</v>
          </cell>
          <cell r="AM121">
            <v>4196.9552000000003</v>
          </cell>
          <cell r="AO121">
            <v>2245454.9711040002</v>
          </cell>
          <cell r="AQ121">
            <v>1548501</v>
          </cell>
          <cell r="AU121">
            <v>0</v>
          </cell>
          <cell r="AW121">
            <v>0</v>
          </cell>
          <cell r="AY121">
            <v>1227067.9465000001</v>
          </cell>
          <cell r="AZ121">
            <v>292.37098992622077</v>
          </cell>
          <cell r="BA121">
            <v>0</v>
          </cell>
          <cell r="BB121">
            <v>0</v>
          </cell>
          <cell r="BC121">
            <v>0</v>
          </cell>
          <cell r="BD121">
            <v>0</v>
          </cell>
          <cell r="BG121">
            <v>0</v>
          </cell>
          <cell r="BH121">
            <v>0</v>
          </cell>
          <cell r="BI121">
            <v>70660</v>
          </cell>
          <cell r="BJ121">
            <v>16.836014832848345</v>
          </cell>
          <cell r="BK121">
            <v>0</v>
          </cell>
          <cell r="BL121">
            <v>0</v>
          </cell>
          <cell r="BM121">
            <v>188610</v>
          </cell>
          <cell r="BN121">
            <v>44.939722015617413</v>
          </cell>
          <cell r="BO121">
            <v>0</v>
          </cell>
          <cell r="BP121">
            <v>0</v>
          </cell>
          <cell r="BY121">
            <v>2295.64</v>
          </cell>
          <cell r="CF121">
            <v>572.79399999999998</v>
          </cell>
          <cell r="CG121">
            <v>2142.25</v>
          </cell>
          <cell r="CJ121">
            <v>0</v>
          </cell>
          <cell r="CK121">
            <v>0</v>
          </cell>
          <cell r="CL121">
            <v>0</v>
          </cell>
          <cell r="CM121">
            <v>0</v>
          </cell>
          <cell r="CN121">
            <v>0</v>
          </cell>
          <cell r="CO121">
            <v>0</v>
          </cell>
          <cell r="CX121">
            <v>0</v>
          </cell>
          <cell r="CY121">
            <v>0</v>
          </cell>
          <cell r="DB121">
            <v>0</v>
          </cell>
          <cell r="DC121">
            <v>0</v>
          </cell>
          <cell r="DJ121" t="str">
            <v>НКРКП</v>
          </cell>
          <cell r="DL121">
            <v>40942</v>
          </cell>
          <cell r="DM121">
            <v>45</v>
          </cell>
          <cell r="DT121">
            <v>777.03</v>
          </cell>
        </row>
        <row r="122">
          <cell r="W122">
            <v>305.61</v>
          </cell>
          <cell r="AF122">
            <v>40417</v>
          </cell>
          <cell r="AG122">
            <v>108</v>
          </cell>
          <cell r="AH122">
            <v>291.06413392806411</v>
          </cell>
          <cell r="AM122">
            <v>12144.43</v>
          </cell>
          <cell r="AO122">
            <v>3711459.2523000003</v>
          </cell>
          <cell r="AQ122">
            <v>3534808</v>
          </cell>
          <cell r="AU122">
            <v>0</v>
          </cell>
          <cell r="AW122">
            <v>0</v>
          </cell>
          <cell r="AY122">
            <v>2070270.69</v>
          </cell>
          <cell r="AZ122">
            <v>170.47079937057563</v>
          </cell>
          <cell r="BA122">
            <v>0</v>
          </cell>
          <cell r="BB122">
            <v>0</v>
          </cell>
          <cell r="BC122">
            <v>0</v>
          </cell>
          <cell r="BD122">
            <v>0</v>
          </cell>
          <cell r="BG122">
            <v>0</v>
          </cell>
          <cell r="BH122">
            <v>0</v>
          </cell>
          <cell r="BI122">
            <v>318108</v>
          </cell>
          <cell r="BJ122">
            <v>26.193736552477144</v>
          </cell>
          <cell r="BK122">
            <v>0</v>
          </cell>
          <cell r="BL122">
            <v>0</v>
          </cell>
          <cell r="BM122">
            <v>1015427</v>
          </cell>
          <cell r="BN122">
            <v>83.612569713028932</v>
          </cell>
          <cell r="BO122">
            <v>0</v>
          </cell>
          <cell r="BP122">
            <v>0</v>
          </cell>
          <cell r="BY122">
            <v>1821.2</v>
          </cell>
          <cell r="CF122">
            <v>1897.59</v>
          </cell>
          <cell r="CG122">
            <v>1091</v>
          </cell>
          <cell r="CJ122">
            <v>0</v>
          </cell>
          <cell r="CK122">
            <v>0</v>
          </cell>
          <cell r="CL122">
            <v>0</v>
          </cell>
          <cell r="CM122">
            <v>0</v>
          </cell>
          <cell r="CN122">
            <v>0</v>
          </cell>
          <cell r="CO122">
            <v>0</v>
          </cell>
          <cell r="CX122">
            <v>0</v>
          </cell>
          <cell r="CY122">
            <v>0</v>
          </cell>
          <cell r="DB122">
            <v>0</v>
          </cell>
          <cell r="DC122">
            <v>0</v>
          </cell>
          <cell r="DJ122" t="str">
            <v>МОС</v>
          </cell>
          <cell r="DL122">
            <v>40843</v>
          </cell>
          <cell r="DM122" t="str">
            <v>№ 159</v>
          </cell>
          <cell r="DO122" t="str">
            <v>тариф на теплову енергію</v>
          </cell>
          <cell r="DT122">
            <v>305.61</v>
          </cell>
        </row>
        <row r="123">
          <cell r="W123">
            <v>576.67999999999995</v>
          </cell>
          <cell r="AF123">
            <v>40417</v>
          </cell>
          <cell r="AG123">
            <v>109</v>
          </cell>
          <cell r="AH123">
            <v>505.85658120815594</v>
          </cell>
          <cell r="AM123">
            <v>9451.76</v>
          </cell>
          <cell r="AO123">
            <v>5450640.9567999998</v>
          </cell>
          <cell r="AQ123">
            <v>4781235</v>
          </cell>
          <cell r="AU123">
            <v>0</v>
          </cell>
          <cell r="AW123">
            <v>0</v>
          </cell>
          <cell r="AY123">
            <v>3641381.9138000002</v>
          </cell>
          <cell r="AZ123">
            <v>385.25966738469873</v>
          </cell>
          <cell r="BA123">
            <v>0</v>
          </cell>
          <cell r="BB123">
            <v>0</v>
          </cell>
          <cell r="BC123">
            <v>0</v>
          </cell>
          <cell r="BD123">
            <v>0</v>
          </cell>
          <cell r="BG123">
            <v>0</v>
          </cell>
          <cell r="BH123">
            <v>0</v>
          </cell>
          <cell r="BI123">
            <v>247576</v>
          </cell>
          <cell r="BJ123">
            <v>26.193640126283359</v>
          </cell>
          <cell r="BK123">
            <v>0</v>
          </cell>
          <cell r="BL123">
            <v>0</v>
          </cell>
          <cell r="BM123">
            <v>790319</v>
          </cell>
          <cell r="BN123">
            <v>83.616067272127097</v>
          </cell>
          <cell r="BO123">
            <v>0</v>
          </cell>
          <cell r="BP123">
            <v>0</v>
          </cell>
          <cell r="BY123">
            <v>1821.2</v>
          </cell>
          <cell r="CF123">
            <v>1477.27</v>
          </cell>
          <cell r="CG123">
            <v>2464.94</v>
          </cell>
          <cell r="CJ123">
            <v>0</v>
          </cell>
          <cell r="CK123">
            <v>0</v>
          </cell>
          <cell r="CL123">
            <v>0</v>
          </cell>
          <cell r="CM123">
            <v>0</v>
          </cell>
          <cell r="CN123">
            <v>0</v>
          </cell>
          <cell r="CO123">
            <v>0</v>
          </cell>
          <cell r="CX123">
            <v>0</v>
          </cell>
          <cell r="CY123">
            <v>0</v>
          </cell>
          <cell r="DB123">
            <v>0</v>
          </cell>
          <cell r="DC123">
            <v>0</v>
          </cell>
          <cell r="DJ123" t="str">
            <v>МОС</v>
          </cell>
          <cell r="DL123">
            <v>40843</v>
          </cell>
          <cell r="DM123" t="str">
            <v>№ 159</v>
          </cell>
          <cell r="DT123">
            <v>771.81</v>
          </cell>
        </row>
        <row r="124">
          <cell r="W124">
            <v>632.32000000000005</v>
          </cell>
          <cell r="AF124">
            <v>40417</v>
          </cell>
          <cell r="AG124">
            <v>110</v>
          </cell>
          <cell r="AH124">
            <v>505.85727990934322</v>
          </cell>
          <cell r="AM124">
            <v>1553.11</v>
          </cell>
          <cell r="AO124">
            <v>982062.51520000002</v>
          </cell>
          <cell r="AQ124">
            <v>785652</v>
          </cell>
          <cell r="AU124">
            <v>0</v>
          </cell>
          <cell r="AW124">
            <v>0</v>
          </cell>
          <cell r="AY124">
            <v>598348.97632020002</v>
          </cell>
          <cell r="AZ124">
            <v>385.25859489681994</v>
          </cell>
          <cell r="BA124">
            <v>0</v>
          </cell>
          <cell r="BB124">
            <v>0</v>
          </cell>
          <cell r="BC124">
            <v>0</v>
          </cell>
          <cell r="BD124">
            <v>0</v>
          </cell>
          <cell r="BG124">
            <v>0</v>
          </cell>
          <cell r="BH124">
            <v>0</v>
          </cell>
          <cell r="BI124">
            <v>40681</v>
          </cell>
          <cell r="BJ124">
            <v>26.193250960975078</v>
          </cell>
          <cell r="BK124">
            <v>0</v>
          </cell>
          <cell r="BL124">
            <v>0</v>
          </cell>
          <cell r="BM124">
            <v>129862</v>
          </cell>
          <cell r="BN124">
            <v>83.614167702223284</v>
          </cell>
          <cell r="BO124">
            <v>0</v>
          </cell>
          <cell r="BP124">
            <v>0</v>
          </cell>
          <cell r="BY124">
            <v>1821.2</v>
          </cell>
          <cell r="CF124">
            <v>242.74383</v>
          </cell>
          <cell r="CG124">
            <v>2464.94</v>
          </cell>
          <cell r="CJ124">
            <v>0</v>
          </cell>
          <cell r="CK124">
            <v>0</v>
          </cell>
          <cell r="CL124">
            <v>0</v>
          </cell>
          <cell r="CM124">
            <v>0</v>
          </cell>
          <cell r="CN124">
            <v>0</v>
          </cell>
          <cell r="CO124">
            <v>0</v>
          </cell>
          <cell r="CX124">
            <v>0</v>
          </cell>
          <cell r="CY124">
            <v>0</v>
          </cell>
          <cell r="DB124">
            <v>0</v>
          </cell>
          <cell r="DC124">
            <v>0</v>
          </cell>
          <cell r="DJ124" t="str">
            <v>МОС</v>
          </cell>
          <cell r="DL124">
            <v>40843</v>
          </cell>
          <cell r="DM124" t="str">
            <v>№ 159</v>
          </cell>
          <cell r="DT124">
            <v>833.47</v>
          </cell>
        </row>
        <row r="125">
          <cell r="W125">
            <v>220.51</v>
          </cell>
          <cell r="AF125">
            <v>40093</v>
          </cell>
          <cell r="AG125">
            <v>696</v>
          </cell>
          <cell r="AH125">
            <v>220.51</v>
          </cell>
          <cell r="AM125">
            <v>41200</v>
          </cell>
          <cell r="AO125">
            <v>9085012</v>
          </cell>
          <cell r="AQ125">
            <v>9085012</v>
          </cell>
          <cell r="AU125">
            <v>0</v>
          </cell>
          <cell r="AW125">
            <v>0</v>
          </cell>
          <cell r="AY125">
            <v>4716524.7360000005</v>
          </cell>
          <cell r="AZ125">
            <v>114.47875572815535</v>
          </cell>
          <cell r="BA125">
            <v>0</v>
          </cell>
          <cell r="BB125">
            <v>0</v>
          </cell>
          <cell r="BC125">
            <v>0</v>
          </cell>
          <cell r="BD125">
            <v>0</v>
          </cell>
          <cell r="BG125">
            <v>0</v>
          </cell>
          <cell r="BH125">
            <v>0</v>
          </cell>
          <cell r="BI125">
            <v>909300</v>
          </cell>
          <cell r="BJ125">
            <v>22.070388349514563</v>
          </cell>
          <cell r="BK125">
            <v>0</v>
          </cell>
          <cell r="BL125">
            <v>0</v>
          </cell>
          <cell r="BM125">
            <v>2304847</v>
          </cell>
          <cell r="BN125">
            <v>55.942888349514561</v>
          </cell>
          <cell r="BO125">
            <v>0</v>
          </cell>
          <cell r="BP125">
            <v>0</v>
          </cell>
          <cell r="BY125">
            <v>1090</v>
          </cell>
          <cell r="CF125">
            <v>6484.8</v>
          </cell>
          <cell r="CG125">
            <v>727.32</v>
          </cell>
          <cell r="CJ125">
            <v>0</v>
          </cell>
          <cell r="CK125">
            <v>0</v>
          </cell>
          <cell r="CL125">
            <v>0</v>
          </cell>
          <cell r="CM125">
            <v>0</v>
          </cell>
          <cell r="CN125">
            <v>0</v>
          </cell>
          <cell r="CO125">
            <v>0</v>
          </cell>
          <cell r="CX125">
            <v>0</v>
          </cell>
          <cell r="CY125">
            <v>0</v>
          </cell>
          <cell r="DB125">
            <v>0</v>
          </cell>
          <cell r="DC125">
            <v>0</v>
          </cell>
          <cell r="DJ125" t="str">
            <v>МОС</v>
          </cell>
          <cell r="DL125">
            <v>40491</v>
          </cell>
          <cell r="DM125" t="str">
            <v>№ 338</v>
          </cell>
          <cell r="DO125" t="str">
            <v>тариф на послуги з теплопостачання для населення (споживачам з встановленими лічильниками)</v>
          </cell>
          <cell r="DT125">
            <v>220.51</v>
          </cell>
        </row>
        <row r="126">
          <cell r="W126">
            <v>576.38</v>
          </cell>
          <cell r="AF126">
            <v>40431</v>
          </cell>
          <cell r="AG126">
            <v>978</v>
          </cell>
          <cell r="AH126">
            <v>501.2</v>
          </cell>
          <cell r="AM126">
            <v>19300</v>
          </cell>
          <cell r="AO126">
            <v>11124134</v>
          </cell>
          <cell r="AQ126">
            <v>9673160</v>
          </cell>
          <cell r="AU126">
            <v>0</v>
          </cell>
          <cell r="AW126">
            <v>0</v>
          </cell>
          <cell r="AY126">
            <v>7598037.9965841984</v>
          </cell>
          <cell r="AZ126">
            <v>393.6807252116165</v>
          </cell>
          <cell r="BA126">
            <v>0</v>
          </cell>
          <cell r="BB126">
            <v>0</v>
          </cell>
          <cell r="BC126">
            <v>0</v>
          </cell>
          <cell r="BD126">
            <v>0</v>
          </cell>
          <cell r="BG126">
            <v>0</v>
          </cell>
          <cell r="BH126">
            <v>0</v>
          </cell>
          <cell r="BI126">
            <v>425877</v>
          </cell>
          <cell r="BJ126">
            <v>22.066165803108809</v>
          </cell>
          <cell r="BK126">
            <v>0</v>
          </cell>
          <cell r="BL126">
            <v>0</v>
          </cell>
          <cell r="BM126">
            <v>1079698</v>
          </cell>
          <cell r="BN126">
            <v>55.942901554404145</v>
          </cell>
          <cell r="BO126">
            <v>0</v>
          </cell>
          <cell r="BP126">
            <v>0</v>
          </cell>
          <cell r="BY126">
            <v>1090</v>
          </cell>
          <cell r="CF126">
            <v>3029.8348299999998</v>
          </cell>
          <cell r="CG126">
            <v>2507.7399999999998</v>
          </cell>
          <cell r="CJ126">
            <v>0</v>
          </cell>
          <cell r="CK126">
            <v>0</v>
          </cell>
          <cell r="CL126">
            <v>0</v>
          </cell>
          <cell r="CM126">
            <v>0</v>
          </cell>
          <cell r="CN126">
            <v>0</v>
          </cell>
          <cell r="CO126">
            <v>0</v>
          </cell>
          <cell r="CX126">
            <v>0</v>
          </cell>
          <cell r="CY126">
            <v>0</v>
          </cell>
          <cell r="DB126">
            <v>0</v>
          </cell>
          <cell r="DC126">
            <v>0</v>
          </cell>
          <cell r="DJ126" t="str">
            <v>НКРКП</v>
          </cell>
          <cell r="DL126">
            <v>40942</v>
          </cell>
          <cell r="DM126" t="str">
            <v>№ 48</v>
          </cell>
          <cell r="DT126">
            <v>799.35</v>
          </cell>
        </row>
        <row r="127">
          <cell r="W127">
            <v>732.99</v>
          </cell>
          <cell r="AF127">
            <v>40431</v>
          </cell>
          <cell r="AG127">
            <v>979</v>
          </cell>
          <cell r="AH127">
            <v>488.69</v>
          </cell>
          <cell r="AM127">
            <v>2600</v>
          </cell>
          <cell r="AO127">
            <v>1905774</v>
          </cell>
          <cell r="AQ127">
            <v>1270594</v>
          </cell>
          <cell r="AU127">
            <v>0</v>
          </cell>
          <cell r="AW127">
            <v>0</v>
          </cell>
          <cell r="AY127">
            <v>1023568.9999980448</v>
          </cell>
          <cell r="AZ127">
            <v>393.6803846146326</v>
          </cell>
          <cell r="BA127">
            <v>0</v>
          </cell>
          <cell r="BB127">
            <v>0</v>
          </cell>
          <cell r="BC127">
            <v>0</v>
          </cell>
          <cell r="BD127">
            <v>0</v>
          </cell>
          <cell r="BG127">
            <v>0</v>
          </cell>
          <cell r="BH127">
            <v>0</v>
          </cell>
          <cell r="BI127">
            <v>57372</v>
          </cell>
          <cell r="BJ127">
            <v>22.066153846153846</v>
          </cell>
          <cell r="BK127">
            <v>0</v>
          </cell>
          <cell r="BL127">
            <v>0</v>
          </cell>
          <cell r="BM127">
            <v>145451</v>
          </cell>
          <cell r="BN127">
            <v>55.942692307692305</v>
          </cell>
          <cell r="BO127">
            <v>0</v>
          </cell>
          <cell r="BP127">
            <v>0</v>
          </cell>
          <cell r="BY127">
            <v>1090</v>
          </cell>
          <cell r="CF127">
            <v>408.16392448900001</v>
          </cell>
          <cell r="CG127">
            <v>2507.7399999999998</v>
          </cell>
          <cell r="CJ127">
            <v>0</v>
          </cell>
          <cell r="CK127">
            <v>0</v>
          </cell>
          <cell r="CL127">
            <v>0</v>
          </cell>
          <cell r="CM127">
            <v>0</v>
          </cell>
          <cell r="CN127">
            <v>0</v>
          </cell>
          <cell r="CO127">
            <v>0</v>
          </cell>
          <cell r="CX127">
            <v>0</v>
          </cell>
          <cell r="CY127">
            <v>0</v>
          </cell>
          <cell r="DB127">
            <v>0</v>
          </cell>
          <cell r="DC127">
            <v>0</v>
          </cell>
          <cell r="DJ127" t="str">
            <v>НКРКП</v>
          </cell>
          <cell r="DL127">
            <v>40942</v>
          </cell>
          <cell r="DM127" t="str">
            <v>№ 48</v>
          </cell>
          <cell r="DT127">
            <v>955.96</v>
          </cell>
        </row>
        <row r="128">
          <cell r="W128">
            <v>217.78</v>
          </cell>
          <cell r="AF128">
            <v>39794</v>
          </cell>
          <cell r="AG128" t="str">
            <v>4/6-5/3952</v>
          </cell>
          <cell r="AH128">
            <v>201.65055097597383</v>
          </cell>
          <cell r="AM128">
            <v>105177</v>
          </cell>
          <cell r="AO128">
            <v>22905447.059999999</v>
          </cell>
          <cell r="AQ128">
            <v>21209000</v>
          </cell>
          <cell r="AU128">
            <v>0</v>
          </cell>
          <cell r="AW128">
            <v>0</v>
          </cell>
          <cell r="AY128">
            <v>12418989</v>
          </cell>
          <cell r="AZ128">
            <v>118.07704155851565</v>
          </cell>
          <cell r="BA128">
            <v>0</v>
          </cell>
          <cell r="BB128">
            <v>0</v>
          </cell>
          <cell r="BC128">
            <v>0</v>
          </cell>
          <cell r="BD128">
            <v>0</v>
          </cell>
          <cell r="BG128">
            <v>0</v>
          </cell>
          <cell r="BH128">
            <v>0</v>
          </cell>
          <cell r="BI128">
            <v>2355000</v>
          </cell>
          <cell r="BJ128">
            <v>22.390826891810946</v>
          </cell>
          <cell r="BK128">
            <v>0</v>
          </cell>
          <cell r="BL128">
            <v>0</v>
          </cell>
          <cell r="BM128">
            <v>874800</v>
          </cell>
          <cell r="BN128">
            <v>8.3174077982828951</v>
          </cell>
          <cell r="BO128">
            <v>0</v>
          </cell>
          <cell r="BP128">
            <v>0</v>
          </cell>
          <cell r="BY128">
            <v>1275</v>
          </cell>
          <cell r="CF128">
            <v>17075</v>
          </cell>
          <cell r="CG128">
            <v>727.32</v>
          </cell>
          <cell r="CJ128">
            <v>0</v>
          </cell>
          <cell r="CK128">
            <v>0</v>
          </cell>
          <cell r="CL128">
            <v>0</v>
          </cell>
          <cell r="CM128">
            <v>0</v>
          </cell>
          <cell r="CN128">
            <v>0</v>
          </cell>
          <cell r="CO128">
            <v>0</v>
          </cell>
          <cell r="CX128">
            <v>0</v>
          </cell>
          <cell r="CY128">
            <v>0</v>
          </cell>
          <cell r="DB128">
            <v>0</v>
          </cell>
          <cell r="DC128">
            <v>0</v>
          </cell>
          <cell r="DJ128" t="str">
            <v>НКРЕ</v>
          </cell>
          <cell r="DL128">
            <v>40526</v>
          </cell>
          <cell r="DM128" t="str">
            <v>№ 1840</v>
          </cell>
          <cell r="DO128" t="str">
            <v>Тариф на теплову енергію</v>
          </cell>
          <cell r="DT128">
            <v>239.56</v>
          </cell>
        </row>
        <row r="129">
          <cell r="W129">
            <v>510.67</v>
          </cell>
          <cell r="AF129">
            <v>39853</v>
          </cell>
          <cell r="AG129" t="str">
            <v>6/1/1-57</v>
          </cell>
          <cell r="AH129">
            <v>431.35162928208752</v>
          </cell>
          <cell r="AM129">
            <v>23338.5</v>
          </cell>
          <cell r="AO129">
            <v>11918271.795</v>
          </cell>
          <cell r="AQ129">
            <v>10067100</v>
          </cell>
          <cell r="AU129">
            <v>0</v>
          </cell>
          <cell r="AW129">
            <v>0</v>
          </cell>
          <cell r="AY129">
            <v>8116985.25</v>
          </cell>
          <cell r="AZ129">
            <v>347.79378494761875</v>
          </cell>
          <cell r="BA129">
            <v>0</v>
          </cell>
          <cell r="BB129">
            <v>0</v>
          </cell>
          <cell r="BC129">
            <v>0</v>
          </cell>
          <cell r="BD129">
            <v>0</v>
          </cell>
          <cell r="BG129">
            <v>0</v>
          </cell>
          <cell r="BH129">
            <v>0</v>
          </cell>
          <cell r="BI129">
            <v>522600</v>
          </cell>
          <cell r="BJ129">
            <v>22.392184587698438</v>
          </cell>
          <cell r="BK129">
            <v>0</v>
          </cell>
          <cell r="BL129">
            <v>0</v>
          </cell>
          <cell r="BM129">
            <v>194100</v>
          </cell>
          <cell r="BN129">
            <v>8.3167298669580312</v>
          </cell>
          <cell r="BO129">
            <v>0</v>
          </cell>
          <cell r="BP129">
            <v>0</v>
          </cell>
          <cell r="BY129">
            <v>1275</v>
          </cell>
          <cell r="CF129">
            <v>3789</v>
          </cell>
          <cell r="CG129">
            <v>2142.25</v>
          </cell>
          <cell r="CJ129">
            <v>0</v>
          </cell>
          <cell r="CK129">
            <v>0</v>
          </cell>
          <cell r="CL129">
            <v>0</v>
          </cell>
          <cell r="CM129">
            <v>0</v>
          </cell>
          <cell r="CN129">
            <v>0</v>
          </cell>
          <cell r="CO129">
            <v>0</v>
          </cell>
          <cell r="CX129">
            <v>0</v>
          </cell>
          <cell r="CY129">
            <v>0</v>
          </cell>
          <cell r="DB129">
            <v>0</v>
          </cell>
          <cell r="DC129">
            <v>0</v>
          </cell>
          <cell r="DJ129" t="str">
            <v>НКРКП</v>
          </cell>
          <cell r="DL129">
            <v>40816</v>
          </cell>
          <cell r="DM129" t="str">
            <v>№ 15</v>
          </cell>
          <cell r="DT129">
            <v>771.97</v>
          </cell>
        </row>
        <row r="130">
          <cell r="W130">
            <v>510.67</v>
          </cell>
          <cell r="AF130">
            <v>39853</v>
          </cell>
          <cell r="AG130" t="str">
            <v>6/1/1-57</v>
          </cell>
          <cell r="AH130">
            <v>431.34658421282626</v>
          </cell>
          <cell r="AM130">
            <v>7551.7</v>
          </cell>
          <cell r="AO130">
            <v>3856426.639</v>
          </cell>
          <cell r="AQ130">
            <v>3257400</v>
          </cell>
          <cell r="AU130">
            <v>0</v>
          </cell>
          <cell r="AW130">
            <v>0</v>
          </cell>
          <cell r="AY130">
            <v>2626398.5</v>
          </cell>
          <cell r="AZ130">
            <v>347.78904087821286</v>
          </cell>
          <cell r="BA130">
            <v>0</v>
          </cell>
          <cell r="BB130">
            <v>0</v>
          </cell>
          <cell r="BC130">
            <v>0</v>
          </cell>
          <cell r="BD130">
            <v>0</v>
          </cell>
          <cell r="BG130">
            <v>0</v>
          </cell>
          <cell r="BH130">
            <v>0</v>
          </cell>
          <cell r="BI130">
            <v>169100</v>
          </cell>
          <cell r="BJ130">
            <v>22.39230901651284</v>
          </cell>
          <cell r="BK130">
            <v>0</v>
          </cell>
          <cell r="BL130">
            <v>0</v>
          </cell>
          <cell r="BM130">
            <v>62800</v>
          </cell>
          <cell r="BN130">
            <v>8.3160083160083165</v>
          </cell>
          <cell r="BO130">
            <v>0</v>
          </cell>
          <cell r="BP130">
            <v>0</v>
          </cell>
          <cell r="BY130">
            <v>1275</v>
          </cell>
          <cell r="CF130">
            <v>1226</v>
          </cell>
          <cell r="CG130">
            <v>2142.25</v>
          </cell>
          <cell r="CJ130">
            <v>0</v>
          </cell>
          <cell r="CK130">
            <v>0</v>
          </cell>
          <cell r="CL130">
            <v>0</v>
          </cell>
          <cell r="CM130">
            <v>0</v>
          </cell>
          <cell r="CN130">
            <v>0</v>
          </cell>
          <cell r="CO130">
            <v>0</v>
          </cell>
          <cell r="CX130">
            <v>0</v>
          </cell>
          <cell r="CY130">
            <v>0</v>
          </cell>
          <cell r="DB130">
            <v>0</v>
          </cell>
          <cell r="DC130">
            <v>0</v>
          </cell>
          <cell r="DJ130" t="str">
            <v>НКРКП</v>
          </cell>
          <cell r="DL130">
            <v>40816</v>
          </cell>
          <cell r="DM130" t="str">
            <v>№ 15</v>
          </cell>
          <cell r="DT130">
            <v>771.97</v>
          </cell>
        </row>
        <row r="131">
          <cell r="W131">
            <v>247.38</v>
          </cell>
          <cell r="AF131">
            <v>39790</v>
          </cell>
          <cell r="AG131">
            <v>572</v>
          </cell>
          <cell r="AH131">
            <v>266.42802741812642</v>
          </cell>
          <cell r="AM131">
            <v>10504</v>
          </cell>
          <cell r="AO131">
            <v>2598479.52</v>
          </cell>
          <cell r="AQ131">
            <v>2798560</v>
          </cell>
          <cell r="AU131">
            <v>0</v>
          </cell>
          <cell r="AW131">
            <v>0</v>
          </cell>
          <cell r="AY131">
            <v>1291780</v>
          </cell>
          <cell r="AZ131">
            <v>122.97981721249047</v>
          </cell>
          <cell r="BA131">
            <v>0</v>
          </cell>
          <cell r="BB131">
            <v>0</v>
          </cell>
          <cell r="BC131">
            <v>0</v>
          </cell>
          <cell r="BD131">
            <v>0</v>
          </cell>
          <cell r="BG131">
            <v>0</v>
          </cell>
          <cell r="BH131">
            <v>0</v>
          </cell>
          <cell r="BI131">
            <v>230050</v>
          </cell>
          <cell r="BJ131">
            <v>21.90118050266565</v>
          </cell>
          <cell r="BK131">
            <v>0</v>
          </cell>
          <cell r="BL131">
            <v>0</v>
          </cell>
          <cell r="BM131">
            <v>1009690</v>
          </cell>
          <cell r="BN131">
            <v>96.124333587204873</v>
          </cell>
          <cell r="BO131">
            <v>0</v>
          </cell>
          <cell r="BP131">
            <v>0</v>
          </cell>
          <cell r="BY131">
            <v>2113.6</v>
          </cell>
          <cell r="CF131">
            <v>1776.0820546664465</v>
          </cell>
          <cell r="CG131">
            <v>727.32</v>
          </cell>
          <cell r="CJ131">
            <v>0</v>
          </cell>
          <cell r="CK131">
            <v>0</v>
          </cell>
          <cell r="CL131">
            <v>0</v>
          </cell>
          <cell r="CM131">
            <v>0</v>
          </cell>
          <cell r="CN131">
            <v>0</v>
          </cell>
          <cell r="CO131">
            <v>0</v>
          </cell>
          <cell r="CX131">
            <v>0</v>
          </cell>
          <cell r="CY131">
            <v>0</v>
          </cell>
          <cell r="DB131">
            <v>0</v>
          </cell>
          <cell r="DC131">
            <v>0</v>
          </cell>
          <cell r="DJ131" t="str">
            <v>НКРЕ</v>
          </cell>
          <cell r="DL131">
            <v>40526</v>
          </cell>
          <cell r="DM131">
            <v>1706</v>
          </cell>
          <cell r="DO131" t="str">
            <v>тариф на теплову енергію для населення</v>
          </cell>
          <cell r="DT131">
            <v>272.12</v>
          </cell>
        </row>
        <row r="132">
          <cell r="W132">
            <v>602.67499999999995</v>
          </cell>
          <cell r="AF132">
            <v>39856</v>
          </cell>
          <cell r="AG132">
            <v>44</v>
          </cell>
          <cell r="AH132">
            <v>506.45132743362831</v>
          </cell>
          <cell r="AM132">
            <v>12430</v>
          </cell>
          <cell r="AO132">
            <v>7491250.2499999991</v>
          </cell>
          <cell r="AQ132">
            <v>6295190</v>
          </cell>
          <cell r="AU132">
            <v>0</v>
          </cell>
          <cell r="AW132">
            <v>0</v>
          </cell>
          <cell r="AY132">
            <v>4502320</v>
          </cell>
          <cell r="AZ132">
            <v>362.21399839098956</v>
          </cell>
          <cell r="BA132">
            <v>0</v>
          </cell>
          <cell r="BB132">
            <v>0</v>
          </cell>
          <cell r="BC132">
            <v>0</v>
          </cell>
          <cell r="BD132">
            <v>0</v>
          </cell>
          <cell r="BG132">
            <v>0</v>
          </cell>
          <cell r="BH132">
            <v>0</v>
          </cell>
          <cell r="BI132">
            <v>272210</v>
          </cell>
          <cell r="BJ132">
            <v>21.899436846339501</v>
          </cell>
          <cell r="BK132">
            <v>0</v>
          </cell>
          <cell r="BL132">
            <v>0</v>
          </cell>
          <cell r="BM132">
            <v>1194760</v>
          </cell>
          <cell r="BN132">
            <v>96.119066773934037</v>
          </cell>
          <cell r="BO132">
            <v>0</v>
          </cell>
          <cell r="BP132">
            <v>0</v>
          </cell>
          <cell r="BY132">
            <v>2113.6</v>
          </cell>
          <cell r="CF132">
            <v>2101.6781421402729</v>
          </cell>
          <cell r="CG132">
            <v>2142.25</v>
          </cell>
          <cell r="CJ132">
            <v>0</v>
          </cell>
          <cell r="CK132">
            <v>0</v>
          </cell>
          <cell r="CL132">
            <v>0</v>
          </cell>
          <cell r="CM132">
            <v>0</v>
          </cell>
          <cell r="CN132">
            <v>0</v>
          </cell>
          <cell r="CO132">
            <v>0</v>
          </cell>
          <cell r="CX132">
            <v>0</v>
          </cell>
          <cell r="CY132">
            <v>0</v>
          </cell>
          <cell r="DB132">
            <v>0</v>
          </cell>
          <cell r="DC132">
            <v>0</v>
          </cell>
          <cell r="DJ132" t="str">
            <v>НКРКП</v>
          </cell>
          <cell r="DL132">
            <v>40816</v>
          </cell>
          <cell r="DM132">
            <v>75</v>
          </cell>
          <cell r="DT132">
            <v>874.81</v>
          </cell>
        </row>
        <row r="133">
          <cell r="W133">
            <v>602.67499999999995</v>
          </cell>
          <cell r="AF133">
            <v>39856</v>
          </cell>
          <cell r="AG133">
            <v>44</v>
          </cell>
          <cell r="AH133">
            <v>506.45278450363196</v>
          </cell>
          <cell r="AM133">
            <v>826</v>
          </cell>
          <cell r="AO133">
            <v>497809.55</v>
          </cell>
          <cell r="AQ133">
            <v>418330</v>
          </cell>
          <cell r="AU133">
            <v>0</v>
          </cell>
          <cell r="AW133">
            <v>0</v>
          </cell>
          <cell r="AY133">
            <v>299129.99999999994</v>
          </cell>
          <cell r="AZ133">
            <v>362.14285714285705</v>
          </cell>
          <cell r="BA133">
            <v>0</v>
          </cell>
          <cell r="BB133">
            <v>0</v>
          </cell>
          <cell r="BC133">
            <v>0</v>
          </cell>
          <cell r="BD133">
            <v>0</v>
          </cell>
          <cell r="BG133">
            <v>0</v>
          </cell>
          <cell r="BH133">
            <v>0</v>
          </cell>
          <cell r="BI133">
            <v>18090</v>
          </cell>
          <cell r="BJ133">
            <v>21.900726392251816</v>
          </cell>
          <cell r="BK133">
            <v>0</v>
          </cell>
          <cell r="BL133">
            <v>0</v>
          </cell>
          <cell r="BM133">
            <v>79410</v>
          </cell>
          <cell r="BN133">
            <v>96.13801452784503</v>
          </cell>
          <cell r="BO133">
            <v>0</v>
          </cell>
          <cell r="BP133">
            <v>0</v>
          </cell>
          <cell r="BY133">
            <v>2113.6</v>
          </cell>
          <cell r="CF133">
            <v>139.63356284280545</v>
          </cell>
          <cell r="CG133">
            <v>2142.25</v>
          </cell>
          <cell r="CJ133">
            <v>0</v>
          </cell>
          <cell r="CK133">
            <v>0</v>
          </cell>
          <cell r="CL133">
            <v>0</v>
          </cell>
          <cell r="CM133">
            <v>0</v>
          </cell>
          <cell r="CN133">
            <v>0</v>
          </cell>
          <cell r="CO133">
            <v>0</v>
          </cell>
          <cell r="CX133">
            <v>0</v>
          </cell>
          <cell r="CY133">
            <v>0</v>
          </cell>
          <cell r="DB133">
            <v>0</v>
          </cell>
          <cell r="DC133">
            <v>0</v>
          </cell>
          <cell r="DJ133" t="str">
            <v>НКРКП</v>
          </cell>
          <cell r="DL133">
            <v>40816</v>
          </cell>
          <cell r="DM133">
            <v>75</v>
          </cell>
          <cell r="DT133">
            <v>874.81</v>
          </cell>
        </row>
        <row r="134">
          <cell r="W134">
            <v>266.642</v>
          </cell>
          <cell r="AF134">
            <v>40427</v>
          </cell>
          <cell r="AG134">
            <v>117</v>
          </cell>
          <cell r="AH134">
            <v>242.39648158566669</v>
          </cell>
          <cell r="AM134">
            <v>46214</v>
          </cell>
          <cell r="AO134">
            <v>12322593.388</v>
          </cell>
          <cell r="AQ134">
            <v>11202111</v>
          </cell>
          <cell r="AU134">
            <v>0</v>
          </cell>
          <cell r="AW134">
            <v>0</v>
          </cell>
          <cell r="AY134">
            <v>8253585</v>
          </cell>
          <cell r="AZ134">
            <v>178.59490630544857</v>
          </cell>
          <cell r="BA134">
            <v>0</v>
          </cell>
          <cell r="BB134">
            <v>0</v>
          </cell>
          <cell r="BC134">
            <v>0</v>
          </cell>
          <cell r="BD134">
            <v>0</v>
          </cell>
          <cell r="BG134">
            <v>0</v>
          </cell>
          <cell r="BH134">
            <v>0</v>
          </cell>
          <cell r="BI134">
            <v>908652</v>
          </cell>
          <cell r="BJ134">
            <v>19.66183407625395</v>
          </cell>
          <cell r="BK134">
            <v>0</v>
          </cell>
          <cell r="BL134">
            <v>0</v>
          </cell>
          <cell r="BM134">
            <v>1459668</v>
          </cell>
          <cell r="BN134">
            <v>31.584974250227205</v>
          </cell>
          <cell r="BO134">
            <v>0</v>
          </cell>
          <cell r="BP134">
            <v>0</v>
          </cell>
          <cell r="BY134">
            <v>1275</v>
          </cell>
          <cell r="CF134">
            <v>7565.1558203483046</v>
          </cell>
          <cell r="CG134">
            <v>1091</v>
          </cell>
          <cell r="CJ134">
            <v>0</v>
          </cell>
          <cell r="CK134">
            <v>0</v>
          </cell>
          <cell r="CL134">
            <v>0</v>
          </cell>
          <cell r="CM134">
            <v>0</v>
          </cell>
          <cell r="CN134">
            <v>0</v>
          </cell>
          <cell r="CO134">
            <v>0</v>
          </cell>
          <cell r="CX134">
            <v>0</v>
          </cell>
          <cell r="CY134">
            <v>0</v>
          </cell>
          <cell r="DB134">
            <v>0</v>
          </cell>
          <cell r="DC134">
            <v>0</v>
          </cell>
          <cell r="DJ134" t="str">
            <v>МОС</v>
          </cell>
          <cell r="DL134">
            <v>40448</v>
          </cell>
          <cell r="DM134">
            <v>298</v>
          </cell>
          <cell r="DO134" t="str">
            <v>тариф на теплову енергію</v>
          </cell>
          <cell r="DT134">
            <v>266.642</v>
          </cell>
        </row>
        <row r="135">
          <cell r="W135">
            <v>511.23399999999998</v>
          </cell>
          <cell r="AF135">
            <v>40427</v>
          </cell>
          <cell r="AG135">
            <v>118</v>
          </cell>
          <cell r="AH135">
            <v>456.46159195801982</v>
          </cell>
          <cell r="AM135">
            <v>31634</v>
          </cell>
          <cell r="AO135">
            <v>16172376.355999999</v>
          </cell>
          <cell r="AQ135">
            <v>14439706</v>
          </cell>
          <cell r="AU135">
            <v>0</v>
          </cell>
          <cell r="AW135">
            <v>0</v>
          </cell>
          <cell r="AY135">
            <v>12421371</v>
          </cell>
          <cell r="AZ135">
            <v>392.65887968641334</v>
          </cell>
          <cell r="BA135">
            <v>0</v>
          </cell>
          <cell r="BB135">
            <v>0</v>
          </cell>
          <cell r="BC135">
            <v>0</v>
          </cell>
          <cell r="BD135">
            <v>0</v>
          </cell>
          <cell r="BG135">
            <v>0</v>
          </cell>
          <cell r="BH135">
            <v>0</v>
          </cell>
          <cell r="BI135">
            <v>621984</v>
          </cell>
          <cell r="BJ135">
            <v>19.661882784345956</v>
          </cell>
          <cell r="BK135">
            <v>0</v>
          </cell>
          <cell r="BL135">
            <v>0</v>
          </cell>
          <cell r="BM135">
            <v>999162</v>
          </cell>
          <cell r="BN135">
            <v>31.58506670038566</v>
          </cell>
          <cell r="BO135">
            <v>0</v>
          </cell>
          <cell r="BP135">
            <v>0</v>
          </cell>
          <cell r="BY135">
            <v>1275</v>
          </cell>
          <cell r="CF135">
            <v>5178.7216389970563</v>
          </cell>
          <cell r="CG135">
            <v>2398.54</v>
          </cell>
          <cell r="CJ135">
            <v>0</v>
          </cell>
          <cell r="CK135">
            <v>0</v>
          </cell>
          <cell r="CL135">
            <v>0</v>
          </cell>
          <cell r="CM135">
            <v>0</v>
          </cell>
          <cell r="CN135">
            <v>0</v>
          </cell>
          <cell r="CO135">
            <v>0</v>
          </cell>
          <cell r="CX135">
            <v>0</v>
          </cell>
          <cell r="CY135">
            <v>0</v>
          </cell>
          <cell r="DB135">
            <v>0</v>
          </cell>
          <cell r="DC135">
            <v>0</v>
          </cell>
          <cell r="DJ135" t="str">
            <v>НКРКП</v>
          </cell>
          <cell r="DL135">
            <v>40836</v>
          </cell>
          <cell r="DM135">
            <v>221</v>
          </cell>
          <cell r="DT135">
            <v>719.28</v>
          </cell>
        </row>
        <row r="136">
          <cell r="W136">
            <v>547.75</v>
          </cell>
          <cell r="AF136">
            <v>40427</v>
          </cell>
          <cell r="AG136">
            <v>119</v>
          </cell>
          <cell r="AH136">
            <v>456.46229581561869</v>
          </cell>
          <cell r="AM136">
            <v>4469</v>
          </cell>
          <cell r="AO136">
            <v>2447894.75</v>
          </cell>
          <cell r="AQ136">
            <v>2039930</v>
          </cell>
          <cell r="AU136">
            <v>0</v>
          </cell>
          <cell r="AW136">
            <v>0</v>
          </cell>
          <cell r="AY136">
            <v>1754794</v>
          </cell>
          <cell r="AZ136">
            <v>392.65920787648241</v>
          </cell>
          <cell r="BA136">
            <v>0</v>
          </cell>
          <cell r="BB136">
            <v>0</v>
          </cell>
          <cell r="BC136">
            <v>0</v>
          </cell>
          <cell r="BD136">
            <v>0</v>
          </cell>
          <cell r="BG136">
            <v>0</v>
          </cell>
          <cell r="BH136">
            <v>0</v>
          </cell>
          <cell r="BI136">
            <v>87869</v>
          </cell>
          <cell r="BJ136">
            <v>19.661893040948758</v>
          </cell>
          <cell r="BK136">
            <v>0</v>
          </cell>
          <cell r="BL136">
            <v>0</v>
          </cell>
          <cell r="BM136">
            <v>141154</v>
          </cell>
          <cell r="BN136">
            <v>31.58514208995301</v>
          </cell>
          <cell r="BO136">
            <v>0</v>
          </cell>
          <cell r="BP136">
            <v>0</v>
          </cell>
          <cell r="BY136">
            <v>1275</v>
          </cell>
          <cell r="CF136">
            <v>731.60922894760984</v>
          </cell>
          <cell r="CG136">
            <v>2398.54</v>
          </cell>
          <cell r="CJ136">
            <v>0</v>
          </cell>
          <cell r="CK136">
            <v>0</v>
          </cell>
          <cell r="CL136">
            <v>0</v>
          </cell>
          <cell r="CM136">
            <v>0</v>
          </cell>
          <cell r="CN136">
            <v>0</v>
          </cell>
          <cell r="CO136">
            <v>0</v>
          </cell>
          <cell r="CX136">
            <v>0</v>
          </cell>
          <cell r="CY136">
            <v>0</v>
          </cell>
          <cell r="DB136">
            <v>0</v>
          </cell>
          <cell r="DC136">
            <v>0</v>
          </cell>
          <cell r="DJ136" t="str">
            <v>НКРКП</v>
          </cell>
          <cell r="DL136">
            <v>40836</v>
          </cell>
          <cell r="DM136">
            <v>221</v>
          </cell>
          <cell r="DT136">
            <v>745.66</v>
          </cell>
        </row>
        <row r="137">
          <cell r="W137">
            <v>247.29</v>
          </cell>
          <cell r="AF137">
            <v>40122</v>
          </cell>
          <cell r="AG137">
            <v>260</v>
          </cell>
          <cell r="AH137">
            <v>235.70827285921627</v>
          </cell>
          <cell r="AM137">
            <v>68900</v>
          </cell>
          <cell r="AO137">
            <v>17038281</v>
          </cell>
          <cell r="AQ137">
            <v>16240300</v>
          </cell>
          <cell r="AU137">
            <v>0</v>
          </cell>
          <cell r="AW137">
            <v>0</v>
          </cell>
          <cell r="AY137">
            <v>9318309</v>
          </cell>
          <cell r="AZ137">
            <v>135.24396226415095</v>
          </cell>
          <cell r="BA137">
            <v>0</v>
          </cell>
          <cell r="BB137">
            <v>0</v>
          </cell>
          <cell r="BC137">
            <v>0</v>
          </cell>
          <cell r="BD137">
            <v>0</v>
          </cell>
          <cell r="BG137">
            <v>0</v>
          </cell>
          <cell r="BH137">
            <v>0</v>
          </cell>
          <cell r="BI137">
            <v>1141300</v>
          </cell>
          <cell r="BJ137">
            <v>16.564586357039186</v>
          </cell>
          <cell r="BK137">
            <v>0</v>
          </cell>
          <cell r="BL137">
            <v>0</v>
          </cell>
          <cell r="BM137">
            <v>3901300</v>
          </cell>
          <cell r="BN137">
            <v>56.622641509433961</v>
          </cell>
          <cell r="BO137">
            <v>0</v>
          </cell>
          <cell r="BP137">
            <v>0</v>
          </cell>
          <cell r="BY137">
            <v>1739</v>
          </cell>
          <cell r="CF137">
            <v>12811.842105263157</v>
          </cell>
          <cell r="CG137">
            <v>727.32</v>
          </cell>
          <cell r="CJ137">
            <v>0</v>
          </cell>
          <cell r="CK137">
            <v>0</v>
          </cell>
          <cell r="CL137">
            <v>0</v>
          </cell>
          <cell r="CM137">
            <v>0</v>
          </cell>
          <cell r="CN137">
            <v>0</v>
          </cell>
          <cell r="CO137">
            <v>0</v>
          </cell>
          <cell r="CX137">
            <v>0</v>
          </cell>
          <cell r="CY137">
            <v>0</v>
          </cell>
          <cell r="DB137">
            <v>0</v>
          </cell>
          <cell r="DC137">
            <v>0</v>
          </cell>
          <cell r="DJ137" t="str">
            <v>НКРЕ</v>
          </cell>
          <cell r="DL137">
            <v>40526</v>
          </cell>
          <cell r="DM137">
            <v>1782</v>
          </cell>
          <cell r="DO137" t="str">
            <v>тариф на теплову енергію для населення</v>
          </cell>
          <cell r="DT137">
            <v>272.02</v>
          </cell>
        </row>
        <row r="138">
          <cell r="W138">
            <v>580.47500000000002</v>
          </cell>
          <cell r="AF138">
            <v>40122</v>
          </cell>
          <cell r="AG138">
            <v>261</v>
          </cell>
          <cell r="AH138">
            <v>505.26950354609932</v>
          </cell>
          <cell r="AM138">
            <v>14100</v>
          </cell>
          <cell r="AO138">
            <v>8184697.5</v>
          </cell>
          <cell r="AQ138">
            <v>7124300</v>
          </cell>
          <cell r="AU138">
            <v>0</v>
          </cell>
          <cell r="AW138">
            <v>0</v>
          </cell>
          <cell r="AY138">
            <v>5722655</v>
          </cell>
          <cell r="AZ138">
            <v>405.86205673758866</v>
          </cell>
          <cell r="BA138">
            <v>0</v>
          </cell>
          <cell r="BB138">
            <v>0</v>
          </cell>
          <cell r="BC138">
            <v>0</v>
          </cell>
          <cell r="BD138">
            <v>0</v>
          </cell>
          <cell r="BG138">
            <v>0</v>
          </cell>
          <cell r="BH138">
            <v>0</v>
          </cell>
          <cell r="BI138">
            <v>233566</v>
          </cell>
          <cell r="BJ138">
            <v>16.564964539007093</v>
          </cell>
          <cell r="BK138">
            <v>0</v>
          </cell>
          <cell r="BL138">
            <v>0</v>
          </cell>
          <cell r="BM138">
            <v>800860</v>
          </cell>
          <cell r="BN138">
            <v>56.798581560283687</v>
          </cell>
          <cell r="BO138">
            <v>0</v>
          </cell>
          <cell r="BP138">
            <v>0</v>
          </cell>
          <cell r="BY138">
            <v>1739</v>
          </cell>
          <cell r="CF138">
            <v>2621.8719360779969</v>
          </cell>
          <cell r="CG138">
            <v>2182.66</v>
          </cell>
          <cell r="CJ138">
            <v>0</v>
          </cell>
          <cell r="CK138">
            <v>0</v>
          </cell>
          <cell r="CL138">
            <v>0</v>
          </cell>
          <cell r="CM138">
            <v>0</v>
          </cell>
          <cell r="CN138">
            <v>0</v>
          </cell>
          <cell r="CO138">
            <v>0</v>
          </cell>
          <cell r="CX138">
            <v>0</v>
          </cell>
          <cell r="CY138">
            <v>0</v>
          </cell>
          <cell r="DB138">
            <v>0</v>
          </cell>
          <cell r="DC138">
            <v>0</v>
          </cell>
          <cell r="DJ138" t="str">
            <v>НКРКП</v>
          </cell>
          <cell r="DL138">
            <v>40816</v>
          </cell>
          <cell r="DM138">
            <v>69</v>
          </cell>
          <cell r="DT138">
            <v>872.28</v>
          </cell>
        </row>
        <row r="139">
          <cell r="W139">
            <v>605.63</v>
          </cell>
          <cell r="AF139">
            <v>40122</v>
          </cell>
          <cell r="AG139">
            <v>261</v>
          </cell>
          <cell r="AH139">
            <v>505.26923076923077</v>
          </cell>
          <cell r="AM139">
            <v>1300</v>
          </cell>
          <cell r="AO139">
            <v>787319</v>
          </cell>
          <cell r="AQ139">
            <v>656850</v>
          </cell>
          <cell r="AU139">
            <v>0</v>
          </cell>
          <cell r="AW139">
            <v>0</v>
          </cell>
          <cell r="AY139">
            <v>527620.99999999988</v>
          </cell>
          <cell r="AZ139">
            <v>405.86230769230758</v>
          </cell>
          <cell r="BA139">
            <v>0</v>
          </cell>
          <cell r="BB139">
            <v>0</v>
          </cell>
          <cell r="BC139">
            <v>0</v>
          </cell>
          <cell r="BD139">
            <v>0</v>
          </cell>
          <cell r="BG139">
            <v>0</v>
          </cell>
          <cell r="BH139">
            <v>0</v>
          </cell>
          <cell r="BI139">
            <v>21534</v>
          </cell>
          <cell r="BJ139">
            <v>16.564615384615383</v>
          </cell>
          <cell r="BK139">
            <v>0</v>
          </cell>
          <cell r="BL139">
            <v>0</v>
          </cell>
          <cell r="BM139">
            <v>73840</v>
          </cell>
          <cell r="BN139">
            <v>56.8</v>
          </cell>
          <cell r="BO139">
            <v>0</v>
          </cell>
          <cell r="BP139">
            <v>0</v>
          </cell>
          <cell r="BY139">
            <v>1739</v>
          </cell>
          <cell r="CF139">
            <v>241.7330230086225</v>
          </cell>
          <cell r="CG139">
            <v>2182.66</v>
          </cell>
          <cell r="CJ139">
            <v>0</v>
          </cell>
          <cell r="CK139">
            <v>0</v>
          </cell>
          <cell r="CL139">
            <v>0</v>
          </cell>
          <cell r="CM139">
            <v>0</v>
          </cell>
          <cell r="CN139">
            <v>0</v>
          </cell>
          <cell r="CO139">
            <v>0</v>
          </cell>
          <cell r="CX139">
            <v>0</v>
          </cell>
          <cell r="CY139">
            <v>0</v>
          </cell>
          <cell r="DB139">
            <v>0</v>
          </cell>
          <cell r="DC139">
            <v>0</v>
          </cell>
          <cell r="DJ139" t="str">
            <v>НКРКП</v>
          </cell>
          <cell r="DL139">
            <v>40816</v>
          </cell>
          <cell r="DM139">
            <v>69</v>
          </cell>
          <cell r="DT139">
            <v>897.43</v>
          </cell>
        </row>
        <row r="140">
          <cell r="W140">
            <v>222.83</v>
          </cell>
          <cell r="AF140">
            <v>39749</v>
          </cell>
          <cell r="AG140">
            <v>480</v>
          </cell>
          <cell r="AH140">
            <v>222.82665535719013</v>
          </cell>
          <cell r="AM140">
            <v>29001.602118206702</v>
          </cell>
          <cell r="AO140">
            <v>6462427</v>
          </cell>
          <cell r="AQ140">
            <v>6462330</v>
          </cell>
          <cell r="AU140">
            <v>0</v>
          </cell>
          <cell r="AW140">
            <v>0</v>
          </cell>
          <cell r="AY140">
            <v>3129100</v>
          </cell>
          <cell r="AZ140">
            <v>107.89403934466108</v>
          </cell>
          <cell r="BA140">
            <v>0</v>
          </cell>
          <cell r="BB140">
            <v>0</v>
          </cell>
          <cell r="BC140">
            <v>0</v>
          </cell>
          <cell r="BD140">
            <v>0</v>
          </cell>
          <cell r="BG140">
            <v>0</v>
          </cell>
          <cell r="BH140">
            <v>0</v>
          </cell>
          <cell r="BI140">
            <v>471410</v>
          </cell>
          <cell r="BJ140">
            <v>16.254619247536571</v>
          </cell>
          <cell r="BK140">
            <v>0</v>
          </cell>
          <cell r="BL140">
            <v>0</v>
          </cell>
          <cell r="BM140">
            <v>2416700</v>
          </cell>
          <cell r="BN140">
            <v>83.329879161497701</v>
          </cell>
          <cell r="BO140">
            <v>0</v>
          </cell>
          <cell r="BP140">
            <v>0</v>
          </cell>
          <cell r="BY140">
            <v>1930</v>
          </cell>
          <cell r="CF140">
            <v>4610.0920810313073</v>
          </cell>
          <cell r="CG140">
            <v>678.75</v>
          </cell>
          <cell r="CJ140">
            <v>0</v>
          </cell>
          <cell r="CK140">
            <v>0</v>
          </cell>
          <cell r="CL140">
            <v>0</v>
          </cell>
          <cell r="CM140">
            <v>0</v>
          </cell>
          <cell r="CN140">
            <v>0</v>
          </cell>
          <cell r="CO140">
            <v>0</v>
          </cell>
          <cell r="CX140">
            <v>0</v>
          </cell>
          <cell r="CY140">
            <v>0</v>
          </cell>
          <cell r="DB140">
            <v>0</v>
          </cell>
          <cell r="DC140">
            <v>0</v>
          </cell>
          <cell r="DJ140" t="str">
            <v>НКРЕ</v>
          </cell>
          <cell r="DL140">
            <v>40526</v>
          </cell>
          <cell r="DM140">
            <v>1707</v>
          </cell>
          <cell r="DO140" t="str">
            <v>тариф на теплову енергію для населення</v>
          </cell>
          <cell r="DT140">
            <v>245.10635553949004</v>
          </cell>
        </row>
        <row r="141">
          <cell r="W141">
            <v>530.65</v>
          </cell>
          <cell r="AF141">
            <v>39867</v>
          </cell>
          <cell r="AG141">
            <v>86</v>
          </cell>
          <cell r="AH141">
            <v>466.53534482758619</v>
          </cell>
          <cell r="AM141">
            <v>11600</v>
          </cell>
          <cell r="AO141">
            <v>6155540</v>
          </cell>
          <cell r="AQ141">
            <v>5411810</v>
          </cell>
          <cell r="AU141">
            <v>0</v>
          </cell>
          <cell r="AW141">
            <v>0</v>
          </cell>
          <cell r="AY141">
            <v>4076150</v>
          </cell>
          <cell r="AZ141">
            <v>351.39224137931035</v>
          </cell>
          <cell r="BA141">
            <v>0</v>
          </cell>
          <cell r="BB141">
            <v>0</v>
          </cell>
          <cell r="BC141">
            <v>0</v>
          </cell>
          <cell r="BD141">
            <v>0</v>
          </cell>
          <cell r="BG141">
            <v>0</v>
          </cell>
          <cell r="BH141">
            <v>0</v>
          </cell>
          <cell r="BI141">
            <v>215850</v>
          </cell>
          <cell r="BJ141">
            <v>18.607758620689655</v>
          </cell>
          <cell r="BK141">
            <v>0</v>
          </cell>
          <cell r="BL141">
            <v>0</v>
          </cell>
          <cell r="BM141">
            <v>965920</v>
          </cell>
          <cell r="BN141">
            <v>83.268965517241384</v>
          </cell>
          <cell r="BO141">
            <v>0</v>
          </cell>
          <cell r="BP141">
            <v>0</v>
          </cell>
          <cell r="BY141">
            <v>1930</v>
          </cell>
          <cell r="CF141">
            <v>1902.7424436923795</v>
          </cell>
          <cell r="CG141">
            <v>2142.25</v>
          </cell>
          <cell r="CJ141">
            <v>0</v>
          </cell>
          <cell r="CK141">
            <v>0</v>
          </cell>
          <cell r="CL141">
            <v>0</v>
          </cell>
          <cell r="CM141">
            <v>0</v>
          </cell>
          <cell r="CN141">
            <v>0</v>
          </cell>
          <cell r="CO141">
            <v>0</v>
          </cell>
          <cell r="CX141">
            <v>0</v>
          </cell>
          <cell r="CY141">
            <v>0</v>
          </cell>
          <cell r="DB141">
            <v>0</v>
          </cell>
          <cell r="DC141">
            <v>0</v>
          </cell>
          <cell r="DJ141" t="str">
            <v>НКРКП</v>
          </cell>
          <cell r="DL141">
            <v>40816</v>
          </cell>
          <cell r="DM141">
            <v>74</v>
          </cell>
          <cell r="DT141">
            <v>794.68</v>
          </cell>
        </row>
        <row r="142">
          <cell r="W142">
            <v>530.65</v>
          </cell>
          <cell r="AF142">
            <v>39867</v>
          </cell>
          <cell r="AG142">
            <v>86</v>
          </cell>
          <cell r="AH142">
            <v>466.54444444444442</v>
          </cell>
          <cell r="AM142">
            <v>900</v>
          </cell>
          <cell r="AO142">
            <v>477585</v>
          </cell>
          <cell r="AQ142">
            <v>419890</v>
          </cell>
          <cell r="AU142">
            <v>0</v>
          </cell>
          <cell r="AW142">
            <v>0</v>
          </cell>
          <cell r="AY142">
            <v>316250</v>
          </cell>
          <cell r="AZ142">
            <v>351.38888888888891</v>
          </cell>
          <cell r="BA142">
            <v>0</v>
          </cell>
          <cell r="BB142">
            <v>0</v>
          </cell>
          <cell r="BC142">
            <v>0</v>
          </cell>
          <cell r="BD142">
            <v>0</v>
          </cell>
          <cell r="BG142">
            <v>0</v>
          </cell>
          <cell r="BH142">
            <v>0</v>
          </cell>
          <cell r="BI142">
            <v>16750</v>
          </cell>
          <cell r="BJ142">
            <v>18.611111111111111</v>
          </cell>
          <cell r="BK142">
            <v>0</v>
          </cell>
          <cell r="BL142">
            <v>0</v>
          </cell>
          <cell r="BM142">
            <v>74920</v>
          </cell>
          <cell r="BN142">
            <v>83.24444444444444</v>
          </cell>
          <cell r="BO142">
            <v>0</v>
          </cell>
          <cell r="BP142">
            <v>0</v>
          </cell>
          <cell r="BY142">
            <v>1930</v>
          </cell>
          <cell r="CF142">
            <v>147.62516046213094</v>
          </cell>
          <cell r="CG142">
            <v>2142.25</v>
          </cell>
          <cell r="CJ142">
            <v>0</v>
          </cell>
          <cell r="CK142">
            <v>0</v>
          </cell>
          <cell r="CL142">
            <v>0</v>
          </cell>
          <cell r="CM142">
            <v>0</v>
          </cell>
          <cell r="CN142">
            <v>0</v>
          </cell>
          <cell r="CO142">
            <v>0</v>
          </cell>
          <cell r="CX142">
            <v>0</v>
          </cell>
          <cell r="CY142">
            <v>0</v>
          </cell>
          <cell r="DB142">
            <v>0</v>
          </cell>
          <cell r="DC142">
            <v>0</v>
          </cell>
          <cell r="DJ142" t="str">
            <v>НКРКП</v>
          </cell>
          <cell r="DL142">
            <v>40816</v>
          </cell>
          <cell r="DM142">
            <v>74</v>
          </cell>
          <cell r="DT142">
            <v>794.68</v>
          </cell>
        </row>
        <row r="143">
          <cell r="W143">
            <v>231.14</v>
          </cell>
          <cell r="AF143">
            <v>39851</v>
          </cell>
          <cell r="AG143">
            <v>37</v>
          </cell>
          <cell r="AH143">
            <v>220.13023255813954</v>
          </cell>
          <cell r="AM143">
            <v>21500</v>
          </cell>
          <cell r="AO143">
            <v>4969510</v>
          </cell>
          <cell r="AQ143">
            <v>4732800</v>
          </cell>
          <cell r="AU143">
            <v>0</v>
          </cell>
          <cell r="AW143">
            <v>0</v>
          </cell>
          <cell r="AY143">
            <v>2545613.0000000005</v>
          </cell>
          <cell r="AZ143">
            <v>118.40060465116281</v>
          </cell>
          <cell r="BA143">
            <v>0</v>
          </cell>
          <cell r="BB143">
            <v>0</v>
          </cell>
          <cell r="BC143">
            <v>0</v>
          </cell>
          <cell r="BD143">
            <v>0</v>
          </cell>
          <cell r="BG143">
            <v>0</v>
          </cell>
          <cell r="BH143">
            <v>0</v>
          </cell>
          <cell r="BI143">
            <v>394769</v>
          </cell>
          <cell r="BJ143">
            <v>18.361348837209302</v>
          </cell>
          <cell r="BK143">
            <v>0</v>
          </cell>
          <cell r="BL143">
            <v>0</v>
          </cell>
          <cell r="BM143">
            <v>1533458</v>
          </cell>
          <cell r="BN143">
            <v>71.323627906976739</v>
          </cell>
          <cell r="BO143">
            <v>0</v>
          </cell>
          <cell r="BP143">
            <v>0</v>
          </cell>
          <cell r="BY143">
            <v>2215</v>
          </cell>
          <cell r="CF143">
            <v>3499.9903756255844</v>
          </cell>
          <cell r="CG143">
            <v>727.32</v>
          </cell>
          <cell r="CJ143">
            <v>0</v>
          </cell>
          <cell r="CK143">
            <v>0</v>
          </cell>
          <cell r="CL143">
            <v>0</v>
          </cell>
          <cell r="CM143">
            <v>0</v>
          </cell>
          <cell r="CN143">
            <v>0</v>
          </cell>
          <cell r="CO143">
            <v>0</v>
          </cell>
          <cell r="CX143">
            <v>0</v>
          </cell>
          <cell r="CY143">
            <v>0</v>
          </cell>
          <cell r="DB143">
            <v>0</v>
          </cell>
          <cell r="DC143">
            <v>0</v>
          </cell>
          <cell r="DJ143" t="str">
            <v>НКРЕ</v>
          </cell>
          <cell r="DL143">
            <v>40526</v>
          </cell>
          <cell r="DM143">
            <v>1705</v>
          </cell>
          <cell r="DO143" t="str">
            <v>тариф на теплову енергію для населення</v>
          </cell>
          <cell r="DT143">
            <v>254.25</v>
          </cell>
        </row>
        <row r="144">
          <cell r="W144">
            <v>525.29</v>
          </cell>
          <cell r="AF144">
            <v>39851</v>
          </cell>
          <cell r="AG144">
            <v>38</v>
          </cell>
          <cell r="AH144">
            <v>448.97346153846155</v>
          </cell>
          <cell r="AM144">
            <v>10400</v>
          </cell>
          <cell r="AO144">
            <v>5463016</v>
          </cell>
          <cell r="AQ144">
            <v>4669324</v>
          </cell>
          <cell r="AU144">
            <v>0</v>
          </cell>
          <cell r="AW144">
            <v>0</v>
          </cell>
          <cell r="AY144">
            <v>3611383.6274999999</v>
          </cell>
          <cell r="AZ144">
            <v>347.24842572115386</v>
          </cell>
          <cell r="BA144">
            <v>0</v>
          </cell>
          <cell r="BB144">
            <v>0</v>
          </cell>
          <cell r="BC144">
            <v>0</v>
          </cell>
          <cell r="BD144">
            <v>0</v>
          </cell>
          <cell r="BG144">
            <v>0</v>
          </cell>
          <cell r="BH144">
            <v>0</v>
          </cell>
          <cell r="BI144">
            <v>190941</v>
          </cell>
          <cell r="BJ144">
            <v>18.359711538461539</v>
          </cell>
          <cell r="BK144">
            <v>0</v>
          </cell>
          <cell r="BL144">
            <v>0</v>
          </cell>
          <cell r="BM144">
            <v>741761</v>
          </cell>
          <cell r="BN144">
            <v>71.323173076923084</v>
          </cell>
          <cell r="BO144">
            <v>0</v>
          </cell>
          <cell r="BP144">
            <v>0</v>
          </cell>
          <cell r="BY144">
            <v>2215</v>
          </cell>
          <cell r="CF144">
            <v>1685.79</v>
          </cell>
          <cell r="CG144">
            <v>2142.25</v>
          </cell>
          <cell r="CJ144">
            <v>0</v>
          </cell>
          <cell r="CK144">
            <v>0</v>
          </cell>
          <cell r="CL144">
            <v>0</v>
          </cell>
          <cell r="CM144">
            <v>0</v>
          </cell>
          <cell r="CN144">
            <v>0</v>
          </cell>
          <cell r="CO144">
            <v>0</v>
          </cell>
          <cell r="CX144">
            <v>0</v>
          </cell>
          <cell r="CY144">
            <v>0</v>
          </cell>
          <cell r="DB144">
            <v>0</v>
          </cell>
          <cell r="DC144">
            <v>0</v>
          </cell>
          <cell r="DJ144" t="str">
            <v>НКРКП</v>
          </cell>
          <cell r="DL144">
            <v>40942</v>
          </cell>
          <cell r="DM144">
            <v>47</v>
          </cell>
          <cell r="DT144">
            <v>786.21</v>
          </cell>
        </row>
        <row r="145">
          <cell r="W145">
            <v>561.21</v>
          </cell>
          <cell r="AF145">
            <v>39851</v>
          </cell>
          <cell r="AG145">
            <v>38</v>
          </cell>
          <cell r="AH145">
            <v>448.97333333333336</v>
          </cell>
          <cell r="AM145">
            <v>900</v>
          </cell>
          <cell r="AO145">
            <v>505089.00000000006</v>
          </cell>
          <cell r="AQ145">
            <v>404076</v>
          </cell>
          <cell r="AU145">
            <v>0</v>
          </cell>
          <cell r="AW145">
            <v>0</v>
          </cell>
          <cell r="AY145">
            <v>312522</v>
          </cell>
          <cell r="AZ145">
            <v>347.24666666666667</v>
          </cell>
          <cell r="BA145">
            <v>0</v>
          </cell>
          <cell r="BB145">
            <v>0</v>
          </cell>
          <cell r="BC145">
            <v>0</v>
          </cell>
          <cell r="BD145">
            <v>0</v>
          </cell>
          <cell r="BG145">
            <v>0</v>
          </cell>
          <cell r="BH145">
            <v>0</v>
          </cell>
          <cell r="BI145">
            <v>16523</v>
          </cell>
          <cell r="BJ145">
            <v>18.358888888888888</v>
          </cell>
          <cell r="BK145">
            <v>0</v>
          </cell>
          <cell r="BL145">
            <v>0</v>
          </cell>
          <cell r="BM145">
            <v>64191</v>
          </cell>
          <cell r="BN145">
            <v>71.323333333333338</v>
          </cell>
          <cell r="BO145">
            <v>0</v>
          </cell>
          <cell r="BP145">
            <v>0</v>
          </cell>
          <cell r="BY145">
            <v>2215</v>
          </cell>
          <cell r="CF145">
            <v>145.88493406465165</v>
          </cell>
          <cell r="CG145">
            <v>2142.25</v>
          </cell>
          <cell r="CJ145">
            <v>0</v>
          </cell>
          <cell r="CK145">
            <v>0</v>
          </cell>
          <cell r="CL145">
            <v>0</v>
          </cell>
          <cell r="CM145">
            <v>0</v>
          </cell>
          <cell r="CN145">
            <v>0</v>
          </cell>
          <cell r="CO145">
            <v>0</v>
          </cell>
          <cell r="CX145">
            <v>0</v>
          </cell>
          <cell r="CY145">
            <v>0</v>
          </cell>
          <cell r="DB145">
            <v>0</v>
          </cell>
          <cell r="DC145">
            <v>0</v>
          </cell>
          <cell r="DJ145" t="str">
            <v>НКРКП</v>
          </cell>
          <cell r="DL145">
            <v>40942</v>
          </cell>
          <cell r="DM145">
            <v>47</v>
          </cell>
          <cell r="DT145">
            <v>822.2</v>
          </cell>
        </row>
        <row r="146">
          <cell r="W146">
            <v>490.54</v>
          </cell>
          <cell r="AF146">
            <v>39841</v>
          </cell>
          <cell r="AG146">
            <v>13</v>
          </cell>
          <cell r="AH146">
            <v>467.17666666666668</v>
          </cell>
          <cell r="AM146">
            <v>300</v>
          </cell>
          <cell r="AO146">
            <v>147162</v>
          </cell>
          <cell r="AQ146">
            <v>140153</v>
          </cell>
          <cell r="AU146">
            <v>0</v>
          </cell>
          <cell r="AW146">
            <v>0</v>
          </cell>
          <cell r="AY146">
            <v>0</v>
          </cell>
          <cell r="AZ146">
            <v>0</v>
          </cell>
          <cell r="BA146">
            <v>65096</v>
          </cell>
          <cell r="BB146">
            <v>216.98666666666668</v>
          </cell>
          <cell r="BC146">
            <v>0</v>
          </cell>
          <cell r="BD146">
            <v>0</v>
          </cell>
          <cell r="BG146">
            <v>0</v>
          </cell>
          <cell r="BH146">
            <v>0</v>
          </cell>
          <cell r="BI146">
            <v>7964</v>
          </cell>
          <cell r="BJ146">
            <v>26.546666666666667</v>
          </cell>
          <cell r="BK146">
            <v>0</v>
          </cell>
          <cell r="BL146">
            <v>0</v>
          </cell>
          <cell r="BM146">
            <v>57682</v>
          </cell>
          <cell r="BN146">
            <v>192.27333333333334</v>
          </cell>
          <cell r="BO146">
            <v>0</v>
          </cell>
          <cell r="BP146">
            <v>0</v>
          </cell>
          <cell r="BY146">
            <v>1959.43</v>
          </cell>
          <cell r="CF146">
            <v>0</v>
          </cell>
          <cell r="CG146">
            <v>0</v>
          </cell>
          <cell r="CJ146">
            <v>0</v>
          </cell>
          <cell r="CK146">
            <v>0</v>
          </cell>
          <cell r="CL146">
            <v>0</v>
          </cell>
          <cell r="CM146">
            <v>0</v>
          </cell>
          <cell r="CN146">
            <v>0</v>
          </cell>
          <cell r="CO146">
            <v>0</v>
          </cell>
          <cell r="CX146">
            <v>0</v>
          </cell>
          <cell r="CY146">
            <v>0</v>
          </cell>
          <cell r="DB146">
            <v>0</v>
          </cell>
          <cell r="DC146">
            <v>0</v>
          </cell>
          <cell r="DJ146" t="str">
            <v>НКРЕ</v>
          </cell>
          <cell r="DL146">
            <v>40526</v>
          </cell>
          <cell r="DM146">
            <v>1705</v>
          </cell>
          <cell r="DO146" t="str">
            <v>тариф на теплову енергію</v>
          </cell>
          <cell r="DT146">
            <v>254.25</v>
          </cell>
        </row>
        <row r="147">
          <cell r="W147">
            <v>537.25</v>
          </cell>
          <cell r="AF147">
            <v>39841</v>
          </cell>
          <cell r="AG147">
            <v>13</v>
          </cell>
          <cell r="AH147">
            <v>467.17750000000001</v>
          </cell>
          <cell r="AM147">
            <v>800</v>
          </cell>
          <cell r="AO147">
            <v>429800</v>
          </cell>
          <cell r="AQ147">
            <v>373742</v>
          </cell>
          <cell r="AU147">
            <v>0</v>
          </cell>
          <cell r="AW147">
            <v>0</v>
          </cell>
          <cell r="AY147">
            <v>0</v>
          </cell>
          <cell r="AZ147">
            <v>0</v>
          </cell>
          <cell r="BA147">
            <v>173589</v>
          </cell>
          <cell r="BB147">
            <v>216.98625000000001</v>
          </cell>
          <cell r="BC147">
            <v>0</v>
          </cell>
          <cell r="BD147">
            <v>0</v>
          </cell>
          <cell r="BG147">
            <v>0</v>
          </cell>
          <cell r="BH147">
            <v>0</v>
          </cell>
          <cell r="BI147">
            <v>21236</v>
          </cell>
          <cell r="BJ147">
            <v>26.545000000000002</v>
          </cell>
          <cell r="BK147">
            <v>0</v>
          </cell>
          <cell r="BL147">
            <v>0</v>
          </cell>
          <cell r="BM147">
            <v>153816</v>
          </cell>
          <cell r="BN147">
            <v>192.27</v>
          </cell>
          <cell r="BO147">
            <v>0</v>
          </cell>
          <cell r="BP147">
            <v>0</v>
          </cell>
          <cell r="BY147">
            <v>1959.43</v>
          </cell>
          <cell r="CF147">
            <v>0</v>
          </cell>
          <cell r="CG147">
            <v>0</v>
          </cell>
          <cell r="CJ147">
            <v>0</v>
          </cell>
          <cell r="CK147">
            <v>0</v>
          </cell>
          <cell r="CL147">
            <v>0</v>
          </cell>
          <cell r="CM147">
            <v>0</v>
          </cell>
          <cell r="CN147">
            <v>0</v>
          </cell>
          <cell r="CO147">
            <v>0</v>
          </cell>
          <cell r="CX147">
            <v>0</v>
          </cell>
          <cell r="CY147">
            <v>0</v>
          </cell>
          <cell r="DB147">
            <v>0</v>
          </cell>
          <cell r="DC147">
            <v>0</v>
          </cell>
          <cell r="DJ147" t="str">
            <v>НКРКП</v>
          </cell>
          <cell r="DL147">
            <v>40942</v>
          </cell>
          <cell r="DM147">
            <v>47</v>
          </cell>
          <cell r="DT147">
            <v>614.66999999999996</v>
          </cell>
        </row>
        <row r="148">
          <cell r="W148">
            <v>227.66</v>
          </cell>
          <cell r="AF148">
            <v>39766</v>
          </cell>
          <cell r="AG148">
            <v>546</v>
          </cell>
          <cell r="AH148">
            <v>217.07932515337424</v>
          </cell>
          <cell r="AM148">
            <v>32600</v>
          </cell>
          <cell r="AO148">
            <v>7421716</v>
          </cell>
          <cell r="AQ148">
            <v>7076786</v>
          </cell>
          <cell r="AU148">
            <v>0</v>
          </cell>
          <cell r="AW148">
            <v>0</v>
          </cell>
          <cell r="AY148">
            <v>3813600.0000000005</v>
          </cell>
          <cell r="AZ148">
            <v>116.98159509202455</v>
          </cell>
          <cell r="BA148">
            <v>0</v>
          </cell>
          <cell r="BB148">
            <v>0</v>
          </cell>
          <cell r="BC148">
            <v>0</v>
          </cell>
          <cell r="BD148">
            <v>0</v>
          </cell>
          <cell r="BG148">
            <v>0</v>
          </cell>
          <cell r="BH148">
            <v>0</v>
          </cell>
          <cell r="BI148">
            <v>424930</v>
          </cell>
          <cell r="BJ148">
            <v>13.034662576687117</v>
          </cell>
          <cell r="BK148">
            <v>0</v>
          </cell>
          <cell r="BL148">
            <v>0</v>
          </cell>
          <cell r="BM148">
            <v>2403056</v>
          </cell>
          <cell r="BN148">
            <v>73.713374233128832</v>
          </cell>
          <cell r="BO148">
            <v>0</v>
          </cell>
          <cell r="BP148">
            <v>0</v>
          </cell>
          <cell r="BY148">
            <v>1972</v>
          </cell>
          <cell r="CF148">
            <v>5243.3591816531925</v>
          </cell>
          <cell r="CG148">
            <v>727.32</v>
          </cell>
          <cell r="CJ148">
            <v>0</v>
          </cell>
          <cell r="CK148">
            <v>0</v>
          </cell>
          <cell r="CL148">
            <v>0</v>
          </cell>
          <cell r="CM148">
            <v>0</v>
          </cell>
          <cell r="CN148">
            <v>0</v>
          </cell>
          <cell r="CO148">
            <v>0</v>
          </cell>
          <cell r="CX148">
            <v>0</v>
          </cell>
          <cell r="CY148">
            <v>0</v>
          </cell>
          <cell r="DB148">
            <v>0</v>
          </cell>
          <cell r="DC148">
            <v>0</v>
          </cell>
          <cell r="DJ148" t="str">
            <v>НКРЕ</v>
          </cell>
          <cell r="DL148">
            <v>40526</v>
          </cell>
          <cell r="DM148">
            <v>1710</v>
          </cell>
          <cell r="DO148" t="str">
            <v>тариф на теплову енергію для населення</v>
          </cell>
          <cell r="DT148">
            <v>250.42</v>
          </cell>
        </row>
        <row r="149">
          <cell r="W149">
            <v>505.44</v>
          </cell>
          <cell r="AF149">
            <v>39860</v>
          </cell>
          <cell r="AG149">
            <v>74</v>
          </cell>
          <cell r="AH149">
            <v>445.95150943396226</v>
          </cell>
          <cell r="AM149">
            <v>10600</v>
          </cell>
          <cell r="AO149">
            <v>5357664</v>
          </cell>
          <cell r="AQ149">
            <v>4727086</v>
          </cell>
          <cell r="AU149">
            <v>0</v>
          </cell>
          <cell r="AW149">
            <v>0</v>
          </cell>
          <cell r="AY149">
            <v>3647600</v>
          </cell>
          <cell r="AZ149">
            <v>344.11320754716979</v>
          </cell>
          <cell r="BA149">
            <v>0</v>
          </cell>
          <cell r="BB149">
            <v>0</v>
          </cell>
          <cell r="BC149">
            <v>0</v>
          </cell>
          <cell r="BD149">
            <v>0</v>
          </cell>
          <cell r="BG149">
            <v>0</v>
          </cell>
          <cell r="BH149">
            <v>0</v>
          </cell>
          <cell r="BI149">
            <v>144337</v>
          </cell>
          <cell r="BJ149">
            <v>13.616698113207548</v>
          </cell>
          <cell r="BK149">
            <v>0</v>
          </cell>
          <cell r="BL149">
            <v>0</v>
          </cell>
          <cell r="BM149">
            <v>801059</v>
          </cell>
          <cell r="BN149">
            <v>75.571603773584911</v>
          </cell>
          <cell r="BO149">
            <v>0</v>
          </cell>
          <cell r="BP149">
            <v>0</v>
          </cell>
          <cell r="BY149">
            <v>1972</v>
          </cell>
          <cell r="CF149">
            <v>1702.6957637997432</v>
          </cell>
          <cell r="CG149">
            <v>2142.25</v>
          </cell>
          <cell r="CJ149">
            <v>0</v>
          </cell>
          <cell r="CK149">
            <v>0</v>
          </cell>
          <cell r="CL149">
            <v>0</v>
          </cell>
          <cell r="CM149">
            <v>0</v>
          </cell>
          <cell r="CN149">
            <v>0</v>
          </cell>
          <cell r="CO149">
            <v>0</v>
          </cell>
          <cell r="CX149">
            <v>0</v>
          </cell>
          <cell r="CY149">
            <v>0</v>
          </cell>
          <cell r="DB149">
            <v>0</v>
          </cell>
          <cell r="DC149">
            <v>0</v>
          </cell>
          <cell r="DJ149" t="str">
            <v>НКРКП</v>
          </cell>
          <cell r="DL149">
            <v>40816</v>
          </cell>
          <cell r="DM149">
            <v>71</v>
          </cell>
          <cell r="DT149">
            <v>765.72</v>
          </cell>
        </row>
        <row r="150">
          <cell r="W150">
            <v>546.11</v>
          </cell>
          <cell r="AF150">
            <v>39860</v>
          </cell>
          <cell r="AG150">
            <v>75</v>
          </cell>
          <cell r="AH150">
            <v>466.33</v>
          </cell>
          <cell r="AM150">
            <v>900</v>
          </cell>
          <cell r="AO150">
            <v>491499</v>
          </cell>
          <cell r="AQ150">
            <v>419697</v>
          </cell>
          <cell r="AU150">
            <v>0</v>
          </cell>
          <cell r="AW150">
            <v>0</v>
          </cell>
          <cell r="AY150">
            <v>319200</v>
          </cell>
          <cell r="AZ150">
            <v>354.66666666666669</v>
          </cell>
          <cell r="BA150">
            <v>0</v>
          </cell>
          <cell r="BB150">
            <v>0</v>
          </cell>
          <cell r="BC150">
            <v>0</v>
          </cell>
          <cell r="BD150">
            <v>0</v>
          </cell>
          <cell r="BG150">
            <v>0</v>
          </cell>
          <cell r="BH150">
            <v>0</v>
          </cell>
          <cell r="BI150">
            <v>12668</v>
          </cell>
          <cell r="BJ150">
            <v>14.075555555555555</v>
          </cell>
          <cell r="BK150">
            <v>0</v>
          </cell>
          <cell r="BL150">
            <v>0</v>
          </cell>
          <cell r="BM150">
            <v>69318</v>
          </cell>
          <cell r="BN150">
            <v>77.02</v>
          </cell>
          <cell r="BO150">
            <v>0</v>
          </cell>
          <cell r="BP150">
            <v>0</v>
          </cell>
          <cell r="BY150">
            <v>1972</v>
          </cell>
          <cell r="CF150">
            <v>149.00221729490022</v>
          </cell>
          <cell r="CG150">
            <v>2142.25</v>
          </cell>
          <cell r="CJ150">
            <v>0</v>
          </cell>
          <cell r="CK150">
            <v>0</v>
          </cell>
          <cell r="CL150">
            <v>0</v>
          </cell>
          <cell r="CM150">
            <v>0</v>
          </cell>
          <cell r="CN150">
            <v>0</v>
          </cell>
          <cell r="CO150">
            <v>0</v>
          </cell>
          <cell r="CX150">
            <v>0</v>
          </cell>
          <cell r="CY150">
            <v>0</v>
          </cell>
          <cell r="DB150">
            <v>0</v>
          </cell>
          <cell r="DC150">
            <v>0</v>
          </cell>
          <cell r="DJ150" t="str">
            <v>НКРКП</v>
          </cell>
          <cell r="DL150">
            <v>40816</v>
          </cell>
          <cell r="DM150">
            <v>71</v>
          </cell>
          <cell r="DT150">
            <v>799.38</v>
          </cell>
        </row>
        <row r="151">
          <cell r="W151">
            <v>214.22</v>
          </cell>
          <cell r="AF151">
            <v>39730</v>
          </cell>
          <cell r="AG151">
            <v>165</v>
          </cell>
          <cell r="AH151">
            <v>206.96725566536887</v>
          </cell>
          <cell r="AM151">
            <v>30051</v>
          </cell>
          <cell r="AO151">
            <v>6437525.2199999997</v>
          </cell>
          <cell r="AQ151">
            <v>6219573</v>
          </cell>
          <cell r="AU151">
            <v>0</v>
          </cell>
          <cell r="AW151">
            <v>0</v>
          </cell>
          <cell r="AY151">
            <v>3676842.6156000001</v>
          </cell>
          <cell r="AZ151">
            <v>122.35341970649895</v>
          </cell>
          <cell r="BA151">
            <v>0</v>
          </cell>
          <cell r="BB151">
            <v>0</v>
          </cell>
          <cell r="BC151">
            <v>0</v>
          </cell>
          <cell r="BD151">
            <v>0</v>
          </cell>
          <cell r="BG151">
            <v>0</v>
          </cell>
          <cell r="BH151">
            <v>0</v>
          </cell>
          <cell r="BI151">
            <v>510721</v>
          </cell>
          <cell r="BJ151">
            <v>16.99514159262587</v>
          </cell>
          <cell r="BK151">
            <v>0</v>
          </cell>
          <cell r="BL151">
            <v>0</v>
          </cell>
          <cell r="BM151">
            <v>1416289</v>
          </cell>
          <cell r="BN151">
            <v>47.129513160959704</v>
          </cell>
          <cell r="BO151">
            <v>0</v>
          </cell>
          <cell r="BP151">
            <v>0</v>
          </cell>
          <cell r="BY151">
            <v>1626.4</v>
          </cell>
          <cell r="CF151">
            <v>5055.33</v>
          </cell>
          <cell r="CG151">
            <v>727.32</v>
          </cell>
          <cell r="CJ151">
            <v>0</v>
          </cell>
          <cell r="CK151">
            <v>0</v>
          </cell>
          <cell r="CL151">
            <v>0</v>
          </cell>
          <cell r="CM151">
            <v>0</v>
          </cell>
          <cell r="CN151">
            <v>0</v>
          </cell>
          <cell r="CO151">
            <v>0</v>
          </cell>
          <cell r="CX151">
            <v>0</v>
          </cell>
          <cell r="CY151">
            <v>0</v>
          </cell>
          <cell r="DB151">
            <v>0</v>
          </cell>
          <cell r="DC151">
            <v>0</v>
          </cell>
          <cell r="DJ151" t="str">
            <v>НКРЕ</v>
          </cell>
          <cell r="DL151">
            <v>40526</v>
          </cell>
          <cell r="DM151">
            <v>1741</v>
          </cell>
          <cell r="DO151" t="str">
            <v>Тариф на теплову енергію</v>
          </cell>
          <cell r="DT151">
            <v>235.63</v>
          </cell>
        </row>
        <row r="152">
          <cell r="W152">
            <v>622.92999999999995</v>
          </cell>
          <cell r="AF152">
            <v>40423</v>
          </cell>
          <cell r="AG152">
            <v>28</v>
          </cell>
          <cell r="AH152">
            <v>541.6841161733048</v>
          </cell>
          <cell r="AM152">
            <v>6805.35</v>
          </cell>
          <cell r="AO152">
            <v>4239256.6754999999</v>
          </cell>
          <cell r="AQ152">
            <v>3686350</v>
          </cell>
          <cell r="AU152">
            <v>0</v>
          </cell>
          <cell r="AW152">
            <v>0</v>
          </cell>
          <cell r="AY152">
            <v>2821986.5589999999</v>
          </cell>
          <cell r="AZ152">
            <v>414.67177426583493</v>
          </cell>
          <cell r="BA152">
            <v>0</v>
          </cell>
          <cell r="BB152">
            <v>0</v>
          </cell>
          <cell r="BC152">
            <v>0</v>
          </cell>
          <cell r="BD152">
            <v>0</v>
          </cell>
          <cell r="BG152">
            <v>0</v>
          </cell>
          <cell r="BH152">
            <v>0</v>
          </cell>
          <cell r="BI152">
            <v>182234</v>
          </cell>
          <cell r="BJ152">
            <v>26.778049622723298</v>
          </cell>
          <cell r="BK152">
            <v>0</v>
          </cell>
          <cell r="BL152">
            <v>0</v>
          </cell>
          <cell r="BM152">
            <v>532808</v>
          </cell>
          <cell r="BN152">
            <v>78.292519855701755</v>
          </cell>
          <cell r="BO152">
            <v>0</v>
          </cell>
          <cell r="BP152">
            <v>0</v>
          </cell>
          <cell r="BY152">
            <v>2620.3000000000002</v>
          </cell>
          <cell r="CF152">
            <v>1144.8499999999999</v>
          </cell>
          <cell r="CG152">
            <v>2464.94</v>
          </cell>
          <cell r="CJ152">
            <v>0</v>
          </cell>
          <cell r="CK152">
            <v>0</v>
          </cell>
          <cell r="CL152">
            <v>0</v>
          </cell>
          <cell r="CM152">
            <v>0</v>
          </cell>
          <cell r="CN152">
            <v>0</v>
          </cell>
          <cell r="CO152">
            <v>0</v>
          </cell>
          <cell r="CX152">
            <v>0</v>
          </cell>
          <cell r="CY152">
            <v>0</v>
          </cell>
          <cell r="DB152">
            <v>0</v>
          </cell>
          <cell r="DC152">
            <v>0</v>
          </cell>
          <cell r="DJ152" t="str">
            <v>НКРКП</v>
          </cell>
          <cell r="DL152">
            <v>40984</v>
          </cell>
          <cell r="DM152">
            <v>133</v>
          </cell>
          <cell r="DT152">
            <v>868.35</v>
          </cell>
        </row>
        <row r="153">
          <cell r="W153">
            <v>622.92999999999995</v>
          </cell>
          <cell r="AF153">
            <v>40423</v>
          </cell>
          <cell r="AG153">
            <v>27</v>
          </cell>
          <cell r="AH153">
            <v>541.67987982975887</v>
          </cell>
          <cell r="AM153">
            <v>2396.6</v>
          </cell>
          <cell r="AO153">
            <v>1492914.0379999997</v>
          </cell>
          <cell r="AQ153">
            <v>1298190</v>
          </cell>
          <cell r="AU153">
            <v>0</v>
          </cell>
          <cell r="AW153">
            <v>0</v>
          </cell>
          <cell r="AY153">
            <v>993789.85980000009</v>
          </cell>
          <cell r="AZ153">
            <v>414.66655253275479</v>
          </cell>
          <cell r="BA153">
            <v>0</v>
          </cell>
          <cell r="BB153">
            <v>0</v>
          </cell>
          <cell r="BC153">
            <v>0</v>
          </cell>
          <cell r="BD153">
            <v>0</v>
          </cell>
          <cell r="BG153">
            <v>0</v>
          </cell>
          <cell r="BH153">
            <v>0</v>
          </cell>
          <cell r="BI153">
            <v>64176</v>
          </cell>
          <cell r="BJ153">
            <v>26.77793540849537</v>
          </cell>
          <cell r="BK153">
            <v>0</v>
          </cell>
          <cell r="BL153">
            <v>0</v>
          </cell>
          <cell r="BM153">
            <v>187634</v>
          </cell>
          <cell r="BN153">
            <v>78.291746641074866</v>
          </cell>
          <cell r="BO153">
            <v>0</v>
          </cell>
          <cell r="BP153">
            <v>0</v>
          </cell>
          <cell r="BY153">
            <v>2620.3000000000002</v>
          </cell>
          <cell r="CF153">
            <v>403.17</v>
          </cell>
          <cell r="CG153">
            <v>2464.94</v>
          </cell>
          <cell r="CJ153">
            <v>0</v>
          </cell>
          <cell r="CK153">
            <v>0</v>
          </cell>
          <cell r="CL153">
            <v>0</v>
          </cell>
          <cell r="CM153">
            <v>0</v>
          </cell>
          <cell r="CN153">
            <v>0</v>
          </cell>
          <cell r="CO153">
            <v>0</v>
          </cell>
          <cell r="CX153">
            <v>0</v>
          </cell>
          <cell r="CY153">
            <v>0</v>
          </cell>
          <cell r="DB153">
            <v>0</v>
          </cell>
          <cell r="DC153">
            <v>0</v>
          </cell>
          <cell r="DJ153" t="str">
            <v>НКРКП</v>
          </cell>
          <cell r="DL153">
            <v>40984</v>
          </cell>
          <cell r="DM153">
            <v>133</v>
          </cell>
          <cell r="DT153">
            <v>868.35</v>
          </cell>
        </row>
        <row r="154">
          <cell r="W154">
            <v>271.39999999999998</v>
          </cell>
          <cell r="AF154">
            <v>40429</v>
          </cell>
          <cell r="AG154">
            <v>120</v>
          </cell>
          <cell r="AH154">
            <v>260.08570619362877</v>
          </cell>
          <cell r="AM154">
            <v>19207.48</v>
          </cell>
          <cell r="AO154">
            <v>5212910.0719999997</v>
          </cell>
          <cell r="AQ154">
            <v>4995591</v>
          </cell>
          <cell r="AU154">
            <v>0</v>
          </cell>
          <cell r="AW154">
            <v>0</v>
          </cell>
          <cell r="AY154">
            <v>3576098.3470000001</v>
          </cell>
          <cell r="AZ154">
            <v>186.18258860610555</v>
          </cell>
          <cell r="BA154">
            <v>0</v>
          </cell>
          <cell r="BB154">
            <v>0</v>
          </cell>
          <cell r="BC154">
            <v>0</v>
          </cell>
          <cell r="BD154">
            <v>0</v>
          </cell>
          <cell r="BG154">
            <v>0</v>
          </cell>
          <cell r="BH154">
            <v>0</v>
          </cell>
          <cell r="BI154">
            <v>586297</v>
          </cell>
          <cell r="BJ154">
            <v>30.524410281827706</v>
          </cell>
          <cell r="BK154">
            <v>0</v>
          </cell>
          <cell r="BL154">
            <v>0</v>
          </cell>
          <cell r="BM154">
            <v>519040</v>
          </cell>
          <cell r="BN154">
            <v>27.022805698613251</v>
          </cell>
          <cell r="BO154">
            <v>0</v>
          </cell>
          <cell r="BP154">
            <v>0</v>
          </cell>
          <cell r="BY154">
            <v>1544.76</v>
          </cell>
          <cell r="CF154">
            <v>3277.817</v>
          </cell>
          <cell r="CG154">
            <v>1091</v>
          </cell>
          <cell r="CJ154">
            <v>0</v>
          </cell>
          <cell r="CK154">
            <v>0</v>
          </cell>
          <cell r="CL154">
            <v>0</v>
          </cell>
          <cell r="CM154">
            <v>0</v>
          </cell>
          <cell r="CN154">
            <v>0</v>
          </cell>
          <cell r="CO154">
            <v>0</v>
          </cell>
          <cell r="CX154">
            <v>0</v>
          </cell>
          <cell r="CY154">
            <v>0</v>
          </cell>
          <cell r="DB154">
            <v>0</v>
          </cell>
          <cell r="DC154">
            <v>0</v>
          </cell>
          <cell r="DJ154" t="str">
            <v>МОС</v>
          </cell>
          <cell r="DL154">
            <v>40448</v>
          </cell>
          <cell r="DM154">
            <v>298</v>
          </cell>
          <cell r="DO154" t="str">
            <v>тариф на послуги по опаленню</v>
          </cell>
          <cell r="DT154">
            <v>271.39999999999998</v>
          </cell>
        </row>
        <row r="155">
          <cell r="W155">
            <v>528.79200000000003</v>
          </cell>
          <cell r="AF155">
            <v>40429</v>
          </cell>
          <cell r="AG155">
            <v>121</v>
          </cell>
          <cell r="AH155">
            <v>480.723458972066</v>
          </cell>
          <cell r="AM155">
            <v>1889.81</v>
          </cell>
          <cell r="AO155">
            <v>999316.40951999999</v>
          </cell>
          <cell r="AQ155">
            <v>908476</v>
          </cell>
          <cell r="AU155">
            <v>0</v>
          </cell>
          <cell r="AW155">
            <v>0</v>
          </cell>
          <cell r="AY155">
            <v>773991.16</v>
          </cell>
          <cell r="AZ155">
            <v>409.56030500420678</v>
          </cell>
          <cell r="BA155">
            <v>0</v>
          </cell>
          <cell r="BB155">
            <v>0</v>
          </cell>
          <cell r="BC155">
            <v>0</v>
          </cell>
          <cell r="BD155">
            <v>0</v>
          </cell>
          <cell r="BG155">
            <v>0</v>
          </cell>
          <cell r="BH155">
            <v>0</v>
          </cell>
          <cell r="BI155">
            <v>57681</v>
          </cell>
          <cell r="BJ155">
            <v>30.522115979913327</v>
          </cell>
          <cell r="BK155">
            <v>0</v>
          </cell>
          <cell r="BL155">
            <v>0</v>
          </cell>
          <cell r="BM155">
            <v>51064</v>
          </cell>
          <cell r="BN155">
            <v>27.02070578523767</v>
          </cell>
          <cell r="BO155">
            <v>0</v>
          </cell>
          <cell r="BP155">
            <v>0</v>
          </cell>
          <cell r="BY155">
            <v>1544.76</v>
          </cell>
          <cell r="CF155">
            <v>314</v>
          </cell>
          <cell r="CG155">
            <v>2464.94</v>
          </cell>
          <cell r="CJ155">
            <v>0</v>
          </cell>
          <cell r="CK155">
            <v>0</v>
          </cell>
          <cell r="CL155">
            <v>0</v>
          </cell>
          <cell r="CM155">
            <v>0</v>
          </cell>
          <cell r="CN155">
            <v>0</v>
          </cell>
          <cell r="CO155">
            <v>0</v>
          </cell>
          <cell r="CX155">
            <v>0</v>
          </cell>
          <cell r="CY155">
            <v>0</v>
          </cell>
          <cell r="DB155">
            <v>0</v>
          </cell>
          <cell r="DC155">
            <v>0</v>
          </cell>
          <cell r="DJ155" t="str">
            <v>НКРКП</v>
          </cell>
          <cell r="DL155">
            <v>40942</v>
          </cell>
          <cell r="DM155">
            <v>49</v>
          </cell>
          <cell r="DT155">
            <v>772.88</v>
          </cell>
        </row>
        <row r="156">
          <cell r="W156">
            <v>537.81700000000001</v>
          </cell>
          <cell r="AF156">
            <v>40429</v>
          </cell>
          <cell r="AG156">
            <v>122</v>
          </cell>
          <cell r="AH156">
            <v>467.6734599330573</v>
          </cell>
          <cell r="AM156">
            <v>15455.01</v>
          </cell>
          <cell r="AO156">
            <v>8311967.1131699998</v>
          </cell>
          <cell r="AQ156">
            <v>7227898</v>
          </cell>
          <cell r="AU156">
            <v>0</v>
          </cell>
          <cell r="AW156">
            <v>0</v>
          </cell>
          <cell r="AY156">
            <v>6130305.7800000003</v>
          </cell>
          <cell r="AZ156">
            <v>396.65492160794463</v>
          </cell>
          <cell r="BA156">
            <v>0</v>
          </cell>
          <cell r="BB156">
            <v>0</v>
          </cell>
          <cell r="BC156">
            <v>0</v>
          </cell>
          <cell r="BD156">
            <v>0</v>
          </cell>
          <cell r="BG156">
            <v>0</v>
          </cell>
          <cell r="BH156">
            <v>0</v>
          </cell>
          <cell r="BI156">
            <v>471715</v>
          </cell>
          <cell r="BJ156">
            <v>30.521817844181271</v>
          </cell>
          <cell r="BK156">
            <v>0</v>
          </cell>
          <cell r="BL156">
            <v>0</v>
          </cell>
          <cell r="BM156">
            <v>425800</v>
          </cell>
          <cell r="BN156">
            <v>27.550936557142311</v>
          </cell>
          <cell r="BO156">
            <v>0</v>
          </cell>
          <cell r="BP156">
            <v>0</v>
          </cell>
          <cell r="BY156">
            <v>1544.76</v>
          </cell>
          <cell r="CF156">
            <v>2487</v>
          </cell>
          <cell r="CG156">
            <v>2464.94</v>
          </cell>
          <cell r="CJ156">
            <v>0</v>
          </cell>
          <cell r="CK156">
            <v>0</v>
          </cell>
          <cell r="CL156">
            <v>0</v>
          </cell>
          <cell r="CM156">
            <v>0</v>
          </cell>
          <cell r="CN156">
            <v>0</v>
          </cell>
          <cell r="CO156">
            <v>0</v>
          </cell>
          <cell r="CX156">
            <v>0</v>
          </cell>
          <cell r="CY156">
            <v>0</v>
          </cell>
          <cell r="DB156">
            <v>0</v>
          </cell>
          <cell r="DC156">
            <v>0</v>
          </cell>
          <cell r="DJ156" t="str">
            <v>НКРКП</v>
          </cell>
          <cell r="DL156">
            <v>40942</v>
          </cell>
          <cell r="DM156">
            <v>49</v>
          </cell>
          <cell r="DT156">
            <v>774.14</v>
          </cell>
        </row>
        <row r="157">
          <cell r="W157">
            <v>286.69</v>
          </cell>
          <cell r="AF157">
            <v>40448</v>
          </cell>
          <cell r="AG157">
            <v>151</v>
          </cell>
          <cell r="AH157">
            <v>270.46018140966964</v>
          </cell>
          <cell r="AM157">
            <v>24034</v>
          </cell>
          <cell r="AO157">
            <v>6890307.46</v>
          </cell>
          <cell r="AQ157">
            <v>6500240</v>
          </cell>
          <cell r="AU157">
            <v>0</v>
          </cell>
          <cell r="AW157">
            <v>0</v>
          </cell>
          <cell r="AY157">
            <v>4064122.9941500002</v>
          </cell>
          <cell r="AZ157">
            <v>169.09890131272365</v>
          </cell>
          <cell r="BA157">
            <v>0</v>
          </cell>
          <cell r="BB157">
            <v>0</v>
          </cell>
          <cell r="BC157">
            <v>0</v>
          </cell>
          <cell r="BD157">
            <v>0</v>
          </cell>
          <cell r="BG157">
            <v>0</v>
          </cell>
          <cell r="BH157">
            <v>0</v>
          </cell>
          <cell r="BI157">
            <v>439950</v>
          </cell>
          <cell r="BJ157">
            <v>18.30531746692186</v>
          </cell>
          <cell r="BK157">
            <v>0</v>
          </cell>
          <cell r="BL157">
            <v>0</v>
          </cell>
          <cell r="BM157">
            <v>1384640</v>
          </cell>
          <cell r="BN157">
            <v>57.611716734625944</v>
          </cell>
          <cell r="BO157">
            <v>0</v>
          </cell>
          <cell r="BP157">
            <v>0</v>
          </cell>
          <cell r="BY157">
            <v>3176.69</v>
          </cell>
          <cell r="CF157">
            <v>3725.1356500000002</v>
          </cell>
          <cell r="CG157">
            <v>1091</v>
          </cell>
          <cell r="CJ157">
            <v>0</v>
          </cell>
          <cell r="CK157">
            <v>0</v>
          </cell>
          <cell r="CL157">
            <v>0</v>
          </cell>
          <cell r="CM157">
            <v>0</v>
          </cell>
          <cell r="CN157">
            <v>0</v>
          </cell>
          <cell r="CO157">
            <v>0</v>
          </cell>
          <cell r="CX157">
            <v>0</v>
          </cell>
          <cell r="CY157">
            <v>0</v>
          </cell>
          <cell r="DB157">
            <v>0</v>
          </cell>
          <cell r="DC157">
            <v>0</v>
          </cell>
          <cell r="DJ157" t="str">
            <v>МОС</v>
          </cell>
          <cell r="DL157">
            <v>40792</v>
          </cell>
          <cell r="DM157">
            <v>295</v>
          </cell>
          <cell r="DO157" t="str">
            <v>тариф за теплову енергію</v>
          </cell>
          <cell r="DT157">
            <v>289.95999999999998</v>
          </cell>
        </row>
        <row r="158">
          <cell r="W158">
            <v>534.21</v>
          </cell>
          <cell r="AF158">
            <v>40448</v>
          </cell>
          <cell r="AG158">
            <v>152</v>
          </cell>
          <cell r="AH158">
            <v>483.38678195516155</v>
          </cell>
          <cell r="AM158">
            <v>27409.5</v>
          </cell>
          <cell r="AO158">
            <v>14642428.995000001</v>
          </cell>
          <cell r="AQ158">
            <v>13249390</v>
          </cell>
          <cell r="AU158">
            <v>0</v>
          </cell>
          <cell r="AW158">
            <v>0</v>
          </cell>
          <cell r="AY158">
            <v>10471476.764980001</v>
          </cell>
          <cell r="AZ158">
            <v>382.03822634415081</v>
          </cell>
          <cell r="BA158">
            <v>0</v>
          </cell>
          <cell r="BB158">
            <v>0</v>
          </cell>
          <cell r="BC158">
            <v>0</v>
          </cell>
          <cell r="BD158">
            <v>0</v>
          </cell>
          <cell r="BG158">
            <v>0</v>
          </cell>
          <cell r="BH158">
            <v>0</v>
          </cell>
          <cell r="BI158">
            <v>501670</v>
          </cell>
          <cell r="BJ158">
            <v>18.302778233824039</v>
          </cell>
          <cell r="BK158">
            <v>0</v>
          </cell>
          <cell r="BL158">
            <v>0</v>
          </cell>
          <cell r="BM158">
            <v>1578970</v>
          </cell>
          <cell r="BN158">
            <v>57.606669220525731</v>
          </cell>
          <cell r="BO158">
            <v>0</v>
          </cell>
          <cell r="BP158">
            <v>0</v>
          </cell>
          <cell r="BY158">
            <v>3176.35</v>
          </cell>
          <cell r="CF158">
            <v>4248.1670000000004</v>
          </cell>
          <cell r="CG158">
            <v>2464.94</v>
          </cell>
          <cell r="CJ158">
            <v>0</v>
          </cell>
          <cell r="CK158">
            <v>0</v>
          </cell>
          <cell r="CL158">
            <v>0</v>
          </cell>
          <cell r="CM158">
            <v>0</v>
          </cell>
          <cell r="CN158">
            <v>0</v>
          </cell>
          <cell r="CO158">
            <v>0</v>
          </cell>
          <cell r="CX158">
            <v>0</v>
          </cell>
          <cell r="CY158">
            <v>0</v>
          </cell>
          <cell r="DB158">
            <v>0</v>
          </cell>
          <cell r="DC158">
            <v>0</v>
          </cell>
          <cell r="DJ158" t="str">
            <v>НКРКП</v>
          </cell>
          <cell r="DL158">
            <v>40836</v>
          </cell>
          <cell r="DM158">
            <v>211</v>
          </cell>
          <cell r="DT158">
            <v>733.68</v>
          </cell>
        </row>
        <row r="159">
          <cell r="W159">
            <v>725.08</v>
          </cell>
          <cell r="AF159">
            <v>40448</v>
          </cell>
          <cell r="AG159">
            <v>150</v>
          </cell>
          <cell r="AH159">
            <v>483.38531513970111</v>
          </cell>
          <cell r="AM159">
            <v>3078</v>
          </cell>
          <cell r="AO159">
            <v>2231796.2400000002</v>
          </cell>
          <cell r="AQ159">
            <v>1487860</v>
          </cell>
          <cell r="AU159">
            <v>0</v>
          </cell>
          <cell r="AW159">
            <v>0</v>
          </cell>
          <cell r="AY159">
            <v>1175874.9776000001</v>
          </cell>
          <cell r="AZ159">
            <v>382.02565873944121</v>
          </cell>
          <cell r="BA159">
            <v>0</v>
          </cell>
          <cell r="BB159">
            <v>0</v>
          </cell>
          <cell r="BC159">
            <v>0</v>
          </cell>
          <cell r="BD159">
            <v>0</v>
          </cell>
          <cell r="BG159">
            <v>0</v>
          </cell>
          <cell r="BH159">
            <v>0</v>
          </cell>
          <cell r="BI159">
            <v>56340</v>
          </cell>
          <cell r="BJ159">
            <v>18.304093567251464</v>
          </cell>
          <cell r="BK159">
            <v>0</v>
          </cell>
          <cell r="BL159">
            <v>0</v>
          </cell>
          <cell r="BM159">
            <v>177370</v>
          </cell>
          <cell r="BN159">
            <v>57.625081221572451</v>
          </cell>
          <cell r="BO159">
            <v>0</v>
          </cell>
          <cell r="BP159">
            <v>0</v>
          </cell>
          <cell r="BY159">
            <v>3177.42</v>
          </cell>
          <cell r="CF159">
            <v>477.04</v>
          </cell>
          <cell r="CG159">
            <v>2464.94</v>
          </cell>
          <cell r="CJ159">
            <v>0</v>
          </cell>
          <cell r="CK159">
            <v>0</v>
          </cell>
          <cell r="CL159">
            <v>0</v>
          </cell>
          <cell r="CM159">
            <v>0</v>
          </cell>
          <cell r="CN159">
            <v>0</v>
          </cell>
          <cell r="CO159">
            <v>0</v>
          </cell>
          <cell r="CX159">
            <v>0</v>
          </cell>
          <cell r="CY159">
            <v>0</v>
          </cell>
          <cell r="DB159">
            <v>0</v>
          </cell>
          <cell r="DC159">
            <v>0</v>
          </cell>
          <cell r="DJ159" t="str">
            <v>МОС</v>
          </cell>
          <cell r="DL159">
            <v>40792</v>
          </cell>
          <cell r="DM159">
            <v>295</v>
          </cell>
          <cell r="DT159">
            <v>947.14</v>
          </cell>
        </row>
        <row r="160">
          <cell r="W160">
            <v>249.52</v>
          </cell>
          <cell r="AF160">
            <v>40099</v>
          </cell>
          <cell r="AG160" t="str">
            <v>№ 66</v>
          </cell>
          <cell r="AH160">
            <v>234.68083283852317</v>
          </cell>
          <cell r="AM160">
            <v>102733</v>
          </cell>
          <cell r="AO160">
            <v>25633938.16</v>
          </cell>
          <cell r="AQ160">
            <v>24109466</v>
          </cell>
          <cell r="AU160">
            <v>0</v>
          </cell>
          <cell r="AW160">
            <v>0</v>
          </cell>
          <cell r="AY160">
            <v>11377274.020200001</v>
          </cell>
          <cell r="AZ160">
            <v>110.74605063806179</v>
          </cell>
          <cell r="BA160">
            <v>176997</v>
          </cell>
          <cell r="BB160">
            <v>1.7228835914457867</v>
          </cell>
          <cell r="BC160">
            <v>0</v>
          </cell>
          <cell r="BD160">
            <v>0</v>
          </cell>
          <cell r="BG160">
            <v>835332.59</v>
          </cell>
          <cell r="BH160">
            <v>8.1311028588671608</v>
          </cell>
          <cell r="BI160">
            <v>1351186.82</v>
          </cell>
          <cell r="BJ160">
            <v>13.152412759288643</v>
          </cell>
          <cell r="BK160">
            <v>0</v>
          </cell>
          <cell r="BL160">
            <v>0</v>
          </cell>
          <cell r="BM160">
            <v>7739241.0300000003</v>
          </cell>
          <cell r="BN160">
            <v>75.333544528048435</v>
          </cell>
          <cell r="BO160">
            <v>0</v>
          </cell>
          <cell r="BP160">
            <v>0</v>
          </cell>
          <cell r="BY160">
            <v>1728</v>
          </cell>
          <cell r="CF160">
            <v>15642.735000000001</v>
          </cell>
          <cell r="CG160">
            <v>727.32</v>
          </cell>
          <cell r="CJ160">
            <v>0</v>
          </cell>
          <cell r="CK160">
            <v>0</v>
          </cell>
          <cell r="CL160">
            <v>0</v>
          </cell>
          <cell r="CM160">
            <v>0</v>
          </cell>
          <cell r="CN160">
            <v>0</v>
          </cell>
          <cell r="CO160">
            <v>0</v>
          </cell>
          <cell r="CX160">
            <v>0</v>
          </cell>
          <cell r="CY160">
            <v>0</v>
          </cell>
          <cell r="DB160">
            <v>0</v>
          </cell>
          <cell r="DC160">
            <v>0</v>
          </cell>
          <cell r="DJ160" t="str">
            <v>НКРЕ</v>
          </cell>
          <cell r="DL160">
            <v>40526</v>
          </cell>
          <cell r="DM160" t="str">
            <v>№ 1850</v>
          </cell>
          <cell r="DO160" t="str">
            <v>тариф на теплову енергію</v>
          </cell>
          <cell r="DT160">
            <v>274.47000000000003</v>
          </cell>
        </row>
        <row r="161">
          <cell r="W161">
            <v>559.82000000000005</v>
          </cell>
          <cell r="AF161">
            <v>40099</v>
          </cell>
          <cell r="AG161" t="str">
            <v>№ 67</v>
          </cell>
          <cell r="AH161">
            <v>487.52505330490408</v>
          </cell>
          <cell r="AM161">
            <v>22512</v>
          </cell>
          <cell r="AO161">
            <v>12602667.840000002</v>
          </cell>
          <cell r="AQ161">
            <v>10975164</v>
          </cell>
          <cell r="AU161">
            <v>0</v>
          </cell>
          <cell r="AW161">
            <v>0</v>
          </cell>
          <cell r="AY161">
            <v>8185062.3063999992</v>
          </cell>
          <cell r="AZ161">
            <v>363.58663407960194</v>
          </cell>
          <cell r="BA161">
            <v>38818</v>
          </cell>
          <cell r="BB161">
            <v>1.7243248045486852</v>
          </cell>
          <cell r="BC161">
            <v>0</v>
          </cell>
          <cell r="BD161">
            <v>0</v>
          </cell>
          <cell r="BG161">
            <v>183047.39</v>
          </cell>
          <cell r="BH161">
            <v>8.131102967306326</v>
          </cell>
          <cell r="BI161">
            <v>296157.43</v>
          </cell>
          <cell r="BJ161">
            <v>13.155536158493248</v>
          </cell>
          <cell r="BK161">
            <v>0</v>
          </cell>
          <cell r="BL161">
            <v>0</v>
          </cell>
          <cell r="BM161">
            <v>1695872</v>
          </cell>
          <cell r="BN161">
            <v>75.331911869225308</v>
          </cell>
          <cell r="BO161">
            <v>0</v>
          </cell>
          <cell r="BP161">
            <v>0</v>
          </cell>
          <cell r="BY161">
            <v>1728</v>
          </cell>
          <cell r="CF161">
            <v>3750.04</v>
          </cell>
          <cell r="CG161">
            <v>2182.66</v>
          </cell>
          <cell r="CJ161">
            <v>0</v>
          </cell>
          <cell r="CK161">
            <v>0</v>
          </cell>
          <cell r="CL161">
            <v>0</v>
          </cell>
          <cell r="CM161">
            <v>0</v>
          </cell>
          <cell r="CN161">
            <v>0</v>
          </cell>
          <cell r="CO161">
            <v>0</v>
          </cell>
          <cell r="CX161">
            <v>0</v>
          </cell>
          <cell r="CY161">
            <v>0</v>
          </cell>
          <cell r="DB161">
            <v>0</v>
          </cell>
          <cell r="DC161">
            <v>0</v>
          </cell>
          <cell r="DJ161" t="str">
            <v>НКРКП</v>
          </cell>
          <cell r="DL161">
            <v>40816</v>
          </cell>
          <cell r="DM161" t="str">
            <v>№ 6</v>
          </cell>
          <cell r="DT161">
            <v>821.23</v>
          </cell>
        </row>
        <row r="162">
          <cell r="W162">
            <v>685.61260000000004</v>
          </cell>
          <cell r="AF162">
            <v>40099</v>
          </cell>
          <cell r="AG162" t="str">
            <v>№ 67</v>
          </cell>
          <cell r="AH162">
            <v>487.52505935109468</v>
          </cell>
          <cell r="AM162">
            <v>7582</v>
          </cell>
          <cell r="AO162">
            <v>5198314.7332000006</v>
          </cell>
          <cell r="AQ162">
            <v>3696415</v>
          </cell>
          <cell r="AU162">
            <v>0</v>
          </cell>
          <cell r="AW162">
            <v>0</v>
          </cell>
          <cell r="AY162">
            <v>2756852.3661999996</v>
          </cell>
          <cell r="AZ162">
            <v>363.60490189923496</v>
          </cell>
          <cell r="BA162">
            <v>13066</v>
          </cell>
          <cell r="BB162">
            <v>1.7232920073859139</v>
          </cell>
          <cell r="BC162">
            <v>0</v>
          </cell>
          <cell r="BD162">
            <v>0</v>
          </cell>
          <cell r="BG162">
            <v>61650.02</v>
          </cell>
          <cell r="BH162">
            <v>8.131102611448167</v>
          </cell>
          <cell r="BI162">
            <v>99707.75</v>
          </cell>
          <cell r="BJ162">
            <v>13.150586916380902</v>
          </cell>
          <cell r="BK162">
            <v>0</v>
          </cell>
          <cell r="BL162">
            <v>0</v>
          </cell>
          <cell r="BM162">
            <v>571175.62</v>
          </cell>
          <cell r="BN162">
            <v>75.333107359535745</v>
          </cell>
          <cell r="BO162">
            <v>0</v>
          </cell>
          <cell r="BP162">
            <v>0</v>
          </cell>
          <cell r="BY162">
            <v>1728</v>
          </cell>
          <cell r="CF162">
            <v>1263.07</v>
          </cell>
          <cell r="CG162">
            <v>2182.66</v>
          </cell>
          <cell r="CJ162">
            <v>0</v>
          </cell>
          <cell r="CK162">
            <v>0</v>
          </cell>
          <cell r="CL162">
            <v>0</v>
          </cell>
          <cell r="CM162">
            <v>0</v>
          </cell>
          <cell r="CN162">
            <v>0</v>
          </cell>
          <cell r="CO162">
            <v>0</v>
          </cell>
          <cell r="CX162">
            <v>0</v>
          </cell>
          <cell r="CY162">
            <v>0</v>
          </cell>
          <cell r="DB162">
            <v>0</v>
          </cell>
          <cell r="DC162">
            <v>0</v>
          </cell>
          <cell r="DJ162" t="str">
            <v>НКРКП</v>
          </cell>
          <cell r="DL162">
            <v>40816</v>
          </cell>
          <cell r="DM162" t="str">
            <v>№ 6</v>
          </cell>
          <cell r="DT162">
            <v>947.03</v>
          </cell>
        </row>
        <row r="163">
          <cell r="W163">
            <v>293.88</v>
          </cell>
          <cell r="AF163">
            <v>40410</v>
          </cell>
          <cell r="AG163">
            <v>103</v>
          </cell>
          <cell r="AH163">
            <v>267.21511532798951</v>
          </cell>
          <cell r="AM163">
            <v>12226</v>
          </cell>
          <cell r="AO163">
            <v>3592976.88</v>
          </cell>
          <cell r="AQ163">
            <v>3266972</v>
          </cell>
          <cell r="AU163">
            <v>0</v>
          </cell>
          <cell r="AW163">
            <v>0</v>
          </cell>
          <cell r="AY163">
            <v>2111259.56</v>
          </cell>
          <cell r="AZ163">
            <v>172.68604285947981</v>
          </cell>
          <cell r="BA163">
            <v>0</v>
          </cell>
          <cell r="BB163">
            <v>0</v>
          </cell>
          <cell r="BC163">
            <v>0</v>
          </cell>
          <cell r="BD163">
            <v>0</v>
          </cell>
          <cell r="BG163">
            <v>0</v>
          </cell>
          <cell r="BH163">
            <v>0</v>
          </cell>
          <cell r="BI163">
            <v>437224</v>
          </cell>
          <cell r="BJ163">
            <v>35.761819074104366</v>
          </cell>
          <cell r="BK163">
            <v>0</v>
          </cell>
          <cell r="BL163">
            <v>0</v>
          </cell>
          <cell r="BM163">
            <v>519300</v>
          </cell>
          <cell r="BN163">
            <v>42.475053165385248</v>
          </cell>
          <cell r="BO163">
            <v>0</v>
          </cell>
          <cell r="BP163">
            <v>0</v>
          </cell>
          <cell r="BY163">
            <v>1134</v>
          </cell>
          <cell r="CF163">
            <v>1935.16</v>
          </cell>
          <cell r="CG163">
            <v>1091</v>
          </cell>
          <cell r="CJ163">
            <v>0</v>
          </cell>
          <cell r="CK163">
            <v>0</v>
          </cell>
          <cell r="CL163">
            <v>0</v>
          </cell>
          <cell r="CM163">
            <v>0</v>
          </cell>
          <cell r="CN163">
            <v>0</v>
          </cell>
          <cell r="CO163">
            <v>0</v>
          </cell>
          <cell r="CX163">
            <v>0</v>
          </cell>
          <cell r="CY163">
            <v>0</v>
          </cell>
          <cell r="DB163">
            <v>0</v>
          </cell>
          <cell r="DC163">
            <v>0</v>
          </cell>
          <cell r="DJ163" t="str">
            <v>МОС</v>
          </cell>
          <cell r="DL163">
            <v>40448</v>
          </cell>
          <cell r="DM163">
            <v>298</v>
          </cell>
          <cell r="DO163" t="str">
            <v>тариф на послуги по опаленню</v>
          </cell>
          <cell r="DT163">
            <v>293.88</v>
          </cell>
        </row>
        <row r="164">
          <cell r="W164">
            <v>527.66</v>
          </cell>
          <cell r="AF164">
            <v>40410</v>
          </cell>
          <cell r="AG164">
            <v>102</v>
          </cell>
          <cell r="AH164">
            <v>479.59579789894946</v>
          </cell>
          <cell r="AM164">
            <v>1999</v>
          </cell>
          <cell r="AO164">
            <v>1054792.3399999999</v>
          </cell>
          <cell r="AQ164">
            <v>958712</v>
          </cell>
          <cell r="AU164">
            <v>0</v>
          </cell>
          <cell r="AW164">
            <v>0</v>
          </cell>
          <cell r="AY164">
            <v>779414.00335060002</v>
          </cell>
          <cell r="AZ164">
            <v>389.90195265162583</v>
          </cell>
          <cell r="BA164">
            <v>0</v>
          </cell>
          <cell r="BB164">
            <v>0</v>
          </cell>
          <cell r="BC164">
            <v>0</v>
          </cell>
          <cell r="BD164">
            <v>0</v>
          </cell>
          <cell r="BG164">
            <v>0</v>
          </cell>
          <cell r="BH164">
            <v>0</v>
          </cell>
          <cell r="BI164">
            <v>71463</v>
          </cell>
          <cell r="BJ164">
            <v>35.749374687343675</v>
          </cell>
          <cell r="BK164">
            <v>0</v>
          </cell>
          <cell r="BL164">
            <v>0</v>
          </cell>
          <cell r="BM164">
            <v>84878</v>
          </cell>
          <cell r="BN164">
            <v>42.460230115057527</v>
          </cell>
          <cell r="BO164">
            <v>0</v>
          </cell>
          <cell r="BP164">
            <v>0</v>
          </cell>
          <cell r="BY164">
            <v>1134</v>
          </cell>
          <cell r="CF164">
            <v>316.19999000000001</v>
          </cell>
          <cell r="CG164">
            <v>2464.94</v>
          </cell>
          <cell r="CJ164">
            <v>0</v>
          </cell>
          <cell r="CK164">
            <v>0</v>
          </cell>
          <cell r="CL164">
            <v>0</v>
          </cell>
          <cell r="CM164">
            <v>0</v>
          </cell>
          <cell r="CN164">
            <v>0</v>
          </cell>
          <cell r="CO164">
            <v>0</v>
          </cell>
          <cell r="CX164">
            <v>0</v>
          </cell>
          <cell r="CY164">
            <v>0</v>
          </cell>
          <cell r="DB164">
            <v>0</v>
          </cell>
          <cell r="DC164">
            <v>0</v>
          </cell>
          <cell r="DJ164" t="str">
            <v>НКРКП</v>
          </cell>
          <cell r="DL164">
            <v>40844</v>
          </cell>
          <cell r="DM164">
            <v>231</v>
          </cell>
          <cell r="DT164">
            <v>704.38</v>
          </cell>
        </row>
        <row r="165">
          <cell r="W165">
            <v>551.64</v>
          </cell>
          <cell r="AF165">
            <v>40410</v>
          </cell>
          <cell r="AG165">
            <v>101</v>
          </cell>
          <cell r="AH165">
            <v>479.68112881551161</v>
          </cell>
          <cell r="AM165">
            <v>5209</v>
          </cell>
          <cell r="AO165">
            <v>2873492.76</v>
          </cell>
          <cell r="AQ165">
            <v>2498659</v>
          </cell>
          <cell r="AU165">
            <v>0</v>
          </cell>
          <cell r="AW165">
            <v>0</v>
          </cell>
          <cell r="AY165">
            <v>2031430.9997350601</v>
          </cell>
          <cell r="AZ165">
            <v>389.98483389039359</v>
          </cell>
          <cell r="BA165">
            <v>0</v>
          </cell>
          <cell r="BB165">
            <v>0</v>
          </cell>
          <cell r="BC165">
            <v>0</v>
          </cell>
          <cell r="BD165">
            <v>0</v>
          </cell>
          <cell r="BG165">
            <v>0</v>
          </cell>
          <cell r="BH165">
            <v>0</v>
          </cell>
          <cell r="BI165">
            <v>186253</v>
          </cell>
          <cell r="BJ165">
            <v>35.75599923209829</v>
          </cell>
          <cell r="BK165">
            <v>0</v>
          </cell>
          <cell r="BL165">
            <v>0</v>
          </cell>
          <cell r="BM165">
            <v>221216</v>
          </cell>
          <cell r="BN165">
            <v>42.468036091380306</v>
          </cell>
          <cell r="BO165">
            <v>0</v>
          </cell>
          <cell r="BP165">
            <v>0</v>
          </cell>
          <cell r="BY165">
            <v>1134</v>
          </cell>
          <cell r="CF165">
            <v>824.129999</v>
          </cell>
          <cell r="CG165">
            <v>2464.94</v>
          </cell>
          <cell r="CJ165">
            <v>0</v>
          </cell>
          <cell r="CK165">
            <v>0</v>
          </cell>
          <cell r="CL165">
            <v>0</v>
          </cell>
          <cell r="CM165">
            <v>0</v>
          </cell>
          <cell r="CN165">
            <v>0</v>
          </cell>
          <cell r="CO165">
            <v>0</v>
          </cell>
          <cell r="CX165">
            <v>0</v>
          </cell>
          <cell r="CY165">
            <v>0</v>
          </cell>
          <cell r="DB165">
            <v>0</v>
          </cell>
          <cell r="DC165">
            <v>0</v>
          </cell>
          <cell r="DJ165" t="str">
            <v>НКРКП</v>
          </cell>
          <cell r="DL165">
            <v>40844</v>
          </cell>
          <cell r="DM165">
            <v>231</v>
          </cell>
          <cell r="DT165">
            <v>721.31</v>
          </cell>
        </row>
        <row r="166">
          <cell r="W166">
            <v>201.61</v>
          </cell>
          <cell r="AF166">
            <v>39783</v>
          </cell>
          <cell r="AG166">
            <v>160</v>
          </cell>
          <cell r="AH166">
            <v>192.00811969024886</v>
          </cell>
          <cell r="AM166">
            <v>26602</v>
          </cell>
          <cell r="AO166">
            <v>5363229.2200000007</v>
          </cell>
          <cell r="AQ166">
            <v>5107800</v>
          </cell>
          <cell r="AU166">
            <v>0</v>
          </cell>
          <cell r="AW166">
            <v>0</v>
          </cell>
          <cell r="AY166">
            <v>2863021.9970616</v>
          </cell>
          <cell r="AZ166">
            <v>107.62431385089843</v>
          </cell>
          <cell r="BA166">
            <v>0</v>
          </cell>
          <cell r="BB166">
            <v>0</v>
          </cell>
          <cell r="BC166">
            <v>0</v>
          </cell>
          <cell r="BD166">
            <v>0</v>
          </cell>
          <cell r="BG166">
            <v>0</v>
          </cell>
          <cell r="BH166">
            <v>0</v>
          </cell>
          <cell r="BI166">
            <v>394400</v>
          </cell>
          <cell r="BJ166">
            <v>14.825952935869484</v>
          </cell>
          <cell r="BK166">
            <v>0</v>
          </cell>
          <cell r="BL166">
            <v>0</v>
          </cell>
          <cell r="BM166">
            <v>1461470</v>
          </cell>
          <cell r="BN166">
            <v>54.938350499962411</v>
          </cell>
          <cell r="BO166">
            <v>0</v>
          </cell>
          <cell r="BP166">
            <v>0</v>
          </cell>
          <cell r="BY166">
            <v>1376.33</v>
          </cell>
          <cell r="CF166">
            <v>3936.3993799999998</v>
          </cell>
          <cell r="CG166">
            <v>727.32</v>
          </cell>
          <cell r="CJ166">
            <v>0</v>
          </cell>
          <cell r="CK166">
            <v>0</v>
          </cell>
          <cell r="CL166">
            <v>0</v>
          </cell>
          <cell r="CM166">
            <v>0</v>
          </cell>
          <cell r="CN166">
            <v>0</v>
          </cell>
          <cell r="CO166">
            <v>0</v>
          </cell>
          <cell r="CX166">
            <v>0</v>
          </cell>
          <cell r="CY166">
            <v>0</v>
          </cell>
          <cell r="DB166">
            <v>0</v>
          </cell>
          <cell r="DC166">
            <v>0</v>
          </cell>
          <cell r="DJ166" t="str">
            <v>НКРЕ</v>
          </cell>
          <cell r="DL166">
            <v>40526</v>
          </cell>
          <cell r="DM166">
            <v>1702</v>
          </cell>
          <cell r="DO166" t="str">
            <v xml:space="preserve">тариф на теплову енергію </v>
          </cell>
          <cell r="DT166">
            <v>221.77</v>
          </cell>
        </row>
        <row r="167">
          <cell r="W167">
            <v>436.23</v>
          </cell>
          <cell r="AF167">
            <v>39850</v>
          </cell>
          <cell r="AG167">
            <v>33</v>
          </cell>
          <cell r="AH167">
            <v>407.69208224036112</v>
          </cell>
          <cell r="AM167">
            <v>27295.599999999999</v>
          </cell>
          <cell r="AO167">
            <v>11907159.588</v>
          </cell>
          <cell r="AQ167">
            <v>11128200</v>
          </cell>
          <cell r="AU167">
            <v>0</v>
          </cell>
          <cell r="AW167">
            <v>0</v>
          </cell>
          <cell r="AY167">
            <v>8652699.8497499991</v>
          </cell>
          <cell r="AZ167">
            <v>316.9998039885549</v>
          </cell>
          <cell r="BA167">
            <v>0</v>
          </cell>
          <cell r="BB167">
            <v>0</v>
          </cell>
          <cell r="BC167">
            <v>0</v>
          </cell>
          <cell r="BD167">
            <v>0</v>
          </cell>
          <cell r="BG167">
            <v>0</v>
          </cell>
          <cell r="BH167">
            <v>0</v>
          </cell>
          <cell r="BI167">
            <v>0</v>
          </cell>
          <cell r="BJ167">
            <v>0</v>
          </cell>
          <cell r="BK167">
            <v>0</v>
          </cell>
          <cell r="BL167">
            <v>0</v>
          </cell>
          <cell r="BM167">
            <v>0</v>
          </cell>
          <cell r="BN167">
            <v>0</v>
          </cell>
          <cell r="BO167">
            <v>0</v>
          </cell>
          <cell r="BP167">
            <v>0</v>
          </cell>
          <cell r="BY167">
            <v>0</v>
          </cell>
          <cell r="CF167">
            <v>4039.0709999999999</v>
          </cell>
          <cell r="CG167">
            <v>2142.25</v>
          </cell>
          <cell r="CJ167">
            <v>0</v>
          </cell>
          <cell r="CK167">
            <v>0</v>
          </cell>
          <cell r="CL167">
            <v>0</v>
          </cell>
          <cell r="CM167">
            <v>0</v>
          </cell>
          <cell r="CN167">
            <v>0</v>
          </cell>
          <cell r="CO167">
            <v>0</v>
          </cell>
          <cell r="CX167">
            <v>0</v>
          </cell>
          <cell r="CY167">
            <v>0</v>
          </cell>
          <cell r="DB167">
            <v>0</v>
          </cell>
          <cell r="DC167">
            <v>0</v>
          </cell>
          <cell r="DJ167" t="str">
            <v>НКРКП</v>
          </cell>
          <cell r="DL167">
            <v>40816</v>
          </cell>
          <cell r="DM167">
            <v>91</v>
          </cell>
          <cell r="DT167">
            <v>674.42</v>
          </cell>
        </row>
        <row r="168">
          <cell r="W168">
            <v>517.16999999999996</v>
          </cell>
          <cell r="AF168">
            <v>40266</v>
          </cell>
          <cell r="AG168">
            <v>27</v>
          </cell>
          <cell r="AH168">
            <v>413.7386034466648</v>
          </cell>
          <cell r="AM168">
            <v>7491.3</v>
          </cell>
          <cell r="AO168">
            <v>3874275.6209999998</v>
          </cell>
          <cell r="AQ168">
            <v>3099440</v>
          </cell>
          <cell r="AU168">
            <v>0</v>
          </cell>
          <cell r="AW168">
            <v>0</v>
          </cell>
          <cell r="AY168">
            <v>2418099.8296000003</v>
          </cell>
          <cell r="AZ168">
            <v>322.78774439683372</v>
          </cell>
          <cell r="BA168">
            <v>0</v>
          </cell>
          <cell r="BB168">
            <v>0</v>
          </cell>
          <cell r="BC168">
            <v>0</v>
          </cell>
          <cell r="BD168">
            <v>0</v>
          </cell>
          <cell r="BG168">
            <v>0</v>
          </cell>
          <cell r="BH168">
            <v>0</v>
          </cell>
          <cell r="BI168">
            <v>0</v>
          </cell>
          <cell r="BJ168">
            <v>0</v>
          </cell>
          <cell r="BK168">
            <v>0</v>
          </cell>
          <cell r="BL168">
            <v>0</v>
          </cell>
          <cell r="BM168">
            <v>0</v>
          </cell>
          <cell r="BN168">
            <v>0</v>
          </cell>
          <cell r="BO168">
            <v>0</v>
          </cell>
          <cell r="BP168">
            <v>0</v>
          </cell>
          <cell r="BY168">
            <v>0</v>
          </cell>
          <cell r="CF168">
            <v>1108.432</v>
          </cell>
          <cell r="CG168">
            <v>2181.5500000000002</v>
          </cell>
          <cell r="CJ168">
            <v>0</v>
          </cell>
          <cell r="CK168">
            <v>0</v>
          </cell>
          <cell r="CL168">
            <v>0</v>
          </cell>
          <cell r="CM168">
            <v>0</v>
          </cell>
          <cell r="CN168">
            <v>0</v>
          </cell>
          <cell r="CO168">
            <v>0</v>
          </cell>
          <cell r="CX168">
            <v>0</v>
          </cell>
          <cell r="CY168">
            <v>0</v>
          </cell>
          <cell r="DB168">
            <v>0</v>
          </cell>
          <cell r="DC168">
            <v>0</v>
          </cell>
          <cell r="DJ168" t="str">
            <v>НКРКП</v>
          </cell>
          <cell r="DL168">
            <v>40816</v>
          </cell>
          <cell r="DM168">
            <v>91</v>
          </cell>
          <cell r="DT168">
            <v>749.65</v>
          </cell>
        </row>
        <row r="169">
          <cell r="W169">
            <v>209.23</v>
          </cell>
          <cell r="AF169">
            <v>39884</v>
          </cell>
          <cell r="AG169">
            <v>639</v>
          </cell>
          <cell r="AH169">
            <v>192.39527328138925</v>
          </cell>
          <cell r="AM169">
            <v>139124</v>
          </cell>
          <cell r="AO169">
            <v>29108914.52</v>
          </cell>
          <cell r="AQ169">
            <v>26766800</v>
          </cell>
          <cell r="AU169">
            <v>0</v>
          </cell>
          <cell r="AW169">
            <v>0</v>
          </cell>
          <cell r="AY169">
            <v>16752800.133960001</v>
          </cell>
          <cell r="AZ169">
            <v>120.41632021764758</v>
          </cell>
          <cell r="BA169">
            <v>0</v>
          </cell>
          <cell r="BB169">
            <v>0</v>
          </cell>
          <cell r="BC169">
            <v>0</v>
          </cell>
          <cell r="BD169">
            <v>0</v>
          </cell>
          <cell r="BG169">
            <v>0</v>
          </cell>
          <cell r="BH169">
            <v>0</v>
          </cell>
          <cell r="BI169">
            <v>2448200</v>
          </cell>
          <cell r="BJ169">
            <v>17.597251372875995</v>
          </cell>
          <cell r="BK169">
            <v>0</v>
          </cell>
          <cell r="BL169">
            <v>0</v>
          </cell>
          <cell r="BM169">
            <v>4784400</v>
          </cell>
          <cell r="BN169">
            <v>34.389465512779964</v>
          </cell>
          <cell r="BO169">
            <v>0</v>
          </cell>
          <cell r="BP169">
            <v>0</v>
          </cell>
          <cell r="BY169">
            <v>2026.56</v>
          </cell>
          <cell r="CF169">
            <v>23033.602999999999</v>
          </cell>
          <cell r="CG169">
            <v>727.32</v>
          </cell>
          <cell r="CJ169">
            <v>0</v>
          </cell>
          <cell r="CK169">
            <v>0</v>
          </cell>
          <cell r="CL169">
            <v>0</v>
          </cell>
          <cell r="CM169">
            <v>0</v>
          </cell>
          <cell r="CN169">
            <v>0</v>
          </cell>
          <cell r="CO169">
            <v>0</v>
          </cell>
          <cell r="CX169">
            <v>0</v>
          </cell>
          <cell r="CY169">
            <v>0</v>
          </cell>
          <cell r="DB169">
            <v>0</v>
          </cell>
          <cell r="DC169">
            <v>0</v>
          </cell>
          <cell r="DJ169" t="str">
            <v>НКРЕ</v>
          </cell>
          <cell r="DL169">
            <v>40526</v>
          </cell>
          <cell r="DM169">
            <v>1808</v>
          </cell>
          <cell r="DO169" t="str">
            <v>тариф на теплову енергію</v>
          </cell>
          <cell r="DT169">
            <v>230.15</v>
          </cell>
        </row>
        <row r="170">
          <cell r="W170">
            <v>489.6</v>
          </cell>
          <cell r="AF170" t="str">
            <v xml:space="preserve">висновок ДЦІ  не встановлювався, витрати прийняти за даними підприємства  </v>
          </cell>
          <cell r="AG170">
            <v>0</v>
          </cell>
          <cell r="AH170">
            <v>426.66283854914349</v>
          </cell>
          <cell r="AM170">
            <v>10449</v>
          </cell>
          <cell r="AO170">
            <v>5115830.4000000004</v>
          </cell>
          <cell r="AQ170">
            <v>4458200</v>
          </cell>
          <cell r="AU170">
            <v>0</v>
          </cell>
          <cell r="AW170">
            <v>0</v>
          </cell>
          <cell r="AY170">
            <v>3706092.5</v>
          </cell>
          <cell r="AZ170">
            <v>354.68394104699013</v>
          </cell>
          <cell r="BA170">
            <v>0</v>
          </cell>
          <cell r="BB170">
            <v>0</v>
          </cell>
          <cell r="BC170">
            <v>0</v>
          </cell>
          <cell r="BD170">
            <v>0</v>
          </cell>
          <cell r="BG170">
            <v>0</v>
          </cell>
          <cell r="BH170">
            <v>0</v>
          </cell>
          <cell r="BI170">
            <v>0</v>
          </cell>
          <cell r="BJ170">
            <v>0</v>
          </cell>
          <cell r="BK170">
            <v>0</v>
          </cell>
          <cell r="BL170">
            <v>0</v>
          </cell>
          <cell r="BM170">
            <v>0</v>
          </cell>
          <cell r="BN170">
            <v>0</v>
          </cell>
          <cell r="BO170">
            <v>0</v>
          </cell>
          <cell r="BP170">
            <v>0</v>
          </cell>
          <cell r="BY170">
            <v>0</v>
          </cell>
          <cell r="CF170">
            <v>1730</v>
          </cell>
          <cell r="CG170">
            <v>2142.25</v>
          </cell>
          <cell r="CJ170">
            <v>0</v>
          </cell>
          <cell r="CK170">
            <v>0</v>
          </cell>
          <cell r="CL170">
            <v>0</v>
          </cell>
          <cell r="CM170">
            <v>0</v>
          </cell>
          <cell r="CN170">
            <v>0</v>
          </cell>
          <cell r="CO170">
            <v>0</v>
          </cell>
          <cell r="CX170">
            <v>0</v>
          </cell>
          <cell r="CY170">
            <v>0</v>
          </cell>
          <cell r="DB170">
            <v>0</v>
          </cell>
          <cell r="DC170">
            <v>0</v>
          </cell>
          <cell r="DJ170" t="str">
            <v>НКРКП</v>
          </cell>
          <cell r="DL170">
            <v>40816</v>
          </cell>
          <cell r="DM170" t="str">
            <v>№ 40</v>
          </cell>
          <cell r="DT170">
            <v>756.11</v>
          </cell>
        </row>
        <row r="171">
          <cell r="W171">
            <v>580.11</v>
          </cell>
          <cell r="AF171" t="str">
            <v>висновок ДЦІ не встановлювався, витрати прийняти за даними підприємства</v>
          </cell>
          <cell r="AG171">
            <v>0</v>
          </cell>
          <cell r="AH171">
            <v>429.974234182651</v>
          </cell>
          <cell r="AM171">
            <v>10479</v>
          </cell>
          <cell r="AO171">
            <v>6078972.6900000004</v>
          </cell>
          <cell r="AQ171">
            <v>4505700</v>
          </cell>
          <cell r="AU171">
            <v>0</v>
          </cell>
          <cell r="AW171">
            <v>0</v>
          </cell>
          <cell r="AY171">
            <v>3751401.0875000004</v>
          </cell>
          <cell r="AZ171">
            <v>357.99227860482875</v>
          </cell>
          <cell r="BA171">
            <v>0</v>
          </cell>
          <cell r="BB171">
            <v>0</v>
          </cell>
          <cell r="BC171">
            <v>0</v>
          </cell>
          <cell r="BD171">
            <v>0</v>
          </cell>
          <cell r="BG171">
            <v>0</v>
          </cell>
          <cell r="BH171">
            <v>0</v>
          </cell>
          <cell r="BI171">
            <v>0</v>
          </cell>
          <cell r="BJ171">
            <v>0</v>
          </cell>
          <cell r="BK171">
            <v>0</v>
          </cell>
          <cell r="BL171">
            <v>0</v>
          </cell>
          <cell r="BM171">
            <v>0</v>
          </cell>
          <cell r="BN171">
            <v>0</v>
          </cell>
          <cell r="BO171">
            <v>0</v>
          </cell>
          <cell r="BP171">
            <v>0</v>
          </cell>
          <cell r="BY171">
            <v>0</v>
          </cell>
          <cell r="CF171">
            <v>1751.15</v>
          </cell>
          <cell r="CG171">
            <v>2142.25</v>
          </cell>
          <cell r="CJ171">
            <v>0</v>
          </cell>
          <cell r="CK171">
            <v>0</v>
          </cell>
          <cell r="CL171">
            <v>0</v>
          </cell>
          <cell r="CM171">
            <v>0</v>
          </cell>
          <cell r="CN171">
            <v>0</v>
          </cell>
          <cell r="CO171">
            <v>0</v>
          </cell>
          <cell r="CX171">
            <v>0</v>
          </cell>
          <cell r="CY171">
            <v>0</v>
          </cell>
          <cell r="DB171">
            <v>0</v>
          </cell>
          <cell r="DC171">
            <v>0</v>
          </cell>
          <cell r="DJ171" t="str">
            <v>НКРКП</v>
          </cell>
          <cell r="DL171">
            <v>40816</v>
          </cell>
          <cell r="DM171" t="str">
            <v>№ 40</v>
          </cell>
          <cell r="DT171">
            <v>846.62</v>
          </cell>
        </row>
        <row r="172">
          <cell r="W172">
            <v>200.74</v>
          </cell>
          <cell r="AF172">
            <v>39778</v>
          </cell>
          <cell r="AG172">
            <v>434</v>
          </cell>
          <cell r="AH172">
            <v>200.38444190803875</v>
          </cell>
          <cell r="AM172">
            <v>90679.5</v>
          </cell>
          <cell r="AO172">
            <v>18203002.830000002</v>
          </cell>
          <cell r="AQ172">
            <v>18170761</v>
          </cell>
          <cell r="AU172">
            <v>0</v>
          </cell>
          <cell r="AW172">
            <v>0</v>
          </cell>
          <cell r="AY172">
            <v>10420977.974088</v>
          </cell>
          <cell r="AZ172">
            <v>114.92099067692257</v>
          </cell>
          <cell r="BA172">
            <v>0</v>
          </cell>
          <cell r="BB172">
            <v>0</v>
          </cell>
          <cell r="BC172">
            <v>0</v>
          </cell>
          <cell r="BD172">
            <v>0</v>
          </cell>
          <cell r="BG172">
            <v>0</v>
          </cell>
          <cell r="BH172">
            <v>0</v>
          </cell>
          <cell r="BI172">
            <v>2146280</v>
          </cell>
          <cell r="BJ172">
            <v>23.668855695057868</v>
          </cell>
          <cell r="BK172">
            <v>0</v>
          </cell>
          <cell r="BL172">
            <v>0</v>
          </cell>
          <cell r="BM172">
            <v>3930177</v>
          </cell>
          <cell r="BN172">
            <v>43.341405720146227</v>
          </cell>
          <cell r="BO172">
            <v>0</v>
          </cell>
          <cell r="BP172">
            <v>0</v>
          </cell>
          <cell r="BY172">
            <v>2441.14</v>
          </cell>
          <cell r="CF172">
            <v>14327.913399999999</v>
          </cell>
          <cell r="CG172">
            <v>727.32</v>
          </cell>
          <cell r="CJ172">
            <v>0</v>
          </cell>
          <cell r="CK172">
            <v>0</v>
          </cell>
          <cell r="CL172">
            <v>0</v>
          </cell>
          <cell r="CM172">
            <v>0</v>
          </cell>
          <cell r="CN172">
            <v>0</v>
          </cell>
          <cell r="CO172">
            <v>0</v>
          </cell>
          <cell r="CX172">
            <v>0</v>
          </cell>
          <cell r="CY172">
            <v>0</v>
          </cell>
          <cell r="DB172">
            <v>0</v>
          </cell>
          <cell r="DC172">
            <v>0</v>
          </cell>
          <cell r="DJ172" t="str">
            <v>НКРЕ</v>
          </cell>
          <cell r="DL172">
            <v>40526</v>
          </cell>
          <cell r="DM172" t="str">
            <v>№ 1704</v>
          </cell>
          <cell r="DO172" t="str">
            <v>тариф на теплову енергію</v>
          </cell>
          <cell r="DT172">
            <v>220.81</v>
          </cell>
        </row>
        <row r="173">
          <cell r="W173">
            <v>495.27</v>
          </cell>
          <cell r="AF173">
            <v>39850</v>
          </cell>
          <cell r="AG173">
            <v>531</v>
          </cell>
          <cell r="AH173">
            <v>430.66872727272727</v>
          </cell>
          <cell r="AM173">
            <v>5500</v>
          </cell>
          <cell r="AO173">
            <v>2723985</v>
          </cell>
          <cell r="AQ173">
            <v>2368678</v>
          </cell>
          <cell r="AU173">
            <v>0</v>
          </cell>
          <cell r="AW173">
            <v>0</v>
          </cell>
          <cell r="AY173">
            <v>1893487.9982534999</v>
          </cell>
          <cell r="AZ173">
            <v>344.270545137</v>
          </cell>
          <cell r="BA173">
            <v>0</v>
          </cell>
          <cell r="BB173">
            <v>0</v>
          </cell>
          <cell r="BC173">
            <v>0</v>
          </cell>
          <cell r="BD173">
            <v>0</v>
          </cell>
          <cell r="BG173">
            <v>0</v>
          </cell>
          <cell r="BH173">
            <v>0</v>
          </cell>
          <cell r="BI173">
            <v>135320</v>
          </cell>
          <cell r="BJ173">
            <v>24.603636363636365</v>
          </cell>
          <cell r="BK173">
            <v>0</v>
          </cell>
          <cell r="BL173">
            <v>0</v>
          </cell>
          <cell r="BM173">
            <v>238378</v>
          </cell>
          <cell r="BN173">
            <v>43.341454545454546</v>
          </cell>
          <cell r="BO173">
            <v>0</v>
          </cell>
          <cell r="BP173">
            <v>0</v>
          </cell>
          <cell r="BY173">
            <v>2441.14</v>
          </cell>
          <cell r="CF173">
            <v>869.03090999999995</v>
          </cell>
          <cell r="CG173">
            <v>2178.85</v>
          </cell>
          <cell r="CJ173">
            <v>0</v>
          </cell>
          <cell r="CK173">
            <v>0</v>
          </cell>
          <cell r="CL173">
            <v>0</v>
          </cell>
          <cell r="CM173">
            <v>0</v>
          </cell>
          <cell r="CN173">
            <v>0</v>
          </cell>
          <cell r="CO173">
            <v>0</v>
          </cell>
          <cell r="CX173">
            <v>0</v>
          </cell>
          <cell r="CY173">
            <v>0</v>
          </cell>
          <cell r="DB173">
            <v>0</v>
          </cell>
          <cell r="DC173">
            <v>0</v>
          </cell>
          <cell r="DJ173" t="str">
            <v>НКРКП</v>
          </cell>
          <cell r="DL173">
            <v>40816</v>
          </cell>
          <cell r="DM173">
            <v>80</v>
          </cell>
          <cell r="DT173">
            <v>743.83</v>
          </cell>
        </row>
        <row r="174">
          <cell r="W174">
            <v>581.41</v>
          </cell>
          <cell r="AF174">
            <v>39850</v>
          </cell>
          <cell r="AG174">
            <v>530</v>
          </cell>
          <cell r="AH174">
            <v>430.66728018553624</v>
          </cell>
          <cell r="AM174">
            <v>6963.6</v>
          </cell>
          <cell r="AO174">
            <v>4048706.676</v>
          </cell>
          <cell r="AQ174">
            <v>2998994.6723000002</v>
          </cell>
          <cell r="AU174">
            <v>0</v>
          </cell>
          <cell r="AW174">
            <v>0</v>
          </cell>
          <cell r="AY174">
            <v>2397366.9999981397</v>
          </cell>
          <cell r="AZ174">
            <v>344.27121029325917</v>
          </cell>
          <cell r="BA174">
            <v>0</v>
          </cell>
          <cell r="BB174">
            <v>0</v>
          </cell>
          <cell r="BC174">
            <v>0</v>
          </cell>
          <cell r="BD174">
            <v>0</v>
          </cell>
          <cell r="BG174">
            <v>0</v>
          </cell>
          <cell r="BH174">
            <v>0</v>
          </cell>
          <cell r="BI174">
            <v>171322.23999999999</v>
          </cell>
          <cell r="BJ174">
            <v>24.602538916652303</v>
          </cell>
          <cell r="BK174">
            <v>0</v>
          </cell>
          <cell r="BL174">
            <v>0</v>
          </cell>
          <cell r="BM174">
            <v>301811.72600000002</v>
          </cell>
          <cell r="BN174">
            <v>43.341335803320121</v>
          </cell>
          <cell r="BO174">
            <v>0</v>
          </cell>
          <cell r="BP174">
            <v>0</v>
          </cell>
          <cell r="BY174">
            <v>2441.14</v>
          </cell>
          <cell r="CF174">
            <v>1100.29006127</v>
          </cell>
          <cell r="CG174">
            <v>2178.85</v>
          </cell>
          <cell r="CJ174">
            <v>0</v>
          </cell>
          <cell r="CK174">
            <v>0</v>
          </cell>
          <cell r="CL174">
            <v>0</v>
          </cell>
          <cell r="CM174">
            <v>0</v>
          </cell>
          <cell r="CN174">
            <v>0</v>
          </cell>
          <cell r="CO174">
            <v>0</v>
          </cell>
          <cell r="CX174">
            <v>0</v>
          </cell>
          <cell r="CY174">
            <v>0</v>
          </cell>
          <cell r="DB174">
            <v>0</v>
          </cell>
          <cell r="DC174">
            <v>0</v>
          </cell>
          <cell r="DJ174" t="str">
            <v>НКРКП</v>
          </cell>
          <cell r="DL174">
            <v>40816</v>
          </cell>
          <cell r="DM174">
            <v>80</v>
          </cell>
          <cell r="DO174" t="str">
            <v>іншим підприємствам і організаціям</v>
          </cell>
          <cell r="DT174">
            <v>829.97</v>
          </cell>
        </row>
        <row r="175">
          <cell r="W175">
            <v>443.59</v>
          </cell>
          <cell r="AF175">
            <v>39850</v>
          </cell>
          <cell r="AG175">
            <v>530</v>
          </cell>
          <cell r="AH175">
            <v>430.67131714716425</v>
          </cell>
          <cell r="AM175">
            <v>533.995</v>
          </cell>
          <cell r="AO175">
            <v>236874.84204999998</v>
          </cell>
          <cell r="AQ175">
            <v>229976.33</v>
          </cell>
          <cell r="AU175">
            <v>0</v>
          </cell>
          <cell r="AW175">
            <v>0</v>
          </cell>
          <cell r="AY175">
            <v>183840.99995363</v>
          </cell>
          <cell r="AZ175">
            <v>344.27475904012209</v>
          </cell>
          <cell r="BA175">
            <v>0</v>
          </cell>
          <cell r="BB175">
            <v>0</v>
          </cell>
          <cell r="BC175">
            <v>0</v>
          </cell>
          <cell r="BD175">
            <v>0</v>
          </cell>
          <cell r="BG175">
            <v>0</v>
          </cell>
          <cell r="BH175">
            <v>0</v>
          </cell>
          <cell r="BI175">
            <v>13137.76</v>
          </cell>
          <cell r="BJ175">
            <v>24.602777179561606</v>
          </cell>
          <cell r="BK175">
            <v>0</v>
          </cell>
          <cell r="BL175">
            <v>0</v>
          </cell>
          <cell r="BM175">
            <v>23144.27</v>
          </cell>
          <cell r="BN175">
            <v>43.341735409507578</v>
          </cell>
          <cell r="BO175">
            <v>0</v>
          </cell>
          <cell r="BP175">
            <v>0</v>
          </cell>
          <cell r="BY175">
            <v>2441.14</v>
          </cell>
          <cell r="CF175">
            <v>84.375243800000007</v>
          </cell>
          <cell r="CG175">
            <v>2178.85</v>
          </cell>
          <cell r="CJ175">
            <v>0</v>
          </cell>
          <cell r="CK175">
            <v>0</v>
          </cell>
          <cell r="CL175">
            <v>0</v>
          </cell>
          <cell r="CM175">
            <v>0</v>
          </cell>
          <cell r="CN175">
            <v>0</v>
          </cell>
          <cell r="CO175">
            <v>0</v>
          </cell>
          <cell r="CX175">
            <v>0</v>
          </cell>
          <cell r="CY175">
            <v>0</v>
          </cell>
          <cell r="DB175">
            <v>0</v>
          </cell>
          <cell r="DC175">
            <v>0</v>
          </cell>
          <cell r="DJ175" t="str">
            <v>НКРКП</v>
          </cell>
          <cell r="DL175">
            <v>40816</v>
          </cell>
          <cell r="DM175">
            <v>80</v>
          </cell>
          <cell r="DO175" t="str">
            <v>комунальним підприємствам і організаціям</v>
          </cell>
          <cell r="DT175">
            <v>692.15</v>
          </cell>
        </row>
        <row r="176">
          <cell r="W176">
            <v>267.98</v>
          </cell>
          <cell r="AF176">
            <v>39792</v>
          </cell>
          <cell r="AG176">
            <v>459</v>
          </cell>
          <cell r="AH176">
            <v>260.17464731759117</v>
          </cell>
          <cell r="AM176">
            <v>59331</v>
          </cell>
          <cell r="AO176">
            <v>15899521.380000001</v>
          </cell>
          <cell r="AQ176">
            <v>15436422</v>
          </cell>
          <cell r="AU176">
            <v>0</v>
          </cell>
          <cell r="AW176">
            <v>0</v>
          </cell>
          <cell r="AY176">
            <v>6637522.3200000003</v>
          </cell>
          <cell r="AZ176">
            <v>111.87275319815949</v>
          </cell>
          <cell r="BA176">
            <v>2100</v>
          </cell>
          <cell r="BB176">
            <v>3.5394650351418311E-2</v>
          </cell>
          <cell r="BC176">
            <v>0</v>
          </cell>
          <cell r="BD176">
            <v>0</v>
          </cell>
          <cell r="BG176">
            <v>0</v>
          </cell>
          <cell r="BH176">
            <v>0</v>
          </cell>
          <cell r="BI176">
            <v>1010400</v>
          </cell>
          <cell r="BJ176">
            <v>17.029883197653842</v>
          </cell>
          <cell r="BK176">
            <v>0</v>
          </cell>
          <cell r="BL176">
            <v>0</v>
          </cell>
          <cell r="BM176">
            <v>6318400</v>
          </cell>
          <cell r="BN176">
            <v>106.49407560971498</v>
          </cell>
          <cell r="BO176">
            <v>0</v>
          </cell>
          <cell r="BP176">
            <v>0</v>
          </cell>
          <cell r="BY176">
            <v>0</v>
          </cell>
          <cell r="CF176">
            <v>9126</v>
          </cell>
          <cell r="CG176">
            <v>727.32</v>
          </cell>
          <cell r="CJ176">
            <v>0</v>
          </cell>
          <cell r="CK176">
            <v>0</v>
          </cell>
          <cell r="CL176">
            <v>0</v>
          </cell>
          <cell r="CM176">
            <v>0</v>
          </cell>
          <cell r="CN176">
            <v>0</v>
          </cell>
          <cell r="CO176">
            <v>0</v>
          </cell>
          <cell r="CX176">
            <v>0</v>
          </cell>
          <cell r="CY176">
            <v>0</v>
          </cell>
          <cell r="DB176">
            <v>0</v>
          </cell>
          <cell r="DC176">
            <v>0</v>
          </cell>
          <cell r="DJ176" t="str">
            <v>НКРЕ</v>
          </cell>
          <cell r="DL176">
            <v>40526</v>
          </cell>
          <cell r="DM176" t="str">
            <v>№ 1774</v>
          </cell>
          <cell r="DO176" t="str">
            <v>умовно-змінна частина двоставкового тарифу на теплову енергію</v>
          </cell>
          <cell r="DT176">
            <v>281.26</v>
          </cell>
        </row>
        <row r="177">
          <cell r="W177">
            <v>553.48</v>
          </cell>
          <cell r="AF177">
            <v>40091</v>
          </cell>
          <cell r="AG177">
            <v>691</v>
          </cell>
          <cell r="AH177">
            <v>481.28405435567515</v>
          </cell>
          <cell r="AM177">
            <v>15233</v>
          </cell>
          <cell r="AO177">
            <v>8431160.8399999999</v>
          </cell>
          <cell r="AQ177">
            <v>7331400</v>
          </cell>
          <cell r="AU177">
            <v>0</v>
          </cell>
          <cell r="AW177">
            <v>0</v>
          </cell>
          <cell r="AY177">
            <v>4861014.3499999996</v>
          </cell>
          <cell r="AZ177">
            <v>319.11076938226216</v>
          </cell>
          <cell r="BA177">
            <v>124200</v>
          </cell>
          <cell r="BB177">
            <v>8.1533512768331917</v>
          </cell>
          <cell r="BC177">
            <v>0</v>
          </cell>
          <cell r="BD177">
            <v>0</v>
          </cell>
          <cell r="BG177">
            <v>0</v>
          </cell>
          <cell r="BH177">
            <v>0</v>
          </cell>
          <cell r="BI177">
            <v>287900</v>
          </cell>
          <cell r="BJ177">
            <v>18.899757106282411</v>
          </cell>
          <cell r="BK177">
            <v>0</v>
          </cell>
          <cell r="BL177">
            <v>0</v>
          </cell>
          <cell r="BM177">
            <v>1725900</v>
          </cell>
          <cell r="BN177">
            <v>113.30007221164577</v>
          </cell>
          <cell r="BO177">
            <v>0</v>
          </cell>
          <cell r="BP177">
            <v>0</v>
          </cell>
          <cell r="BY177">
            <v>2311</v>
          </cell>
          <cell r="CF177">
            <v>2231</v>
          </cell>
          <cell r="CG177">
            <v>2178.85</v>
          </cell>
          <cell r="CJ177">
            <v>0</v>
          </cell>
          <cell r="CK177">
            <v>0</v>
          </cell>
          <cell r="CL177">
            <v>0</v>
          </cell>
          <cell r="CM177">
            <v>0</v>
          </cell>
          <cell r="CN177">
            <v>0</v>
          </cell>
          <cell r="CO177">
            <v>0</v>
          </cell>
          <cell r="CX177">
            <v>0</v>
          </cell>
          <cell r="CY177">
            <v>0</v>
          </cell>
          <cell r="DB177">
            <v>0</v>
          </cell>
          <cell r="DC177">
            <v>0</v>
          </cell>
          <cell r="DJ177" t="str">
            <v>НКРКП</v>
          </cell>
          <cell r="DL177">
            <v>40816</v>
          </cell>
          <cell r="DM177" t="str">
            <v>№ 159</v>
          </cell>
          <cell r="DT177">
            <v>783.87</v>
          </cell>
        </row>
        <row r="178">
          <cell r="W178">
            <v>631.96</v>
          </cell>
          <cell r="AF178">
            <v>40091</v>
          </cell>
          <cell r="AG178">
            <v>692</v>
          </cell>
          <cell r="AH178">
            <v>486.1218667210108</v>
          </cell>
          <cell r="AM178">
            <v>4907</v>
          </cell>
          <cell r="AO178">
            <v>3101027.72</v>
          </cell>
          <cell r="AQ178">
            <v>2385400</v>
          </cell>
          <cell r="AU178">
            <v>0</v>
          </cell>
          <cell r="AW178">
            <v>0</v>
          </cell>
          <cell r="AY178">
            <v>1629779.8</v>
          </cell>
          <cell r="AZ178">
            <v>332.13364581210516</v>
          </cell>
          <cell r="BA178">
            <v>0</v>
          </cell>
          <cell r="BB178">
            <v>0</v>
          </cell>
          <cell r="BC178">
            <v>0</v>
          </cell>
          <cell r="BD178">
            <v>0</v>
          </cell>
          <cell r="BG178">
            <v>0</v>
          </cell>
          <cell r="BH178">
            <v>0</v>
          </cell>
          <cell r="BI178">
            <v>92700</v>
          </cell>
          <cell r="BJ178">
            <v>18.891379661707763</v>
          </cell>
          <cell r="BK178">
            <v>0</v>
          </cell>
          <cell r="BL178">
            <v>0</v>
          </cell>
          <cell r="BM178">
            <v>556000</v>
          </cell>
          <cell r="BN178">
            <v>113.30751986957408</v>
          </cell>
          <cell r="BO178">
            <v>0</v>
          </cell>
          <cell r="BP178">
            <v>0</v>
          </cell>
          <cell r="BY178">
            <v>2311</v>
          </cell>
          <cell r="CF178">
            <v>748</v>
          </cell>
          <cell r="CG178">
            <v>2178.85</v>
          </cell>
          <cell r="CJ178">
            <v>0</v>
          </cell>
          <cell r="CK178">
            <v>0</v>
          </cell>
          <cell r="CL178">
            <v>0</v>
          </cell>
          <cell r="CM178">
            <v>0</v>
          </cell>
          <cell r="CN178">
            <v>0</v>
          </cell>
          <cell r="CO178">
            <v>0</v>
          </cell>
          <cell r="CX178">
            <v>0</v>
          </cell>
          <cell r="CY178">
            <v>0</v>
          </cell>
          <cell r="DB178">
            <v>0</v>
          </cell>
          <cell r="DC178">
            <v>0</v>
          </cell>
          <cell r="DJ178" t="str">
            <v>НКРКП</v>
          </cell>
          <cell r="DL178">
            <v>40816</v>
          </cell>
          <cell r="DM178" t="str">
            <v>№ 159</v>
          </cell>
          <cell r="DT178">
            <v>871.75</v>
          </cell>
        </row>
        <row r="179">
          <cell r="W179">
            <v>222.93876</v>
          </cell>
          <cell r="AF179">
            <v>39654</v>
          </cell>
          <cell r="AG179">
            <v>87</v>
          </cell>
          <cell r="AH179">
            <v>222.93876254327154</v>
          </cell>
          <cell r="AM179">
            <v>91284</v>
          </cell>
          <cell r="AO179">
            <v>20350741.767840002</v>
          </cell>
          <cell r="AQ179">
            <v>20350742</v>
          </cell>
          <cell r="AU179">
            <v>507085.4</v>
          </cell>
          <cell r="AW179">
            <v>0</v>
          </cell>
          <cell r="AY179">
            <v>10020486.32361</v>
          </cell>
          <cell r="AZ179">
            <v>109.77264716281057</v>
          </cell>
          <cell r="BA179">
            <v>0</v>
          </cell>
          <cell r="BB179">
            <v>0</v>
          </cell>
          <cell r="BC179">
            <v>0</v>
          </cell>
          <cell r="BD179">
            <v>0</v>
          </cell>
          <cell r="BG179">
            <v>32292</v>
          </cell>
          <cell r="BH179">
            <v>0.35375312212435917</v>
          </cell>
          <cell r="BI179">
            <v>320249</v>
          </cell>
          <cell r="BJ179">
            <v>3.5082708908461506</v>
          </cell>
          <cell r="BK179">
            <v>380978</v>
          </cell>
          <cell r="BL179">
            <v>4.1735462950790936</v>
          </cell>
          <cell r="BM179">
            <v>6602679</v>
          </cell>
          <cell r="BN179">
            <v>72.331175233337717</v>
          </cell>
          <cell r="BO179">
            <v>0</v>
          </cell>
          <cell r="BP179">
            <v>0</v>
          </cell>
          <cell r="BY179">
            <v>2031.62</v>
          </cell>
          <cell r="CF179">
            <v>13777.33</v>
          </cell>
          <cell r="CG179">
            <v>727.31700000000001</v>
          </cell>
          <cell r="CJ179">
            <v>2063</v>
          </cell>
          <cell r="CK179">
            <v>245.8</v>
          </cell>
          <cell r="CL179">
            <v>303.68</v>
          </cell>
          <cell r="CM179">
            <v>0</v>
          </cell>
          <cell r="CN179">
            <v>0</v>
          </cell>
          <cell r="CO179">
            <v>0</v>
          </cell>
          <cell r="CX179">
            <v>18.48</v>
          </cell>
          <cell r="CY179">
            <v>72.069999999999993</v>
          </cell>
          <cell r="DB179">
            <v>0</v>
          </cell>
          <cell r="DC179">
            <v>0</v>
          </cell>
          <cell r="DJ179" t="str">
            <v>НКРЕ</v>
          </cell>
          <cell r="DL179">
            <v>40526</v>
          </cell>
          <cell r="DM179" t="str">
            <v>№ 1800</v>
          </cell>
          <cell r="DO179" t="str">
            <v>тариф на теплову енергію</v>
          </cell>
          <cell r="DT179">
            <v>245.23</v>
          </cell>
        </row>
        <row r="180">
          <cell r="W180">
            <v>500</v>
          </cell>
          <cell r="AF180">
            <v>39856</v>
          </cell>
          <cell r="AG180">
            <v>33</v>
          </cell>
          <cell r="AH180">
            <v>446.73027195720016</v>
          </cell>
          <cell r="AM180">
            <v>17944</v>
          </cell>
          <cell r="AO180">
            <v>8972000</v>
          </cell>
          <cell r="AQ180">
            <v>8016128</v>
          </cell>
          <cell r="AU180">
            <v>0</v>
          </cell>
          <cell r="AW180">
            <v>0</v>
          </cell>
          <cell r="AY180">
            <v>5926290.4084999999</v>
          </cell>
          <cell r="AZ180">
            <v>330.26584978265714</v>
          </cell>
          <cell r="BA180">
            <v>0</v>
          </cell>
          <cell r="BB180">
            <v>0</v>
          </cell>
          <cell r="BC180">
            <v>0</v>
          </cell>
          <cell r="BD180">
            <v>0</v>
          </cell>
          <cell r="BG180">
            <v>0</v>
          </cell>
          <cell r="BH180">
            <v>0</v>
          </cell>
          <cell r="BI180">
            <v>338852</v>
          </cell>
          <cell r="BJ180">
            <v>18.883860900579581</v>
          </cell>
          <cell r="BK180">
            <v>0</v>
          </cell>
          <cell r="BL180">
            <v>0</v>
          </cell>
          <cell r="BM180">
            <v>1315094</v>
          </cell>
          <cell r="BN180">
            <v>73.288787338386086</v>
          </cell>
          <cell r="BO180">
            <v>0</v>
          </cell>
          <cell r="BP180">
            <v>0</v>
          </cell>
          <cell r="BY180">
            <v>2031.62</v>
          </cell>
          <cell r="CF180">
            <v>2766.386</v>
          </cell>
          <cell r="CG180">
            <v>2142.25</v>
          </cell>
          <cell r="CJ180">
            <v>0</v>
          </cell>
          <cell r="CK180">
            <v>0</v>
          </cell>
          <cell r="CL180">
            <v>0</v>
          </cell>
          <cell r="CM180">
            <v>0</v>
          </cell>
          <cell r="CN180">
            <v>0</v>
          </cell>
          <cell r="CO180">
            <v>0</v>
          </cell>
          <cell r="CX180">
            <v>0</v>
          </cell>
          <cell r="CY180">
            <v>0</v>
          </cell>
          <cell r="DB180">
            <v>0</v>
          </cell>
          <cell r="DC180">
            <v>0</v>
          </cell>
          <cell r="DJ180" t="str">
            <v>НКРКП</v>
          </cell>
          <cell r="DL180">
            <v>40816</v>
          </cell>
          <cell r="DM180" t="str">
            <v>№ 53</v>
          </cell>
          <cell r="DT180">
            <v>747.61</v>
          </cell>
        </row>
        <row r="181">
          <cell r="W181">
            <v>500</v>
          </cell>
          <cell r="AF181">
            <v>39856</v>
          </cell>
          <cell r="AG181">
            <v>34</v>
          </cell>
          <cell r="AH181">
            <v>446.84995437361493</v>
          </cell>
          <cell r="AM181">
            <v>7671</v>
          </cell>
          <cell r="AO181">
            <v>3835500</v>
          </cell>
          <cell r="AQ181">
            <v>3427786</v>
          </cell>
          <cell r="AU181">
            <v>0</v>
          </cell>
          <cell r="AW181">
            <v>0</v>
          </cell>
          <cell r="AY181">
            <v>2527889.2760000001</v>
          </cell>
          <cell r="AZ181">
            <v>329.53842732368662</v>
          </cell>
          <cell r="BA181">
            <v>0</v>
          </cell>
          <cell r="BB181">
            <v>0</v>
          </cell>
          <cell r="BC181">
            <v>0</v>
          </cell>
          <cell r="BD181">
            <v>0</v>
          </cell>
          <cell r="BG181">
            <v>1915</v>
          </cell>
          <cell r="BH181">
            <v>0.24964150697431886</v>
          </cell>
          <cell r="BI181">
            <v>149445</v>
          </cell>
          <cell r="BJ181">
            <v>19.481814626515447</v>
          </cell>
          <cell r="BK181">
            <v>0</v>
          </cell>
          <cell r="BL181">
            <v>0</v>
          </cell>
          <cell r="BM181">
            <v>562197</v>
          </cell>
          <cell r="BN181">
            <v>73.28861947594838</v>
          </cell>
          <cell r="BO181">
            <v>0</v>
          </cell>
          <cell r="BP181">
            <v>0</v>
          </cell>
          <cell r="BY181">
            <v>2031.62</v>
          </cell>
          <cell r="CF181">
            <v>1180.0160000000001</v>
          </cell>
          <cell r="CG181">
            <v>2142.25</v>
          </cell>
          <cell r="CJ181">
            <v>0</v>
          </cell>
          <cell r="CK181">
            <v>0</v>
          </cell>
          <cell r="CL181">
            <v>0</v>
          </cell>
          <cell r="CM181">
            <v>0</v>
          </cell>
          <cell r="CN181">
            <v>0</v>
          </cell>
          <cell r="CO181">
            <v>0</v>
          </cell>
          <cell r="CX181">
            <v>0</v>
          </cell>
          <cell r="CY181">
            <v>0</v>
          </cell>
          <cell r="DB181">
            <v>0</v>
          </cell>
          <cell r="DC181">
            <v>0</v>
          </cell>
          <cell r="DJ181" t="str">
            <v>НКРКП</v>
          </cell>
          <cell r="DL181">
            <v>40816</v>
          </cell>
          <cell r="DM181" t="str">
            <v>№ 53</v>
          </cell>
          <cell r="DT181">
            <v>747.61</v>
          </cell>
        </row>
        <row r="182">
          <cell r="W182">
            <v>292.95</v>
          </cell>
          <cell r="AF182">
            <v>39560</v>
          </cell>
          <cell r="AG182">
            <v>49</v>
          </cell>
          <cell r="AH182">
            <v>299.22017874053972</v>
          </cell>
          <cell r="AM182">
            <v>50262.8</v>
          </cell>
          <cell r="AO182">
            <v>14724487.26</v>
          </cell>
          <cell r="AQ182">
            <v>15039644</v>
          </cell>
          <cell r="AU182">
            <v>0</v>
          </cell>
          <cell r="AW182">
            <v>0</v>
          </cell>
          <cell r="AY182">
            <v>6491840.1240000008</v>
          </cell>
          <cell r="AZ182">
            <v>129.15794830371567</v>
          </cell>
          <cell r="BA182">
            <v>0</v>
          </cell>
          <cell r="BB182">
            <v>0</v>
          </cell>
          <cell r="BC182">
            <v>0</v>
          </cell>
          <cell r="BD182">
            <v>0</v>
          </cell>
          <cell r="BG182">
            <v>0</v>
          </cell>
          <cell r="BH182">
            <v>0</v>
          </cell>
          <cell r="BI182">
            <v>1222711</v>
          </cell>
          <cell r="BJ182">
            <v>24.326360648431841</v>
          </cell>
          <cell r="BK182">
            <v>0</v>
          </cell>
          <cell r="BL182">
            <v>0</v>
          </cell>
          <cell r="BM182">
            <v>4714064</v>
          </cell>
          <cell r="BN182">
            <v>93.788328545166593</v>
          </cell>
          <cell r="BO182">
            <v>0</v>
          </cell>
          <cell r="BP182">
            <v>0</v>
          </cell>
          <cell r="BY182">
            <v>1441.86</v>
          </cell>
          <cell r="CF182">
            <v>8925.7000000000007</v>
          </cell>
          <cell r="CG182">
            <v>727.32</v>
          </cell>
          <cell r="CJ182">
            <v>0</v>
          </cell>
          <cell r="CK182">
            <v>0</v>
          </cell>
          <cell r="CL182">
            <v>0</v>
          </cell>
          <cell r="CM182">
            <v>0</v>
          </cell>
          <cell r="CN182">
            <v>0</v>
          </cell>
          <cell r="CO182">
            <v>0</v>
          </cell>
          <cell r="CX182">
            <v>0</v>
          </cell>
          <cell r="CY182">
            <v>0</v>
          </cell>
          <cell r="DB182">
            <v>0</v>
          </cell>
          <cell r="DC182">
            <v>0</v>
          </cell>
          <cell r="DJ182" t="str">
            <v>НКРЕ</v>
          </cell>
          <cell r="DL182">
            <v>40598</v>
          </cell>
          <cell r="DM182">
            <v>275</v>
          </cell>
          <cell r="DO182" t="str">
            <v>Тариф на теплову енергію</v>
          </cell>
          <cell r="DT182">
            <v>322.25</v>
          </cell>
        </row>
        <row r="183">
          <cell r="W183">
            <v>537.83000000000004</v>
          </cell>
          <cell r="AF183">
            <v>39560</v>
          </cell>
          <cell r="AG183">
            <v>49</v>
          </cell>
          <cell r="AH183">
            <v>552.74824048503069</v>
          </cell>
          <cell r="AM183">
            <v>25021.1</v>
          </cell>
          <cell r="AO183">
            <v>13457098.213</v>
          </cell>
          <cell r="AQ183">
            <v>13830369</v>
          </cell>
          <cell r="AU183">
            <v>0</v>
          </cell>
          <cell r="AW183">
            <v>0</v>
          </cell>
          <cell r="AY183">
            <v>9518445.1999999993</v>
          </cell>
          <cell r="AZ183">
            <v>380.41673627458425</v>
          </cell>
          <cell r="BA183">
            <v>0</v>
          </cell>
          <cell r="BB183">
            <v>0</v>
          </cell>
          <cell r="BC183">
            <v>0</v>
          </cell>
          <cell r="BD183">
            <v>0</v>
          </cell>
          <cell r="BG183">
            <v>0</v>
          </cell>
          <cell r="BH183">
            <v>0</v>
          </cell>
          <cell r="BI183">
            <v>608685</v>
          </cell>
          <cell r="BJ183">
            <v>24.326868123303932</v>
          </cell>
          <cell r="BK183">
            <v>0</v>
          </cell>
          <cell r="BL183">
            <v>0</v>
          </cell>
          <cell r="BM183">
            <v>2347480</v>
          </cell>
          <cell r="BN183">
            <v>93.820015906574852</v>
          </cell>
          <cell r="BO183">
            <v>0</v>
          </cell>
          <cell r="BP183">
            <v>0</v>
          </cell>
          <cell r="BY183">
            <v>1441.86</v>
          </cell>
          <cell r="CF183">
            <v>4443.2</v>
          </cell>
          <cell r="CG183">
            <v>2142.25</v>
          </cell>
          <cell r="CJ183">
            <v>0</v>
          </cell>
          <cell r="CK183">
            <v>0</v>
          </cell>
          <cell r="CL183">
            <v>0</v>
          </cell>
          <cell r="CM183">
            <v>0</v>
          </cell>
          <cell r="CN183">
            <v>0</v>
          </cell>
          <cell r="CO183">
            <v>0</v>
          </cell>
          <cell r="CX183">
            <v>0</v>
          </cell>
          <cell r="CY183">
            <v>0</v>
          </cell>
          <cell r="DB183">
            <v>0</v>
          </cell>
          <cell r="DC183">
            <v>0</v>
          </cell>
          <cell r="DJ183" t="str">
            <v>НКРКП</v>
          </cell>
          <cell r="DL183">
            <v>40836</v>
          </cell>
          <cell r="DM183">
            <v>214</v>
          </cell>
          <cell r="DT183">
            <v>823.71</v>
          </cell>
        </row>
        <row r="184">
          <cell r="W184">
            <v>556.15</v>
          </cell>
          <cell r="AF184">
            <v>39560</v>
          </cell>
          <cell r="AG184">
            <v>49</v>
          </cell>
          <cell r="AH184">
            <v>552.74630634705261</v>
          </cell>
          <cell r="AM184">
            <v>5306.4</v>
          </cell>
          <cell r="AO184">
            <v>2951154.36</v>
          </cell>
          <cell r="AQ184">
            <v>2933093</v>
          </cell>
          <cell r="AU184">
            <v>0</v>
          </cell>
          <cell r="AW184">
            <v>0</v>
          </cell>
          <cell r="AY184">
            <v>2018642.1749999998</v>
          </cell>
          <cell r="AZ184">
            <v>380.41651119402985</v>
          </cell>
          <cell r="BA184">
            <v>0</v>
          </cell>
          <cell r="BB184">
            <v>0</v>
          </cell>
          <cell r="BC184">
            <v>0</v>
          </cell>
          <cell r="BD184">
            <v>0</v>
          </cell>
          <cell r="BG184">
            <v>0</v>
          </cell>
          <cell r="BH184">
            <v>0</v>
          </cell>
          <cell r="BI184">
            <v>129088</v>
          </cell>
          <cell r="BJ184">
            <v>24.326850595507313</v>
          </cell>
          <cell r="BK184">
            <v>0</v>
          </cell>
          <cell r="BL184">
            <v>0</v>
          </cell>
          <cell r="BM184">
            <v>497846</v>
          </cell>
          <cell r="BN184">
            <v>93.819915573646924</v>
          </cell>
          <cell r="BO184">
            <v>0</v>
          </cell>
          <cell r="BP184">
            <v>0</v>
          </cell>
          <cell r="BY184">
            <v>1441.86</v>
          </cell>
          <cell r="CF184">
            <v>942.3</v>
          </cell>
          <cell r="CG184">
            <v>2142.25</v>
          </cell>
          <cell r="CJ184">
            <v>0</v>
          </cell>
          <cell r="CK184">
            <v>0</v>
          </cell>
          <cell r="CL184">
            <v>0</v>
          </cell>
          <cell r="CM184">
            <v>0</v>
          </cell>
          <cell r="CN184">
            <v>0</v>
          </cell>
          <cell r="CO184">
            <v>0</v>
          </cell>
          <cell r="CX184">
            <v>0</v>
          </cell>
          <cell r="CY184">
            <v>0</v>
          </cell>
          <cell r="DB184">
            <v>0</v>
          </cell>
          <cell r="DC184">
            <v>0</v>
          </cell>
          <cell r="DJ184" t="str">
            <v>НКРКП</v>
          </cell>
          <cell r="DL184">
            <v>40836</v>
          </cell>
          <cell r="DM184">
            <v>214</v>
          </cell>
          <cell r="DT184">
            <v>842.03</v>
          </cell>
        </row>
        <row r="185">
          <cell r="W185">
            <v>257.94</v>
          </cell>
          <cell r="AF185">
            <v>39731</v>
          </cell>
          <cell r="AG185">
            <v>407</v>
          </cell>
          <cell r="AH185">
            <v>245.65846153846155</v>
          </cell>
          <cell r="AM185">
            <v>32500</v>
          </cell>
          <cell r="AO185">
            <v>8383050</v>
          </cell>
          <cell r="AQ185">
            <v>7983900</v>
          </cell>
          <cell r="AU185">
            <v>0</v>
          </cell>
          <cell r="AW185">
            <v>0</v>
          </cell>
          <cell r="AY185">
            <v>3960984.72</v>
          </cell>
          <cell r="AZ185">
            <v>121.87645292307693</v>
          </cell>
          <cell r="BA185">
            <v>0</v>
          </cell>
          <cell r="BB185">
            <v>0</v>
          </cell>
          <cell r="BC185">
            <v>0</v>
          </cell>
          <cell r="BD185">
            <v>0</v>
          </cell>
          <cell r="BG185">
            <v>0</v>
          </cell>
          <cell r="BH185">
            <v>0</v>
          </cell>
          <cell r="BI185">
            <v>488080</v>
          </cell>
          <cell r="BJ185">
            <v>15.017846153846154</v>
          </cell>
          <cell r="BK185">
            <v>0</v>
          </cell>
          <cell r="BL185">
            <v>0</v>
          </cell>
          <cell r="BM185">
            <v>3022320</v>
          </cell>
          <cell r="BN185">
            <v>92.994461538461536</v>
          </cell>
          <cell r="BO185">
            <v>0</v>
          </cell>
          <cell r="BP185">
            <v>0</v>
          </cell>
          <cell r="BY185">
            <v>2080</v>
          </cell>
          <cell r="CF185">
            <v>5446</v>
          </cell>
          <cell r="CG185">
            <v>727.32</v>
          </cell>
          <cell r="CJ185">
            <v>0</v>
          </cell>
          <cell r="CK185">
            <v>0</v>
          </cell>
          <cell r="CL185">
            <v>0</v>
          </cell>
          <cell r="CM185">
            <v>0</v>
          </cell>
          <cell r="CN185">
            <v>0</v>
          </cell>
          <cell r="CO185">
            <v>0</v>
          </cell>
          <cell r="CX185">
            <v>0</v>
          </cell>
          <cell r="CY185">
            <v>0</v>
          </cell>
          <cell r="DB185">
            <v>0</v>
          </cell>
          <cell r="DC185">
            <v>0</v>
          </cell>
          <cell r="DJ185" t="str">
            <v>НКРЕ</v>
          </cell>
          <cell r="DL185">
            <v>40526</v>
          </cell>
          <cell r="DM185">
            <v>1784</v>
          </cell>
          <cell r="DO185" t="str">
            <v>Тариф на теплову енергію для населення</v>
          </cell>
          <cell r="DT185">
            <v>283.73</v>
          </cell>
        </row>
        <row r="186">
          <cell r="W186">
            <v>571.38</v>
          </cell>
          <cell r="AF186">
            <v>39854</v>
          </cell>
          <cell r="AG186">
            <v>43</v>
          </cell>
          <cell r="AH186">
            <v>487.14890109890109</v>
          </cell>
          <cell r="AM186">
            <v>9100</v>
          </cell>
          <cell r="AO186">
            <v>5199558</v>
          </cell>
          <cell r="AQ186">
            <v>4433055</v>
          </cell>
          <cell r="AU186">
            <v>0</v>
          </cell>
          <cell r="AW186">
            <v>0</v>
          </cell>
          <cell r="AY186">
            <v>3277948.5359999998</v>
          </cell>
          <cell r="AZ186">
            <v>360.2141248351648</v>
          </cell>
          <cell r="BA186">
            <v>0</v>
          </cell>
          <cell r="BB186">
            <v>0</v>
          </cell>
          <cell r="BC186">
            <v>0</v>
          </cell>
          <cell r="BD186">
            <v>0</v>
          </cell>
          <cell r="BG186">
            <v>0</v>
          </cell>
          <cell r="BH186">
            <v>0</v>
          </cell>
          <cell r="BI186">
            <v>149637</v>
          </cell>
          <cell r="BJ186">
            <v>16.443626373626373</v>
          </cell>
          <cell r="BK186">
            <v>0</v>
          </cell>
          <cell r="BL186">
            <v>0</v>
          </cell>
          <cell r="BM186">
            <v>848869</v>
          </cell>
          <cell r="BN186">
            <v>93.282307692307697</v>
          </cell>
          <cell r="BO186">
            <v>0</v>
          </cell>
          <cell r="BP186">
            <v>0</v>
          </cell>
          <cell r="BY186">
            <v>2080</v>
          </cell>
          <cell r="CF186">
            <v>1530.15</v>
          </cell>
          <cell r="CG186">
            <v>2142.2399999999998</v>
          </cell>
          <cell r="CJ186">
            <v>0</v>
          </cell>
          <cell r="CK186">
            <v>0</v>
          </cell>
          <cell r="CL186">
            <v>0</v>
          </cell>
          <cell r="CM186">
            <v>0</v>
          </cell>
          <cell r="CN186">
            <v>0</v>
          </cell>
          <cell r="CO186">
            <v>0</v>
          </cell>
          <cell r="CX186">
            <v>0</v>
          </cell>
          <cell r="CY186">
            <v>0</v>
          </cell>
          <cell r="DB186">
            <v>0</v>
          </cell>
          <cell r="DC186">
            <v>0</v>
          </cell>
          <cell r="DJ186" t="str">
            <v>НКРКП</v>
          </cell>
          <cell r="DL186">
            <v>40816</v>
          </cell>
          <cell r="DM186">
            <v>68</v>
          </cell>
          <cell r="DT186">
            <v>841.94</v>
          </cell>
        </row>
        <row r="187">
          <cell r="W187">
            <v>571.38</v>
          </cell>
          <cell r="AF187">
            <v>39854</v>
          </cell>
          <cell r="AG187">
            <v>43</v>
          </cell>
          <cell r="AH187">
            <v>487.15</v>
          </cell>
          <cell r="AM187">
            <v>1700</v>
          </cell>
          <cell r="AO187">
            <v>971346</v>
          </cell>
          <cell r="AQ187">
            <v>828155</v>
          </cell>
          <cell r="AU187">
            <v>0</v>
          </cell>
          <cell r="AW187">
            <v>0</v>
          </cell>
          <cell r="AY187">
            <v>612359.304</v>
          </cell>
          <cell r="AZ187">
            <v>360.21135529411765</v>
          </cell>
          <cell r="BA187">
            <v>0</v>
          </cell>
          <cell r="BB187">
            <v>0</v>
          </cell>
          <cell r="BC187">
            <v>0</v>
          </cell>
          <cell r="BD187">
            <v>0</v>
          </cell>
          <cell r="BG187">
            <v>0</v>
          </cell>
          <cell r="BH187">
            <v>0</v>
          </cell>
          <cell r="BI187">
            <v>27953</v>
          </cell>
          <cell r="BJ187">
            <v>16.442941176470587</v>
          </cell>
          <cell r="BK187">
            <v>0</v>
          </cell>
          <cell r="BL187">
            <v>0</v>
          </cell>
          <cell r="BM187">
            <v>158571</v>
          </cell>
          <cell r="BN187">
            <v>93.277058823529416</v>
          </cell>
          <cell r="BO187">
            <v>0</v>
          </cell>
          <cell r="BP187">
            <v>0</v>
          </cell>
          <cell r="BY187">
            <v>2080</v>
          </cell>
          <cell r="CF187">
            <v>285.85000000000002</v>
          </cell>
          <cell r="CG187">
            <v>2142.2399999999998</v>
          </cell>
          <cell r="CJ187">
            <v>0</v>
          </cell>
          <cell r="CK187">
            <v>0</v>
          </cell>
          <cell r="CL187">
            <v>0</v>
          </cell>
          <cell r="CM187">
            <v>0</v>
          </cell>
          <cell r="CN187">
            <v>0</v>
          </cell>
          <cell r="CO187">
            <v>0</v>
          </cell>
          <cell r="CX187">
            <v>0</v>
          </cell>
          <cell r="CY187">
            <v>0</v>
          </cell>
          <cell r="DB187">
            <v>0</v>
          </cell>
          <cell r="DC187">
            <v>0</v>
          </cell>
          <cell r="DJ187" t="str">
            <v>НКРКП</v>
          </cell>
          <cell r="DL187">
            <v>40816</v>
          </cell>
          <cell r="DM187">
            <v>68</v>
          </cell>
          <cell r="DT187">
            <v>841.94</v>
          </cell>
        </row>
        <row r="188">
          <cell r="W188">
            <v>216.808333333333</v>
          </cell>
          <cell r="AF188">
            <v>39735</v>
          </cell>
          <cell r="AG188">
            <v>184</v>
          </cell>
          <cell r="AH188">
            <v>210.49648555208074</v>
          </cell>
          <cell r="AM188">
            <v>66670.5</v>
          </cell>
          <cell r="AO188">
            <v>14454719.987499978</v>
          </cell>
          <cell r="AQ188">
            <v>14033905.939999999</v>
          </cell>
          <cell r="AU188">
            <v>0</v>
          </cell>
          <cell r="AW188">
            <v>0</v>
          </cell>
          <cell r="AY188">
            <v>7677264.1600000011</v>
          </cell>
          <cell r="AZ188">
            <v>115.15234114038445</v>
          </cell>
          <cell r="BA188">
            <v>0</v>
          </cell>
          <cell r="BB188">
            <v>0</v>
          </cell>
          <cell r="BC188">
            <v>0</v>
          </cell>
          <cell r="BD188">
            <v>0</v>
          </cell>
          <cell r="BG188">
            <v>0</v>
          </cell>
          <cell r="BH188">
            <v>0</v>
          </cell>
          <cell r="BI188">
            <v>1301815.3500000001</v>
          </cell>
          <cell r="BJ188">
            <v>19.526107498818821</v>
          </cell>
          <cell r="BK188">
            <v>0</v>
          </cell>
          <cell r="BL188">
            <v>0</v>
          </cell>
          <cell r="BM188">
            <v>3933891.3</v>
          </cell>
          <cell r="BN188">
            <v>59.00497671383895</v>
          </cell>
          <cell r="BO188">
            <v>0</v>
          </cell>
          <cell r="BP188">
            <v>0</v>
          </cell>
          <cell r="BY188">
            <v>1570</v>
          </cell>
          <cell r="CF188">
            <v>10555.600002034878</v>
          </cell>
          <cell r="CG188">
            <v>727.31669999999997</v>
          </cell>
          <cell r="CJ188">
            <v>0</v>
          </cell>
          <cell r="CK188">
            <v>0</v>
          </cell>
          <cell r="CL188">
            <v>0</v>
          </cell>
          <cell r="CM188">
            <v>0</v>
          </cell>
          <cell r="CN188">
            <v>0</v>
          </cell>
          <cell r="CO188">
            <v>0</v>
          </cell>
          <cell r="CX188">
            <v>0</v>
          </cell>
          <cell r="CY188">
            <v>0</v>
          </cell>
          <cell r="DB188">
            <v>0</v>
          </cell>
          <cell r="DC188">
            <v>0</v>
          </cell>
          <cell r="DJ188" t="str">
            <v>НКРЕ</v>
          </cell>
          <cell r="DL188">
            <v>40526</v>
          </cell>
          <cell r="DM188">
            <v>1778</v>
          </cell>
          <cell r="DO188" t="str">
            <v>тариф на теплову енергію</v>
          </cell>
          <cell r="DT188">
            <v>238.49</v>
          </cell>
        </row>
        <row r="189">
          <cell r="W189">
            <v>538</v>
          </cell>
          <cell r="AF189">
            <v>39861</v>
          </cell>
          <cell r="AG189">
            <v>24</v>
          </cell>
          <cell r="AH189">
            <v>437.40402824261213</v>
          </cell>
          <cell r="AM189">
            <v>20706.3</v>
          </cell>
          <cell r="AO189">
            <v>11139989.4</v>
          </cell>
          <cell r="AQ189">
            <v>9057019.0299999993</v>
          </cell>
          <cell r="AU189">
            <v>0</v>
          </cell>
          <cell r="AW189">
            <v>0</v>
          </cell>
          <cell r="AY189">
            <v>7031721.2999999998</v>
          </cell>
          <cell r="AZ189">
            <v>339.59332666869506</v>
          </cell>
          <cell r="BA189">
            <v>0</v>
          </cell>
          <cell r="BB189">
            <v>0</v>
          </cell>
          <cell r="BC189">
            <v>0</v>
          </cell>
          <cell r="BD189">
            <v>0</v>
          </cell>
          <cell r="BG189">
            <v>0</v>
          </cell>
          <cell r="BH189">
            <v>0</v>
          </cell>
          <cell r="BI189">
            <v>469959.94</v>
          </cell>
          <cell r="BJ189">
            <v>22.696471122315433</v>
          </cell>
          <cell r="BK189">
            <v>0</v>
          </cell>
          <cell r="BL189">
            <v>0</v>
          </cell>
          <cell r="BM189">
            <v>1265442.5</v>
          </cell>
          <cell r="BN189">
            <v>61.113888043735486</v>
          </cell>
          <cell r="BO189">
            <v>0</v>
          </cell>
          <cell r="BP189">
            <v>0</v>
          </cell>
          <cell r="BY189">
            <v>1570</v>
          </cell>
          <cell r="CF189">
            <v>3282.3999533201072</v>
          </cell>
          <cell r="CG189">
            <v>2142.25</v>
          </cell>
          <cell r="CJ189">
            <v>0</v>
          </cell>
          <cell r="CK189">
            <v>0</v>
          </cell>
          <cell r="CL189">
            <v>0</v>
          </cell>
          <cell r="CM189">
            <v>0</v>
          </cell>
          <cell r="CN189">
            <v>0</v>
          </cell>
          <cell r="CO189">
            <v>0</v>
          </cell>
          <cell r="CX189">
            <v>0</v>
          </cell>
          <cell r="CY189">
            <v>0</v>
          </cell>
          <cell r="DB189">
            <v>0</v>
          </cell>
          <cell r="DC189">
            <v>0</v>
          </cell>
          <cell r="DJ189" t="str">
            <v>НКРКП</v>
          </cell>
          <cell r="DL189">
            <v>40816</v>
          </cell>
          <cell r="DM189">
            <v>79</v>
          </cell>
          <cell r="DT189">
            <v>793.168457042829</v>
          </cell>
        </row>
        <row r="190">
          <cell r="W190">
            <v>566.68333333333305</v>
          </cell>
          <cell r="AF190">
            <v>39863</v>
          </cell>
          <cell r="AG190">
            <v>30</v>
          </cell>
          <cell r="AH190">
            <v>460.71642547700247</v>
          </cell>
          <cell r="AM190">
            <v>4339.6000000000004</v>
          </cell>
          <cell r="AO190">
            <v>2459178.9933333322</v>
          </cell>
          <cell r="AQ190">
            <v>1999325</v>
          </cell>
          <cell r="AU190">
            <v>0</v>
          </cell>
          <cell r="AW190">
            <v>0</v>
          </cell>
          <cell r="AY190">
            <v>1506770.78</v>
          </cell>
          <cell r="AZ190">
            <v>347.21420868282792</v>
          </cell>
          <cell r="BA190">
            <v>0</v>
          </cell>
          <cell r="BB190">
            <v>0</v>
          </cell>
          <cell r="BC190">
            <v>0</v>
          </cell>
          <cell r="BD190">
            <v>0</v>
          </cell>
          <cell r="BG190">
            <v>0</v>
          </cell>
          <cell r="BH190">
            <v>0</v>
          </cell>
          <cell r="BI190">
            <v>103064.98</v>
          </cell>
          <cell r="BJ190">
            <v>23.749880173287856</v>
          </cell>
          <cell r="BK190">
            <v>0</v>
          </cell>
          <cell r="BL190">
            <v>0</v>
          </cell>
          <cell r="BM190">
            <v>302607.8</v>
          </cell>
          <cell r="BN190">
            <v>69.731726426398737</v>
          </cell>
          <cell r="BO190">
            <v>0</v>
          </cell>
          <cell r="BP190">
            <v>0</v>
          </cell>
          <cell r="BY190">
            <v>1570</v>
          </cell>
          <cell r="CF190">
            <v>691.10000229331501</v>
          </cell>
          <cell r="CG190">
            <v>2180.25</v>
          </cell>
          <cell r="CJ190">
            <v>0</v>
          </cell>
          <cell r="CK190">
            <v>0</v>
          </cell>
          <cell r="CL190">
            <v>0</v>
          </cell>
          <cell r="CM190">
            <v>0</v>
          </cell>
          <cell r="CN190">
            <v>0</v>
          </cell>
          <cell r="CO190">
            <v>0</v>
          </cell>
          <cell r="CX190">
            <v>0</v>
          </cell>
          <cell r="CY190">
            <v>0</v>
          </cell>
          <cell r="DB190">
            <v>0</v>
          </cell>
          <cell r="DC190">
            <v>0</v>
          </cell>
          <cell r="DJ190" t="str">
            <v>НКРКП</v>
          </cell>
          <cell r="DL190">
            <v>40816</v>
          </cell>
          <cell r="DM190">
            <v>79</v>
          </cell>
          <cell r="DT190">
            <v>816.97537204448997</v>
          </cell>
        </row>
        <row r="191">
          <cell r="W191">
            <v>217.73333</v>
          </cell>
          <cell r="AF191">
            <v>39720</v>
          </cell>
          <cell r="AG191">
            <v>339</v>
          </cell>
          <cell r="AH191">
            <v>217.73079556932768</v>
          </cell>
          <cell r="AM191">
            <v>116822</v>
          </cell>
          <cell r="AO191">
            <v>25436043.077259999</v>
          </cell>
          <cell r="AQ191">
            <v>25435747</v>
          </cell>
          <cell r="AU191">
            <v>0</v>
          </cell>
          <cell r="AW191">
            <v>0</v>
          </cell>
          <cell r="AY191">
            <v>13054042.958000001</v>
          </cell>
          <cell r="AZ191">
            <v>111.74301893478969</v>
          </cell>
          <cell r="BA191">
            <v>0</v>
          </cell>
          <cell r="BB191">
            <v>0</v>
          </cell>
          <cell r="BC191">
            <v>0</v>
          </cell>
          <cell r="BD191">
            <v>0</v>
          </cell>
          <cell r="BG191">
            <v>0</v>
          </cell>
          <cell r="BH191">
            <v>0</v>
          </cell>
          <cell r="BI191">
            <v>3257751</v>
          </cell>
          <cell r="BJ191">
            <v>27.886451182140352</v>
          </cell>
          <cell r="BK191">
            <v>0</v>
          </cell>
          <cell r="BL191">
            <v>0</v>
          </cell>
          <cell r="BM191">
            <v>6260944</v>
          </cell>
          <cell r="BN191">
            <v>53.593877865470546</v>
          </cell>
          <cell r="BO191">
            <v>0</v>
          </cell>
          <cell r="BP191">
            <v>0</v>
          </cell>
          <cell r="BY191">
            <v>1819.07</v>
          </cell>
          <cell r="CF191">
            <v>18094</v>
          </cell>
          <cell r="CG191">
            <v>721.45699999999999</v>
          </cell>
          <cell r="CJ191">
            <v>0</v>
          </cell>
          <cell r="CK191">
            <v>0</v>
          </cell>
          <cell r="CL191">
            <v>0</v>
          </cell>
          <cell r="CM191">
            <v>0</v>
          </cell>
          <cell r="CN191">
            <v>0</v>
          </cell>
          <cell r="CO191">
            <v>0</v>
          </cell>
          <cell r="CX191">
            <v>0</v>
          </cell>
          <cell r="CY191">
            <v>0</v>
          </cell>
          <cell r="DB191">
            <v>0</v>
          </cell>
          <cell r="DC191">
            <v>0</v>
          </cell>
          <cell r="DJ191" t="str">
            <v>НКРЕ</v>
          </cell>
          <cell r="DL191">
            <v>40526</v>
          </cell>
          <cell r="DM191">
            <v>1790</v>
          </cell>
          <cell r="DO191" t="str">
            <v>тариф на теплову енергію</v>
          </cell>
          <cell r="DT191">
            <v>239.5</v>
          </cell>
        </row>
        <row r="192">
          <cell r="W192">
            <v>542.85</v>
          </cell>
          <cell r="AF192">
            <v>40081</v>
          </cell>
          <cell r="AG192">
            <v>395</v>
          </cell>
          <cell r="AH192">
            <v>472.04292787504465</v>
          </cell>
          <cell r="AM192">
            <v>19591</v>
          </cell>
          <cell r="AO192">
            <v>10634974.35</v>
          </cell>
          <cell r="AQ192">
            <v>9247793</v>
          </cell>
          <cell r="AU192">
            <v>0</v>
          </cell>
          <cell r="AW192">
            <v>0</v>
          </cell>
          <cell r="AY192">
            <v>6636705</v>
          </cell>
          <cell r="AZ192">
            <v>338.76295237609105</v>
          </cell>
          <cell r="BA192">
            <v>88751</v>
          </cell>
          <cell r="BB192">
            <v>4.5301924353019247</v>
          </cell>
          <cell r="BC192">
            <v>0</v>
          </cell>
          <cell r="BD192">
            <v>0</v>
          </cell>
          <cell r="BG192">
            <v>0</v>
          </cell>
          <cell r="BH192">
            <v>0</v>
          </cell>
          <cell r="BI192">
            <v>641837</v>
          </cell>
          <cell r="BJ192">
            <v>32.761829411464447</v>
          </cell>
          <cell r="BK192">
            <v>0</v>
          </cell>
          <cell r="BL192">
            <v>0</v>
          </cell>
          <cell r="BM192">
            <v>1162331</v>
          </cell>
          <cell r="BN192">
            <v>59.329845337144604</v>
          </cell>
          <cell r="BO192">
            <v>0</v>
          </cell>
          <cell r="BP192">
            <v>0</v>
          </cell>
          <cell r="BY192">
            <v>2064.14</v>
          </cell>
          <cell r="CF192">
            <v>3040.6499408978038</v>
          </cell>
          <cell r="CG192">
            <v>2182.66</v>
          </cell>
          <cell r="CJ192">
            <v>0</v>
          </cell>
          <cell r="CK192">
            <v>0</v>
          </cell>
          <cell r="CL192">
            <v>0</v>
          </cell>
          <cell r="CM192">
            <v>0</v>
          </cell>
          <cell r="CN192">
            <v>0</v>
          </cell>
          <cell r="CO192">
            <v>0</v>
          </cell>
          <cell r="CX192">
            <v>0</v>
          </cell>
          <cell r="CY192">
            <v>0</v>
          </cell>
          <cell r="DB192">
            <v>0</v>
          </cell>
          <cell r="DC192">
            <v>0</v>
          </cell>
          <cell r="DJ192" t="str">
            <v>НКРКП</v>
          </cell>
          <cell r="DL192">
            <v>40816</v>
          </cell>
          <cell r="DM192">
            <v>63</v>
          </cell>
          <cell r="DT192">
            <v>786.41</v>
          </cell>
        </row>
        <row r="193">
          <cell r="W193">
            <v>708.06665999999996</v>
          </cell>
          <cell r="AF193">
            <v>40081</v>
          </cell>
          <cell r="AG193">
            <v>396</v>
          </cell>
          <cell r="AH193">
            <v>472.04292682926831</v>
          </cell>
          <cell r="AM193">
            <v>4100</v>
          </cell>
          <cell r="AO193">
            <v>2903073.3059999999</v>
          </cell>
          <cell r="AQ193">
            <v>1935376</v>
          </cell>
          <cell r="AU193">
            <v>0</v>
          </cell>
          <cell r="AW193">
            <v>0</v>
          </cell>
          <cell r="AY193">
            <v>1388936</v>
          </cell>
          <cell r="AZ193">
            <v>338.76487804878047</v>
          </cell>
          <cell r="BA193">
            <v>18574</v>
          </cell>
          <cell r="BB193">
            <v>4.5302439024390244</v>
          </cell>
          <cell r="BC193">
            <v>0</v>
          </cell>
          <cell r="BD193">
            <v>0</v>
          </cell>
          <cell r="BG193">
            <v>0</v>
          </cell>
          <cell r="BH193">
            <v>0</v>
          </cell>
          <cell r="BI193">
            <v>134324</v>
          </cell>
          <cell r="BJ193">
            <v>32.761951219512198</v>
          </cell>
          <cell r="BK193">
            <v>0</v>
          </cell>
          <cell r="BL193">
            <v>0</v>
          </cell>
          <cell r="BM193">
            <v>243252</v>
          </cell>
          <cell r="BN193">
            <v>59.329756097560974</v>
          </cell>
          <cell r="BO193">
            <v>0</v>
          </cell>
          <cell r="BP193">
            <v>0</v>
          </cell>
          <cell r="BY193">
            <v>2064.14</v>
          </cell>
          <cell r="CF193">
            <v>636.35014157037745</v>
          </cell>
          <cell r="CG193">
            <v>2182.66</v>
          </cell>
          <cell r="CJ193">
            <v>0</v>
          </cell>
          <cell r="CK193">
            <v>0</v>
          </cell>
          <cell r="CL193">
            <v>0</v>
          </cell>
          <cell r="CM193">
            <v>0</v>
          </cell>
          <cell r="CN193">
            <v>0</v>
          </cell>
          <cell r="CO193">
            <v>0</v>
          </cell>
          <cell r="CX193">
            <v>0</v>
          </cell>
          <cell r="CY193">
            <v>0</v>
          </cell>
          <cell r="DB193">
            <v>0</v>
          </cell>
          <cell r="DC193">
            <v>0</v>
          </cell>
          <cell r="DJ193" t="str">
            <v>НКРКП</v>
          </cell>
          <cell r="DL193">
            <v>40816</v>
          </cell>
          <cell r="DM193">
            <v>63</v>
          </cell>
          <cell r="DT193">
            <v>951.63</v>
          </cell>
        </row>
        <row r="194">
          <cell r="W194">
            <v>195.77</v>
          </cell>
          <cell r="AF194">
            <v>40137</v>
          </cell>
          <cell r="AG194">
            <v>264</v>
          </cell>
          <cell r="AH194">
            <v>191.91080248216471</v>
          </cell>
          <cell r="AM194">
            <v>94756</v>
          </cell>
          <cell r="AO194">
            <v>18550382.120000001</v>
          </cell>
          <cell r="AQ194">
            <v>18184700</v>
          </cell>
          <cell r="AU194">
            <v>15319798.560000001</v>
          </cell>
          <cell r="AW194">
            <v>0</v>
          </cell>
          <cell r="AY194">
            <v>0</v>
          </cell>
          <cell r="AZ194">
            <v>0</v>
          </cell>
          <cell r="BA194">
            <v>0</v>
          </cell>
          <cell r="BB194">
            <v>0</v>
          </cell>
          <cell r="BC194">
            <v>0</v>
          </cell>
          <cell r="BD194">
            <v>0</v>
          </cell>
          <cell r="BG194">
            <v>0</v>
          </cell>
          <cell r="BH194">
            <v>0</v>
          </cell>
          <cell r="BI194">
            <v>163738</v>
          </cell>
          <cell r="BJ194">
            <v>1.7279961163409177</v>
          </cell>
          <cell r="BK194">
            <v>0</v>
          </cell>
          <cell r="BL194">
            <v>0</v>
          </cell>
          <cell r="BM194">
            <v>1300102</v>
          </cell>
          <cell r="BN194">
            <v>13.720524293976107</v>
          </cell>
          <cell r="BO194">
            <v>0</v>
          </cell>
          <cell r="BP194">
            <v>0</v>
          </cell>
          <cell r="BY194">
            <v>2617.59</v>
          </cell>
          <cell r="CF194">
            <v>0</v>
          </cell>
          <cell r="CG194">
            <v>0</v>
          </cell>
          <cell r="CJ194">
            <v>116838</v>
          </cell>
          <cell r="CK194">
            <v>131.12</v>
          </cell>
          <cell r="CL194">
            <v>206.06</v>
          </cell>
          <cell r="CM194">
            <v>0</v>
          </cell>
          <cell r="CN194">
            <v>0</v>
          </cell>
          <cell r="CO194">
            <v>0</v>
          </cell>
          <cell r="CX194">
            <v>0</v>
          </cell>
          <cell r="CY194">
            <v>0</v>
          </cell>
          <cell r="DB194">
            <v>0</v>
          </cell>
          <cell r="DC194">
            <v>0</v>
          </cell>
          <cell r="DJ194" t="str">
            <v>НКРЕ</v>
          </cell>
          <cell r="DL194">
            <v>40526</v>
          </cell>
          <cell r="DM194">
            <v>1727</v>
          </cell>
          <cell r="DO194" t="str">
            <v>тариф на теплову енергію</v>
          </cell>
          <cell r="DT194">
            <v>244.71</v>
          </cell>
        </row>
        <row r="195">
          <cell r="W195">
            <v>462.58</v>
          </cell>
          <cell r="AF195">
            <v>40137</v>
          </cell>
          <cell r="AG195">
            <v>265</v>
          </cell>
          <cell r="AH195">
            <v>402.26553117152525</v>
          </cell>
          <cell r="AM195">
            <v>18318</v>
          </cell>
          <cell r="AO195">
            <v>8473540.4399999995</v>
          </cell>
          <cell r="AQ195">
            <v>7368700</v>
          </cell>
          <cell r="AU195">
            <v>6814949.6400000006</v>
          </cell>
          <cell r="AW195">
            <v>0</v>
          </cell>
          <cell r="AY195">
            <v>0</v>
          </cell>
          <cell r="AZ195">
            <v>0</v>
          </cell>
          <cell r="BA195">
            <v>0</v>
          </cell>
          <cell r="BB195">
            <v>0</v>
          </cell>
          <cell r="BC195">
            <v>0</v>
          </cell>
          <cell r="BD195">
            <v>0</v>
          </cell>
          <cell r="BG195">
            <v>0</v>
          </cell>
          <cell r="BH195">
            <v>0</v>
          </cell>
          <cell r="BI195">
            <v>31635</v>
          </cell>
          <cell r="BJ195">
            <v>1.7269898460530626</v>
          </cell>
          <cell r="BK195">
            <v>0</v>
          </cell>
          <cell r="BL195">
            <v>0</v>
          </cell>
          <cell r="BM195">
            <v>251332</v>
          </cell>
          <cell r="BN195">
            <v>13.720493503657604</v>
          </cell>
          <cell r="BO195">
            <v>0</v>
          </cell>
          <cell r="BP195">
            <v>0</v>
          </cell>
          <cell r="BY195">
            <v>2617.59</v>
          </cell>
          <cell r="CF195">
            <v>0</v>
          </cell>
          <cell r="CG195">
            <v>0</v>
          </cell>
          <cell r="CJ195">
            <v>22587</v>
          </cell>
          <cell r="CK195">
            <v>301.72000000000003</v>
          </cell>
          <cell r="CL195">
            <v>590.24</v>
          </cell>
          <cell r="CM195">
            <v>0</v>
          </cell>
          <cell r="CN195">
            <v>0</v>
          </cell>
          <cell r="CO195">
            <v>0</v>
          </cell>
          <cell r="CX195">
            <v>0</v>
          </cell>
          <cell r="CY195">
            <v>0</v>
          </cell>
          <cell r="DB195">
            <v>0</v>
          </cell>
          <cell r="DC195">
            <v>0</v>
          </cell>
          <cell r="DJ195" t="str">
            <v>НКРКП</v>
          </cell>
          <cell r="DL195">
            <v>40816</v>
          </cell>
          <cell r="DM195">
            <v>139</v>
          </cell>
          <cell r="DT195">
            <v>714.22</v>
          </cell>
        </row>
        <row r="196">
          <cell r="W196">
            <v>493.98</v>
          </cell>
          <cell r="AF196">
            <v>40137</v>
          </cell>
          <cell r="AG196">
            <v>266</v>
          </cell>
          <cell r="AH196">
            <v>402.26592867059173</v>
          </cell>
          <cell r="AM196">
            <v>18713.740000000002</v>
          </cell>
          <cell r="AO196">
            <v>9244213.2852000017</v>
          </cell>
          <cell r="AQ196">
            <v>7527900</v>
          </cell>
          <cell r="AU196">
            <v>6962189.0000000009</v>
          </cell>
          <cell r="AW196">
            <v>0</v>
          </cell>
          <cell r="AY196">
            <v>0</v>
          </cell>
          <cell r="AZ196">
            <v>0</v>
          </cell>
          <cell r="BA196">
            <v>0</v>
          </cell>
          <cell r="BB196">
            <v>0</v>
          </cell>
          <cell r="BC196">
            <v>0</v>
          </cell>
          <cell r="BD196">
            <v>0</v>
          </cell>
          <cell r="BG196">
            <v>0</v>
          </cell>
          <cell r="BH196">
            <v>0</v>
          </cell>
          <cell r="BI196">
            <v>32319</v>
          </cell>
          <cell r="BJ196">
            <v>1.7270198260743175</v>
          </cell>
          <cell r="BK196">
            <v>0</v>
          </cell>
          <cell r="BL196">
            <v>0</v>
          </cell>
          <cell r="BM196">
            <v>256766</v>
          </cell>
          <cell r="BN196">
            <v>13.72072071109249</v>
          </cell>
          <cell r="BO196">
            <v>0</v>
          </cell>
          <cell r="BP196">
            <v>0</v>
          </cell>
          <cell r="BY196">
            <v>2617.59</v>
          </cell>
          <cell r="CF196">
            <v>0</v>
          </cell>
          <cell r="CG196">
            <v>0</v>
          </cell>
          <cell r="CJ196">
            <v>23075</v>
          </cell>
          <cell r="CK196">
            <v>301.72000000000003</v>
          </cell>
          <cell r="CL196">
            <v>590.24</v>
          </cell>
          <cell r="CM196">
            <v>0</v>
          </cell>
          <cell r="CN196">
            <v>0</v>
          </cell>
          <cell r="CO196">
            <v>0</v>
          </cell>
          <cell r="CX196">
            <v>0</v>
          </cell>
          <cell r="CY196">
            <v>0</v>
          </cell>
          <cell r="DB196">
            <v>0</v>
          </cell>
          <cell r="DC196">
            <v>0</v>
          </cell>
          <cell r="DJ196" t="str">
            <v>НКРКП</v>
          </cell>
          <cell r="DL196">
            <v>40816</v>
          </cell>
          <cell r="DM196">
            <v>139</v>
          </cell>
          <cell r="DT196">
            <v>745.61</v>
          </cell>
        </row>
        <row r="197">
          <cell r="W197">
            <v>172.83</v>
          </cell>
          <cell r="AF197">
            <v>39612</v>
          </cell>
          <cell r="AG197">
            <v>162</v>
          </cell>
          <cell r="AH197">
            <v>172.83012069897316</v>
          </cell>
          <cell r="AM197">
            <v>116571</v>
          </cell>
          <cell r="AO197">
            <v>20146965.93</v>
          </cell>
          <cell r="AQ197">
            <v>20146980</v>
          </cell>
          <cell r="AU197">
            <v>0</v>
          </cell>
          <cell r="AW197">
            <v>7643834.0999999996</v>
          </cell>
          <cell r="AY197">
            <v>5114502.9935010001</v>
          </cell>
          <cell r="AZ197">
            <v>43.874574238026611</v>
          </cell>
          <cell r="BA197">
            <v>0</v>
          </cell>
          <cell r="BB197">
            <v>0</v>
          </cell>
          <cell r="BC197">
            <v>0</v>
          </cell>
          <cell r="BD197">
            <v>0</v>
          </cell>
          <cell r="BG197">
            <v>0</v>
          </cell>
          <cell r="BH197">
            <v>0</v>
          </cell>
          <cell r="BI197">
            <v>809056.61157024791</v>
          </cell>
          <cell r="BJ197">
            <v>6.9404621352673299</v>
          </cell>
          <cell r="BK197">
            <v>0</v>
          </cell>
          <cell r="BL197">
            <v>0</v>
          </cell>
          <cell r="BM197">
            <v>3363614.3595041325</v>
          </cell>
          <cell r="BN197">
            <v>28.854641029965709</v>
          </cell>
          <cell r="BO197">
            <v>0</v>
          </cell>
          <cell r="BP197">
            <v>0</v>
          </cell>
          <cell r="BY197">
            <v>1340</v>
          </cell>
          <cell r="CF197">
            <v>8946.6003000000001</v>
          </cell>
          <cell r="CG197">
            <v>571.66999999999996</v>
          </cell>
          <cell r="CJ197">
            <v>0</v>
          </cell>
          <cell r="CK197">
            <v>0</v>
          </cell>
          <cell r="CL197">
            <v>0</v>
          </cell>
          <cell r="CM197">
            <v>71371</v>
          </cell>
          <cell r="CN197">
            <v>107.1</v>
          </cell>
          <cell r="CO197">
            <v>191.23</v>
          </cell>
          <cell r="CX197">
            <v>0</v>
          </cell>
          <cell r="CY197">
            <v>0</v>
          </cell>
          <cell r="DB197">
            <v>0</v>
          </cell>
          <cell r="DC197">
            <v>0</v>
          </cell>
          <cell r="DJ197" t="str">
            <v>НКРЕ</v>
          </cell>
          <cell r="DL197">
            <v>40526</v>
          </cell>
          <cell r="DM197">
            <v>1811</v>
          </cell>
          <cell r="DO197" t="str">
            <v>тариф на теплову енергію</v>
          </cell>
          <cell r="DT197">
            <v>216.04</v>
          </cell>
        </row>
        <row r="198">
          <cell r="W198">
            <v>350.31</v>
          </cell>
          <cell r="AF198">
            <v>39612</v>
          </cell>
          <cell r="AG198">
            <v>163</v>
          </cell>
          <cell r="AH198">
            <v>255.69516407599309</v>
          </cell>
          <cell r="AM198">
            <v>18528</v>
          </cell>
          <cell r="AO198">
            <v>6490543.6799999997</v>
          </cell>
          <cell r="AQ198">
            <v>4737520</v>
          </cell>
          <cell r="AU198">
            <v>0</v>
          </cell>
          <cell r="AW198">
            <v>2883184.984962</v>
          </cell>
          <cell r="AY198">
            <v>854643</v>
          </cell>
          <cell r="AZ198">
            <v>46.127104922279791</v>
          </cell>
          <cell r="BA198">
            <v>0</v>
          </cell>
          <cell r="BB198">
            <v>0</v>
          </cell>
          <cell r="BC198">
            <v>0</v>
          </cell>
          <cell r="BD198">
            <v>0</v>
          </cell>
          <cell r="BG198">
            <v>0</v>
          </cell>
          <cell r="BH198">
            <v>0</v>
          </cell>
          <cell r="BI198">
            <v>128592.88244223311</v>
          </cell>
          <cell r="BJ198">
            <v>6.9404621352673308</v>
          </cell>
          <cell r="BK198">
            <v>0</v>
          </cell>
          <cell r="BL198">
            <v>0</v>
          </cell>
          <cell r="BM198">
            <v>534618.78900320467</v>
          </cell>
          <cell r="BN198">
            <v>28.854641029965709</v>
          </cell>
          <cell r="BO198">
            <v>0</v>
          </cell>
          <cell r="BP198">
            <v>0</v>
          </cell>
          <cell r="BY198">
            <v>1340</v>
          </cell>
          <cell r="CF198">
            <v>772.87303309820948</v>
          </cell>
          <cell r="CG198">
            <v>1105.8</v>
          </cell>
          <cell r="CJ198">
            <v>0</v>
          </cell>
          <cell r="CK198">
            <v>0</v>
          </cell>
          <cell r="CL198">
            <v>0</v>
          </cell>
          <cell r="CM198">
            <v>15321.420899999999</v>
          </cell>
          <cell r="CN198">
            <v>188.18</v>
          </cell>
          <cell r="CO198">
            <v>561.30999999999995</v>
          </cell>
          <cell r="CX198">
            <v>0</v>
          </cell>
          <cell r="CY198">
            <v>0</v>
          </cell>
          <cell r="DB198">
            <v>0</v>
          </cell>
          <cell r="DC198">
            <v>0</v>
          </cell>
          <cell r="DJ198" t="str">
            <v>НКРКП</v>
          </cell>
          <cell r="DL198">
            <v>40942</v>
          </cell>
          <cell r="DM198">
            <v>58</v>
          </cell>
          <cell r="DT198">
            <v>813.69</v>
          </cell>
        </row>
        <row r="199">
          <cell r="W199">
            <v>383.55</v>
          </cell>
          <cell r="AF199">
            <v>39612</v>
          </cell>
          <cell r="AG199">
            <v>163</v>
          </cell>
          <cell r="AH199">
            <v>255.69984407244164</v>
          </cell>
          <cell r="AM199">
            <v>7196.5628554652903</v>
          </cell>
          <cell r="AO199">
            <v>2760241.6832137122</v>
          </cell>
          <cell r="AQ199">
            <v>1840160</v>
          </cell>
          <cell r="AU199">
            <v>0</v>
          </cell>
          <cell r="AW199">
            <v>1119893.0524000002</v>
          </cell>
          <cell r="AY199">
            <v>331955.99999999953</v>
          </cell>
          <cell r="AZ199">
            <v>46.127020171567317</v>
          </cell>
          <cell r="BA199">
            <v>0</v>
          </cell>
          <cell r="BB199">
            <v>0</v>
          </cell>
          <cell r="BC199">
            <v>0</v>
          </cell>
          <cell r="BD199">
            <v>0</v>
          </cell>
          <cell r="BG199">
            <v>0</v>
          </cell>
          <cell r="BH199">
            <v>0</v>
          </cell>
          <cell r="BI199">
            <v>49947.625445472797</v>
          </cell>
          <cell r="BJ199">
            <v>6.940483456979889</v>
          </cell>
          <cell r="BK199">
            <v>0</v>
          </cell>
          <cell r="BL199">
            <v>0</v>
          </cell>
          <cell r="BM199">
            <v>207654.875776192</v>
          </cell>
          <cell r="BN199">
            <v>28.854729673971029</v>
          </cell>
          <cell r="BO199">
            <v>0</v>
          </cell>
          <cell r="BP199">
            <v>0</v>
          </cell>
          <cell r="BY199">
            <v>1340</v>
          </cell>
          <cell r="CF199">
            <v>300.195333695062</v>
          </cell>
          <cell r="CG199">
            <v>1105.8</v>
          </cell>
          <cell r="CJ199">
            <v>0</v>
          </cell>
          <cell r="CK199">
            <v>0</v>
          </cell>
          <cell r="CL199">
            <v>0</v>
          </cell>
          <cell r="CM199">
            <v>5951.18</v>
          </cell>
          <cell r="CN199">
            <v>188.18</v>
          </cell>
          <cell r="CO199">
            <v>561.30999999999995</v>
          </cell>
          <cell r="CX199">
            <v>0</v>
          </cell>
          <cell r="CY199">
            <v>0</v>
          </cell>
          <cell r="DB199">
            <v>0</v>
          </cell>
          <cell r="DC199">
            <v>0</v>
          </cell>
          <cell r="DJ199" t="str">
            <v>НКРКП</v>
          </cell>
          <cell r="DL199">
            <v>40942</v>
          </cell>
          <cell r="DM199">
            <v>58</v>
          </cell>
          <cell r="DT199">
            <v>847.01</v>
          </cell>
        </row>
        <row r="200">
          <cell r="W200">
            <v>189.96</v>
          </cell>
          <cell r="AF200">
            <v>39822</v>
          </cell>
          <cell r="AG200">
            <v>172</v>
          </cell>
          <cell r="AH200">
            <v>179.63276791995622</v>
          </cell>
          <cell r="AM200">
            <v>383790</v>
          </cell>
          <cell r="AO200">
            <v>72904748.400000006</v>
          </cell>
          <cell r="AQ200">
            <v>68941260</v>
          </cell>
          <cell r="AU200">
            <v>0</v>
          </cell>
          <cell r="AW200">
            <v>2415749.0000000047</v>
          </cell>
          <cell r="AY200">
            <v>44672522.910660006</v>
          </cell>
          <cell r="AZ200">
            <v>116.39835042773393</v>
          </cell>
          <cell r="BA200">
            <v>0</v>
          </cell>
          <cell r="BB200">
            <v>0</v>
          </cell>
          <cell r="BC200">
            <v>0</v>
          </cell>
          <cell r="BD200">
            <v>0</v>
          </cell>
          <cell r="BG200">
            <v>0</v>
          </cell>
          <cell r="BH200">
            <v>0</v>
          </cell>
          <cell r="BI200">
            <v>2206250</v>
          </cell>
          <cell r="BJ200">
            <v>5.7485864665572315</v>
          </cell>
          <cell r="BK200">
            <v>0</v>
          </cell>
          <cell r="BL200">
            <v>0</v>
          </cell>
          <cell r="BM200">
            <v>16001930</v>
          </cell>
          <cell r="BN200">
            <v>41.694494384950104</v>
          </cell>
          <cell r="BO200">
            <v>0</v>
          </cell>
          <cell r="BP200">
            <v>0</v>
          </cell>
          <cell r="BY200">
            <v>1729</v>
          </cell>
          <cell r="CF200">
            <v>61420.98</v>
          </cell>
          <cell r="CG200">
            <v>727.31700000000001</v>
          </cell>
          <cell r="CJ200">
            <v>0</v>
          </cell>
          <cell r="CK200">
            <v>0</v>
          </cell>
          <cell r="CL200">
            <v>0</v>
          </cell>
          <cell r="CM200">
            <v>14962.8305977083</v>
          </cell>
          <cell r="CN200">
            <v>161.44999999999999</v>
          </cell>
          <cell r="CO200">
            <v>161.44999999999999</v>
          </cell>
          <cell r="CX200">
            <v>0</v>
          </cell>
          <cell r="CY200">
            <v>0</v>
          </cell>
          <cell r="DB200">
            <v>0</v>
          </cell>
          <cell r="DC200">
            <v>0</v>
          </cell>
          <cell r="DJ200" t="str">
            <v>НКРЕ</v>
          </cell>
          <cell r="DL200">
            <v>40526</v>
          </cell>
          <cell r="DM200">
            <v>1738</v>
          </cell>
          <cell r="DO200" t="str">
            <v>тариф на теплову енергію</v>
          </cell>
          <cell r="DT200">
            <v>237.45</v>
          </cell>
        </row>
        <row r="201">
          <cell r="W201">
            <v>465.78</v>
          </cell>
          <cell r="AF201">
            <v>39863</v>
          </cell>
          <cell r="AG201">
            <v>17</v>
          </cell>
          <cell r="AH201">
            <v>405.02016231295966</v>
          </cell>
          <cell r="AM201">
            <v>78860</v>
          </cell>
          <cell r="AO201">
            <v>36731410.799999997</v>
          </cell>
          <cell r="AQ201">
            <v>31939890</v>
          </cell>
          <cell r="AU201">
            <v>0</v>
          </cell>
          <cell r="AW201">
            <v>550890.0000000007</v>
          </cell>
          <cell r="AY201">
            <v>26139456.0075</v>
          </cell>
          <cell r="AZ201">
            <v>331.46659913137205</v>
          </cell>
          <cell r="BA201">
            <v>0</v>
          </cell>
          <cell r="BB201">
            <v>0</v>
          </cell>
          <cell r="BC201">
            <v>0</v>
          </cell>
          <cell r="BD201">
            <v>0</v>
          </cell>
          <cell r="BG201">
            <v>0</v>
          </cell>
          <cell r="BH201">
            <v>0</v>
          </cell>
          <cell r="BI201">
            <v>503120</v>
          </cell>
          <cell r="BJ201">
            <v>6.3799137712401723</v>
          </cell>
          <cell r="BK201">
            <v>0</v>
          </cell>
          <cell r="BL201">
            <v>0</v>
          </cell>
          <cell r="BM201">
            <v>3652860</v>
          </cell>
          <cell r="BN201">
            <v>46.320821709358356</v>
          </cell>
          <cell r="BO201">
            <v>0</v>
          </cell>
          <cell r="BP201">
            <v>0</v>
          </cell>
          <cell r="BY201">
            <v>1729</v>
          </cell>
          <cell r="CF201">
            <v>12201.87</v>
          </cell>
          <cell r="CG201">
            <v>2142.25</v>
          </cell>
          <cell r="CJ201">
            <v>0</v>
          </cell>
          <cell r="CK201">
            <v>0</v>
          </cell>
          <cell r="CL201">
            <v>0</v>
          </cell>
          <cell r="CM201">
            <v>3412.1399814184001</v>
          </cell>
          <cell r="CN201">
            <v>161.44999999999999</v>
          </cell>
          <cell r="CO201">
            <v>161.44999999999999</v>
          </cell>
          <cell r="CX201">
            <v>0</v>
          </cell>
          <cell r="CY201">
            <v>0</v>
          </cell>
          <cell r="DB201">
            <v>0</v>
          </cell>
          <cell r="DC201">
            <v>0</v>
          </cell>
          <cell r="DJ201" t="str">
            <v>НКРКП</v>
          </cell>
          <cell r="DL201">
            <v>41182</v>
          </cell>
          <cell r="DM201">
            <v>142</v>
          </cell>
          <cell r="DT201">
            <v>721.19</v>
          </cell>
        </row>
        <row r="202">
          <cell r="W202">
            <v>486.03</v>
          </cell>
          <cell r="AF202">
            <v>39863</v>
          </cell>
          <cell r="AG202">
            <v>17</v>
          </cell>
          <cell r="AH202">
            <v>405.01997025706396</v>
          </cell>
          <cell r="AM202">
            <v>47070</v>
          </cell>
          <cell r="AO202">
            <v>22877432.099999998</v>
          </cell>
          <cell r="AQ202">
            <v>19064290</v>
          </cell>
          <cell r="AU202">
            <v>0</v>
          </cell>
          <cell r="AW202">
            <v>360921.47499999998</v>
          </cell>
          <cell r="AY202">
            <v>15277670.100000001</v>
          </cell>
          <cell r="AZ202">
            <v>324.57340344168261</v>
          </cell>
          <cell r="BA202">
            <v>0</v>
          </cell>
          <cell r="BB202">
            <v>0</v>
          </cell>
          <cell r="BC202">
            <v>0</v>
          </cell>
          <cell r="BD202">
            <v>0</v>
          </cell>
          <cell r="BG202">
            <v>0</v>
          </cell>
          <cell r="BH202">
            <v>0</v>
          </cell>
          <cell r="BI202">
            <v>329620</v>
          </cell>
          <cell r="BJ202">
            <v>7.0027618440620349</v>
          </cell>
          <cell r="BK202">
            <v>0</v>
          </cell>
          <cell r="BL202">
            <v>0</v>
          </cell>
          <cell r="BM202">
            <v>2386800</v>
          </cell>
          <cell r="BN202">
            <v>50.707456978967492</v>
          </cell>
          <cell r="BO202">
            <v>0</v>
          </cell>
          <cell r="BP202">
            <v>0</v>
          </cell>
          <cell r="BY202">
            <v>1729</v>
          </cell>
          <cell r="CF202">
            <v>7131.6</v>
          </cell>
          <cell r="CG202">
            <v>2142.25</v>
          </cell>
          <cell r="CJ202">
            <v>0</v>
          </cell>
          <cell r="CK202">
            <v>0</v>
          </cell>
          <cell r="CL202">
            <v>0</v>
          </cell>
          <cell r="CM202">
            <v>2235.5</v>
          </cell>
          <cell r="CN202">
            <v>161.44999999999999</v>
          </cell>
          <cell r="CO202">
            <v>161.44999999999999</v>
          </cell>
          <cell r="CX202">
            <v>0</v>
          </cell>
          <cell r="CY202">
            <v>0</v>
          </cell>
          <cell r="DB202">
            <v>0</v>
          </cell>
          <cell r="DC202">
            <v>0</v>
          </cell>
          <cell r="DJ202" t="str">
            <v>НКРКП</v>
          </cell>
          <cell r="DL202">
            <v>41182</v>
          </cell>
          <cell r="DM202">
            <v>142</v>
          </cell>
          <cell r="DT202">
            <v>736.87</v>
          </cell>
        </row>
        <row r="203">
          <cell r="W203">
            <v>221</v>
          </cell>
          <cell r="AF203">
            <v>40023</v>
          </cell>
          <cell r="AG203" t="str">
            <v>6/1/2-324</v>
          </cell>
          <cell r="AH203">
            <v>219.24000716332378</v>
          </cell>
          <cell r="AM203">
            <v>55840</v>
          </cell>
          <cell r="AO203">
            <v>12340640</v>
          </cell>
          <cell r="AQ203">
            <v>12242362</v>
          </cell>
          <cell r="AU203">
            <v>0</v>
          </cell>
          <cell r="AW203">
            <v>0</v>
          </cell>
          <cell r="AY203">
            <v>6459401.9996589608</v>
          </cell>
          <cell r="AZ203">
            <v>115.67696990793269</v>
          </cell>
          <cell r="BA203">
            <v>0</v>
          </cell>
          <cell r="BB203">
            <v>0</v>
          </cell>
          <cell r="BC203">
            <v>0</v>
          </cell>
          <cell r="BD203">
            <v>0</v>
          </cell>
          <cell r="BG203">
            <v>0</v>
          </cell>
          <cell r="BH203">
            <v>0</v>
          </cell>
          <cell r="BI203">
            <v>508702</v>
          </cell>
          <cell r="BJ203">
            <v>9.1099928366762182</v>
          </cell>
          <cell r="BK203">
            <v>0</v>
          </cell>
          <cell r="BL203">
            <v>0</v>
          </cell>
          <cell r="BM203">
            <v>2700922</v>
          </cell>
          <cell r="BN203">
            <v>48.368946991404009</v>
          </cell>
          <cell r="BO203">
            <v>0</v>
          </cell>
          <cell r="BP203">
            <v>0</v>
          </cell>
          <cell r="BY203">
            <v>1628.1</v>
          </cell>
          <cell r="CF203">
            <v>8881.1004780000003</v>
          </cell>
          <cell r="CG203">
            <v>727.32</v>
          </cell>
          <cell r="CJ203">
            <v>0</v>
          </cell>
          <cell r="CK203">
            <v>0</v>
          </cell>
          <cell r="CL203">
            <v>0</v>
          </cell>
          <cell r="CM203">
            <v>0</v>
          </cell>
          <cell r="CN203">
            <v>0</v>
          </cell>
          <cell r="CO203">
            <v>0</v>
          </cell>
          <cell r="CX203">
            <v>0</v>
          </cell>
          <cell r="CY203">
            <v>0</v>
          </cell>
          <cell r="DB203">
            <v>0</v>
          </cell>
          <cell r="DC203">
            <v>0</v>
          </cell>
          <cell r="DJ203" t="str">
            <v>НКРЕ</v>
          </cell>
          <cell r="DL203">
            <v>40526</v>
          </cell>
          <cell r="DM203">
            <v>1719</v>
          </cell>
          <cell r="DO203" t="str">
            <v xml:space="preserve">тариф на теплову енергію </v>
          </cell>
          <cell r="DT203">
            <v>243.1</v>
          </cell>
        </row>
        <row r="204">
          <cell r="W204">
            <v>536.17999999999995</v>
          </cell>
          <cell r="AF204">
            <v>40023</v>
          </cell>
          <cell r="AG204" t="str">
            <v>6/1/2-324</v>
          </cell>
          <cell r="AH204">
            <v>466.23999822387992</v>
          </cell>
          <cell r="AM204">
            <v>22521</v>
          </cell>
          <cell r="AO204">
            <v>12075309.779999999</v>
          </cell>
          <cell r="AQ204">
            <v>10500191</v>
          </cell>
          <cell r="AU204">
            <v>0</v>
          </cell>
          <cell r="AW204">
            <v>0</v>
          </cell>
          <cell r="AY204">
            <v>8167812.9626500001</v>
          </cell>
          <cell r="AZ204">
            <v>362.67541239953823</v>
          </cell>
          <cell r="BA204">
            <v>0</v>
          </cell>
          <cell r="BB204">
            <v>0</v>
          </cell>
          <cell r="BC204">
            <v>0</v>
          </cell>
          <cell r="BD204">
            <v>0</v>
          </cell>
          <cell r="BG204">
            <v>0</v>
          </cell>
          <cell r="BH204">
            <v>0</v>
          </cell>
          <cell r="BI204">
            <v>205166</v>
          </cell>
          <cell r="BJ204">
            <v>9.1099862350694902</v>
          </cell>
          <cell r="BK204">
            <v>0</v>
          </cell>
          <cell r="BL204">
            <v>0</v>
          </cell>
          <cell r="BM204">
            <v>1089317</v>
          </cell>
          <cell r="BN204">
            <v>48.368944540650951</v>
          </cell>
          <cell r="BO204">
            <v>0</v>
          </cell>
          <cell r="BP204">
            <v>0</v>
          </cell>
          <cell r="BY204">
            <v>1628.1</v>
          </cell>
          <cell r="CF204">
            <v>3669.6902</v>
          </cell>
          <cell r="CG204">
            <v>2225.75</v>
          </cell>
          <cell r="CJ204">
            <v>0</v>
          </cell>
          <cell r="CK204">
            <v>0</v>
          </cell>
          <cell r="CL204">
            <v>0</v>
          </cell>
          <cell r="CM204">
            <v>0</v>
          </cell>
          <cell r="CN204">
            <v>0</v>
          </cell>
          <cell r="CO204">
            <v>0</v>
          </cell>
          <cell r="CX204">
            <v>0</v>
          </cell>
          <cell r="CY204">
            <v>0</v>
          </cell>
          <cell r="DB204">
            <v>0</v>
          </cell>
          <cell r="DC204">
            <v>0</v>
          </cell>
          <cell r="DJ204" t="str">
            <v>НКРКП</v>
          </cell>
          <cell r="DL204">
            <v>40816</v>
          </cell>
          <cell r="DM204">
            <v>120</v>
          </cell>
          <cell r="DT204">
            <v>784.86857203189902</v>
          </cell>
        </row>
        <row r="205">
          <cell r="W205">
            <v>662.06</v>
          </cell>
          <cell r="AF205">
            <v>40023</v>
          </cell>
          <cell r="AG205" t="str">
            <v>6/1/2-324</v>
          </cell>
          <cell r="AH205">
            <v>466.24003221908981</v>
          </cell>
          <cell r="AM205">
            <v>7449</v>
          </cell>
          <cell r="AO205">
            <v>4931684.9399999995</v>
          </cell>
          <cell r="AQ205">
            <v>3473022</v>
          </cell>
          <cell r="AU205">
            <v>0</v>
          </cell>
          <cell r="AW205">
            <v>0</v>
          </cell>
          <cell r="AY205">
            <v>2701590.86675</v>
          </cell>
          <cell r="AZ205">
            <v>362.6783281984159</v>
          </cell>
          <cell r="BA205">
            <v>0</v>
          </cell>
          <cell r="BB205">
            <v>0</v>
          </cell>
          <cell r="BC205">
            <v>0</v>
          </cell>
          <cell r="BD205">
            <v>0</v>
          </cell>
          <cell r="BG205">
            <v>0</v>
          </cell>
          <cell r="BH205">
            <v>0</v>
          </cell>
          <cell r="BI205">
            <v>67860</v>
          </cell>
          <cell r="BJ205">
            <v>9.1099476439790568</v>
          </cell>
          <cell r="BK205">
            <v>0</v>
          </cell>
          <cell r="BL205">
            <v>0</v>
          </cell>
          <cell r="BM205">
            <v>360300</v>
          </cell>
          <cell r="BN205">
            <v>48.368908578332665</v>
          </cell>
          <cell r="BO205">
            <v>0</v>
          </cell>
          <cell r="BP205">
            <v>0</v>
          </cell>
          <cell r="BY205">
            <v>1628.1</v>
          </cell>
          <cell r="CF205">
            <v>1213.789</v>
          </cell>
          <cell r="CG205">
            <v>2225.75</v>
          </cell>
          <cell r="CJ205">
            <v>0</v>
          </cell>
          <cell r="CK205">
            <v>0</v>
          </cell>
          <cell r="CL205">
            <v>0</v>
          </cell>
          <cell r="CM205">
            <v>0</v>
          </cell>
          <cell r="CN205">
            <v>0</v>
          </cell>
          <cell r="CO205">
            <v>0</v>
          </cell>
          <cell r="CX205">
            <v>0</v>
          </cell>
          <cell r="CY205">
            <v>0</v>
          </cell>
          <cell r="DB205">
            <v>0</v>
          </cell>
          <cell r="DC205">
            <v>0</v>
          </cell>
          <cell r="DJ205" t="str">
            <v>НКРКП</v>
          </cell>
          <cell r="DL205">
            <v>40816</v>
          </cell>
          <cell r="DM205">
            <v>120</v>
          </cell>
          <cell r="DT205">
            <v>910.74857203189902</v>
          </cell>
        </row>
        <row r="206">
          <cell r="W206">
            <v>213.1</v>
          </cell>
          <cell r="AF206">
            <v>39765</v>
          </cell>
          <cell r="AG206">
            <v>188</v>
          </cell>
          <cell r="AH206">
            <v>213.10381873229807</v>
          </cell>
          <cell r="AM206">
            <v>51195</v>
          </cell>
          <cell r="AO206">
            <v>10909654.5</v>
          </cell>
          <cell r="AQ206">
            <v>10909850</v>
          </cell>
          <cell r="AU206">
            <v>0</v>
          </cell>
          <cell r="AW206">
            <v>0</v>
          </cell>
          <cell r="AY206">
            <v>6078351.4308000011</v>
          </cell>
          <cell r="AZ206">
            <v>118.72939605039556</v>
          </cell>
          <cell r="BA206">
            <v>0</v>
          </cell>
          <cell r="BB206">
            <v>0</v>
          </cell>
          <cell r="BC206">
            <v>0</v>
          </cell>
          <cell r="BD206">
            <v>0</v>
          </cell>
          <cell r="BG206">
            <v>0</v>
          </cell>
          <cell r="BH206">
            <v>0</v>
          </cell>
          <cell r="BI206">
            <v>1045870</v>
          </cell>
          <cell r="BJ206">
            <v>20.429143471042092</v>
          </cell>
          <cell r="BK206">
            <v>0</v>
          </cell>
          <cell r="BL206">
            <v>0</v>
          </cell>
          <cell r="BM206">
            <v>3043150</v>
          </cell>
          <cell r="BN206">
            <v>59.442328352378162</v>
          </cell>
          <cell r="BO206">
            <v>0</v>
          </cell>
          <cell r="BP206">
            <v>0</v>
          </cell>
          <cell r="BY206">
            <v>1145.1300000000001</v>
          </cell>
          <cell r="CF206">
            <v>8357.19</v>
          </cell>
          <cell r="CG206">
            <v>727.32</v>
          </cell>
          <cell r="CJ206">
            <v>0</v>
          </cell>
          <cell r="CK206">
            <v>0</v>
          </cell>
          <cell r="CL206">
            <v>0</v>
          </cell>
          <cell r="CM206">
            <v>0</v>
          </cell>
          <cell r="CN206">
            <v>0</v>
          </cell>
          <cell r="CO206">
            <v>0</v>
          </cell>
          <cell r="CX206">
            <v>0</v>
          </cell>
          <cell r="CY206">
            <v>0</v>
          </cell>
          <cell r="DB206">
            <v>0</v>
          </cell>
          <cell r="DC206">
            <v>0</v>
          </cell>
          <cell r="DJ206" t="str">
            <v>НКРЕ</v>
          </cell>
          <cell r="DL206">
            <v>40526</v>
          </cell>
          <cell r="DM206">
            <v>1743</v>
          </cell>
          <cell r="DO206" t="str">
            <v>тариф на теплову енергію</v>
          </cell>
          <cell r="DT206">
            <v>234.41</v>
          </cell>
        </row>
        <row r="207">
          <cell r="W207">
            <v>558.78</v>
          </cell>
          <cell r="AF207">
            <v>39871</v>
          </cell>
          <cell r="AG207">
            <v>50</v>
          </cell>
          <cell r="AH207">
            <v>447.02107209772004</v>
          </cell>
          <cell r="AM207">
            <v>16438.8</v>
          </cell>
          <cell r="AO207">
            <v>9185672.6639999989</v>
          </cell>
          <cell r="AQ207">
            <v>7348490</v>
          </cell>
          <cell r="AU207">
            <v>0</v>
          </cell>
          <cell r="AW207">
            <v>0</v>
          </cell>
          <cell r="AY207">
            <v>5748687</v>
          </cell>
          <cell r="AZ207">
            <v>349.7023505365355</v>
          </cell>
          <cell r="BA207">
            <v>0</v>
          </cell>
          <cell r="BB207">
            <v>0</v>
          </cell>
          <cell r="BC207">
            <v>0</v>
          </cell>
          <cell r="BD207">
            <v>0</v>
          </cell>
          <cell r="BG207">
            <v>0</v>
          </cell>
          <cell r="BH207">
            <v>0</v>
          </cell>
          <cell r="BI207">
            <v>330540</v>
          </cell>
          <cell r="BJ207">
            <v>20.107307102708226</v>
          </cell>
          <cell r="BK207">
            <v>0</v>
          </cell>
          <cell r="BL207">
            <v>0</v>
          </cell>
          <cell r="BM207">
            <v>1054970</v>
          </cell>
          <cell r="BN207">
            <v>64.175608925225688</v>
          </cell>
          <cell r="BO207">
            <v>0</v>
          </cell>
          <cell r="BP207">
            <v>0</v>
          </cell>
          <cell r="BY207">
            <v>1145.1300000000001</v>
          </cell>
          <cell r="CF207">
            <v>2683.4809195938851</v>
          </cell>
          <cell r="CG207">
            <v>2142.25</v>
          </cell>
          <cell r="CJ207">
            <v>0</v>
          </cell>
          <cell r="CK207">
            <v>0</v>
          </cell>
          <cell r="CL207">
            <v>0</v>
          </cell>
          <cell r="CM207">
            <v>0</v>
          </cell>
          <cell r="CN207">
            <v>0</v>
          </cell>
          <cell r="CO207">
            <v>0</v>
          </cell>
          <cell r="CX207">
            <v>0</v>
          </cell>
          <cell r="CY207">
            <v>0</v>
          </cell>
          <cell r="DB207">
            <v>0</v>
          </cell>
          <cell r="DC207">
            <v>0</v>
          </cell>
          <cell r="DJ207" t="str">
            <v>НКРКП</v>
          </cell>
          <cell r="DL207">
            <v>40816</v>
          </cell>
          <cell r="DM207">
            <v>105</v>
          </cell>
          <cell r="DT207">
            <v>821.55</v>
          </cell>
        </row>
        <row r="208">
          <cell r="W208">
            <v>558.78</v>
          </cell>
          <cell r="AF208">
            <v>39871</v>
          </cell>
          <cell r="AG208">
            <v>51</v>
          </cell>
          <cell r="AH208">
            <v>447.02217642900786</v>
          </cell>
          <cell r="AM208">
            <v>4173.3500000000004</v>
          </cell>
          <cell r="AO208">
            <v>2331984.5130000003</v>
          </cell>
          <cell r="AQ208">
            <v>1865580</v>
          </cell>
          <cell r="AU208">
            <v>0</v>
          </cell>
          <cell r="AW208">
            <v>0</v>
          </cell>
          <cell r="AY208">
            <v>1459450.6575</v>
          </cell>
          <cell r="AZ208">
            <v>349.70722740723875</v>
          </cell>
          <cell r="BA208">
            <v>0</v>
          </cell>
          <cell r="BB208">
            <v>0</v>
          </cell>
          <cell r="BC208">
            <v>0</v>
          </cell>
          <cell r="BD208">
            <v>0</v>
          </cell>
          <cell r="BG208">
            <v>0</v>
          </cell>
          <cell r="BH208">
            <v>0</v>
          </cell>
          <cell r="BI208">
            <v>84650</v>
          </cell>
          <cell r="BJ208">
            <v>20.283465321624114</v>
          </cell>
          <cell r="BK208">
            <v>0</v>
          </cell>
          <cell r="BL208">
            <v>0</v>
          </cell>
          <cell r="BM208">
            <v>262610</v>
          </cell>
          <cell r="BN208">
            <v>62.925467550049717</v>
          </cell>
          <cell r="BO208">
            <v>0</v>
          </cell>
          <cell r="BP208">
            <v>0</v>
          </cell>
          <cell r="BY208">
            <v>1145.1300000000001</v>
          </cell>
          <cell r="CF208">
            <v>681.27</v>
          </cell>
          <cell r="CG208">
            <v>2142.25</v>
          </cell>
          <cell r="CJ208">
            <v>0</v>
          </cell>
          <cell r="CK208">
            <v>0</v>
          </cell>
          <cell r="CL208">
            <v>0</v>
          </cell>
          <cell r="CM208">
            <v>0</v>
          </cell>
          <cell r="CN208">
            <v>0</v>
          </cell>
          <cell r="CO208">
            <v>0</v>
          </cell>
          <cell r="CX208">
            <v>0</v>
          </cell>
          <cell r="CY208">
            <v>0</v>
          </cell>
          <cell r="DB208">
            <v>0</v>
          </cell>
          <cell r="DC208">
            <v>0</v>
          </cell>
          <cell r="DJ208" t="str">
            <v>НКРКП</v>
          </cell>
          <cell r="DL208">
            <v>40816</v>
          </cell>
          <cell r="DM208">
            <v>105</v>
          </cell>
          <cell r="DT208">
            <v>821.55</v>
          </cell>
        </row>
        <row r="209">
          <cell r="W209">
            <v>216.05</v>
          </cell>
          <cell r="AF209">
            <v>39441</v>
          </cell>
          <cell r="AG209">
            <v>47</v>
          </cell>
          <cell r="AH209">
            <v>215.18968757937515</v>
          </cell>
          <cell r="AM209">
            <v>19685</v>
          </cell>
          <cell r="AO209">
            <v>4252944.25</v>
          </cell>
          <cell r="AQ209">
            <v>4236009</v>
          </cell>
          <cell r="AU209">
            <v>0</v>
          </cell>
          <cell r="AW209">
            <v>0</v>
          </cell>
          <cell r="AY209">
            <v>1911367</v>
          </cell>
          <cell r="AZ209">
            <v>97.097637795275588</v>
          </cell>
          <cell r="BA209">
            <v>0</v>
          </cell>
          <cell r="BB209">
            <v>0</v>
          </cell>
          <cell r="BC209">
            <v>0</v>
          </cell>
          <cell r="BD209">
            <v>0</v>
          </cell>
          <cell r="BG209">
            <v>0</v>
          </cell>
          <cell r="BH209">
            <v>0</v>
          </cell>
          <cell r="BI209">
            <v>286436</v>
          </cell>
          <cell r="BJ209">
            <v>14.550977901955804</v>
          </cell>
          <cell r="BK209">
            <v>0</v>
          </cell>
          <cell r="BL209">
            <v>0</v>
          </cell>
          <cell r="BM209">
            <v>1520836</v>
          </cell>
          <cell r="BN209">
            <v>77.258623317246631</v>
          </cell>
          <cell r="BO209">
            <v>0</v>
          </cell>
          <cell r="BP209">
            <v>0</v>
          </cell>
          <cell r="BY209">
            <v>1620.75</v>
          </cell>
          <cell r="CF209">
            <v>2627.9588076775008</v>
          </cell>
          <cell r="CG209">
            <v>727.32</v>
          </cell>
          <cell r="CJ209">
            <v>0</v>
          </cell>
          <cell r="CK209">
            <v>0</v>
          </cell>
          <cell r="CL209">
            <v>0</v>
          </cell>
          <cell r="CM209">
            <v>0</v>
          </cell>
          <cell r="CN209">
            <v>0</v>
          </cell>
          <cell r="CO209">
            <v>0</v>
          </cell>
          <cell r="CX209">
            <v>0</v>
          </cell>
          <cell r="CY209">
            <v>0</v>
          </cell>
          <cell r="DB209">
            <v>0</v>
          </cell>
          <cell r="DC209">
            <v>0</v>
          </cell>
          <cell r="DJ209" t="str">
            <v>МОС</v>
          </cell>
          <cell r="DL209">
            <v>39793</v>
          </cell>
          <cell r="DM209">
            <v>1157</v>
          </cell>
          <cell r="DO209" t="str">
            <v>тариф на послуги з уентрального опалення без внутрішньобудинкових витрат</v>
          </cell>
          <cell r="DT209">
            <v>2016.05</v>
          </cell>
        </row>
        <row r="210">
          <cell r="W210">
            <v>431.35</v>
          </cell>
          <cell r="AF210">
            <v>39441</v>
          </cell>
          <cell r="AG210">
            <v>47</v>
          </cell>
          <cell r="AH210">
            <v>393.94702242846097</v>
          </cell>
          <cell r="AM210">
            <v>5172</v>
          </cell>
          <cell r="AO210">
            <v>2230942.2000000002</v>
          </cell>
          <cell r="AQ210">
            <v>2037494</v>
          </cell>
          <cell r="AU210">
            <v>0</v>
          </cell>
          <cell r="AW210">
            <v>0</v>
          </cell>
          <cell r="AY210">
            <v>1426701</v>
          </cell>
          <cell r="AZ210">
            <v>275.85092807424593</v>
          </cell>
          <cell r="BA210">
            <v>0</v>
          </cell>
          <cell r="BB210">
            <v>0</v>
          </cell>
          <cell r="BC210">
            <v>0</v>
          </cell>
          <cell r="BD210">
            <v>0</v>
          </cell>
          <cell r="BG210">
            <v>0</v>
          </cell>
          <cell r="BH210">
            <v>0</v>
          </cell>
          <cell r="BI210">
            <v>75257</v>
          </cell>
          <cell r="BJ210">
            <v>14.550850734725445</v>
          </cell>
          <cell r="BK210">
            <v>0</v>
          </cell>
          <cell r="BL210">
            <v>0</v>
          </cell>
          <cell r="BM210">
            <v>399576</v>
          </cell>
          <cell r="BN210">
            <v>77.257540603248259</v>
          </cell>
          <cell r="BO210">
            <v>0</v>
          </cell>
          <cell r="BP210">
            <v>0</v>
          </cell>
          <cell r="BY210">
            <v>1620.75</v>
          </cell>
          <cell r="CF210">
            <v>690.5051375249858</v>
          </cell>
          <cell r="CG210">
            <v>2066.17</v>
          </cell>
          <cell r="CJ210">
            <v>0</v>
          </cell>
          <cell r="CK210">
            <v>0</v>
          </cell>
          <cell r="CL210">
            <v>0</v>
          </cell>
          <cell r="CM210">
            <v>0</v>
          </cell>
          <cell r="CN210">
            <v>0</v>
          </cell>
          <cell r="CO210">
            <v>0</v>
          </cell>
          <cell r="CX210">
            <v>0</v>
          </cell>
          <cell r="CY210">
            <v>0</v>
          </cell>
          <cell r="DB210">
            <v>0</v>
          </cell>
          <cell r="DC210">
            <v>0</v>
          </cell>
          <cell r="DJ210" t="str">
            <v>НКРКП</v>
          </cell>
          <cell r="DL210">
            <v>40904</v>
          </cell>
          <cell r="DM210">
            <v>237</v>
          </cell>
          <cell r="DT210">
            <v>665.16</v>
          </cell>
        </row>
        <row r="211">
          <cell r="W211">
            <v>470.85</v>
          </cell>
          <cell r="AF211">
            <v>39441</v>
          </cell>
          <cell r="AG211">
            <v>47</v>
          </cell>
          <cell r="AH211">
            <v>393.95425174463685</v>
          </cell>
          <cell r="AM211">
            <v>19345</v>
          </cell>
          <cell r="AO211">
            <v>9108593.25</v>
          </cell>
          <cell r="AQ211">
            <v>7621045</v>
          </cell>
          <cell r="AU211">
            <v>0</v>
          </cell>
          <cell r="AW211">
            <v>0</v>
          </cell>
          <cell r="AY211">
            <v>5336576.1919499999</v>
          </cell>
          <cell r="AZ211">
            <v>275.86333377875417</v>
          </cell>
          <cell r="BA211">
            <v>0</v>
          </cell>
          <cell r="BB211">
            <v>0</v>
          </cell>
          <cell r="BC211">
            <v>0</v>
          </cell>
          <cell r="BD211">
            <v>0</v>
          </cell>
          <cell r="BG211">
            <v>0</v>
          </cell>
          <cell r="BH211">
            <v>0</v>
          </cell>
          <cell r="BI211">
            <v>281637</v>
          </cell>
          <cell r="BJ211">
            <v>14.558645644869475</v>
          </cell>
          <cell r="BK211">
            <v>0</v>
          </cell>
          <cell r="BL211">
            <v>0</v>
          </cell>
          <cell r="BM211">
            <v>1495355</v>
          </cell>
          <cell r="BN211">
            <v>77.299302145257172</v>
          </cell>
          <cell r="BO211">
            <v>0</v>
          </cell>
          <cell r="BP211">
            <v>0</v>
          </cell>
          <cell r="BY211">
            <v>1620.75</v>
          </cell>
          <cell r="CF211">
            <v>2582.835</v>
          </cell>
          <cell r="CG211">
            <v>2066.17</v>
          </cell>
          <cell r="CJ211">
            <v>0</v>
          </cell>
          <cell r="CK211">
            <v>0</v>
          </cell>
          <cell r="CL211">
            <v>0</v>
          </cell>
          <cell r="CM211">
            <v>0</v>
          </cell>
          <cell r="CN211">
            <v>0</v>
          </cell>
          <cell r="CO211">
            <v>0</v>
          </cell>
          <cell r="CX211">
            <v>0</v>
          </cell>
          <cell r="CY211">
            <v>0</v>
          </cell>
          <cell r="DB211">
            <v>0</v>
          </cell>
          <cell r="DC211">
            <v>0</v>
          </cell>
          <cell r="DJ211" t="str">
            <v>НКРКП</v>
          </cell>
          <cell r="DL211">
            <v>40904</v>
          </cell>
          <cell r="DM211">
            <v>237</v>
          </cell>
          <cell r="DT211">
            <v>704.66</v>
          </cell>
        </row>
        <row r="212">
          <cell r="W212">
            <v>207.49</v>
          </cell>
          <cell r="AF212">
            <v>40050</v>
          </cell>
          <cell r="AG212" t="str">
            <v>6/1/3-340</v>
          </cell>
          <cell r="AH212">
            <v>198.18049291220146</v>
          </cell>
          <cell r="AM212">
            <v>474689</v>
          </cell>
          <cell r="AO212">
            <v>98493220.609999999</v>
          </cell>
          <cell r="AQ212">
            <v>94074100</v>
          </cell>
          <cell r="AU212">
            <v>0</v>
          </cell>
          <cell r="AW212">
            <v>45850499.999999993</v>
          </cell>
          <cell r="AY212">
            <v>24106200</v>
          </cell>
          <cell r="AZ212">
            <v>50.783144332394471</v>
          </cell>
          <cell r="BA212">
            <v>0</v>
          </cell>
          <cell r="BB212">
            <v>0</v>
          </cell>
          <cell r="BC212">
            <v>0</v>
          </cell>
          <cell r="BD212">
            <v>0</v>
          </cell>
          <cell r="BG212">
            <v>0</v>
          </cell>
          <cell r="BH212">
            <v>0</v>
          </cell>
          <cell r="BI212">
            <v>5609460</v>
          </cell>
          <cell r="BJ212">
            <v>11.817126581825153</v>
          </cell>
          <cell r="BK212">
            <v>0</v>
          </cell>
          <cell r="BL212">
            <v>0</v>
          </cell>
          <cell r="BM212">
            <v>13600760</v>
          </cell>
          <cell r="BN212">
            <v>28.651938427054343</v>
          </cell>
          <cell r="BO212">
            <v>0</v>
          </cell>
          <cell r="BP212">
            <v>0</v>
          </cell>
          <cell r="BY212">
            <v>1996.8</v>
          </cell>
          <cell r="CF212">
            <v>33143.87064840785</v>
          </cell>
          <cell r="CG212">
            <v>727.32</v>
          </cell>
          <cell r="CJ212">
            <v>0</v>
          </cell>
          <cell r="CK212">
            <v>0</v>
          </cell>
          <cell r="CL212">
            <v>0</v>
          </cell>
          <cell r="CM212">
            <v>305323.9661716721</v>
          </cell>
          <cell r="CN212">
            <v>150.16999999999999</v>
          </cell>
          <cell r="CO212">
            <v>227.44</v>
          </cell>
          <cell r="CX212">
            <v>0</v>
          </cell>
          <cell r="CY212">
            <v>0</v>
          </cell>
          <cell r="DB212">
            <v>0</v>
          </cell>
          <cell r="DC212">
            <v>0</v>
          </cell>
          <cell r="DJ212" t="str">
            <v>НКРЕ</v>
          </cell>
          <cell r="DL212">
            <v>40526</v>
          </cell>
          <cell r="DM212">
            <v>1857</v>
          </cell>
          <cell r="DO212" t="str">
            <v>тариф на теплову енергію для споживачів без приладів обліку</v>
          </cell>
          <cell r="DT212">
            <v>228.24</v>
          </cell>
        </row>
        <row r="213">
          <cell r="W213">
            <v>485.47</v>
          </cell>
          <cell r="AF213">
            <v>40050</v>
          </cell>
          <cell r="AG213" t="str">
            <v>6/1/3-340</v>
          </cell>
          <cell r="AH213">
            <v>422.8579181469774</v>
          </cell>
          <cell r="AM213">
            <v>142100</v>
          </cell>
          <cell r="AO213">
            <v>68985287</v>
          </cell>
          <cell r="AQ213">
            <v>60088110.168685488</v>
          </cell>
          <cell r="AU213">
            <v>0</v>
          </cell>
          <cell r="AW213">
            <v>39272978.431756511</v>
          </cell>
          <cell r="AY213">
            <v>13640002.037399782</v>
          </cell>
          <cell r="AZ213">
            <v>95.988754661504444</v>
          </cell>
          <cell r="BA213">
            <v>0</v>
          </cell>
          <cell r="BB213">
            <v>0</v>
          </cell>
          <cell r="BC213">
            <v>0</v>
          </cell>
          <cell r="BD213">
            <v>0</v>
          </cell>
          <cell r="BG213">
            <v>0</v>
          </cell>
          <cell r="BH213">
            <v>0</v>
          </cell>
          <cell r="BI213">
            <v>1685944.3309928107</v>
          </cell>
          <cell r="BJ213">
            <v>11.864492125213305</v>
          </cell>
          <cell r="BK213">
            <v>0</v>
          </cell>
          <cell r="BL213">
            <v>0</v>
          </cell>
          <cell r="BM213">
            <v>4071675.6091420259</v>
          </cell>
          <cell r="BN213">
            <v>28.653593308529388</v>
          </cell>
          <cell r="BO213">
            <v>0</v>
          </cell>
          <cell r="BP213">
            <v>0</v>
          </cell>
          <cell r="BY213">
            <v>1996.8</v>
          </cell>
          <cell r="CF213">
            <v>6367.1383066401131</v>
          </cell>
          <cell r="CG213">
            <v>2142.25</v>
          </cell>
          <cell r="CJ213">
            <v>0</v>
          </cell>
          <cell r="CK213">
            <v>0</v>
          </cell>
          <cell r="CL213">
            <v>0</v>
          </cell>
          <cell r="CM213">
            <v>117176.80639621825</v>
          </cell>
          <cell r="CN213">
            <v>335.16</v>
          </cell>
          <cell r="CO213">
            <v>669.09</v>
          </cell>
          <cell r="CX213">
            <v>0</v>
          </cell>
          <cell r="CY213">
            <v>0</v>
          </cell>
          <cell r="DB213">
            <v>0</v>
          </cell>
          <cell r="DC213">
            <v>0</v>
          </cell>
          <cell r="DJ213" t="str">
            <v>НКРКП</v>
          </cell>
          <cell r="DL213">
            <v>40816</v>
          </cell>
          <cell r="DM213">
            <v>121</v>
          </cell>
          <cell r="DO213" t="str">
            <v>без приладів обліку</v>
          </cell>
          <cell r="DT213">
            <v>742.42</v>
          </cell>
        </row>
        <row r="214">
          <cell r="W214">
            <v>638.54999999999995</v>
          </cell>
          <cell r="AF214">
            <v>40050</v>
          </cell>
          <cell r="AG214" t="str">
            <v>6/1/3-340</v>
          </cell>
          <cell r="AH214">
            <v>422.8579181469774</v>
          </cell>
          <cell r="AM214">
            <v>36635</v>
          </cell>
          <cell r="AO214">
            <v>23393279.25</v>
          </cell>
          <cell r="AQ214">
            <v>15491399.831314517</v>
          </cell>
          <cell r="AU214">
            <v>0</v>
          </cell>
          <cell r="AW214">
            <v>10125021.568243489</v>
          </cell>
          <cell r="AY214">
            <v>3516548.027024216</v>
          </cell>
          <cell r="AZ214">
            <v>95.988754661504458</v>
          </cell>
          <cell r="BA214">
            <v>0</v>
          </cell>
          <cell r="BB214">
            <v>0</v>
          </cell>
          <cell r="BC214">
            <v>0</v>
          </cell>
          <cell r="BD214">
            <v>0</v>
          </cell>
          <cell r="BG214">
            <v>0</v>
          </cell>
          <cell r="BH214">
            <v>0</v>
          </cell>
          <cell r="BI214">
            <v>434655.6690071894</v>
          </cell>
          <cell r="BJ214">
            <v>11.864492125213305</v>
          </cell>
          <cell r="BK214">
            <v>0</v>
          </cell>
          <cell r="BL214">
            <v>0</v>
          </cell>
          <cell r="BM214">
            <v>1049724.3908579741</v>
          </cell>
          <cell r="BN214">
            <v>28.653593308529388</v>
          </cell>
          <cell r="BO214">
            <v>0</v>
          </cell>
          <cell r="BP214">
            <v>0</v>
          </cell>
          <cell r="BY214">
            <v>1996.8</v>
          </cell>
          <cell r="CF214">
            <v>1641.5208435169639</v>
          </cell>
          <cell r="CG214">
            <v>2142.25</v>
          </cell>
          <cell r="CJ214">
            <v>0</v>
          </cell>
          <cell r="CK214">
            <v>0</v>
          </cell>
          <cell r="CL214">
            <v>0</v>
          </cell>
          <cell r="CM214">
            <v>30209.516554014466</v>
          </cell>
          <cell r="CN214">
            <v>335.16</v>
          </cell>
          <cell r="CO214">
            <v>669.09</v>
          </cell>
          <cell r="CX214">
            <v>0</v>
          </cell>
          <cell r="CY214">
            <v>0</v>
          </cell>
          <cell r="DB214">
            <v>0</v>
          </cell>
          <cell r="DC214">
            <v>0</v>
          </cell>
          <cell r="DJ214" t="str">
            <v>НКРКП</v>
          </cell>
          <cell r="DL214">
            <v>40816</v>
          </cell>
          <cell r="DM214">
            <v>121</v>
          </cell>
          <cell r="DO214" t="str">
            <v>без приладів обліку</v>
          </cell>
          <cell r="DT214">
            <v>893.52</v>
          </cell>
        </row>
        <row r="215">
          <cell r="W215">
            <v>214.77</v>
          </cell>
          <cell r="AF215">
            <v>40050</v>
          </cell>
          <cell r="AG215" t="str">
            <v>6/1/3-341</v>
          </cell>
          <cell r="AH215">
            <v>205.12178872621504</v>
          </cell>
          <cell r="AM215">
            <v>61541</v>
          </cell>
          <cell r="AO215">
            <v>13217160.57</v>
          </cell>
          <cell r="AQ215">
            <v>12623400</v>
          </cell>
          <cell r="AU215">
            <v>0</v>
          </cell>
          <cell r="AW215">
            <v>5944329.2799999993</v>
          </cell>
          <cell r="AY215">
            <v>3125314</v>
          </cell>
          <cell r="AZ215">
            <v>50.784257649371966</v>
          </cell>
          <cell r="BA215">
            <v>0</v>
          </cell>
          <cell r="BB215">
            <v>0</v>
          </cell>
          <cell r="BC215">
            <v>0</v>
          </cell>
          <cell r="BD215">
            <v>0</v>
          </cell>
          <cell r="BG215">
            <v>0</v>
          </cell>
          <cell r="BH215">
            <v>0</v>
          </cell>
          <cell r="BI215">
            <v>727240</v>
          </cell>
          <cell r="BJ215">
            <v>11.817162542045141</v>
          </cell>
          <cell r="BK215">
            <v>0</v>
          </cell>
          <cell r="BL215">
            <v>0</v>
          </cell>
          <cell r="BM215">
            <v>1763180</v>
          </cell>
          <cell r="BN215">
            <v>28.650493167156856</v>
          </cell>
          <cell r="BO215">
            <v>0</v>
          </cell>
          <cell r="BP215">
            <v>0</v>
          </cell>
          <cell r="BY215">
            <v>1996.8</v>
          </cell>
          <cell r="CF215">
            <v>4297.0274432161905</v>
          </cell>
          <cell r="CG215">
            <v>727.32</v>
          </cell>
          <cell r="CJ215">
            <v>0</v>
          </cell>
          <cell r="CK215">
            <v>0</v>
          </cell>
          <cell r="CL215">
            <v>0</v>
          </cell>
          <cell r="CM215">
            <v>39584</v>
          </cell>
          <cell r="CN215">
            <v>150.16999999999999</v>
          </cell>
          <cell r="CO215">
            <v>227.44</v>
          </cell>
          <cell r="CX215">
            <v>0</v>
          </cell>
          <cell r="CY215">
            <v>0</v>
          </cell>
          <cell r="DB215">
            <v>0</v>
          </cell>
          <cell r="DC215">
            <v>0</v>
          </cell>
          <cell r="DJ215" t="str">
            <v>НКРЕ</v>
          </cell>
          <cell r="DL215">
            <v>40526</v>
          </cell>
          <cell r="DM215">
            <v>1857</v>
          </cell>
          <cell r="DO215" t="str">
            <v>тариф на теплову енергію для споживачів з приладами обліку</v>
          </cell>
          <cell r="DT215">
            <v>236.24</v>
          </cell>
        </row>
        <row r="216">
          <cell r="W216">
            <v>494.5</v>
          </cell>
          <cell r="AF216">
            <v>40050</v>
          </cell>
          <cell r="AG216" t="str">
            <v>6/1/3-341</v>
          </cell>
          <cell r="AH216">
            <v>429.79922408178288</v>
          </cell>
          <cell r="AM216">
            <v>18.007999999999999</v>
          </cell>
          <cell r="AO216">
            <v>8904.9560000000001</v>
          </cell>
          <cell r="AQ216">
            <v>7739.8244272647462</v>
          </cell>
          <cell r="AU216">
            <v>0</v>
          </cell>
          <cell r="AW216">
            <v>4977.9373703735373</v>
          </cell>
          <cell r="AY216">
            <v>1727.5005097272954</v>
          </cell>
          <cell r="AZ216">
            <v>95.929615155891568</v>
          </cell>
          <cell r="BA216">
            <v>0</v>
          </cell>
          <cell r="BB216">
            <v>0</v>
          </cell>
          <cell r="BC216">
            <v>0</v>
          </cell>
          <cell r="BD216">
            <v>0</v>
          </cell>
          <cell r="BG216">
            <v>0</v>
          </cell>
          <cell r="BH216">
            <v>0</v>
          </cell>
          <cell r="BI216">
            <v>215.13677682439891</v>
          </cell>
          <cell r="BJ216">
            <v>11.946733497578794</v>
          </cell>
          <cell r="BK216">
            <v>0</v>
          </cell>
          <cell r="BL216">
            <v>0</v>
          </cell>
          <cell r="BM216">
            <v>797.75904057995638</v>
          </cell>
          <cell r="BN216">
            <v>44.300257695466257</v>
          </cell>
          <cell r="BO216">
            <v>0</v>
          </cell>
          <cell r="BP216">
            <v>0</v>
          </cell>
          <cell r="BY216">
            <v>1996.8</v>
          </cell>
          <cell r="CF216">
            <v>0.8063953832313201</v>
          </cell>
          <cell r="CG216">
            <v>2142.25</v>
          </cell>
          <cell r="CJ216">
            <v>0</v>
          </cell>
          <cell r="CK216">
            <v>0</v>
          </cell>
          <cell r="CL216">
            <v>0</v>
          </cell>
          <cell r="CM216">
            <v>14.852420844890611</v>
          </cell>
          <cell r="CN216">
            <v>335.16</v>
          </cell>
          <cell r="CO216">
            <v>669.09</v>
          </cell>
          <cell r="CX216">
            <v>0</v>
          </cell>
          <cell r="CY216">
            <v>0</v>
          </cell>
          <cell r="DB216">
            <v>0</v>
          </cell>
          <cell r="DC216">
            <v>0</v>
          </cell>
          <cell r="DJ216" t="str">
            <v>НКРКП</v>
          </cell>
          <cell r="DL216">
            <v>40816</v>
          </cell>
          <cell r="DM216">
            <v>121</v>
          </cell>
          <cell r="DO216" t="str">
            <v>з приладами обліку</v>
          </cell>
          <cell r="DT216">
            <v>751.05</v>
          </cell>
        </row>
        <row r="217">
          <cell r="W217">
            <v>644.70000000000005</v>
          </cell>
          <cell r="AF217">
            <v>40050</v>
          </cell>
          <cell r="AG217" t="str">
            <v>6/1/3-341</v>
          </cell>
          <cell r="AH217">
            <v>429.79922408178288</v>
          </cell>
          <cell r="AM217">
            <v>547</v>
          </cell>
          <cell r="AO217">
            <v>352650.9</v>
          </cell>
          <cell r="AQ217">
            <v>235100.17557273523</v>
          </cell>
          <cell r="AU217">
            <v>0</v>
          </cell>
          <cell r="AW217">
            <v>151206.78262962712</v>
          </cell>
          <cell r="AY217">
            <v>52473.499490272698</v>
          </cell>
          <cell r="AZ217">
            <v>95.929615155891582</v>
          </cell>
          <cell r="BA217">
            <v>0</v>
          </cell>
          <cell r="BB217">
            <v>0</v>
          </cell>
          <cell r="BC217">
            <v>0</v>
          </cell>
          <cell r="BD217">
            <v>0</v>
          </cell>
          <cell r="BG217">
            <v>0</v>
          </cell>
          <cell r="BH217">
            <v>0</v>
          </cell>
          <cell r="BI217">
            <v>6534.8632231756001</v>
          </cell>
          <cell r="BJ217">
            <v>11.946733497578794</v>
          </cell>
          <cell r="BK217">
            <v>0</v>
          </cell>
          <cell r="BL217">
            <v>0</v>
          </cell>
          <cell r="BM217">
            <v>24232.240959420044</v>
          </cell>
          <cell r="BN217">
            <v>44.300257695466257</v>
          </cell>
          <cell r="BO217">
            <v>0</v>
          </cell>
          <cell r="BP217">
            <v>0</v>
          </cell>
          <cell r="BY217">
            <v>1996.8</v>
          </cell>
          <cell r="CF217">
            <v>24.494573224540879</v>
          </cell>
          <cell r="CG217">
            <v>2142.25</v>
          </cell>
          <cell r="CJ217">
            <v>0</v>
          </cell>
          <cell r="CK217">
            <v>0</v>
          </cell>
          <cell r="CL217">
            <v>0</v>
          </cell>
          <cell r="CM217">
            <v>451.14805653904733</v>
          </cell>
          <cell r="CN217">
            <v>335.16</v>
          </cell>
          <cell r="CO217">
            <v>669.09</v>
          </cell>
          <cell r="CX217">
            <v>0</v>
          </cell>
          <cell r="CY217">
            <v>0</v>
          </cell>
          <cell r="DB217">
            <v>0</v>
          </cell>
          <cell r="DC217">
            <v>0</v>
          </cell>
          <cell r="DJ217" t="str">
            <v>НКРКП</v>
          </cell>
          <cell r="DL217">
            <v>40816</v>
          </cell>
          <cell r="DM217">
            <v>121</v>
          </cell>
          <cell r="DO217" t="str">
            <v>з приладами обліку</v>
          </cell>
          <cell r="DT217">
            <v>901.25</v>
          </cell>
        </row>
        <row r="218">
          <cell r="W218">
            <v>206.68</v>
          </cell>
          <cell r="AF218">
            <v>40448</v>
          </cell>
          <cell r="AG218" t="str">
            <v>6/1/1-2956/1/1-296</v>
          </cell>
          <cell r="AH218">
            <v>263.61155096403098</v>
          </cell>
          <cell r="AM218">
            <v>52851</v>
          </cell>
          <cell r="AO218">
            <v>10923244.68</v>
          </cell>
          <cell r="AQ218">
            <v>13932134.08</v>
          </cell>
          <cell r="AU218">
            <v>0</v>
          </cell>
          <cell r="AW218">
            <v>10443968.08</v>
          </cell>
          <cell r="AY218">
            <v>0</v>
          </cell>
          <cell r="AZ218">
            <v>0</v>
          </cell>
          <cell r="BA218">
            <v>0</v>
          </cell>
          <cell r="BB218">
            <v>0</v>
          </cell>
          <cell r="BC218">
            <v>0</v>
          </cell>
          <cell r="BD218">
            <v>0</v>
          </cell>
          <cell r="BG218">
            <v>0</v>
          </cell>
          <cell r="BH218">
            <v>0</v>
          </cell>
          <cell r="BI218">
            <v>30144.433700000001</v>
          </cell>
          <cell r="BJ218">
            <v>0.57036638284989882</v>
          </cell>
          <cell r="BK218">
            <v>0</v>
          </cell>
          <cell r="BL218">
            <v>0</v>
          </cell>
          <cell r="BM218">
            <v>418276.99140000006</v>
          </cell>
          <cell r="BN218">
            <v>7.9142682522563446</v>
          </cell>
          <cell r="BO218">
            <v>0</v>
          </cell>
          <cell r="BP218">
            <v>0</v>
          </cell>
          <cell r="BY218">
            <v>2748</v>
          </cell>
          <cell r="CF218">
            <v>0</v>
          </cell>
          <cell r="CG218">
            <v>0</v>
          </cell>
          <cell r="CJ218">
            <v>0</v>
          </cell>
          <cell r="CK218">
            <v>0</v>
          </cell>
          <cell r="CL218">
            <v>0</v>
          </cell>
          <cell r="CM218">
            <v>60749</v>
          </cell>
          <cell r="CN218">
            <v>171.92</v>
          </cell>
          <cell r="CO218">
            <v>181.85</v>
          </cell>
          <cell r="CX218">
            <v>0</v>
          </cell>
          <cell r="CY218">
            <v>0</v>
          </cell>
          <cell r="DB218">
            <v>0</v>
          </cell>
          <cell r="DC218">
            <v>0</v>
          </cell>
          <cell r="DJ218" t="str">
            <v>МОС</v>
          </cell>
          <cell r="DL218">
            <v>41228</v>
          </cell>
          <cell r="DM218">
            <v>471</v>
          </cell>
          <cell r="DO218" t="str">
            <v>послуга з централізованого опалення</v>
          </cell>
          <cell r="DT218">
            <v>206.68</v>
          </cell>
        </row>
        <row r="219">
          <cell r="W219">
            <v>508.27</v>
          </cell>
          <cell r="AF219">
            <v>40448</v>
          </cell>
          <cell r="AG219" t="str">
            <v>6/1/1-2956/1/1-296</v>
          </cell>
          <cell r="AH219">
            <v>490.1023559496652</v>
          </cell>
          <cell r="AM219">
            <v>13589</v>
          </cell>
          <cell r="AO219">
            <v>6906881.0299999993</v>
          </cell>
          <cell r="AQ219">
            <v>6660000.915</v>
          </cell>
          <cell r="AU219">
            <v>0</v>
          </cell>
          <cell r="AW219">
            <v>5763126.915</v>
          </cell>
          <cell r="AY219">
            <v>0</v>
          </cell>
          <cell r="AZ219">
            <v>0</v>
          </cell>
          <cell r="BA219">
            <v>0</v>
          </cell>
          <cell r="BB219">
            <v>0</v>
          </cell>
          <cell r="BC219">
            <v>0</v>
          </cell>
          <cell r="BD219">
            <v>0</v>
          </cell>
          <cell r="BG219">
            <v>0</v>
          </cell>
          <cell r="BH219">
            <v>0</v>
          </cell>
          <cell r="BI219">
            <v>7750.7088000000003</v>
          </cell>
          <cell r="BJ219">
            <v>0.57036638457575983</v>
          </cell>
          <cell r="BK219">
            <v>0</v>
          </cell>
          <cell r="BL219">
            <v>0</v>
          </cell>
          <cell r="BM219">
            <v>107546.99130000001</v>
          </cell>
          <cell r="BN219">
            <v>7.9142682537346394</v>
          </cell>
          <cell r="BO219">
            <v>0</v>
          </cell>
          <cell r="BP219">
            <v>0</v>
          </cell>
          <cell r="BY219">
            <v>2748</v>
          </cell>
          <cell r="CF219">
            <v>0</v>
          </cell>
          <cell r="CG219">
            <v>0</v>
          </cell>
          <cell r="CJ219">
            <v>0</v>
          </cell>
          <cell r="CK219">
            <v>0</v>
          </cell>
          <cell r="CL219">
            <v>0</v>
          </cell>
          <cell r="CM219">
            <v>15619.5</v>
          </cell>
          <cell r="CN219">
            <v>368.97</v>
          </cell>
          <cell r="CO219">
            <v>647.03</v>
          </cell>
          <cell r="CX219">
            <v>0</v>
          </cell>
          <cell r="CY219">
            <v>0</v>
          </cell>
          <cell r="DB219">
            <v>0</v>
          </cell>
          <cell r="DC219">
            <v>0</v>
          </cell>
          <cell r="DJ219" t="str">
            <v>МОС</v>
          </cell>
          <cell r="DL219">
            <v>41228</v>
          </cell>
          <cell r="DM219">
            <v>471</v>
          </cell>
          <cell r="DT219">
            <v>778.85</v>
          </cell>
        </row>
        <row r="220">
          <cell r="W220">
            <v>550.66999999999996</v>
          </cell>
          <cell r="AF220">
            <v>40448</v>
          </cell>
          <cell r="AG220" t="str">
            <v>6/1/1-2956/1/1-296</v>
          </cell>
          <cell r="AH220">
            <v>490.09760433070875</v>
          </cell>
          <cell r="AM220">
            <v>2286</v>
          </cell>
          <cell r="AO220">
            <v>1258831.6199999999</v>
          </cell>
          <cell r="AQ220">
            <v>1120363.1235000002</v>
          </cell>
          <cell r="AU220">
            <v>0</v>
          </cell>
          <cell r="AW220">
            <v>969487.1235000001</v>
          </cell>
          <cell r="AY220">
            <v>0</v>
          </cell>
          <cell r="AZ220">
            <v>0</v>
          </cell>
          <cell r="BA220">
            <v>0</v>
          </cell>
          <cell r="BB220">
            <v>0</v>
          </cell>
          <cell r="BC220">
            <v>0</v>
          </cell>
          <cell r="BD220">
            <v>0</v>
          </cell>
          <cell r="BG220">
            <v>0</v>
          </cell>
          <cell r="BH220">
            <v>0</v>
          </cell>
          <cell r="BI220">
            <v>1303.8576</v>
          </cell>
          <cell r="BJ220">
            <v>0.57036640419947504</v>
          </cell>
          <cell r="BK220">
            <v>0</v>
          </cell>
          <cell r="BL220">
            <v>0</v>
          </cell>
          <cell r="BM220">
            <v>18092.0173</v>
          </cell>
          <cell r="BN220">
            <v>7.914268285214348</v>
          </cell>
          <cell r="BO220">
            <v>0</v>
          </cell>
          <cell r="BP220">
            <v>0</v>
          </cell>
          <cell r="BY220">
            <v>2748</v>
          </cell>
          <cell r="CF220">
            <v>0</v>
          </cell>
          <cell r="CG220">
            <v>0</v>
          </cell>
          <cell r="CJ220">
            <v>0</v>
          </cell>
          <cell r="CK220">
            <v>0</v>
          </cell>
          <cell r="CL220">
            <v>0</v>
          </cell>
          <cell r="CM220">
            <v>2627.55</v>
          </cell>
          <cell r="CN220">
            <v>368.97</v>
          </cell>
          <cell r="CO220">
            <v>647.03</v>
          </cell>
          <cell r="CX220">
            <v>0</v>
          </cell>
          <cell r="CY220">
            <v>0</v>
          </cell>
          <cell r="DB220">
            <v>0</v>
          </cell>
          <cell r="DC220">
            <v>0</v>
          </cell>
          <cell r="DJ220" t="str">
            <v>МОС</v>
          </cell>
          <cell r="DL220">
            <v>41228</v>
          </cell>
          <cell r="DM220">
            <v>471</v>
          </cell>
          <cell r="DT220">
            <v>778.85</v>
          </cell>
        </row>
        <row r="221">
          <cell r="W221">
            <v>325.55720688054345</v>
          </cell>
          <cell r="AF221">
            <v>40429</v>
          </cell>
          <cell r="AG221">
            <v>431</v>
          </cell>
          <cell r="AH221">
            <v>414.03069500806566</v>
          </cell>
          <cell r="AM221">
            <v>35477.43</v>
          </cell>
          <cell r="AO221">
            <v>11549933.018099999</v>
          </cell>
          <cell r="AQ221">
            <v>14688744.999999998</v>
          </cell>
          <cell r="AU221">
            <v>0</v>
          </cell>
          <cell r="AW221">
            <v>0</v>
          </cell>
          <cell r="AY221">
            <v>5844083.3299999991</v>
          </cell>
          <cell r="AZ221">
            <v>164.72679475373496</v>
          </cell>
          <cell r="BA221">
            <v>0</v>
          </cell>
          <cell r="BB221">
            <v>0</v>
          </cell>
          <cell r="BC221">
            <v>0</v>
          </cell>
          <cell r="BD221">
            <v>0</v>
          </cell>
          <cell r="BG221">
            <v>0</v>
          </cell>
          <cell r="BH221">
            <v>0</v>
          </cell>
          <cell r="BI221">
            <v>1212747.9999999998</v>
          </cell>
          <cell r="BJ221">
            <v>34.183648590103616</v>
          </cell>
          <cell r="BK221">
            <v>0</v>
          </cell>
          <cell r="BL221">
            <v>0</v>
          </cell>
          <cell r="BM221">
            <v>4665122.7389464229</v>
          </cell>
          <cell r="BN221">
            <v>131.49550965068278</v>
          </cell>
          <cell r="BO221">
            <v>0</v>
          </cell>
          <cell r="BP221">
            <v>0</v>
          </cell>
          <cell r="BY221">
            <v>3388.2712962962964</v>
          </cell>
          <cell r="CF221">
            <v>5356.6299999999992</v>
          </cell>
          <cell r="CG221">
            <v>1091</v>
          </cell>
          <cell r="CJ221">
            <v>0</v>
          </cell>
          <cell r="CK221">
            <v>0</v>
          </cell>
          <cell r="CL221">
            <v>0</v>
          </cell>
          <cell r="CM221">
            <v>0</v>
          </cell>
          <cell r="CN221">
            <v>0</v>
          </cell>
          <cell r="CO221">
            <v>0</v>
          </cell>
          <cell r="CX221">
            <v>0</v>
          </cell>
          <cell r="CY221">
            <v>0</v>
          </cell>
          <cell r="DB221">
            <v>0</v>
          </cell>
          <cell r="DC221">
            <v>0</v>
          </cell>
          <cell r="DJ221" t="str">
            <v>МОС</v>
          </cell>
          <cell r="DL221" t="str">
            <v>23.12.2010;  23.12.2010; 01.02.2011</v>
          </cell>
          <cell r="DM221" t="str">
            <v>2345, 324, 9</v>
          </cell>
          <cell r="DO221" t="str">
            <v>Тариф на теплову енергію (за наявності приладів обліку)</v>
          </cell>
          <cell r="DT221">
            <v>325.55720688054345</v>
          </cell>
        </row>
        <row r="222">
          <cell r="W222">
            <v>696.48</v>
          </cell>
          <cell r="AF222">
            <v>40429</v>
          </cell>
          <cell r="AG222">
            <v>432</v>
          </cell>
          <cell r="AH222">
            <v>633.15974263847852</v>
          </cell>
          <cell r="AM222">
            <v>1782.92</v>
          </cell>
          <cell r="AO222">
            <v>1241768.1216000002</v>
          </cell>
          <cell r="AQ222">
            <v>1128873.1683449962</v>
          </cell>
          <cell r="AU222">
            <v>0</v>
          </cell>
          <cell r="AW222">
            <v>0</v>
          </cell>
          <cell r="AY222">
            <v>672565.2352272002</v>
          </cell>
          <cell r="AZ222">
            <v>377.22681624929902</v>
          </cell>
          <cell r="BA222">
            <v>0</v>
          </cell>
          <cell r="BB222">
            <v>0</v>
          </cell>
          <cell r="BC222">
            <v>0</v>
          </cell>
          <cell r="BD222">
            <v>0</v>
          </cell>
          <cell r="BG222">
            <v>0</v>
          </cell>
          <cell r="BH222">
            <v>0</v>
          </cell>
          <cell r="BI222">
            <v>61472.881891107696</v>
          </cell>
          <cell r="BJ222">
            <v>34.478766232420803</v>
          </cell>
          <cell r="BK222">
            <v>0</v>
          </cell>
          <cell r="BL222">
            <v>0</v>
          </cell>
          <cell r="BM222">
            <v>245971.8965124879</v>
          </cell>
          <cell r="BN222">
            <v>137.96014207731579</v>
          </cell>
          <cell r="BO222">
            <v>0</v>
          </cell>
          <cell r="BP222">
            <v>0</v>
          </cell>
          <cell r="BY222">
            <v>3388.2712962962964</v>
          </cell>
          <cell r="CF222">
            <v>272.85257865392271</v>
          </cell>
          <cell r="CG222">
            <v>2464.94</v>
          </cell>
          <cell r="CJ222">
            <v>0</v>
          </cell>
          <cell r="CK222">
            <v>0</v>
          </cell>
          <cell r="CL222">
            <v>0</v>
          </cell>
          <cell r="CM222">
            <v>0</v>
          </cell>
          <cell r="CN222">
            <v>0</v>
          </cell>
          <cell r="CO222">
            <v>0</v>
          </cell>
          <cell r="CX222">
            <v>0</v>
          </cell>
          <cell r="CY222">
            <v>0</v>
          </cell>
          <cell r="DB222">
            <v>0</v>
          </cell>
          <cell r="DC222">
            <v>0</v>
          </cell>
          <cell r="DJ222" t="str">
            <v>НКРКП</v>
          </cell>
          <cell r="DL222">
            <v>40836</v>
          </cell>
          <cell r="DM222">
            <v>213</v>
          </cell>
          <cell r="DT222">
            <v>893.44</v>
          </cell>
        </row>
        <row r="223">
          <cell r="W223">
            <v>696.48</v>
          </cell>
          <cell r="AF223">
            <v>40429</v>
          </cell>
          <cell r="AG223">
            <v>432</v>
          </cell>
          <cell r="AH223">
            <v>633.15539463804498</v>
          </cell>
          <cell r="AM223">
            <v>502.05500000000001</v>
          </cell>
          <cell r="AO223">
            <v>349671.26640000002</v>
          </cell>
          <cell r="AQ223">
            <v>317878.83165500365</v>
          </cell>
          <cell r="AU223">
            <v>0</v>
          </cell>
          <cell r="AW223">
            <v>0</v>
          </cell>
          <cell r="AY223">
            <v>189387.30867279967</v>
          </cell>
          <cell r="AZ223">
            <v>377.2242257776532</v>
          </cell>
          <cell r="BA223">
            <v>0</v>
          </cell>
          <cell r="BB223">
            <v>0</v>
          </cell>
          <cell r="BC223">
            <v>0</v>
          </cell>
          <cell r="BD223">
            <v>0</v>
          </cell>
          <cell r="BG223">
            <v>0</v>
          </cell>
          <cell r="BH223">
            <v>0</v>
          </cell>
          <cell r="BI223">
            <v>17310.1181088923</v>
          </cell>
          <cell r="BJ223">
            <v>34.478529461697029</v>
          </cell>
          <cell r="BK223">
            <v>0</v>
          </cell>
          <cell r="BL223">
            <v>0</v>
          </cell>
          <cell r="BM223">
            <v>69263.103487512082</v>
          </cell>
          <cell r="BN223">
            <v>137.95919468486935</v>
          </cell>
          <cell r="BO223">
            <v>0</v>
          </cell>
          <cell r="BP223">
            <v>0</v>
          </cell>
          <cell r="BY223">
            <v>3388.2712962962964</v>
          </cell>
          <cell r="CF223">
            <v>76.832421346077254</v>
          </cell>
          <cell r="CG223">
            <v>2464.94</v>
          </cell>
          <cell r="CJ223">
            <v>0</v>
          </cell>
          <cell r="CK223">
            <v>0</v>
          </cell>
          <cell r="CL223">
            <v>0</v>
          </cell>
          <cell r="CM223">
            <v>0</v>
          </cell>
          <cell r="CN223">
            <v>0</v>
          </cell>
          <cell r="CO223">
            <v>0</v>
          </cell>
          <cell r="CX223">
            <v>0</v>
          </cell>
          <cell r="CY223">
            <v>0</v>
          </cell>
          <cell r="DB223">
            <v>0</v>
          </cell>
          <cell r="DC223">
            <v>0</v>
          </cell>
          <cell r="DJ223" t="str">
            <v>НКРКП</v>
          </cell>
          <cell r="DL223">
            <v>40836</v>
          </cell>
          <cell r="DM223">
            <v>213</v>
          </cell>
          <cell r="DT223">
            <v>893.44</v>
          </cell>
        </row>
        <row r="224">
          <cell r="W224">
            <v>385.24</v>
          </cell>
          <cell r="AF224">
            <v>40443</v>
          </cell>
          <cell r="AG224">
            <v>942</v>
          </cell>
          <cell r="AH224">
            <v>363.29630688255804</v>
          </cell>
          <cell r="AM224">
            <v>31473.356</v>
          </cell>
          <cell r="AO224">
            <v>12124795.665440001</v>
          </cell>
          <cell r="AQ224">
            <v>11434154</v>
          </cell>
          <cell r="AU224">
            <v>0</v>
          </cell>
          <cell r="AW224">
            <v>0</v>
          </cell>
          <cell r="AY224">
            <v>5974554</v>
          </cell>
          <cell r="AZ224">
            <v>189.82894610921059</v>
          </cell>
          <cell r="BA224">
            <v>0</v>
          </cell>
          <cell r="BB224">
            <v>0</v>
          </cell>
          <cell r="BC224">
            <v>0</v>
          </cell>
          <cell r="BD224">
            <v>0</v>
          </cell>
          <cell r="BG224">
            <v>0</v>
          </cell>
          <cell r="BH224">
            <v>0</v>
          </cell>
          <cell r="BI224">
            <v>824002</v>
          </cell>
          <cell r="BJ224">
            <v>26.180938569118592</v>
          </cell>
          <cell r="BK224">
            <v>0</v>
          </cell>
          <cell r="BL224">
            <v>0</v>
          </cell>
          <cell r="BM224">
            <v>3627246</v>
          </cell>
          <cell r="BN224">
            <v>115.24814830677732</v>
          </cell>
          <cell r="BO224">
            <v>0</v>
          </cell>
          <cell r="BP224">
            <v>0</v>
          </cell>
          <cell r="BY224">
            <v>2607.52</v>
          </cell>
          <cell r="CF224">
            <v>5476.2179999999998</v>
          </cell>
          <cell r="CG224">
            <v>1091.00002958246</v>
          </cell>
          <cell r="CJ224">
            <v>0</v>
          </cell>
          <cell r="CK224">
            <v>0</v>
          </cell>
          <cell r="CL224">
            <v>0</v>
          </cell>
          <cell r="CM224">
            <v>0</v>
          </cell>
          <cell r="CN224">
            <v>0</v>
          </cell>
          <cell r="CO224">
            <v>0</v>
          </cell>
          <cell r="CX224">
            <v>0</v>
          </cell>
          <cell r="CY224">
            <v>0</v>
          </cell>
          <cell r="DB224">
            <v>0</v>
          </cell>
          <cell r="DC224">
            <v>0</v>
          </cell>
          <cell r="DJ224" t="str">
            <v>МОС</v>
          </cell>
          <cell r="DL224">
            <v>40463</v>
          </cell>
          <cell r="DM224">
            <v>202</v>
          </cell>
          <cell r="DO224" t="str">
            <v>на теплову енергію</v>
          </cell>
          <cell r="DT224">
            <v>385.24</v>
          </cell>
        </row>
        <row r="225">
          <cell r="W225">
            <v>616.66999999999996</v>
          </cell>
          <cell r="AF225">
            <v>40443</v>
          </cell>
          <cell r="AG225">
            <v>943</v>
          </cell>
          <cell r="AH225">
            <v>602.35509849594177</v>
          </cell>
          <cell r="AM225">
            <v>5706.4279999999999</v>
          </cell>
          <cell r="AO225">
            <v>3518982.9547599996</v>
          </cell>
          <cell r="AQ225">
            <v>3437296</v>
          </cell>
          <cell r="AU225">
            <v>0</v>
          </cell>
          <cell r="AW225">
            <v>0</v>
          </cell>
          <cell r="AY225">
            <v>2447430</v>
          </cell>
          <cell r="AZ225">
            <v>428.89001666191183</v>
          </cell>
          <cell r="BA225">
            <v>0</v>
          </cell>
          <cell r="BB225">
            <v>0</v>
          </cell>
          <cell r="BC225">
            <v>0</v>
          </cell>
          <cell r="BD225">
            <v>0</v>
          </cell>
          <cell r="BG225">
            <v>0</v>
          </cell>
          <cell r="BH225">
            <v>0</v>
          </cell>
          <cell r="BI225">
            <v>149400</v>
          </cell>
          <cell r="BJ225">
            <v>26.181001495155989</v>
          </cell>
          <cell r="BK225">
            <v>0</v>
          </cell>
          <cell r="BL225">
            <v>0</v>
          </cell>
          <cell r="BM225">
            <v>657645</v>
          </cell>
          <cell r="BN225">
            <v>115.24635025623735</v>
          </cell>
          <cell r="BO225">
            <v>0</v>
          </cell>
          <cell r="BP225">
            <v>0</v>
          </cell>
          <cell r="BY225">
            <v>2607.52</v>
          </cell>
          <cell r="CF225">
            <v>992.89599999999996</v>
          </cell>
          <cell r="CG225">
            <v>2464.9409404408921</v>
          </cell>
          <cell r="CJ225">
            <v>0</v>
          </cell>
          <cell r="CK225">
            <v>0</v>
          </cell>
          <cell r="CL225">
            <v>0</v>
          </cell>
          <cell r="CM225">
            <v>0</v>
          </cell>
          <cell r="CN225">
            <v>0</v>
          </cell>
          <cell r="CO225">
            <v>0</v>
          </cell>
          <cell r="CX225">
            <v>0</v>
          </cell>
          <cell r="CY225">
            <v>0</v>
          </cell>
          <cell r="DB225">
            <v>0</v>
          </cell>
          <cell r="DC225">
            <v>0</v>
          </cell>
          <cell r="DJ225" t="str">
            <v>НКРКП</v>
          </cell>
          <cell r="DL225">
            <v>40816</v>
          </cell>
          <cell r="DM225">
            <v>49</v>
          </cell>
          <cell r="DT225">
            <v>840.6</v>
          </cell>
        </row>
        <row r="226">
          <cell r="W226">
            <v>720.28</v>
          </cell>
          <cell r="AF226">
            <v>40443</v>
          </cell>
          <cell r="AG226">
            <v>944</v>
          </cell>
          <cell r="AH226">
            <v>602.33894416731141</v>
          </cell>
          <cell r="AM226">
            <v>3748.7</v>
          </cell>
          <cell r="AO226">
            <v>2700113.6359999999</v>
          </cell>
          <cell r="AQ226">
            <v>2257988</v>
          </cell>
          <cell r="AU226">
            <v>0</v>
          </cell>
          <cell r="AW226">
            <v>0</v>
          </cell>
          <cell r="AY226">
            <v>1607722</v>
          </cell>
          <cell r="AZ226">
            <v>428.87454317496736</v>
          </cell>
          <cell r="BA226">
            <v>0</v>
          </cell>
          <cell r="BB226">
            <v>0</v>
          </cell>
          <cell r="BC226">
            <v>0</v>
          </cell>
          <cell r="BD226">
            <v>0</v>
          </cell>
          <cell r="BG226">
            <v>0</v>
          </cell>
          <cell r="BH226">
            <v>0</v>
          </cell>
          <cell r="BI226">
            <v>98141</v>
          </cell>
          <cell r="BJ226">
            <v>26.180009069810868</v>
          </cell>
          <cell r="BK226">
            <v>0</v>
          </cell>
          <cell r="BL226">
            <v>0</v>
          </cell>
          <cell r="BM226">
            <v>432026</v>
          </cell>
          <cell r="BN226">
            <v>115.2468855870035</v>
          </cell>
          <cell r="BO226">
            <v>0</v>
          </cell>
          <cell r="BP226">
            <v>0</v>
          </cell>
          <cell r="BY226">
            <v>2607.52</v>
          </cell>
          <cell r="CF226">
            <v>652.23599999999999</v>
          </cell>
          <cell r="CG226">
            <v>2464.9390711337614</v>
          </cell>
          <cell r="CJ226">
            <v>0</v>
          </cell>
          <cell r="CK226">
            <v>0</v>
          </cell>
          <cell r="CL226">
            <v>0</v>
          </cell>
          <cell r="CM226">
            <v>0</v>
          </cell>
          <cell r="CN226">
            <v>0</v>
          </cell>
          <cell r="CO226">
            <v>0</v>
          </cell>
          <cell r="CX226">
            <v>0</v>
          </cell>
          <cell r="CY226">
            <v>0</v>
          </cell>
          <cell r="DB226">
            <v>0</v>
          </cell>
          <cell r="DC226">
            <v>0</v>
          </cell>
          <cell r="DJ226" t="str">
            <v>НКРКП</v>
          </cell>
          <cell r="DL226">
            <v>40816</v>
          </cell>
          <cell r="DM226">
            <v>49</v>
          </cell>
          <cell r="DT226">
            <v>944.2</v>
          </cell>
        </row>
        <row r="227">
          <cell r="W227">
            <v>415.39</v>
          </cell>
          <cell r="AF227">
            <v>40445</v>
          </cell>
          <cell r="AG227" t="str">
            <v>№ 2335,2337,2332</v>
          </cell>
          <cell r="AH227">
            <v>377.62724117987278</v>
          </cell>
          <cell r="AM227">
            <v>27664</v>
          </cell>
          <cell r="AO227">
            <v>11491348.959999999</v>
          </cell>
          <cell r="AQ227">
            <v>10446680</v>
          </cell>
          <cell r="AU227">
            <v>0</v>
          </cell>
          <cell r="AW227">
            <v>0</v>
          </cell>
          <cell r="AY227">
            <v>4848972.1928000003</v>
          </cell>
          <cell r="AZ227">
            <v>175.28094971081552</v>
          </cell>
          <cell r="BA227">
            <v>0</v>
          </cell>
          <cell r="BB227">
            <v>0</v>
          </cell>
          <cell r="BC227">
            <v>0</v>
          </cell>
          <cell r="BD227">
            <v>0</v>
          </cell>
          <cell r="BG227">
            <v>0</v>
          </cell>
          <cell r="BH227">
            <v>0</v>
          </cell>
          <cell r="BI227">
            <v>625786</v>
          </cell>
          <cell r="BJ227">
            <v>22.620951417004047</v>
          </cell>
          <cell r="BK227">
            <v>0</v>
          </cell>
          <cell r="BL227">
            <v>0</v>
          </cell>
          <cell r="BM227">
            <v>3553967</v>
          </cell>
          <cell r="BN227">
            <v>128.46902111046847</v>
          </cell>
          <cell r="BO227">
            <v>0</v>
          </cell>
          <cell r="BP227">
            <v>0</v>
          </cell>
          <cell r="BY227">
            <v>2806.3</v>
          </cell>
          <cell r="CF227">
            <v>4444.5208000000002</v>
          </cell>
          <cell r="CG227">
            <v>1091</v>
          </cell>
          <cell r="CJ227">
            <v>0</v>
          </cell>
          <cell r="CK227">
            <v>0</v>
          </cell>
          <cell r="CL227">
            <v>0</v>
          </cell>
          <cell r="CM227">
            <v>0</v>
          </cell>
          <cell r="CN227">
            <v>0</v>
          </cell>
          <cell r="CO227">
            <v>0</v>
          </cell>
          <cell r="CX227">
            <v>0</v>
          </cell>
          <cell r="CY227">
            <v>0</v>
          </cell>
          <cell r="DB227">
            <v>0</v>
          </cell>
          <cell r="DC227">
            <v>0</v>
          </cell>
          <cell r="DJ227" t="str">
            <v>МОС</v>
          </cell>
          <cell r="DL227">
            <v>40504</v>
          </cell>
          <cell r="DM227" t="str">
            <v>№ 374-УІ</v>
          </cell>
          <cell r="DO227" t="str">
            <v>на теплову енергію</v>
          </cell>
          <cell r="DT227">
            <v>415.39</v>
          </cell>
        </row>
        <row r="228">
          <cell r="W228">
            <v>659.71</v>
          </cell>
          <cell r="AF228">
            <v>40445</v>
          </cell>
          <cell r="AG228" t="str">
            <v>№ 2340, 2338, 2333</v>
          </cell>
          <cell r="AH228">
            <v>599.73274023968827</v>
          </cell>
          <cell r="AM228">
            <v>13601</v>
          </cell>
          <cell r="AO228">
            <v>8972715.7100000009</v>
          </cell>
          <cell r="AQ228">
            <v>8156965</v>
          </cell>
          <cell r="AU228">
            <v>0</v>
          </cell>
          <cell r="AW228">
            <v>0</v>
          </cell>
          <cell r="AY228">
            <v>5342407.4285200005</v>
          </cell>
          <cell r="AZ228">
            <v>392.79519362693924</v>
          </cell>
          <cell r="BA228">
            <v>0</v>
          </cell>
          <cell r="BB228">
            <v>0</v>
          </cell>
          <cell r="BC228">
            <v>0</v>
          </cell>
          <cell r="BD228">
            <v>0</v>
          </cell>
          <cell r="BG228">
            <v>0</v>
          </cell>
          <cell r="BH228">
            <v>0</v>
          </cell>
          <cell r="BI228">
            <v>232959</v>
          </cell>
          <cell r="BJ228">
            <v>17.128078817733989</v>
          </cell>
          <cell r="BK228">
            <v>0</v>
          </cell>
          <cell r="BL228">
            <v>0</v>
          </cell>
          <cell r="BM228">
            <v>1945850</v>
          </cell>
          <cell r="BN228">
            <v>143.06668627306814</v>
          </cell>
          <cell r="BO228">
            <v>0</v>
          </cell>
          <cell r="BP228">
            <v>0</v>
          </cell>
          <cell r="BY228">
            <v>3113.4</v>
          </cell>
          <cell r="CF228">
            <v>2167.3580000000002</v>
          </cell>
          <cell r="CG228">
            <v>2464.94</v>
          </cell>
          <cell r="CJ228">
            <v>0</v>
          </cell>
          <cell r="CK228">
            <v>0</v>
          </cell>
          <cell r="CL228">
            <v>0</v>
          </cell>
          <cell r="CM228">
            <v>0</v>
          </cell>
          <cell r="CN228">
            <v>0</v>
          </cell>
          <cell r="CO228">
            <v>0</v>
          </cell>
          <cell r="CX228">
            <v>0</v>
          </cell>
          <cell r="CY228">
            <v>0</v>
          </cell>
          <cell r="DB228">
            <v>0</v>
          </cell>
          <cell r="DC228">
            <v>0</v>
          </cell>
          <cell r="DJ228" t="str">
            <v>НКРКП</v>
          </cell>
          <cell r="DL228">
            <v>40836</v>
          </cell>
          <cell r="DM228">
            <v>215</v>
          </cell>
          <cell r="DT228">
            <v>864.8</v>
          </cell>
        </row>
        <row r="229">
          <cell r="W229">
            <v>667.84</v>
          </cell>
          <cell r="AF229">
            <v>40445</v>
          </cell>
          <cell r="AG229" t="str">
            <v>№ 2336, 2339, 2334</v>
          </cell>
          <cell r="AH229">
            <v>580.72700941346852</v>
          </cell>
          <cell r="AM229">
            <v>4143</v>
          </cell>
          <cell r="AO229">
            <v>2766861.12</v>
          </cell>
          <cell r="AQ229">
            <v>2405952</v>
          </cell>
          <cell r="AU229">
            <v>0</v>
          </cell>
          <cell r="AW229">
            <v>0</v>
          </cell>
          <cell r="AY229">
            <v>1627677.9233549999</v>
          </cell>
          <cell r="AZ229">
            <v>392.87422721578565</v>
          </cell>
          <cell r="BA229">
            <v>0</v>
          </cell>
          <cell r="BB229">
            <v>0</v>
          </cell>
          <cell r="BC229">
            <v>0</v>
          </cell>
          <cell r="BD229">
            <v>0</v>
          </cell>
          <cell r="BG229">
            <v>0</v>
          </cell>
          <cell r="BH229">
            <v>0</v>
          </cell>
          <cell r="BI229">
            <v>70032</v>
          </cell>
          <cell r="BJ229">
            <v>16.903692976104271</v>
          </cell>
          <cell r="BK229">
            <v>0</v>
          </cell>
          <cell r="BL229">
            <v>0</v>
          </cell>
          <cell r="BM229">
            <v>523901</v>
          </cell>
          <cell r="BN229">
            <v>126.45450156891141</v>
          </cell>
          <cell r="BO229">
            <v>0</v>
          </cell>
          <cell r="BP229">
            <v>0</v>
          </cell>
          <cell r="BY229">
            <v>2895.8</v>
          </cell>
          <cell r="CF229">
            <v>660.33299999999997</v>
          </cell>
          <cell r="CG229">
            <v>2464.9349999999999</v>
          </cell>
          <cell r="CJ229">
            <v>0</v>
          </cell>
          <cell r="CK229">
            <v>0</v>
          </cell>
          <cell r="CL229">
            <v>0</v>
          </cell>
          <cell r="CM229">
            <v>0</v>
          </cell>
          <cell r="CN229">
            <v>0</v>
          </cell>
          <cell r="CO229">
            <v>0</v>
          </cell>
          <cell r="CX229">
            <v>0</v>
          </cell>
          <cell r="CY229">
            <v>0</v>
          </cell>
          <cell r="DB229">
            <v>0</v>
          </cell>
          <cell r="DC229">
            <v>0</v>
          </cell>
          <cell r="DJ229" t="str">
            <v>НКРКП</v>
          </cell>
          <cell r="DL229">
            <v>40836</v>
          </cell>
          <cell r="DM229">
            <v>215</v>
          </cell>
          <cell r="DT229">
            <v>872.97</v>
          </cell>
        </row>
        <row r="230">
          <cell r="W230">
            <v>160.91999999999999</v>
          </cell>
          <cell r="AF230">
            <v>40171</v>
          </cell>
          <cell r="AG230">
            <v>218</v>
          </cell>
          <cell r="AH230">
            <v>146.2926337118316</v>
          </cell>
          <cell r="AM230">
            <v>1899.0840000000001</v>
          </cell>
          <cell r="AO230">
            <v>305600.59727999999</v>
          </cell>
          <cell r="AQ230">
            <v>277822</v>
          </cell>
          <cell r="AU230">
            <v>0</v>
          </cell>
          <cell r="AW230">
            <v>0</v>
          </cell>
          <cell r="AY230">
            <v>202686.62832000002</v>
          </cell>
          <cell r="AZ230">
            <v>106.72862723291861</v>
          </cell>
          <cell r="BA230">
            <v>0</v>
          </cell>
          <cell r="BB230">
            <v>0</v>
          </cell>
          <cell r="BC230">
            <v>0</v>
          </cell>
          <cell r="BD230">
            <v>0</v>
          </cell>
          <cell r="BG230">
            <v>0</v>
          </cell>
          <cell r="BH230">
            <v>0</v>
          </cell>
          <cell r="BI230">
            <v>38637</v>
          </cell>
          <cell r="BJ230">
            <v>20.345071624003992</v>
          </cell>
          <cell r="BK230">
            <v>0</v>
          </cell>
          <cell r="BL230">
            <v>0</v>
          </cell>
          <cell r="BM230">
            <v>28790</v>
          </cell>
          <cell r="BN230">
            <v>15.159940265938737</v>
          </cell>
          <cell r="BO230">
            <v>0</v>
          </cell>
          <cell r="BP230">
            <v>0</v>
          </cell>
          <cell r="BY230">
            <v>1094.5</v>
          </cell>
          <cell r="CF230">
            <v>278.67599999999999</v>
          </cell>
          <cell r="CG230">
            <v>727.32</v>
          </cell>
          <cell r="CJ230">
            <v>0</v>
          </cell>
          <cell r="CK230">
            <v>0</v>
          </cell>
          <cell r="CL230">
            <v>0</v>
          </cell>
          <cell r="CM230">
            <v>0</v>
          </cell>
          <cell r="CN230">
            <v>0</v>
          </cell>
          <cell r="CO230">
            <v>0</v>
          </cell>
          <cell r="CX230">
            <v>0</v>
          </cell>
          <cell r="CY230">
            <v>0</v>
          </cell>
          <cell r="DB230">
            <v>0</v>
          </cell>
          <cell r="DC230">
            <v>0</v>
          </cell>
          <cell r="DJ230" t="str">
            <v>МОС</v>
          </cell>
          <cell r="DL230">
            <v>40226</v>
          </cell>
          <cell r="DM230" t="str">
            <v>№2</v>
          </cell>
          <cell r="DO230" t="str">
            <v>тариф на теплову енергію для населення</v>
          </cell>
          <cell r="DT230">
            <v>160.91999999999999</v>
          </cell>
        </row>
        <row r="231">
          <cell r="W231">
            <v>369.62</v>
          </cell>
          <cell r="AF231">
            <v>40171</v>
          </cell>
          <cell r="AG231">
            <v>218</v>
          </cell>
          <cell r="AH231">
            <v>336.02095095986016</v>
          </cell>
          <cell r="AM231">
            <v>722.44899999999996</v>
          </cell>
          <cell r="AO231">
            <v>267031.59937999997</v>
          </cell>
          <cell r="AQ231">
            <v>242758</v>
          </cell>
          <cell r="AU231">
            <v>0</v>
          </cell>
          <cell r="AW231">
            <v>0</v>
          </cell>
          <cell r="AY231">
            <v>214174.37945000001</v>
          </cell>
          <cell r="AZ231">
            <v>296.4560535761002</v>
          </cell>
          <cell r="BA231">
            <v>0</v>
          </cell>
          <cell r="BB231">
            <v>0</v>
          </cell>
          <cell r="BC231">
            <v>0</v>
          </cell>
          <cell r="BD231">
            <v>0</v>
          </cell>
          <cell r="BG231">
            <v>0</v>
          </cell>
          <cell r="BH231">
            <v>0</v>
          </cell>
          <cell r="BI231">
            <v>14698</v>
          </cell>
          <cell r="BJ231">
            <v>20.344688690828004</v>
          </cell>
          <cell r="BK231">
            <v>0</v>
          </cell>
          <cell r="BL231">
            <v>0</v>
          </cell>
          <cell r="BM231">
            <v>10952</v>
          </cell>
          <cell r="BN231">
            <v>15.159547594363064</v>
          </cell>
          <cell r="BO231">
            <v>0</v>
          </cell>
          <cell r="BP231">
            <v>0</v>
          </cell>
          <cell r="BY231">
            <v>1094.5</v>
          </cell>
          <cell r="CF231">
            <v>106.0138</v>
          </cell>
          <cell r="CG231">
            <v>2020.25</v>
          </cell>
          <cell r="CJ231">
            <v>0</v>
          </cell>
          <cell r="CK231">
            <v>0</v>
          </cell>
          <cell r="CL231">
            <v>0</v>
          </cell>
          <cell r="CM231">
            <v>0</v>
          </cell>
          <cell r="CN231">
            <v>0</v>
          </cell>
          <cell r="CO231">
            <v>0</v>
          </cell>
          <cell r="CX231">
            <v>0</v>
          </cell>
          <cell r="CY231">
            <v>0</v>
          </cell>
          <cell r="DB231">
            <v>0</v>
          </cell>
          <cell r="DC231">
            <v>0</v>
          </cell>
          <cell r="DJ231" t="str">
            <v>НКРКП</v>
          </cell>
          <cell r="DL231">
            <v>40942</v>
          </cell>
          <cell r="DM231">
            <v>53</v>
          </cell>
          <cell r="DT231">
            <v>628.35</v>
          </cell>
        </row>
        <row r="232">
          <cell r="W232">
            <v>369.62</v>
          </cell>
          <cell r="AF232">
            <v>40171</v>
          </cell>
          <cell r="AG232">
            <v>218</v>
          </cell>
          <cell r="AH232">
            <v>336.03065527797401</v>
          </cell>
          <cell r="AM232">
            <v>46.713000000000001</v>
          </cell>
          <cell r="AO232">
            <v>17266.05906</v>
          </cell>
          <cell r="AQ232">
            <v>15697</v>
          </cell>
          <cell r="AU232">
            <v>0</v>
          </cell>
          <cell r="AW232">
            <v>0</v>
          </cell>
          <cell r="AY232">
            <v>13848.4097</v>
          </cell>
          <cell r="AZ232">
            <v>296.45729668400656</v>
          </cell>
          <cell r="BA232">
            <v>0</v>
          </cell>
          <cell r="BB232">
            <v>0</v>
          </cell>
          <cell r="BC232">
            <v>0</v>
          </cell>
          <cell r="BD232">
            <v>0</v>
          </cell>
          <cell r="BG232">
            <v>0</v>
          </cell>
          <cell r="BH232">
            <v>0</v>
          </cell>
          <cell r="BI232">
            <v>950</v>
          </cell>
          <cell r="BJ232">
            <v>20.336951169909874</v>
          </cell>
          <cell r="BK232">
            <v>0</v>
          </cell>
          <cell r="BL232">
            <v>0</v>
          </cell>
          <cell r="BM232">
            <v>708</v>
          </cell>
          <cell r="BN232">
            <v>15.156380450838096</v>
          </cell>
          <cell r="BO232">
            <v>0</v>
          </cell>
          <cell r="BP232">
            <v>0</v>
          </cell>
          <cell r="BY232">
            <v>1094.5</v>
          </cell>
          <cell r="CF232">
            <v>6.8548</v>
          </cell>
          <cell r="CG232">
            <v>2020.25</v>
          </cell>
          <cell r="CJ232">
            <v>0</v>
          </cell>
          <cell r="CK232">
            <v>0</v>
          </cell>
          <cell r="CL232">
            <v>0</v>
          </cell>
          <cell r="CM232">
            <v>0</v>
          </cell>
          <cell r="CN232">
            <v>0</v>
          </cell>
          <cell r="CO232">
            <v>0</v>
          </cell>
          <cell r="CX232">
            <v>0</v>
          </cell>
          <cell r="CY232">
            <v>0</v>
          </cell>
          <cell r="DB232">
            <v>0</v>
          </cell>
          <cell r="DC232">
            <v>0</v>
          </cell>
          <cell r="DJ232" t="str">
            <v>НКРКП</v>
          </cell>
          <cell r="DL232">
            <v>40942</v>
          </cell>
          <cell r="DM232">
            <v>53</v>
          </cell>
          <cell r="DT232">
            <v>628.35</v>
          </cell>
        </row>
        <row r="233">
          <cell r="W233">
            <v>214.49</v>
          </cell>
          <cell r="AF233">
            <v>40141</v>
          </cell>
          <cell r="AG233">
            <v>446</v>
          </cell>
          <cell r="AH233">
            <v>214.4862023653088</v>
          </cell>
          <cell r="AM233">
            <v>1522</v>
          </cell>
          <cell r="AO233">
            <v>326453.78000000003</v>
          </cell>
          <cell r="AQ233">
            <v>326448</v>
          </cell>
          <cell r="AU233">
            <v>0</v>
          </cell>
          <cell r="AW233">
            <v>0</v>
          </cell>
          <cell r="AY233">
            <v>162548.74680000002</v>
          </cell>
          <cell r="AZ233">
            <v>106.79943942181342</v>
          </cell>
          <cell r="BA233">
            <v>0</v>
          </cell>
          <cell r="BB233">
            <v>0</v>
          </cell>
          <cell r="BC233">
            <v>0</v>
          </cell>
          <cell r="BD233">
            <v>0</v>
          </cell>
          <cell r="BG233">
            <v>0</v>
          </cell>
          <cell r="BH233">
            <v>0</v>
          </cell>
          <cell r="BI233">
            <v>50386</v>
          </cell>
          <cell r="BJ233">
            <v>33.105124835742444</v>
          </cell>
          <cell r="BK233">
            <v>0</v>
          </cell>
          <cell r="BL233">
            <v>0</v>
          </cell>
          <cell r="BM233">
            <v>60901</v>
          </cell>
          <cell r="BN233">
            <v>40.013797634691194</v>
          </cell>
          <cell r="BO233">
            <v>0</v>
          </cell>
          <cell r="BP233">
            <v>0</v>
          </cell>
          <cell r="BY233">
            <v>1209</v>
          </cell>
          <cell r="CF233">
            <v>223.49</v>
          </cell>
          <cell r="CG233">
            <v>727.32</v>
          </cell>
          <cell r="CJ233">
            <v>0</v>
          </cell>
          <cell r="CK233">
            <v>0</v>
          </cell>
          <cell r="CL233">
            <v>0</v>
          </cell>
          <cell r="CM233">
            <v>0</v>
          </cell>
          <cell r="CN233">
            <v>0</v>
          </cell>
          <cell r="CO233">
            <v>0</v>
          </cell>
          <cell r="CX233">
            <v>0</v>
          </cell>
          <cell r="CY233">
            <v>0</v>
          </cell>
          <cell r="DB233">
            <v>0</v>
          </cell>
          <cell r="DC233">
            <v>0</v>
          </cell>
          <cell r="DJ233" t="str">
            <v>МОС</v>
          </cell>
          <cell r="DL233">
            <v>40319</v>
          </cell>
          <cell r="DM233" t="str">
            <v>№12</v>
          </cell>
          <cell r="DO233" t="str">
            <v>тариф на теплову енергію для населення</v>
          </cell>
          <cell r="DT233">
            <v>214.49</v>
          </cell>
        </row>
        <row r="234">
          <cell r="W234">
            <v>404.14</v>
          </cell>
          <cell r="AF234">
            <v>40141</v>
          </cell>
          <cell r="AG234">
            <v>444</v>
          </cell>
          <cell r="AH234">
            <v>404.14338575393157</v>
          </cell>
          <cell r="AM234">
            <v>2162</v>
          </cell>
          <cell r="AO234">
            <v>873750.67999999993</v>
          </cell>
          <cell r="AQ234">
            <v>873758</v>
          </cell>
          <cell r="AU234">
            <v>0</v>
          </cell>
          <cell r="AW234">
            <v>0</v>
          </cell>
          <cell r="AY234">
            <v>641050.63873249991</v>
          </cell>
          <cell r="AZ234">
            <v>296.50815852567064</v>
          </cell>
          <cell r="BA234">
            <v>0</v>
          </cell>
          <cell r="BB234">
            <v>0</v>
          </cell>
          <cell r="BC234">
            <v>0</v>
          </cell>
          <cell r="BD234">
            <v>0</v>
          </cell>
          <cell r="BG234">
            <v>0</v>
          </cell>
          <cell r="BH234">
            <v>0</v>
          </cell>
          <cell r="BI234">
            <v>71532</v>
          </cell>
          <cell r="BJ234">
            <v>33.086031452358924</v>
          </cell>
          <cell r="BK234">
            <v>0</v>
          </cell>
          <cell r="BL234">
            <v>0</v>
          </cell>
          <cell r="BM234">
            <v>86482</v>
          </cell>
          <cell r="BN234">
            <v>40.000925069380202</v>
          </cell>
          <cell r="BO234">
            <v>0</v>
          </cell>
          <cell r="BP234">
            <v>0</v>
          </cell>
          <cell r="BY234">
            <v>1209</v>
          </cell>
          <cell r="CF234">
            <v>317.31252999999998</v>
          </cell>
          <cell r="CG234">
            <v>2020.25</v>
          </cell>
          <cell r="CJ234">
            <v>0</v>
          </cell>
          <cell r="CK234">
            <v>0</v>
          </cell>
          <cell r="CL234">
            <v>0</v>
          </cell>
          <cell r="CM234">
            <v>0</v>
          </cell>
          <cell r="CN234">
            <v>0</v>
          </cell>
          <cell r="CO234">
            <v>0</v>
          </cell>
          <cell r="CX234">
            <v>0</v>
          </cell>
          <cell r="CY234">
            <v>0</v>
          </cell>
          <cell r="DB234">
            <v>0</v>
          </cell>
          <cell r="DC234">
            <v>0</v>
          </cell>
          <cell r="DJ234" t="str">
            <v>НКРКП</v>
          </cell>
          <cell r="DL234">
            <v>40942</v>
          </cell>
          <cell r="DM234">
            <v>53</v>
          </cell>
          <cell r="DT234">
            <v>671.85</v>
          </cell>
        </row>
        <row r="235">
          <cell r="W235">
            <v>404.14</v>
          </cell>
          <cell r="AF235">
            <v>40141</v>
          </cell>
          <cell r="AG235">
            <v>445</v>
          </cell>
          <cell r="AH235">
            <v>404.14077669902912</v>
          </cell>
          <cell r="AM235">
            <v>412</v>
          </cell>
          <cell r="AO235">
            <v>166505.68</v>
          </cell>
          <cell r="AQ235">
            <v>166506</v>
          </cell>
          <cell r="AU235">
            <v>0</v>
          </cell>
          <cell r="AW235">
            <v>0</v>
          </cell>
          <cell r="AY235">
            <v>122161.35984925</v>
          </cell>
          <cell r="AZ235">
            <v>296.50815497390778</v>
          </cell>
          <cell r="BA235">
            <v>0</v>
          </cell>
          <cell r="BB235">
            <v>0</v>
          </cell>
          <cell r="BC235">
            <v>0</v>
          </cell>
          <cell r="BD235">
            <v>0</v>
          </cell>
          <cell r="BG235">
            <v>0</v>
          </cell>
          <cell r="BH235">
            <v>0</v>
          </cell>
          <cell r="BI235">
            <v>13636</v>
          </cell>
          <cell r="BJ235">
            <v>33.097087378640779</v>
          </cell>
          <cell r="BK235">
            <v>0</v>
          </cell>
          <cell r="BL235">
            <v>0</v>
          </cell>
          <cell r="BM235">
            <v>16482</v>
          </cell>
          <cell r="BN235">
            <v>40.004854368932037</v>
          </cell>
          <cell r="BO235">
            <v>0</v>
          </cell>
          <cell r="BP235">
            <v>0</v>
          </cell>
          <cell r="BY235">
            <v>1209</v>
          </cell>
          <cell r="CF235">
            <v>60.468437000000002</v>
          </cell>
          <cell r="CG235">
            <v>2020.25</v>
          </cell>
          <cell r="CJ235">
            <v>0</v>
          </cell>
          <cell r="CK235">
            <v>0</v>
          </cell>
          <cell r="CL235">
            <v>0</v>
          </cell>
          <cell r="CM235">
            <v>0</v>
          </cell>
          <cell r="CN235">
            <v>0</v>
          </cell>
          <cell r="CO235">
            <v>0</v>
          </cell>
          <cell r="CX235">
            <v>0</v>
          </cell>
          <cell r="CY235">
            <v>0</v>
          </cell>
          <cell r="DB235">
            <v>0</v>
          </cell>
          <cell r="DC235">
            <v>0</v>
          </cell>
          <cell r="DJ235" t="str">
            <v>НКРКП</v>
          </cell>
          <cell r="DL235">
            <v>40942</v>
          </cell>
          <cell r="DM235">
            <v>53</v>
          </cell>
          <cell r="DT235">
            <v>671.85</v>
          </cell>
        </row>
        <row r="236">
          <cell r="AF236">
            <v>39948</v>
          </cell>
          <cell r="AG236">
            <v>103</v>
          </cell>
          <cell r="AM236">
            <v>18600</v>
          </cell>
          <cell r="AO236">
            <v>2415953.9999999995</v>
          </cell>
          <cell r="AQ236">
            <v>2415954</v>
          </cell>
          <cell r="AU236">
            <v>0</v>
          </cell>
          <cell r="AW236">
            <v>0</v>
          </cell>
          <cell r="AY236">
            <v>2137966</v>
          </cell>
          <cell r="AZ236">
            <v>114.94440860215053</v>
          </cell>
          <cell r="BA236">
            <v>0</v>
          </cell>
          <cell r="BB236">
            <v>0</v>
          </cell>
          <cell r="BG236">
            <v>0</v>
          </cell>
          <cell r="BH236">
            <v>0</v>
          </cell>
          <cell r="BI236">
            <v>277931</v>
          </cell>
          <cell r="BJ236">
            <v>14.942526881720431</v>
          </cell>
          <cell r="BK236">
            <v>0</v>
          </cell>
          <cell r="BL236">
            <v>0</v>
          </cell>
          <cell r="BO236">
            <v>0</v>
          </cell>
          <cell r="BP236">
            <v>0</v>
          </cell>
          <cell r="CF236">
            <v>2939.5121817081886</v>
          </cell>
          <cell r="CG236">
            <v>727.32</v>
          </cell>
          <cell r="CJ236">
            <v>0</v>
          </cell>
          <cell r="CK236">
            <v>0</v>
          </cell>
          <cell r="CL236">
            <v>0</v>
          </cell>
          <cell r="CM236">
            <v>0</v>
          </cell>
          <cell r="CN236">
            <v>0</v>
          </cell>
          <cell r="CO236">
            <v>0</v>
          </cell>
          <cell r="CX236">
            <v>0</v>
          </cell>
          <cell r="CY236">
            <v>0</v>
          </cell>
          <cell r="DJ236" t="str">
            <v>НКРЕ</v>
          </cell>
          <cell r="DL236">
            <v>40526</v>
          </cell>
          <cell r="DM236">
            <v>1852</v>
          </cell>
          <cell r="DO236" t="str">
            <v>тариф на теплову енергію для населення</v>
          </cell>
        </row>
        <row r="237">
          <cell r="AF237">
            <v>40250</v>
          </cell>
          <cell r="AG237">
            <v>17</v>
          </cell>
          <cell r="AM237">
            <v>52899.738974119035</v>
          </cell>
          <cell r="AO237">
            <v>21482054.999999996</v>
          </cell>
          <cell r="AQ237">
            <v>19137700</v>
          </cell>
          <cell r="AU237">
            <v>0</v>
          </cell>
          <cell r="AW237">
            <v>0</v>
          </cell>
          <cell r="AY237">
            <v>18247700</v>
          </cell>
          <cell r="AZ237">
            <v>344.94877203321568</v>
          </cell>
          <cell r="BA237">
            <v>0</v>
          </cell>
          <cell r="BB237">
            <v>0</v>
          </cell>
          <cell r="BG237">
            <v>0</v>
          </cell>
          <cell r="BH237">
            <v>0</v>
          </cell>
          <cell r="BI237">
            <v>890000</v>
          </cell>
          <cell r="BJ237">
            <v>16.824279613845139</v>
          </cell>
          <cell r="BK237">
            <v>0</v>
          </cell>
          <cell r="BL237">
            <v>0</v>
          </cell>
          <cell r="BO237">
            <v>0</v>
          </cell>
          <cell r="BP237">
            <v>0</v>
          </cell>
          <cell r="CF237">
            <v>8360.3034829061799</v>
          </cell>
          <cell r="CG237">
            <v>2182.66</v>
          </cell>
          <cell r="CJ237">
            <v>0</v>
          </cell>
          <cell r="CK237">
            <v>0</v>
          </cell>
          <cell r="CL237">
            <v>0</v>
          </cell>
          <cell r="CM237">
            <v>0</v>
          </cell>
          <cell r="CN237">
            <v>0</v>
          </cell>
          <cell r="CO237">
            <v>0</v>
          </cell>
          <cell r="CX237">
            <v>0</v>
          </cell>
          <cell r="CY237">
            <v>0</v>
          </cell>
          <cell r="DJ237" t="str">
            <v>НКРКП</v>
          </cell>
          <cell r="DL237">
            <v>40816</v>
          </cell>
          <cell r="DM237">
            <v>146</v>
          </cell>
        </row>
        <row r="238">
          <cell r="AF238">
            <v>40250</v>
          </cell>
          <cell r="AG238">
            <v>16</v>
          </cell>
          <cell r="AM238">
            <v>5700</v>
          </cell>
          <cell r="AO238">
            <v>2622342</v>
          </cell>
          <cell r="AQ238">
            <v>2057400</v>
          </cell>
          <cell r="AU238">
            <v>0</v>
          </cell>
          <cell r="AW238">
            <v>0</v>
          </cell>
          <cell r="AY238">
            <v>1966100</v>
          </cell>
          <cell r="AZ238">
            <v>344.92982456140351</v>
          </cell>
          <cell r="BA238">
            <v>0</v>
          </cell>
          <cell r="BB238">
            <v>0</v>
          </cell>
          <cell r="BG238">
            <v>0</v>
          </cell>
          <cell r="BH238">
            <v>0</v>
          </cell>
          <cell r="BI238">
            <v>91300</v>
          </cell>
          <cell r="BJ238">
            <v>16.017543859649123</v>
          </cell>
          <cell r="BK238">
            <v>0</v>
          </cell>
          <cell r="BL238">
            <v>0</v>
          </cell>
          <cell r="BO238">
            <v>0</v>
          </cell>
          <cell r="BP238">
            <v>0</v>
          </cell>
          <cell r="CF238">
            <v>900.7816150935098</v>
          </cell>
          <cell r="CG238">
            <v>2182.66</v>
          </cell>
          <cell r="CJ238">
            <v>0</v>
          </cell>
          <cell r="CK238">
            <v>0</v>
          </cell>
          <cell r="CL238">
            <v>0</v>
          </cell>
          <cell r="CM238">
            <v>0</v>
          </cell>
          <cell r="CN238">
            <v>0</v>
          </cell>
          <cell r="CO238">
            <v>0</v>
          </cell>
          <cell r="CX238">
            <v>0</v>
          </cell>
          <cell r="CY238">
            <v>0</v>
          </cell>
          <cell r="DJ238" t="str">
            <v>НКРКП</v>
          </cell>
          <cell r="DL238">
            <v>40816</v>
          </cell>
          <cell r="DM238">
            <v>146</v>
          </cell>
        </row>
        <row r="239">
          <cell r="AF239">
            <v>39948</v>
          </cell>
          <cell r="AG239">
            <v>103</v>
          </cell>
          <cell r="AO239">
            <v>1947158.9999999995</v>
          </cell>
          <cell r="AQ239">
            <v>1947159</v>
          </cell>
          <cell r="AY239">
            <v>0</v>
          </cell>
          <cell r="AZ239">
            <v>0</v>
          </cell>
          <cell r="BC239">
            <v>0</v>
          </cell>
          <cell r="BD239">
            <v>0</v>
          </cell>
          <cell r="BG239">
            <v>0</v>
          </cell>
          <cell r="BH239">
            <v>0</v>
          </cell>
          <cell r="BI239">
            <v>45289</v>
          </cell>
          <cell r="BJ239">
            <v>482.49663252975239</v>
          </cell>
          <cell r="BK239">
            <v>0</v>
          </cell>
          <cell r="BL239">
            <v>0</v>
          </cell>
          <cell r="BM239">
            <v>1446357</v>
          </cell>
          <cell r="BN239">
            <v>15409.09231680618</v>
          </cell>
          <cell r="BO239">
            <v>0</v>
          </cell>
          <cell r="BP239">
            <v>0</v>
          </cell>
          <cell r="BY239">
            <v>1984.32</v>
          </cell>
          <cell r="CF239">
            <v>0</v>
          </cell>
          <cell r="CG239">
            <v>0</v>
          </cell>
          <cell r="CX239">
            <v>0</v>
          </cell>
          <cell r="CY239">
            <v>0</v>
          </cell>
          <cell r="DB239">
            <v>0</v>
          </cell>
          <cell r="DC239">
            <v>0</v>
          </cell>
          <cell r="DJ239" t="str">
            <v>МОС</v>
          </cell>
          <cell r="DL239">
            <v>40540</v>
          </cell>
          <cell r="DM239">
            <v>3007</v>
          </cell>
          <cell r="DO239" t="str">
            <v>плата за одиницю приєднаного теплового навантаженняз централізованого опалення</v>
          </cell>
        </row>
        <row r="240">
          <cell r="AF240">
            <v>40250</v>
          </cell>
          <cell r="AG240">
            <v>17</v>
          </cell>
          <cell r="AO240">
            <v>10771419</v>
          </cell>
          <cell r="AQ240">
            <v>9596008</v>
          </cell>
          <cell r="AY240">
            <v>0</v>
          </cell>
          <cell r="AZ240">
            <v>0</v>
          </cell>
          <cell r="BC240">
            <v>0</v>
          </cell>
          <cell r="BD240">
            <v>0</v>
          </cell>
          <cell r="BG240">
            <v>0</v>
          </cell>
          <cell r="BH240">
            <v>0</v>
          </cell>
          <cell r="BI240">
            <v>96000</v>
          </cell>
          <cell r="BJ240">
            <v>271.21400439440714</v>
          </cell>
          <cell r="BK240">
            <v>0</v>
          </cell>
          <cell r="BL240">
            <v>0</v>
          </cell>
          <cell r="BM240">
            <v>7604765</v>
          </cell>
          <cell r="BN240">
            <v>21484.57050133785</v>
          </cell>
          <cell r="BO240">
            <v>0</v>
          </cell>
          <cell r="BP240">
            <v>0</v>
          </cell>
          <cell r="BY240">
            <v>2313.73</v>
          </cell>
          <cell r="CF240">
            <v>0</v>
          </cell>
          <cell r="CG240">
            <v>0</v>
          </cell>
          <cell r="CX240">
            <v>0</v>
          </cell>
          <cell r="CY240">
            <v>0</v>
          </cell>
          <cell r="DB240">
            <v>0</v>
          </cell>
          <cell r="DC240">
            <v>0</v>
          </cell>
          <cell r="DJ240" t="str">
            <v>МОС</v>
          </cell>
          <cell r="DL240">
            <v>40304</v>
          </cell>
          <cell r="DM240">
            <v>944</v>
          </cell>
          <cell r="DO240" t="str">
            <v>плата за одиницю приєднаного теплового навантаження з централізованого опалення та ГВП</v>
          </cell>
        </row>
        <row r="241">
          <cell r="AF241">
            <v>40250</v>
          </cell>
          <cell r="AG241">
            <v>16</v>
          </cell>
          <cell r="AO241">
            <v>853071.85920000006</v>
          </cell>
          <cell r="AQ241">
            <v>669300</v>
          </cell>
          <cell r="AY241">
            <v>0</v>
          </cell>
          <cell r="AZ241">
            <v>0</v>
          </cell>
          <cell r="BC241">
            <v>0</v>
          </cell>
          <cell r="BD241">
            <v>0</v>
          </cell>
          <cell r="BG241">
            <v>0</v>
          </cell>
          <cell r="BH241">
            <v>0</v>
          </cell>
          <cell r="BI241">
            <v>14900</v>
          </cell>
          <cell r="BJ241">
            <v>352.74621212121207</v>
          </cell>
          <cell r="BK241">
            <v>0</v>
          </cell>
          <cell r="BL241">
            <v>0</v>
          </cell>
          <cell r="BM241">
            <v>545079</v>
          </cell>
          <cell r="BN241">
            <v>12904.332386363638</v>
          </cell>
          <cell r="BO241">
            <v>0</v>
          </cell>
          <cell r="BP241">
            <v>0</v>
          </cell>
          <cell r="BY241">
            <v>2313.73</v>
          </cell>
          <cell r="CF241">
            <v>0</v>
          </cell>
          <cell r="CG241">
            <v>0</v>
          </cell>
          <cell r="CX241">
            <v>0</v>
          </cell>
          <cell r="CY241">
            <v>0</v>
          </cell>
          <cell r="DB241">
            <v>0</v>
          </cell>
          <cell r="DC241">
            <v>0</v>
          </cell>
          <cell r="DJ241" t="str">
            <v>МОС</v>
          </cell>
          <cell r="DL241">
            <v>40304</v>
          </cell>
          <cell r="DM241">
            <v>944</v>
          </cell>
          <cell r="DO241" t="str">
            <v>плата за одиницю приєднаного теплового навантаження з централізованого опалення та ГВП</v>
          </cell>
        </row>
        <row r="242">
          <cell r="W242">
            <v>315.77999999999997</v>
          </cell>
          <cell r="AF242">
            <v>40039</v>
          </cell>
          <cell r="AG242">
            <v>718</v>
          </cell>
          <cell r="AH242">
            <v>315.78153570569316</v>
          </cell>
          <cell r="AM242">
            <v>10237.261</v>
          </cell>
          <cell r="AO242">
            <v>3232722.2785799997</v>
          </cell>
          <cell r="AQ242">
            <v>3232738</v>
          </cell>
          <cell r="AU242">
            <v>0</v>
          </cell>
          <cell r="AW242">
            <v>0</v>
          </cell>
          <cell r="AY242">
            <v>1178788.6162800002</v>
          </cell>
          <cell r="AZ242">
            <v>115.14687534878716</v>
          </cell>
          <cell r="BA242">
            <v>0</v>
          </cell>
          <cell r="BB242">
            <v>0</v>
          </cell>
          <cell r="BC242">
            <v>0</v>
          </cell>
          <cell r="BD242">
            <v>0</v>
          </cell>
          <cell r="BG242">
            <v>0</v>
          </cell>
          <cell r="BH242">
            <v>0</v>
          </cell>
          <cell r="BI242">
            <v>224375</v>
          </cell>
          <cell r="BJ242">
            <v>21.917483592535152</v>
          </cell>
          <cell r="BK242">
            <v>0</v>
          </cell>
          <cell r="BL242">
            <v>0</v>
          </cell>
          <cell r="BM242">
            <v>1735309</v>
          </cell>
          <cell r="BN242">
            <v>169.50910990742543</v>
          </cell>
          <cell r="BO242">
            <v>0</v>
          </cell>
          <cell r="BP242">
            <v>0</v>
          </cell>
          <cell r="BY242">
            <v>2440</v>
          </cell>
          <cell r="CF242">
            <v>1620.729</v>
          </cell>
          <cell r="CG242">
            <v>727.32</v>
          </cell>
          <cell r="CJ242">
            <v>0</v>
          </cell>
          <cell r="CK242">
            <v>0</v>
          </cell>
          <cell r="CL242">
            <v>0</v>
          </cell>
          <cell r="CM242">
            <v>0</v>
          </cell>
          <cell r="CN242">
            <v>0</v>
          </cell>
          <cell r="CO242">
            <v>0</v>
          </cell>
          <cell r="CX242">
            <v>0</v>
          </cell>
          <cell r="CY242">
            <v>0</v>
          </cell>
          <cell r="DB242">
            <v>0</v>
          </cell>
          <cell r="DC242">
            <v>0</v>
          </cell>
          <cell r="DJ242" t="str">
            <v>НКРЕ</v>
          </cell>
          <cell r="DL242">
            <v>40526</v>
          </cell>
          <cell r="DM242">
            <v>1717</v>
          </cell>
          <cell r="DO242" t="str">
            <v>тариф на теплову енергію</v>
          </cell>
          <cell r="DT242">
            <v>347.36</v>
          </cell>
        </row>
        <row r="243">
          <cell r="W243">
            <v>238.92</v>
          </cell>
          <cell r="AF243">
            <v>40039</v>
          </cell>
          <cell r="AG243">
            <v>715</v>
          </cell>
          <cell r="AH243">
            <v>238.92102996120127</v>
          </cell>
          <cell r="AM243">
            <v>70241.209000000003</v>
          </cell>
          <cell r="AO243">
            <v>16782029.654279999</v>
          </cell>
          <cell r="AQ243">
            <v>16782102</v>
          </cell>
          <cell r="AU243">
            <v>0</v>
          </cell>
          <cell r="AW243">
            <v>0</v>
          </cell>
          <cell r="AY243">
            <v>8206358.8332000012</v>
          </cell>
          <cell r="AZ243">
            <v>116.83111595075194</v>
          </cell>
          <cell r="BA243">
            <v>0</v>
          </cell>
          <cell r="BB243">
            <v>0</v>
          </cell>
          <cell r="BC243">
            <v>0</v>
          </cell>
          <cell r="BD243">
            <v>0</v>
          </cell>
          <cell r="BG243">
            <v>0</v>
          </cell>
          <cell r="BH243">
            <v>0</v>
          </cell>
          <cell r="BI243">
            <v>1594506</v>
          </cell>
          <cell r="BJ243">
            <v>22.700435011020382</v>
          </cell>
          <cell r="BK243">
            <v>0</v>
          </cell>
          <cell r="BL243">
            <v>0</v>
          </cell>
          <cell r="BM243">
            <v>5604413</v>
          </cell>
          <cell r="BN243">
            <v>79.788105583433222</v>
          </cell>
          <cell r="BO243">
            <v>0</v>
          </cell>
          <cell r="BP243">
            <v>0</v>
          </cell>
          <cell r="BY243">
            <v>2440</v>
          </cell>
          <cell r="CF243">
            <v>11283.01</v>
          </cell>
          <cell r="CG243">
            <v>727.32</v>
          </cell>
          <cell r="CJ243">
            <v>0</v>
          </cell>
          <cell r="CK243">
            <v>0</v>
          </cell>
          <cell r="CL243">
            <v>0</v>
          </cell>
          <cell r="CM243">
            <v>0</v>
          </cell>
          <cell r="CN243">
            <v>0</v>
          </cell>
          <cell r="CO243">
            <v>0</v>
          </cell>
          <cell r="CX243">
            <v>0</v>
          </cell>
          <cell r="CY243">
            <v>0</v>
          </cell>
          <cell r="DB243">
            <v>0</v>
          </cell>
          <cell r="DC243">
            <v>0</v>
          </cell>
          <cell r="DJ243" t="str">
            <v>НКРЕ</v>
          </cell>
          <cell r="DL243">
            <v>40526</v>
          </cell>
          <cell r="DM243">
            <v>1717</v>
          </cell>
          <cell r="DO243" t="str">
            <v>тариф на теплову енергію</v>
          </cell>
          <cell r="DT243">
            <v>262.81</v>
          </cell>
        </row>
        <row r="244">
          <cell r="W244">
            <v>646.38</v>
          </cell>
          <cell r="AF244">
            <v>40039</v>
          </cell>
          <cell r="AG244">
            <v>716</v>
          </cell>
          <cell r="AH244">
            <v>598.50204769702657</v>
          </cell>
          <cell r="AM244">
            <v>16385.969000000001</v>
          </cell>
          <cell r="AO244">
            <v>10591562.64222</v>
          </cell>
          <cell r="AQ244">
            <v>9807036</v>
          </cell>
          <cell r="AU244">
            <v>0</v>
          </cell>
          <cell r="AW244">
            <v>0</v>
          </cell>
          <cell r="AY244">
            <v>4909865.2954199994</v>
          </cell>
          <cell r="AZ244">
            <v>299.63838546380742</v>
          </cell>
          <cell r="BA244">
            <v>381192</v>
          </cell>
          <cell r="BB244">
            <v>23.263317537095304</v>
          </cell>
          <cell r="BC244">
            <v>0</v>
          </cell>
          <cell r="BD244">
            <v>0</v>
          </cell>
          <cell r="BG244">
            <v>0</v>
          </cell>
          <cell r="BH244">
            <v>0</v>
          </cell>
          <cell r="BI244">
            <v>306117</v>
          </cell>
          <cell r="BJ244">
            <v>18.681653797831547</v>
          </cell>
          <cell r="BK244">
            <v>0</v>
          </cell>
          <cell r="BL244">
            <v>0</v>
          </cell>
          <cell r="BM244">
            <v>3777172</v>
          </cell>
          <cell r="BN244">
            <v>230.51258061088726</v>
          </cell>
          <cell r="BO244">
            <v>0</v>
          </cell>
          <cell r="BP244">
            <v>0</v>
          </cell>
          <cell r="BY244">
            <v>2440</v>
          </cell>
          <cell r="CF244">
            <v>2249.4870000000001</v>
          </cell>
          <cell r="CG244">
            <v>2182.66</v>
          </cell>
          <cell r="CJ244">
            <v>0</v>
          </cell>
          <cell r="CK244">
            <v>0</v>
          </cell>
          <cell r="CL244">
            <v>0</v>
          </cell>
          <cell r="CM244">
            <v>0</v>
          </cell>
          <cell r="CN244">
            <v>0</v>
          </cell>
          <cell r="CO244">
            <v>0</v>
          </cell>
          <cell r="CX244">
            <v>0</v>
          </cell>
          <cell r="CY244">
            <v>0</v>
          </cell>
          <cell r="DB244">
            <v>0</v>
          </cell>
          <cell r="DC244">
            <v>0</v>
          </cell>
          <cell r="DJ244" t="str">
            <v>НКРКП</v>
          </cell>
          <cell r="DL244">
            <v>40816</v>
          </cell>
          <cell r="DM244">
            <v>45</v>
          </cell>
          <cell r="DT244">
            <v>861.81</v>
          </cell>
        </row>
        <row r="245">
          <cell r="W245">
            <v>722.49</v>
          </cell>
          <cell r="AF245">
            <v>40039</v>
          </cell>
          <cell r="AG245">
            <v>717</v>
          </cell>
          <cell r="AH245">
            <v>481.66187244303956</v>
          </cell>
          <cell r="AM245">
            <v>3375.59</v>
          </cell>
          <cell r="AO245">
            <v>2438830.0191000002</v>
          </cell>
          <cell r="AQ245">
            <v>1625893</v>
          </cell>
          <cell r="AU245">
            <v>0</v>
          </cell>
          <cell r="AW245">
            <v>0</v>
          </cell>
          <cell r="AY245">
            <v>1198711.1751999999</v>
          </cell>
          <cell r="AZ245">
            <v>355.11160277166357</v>
          </cell>
          <cell r="BA245">
            <v>5367</v>
          </cell>
          <cell r="BB245">
            <v>1.5899442764079761</v>
          </cell>
          <cell r="BC245">
            <v>0</v>
          </cell>
          <cell r="BD245">
            <v>0</v>
          </cell>
          <cell r="BG245">
            <v>0</v>
          </cell>
          <cell r="BH245">
            <v>0</v>
          </cell>
          <cell r="BI245">
            <v>61452</v>
          </cell>
          <cell r="BJ245">
            <v>18.204817528195072</v>
          </cell>
          <cell r="BK245">
            <v>0</v>
          </cell>
          <cell r="BL245">
            <v>0</v>
          </cell>
          <cell r="BM245">
            <v>298859</v>
          </cell>
          <cell r="BN245">
            <v>88.535337526180598</v>
          </cell>
          <cell r="BO245">
            <v>0</v>
          </cell>
          <cell r="BP245">
            <v>0</v>
          </cell>
          <cell r="BY245">
            <v>2440</v>
          </cell>
          <cell r="CF245">
            <v>540.91999999999996</v>
          </cell>
          <cell r="CG245">
            <v>2216.06</v>
          </cell>
          <cell r="CJ245">
            <v>0</v>
          </cell>
          <cell r="CK245">
            <v>0</v>
          </cell>
          <cell r="CL245">
            <v>0</v>
          </cell>
          <cell r="CM245">
            <v>0</v>
          </cell>
          <cell r="CN245">
            <v>0</v>
          </cell>
          <cell r="CO245">
            <v>0</v>
          </cell>
          <cell r="CX245">
            <v>0</v>
          </cell>
          <cell r="CY245">
            <v>0</v>
          </cell>
          <cell r="DB245">
            <v>0</v>
          </cell>
          <cell r="DC245">
            <v>0</v>
          </cell>
          <cell r="DJ245" t="str">
            <v>НКРКП</v>
          </cell>
          <cell r="DL245">
            <v>40816</v>
          </cell>
          <cell r="DM245">
            <v>45</v>
          </cell>
          <cell r="DT245">
            <v>968.61</v>
          </cell>
        </row>
        <row r="246">
          <cell r="AF246">
            <v>39855</v>
          </cell>
          <cell r="AG246">
            <v>3</v>
          </cell>
          <cell r="AM246">
            <v>82182</v>
          </cell>
          <cell r="AO246">
            <v>9796916.2199999988</v>
          </cell>
          <cell r="AQ246">
            <v>9217710</v>
          </cell>
          <cell r="AU246">
            <v>0</v>
          </cell>
          <cell r="AW246">
            <v>0</v>
          </cell>
          <cell r="AY246">
            <v>7696340.2296000011</v>
          </cell>
          <cell r="AZ246">
            <v>93.649950470906049</v>
          </cell>
          <cell r="BA246">
            <v>0</v>
          </cell>
          <cell r="BB246">
            <v>0</v>
          </cell>
          <cell r="BG246">
            <v>0</v>
          </cell>
          <cell r="BH246">
            <v>0</v>
          </cell>
          <cell r="BI246">
            <v>1521370</v>
          </cell>
          <cell r="BJ246">
            <v>18.51220461901633</v>
          </cell>
          <cell r="BK246">
            <v>0</v>
          </cell>
          <cell r="BL246">
            <v>0</v>
          </cell>
          <cell r="BO246">
            <v>0</v>
          </cell>
          <cell r="BP246">
            <v>0</v>
          </cell>
          <cell r="CF246">
            <v>10581.78</v>
          </cell>
          <cell r="CG246">
            <v>727.32</v>
          </cell>
          <cell r="CJ246">
            <v>0</v>
          </cell>
          <cell r="CK246">
            <v>0</v>
          </cell>
          <cell r="CL246">
            <v>0</v>
          </cell>
          <cell r="CM246">
            <v>0</v>
          </cell>
          <cell r="CN246">
            <v>0</v>
          </cell>
          <cell r="CO246">
            <v>0</v>
          </cell>
          <cell r="CX246">
            <v>0</v>
          </cell>
          <cell r="CY246">
            <v>0</v>
          </cell>
          <cell r="DJ246" t="str">
            <v>НКРЕ</v>
          </cell>
          <cell r="DL246">
            <v>40526</v>
          </cell>
          <cell r="DM246">
            <v>1732</v>
          </cell>
          <cell r="DO246" t="str">
            <v>умовно-зміна величина двоставкового тарифу</v>
          </cell>
        </row>
        <row r="247">
          <cell r="AF247">
            <v>39855</v>
          </cell>
          <cell r="AG247">
            <v>4</v>
          </cell>
          <cell r="AM247">
            <v>19581</v>
          </cell>
          <cell r="AO247">
            <v>6071905.5777000003</v>
          </cell>
          <cell r="AQ247">
            <v>5763810</v>
          </cell>
          <cell r="AU247">
            <v>0</v>
          </cell>
          <cell r="AW247">
            <v>0</v>
          </cell>
          <cell r="AY247">
            <v>5401321.3347500004</v>
          </cell>
          <cell r="AZ247">
            <v>275.84501990449928</v>
          </cell>
          <cell r="BA247">
            <v>0</v>
          </cell>
          <cell r="BB247">
            <v>0</v>
          </cell>
          <cell r="BG247">
            <v>0</v>
          </cell>
          <cell r="BH247">
            <v>0</v>
          </cell>
          <cell r="BI247">
            <v>362488.5</v>
          </cell>
          <cell r="BJ247">
            <v>18.512256779531178</v>
          </cell>
          <cell r="BK247">
            <v>0</v>
          </cell>
          <cell r="BL247">
            <v>0</v>
          </cell>
          <cell r="BO247">
            <v>0</v>
          </cell>
          <cell r="BP247">
            <v>0</v>
          </cell>
          <cell r="CF247">
            <v>2521.3310000000001</v>
          </cell>
          <cell r="CG247">
            <v>2142.25</v>
          </cell>
          <cell r="CJ247">
            <v>0</v>
          </cell>
          <cell r="CK247">
            <v>0</v>
          </cell>
          <cell r="CL247">
            <v>0</v>
          </cell>
          <cell r="CM247">
            <v>0</v>
          </cell>
          <cell r="CN247">
            <v>0</v>
          </cell>
          <cell r="CO247">
            <v>0</v>
          </cell>
          <cell r="CX247">
            <v>0</v>
          </cell>
          <cell r="CY247">
            <v>0</v>
          </cell>
          <cell r="DJ247" t="str">
            <v>НКРКП</v>
          </cell>
          <cell r="DL247">
            <v>41012</v>
          </cell>
          <cell r="DM247">
            <v>157</v>
          </cell>
        </row>
        <row r="248">
          <cell r="AF248">
            <v>39855</v>
          </cell>
          <cell r="AG248">
            <v>5</v>
          </cell>
          <cell r="AM248">
            <v>5357</v>
          </cell>
          <cell r="AO248">
            <v>1784639.5511999999</v>
          </cell>
          <cell r="AQ248">
            <v>1576880</v>
          </cell>
          <cell r="AU248">
            <v>0</v>
          </cell>
          <cell r="AW248">
            <v>0</v>
          </cell>
          <cell r="AY248">
            <v>1477719.7655</v>
          </cell>
          <cell r="AZ248">
            <v>275.84837885010268</v>
          </cell>
          <cell r="BA248">
            <v>0</v>
          </cell>
          <cell r="BB248">
            <v>0</v>
          </cell>
          <cell r="BG248">
            <v>0</v>
          </cell>
          <cell r="BH248">
            <v>0</v>
          </cell>
          <cell r="BI248">
            <v>99160</v>
          </cell>
          <cell r="BJ248">
            <v>18.510360276274035</v>
          </cell>
          <cell r="BK248">
            <v>0</v>
          </cell>
          <cell r="BL248">
            <v>0</v>
          </cell>
          <cell r="BO248">
            <v>0</v>
          </cell>
          <cell r="BP248">
            <v>0</v>
          </cell>
          <cell r="CF248">
            <v>689.798</v>
          </cell>
          <cell r="CG248">
            <v>2142.25</v>
          </cell>
          <cell r="CJ248">
            <v>0</v>
          </cell>
          <cell r="CK248">
            <v>0</v>
          </cell>
          <cell r="CL248">
            <v>0</v>
          </cell>
          <cell r="CM248">
            <v>0</v>
          </cell>
          <cell r="CN248">
            <v>0</v>
          </cell>
          <cell r="CO248">
            <v>0</v>
          </cell>
          <cell r="CX248">
            <v>0</v>
          </cell>
          <cell r="CY248">
            <v>0</v>
          </cell>
          <cell r="DJ248" t="str">
            <v>НКРКП</v>
          </cell>
          <cell r="DL248">
            <v>41012</v>
          </cell>
          <cell r="DM248">
            <v>157</v>
          </cell>
        </row>
        <row r="249">
          <cell r="AF249">
            <v>39855</v>
          </cell>
          <cell r="AG249">
            <v>3</v>
          </cell>
          <cell r="AO249">
            <v>5346419.9304</v>
          </cell>
          <cell r="AQ249">
            <v>5070570</v>
          </cell>
          <cell r="AY249">
            <v>1228009.99728</v>
          </cell>
          <cell r="AZ249">
            <v>2449.5336295090601</v>
          </cell>
          <cell r="BC249">
            <v>0</v>
          </cell>
          <cell r="BD249">
            <v>0</v>
          </cell>
          <cell r="BG249">
            <v>0</v>
          </cell>
          <cell r="BH249">
            <v>0</v>
          </cell>
          <cell r="BI249">
            <v>242750</v>
          </cell>
          <cell r="BJ249">
            <v>484.21779128866757</v>
          </cell>
          <cell r="BK249">
            <v>0</v>
          </cell>
          <cell r="BL249">
            <v>0</v>
          </cell>
          <cell r="BM249">
            <v>2660350</v>
          </cell>
          <cell r="BN249">
            <v>5306.6479961063105</v>
          </cell>
          <cell r="BO249">
            <v>0</v>
          </cell>
          <cell r="BP249">
            <v>0</v>
          </cell>
          <cell r="BY249">
            <v>1422</v>
          </cell>
          <cell r="CF249">
            <v>1688.404</v>
          </cell>
          <cell r="CG249">
            <v>727.32</v>
          </cell>
          <cell r="CX249">
            <v>0</v>
          </cell>
          <cell r="CY249">
            <v>0</v>
          </cell>
          <cell r="DB249">
            <v>0</v>
          </cell>
          <cell r="DC249">
            <v>0</v>
          </cell>
          <cell r="DJ249" t="str">
            <v>МОС</v>
          </cell>
          <cell r="DL249">
            <v>40541</v>
          </cell>
          <cell r="DM249">
            <v>631</v>
          </cell>
          <cell r="DO249" t="str">
            <v>умовно-постійна частина дв.тарифу - абонплата на централізоване опалення (встановлено в грн/кв.м/міс.)</v>
          </cell>
        </row>
        <row r="250">
          <cell r="AF250">
            <v>39855</v>
          </cell>
          <cell r="AG250">
            <v>4</v>
          </cell>
          <cell r="AO250">
            <v>2015175.4656000002</v>
          </cell>
          <cell r="AQ250">
            <v>1775570</v>
          </cell>
          <cell r="AY250">
            <v>860940.28350000002</v>
          </cell>
          <cell r="AZ250">
            <v>7214.90583517699</v>
          </cell>
          <cell r="BC250">
            <v>0</v>
          </cell>
          <cell r="BD250">
            <v>0</v>
          </cell>
          <cell r="BG250">
            <v>0</v>
          </cell>
          <cell r="BH250">
            <v>0</v>
          </cell>
          <cell r="BI250">
            <v>57780</v>
          </cell>
          <cell r="BJ250">
            <v>484.21158487530164</v>
          </cell>
          <cell r="BK250">
            <v>0</v>
          </cell>
          <cell r="BL250">
            <v>0</v>
          </cell>
          <cell r="BM250">
            <v>633230</v>
          </cell>
          <cell r="BN250">
            <v>5306.6338160364703</v>
          </cell>
          <cell r="BO250">
            <v>0</v>
          </cell>
          <cell r="BP250">
            <v>0</v>
          </cell>
          <cell r="BY250">
            <v>1422</v>
          </cell>
          <cell r="CF250">
            <v>401.88600000000002</v>
          </cell>
          <cell r="CG250">
            <v>2142.25</v>
          </cell>
          <cell r="CX250">
            <v>0</v>
          </cell>
          <cell r="CY250">
            <v>0</v>
          </cell>
          <cell r="DB250">
            <v>0</v>
          </cell>
          <cell r="DC250">
            <v>0</v>
          </cell>
          <cell r="DJ250" t="str">
            <v>НКРКП</v>
          </cell>
          <cell r="DL250">
            <v>41012</v>
          </cell>
          <cell r="DM250">
            <v>157</v>
          </cell>
          <cell r="DO250" t="str">
            <v>умовно-постійна частина двоставкового тарифу на т.е. для ЦОП</v>
          </cell>
        </row>
        <row r="251">
          <cell r="AF251">
            <v>39855</v>
          </cell>
          <cell r="AG251">
            <v>5</v>
          </cell>
          <cell r="AO251">
            <v>662330.01261000009</v>
          </cell>
          <cell r="AQ251">
            <v>490820</v>
          </cell>
          <cell r="AY251">
            <v>237969.69899999999</v>
          </cell>
          <cell r="AZ251">
            <v>7213.8262095307373</v>
          </cell>
          <cell r="BC251">
            <v>0</v>
          </cell>
          <cell r="BD251">
            <v>0</v>
          </cell>
          <cell r="BG251">
            <v>0</v>
          </cell>
          <cell r="BH251">
            <v>0</v>
          </cell>
          <cell r="BI251">
            <v>15970</v>
          </cell>
          <cell r="BJ251">
            <v>484.11543591609069</v>
          </cell>
          <cell r="BK251">
            <v>0</v>
          </cell>
          <cell r="BL251">
            <v>0</v>
          </cell>
          <cell r="BM251">
            <v>175070</v>
          </cell>
          <cell r="BN251">
            <v>5307.0813629198492</v>
          </cell>
          <cell r="BO251">
            <v>0</v>
          </cell>
          <cell r="BP251">
            <v>0</v>
          </cell>
          <cell r="BY251">
            <v>1422</v>
          </cell>
          <cell r="CF251">
            <v>111.084</v>
          </cell>
          <cell r="CG251">
            <v>2142.25</v>
          </cell>
          <cell r="CX251">
            <v>0</v>
          </cell>
          <cell r="CY251">
            <v>0</v>
          </cell>
          <cell r="DB251">
            <v>0</v>
          </cell>
          <cell r="DC251">
            <v>0</v>
          </cell>
          <cell r="DJ251" t="str">
            <v>НКРКП</v>
          </cell>
          <cell r="DL251">
            <v>41012</v>
          </cell>
          <cell r="DM251">
            <v>157</v>
          </cell>
          <cell r="DO251" t="str">
            <v>умовно-постійна частина двоставкового тарифу на т.е. для ЦОП</v>
          </cell>
        </row>
        <row r="252">
          <cell r="AF252">
            <v>39682</v>
          </cell>
          <cell r="AG252">
            <v>825</v>
          </cell>
          <cell r="AM252">
            <v>159699.49112195123</v>
          </cell>
          <cell r="AO252">
            <v>19316929.929232538</v>
          </cell>
          <cell r="AQ252">
            <v>19316927</v>
          </cell>
          <cell r="AU252">
            <v>0</v>
          </cell>
          <cell r="AW252">
            <v>0</v>
          </cell>
          <cell r="AY252">
            <v>16032387.48144</v>
          </cell>
          <cell r="AZ252">
            <v>100.39097412775848</v>
          </cell>
          <cell r="BA252">
            <v>0</v>
          </cell>
          <cell r="BB252">
            <v>0</v>
          </cell>
          <cell r="BG252">
            <v>1184241.3304536073</v>
          </cell>
          <cell r="BH252">
            <v>7.4154358422425135</v>
          </cell>
          <cell r="BI252">
            <v>2100298.5432427796</v>
          </cell>
          <cell r="BJ252">
            <v>13.151566911624846</v>
          </cell>
          <cell r="BK252">
            <v>0</v>
          </cell>
          <cell r="BL252">
            <v>0</v>
          </cell>
          <cell r="BO252">
            <v>0</v>
          </cell>
          <cell r="BP252">
            <v>0</v>
          </cell>
          <cell r="CF252">
            <v>22043.200000000001</v>
          </cell>
          <cell r="CG252">
            <v>727.31669999999997</v>
          </cell>
          <cell r="CJ252">
            <v>0</v>
          </cell>
          <cell r="CK252">
            <v>0</v>
          </cell>
          <cell r="CL252">
            <v>0</v>
          </cell>
          <cell r="CM252">
            <v>0</v>
          </cell>
          <cell r="CN252">
            <v>0</v>
          </cell>
          <cell r="CO252">
            <v>0</v>
          </cell>
          <cell r="CX252">
            <v>0</v>
          </cell>
          <cell r="CY252">
            <v>0</v>
          </cell>
          <cell r="DJ252" t="str">
            <v>МОС</v>
          </cell>
          <cell r="DL252">
            <v>40541</v>
          </cell>
          <cell r="DM252">
            <v>111</v>
          </cell>
          <cell r="DO252" t="str">
            <v>Умовно-зміна частина дв.тарифу - Тариф за теплову енергію згідно з показниками обліку теплової енергії</v>
          </cell>
        </row>
        <row r="253">
          <cell r="AF253">
            <v>39878</v>
          </cell>
          <cell r="AG253">
            <v>1506</v>
          </cell>
          <cell r="AM253">
            <v>35202.015219512192</v>
          </cell>
          <cell r="AO253">
            <v>11132990.002161214</v>
          </cell>
          <cell r="AQ253">
            <v>11133000</v>
          </cell>
          <cell r="AU253">
            <v>0</v>
          </cell>
          <cell r="AW253">
            <v>0</v>
          </cell>
          <cell r="AY253">
            <v>10408999.9475</v>
          </cell>
          <cell r="AZ253">
            <v>295.6932971760769</v>
          </cell>
          <cell r="BA253">
            <v>0</v>
          </cell>
          <cell r="BB253">
            <v>0</v>
          </cell>
          <cell r="BG253">
            <v>261038.28537793714</v>
          </cell>
          <cell r="BH253">
            <v>7.4154358422425126</v>
          </cell>
          <cell r="BI253">
            <v>462961.65858345071</v>
          </cell>
          <cell r="BJ253">
            <v>13.151566911624844</v>
          </cell>
          <cell r="BK253">
            <v>0</v>
          </cell>
          <cell r="BL253">
            <v>0</v>
          </cell>
          <cell r="BO253">
            <v>0</v>
          </cell>
          <cell r="BP253">
            <v>0</v>
          </cell>
          <cell r="CF253">
            <v>4858.91</v>
          </cell>
          <cell r="CG253">
            <v>2142.25</v>
          </cell>
          <cell r="CJ253">
            <v>0</v>
          </cell>
          <cell r="CK253">
            <v>0</v>
          </cell>
          <cell r="CL253">
            <v>0</v>
          </cell>
          <cell r="CM253">
            <v>0</v>
          </cell>
          <cell r="CN253">
            <v>0</v>
          </cell>
          <cell r="CO253">
            <v>0</v>
          </cell>
          <cell r="CX253">
            <v>0</v>
          </cell>
          <cell r="CY253">
            <v>0</v>
          </cell>
          <cell r="DJ253" t="str">
            <v>НКРКП</v>
          </cell>
          <cell r="DL253">
            <v>40816</v>
          </cell>
          <cell r="DM253">
            <v>162</v>
          </cell>
        </row>
        <row r="254">
          <cell r="AF254">
            <v>39878</v>
          </cell>
          <cell r="AG254">
            <v>1507</v>
          </cell>
          <cell r="AM254">
            <v>27546.581853658536</v>
          </cell>
          <cell r="AO254">
            <v>8711889.9655467868</v>
          </cell>
          <cell r="AQ254">
            <v>8711890</v>
          </cell>
          <cell r="AU254">
            <v>0</v>
          </cell>
          <cell r="AW254">
            <v>0</v>
          </cell>
          <cell r="AY254">
            <v>8145340.3400249993</v>
          </cell>
          <cell r="AZ254">
            <v>295.69332352366598</v>
          </cell>
          <cell r="BA254">
            <v>0</v>
          </cell>
          <cell r="BB254">
            <v>0</v>
          </cell>
          <cell r="BG254">
            <v>204269.9104088867</v>
          </cell>
          <cell r="BH254">
            <v>7.4154358422425126</v>
          </cell>
          <cell r="BI254">
            <v>362280.71443494095</v>
          </cell>
          <cell r="BJ254">
            <v>13.151566911624844</v>
          </cell>
          <cell r="BK254">
            <v>0</v>
          </cell>
          <cell r="BL254">
            <v>0</v>
          </cell>
          <cell r="BO254">
            <v>0</v>
          </cell>
          <cell r="BP254">
            <v>0</v>
          </cell>
          <cell r="CF254">
            <v>3802.2449999999999</v>
          </cell>
          <cell r="CG254">
            <v>2142.2449999999999</v>
          </cell>
          <cell r="CJ254">
            <v>0</v>
          </cell>
          <cell r="CK254">
            <v>0</v>
          </cell>
          <cell r="CL254">
            <v>0</v>
          </cell>
          <cell r="CM254">
            <v>0</v>
          </cell>
          <cell r="CN254">
            <v>0</v>
          </cell>
          <cell r="CO254">
            <v>0</v>
          </cell>
          <cell r="CX254">
            <v>0</v>
          </cell>
          <cell r="CY254">
            <v>0</v>
          </cell>
          <cell r="DJ254" t="str">
            <v>НКРКП</v>
          </cell>
          <cell r="DL254">
            <v>40816</v>
          </cell>
          <cell r="DM254">
            <v>162</v>
          </cell>
        </row>
        <row r="255">
          <cell r="AF255">
            <v>39682</v>
          </cell>
          <cell r="AG255">
            <v>825</v>
          </cell>
          <cell r="AO255">
            <v>18172080.696390204</v>
          </cell>
          <cell r="AQ255">
            <v>16101410</v>
          </cell>
          <cell r="AY255">
            <v>3011337.5424000002</v>
          </cell>
          <cell r="AZ255">
            <v>3421.7240720110935</v>
          </cell>
          <cell r="BC255">
            <v>0</v>
          </cell>
          <cell r="BD255">
            <v>0</v>
          </cell>
          <cell r="BG255">
            <v>222433.39801639714</v>
          </cell>
          <cell r="BH255">
            <v>252.74672855349806</v>
          </cell>
          <cell r="BI255">
            <v>482181.96536543313</v>
          </cell>
          <cell r="BJ255">
            <v>547.89395567578129</v>
          </cell>
          <cell r="BK255">
            <v>0</v>
          </cell>
          <cell r="BL255">
            <v>0</v>
          </cell>
          <cell r="BM255">
            <v>8386398.1023648037</v>
          </cell>
          <cell r="BN255">
            <v>9529.300472061821</v>
          </cell>
          <cell r="BO255">
            <v>0</v>
          </cell>
          <cell r="BP255">
            <v>0</v>
          </cell>
          <cell r="BY255">
            <v>1714.7511057499</v>
          </cell>
          <cell r="CF255">
            <v>4140.32</v>
          </cell>
          <cell r="CG255">
            <v>727.32</v>
          </cell>
          <cell r="CX255">
            <v>0</v>
          </cell>
          <cell r="CY255">
            <v>0</v>
          </cell>
          <cell r="DB255">
            <v>0</v>
          </cell>
          <cell r="DC255">
            <v>0</v>
          </cell>
          <cell r="DJ255" t="str">
            <v>МОС</v>
          </cell>
          <cell r="DL255">
            <v>41086</v>
          </cell>
          <cell r="DM255">
            <v>450</v>
          </cell>
          <cell r="DO255" t="str">
            <v>Умовно-зміна частина дв. тарифу - абонентна плата (затверджена у грн за кв.м)</v>
          </cell>
        </row>
        <row r="256">
          <cell r="AF256">
            <v>39878</v>
          </cell>
          <cell r="AG256">
            <v>1506</v>
          </cell>
          <cell r="AO256">
            <v>5385054.7351527456</v>
          </cell>
          <cell r="AQ256">
            <v>4670768.5</v>
          </cell>
          <cell r="AY256">
            <v>1955103.04</v>
          </cell>
          <cell r="AZ256">
            <v>10078.391006528187</v>
          </cell>
          <cell r="BC256">
            <v>0</v>
          </cell>
          <cell r="BD256">
            <v>0</v>
          </cell>
          <cell r="BG256">
            <v>49030.236773401673</v>
          </cell>
          <cell r="BH256">
            <v>252.74672855349812</v>
          </cell>
          <cell r="BI256">
            <v>106285.72930396257</v>
          </cell>
          <cell r="BJ256">
            <v>547.89395567578151</v>
          </cell>
          <cell r="BK256">
            <v>0</v>
          </cell>
          <cell r="BL256">
            <v>0</v>
          </cell>
          <cell r="BM256">
            <v>1848585.1868550833</v>
          </cell>
          <cell r="BN256">
            <v>9529.300472061821</v>
          </cell>
          <cell r="BO256">
            <v>0</v>
          </cell>
          <cell r="BP256">
            <v>0</v>
          </cell>
          <cell r="BY256">
            <v>1714.7511057499</v>
          </cell>
          <cell r="CF256">
            <v>912.64</v>
          </cell>
          <cell r="CG256">
            <v>2142.25</v>
          </cell>
          <cell r="CX256">
            <v>0</v>
          </cell>
          <cell r="CY256">
            <v>0</v>
          </cell>
          <cell r="DB256">
            <v>0</v>
          </cell>
          <cell r="DC256">
            <v>0</v>
          </cell>
          <cell r="DJ256" t="str">
            <v>МОС</v>
          </cell>
          <cell r="DL256">
            <v>41086</v>
          </cell>
          <cell r="DM256">
            <v>450</v>
          </cell>
          <cell r="DO256" t="str">
            <v xml:space="preserve">Плата за одиницю приєднаного теплового навантаження розрахунку за 0,1 Гкал в годину </v>
          </cell>
        </row>
        <row r="257">
          <cell r="AF257">
            <v>39878</v>
          </cell>
          <cell r="AG257">
            <v>1507</v>
          </cell>
          <cell r="AO257">
            <v>4213959.0623804126</v>
          </cell>
          <cell r="AQ257">
            <v>3655010</v>
          </cell>
          <cell r="AY257">
            <v>1529930.6824999999</v>
          </cell>
          <cell r="AZ257">
            <v>10078.435403524581</v>
          </cell>
          <cell r="BC257">
            <v>0</v>
          </cell>
          <cell r="BD257">
            <v>0</v>
          </cell>
          <cell r="BG257">
            <v>38367.559986569548</v>
          </cell>
          <cell r="BH257">
            <v>252.74672855349817</v>
          </cell>
          <cell r="BI257">
            <v>83171.617417077243</v>
          </cell>
          <cell r="BJ257">
            <v>547.8939556757814</v>
          </cell>
          <cell r="BK257">
            <v>0</v>
          </cell>
          <cell r="BL257">
            <v>0</v>
          </cell>
          <cell r="BM257">
            <v>1446570.6819801172</v>
          </cell>
          <cell r="BN257">
            <v>9529.300472061821</v>
          </cell>
          <cell r="BO257">
            <v>0</v>
          </cell>
          <cell r="BP257">
            <v>0</v>
          </cell>
          <cell r="BY257">
            <v>1714.7511057499</v>
          </cell>
          <cell r="CF257">
            <v>714.17</v>
          </cell>
          <cell r="CG257">
            <v>2142.25</v>
          </cell>
          <cell r="CX257">
            <v>0</v>
          </cell>
          <cell r="CY257">
            <v>0</v>
          </cell>
          <cell r="DB257">
            <v>0</v>
          </cell>
          <cell r="DC257">
            <v>0</v>
          </cell>
          <cell r="DJ257" t="str">
            <v>МОС</v>
          </cell>
          <cell r="DL257">
            <v>41086</v>
          </cell>
          <cell r="DM257">
            <v>450</v>
          </cell>
          <cell r="DO257" t="str">
            <v xml:space="preserve">Плата за одиницю приєднаного теплового навантаження розрахунку за 0,1 Гкал в годину </v>
          </cell>
        </row>
        <row r="258">
          <cell r="W258">
            <v>264.8416666666667</v>
          </cell>
          <cell r="AF258">
            <v>39965</v>
          </cell>
          <cell r="AG258" t="str">
            <v xml:space="preserve"> №6/1/2-255, 6/1/2-256</v>
          </cell>
          <cell r="AH258">
            <v>259.73166666666663</v>
          </cell>
          <cell r="AM258">
            <v>99960</v>
          </cell>
          <cell r="AO258">
            <v>26473573.000000004</v>
          </cell>
          <cell r="AQ258">
            <v>25962777.399999999</v>
          </cell>
          <cell r="AU258">
            <v>0</v>
          </cell>
          <cell r="AW258">
            <v>20678214.780000001</v>
          </cell>
          <cell r="AY258">
            <v>0</v>
          </cell>
          <cell r="AZ258">
            <v>0</v>
          </cell>
          <cell r="BA258">
            <v>0</v>
          </cell>
          <cell r="BB258">
            <v>0</v>
          </cell>
          <cell r="BC258">
            <v>0</v>
          </cell>
          <cell r="BD258">
            <v>0</v>
          </cell>
          <cell r="BG258">
            <v>0</v>
          </cell>
          <cell r="BH258">
            <v>0</v>
          </cell>
          <cell r="BI258">
            <v>523900</v>
          </cell>
          <cell r="BJ258">
            <v>5.2410964385754299</v>
          </cell>
          <cell r="BK258">
            <v>0</v>
          </cell>
          <cell r="BL258">
            <v>0</v>
          </cell>
          <cell r="BM258">
            <v>3250721.6</v>
          </cell>
          <cell r="BN258">
            <v>32.520224089635853</v>
          </cell>
          <cell r="BO258">
            <v>0</v>
          </cell>
          <cell r="BP258">
            <v>0</v>
          </cell>
          <cell r="BY258">
            <v>2088.15</v>
          </cell>
          <cell r="CF258">
            <v>0</v>
          </cell>
          <cell r="CG258">
            <v>0</v>
          </cell>
          <cell r="CJ258">
            <v>0</v>
          </cell>
          <cell r="CK258">
            <v>0</v>
          </cell>
          <cell r="CL258">
            <v>0</v>
          </cell>
          <cell r="CM258">
            <v>116098</v>
          </cell>
          <cell r="CN258">
            <v>178.11</v>
          </cell>
          <cell r="CO258">
            <v>311.69</v>
          </cell>
          <cell r="CX258">
            <v>0</v>
          </cell>
          <cell r="CY258">
            <v>0</v>
          </cell>
          <cell r="DB258">
            <v>0</v>
          </cell>
          <cell r="DC258">
            <v>0</v>
          </cell>
          <cell r="DJ258" t="str">
            <v>МОС</v>
          </cell>
          <cell r="DL258">
            <v>40066</v>
          </cell>
          <cell r="DM258" t="str">
            <v>№2212</v>
          </cell>
          <cell r="DO258" t="str">
            <v>Тариф на транспортування, постачання теплової енергії</v>
          </cell>
          <cell r="DT258">
            <v>264.8417</v>
          </cell>
        </row>
        <row r="259">
          <cell r="W259">
            <v>518.49166666666679</v>
          </cell>
          <cell r="AF259">
            <v>39965</v>
          </cell>
          <cell r="AG259" t="str">
            <v xml:space="preserve"> №6/1/2-255, 6/1/2-256</v>
          </cell>
          <cell r="AH259">
            <v>502.66166646452393</v>
          </cell>
          <cell r="AM259">
            <v>8245</v>
          </cell>
          <cell r="AO259">
            <v>4274963.7916666679</v>
          </cell>
          <cell r="AQ259">
            <v>4144445.4399999999</v>
          </cell>
          <cell r="AU259">
            <v>0</v>
          </cell>
          <cell r="AW259">
            <v>3735118.8000000003</v>
          </cell>
          <cell r="AY259">
            <v>0</v>
          </cell>
          <cell r="AZ259">
            <v>0</v>
          </cell>
          <cell r="BA259">
            <v>0</v>
          </cell>
          <cell r="BB259">
            <v>0</v>
          </cell>
          <cell r="BC259">
            <v>0</v>
          </cell>
          <cell r="BD259">
            <v>0</v>
          </cell>
          <cell r="BG259">
            <v>0</v>
          </cell>
          <cell r="BH259">
            <v>0</v>
          </cell>
          <cell r="BI259">
            <v>43203.8</v>
          </cell>
          <cell r="BJ259">
            <v>5.24</v>
          </cell>
          <cell r="BK259">
            <v>0</v>
          </cell>
          <cell r="BL259">
            <v>0</v>
          </cell>
          <cell r="BM259">
            <v>268100</v>
          </cell>
          <cell r="BN259">
            <v>32.516676773802303</v>
          </cell>
          <cell r="BO259">
            <v>0</v>
          </cell>
          <cell r="BP259">
            <v>0</v>
          </cell>
          <cell r="BY259">
            <v>2088.15</v>
          </cell>
          <cell r="CF259">
            <v>0</v>
          </cell>
          <cell r="CG259">
            <v>0</v>
          </cell>
          <cell r="CJ259">
            <v>0</v>
          </cell>
          <cell r="CK259">
            <v>0</v>
          </cell>
          <cell r="CL259">
            <v>0</v>
          </cell>
          <cell r="CM259">
            <v>9576</v>
          </cell>
          <cell r="CN259">
            <v>390.05</v>
          </cell>
          <cell r="CO259">
            <v>832.21</v>
          </cell>
          <cell r="CX259">
            <v>0</v>
          </cell>
          <cell r="CY259">
            <v>0</v>
          </cell>
          <cell r="DB259">
            <v>0</v>
          </cell>
          <cell r="DC259">
            <v>0</v>
          </cell>
          <cell r="DJ259" t="str">
            <v>МОС</v>
          </cell>
          <cell r="DL259">
            <v>41206</v>
          </cell>
          <cell r="DM259" t="str">
            <v>№1264</v>
          </cell>
          <cell r="DT259">
            <v>995.20830000000001</v>
          </cell>
        </row>
        <row r="260">
          <cell r="W260">
            <v>555.40833333333342</v>
          </cell>
          <cell r="AF260">
            <v>39965</v>
          </cell>
          <cell r="AG260" t="str">
            <v xml:space="preserve"> №6/1/2-255, 6/1/2-256</v>
          </cell>
          <cell r="AH260">
            <v>502.66</v>
          </cell>
          <cell r="AM260">
            <v>9825</v>
          </cell>
          <cell r="AO260">
            <v>5456886.8750000009</v>
          </cell>
          <cell r="AQ260">
            <v>4938634.5</v>
          </cell>
          <cell r="AU260">
            <v>0</v>
          </cell>
          <cell r="AW260">
            <v>4450860.55</v>
          </cell>
          <cell r="AY260">
            <v>0</v>
          </cell>
          <cell r="AZ260">
            <v>0</v>
          </cell>
          <cell r="BA260">
            <v>0</v>
          </cell>
          <cell r="BB260">
            <v>0</v>
          </cell>
          <cell r="BC260">
            <v>0</v>
          </cell>
          <cell r="BD260">
            <v>0</v>
          </cell>
          <cell r="BG260">
            <v>0</v>
          </cell>
          <cell r="BH260">
            <v>0</v>
          </cell>
          <cell r="BI260">
            <v>51483</v>
          </cell>
          <cell r="BJ260">
            <v>5.24</v>
          </cell>
          <cell r="BK260">
            <v>0</v>
          </cell>
          <cell r="BL260">
            <v>0</v>
          </cell>
          <cell r="BM260">
            <v>319400</v>
          </cell>
          <cell r="BN260">
            <v>32.5089058524173</v>
          </cell>
          <cell r="BO260">
            <v>0</v>
          </cell>
          <cell r="BP260">
            <v>0</v>
          </cell>
          <cell r="BY260">
            <v>2088.15</v>
          </cell>
          <cell r="CF260">
            <v>0</v>
          </cell>
          <cell r="CG260">
            <v>0</v>
          </cell>
          <cell r="CJ260">
            <v>0</v>
          </cell>
          <cell r="CK260">
            <v>0</v>
          </cell>
          <cell r="CL260">
            <v>0</v>
          </cell>
          <cell r="CM260">
            <v>11411</v>
          </cell>
          <cell r="CN260">
            <v>390.05</v>
          </cell>
          <cell r="CO260">
            <v>832.21</v>
          </cell>
          <cell r="CX260">
            <v>0</v>
          </cell>
          <cell r="CY260">
            <v>0</v>
          </cell>
          <cell r="DB260">
            <v>0</v>
          </cell>
          <cell r="DC260">
            <v>0</v>
          </cell>
          <cell r="DJ260" t="str">
            <v>МОС</v>
          </cell>
          <cell r="DL260">
            <v>41206</v>
          </cell>
          <cell r="DM260" t="str">
            <v>№1264</v>
          </cell>
          <cell r="DT260">
            <v>995.20830000000001</v>
          </cell>
        </row>
        <row r="261">
          <cell r="W261">
            <v>268.09209600000003</v>
          </cell>
          <cell r="AF261">
            <v>40157</v>
          </cell>
          <cell r="AG261" t="str">
            <v>В423/01-15/3805</v>
          </cell>
          <cell r="AH261">
            <v>265.43771934635021</v>
          </cell>
          <cell r="AM261">
            <v>177427.73</v>
          </cell>
          <cell r="AO261">
            <v>47566972.024222091</v>
          </cell>
          <cell r="AQ261">
            <v>47096012</v>
          </cell>
          <cell r="AU261">
            <v>0</v>
          </cell>
          <cell r="AW261">
            <v>0</v>
          </cell>
          <cell r="AY261">
            <v>21306051.478666838</v>
          </cell>
          <cell r="AZ261">
            <v>120.0829852169491</v>
          </cell>
          <cell r="BA261">
            <v>0</v>
          </cell>
          <cell r="BB261">
            <v>0</v>
          </cell>
          <cell r="BC261">
            <v>0</v>
          </cell>
          <cell r="BD261">
            <v>0</v>
          </cell>
          <cell r="BG261">
            <v>0</v>
          </cell>
          <cell r="BH261">
            <v>0</v>
          </cell>
          <cell r="BI261">
            <v>5224127</v>
          </cell>
          <cell r="BJ261">
            <v>29.443689551796666</v>
          </cell>
          <cell r="BK261">
            <v>0</v>
          </cell>
          <cell r="BL261">
            <v>0</v>
          </cell>
          <cell r="BM261">
            <v>14192611.93</v>
          </cell>
          <cell r="BN261">
            <v>79.990945778317737</v>
          </cell>
          <cell r="BO261">
            <v>0</v>
          </cell>
          <cell r="BP261">
            <v>0</v>
          </cell>
          <cell r="BY261">
            <v>2259.2199999999998</v>
          </cell>
          <cell r="CF261">
            <v>29294.050800000001</v>
          </cell>
          <cell r="CG261">
            <v>727.31667000000004</v>
          </cell>
          <cell r="CJ261">
            <v>0</v>
          </cell>
          <cell r="CK261">
            <v>0</v>
          </cell>
          <cell r="CL261">
            <v>0</v>
          </cell>
          <cell r="CM261">
            <v>0</v>
          </cell>
          <cell r="CN261">
            <v>0</v>
          </cell>
          <cell r="CO261">
            <v>0</v>
          </cell>
          <cell r="CX261">
            <v>0</v>
          </cell>
          <cell r="CY261">
            <v>0</v>
          </cell>
          <cell r="DB261">
            <v>0</v>
          </cell>
          <cell r="DC261">
            <v>0</v>
          </cell>
          <cell r="DJ261" t="str">
            <v>НКРЕ</v>
          </cell>
          <cell r="DL261">
            <v>40526</v>
          </cell>
          <cell r="DM261">
            <v>1815</v>
          </cell>
          <cell r="DO261" t="str">
            <v>Тариф на теплову енергію</v>
          </cell>
          <cell r="DT261">
            <v>294.89999999999998</v>
          </cell>
        </row>
        <row r="262">
          <cell r="W262">
            <v>578.70275000000004</v>
          </cell>
          <cell r="AF262">
            <v>40157</v>
          </cell>
          <cell r="AG262" t="str">
            <v>В424/01-15/3806</v>
          </cell>
          <cell r="AH262">
            <v>503.21977478241263</v>
          </cell>
          <cell r="AM262">
            <v>38840.101699999999</v>
          </cell>
          <cell r="AO262">
            <v>22476873.664069675</v>
          </cell>
          <cell r="AQ262">
            <v>19545107.23</v>
          </cell>
          <cell r="AU262">
            <v>0</v>
          </cell>
          <cell r="AW262">
            <v>0</v>
          </cell>
          <cell r="AY262">
            <v>13996658.876526</v>
          </cell>
          <cell r="AZ262">
            <v>360.36617474989777</v>
          </cell>
          <cell r="BA262">
            <v>0</v>
          </cell>
          <cell r="BB262">
            <v>0</v>
          </cell>
          <cell r="BC262">
            <v>0</v>
          </cell>
          <cell r="BD262">
            <v>0</v>
          </cell>
          <cell r="BG262">
            <v>0</v>
          </cell>
          <cell r="BH262">
            <v>0</v>
          </cell>
          <cell r="BI262">
            <v>1143595.8600000001</v>
          </cell>
          <cell r="BJ262">
            <v>29.443688609085186</v>
          </cell>
          <cell r="BK262">
            <v>0</v>
          </cell>
          <cell r="BL262">
            <v>0</v>
          </cell>
          <cell r="BM262">
            <v>3106856.46</v>
          </cell>
          <cell r="BN262">
            <v>79.990945543790886</v>
          </cell>
          <cell r="BO262">
            <v>0</v>
          </cell>
          <cell r="BP262">
            <v>0</v>
          </cell>
          <cell r="BY262">
            <v>2259.2199999999998</v>
          </cell>
          <cell r="CF262">
            <v>6412.6611000000003</v>
          </cell>
          <cell r="CG262">
            <v>2182.66</v>
          </cell>
          <cell r="CJ262">
            <v>0</v>
          </cell>
          <cell r="CK262">
            <v>0</v>
          </cell>
          <cell r="CL262">
            <v>0</v>
          </cell>
          <cell r="CM262">
            <v>0</v>
          </cell>
          <cell r="CN262">
            <v>0</v>
          </cell>
          <cell r="CO262">
            <v>0</v>
          </cell>
          <cell r="CX262">
            <v>0</v>
          </cell>
          <cell r="CY262">
            <v>0</v>
          </cell>
          <cell r="DB262">
            <v>0</v>
          </cell>
          <cell r="DC262">
            <v>0</v>
          </cell>
          <cell r="DJ262" t="str">
            <v>НКРКП</v>
          </cell>
          <cell r="DL262">
            <v>40942</v>
          </cell>
          <cell r="DM262">
            <v>42</v>
          </cell>
          <cell r="DT262">
            <v>864.42</v>
          </cell>
        </row>
        <row r="263">
          <cell r="W263">
            <v>578.70275000000004</v>
          </cell>
          <cell r="AF263">
            <v>40157</v>
          </cell>
          <cell r="AG263" t="str">
            <v>В424/01-15/3806</v>
          </cell>
          <cell r="AH263">
            <v>503.21978082003329</v>
          </cell>
          <cell r="AM263">
            <v>13593.1675</v>
          </cell>
          <cell r="AO263">
            <v>7866403.4134606253</v>
          </cell>
          <cell r="AQ263">
            <v>6840350.7699999996</v>
          </cell>
          <cell r="AU263">
            <v>0</v>
          </cell>
          <cell r="AW263">
            <v>0</v>
          </cell>
          <cell r="AY263">
            <v>4898517.8643460004</v>
          </cell>
          <cell r="AZ263">
            <v>360.36618134412015</v>
          </cell>
          <cell r="BA263">
            <v>0</v>
          </cell>
          <cell r="BB263">
            <v>0</v>
          </cell>
          <cell r="BC263">
            <v>0</v>
          </cell>
          <cell r="BD263">
            <v>0</v>
          </cell>
          <cell r="BG263">
            <v>0</v>
          </cell>
          <cell r="BH263">
            <v>0</v>
          </cell>
          <cell r="BI263">
            <v>400232.99</v>
          </cell>
          <cell r="BJ263">
            <v>29.443688529549863</v>
          </cell>
          <cell r="BK263">
            <v>0</v>
          </cell>
          <cell r="BL263">
            <v>0</v>
          </cell>
          <cell r="BM263">
            <v>1087330.32</v>
          </cell>
          <cell r="BN263">
            <v>79.990945451087839</v>
          </cell>
          <cell r="BO263">
            <v>0</v>
          </cell>
          <cell r="BP263">
            <v>0</v>
          </cell>
          <cell r="BY263">
            <v>2259.2199999999998</v>
          </cell>
          <cell r="CF263">
            <v>2244.2881000000002</v>
          </cell>
          <cell r="CG263">
            <v>2182.66</v>
          </cell>
          <cell r="CJ263">
            <v>0</v>
          </cell>
          <cell r="CK263">
            <v>0</v>
          </cell>
          <cell r="CL263">
            <v>0</v>
          </cell>
          <cell r="CM263">
            <v>0</v>
          </cell>
          <cell r="CN263">
            <v>0</v>
          </cell>
          <cell r="CO263">
            <v>0</v>
          </cell>
          <cell r="CX263">
            <v>0</v>
          </cell>
          <cell r="CY263">
            <v>0</v>
          </cell>
          <cell r="DB263">
            <v>0</v>
          </cell>
          <cell r="DC263">
            <v>0</v>
          </cell>
          <cell r="DJ263" t="str">
            <v>НКРКП</v>
          </cell>
          <cell r="DL263">
            <v>40942</v>
          </cell>
          <cell r="DM263">
            <v>42</v>
          </cell>
          <cell r="DT263">
            <v>864.42</v>
          </cell>
        </row>
        <row r="264">
          <cell r="W264">
            <v>202.5</v>
          </cell>
          <cell r="AF264">
            <v>39786</v>
          </cell>
          <cell r="AG264">
            <v>1142</v>
          </cell>
          <cell r="AH264">
            <v>202.49513122507651</v>
          </cell>
          <cell r="AM264">
            <v>64698</v>
          </cell>
          <cell r="AO264">
            <v>13101345</v>
          </cell>
          <cell r="AQ264">
            <v>13101030</v>
          </cell>
          <cell r="AU264">
            <v>0</v>
          </cell>
          <cell r="AW264">
            <v>0</v>
          </cell>
          <cell r="AY264">
            <v>7482349.2784679998</v>
          </cell>
          <cell r="AZ264">
            <v>115.6503953517574</v>
          </cell>
          <cell r="BA264">
            <v>20478</v>
          </cell>
          <cell r="BB264">
            <v>0.31651673931187979</v>
          </cell>
          <cell r="BC264">
            <v>0</v>
          </cell>
          <cell r="BD264">
            <v>0</v>
          </cell>
          <cell r="BG264">
            <v>0</v>
          </cell>
          <cell r="BH264">
            <v>0</v>
          </cell>
          <cell r="BI264">
            <v>809474</v>
          </cell>
          <cell r="BJ264">
            <v>12.511576864818078</v>
          </cell>
          <cell r="BK264">
            <v>0</v>
          </cell>
          <cell r="BL264">
            <v>0</v>
          </cell>
          <cell r="BM264">
            <v>3669499</v>
          </cell>
          <cell r="BN264">
            <v>56.717348295155958</v>
          </cell>
          <cell r="BO264">
            <v>0</v>
          </cell>
          <cell r="BP264">
            <v>0</v>
          </cell>
          <cell r="BY264">
            <v>2080.52</v>
          </cell>
          <cell r="CF264">
            <v>10287.603999999999</v>
          </cell>
          <cell r="CG264">
            <v>727.31700000000001</v>
          </cell>
          <cell r="CJ264">
            <v>0</v>
          </cell>
          <cell r="CK264">
            <v>0</v>
          </cell>
          <cell r="CL264">
            <v>0</v>
          </cell>
          <cell r="CM264">
            <v>0</v>
          </cell>
          <cell r="CN264">
            <v>0</v>
          </cell>
          <cell r="CO264">
            <v>0</v>
          </cell>
          <cell r="CX264">
            <v>0</v>
          </cell>
          <cell r="CY264">
            <v>0</v>
          </cell>
          <cell r="DB264">
            <v>0</v>
          </cell>
          <cell r="DC264">
            <v>0</v>
          </cell>
          <cell r="DJ264" t="str">
            <v>НКРЕ</v>
          </cell>
          <cell r="DL264">
            <v>40526</v>
          </cell>
          <cell r="DM264">
            <v>1754</v>
          </cell>
          <cell r="DO264" t="str">
            <v>тариф на теплову енергію</v>
          </cell>
          <cell r="DT264">
            <v>222.75</v>
          </cell>
        </row>
        <row r="265">
          <cell r="W265">
            <v>533.62</v>
          </cell>
          <cell r="AF265">
            <v>39878</v>
          </cell>
          <cell r="AG265">
            <v>1503</v>
          </cell>
          <cell r="AH265">
            <v>437.3914342034526</v>
          </cell>
          <cell r="AM265">
            <v>16741</v>
          </cell>
          <cell r="AO265">
            <v>8933332.4199999999</v>
          </cell>
          <cell r="AQ265">
            <v>7322370</v>
          </cell>
          <cell r="AU265">
            <v>0</v>
          </cell>
          <cell r="AW265">
            <v>0</v>
          </cell>
          <cell r="AY265">
            <v>5944520.9560000002</v>
          </cell>
          <cell r="AZ265">
            <v>355.08756681201839</v>
          </cell>
          <cell r="BA265">
            <v>0</v>
          </cell>
          <cell r="BB265">
            <v>0</v>
          </cell>
          <cell r="BC265">
            <v>0</v>
          </cell>
          <cell r="BD265">
            <v>0</v>
          </cell>
          <cell r="BG265">
            <v>0</v>
          </cell>
          <cell r="BH265">
            <v>0</v>
          </cell>
          <cell r="BI265">
            <v>211126</v>
          </cell>
          <cell r="BJ265">
            <v>12.611313541604444</v>
          </cell>
          <cell r="BK265">
            <v>0</v>
          </cell>
          <cell r="BL265">
            <v>0</v>
          </cell>
          <cell r="BM265">
            <v>949501</v>
          </cell>
          <cell r="BN265">
            <v>56.717101726300697</v>
          </cell>
          <cell r="BO265">
            <v>0</v>
          </cell>
          <cell r="BP265">
            <v>0</v>
          </cell>
          <cell r="BY265">
            <v>2080.52</v>
          </cell>
          <cell r="CF265">
            <v>2774.8960000000002</v>
          </cell>
          <cell r="CG265">
            <v>2142.25</v>
          </cell>
          <cell r="CJ265">
            <v>0</v>
          </cell>
          <cell r="CK265">
            <v>0</v>
          </cell>
          <cell r="CL265">
            <v>0</v>
          </cell>
          <cell r="CM265">
            <v>0</v>
          </cell>
          <cell r="CN265">
            <v>0</v>
          </cell>
          <cell r="CO265">
            <v>0</v>
          </cell>
          <cell r="CX265">
            <v>0</v>
          </cell>
          <cell r="CY265">
            <v>0</v>
          </cell>
          <cell r="DB265">
            <v>0</v>
          </cell>
          <cell r="DC265">
            <v>0</v>
          </cell>
          <cell r="DJ265" t="str">
            <v>НКРКП</v>
          </cell>
          <cell r="DL265">
            <v>40816</v>
          </cell>
          <cell r="DM265">
            <v>95</v>
          </cell>
          <cell r="DT265">
            <v>799.93</v>
          </cell>
        </row>
        <row r="266">
          <cell r="W266">
            <v>533.62</v>
          </cell>
          <cell r="AF266">
            <v>39878</v>
          </cell>
          <cell r="AG266">
            <v>1504</v>
          </cell>
          <cell r="AH266">
            <v>436.9666340235031</v>
          </cell>
          <cell r="AM266">
            <v>5718.4</v>
          </cell>
          <cell r="AO266">
            <v>3051452.608</v>
          </cell>
          <cell r="AQ266">
            <v>2498750</v>
          </cell>
          <cell r="AU266">
            <v>0</v>
          </cell>
          <cell r="AW266">
            <v>0</v>
          </cell>
          <cell r="AY266">
            <v>2026831.9967500002</v>
          </cell>
          <cell r="AZ266">
            <v>354.44040234156415</v>
          </cell>
          <cell r="BA266">
            <v>0</v>
          </cell>
          <cell r="BB266">
            <v>0</v>
          </cell>
          <cell r="BC266">
            <v>0</v>
          </cell>
          <cell r="BD266">
            <v>0</v>
          </cell>
          <cell r="BG266">
            <v>0</v>
          </cell>
          <cell r="BH266">
            <v>0</v>
          </cell>
          <cell r="BI266">
            <v>73286</v>
          </cell>
          <cell r="BJ266">
            <v>12.81582260772244</v>
          </cell>
          <cell r="BK266">
            <v>0</v>
          </cell>
          <cell r="BL266">
            <v>0</v>
          </cell>
          <cell r="BM266">
            <v>324334</v>
          </cell>
          <cell r="BN266">
            <v>56.717613318410748</v>
          </cell>
          <cell r="BO266">
            <v>0</v>
          </cell>
          <cell r="BP266">
            <v>0</v>
          </cell>
          <cell r="BY266">
            <v>2080.52</v>
          </cell>
          <cell r="CF266">
            <v>946.12300000000005</v>
          </cell>
          <cell r="CG266">
            <v>2142.25</v>
          </cell>
          <cell r="CJ266">
            <v>0</v>
          </cell>
          <cell r="CK266">
            <v>0</v>
          </cell>
          <cell r="CL266">
            <v>0</v>
          </cell>
          <cell r="CM266">
            <v>0</v>
          </cell>
          <cell r="CN266">
            <v>0</v>
          </cell>
          <cell r="CO266">
            <v>0</v>
          </cell>
          <cell r="CX266">
            <v>0</v>
          </cell>
          <cell r="CY266">
            <v>0</v>
          </cell>
          <cell r="DB266">
            <v>0</v>
          </cell>
          <cell r="DC266">
            <v>0</v>
          </cell>
          <cell r="DJ266" t="str">
            <v>НКРКП</v>
          </cell>
          <cell r="DL266">
            <v>40816</v>
          </cell>
          <cell r="DM266">
            <v>95</v>
          </cell>
          <cell r="DT266">
            <v>799.93</v>
          </cell>
        </row>
        <row r="267">
          <cell r="W267">
            <v>542.55999999999995</v>
          </cell>
          <cell r="AF267">
            <v>39878</v>
          </cell>
          <cell r="AG267">
            <v>1505</v>
          </cell>
          <cell r="AH267">
            <v>484.42557803468208</v>
          </cell>
          <cell r="AM267">
            <v>2768</v>
          </cell>
          <cell r="AO267">
            <v>1501806.0799999998</v>
          </cell>
          <cell r="AQ267">
            <v>1340890</v>
          </cell>
          <cell r="AU267">
            <v>0</v>
          </cell>
          <cell r="AW267">
            <v>0</v>
          </cell>
          <cell r="AY267">
            <v>1045156.6455</v>
          </cell>
          <cell r="AZ267">
            <v>377.58549331647396</v>
          </cell>
          <cell r="BA267">
            <v>0</v>
          </cell>
          <cell r="BB267">
            <v>0</v>
          </cell>
          <cell r="BC267">
            <v>0</v>
          </cell>
          <cell r="BD267">
            <v>0</v>
          </cell>
          <cell r="BG267">
            <v>0</v>
          </cell>
          <cell r="BH267">
            <v>0</v>
          </cell>
          <cell r="BI267">
            <v>36118</v>
          </cell>
          <cell r="BJ267">
            <v>13.048410404624278</v>
          </cell>
          <cell r="BK267">
            <v>0</v>
          </cell>
          <cell r="BL267">
            <v>0</v>
          </cell>
          <cell r="BM267">
            <v>216543</v>
          </cell>
          <cell r="BN267">
            <v>78.230852601156073</v>
          </cell>
          <cell r="BO267">
            <v>0</v>
          </cell>
          <cell r="BP267">
            <v>0</v>
          </cell>
          <cell r="BY267">
            <v>2255.66</v>
          </cell>
          <cell r="CF267">
            <v>487.87799999999999</v>
          </cell>
          <cell r="CG267">
            <v>2142.25</v>
          </cell>
          <cell r="CJ267">
            <v>0</v>
          </cell>
          <cell r="CK267">
            <v>0</v>
          </cell>
          <cell r="CL267">
            <v>0</v>
          </cell>
          <cell r="CM267">
            <v>0</v>
          </cell>
          <cell r="CN267">
            <v>0</v>
          </cell>
          <cell r="CO267">
            <v>0</v>
          </cell>
          <cell r="CX267">
            <v>0</v>
          </cell>
          <cell r="CY267">
            <v>0</v>
          </cell>
          <cell r="DB267">
            <v>0</v>
          </cell>
          <cell r="DC267">
            <v>0</v>
          </cell>
          <cell r="DJ267" t="str">
            <v>НКРКП</v>
          </cell>
          <cell r="DL267">
            <v>40816</v>
          </cell>
          <cell r="DM267">
            <v>95</v>
          </cell>
          <cell r="DT267">
            <v>826.28</v>
          </cell>
        </row>
        <row r="268">
          <cell r="W268">
            <v>255.43</v>
          </cell>
          <cell r="AF268">
            <v>40268</v>
          </cell>
          <cell r="AG268">
            <v>806</v>
          </cell>
          <cell r="AH268">
            <v>255.43</v>
          </cell>
          <cell r="AM268">
            <v>16392.401049211134</v>
          </cell>
          <cell r="AO268">
            <v>4187111</v>
          </cell>
          <cell r="AQ268">
            <v>4187111</v>
          </cell>
          <cell r="AU268">
            <v>0</v>
          </cell>
          <cell r="AW268">
            <v>0</v>
          </cell>
          <cell r="AY268">
            <v>1967326</v>
          </cell>
          <cell r="AZ268">
            <v>120.01451124176073</v>
          </cell>
          <cell r="BA268">
            <v>0</v>
          </cell>
          <cell r="BB268">
            <v>0</v>
          </cell>
          <cell r="BC268">
            <v>0</v>
          </cell>
          <cell r="BD268">
            <v>0</v>
          </cell>
          <cell r="BG268">
            <v>0</v>
          </cell>
          <cell r="BH268">
            <v>0</v>
          </cell>
          <cell r="BI268">
            <v>441549</v>
          </cell>
          <cell r="BJ268">
            <v>26.936200418379165</v>
          </cell>
          <cell r="BK268">
            <v>0</v>
          </cell>
          <cell r="BL268">
            <v>0</v>
          </cell>
          <cell r="BM268">
            <v>1474007</v>
          </cell>
          <cell r="BN268">
            <v>89.920140165856608</v>
          </cell>
          <cell r="BO268">
            <v>0</v>
          </cell>
          <cell r="BP268">
            <v>0</v>
          </cell>
          <cell r="BY268">
            <v>3485.58</v>
          </cell>
          <cell r="CF268">
            <v>2704.8974316669414</v>
          </cell>
          <cell r="CG268">
            <v>727.32</v>
          </cell>
          <cell r="CJ268">
            <v>0</v>
          </cell>
          <cell r="CK268">
            <v>0</v>
          </cell>
          <cell r="CL268">
            <v>0</v>
          </cell>
          <cell r="CM268">
            <v>0</v>
          </cell>
          <cell r="CN268">
            <v>0</v>
          </cell>
          <cell r="CO268">
            <v>0</v>
          </cell>
          <cell r="CX268">
            <v>0</v>
          </cell>
          <cell r="CY268">
            <v>0</v>
          </cell>
          <cell r="DB268">
            <v>0</v>
          </cell>
          <cell r="DC268">
            <v>0</v>
          </cell>
          <cell r="DJ268" t="str">
            <v>НКРЕ</v>
          </cell>
          <cell r="DL268">
            <v>40526</v>
          </cell>
          <cell r="DM268">
            <v>1804</v>
          </cell>
          <cell r="DO268" t="str">
            <v>тариф на теплову енергію для населення населенного пункту м.Боярка</v>
          </cell>
          <cell r="DT268">
            <v>280.97000000000003</v>
          </cell>
        </row>
        <row r="269">
          <cell r="W269">
            <v>572.70000000000005</v>
          </cell>
          <cell r="AF269">
            <v>40268</v>
          </cell>
          <cell r="AG269">
            <v>805</v>
          </cell>
          <cell r="AH269">
            <v>498.0000096426582</v>
          </cell>
          <cell r="AM269">
            <v>9017.8994237820843</v>
          </cell>
          <cell r="AO269">
            <v>5164551</v>
          </cell>
          <cell r="AQ269">
            <v>4490914</v>
          </cell>
          <cell r="AU269">
            <v>0</v>
          </cell>
          <cell r="AW269">
            <v>0</v>
          </cell>
          <cell r="AY269">
            <v>3021077.5</v>
          </cell>
          <cell r="AZ269">
            <v>335.00900354164384</v>
          </cell>
          <cell r="BA269">
            <v>0</v>
          </cell>
          <cell r="BB269">
            <v>0</v>
          </cell>
          <cell r="BC269">
            <v>0</v>
          </cell>
          <cell r="BD269">
            <v>0</v>
          </cell>
          <cell r="BG269">
            <v>0</v>
          </cell>
          <cell r="BH269">
            <v>0</v>
          </cell>
          <cell r="BI269">
            <v>243457</v>
          </cell>
          <cell r="BJ269">
            <v>26.997085303252888</v>
          </cell>
          <cell r="BK269">
            <v>0</v>
          </cell>
          <cell r="BL269">
            <v>0</v>
          </cell>
          <cell r="BM269">
            <v>1042053</v>
          </cell>
          <cell r="BN269">
            <v>115.55385029598895</v>
          </cell>
          <cell r="BO269">
            <v>0</v>
          </cell>
          <cell r="BP269">
            <v>0</v>
          </cell>
          <cell r="BY269">
            <v>3485.58</v>
          </cell>
          <cell r="CF269">
            <v>1384.1264787003015</v>
          </cell>
          <cell r="CG269">
            <v>2182.66</v>
          </cell>
          <cell r="CJ269">
            <v>0</v>
          </cell>
          <cell r="CK269">
            <v>0</v>
          </cell>
          <cell r="CL269">
            <v>0</v>
          </cell>
          <cell r="CM269">
            <v>0</v>
          </cell>
          <cell r="CN269">
            <v>0</v>
          </cell>
          <cell r="CO269">
            <v>0</v>
          </cell>
          <cell r="CX269">
            <v>0</v>
          </cell>
          <cell r="CY269">
            <v>0</v>
          </cell>
          <cell r="DB269">
            <v>0</v>
          </cell>
          <cell r="DC269">
            <v>0</v>
          </cell>
          <cell r="DJ269" t="str">
            <v>НКРКП</v>
          </cell>
          <cell r="DL269">
            <v>40816</v>
          </cell>
          <cell r="DM269">
            <v>43</v>
          </cell>
          <cell r="DT269">
            <v>822.21</v>
          </cell>
        </row>
        <row r="270">
          <cell r="W270">
            <v>617.55999999999995</v>
          </cell>
          <cell r="AF270">
            <v>40268</v>
          </cell>
          <cell r="AG270">
            <v>804</v>
          </cell>
          <cell r="AH270">
            <v>498.03457037363029</v>
          </cell>
          <cell r="AM270">
            <v>5956.8997344387599</v>
          </cell>
          <cell r="AO270">
            <v>3678743</v>
          </cell>
          <cell r="AQ270">
            <v>2966742</v>
          </cell>
          <cell r="AU270">
            <v>0</v>
          </cell>
          <cell r="AW270">
            <v>0</v>
          </cell>
          <cell r="AY270">
            <v>2158770</v>
          </cell>
          <cell r="AZ270">
            <v>362.39824342173392</v>
          </cell>
          <cell r="BA270">
            <v>0</v>
          </cell>
          <cell r="BB270">
            <v>0</v>
          </cell>
          <cell r="BC270">
            <v>0</v>
          </cell>
          <cell r="BD270">
            <v>0</v>
          </cell>
          <cell r="BG270">
            <v>0</v>
          </cell>
          <cell r="BH270">
            <v>0</v>
          </cell>
          <cell r="BI270">
            <v>160822</v>
          </cell>
          <cell r="BJ270">
            <v>26.997600626083415</v>
          </cell>
          <cell r="BK270">
            <v>0</v>
          </cell>
          <cell r="BL270">
            <v>0</v>
          </cell>
          <cell r="BM270">
            <v>533100</v>
          </cell>
          <cell r="BN270">
            <v>89.492861012579553</v>
          </cell>
          <cell r="BO270">
            <v>0</v>
          </cell>
          <cell r="BP270">
            <v>0</v>
          </cell>
          <cell r="BY270">
            <v>3485.58</v>
          </cell>
          <cell r="CF270">
            <v>989.05463975149598</v>
          </cell>
          <cell r="CG270">
            <v>2182.66</v>
          </cell>
          <cell r="CJ270">
            <v>0</v>
          </cell>
          <cell r="CK270">
            <v>0</v>
          </cell>
          <cell r="CL270">
            <v>0</v>
          </cell>
          <cell r="CM270">
            <v>0</v>
          </cell>
          <cell r="CN270">
            <v>0</v>
          </cell>
          <cell r="CO270">
            <v>0</v>
          </cell>
          <cell r="CX270">
            <v>0</v>
          </cell>
          <cell r="CY270">
            <v>0</v>
          </cell>
          <cell r="DB270">
            <v>0</v>
          </cell>
          <cell r="DC270">
            <v>0</v>
          </cell>
          <cell r="DJ270" t="str">
            <v>НКРКП</v>
          </cell>
          <cell r="DL270">
            <v>40816</v>
          </cell>
          <cell r="DM270">
            <v>43</v>
          </cell>
          <cell r="DT270">
            <v>867.07</v>
          </cell>
        </row>
        <row r="271">
          <cell r="W271">
            <v>467.04</v>
          </cell>
          <cell r="AF271">
            <v>40268</v>
          </cell>
          <cell r="AG271">
            <v>810</v>
          </cell>
          <cell r="AH271">
            <v>449.08251648753924</v>
          </cell>
          <cell r="AM271">
            <v>155.11947584789311</v>
          </cell>
          <cell r="AO271">
            <v>72447</v>
          </cell>
          <cell r="AQ271">
            <v>69661.444569999905</v>
          </cell>
          <cell r="AU271">
            <v>0</v>
          </cell>
          <cell r="AW271">
            <v>0</v>
          </cell>
          <cell r="AY271">
            <v>18684.247347392949</v>
          </cell>
          <cell r="AZ271">
            <v>120.45068644838852</v>
          </cell>
          <cell r="BA271">
            <v>0</v>
          </cell>
          <cell r="BB271">
            <v>0</v>
          </cell>
          <cell r="BC271">
            <v>0</v>
          </cell>
          <cell r="BD271">
            <v>0</v>
          </cell>
          <cell r="BG271">
            <v>0</v>
          </cell>
          <cell r="BH271">
            <v>0</v>
          </cell>
          <cell r="BI271">
            <v>6968.4666660000003</v>
          </cell>
          <cell r="BJ271">
            <v>44.923222102897846</v>
          </cell>
          <cell r="BK271">
            <v>0</v>
          </cell>
          <cell r="BL271">
            <v>0</v>
          </cell>
          <cell r="BM271">
            <v>38513.445899899998</v>
          </cell>
          <cell r="BN271">
            <v>248.28246543113303</v>
          </cell>
          <cell r="BO271">
            <v>0</v>
          </cell>
          <cell r="BP271">
            <v>0</v>
          </cell>
          <cell r="BY271">
            <v>3485.58</v>
          </cell>
          <cell r="CF271">
            <v>25.689008964417312</v>
          </cell>
          <cell r="CG271">
            <v>727.324568</v>
          </cell>
          <cell r="CJ271">
            <v>0</v>
          </cell>
          <cell r="CK271">
            <v>0</v>
          </cell>
          <cell r="CL271">
            <v>0</v>
          </cell>
          <cell r="CM271">
            <v>0</v>
          </cell>
          <cell r="CN271">
            <v>0</v>
          </cell>
          <cell r="CO271">
            <v>0</v>
          </cell>
          <cell r="CX271">
            <v>0</v>
          </cell>
          <cell r="CY271">
            <v>0</v>
          </cell>
          <cell r="DB271">
            <v>0</v>
          </cell>
          <cell r="DC271">
            <v>0</v>
          </cell>
          <cell r="DJ271" t="str">
            <v>НКРЕ</v>
          </cell>
          <cell r="DL271">
            <v>40526</v>
          </cell>
          <cell r="DM271">
            <v>1804</v>
          </cell>
          <cell r="DO271" t="str">
            <v>тариф на теплову енергію для населення населенного пункту с. Гореничі</v>
          </cell>
          <cell r="DT271">
            <v>513.74</v>
          </cell>
        </row>
        <row r="272">
          <cell r="W272">
            <v>820.83</v>
          </cell>
          <cell r="AF272">
            <v>40268</v>
          </cell>
          <cell r="AG272">
            <v>809</v>
          </cell>
          <cell r="AH272">
            <v>723.19413178563548</v>
          </cell>
          <cell r="AM272">
            <v>502.10031309771813</v>
          </cell>
          <cell r="AO272">
            <v>412139</v>
          </cell>
          <cell r="AQ272">
            <v>363116</v>
          </cell>
          <cell r="AU272">
            <v>0</v>
          </cell>
          <cell r="AW272">
            <v>0</v>
          </cell>
          <cell r="AY272">
            <v>157987.72</v>
          </cell>
          <cell r="AZ272">
            <v>314.65369743605919</v>
          </cell>
          <cell r="BA272">
            <v>0</v>
          </cell>
          <cell r="BB272">
            <v>0</v>
          </cell>
          <cell r="BC272">
            <v>0</v>
          </cell>
          <cell r="BD272">
            <v>0</v>
          </cell>
          <cell r="BG272">
            <v>0</v>
          </cell>
          <cell r="BH272">
            <v>0</v>
          </cell>
          <cell r="BI272">
            <v>26889.466659999998</v>
          </cell>
          <cell r="BJ272">
            <v>53.553973097735955</v>
          </cell>
          <cell r="BK272">
            <v>0</v>
          </cell>
          <cell r="BL272">
            <v>0</v>
          </cell>
          <cell r="BM272">
            <v>154023</v>
          </cell>
          <cell r="BN272">
            <v>306.75742671768506</v>
          </cell>
          <cell r="BO272">
            <v>0</v>
          </cell>
          <cell r="BP272">
            <v>0</v>
          </cell>
          <cell r="BY272">
            <v>3485.58</v>
          </cell>
          <cell r="CF272">
            <v>72.383110516525718</v>
          </cell>
          <cell r="CG272">
            <v>2182.66</v>
          </cell>
          <cell r="CJ272">
            <v>0</v>
          </cell>
          <cell r="CK272">
            <v>0</v>
          </cell>
          <cell r="CL272">
            <v>0</v>
          </cell>
          <cell r="CM272">
            <v>0</v>
          </cell>
          <cell r="CN272">
            <v>0</v>
          </cell>
          <cell r="CO272">
            <v>0</v>
          </cell>
          <cell r="CX272">
            <v>0</v>
          </cell>
          <cell r="CY272">
            <v>0</v>
          </cell>
          <cell r="DB272">
            <v>0</v>
          </cell>
          <cell r="DC272">
            <v>0</v>
          </cell>
          <cell r="DJ272" t="str">
            <v>НКРКП</v>
          </cell>
          <cell r="DL272">
            <v>40816</v>
          </cell>
          <cell r="DM272">
            <v>43</v>
          </cell>
          <cell r="DT272">
            <v>999.9</v>
          </cell>
        </row>
        <row r="273">
          <cell r="W273">
            <v>805.57</v>
          </cell>
          <cell r="AF273">
            <v>40268</v>
          </cell>
          <cell r="AG273">
            <v>796</v>
          </cell>
          <cell r="AH273">
            <v>752.87157227941725</v>
          </cell>
          <cell r="AM273">
            <v>267.19962262745634</v>
          </cell>
          <cell r="AO273">
            <v>215248</v>
          </cell>
          <cell r="AQ273">
            <v>201167</v>
          </cell>
          <cell r="AU273">
            <v>0</v>
          </cell>
          <cell r="AW273">
            <v>0</v>
          </cell>
          <cell r="AY273">
            <v>16544.888787809352</v>
          </cell>
          <cell r="AZ273">
            <v>61.919581416763826</v>
          </cell>
          <cell r="BA273">
            <v>0</v>
          </cell>
          <cell r="BB273">
            <v>0</v>
          </cell>
          <cell r="BC273">
            <v>0</v>
          </cell>
          <cell r="BD273">
            <v>0</v>
          </cell>
          <cell r="BG273">
            <v>0</v>
          </cell>
          <cell r="BH273">
            <v>0</v>
          </cell>
          <cell r="BI273">
            <v>12197</v>
          </cell>
          <cell r="BJ273">
            <v>45.64751955883446</v>
          </cell>
          <cell r="BK273">
            <v>0</v>
          </cell>
          <cell r="BL273">
            <v>0</v>
          </cell>
          <cell r="BM273">
            <v>157250</v>
          </cell>
          <cell r="BN273">
            <v>588.51131020961873</v>
          </cell>
          <cell r="BO273">
            <v>0</v>
          </cell>
          <cell r="BP273">
            <v>0</v>
          </cell>
          <cell r="BY273">
            <v>3485.58</v>
          </cell>
          <cell r="CF273">
            <v>22.747896386734858</v>
          </cell>
          <cell r="CG273">
            <v>727.31511109999997</v>
          </cell>
          <cell r="CJ273">
            <v>0</v>
          </cell>
          <cell r="CK273">
            <v>0</v>
          </cell>
          <cell r="CL273">
            <v>0</v>
          </cell>
          <cell r="CM273">
            <v>0</v>
          </cell>
          <cell r="CN273">
            <v>0</v>
          </cell>
          <cell r="CO273">
            <v>0</v>
          </cell>
          <cell r="CX273">
            <v>0</v>
          </cell>
          <cell r="CY273">
            <v>0</v>
          </cell>
          <cell r="DB273">
            <v>0</v>
          </cell>
          <cell r="DC273">
            <v>0</v>
          </cell>
          <cell r="DJ273" t="str">
            <v>НКРЕ</v>
          </cell>
          <cell r="DL273">
            <v>40526</v>
          </cell>
          <cell r="DM273">
            <v>1804</v>
          </cell>
          <cell r="DO273" t="str">
            <v>тариф на теплову енергію для населення населенного пункту с. Музичі</v>
          </cell>
          <cell r="DT273">
            <v>886.14444500000002</v>
          </cell>
        </row>
        <row r="274">
          <cell r="W274">
            <v>1010.86</v>
          </cell>
          <cell r="AF274">
            <v>40268</v>
          </cell>
          <cell r="AG274">
            <v>797</v>
          </cell>
          <cell r="AH274">
            <v>886.72002424194966</v>
          </cell>
          <cell r="AM274">
            <v>555.80001187108007</v>
          </cell>
          <cell r="AO274">
            <v>561836</v>
          </cell>
          <cell r="AQ274">
            <v>492839</v>
          </cell>
          <cell r="AU274">
            <v>0</v>
          </cell>
          <cell r="AW274">
            <v>0</v>
          </cell>
          <cell r="AY274">
            <v>99737.746548489784</v>
          </cell>
          <cell r="AZ274">
            <v>179.44898240056952</v>
          </cell>
          <cell r="BA274">
            <v>0</v>
          </cell>
          <cell r="BB274">
            <v>0</v>
          </cell>
          <cell r="BC274">
            <v>0</v>
          </cell>
          <cell r="BD274">
            <v>0</v>
          </cell>
          <cell r="BG274">
            <v>0</v>
          </cell>
          <cell r="BH274">
            <v>0</v>
          </cell>
          <cell r="BI274">
            <v>24766</v>
          </cell>
          <cell r="BJ274">
            <v>44.559193002940361</v>
          </cell>
          <cell r="BK274">
            <v>0</v>
          </cell>
          <cell r="BL274">
            <v>0</v>
          </cell>
          <cell r="BM274">
            <v>332062</v>
          </cell>
          <cell r="BN274">
            <v>597.44870980143673</v>
          </cell>
          <cell r="BO274">
            <v>0</v>
          </cell>
          <cell r="BP274">
            <v>0</v>
          </cell>
          <cell r="BY274">
            <v>3485.58</v>
          </cell>
          <cell r="CF274">
            <v>45.695605362264395</v>
          </cell>
          <cell r="CG274">
            <v>2182.6551100000001</v>
          </cell>
          <cell r="CJ274">
            <v>0</v>
          </cell>
          <cell r="CK274">
            <v>0</v>
          </cell>
          <cell r="CL274">
            <v>0</v>
          </cell>
          <cell r="CM274">
            <v>0</v>
          </cell>
          <cell r="CN274">
            <v>0</v>
          </cell>
          <cell r="CO274">
            <v>0</v>
          </cell>
          <cell r="CX274">
            <v>0</v>
          </cell>
          <cell r="CY274">
            <v>0</v>
          </cell>
          <cell r="DB274">
            <v>0</v>
          </cell>
          <cell r="DC274">
            <v>0</v>
          </cell>
          <cell r="DJ274" t="str">
            <v>НКРКП</v>
          </cell>
          <cell r="DL274">
            <v>40816</v>
          </cell>
          <cell r="DM274">
            <v>43</v>
          </cell>
          <cell r="DT274">
            <v>1019.73</v>
          </cell>
        </row>
        <row r="275">
          <cell r="W275">
            <v>222.24</v>
          </cell>
          <cell r="AF275">
            <v>40268</v>
          </cell>
          <cell r="AG275">
            <v>779</v>
          </cell>
          <cell r="AH275">
            <v>222.24023965848275</v>
          </cell>
          <cell r="AM275">
            <v>1919.3979481641468</v>
          </cell>
          <cell r="AO275">
            <v>426567</v>
          </cell>
          <cell r="AQ275">
            <v>426567.46</v>
          </cell>
          <cell r="AU275">
            <v>0</v>
          </cell>
          <cell r="AW275">
            <v>0</v>
          </cell>
          <cell r="AY275">
            <v>184184</v>
          </cell>
          <cell r="AZ275">
            <v>95.959256482568975</v>
          </cell>
          <cell r="BA275">
            <v>0</v>
          </cell>
          <cell r="BB275">
            <v>0</v>
          </cell>
          <cell r="BC275">
            <v>0</v>
          </cell>
          <cell r="BD275">
            <v>0</v>
          </cell>
          <cell r="BG275">
            <v>0</v>
          </cell>
          <cell r="BH275">
            <v>0</v>
          </cell>
          <cell r="BI275">
            <v>42244</v>
          </cell>
          <cell r="BJ275">
            <v>22.008984661260719</v>
          </cell>
          <cell r="BK275">
            <v>0</v>
          </cell>
          <cell r="BL275">
            <v>0</v>
          </cell>
          <cell r="BM275">
            <v>175084.44566</v>
          </cell>
          <cell r="BN275">
            <v>91.218418685642348</v>
          </cell>
          <cell r="BO275">
            <v>0</v>
          </cell>
          <cell r="BP275">
            <v>0</v>
          </cell>
          <cell r="BY275">
            <v>3485.58</v>
          </cell>
          <cell r="CF275">
            <v>253.23824184188604</v>
          </cell>
          <cell r="CG275">
            <v>727.31511109999997</v>
          </cell>
          <cell r="CJ275">
            <v>0</v>
          </cell>
          <cell r="CK275">
            <v>0</v>
          </cell>
          <cell r="CL275">
            <v>0</v>
          </cell>
          <cell r="CM275">
            <v>0</v>
          </cell>
          <cell r="CN275">
            <v>0</v>
          </cell>
          <cell r="CO275">
            <v>0</v>
          </cell>
          <cell r="CX275">
            <v>0</v>
          </cell>
          <cell r="CY275">
            <v>0</v>
          </cell>
          <cell r="DB275">
            <v>0</v>
          </cell>
          <cell r="DC275">
            <v>0</v>
          </cell>
          <cell r="DJ275" t="str">
            <v>НКРЕ</v>
          </cell>
          <cell r="DL275">
            <v>40526</v>
          </cell>
          <cell r="DM275">
            <v>1804</v>
          </cell>
          <cell r="DO275" t="str">
            <v>тариф на теплову енергію для населення населенного пункту с. Семиполки</v>
          </cell>
          <cell r="DT275">
            <v>244.46</v>
          </cell>
        </row>
        <row r="276">
          <cell r="W276">
            <v>710.44</v>
          </cell>
          <cell r="AF276">
            <v>40268</v>
          </cell>
          <cell r="AG276">
            <v>791</v>
          </cell>
          <cell r="AH276">
            <v>623.18990174171051</v>
          </cell>
          <cell r="AM276">
            <v>4219.8004053825798</v>
          </cell>
          <cell r="AO276">
            <v>2997915</v>
          </cell>
          <cell r="AQ276">
            <v>2629737</v>
          </cell>
          <cell r="AU276">
            <v>0</v>
          </cell>
          <cell r="AW276">
            <v>0</v>
          </cell>
          <cell r="AY276">
            <v>1724203.9999999998</v>
          </cell>
          <cell r="AZ276">
            <v>408.59847252507154</v>
          </cell>
          <cell r="BA276">
            <v>0</v>
          </cell>
          <cell r="BB276">
            <v>0</v>
          </cell>
          <cell r="BC276">
            <v>0</v>
          </cell>
          <cell r="BD276">
            <v>0</v>
          </cell>
          <cell r="BG276">
            <v>0</v>
          </cell>
          <cell r="BH276">
            <v>0</v>
          </cell>
          <cell r="BI276">
            <v>275189</v>
          </cell>
          <cell r="BJ276">
            <v>65.213747941486005</v>
          </cell>
          <cell r="BK276">
            <v>0</v>
          </cell>
          <cell r="BL276">
            <v>0</v>
          </cell>
          <cell r="BM276">
            <v>504008.45666600001</v>
          </cell>
          <cell r="BN276">
            <v>119.43893270949745</v>
          </cell>
          <cell r="BO276">
            <v>0</v>
          </cell>
          <cell r="BP276">
            <v>0</v>
          </cell>
          <cell r="BY276">
            <v>3485.58</v>
          </cell>
          <cell r="CF276">
            <v>789.95714535953402</v>
          </cell>
          <cell r="CG276">
            <v>2182.6551100000001</v>
          </cell>
          <cell r="CJ276">
            <v>0</v>
          </cell>
          <cell r="CK276">
            <v>0</v>
          </cell>
          <cell r="CL276">
            <v>0</v>
          </cell>
          <cell r="CM276">
            <v>0</v>
          </cell>
          <cell r="CN276">
            <v>0</v>
          </cell>
          <cell r="CO276">
            <v>0</v>
          </cell>
          <cell r="CX276">
            <v>0</v>
          </cell>
          <cell r="CY276">
            <v>0</v>
          </cell>
          <cell r="DB276">
            <v>0</v>
          </cell>
          <cell r="DC276">
            <v>0</v>
          </cell>
          <cell r="DJ276" t="str">
            <v>НКРКП</v>
          </cell>
          <cell r="DL276">
            <v>40816</v>
          </cell>
          <cell r="DM276">
            <v>43</v>
          </cell>
          <cell r="DT276">
            <v>999.9</v>
          </cell>
        </row>
        <row r="277">
          <cell r="W277">
            <v>934.79</v>
          </cell>
          <cell r="AF277">
            <v>40268</v>
          </cell>
          <cell r="AG277">
            <v>792</v>
          </cell>
          <cell r="AH277">
            <v>623.19055555555553</v>
          </cell>
          <cell r="AM277">
            <v>18</v>
          </cell>
          <cell r="AO277">
            <v>16826.22</v>
          </cell>
          <cell r="AQ277">
            <v>11217.43</v>
          </cell>
          <cell r="AU277">
            <v>0</v>
          </cell>
          <cell r="AW277">
            <v>0</v>
          </cell>
          <cell r="AY277">
            <v>7019.0000000000036</v>
          </cell>
          <cell r="AZ277">
            <v>389.94444444444463</v>
          </cell>
          <cell r="BA277">
            <v>0</v>
          </cell>
          <cell r="BB277">
            <v>0</v>
          </cell>
          <cell r="BC277">
            <v>0</v>
          </cell>
          <cell r="BD277">
            <v>0</v>
          </cell>
          <cell r="BG277">
            <v>0</v>
          </cell>
          <cell r="BH277">
            <v>0</v>
          </cell>
          <cell r="BI277">
            <v>1876</v>
          </cell>
          <cell r="BJ277">
            <v>104.22222222222223</v>
          </cell>
          <cell r="BK277">
            <v>0</v>
          </cell>
          <cell r="BL277">
            <v>0</v>
          </cell>
          <cell r="BM277">
            <v>2036.456666</v>
          </cell>
          <cell r="BN277">
            <v>113.13648144444444</v>
          </cell>
          <cell r="BO277">
            <v>0</v>
          </cell>
          <cell r="BP277">
            <v>0</v>
          </cell>
          <cell r="BY277">
            <v>3485.58</v>
          </cell>
          <cell r="CF277">
            <v>3.2158009034847406</v>
          </cell>
          <cell r="CG277">
            <v>2182.66</v>
          </cell>
          <cell r="CJ277">
            <v>0</v>
          </cell>
          <cell r="CK277">
            <v>0</v>
          </cell>
          <cell r="CL277">
            <v>0</v>
          </cell>
          <cell r="CM277">
            <v>0</v>
          </cell>
          <cell r="CN277">
            <v>0</v>
          </cell>
          <cell r="CO277">
            <v>0</v>
          </cell>
          <cell r="CX277">
            <v>0</v>
          </cell>
          <cell r="CY277">
            <v>0</v>
          </cell>
          <cell r="DB277">
            <v>0</v>
          </cell>
          <cell r="DC277">
            <v>0</v>
          </cell>
          <cell r="DJ277" t="str">
            <v>НКРКП</v>
          </cell>
          <cell r="DL277">
            <v>40816</v>
          </cell>
          <cell r="DM277">
            <v>43</v>
          </cell>
          <cell r="DT277">
            <v>999.9</v>
          </cell>
        </row>
        <row r="278">
          <cell r="W278">
            <v>235.15024197365713</v>
          </cell>
          <cell r="AF278">
            <v>40268</v>
          </cell>
          <cell r="AG278">
            <v>783</v>
          </cell>
          <cell r="AH278">
            <v>235.15024197365713</v>
          </cell>
          <cell r="AM278">
            <v>11695.487986391665</v>
          </cell>
          <cell r="AO278">
            <v>2750196.83</v>
          </cell>
          <cell r="AQ278">
            <v>2750196.83</v>
          </cell>
          <cell r="AU278">
            <v>0</v>
          </cell>
          <cell r="AW278">
            <v>0</v>
          </cell>
          <cell r="AY278">
            <v>688163</v>
          </cell>
          <cell r="AZ278">
            <v>58.840041629790477</v>
          </cell>
          <cell r="BA278">
            <v>0</v>
          </cell>
          <cell r="BB278">
            <v>0</v>
          </cell>
          <cell r="BC278">
            <v>0</v>
          </cell>
          <cell r="BD278">
            <v>0</v>
          </cell>
          <cell r="BG278">
            <v>0</v>
          </cell>
          <cell r="BH278">
            <v>0</v>
          </cell>
          <cell r="BI278">
            <v>407772</v>
          </cell>
          <cell r="BJ278">
            <v>34.865753397760301</v>
          </cell>
          <cell r="BK278">
            <v>0</v>
          </cell>
          <cell r="BL278">
            <v>0</v>
          </cell>
          <cell r="BM278">
            <v>1309902</v>
          </cell>
          <cell r="BN278">
            <v>112.0006280647838</v>
          </cell>
          <cell r="BO278">
            <v>0</v>
          </cell>
          <cell r="BP278">
            <v>0</v>
          </cell>
          <cell r="BY278">
            <v>3485.58</v>
          </cell>
          <cell r="CF278">
            <v>946.16262442941195</v>
          </cell>
          <cell r="CG278">
            <v>727.32</v>
          </cell>
          <cell r="CJ278">
            <v>0</v>
          </cell>
          <cell r="CK278">
            <v>0</v>
          </cell>
          <cell r="CL278">
            <v>0</v>
          </cell>
          <cell r="CM278">
            <v>0</v>
          </cell>
          <cell r="CN278">
            <v>0</v>
          </cell>
          <cell r="CO278">
            <v>0</v>
          </cell>
          <cell r="CX278">
            <v>0</v>
          </cell>
          <cell r="CY278">
            <v>0</v>
          </cell>
          <cell r="DB278">
            <v>0</v>
          </cell>
          <cell r="DC278">
            <v>0</v>
          </cell>
          <cell r="DJ278" t="str">
            <v>НКРЕ</v>
          </cell>
          <cell r="DL278">
            <v>40526</v>
          </cell>
          <cell r="DM278">
            <v>1804</v>
          </cell>
          <cell r="DO278" t="str">
            <v>тариф на теплову енергію для населення населенного пункту смт.Чабани</v>
          </cell>
          <cell r="DT278">
            <v>258.67</v>
          </cell>
        </row>
        <row r="279">
          <cell r="W279">
            <v>574.63</v>
          </cell>
          <cell r="AF279">
            <v>40268</v>
          </cell>
          <cell r="AG279">
            <v>784</v>
          </cell>
          <cell r="AH279">
            <v>499.68113644621917</v>
          </cell>
          <cell r="AM279">
            <v>1829.500722203853</v>
          </cell>
          <cell r="AO279">
            <v>1051286</v>
          </cell>
          <cell r="AQ279">
            <v>914167</v>
          </cell>
          <cell r="AU279">
            <v>0</v>
          </cell>
          <cell r="AW279">
            <v>0</v>
          </cell>
          <cell r="AY279">
            <v>591955.60000000009</v>
          </cell>
          <cell r="AZ279">
            <v>323.56128249401212</v>
          </cell>
          <cell r="BA279">
            <v>0</v>
          </cell>
          <cell r="BB279">
            <v>0</v>
          </cell>
          <cell r="BC279">
            <v>0</v>
          </cell>
          <cell r="BD279">
            <v>0</v>
          </cell>
          <cell r="BG279">
            <v>0</v>
          </cell>
          <cell r="BH279">
            <v>0</v>
          </cell>
          <cell r="BI279">
            <v>63804</v>
          </cell>
          <cell r="BJ279">
            <v>34.875088719910657</v>
          </cell>
          <cell r="BK279">
            <v>0</v>
          </cell>
          <cell r="BL279">
            <v>0</v>
          </cell>
          <cell r="BM279">
            <v>204894</v>
          </cell>
          <cell r="BN279">
            <v>111.99448981533094</v>
          </cell>
          <cell r="BO279">
            <v>0</v>
          </cell>
          <cell r="BP279">
            <v>0</v>
          </cell>
          <cell r="BY279">
            <v>3485.58</v>
          </cell>
          <cell r="CF279">
            <v>271.20834211466746</v>
          </cell>
          <cell r="CG279">
            <v>2182.66</v>
          </cell>
          <cell r="CJ279">
            <v>0</v>
          </cell>
          <cell r="CK279">
            <v>0</v>
          </cell>
          <cell r="CL279">
            <v>0</v>
          </cell>
          <cell r="CM279">
            <v>0</v>
          </cell>
          <cell r="CN279">
            <v>0</v>
          </cell>
          <cell r="CO279">
            <v>0</v>
          </cell>
          <cell r="CX279">
            <v>0</v>
          </cell>
          <cell r="CY279">
            <v>0</v>
          </cell>
          <cell r="DB279">
            <v>0</v>
          </cell>
          <cell r="DC279">
            <v>0</v>
          </cell>
          <cell r="DJ279" t="str">
            <v>НКРКП</v>
          </cell>
          <cell r="DL279">
            <v>40816</v>
          </cell>
          <cell r="DM279">
            <v>43</v>
          </cell>
          <cell r="DT279">
            <v>807.12949827164061</v>
          </cell>
        </row>
        <row r="280">
          <cell r="W280">
            <v>684.56</v>
          </cell>
          <cell r="AF280">
            <v>40268</v>
          </cell>
          <cell r="AG280">
            <v>785</v>
          </cell>
          <cell r="AH280">
            <v>499.67908486259165</v>
          </cell>
          <cell r="AM280">
            <v>2442.180378637373</v>
          </cell>
          <cell r="AO280">
            <v>1671819</v>
          </cell>
          <cell r="AQ280">
            <v>1220306.4566669001</v>
          </cell>
          <cell r="AU280">
            <v>0</v>
          </cell>
          <cell r="AW280">
            <v>0</v>
          </cell>
          <cell r="AY280">
            <v>781809.63</v>
          </cell>
          <cell r="AZ280">
            <v>320.12771736222641</v>
          </cell>
          <cell r="BA280">
            <v>0</v>
          </cell>
          <cell r="BB280">
            <v>0</v>
          </cell>
          <cell r="BC280">
            <v>0</v>
          </cell>
          <cell r="BD280">
            <v>0</v>
          </cell>
          <cell r="BG280">
            <v>0</v>
          </cell>
          <cell r="BH280">
            <v>0</v>
          </cell>
          <cell r="BI280">
            <v>86792.566659999997</v>
          </cell>
          <cell r="BJ280">
            <v>35.5389664986279</v>
          </cell>
          <cell r="BK280">
            <v>0</v>
          </cell>
          <cell r="BL280">
            <v>0</v>
          </cell>
          <cell r="BM280">
            <v>278870</v>
          </cell>
          <cell r="BN280">
            <v>114.1889446166122</v>
          </cell>
          <cell r="BO280">
            <v>0</v>
          </cell>
          <cell r="BP280">
            <v>0</v>
          </cell>
          <cell r="BY280">
            <v>3485.58</v>
          </cell>
          <cell r="CF280">
            <v>358.19121164084191</v>
          </cell>
          <cell r="CG280">
            <v>2182.66</v>
          </cell>
          <cell r="CJ280">
            <v>0</v>
          </cell>
          <cell r="CK280">
            <v>0</v>
          </cell>
          <cell r="CL280">
            <v>0</v>
          </cell>
          <cell r="CM280">
            <v>0</v>
          </cell>
          <cell r="CN280">
            <v>0</v>
          </cell>
          <cell r="CO280">
            <v>0</v>
          </cell>
          <cell r="CX280">
            <v>0</v>
          </cell>
          <cell r="CY280">
            <v>0</v>
          </cell>
          <cell r="DB280">
            <v>0</v>
          </cell>
          <cell r="DC280">
            <v>0</v>
          </cell>
          <cell r="DJ280" t="str">
            <v>НКРКП</v>
          </cell>
          <cell r="DL280">
            <v>40816</v>
          </cell>
          <cell r="DM280">
            <v>43</v>
          </cell>
          <cell r="DT280">
            <v>914.58</v>
          </cell>
        </row>
        <row r="281">
          <cell r="W281">
            <v>273.27</v>
          </cell>
          <cell r="AF281">
            <v>40268</v>
          </cell>
          <cell r="AG281">
            <v>802</v>
          </cell>
          <cell r="AH281">
            <v>253.02470259270302</v>
          </cell>
          <cell r="AM281">
            <v>1362.1583049731037</v>
          </cell>
          <cell r="AO281">
            <v>372237</v>
          </cell>
          <cell r="AQ281">
            <v>344659.7</v>
          </cell>
          <cell r="AU281">
            <v>0</v>
          </cell>
          <cell r="AW281">
            <v>0</v>
          </cell>
          <cell r="AY281">
            <v>137897</v>
          </cell>
          <cell r="AZ281">
            <v>101.23419539164563</v>
          </cell>
          <cell r="BA281">
            <v>0</v>
          </cell>
          <cell r="BB281">
            <v>0</v>
          </cell>
          <cell r="BC281">
            <v>0</v>
          </cell>
          <cell r="BD281">
            <v>0</v>
          </cell>
          <cell r="BG281">
            <v>0</v>
          </cell>
          <cell r="BH281">
            <v>0</v>
          </cell>
          <cell r="BI281">
            <v>24621.62</v>
          </cell>
          <cell r="BJ281">
            <v>18.07544681855914</v>
          </cell>
          <cell r="BK281">
            <v>0</v>
          </cell>
          <cell r="BL281">
            <v>0</v>
          </cell>
          <cell r="BM281">
            <v>158294</v>
          </cell>
          <cell r="BN281">
            <v>116.20822588834531</v>
          </cell>
          <cell r="BO281">
            <v>0</v>
          </cell>
          <cell r="BP281">
            <v>0</v>
          </cell>
          <cell r="BY281">
            <v>3485.58</v>
          </cell>
          <cell r="CF281">
            <v>189.59732569208268</v>
          </cell>
          <cell r="CG281">
            <v>727.31511109999997</v>
          </cell>
          <cell r="CJ281">
            <v>0</v>
          </cell>
          <cell r="CK281">
            <v>0</v>
          </cell>
          <cell r="CL281">
            <v>0</v>
          </cell>
          <cell r="CM281">
            <v>0</v>
          </cell>
          <cell r="CN281">
            <v>0</v>
          </cell>
          <cell r="CO281">
            <v>0</v>
          </cell>
          <cell r="CX281">
            <v>0</v>
          </cell>
          <cell r="CY281">
            <v>0</v>
          </cell>
          <cell r="DB281">
            <v>0</v>
          </cell>
          <cell r="DC281">
            <v>0</v>
          </cell>
          <cell r="DJ281" t="str">
            <v>НКРЕ</v>
          </cell>
          <cell r="DL281">
            <v>40526</v>
          </cell>
          <cell r="DM281">
            <v>1804</v>
          </cell>
          <cell r="DO281" t="str">
            <v>тариф на теплову енергію для населення населенного пункту смт. Гостомель</v>
          </cell>
          <cell r="DT281">
            <v>300.60000000000002</v>
          </cell>
        </row>
        <row r="282">
          <cell r="W282">
            <v>712.98</v>
          </cell>
          <cell r="AF282">
            <v>40268</v>
          </cell>
          <cell r="AG282">
            <v>803</v>
          </cell>
          <cell r="AH282">
            <v>475.31562051597058</v>
          </cell>
          <cell r="AM282">
            <v>68.501220230581495</v>
          </cell>
          <cell r="AO282">
            <v>48839.999999999993</v>
          </cell>
          <cell r="AQ282">
            <v>32559.7</v>
          </cell>
          <cell r="AU282">
            <v>0</v>
          </cell>
          <cell r="AW282">
            <v>0</v>
          </cell>
          <cell r="AY282">
            <v>22179</v>
          </cell>
          <cell r="AZ282">
            <v>323.77525429975435</v>
          </cell>
          <cell r="BA282">
            <v>0</v>
          </cell>
          <cell r="BB282">
            <v>0</v>
          </cell>
          <cell r="BC282">
            <v>0</v>
          </cell>
          <cell r="BD282">
            <v>0</v>
          </cell>
          <cell r="BG282">
            <v>0</v>
          </cell>
          <cell r="BH282">
            <v>0</v>
          </cell>
          <cell r="BI282">
            <v>1238.21</v>
          </cell>
          <cell r="BJ282">
            <v>18.075736400491405</v>
          </cell>
          <cell r="BK282">
            <v>0</v>
          </cell>
          <cell r="BL282">
            <v>0</v>
          </cell>
          <cell r="BM282">
            <v>7961</v>
          </cell>
          <cell r="BN282">
            <v>116.21690786240788</v>
          </cell>
          <cell r="BO282">
            <v>0</v>
          </cell>
          <cell r="BP282">
            <v>0</v>
          </cell>
          <cell r="BY282">
            <v>3485.58</v>
          </cell>
          <cell r="CF282">
            <v>10.161454372188064</v>
          </cell>
          <cell r="CG282">
            <v>2182.66</v>
          </cell>
          <cell r="CJ282">
            <v>0</v>
          </cell>
          <cell r="CK282">
            <v>0</v>
          </cell>
          <cell r="CL282">
            <v>0</v>
          </cell>
          <cell r="CM282">
            <v>0</v>
          </cell>
          <cell r="CN282">
            <v>0</v>
          </cell>
          <cell r="CO282">
            <v>0</v>
          </cell>
          <cell r="CX282">
            <v>0</v>
          </cell>
          <cell r="CY282">
            <v>0</v>
          </cell>
          <cell r="DB282">
            <v>0</v>
          </cell>
          <cell r="DC282">
            <v>0</v>
          </cell>
          <cell r="DJ282" t="str">
            <v>НКРКП</v>
          </cell>
          <cell r="DL282">
            <v>40816</v>
          </cell>
          <cell r="DM282">
            <v>43</v>
          </cell>
          <cell r="DT282">
            <v>945.58</v>
          </cell>
        </row>
        <row r="283">
          <cell r="W283">
            <v>256.49</v>
          </cell>
          <cell r="AF283">
            <v>40268</v>
          </cell>
          <cell r="AG283">
            <v>786</v>
          </cell>
          <cell r="AH283">
            <v>237.49509641373439</v>
          </cell>
          <cell r="AM283">
            <v>4770.2795430621072</v>
          </cell>
          <cell r="AO283">
            <v>1223529</v>
          </cell>
          <cell r="AQ283">
            <v>1132918</v>
          </cell>
          <cell r="AU283">
            <v>0</v>
          </cell>
          <cell r="AW283">
            <v>0</v>
          </cell>
          <cell r="AY283">
            <v>516894</v>
          </cell>
          <cell r="AZ283">
            <v>108.35717180385591</v>
          </cell>
          <cell r="BA283">
            <v>0</v>
          </cell>
          <cell r="BB283">
            <v>0</v>
          </cell>
          <cell r="BC283">
            <v>0</v>
          </cell>
          <cell r="BD283">
            <v>0</v>
          </cell>
          <cell r="BG283">
            <v>0</v>
          </cell>
          <cell r="BH283">
            <v>0</v>
          </cell>
          <cell r="BI283">
            <v>142103.55499999999</v>
          </cell>
          <cell r="BJ283">
            <v>29.789355889357754</v>
          </cell>
          <cell r="BK283">
            <v>0</v>
          </cell>
          <cell r="BL283">
            <v>0</v>
          </cell>
          <cell r="BM283">
            <v>418742.55499999999</v>
          </cell>
          <cell r="BN283">
            <v>87.781554774713157</v>
          </cell>
          <cell r="BO283">
            <v>0</v>
          </cell>
          <cell r="BP283">
            <v>0</v>
          </cell>
          <cell r="BY283">
            <v>3485.58</v>
          </cell>
          <cell r="CF283">
            <v>710.68305560138583</v>
          </cell>
          <cell r="CG283">
            <v>727.32</v>
          </cell>
          <cell r="CJ283">
            <v>0</v>
          </cell>
          <cell r="CK283">
            <v>0</v>
          </cell>
          <cell r="CL283">
            <v>0</v>
          </cell>
          <cell r="CM283">
            <v>0</v>
          </cell>
          <cell r="CN283">
            <v>0</v>
          </cell>
          <cell r="CO283">
            <v>0</v>
          </cell>
          <cell r="CX283">
            <v>0</v>
          </cell>
          <cell r="CY283">
            <v>0</v>
          </cell>
          <cell r="DB283">
            <v>0</v>
          </cell>
          <cell r="DC283">
            <v>0</v>
          </cell>
          <cell r="DJ283" t="str">
            <v>НКРЕ</v>
          </cell>
          <cell r="DL283">
            <v>40526</v>
          </cell>
          <cell r="DM283">
            <v>1804</v>
          </cell>
          <cell r="DO283" t="str">
            <v>тариф на теплову енергію для населення населенного пункту с. Тарасівка</v>
          </cell>
          <cell r="DT283">
            <v>282.14</v>
          </cell>
        </row>
        <row r="284">
          <cell r="W284">
            <v>609.52</v>
          </cell>
          <cell r="AF284">
            <v>40268</v>
          </cell>
          <cell r="AG284">
            <v>787</v>
          </cell>
          <cell r="AH284">
            <v>530.02142060340668</v>
          </cell>
          <cell r="AM284">
            <v>1025.1000787504922</v>
          </cell>
          <cell r="AO284">
            <v>624819</v>
          </cell>
          <cell r="AQ284">
            <v>543325</v>
          </cell>
          <cell r="AU284">
            <v>0</v>
          </cell>
          <cell r="AW284">
            <v>0</v>
          </cell>
          <cell r="AY284">
            <v>379375.54</v>
          </cell>
          <cell r="AZ284">
            <v>370.08634363039533</v>
          </cell>
          <cell r="BA284">
            <v>0</v>
          </cell>
          <cell r="BB284">
            <v>0</v>
          </cell>
          <cell r="BC284">
            <v>0</v>
          </cell>
          <cell r="BD284">
            <v>0</v>
          </cell>
          <cell r="BG284">
            <v>0</v>
          </cell>
          <cell r="BH284">
            <v>0</v>
          </cell>
          <cell r="BI284">
            <v>36225.550000000003</v>
          </cell>
          <cell r="BJ284">
            <v>35.338549621570408</v>
          </cell>
          <cell r="BK284">
            <v>0</v>
          </cell>
          <cell r="BL284">
            <v>0</v>
          </cell>
          <cell r="BM284">
            <v>113025</v>
          </cell>
          <cell r="BN284">
            <v>110.25752737992923</v>
          </cell>
          <cell r="BO284">
            <v>0</v>
          </cell>
          <cell r="BP284">
            <v>0</v>
          </cell>
          <cell r="BY284">
            <v>3485.58</v>
          </cell>
          <cell r="CF284">
            <v>173.81339283259877</v>
          </cell>
          <cell r="CG284">
            <v>2182.66</v>
          </cell>
          <cell r="CJ284">
            <v>0</v>
          </cell>
          <cell r="CK284">
            <v>0</v>
          </cell>
          <cell r="CL284">
            <v>0</v>
          </cell>
          <cell r="CM284">
            <v>0</v>
          </cell>
          <cell r="CN284">
            <v>0</v>
          </cell>
          <cell r="CO284">
            <v>0</v>
          </cell>
          <cell r="CX284">
            <v>0</v>
          </cell>
          <cell r="CY284">
            <v>0</v>
          </cell>
          <cell r="DB284">
            <v>0</v>
          </cell>
          <cell r="DC284">
            <v>0</v>
          </cell>
          <cell r="DJ284" t="str">
            <v>НКРКП</v>
          </cell>
          <cell r="DL284">
            <v>40816</v>
          </cell>
          <cell r="DM284">
            <v>43</v>
          </cell>
          <cell r="DT284">
            <v>875.48</v>
          </cell>
        </row>
        <row r="285">
          <cell r="W285">
            <v>886.17</v>
          </cell>
          <cell r="AF285">
            <v>40268</v>
          </cell>
          <cell r="AG285">
            <v>788</v>
          </cell>
          <cell r="AH285">
            <v>590.77732905944265</v>
          </cell>
          <cell r="AM285">
            <v>124.79998194477358</v>
          </cell>
          <cell r="AO285">
            <v>110594</v>
          </cell>
          <cell r="AQ285">
            <v>73729</v>
          </cell>
          <cell r="AU285">
            <v>0</v>
          </cell>
          <cell r="AW285">
            <v>0</v>
          </cell>
          <cell r="AY285">
            <v>53125.64</v>
          </cell>
          <cell r="AZ285">
            <v>425.68627953415194</v>
          </cell>
          <cell r="BA285">
            <v>0</v>
          </cell>
          <cell r="BB285">
            <v>0</v>
          </cell>
          <cell r="BC285">
            <v>0</v>
          </cell>
          <cell r="BD285">
            <v>0</v>
          </cell>
          <cell r="BG285">
            <v>0</v>
          </cell>
          <cell r="BH285">
            <v>0</v>
          </cell>
          <cell r="BI285">
            <v>5065</v>
          </cell>
          <cell r="BJ285">
            <v>40.584941768992891</v>
          </cell>
          <cell r="BK285">
            <v>0</v>
          </cell>
          <cell r="BL285">
            <v>0</v>
          </cell>
          <cell r="BM285">
            <v>13750</v>
          </cell>
          <cell r="BN285">
            <v>110.17629799084941</v>
          </cell>
          <cell r="BO285">
            <v>0</v>
          </cell>
          <cell r="BP285">
            <v>0</v>
          </cell>
          <cell r="BY285">
            <v>3485.58</v>
          </cell>
          <cell r="CF285">
            <v>24.339860537142755</v>
          </cell>
          <cell r="CG285">
            <v>2182.66</v>
          </cell>
          <cell r="CJ285">
            <v>0</v>
          </cell>
          <cell r="CK285">
            <v>0</v>
          </cell>
          <cell r="CL285">
            <v>0</v>
          </cell>
          <cell r="CM285">
            <v>0</v>
          </cell>
          <cell r="CN285">
            <v>0</v>
          </cell>
          <cell r="CO285">
            <v>0</v>
          </cell>
          <cell r="CX285">
            <v>0</v>
          </cell>
          <cell r="CY285">
            <v>0</v>
          </cell>
          <cell r="DB285">
            <v>0</v>
          </cell>
          <cell r="DC285">
            <v>0</v>
          </cell>
          <cell r="DJ285" t="str">
            <v>НКРКП</v>
          </cell>
          <cell r="DL285">
            <v>40816</v>
          </cell>
          <cell r="DM285">
            <v>43</v>
          </cell>
          <cell r="DT285">
            <v>999.9</v>
          </cell>
        </row>
        <row r="286">
          <cell r="W286">
            <v>365.66</v>
          </cell>
          <cell r="AF286">
            <v>40091</v>
          </cell>
          <cell r="AG286">
            <v>106</v>
          </cell>
          <cell r="AH286">
            <v>365.65979381443299</v>
          </cell>
          <cell r="AM286">
            <v>1552</v>
          </cell>
          <cell r="AO286">
            <v>567504.32000000007</v>
          </cell>
          <cell r="AQ286">
            <v>567504</v>
          </cell>
          <cell r="AU286">
            <v>0</v>
          </cell>
          <cell r="AW286">
            <v>0</v>
          </cell>
          <cell r="AY286">
            <v>188957.73600000003</v>
          </cell>
          <cell r="AZ286">
            <v>121.75111855670106</v>
          </cell>
          <cell r="BA286">
            <v>0</v>
          </cell>
          <cell r="BB286">
            <v>0</v>
          </cell>
          <cell r="BC286">
            <v>0</v>
          </cell>
          <cell r="BD286">
            <v>0</v>
          </cell>
          <cell r="BG286">
            <v>0</v>
          </cell>
          <cell r="BH286">
            <v>0</v>
          </cell>
          <cell r="BI286">
            <v>19741</v>
          </cell>
          <cell r="BJ286">
            <v>12.719716494845361</v>
          </cell>
          <cell r="BK286">
            <v>0</v>
          </cell>
          <cell r="BL286">
            <v>0</v>
          </cell>
          <cell r="BM286">
            <v>279330</v>
          </cell>
          <cell r="BN286">
            <v>179.98067010309279</v>
          </cell>
          <cell r="BO286">
            <v>0</v>
          </cell>
          <cell r="BP286">
            <v>0</v>
          </cell>
          <cell r="BY286">
            <v>1855.73</v>
          </cell>
          <cell r="CF286">
            <v>259.8</v>
          </cell>
          <cell r="CG286">
            <v>727.32</v>
          </cell>
          <cell r="CJ286">
            <v>0</v>
          </cell>
          <cell r="CK286">
            <v>0</v>
          </cell>
          <cell r="CL286">
            <v>0</v>
          </cell>
          <cell r="CM286">
            <v>0</v>
          </cell>
          <cell r="CN286">
            <v>0</v>
          </cell>
          <cell r="CO286">
            <v>0</v>
          </cell>
          <cell r="CX286">
            <v>0</v>
          </cell>
          <cell r="CY286">
            <v>0</v>
          </cell>
          <cell r="DB286">
            <v>0</v>
          </cell>
          <cell r="DC286">
            <v>0</v>
          </cell>
          <cell r="DJ286" t="str">
            <v>НКРЕ</v>
          </cell>
          <cell r="DL286">
            <v>40526</v>
          </cell>
          <cell r="DM286">
            <v>1802</v>
          </cell>
          <cell r="DO286" t="str">
            <v>на теплову енергію (модульна котельня с. Нове)</v>
          </cell>
          <cell r="DT286">
            <v>402.23</v>
          </cell>
        </row>
        <row r="287">
          <cell r="W287">
            <v>692.62</v>
          </cell>
          <cell r="AF287">
            <v>40091</v>
          </cell>
          <cell r="AG287">
            <v>107</v>
          </cell>
          <cell r="AH287">
            <v>602.27950310559004</v>
          </cell>
          <cell r="AM287">
            <v>483</v>
          </cell>
          <cell r="AO287">
            <v>334535.46000000002</v>
          </cell>
          <cell r="AQ287">
            <v>290901</v>
          </cell>
          <cell r="AU287">
            <v>0</v>
          </cell>
          <cell r="AW287">
            <v>0</v>
          </cell>
          <cell r="AY287">
            <v>173072.3775</v>
          </cell>
          <cell r="AZ287">
            <v>358.32790372670809</v>
          </cell>
          <cell r="BA287">
            <v>0</v>
          </cell>
          <cell r="BB287">
            <v>0</v>
          </cell>
          <cell r="BC287">
            <v>0</v>
          </cell>
          <cell r="BD287">
            <v>0</v>
          </cell>
          <cell r="BG287">
            <v>0</v>
          </cell>
          <cell r="BH287">
            <v>0</v>
          </cell>
          <cell r="BI287">
            <v>6144</v>
          </cell>
          <cell r="BJ287">
            <v>12.720496894409937</v>
          </cell>
          <cell r="BK287">
            <v>0</v>
          </cell>
          <cell r="BL287">
            <v>0</v>
          </cell>
          <cell r="BM287">
            <v>86930</v>
          </cell>
          <cell r="BN287">
            <v>179.9792960662526</v>
          </cell>
          <cell r="BO287">
            <v>0</v>
          </cell>
          <cell r="BP287">
            <v>0</v>
          </cell>
          <cell r="BY287">
            <v>1855.73</v>
          </cell>
          <cell r="CF287">
            <v>80.790000000000006</v>
          </cell>
          <cell r="CG287">
            <v>2142.25</v>
          </cell>
          <cell r="CJ287">
            <v>0</v>
          </cell>
          <cell r="CK287">
            <v>0</v>
          </cell>
          <cell r="CL287">
            <v>0</v>
          </cell>
          <cell r="CM287">
            <v>0</v>
          </cell>
          <cell r="CN287">
            <v>0</v>
          </cell>
          <cell r="CO287">
            <v>0</v>
          </cell>
          <cell r="CX287">
            <v>0</v>
          </cell>
          <cell r="CY287">
            <v>0</v>
          </cell>
          <cell r="DB287">
            <v>0</v>
          </cell>
          <cell r="DC287">
            <v>0</v>
          </cell>
          <cell r="DJ287" t="str">
            <v>НКРКП</v>
          </cell>
          <cell r="DL287">
            <v>40816</v>
          </cell>
          <cell r="DM287">
            <v>129</v>
          </cell>
          <cell r="DO287" t="str">
            <v>на теплову енергію (модульна котельня с. Нова)</v>
          </cell>
          <cell r="DT287">
            <v>961.87</v>
          </cell>
        </row>
        <row r="288">
          <cell r="W288">
            <v>692.62</v>
          </cell>
          <cell r="AF288">
            <v>40091</v>
          </cell>
          <cell r="AG288">
            <v>107</v>
          </cell>
          <cell r="AH288">
            <v>602.28002763669861</v>
          </cell>
          <cell r="AM288">
            <v>32.999600000000001</v>
          </cell>
          <cell r="AO288">
            <v>22856.182951999999</v>
          </cell>
          <cell r="AQ288">
            <v>19875</v>
          </cell>
          <cell r="AU288">
            <v>0</v>
          </cell>
          <cell r="AW288">
            <v>0</v>
          </cell>
          <cell r="AY288">
            <v>11825.22</v>
          </cell>
          <cell r="AZ288">
            <v>358.34434356780082</v>
          </cell>
          <cell r="BA288">
            <v>0</v>
          </cell>
          <cell r="BB288">
            <v>0</v>
          </cell>
          <cell r="BC288">
            <v>0</v>
          </cell>
          <cell r="BD288">
            <v>0</v>
          </cell>
          <cell r="BG288">
            <v>0</v>
          </cell>
          <cell r="BH288">
            <v>0</v>
          </cell>
          <cell r="BI288">
            <v>420</v>
          </cell>
          <cell r="BJ288">
            <v>12.72742699911514</v>
          </cell>
          <cell r="BK288">
            <v>0</v>
          </cell>
          <cell r="BL288">
            <v>0</v>
          </cell>
          <cell r="BM288">
            <v>5939</v>
          </cell>
          <cell r="BN288">
            <v>179.97187844701148</v>
          </cell>
          <cell r="BO288">
            <v>0</v>
          </cell>
          <cell r="BP288">
            <v>0</v>
          </cell>
          <cell r="BY288">
            <v>1855.73</v>
          </cell>
          <cell r="CF288">
            <v>5.52</v>
          </cell>
          <cell r="CG288">
            <v>2142.25</v>
          </cell>
          <cell r="CJ288">
            <v>0</v>
          </cell>
          <cell r="CK288">
            <v>0</v>
          </cell>
          <cell r="CL288">
            <v>0</v>
          </cell>
          <cell r="CM288">
            <v>0</v>
          </cell>
          <cell r="CN288">
            <v>0</v>
          </cell>
          <cell r="CO288">
            <v>0</v>
          </cell>
          <cell r="CX288">
            <v>0</v>
          </cell>
          <cell r="CY288">
            <v>0</v>
          </cell>
          <cell r="DB288">
            <v>0</v>
          </cell>
          <cell r="DC288">
            <v>0</v>
          </cell>
          <cell r="DJ288" t="str">
            <v>НКРКП</v>
          </cell>
          <cell r="DL288">
            <v>40816</v>
          </cell>
          <cell r="DM288">
            <v>129</v>
          </cell>
          <cell r="DO288" t="str">
            <v>на теплову енергію (модульна котельня с. Нова)</v>
          </cell>
          <cell r="DT288">
            <v>961.87</v>
          </cell>
        </row>
        <row r="289">
          <cell r="W289">
            <v>443.86</v>
          </cell>
          <cell r="AF289">
            <v>40091</v>
          </cell>
          <cell r="AG289">
            <v>104</v>
          </cell>
          <cell r="AH289">
            <v>443.86209003870442</v>
          </cell>
          <cell r="AM289">
            <v>4909</v>
          </cell>
          <cell r="AO289">
            <v>2178908.7400000002</v>
          </cell>
          <cell r="AQ289">
            <v>2178919</v>
          </cell>
          <cell r="AU289">
            <v>0</v>
          </cell>
          <cell r="AW289">
            <v>0</v>
          </cell>
          <cell r="AY289">
            <v>575819.24400000006</v>
          </cell>
          <cell r="AZ289">
            <v>117.29868486453454</v>
          </cell>
          <cell r="BA289">
            <v>0</v>
          </cell>
          <cell r="BB289">
            <v>0</v>
          </cell>
          <cell r="BC289">
            <v>0</v>
          </cell>
          <cell r="BD289">
            <v>0</v>
          </cell>
          <cell r="BG289">
            <v>0</v>
          </cell>
          <cell r="BH289">
            <v>0</v>
          </cell>
          <cell r="BI289">
            <v>163519</v>
          </cell>
          <cell r="BJ289">
            <v>33.310042778569972</v>
          </cell>
          <cell r="BK289">
            <v>0</v>
          </cell>
          <cell r="BL289">
            <v>0</v>
          </cell>
          <cell r="BM289">
            <v>929615</v>
          </cell>
          <cell r="BN289">
            <v>189.36952536158077</v>
          </cell>
          <cell r="BO289">
            <v>0</v>
          </cell>
          <cell r="BP289">
            <v>0</v>
          </cell>
          <cell r="BY289">
            <v>1855.73</v>
          </cell>
          <cell r="CF289">
            <v>791.7</v>
          </cell>
          <cell r="CG289">
            <v>727.32</v>
          </cell>
          <cell r="CJ289">
            <v>0</v>
          </cell>
          <cell r="CK289">
            <v>0</v>
          </cell>
          <cell r="CL289">
            <v>0</v>
          </cell>
          <cell r="CM289">
            <v>0</v>
          </cell>
          <cell r="CN289">
            <v>0</v>
          </cell>
          <cell r="CO289">
            <v>0</v>
          </cell>
          <cell r="CX289">
            <v>0</v>
          </cell>
          <cell r="CY289">
            <v>0</v>
          </cell>
          <cell r="DB289">
            <v>0</v>
          </cell>
          <cell r="DC289">
            <v>0</v>
          </cell>
          <cell r="DJ289" t="str">
            <v>НКРЕ</v>
          </cell>
          <cell r="DL289">
            <v>40526</v>
          </cell>
          <cell r="DM289" t="str">
            <v>№1802</v>
          </cell>
          <cell r="DO289" t="str">
            <v>на теплову енергію від основної котельні</v>
          </cell>
          <cell r="DT289">
            <v>488.25</v>
          </cell>
        </row>
        <row r="290">
          <cell r="W290">
            <v>772.86</v>
          </cell>
          <cell r="AF290">
            <v>40091</v>
          </cell>
          <cell r="AG290">
            <v>105</v>
          </cell>
          <cell r="AH290">
            <v>672.05120852109792</v>
          </cell>
          <cell r="AM290">
            <v>2441</v>
          </cell>
          <cell r="AO290">
            <v>1886551.26</v>
          </cell>
          <cell r="AQ290">
            <v>1640477</v>
          </cell>
          <cell r="AU290">
            <v>0</v>
          </cell>
          <cell r="AW290">
            <v>0</v>
          </cell>
          <cell r="AY290">
            <v>843317</v>
          </cell>
          <cell r="AZ290">
            <v>345.48013109381401</v>
          </cell>
          <cell r="BA290">
            <v>0</v>
          </cell>
          <cell r="BB290">
            <v>0</v>
          </cell>
          <cell r="BC290">
            <v>0</v>
          </cell>
          <cell r="BD290">
            <v>0</v>
          </cell>
          <cell r="BG290">
            <v>0</v>
          </cell>
          <cell r="BH290">
            <v>0</v>
          </cell>
          <cell r="BI290">
            <v>81310</v>
          </cell>
          <cell r="BJ290">
            <v>33.310118803768944</v>
          </cell>
          <cell r="BK290">
            <v>0</v>
          </cell>
          <cell r="BL290">
            <v>0</v>
          </cell>
          <cell r="BM290">
            <v>462251</v>
          </cell>
          <cell r="BN290">
            <v>189.36952068824252</v>
          </cell>
          <cell r="BO290">
            <v>0</v>
          </cell>
          <cell r="BP290">
            <v>0</v>
          </cell>
          <cell r="BY290">
            <v>1855.73</v>
          </cell>
          <cell r="CF290">
            <v>393.65947018321856</v>
          </cell>
          <cell r="CG290">
            <v>2142.25</v>
          </cell>
          <cell r="CJ290">
            <v>0</v>
          </cell>
          <cell r="CK290">
            <v>0</v>
          </cell>
          <cell r="CL290">
            <v>0</v>
          </cell>
          <cell r="CM290">
            <v>0</v>
          </cell>
          <cell r="CN290">
            <v>0</v>
          </cell>
          <cell r="CO290">
            <v>0</v>
          </cell>
          <cell r="CX290">
            <v>0</v>
          </cell>
          <cell r="CY290">
            <v>0</v>
          </cell>
          <cell r="DB290">
            <v>0</v>
          </cell>
          <cell r="DC290">
            <v>0</v>
          </cell>
          <cell r="DJ290" t="str">
            <v>НКРКП</v>
          </cell>
          <cell r="DL290">
            <v>40816</v>
          </cell>
          <cell r="DM290">
            <v>129</v>
          </cell>
          <cell r="DO290" t="str">
            <v>на теплову енергію (основна котельня с. Нова)</v>
          </cell>
          <cell r="DT290">
            <v>999.9</v>
          </cell>
        </row>
        <row r="291">
          <cell r="W291">
            <v>772.86</v>
          </cell>
          <cell r="AF291">
            <v>40091</v>
          </cell>
          <cell r="AG291">
            <v>105</v>
          </cell>
          <cell r="AH291">
            <v>672.05000180901277</v>
          </cell>
          <cell r="AM291">
            <v>72.000595000000004</v>
          </cell>
          <cell r="AO291">
            <v>55646.379851700003</v>
          </cell>
          <cell r="AQ291">
            <v>48388</v>
          </cell>
          <cell r="AU291">
            <v>0</v>
          </cell>
          <cell r="AW291">
            <v>0</v>
          </cell>
          <cell r="AY291">
            <v>24875</v>
          </cell>
          <cell r="AZ291">
            <v>345.48325607586992</v>
          </cell>
          <cell r="BA291">
            <v>0</v>
          </cell>
          <cell r="BB291">
            <v>0</v>
          </cell>
          <cell r="BC291">
            <v>0</v>
          </cell>
          <cell r="BD291">
            <v>0</v>
          </cell>
          <cell r="BG291">
            <v>0</v>
          </cell>
          <cell r="BH291">
            <v>0</v>
          </cell>
          <cell r="BI291">
            <v>2398</v>
          </cell>
          <cell r="BJ291">
            <v>33.305280324419542</v>
          </cell>
          <cell r="BK291">
            <v>0</v>
          </cell>
          <cell r="BL291">
            <v>0</v>
          </cell>
          <cell r="BM291">
            <v>13635</v>
          </cell>
          <cell r="BN291">
            <v>189.37343503897432</v>
          </cell>
          <cell r="BO291">
            <v>0</v>
          </cell>
          <cell r="BP291">
            <v>0</v>
          </cell>
          <cell r="BY291">
            <v>1855.73</v>
          </cell>
          <cell r="CF291">
            <v>11.611623293266426</v>
          </cell>
          <cell r="CG291">
            <v>2142.25</v>
          </cell>
          <cell r="CJ291">
            <v>0</v>
          </cell>
          <cell r="CK291">
            <v>0</v>
          </cell>
          <cell r="CL291">
            <v>0</v>
          </cell>
          <cell r="CM291">
            <v>0</v>
          </cell>
          <cell r="CN291">
            <v>0</v>
          </cell>
          <cell r="CO291">
            <v>0</v>
          </cell>
          <cell r="CX291">
            <v>0</v>
          </cell>
          <cell r="CY291">
            <v>0</v>
          </cell>
          <cell r="DB291">
            <v>0</v>
          </cell>
          <cell r="DC291">
            <v>0</v>
          </cell>
          <cell r="DJ291" t="str">
            <v>НКРКП</v>
          </cell>
          <cell r="DL291">
            <v>40816</v>
          </cell>
          <cell r="DM291">
            <v>129</v>
          </cell>
          <cell r="DO291" t="str">
            <v>на теплову енергію (основна котельня с. Нова)</v>
          </cell>
          <cell r="DT291">
            <v>999.9</v>
          </cell>
        </row>
        <row r="292">
          <cell r="W292">
            <v>183.27</v>
          </cell>
          <cell r="AF292">
            <v>39699</v>
          </cell>
          <cell r="AG292">
            <v>118</v>
          </cell>
          <cell r="AH292">
            <v>203.91325668495776</v>
          </cell>
          <cell r="AM292">
            <v>114810</v>
          </cell>
          <cell r="AO292">
            <v>21041228.700000003</v>
          </cell>
          <cell r="AQ292">
            <v>23411281</v>
          </cell>
          <cell r="AU292">
            <v>18234923.699999999</v>
          </cell>
          <cell r="AW292">
            <v>0</v>
          </cell>
          <cell r="AY292">
            <v>0</v>
          </cell>
          <cell r="AZ292">
            <v>0</v>
          </cell>
          <cell r="BA292">
            <v>0</v>
          </cell>
          <cell r="BB292">
            <v>0</v>
          </cell>
          <cell r="BC292">
            <v>0</v>
          </cell>
          <cell r="BD292">
            <v>0</v>
          </cell>
          <cell r="BG292">
            <v>0</v>
          </cell>
          <cell r="BH292">
            <v>0</v>
          </cell>
          <cell r="BI292">
            <v>0</v>
          </cell>
          <cell r="BJ292">
            <v>0</v>
          </cell>
          <cell r="BK292">
            <v>0</v>
          </cell>
          <cell r="BL292">
            <v>0</v>
          </cell>
          <cell r="BM292">
            <v>3611189</v>
          </cell>
          <cell r="BN292">
            <v>31.453610312690532</v>
          </cell>
          <cell r="BO292">
            <v>0</v>
          </cell>
          <cell r="BP292">
            <v>0</v>
          </cell>
          <cell r="BY292">
            <v>1819</v>
          </cell>
          <cell r="CF292">
            <v>0</v>
          </cell>
          <cell r="CG292">
            <v>0</v>
          </cell>
          <cell r="CJ292">
            <v>131965</v>
          </cell>
          <cell r="CK292">
            <v>138.18</v>
          </cell>
          <cell r="CL292">
            <v>216.99</v>
          </cell>
          <cell r="CM292">
            <v>0</v>
          </cell>
          <cell r="CN292">
            <v>0</v>
          </cell>
          <cell r="CO292">
            <v>0</v>
          </cell>
          <cell r="CX292">
            <v>0</v>
          </cell>
          <cell r="CY292">
            <v>0</v>
          </cell>
          <cell r="DB292">
            <v>0</v>
          </cell>
          <cell r="DC292">
            <v>0</v>
          </cell>
          <cell r="DJ292" t="str">
            <v>НКРЕ</v>
          </cell>
          <cell r="DL292">
            <v>40526</v>
          </cell>
          <cell r="DM292">
            <v>1802</v>
          </cell>
          <cell r="DO292" t="str">
            <v>на теплову енергію (Кіровоградська ТЕЦ)</v>
          </cell>
          <cell r="DT292">
            <v>229.09</v>
          </cell>
        </row>
        <row r="293">
          <cell r="W293">
            <v>407.62</v>
          </cell>
          <cell r="AF293">
            <v>39699</v>
          </cell>
          <cell r="AG293">
            <v>118</v>
          </cell>
          <cell r="AH293">
            <v>412.88431396939916</v>
          </cell>
          <cell r="AM293">
            <v>64312</v>
          </cell>
          <cell r="AO293">
            <v>26214857.440000001</v>
          </cell>
          <cell r="AQ293">
            <v>26553416</v>
          </cell>
          <cell r="AU293">
            <v>23654182.383700002</v>
          </cell>
          <cell r="AW293">
            <v>0</v>
          </cell>
          <cell r="AY293">
            <v>0</v>
          </cell>
          <cell r="AZ293">
            <v>0</v>
          </cell>
          <cell r="BA293">
            <v>0</v>
          </cell>
          <cell r="BB293">
            <v>0</v>
          </cell>
          <cell r="BC293">
            <v>0</v>
          </cell>
          <cell r="BD293">
            <v>0</v>
          </cell>
          <cell r="BG293">
            <v>0</v>
          </cell>
          <cell r="BH293">
            <v>0</v>
          </cell>
          <cell r="BI293">
            <v>0</v>
          </cell>
          <cell r="BJ293">
            <v>0</v>
          </cell>
          <cell r="BK293">
            <v>0</v>
          </cell>
          <cell r="BL293">
            <v>0</v>
          </cell>
          <cell r="BM293">
            <v>2022844</v>
          </cell>
          <cell r="BN293">
            <v>31.453601194178379</v>
          </cell>
          <cell r="BO293">
            <v>0</v>
          </cell>
          <cell r="BP293">
            <v>0</v>
          </cell>
          <cell r="BY293">
            <v>1819</v>
          </cell>
          <cell r="CF293">
            <v>0</v>
          </cell>
          <cell r="CG293">
            <v>0</v>
          </cell>
          <cell r="CJ293">
            <v>73921.63</v>
          </cell>
          <cell r="CK293">
            <v>319.99</v>
          </cell>
          <cell r="CL293">
            <v>626.66999999999996</v>
          </cell>
          <cell r="CM293">
            <v>0</v>
          </cell>
          <cell r="CN293">
            <v>0</v>
          </cell>
          <cell r="CO293">
            <v>0</v>
          </cell>
          <cell r="CX293">
            <v>0</v>
          </cell>
          <cell r="CY293">
            <v>0</v>
          </cell>
          <cell r="DB293">
            <v>0</v>
          </cell>
          <cell r="DC293">
            <v>0</v>
          </cell>
          <cell r="DJ293" t="str">
            <v>НКРКП</v>
          </cell>
          <cell r="DL293">
            <v>40816</v>
          </cell>
          <cell r="DM293">
            <v>129</v>
          </cell>
          <cell r="DO293" t="str">
            <v>на теплову енергію (Кіровоградська ТЕЦ)</v>
          </cell>
          <cell r="DT293">
            <v>649.34</v>
          </cell>
        </row>
        <row r="294">
          <cell r="W294">
            <v>531.67999999999995</v>
          </cell>
          <cell r="AF294">
            <v>39699</v>
          </cell>
          <cell r="AG294">
            <v>118</v>
          </cell>
          <cell r="AH294">
            <v>412.88965052698313</v>
          </cell>
          <cell r="AM294">
            <v>25238</v>
          </cell>
          <cell r="AO294">
            <v>13418539.839999998</v>
          </cell>
          <cell r="AQ294">
            <v>10420509</v>
          </cell>
          <cell r="AU294">
            <v>9282625.1089000013</v>
          </cell>
          <cell r="AW294">
            <v>0</v>
          </cell>
          <cell r="AY294">
            <v>0</v>
          </cell>
          <cell r="AZ294">
            <v>0</v>
          </cell>
          <cell r="BA294">
            <v>0</v>
          </cell>
          <cell r="BB294">
            <v>0</v>
          </cell>
          <cell r="BC294">
            <v>0</v>
          </cell>
          <cell r="BD294">
            <v>0</v>
          </cell>
          <cell r="BG294">
            <v>0</v>
          </cell>
          <cell r="BH294">
            <v>0</v>
          </cell>
          <cell r="BI294">
            <v>0</v>
          </cell>
          <cell r="BJ294">
            <v>0</v>
          </cell>
          <cell r="BK294">
            <v>0</v>
          </cell>
          <cell r="BL294">
            <v>0</v>
          </cell>
          <cell r="BM294">
            <v>793826</v>
          </cell>
          <cell r="BN294">
            <v>31.453601711704572</v>
          </cell>
          <cell r="BO294">
            <v>0</v>
          </cell>
          <cell r="BP294">
            <v>0</v>
          </cell>
          <cell r="BY294">
            <v>1819</v>
          </cell>
          <cell r="CF294">
            <v>0</v>
          </cell>
          <cell r="CG294">
            <v>0</v>
          </cell>
          <cell r="CJ294">
            <v>29009.11</v>
          </cell>
          <cell r="CK294">
            <v>319.99</v>
          </cell>
          <cell r="CL294">
            <v>626.66999999999996</v>
          </cell>
          <cell r="CM294">
            <v>0</v>
          </cell>
          <cell r="CN294">
            <v>0</v>
          </cell>
          <cell r="CO294">
            <v>0</v>
          </cell>
          <cell r="CX294">
            <v>0</v>
          </cell>
          <cell r="CY294">
            <v>0</v>
          </cell>
          <cell r="DB294">
            <v>0</v>
          </cell>
          <cell r="DC294">
            <v>0</v>
          </cell>
          <cell r="DJ294" t="str">
            <v>НКРКП</v>
          </cell>
          <cell r="DL294">
            <v>40816</v>
          </cell>
          <cell r="DM294">
            <v>129</v>
          </cell>
          <cell r="DO294" t="str">
            <v>на теплову енергію (Кіровоградська ТЕЦ)</v>
          </cell>
          <cell r="DT294">
            <v>791.88</v>
          </cell>
        </row>
        <row r="295">
          <cell r="W295">
            <v>763.72</v>
          </cell>
          <cell r="AF295">
            <v>40161</v>
          </cell>
          <cell r="AG295">
            <v>1391</v>
          </cell>
          <cell r="AH295">
            <v>665.3700023497513</v>
          </cell>
          <cell r="AM295">
            <v>1230.30043</v>
          </cell>
          <cell r="AO295">
            <v>939605.04439960001</v>
          </cell>
          <cell r="AQ295">
            <v>818605</v>
          </cell>
          <cell r="AU295">
            <v>0</v>
          </cell>
          <cell r="AW295">
            <v>0</v>
          </cell>
          <cell r="AY295">
            <v>415360.19799999997</v>
          </cell>
          <cell r="AZ295">
            <v>337.60875626126534</v>
          </cell>
          <cell r="BA295">
            <v>0</v>
          </cell>
          <cell r="BB295">
            <v>0</v>
          </cell>
          <cell r="BC295">
            <v>0</v>
          </cell>
          <cell r="BD295">
            <v>0</v>
          </cell>
          <cell r="BG295">
            <v>0</v>
          </cell>
          <cell r="BH295">
            <v>0</v>
          </cell>
          <cell r="BI295">
            <v>75700</v>
          </cell>
          <cell r="BJ295">
            <v>61.529686696118603</v>
          </cell>
          <cell r="BK295">
            <v>0</v>
          </cell>
          <cell r="BL295">
            <v>0</v>
          </cell>
          <cell r="BM295">
            <v>239200</v>
          </cell>
          <cell r="BN295">
            <v>194.42405624453858</v>
          </cell>
          <cell r="BO295">
            <v>0</v>
          </cell>
          <cell r="BP295">
            <v>0</v>
          </cell>
          <cell r="BY295">
            <v>1855.73</v>
          </cell>
          <cell r="CF295">
            <v>190.3</v>
          </cell>
          <cell r="CG295">
            <v>2182.66</v>
          </cell>
          <cell r="CJ295">
            <v>0</v>
          </cell>
          <cell r="CK295">
            <v>0</v>
          </cell>
          <cell r="CL295">
            <v>0</v>
          </cell>
          <cell r="CM295">
            <v>0</v>
          </cell>
          <cell r="CN295">
            <v>0</v>
          </cell>
          <cell r="CO295">
            <v>0</v>
          </cell>
          <cell r="CX295">
            <v>0</v>
          </cell>
          <cell r="CY295">
            <v>0</v>
          </cell>
          <cell r="DB295">
            <v>0</v>
          </cell>
          <cell r="DC295">
            <v>0</v>
          </cell>
          <cell r="DJ295" t="str">
            <v>НКРКП</v>
          </cell>
          <cell r="DL295">
            <v>40816</v>
          </cell>
          <cell r="DM295">
            <v>129</v>
          </cell>
          <cell r="DO295" t="str">
            <v>на теплову енергію (Центральна міська лікарня)</v>
          </cell>
          <cell r="DT295">
            <v>999.9</v>
          </cell>
        </row>
        <row r="296">
          <cell r="W296">
            <v>303.91000000000003</v>
          </cell>
          <cell r="AF296">
            <v>40161</v>
          </cell>
          <cell r="AG296">
            <v>1391</v>
          </cell>
          <cell r="AH296">
            <v>303.90952380952382</v>
          </cell>
          <cell r="AM296">
            <v>630</v>
          </cell>
          <cell r="AO296">
            <v>191463.30000000002</v>
          </cell>
          <cell r="AQ296">
            <v>191463</v>
          </cell>
          <cell r="AU296">
            <v>0</v>
          </cell>
          <cell r="AW296">
            <v>0</v>
          </cell>
          <cell r="AY296">
            <v>67495.296000000002</v>
          </cell>
          <cell r="AZ296">
            <v>107.13539047619048</v>
          </cell>
          <cell r="BA296">
            <v>0</v>
          </cell>
          <cell r="BB296">
            <v>0</v>
          </cell>
          <cell r="BC296">
            <v>0</v>
          </cell>
          <cell r="BD296">
            <v>0</v>
          </cell>
          <cell r="BG296">
            <v>0</v>
          </cell>
          <cell r="BH296">
            <v>0</v>
          </cell>
          <cell r="BI296">
            <v>12008</v>
          </cell>
          <cell r="BJ296">
            <v>19.06031746031746</v>
          </cell>
          <cell r="BK296">
            <v>0</v>
          </cell>
          <cell r="BL296">
            <v>0</v>
          </cell>
          <cell r="BM296">
            <v>85269</v>
          </cell>
          <cell r="BN296">
            <v>135.34761904761905</v>
          </cell>
          <cell r="BO296">
            <v>0</v>
          </cell>
          <cell r="BP296">
            <v>0</v>
          </cell>
          <cell r="BY296">
            <v>1855.73</v>
          </cell>
          <cell r="CF296">
            <v>92.8</v>
          </cell>
          <cell r="CG296">
            <v>727.32</v>
          </cell>
          <cell r="CJ296">
            <v>0</v>
          </cell>
          <cell r="CK296">
            <v>0</v>
          </cell>
          <cell r="CL296">
            <v>0</v>
          </cell>
          <cell r="CM296">
            <v>0</v>
          </cell>
          <cell r="CN296">
            <v>0</v>
          </cell>
          <cell r="CO296">
            <v>0</v>
          </cell>
          <cell r="CX296">
            <v>0</v>
          </cell>
          <cell r="CY296">
            <v>0</v>
          </cell>
          <cell r="DB296">
            <v>0</v>
          </cell>
          <cell r="DC296">
            <v>0</v>
          </cell>
          <cell r="DJ296" t="str">
            <v>НКРЕ</v>
          </cell>
          <cell r="DL296">
            <v>40526</v>
          </cell>
          <cell r="DM296">
            <v>1802</v>
          </cell>
          <cell r="DO296" t="str">
            <v>на теплову енергію (Лікарня швидкої медичної допомоги)</v>
          </cell>
          <cell r="DT296">
            <v>334.3</v>
          </cell>
        </row>
        <row r="297">
          <cell r="W297">
            <v>590.78</v>
          </cell>
          <cell r="AF297">
            <v>40161</v>
          </cell>
          <cell r="AG297">
            <v>1391</v>
          </cell>
          <cell r="AH297">
            <v>514.08711839166051</v>
          </cell>
          <cell r="AM297">
            <v>2686</v>
          </cell>
          <cell r="AO297">
            <v>1586835.0799999998</v>
          </cell>
          <cell r="AQ297">
            <v>1380838</v>
          </cell>
          <cell r="AU297">
            <v>0</v>
          </cell>
          <cell r="AW297">
            <v>0</v>
          </cell>
          <cell r="AY297">
            <v>861692.34140000003</v>
          </cell>
          <cell r="AZ297">
            <v>320.80876448250189</v>
          </cell>
          <cell r="BA297">
            <v>0</v>
          </cell>
          <cell r="BB297">
            <v>0</v>
          </cell>
          <cell r="BC297">
            <v>0</v>
          </cell>
          <cell r="BD297">
            <v>0</v>
          </cell>
          <cell r="BG297">
            <v>0</v>
          </cell>
          <cell r="BH297">
            <v>0</v>
          </cell>
          <cell r="BI297">
            <v>51195</v>
          </cell>
          <cell r="BJ297">
            <v>19.059940431868949</v>
          </cell>
          <cell r="BK297">
            <v>0</v>
          </cell>
          <cell r="BL297">
            <v>0</v>
          </cell>
          <cell r="BM297">
            <v>363550</v>
          </cell>
          <cell r="BN297">
            <v>135.34996276991811</v>
          </cell>
          <cell r="BO297">
            <v>0</v>
          </cell>
          <cell r="BP297">
            <v>0</v>
          </cell>
          <cell r="BY297">
            <v>1855.73</v>
          </cell>
          <cell r="CF297">
            <v>394.79</v>
          </cell>
          <cell r="CG297">
            <v>2182.66</v>
          </cell>
          <cell r="CJ297">
            <v>0</v>
          </cell>
          <cell r="CK297">
            <v>0</v>
          </cell>
          <cell r="CL297">
            <v>0</v>
          </cell>
          <cell r="CM297">
            <v>0</v>
          </cell>
          <cell r="CN297">
            <v>0</v>
          </cell>
          <cell r="CO297">
            <v>0</v>
          </cell>
          <cell r="CX297">
            <v>0</v>
          </cell>
          <cell r="CY297">
            <v>0</v>
          </cell>
          <cell r="DB297">
            <v>0</v>
          </cell>
          <cell r="DC297">
            <v>0</v>
          </cell>
          <cell r="DJ297" t="str">
            <v>НКРКП</v>
          </cell>
          <cell r="DL297">
            <v>40816</v>
          </cell>
          <cell r="DM297">
            <v>129</v>
          </cell>
          <cell r="DO297" t="str">
            <v>на теплову енергію (Лікарня швидкої медичної допомоги)</v>
          </cell>
          <cell r="DT297">
            <v>821.43</v>
          </cell>
        </row>
        <row r="298">
          <cell r="W298">
            <v>236.79</v>
          </cell>
          <cell r="AF298">
            <v>39645</v>
          </cell>
          <cell r="AG298">
            <v>724</v>
          </cell>
          <cell r="AH298">
            <v>227.68278890293394</v>
          </cell>
          <cell r="AM298">
            <v>45093</v>
          </cell>
          <cell r="AO298">
            <v>10677571.469999999</v>
          </cell>
          <cell r="AQ298">
            <v>10266900</v>
          </cell>
          <cell r="AU298">
            <v>0</v>
          </cell>
          <cell r="AW298">
            <v>0</v>
          </cell>
          <cell r="AY298">
            <v>5105786.4000000004</v>
          </cell>
          <cell r="AZ298">
            <v>113.22791564100859</v>
          </cell>
          <cell r="BA298">
            <v>0</v>
          </cell>
          <cell r="BB298">
            <v>0</v>
          </cell>
          <cell r="BC298">
            <v>0</v>
          </cell>
          <cell r="BD298">
            <v>0</v>
          </cell>
          <cell r="BG298">
            <v>0</v>
          </cell>
          <cell r="BH298">
            <v>0</v>
          </cell>
          <cell r="BI298">
            <v>752573</v>
          </cell>
          <cell r="BJ298">
            <v>16.68935311467412</v>
          </cell>
          <cell r="BK298">
            <v>0</v>
          </cell>
          <cell r="BL298">
            <v>0</v>
          </cell>
          <cell r="BM298">
            <v>2206000</v>
          </cell>
          <cell r="BN298">
            <v>48.921118577162751</v>
          </cell>
          <cell r="BO298">
            <v>0</v>
          </cell>
          <cell r="BP298">
            <v>0</v>
          </cell>
          <cell r="BY298">
            <v>0</v>
          </cell>
          <cell r="CF298">
            <v>7020</v>
          </cell>
          <cell r="CG298">
            <v>727.32</v>
          </cell>
          <cell r="CJ298">
            <v>0</v>
          </cell>
          <cell r="CK298">
            <v>0</v>
          </cell>
          <cell r="CL298">
            <v>0</v>
          </cell>
          <cell r="CM298">
            <v>0</v>
          </cell>
          <cell r="CN298">
            <v>0</v>
          </cell>
          <cell r="CO298">
            <v>0</v>
          </cell>
          <cell r="CX298">
            <v>0</v>
          </cell>
          <cell r="CY298">
            <v>0</v>
          </cell>
          <cell r="DB298">
            <v>0</v>
          </cell>
          <cell r="DC298">
            <v>0</v>
          </cell>
          <cell r="DJ298" t="str">
            <v>НКРЕ</v>
          </cell>
          <cell r="DL298">
            <v>40526</v>
          </cell>
          <cell r="DM298">
            <v>1756</v>
          </cell>
          <cell r="DO298" t="str">
            <v>тарифи на теплову енергію</v>
          </cell>
          <cell r="DT298">
            <v>260.47000000000003</v>
          </cell>
        </row>
        <row r="299">
          <cell r="W299">
            <v>552.91999999999996</v>
          </cell>
          <cell r="AF299">
            <v>39863</v>
          </cell>
          <cell r="AG299">
            <v>1373</v>
          </cell>
          <cell r="AH299">
            <v>453.21310813538793</v>
          </cell>
          <cell r="AM299">
            <v>14861</v>
          </cell>
          <cell r="AO299">
            <v>8216944.1199999992</v>
          </cell>
          <cell r="AQ299">
            <v>6735200</v>
          </cell>
          <cell r="AU299">
            <v>0</v>
          </cell>
          <cell r="AW299">
            <v>0</v>
          </cell>
          <cell r="AY299">
            <v>4972804.9250000007</v>
          </cell>
          <cell r="AZ299">
            <v>334.62115099925984</v>
          </cell>
          <cell r="BA299">
            <v>0</v>
          </cell>
          <cell r="BB299">
            <v>0</v>
          </cell>
          <cell r="BC299">
            <v>0</v>
          </cell>
          <cell r="BD299">
            <v>0</v>
          </cell>
          <cell r="BG299">
            <v>0</v>
          </cell>
          <cell r="BH299">
            <v>0</v>
          </cell>
          <cell r="BI299">
            <v>309193</v>
          </cell>
          <cell r="BJ299">
            <v>20.805665836753921</v>
          </cell>
          <cell r="BK299">
            <v>0</v>
          </cell>
          <cell r="BL299">
            <v>0</v>
          </cell>
          <cell r="BM299">
            <v>727100</v>
          </cell>
          <cell r="BN299">
            <v>48.926720947446334</v>
          </cell>
          <cell r="BO299">
            <v>0</v>
          </cell>
          <cell r="BP299">
            <v>0</v>
          </cell>
          <cell r="BY299">
            <v>0</v>
          </cell>
          <cell r="CF299">
            <v>2321.3000000000002</v>
          </cell>
          <cell r="CG299">
            <v>2142.25</v>
          </cell>
          <cell r="CJ299">
            <v>0</v>
          </cell>
          <cell r="CK299">
            <v>0</v>
          </cell>
          <cell r="CL299">
            <v>0</v>
          </cell>
          <cell r="CM299">
            <v>0</v>
          </cell>
          <cell r="CN299">
            <v>0</v>
          </cell>
          <cell r="CO299">
            <v>0</v>
          </cell>
          <cell r="CX299">
            <v>0</v>
          </cell>
          <cell r="CY299">
            <v>0</v>
          </cell>
          <cell r="DB299">
            <v>0</v>
          </cell>
          <cell r="DC299">
            <v>0</v>
          </cell>
          <cell r="DJ299" t="str">
            <v>НКРКП</v>
          </cell>
          <cell r="DL299">
            <v>40816</v>
          </cell>
          <cell r="DM299">
            <v>93</v>
          </cell>
          <cell r="DT299">
            <v>804.36</v>
          </cell>
        </row>
        <row r="300">
          <cell r="W300">
            <v>558.75</v>
          </cell>
          <cell r="AF300">
            <v>39863</v>
          </cell>
          <cell r="AG300">
            <v>1374</v>
          </cell>
          <cell r="AH300">
            <v>454.2680947744239</v>
          </cell>
          <cell r="AM300">
            <v>3081</v>
          </cell>
          <cell r="AO300">
            <v>1721508.75</v>
          </cell>
          <cell r="AQ300">
            <v>1399600</v>
          </cell>
          <cell r="AU300">
            <v>0</v>
          </cell>
          <cell r="AW300">
            <v>0</v>
          </cell>
          <cell r="AY300">
            <v>1034920.9750000001</v>
          </cell>
          <cell r="AZ300">
            <v>335.90424375202861</v>
          </cell>
          <cell r="BA300">
            <v>0</v>
          </cell>
          <cell r="BB300">
            <v>0</v>
          </cell>
          <cell r="BC300">
            <v>0</v>
          </cell>
          <cell r="BD300">
            <v>0</v>
          </cell>
          <cell r="BG300">
            <v>0</v>
          </cell>
          <cell r="BH300">
            <v>0</v>
          </cell>
          <cell r="BI300">
            <v>63989</v>
          </cell>
          <cell r="BJ300">
            <v>20.768906199285947</v>
          </cell>
          <cell r="BK300">
            <v>0</v>
          </cell>
          <cell r="BL300">
            <v>0</v>
          </cell>
          <cell r="BM300">
            <v>150500</v>
          </cell>
          <cell r="BN300">
            <v>48.847776695877961</v>
          </cell>
          <cell r="BO300">
            <v>0</v>
          </cell>
          <cell r="BP300">
            <v>0</v>
          </cell>
          <cell r="BY300">
            <v>0</v>
          </cell>
          <cell r="CF300">
            <v>483.1</v>
          </cell>
          <cell r="CG300">
            <v>2142.25</v>
          </cell>
          <cell r="CJ300">
            <v>0</v>
          </cell>
          <cell r="CK300">
            <v>0</v>
          </cell>
          <cell r="CL300">
            <v>0</v>
          </cell>
          <cell r="CM300">
            <v>0</v>
          </cell>
          <cell r="CN300">
            <v>0</v>
          </cell>
          <cell r="CO300">
            <v>0</v>
          </cell>
          <cell r="CX300">
            <v>0</v>
          </cell>
          <cell r="CY300">
            <v>0</v>
          </cell>
          <cell r="DB300">
            <v>0</v>
          </cell>
          <cell r="DC300">
            <v>0</v>
          </cell>
          <cell r="DJ300" t="str">
            <v>НКРКП</v>
          </cell>
          <cell r="DL300">
            <v>40816</v>
          </cell>
          <cell r="DM300">
            <v>93</v>
          </cell>
          <cell r="DT300">
            <v>811.15</v>
          </cell>
        </row>
        <row r="301">
          <cell r="W301">
            <v>599.28</v>
          </cell>
          <cell r="AF301">
            <v>39863</v>
          </cell>
          <cell r="AG301">
            <v>1381</v>
          </cell>
          <cell r="AH301">
            <v>535.07340946166391</v>
          </cell>
          <cell r="AM301">
            <v>613</v>
          </cell>
          <cell r="AO301">
            <v>367358.63999999996</v>
          </cell>
          <cell r="AQ301">
            <v>328000</v>
          </cell>
          <cell r="AU301">
            <v>0</v>
          </cell>
          <cell r="AW301">
            <v>0</v>
          </cell>
          <cell r="AY301">
            <v>201889.92450000002</v>
          </cell>
          <cell r="AZ301">
            <v>329.3473482871126</v>
          </cell>
          <cell r="BA301">
            <v>0</v>
          </cell>
          <cell r="BB301">
            <v>0</v>
          </cell>
          <cell r="BC301">
            <v>0</v>
          </cell>
          <cell r="BD301">
            <v>0</v>
          </cell>
          <cell r="BG301">
            <v>0</v>
          </cell>
          <cell r="BH301">
            <v>0</v>
          </cell>
          <cell r="BI301">
            <v>13601</v>
          </cell>
          <cell r="BJ301">
            <v>22.187601957585645</v>
          </cell>
          <cell r="BK301">
            <v>0</v>
          </cell>
          <cell r="BL301">
            <v>0</v>
          </cell>
          <cell r="BM301">
            <v>57100</v>
          </cell>
          <cell r="BN301">
            <v>93.148450244698211</v>
          </cell>
          <cell r="BO301">
            <v>0</v>
          </cell>
          <cell r="BP301">
            <v>0</v>
          </cell>
          <cell r="BY301">
            <v>783</v>
          </cell>
          <cell r="CF301">
            <v>94.242000000000004</v>
          </cell>
          <cell r="CG301">
            <v>2142.25</v>
          </cell>
          <cell r="CJ301">
            <v>0</v>
          </cell>
          <cell r="CK301">
            <v>0</v>
          </cell>
          <cell r="CL301">
            <v>0</v>
          </cell>
          <cell r="CM301">
            <v>0</v>
          </cell>
          <cell r="CN301">
            <v>0</v>
          </cell>
          <cell r="CO301">
            <v>0</v>
          </cell>
          <cell r="CX301">
            <v>0</v>
          </cell>
          <cell r="CY301">
            <v>0</v>
          </cell>
          <cell r="DB301">
            <v>0</v>
          </cell>
          <cell r="DC301">
            <v>0</v>
          </cell>
          <cell r="DJ301" t="str">
            <v>НКРКП</v>
          </cell>
          <cell r="DL301">
            <v>40816</v>
          </cell>
          <cell r="DM301">
            <v>93</v>
          </cell>
          <cell r="DT301">
            <v>846.78</v>
          </cell>
        </row>
        <row r="302">
          <cell r="W302">
            <v>725.9</v>
          </cell>
          <cell r="AF302">
            <v>39863</v>
          </cell>
          <cell r="AG302">
            <v>1377</v>
          </cell>
          <cell r="AH302">
            <v>648.12206572769958</v>
          </cell>
          <cell r="AM302">
            <v>426</v>
          </cell>
          <cell r="AO302">
            <v>309233.39999999997</v>
          </cell>
          <cell r="AQ302">
            <v>276100</v>
          </cell>
          <cell r="AU302">
            <v>0</v>
          </cell>
          <cell r="AW302">
            <v>0</v>
          </cell>
          <cell r="AY302">
            <v>137849.503</v>
          </cell>
          <cell r="AZ302">
            <v>323.59038262910798</v>
          </cell>
          <cell r="BA302">
            <v>0</v>
          </cell>
          <cell r="BB302">
            <v>0</v>
          </cell>
          <cell r="BC302">
            <v>0</v>
          </cell>
          <cell r="BD302">
            <v>0</v>
          </cell>
          <cell r="BG302">
            <v>0</v>
          </cell>
          <cell r="BH302">
            <v>0</v>
          </cell>
          <cell r="BI302">
            <v>11713</v>
          </cell>
          <cell r="BJ302">
            <v>27.495305164319248</v>
          </cell>
          <cell r="BK302">
            <v>0</v>
          </cell>
          <cell r="BL302">
            <v>0</v>
          </cell>
          <cell r="BM302">
            <v>55600</v>
          </cell>
          <cell r="BN302">
            <v>130.51643192488262</v>
          </cell>
          <cell r="BO302">
            <v>0</v>
          </cell>
          <cell r="BP302">
            <v>0</v>
          </cell>
          <cell r="BY302">
            <v>846</v>
          </cell>
          <cell r="CF302">
            <v>64.347999999999999</v>
          </cell>
          <cell r="CG302">
            <v>2142.25</v>
          </cell>
          <cell r="CJ302">
            <v>0</v>
          </cell>
          <cell r="CK302">
            <v>0</v>
          </cell>
          <cell r="CL302">
            <v>0</v>
          </cell>
          <cell r="CM302">
            <v>0</v>
          </cell>
          <cell r="CN302">
            <v>0</v>
          </cell>
          <cell r="CO302">
            <v>0</v>
          </cell>
          <cell r="CX302">
            <v>0</v>
          </cell>
          <cell r="CY302">
            <v>0</v>
          </cell>
          <cell r="DB302">
            <v>0</v>
          </cell>
          <cell r="DC302">
            <v>0</v>
          </cell>
          <cell r="DJ302" t="str">
            <v>НКРКП</v>
          </cell>
          <cell r="DL302">
            <v>40816</v>
          </cell>
          <cell r="DM302">
            <v>93</v>
          </cell>
          <cell r="DT302">
            <v>969.05</v>
          </cell>
        </row>
        <row r="303">
          <cell r="W303">
            <v>210.45</v>
          </cell>
          <cell r="AF303">
            <v>39645</v>
          </cell>
          <cell r="AG303">
            <v>727</v>
          </cell>
          <cell r="AH303">
            <v>202.35977151418672</v>
          </cell>
          <cell r="AM303">
            <v>32037</v>
          </cell>
          <cell r="AO303">
            <v>6742186.6499999994</v>
          </cell>
          <cell r="AQ303">
            <v>6483000</v>
          </cell>
          <cell r="AU303">
            <v>0</v>
          </cell>
          <cell r="AW303">
            <v>0</v>
          </cell>
          <cell r="AY303">
            <v>3551150.8098000004</v>
          </cell>
          <cell r="AZ303">
            <v>110.84529793051784</v>
          </cell>
          <cell r="BA303">
            <v>0</v>
          </cell>
          <cell r="BB303">
            <v>0</v>
          </cell>
          <cell r="BC303">
            <v>0</v>
          </cell>
          <cell r="BD303">
            <v>0</v>
          </cell>
          <cell r="BG303">
            <v>0</v>
          </cell>
          <cell r="BH303">
            <v>0</v>
          </cell>
          <cell r="BI303">
            <v>564627</v>
          </cell>
          <cell r="BJ303">
            <v>17.62421575053844</v>
          </cell>
          <cell r="BK303">
            <v>0</v>
          </cell>
          <cell r="BL303">
            <v>0</v>
          </cell>
          <cell r="BM303">
            <v>1149100</v>
          </cell>
          <cell r="BN303">
            <v>35.867902737459815</v>
          </cell>
          <cell r="BO303">
            <v>0</v>
          </cell>
          <cell r="BP303">
            <v>0</v>
          </cell>
          <cell r="BY303">
            <v>1395</v>
          </cell>
          <cell r="CF303">
            <v>4882.5150000000003</v>
          </cell>
          <cell r="CG303">
            <v>727.32</v>
          </cell>
          <cell r="CJ303">
            <v>0</v>
          </cell>
          <cell r="CK303">
            <v>0</v>
          </cell>
          <cell r="CL303">
            <v>0</v>
          </cell>
          <cell r="CM303">
            <v>0</v>
          </cell>
          <cell r="CN303">
            <v>0</v>
          </cell>
          <cell r="CO303">
            <v>0</v>
          </cell>
          <cell r="CX303">
            <v>0</v>
          </cell>
          <cell r="CY303">
            <v>0</v>
          </cell>
          <cell r="DB303">
            <v>0</v>
          </cell>
          <cell r="DC303">
            <v>0</v>
          </cell>
          <cell r="DJ303" t="str">
            <v>НКРЕ</v>
          </cell>
          <cell r="DL303">
            <v>40526</v>
          </cell>
          <cell r="DM303">
            <v>1756</v>
          </cell>
          <cell r="DO303" t="str">
            <v>тарифи на теплову енергію</v>
          </cell>
          <cell r="DT303">
            <v>231.5</v>
          </cell>
        </row>
        <row r="304">
          <cell r="W304">
            <v>574.47</v>
          </cell>
          <cell r="AF304">
            <v>39863</v>
          </cell>
          <cell r="AG304">
            <v>1375</v>
          </cell>
          <cell r="AH304">
            <v>422.40454402019566</v>
          </cell>
          <cell r="AM304">
            <v>3169</v>
          </cell>
          <cell r="AO304">
            <v>1820495.4300000002</v>
          </cell>
          <cell r="AQ304">
            <v>1338600</v>
          </cell>
          <cell r="AU304">
            <v>0</v>
          </cell>
          <cell r="AW304">
            <v>0</v>
          </cell>
          <cell r="AY304">
            <v>1034805.2935</v>
          </cell>
          <cell r="AZ304">
            <v>326.54001057115812</v>
          </cell>
          <cell r="BA304">
            <v>0</v>
          </cell>
          <cell r="BB304">
            <v>0</v>
          </cell>
          <cell r="BC304">
            <v>0</v>
          </cell>
          <cell r="BD304">
            <v>0</v>
          </cell>
          <cell r="BG304">
            <v>0</v>
          </cell>
          <cell r="BH304">
            <v>0</v>
          </cell>
          <cell r="BI304">
            <v>69639</v>
          </cell>
          <cell r="BJ304">
            <v>21.975071000315555</v>
          </cell>
          <cell r="BK304">
            <v>0</v>
          </cell>
          <cell r="BL304">
            <v>0</v>
          </cell>
          <cell r="BM304">
            <v>113700</v>
          </cell>
          <cell r="BN304">
            <v>35.878826128116124</v>
          </cell>
          <cell r="BO304">
            <v>0</v>
          </cell>
          <cell r="BP304">
            <v>0</v>
          </cell>
          <cell r="BY304">
            <v>1395</v>
          </cell>
          <cell r="CF304">
            <v>483.04599999999999</v>
          </cell>
          <cell r="CG304">
            <v>2142.25</v>
          </cell>
          <cell r="CJ304">
            <v>0</v>
          </cell>
          <cell r="CK304">
            <v>0</v>
          </cell>
          <cell r="CL304">
            <v>0</v>
          </cell>
          <cell r="CM304">
            <v>0</v>
          </cell>
          <cell r="CN304">
            <v>0</v>
          </cell>
          <cell r="CO304">
            <v>0</v>
          </cell>
          <cell r="CX304">
            <v>0</v>
          </cell>
          <cell r="CY304">
            <v>0</v>
          </cell>
          <cell r="DB304">
            <v>0</v>
          </cell>
          <cell r="DC304">
            <v>0</v>
          </cell>
          <cell r="DJ304" t="str">
            <v>НКРКП</v>
          </cell>
          <cell r="DL304">
            <v>40816</v>
          </cell>
          <cell r="DM304">
            <v>93</v>
          </cell>
          <cell r="DT304">
            <v>819.83</v>
          </cell>
        </row>
        <row r="305">
          <cell r="W305">
            <v>582.61</v>
          </cell>
          <cell r="AF305">
            <v>39863</v>
          </cell>
          <cell r="AG305">
            <v>1376</v>
          </cell>
          <cell r="AH305">
            <v>422.18065205772314</v>
          </cell>
          <cell r="AM305">
            <v>1871</v>
          </cell>
          <cell r="AO305">
            <v>1090063.31</v>
          </cell>
          <cell r="AQ305">
            <v>789900</v>
          </cell>
          <cell r="AU305">
            <v>0</v>
          </cell>
          <cell r="AW305">
            <v>0</v>
          </cell>
          <cell r="AY305">
            <v>610766.18625000003</v>
          </cell>
          <cell r="AZ305">
            <v>326.43836785141639</v>
          </cell>
          <cell r="BA305">
            <v>0</v>
          </cell>
          <cell r="BB305">
            <v>0</v>
          </cell>
          <cell r="BC305">
            <v>0</v>
          </cell>
          <cell r="BD305">
            <v>0</v>
          </cell>
          <cell r="BG305">
            <v>0</v>
          </cell>
          <cell r="BH305">
            <v>0</v>
          </cell>
          <cell r="BI305">
            <v>41050</v>
          </cell>
          <cell r="BJ305">
            <v>21.940138963121324</v>
          </cell>
          <cell r="BK305">
            <v>0</v>
          </cell>
          <cell r="BL305">
            <v>0</v>
          </cell>
          <cell r="BM305">
            <v>67000</v>
          </cell>
          <cell r="BN305">
            <v>35.809727418492784</v>
          </cell>
          <cell r="BO305">
            <v>0</v>
          </cell>
          <cell r="BP305">
            <v>0</v>
          </cell>
          <cell r="BY305">
            <v>1395</v>
          </cell>
          <cell r="CF305">
            <v>285.10500000000002</v>
          </cell>
          <cell r="CG305">
            <v>2142.25</v>
          </cell>
          <cell r="CJ305">
            <v>0</v>
          </cell>
          <cell r="CK305">
            <v>0</v>
          </cell>
          <cell r="CL305">
            <v>0</v>
          </cell>
          <cell r="CM305">
            <v>0</v>
          </cell>
          <cell r="CN305">
            <v>0</v>
          </cell>
          <cell r="CO305">
            <v>0</v>
          </cell>
          <cell r="CX305">
            <v>0</v>
          </cell>
          <cell r="CY305">
            <v>0</v>
          </cell>
          <cell r="DB305">
            <v>0</v>
          </cell>
          <cell r="DC305">
            <v>0</v>
          </cell>
          <cell r="DJ305" t="str">
            <v>НКРКП</v>
          </cell>
          <cell r="DL305">
            <v>40816</v>
          </cell>
          <cell r="DM305">
            <v>93</v>
          </cell>
          <cell r="DT305">
            <v>827.9</v>
          </cell>
        </row>
        <row r="306">
          <cell r="W306">
            <v>939.4</v>
          </cell>
          <cell r="AF306">
            <v>39863</v>
          </cell>
          <cell r="AG306">
            <v>1384</v>
          </cell>
          <cell r="AH306">
            <v>838.75</v>
          </cell>
          <cell r="AM306">
            <v>240</v>
          </cell>
          <cell r="AO306">
            <v>225456</v>
          </cell>
          <cell r="AQ306">
            <v>201300</v>
          </cell>
          <cell r="AU306">
            <v>0</v>
          </cell>
          <cell r="AW306">
            <v>0</v>
          </cell>
          <cell r="AY306">
            <v>84297.537500000006</v>
          </cell>
          <cell r="AZ306">
            <v>351.23973958333335</v>
          </cell>
          <cell r="BA306">
            <v>0</v>
          </cell>
          <cell r="BB306">
            <v>0</v>
          </cell>
          <cell r="BC306">
            <v>0</v>
          </cell>
          <cell r="BD306">
            <v>0</v>
          </cell>
          <cell r="BG306">
            <v>0</v>
          </cell>
          <cell r="BH306">
            <v>0</v>
          </cell>
          <cell r="BI306">
            <v>9000</v>
          </cell>
          <cell r="BJ306">
            <v>37.5</v>
          </cell>
          <cell r="BK306">
            <v>0</v>
          </cell>
          <cell r="BL306">
            <v>0</v>
          </cell>
          <cell r="BM306">
            <v>62000</v>
          </cell>
          <cell r="BN306">
            <v>258.33333333333331</v>
          </cell>
          <cell r="BO306">
            <v>0</v>
          </cell>
          <cell r="BP306">
            <v>0</v>
          </cell>
          <cell r="BY306">
            <v>944</v>
          </cell>
          <cell r="CF306">
            <v>39.35</v>
          </cell>
          <cell r="CG306">
            <v>2142.25</v>
          </cell>
          <cell r="CJ306">
            <v>0</v>
          </cell>
          <cell r="CK306">
            <v>0</v>
          </cell>
          <cell r="CL306">
            <v>0</v>
          </cell>
          <cell r="CM306">
            <v>0</v>
          </cell>
          <cell r="CN306">
            <v>0</v>
          </cell>
          <cell r="CO306">
            <v>0</v>
          </cell>
          <cell r="CX306">
            <v>0</v>
          </cell>
          <cell r="CY306">
            <v>0</v>
          </cell>
          <cell r="DB306">
            <v>0</v>
          </cell>
          <cell r="DC306">
            <v>0</v>
          </cell>
          <cell r="DJ306" t="str">
            <v>НКРКП</v>
          </cell>
          <cell r="DL306">
            <v>40816</v>
          </cell>
          <cell r="DM306">
            <v>93</v>
          </cell>
          <cell r="DT306">
            <v>999.9</v>
          </cell>
        </row>
        <row r="307">
          <cell r="W307">
            <v>853.49</v>
          </cell>
          <cell r="AF307">
            <v>39863</v>
          </cell>
          <cell r="AG307">
            <v>1378</v>
          </cell>
          <cell r="AH307">
            <v>743.45991561181438</v>
          </cell>
          <cell r="AM307">
            <v>237</v>
          </cell>
          <cell r="AO307">
            <v>202277.13</v>
          </cell>
          <cell r="AQ307">
            <v>176200</v>
          </cell>
          <cell r="AU307">
            <v>0</v>
          </cell>
          <cell r="AW307">
            <v>0</v>
          </cell>
          <cell r="AY307">
            <v>78965.477249999996</v>
          </cell>
          <cell r="AZ307">
            <v>333.18766772151895</v>
          </cell>
          <cell r="BA307">
            <v>0</v>
          </cell>
          <cell r="BB307">
            <v>0</v>
          </cell>
          <cell r="BC307">
            <v>0</v>
          </cell>
          <cell r="BD307">
            <v>0</v>
          </cell>
          <cell r="BG307">
            <v>0</v>
          </cell>
          <cell r="BH307">
            <v>0</v>
          </cell>
          <cell r="BI307">
            <v>12484</v>
          </cell>
          <cell r="BJ307">
            <v>52.675105485232066</v>
          </cell>
          <cell r="BK307">
            <v>0</v>
          </cell>
          <cell r="BL307">
            <v>0</v>
          </cell>
          <cell r="BM307">
            <v>43200</v>
          </cell>
          <cell r="BN307">
            <v>182.27848101265823</v>
          </cell>
          <cell r="BO307">
            <v>0</v>
          </cell>
          <cell r="BP307">
            <v>0</v>
          </cell>
          <cell r="BY307">
            <v>994</v>
          </cell>
          <cell r="CF307">
            <v>36.860999999999997</v>
          </cell>
          <cell r="CG307">
            <v>2142.25</v>
          </cell>
          <cell r="CJ307">
            <v>0</v>
          </cell>
          <cell r="CK307">
            <v>0</v>
          </cell>
          <cell r="CL307">
            <v>0</v>
          </cell>
          <cell r="CM307">
            <v>0</v>
          </cell>
          <cell r="CN307">
            <v>0</v>
          </cell>
          <cell r="CO307">
            <v>0</v>
          </cell>
          <cell r="CX307">
            <v>0</v>
          </cell>
          <cell r="CY307">
            <v>0</v>
          </cell>
          <cell r="DB307">
            <v>0</v>
          </cell>
          <cell r="DC307">
            <v>0</v>
          </cell>
          <cell r="DJ307" t="str">
            <v>НКРКП</v>
          </cell>
          <cell r="DL307">
            <v>40816</v>
          </cell>
          <cell r="DM307">
            <v>93</v>
          </cell>
          <cell r="DT307">
            <v>999.9</v>
          </cell>
        </row>
        <row r="308">
          <cell r="W308">
            <v>822.41</v>
          </cell>
          <cell r="AF308">
            <v>39863</v>
          </cell>
          <cell r="AG308">
            <v>1379</v>
          </cell>
          <cell r="AH308">
            <v>734.29487179487182</v>
          </cell>
          <cell r="AM308">
            <v>312</v>
          </cell>
          <cell r="AO308">
            <v>256591.91999999998</v>
          </cell>
          <cell r="AQ308">
            <v>229100</v>
          </cell>
          <cell r="AU308">
            <v>0</v>
          </cell>
          <cell r="AW308">
            <v>0</v>
          </cell>
          <cell r="AY308">
            <v>99845.987999999998</v>
          </cell>
          <cell r="AZ308">
            <v>320.01919230769232</v>
          </cell>
          <cell r="BA308">
            <v>0</v>
          </cell>
          <cell r="BB308">
            <v>0</v>
          </cell>
          <cell r="BC308">
            <v>0</v>
          </cell>
          <cell r="BD308">
            <v>0</v>
          </cell>
          <cell r="BG308">
            <v>0</v>
          </cell>
          <cell r="BH308">
            <v>0</v>
          </cell>
          <cell r="BI308">
            <v>14572</v>
          </cell>
          <cell r="BJ308">
            <v>46.705128205128204</v>
          </cell>
          <cell r="BK308">
            <v>0</v>
          </cell>
          <cell r="BL308">
            <v>0</v>
          </cell>
          <cell r="BM308">
            <v>57200</v>
          </cell>
          <cell r="BN308">
            <v>183.33333333333334</v>
          </cell>
          <cell r="BO308">
            <v>0</v>
          </cell>
          <cell r="BP308">
            <v>0</v>
          </cell>
          <cell r="BY308">
            <v>871</v>
          </cell>
          <cell r="CF308">
            <v>46.607999999999997</v>
          </cell>
          <cell r="CG308">
            <v>2142.25</v>
          </cell>
          <cell r="CJ308">
            <v>0</v>
          </cell>
          <cell r="CK308">
            <v>0</v>
          </cell>
          <cell r="CL308">
            <v>0</v>
          </cell>
          <cell r="CM308">
            <v>0</v>
          </cell>
          <cell r="CN308">
            <v>0</v>
          </cell>
          <cell r="CO308">
            <v>0</v>
          </cell>
          <cell r="CX308">
            <v>0</v>
          </cell>
          <cell r="CY308">
            <v>0</v>
          </cell>
          <cell r="DB308">
            <v>0</v>
          </cell>
          <cell r="DC308">
            <v>0</v>
          </cell>
          <cell r="DJ308" t="str">
            <v>НКРКП</v>
          </cell>
          <cell r="DL308">
            <v>40816</v>
          </cell>
          <cell r="DM308">
            <v>93</v>
          </cell>
          <cell r="DT308">
            <v>999.9</v>
          </cell>
        </row>
        <row r="309">
          <cell r="W309">
            <v>620.98</v>
          </cell>
          <cell r="AF309">
            <v>39863</v>
          </cell>
          <cell r="AG309">
            <v>1389</v>
          </cell>
          <cell r="AH309">
            <v>514.91442542787286</v>
          </cell>
          <cell r="AM309">
            <v>818</v>
          </cell>
          <cell r="AO309">
            <v>507961.64</v>
          </cell>
          <cell r="AQ309">
            <v>421200</v>
          </cell>
          <cell r="AU309">
            <v>0</v>
          </cell>
          <cell r="AW309">
            <v>0</v>
          </cell>
          <cell r="AY309">
            <v>282025.07024999999</v>
          </cell>
          <cell r="AZ309">
            <v>344.77392451100241</v>
          </cell>
          <cell r="BA309">
            <v>0</v>
          </cell>
          <cell r="BB309">
            <v>0</v>
          </cell>
          <cell r="BC309">
            <v>0</v>
          </cell>
          <cell r="BD309">
            <v>0</v>
          </cell>
          <cell r="BG309">
            <v>0</v>
          </cell>
          <cell r="BH309">
            <v>0</v>
          </cell>
          <cell r="BI309">
            <v>15038</v>
          </cell>
          <cell r="BJ309">
            <v>18.383863080684595</v>
          </cell>
          <cell r="BK309">
            <v>0</v>
          </cell>
          <cell r="BL309">
            <v>0</v>
          </cell>
          <cell r="BM309">
            <v>57300</v>
          </cell>
          <cell r="BN309">
            <v>70.048899755501225</v>
          </cell>
          <cell r="BO309">
            <v>0</v>
          </cell>
          <cell r="BP309">
            <v>0</v>
          </cell>
          <cell r="BY309">
            <v>862</v>
          </cell>
          <cell r="CF309">
            <v>131.649</v>
          </cell>
          <cell r="CG309">
            <v>2142.25</v>
          </cell>
          <cell r="CJ309">
            <v>0</v>
          </cell>
          <cell r="CK309">
            <v>0</v>
          </cell>
          <cell r="CL309">
            <v>0</v>
          </cell>
          <cell r="CM309">
            <v>0</v>
          </cell>
          <cell r="CN309">
            <v>0</v>
          </cell>
          <cell r="CO309">
            <v>0</v>
          </cell>
          <cell r="CX309">
            <v>0</v>
          </cell>
          <cell r="CY309">
            <v>0</v>
          </cell>
          <cell r="DB309">
            <v>0</v>
          </cell>
          <cell r="DC309">
            <v>0</v>
          </cell>
          <cell r="DJ309" t="str">
            <v>НКРКП</v>
          </cell>
          <cell r="DL309">
            <v>40816</v>
          </cell>
          <cell r="DM309">
            <v>93</v>
          </cell>
          <cell r="DT309">
            <v>880.05</v>
          </cell>
        </row>
        <row r="310">
          <cell r="W310">
            <v>528.72</v>
          </cell>
          <cell r="AF310">
            <v>39863</v>
          </cell>
          <cell r="AG310">
            <v>1388</v>
          </cell>
          <cell r="AH310">
            <v>452.67489711934155</v>
          </cell>
          <cell r="AM310">
            <v>486</v>
          </cell>
          <cell r="AO310">
            <v>256957.92</v>
          </cell>
          <cell r="AQ310">
            <v>220000</v>
          </cell>
          <cell r="AU310">
            <v>0</v>
          </cell>
          <cell r="AW310">
            <v>0</v>
          </cell>
          <cell r="AY310">
            <v>152656.73500000002</v>
          </cell>
          <cell r="AZ310">
            <v>314.10850823045268</v>
          </cell>
          <cell r="BA310">
            <v>0</v>
          </cell>
          <cell r="BB310">
            <v>0</v>
          </cell>
          <cell r="BC310">
            <v>0</v>
          </cell>
          <cell r="BD310">
            <v>0</v>
          </cell>
          <cell r="BG310">
            <v>0</v>
          </cell>
          <cell r="BH310">
            <v>0</v>
          </cell>
          <cell r="BI310">
            <v>9882</v>
          </cell>
          <cell r="BJ310">
            <v>20.333333333333332</v>
          </cell>
          <cell r="BK310">
            <v>0</v>
          </cell>
          <cell r="BL310">
            <v>0</v>
          </cell>
          <cell r="BM310">
            <v>29100</v>
          </cell>
          <cell r="BN310">
            <v>59.876543209876544</v>
          </cell>
          <cell r="BO310">
            <v>0</v>
          </cell>
          <cell r="BP310">
            <v>0</v>
          </cell>
          <cell r="BY310">
            <v>935</v>
          </cell>
          <cell r="CF310">
            <v>71.260000000000005</v>
          </cell>
          <cell r="CG310">
            <v>2142.25</v>
          </cell>
          <cell r="CJ310">
            <v>0</v>
          </cell>
          <cell r="CK310">
            <v>0</v>
          </cell>
          <cell r="CL310">
            <v>0</v>
          </cell>
          <cell r="CM310">
            <v>0</v>
          </cell>
          <cell r="CN310">
            <v>0</v>
          </cell>
          <cell r="CO310">
            <v>0</v>
          </cell>
          <cell r="CX310">
            <v>0</v>
          </cell>
          <cell r="CY310">
            <v>0</v>
          </cell>
          <cell r="DB310">
            <v>0</v>
          </cell>
          <cell r="DC310">
            <v>0</v>
          </cell>
          <cell r="DJ310" t="str">
            <v>НКРКП</v>
          </cell>
          <cell r="DL310">
            <v>40816</v>
          </cell>
          <cell r="DM310">
            <v>93</v>
          </cell>
          <cell r="DT310">
            <v>764.75</v>
          </cell>
        </row>
        <row r="311">
          <cell r="W311">
            <v>522.29999999999995</v>
          </cell>
          <cell r="AF311">
            <v>39863</v>
          </cell>
          <cell r="AG311">
            <v>1380</v>
          </cell>
          <cell r="AH311">
            <v>466.34093376764389</v>
          </cell>
          <cell r="AM311">
            <v>921</v>
          </cell>
          <cell r="AO311">
            <v>481038.29999999993</v>
          </cell>
          <cell r="AQ311">
            <v>429500</v>
          </cell>
          <cell r="AU311">
            <v>0</v>
          </cell>
          <cell r="AW311">
            <v>0</v>
          </cell>
          <cell r="AY311">
            <v>295131.35574999999</v>
          </cell>
          <cell r="AZ311">
            <v>320.44664033659063</v>
          </cell>
          <cell r="BA311">
            <v>0</v>
          </cell>
          <cell r="BB311">
            <v>0</v>
          </cell>
          <cell r="BC311">
            <v>0</v>
          </cell>
          <cell r="BD311">
            <v>0</v>
          </cell>
          <cell r="BG311">
            <v>0</v>
          </cell>
          <cell r="BH311">
            <v>0</v>
          </cell>
          <cell r="BI311">
            <v>10065</v>
          </cell>
          <cell r="BJ311">
            <v>10.928338762214985</v>
          </cell>
          <cell r="BK311">
            <v>0</v>
          </cell>
          <cell r="BL311">
            <v>0</v>
          </cell>
          <cell r="BM311">
            <v>64100</v>
          </cell>
          <cell r="BN311">
            <v>69.598262757871879</v>
          </cell>
          <cell r="BO311">
            <v>0</v>
          </cell>
          <cell r="BP311">
            <v>0</v>
          </cell>
          <cell r="BY311">
            <v>975</v>
          </cell>
          <cell r="CF311">
            <v>137.767</v>
          </cell>
          <cell r="CG311">
            <v>2142.25</v>
          </cell>
          <cell r="CJ311">
            <v>0</v>
          </cell>
          <cell r="CK311">
            <v>0</v>
          </cell>
          <cell r="CL311">
            <v>0</v>
          </cell>
          <cell r="CM311">
            <v>0</v>
          </cell>
          <cell r="CN311">
            <v>0</v>
          </cell>
          <cell r="CO311">
            <v>0</v>
          </cell>
          <cell r="CX311">
            <v>0</v>
          </cell>
          <cell r="CY311">
            <v>0</v>
          </cell>
          <cell r="DB311">
            <v>0</v>
          </cell>
          <cell r="DC311">
            <v>0</v>
          </cell>
          <cell r="DJ311" t="str">
            <v>НКРКП</v>
          </cell>
          <cell r="DL311">
            <v>40816</v>
          </cell>
          <cell r="DM311">
            <v>93</v>
          </cell>
          <cell r="DT311">
            <v>763.09</v>
          </cell>
        </row>
        <row r="312">
          <cell r="W312">
            <v>522.79999999999995</v>
          </cell>
          <cell r="AF312">
            <v>39863</v>
          </cell>
          <cell r="AG312">
            <v>1383</v>
          </cell>
          <cell r="AH312">
            <v>413.2832167832168</v>
          </cell>
          <cell r="AM312">
            <v>572</v>
          </cell>
          <cell r="AO312">
            <v>299041.59999999998</v>
          </cell>
          <cell r="AQ312">
            <v>236398</v>
          </cell>
          <cell r="AU312">
            <v>0</v>
          </cell>
          <cell r="AW312">
            <v>0</v>
          </cell>
          <cell r="AY312">
            <v>182815.33049999998</v>
          </cell>
          <cell r="AZ312">
            <v>319.60722115384613</v>
          </cell>
          <cell r="BA312">
            <v>0</v>
          </cell>
          <cell r="BB312">
            <v>0</v>
          </cell>
          <cell r="BC312">
            <v>0</v>
          </cell>
          <cell r="BD312">
            <v>0</v>
          </cell>
          <cell r="BG312">
            <v>0</v>
          </cell>
          <cell r="BH312">
            <v>0</v>
          </cell>
          <cell r="BI312">
            <v>12323</v>
          </cell>
          <cell r="BJ312">
            <v>21.543706293706293</v>
          </cell>
          <cell r="BK312">
            <v>0</v>
          </cell>
          <cell r="BL312">
            <v>0</v>
          </cell>
          <cell r="BM312">
            <v>13100</v>
          </cell>
          <cell r="BN312">
            <v>22.902097902097903</v>
          </cell>
          <cell r="BO312">
            <v>0</v>
          </cell>
          <cell r="BP312">
            <v>0</v>
          </cell>
          <cell r="BY312">
            <v>981</v>
          </cell>
          <cell r="CF312">
            <v>85.337999999999994</v>
          </cell>
          <cell r="CG312">
            <v>2142.25</v>
          </cell>
          <cell r="CJ312">
            <v>0</v>
          </cell>
          <cell r="CK312">
            <v>0</v>
          </cell>
          <cell r="CL312">
            <v>0</v>
          </cell>
          <cell r="CM312">
            <v>0</v>
          </cell>
          <cell r="CN312">
            <v>0</v>
          </cell>
          <cell r="CO312">
            <v>0</v>
          </cell>
          <cell r="CX312">
            <v>0</v>
          </cell>
          <cell r="CY312">
            <v>0</v>
          </cell>
          <cell r="DB312">
            <v>0</v>
          </cell>
          <cell r="DC312">
            <v>0</v>
          </cell>
          <cell r="DJ312" t="str">
            <v>НКРКП</v>
          </cell>
          <cell r="DL312">
            <v>40816</v>
          </cell>
          <cell r="DM312">
            <v>93</v>
          </cell>
          <cell r="DT312">
            <v>739.01</v>
          </cell>
        </row>
        <row r="313">
          <cell r="W313">
            <v>504</v>
          </cell>
          <cell r="AF313">
            <v>39863</v>
          </cell>
          <cell r="AG313">
            <v>1385</v>
          </cell>
          <cell r="AH313">
            <v>400</v>
          </cell>
          <cell r="AM313">
            <v>25</v>
          </cell>
          <cell r="AO313">
            <v>12600</v>
          </cell>
          <cell r="AQ313">
            <v>10000</v>
          </cell>
          <cell r="AU313">
            <v>0</v>
          </cell>
          <cell r="AW313">
            <v>0</v>
          </cell>
          <cell r="AY313">
            <v>7821.3547499999995</v>
          </cell>
          <cell r="AZ313">
            <v>312.85418999999996</v>
          </cell>
          <cell r="BA313">
            <v>0</v>
          </cell>
          <cell r="BB313">
            <v>0</v>
          </cell>
          <cell r="BC313">
            <v>0</v>
          </cell>
          <cell r="BD313">
            <v>0</v>
          </cell>
          <cell r="BG313">
            <v>0</v>
          </cell>
          <cell r="BH313">
            <v>0</v>
          </cell>
          <cell r="BI313">
            <v>528</v>
          </cell>
          <cell r="BJ313">
            <v>21.12</v>
          </cell>
          <cell r="BK313">
            <v>0</v>
          </cell>
          <cell r="BL313">
            <v>0</v>
          </cell>
          <cell r="BM313">
            <v>600</v>
          </cell>
          <cell r="BN313">
            <v>24</v>
          </cell>
          <cell r="BO313">
            <v>0</v>
          </cell>
          <cell r="BP313">
            <v>0</v>
          </cell>
          <cell r="BY313">
            <v>981</v>
          </cell>
          <cell r="CF313">
            <v>3.6509999999999998</v>
          </cell>
          <cell r="CG313">
            <v>2142.25</v>
          </cell>
          <cell r="CJ313">
            <v>0</v>
          </cell>
          <cell r="CK313">
            <v>0</v>
          </cell>
          <cell r="CL313">
            <v>0</v>
          </cell>
          <cell r="CM313">
            <v>0</v>
          </cell>
          <cell r="CN313">
            <v>0</v>
          </cell>
          <cell r="CO313">
            <v>0</v>
          </cell>
          <cell r="CX313">
            <v>0</v>
          </cell>
          <cell r="CY313">
            <v>0</v>
          </cell>
          <cell r="DB313">
            <v>0</v>
          </cell>
          <cell r="DC313">
            <v>0</v>
          </cell>
          <cell r="DJ313" t="str">
            <v>НКРКП</v>
          </cell>
          <cell r="DL313">
            <v>40816</v>
          </cell>
          <cell r="DM313">
            <v>93</v>
          </cell>
          <cell r="DT313">
            <v>739.01</v>
          </cell>
        </row>
        <row r="314">
          <cell r="W314">
            <v>234.73</v>
          </cell>
          <cell r="AF314">
            <v>39926</v>
          </cell>
          <cell r="AG314">
            <v>360</v>
          </cell>
          <cell r="AH314">
            <v>217.34494756385155</v>
          </cell>
          <cell r="AM314">
            <v>805293.7</v>
          </cell>
          <cell r="AO314">
            <v>189026590.20099998</v>
          </cell>
          <cell r="AQ314">
            <v>175026517</v>
          </cell>
          <cell r="AU314">
            <v>0</v>
          </cell>
          <cell r="AW314">
            <v>0</v>
          </cell>
          <cell r="AY314">
            <v>92830659.055200011</v>
          </cell>
          <cell r="AZ314">
            <v>115.27553121947932</v>
          </cell>
          <cell r="BA314">
            <v>6629473</v>
          </cell>
          <cell r="BB314">
            <v>8.2323666508256554</v>
          </cell>
          <cell r="BC314">
            <v>0</v>
          </cell>
          <cell r="BD314">
            <v>0</v>
          </cell>
          <cell r="BG314">
            <v>0</v>
          </cell>
          <cell r="BH314">
            <v>0</v>
          </cell>
          <cell r="BI314">
            <v>18288130</v>
          </cell>
          <cell r="BJ314">
            <v>22.709888330183137</v>
          </cell>
          <cell r="BK314">
            <v>0</v>
          </cell>
          <cell r="BL314">
            <v>0</v>
          </cell>
          <cell r="BM314">
            <v>41857608</v>
          </cell>
          <cell r="BN314">
            <v>51.978064648959759</v>
          </cell>
          <cell r="BO314">
            <v>0</v>
          </cell>
          <cell r="BP314">
            <v>0</v>
          </cell>
          <cell r="BY314">
            <v>1997</v>
          </cell>
          <cell r="CF314">
            <v>127633.86</v>
          </cell>
          <cell r="CG314">
            <v>727.32</v>
          </cell>
          <cell r="CJ314">
            <v>0</v>
          </cell>
          <cell r="CK314">
            <v>0</v>
          </cell>
          <cell r="CL314">
            <v>0</v>
          </cell>
          <cell r="CM314">
            <v>0</v>
          </cell>
          <cell r="CN314">
            <v>0</v>
          </cell>
          <cell r="CO314">
            <v>0</v>
          </cell>
          <cell r="CX314">
            <v>0</v>
          </cell>
          <cell r="CY314">
            <v>0</v>
          </cell>
          <cell r="DB314">
            <v>0</v>
          </cell>
          <cell r="DC314">
            <v>0</v>
          </cell>
          <cell r="DJ314" t="str">
            <v>НКРЕ</v>
          </cell>
          <cell r="DL314">
            <v>40526</v>
          </cell>
          <cell r="DM314">
            <v>1854</v>
          </cell>
          <cell r="DO314" t="str">
            <v>тариф на теплову енергію</v>
          </cell>
          <cell r="DT314">
            <v>258.2</v>
          </cell>
        </row>
        <row r="315">
          <cell r="W315">
            <v>481.96</v>
          </cell>
          <cell r="AF315">
            <v>39926</v>
          </cell>
          <cell r="AG315">
            <v>361</v>
          </cell>
          <cell r="AH315">
            <v>446.26057655662601</v>
          </cell>
          <cell r="AM315">
            <v>127522.6</v>
          </cell>
          <cell r="AO315">
            <v>61460792.296000004</v>
          </cell>
          <cell r="AQ315">
            <v>56908309</v>
          </cell>
          <cell r="AU315">
            <v>0</v>
          </cell>
          <cell r="AW315">
            <v>0</v>
          </cell>
          <cell r="AY315">
            <v>41111169.962500006</v>
          </cell>
          <cell r="AZ315">
            <v>322.38340468669873</v>
          </cell>
          <cell r="BA315">
            <v>3701791</v>
          </cell>
          <cell r="BB315">
            <v>29.028509456363029</v>
          </cell>
          <cell r="BC315">
            <v>0</v>
          </cell>
          <cell r="BD315">
            <v>0</v>
          </cell>
          <cell r="BG315">
            <v>0</v>
          </cell>
          <cell r="BH315">
            <v>0</v>
          </cell>
          <cell r="BI315">
            <v>3023678</v>
          </cell>
          <cell r="BJ315">
            <v>23.710918692059288</v>
          </cell>
          <cell r="BK315">
            <v>0</v>
          </cell>
          <cell r="BL315">
            <v>0</v>
          </cell>
          <cell r="BM315">
            <v>6727919</v>
          </cell>
          <cell r="BN315">
            <v>52.758640429225878</v>
          </cell>
          <cell r="BO315">
            <v>0</v>
          </cell>
          <cell r="BP315">
            <v>0</v>
          </cell>
          <cell r="BY315">
            <v>1997</v>
          </cell>
          <cell r="CF315">
            <v>19190.650000000001</v>
          </cell>
          <cell r="CG315">
            <v>2142.25</v>
          </cell>
          <cell r="CJ315">
            <v>0</v>
          </cell>
          <cell r="CK315">
            <v>0</v>
          </cell>
          <cell r="CL315">
            <v>0</v>
          </cell>
          <cell r="CM315">
            <v>0</v>
          </cell>
          <cell r="CN315">
            <v>0</v>
          </cell>
          <cell r="CO315">
            <v>0</v>
          </cell>
          <cell r="CX315">
            <v>0</v>
          </cell>
          <cell r="CY315">
            <v>0</v>
          </cell>
          <cell r="DB315">
            <v>0</v>
          </cell>
          <cell r="DC315">
            <v>0</v>
          </cell>
          <cell r="DJ315" t="str">
            <v>НКРКП</v>
          </cell>
          <cell r="DL315">
            <v>40942</v>
          </cell>
          <cell r="DM315">
            <v>28</v>
          </cell>
          <cell r="DT315">
            <v>758.64</v>
          </cell>
        </row>
        <row r="316">
          <cell r="W316">
            <v>481.96</v>
          </cell>
          <cell r="AF316">
            <v>39926</v>
          </cell>
          <cell r="AG316">
            <v>361</v>
          </cell>
          <cell r="AH316">
            <v>446.26300883246449</v>
          </cell>
          <cell r="AM316">
            <v>47631.1</v>
          </cell>
          <cell r="AO316">
            <v>22956284.955999997</v>
          </cell>
          <cell r="AQ316">
            <v>21255998</v>
          </cell>
          <cell r="AU316">
            <v>0</v>
          </cell>
          <cell r="AW316">
            <v>0</v>
          </cell>
          <cell r="AY316">
            <v>15355433.774999999</v>
          </cell>
          <cell r="AZ316">
            <v>322.38251426064062</v>
          </cell>
          <cell r="BA316">
            <v>1382667</v>
          </cell>
          <cell r="BB316">
            <v>29.02865984619293</v>
          </cell>
          <cell r="BC316">
            <v>0</v>
          </cell>
          <cell r="BD316">
            <v>0</v>
          </cell>
          <cell r="BG316">
            <v>0</v>
          </cell>
          <cell r="BH316">
            <v>0</v>
          </cell>
          <cell r="BI316">
            <v>1129383</v>
          </cell>
          <cell r="BJ316">
            <v>23.711041735336789</v>
          </cell>
          <cell r="BK316">
            <v>0</v>
          </cell>
          <cell r="BL316">
            <v>0</v>
          </cell>
          <cell r="BM316">
            <v>2512966</v>
          </cell>
          <cell r="BN316">
            <v>52.758932714130054</v>
          </cell>
          <cell r="BO316">
            <v>0</v>
          </cell>
          <cell r="BP316">
            <v>0</v>
          </cell>
          <cell r="BY316">
            <v>1997</v>
          </cell>
          <cell r="CF316">
            <v>7167.9</v>
          </cell>
          <cell r="CG316">
            <v>2142.25</v>
          </cell>
          <cell r="CJ316">
            <v>0</v>
          </cell>
          <cell r="CK316">
            <v>0</v>
          </cell>
          <cell r="CL316">
            <v>0</v>
          </cell>
          <cell r="CM316">
            <v>0</v>
          </cell>
          <cell r="CN316">
            <v>0</v>
          </cell>
          <cell r="CO316">
            <v>0</v>
          </cell>
          <cell r="CX316">
            <v>0</v>
          </cell>
          <cell r="CY316">
            <v>0</v>
          </cell>
          <cell r="DB316">
            <v>0</v>
          </cell>
          <cell r="DC316">
            <v>0</v>
          </cell>
          <cell r="DJ316" t="str">
            <v>НКРКП</v>
          </cell>
          <cell r="DL316">
            <v>40942</v>
          </cell>
          <cell r="DM316">
            <v>28</v>
          </cell>
          <cell r="DT316">
            <v>758.64</v>
          </cell>
        </row>
        <row r="317">
          <cell r="W317">
            <v>234.73</v>
          </cell>
          <cell r="AF317">
            <v>39926</v>
          </cell>
          <cell r="AG317">
            <v>360</v>
          </cell>
          <cell r="AH317">
            <v>217.34494714926331</v>
          </cell>
          <cell r="AM317">
            <v>12488</v>
          </cell>
          <cell r="AO317">
            <v>2931308.2399999998</v>
          </cell>
          <cell r="AQ317">
            <v>2714203.7</v>
          </cell>
          <cell r="AU317">
            <v>0</v>
          </cell>
          <cell r="AW317">
            <v>0</v>
          </cell>
          <cell r="AY317">
            <v>1439562.6564</v>
          </cell>
          <cell r="AZ317">
            <v>115.2756771620756</v>
          </cell>
          <cell r="BA317">
            <v>102805.8</v>
          </cell>
          <cell r="BB317">
            <v>8.2323670723894935</v>
          </cell>
          <cell r="BC317">
            <v>0</v>
          </cell>
          <cell r="BD317">
            <v>0</v>
          </cell>
          <cell r="BG317">
            <v>0</v>
          </cell>
          <cell r="BH317">
            <v>0</v>
          </cell>
          <cell r="BI317">
            <v>283601.09999999998</v>
          </cell>
          <cell r="BJ317">
            <v>22.709889493914154</v>
          </cell>
          <cell r="BK317">
            <v>0</v>
          </cell>
          <cell r="BL317">
            <v>0</v>
          </cell>
          <cell r="BM317">
            <v>649102.1</v>
          </cell>
          <cell r="BN317">
            <v>51.978066944266494</v>
          </cell>
          <cell r="BO317">
            <v>0</v>
          </cell>
          <cell r="BP317">
            <v>0</v>
          </cell>
          <cell r="BY317">
            <v>1997</v>
          </cell>
          <cell r="CF317">
            <v>1979.27</v>
          </cell>
          <cell r="CG317">
            <v>727.32</v>
          </cell>
          <cell r="CJ317">
            <v>0</v>
          </cell>
          <cell r="CK317">
            <v>0</v>
          </cell>
          <cell r="CL317">
            <v>0</v>
          </cell>
          <cell r="CM317">
            <v>0</v>
          </cell>
          <cell r="CN317">
            <v>0</v>
          </cell>
          <cell r="CO317">
            <v>0</v>
          </cell>
          <cell r="CX317">
            <v>0</v>
          </cell>
          <cell r="CY317">
            <v>0</v>
          </cell>
          <cell r="DB317">
            <v>0</v>
          </cell>
          <cell r="DC317">
            <v>0</v>
          </cell>
          <cell r="DJ317" t="str">
            <v>НКРЕ</v>
          </cell>
          <cell r="DL317">
            <v>40526</v>
          </cell>
          <cell r="DM317">
            <v>1854</v>
          </cell>
          <cell r="DO317" t="str">
            <v>тариф на теплову енергію</v>
          </cell>
          <cell r="DT317">
            <v>258.2</v>
          </cell>
        </row>
        <row r="318">
          <cell r="W318">
            <v>481.96</v>
          </cell>
          <cell r="AF318">
            <v>39926</v>
          </cell>
          <cell r="AG318">
            <v>361</v>
          </cell>
          <cell r="AH318">
            <v>446.26057315191525</v>
          </cell>
          <cell r="AM318">
            <v>5447</v>
          </cell>
          <cell r="AO318">
            <v>2625236.12</v>
          </cell>
          <cell r="AQ318">
            <v>2430781.3419584823</v>
          </cell>
          <cell r="AU318">
            <v>0</v>
          </cell>
          <cell r="AW318">
            <v>0</v>
          </cell>
          <cell r="AY318">
            <v>1756022.0573072319</v>
          </cell>
          <cell r="AZ318">
            <v>322.38334079442478</v>
          </cell>
          <cell r="BA318">
            <v>158118.29</v>
          </cell>
          <cell r="BB318">
            <v>29.028509271158438</v>
          </cell>
          <cell r="BC318">
            <v>0</v>
          </cell>
          <cell r="BD318">
            <v>0</v>
          </cell>
          <cell r="BG318">
            <v>0</v>
          </cell>
          <cell r="BH318">
            <v>0</v>
          </cell>
          <cell r="BI318">
            <v>129153.37</v>
          </cell>
          <cell r="BJ318">
            <v>23.710917936478793</v>
          </cell>
          <cell r="BK318">
            <v>0</v>
          </cell>
          <cell r="BL318">
            <v>0</v>
          </cell>
          <cell r="BM318">
            <v>287376.3</v>
          </cell>
          <cell r="BN318">
            <v>52.758637782265467</v>
          </cell>
          <cell r="BO318">
            <v>0</v>
          </cell>
          <cell r="BP318">
            <v>0</v>
          </cell>
          <cell r="BY318">
            <v>1997</v>
          </cell>
          <cell r="CF318">
            <v>819.70921101983049</v>
          </cell>
          <cell r="CG318">
            <v>2142.25</v>
          </cell>
          <cell r="CJ318">
            <v>0</v>
          </cell>
          <cell r="CK318">
            <v>0</v>
          </cell>
          <cell r="CL318">
            <v>0</v>
          </cell>
          <cell r="CM318">
            <v>0</v>
          </cell>
          <cell r="CN318">
            <v>0</v>
          </cell>
          <cell r="CO318">
            <v>0</v>
          </cell>
          <cell r="CX318">
            <v>0</v>
          </cell>
          <cell r="CY318">
            <v>0</v>
          </cell>
          <cell r="DB318">
            <v>0</v>
          </cell>
          <cell r="DC318">
            <v>0</v>
          </cell>
          <cell r="DJ318" t="str">
            <v>НКРКП</v>
          </cell>
          <cell r="DL318">
            <v>40942</v>
          </cell>
          <cell r="DM318">
            <v>28</v>
          </cell>
          <cell r="DT318">
            <v>758.64</v>
          </cell>
        </row>
        <row r="319">
          <cell r="W319">
            <v>481.96</v>
          </cell>
          <cell r="AF319">
            <v>39926</v>
          </cell>
          <cell r="AG319">
            <v>361</v>
          </cell>
          <cell r="AH319">
            <v>446.26300167068098</v>
          </cell>
          <cell r="AM319">
            <v>181.4</v>
          </cell>
          <cell r="AO319">
            <v>87427.543999999994</v>
          </cell>
          <cell r="AQ319">
            <v>80952.108503061536</v>
          </cell>
          <cell r="AU319">
            <v>0</v>
          </cell>
          <cell r="AW319">
            <v>0</v>
          </cell>
          <cell r="AY319">
            <v>58480.156816316296</v>
          </cell>
          <cell r="AZ319">
            <v>322.38234187605457</v>
          </cell>
          <cell r="BA319">
            <v>5265.8</v>
          </cell>
          <cell r="BB319">
            <v>29.028665931642777</v>
          </cell>
          <cell r="BC319">
            <v>0</v>
          </cell>
          <cell r="BD319">
            <v>0</v>
          </cell>
          <cell r="BG319">
            <v>0</v>
          </cell>
          <cell r="BH319">
            <v>0</v>
          </cell>
          <cell r="BI319">
            <v>4301.1838909870276</v>
          </cell>
          <cell r="BJ319">
            <v>23.71104680808725</v>
          </cell>
          <cell r="BK319">
            <v>0</v>
          </cell>
          <cell r="BL319">
            <v>0</v>
          </cell>
          <cell r="BM319">
            <v>9570.468897557821</v>
          </cell>
          <cell r="BN319">
            <v>52.758924462832532</v>
          </cell>
          <cell r="BO319">
            <v>0</v>
          </cell>
          <cell r="BP319">
            <v>0</v>
          </cell>
          <cell r="BY319">
            <v>1997</v>
          </cell>
          <cell r="CF319">
            <v>27.298474415365291</v>
          </cell>
          <cell r="CG319">
            <v>2142.25</v>
          </cell>
          <cell r="CJ319">
            <v>0</v>
          </cell>
          <cell r="CK319">
            <v>0</v>
          </cell>
          <cell r="CL319">
            <v>0</v>
          </cell>
          <cell r="CM319">
            <v>0</v>
          </cell>
          <cell r="CN319">
            <v>0</v>
          </cell>
          <cell r="CO319">
            <v>0</v>
          </cell>
          <cell r="CX319">
            <v>0</v>
          </cell>
          <cell r="CY319">
            <v>0</v>
          </cell>
          <cell r="DB319">
            <v>0</v>
          </cell>
          <cell r="DC319">
            <v>0</v>
          </cell>
          <cell r="DJ319" t="str">
            <v>НКРКП</v>
          </cell>
          <cell r="DL319">
            <v>40942</v>
          </cell>
          <cell r="DM319">
            <v>28</v>
          </cell>
          <cell r="DT319">
            <v>758.64</v>
          </cell>
        </row>
        <row r="320">
          <cell r="W320">
            <v>184.13</v>
          </cell>
          <cell r="AF320">
            <v>39926</v>
          </cell>
          <cell r="AG320">
            <v>360</v>
          </cell>
          <cell r="AH320">
            <v>217.34492322100178</v>
          </cell>
          <cell r="AM320">
            <v>29565.7</v>
          </cell>
          <cell r="AO320">
            <v>5443932.341</v>
          </cell>
          <cell r="AQ320">
            <v>6425954.796475172</v>
          </cell>
          <cell r="AU320">
            <v>0</v>
          </cell>
          <cell r="AW320">
            <v>0</v>
          </cell>
          <cell r="AY320">
            <v>3408216.2111096531</v>
          </cell>
          <cell r="AZ320">
            <v>115.27601954662508</v>
          </cell>
          <cell r="BA320">
            <v>243395.63727953154</v>
          </cell>
          <cell r="BB320">
            <v>8.2323651149653667</v>
          </cell>
          <cell r="BC320">
            <v>0</v>
          </cell>
          <cell r="BD320">
            <v>0</v>
          </cell>
          <cell r="BG320">
            <v>0</v>
          </cell>
          <cell r="BH320">
            <v>0</v>
          </cell>
          <cell r="BI320">
            <v>671433.68477767997</v>
          </cell>
          <cell r="BJ320">
            <v>22.709886279630787</v>
          </cell>
          <cell r="BK320">
            <v>0</v>
          </cell>
          <cell r="BL320">
            <v>0</v>
          </cell>
          <cell r="BM320">
            <v>1536767.6751551346</v>
          </cell>
          <cell r="BN320">
            <v>51.978058194297262</v>
          </cell>
          <cell r="BO320">
            <v>0</v>
          </cell>
          <cell r="BP320">
            <v>0</v>
          </cell>
          <cell r="BY320">
            <v>1997</v>
          </cell>
          <cell r="CF320">
            <v>4685.9927007502238</v>
          </cell>
          <cell r="CG320">
            <v>727.32</v>
          </cell>
          <cell r="CJ320">
            <v>0</v>
          </cell>
          <cell r="CK320">
            <v>0</v>
          </cell>
          <cell r="CL320">
            <v>0</v>
          </cell>
          <cell r="CM320">
            <v>0</v>
          </cell>
          <cell r="CN320">
            <v>0</v>
          </cell>
          <cell r="CO320">
            <v>0</v>
          </cell>
          <cell r="CX320">
            <v>0</v>
          </cell>
          <cell r="CY320">
            <v>0</v>
          </cell>
          <cell r="DB320">
            <v>0</v>
          </cell>
          <cell r="DC320">
            <v>0</v>
          </cell>
          <cell r="DJ320" t="str">
            <v>НКРЕ</v>
          </cell>
          <cell r="DL320">
            <v>40526</v>
          </cell>
          <cell r="DM320">
            <v>1854</v>
          </cell>
          <cell r="DO320" t="str">
            <v>Тариф на теплову енергію</v>
          </cell>
          <cell r="DT320">
            <v>230.16</v>
          </cell>
        </row>
        <row r="321">
          <cell r="W321">
            <v>698.28333333333342</v>
          </cell>
          <cell r="AF321">
            <v>39926</v>
          </cell>
          <cell r="AG321">
            <v>361</v>
          </cell>
          <cell r="AH321">
            <v>446.26114150386496</v>
          </cell>
          <cell r="AM321">
            <v>2150.3000000000002</v>
          </cell>
          <cell r="AO321">
            <v>1501518.6516666671</v>
          </cell>
          <cell r="AQ321">
            <v>959595.3325757609</v>
          </cell>
          <cell r="AU321">
            <v>0</v>
          </cell>
          <cell r="AW321">
            <v>0</v>
          </cell>
          <cell r="AY321">
            <v>693221.78058781812</v>
          </cell>
          <cell r="AZ321">
            <v>322.38375137786267</v>
          </cell>
          <cell r="BA321">
            <v>62420.081510245698</v>
          </cell>
          <cell r="BB321">
            <v>29.028545556548245</v>
          </cell>
          <cell r="BC321">
            <v>0</v>
          </cell>
          <cell r="BD321">
            <v>0</v>
          </cell>
          <cell r="BG321">
            <v>0</v>
          </cell>
          <cell r="BH321">
            <v>0</v>
          </cell>
          <cell r="BI321">
            <v>50985.651103850243</v>
          </cell>
          <cell r="BJ321">
            <v>23.710947823024807</v>
          </cell>
          <cell r="BK321">
            <v>0</v>
          </cell>
          <cell r="BL321">
            <v>0</v>
          </cell>
          <cell r="BM321">
            <v>113447.04432721778</v>
          </cell>
          <cell r="BN321">
            <v>52.75870544910839</v>
          </cell>
          <cell r="BO321">
            <v>0</v>
          </cell>
          <cell r="BP321">
            <v>0</v>
          </cell>
          <cell r="BY321">
            <v>1997</v>
          </cell>
          <cell r="CF321">
            <v>323.59518290947278</v>
          </cell>
          <cell r="CG321">
            <v>2142.25</v>
          </cell>
          <cell r="CJ321">
            <v>0</v>
          </cell>
          <cell r="CK321">
            <v>0</v>
          </cell>
          <cell r="CL321">
            <v>0</v>
          </cell>
          <cell r="CM321">
            <v>0</v>
          </cell>
          <cell r="CN321">
            <v>0</v>
          </cell>
          <cell r="CO321">
            <v>0</v>
          </cell>
          <cell r="CX321">
            <v>0</v>
          </cell>
          <cell r="CY321">
            <v>0</v>
          </cell>
          <cell r="DB321">
            <v>0</v>
          </cell>
          <cell r="DC321">
            <v>0</v>
          </cell>
          <cell r="DJ321" t="str">
            <v>НКРКП</v>
          </cell>
          <cell r="DL321">
            <v>40942</v>
          </cell>
          <cell r="DM321">
            <v>28</v>
          </cell>
          <cell r="DT321">
            <v>940.52</v>
          </cell>
        </row>
        <row r="322">
          <cell r="W322">
            <v>698.28333333333342</v>
          </cell>
          <cell r="AF322">
            <v>39926</v>
          </cell>
          <cell r="AG322">
            <v>361</v>
          </cell>
          <cell r="AH322">
            <v>446.26115164580057</v>
          </cell>
          <cell r="AM322">
            <v>78.5</v>
          </cell>
          <cell r="AO322">
            <v>54815.241666666676</v>
          </cell>
          <cell r="AQ322">
            <v>35031.500404195343</v>
          </cell>
          <cell r="AU322">
            <v>0</v>
          </cell>
          <cell r="AW322">
            <v>0</v>
          </cell>
          <cell r="AY322">
            <v>25306.908924684936</v>
          </cell>
          <cell r="AZ322">
            <v>322.3810054099992</v>
          </cell>
          <cell r="BA322">
            <v>2278.7405791393749</v>
          </cell>
          <cell r="BB322">
            <v>29.028542409418787</v>
          </cell>
          <cell r="BC322">
            <v>0</v>
          </cell>
          <cell r="BD322">
            <v>0</v>
          </cell>
          <cell r="BG322">
            <v>0</v>
          </cell>
          <cell r="BH322">
            <v>0</v>
          </cell>
          <cell r="BI322">
            <v>1861.3094581709643</v>
          </cell>
          <cell r="BJ322">
            <v>23.710948511732028</v>
          </cell>
          <cell r="BK322">
            <v>0</v>
          </cell>
          <cell r="BL322">
            <v>0</v>
          </cell>
          <cell r="BM322">
            <v>4141.5584010446892</v>
          </cell>
          <cell r="BN322">
            <v>52.75870574579222</v>
          </cell>
          <cell r="BO322">
            <v>0</v>
          </cell>
          <cell r="BP322">
            <v>0</v>
          </cell>
          <cell r="BY322">
            <v>1997</v>
          </cell>
          <cell r="CF322">
            <v>11.813237915595723</v>
          </cell>
          <cell r="CG322">
            <v>2142.25</v>
          </cell>
          <cell r="CJ322">
            <v>0</v>
          </cell>
          <cell r="CK322">
            <v>0</v>
          </cell>
          <cell r="CL322">
            <v>0</v>
          </cell>
          <cell r="CM322">
            <v>0</v>
          </cell>
          <cell r="CN322">
            <v>0</v>
          </cell>
          <cell r="CO322">
            <v>0</v>
          </cell>
          <cell r="CX322">
            <v>0</v>
          </cell>
          <cell r="CY322">
            <v>0</v>
          </cell>
          <cell r="DB322">
            <v>0</v>
          </cell>
          <cell r="DC322">
            <v>0</v>
          </cell>
          <cell r="DJ322" t="str">
            <v>НКРКП</v>
          </cell>
          <cell r="DL322">
            <v>40942</v>
          </cell>
          <cell r="DM322">
            <v>28</v>
          </cell>
          <cell r="DT322">
            <v>940.52</v>
          </cell>
        </row>
        <row r="323">
          <cell r="W323">
            <v>234.73</v>
          </cell>
          <cell r="AF323">
            <v>39926</v>
          </cell>
          <cell r="AG323">
            <v>360</v>
          </cell>
          <cell r="AH323">
            <v>217.3449486691506</v>
          </cell>
          <cell r="AM323">
            <v>3730.7</v>
          </cell>
          <cell r="AO323">
            <v>875707.21099999989</v>
          </cell>
          <cell r="AQ323">
            <v>810848.8</v>
          </cell>
          <cell r="AU323">
            <v>0</v>
          </cell>
          <cell r="AW323">
            <v>0</v>
          </cell>
          <cell r="AY323">
            <v>430058.43983207073</v>
          </cell>
          <cell r="AZ323">
            <v>115.27553537729401</v>
          </cell>
          <cell r="BA323">
            <v>30712.488034351667</v>
          </cell>
          <cell r="BB323">
            <v>8.2323660531138039</v>
          </cell>
          <cell r="BC323">
            <v>0</v>
          </cell>
          <cell r="BD323">
            <v>0</v>
          </cell>
          <cell r="BG323">
            <v>0</v>
          </cell>
          <cell r="BH323">
            <v>0</v>
          </cell>
          <cell r="BI323">
            <v>84723.782398417345</v>
          </cell>
          <cell r="BJ323">
            <v>22.709888867616627</v>
          </cell>
          <cell r="BK323">
            <v>0</v>
          </cell>
          <cell r="BL323">
            <v>0</v>
          </cell>
          <cell r="BM323">
            <v>193914.56380368586</v>
          </cell>
          <cell r="BN323">
            <v>51.978064117641694</v>
          </cell>
          <cell r="BO323">
            <v>0</v>
          </cell>
          <cell r="BP323">
            <v>0</v>
          </cell>
          <cell r="BY323">
            <v>1997</v>
          </cell>
          <cell r="CF323">
            <v>591.29192079424558</v>
          </cell>
          <cell r="CG323">
            <v>727.32</v>
          </cell>
          <cell r="CJ323">
            <v>0</v>
          </cell>
          <cell r="CK323">
            <v>0</v>
          </cell>
          <cell r="CL323">
            <v>0</v>
          </cell>
          <cell r="CM323">
            <v>0</v>
          </cell>
          <cell r="CN323">
            <v>0</v>
          </cell>
          <cell r="CO323">
            <v>0</v>
          </cell>
          <cell r="CX323">
            <v>0</v>
          </cell>
          <cell r="CY323">
            <v>0</v>
          </cell>
          <cell r="DB323">
            <v>0</v>
          </cell>
          <cell r="DC323">
            <v>0</v>
          </cell>
          <cell r="DJ323" t="str">
            <v>НКРЕ</v>
          </cell>
          <cell r="DL323">
            <v>40526</v>
          </cell>
          <cell r="DM323">
            <v>1854</v>
          </cell>
          <cell r="DO323" t="str">
            <v>тариф на теплову енергію</v>
          </cell>
          <cell r="DT323">
            <v>258.2</v>
          </cell>
        </row>
        <row r="324">
          <cell r="W324">
            <v>481.96</v>
          </cell>
          <cell r="AF324">
            <v>39926</v>
          </cell>
          <cell r="AG324">
            <v>361</v>
          </cell>
          <cell r="AH324">
            <v>446.26057368075323</v>
          </cell>
          <cell r="AM324">
            <v>4567</v>
          </cell>
          <cell r="AO324">
            <v>2201111.3199999998</v>
          </cell>
          <cell r="AQ324">
            <v>2038072.04</v>
          </cell>
          <cell r="AU324">
            <v>0</v>
          </cell>
          <cell r="AW324">
            <v>0</v>
          </cell>
          <cell r="AY324">
            <v>1472325.5799999998</v>
          </cell>
          <cell r="AZ324">
            <v>322.38352966936719</v>
          </cell>
          <cell r="BA324">
            <v>132573.20000000001</v>
          </cell>
          <cell r="BB324">
            <v>29.028508867965844</v>
          </cell>
          <cell r="BC324">
            <v>0</v>
          </cell>
          <cell r="BD324">
            <v>0</v>
          </cell>
          <cell r="BG324">
            <v>0</v>
          </cell>
          <cell r="BH324">
            <v>0</v>
          </cell>
          <cell r="BI324">
            <v>108287.76</v>
          </cell>
          <cell r="BJ324">
            <v>23.710917451280928</v>
          </cell>
          <cell r="BK324">
            <v>0</v>
          </cell>
          <cell r="BL324">
            <v>0</v>
          </cell>
          <cell r="BM324">
            <v>240948.7</v>
          </cell>
          <cell r="BN324">
            <v>52.75863805561638</v>
          </cell>
          <cell r="BO324">
            <v>0</v>
          </cell>
          <cell r="BP324">
            <v>0</v>
          </cell>
          <cell r="BY324">
            <v>1997</v>
          </cell>
          <cell r="CF324">
            <v>687.28</v>
          </cell>
          <cell r="CG324">
            <v>2142.25</v>
          </cell>
          <cell r="CJ324">
            <v>0</v>
          </cell>
          <cell r="CK324">
            <v>0</v>
          </cell>
          <cell r="CL324">
            <v>0</v>
          </cell>
          <cell r="CM324">
            <v>0</v>
          </cell>
          <cell r="CN324">
            <v>0</v>
          </cell>
          <cell r="CO324">
            <v>0</v>
          </cell>
          <cell r="CX324">
            <v>0</v>
          </cell>
          <cell r="CY324">
            <v>0</v>
          </cell>
          <cell r="DB324">
            <v>0</v>
          </cell>
          <cell r="DC324">
            <v>0</v>
          </cell>
          <cell r="DJ324" t="str">
            <v>НКРКП</v>
          </cell>
          <cell r="DL324">
            <v>40942</v>
          </cell>
          <cell r="DM324">
            <v>28</v>
          </cell>
          <cell r="DT324">
            <v>758.64</v>
          </cell>
        </row>
        <row r="325">
          <cell r="W325">
            <v>481.96</v>
          </cell>
          <cell r="AF325">
            <v>39926</v>
          </cell>
          <cell r="AG325">
            <v>361</v>
          </cell>
          <cell r="AH325">
            <v>446.26300167068098</v>
          </cell>
          <cell r="AM325">
            <v>164.7</v>
          </cell>
          <cell r="AO325">
            <v>79378.811999999991</v>
          </cell>
          <cell r="AQ325">
            <v>73499.516375161154</v>
          </cell>
          <cell r="AU325">
            <v>0</v>
          </cell>
          <cell r="AW325">
            <v>0</v>
          </cell>
          <cell r="AY325">
            <v>53096.371706986174</v>
          </cell>
          <cell r="AZ325">
            <v>322.38234187605451</v>
          </cell>
          <cell r="BA325">
            <v>4781.0207549985689</v>
          </cell>
          <cell r="BB325">
            <v>29.028662750446685</v>
          </cell>
          <cell r="BC325">
            <v>0</v>
          </cell>
          <cell r="BD325">
            <v>0</v>
          </cell>
          <cell r="BG325">
            <v>0</v>
          </cell>
          <cell r="BH325">
            <v>0</v>
          </cell>
          <cell r="BI325">
            <v>3905.2094092919706</v>
          </cell>
          <cell r="BJ325">
            <v>23.711046808087254</v>
          </cell>
          <cell r="BK325">
            <v>0</v>
          </cell>
          <cell r="BL325">
            <v>0</v>
          </cell>
          <cell r="BM325">
            <v>8689.3948590285163</v>
          </cell>
          <cell r="BN325">
            <v>52.758924462832525</v>
          </cell>
          <cell r="BO325">
            <v>0</v>
          </cell>
          <cell r="BP325">
            <v>0</v>
          </cell>
          <cell r="BY325">
            <v>1997</v>
          </cell>
          <cell r="CF325">
            <v>24.785329306563742</v>
          </cell>
          <cell r="CG325">
            <v>2142.25</v>
          </cell>
          <cell r="CJ325">
            <v>0</v>
          </cell>
          <cell r="CK325">
            <v>0</v>
          </cell>
          <cell r="CL325">
            <v>0</v>
          </cell>
          <cell r="CM325">
            <v>0</v>
          </cell>
          <cell r="CN325">
            <v>0</v>
          </cell>
          <cell r="CO325">
            <v>0</v>
          </cell>
          <cell r="CX325">
            <v>0</v>
          </cell>
          <cell r="CY325">
            <v>0</v>
          </cell>
          <cell r="DB325">
            <v>0</v>
          </cell>
          <cell r="DC325">
            <v>0</v>
          </cell>
          <cell r="DJ325" t="str">
            <v>НКРКП</v>
          </cell>
          <cell r="DL325">
            <v>40942</v>
          </cell>
          <cell r="DM325">
            <v>28</v>
          </cell>
          <cell r="DT325">
            <v>758.64</v>
          </cell>
        </row>
        <row r="326">
          <cell r="W326">
            <v>234.73</v>
          </cell>
          <cell r="AF326">
            <v>39926</v>
          </cell>
          <cell r="AG326">
            <v>360</v>
          </cell>
          <cell r="AH326">
            <v>217.34493941989962</v>
          </cell>
          <cell r="AM326">
            <v>1634.2</v>
          </cell>
          <cell r="AO326">
            <v>383595.766</v>
          </cell>
          <cell r="AQ326">
            <v>355185.1</v>
          </cell>
          <cell r="AU326">
            <v>0</v>
          </cell>
          <cell r="AW326">
            <v>0</v>
          </cell>
          <cell r="AY326">
            <v>188383.1532</v>
          </cell>
          <cell r="AZ326">
            <v>115.27545783869783</v>
          </cell>
          <cell r="BA326">
            <v>13453.3</v>
          </cell>
          <cell r="BB326">
            <v>8.2323461020682895</v>
          </cell>
          <cell r="BC326">
            <v>0</v>
          </cell>
          <cell r="BD326">
            <v>0</v>
          </cell>
          <cell r="BG326">
            <v>0</v>
          </cell>
          <cell r="BH326">
            <v>0</v>
          </cell>
          <cell r="BI326">
            <v>37112.5</v>
          </cell>
          <cell r="BJ326">
            <v>22.709888630522578</v>
          </cell>
          <cell r="BK326">
            <v>0</v>
          </cell>
          <cell r="BL326">
            <v>0</v>
          </cell>
          <cell r="BM326">
            <v>84942.5</v>
          </cell>
          <cell r="BN326">
            <v>51.978032064618773</v>
          </cell>
          <cell r="BO326">
            <v>0</v>
          </cell>
          <cell r="BP326">
            <v>0</v>
          </cell>
          <cell r="BY326">
            <v>1997</v>
          </cell>
          <cell r="CF326">
            <v>259.01</v>
          </cell>
          <cell r="CG326">
            <v>727.32</v>
          </cell>
          <cell r="CJ326">
            <v>0</v>
          </cell>
          <cell r="CK326">
            <v>0</v>
          </cell>
          <cell r="CL326">
            <v>0</v>
          </cell>
          <cell r="CM326">
            <v>0</v>
          </cell>
          <cell r="CN326">
            <v>0</v>
          </cell>
          <cell r="CO326">
            <v>0</v>
          </cell>
          <cell r="CX326">
            <v>0</v>
          </cell>
          <cell r="CY326">
            <v>0</v>
          </cell>
          <cell r="DB326">
            <v>0</v>
          </cell>
          <cell r="DC326">
            <v>0</v>
          </cell>
          <cell r="DJ326" t="str">
            <v>НКРЕ</v>
          </cell>
          <cell r="DL326">
            <v>40526</v>
          </cell>
          <cell r="DM326">
            <v>1854</v>
          </cell>
          <cell r="DO326" t="str">
            <v>тариф на теплову енергію</v>
          </cell>
          <cell r="DT326">
            <v>258.2</v>
          </cell>
        </row>
        <row r="327">
          <cell r="W327">
            <v>481.96</v>
          </cell>
          <cell r="AF327">
            <v>39926</v>
          </cell>
          <cell r="AG327">
            <v>361</v>
          </cell>
          <cell r="AH327">
            <v>446.26057359763814</v>
          </cell>
          <cell r="AM327">
            <v>4742</v>
          </cell>
          <cell r="AO327">
            <v>2285454.3199999998</v>
          </cell>
          <cell r="AQ327">
            <v>2116167.64</v>
          </cell>
          <cell r="AU327">
            <v>0</v>
          </cell>
          <cell r="AW327">
            <v>0</v>
          </cell>
          <cell r="AY327">
            <v>1528752.4450000001</v>
          </cell>
          <cell r="AZ327">
            <v>322.38558519611979</v>
          </cell>
          <cell r="BA327">
            <v>137653.19</v>
          </cell>
          <cell r="BB327">
            <v>29.028509067903837</v>
          </cell>
          <cell r="BC327">
            <v>0</v>
          </cell>
          <cell r="BD327">
            <v>0</v>
          </cell>
          <cell r="BG327">
            <v>0</v>
          </cell>
          <cell r="BH327">
            <v>0</v>
          </cell>
          <cell r="BI327">
            <v>112437.17</v>
          </cell>
          <cell r="BJ327">
            <v>23.710917334458035</v>
          </cell>
          <cell r="BK327">
            <v>0</v>
          </cell>
          <cell r="BL327">
            <v>0</v>
          </cell>
          <cell r="BM327">
            <v>250181.46</v>
          </cell>
          <cell r="BN327">
            <v>52.758637705609445</v>
          </cell>
          <cell r="BO327">
            <v>0</v>
          </cell>
          <cell r="BP327">
            <v>0</v>
          </cell>
          <cell r="BY327">
            <v>1997</v>
          </cell>
          <cell r="CF327">
            <v>713.62</v>
          </cell>
          <cell r="CG327">
            <v>2142.25</v>
          </cell>
          <cell r="CJ327">
            <v>0</v>
          </cell>
          <cell r="CK327">
            <v>0</v>
          </cell>
          <cell r="CL327">
            <v>0</v>
          </cell>
          <cell r="CM327">
            <v>0</v>
          </cell>
          <cell r="CN327">
            <v>0</v>
          </cell>
          <cell r="CO327">
            <v>0</v>
          </cell>
          <cell r="CX327">
            <v>0</v>
          </cell>
          <cell r="CY327">
            <v>0</v>
          </cell>
          <cell r="DB327">
            <v>0</v>
          </cell>
          <cell r="DC327">
            <v>0</v>
          </cell>
          <cell r="DJ327" t="str">
            <v>НКРКП</v>
          </cell>
          <cell r="DL327">
            <v>40942</v>
          </cell>
          <cell r="DM327">
            <v>28</v>
          </cell>
          <cell r="DT327">
            <v>758.64</v>
          </cell>
        </row>
        <row r="328">
          <cell r="W328">
            <v>234.73</v>
          </cell>
          <cell r="AF328">
            <v>39926</v>
          </cell>
          <cell r="AG328">
            <v>360</v>
          </cell>
          <cell r="AH328">
            <v>217.34494737464524</v>
          </cell>
          <cell r="AM328">
            <v>6764.8</v>
          </cell>
          <cell r="AO328">
            <v>1587901.504</v>
          </cell>
          <cell r="AQ328">
            <v>1470295.1</v>
          </cell>
          <cell r="AU328">
            <v>0</v>
          </cell>
          <cell r="AW328">
            <v>0</v>
          </cell>
          <cell r="AY328">
            <v>779817.95760000008</v>
          </cell>
          <cell r="AZ328">
            <v>115.27583337275308</v>
          </cell>
          <cell r="BA328">
            <v>55690.3</v>
          </cell>
          <cell r="BB328">
            <v>8.2323645931882687</v>
          </cell>
          <cell r="BC328">
            <v>0</v>
          </cell>
          <cell r="BD328">
            <v>0</v>
          </cell>
          <cell r="BG328">
            <v>0</v>
          </cell>
          <cell r="BH328">
            <v>0</v>
          </cell>
          <cell r="BI328">
            <v>153627.9</v>
          </cell>
          <cell r="BJ328">
            <v>22.709895340586563</v>
          </cell>
          <cell r="BK328">
            <v>0</v>
          </cell>
          <cell r="BL328">
            <v>0</v>
          </cell>
          <cell r="BM328">
            <v>351621.2</v>
          </cell>
          <cell r="BN328">
            <v>51.978062913907287</v>
          </cell>
          <cell r="BO328">
            <v>0</v>
          </cell>
          <cell r="BP328">
            <v>0</v>
          </cell>
          <cell r="BY328">
            <v>1997</v>
          </cell>
          <cell r="CF328">
            <v>1072.18</v>
          </cell>
          <cell r="CG328">
            <v>727.32</v>
          </cell>
          <cell r="CJ328">
            <v>0</v>
          </cell>
          <cell r="CK328">
            <v>0</v>
          </cell>
          <cell r="CL328">
            <v>0</v>
          </cell>
          <cell r="CM328">
            <v>0</v>
          </cell>
          <cell r="CN328">
            <v>0</v>
          </cell>
          <cell r="CO328">
            <v>0</v>
          </cell>
          <cell r="CX328">
            <v>0</v>
          </cell>
          <cell r="CY328">
            <v>0</v>
          </cell>
          <cell r="DB328">
            <v>0</v>
          </cell>
          <cell r="DC328">
            <v>0</v>
          </cell>
          <cell r="DJ328" t="str">
            <v>НКРЕ</v>
          </cell>
          <cell r="DL328">
            <v>40526</v>
          </cell>
          <cell r="DM328">
            <v>1854</v>
          </cell>
          <cell r="DO328" t="str">
            <v>тариф на теплову енергію</v>
          </cell>
          <cell r="DT328">
            <v>258.2</v>
          </cell>
        </row>
        <row r="329">
          <cell r="W329">
            <v>481.96</v>
          </cell>
          <cell r="AF329">
            <v>39926</v>
          </cell>
          <cell r="AG329">
            <v>361</v>
          </cell>
          <cell r="AH329">
            <v>446.26055312954878</v>
          </cell>
          <cell r="AM329">
            <v>343.5</v>
          </cell>
          <cell r="AO329">
            <v>165553.25999999998</v>
          </cell>
          <cell r="AQ329">
            <v>153290.5</v>
          </cell>
          <cell r="AU329">
            <v>0</v>
          </cell>
          <cell r="AW329">
            <v>0</v>
          </cell>
          <cell r="AY329">
            <v>110738.686575</v>
          </cell>
          <cell r="AZ329">
            <v>322.38336703056768</v>
          </cell>
          <cell r="BA329">
            <v>9971.2999999999993</v>
          </cell>
          <cell r="BB329">
            <v>29.02852983988355</v>
          </cell>
          <cell r="BC329">
            <v>0</v>
          </cell>
          <cell r="BD329">
            <v>0</v>
          </cell>
          <cell r="BG329">
            <v>0</v>
          </cell>
          <cell r="BH329">
            <v>0</v>
          </cell>
          <cell r="BI329">
            <v>8144.7</v>
          </cell>
          <cell r="BJ329">
            <v>23.710917030567686</v>
          </cell>
          <cell r="BK329">
            <v>0</v>
          </cell>
          <cell r="BL329">
            <v>0</v>
          </cell>
          <cell r="BM329">
            <v>18122.599999999999</v>
          </cell>
          <cell r="BN329">
            <v>52.758660844250358</v>
          </cell>
          <cell r="BO329">
            <v>0</v>
          </cell>
          <cell r="BP329">
            <v>0</v>
          </cell>
          <cell r="BY329">
            <v>1997</v>
          </cell>
          <cell r="CF329">
            <v>51.692700000000002</v>
          </cell>
          <cell r="CG329">
            <v>2142.25</v>
          </cell>
          <cell r="CJ329">
            <v>0</v>
          </cell>
          <cell r="CK329">
            <v>0</v>
          </cell>
          <cell r="CL329">
            <v>0</v>
          </cell>
          <cell r="CM329">
            <v>0</v>
          </cell>
          <cell r="CN329">
            <v>0</v>
          </cell>
          <cell r="CO329">
            <v>0</v>
          </cell>
          <cell r="CX329">
            <v>0</v>
          </cell>
          <cell r="CY329">
            <v>0</v>
          </cell>
          <cell r="DB329">
            <v>0</v>
          </cell>
          <cell r="DC329">
            <v>0</v>
          </cell>
          <cell r="DJ329" t="str">
            <v>НКРКП</v>
          </cell>
          <cell r="DL329">
            <v>40942</v>
          </cell>
          <cell r="DM329">
            <v>28</v>
          </cell>
          <cell r="DT329">
            <v>758.64</v>
          </cell>
        </row>
        <row r="330">
          <cell r="W330">
            <v>481.96</v>
          </cell>
          <cell r="AF330">
            <v>39926</v>
          </cell>
          <cell r="AG330">
            <v>361</v>
          </cell>
          <cell r="AH330">
            <v>446.26455026455028</v>
          </cell>
          <cell r="AM330">
            <v>18.899999999999999</v>
          </cell>
          <cell r="AO330">
            <v>9109.0439999999981</v>
          </cell>
          <cell r="AQ330">
            <v>8434.4</v>
          </cell>
          <cell r="AU330">
            <v>0</v>
          </cell>
          <cell r="AW330">
            <v>0</v>
          </cell>
          <cell r="AY330">
            <v>6093.0302949999996</v>
          </cell>
          <cell r="AZ330">
            <v>322.3825552910053</v>
          </cell>
          <cell r="BA330">
            <v>548.64</v>
          </cell>
          <cell r="BB330">
            <v>29.028571428571428</v>
          </cell>
          <cell r="BC330">
            <v>0</v>
          </cell>
          <cell r="BD330">
            <v>0</v>
          </cell>
          <cell r="BG330">
            <v>0</v>
          </cell>
          <cell r="BH330">
            <v>0</v>
          </cell>
          <cell r="BI330">
            <v>448.14</v>
          </cell>
          <cell r="BJ330">
            <v>23.711111111111112</v>
          </cell>
          <cell r="BK330">
            <v>0</v>
          </cell>
          <cell r="BL330">
            <v>0</v>
          </cell>
          <cell r="BM330">
            <v>997.14</v>
          </cell>
          <cell r="BN330">
            <v>52.75873015873016</v>
          </cell>
          <cell r="BO330">
            <v>0</v>
          </cell>
          <cell r="BP330">
            <v>0</v>
          </cell>
          <cell r="BY330">
            <v>1997</v>
          </cell>
          <cell r="CF330">
            <v>2.84422</v>
          </cell>
          <cell r="CG330">
            <v>2142.25</v>
          </cell>
          <cell r="CJ330">
            <v>0</v>
          </cell>
          <cell r="CK330">
            <v>0</v>
          </cell>
          <cell r="CL330">
            <v>0</v>
          </cell>
          <cell r="CM330">
            <v>0</v>
          </cell>
          <cell r="CN330">
            <v>0</v>
          </cell>
          <cell r="CO330">
            <v>0</v>
          </cell>
          <cell r="CX330">
            <v>0</v>
          </cell>
          <cell r="CY330">
            <v>0</v>
          </cell>
          <cell r="DB330">
            <v>0</v>
          </cell>
          <cell r="DC330">
            <v>0</v>
          </cell>
          <cell r="DJ330" t="str">
            <v>НКРКП</v>
          </cell>
          <cell r="DL330">
            <v>40942</v>
          </cell>
          <cell r="DM330">
            <v>28</v>
          </cell>
          <cell r="DT330">
            <v>758.64</v>
          </cell>
        </row>
        <row r="331">
          <cell r="W331">
            <v>226.21666666666667</v>
          </cell>
          <cell r="AF331">
            <v>39926</v>
          </cell>
          <cell r="AG331">
            <v>362</v>
          </cell>
          <cell r="AH331">
            <v>225.8994713378963</v>
          </cell>
          <cell r="AM331">
            <v>73493.5</v>
          </cell>
          <cell r="AO331">
            <v>16625454.591666667</v>
          </cell>
          <cell r="AQ331">
            <v>16602142.796771681</v>
          </cell>
          <cell r="AU331">
            <v>0</v>
          </cell>
          <cell r="AW331">
            <v>0</v>
          </cell>
          <cell r="AY331">
            <v>7974808.499723372</v>
          </cell>
          <cell r="AZ331">
            <v>108.51039207172569</v>
          </cell>
          <cell r="BA331">
            <v>0</v>
          </cell>
          <cell r="BB331">
            <v>0</v>
          </cell>
          <cell r="BC331">
            <v>0</v>
          </cell>
          <cell r="BD331">
            <v>0</v>
          </cell>
          <cell r="BG331">
            <v>0</v>
          </cell>
          <cell r="BH331">
            <v>0</v>
          </cell>
          <cell r="BI331">
            <v>1734551.020588544</v>
          </cell>
          <cell r="BJ331">
            <v>23.601420813929721</v>
          </cell>
          <cell r="BK331">
            <v>0</v>
          </cell>
          <cell r="BL331">
            <v>0</v>
          </cell>
          <cell r="BM331">
            <v>5344365.0826966744</v>
          </cell>
          <cell r="BN331">
            <v>72.718881026167949</v>
          </cell>
          <cell r="BO331">
            <v>0</v>
          </cell>
          <cell r="BP331">
            <v>0</v>
          </cell>
          <cell r="BY331">
            <v>2017</v>
          </cell>
          <cell r="CF331">
            <v>10964.648984935615</v>
          </cell>
          <cell r="CG331">
            <v>727.32</v>
          </cell>
          <cell r="CJ331">
            <v>0</v>
          </cell>
          <cell r="CK331">
            <v>0</v>
          </cell>
          <cell r="CL331">
            <v>0</v>
          </cell>
          <cell r="CM331">
            <v>0</v>
          </cell>
          <cell r="CN331">
            <v>0</v>
          </cell>
          <cell r="CO331">
            <v>0</v>
          </cell>
          <cell r="CX331">
            <v>0</v>
          </cell>
          <cell r="CY331">
            <v>0</v>
          </cell>
          <cell r="DB331">
            <v>0</v>
          </cell>
          <cell r="DC331">
            <v>0</v>
          </cell>
          <cell r="DJ331" t="str">
            <v>НКРЕ</v>
          </cell>
          <cell r="DL331">
            <v>40526</v>
          </cell>
          <cell r="DM331">
            <v>1854</v>
          </cell>
          <cell r="DO331" t="str">
            <v>Тариф на теплову енергію</v>
          </cell>
          <cell r="DT331">
            <v>248.49</v>
          </cell>
        </row>
        <row r="332">
          <cell r="W332">
            <v>641.45833333333337</v>
          </cell>
          <cell r="AF332">
            <v>39926</v>
          </cell>
          <cell r="AG332">
            <v>363</v>
          </cell>
          <cell r="AH332">
            <v>438.8426148860575</v>
          </cell>
          <cell r="AM332">
            <v>6524.7</v>
          </cell>
          <cell r="AO332">
            <v>4185323.1875</v>
          </cell>
          <cell r="AQ332">
            <v>2863316.4093470592</v>
          </cell>
          <cell r="AU332">
            <v>0</v>
          </cell>
          <cell r="AW332">
            <v>0</v>
          </cell>
          <cell r="AY332">
            <v>2099668.3997759041</v>
          </cell>
          <cell r="AZ332">
            <v>321.80305604486097</v>
          </cell>
          <cell r="BA332">
            <v>0</v>
          </cell>
          <cell r="BB332">
            <v>0</v>
          </cell>
          <cell r="BC332">
            <v>0</v>
          </cell>
          <cell r="BD332">
            <v>0</v>
          </cell>
          <cell r="BG332">
            <v>0</v>
          </cell>
          <cell r="BH332">
            <v>0</v>
          </cell>
          <cell r="BI332">
            <v>140367.28232101721</v>
          </cell>
          <cell r="BJ332">
            <v>21.513216289027419</v>
          </cell>
          <cell r="BK332">
            <v>0</v>
          </cell>
          <cell r="BL332">
            <v>0</v>
          </cell>
          <cell r="BM332">
            <v>474444.201192134</v>
          </cell>
          <cell r="BN332">
            <v>72.715098194880071</v>
          </cell>
          <cell r="BO332">
            <v>0</v>
          </cell>
          <cell r="BP332">
            <v>0</v>
          </cell>
          <cell r="BY332">
            <v>2017</v>
          </cell>
          <cell r="CF332">
            <v>980.1229547325961</v>
          </cell>
          <cell r="CG332">
            <v>2142.25</v>
          </cell>
          <cell r="CJ332">
            <v>0</v>
          </cell>
          <cell r="CK332">
            <v>0</v>
          </cell>
          <cell r="CL332">
            <v>0</v>
          </cell>
          <cell r="CM332">
            <v>0</v>
          </cell>
          <cell r="CN332">
            <v>0</v>
          </cell>
          <cell r="CO332">
            <v>0</v>
          </cell>
          <cell r="CX332">
            <v>0</v>
          </cell>
          <cell r="CY332">
            <v>0</v>
          </cell>
          <cell r="DB332">
            <v>0</v>
          </cell>
          <cell r="DC332">
            <v>0</v>
          </cell>
          <cell r="DJ332" t="str">
            <v>НКРКП</v>
          </cell>
          <cell r="DL332">
            <v>40942</v>
          </cell>
          <cell r="DM332">
            <v>28</v>
          </cell>
          <cell r="DT332">
            <v>715.75</v>
          </cell>
        </row>
        <row r="333">
          <cell r="W333">
            <v>641.45833333333337</v>
          </cell>
          <cell r="AF333">
            <v>39926</v>
          </cell>
          <cell r="AG333">
            <v>363</v>
          </cell>
          <cell r="AH333">
            <v>438.84265075376885</v>
          </cell>
          <cell r="AM333">
            <v>1704.4</v>
          </cell>
          <cell r="AO333">
            <v>1093301.5833333335</v>
          </cell>
          <cell r="AQ333">
            <v>747963.41394472367</v>
          </cell>
          <cell r="AU333">
            <v>0</v>
          </cell>
          <cell r="AW333">
            <v>0</v>
          </cell>
          <cell r="AY333">
            <v>548481.12872286094</v>
          </cell>
          <cell r="AZ333">
            <v>321.80305604486091</v>
          </cell>
          <cell r="BA333">
            <v>0</v>
          </cell>
          <cell r="BB333">
            <v>0</v>
          </cell>
          <cell r="BC333">
            <v>0</v>
          </cell>
          <cell r="BD333">
            <v>0</v>
          </cell>
          <cell r="BG333">
            <v>0</v>
          </cell>
          <cell r="BH333">
            <v>0</v>
          </cell>
          <cell r="BI333">
            <v>36667.171880234506</v>
          </cell>
          <cell r="BJ333">
            <v>21.513243299832496</v>
          </cell>
          <cell r="BK333">
            <v>0</v>
          </cell>
          <cell r="BL333">
            <v>0</v>
          </cell>
          <cell r="BM333">
            <v>123935.68153266332</v>
          </cell>
          <cell r="BN333">
            <v>72.715138190954775</v>
          </cell>
          <cell r="BO333">
            <v>0</v>
          </cell>
          <cell r="BP333">
            <v>0</v>
          </cell>
          <cell r="BY333">
            <v>2017</v>
          </cell>
          <cell r="CF333">
            <v>256.03040201790685</v>
          </cell>
          <cell r="CG333">
            <v>2142.25</v>
          </cell>
          <cell r="CJ333">
            <v>0</v>
          </cell>
          <cell r="CK333">
            <v>0</v>
          </cell>
          <cell r="CL333">
            <v>0</v>
          </cell>
          <cell r="CM333">
            <v>0</v>
          </cell>
          <cell r="CN333">
            <v>0</v>
          </cell>
          <cell r="CO333">
            <v>0</v>
          </cell>
          <cell r="CX333">
            <v>0</v>
          </cell>
          <cell r="CY333">
            <v>0</v>
          </cell>
          <cell r="DB333">
            <v>0</v>
          </cell>
          <cell r="DC333">
            <v>0</v>
          </cell>
          <cell r="DJ333" t="str">
            <v>НКРКП</v>
          </cell>
          <cell r="DL333">
            <v>40942</v>
          </cell>
          <cell r="DM333">
            <v>28</v>
          </cell>
          <cell r="DT333">
            <v>715.75</v>
          </cell>
        </row>
        <row r="334">
          <cell r="W334">
            <v>243.97</v>
          </cell>
          <cell r="AF334">
            <v>39926</v>
          </cell>
          <cell r="AG334">
            <v>362</v>
          </cell>
          <cell r="AH334">
            <v>225.89504916227472</v>
          </cell>
          <cell r="AM334">
            <v>955</v>
          </cell>
          <cell r="AO334">
            <v>232991.35</v>
          </cell>
          <cell r="AQ334">
            <v>215729.77194997235</v>
          </cell>
          <cell r="AU334">
            <v>0</v>
          </cell>
          <cell r="AW334">
            <v>0</v>
          </cell>
          <cell r="AY334">
            <v>103625.39583291365</v>
          </cell>
          <cell r="AZ334">
            <v>108.5082678878677</v>
          </cell>
          <cell r="BA334">
            <v>0</v>
          </cell>
          <cell r="BB334">
            <v>0</v>
          </cell>
          <cell r="BC334">
            <v>0</v>
          </cell>
          <cell r="BD334">
            <v>0</v>
          </cell>
          <cell r="BG334">
            <v>0</v>
          </cell>
          <cell r="BH334">
            <v>0</v>
          </cell>
          <cell r="BI334">
            <v>22538.915650088333</v>
          </cell>
          <cell r="BJ334">
            <v>23.600958795904013</v>
          </cell>
          <cell r="BK334">
            <v>0</v>
          </cell>
          <cell r="BL334">
            <v>0</v>
          </cell>
          <cell r="BM334">
            <v>69445.171904661838</v>
          </cell>
          <cell r="BN334">
            <v>72.717457491792501</v>
          </cell>
          <cell r="BO334">
            <v>0</v>
          </cell>
          <cell r="BP334">
            <v>0</v>
          </cell>
          <cell r="BY334">
            <v>2017</v>
          </cell>
          <cell r="CF334">
            <v>142.47565835246334</v>
          </cell>
          <cell r="CG334">
            <v>727.32</v>
          </cell>
          <cell r="CJ334">
            <v>0</v>
          </cell>
          <cell r="CK334">
            <v>0</v>
          </cell>
          <cell r="CL334">
            <v>0</v>
          </cell>
          <cell r="CM334">
            <v>0</v>
          </cell>
          <cell r="CN334">
            <v>0</v>
          </cell>
          <cell r="CO334">
            <v>0</v>
          </cell>
          <cell r="CX334">
            <v>0</v>
          </cell>
          <cell r="CY334">
            <v>0</v>
          </cell>
          <cell r="DB334">
            <v>0</v>
          </cell>
          <cell r="DC334">
            <v>0</v>
          </cell>
          <cell r="DJ334" t="str">
            <v>НКРЕ</v>
          </cell>
          <cell r="DL334">
            <v>40526</v>
          </cell>
          <cell r="DM334">
            <v>1854</v>
          </cell>
          <cell r="DO334" t="str">
            <v>Тариф на теплову енергію</v>
          </cell>
          <cell r="DT334">
            <v>268.37</v>
          </cell>
        </row>
        <row r="335">
          <cell r="W335">
            <v>243.97</v>
          </cell>
          <cell r="AF335">
            <v>39926</v>
          </cell>
          <cell r="AG335">
            <v>362</v>
          </cell>
          <cell r="AH335">
            <v>225.89504916227472</v>
          </cell>
          <cell r="AM335">
            <v>14369.7</v>
          </cell>
          <cell r="AO335">
            <v>3505775.7090000003</v>
          </cell>
          <cell r="AQ335">
            <v>3246044.0879471391</v>
          </cell>
          <cell r="AU335">
            <v>0</v>
          </cell>
          <cell r="AW335">
            <v>0</v>
          </cell>
          <cell r="AY335">
            <v>1559231.2570682925</v>
          </cell>
          <cell r="AZ335">
            <v>108.50826788786769</v>
          </cell>
          <cell r="BA335">
            <v>0</v>
          </cell>
          <cell r="BB335">
            <v>0</v>
          </cell>
          <cell r="BC335">
            <v>0</v>
          </cell>
          <cell r="BD335">
            <v>0</v>
          </cell>
          <cell r="BG335">
            <v>0</v>
          </cell>
          <cell r="BH335">
            <v>0</v>
          </cell>
          <cell r="BI335">
            <v>339138.69760950189</v>
          </cell>
          <cell r="BJ335">
            <v>23.600958795904013</v>
          </cell>
          <cell r="BK335">
            <v>0</v>
          </cell>
          <cell r="BL335">
            <v>0</v>
          </cell>
          <cell r="BM335">
            <v>1044928.0489198108</v>
          </cell>
          <cell r="BN335">
            <v>72.717457491792501</v>
          </cell>
          <cell r="BO335">
            <v>0</v>
          </cell>
          <cell r="BP335">
            <v>0</v>
          </cell>
          <cell r="BY335">
            <v>2017</v>
          </cell>
          <cell r="CF335">
            <v>2143.8036312328718</v>
          </cell>
          <cell r="CG335">
            <v>727.32</v>
          </cell>
          <cell r="CJ335">
            <v>0</v>
          </cell>
          <cell r="CK335">
            <v>0</v>
          </cell>
          <cell r="CL335">
            <v>0</v>
          </cell>
          <cell r="CM335">
            <v>0</v>
          </cell>
          <cell r="CN335">
            <v>0</v>
          </cell>
          <cell r="CO335">
            <v>0</v>
          </cell>
          <cell r="CX335">
            <v>0</v>
          </cell>
          <cell r="CY335">
            <v>0</v>
          </cell>
          <cell r="DB335">
            <v>0</v>
          </cell>
          <cell r="DC335">
            <v>0</v>
          </cell>
          <cell r="DJ335" t="str">
            <v>НКРЕ</v>
          </cell>
          <cell r="DL335">
            <v>40526</v>
          </cell>
          <cell r="DM335">
            <v>1854</v>
          </cell>
          <cell r="DO335" t="str">
            <v>Тариф на теплову енергію</v>
          </cell>
          <cell r="DT335">
            <v>248.49</v>
          </cell>
        </row>
        <row r="336">
          <cell r="W336">
            <v>473.95</v>
          </cell>
          <cell r="AF336">
            <v>39926</v>
          </cell>
          <cell r="AG336">
            <v>363</v>
          </cell>
          <cell r="AH336">
            <v>438.8426148860575</v>
          </cell>
          <cell r="AM336">
            <v>1159</v>
          </cell>
          <cell r="AO336">
            <v>549308.04999999993</v>
          </cell>
          <cell r="AQ336">
            <v>508618.59065294062</v>
          </cell>
          <cell r="AU336">
            <v>0</v>
          </cell>
          <cell r="AW336">
            <v>0</v>
          </cell>
          <cell r="AY336">
            <v>372969.74195599381</v>
          </cell>
          <cell r="AZ336">
            <v>321.80305604486091</v>
          </cell>
          <cell r="BA336">
            <v>0</v>
          </cell>
          <cell r="BB336">
            <v>0</v>
          </cell>
          <cell r="BC336">
            <v>0</v>
          </cell>
          <cell r="BD336">
            <v>0</v>
          </cell>
          <cell r="BG336">
            <v>0</v>
          </cell>
          <cell r="BH336">
            <v>0</v>
          </cell>
          <cell r="BI336">
            <v>24933.817678982781</v>
          </cell>
          <cell r="BJ336">
            <v>21.513216289027422</v>
          </cell>
          <cell r="BK336">
            <v>0</v>
          </cell>
          <cell r="BL336">
            <v>0</v>
          </cell>
          <cell r="BM336">
            <v>84276.798807865998</v>
          </cell>
          <cell r="BN336">
            <v>72.715098194880071</v>
          </cell>
          <cell r="BO336">
            <v>0</v>
          </cell>
          <cell r="BP336">
            <v>0</v>
          </cell>
          <cell r="BY336">
            <v>2017</v>
          </cell>
          <cell r="CF336">
            <v>174.10187511074517</v>
          </cell>
          <cell r="CG336">
            <v>2142.25</v>
          </cell>
          <cell r="CJ336">
            <v>0</v>
          </cell>
          <cell r="CK336">
            <v>0</v>
          </cell>
          <cell r="CL336">
            <v>0</v>
          </cell>
          <cell r="CM336">
            <v>0</v>
          </cell>
          <cell r="CN336">
            <v>0</v>
          </cell>
          <cell r="CO336">
            <v>0</v>
          </cell>
          <cell r="CX336">
            <v>0</v>
          </cell>
          <cell r="CY336">
            <v>0</v>
          </cell>
          <cell r="DB336">
            <v>0</v>
          </cell>
          <cell r="DC336">
            <v>0</v>
          </cell>
          <cell r="DJ336" t="str">
            <v>НКРКП</v>
          </cell>
          <cell r="DL336">
            <v>40942</v>
          </cell>
          <cell r="DM336">
            <v>28</v>
          </cell>
          <cell r="DT336">
            <v>715.75</v>
          </cell>
        </row>
        <row r="337">
          <cell r="W337">
            <v>473.95</v>
          </cell>
          <cell r="AF337">
            <v>39926</v>
          </cell>
          <cell r="AG337">
            <v>363</v>
          </cell>
          <cell r="AH337">
            <v>438.84265075376879</v>
          </cell>
          <cell r="AM337">
            <v>206</v>
          </cell>
          <cell r="AO337">
            <v>97633.7</v>
          </cell>
          <cell r="AQ337">
            <v>90401.586055276377</v>
          </cell>
          <cell r="AU337">
            <v>0</v>
          </cell>
          <cell r="AW337">
            <v>0</v>
          </cell>
          <cell r="AY337">
            <v>66291.429545241263</v>
          </cell>
          <cell r="AZ337">
            <v>321.80305604486051</v>
          </cell>
          <cell r="BA337">
            <v>0</v>
          </cell>
          <cell r="BB337">
            <v>0</v>
          </cell>
          <cell r="BC337">
            <v>0</v>
          </cell>
          <cell r="BD337">
            <v>0</v>
          </cell>
          <cell r="BG337">
            <v>0</v>
          </cell>
          <cell r="BH337">
            <v>0</v>
          </cell>
          <cell r="BI337">
            <v>4431.7281197654938</v>
          </cell>
          <cell r="BJ337">
            <v>21.513243299832496</v>
          </cell>
          <cell r="BK337">
            <v>0</v>
          </cell>
          <cell r="BL337">
            <v>0</v>
          </cell>
          <cell r="BM337">
            <v>14979.318467336683</v>
          </cell>
          <cell r="BN337">
            <v>72.715138190954775</v>
          </cell>
          <cell r="BO337">
            <v>0</v>
          </cell>
          <cell r="BP337">
            <v>0</v>
          </cell>
          <cell r="BY337">
            <v>2017</v>
          </cell>
          <cell r="CF337">
            <v>30.9447681387519</v>
          </cell>
          <cell r="CG337">
            <v>2142.25</v>
          </cell>
          <cell r="CJ337">
            <v>0</v>
          </cell>
          <cell r="CK337">
            <v>0</v>
          </cell>
          <cell r="CL337">
            <v>0</v>
          </cell>
          <cell r="CM337">
            <v>0</v>
          </cell>
          <cell r="CN337">
            <v>0</v>
          </cell>
          <cell r="CO337">
            <v>0</v>
          </cell>
          <cell r="CX337">
            <v>0</v>
          </cell>
          <cell r="CY337">
            <v>0</v>
          </cell>
          <cell r="DB337">
            <v>0</v>
          </cell>
          <cell r="DC337">
            <v>0</v>
          </cell>
          <cell r="DJ337" t="str">
            <v>НКРКП</v>
          </cell>
          <cell r="DL337">
            <v>40942</v>
          </cell>
          <cell r="DM337">
            <v>28</v>
          </cell>
          <cell r="DT337">
            <v>715.75</v>
          </cell>
        </row>
        <row r="338">
          <cell r="W338">
            <v>176.39166666666665</v>
          </cell>
          <cell r="AF338">
            <v>39926</v>
          </cell>
          <cell r="AG338">
            <v>362</v>
          </cell>
          <cell r="AH338">
            <v>225.8994713378963</v>
          </cell>
          <cell r="AM338">
            <v>1693.3</v>
          </cell>
          <cell r="AO338">
            <v>298684.00916666666</v>
          </cell>
          <cell r="AQ338">
            <v>382515.57481645979</v>
          </cell>
          <cell r="AU338">
            <v>0</v>
          </cell>
          <cell r="AW338">
            <v>0</v>
          </cell>
          <cell r="AY338">
            <v>183740.64689505313</v>
          </cell>
          <cell r="AZ338">
            <v>108.5103920717257</v>
          </cell>
          <cell r="BA338">
            <v>0</v>
          </cell>
          <cell r="BB338">
            <v>0</v>
          </cell>
          <cell r="BC338">
            <v>0</v>
          </cell>
          <cell r="BD338">
            <v>0</v>
          </cell>
          <cell r="BG338">
            <v>0</v>
          </cell>
          <cell r="BH338">
            <v>0</v>
          </cell>
          <cell r="BI338">
            <v>39964.285864227197</v>
          </cell>
          <cell r="BJ338">
            <v>23.601420813929721</v>
          </cell>
          <cell r="BK338">
            <v>0</v>
          </cell>
          <cell r="BL338">
            <v>0</v>
          </cell>
          <cell r="BM338">
            <v>123134.88124161019</v>
          </cell>
          <cell r="BN338">
            <v>72.718881026167949</v>
          </cell>
          <cell r="BO338">
            <v>0</v>
          </cell>
          <cell r="BP338">
            <v>0</v>
          </cell>
          <cell r="BY338">
            <v>2017</v>
          </cell>
          <cell r="CF338">
            <v>252.62696872773071</v>
          </cell>
          <cell r="CG338">
            <v>727.32</v>
          </cell>
          <cell r="CJ338">
            <v>0</v>
          </cell>
          <cell r="CK338">
            <v>0</v>
          </cell>
          <cell r="CL338">
            <v>0</v>
          </cell>
          <cell r="CM338">
            <v>0</v>
          </cell>
          <cell r="CN338">
            <v>0</v>
          </cell>
          <cell r="CO338">
            <v>0</v>
          </cell>
          <cell r="CX338">
            <v>0</v>
          </cell>
          <cell r="CY338">
            <v>0</v>
          </cell>
          <cell r="DB338">
            <v>0</v>
          </cell>
          <cell r="DC338">
            <v>0</v>
          </cell>
          <cell r="DJ338" t="str">
            <v>НКРЕ</v>
          </cell>
          <cell r="DL338">
            <v>40526</v>
          </cell>
          <cell r="DM338">
            <v>1854</v>
          </cell>
          <cell r="DO338" t="str">
            <v>Тариф на теплову енергію</v>
          </cell>
          <cell r="DT338">
            <v>220.49</v>
          </cell>
        </row>
        <row r="339">
          <cell r="W339">
            <v>198.61</v>
          </cell>
          <cell r="AF339">
            <v>39926</v>
          </cell>
          <cell r="AG339">
            <v>358</v>
          </cell>
          <cell r="AH339">
            <v>229.08787014620614</v>
          </cell>
          <cell r="AM339">
            <v>207330</v>
          </cell>
          <cell r="AO339">
            <v>41177811.300000004</v>
          </cell>
          <cell r="AQ339">
            <v>47496788.117412917</v>
          </cell>
          <cell r="AU339">
            <v>0</v>
          </cell>
          <cell r="AW339">
            <v>0</v>
          </cell>
          <cell r="AY339">
            <v>23859458.134796113</v>
          </cell>
          <cell r="AZ339">
            <v>115.0796225090248</v>
          </cell>
          <cell r="BA339">
            <v>348143.06145482429</v>
          </cell>
          <cell r="BB339">
            <v>1.6791735950167572</v>
          </cell>
          <cell r="BC339">
            <v>0</v>
          </cell>
          <cell r="BD339">
            <v>0</v>
          </cell>
          <cell r="BG339">
            <v>0</v>
          </cell>
          <cell r="BH339">
            <v>0</v>
          </cell>
          <cell r="BI339">
            <v>8133757.9801669698</v>
          </cell>
          <cell r="BJ339">
            <v>39.230974678854821</v>
          </cell>
          <cell r="BK339">
            <v>0</v>
          </cell>
          <cell r="BL339">
            <v>0</v>
          </cell>
          <cell r="BM339">
            <v>11394227.605992988</v>
          </cell>
          <cell r="BN339">
            <v>54.956965253426844</v>
          </cell>
          <cell r="BO339">
            <v>0</v>
          </cell>
          <cell r="BP339">
            <v>0</v>
          </cell>
          <cell r="BY339">
            <v>1832</v>
          </cell>
          <cell r="CF339">
            <v>32804.75794570471</v>
          </cell>
          <cell r="CG339">
            <v>727.31700000000001</v>
          </cell>
          <cell r="CJ339">
            <v>0</v>
          </cell>
          <cell r="CK339">
            <v>0</v>
          </cell>
          <cell r="CL339">
            <v>0</v>
          </cell>
          <cell r="CM339">
            <v>0</v>
          </cell>
          <cell r="CN339">
            <v>0</v>
          </cell>
          <cell r="CO339">
            <v>0</v>
          </cell>
          <cell r="CX339">
            <v>0</v>
          </cell>
          <cell r="CY339">
            <v>0</v>
          </cell>
          <cell r="DB339">
            <v>0</v>
          </cell>
          <cell r="DC339">
            <v>0</v>
          </cell>
          <cell r="DJ339" t="str">
            <v>НКРЕ</v>
          </cell>
          <cell r="DL339">
            <v>40526</v>
          </cell>
          <cell r="DM339">
            <v>1854</v>
          </cell>
          <cell r="DO339" t="str">
            <v>Тариф на теплову енергію</v>
          </cell>
          <cell r="DT339">
            <v>218.47</v>
          </cell>
        </row>
        <row r="340">
          <cell r="W340">
            <v>766.18</v>
          </cell>
          <cell r="AF340">
            <v>39926</v>
          </cell>
          <cell r="AG340">
            <v>359</v>
          </cell>
          <cell r="AH340">
            <v>453.22363550710003</v>
          </cell>
          <cell r="AM340">
            <v>26673</v>
          </cell>
          <cell r="AO340">
            <v>20436319.139999997</v>
          </cell>
          <cell r="AQ340">
            <v>12088834.029880879</v>
          </cell>
          <cell r="AU340">
            <v>0</v>
          </cell>
          <cell r="AW340">
            <v>0</v>
          </cell>
          <cell r="AY340">
            <v>9130170.345787907</v>
          </cell>
          <cell r="AZ340">
            <v>342.30009169526886</v>
          </cell>
          <cell r="BA340">
            <v>8257.3389864728451</v>
          </cell>
          <cell r="BB340">
            <v>0.30957668752944345</v>
          </cell>
          <cell r="BC340">
            <v>0</v>
          </cell>
          <cell r="BD340">
            <v>0</v>
          </cell>
          <cell r="BG340">
            <v>0</v>
          </cell>
          <cell r="BH340">
            <v>0</v>
          </cell>
          <cell r="BI340">
            <v>1046348.4554815263</v>
          </cell>
          <cell r="BJ340">
            <v>39.228750252372301</v>
          </cell>
          <cell r="BK340">
            <v>0</v>
          </cell>
          <cell r="BL340">
            <v>0</v>
          </cell>
          <cell r="BM340">
            <v>1465677.6700989299</v>
          </cell>
          <cell r="BN340">
            <v>54.949862036476205</v>
          </cell>
          <cell r="BO340">
            <v>0</v>
          </cell>
          <cell r="BP340">
            <v>0</v>
          </cell>
          <cell r="BY340">
            <v>1832</v>
          </cell>
          <cell r="CF340">
            <v>4261.9537149202506</v>
          </cell>
          <cell r="CG340">
            <v>2142.25</v>
          </cell>
          <cell r="CJ340">
            <v>0</v>
          </cell>
          <cell r="CK340">
            <v>0</v>
          </cell>
          <cell r="CL340">
            <v>0</v>
          </cell>
          <cell r="CM340">
            <v>0</v>
          </cell>
          <cell r="CN340">
            <v>0</v>
          </cell>
          <cell r="CO340">
            <v>0</v>
          </cell>
          <cell r="CX340">
            <v>0</v>
          </cell>
          <cell r="CY340">
            <v>0</v>
          </cell>
          <cell r="DB340">
            <v>0</v>
          </cell>
          <cell r="DC340">
            <v>0</v>
          </cell>
          <cell r="DJ340" t="str">
            <v>НКРКП</v>
          </cell>
          <cell r="DL340">
            <v>40942</v>
          </cell>
          <cell r="DM340">
            <v>28</v>
          </cell>
          <cell r="DT340">
            <v>999.9</v>
          </cell>
        </row>
        <row r="341">
          <cell r="W341">
            <v>766.18</v>
          </cell>
          <cell r="AF341">
            <v>39926</v>
          </cell>
          <cell r="AG341">
            <v>359</v>
          </cell>
          <cell r="AH341">
            <v>453.21876947733955</v>
          </cell>
          <cell r="AM341">
            <v>10836</v>
          </cell>
          <cell r="AO341">
            <v>8302326.4799999995</v>
          </cell>
          <cell r="AQ341">
            <v>4911078.5860564513</v>
          </cell>
          <cell r="AU341">
            <v>0</v>
          </cell>
          <cell r="AW341">
            <v>0</v>
          </cell>
          <cell r="AY341">
            <v>3709062.7713026446</v>
          </cell>
          <cell r="AZ341">
            <v>342.29076885406465</v>
          </cell>
          <cell r="BA341">
            <v>3376.9032143175141</v>
          </cell>
          <cell r="BB341">
            <v>0.31163743210755945</v>
          </cell>
          <cell r="BC341">
            <v>0</v>
          </cell>
          <cell r="BD341">
            <v>0</v>
          </cell>
          <cell r="BG341">
            <v>0</v>
          </cell>
          <cell r="BH341">
            <v>0</v>
          </cell>
          <cell r="BI341">
            <v>425103.87320808478</v>
          </cell>
          <cell r="BJ341">
            <v>39.230700739025913</v>
          </cell>
          <cell r="BK341">
            <v>0</v>
          </cell>
          <cell r="BL341">
            <v>0</v>
          </cell>
          <cell r="BM341">
            <v>596650.55649541446</v>
          </cell>
          <cell r="BN341">
            <v>55.061882290089926</v>
          </cell>
          <cell r="BO341">
            <v>0</v>
          </cell>
          <cell r="BP341">
            <v>0</v>
          </cell>
          <cell r="BY341">
            <v>1832</v>
          </cell>
          <cell r="CF341">
            <v>1731.3865194550797</v>
          </cell>
          <cell r="CG341">
            <v>2142.25</v>
          </cell>
          <cell r="CJ341">
            <v>0</v>
          </cell>
          <cell r="CK341">
            <v>0</v>
          </cell>
          <cell r="CL341">
            <v>0</v>
          </cell>
          <cell r="CM341">
            <v>0</v>
          </cell>
          <cell r="CN341">
            <v>0</v>
          </cell>
          <cell r="CO341">
            <v>0</v>
          </cell>
          <cell r="CX341">
            <v>0</v>
          </cell>
          <cell r="CY341">
            <v>0</v>
          </cell>
          <cell r="DB341">
            <v>0</v>
          </cell>
          <cell r="DC341">
            <v>0</v>
          </cell>
          <cell r="DJ341" t="str">
            <v>НКРКП</v>
          </cell>
          <cell r="DL341">
            <v>40942</v>
          </cell>
          <cell r="DM341">
            <v>28</v>
          </cell>
          <cell r="DT341">
            <v>999.9</v>
          </cell>
        </row>
        <row r="342">
          <cell r="W342">
            <v>198.61</v>
          </cell>
          <cell r="AF342">
            <v>39926</v>
          </cell>
          <cell r="AG342">
            <v>358</v>
          </cell>
          <cell r="AH342">
            <v>229.08787014620611</v>
          </cell>
          <cell r="AM342">
            <v>12933</v>
          </cell>
          <cell r="AO342">
            <v>2568623.1300000004</v>
          </cell>
          <cell r="AQ342">
            <v>2962793.4246008839</v>
          </cell>
          <cell r="AU342">
            <v>0</v>
          </cell>
          <cell r="AW342">
            <v>0</v>
          </cell>
          <cell r="AY342">
            <v>1488324.7579092178</v>
          </cell>
          <cell r="AZ342">
            <v>115.0796225090248</v>
          </cell>
          <cell r="BA342">
            <v>21716.752104351723</v>
          </cell>
          <cell r="BB342">
            <v>1.6791735950167574</v>
          </cell>
          <cell r="BC342">
            <v>0</v>
          </cell>
          <cell r="BD342">
            <v>0</v>
          </cell>
          <cell r="BG342">
            <v>0</v>
          </cell>
          <cell r="BH342">
            <v>0</v>
          </cell>
          <cell r="BI342">
            <v>507374.19552162936</v>
          </cell>
          <cell r="BJ342">
            <v>39.230974678854821</v>
          </cell>
          <cell r="BK342">
            <v>0</v>
          </cell>
          <cell r="BL342">
            <v>0</v>
          </cell>
          <cell r="BM342">
            <v>710758.43162256933</v>
          </cell>
          <cell r="BN342">
            <v>54.956965253426844</v>
          </cell>
          <cell r="BO342">
            <v>0</v>
          </cell>
          <cell r="BP342">
            <v>0</v>
          </cell>
          <cell r="BY342">
            <v>1832</v>
          </cell>
          <cell r="CF342">
            <v>2046.3219722751123</v>
          </cell>
          <cell r="CG342">
            <v>727.31700000000001</v>
          </cell>
          <cell r="CJ342">
            <v>0</v>
          </cell>
          <cell r="CK342">
            <v>0</v>
          </cell>
          <cell r="CL342">
            <v>0</v>
          </cell>
          <cell r="CM342">
            <v>0</v>
          </cell>
          <cell r="CN342">
            <v>0</v>
          </cell>
          <cell r="CO342">
            <v>0</v>
          </cell>
          <cell r="CX342">
            <v>0</v>
          </cell>
          <cell r="CY342">
            <v>0</v>
          </cell>
          <cell r="DB342">
            <v>0</v>
          </cell>
          <cell r="DC342">
            <v>0</v>
          </cell>
          <cell r="DJ342" t="str">
            <v>НКРЕ</v>
          </cell>
          <cell r="DL342">
            <v>40526</v>
          </cell>
          <cell r="DM342">
            <v>1854</v>
          </cell>
          <cell r="DO342" t="str">
            <v>Тариф на теплову енергію</v>
          </cell>
          <cell r="DT342">
            <v>218.47</v>
          </cell>
        </row>
        <row r="343">
          <cell r="W343">
            <v>766.18</v>
          </cell>
          <cell r="AF343">
            <v>39926</v>
          </cell>
          <cell r="AG343">
            <v>359</v>
          </cell>
          <cell r="AH343">
            <v>453.22363550710008</v>
          </cell>
          <cell r="AM343">
            <v>988</v>
          </cell>
          <cell r="AO343">
            <v>756985.84</v>
          </cell>
          <cell r="AQ343">
            <v>447784.95188101486</v>
          </cell>
          <cell r="AU343">
            <v>0</v>
          </cell>
          <cell r="AW343">
            <v>0</v>
          </cell>
          <cell r="AY343">
            <v>338192.49059492565</v>
          </cell>
          <cell r="AZ343">
            <v>342.30009169526886</v>
          </cell>
          <cell r="BA343">
            <v>305.86176727909009</v>
          </cell>
          <cell r="BB343">
            <v>0.3095766875294434</v>
          </cell>
          <cell r="BC343">
            <v>0</v>
          </cell>
          <cell r="BD343">
            <v>0</v>
          </cell>
          <cell r="BG343">
            <v>0</v>
          </cell>
          <cell r="BH343">
            <v>0</v>
          </cell>
          <cell r="BI343">
            <v>38758.005249343834</v>
          </cell>
          <cell r="BJ343">
            <v>39.228750252372301</v>
          </cell>
          <cell r="BK343">
            <v>0</v>
          </cell>
          <cell r="BL343">
            <v>0</v>
          </cell>
          <cell r="BM343">
            <v>54290.463692038495</v>
          </cell>
          <cell r="BN343">
            <v>54.949862036476212</v>
          </cell>
          <cell r="BO343">
            <v>0</v>
          </cell>
          <cell r="BP343">
            <v>0</v>
          </cell>
          <cell r="BY343">
            <v>1832</v>
          </cell>
          <cell r="CF343">
            <v>157.86789151356081</v>
          </cell>
          <cell r="CG343">
            <v>2142.25</v>
          </cell>
          <cell r="CJ343">
            <v>0</v>
          </cell>
          <cell r="CK343">
            <v>0</v>
          </cell>
          <cell r="CL343">
            <v>0</v>
          </cell>
          <cell r="CM343">
            <v>0</v>
          </cell>
          <cell r="CN343">
            <v>0</v>
          </cell>
          <cell r="CO343">
            <v>0</v>
          </cell>
          <cell r="CX343">
            <v>0</v>
          </cell>
          <cell r="CY343">
            <v>0</v>
          </cell>
          <cell r="DB343">
            <v>0</v>
          </cell>
          <cell r="DC343">
            <v>0</v>
          </cell>
          <cell r="DJ343" t="str">
            <v>НКРКП</v>
          </cell>
          <cell r="DL343">
            <v>40942</v>
          </cell>
          <cell r="DM343">
            <v>28</v>
          </cell>
          <cell r="DT343">
            <v>999.9</v>
          </cell>
        </row>
        <row r="344">
          <cell r="W344">
            <v>766.18</v>
          </cell>
          <cell r="AF344">
            <v>39926</v>
          </cell>
          <cell r="AG344">
            <v>359</v>
          </cell>
          <cell r="AH344">
            <v>453.21876947733955</v>
          </cell>
          <cell r="AM344">
            <v>124</v>
          </cell>
          <cell r="AO344">
            <v>95006.319999999992</v>
          </cell>
          <cell r="AQ344">
            <v>56199.127415190102</v>
          </cell>
          <cell r="AU344">
            <v>0</v>
          </cell>
          <cell r="AW344">
            <v>0</v>
          </cell>
          <cell r="AY344">
            <v>42444.055337904014</v>
          </cell>
          <cell r="AZ344">
            <v>342.29076885406465</v>
          </cell>
          <cell r="BA344">
            <v>38.643041581337371</v>
          </cell>
          <cell r="BB344">
            <v>0.31163743210755945</v>
          </cell>
          <cell r="BC344">
            <v>0</v>
          </cell>
          <cell r="BD344">
            <v>0</v>
          </cell>
          <cell r="BG344">
            <v>0</v>
          </cell>
          <cell r="BH344">
            <v>0</v>
          </cell>
          <cell r="BI344">
            <v>4864.6068916392132</v>
          </cell>
          <cell r="BJ344">
            <v>39.230700739025913</v>
          </cell>
          <cell r="BK344">
            <v>0</v>
          </cell>
          <cell r="BL344">
            <v>0</v>
          </cell>
          <cell r="BM344">
            <v>6827.6734039711509</v>
          </cell>
          <cell r="BN344">
            <v>55.061882290089926</v>
          </cell>
          <cell r="BO344">
            <v>0</v>
          </cell>
          <cell r="BP344">
            <v>0</v>
          </cell>
          <cell r="BY344">
            <v>1832</v>
          </cell>
          <cell r="CF344">
            <v>19.812839462202831</v>
          </cell>
          <cell r="CG344">
            <v>2142.25</v>
          </cell>
          <cell r="CJ344">
            <v>0</v>
          </cell>
          <cell r="CK344">
            <v>0</v>
          </cell>
          <cell r="CL344">
            <v>0</v>
          </cell>
          <cell r="CM344">
            <v>0</v>
          </cell>
          <cell r="CN344">
            <v>0</v>
          </cell>
          <cell r="CO344">
            <v>0</v>
          </cell>
          <cell r="CX344">
            <v>0</v>
          </cell>
          <cell r="CY344">
            <v>0</v>
          </cell>
          <cell r="DB344">
            <v>0</v>
          </cell>
          <cell r="DC344">
            <v>0</v>
          </cell>
          <cell r="DJ344" t="str">
            <v>НКРКП</v>
          </cell>
          <cell r="DL344">
            <v>40942</v>
          </cell>
          <cell r="DM344">
            <v>28</v>
          </cell>
          <cell r="DT344">
            <v>999.9</v>
          </cell>
        </row>
        <row r="345">
          <cell r="W345">
            <v>198.61</v>
          </cell>
          <cell r="AF345">
            <v>39926</v>
          </cell>
          <cell r="AG345">
            <v>358</v>
          </cell>
          <cell r="AH345">
            <v>229.08787014620614</v>
          </cell>
          <cell r="AM345">
            <v>11875</v>
          </cell>
          <cell r="AO345">
            <v>2358493.75</v>
          </cell>
          <cell r="AQ345">
            <v>2720418.4579861979</v>
          </cell>
          <cell r="AU345">
            <v>0</v>
          </cell>
          <cell r="AW345">
            <v>0</v>
          </cell>
          <cell r="AY345">
            <v>1366570.5172946695</v>
          </cell>
          <cell r="AZ345">
            <v>115.0796225090248</v>
          </cell>
          <cell r="BA345">
            <v>19940.186440823993</v>
          </cell>
          <cell r="BB345">
            <v>1.6791735950167572</v>
          </cell>
          <cell r="BC345">
            <v>0</v>
          </cell>
          <cell r="BD345">
            <v>0</v>
          </cell>
          <cell r="BG345">
            <v>0</v>
          </cell>
          <cell r="BH345">
            <v>0</v>
          </cell>
          <cell r="BI345">
            <v>465867.824311401</v>
          </cell>
          <cell r="BJ345">
            <v>39.230974678854821</v>
          </cell>
          <cell r="BK345">
            <v>0</v>
          </cell>
          <cell r="BL345">
            <v>0</v>
          </cell>
          <cell r="BM345">
            <v>652613.96238444373</v>
          </cell>
          <cell r="BN345">
            <v>54.956965253426837</v>
          </cell>
          <cell r="BO345">
            <v>0</v>
          </cell>
          <cell r="BP345">
            <v>0</v>
          </cell>
          <cell r="BY345">
            <v>1832</v>
          </cell>
          <cell r="CF345">
            <v>1878.9200820201777</v>
          </cell>
          <cell r="CG345">
            <v>727.31700000000001</v>
          </cell>
          <cell r="CJ345">
            <v>0</v>
          </cell>
          <cell r="CK345">
            <v>0</v>
          </cell>
          <cell r="CL345">
            <v>0</v>
          </cell>
          <cell r="CM345">
            <v>0</v>
          </cell>
          <cell r="CN345">
            <v>0</v>
          </cell>
          <cell r="CO345">
            <v>0</v>
          </cell>
          <cell r="CX345">
            <v>0</v>
          </cell>
          <cell r="CY345">
            <v>0</v>
          </cell>
          <cell r="DB345">
            <v>0</v>
          </cell>
          <cell r="DC345">
            <v>0</v>
          </cell>
          <cell r="DJ345" t="str">
            <v>НКРЕ</v>
          </cell>
          <cell r="DL345">
            <v>40526</v>
          </cell>
          <cell r="DM345">
            <v>1854</v>
          </cell>
          <cell r="DO345" t="str">
            <v>Тариф на теплову енергію</v>
          </cell>
          <cell r="DT345">
            <v>218.47</v>
          </cell>
        </row>
        <row r="346">
          <cell r="W346">
            <v>766.18</v>
          </cell>
          <cell r="AF346">
            <v>39926</v>
          </cell>
          <cell r="AG346">
            <v>359</v>
          </cell>
          <cell r="AH346">
            <v>453.22363550710008</v>
          </cell>
          <cell r="AM346">
            <v>2057</v>
          </cell>
          <cell r="AO346">
            <v>1576032.26</v>
          </cell>
          <cell r="AQ346">
            <v>932281.01823810488</v>
          </cell>
          <cell r="AU346">
            <v>0</v>
          </cell>
          <cell r="AW346">
            <v>0</v>
          </cell>
          <cell r="AY346">
            <v>704111.28861716809</v>
          </cell>
          <cell r="AZ346">
            <v>342.30009169526886</v>
          </cell>
          <cell r="BA346">
            <v>636.79924624806517</v>
          </cell>
          <cell r="BB346">
            <v>0.30957668752944345</v>
          </cell>
          <cell r="BC346">
            <v>0</v>
          </cell>
          <cell r="BD346">
            <v>0</v>
          </cell>
          <cell r="BG346">
            <v>0</v>
          </cell>
          <cell r="BH346">
            <v>0</v>
          </cell>
          <cell r="BI346">
            <v>80693.539269129818</v>
          </cell>
          <cell r="BJ346">
            <v>39.228750252372301</v>
          </cell>
          <cell r="BK346">
            <v>0</v>
          </cell>
          <cell r="BL346">
            <v>0</v>
          </cell>
          <cell r="BM346">
            <v>113031.86620903156</v>
          </cell>
          <cell r="BN346">
            <v>54.949862036476212</v>
          </cell>
          <cell r="BO346">
            <v>0</v>
          </cell>
          <cell r="BP346">
            <v>0</v>
          </cell>
          <cell r="BY346">
            <v>1832</v>
          </cell>
          <cell r="CF346">
            <v>328.67839356618884</v>
          </cell>
          <cell r="CG346">
            <v>2142.25</v>
          </cell>
          <cell r="CJ346">
            <v>0</v>
          </cell>
          <cell r="CK346">
            <v>0</v>
          </cell>
          <cell r="CL346">
            <v>0</v>
          </cell>
          <cell r="CM346">
            <v>0</v>
          </cell>
          <cell r="CN346">
            <v>0</v>
          </cell>
          <cell r="CO346">
            <v>0</v>
          </cell>
          <cell r="CX346">
            <v>0</v>
          </cell>
          <cell r="CY346">
            <v>0</v>
          </cell>
          <cell r="DB346">
            <v>0</v>
          </cell>
          <cell r="DC346">
            <v>0</v>
          </cell>
          <cell r="DJ346" t="str">
            <v>НКРКП</v>
          </cell>
          <cell r="DL346">
            <v>40942</v>
          </cell>
          <cell r="DM346">
            <v>28</v>
          </cell>
          <cell r="DT346">
            <v>999.9</v>
          </cell>
        </row>
        <row r="347">
          <cell r="W347">
            <v>766.18</v>
          </cell>
          <cell r="AF347">
            <v>39926</v>
          </cell>
          <cell r="AG347">
            <v>359</v>
          </cell>
          <cell r="AH347">
            <v>453.21876947733949</v>
          </cell>
          <cell r="AM347">
            <v>271</v>
          </cell>
          <cell r="AO347">
            <v>207634.78</v>
          </cell>
          <cell r="AQ347">
            <v>122822.28652835901</v>
          </cell>
          <cell r="AU347">
            <v>0</v>
          </cell>
          <cell r="AW347">
            <v>0</v>
          </cell>
          <cell r="AY347">
            <v>92760.79835945151</v>
          </cell>
          <cell r="AZ347">
            <v>342.29076885406459</v>
          </cell>
          <cell r="BA347">
            <v>84.453744101148601</v>
          </cell>
          <cell r="BB347">
            <v>0.3116374321075594</v>
          </cell>
          <cell r="BC347">
            <v>0</v>
          </cell>
          <cell r="BD347">
            <v>0</v>
          </cell>
          <cell r="BG347">
            <v>0</v>
          </cell>
          <cell r="BH347">
            <v>0</v>
          </cell>
          <cell r="BI347">
            <v>10631.519900276022</v>
          </cell>
          <cell r="BJ347">
            <v>39.230700739025913</v>
          </cell>
          <cell r="BK347">
            <v>0</v>
          </cell>
          <cell r="BL347">
            <v>0</v>
          </cell>
          <cell r="BM347">
            <v>14921.770100614371</v>
          </cell>
          <cell r="BN347">
            <v>55.061882290089926</v>
          </cell>
          <cell r="BO347">
            <v>0</v>
          </cell>
          <cell r="BP347">
            <v>0</v>
          </cell>
          <cell r="BY347">
            <v>1832</v>
          </cell>
          <cell r="CF347">
            <v>43.300641082717476</v>
          </cell>
          <cell r="CG347">
            <v>2142.25</v>
          </cell>
          <cell r="CJ347">
            <v>0</v>
          </cell>
          <cell r="CK347">
            <v>0</v>
          </cell>
          <cell r="CL347">
            <v>0</v>
          </cell>
          <cell r="CM347">
            <v>0</v>
          </cell>
          <cell r="CN347">
            <v>0</v>
          </cell>
          <cell r="CO347">
            <v>0</v>
          </cell>
          <cell r="CX347">
            <v>0</v>
          </cell>
          <cell r="CY347">
            <v>0</v>
          </cell>
          <cell r="DB347">
            <v>0</v>
          </cell>
          <cell r="DC347">
            <v>0</v>
          </cell>
          <cell r="DJ347" t="str">
            <v>НКРКП</v>
          </cell>
          <cell r="DL347">
            <v>40942</v>
          </cell>
          <cell r="DM347">
            <v>28</v>
          </cell>
          <cell r="DT347">
            <v>999.9</v>
          </cell>
        </row>
        <row r="348">
          <cell r="W348">
            <v>270.56666666666666</v>
          </cell>
          <cell r="AF348">
            <v>39926</v>
          </cell>
          <cell r="AG348">
            <v>354</v>
          </cell>
          <cell r="AH348">
            <v>250.52371942154346</v>
          </cell>
          <cell r="AM348">
            <v>170357.1</v>
          </cell>
          <cell r="AO348">
            <v>46092952.689999998</v>
          </cell>
          <cell r="AQ348">
            <v>42678494.321867824</v>
          </cell>
          <cell r="AU348">
            <v>0</v>
          </cell>
          <cell r="AW348">
            <v>0</v>
          </cell>
          <cell r="AY348">
            <v>19452018.371063735</v>
          </cell>
          <cell r="AZ348">
            <v>114.18378436275174</v>
          </cell>
          <cell r="BA348">
            <v>2681760.1327882148</v>
          </cell>
          <cell r="BB348">
            <v>15.741992161102852</v>
          </cell>
          <cell r="BC348">
            <v>0</v>
          </cell>
          <cell r="BD348">
            <v>0</v>
          </cell>
          <cell r="BG348">
            <v>0</v>
          </cell>
          <cell r="BH348">
            <v>0</v>
          </cell>
          <cell r="BI348">
            <v>5429619.3115623733</v>
          </cell>
          <cell r="BJ348">
            <v>31.871987205478217</v>
          </cell>
          <cell r="BK348">
            <v>0</v>
          </cell>
          <cell r="BL348">
            <v>0</v>
          </cell>
          <cell r="BM348">
            <v>10153350.698067307</v>
          </cell>
          <cell r="BN348">
            <v>59.600396449970724</v>
          </cell>
          <cell r="BO348">
            <v>0</v>
          </cell>
          <cell r="BP348">
            <v>0</v>
          </cell>
          <cell r="BY348">
            <v>1643</v>
          </cell>
          <cell r="CF348">
            <v>26744.786849067445</v>
          </cell>
          <cell r="CG348">
            <v>727.32</v>
          </cell>
          <cell r="CJ348">
            <v>0</v>
          </cell>
          <cell r="CK348">
            <v>0</v>
          </cell>
          <cell r="CL348">
            <v>0</v>
          </cell>
          <cell r="CM348">
            <v>0</v>
          </cell>
          <cell r="CN348">
            <v>0</v>
          </cell>
          <cell r="CO348">
            <v>0</v>
          </cell>
          <cell r="CX348">
            <v>0</v>
          </cell>
          <cell r="CY348">
            <v>0</v>
          </cell>
          <cell r="DB348">
            <v>0</v>
          </cell>
          <cell r="DC348">
            <v>0</v>
          </cell>
          <cell r="DJ348" t="str">
            <v>НКРЕ</v>
          </cell>
          <cell r="DL348">
            <v>40526</v>
          </cell>
          <cell r="DM348">
            <v>1854</v>
          </cell>
          <cell r="DO348" t="str">
            <v>тариф на теплову енергію</v>
          </cell>
          <cell r="DT348">
            <v>297.63</v>
          </cell>
        </row>
        <row r="349">
          <cell r="W349">
            <v>519.44166666666672</v>
          </cell>
          <cell r="AF349">
            <v>39926</v>
          </cell>
          <cell r="AG349">
            <v>355</v>
          </cell>
          <cell r="AH349">
            <v>480.96080901226355</v>
          </cell>
          <cell r="AM349">
            <v>38908.6</v>
          </cell>
          <cell r="AO349">
            <v>20210748.031666666</v>
          </cell>
          <cell r="AQ349">
            <v>18713511.733534556</v>
          </cell>
          <cell r="AU349">
            <v>0</v>
          </cell>
          <cell r="AW349">
            <v>0</v>
          </cell>
          <cell r="AY349">
            <v>12059051.487446286</v>
          </cell>
          <cell r="AZ349">
            <v>309.93280373609656</v>
          </cell>
          <cell r="BA349">
            <v>1969569.8660281394</v>
          </cell>
          <cell r="BB349">
            <v>50.620424945337007</v>
          </cell>
          <cell r="BC349">
            <v>0</v>
          </cell>
          <cell r="BD349">
            <v>0</v>
          </cell>
          <cell r="BG349">
            <v>0</v>
          </cell>
          <cell r="BH349">
            <v>0</v>
          </cell>
          <cell r="BI349">
            <v>1232530.4222739802</v>
          </cell>
          <cell r="BJ349">
            <v>31.677583420477227</v>
          </cell>
          <cell r="BK349">
            <v>0</v>
          </cell>
          <cell r="BL349">
            <v>0</v>
          </cell>
          <cell r="BM349">
            <v>2318922.4140650253</v>
          </cell>
          <cell r="BN349">
            <v>59.599225211522011</v>
          </cell>
          <cell r="BO349">
            <v>0</v>
          </cell>
          <cell r="BP349">
            <v>0</v>
          </cell>
          <cell r="BY349">
            <v>1643</v>
          </cell>
          <cell r="CF349">
            <v>5629.1522872896658</v>
          </cell>
          <cell r="CG349">
            <v>2142.25</v>
          </cell>
          <cell r="CJ349">
            <v>0</v>
          </cell>
          <cell r="CK349">
            <v>0</v>
          </cell>
          <cell r="CL349">
            <v>0</v>
          </cell>
          <cell r="CM349">
            <v>0</v>
          </cell>
          <cell r="CN349">
            <v>0</v>
          </cell>
          <cell r="CO349">
            <v>0</v>
          </cell>
          <cell r="CX349">
            <v>0</v>
          </cell>
          <cell r="CY349">
            <v>0</v>
          </cell>
          <cell r="DB349">
            <v>0</v>
          </cell>
          <cell r="DC349">
            <v>0</v>
          </cell>
          <cell r="DJ349" t="str">
            <v>НКРКП</v>
          </cell>
          <cell r="DL349">
            <v>40942</v>
          </cell>
          <cell r="DM349">
            <v>28</v>
          </cell>
          <cell r="DT349">
            <v>796.74</v>
          </cell>
        </row>
        <row r="350">
          <cell r="W350">
            <v>519.44166666666672</v>
          </cell>
          <cell r="AF350">
            <v>39926</v>
          </cell>
          <cell r="AG350">
            <v>355</v>
          </cell>
          <cell r="AH350">
            <v>480.9608066537541</v>
          </cell>
          <cell r="AM350">
            <v>8399.7000000000007</v>
          </cell>
          <cell r="AO350">
            <v>4363154.1675000004</v>
          </cell>
          <cell r="AQ350">
            <v>4039926.4876495386</v>
          </cell>
          <cell r="AU350">
            <v>0</v>
          </cell>
          <cell r="AW350">
            <v>0</v>
          </cell>
          <cell r="AY350">
            <v>2603293.6027441039</v>
          </cell>
          <cell r="AZ350">
            <v>309.92697390908052</v>
          </cell>
          <cell r="BA350">
            <v>425195.93386122823</v>
          </cell>
          <cell r="BB350">
            <v>50.620371425316165</v>
          </cell>
          <cell r="BC350">
            <v>0</v>
          </cell>
          <cell r="BD350">
            <v>0</v>
          </cell>
          <cell r="BG350">
            <v>0</v>
          </cell>
          <cell r="BH350">
            <v>0</v>
          </cell>
          <cell r="BI350">
            <v>266082.05420986674</v>
          </cell>
          <cell r="BJ350">
            <v>31.677566366640082</v>
          </cell>
          <cell r="BK350">
            <v>0</v>
          </cell>
          <cell r="BL350">
            <v>0</v>
          </cell>
          <cell r="BM350">
            <v>500616.18652159051</v>
          </cell>
          <cell r="BN350">
            <v>59.599293608294403</v>
          </cell>
          <cell r="BO350">
            <v>0</v>
          </cell>
          <cell r="BP350">
            <v>0</v>
          </cell>
          <cell r="BY350">
            <v>1643</v>
          </cell>
          <cell r="CF350">
            <v>1215.2146587672325</v>
          </cell>
          <cell r="CG350">
            <v>2142.25</v>
          </cell>
          <cell r="CJ350">
            <v>0</v>
          </cell>
          <cell r="CK350">
            <v>0</v>
          </cell>
          <cell r="CL350">
            <v>0</v>
          </cell>
          <cell r="CM350">
            <v>0</v>
          </cell>
          <cell r="CN350">
            <v>0</v>
          </cell>
          <cell r="CO350">
            <v>0</v>
          </cell>
          <cell r="CX350">
            <v>0</v>
          </cell>
          <cell r="CY350">
            <v>0</v>
          </cell>
          <cell r="DB350">
            <v>0</v>
          </cell>
          <cell r="DC350">
            <v>0</v>
          </cell>
          <cell r="DJ350" t="str">
            <v>НКРКП</v>
          </cell>
          <cell r="DL350">
            <v>40942</v>
          </cell>
          <cell r="DM350">
            <v>28</v>
          </cell>
          <cell r="DT350">
            <v>796.74</v>
          </cell>
        </row>
        <row r="351">
          <cell r="W351">
            <v>270.56666666666666</v>
          </cell>
          <cell r="AF351">
            <v>39926</v>
          </cell>
          <cell r="AG351">
            <v>354</v>
          </cell>
          <cell r="AH351">
            <v>250.52371942154343</v>
          </cell>
          <cell r="AM351">
            <v>345.3</v>
          </cell>
          <cell r="AO351">
            <v>93426.67</v>
          </cell>
          <cell r="AQ351">
            <v>86505.840316258953</v>
          </cell>
          <cell r="AU351">
            <v>0</v>
          </cell>
          <cell r="AW351">
            <v>0</v>
          </cell>
          <cell r="AY351">
            <v>39427.660740458174</v>
          </cell>
          <cell r="AZ351">
            <v>114.18378436275172</v>
          </cell>
          <cell r="BA351">
            <v>5435.7098932288145</v>
          </cell>
          <cell r="BB351">
            <v>15.74199216110285</v>
          </cell>
          <cell r="BC351">
            <v>0</v>
          </cell>
          <cell r="BD351">
            <v>0</v>
          </cell>
          <cell r="BG351">
            <v>0</v>
          </cell>
          <cell r="BH351">
            <v>0</v>
          </cell>
          <cell r="BI351">
            <v>11005.397182051629</v>
          </cell>
          <cell r="BJ351">
            <v>31.871987205478217</v>
          </cell>
          <cell r="BK351">
            <v>0</v>
          </cell>
          <cell r="BL351">
            <v>0</v>
          </cell>
          <cell r="BM351">
            <v>20580.016894174889</v>
          </cell>
          <cell r="BN351">
            <v>59.600396449970717</v>
          </cell>
          <cell r="BO351">
            <v>0</v>
          </cell>
          <cell r="BP351">
            <v>0</v>
          </cell>
          <cell r="BY351">
            <v>1643</v>
          </cell>
          <cell r="CF351">
            <v>54.209509899986486</v>
          </cell>
          <cell r="CG351">
            <v>727.32</v>
          </cell>
          <cell r="CJ351">
            <v>0</v>
          </cell>
          <cell r="CK351">
            <v>0</v>
          </cell>
          <cell r="CL351">
            <v>0</v>
          </cell>
          <cell r="CM351">
            <v>0</v>
          </cell>
          <cell r="CN351">
            <v>0</v>
          </cell>
          <cell r="CO351">
            <v>0</v>
          </cell>
          <cell r="CX351">
            <v>0</v>
          </cell>
          <cell r="CY351">
            <v>0</v>
          </cell>
          <cell r="DB351">
            <v>0</v>
          </cell>
          <cell r="DC351">
            <v>0</v>
          </cell>
          <cell r="DJ351" t="str">
            <v>НКРЕ</v>
          </cell>
          <cell r="DL351">
            <v>40526</v>
          </cell>
          <cell r="DM351">
            <v>1854</v>
          </cell>
          <cell r="DO351" t="str">
            <v>тариф на теплову енергію</v>
          </cell>
          <cell r="DT351">
            <v>297.63</v>
          </cell>
        </row>
        <row r="352">
          <cell r="W352">
            <v>519.44166666666672</v>
          </cell>
          <cell r="AF352">
            <v>39926</v>
          </cell>
          <cell r="AG352">
            <v>355</v>
          </cell>
          <cell r="AH352">
            <v>480.9608090122635</v>
          </cell>
          <cell r="AM352">
            <v>434.3</v>
          </cell>
          <cell r="AO352">
            <v>225593.51583333337</v>
          </cell>
          <cell r="AQ352">
            <v>208881.27935402605</v>
          </cell>
          <cell r="AU352">
            <v>0</v>
          </cell>
          <cell r="AW352">
            <v>0</v>
          </cell>
          <cell r="AY352">
            <v>134603.81666258673</v>
          </cell>
          <cell r="AZ352">
            <v>309.93280373609656</v>
          </cell>
          <cell r="BA352">
            <v>21984.450553759863</v>
          </cell>
          <cell r="BB352">
            <v>50.620424945337007</v>
          </cell>
          <cell r="BC352">
            <v>0</v>
          </cell>
          <cell r="BD352">
            <v>0</v>
          </cell>
          <cell r="BG352">
            <v>0</v>
          </cell>
          <cell r="BH352">
            <v>0</v>
          </cell>
          <cell r="BI352">
            <v>13757.574479513261</v>
          </cell>
          <cell r="BJ352">
            <v>31.67758342047723</v>
          </cell>
          <cell r="BK352">
            <v>0</v>
          </cell>
          <cell r="BL352">
            <v>0</v>
          </cell>
          <cell r="BM352">
            <v>25883.94350936401</v>
          </cell>
          <cell r="BN352">
            <v>59.599225211522011</v>
          </cell>
          <cell r="BO352">
            <v>0</v>
          </cell>
          <cell r="BP352">
            <v>0</v>
          </cell>
          <cell r="BY352">
            <v>1643</v>
          </cell>
          <cell r="CF352">
            <v>62.832917102386155</v>
          </cell>
          <cell r="CG352">
            <v>2142.25</v>
          </cell>
          <cell r="CJ352">
            <v>0</v>
          </cell>
          <cell r="CK352">
            <v>0</v>
          </cell>
          <cell r="CL352">
            <v>0</v>
          </cell>
          <cell r="CM352">
            <v>0</v>
          </cell>
          <cell r="CN352">
            <v>0</v>
          </cell>
          <cell r="CO352">
            <v>0</v>
          </cell>
          <cell r="CX352">
            <v>0</v>
          </cell>
          <cell r="CY352">
            <v>0</v>
          </cell>
          <cell r="DB352">
            <v>0</v>
          </cell>
          <cell r="DC352">
            <v>0</v>
          </cell>
          <cell r="DJ352" t="str">
            <v>НКРКП</v>
          </cell>
          <cell r="DL352">
            <v>40942</v>
          </cell>
          <cell r="DM352">
            <v>28</v>
          </cell>
          <cell r="DT352">
            <v>796.74</v>
          </cell>
        </row>
        <row r="353">
          <cell r="W353">
            <v>270.56666666666666</v>
          </cell>
          <cell r="AF353">
            <v>39926</v>
          </cell>
          <cell r="AG353">
            <v>354</v>
          </cell>
          <cell r="AH353">
            <v>250.52371942154346</v>
          </cell>
          <cell r="AM353">
            <v>6873.6</v>
          </cell>
          <cell r="AO353">
            <v>1859767.04</v>
          </cell>
          <cell r="AQ353">
            <v>1721999.8378159213</v>
          </cell>
          <cell r="AU353">
            <v>0</v>
          </cell>
          <cell r="AW353">
            <v>0</v>
          </cell>
          <cell r="AY353">
            <v>784853.66019581037</v>
          </cell>
          <cell r="AZ353">
            <v>114.18378436275174</v>
          </cell>
          <cell r="BA353">
            <v>108204.15731855656</v>
          </cell>
          <cell r="BB353">
            <v>15.741992161102852</v>
          </cell>
          <cell r="BC353">
            <v>0</v>
          </cell>
          <cell r="BD353">
            <v>0</v>
          </cell>
          <cell r="BG353">
            <v>0</v>
          </cell>
          <cell r="BH353">
            <v>0</v>
          </cell>
          <cell r="BI353">
            <v>219075.29125557508</v>
          </cell>
          <cell r="BJ353">
            <v>31.871987205478217</v>
          </cell>
          <cell r="BK353">
            <v>0</v>
          </cell>
          <cell r="BL353">
            <v>0</v>
          </cell>
          <cell r="BM353">
            <v>409669.28503851872</v>
          </cell>
          <cell r="BN353">
            <v>59.600396449970717</v>
          </cell>
          <cell r="BO353">
            <v>0</v>
          </cell>
          <cell r="BP353">
            <v>0</v>
          </cell>
          <cell r="BY353">
            <v>1643</v>
          </cell>
          <cell r="CF353">
            <v>1079.1036410325721</v>
          </cell>
          <cell r="CG353">
            <v>727.32</v>
          </cell>
          <cell r="CJ353">
            <v>0</v>
          </cell>
          <cell r="CK353">
            <v>0</v>
          </cell>
          <cell r="CL353">
            <v>0</v>
          </cell>
          <cell r="CM353">
            <v>0</v>
          </cell>
          <cell r="CN353">
            <v>0</v>
          </cell>
          <cell r="CO353">
            <v>0</v>
          </cell>
          <cell r="CX353">
            <v>0</v>
          </cell>
          <cell r="CY353">
            <v>0</v>
          </cell>
          <cell r="DB353">
            <v>0</v>
          </cell>
          <cell r="DC353">
            <v>0</v>
          </cell>
          <cell r="DJ353" t="str">
            <v>НКРЕ</v>
          </cell>
          <cell r="DL353">
            <v>40526</v>
          </cell>
          <cell r="DM353">
            <v>1854</v>
          </cell>
          <cell r="DO353" t="str">
            <v>тариф на теплову енергію</v>
          </cell>
          <cell r="DT353">
            <v>297.63</v>
          </cell>
        </row>
        <row r="354">
          <cell r="W354">
            <v>519.44166666666672</v>
          </cell>
          <cell r="AF354">
            <v>39926</v>
          </cell>
          <cell r="AG354">
            <v>355</v>
          </cell>
          <cell r="AH354">
            <v>480.9608090122635</v>
          </cell>
          <cell r="AM354">
            <v>2733.1</v>
          </cell>
          <cell r="AO354">
            <v>1419686.0191666668</v>
          </cell>
          <cell r="AQ354">
            <v>1314513.9871114173</v>
          </cell>
          <cell r="AU354">
            <v>0</v>
          </cell>
          <cell r="AW354">
            <v>0</v>
          </cell>
          <cell r="AY354">
            <v>847077.34589112538</v>
          </cell>
          <cell r="AZ354">
            <v>309.9328037360965</v>
          </cell>
          <cell r="BA354">
            <v>138350.68341810055</v>
          </cell>
          <cell r="BB354">
            <v>50.620424945337</v>
          </cell>
          <cell r="BC354">
            <v>0</v>
          </cell>
          <cell r="BD354">
            <v>0</v>
          </cell>
          <cell r="BG354">
            <v>0</v>
          </cell>
          <cell r="BH354">
            <v>0</v>
          </cell>
          <cell r="BI354">
            <v>86578.003246506312</v>
          </cell>
          <cell r="BJ354">
            <v>31.67758342047723</v>
          </cell>
          <cell r="BK354">
            <v>0</v>
          </cell>
          <cell r="BL354">
            <v>0</v>
          </cell>
          <cell r="BM354">
            <v>162890.6424256108</v>
          </cell>
          <cell r="BN354">
            <v>59.599225211522011</v>
          </cell>
          <cell r="BO354">
            <v>0</v>
          </cell>
          <cell r="BP354">
            <v>0</v>
          </cell>
          <cell r="BY354">
            <v>1643</v>
          </cell>
          <cell r="CF354">
            <v>395.41479560794744</v>
          </cell>
          <cell r="CG354">
            <v>2142.25</v>
          </cell>
          <cell r="CJ354">
            <v>0</v>
          </cell>
          <cell r="CK354">
            <v>0</v>
          </cell>
          <cell r="CL354">
            <v>0</v>
          </cell>
          <cell r="CM354">
            <v>0</v>
          </cell>
          <cell r="CN354">
            <v>0</v>
          </cell>
          <cell r="CO354">
            <v>0</v>
          </cell>
          <cell r="CX354">
            <v>0</v>
          </cell>
          <cell r="CY354">
            <v>0</v>
          </cell>
          <cell r="DB354">
            <v>0</v>
          </cell>
          <cell r="DC354">
            <v>0</v>
          </cell>
          <cell r="DJ354" t="str">
            <v>НКРКП</v>
          </cell>
          <cell r="DL354">
            <v>40942</v>
          </cell>
          <cell r="DM354">
            <v>28</v>
          </cell>
          <cell r="DT354">
            <v>796.74</v>
          </cell>
        </row>
        <row r="355">
          <cell r="W355">
            <v>519.44166666666672</v>
          </cell>
          <cell r="AF355">
            <v>39926</v>
          </cell>
          <cell r="AG355">
            <v>355</v>
          </cell>
          <cell r="AH355">
            <v>480.96080665375405</v>
          </cell>
          <cell r="AM355">
            <v>377.3</v>
          </cell>
          <cell r="AO355">
            <v>195985.34083333335</v>
          </cell>
          <cell r="AQ355">
            <v>181466.51235046142</v>
          </cell>
          <cell r="AU355">
            <v>0</v>
          </cell>
          <cell r="AW355">
            <v>0</v>
          </cell>
          <cell r="AY355">
            <v>116935.4472558961</v>
          </cell>
          <cell r="AZ355">
            <v>309.92697390908057</v>
          </cell>
          <cell r="BA355">
            <v>19099.066138771788</v>
          </cell>
          <cell r="BB355">
            <v>50.620371425316158</v>
          </cell>
          <cell r="BC355">
            <v>0</v>
          </cell>
          <cell r="BD355">
            <v>0</v>
          </cell>
          <cell r="BG355">
            <v>0</v>
          </cell>
          <cell r="BH355">
            <v>0</v>
          </cell>
          <cell r="BI355">
            <v>11951.945790133303</v>
          </cell>
          <cell r="BJ355">
            <v>31.677566366640079</v>
          </cell>
          <cell r="BK355">
            <v>0</v>
          </cell>
          <cell r="BL355">
            <v>0</v>
          </cell>
          <cell r="BM355">
            <v>22486.81347840948</v>
          </cell>
          <cell r="BN355">
            <v>59.599293608294403</v>
          </cell>
          <cell r="BO355">
            <v>0</v>
          </cell>
          <cell r="BP355">
            <v>0</v>
          </cell>
          <cell r="BY355">
            <v>1643</v>
          </cell>
          <cell r="CF355">
            <v>54.585341232767462</v>
          </cell>
          <cell r="CG355">
            <v>2142.25</v>
          </cell>
          <cell r="CJ355">
            <v>0</v>
          </cell>
          <cell r="CK355">
            <v>0</v>
          </cell>
          <cell r="CL355">
            <v>0</v>
          </cell>
          <cell r="CM355">
            <v>0</v>
          </cell>
          <cell r="CN355">
            <v>0</v>
          </cell>
          <cell r="CO355">
            <v>0</v>
          </cell>
          <cell r="CX355">
            <v>0</v>
          </cell>
          <cell r="CY355">
            <v>0</v>
          </cell>
          <cell r="DB355">
            <v>0</v>
          </cell>
          <cell r="DC355">
            <v>0</v>
          </cell>
          <cell r="DJ355" t="str">
            <v>НКРКП</v>
          </cell>
          <cell r="DL355">
            <v>40942</v>
          </cell>
          <cell r="DM355">
            <v>28</v>
          </cell>
          <cell r="DT355">
            <v>796.74</v>
          </cell>
        </row>
        <row r="356">
          <cell r="W356">
            <v>296.54201756081932</v>
          </cell>
          <cell r="AF356">
            <v>39926</v>
          </cell>
          <cell r="AG356">
            <v>356</v>
          </cell>
          <cell r="AH356">
            <v>274.57594218594375</v>
          </cell>
          <cell r="AM356">
            <v>83155.600000000006</v>
          </cell>
          <cell r="AO356">
            <v>24659129.395480469</v>
          </cell>
          <cell r="AQ356">
            <v>22832527.218037467</v>
          </cell>
          <cell r="AU356">
            <v>0</v>
          </cell>
          <cell r="AW356">
            <v>0</v>
          </cell>
          <cell r="AY356">
            <v>8923373.3762857635</v>
          </cell>
          <cell r="AZ356">
            <v>107.30934989688924</v>
          </cell>
          <cell r="BA356">
            <v>3223260.71200888</v>
          </cell>
          <cell r="BB356">
            <v>38.761799710529175</v>
          </cell>
          <cell r="BC356">
            <v>0</v>
          </cell>
          <cell r="BD356">
            <v>0</v>
          </cell>
          <cell r="BG356">
            <v>0</v>
          </cell>
          <cell r="BH356">
            <v>0</v>
          </cell>
          <cell r="BI356">
            <v>1914063.9970852647</v>
          </cell>
          <cell r="BJ356">
            <v>23.017860457807586</v>
          </cell>
          <cell r="BK356">
            <v>0</v>
          </cell>
          <cell r="BL356">
            <v>0</v>
          </cell>
          <cell r="BM356">
            <v>5711769.3748061787</v>
          </cell>
          <cell r="BN356">
            <v>68.687729687551752</v>
          </cell>
          <cell r="BO356">
            <v>0</v>
          </cell>
          <cell r="BP356">
            <v>0</v>
          </cell>
          <cell r="BY356">
            <v>1564</v>
          </cell>
          <cell r="CF356">
            <v>12268.840917733271</v>
          </cell>
          <cell r="CG356">
            <v>727.32</v>
          </cell>
          <cell r="CJ356">
            <v>0</v>
          </cell>
          <cell r="CK356">
            <v>0</v>
          </cell>
          <cell r="CL356">
            <v>0</v>
          </cell>
          <cell r="CM356">
            <v>0</v>
          </cell>
          <cell r="CN356">
            <v>0</v>
          </cell>
          <cell r="CO356">
            <v>0</v>
          </cell>
          <cell r="CX356">
            <v>0</v>
          </cell>
          <cell r="CY356">
            <v>0</v>
          </cell>
          <cell r="DB356">
            <v>0</v>
          </cell>
          <cell r="DC356">
            <v>0</v>
          </cell>
          <cell r="DJ356" t="str">
            <v>НКРЕ</v>
          </cell>
          <cell r="DL356">
            <v>40526</v>
          </cell>
          <cell r="DM356">
            <v>1854</v>
          </cell>
          <cell r="DO356" t="str">
            <v>Тариф на теплову енергію</v>
          </cell>
          <cell r="DT356">
            <v>326.19</v>
          </cell>
        </row>
        <row r="357">
          <cell r="W357">
            <v>533.39034511962734</v>
          </cell>
          <cell r="AF357">
            <v>39926</v>
          </cell>
          <cell r="AG357">
            <v>357</v>
          </cell>
          <cell r="AH357">
            <v>493.87994918484009</v>
          </cell>
          <cell r="AM357">
            <v>3188.3</v>
          </cell>
          <cell r="AO357">
            <v>1700608.437344908</v>
          </cell>
          <cell r="AQ357">
            <v>1574637.4419860258</v>
          </cell>
          <cell r="AU357">
            <v>0</v>
          </cell>
          <cell r="AW357">
            <v>0</v>
          </cell>
          <cell r="AY357">
            <v>982092.10825511115</v>
          </cell>
          <cell r="AZ357">
            <v>308.03001858517428</v>
          </cell>
          <cell r="BA357">
            <v>187080.76125108806</v>
          </cell>
          <cell r="BB357">
            <v>58.677276683840304</v>
          </cell>
          <cell r="BC357">
            <v>0</v>
          </cell>
          <cell r="BD357">
            <v>0</v>
          </cell>
          <cell r="BG357">
            <v>0</v>
          </cell>
          <cell r="BH357">
            <v>0</v>
          </cell>
          <cell r="BI357">
            <v>69104.585468275822</v>
          </cell>
          <cell r="BJ357">
            <v>21.674430093866896</v>
          </cell>
          <cell r="BK357">
            <v>0</v>
          </cell>
          <cell r="BL357">
            <v>0</v>
          </cell>
          <cell r="BM357">
            <v>218997.13913002567</v>
          </cell>
          <cell r="BN357">
            <v>68.687745547792133</v>
          </cell>
          <cell r="BO357">
            <v>0</v>
          </cell>
          <cell r="BP357">
            <v>0</v>
          </cell>
          <cell r="BY357">
            <v>1564</v>
          </cell>
          <cell r="CF357">
            <v>458.4395417225399</v>
          </cell>
          <cell r="CG357">
            <v>2142.25</v>
          </cell>
          <cell r="CJ357">
            <v>0</v>
          </cell>
          <cell r="CK357">
            <v>0</v>
          </cell>
          <cell r="CL357">
            <v>0</v>
          </cell>
          <cell r="CM357">
            <v>0</v>
          </cell>
          <cell r="CN357">
            <v>0</v>
          </cell>
          <cell r="CO357">
            <v>0</v>
          </cell>
          <cell r="CX357">
            <v>0</v>
          </cell>
          <cell r="CY357">
            <v>0</v>
          </cell>
          <cell r="DB357">
            <v>0</v>
          </cell>
          <cell r="DC357">
            <v>0</v>
          </cell>
          <cell r="DJ357" t="str">
            <v>НКРКП</v>
          </cell>
          <cell r="DL357">
            <v>40942</v>
          </cell>
          <cell r="DM357">
            <v>28</v>
          </cell>
          <cell r="DT357">
            <v>813.16</v>
          </cell>
        </row>
        <row r="358">
          <cell r="W358">
            <v>533.39034511962734</v>
          </cell>
          <cell r="AF358">
            <v>39926</v>
          </cell>
          <cell r="AG358">
            <v>357</v>
          </cell>
          <cell r="AH358">
            <v>493.88003990089135</v>
          </cell>
          <cell r="AM358">
            <v>4436.8999999999996</v>
          </cell>
          <cell r="AO358">
            <v>2366599.6222612741</v>
          </cell>
          <cell r="AQ358">
            <v>2191296.3490362647</v>
          </cell>
          <cell r="AU358">
            <v>0</v>
          </cell>
          <cell r="AW358">
            <v>0</v>
          </cell>
          <cell r="AY358">
            <v>1366697.7095026064</v>
          </cell>
          <cell r="AZ358">
            <v>308.02986533449177</v>
          </cell>
          <cell r="BA358">
            <v>260344.67673842394</v>
          </cell>
          <cell r="BB358">
            <v>58.677156739711052</v>
          </cell>
          <cell r="BC358">
            <v>0</v>
          </cell>
          <cell r="BD358">
            <v>0</v>
          </cell>
          <cell r="BG358">
            <v>0</v>
          </cell>
          <cell r="BH358">
            <v>0</v>
          </cell>
          <cell r="BI358">
            <v>96166.384560929306</v>
          </cell>
          <cell r="BJ358">
            <v>21.674228529137306</v>
          </cell>
          <cell r="BK358">
            <v>0</v>
          </cell>
          <cell r="BL358">
            <v>0</v>
          </cell>
          <cell r="BM358">
            <v>304760.79122823954</v>
          </cell>
          <cell r="BN358">
            <v>68.687775525308112</v>
          </cell>
          <cell r="BO358">
            <v>0</v>
          </cell>
          <cell r="BP358">
            <v>0</v>
          </cell>
          <cell r="BY358">
            <v>1564</v>
          </cell>
          <cell r="CF358">
            <v>637.97302345786272</v>
          </cell>
          <cell r="CG358">
            <v>2142.25</v>
          </cell>
          <cell r="CJ358">
            <v>0</v>
          </cell>
          <cell r="CK358">
            <v>0</v>
          </cell>
          <cell r="CL358">
            <v>0</v>
          </cell>
          <cell r="CM358">
            <v>0</v>
          </cell>
          <cell r="CN358">
            <v>0</v>
          </cell>
          <cell r="CO358">
            <v>0</v>
          </cell>
          <cell r="CX358">
            <v>0</v>
          </cell>
          <cell r="CY358">
            <v>0</v>
          </cell>
          <cell r="DB358">
            <v>0</v>
          </cell>
          <cell r="DC358">
            <v>0</v>
          </cell>
          <cell r="DJ358" t="str">
            <v>НКРКП</v>
          </cell>
          <cell r="DL358">
            <v>40942</v>
          </cell>
          <cell r="DM358">
            <v>28</v>
          </cell>
          <cell r="DT358">
            <v>813.16</v>
          </cell>
        </row>
        <row r="359">
          <cell r="W359">
            <v>129.16999999999999</v>
          </cell>
          <cell r="AF359">
            <v>39926</v>
          </cell>
          <cell r="AG359">
            <v>356</v>
          </cell>
          <cell r="AH359">
            <v>274.57594218594414</v>
          </cell>
          <cell r="AM359">
            <v>4702.8</v>
          </cell>
          <cell r="AO359">
            <v>607460.67599999998</v>
          </cell>
          <cell r="AQ359">
            <v>1291275.7409120582</v>
          </cell>
          <cell r="AU359">
            <v>0</v>
          </cell>
          <cell r="AW359">
            <v>0</v>
          </cell>
          <cell r="AY359">
            <v>504654.4106950913</v>
          </cell>
          <cell r="AZ359">
            <v>107.30934989688936</v>
          </cell>
          <cell r="BA359">
            <v>182288.9916786768</v>
          </cell>
          <cell r="BB359">
            <v>38.761799710529218</v>
          </cell>
          <cell r="BC359">
            <v>0</v>
          </cell>
          <cell r="BD359">
            <v>0</v>
          </cell>
          <cell r="BG359">
            <v>0</v>
          </cell>
          <cell r="BH359">
            <v>0</v>
          </cell>
          <cell r="BI359">
            <v>108248.39416097764</v>
          </cell>
          <cell r="BJ359">
            <v>23.017860457807611</v>
          </cell>
          <cell r="BK359">
            <v>0</v>
          </cell>
          <cell r="BL359">
            <v>0</v>
          </cell>
          <cell r="BM359">
            <v>323024.65517461882</v>
          </cell>
          <cell r="BN359">
            <v>68.687729687551837</v>
          </cell>
          <cell r="BO359">
            <v>0</v>
          </cell>
          <cell r="BP359">
            <v>0</v>
          </cell>
          <cell r="BY359">
            <v>1564</v>
          </cell>
          <cell r="CF359">
            <v>693.85471414933079</v>
          </cell>
          <cell r="CG359">
            <v>727.32</v>
          </cell>
          <cell r="CJ359">
            <v>0</v>
          </cell>
          <cell r="CK359">
            <v>0</v>
          </cell>
          <cell r="CL359">
            <v>0</v>
          </cell>
          <cell r="CM359">
            <v>0</v>
          </cell>
          <cell r="CN359">
            <v>0</v>
          </cell>
          <cell r="CO359">
            <v>0</v>
          </cell>
          <cell r="CX359">
            <v>0</v>
          </cell>
          <cell r="CY359">
            <v>0</v>
          </cell>
          <cell r="DB359">
            <v>0</v>
          </cell>
          <cell r="DC359">
            <v>0</v>
          </cell>
          <cell r="DJ359" t="str">
            <v>НКРЕ</v>
          </cell>
          <cell r="DL359">
            <v>40526</v>
          </cell>
          <cell r="DM359">
            <v>1854</v>
          </cell>
          <cell r="DO359" t="str">
            <v>Тариф на теплову енергію</v>
          </cell>
          <cell r="DT359">
            <v>161.46</v>
          </cell>
        </row>
        <row r="360">
          <cell r="W360">
            <v>533.39</v>
          </cell>
          <cell r="AF360">
            <v>39926</v>
          </cell>
          <cell r="AG360">
            <v>357</v>
          </cell>
          <cell r="AH360">
            <v>493.87994918484031</v>
          </cell>
          <cell r="AM360">
            <v>1316.3</v>
          </cell>
          <cell r="AO360">
            <v>702101.25699999998</v>
          </cell>
          <cell r="AQ360">
            <v>650094.1771120053</v>
          </cell>
          <cell r="AU360">
            <v>0</v>
          </cell>
          <cell r="AW360">
            <v>0</v>
          </cell>
          <cell r="AY360">
            <v>405459.91346366506</v>
          </cell>
          <cell r="AZ360">
            <v>308.03001858517439</v>
          </cell>
          <cell r="BA360">
            <v>77236.899298939039</v>
          </cell>
          <cell r="BB360">
            <v>58.67727668384034</v>
          </cell>
          <cell r="BC360">
            <v>0</v>
          </cell>
          <cell r="BD360">
            <v>0</v>
          </cell>
          <cell r="BG360">
            <v>0</v>
          </cell>
          <cell r="BH360">
            <v>0</v>
          </cell>
          <cell r="BI360">
            <v>28530.052332557003</v>
          </cell>
          <cell r="BJ360">
            <v>21.674430093866903</v>
          </cell>
          <cell r="BK360">
            <v>0</v>
          </cell>
          <cell r="BL360">
            <v>0</v>
          </cell>
          <cell r="BM360">
            <v>90413.679464558809</v>
          </cell>
          <cell r="BN360">
            <v>68.687745547792147</v>
          </cell>
          <cell r="BO360">
            <v>0</v>
          </cell>
          <cell r="BP360">
            <v>0</v>
          </cell>
          <cell r="BY360">
            <v>1564</v>
          </cell>
          <cell r="CF360">
            <v>189.26825228785859</v>
          </cell>
          <cell r="CG360">
            <v>2142.25</v>
          </cell>
          <cell r="CJ360">
            <v>0</v>
          </cell>
          <cell r="CK360">
            <v>0</v>
          </cell>
          <cell r="CL360">
            <v>0</v>
          </cell>
          <cell r="CM360">
            <v>0</v>
          </cell>
          <cell r="CN360">
            <v>0</v>
          </cell>
          <cell r="CO360">
            <v>0</v>
          </cell>
          <cell r="CX360">
            <v>0</v>
          </cell>
          <cell r="CY360">
            <v>0</v>
          </cell>
          <cell r="DB360">
            <v>0</v>
          </cell>
          <cell r="DC360">
            <v>0</v>
          </cell>
          <cell r="DJ360" t="str">
            <v>НКРКП</v>
          </cell>
          <cell r="DL360">
            <v>40942</v>
          </cell>
          <cell r="DM360">
            <v>28</v>
          </cell>
          <cell r="DT360">
            <v>813.16</v>
          </cell>
        </row>
        <row r="361">
          <cell r="W361">
            <v>533.39</v>
          </cell>
          <cell r="AF361">
            <v>39926</v>
          </cell>
          <cell r="AG361">
            <v>357</v>
          </cell>
          <cell r="AH361">
            <v>493.88003990088981</v>
          </cell>
          <cell r="AM361">
            <v>91.5</v>
          </cell>
          <cell r="AO361">
            <v>48805.184999999998</v>
          </cell>
          <cell r="AQ361">
            <v>45190.02365093142</v>
          </cell>
          <cell r="AU361">
            <v>0</v>
          </cell>
          <cell r="AW361">
            <v>0</v>
          </cell>
          <cell r="AY361">
            <v>28184.732678105913</v>
          </cell>
          <cell r="AZ361">
            <v>308.02986533449086</v>
          </cell>
          <cell r="BA361">
            <v>5368.9598416835433</v>
          </cell>
          <cell r="BB361">
            <v>58.67715673971086</v>
          </cell>
          <cell r="BC361">
            <v>0</v>
          </cell>
          <cell r="BD361">
            <v>0</v>
          </cell>
          <cell r="BG361">
            <v>0</v>
          </cell>
          <cell r="BH361">
            <v>0</v>
          </cell>
          <cell r="BI361">
            <v>1983.1919104160575</v>
          </cell>
          <cell r="BJ361">
            <v>21.674228529137238</v>
          </cell>
          <cell r="BK361">
            <v>0</v>
          </cell>
          <cell r="BL361">
            <v>0</v>
          </cell>
          <cell r="BM361">
            <v>6284.9314605656728</v>
          </cell>
          <cell r="BN361">
            <v>68.687775525307899</v>
          </cell>
          <cell r="BO361">
            <v>0</v>
          </cell>
          <cell r="BP361">
            <v>0</v>
          </cell>
          <cell r="BY361">
            <v>1564</v>
          </cell>
          <cell r="CF361">
            <v>13.156602953953046</v>
          </cell>
          <cell r="CG361">
            <v>2142.25</v>
          </cell>
          <cell r="CJ361">
            <v>0</v>
          </cell>
          <cell r="CK361">
            <v>0</v>
          </cell>
          <cell r="CL361">
            <v>0</v>
          </cell>
          <cell r="CM361">
            <v>0</v>
          </cell>
          <cell r="CN361">
            <v>0</v>
          </cell>
          <cell r="CO361">
            <v>0</v>
          </cell>
          <cell r="CX361">
            <v>0</v>
          </cell>
          <cell r="CY361">
            <v>0</v>
          </cell>
          <cell r="DB361">
            <v>0</v>
          </cell>
          <cell r="DC361">
            <v>0</v>
          </cell>
          <cell r="DJ361" t="str">
            <v>НКРКП</v>
          </cell>
          <cell r="DL361">
            <v>40942</v>
          </cell>
          <cell r="DM361">
            <v>28</v>
          </cell>
          <cell r="DT361">
            <v>813.16</v>
          </cell>
        </row>
        <row r="362">
          <cell r="W362">
            <v>129.16999999999999</v>
          </cell>
          <cell r="AF362">
            <v>39926</v>
          </cell>
          <cell r="AG362">
            <v>356</v>
          </cell>
          <cell r="AH362">
            <v>274.57594218594414</v>
          </cell>
          <cell r="AM362">
            <v>6267.1</v>
          </cell>
          <cell r="AO362">
            <v>809521.30699999991</v>
          </cell>
          <cell r="AQ362">
            <v>1720794.8872735305</v>
          </cell>
          <cell r="AU362">
            <v>0</v>
          </cell>
          <cell r="AW362">
            <v>0</v>
          </cell>
          <cell r="AY362">
            <v>672518.42673879524</v>
          </cell>
          <cell r="AZ362">
            <v>107.30934989688934</v>
          </cell>
          <cell r="BA362">
            <v>242924.07496585767</v>
          </cell>
          <cell r="BB362">
            <v>38.761799710529218</v>
          </cell>
          <cell r="BC362">
            <v>0</v>
          </cell>
          <cell r="BD362">
            <v>0</v>
          </cell>
          <cell r="BG362">
            <v>0</v>
          </cell>
          <cell r="BH362">
            <v>0</v>
          </cell>
          <cell r="BI362">
            <v>144255.23327512611</v>
          </cell>
          <cell r="BJ362">
            <v>23.017860457807615</v>
          </cell>
          <cell r="BK362">
            <v>0</v>
          </cell>
          <cell r="BL362">
            <v>0</v>
          </cell>
          <cell r="BM362">
            <v>430472.87072485615</v>
          </cell>
          <cell r="BN362">
            <v>68.687729687551837</v>
          </cell>
          <cell r="BO362">
            <v>0</v>
          </cell>
          <cell r="BP362">
            <v>0</v>
          </cell>
          <cell r="BY362">
            <v>1564</v>
          </cell>
          <cell r="CF362">
            <v>924.65273433811149</v>
          </cell>
          <cell r="CG362">
            <v>727.32</v>
          </cell>
          <cell r="CJ362">
            <v>0</v>
          </cell>
          <cell r="CK362">
            <v>0</v>
          </cell>
          <cell r="CL362">
            <v>0</v>
          </cell>
          <cell r="CM362">
            <v>0</v>
          </cell>
          <cell r="CN362">
            <v>0</v>
          </cell>
          <cell r="CO362">
            <v>0</v>
          </cell>
          <cell r="CX362">
            <v>0</v>
          </cell>
          <cell r="CY362">
            <v>0</v>
          </cell>
          <cell r="DB362">
            <v>0</v>
          </cell>
          <cell r="DC362">
            <v>0</v>
          </cell>
          <cell r="DJ362" t="str">
            <v>НКРЕ</v>
          </cell>
          <cell r="DL362">
            <v>40526</v>
          </cell>
          <cell r="DM362">
            <v>1854</v>
          </cell>
          <cell r="DO362" t="str">
            <v>Тариф на теплову енергію</v>
          </cell>
          <cell r="DT362">
            <v>161.46</v>
          </cell>
        </row>
        <row r="363">
          <cell r="W363">
            <v>533.39</v>
          </cell>
          <cell r="AF363">
            <v>39926</v>
          </cell>
          <cell r="AG363">
            <v>357</v>
          </cell>
          <cell r="AH363">
            <v>493.87994918484031</v>
          </cell>
          <cell r="AM363">
            <v>524.6</v>
          </cell>
          <cell r="AO363">
            <v>279816.39400000003</v>
          </cell>
          <cell r="AQ363">
            <v>259089.42134236725</v>
          </cell>
          <cell r="AU363">
            <v>0</v>
          </cell>
          <cell r="AW363">
            <v>0</v>
          </cell>
          <cell r="AY363">
            <v>161592.5477497825</v>
          </cell>
          <cell r="AZ363">
            <v>308.03001858517439</v>
          </cell>
          <cell r="BA363">
            <v>30782.099348342643</v>
          </cell>
          <cell r="BB363">
            <v>58.67727668384034</v>
          </cell>
          <cell r="BC363">
            <v>0</v>
          </cell>
          <cell r="BD363">
            <v>0</v>
          </cell>
          <cell r="BG363">
            <v>0</v>
          </cell>
          <cell r="BH363">
            <v>0</v>
          </cell>
          <cell r="BI363">
            <v>11370.406027242576</v>
          </cell>
          <cell r="BJ363">
            <v>21.674430093866899</v>
          </cell>
          <cell r="BK363">
            <v>0</v>
          </cell>
          <cell r="BL363">
            <v>0</v>
          </cell>
          <cell r="BM363">
            <v>36033.59131437177</v>
          </cell>
          <cell r="BN363">
            <v>68.687745547792161</v>
          </cell>
          <cell r="BO363">
            <v>0</v>
          </cell>
          <cell r="BP363">
            <v>0</v>
          </cell>
          <cell r="BY363">
            <v>1564</v>
          </cell>
          <cell r="CF363">
            <v>75.43122779777454</v>
          </cell>
          <cell r="CG363">
            <v>2142.25</v>
          </cell>
          <cell r="CJ363">
            <v>0</v>
          </cell>
          <cell r="CK363">
            <v>0</v>
          </cell>
          <cell r="CL363">
            <v>0</v>
          </cell>
          <cell r="CM363">
            <v>0</v>
          </cell>
          <cell r="CN363">
            <v>0</v>
          </cell>
          <cell r="CO363">
            <v>0</v>
          </cell>
          <cell r="CX363">
            <v>0</v>
          </cell>
          <cell r="CY363">
            <v>0</v>
          </cell>
          <cell r="DB363">
            <v>0</v>
          </cell>
          <cell r="DC363">
            <v>0</v>
          </cell>
          <cell r="DJ363" t="str">
            <v>НКРКП</v>
          </cell>
          <cell r="DL363">
            <v>40942</v>
          </cell>
          <cell r="DM363">
            <v>28</v>
          </cell>
          <cell r="DT363">
            <v>813.16</v>
          </cell>
        </row>
        <row r="364">
          <cell r="W364">
            <v>533.39</v>
          </cell>
          <cell r="AF364">
            <v>39926</v>
          </cell>
          <cell r="AG364">
            <v>357</v>
          </cell>
          <cell r="AH364">
            <v>493.88003990088976</v>
          </cell>
          <cell r="AM364">
            <v>142.9</v>
          </cell>
          <cell r="AO364">
            <v>76221.430999999997</v>
          </cell>
          <cell r="AQ364">
            <v>70575.457701837149</v>
          </cell>
          <cell r="AU364">
            <v>0</v>
          </cell>
          <cell r="AW364">
            <v>0</v>
          </cell>
          <cell r="AY364">
            <v>44017.467756298742</v>
          </cell>
          <cell r="AZ364">
            <v>308.02986533449081</v>
          </cell>
          <cell r="BA364">
            <v>8384.9656981046828</v>
          </cell>
          <cell r="BB364">
            <v>58.677156739710867</v>
          </cell>
          <cell r="BC364">
            <v>0</v>
          </cell>
          <cell r="BD364">
            <v>0</v>
          </cell>
          <cell r="BG364">
            <v>0</v>
          </cell>
          <cell r="BH364">
            <v>0</v>
          </cell>
          <cell r="BI364">
            <v>3097.2472568137114</v>
          </cell>
          <cell r="BJ364">
            <v>21.674228529137238</v>
          </cell>
          <cell r="BK364">
            <v>0</v>
          </cell>
          <cell r="BL364">
            <v>0</v>
          </cell>
          <cell r="BM364">
            <v>9815.4831225664984</v>
          </cell>
          <cell r="BN364">
            <v>68.687775525307899</v>
          </cell>
          <cell r="BO364">
            <v>0</v>
          </cell>
          <cell r="BP364">
            <v>0</v>
          </cell>
          <cell r="BY364">
            <v>1564</v>
          </cell>
          <cell r="CF364">
            <v>20.547306689834866</v>
          </cell>
          <cell r="CG364">
            <v>2142.25</v>
          </cell>
          <cell r="CJ364">
            <v>0</v>
          </cell>
          <cell r="CK364">
            <v>0</v>
          </cell>
          <cell r="CL364">
            <v>0</v>
          </cell>
          <cell r="CM364">
            <v>0</v>
          </cell>
          <cell r="CN364">
            <v>0</v>
          </cell>
          <cell r="CO364">
            <v>0</v>
          </cell>
          <cell r="CX364">
            <v>0</v>
          </cell>
          <cell r="CY364">
            <v>0</v>
          </cell>
          <cell r="DB364">
            <v>0</v>
          </cell>
          <cell r="DC364">
            <v>0</v>
          </cell>
          <cell r="DJ364" t="str">
            <v>НКРКП</v>
          </cell>
          <cell r="DL364">
            <v>40942</v>
          </cell>
          <cell r="DM364">
            <v>28</v>
          </cell>
          <cell r="DT364">
            <v>813.16</v>
          </cell>
        </row>
        <row r="365">
          <cell r="W365">
            <v>239.41666666666669</v>
          </cell>
          <cell r="AF365">
            <v>39926</v>
          </cell>
          <cell r="AG365">
            <v>356</v>
          </cell>
          <cell r="AH365">
            <v>274.5759421859438</v>
          </cell>
          <cell r="AM365">
            <v>11890.6</v>
          </cell>
          <cell r="AO365">
            <v>2846807.8166666669</v>
          </cell>
          <cell r="AQ365">
            <v>3264872.6981561836</v>
          </cell>
          <cell r="AU365">
            <v>0</v>
          </cell>
          <cell r="AW365">
            <v>0</v>
          </cell>
          <cell r="AY365">
            <v>1275972.555883951</v>
          </cell>
          <cell r="AZ365">
            <v>107.30934989688922</v>
          </cell>
          <cell r="BA365">
            <v>460901.05563801824</v>
          </cell>
          <cell r="BB365">
            <v>38.761799710529175</v>
          </cell>
          <cell r="BC365">
            <v>0</v>
          </cell>
          <cell r="BD365">
            <v>0</v>
          </cell>
          <cell r="BG365">
            <v>0</v>
          </cell>
          <cell r="BH365">
            <v>0</v>
          </cell>
          <cell r="BI365">
            <v>273696.17155960691</v>
          </cell>
          <cell r="BJ365">
            <v>23.017860457807586</v>
          </cell>
          <cell r="BK365">
            <v>0</v>
          </cell>
          <cell r="BL365">
            <v>0</v>
          </cell>
          <cell r="BM365">
            <v>816738.31862280285</v>
          </cell>
          <cell r="BN365">
            <v>68.687729687551752</v>
          </cell>
          <cell r="BO365">
            <v>0</v>
          </cell>
          <cell r="BP365">
            <v>0</v>
          </cell>
          <cell r="BY365">
            <v>1564</v>
          </cell>
          <cell r="CF365">
            <v>1754.3482317053717</v>
          </cell>
          <cell r="CG365">
            <v>727.32</v>
          </cell>
          <cell r="CJ365">
            <v>0</v>
          </cell>
          <cell r="CK365">
            <v>0</v>
          </cell>
          <cell r="CL365">
            <v>0</v>
          </cell>
          <cell r="CM365">
            <v>0</v>
          </cell>
          <cell r="CN365">
            <v>0</v>
          </cell>
          <cell r="CO365">
            <v>0</v>
          </cell>
          <cell r="CX365">
            <v>0</v>
          </cell>
          <cell r="CY365">
            <v>0</v>
          </cell>
          <cell r="DB365">
            <v>0</v>
          </cell>
          <cell r="DC365">
            <v>0</v>
          </cell>
          <cell r="DJ365" t="str">
            <v>НКРЕ</v>
          </cell>
          <cell r="DL365">
            <v>40526</v>
          </cell>
          <cell r="DM365">
            <v>1854</v>
          </cell>
          <cell r="DO365" t="str">
            <v>Тариф на теплову енергію</v>
          </cell>
          <cell r="DT365">
            <v>263.36</v>
          </cell>
        </row>
        <row r="366">
          <cell r="W366">
            <v>533.39166666666677</v>
          </cell>
          <cell r="AF366">
            <v>39926</v>
          </cell>
          <cell r="AG366">
            <v>357</v>
          </cell>
          <cell r="AH366">
            <v>493.87994918484014</v>
          </cell>
          <cell r="AM366">
            <v>663.8</v>
          </cell>
          <cell r="AO366">
            <v>354065.38833333337</v>
          </cell>
          <cell r="AQ366">
            <v>327837.51026889688</v>
          </cell>
          <cell r="AU366">
            <v>0</v>
          </cell>
          <cell r="AW366">
            <v>0</v>
          </cell>
          <cell r="AY366">
            <v>204470.32633683865</v>
          </cell>
          <cell r="AZ366">
            <v>308.03001858517428</v>
          </cell>
          <cell r="BA366">
            <v>38949.976262733195</v>
          </cell>
          <cell r="BB366">
            <v>58.677276683840311</v>
          </cell>
          <cell r="BC366">
            <v>0</v>
          </cell>
          <cell r="BD366">
            <v>0</v>
          </cell>
          <cell r="BG366">
            <v>0</v>
          </cell>
          <cell r="BH366">
            <v>0</v>
          </cell>
          <cell r="BI366">
            <v>14387.486696308843</v>
          </cell>
          <cell r="BJ366">
            <v>21.674430093866892</v>
          </cell>
          <cell r="BK366">
            <v>0</v>
          </cell>
          <cell r="BL366">
            <v>0</v>
          </cell>
          <cell r="BM366">
            <v>45594.925494624418</v>
          </cell>
          <cell r="BN366">
            <v>68.687745547792133</v>
          </cell>
          <cell r="BO366">
            <v>0</v>
          </cell>
          <cell r="BP366">
            <v>0</v>
          </cell>
          <cell r="BY366">
            <v>1564</v>
          </cell>
          <cell r="CF366">
            <v>95.44652880702003</v>
          </cell>
          <cell r="CG366">
            <v>2142.25</v>
          </cell>
          <cell r="CJ366">
            <v>0</v>
          </cell>
          <cell r="CK366">
            <v>0</v>
          </cell>
          <cell r="CL366">
            <v>0</v>
          </cell>
          <cell r="CM366">
            <v>0</v>
          </cell>
          <cell r="CN366">
            <v>0</v>
          </cell>
          <cell r="CO366">
            <v>0</v>
          </cell>
          <cell r="CX366">
            <v>0</v>
          </cell>
          <cell r="CY366">
            <v>0</v>
          </cell>
          <cell r="DB366">
            <v>0</v>
          </cell>
          <cell r="DC366">
            <v>0</v>
          </cell>
          <cell r="DJ366" t="str">
            <v>НКРКП</v>
          </cell>
          <cell r="DL366">
            <v>40942</v>
          </cell>
          <cell r="DM366">
            <v>28</v>
          </cell>
          <cell r="DT366">
            <v>813.16</v>
          </cell>
        </row>
        <row r="367">
          <cell r="W367">
            <v>533.39166666666677</v>
          </cell>
          <cell r="AF367">
            <v>39926</v>
          </cell>
          <cell r="AG367">
            <v>357</v>
          </cell>
          <cell r="AH367">
            <v>493.88003990089135</v>
          </cell>
          <cell r="AM367">
            <v>152.9</v>
          </cell>
          <cell r="AO367">
            <v>81555.585833333345</v>
          </cell>
          <cell r="AQ367">
            <v>75514.258100846288</v>
          </cell>
          <cell r="AU367">
            <v>0</v>
          </cell>
          <cell r="AW367">
            <v>0</v>
          </cell>
          <cell r="AY367">
            <v>47097.766409643795</v>
          </cell>
          <cell r="AZ367">
            <v>308.02986533449177</v>
          </cell>
          <cell r="BA367">
            <v>8971.7372655018189</v>
          </cell>
          <cell r="BB367">
            <v>58.677156739711045</v>
          </cell>
          <cell r="BC367">
            <v>0</v>
          </cell>
          <cell r="BD367">
            <v>0</v>
          </cell>
          <cell r="BG367">
            <v>0</v>
          </cell>
          <cell r="BH367">
            <v>0</v>
          </cell>
          <cell r="BI367">
            <v>3313.9895421050942</v>
          </cell>
          <cell r="BJ367">
            <v>21.674228529137306</v>
          </cell>
          <cell r="BK367">
            <v>0</v>
          </cell>
          <cell r="BL367">
            <v>0</v>
          </cell>
          <cell r="BM367">
            <v>10502.36087781961</v>
          </cell>
          <cell r="BN367">
            <v>68.687775525308112</v>
          </cell>
          <cell r="BO367">
            <v>0</v>
          </cell>
          <cell r="BP367">
            <v>0</v>
          </cell>
          <cell r="BY367">
            <v>1564</v>
          </cell>
          <cell r="CF367">
            <v>21.985186794092098</v>
          </cell>
          <cell r="CG367">
            <v>2142.25</v>
          </cell>
          <cell r="CJ367">
            <v>0</v>
          </cell>
          <cell r="CK367">
            <v>0</v>
          </cell>
          <cell r="CL367">
            <v>0</v>
          </cell>
          <cell r="CM367">
            <v>0</v>
          </cell>
          <cell r="CN367">
            <v>0</v>
          </cell>
          <cell r="CO367">
            <v>0</v>
          </cell>
          <cell r="CX367">
            <v>0</v>
          </cell>
          <cell r="CY367">
            <v>0</v>
          </cell>
          <cell r="DB367">
            <v>0</v>
          </cell>
          <cell r="DC367">
            <v>0</v>
          </cell>
          <cell r="DJ367" t="str">
            <v>НКРКП</v>
          </cell>
          <cell r="DL367">
            <v>40942</v>
          </cell>
          <cell r="DM367">
            <v>28</v>
          </cell>
          <cell r="DT367">
            <v>813.16</v>
          </cell>
        </row>
        <row r="368">
          <cell r="W368">
            <v>296.54201756081932</v>
          </cell>
          <cell r="AF368">
            <v>39926</v>
          </cell>
          <cell r="AG368">
            <v>356</v>
          </cell>
          <cell r="AH368">
            <v>274.5759421859438</v>
          </cell>
          <cell r="AM368">
            <v>7739.3</v>
          </cell>
          <cell r="AO368">
            <v>2295027.636508449</v>
          </cell>
          <cell r="AQ368">
            <v>2125025.5893596751</v>
          </cell>
          <cell r="AU368">
            <v>0</v>
          </cell>
          <cell r="AW368">
            <v>0</v>
          </cell>
          <cell r="AY368">
            <v>830499.25165699481</v>
          </cell>
          <cell r="AZ368">
            <v>107.30934989688923</v>
          </cell>
          <cell r="BA368">
            <v>299989.19649969845</v>
          </cell>
          <cell r="BB368">
            <v>38.761799710529175</v>
          </cell>
          <cell r="BC368">
            <v>0</v>
          </cell>
          <cell r="BD368">
            <v>0</v>
          </cell>
          <cell r="BG368">
            <v>0</v>
          </cell>
          <cell r="BH368">
            <v>0</v>
          </cell>
          <cell r="BI368">
            <v>178142.12744111026</v>
          </cell>
          <cell r="BJ368">
            <v>23.017860457807586</v>
          </cell>
          <cell r="BK368">
            <v>0</v>
          </cell>
          <cell r="BL368">
            <v>0</v>
          </cell>
          <cell r="BM368">
            <v>531594.94637086929</v>
          </cell>
          <cell r="BN368">
            <v>68.687729687551752</v>
          </cell>
          <cell r="BO368">
            <v>0</v>
          </cell>
          <cell r="BP368">
            <v>0</v>
          </cell>
          <cell r="BY368">
            <v>1564</v>
          </cell>
          <cell r="CF368">
            <v>1141.862249982119</v>
          </cell>
          <cell r="CG368">
            <v>727.32</v>
          </cell>
          <cell r="CJ368">
            <v>0</v>
          </cell>
          <cell r="CK368">
            <v>0</v>
          </cell>
          <cell r="CL368">
            <v>0</v>
          </cell>
          <cell r="CM368">
            <v>0</v>
          </cell>
          <cell r="CN368">
            <v>0</v>
          </cell>
          <cell r="CO368">
            <v>0</v>
          </cell>
          <cell r="CX368">
            <v>0</v>
          </cell>
          <cell r="CY368">
            <v>0</v>
          </cell>
          <cell r="DB368">
            <v>0</v>
          </cell>
          <cell r="DC368">
            <v>0</v>
          </cell>
          <cell r="DJ368" t="str">
            <v>НКРЕ</v>
          </cell>
          <cell r="DL368">
            <v>40526</v>
          </cell>
          <cell r="DM368">
            <v>1854</v>
          </cell>
          <cell r="DO368" t="str">
            <v>Тариф на теплову енергію</v>
          </cell>
          <cell r="DT368">
            <v>326.19</v>
          </cell>
        </row>
        <row r="369">
          <cell r="W369">
            <v>533.39034511962734</v>
          </cell>
          <cell r="AF369">
            <v>39926</v>
          </cell>
          <cell r="AG369">
            <v>357</v>
          </cell>
          <cell r="AH369">
            <v>493.87994918484009</v>
          </cell>
          <cell r="AM369">
            <v>215.8</v>
          </cell>
          <cell r="AO369">
            <v>115105.63647681559</v>
          </cell>
          <cell r="AQ369">
            <v>106579.29303408849</v>
          </cell>
          <cell r="AU369">
            <v>0</v>
          </cell>
          <cell r="AW369">
            <v>0</v>
          </cell>
          <cell r="AY369">
            <v>66472.878010680608</v>
          </cell>
          <cell r="AZ369">
            <v>308.03001858517428</v>
          </cell>
          <cell r="BA369">
            <v>12662.556308372739</v>
          </cell>
          <cell r="BB369">
            <v>58.677276683840311</v>
          </cell>
          <cell r="BC369">
            <v>0</v>
          </cell>
          <cell r="BD369">
            <v>0</v>
          </cell>
          <cell r="BG369">
            <v>0</v>
          </cell>
          <cell r="BH369">
            <v>0</v>
          </cell>
          <cell r="BI369">
            <v>4677.3420142564755</v>
          </cell>
          <cell r="BJ369">
            <v>21.674430093866892</v>
          </cell>
          <cell r="BK369">
            <v>0</v>
          </cell>
          <cell r="BL369">
            <v>0</v>
          </cell>
          <cell r="BM369">
            <v>14822.815489213543</v>
          </cell>
          <cell r="BN369">
            <v>68.687745547792133</v>
          </cell>
          <cell r="BO369">
            <v>0</v>
          </cell>
          <cell r="BP369">
            <v>0</v>
          </cell>
          <cell r="BY369">
            <v>1564</v>
          </cell>
          <cell r="CF369">
            <v>31.029468087609107</v>
          </cell>
          <cell r="CG369">
            <v>2142.25</v>
          </cell>
          <cell r="CJ369">
            <v>0</v>
          </cell>
          <cell r="CK369">
            <v>0</v>
          </cell>
          <cell r="CL369">
            <v>0</v>
          </cell>
          <cell r="CM369">
            <v>0</v>
          </cell>
          <cell r="CN369">
            <v>0</v>
          </cell>
          <cell r="CO369">
            <v>0</v>
          </cell>
          <cell r="CX369">
            <v>0</v>
          </cell>
          <cell r="CY369">
            <v>0</v>
          </cell>
          <cell r="DB369">
            <v>0</v>
          </cell>
          <cell r="DC369">
            <v>0</v>
          </cell>
          <cell r="DJ369" t="str">
            <v>НКРКП</v>
          </cell>
          <cell r="DL369">
            <v>40942</v>
          </cell>
          <cell r="DM369">
            <v>28</v>
          </cell>
          <cell r="DT369">
            <v>813.16</v>
          </cell>
        </row>
        <row r="370">
          <cell r="W370">
            <v>533.39034511962734</v>
          </cell>
          <cell r="AF370">
            <v>39926</v>
          </cell>
          <cell r="AG370">
            <v>357</v>
          </cell>
          <cell r="AH370">
            <v>493.88003990089129</v>
          </cell>
          <cell r="AM370">
            <v>507.1</v>
          </cell>
          <cell r="AO370">
            <v>270482.24401016306</v>
          </cell>
          <cell r="AQ370">
            <v>250446.56823374197</v>
          </cell>
          <cell r="AU370">
            <v>0</v>
          </cell>
          <cell r="AW370">
            <v>0</v>
          </cell>
          <cell r="AY370">
            <v>156201.9447111208</v>
          </cell>
          <cell r="AZ370">
            <v>308.02986533449177</v>
          </cell>
          <cell r="BA370">
            <v>29755.186182707472</v>
          </cell>
          <cell r="BB370">
            <v>58.677156739711045</v>
          </cell>
          <cell r="BC370">
            <v>0</v>
          </cell>
          <cell r="BD370">
            <v>0</v>
          </cell>
          <cell r="BG370">
            <v>0</v>
          </cell>
          <cell r="BH370">
            <v>0</v>
          </cell>
          <cell r="BI370">
            <v>10991.001287125528</v>
          </cell>
          <cell r="BJ370">
            <v>21.674228529137306</v>
          </cell>
          <cell r="BK370">
            <v>0</v>
          </cell>
          <cell r="BL370">
            <v>0</v>
          </cell>
          <cell r="BM370">
            <v>34831.570968883745</v>
          </cell>
          <cell r="BN370">
            <v>68.687775525308112</v>
          </cell>
          <cell r="BO370">
            <v>0</v>
          </cell>
          <cell r="BP370">
            <v>0</v>
          </cell>
          <cell r="BY370">
            <v>1564</v>
          </cell>
          <cell r="CF370">
            <v>72.914900086880991</v>
          </cell>
          <cell r="CG370">
            <v>2142.25</v>
          </cell>
          <cell r="CJ370">
            <v>0</v>
          </cell>
          <cell r="CK370">
            <v>0</v>
          </cell>
          <cell r="CL370">
            <v>0</v>
          </cell>
          <cell r="CM370">
            <v>0</v>
          </cell>
          <cell r="CN370">
            <v>0</v>
          </cell>
          <cell r="CO370">
            <v>0</v>
          </cell>
          <cell r="CX370">
            <v>0</v>
          </cell>
          <cell r="CY370">
            <v>0</v>
          </cell>
          <cell r="DB370">
            <v>0</v>
          </cell>
          <cell r="DC370">
            <v>0</v>
          </cell>
          <cell r="DJ370" t="str">
            <v>НКРКП</v>
          </cell>
          <cell r="DL370">
            <v>40942</v>
          </cell>
          <cell r="DM370">
            <v>28</v>
          </cell>
          <cell r="DT370">
            <v>813.16</v>
          </cell>
        </row>
        <row r="371">
          <cell r="W371">
            <v>296.54201756081932</v>
          </cell>
          <cell r="AF371">
            <v>39926</v>
          </cell>
          <cell r="AG371">
            <v>356</v>
          </cell>
          <cell r="AH371">
            <v>274.5759421859438</v>
          </cell>
          <cell r="AM371">
            <v>3092.2</v>
          </cell>
          <cell r="AO371">
            <v>916967.22670156544</v>
          </cell>
          <cell r="AQ371">
            <v>849043.72842737532</v>
          </cell>
          <cell r="AU371">
            <v>0</v>
          </cell>
          <cell r="AW371">
            <v>0</v>
          </cell>
          <cell r="AY371">
            <v>331821.97175116086</v>
          </cell>
          <cell r="AZ371">
            <v>107.30934989688923</v>
          </cell>
          <cell r="BA371">
            <v>119859.23706489831</v>
          </cell>
          <cell r="BB371">
            <v>38.761799710529175</v>
          </cell>
          <cell r="BC371">
            <v>0</v>
          </cell>
          <cell r="BD371">
            <v>0</v>
          </cell>
          <cell r="BG371">
            <v>0</v>
          </cell>
          <cell r="BH371">
            <v>0</v>
          </cell>
          <cell r="BI371">
            <v>71175.828107632609</v>
          </cell>
          <cell r="BJ371">
            <v>23.017860457807586</v>
          </cell>
          <cell r="BK371">
            <v>0</v>
          </cell>
          <cell r="BL371">
            <v>0</v>
          </cell>
          <cell r="BM371">
            <v>212396.1977398475</v>
          </cell>
          <cell r="BN371">
            <v>68.687729687551752</v>
          </cell>
          <cell r="BO371">
            <v>0</v>
          </cell>
          <cell r="BP371">
            <v>0</v>
          </cell>
          <cell r="BY371">
            <v>1564</v>
          </cell>
          <cell r="CF371">
            <v>456.22555649667385</v>
          </cell>
          <cell r="CG371">
            <v>727.32</v>
          </cell>
          <cell r="CJ371">
            <v>0</v>
          </cell>
          <cell r="CK371">
            <v>0</v>
          </cell>
          <cell r="CL371">
            <v>0</v>
          </cell>
          <cell r="CM371">
            <v>0</v>
          </cell>
          <cell r="CN371">
            <v>0</v>
          </cell>
          <cell r="CO371">
            <v>0</v>
          </cell>
          <cell r="CX371">
            <v>0</v>
          </cell>
          <cell r="CY371">
            <v>0</v>
          </cell>
          <cell r="DB371">
            <v>0</v>
          </cell>
          <cell r="DC371">
            <v>0</v>
          </cell>
          <cell r="DJ371" t="str">
            <v>НКРЕ</v>
          </cell>
          <cell r="DL371">
            <v>40526</v>
          </cell>
          <cell r="DM371">
            <v>1854</v>
          </cell>
          <cell r="DO371" t="str">
            <v>Тариф на теплову енергію</v>
          </cell>
          <cell r="DT371">
            <v>326.19</v>
          </cell>
        </row>
        <row r="372">
          <cell r="W372">
            <v>533.39034511962734</v>
          </cell>
          <cell r="AF372">
            <v>39926</v>
          </cell>
          <cell r="AG372">
            <v>357</v>
          </cell>
          <cell r="AH372">
            <v>493.87994918484009</v>
          </cell>
          <cell r="AM372">
            <v>24.6</v>
          </cell>
          <cell r="AO372">
            <v>13121.402489942833</v>
          </cell>
          <cell r="AQ372">
            <v>12149.446749947067</v>
          </cell>
          <cell r="AU372">
            <v>0</v>
          </cell>
          <cell r="AW372">
            <v>0</v>
          </cell>
          <cell r="AY372">
            <v>7577.5384571952873</v>
          </cell>
          <cell r="AZ372">
            <v>308.03001858517428</v>
          </cell>
          <cell r="BA372">
            <v>1443.4610064224717</v>
          </cell>
          <cell r="BB372">
            <v>58.677276683840304</v>
          </cell>
          <cell r="BC372">
            <v>0</v>
          </cell>
          <cell r="BD372">
            <v>0</v>
          </cell>
          <cell r="BG372">
            <v>0</v>
          </cell>
          <cell r="BH372">
            <v>0</v>
          </cell>
          <cell r="BI372">
            <v>533.19098030912562</v>
          </cell>
          <cell r="BJ372">
            <v>21.674430093866896</v>
          </cell>
          <cell r="BK372">
            <v>0</v>
          </cell>
          <cell r="BL372">
            <v>0</v>
          </cell>
          <cell r="BM372">
            <v>1689.7185404756865</v>
          </cell>
          <cell r="BN372">
            <v>68.687745547792133</v>
          </cell>
          <cell r="BO372">
            <v>0</v>
          </cell>
          <cell r="BP372">
            <v>0</v>
          </cell>
          <cell r="BY372">
            <v>1564</v>
          </cell>
          <cell r="CF372">
            <v>3.5371868162890827</v>
          </cell>
          <cell r="CG372">
            <v>2142.25</v>
          </cell>
          <cell r="CJ372">
            <v>0</v>
          </cell>
          <cell r="CK372">
            <v>0</v>
          </cell>
          <cell r="CL372">
            <v>0</v>
          </cell>
          <cell r="CM372">
            <v>0</v>
          </cell>
          <cell r="CN372">
            <v>0</v>
          </cell>
          <cell r="CO372">
            <v>0</v>
          </cell>
          <cell r="CX372">
            <v>0</v>
          </cell>
          <cell r="CY372">
            <v>0</v>
          </cell>
          <cell r="DB372">
            <v>0</v>
          </cell>
          <cell r="DC372">
            <v>0</v>
          </cell>
          <cell r="DJ372" t="str">
            <v>НКРКП</v>
          </cell>
          <cell r="DL372">
            <v>40942</v>
          </cell>
          <cell r="DM372">
            <v>28</v>
          </cell>
          <cell r="DT372">
            <v>813.16</v>
          </cell>
        </row>
        <row r="373">
          <cell r="W373">
            <v>533.39166666666677</v>
          </cell>
          <cell r="AF373">
            <v>39926</v>
          </cell>
          <cell r="AG373">
            <v>357</v>
          </cell>
          <cell r="AH373">
            <v>493.88003990089135</v>
          </cell>
          <cell r="AM373">
            <v>239</v>
          </cell>
          <cell r="AO373">
            <v>127480.60833333335</v>
          </cell>
          <cell r="AQ373">
            <v>118037.32953631303</v>
          </cell>
          <cell r="AU373">
            <v>0</v>
          </cell>
          <cell r="AW373">
            <v>0</v>
          </cell>
          <cell r="AY373">
            <v>73619.137814943533</v>
          </cell>
          <cell r="AZ373">
            <v>308.02986533449177</v>
          </cell>
          <cell r="BA373">
            <v>14023.84046079094</v>
          </cell>
          <cell r="BB373">
            <v>58.677156739711045</v>
          </cell>
          <cell r="BC373">
            <v>0</v>
          </cell>
          <cell r="BD373">
            <v>0</v>
          </cell>
          <cell r="BG373">
            <v>0</v>
          </cell>
          <cell r="BH373">
            <v>0</v>
          </cell>
          <cell r="BI373">
            <v>5180.1406184638163</v>
          </cell>
          <cell r="BJ373">
            <v>21.674228529137306</v>
          </cell>
          <cell r="BK373">
            <v>0</v>
          </cell>
          <cell r="BL373">
            <v>0</v>
          </cell>
          <cell r="BM373">
            <v>16416.378350548639</v>
          </cell>
          <cell r="BN373">
            <v>68.687775525308112</v>
          </cell>
          <cell r="BO373">
            <v>0</v>
          </cell>
          <cell r="BP373">
            <v>0</v>
          </cell>
          <cell r="BY373">
            <v>1564</v>
          </cell>
          <cell r="CF373">
            <v>34.36533449174631</v>
          </cell>
          <cell r="CG373">
            <v>2142.25</v>
          </cell>
          <cell r="CJ373">
            <v>0</v>
          </cell>
          <cell r="CK373">
            <v>0</v>
          </cell>
          <cell r="CL373">
            <v>0</v>
          </cell>
          <cell r="CM373">
            <v>0</v>
          </cell>
          <cell r="CN373">
            <v>0</v>
          </cell>
          <cell r="CO373">
            <v>0</v>
          </cell>
          <cell r="CX373">
            <v>0</v>
          </cell>
          <cell r="CY373">
            <v>0</v>
          </cell>
          <cell r="DB373">
            <v>0</v>
          </cell>
          <cell r="DC373">
            <v>0</v>
          </cell>
          <cell r="DJ373" t="str">
            <v>НКРКП</v>
          </cell>
          <cell r="DL373">
            <v>40942</v>
          </cell>
          <cell r="DM373">
            <v>28</v>
          </cell>
          <cell r="DT373">
            <v>813.16</v>
          </cell>
        </row>
        <row r="374">
          <cell r="W374">
            <v>296.54201756081932</v>
          </cell>
          <cell r="AF374">
            <v>39926</v>
          </cell>
          <cell r="AG374">
            <v>356</v>
          </cell>
          <cell r="AH374">
            <v>274.5759421859438</v>
          </cell>
          <cell r="AM374">
            <v>12120.8</v>
          </cell>
          <cell r="AO374">
            <v>3594326.4864511788</v>
          </cell>
          <cell r="AQ374">
            <v>3328080.0800473876</v>
          </cell>
          <cell r="AU374">
            <v>0</v>
          </cell>
          <cell r="AW374">
            <v>0</v>
          </cell>
          <cell r="AY374">
            <v>1300675.1682302149</v>
          </cell>
          <cell r="AZ374">
            <v>107.30934989688923</v>
          </cell>
          <cell r="BA374">
            <v>469824.02193138195</v>
          </cell>
          <cell r="BB374">
            <v>38.761799710529175</v>
          </cell>
          <cell r="BC374">
            <v>0</v>
          </cell>
          <cell r="BD374">
            <v>0</v>
          </cell>
          <cell r="BG374">
            <v>0</v>
          </cell>
          <cell r="BH374">
            <v>0</v>
          </cell>
          <cell r="BI374">
            <v>278994.8830369942</v>
          </cell>
          <cell r="BJ374">
            <v>23.01786045780759</v>
          </cell>
          <cell r="BK374">
            <v>0</v>
          </cell>
          <cell r="BL374">
            <v>0</v>
          </cell>
          <cell r="BM374">
            <v>832550.23399687721</v>
          </cell>
          <cell r="BN374">
            <v>68.687729687551752</v>
          </cell>
          <cell r="BO374">
            <v>0</v>
          </cell>
          <cell r="BP374">
            <v>0</v>
          </cell>
          <cell r="BY374">
            <v>1564</v>
          </cell>
          <cell r="CF374">
            <v>1788.3121160290034</v>
          </cell>
          <cell r="CG374">
            <v>727.32</v>
          </cell>
          <cell r="CJ374">
            <v>0</v>
          </cell>
          <cell r="CK374">
            <v>0</v>
          </cell>
          <cell r="CL374">
            <v>0</v>
          </cell>
          <cell r="CM374">
            <v>0</v>
          </cell>
          <cell r="CN374">
            <v>0</v>
          </cell>
          <cell r="CO374">
            <v>0</v>
          </cell>
          <cell r="CX374">
            <v>0</v>
          </cell>
          <cell r="CY374">
            <v>0</v>
          </cell>
          <cell r="DB374">
            <v>0</v>
          </cell>
          <cell r="DC374">
            <v>0</v>
          </cell>
          <cell r="DJ374" t="str">
            <v>НКРЕ</v>
          </cell>
          <cell r="DL374">
            <v>40526</v>
          </cell>
          <cell r="DM374">
            <v>1854</v>
          </cell>
          <cell r="DO374" t="str">
            <v>Тариф на теплову енергію</v>
          </cell>
          <cell r="DT374">
            <v>326.19</v>
          </cell>
        </row>
        <row r="375">
          <cell r="W375">
            <v>533.39166666666677</v>
          </cell>
          <cell r="AF375">
            <v>39926</v>
          </cell>
          <cell r="AG375">
            <v>357</v>
          </cell>
          <cell r="AH375">
            <v>493.88003990089129</v>
          </cell>
          <cell r="AM375">
            <v>645.1</v>
          </cell>
          <cell r="AO375">
            <v>344090.96416666673</v>
          </cell>
          <cell r="AQ375">
            <v>318602.01374006498</v>
          </cell>
          <cell r="AU375">
            <v>0</v>
          </cell>
          <cell r="AW375">
            <v>0</v>
          </cell>
          <cell r="AY375">
            <v>198710.06612728065</v>
          </cell>
          <cell r="AZ375">
            <v>308.02986533449177</v>
          </cell>
          <cell r="BA375">
            <v>37852.633812787601</v>
          </cell>
          <cell r="BB375">
            <v>58.677156739711052</v>
          </cell>
          <cell r="BC375">
            <v>0</v>
          </cell>
          <cell r="BD375">
            <v>0</v>
          </cell>
          <cell r="BG375">
            <v>0</v>
          </cell>
          <cell r="BH375">
            <v>0</v>
          </cell>
          <cell r="BI375">
            <v>13982.044824146476</v>
          </cell>
          <cell r="BJ375">
            <v>21.674228529137306</v>
          </cell>
          <cell r="BK375">
            <v>0</v>
          </cell>
          <cell r="BL375">
            <v>0</v>
          </cell>
          <cell r="BM375">
            <v>44310.483991376263</v>
          </cell>
          <cell r="BN375">
            <v>68.687775525308112</v>
          </cell>
          <cell r="BO375">
            <v>0</v>
          </cell>
          <cell r="BP375">
            <v>0</v>
          </cell>
          <cell r="BY375">
            <v>1564</v>
          </cell>
          <cell r="CF375">
            <v>92.757645525629897</v>
          </cell>
          <cell r="CG375">
            <v>2142.25</v>
          </cell>
          <cell r="CJ375">
            <v>0</v>
          </cell>
          <cell r="CK375">
            <v>0</v>
          </cell>
          <cell r="CL375">
            <v>0</v>
          </cell>
          <cell r="CM375">
            <v>0</v>
          </cell>
          <cell r="CN375">
            <v>0</v>
          </cell>
          <cell r="CO375">
            <v>0</v>
          </cell>
          <cell r="CX375">
            <v>0</v>
          </cell>
          <cell r="CY375">
            <v>0</v>
          </cell>
          <cell r="DB375">
            <v>0</v>
          </cell>
          <cell r="DC375">
            <v>0</v>
          </cell>
          <cell r="DJ375" t="str">
            <v>НКРКП</v>
          </cell>
          <cell r="DL375">
            <v>40942</v>
          </cell>
          <cell r="DM375">
            <v>28</v>
          </cell>
          <cell r="DT375">
            <v>813.16</v>
          </cell>
        </row>
        <row r="376">
          <cell r="W376">
            <v>296.54201756081932</v>
          </cell>
          <cell r="AF376">
            <v>39926</v>
          </cell>
          <cell r="AG376">
            <v>356</v>
          </cell>
          <cell r="AH376">
            <v>274.5759421859438</v>
          </cell>
          <cell r="AM376">
            <v>854.7</v>
          </cell>
          <cell r="AO376">
            <v>253454.46240923228</v>
          </cell>
          <cell r="AQ376">
            <v>234680.05778632616</v>
          </cell>
          <cell r="AU376">
            <v>0</v>
          </cell>
          <cell r="AW376">
            <v>0</v>
          </cell>
          <cell r="AY376">
            <v>91717.301356871219</v>
          </cell>
          <cell r="AZ376">
            <v>107.30934989688922</v>
          </cell>
          <cell r="BA376">
            <v>33129.710212589285</v>
          </cell>
          <cell r="BB376">
            <v>38.761799710529175</v>
          </cell>
          <cell r="BC376">
            <v>0</v>
          </cell>
          <cell r="BD376">
            <v>0</v>
          </cell>
          <cell r="BG376">
            <v>0</v>
          </cell>
          <cell r="BH376">
            <v>0</v>
          </cell>
          <cell r="BI376">
            <v>19673.365333288144</v>
          </cell>
          <cell r="BJ376">
            <v>23.017860457807586</v>
          </cell>
          <cell r="BK376">
            <v>0</v>
          </cell>
          <cell r="BL376">
            <v>0</v>
          </cell>
          <cell r="BM376">
            <v>58707.402563950483</v>
          </cell>
          <cell r="BN376">
            <v>68.687729687551752</v>
          </cell>
          <cell r="BO376">
            <v>0</v>
          </cell>
          <cell r="BP376">
            <v>0</v>
          </cell>
          <cell r="BY376">
            <v>1564</v>
          </cell>
          <cell r="CF376">
            <v>126.10309266467472</v>
          </cell>
          <cell r="CG376">
            <v>727.32</v>
          </cell>
          <cell r="CJ376">
            <v>0</v>
          </cell>
          <cell r="CK376">
            <v>0</v>
          </cell>
          <cell r="CL376">
            <v>0</v>
          </cell>
          <cell r="CM376">
            <v>0</v>
          </cell>
          <cell r="CN376">
            <v>0</v>
          </cell>
          <cell r="CO376">
            <v>0</v>
          </cell>
          <cell r="CX376">
            <v>0</v>
          </cell>
          <cell r="CY376">
            <v>0</v>
          </cell>
          <cell r="DB376">
            <v>0</v>
          </cell>
          <cell r="DC376">
            <v>0</v>
          </cell>
          <cell r="DJ376" t="str">
            <v>НКРЕ</v>
          </cell>
          <cell r="DL376">
            <v>40526</v>
          </cell>
          <cell r="DM376">
            <v>1854</v>
          </cell>
          <cell r="DO376" t="str">
            <v>Тариф на теплову енергію</v>
          </cell>
          <cell r="DT376">
            <v>326.19</v>
          </cell>
        </row>
        <row r="377">
          <cell r="W377">
            <v>533.39034511962734</v>
          </cell>
          <cell r="AF377">
            <v>39926</v>
          </cell>
          <cell r="AG377">
            <v>357</v>
          </cell>
          <cell r="AH377">
            <v>493.87994918484009</v>
          </cell>
          <cell r="AM377">
            <v>2568</v>
          </cell>
          <cell r="AO377">
            <v>1369746.4062672029</v>
          </cell>
          <cell r="AQ377">
            <v>1268283.7095066693</v>
          </cell>
          <cell r="AU377">
            <v>0</v>
          </cell>
          <cell r="AW377">
            <v>0</v>
          </cell>
          <cell r="AY377">
            <v>791021.08772672748</v>
          </cell>
          <cell r="AZ377">
            <v>308.03001858517428</v>
          </cell>
          <cell r="BA377">
            <v>150683.24652410191</v>
          </cell>
          <cell r="BB377">
            <v>58.677276683840304</v>
          </cell>
          <cell r="BC377">
            <v>0</v>
          </cell>
          <cell r="BD377">
            <v>0</v>
          </cell>
          <cell r="BG377">
            <v>0</v>
          </cell>
          <cell r="BH377">
            <v>0</v>
          </cell>
          <cell r="BI377">
            <v>55659.936481050179</v>
          </cell>
          <cell r="BJ377">
            <v>21.674430093866892</v>
          </cell>
          <cell r="BK377">
            <v>0</v>
          </cell>
          <cell r="BL377">
            <v>0</v>
          </cell>
          <cell r="BM377">
            <v>176390.13056673019</v>
          </cell>
          <cell r="BN377">
            <v>68.687745547792133</v>
          </cell>
          <cell r="BO377">
            <v>0</v>
          </cell>
          <cell r="BP377">
            <v>0</v>
          </cell>
          <cell r="BY377">
            <v>1564</v>
          </cell>
          <cell r="CF377">
            <v>369.24779448090908</v>
          </cell>
          <cell r="CG377">
            <v>2142.25</v>
          </cell>
          <cell r="CJ377">
            <v>0</v>
          </cell>
          <cell r="CK377">
            <v>0</v>
          </cell>
          <cell r="CL377">
            <v>0</v>
          </cell>
          <cell r="CM377">
            <v>0</v>
          </cell>
          <cell r="CN377">
            <v>0</v>
          </cell>
          <cell r="CO377">
            <v>0</v>
          </cell>
          <cell r="CX377">
            <v>0</v>
          </cell>
          <cell r="CY377">
            <v>0</v>
          </cell>
          <cell r="DB377">
            <v>0</v>
          </cell>
          <cell r="DC377">
            <v>0</v>
          </cell>
          <cell r="DJ377" t="str">
            <v>НКРКП</v>
          </cell>
          <cell r="DL377">
            <v>40942</v>
          </cell>
          <cell r="DM377">
            <v>28</v>
          </cell>
          <cell r="DT377">
            <v>813.16</v>
          </cell>
        </row>
        <row r="378">
          <cell r="W378">
            <v>278.89999999999998</v>
          </cell>
          <cell r="AF378">
            <v>39926</v>
          </cell>
          <cell r="AG378">
            <v>348</v>
          </cell>
          <cell r="AH378">
            <v>265.61900239409601</v>
          </cell>
          <cell r="AM378">
            <v>79843.100000000006</v>
          </cell>
          <cell r="AO378">
            <v>22268240.59</v>
          </cell>
          <cell r="AQ378">
            <v>21207844.57005205</v>
          </cell>
          <cell r="AU378">
            <v>0</v>
          </cell>
          <cell r="AW378">
            <v>0</v>
          </cell>
          <cell r="AY378">
            <v>8927423.4554513581</v>
          </cell>
          <cell r="AZ378">
            <v>111.8120846441503</v>
          </cell>
          <cell r="BA378">
            <v>2311514.6956688631</v>
          </cell>
          <cell r="BB378">
            <v>28.950713282285669</v>
          </cell>
          <cell r="BC378">
            <v>0</v>
          </cell>
          <cell r="BD378">
            <v>0</v>
          </cell>
          <cell r="BG378">
            <v>0</v>
          </cell>
          <cell r="BH378">
            <v>0</v>
          </cell>
          <cell r="BI378">
            <v>2227790.8933647927</v>
          </cell>
          <cell r="BJ378">
            <v>27.902109178686604</v>
          </cell>
          <cell r="BK378">
            <v>0</v>
          </cell>
          <cell r="BL378">
            <v>0</v>
          </cell>
          <cell r="BM378">
            <v>5599423.7276320215</v>
          </cell>
          <cell r="BN378">
            <v>70.130339724184324</v>
          </cell>
          <cell r="BO378">
            <v>0</v>
          </cell>
          <cell r="BP378">
            <v>0</v>
          </cell>
          <cell r="BY378">
            <v>1445</v>
          </cell>
          <cell r="CF378">
            <v>12274.409414633665</v>
          </cell>
          <cell r="CG378">
            <v>727.32</v>
          </cell>
          <cell r="CJ378">
            <v>0</v>
          </cell>
          <cell r="CK378">
            <v>0</v>
          </cell>
          <cell r="CL378">
            <v>0</v>
          </cell>
          <cell r="CM378">
            <v>0</v>
          </cell>
          <cell r="CN378">
            <v>0</v>
          </cell>
          <cell r="CO378">
            <v>0</v>
          </cell>
          <cell r="CX378">
            <v>0</v>
          </cell>
          <cell r="CY378">
            <v>0</v>
          </cell>
          <cell r="DB378">
            <v>0</v>
          </cell>
          <cell r="DC378">
            <v>0</v>
          </cell>
          <cell r="DJ378" t="str">
            <v>НКРЕ</v>
          </cell>
          <cell r="DL378">
            <v>40526</v>
          </cell>
          <cell r="DM378">
            <v>1854</v>
          </cell>
          <cell r="DO378" t="str">
            <v>Тариф на теплову енергію</v>
          </cell>
          <cell r="DT378">
            <v>306.79000000000002</v>
          </cell>
        </row>
        <row r="379">
          <cell r="W379">
            <v>501.22500000000002</v>
          </cell>
          <cell r="AF379">
            <v>39926</v>
          </cell>
          <cell r="AG379">
            <v>349</v>
          </cell>
          <cell r="AH379">
            <v>477.36534276387374</v>
          </cell>
          <cell r="AM379">
            <v>10091.9</v>
          </cell>
          <cell r="AO379">
            <v>5058312.5774999997</v>
          </cell>
          <cell r="AQ379">
            <v>4817523.3026387375</v>
          </cell>
          <cell r="AU379">
            <v>0</v>
          </cell>
          <cell r="AW379">
            <v>0</v>
          </cell>
          <cell r="AY379">
            <v>3273593.2459978778</v>
          </cell>
          <cell r="AZ379">
            <v>324.37828813185604</v>
          </cell>
          <cell r="BA379">
            <v>322057.39019899676</v>
          </cell>
          <cell r="BB379">
            <v>31.912463480513754</v>
          </cell>
          <cell r="BC379">
            <v>0</v>
          </cell>
          <cell r="BD379">
            <v>0</v>
          </cell>
          <cell r="BG379">
            <v>0</v>
          </cell>
          <cell r="BH379">
            <v>0</v>
          </cell>
          <cell r="BI379">
            <v>261617.95715451572</v>
          </cell>
          <cell r="BJ379">
            <v>25.923558215451575</v>
          </cell>
          <cell r="BK379">
            <v>0</v>
          </cell>
          <cell r="BL379">
            <v>0</v>
          </cell>
          <cell r="BM379">
            <v>727909.09280083783</v>
          </cell>
          <cell r="BN379">
            <v>72.128052477812687</v>
          </cell>
          <cell r="BO379">
            <v>0</v>
          </cell>
          <cell r="BP379">
            <v>0</v>
          </cell>
          <cell r="BY379">
            <v>1445</v>
          </cell>
          <cell r="CF379">
            <v>1528.1098125792405</v>
          </cell>
          <cell r="CG379">
            <v>2142.25</v>
          </cell>
          <cell r="CJ379">
            <v>0</v>
          </cell>
          <cell r="CK379">
            <v>0</v>
          </cell>
          <cell r="CL379">
            <v>0</v>
          </cell>
          <cell r="CM379">
            <v>0</v>
          </cell>
          <cell r="CN379">
            <v>0</v>
          </cell>
          <cell r="CO379">
            <v>0</v>
          </cell>
          <cell r="CX379">
            <v>0</v>
          </cell>
          <cell r="CY379">
            <v>0</v>
          </cell>
          <cell r="DB379">
            <v>0</v>
          </cell>
          <cell r="DC379">
            <v>0</v>
          </cell>
          <cell r="DJ379" t="str">
            <v>НКРКП</v>
          </cell>
          <cell r="DL379">
            <v>40942</v>
          </cell>
          <cell r="DM379">
            <v>28</v>
          </cell>
          <cell r="DT379">
            <v>780.97</v>
          </cell>
        </row>
        <row r="380">
          <cell r="W380">
            <v>501.22500000000002</v>
          </cell>
          <cell r="AF380">
            <v>39926</v>
          </cell>
          <cell r="AG380">
            <v>349</v>
          </cell>
          <cell r="AH380">
            <v>477.36688972941516</v>
          </cell>
          <cell r="AM380">
            <v>3137.6</v>
          </cell>
          <cell r="AO380">
            <v>1572643.56</v>
          </cell>
          <cell r="AQ380">
            <v>1497786.3532150129</v>
          </cell>
          <cell r="AU380">
            <v>0</v>
          </cell>
          <cell r="AW380">
            <v>0</v>
          </cell>
          <cell r="AY380">
            <v>1017769.3168425116</v>
          </cell>
          <cell r="AZ380">
            <v>324.3782881318561</v>
          </cell>
          <cell r="BA380">
            <v>100128.54541645997</v>
          </cell>
          <cell r="BB380">
            <v>31.912463480513757</v>
          </cell>
          <cell r="BC380">
            <v>0</v>
          </cell>
          <cell r="BD380">
            <v>0</v>
          </cell>
          <cell r="BG380">
            <v>0</v>
          </cell>
          <cell r="BH380">
            <v>0</v>
          </cell>
          <cell r="BI380">
            <v>81349.377713121896</v>
          </cell>
          <cell r="BJ380">
            <v>25.927262147221409</v>
          </cell>
          <cell r="BK380">
            <v>0</v>
          </cell>
          <cell r="BL380">
            <v>0</v>
          </cell>
          <cell r="BM380">
            <v>226308.97745438508</v>
          </cell>
          <cell r="BN380">
            <v>72.128052477812687</v>
          </cell>
          <cell r="BO380">
            <v>0</v>
          </cell>
          <cell r="BP380">
            <v>0</v>
          </cell>
          <cell r="BY380">
            <v>1445</v>
          </cell>
          <cell r="CF380">
            <v>475.09362438674833</v>
          </cell>
          <cell r="CG380">
            <v>2142.25</v>
          </cell>
          <cell r="CJ380">
            <v>0</v>
          </cell>
          <cell r="CK380">
            <v>0</v>
          </cell>
          <cell r="CL380">
            <v>0</v>
          </cell>
          <cell r="CM380">
            <v>0</v>
          </cell>
          <cell r="CN380">
            <v>0</v>
          </cell>
          <cell r="CO380">
            <v>0</v>
          </cell>
          <cell r="CX380">
            <v>0</v>
          </cell>
          <cell r="CY380">
            <v>0</v>
          </cell>
          <cell r="DB380">
            <v>0</v>
          </cell>
          <cell r="DC380">
            <v>0</v>
          </cell>
          <cell r="DJ380" t="str">
            <v>НКРКП</v>
          </cell>
          <cell r="DL380">
            <v>40942</v>
          </cell>
          <cell r="DM380">
            <v>28</v>
          </cell>
          <cell r="DT380">
            <v>780.97</v>
          </cell>
        </row>
        <row r="381">
          <cell r="W381">
            <v>286.87</v>
          </cell>
          <cell r="AF381">
            <v>39926</v>
          </cell>
          <cell r="AG381">
            <v>348</v>
          </cell>
          <cell r="AH381">
            <v>265.6190023940959</v>
          </cell>
          <cell r="AM381">
            <v>11616.2</v>
          </cell>
          <cell r="AO381">
            <v>3332339.2940000002</v>
          </cell>
          <cell r="AQ381">
            <v>3085483.4556102972</v>
          </cell>
          <cell r="AU381">
            <v>0</v>
          </cell>
          <cell r="AW381">
            <v>0</v>
          </cell>
          <cell r="AY381">
            <v>1298831.5376433788</v>
          </cell>
          <cell r="AZ381">
            <v>111.8120846441503</v>
          </cell>
          <cell r="BA381">
            <v>336297.27562968683</v>
          </cell>
          <cell r="BB381">
            <v>28.950713282285673</v>
          </cell>
          <cell r="BC381">
            <v>0</v>
          </cell>
          <cell r="BD381">
            <v>0</v>
          </cell>
          <cell r="BG381">
            <v>0</v>
          </cell>
          <cell r="BH381">
            <v>0</v>
          </cell>
          <cell r="BI381">
            <v>324116.48064145946</v>
          </cell>
          <cell r="BJ381">
            <v>27.902109178686615</v>
          </cell>
          <cell r="BK381">
            <v>0</v>
          </cell>
          <cell r="BL381">
            <v>0</v>
          </cell>
          <cell r="BM381">
            <v>814648.05230406998</v>
          </cell>
          <cell r="BN381">
            <v>70.130339724184324</v>
          </cell>
          <cell r="BO381">
            <v>0</v>
          </cell>
          <cell r="BP381">
            <v>0</v>
          </cell>
          <cell r="BY381">
            <v>1445</v>
          </cell>
          <cell r="CF381">
            <v>1785.7772887358781</v>
          </cell>
          <cell r="CG381">
            <v>727.32</v>
          </cell>
          <cell r="CJ381">
            <v>0</v>
          </cell>
          <cell r="CK381">
            <v>0</v>
          </cell>
          <cell r="CL381">
            <v>0</v>
          </cell>
          <cell r="CM381">
            <v>0</v>
          </cell>
          <cell r="CN381">
            <v>0</v>
          </cell>
          <cell r="CO381">
            <v>0</v>
          </cell>
          <cell r="CX381">
            <v>0</v>
          </cell>
          <cell r="CY381">
            <v>0</v>
          </cell>
          <cell r="DB381">
            <v>0</v>
          </cell>
          <cell r="DC381">
            <v>0</v>
          </cell>
          <cell r="DJ381" t="str">
            <v>НКРЕ</v>
          </cell>
          <cell r="DL381">
            <v>40526</v>
          </cell>
          <cell r="DM381">
            <v>1854</v>
          </cell>
          <cell r="DO381" t="str">
            <v>Тариф на теплову енергію</v>
          </cell>
          <cell r="DT381">
            <v>315.56</v>
          </cell>
        </row>
        <row r="382">
          <cell r="W382">
            <v>515.54999999999995</v>
          </cell>
          <cell r="AF382">
            <v>39926</v>
          </cell>
          <cell r="AG382">
            <v>349</v>
          </cell>
          <cell r="AH382">
            <v>477.3653427638738</v>
          </cell>
          <cell r="AM382">
            <v>2788.3</v>
          </cell>
          <cell r="AO382">
            <v>1437508.0649999999</v>
          </cell>
          <cell r="AQ382">
            <v>1331037.7852285095</v>
          </cell>
          <cell r="AU382">
            <v>0</v>
          </cell>
          <cell r="AW382">
            <v>0</v>
          </cell>
          <cell r="AY382">
            <v>904463.98079805425</v>
          </cell>
          <cell r="AZ382">
            <v>324.37828813185604</v>
          </cell>
          <cell r="BA382">
            <v>88981.521922716507</v>
          </cell>
          <cell r="BB382">
            <v>31.912463480513754</v>
          </cell>
          <cell r="BC382">
            <v>0</v>
          </cell>
          <cell r="BD382">
            <v>0</v>
          </cell>
          <cell r="BG382">
            <v>0</v>
          </cell>
          <cell r="BH382">
            <v>0</v>
          </cell>
          <cell r="BI382">
            <v>72282.657372143643</v>
          </cell>
          <cell r="BJ382">
            <v>25.923558215451578</v>
          </cell>
          <cell r="BK382">
            <v>0</v>
          </cell>
          <cell r="BL382">
            <v>0</v>
          </cell>
          <cell r="BM382">
            <v>201114.64872388513</v>
          </cell>
          <cell r="BN382">
            <v>72.128052477812687</v>
          </cell>
          <cell r="BO382">
            <v>0</v>
          </cell>
          <cell r="BP382">
            <v>0</v>
          </cell>
          <cell r="BY382">
            <v>1445</v>
          </cell>
          <cell r="CF382">
            <v>422.20281517005685</v>
          </cell>
          <cell r="CG382">
            <v>2142.25</v>
          </cell>
          <cell r="CJ382">
            <v>0</v>
          </cell>
          <cell r="CK382">
            <v>0</v>
          </cell>
          <cell r="CL382">
            <v>0</v>
          </cell>
          <cell r="CM382">
            <v>0</v>
          </cell>
          <cell r="CN382">
            <v>0</v>
          </cell>
          <cell r="CO382">
            <v>0</v>
          </cell>
          <cell r="CX382">
            <v>0</v>
          </cell>
          <cell r="CY382">
            <v>0</v>
          </cell>
          <cell r="DB382">
            <v>0</v>
          </cell>
          <cell r="DC382">
            <v>0</v>
          </cell>
          <cell r="DJ382" t="str">
            <v>НКРКП</v>
          </cell>
          <cell r="DL382">
            <v>40942</v>
          </cell>
          <cell r="DM382">
            <v>28</v>
          </cell>
          <cell r="DT382">
            <v>795.29</v>
          </cell>
        </row>
        <row r="383">
          <cell r="W383">
            <v>515.54999999999995</v>
          </cell>
          <cell r="AF383">
            <v>39926</v>
          </cell>
          <cell r="AG383">
            <v>349</v>
          </cell>
          <cell r="AH383">
            <v>477.36688972941516</v>
          </cell>
          <cell r="AM383">
            <v>126.7</v>
          </cell>
          <cell r="AO383">
            <v>65320.184999999998</v>
          </cell>
          <cell r="AQ383">
            <v>60482.3849287169</v>
          </cell>
          <cell r="AU383">
            <v>0</v>
          </cell>
          <cell r="AW383">
            <v>0</v>
          </cell>
          <cell r="AY383">
            <v>41098.729106306171</v>
          </cell>
          <cell r="AZ383">
            <v>324.3782881318561</v>
          </cell>
          <cell r="BA383">
            <v>4043.3091229810925</v>
          </cell>
          <cell r="BB383">
            <v>31.912463480513754</v>
          </cell>
          <cell r="BC383">
            <v>0</v>
          </cell>
          <cell r="BD383">
            <v>0</v>
          </cell>
          <cell r="BG383">
            <v>0</v>
          </cell>
          <cell r="BH383">
            <v>0</v>
          </cell>
          <cell r="BI383">
            <v>3284.9841140529529</v>
          </cell>
          <cell r="BJ383">
            <v>25.927262147221413</v>
          </cell>
          <cell r="BK383">
            <v>0</v>
          </cell>
          <cell r="BL383">
            <v>0</v>
          </cell>
          <cell r="BM383">
            <v>9138.6242489388678</v>
          </cell>
          <cell r="BN383">
            <v>72.128052477812687</v>
          </cell>
          <cell r="BO383">
            <v>0</v>
          </cell>
          <cell r="BP383">
            <v>0</v>
          </cell>
          <cell r="BY383">
            <v>1445</v>
          </cell>
          <cell r="CF383">
            <v>19.184842621685689</v>
          </cell>
          <cell r="CG383">
            <v>2142.25</v>
          </cell>
          <cell r="CJ383">
            <v>0</v>
          </cell>
          <cell r="CK383">
            <v>0</v>
          </cell>
          <cell r="CL383">
            <v>0</v>
          </cell>
          <cell r="CM383">
            <v>0</v>
          </cell>
          <cell r="CN383">
            <v>0</v>
          </cell>
          <cell r="CO383">
            <v>0</v>
          </cell>
          <cell r="CX383">
            <v>0</v>
          </cell>
          <cell r="CY383">
            <v>0</v>
          </cell>
          <cell r="DB383">
            <v>0</v>
          </cell>
          <cell r="DC383">
            <v>0</v>
          </cell>
          <cell r="DJ383" t="str">
            <v>НКРКП</v>
          </cell>
          <cell r="DL383">
            <v>40942</v>
          </cell>
          <cell r="DM383">
            <v>28</v>
          </cell>
          <cell r="DT383">
            <v>795.29</v>
          </cell>
        </row>
        <row r="384">
          <cell r="W384">
            <v>286.87</v>
          </cell>
          <cell r="AF384">
            <v>39926</v>
          </cell>
          <cell r="AG384">
            <v>348</v>
          </cell>
          <cell r="AH384">
            <v>265.6190023940959</v>
          </cell>
          <cell r="AM384">
            <v>2486.8000000000002</v>
          </cell>
          <cell r="AO384">
            <v>713388.31600000011</v>
          </cell>
          <cell r="AQ384">
            <v>660541.33515363769</v>
          </cell>
          <cell r="AU384">
            <v>0</v>
          </cell>
          <cell r="AW384">
            <v>0</v>
          </cell>
          <cell r="AY384">
            <v>278054.29209307302</v>
          </cell>
          <cell r="AZ384">
            <v>111.81208464415032</v>
          </cell>
          <cell r="BA384">
            <v>71994.633790388005</v>
          </cell>
          <cell r="BB384">
            <v>28.950713282285669</v>
          </cell>
          <cell r="BC384">
            <v>0</v>
          </cell>
          <cell r="BD384">
            <v>0</v>
          </cell>
          <cell r="BG384">
            <v>0</v>
          </cell>
          <cell r="BH384">
            <v>0</v>
          </cell>
          <cell r="BI384">
            <v>69386.965105557872</v>
          </cell>
          <cell r="BJ384">
            <v>27.902109178686612</v>
          </cell>
          <cell r="BK384">
            <v>0</v>
          </cell>
          <cell r="BL384">
            <v>0</v>
          </cell>
          <cell r="BM384">
            <v>174400.1288261016</v>
          </cell>
          <cell r="BN384">
            <v>70.130339724184324</v>
          </cell>
          <cell r="BO384">
            <v>0</v>
          </cell>
          <cell r="BP384">
            <v>0</v>
          </cell>
          <cell r="BY384">
            <v>1445</v>
          </cell>
          <cell r="CF384">
            <v>382.29980214083622</v>
          </cell>
          <cell r="CG384">
            <v>727.32</v>
          </cell>
          <cell r="CJ384">
            <v>0</v>
          </cell>
          <cell r="CK384">
            <v>0</v>
          </cell>
          <cell r="CL384">
            <v>0</v>
          </cell>
          <cell r="CM384">
            <v>0</v>
          </cell>
          <cell r="CN384">
            <v>0</v>
          </cell>
          <cell r="CO384">
            <v>0</v>
          </cell>
          <cell r="CX384">
            <v>0</v>
          </cell>
          <cell r="CY384">
            <v>0</v>
          </cell>
          <cell r="DB384">
            <v>0</v>
          </cell>
          <cell r="DC384">
            <v>0</v>
          </cell>
          <cell r="DJ384" t="str">
            <v>НКРЕ</v>
          </cell>
          <cell r="DL384">
            <v>40526</v>
          </cell>
          <cell r="DM384">
            <v>1854</v>
          </cell>
          <cell r="DO384" t="str">
            <v>Тариф на теплову енергію</v>
          </cell>
          <cell r="DT384">
            <v>315.56</v>
          </cell>
        </row>
        <row r="385">
          <cell r="W385">
            <v>515.54999999999995</v>
          </cell>
          <cell r="AF385">
            <v>39926</v>
          </cell>
          <cell r="AG385">
            <v>349</v>
          </cell>
          <cell r="AH385">
            <v>477.3653427638738</v>
          </cell>
          <cell r="AM385">
            <v>83</v>
          </cell>
          <cell r="AO385">
            <v>42790.649999999994</v>
          </cell>
          <cell r="AQ385">
            <v>39621.323449401527</v>
          </cell>
          <cell r="AU385">
            <v>0</v>
          </cell>
          <cell r="AW385">
            <v>0</v>
          </cell>
          <cell r="AY385">
            <v>26923.397914944053</v>
          </cell>
          <cell r="AZ385">
            <v>324.37828813185604</v>
          </cell>
          <cell r="BA385">
            <v>2648.7344688826415</v>
          </cell>
          <cell r="BB385">
            <v>31.912463480513754</v>
          </cell>
          <cell r="BC385">
            <v>0</v>
          </cell>
          <cell r="BD385">
            <v>0</v>
          </cell>
          <cell r="BG385">
            <v>0</v>
          </cell>
          <cell r="BH385">
            <v>0</v>
          </cell>
          <cell r="BI385">
            <v>2151.6553318824808</v>
          </cell>
          <cell r="BJ385">
            <v>25.923558215451575</v>
          </cell>
          <cell r="BK385">
            <v>0</v>
          </cell>
          <cell r="BL385">
            <v>0</v>
          </cell>
          <cell r="BM385">
            <v>5986.6283556584531</v>
          </cell>
          <cell r="BN385">
            <v>72.128052477812687</v>
          </cell>
          <cell r="BO385">
            <v>0</v>
          </cell>
          <cell r="BP385">
            <v>0</v>
          </cell>
          <cell r="BY385">
            <v>1445</v>
          </cell>
          <cell r="CF385">
            <v>12.56781324072543</v>
          </cell>
          <cell r="CG385">
            <v>2142.25</v>
          </cell>
          <cell r="CJ385">
            <v>0</v>
          </cell>
          <cell r="CK385">
            <v>0</v>
          </cell>
          <cell r="CL385">
            <v>0</v>
          </cell>
          <cell r="CM385">
            <v>0</v>
          </cell>
          <cell r="CN385">
            <v>0</v>
          </cell>
          <cell r="CO385">
            <v>0</v>
          </cell>
          <cell r="CX385">
            <v>0</v>
          </cell>
          <cell r="CY385">
            <v>0</v>
          </cell>
          <cell r="DB385">
            <v>0</v>
          </cell>
          <cell r="DC385">
            <v>0</v>
          </cell>
          <cell r="DJ385" t="str">
            <v>НКРКП</v>
          </cell>
          <cell r="DL385">
            <v>40942</v>
          </cell>
          <cell r="DM385">
            <v>28</v>
          </cell>
          <cell r="DT385">
            <v>795.29</v>
          </cell>
        </row>
        <row r="386">
          <cell r="W386">
            <v>515.54999999999995</v>
          </cell>
          <cell r="AF386">
            <v>39926</v>
          </cell>
          <cell r="AG386">
            <v>349</v>
          </cell>
          <cell r="AH386">
            <v>477.36688972941516</v>
          </cell>
          <cell r="AM386">
            <v>92.5</v>
          </cell>
          <cell r="AO386">
            <v>47688.374999999993</v>
          </cell>
          <cell r="AQ386">
            <v>44156.437299970901</v>
          </cell>
          <cell r="AU386">
            <v>0</v>
          </cell>
          <cell r="AW386">
            <v>0</v>
          </cell>
          <cell r="AY386">
            <v>30004.991652196688</v>
          </cell>
          <cell r="AZ386">
            <v>324.3782881318561</v>
          </cell>
          <cell r="BA386">
            <v>2951.9028719475223</v>
          </cell>
          <cell r="BB386">
            <v>31.912463480513754</v>
          </cell>
          <cell r="BC386">
            <v>0</v>
          </cell>
          <cell r="BD386">
            <v>0</v>
          </cell>
          <cell r="BG386">
            <v>0</v>
          </cell>
          <cell r="BH386">
            <v>0</v>
          </cell>
          <cell r="BI386">
            <v>2398.2717486179808</v>
          </cell>
          <cell r="BJ386">
            <v>25.927262147221416</v>
          </cell>
          <cell r="BK386">
            <v>0</v>
          </cell>
          <cell r="BL386">
            <v>0</v>
          </cell>
          <cell r="BM386">
            <v>6671.8448541976732</v>
          </cell>
          <cell r="BN386">
            <v>72.128052477812687</v>
          </cell>
          <cell r="BO386">
            <v>0</v>
          </cell>
          <cell r="BP386">
            <v>0</v>
          </cell>
          <cell r="BY386">
            <v>1445</v>
          </cell>
          <cell r="CF386">
            <v>14.006297888760269</v>
          </cell>
          <cell r="CG386">
            <v>2142.25</v>
          </cell>
          <cell r="CJ386">
            <v>0</v>
          </cell>
          <cell r="CK386">
            <v>0</v>
          </cell>
          <cell r="CL386">
            <v>0</v>
          </cell>
          <cell r="CM386">
            <v>0</v>
          </cell>
          <cell r="CN386">
            <v>0</v>
          </cell>
          <cell r="CO386">
            <v>0</v>
          </cell>
          <cell r="CX386">
            <v>0</v>
          </cell>
          <cell r="CY386">
            <v>0</v>
          </cell>
          <cell r="DB386">
            <v>0</v>
          </cell>
          <cell r="DC386">
            <v>0</v>
          </cell>
          <cell r="DJ386" t="str">
            <v>НКРКП</v>
          </cell>
          <cell r="DL386">
            <v>40942</v>
          </cell>
          <cell r="DM386">
            <v>28</v>
          </cell>
          <cell r="DT386">
            <v>795.29</v>
          </cell>
        </row>
        <row r="387">
          <cell r="W387">
            <v>278.89999999999998</v>
          </cell>
          <cell r="AF387">
            <v>39926</v>
          </cell>
          <cell r="AG387">
            <v>348</v>
          </cell>
          <cell r="AH387">
            <v>265.61900239409601</v>
          </cell>
          <cell r="AM387">
            <v>7135.7</v>
          </cell>
          <cell r="AO387">
            <v>1990146.7299999997</v>
          </cell>
          <cell r="AQ387">
            <v>1895377.5153835509</v>
          </cell>
          <cell r="AU387">
            <v>0</v>
          </cell>
          <cell r="AW387">
            <v>0</v>
          </cell>
          <cell r="AY387">
            <v>797857.49239526328</v>
          </cell>
          <cell r="AZ387">
            <v>111.8120846441503</v>
          </cell>
          <cell r="BA387">
            <v>206583.60476840584</v>
          </cell>
          <cell r="BB387">
            <v>28.950713282285669</v>
          </cell>
          <cell r="BC387">
            <v>0</v>
          </cell>
          <cell r="BD387">
            <v>0</v>
          </cell>
          <cell r="BG387">
            <v>0</v>
          </cell>
          <cell r="BH387">
            <v>0</v>
          </cell>
          <cell r="BI387">
            <v>199101.08046635403</v>
          </cell>
          <cell r="BJ387">
            <v>27.902109178686608</v>
          </cell>
          <cell r="BK387">
            <v>0</v>
          </cell>
          <cell r="BL387">
            <v>0</v>
          </cell>
          <cell r="BM387">
            <v>500429.06516986206</v>
          </cell>
          <cell r="BN387">
            <v>70.130339724184324</v>
          </cell>
          <cell r="BO387">
            <v>0</v>
          </cell>
          <cell r="BP387">
            <v>0</v>
          </cell>
          <cell r="BY387">
            <v>1445</v>
          </cell>
          <cell r="CF387">
            <v>1096.9827481648563</v>
          </cell>
          <cell r="CG387">
            <v>727.32</v>
          </cell>
          <cell r="CJ387">
            <v>0</v>
          </cell>
          <cell r="CK387">
            <v>0</v>
          </cell>
          <cell r="CL387">
            <v>0</v>
          </cell>
          <cell r="CM387">
            <v>0</v>
          </cell>
          <cell r="CN387">
            <v>0</v>
          </cell>
          <cell r="CO387">
            <v>0</v>
          </cell>
          <cell r="CX387">
            <v>0</v>
          </cell>
          <cell r="CY387">
            <v>0</v>
          </cell>
          <cell r="DB387">
            <v>0</v>
          </cell>
          <cell r="DC387">
            <v>0</v>
          </cell>
          <cell r="DJ387" t="str">
            <v>НКРЕ</v>
          </cell>
          <cell r="DL387">
            <v>40526</v>
          </cell>
          <cell r="DM387">
            <v>1854</v>
          </cell>
          <cell r="DO387" t="str">
            <v>Тариф на теплову енергію</v>
          </cell>
          <cell r="DT387">
            <v>306.79000000000002</v>
          </cell>
        </row>
        <row r="388">
          <cell r="W388">
            <v>501.22500000000002</v>
          </cell>
          <cell r="AF388">
            <v>39926</v>
          </cell>
          <cell r="AG388">
            <v>349</v>
          </cell>
          <cell r="AH388">
            <v>477.3653427638738</v>
          </cell>
          <cell r="AM388">
            <v>1740.5</v>
          </cell>
          <cell r="AO388">
            <v>872382.11250000005</v>
          </cell>
          <cell r="AQ388">
            <v>830854.37908052234</v>
          </cell>
          <cell r="AU388">
            <v>0</v>
          </cell>
          <cell r="AW388">
            <v>0</v>
          </cell>
          <cell r="AY388">
            <v>564580.41049349552</v>
          </cell>
          <cell r="AZ388">
            <v>324.3782881318561</v>
          </cell>
          <cell r="BA388">
            <v>55543.642687834188</v>
          </cell>
          <cell r="BB388">
            <v>31.912463480513754</v>
          </cell>
          <cell r="BC388">
            <v>0</v>
          </cell>
          <cell r="BD388">
            <v>0</v>
          </cell>
          <cell r="BG388">
            <v>0</v>
          </cell>
          <cell r="BH388">
            <v>0</v>
          </cell>
          <cell r="BI388">
            <v>45119.953073993463</v>
          </cell>
          <cell r="BJ388">
            <v>25.923558215451575</v>
          </cell>
          <cell r="BK388">
            <v>0</v>
          </cell>
          <cell r="BL388">
            <v>0</v>
          </cell>
          <cell r="BM388">
            <v>125538.87533763298</v>
          </cell>
          <cell r="BN388">
            <v>72.128052477812687</v>
          </cell>
          <cell r="BO388">
            <v>0</v>
          </cell>
          <cell r="BP388">
            <v>0</v>
          </cell>
          <cell r="BY388">
            <v>1445</v>
          </cell>
          <cell r="CF388">
            <v>263.54552946364595</v>
          </cell>
          <cell r="CG388">
            <v>2142.25</v>
          </cell>
          <cell r="CJ388">
            <v>0</v>
          </cell>
          <cell r="CK388">
            <v>0</v>
          </cell>
          <cell r="CL388">
            <v>0</v>
          </cell>
          <cell r="CM388">
            <v>0</v>
          </cell>
          <cell r="CN388">
            <v>0</v>
          </cell>
          <cell r="CO388">
            <v>0</v>
          </cell>
          <cell r="CX388">
            <v>0</v>
          </cell>
          <cell r="CY388">
            <v>0</v>
          </cell>
          <cell r="DB388">
            <v>0</v>
          </cell>
          <cell r="DC388">
            <v>0</v>
          </cell>
          <cell r="DJ388" t="str">
            <v>НКРКП</v>
          </cell>
          <cell r="DL388">
            <v>40942</v>
          </cell>
          <cell r="DM388">
            <v>28</v>
          </cell>
          <cell r="DT388">
            <v>780.97</v>
          </cell>
        </row>
        <row r="389">
          <cell r="W389">
            <v>501.22500000000002</v>
          </cell>
          <cell r="AF389">
            <v>39926</v>
          </cell>
          <cell r="AG389">
            <v>349</v>
          </cell>
          <cell r="AH389">
            <v>477.36688972941516</v>
          </cell>
          <cell r="AM389">
            <v>80.599999999999994</v>
          </cell>
          <cell r="AO389">
            <v>40398.735000000001</v>
          </cell>
          <cell r="AQ389">
            <v>38475.77131219086</v>
          </cell>
          <cell r="AU389">
            <v>0</v>
          </cell>
          <cell r="AW389">
            <v>0</v>
          </cell>
          <cell r="AY389">
            <v>26144.890023427597</v>
          </cell>
          <cell r="AZ389">
            <v>324.37828813185604</v>
          </cell>
          <cell r="BA389">
            <v>2572.1445565294089</v>
          </cell>
          <cell r="BB389">
            <v>31.912463480513761</v>
          </cell>
          <cell r="BC389">
            <v>0</v>
          </cell>
          <cell r="BD389">
            <v>0</v>
          </cell>
          <cell r="BG389">
            <v>0</v>
          </cell>
          <cell r="BH389">
            <v>0</v>
          </cell>
          <cell r="BI389">
            <v>2089.7373290660457</v>
          </cell>
          <cell r="BJ389">
            <v>25.927262147221413</v>
          </cell>
          <cell r="BK389">
            <v>0</v>
          </cell>
          <cell r="BL389">
            <v>0</v>
          </cell>
          <cell r="BM389">
            <v>5813.5210297117019</v>
          </cell>
          <cell r="BN389">
            <v>72.128052477812687</v>
          </cell>
          <cell r="BO389">
            <v>0</v>
          </cell>
          <cell r="BP389">
            <v>0</v>
          </cell>
          <cell r="BY389">
            <v>1445</v>
          </cell>
          <cell r="CF389">
            <v>12.204406592800838</v>
          </cell>
          <cell r="CG389">
            <v>2142.25</v>
          </cell>
          <cell r="CJ389">
            <v>0</v>
          </cell>
          <cell r="CK389">
            <v>0</v>
          </cell>
          <cell r="CL389">
            <v>0</v>
          </cell>
          <cell r="CM389">
            <v>0</v>
          </cell>
          <cell r="CN389">
            <v>0</v>
          </cell>
          <cell r="CO389">
            <v>0</v>
          </cell>
          <cell r="CX389">
            <v>0</v>
          </cell>
          <cell r="CY389">
            <v>0</v>
          </cell>
          <cell r="DB389">
            <v>0</v>
          </cell>
          <cell r="DC389">
            <v>0</v>
          </cell>
          <cell r="DJ389" t="str">
            <v>НКРКП</v>
          </cell>
          <cell r="DL389">
            <v>40942</v>
          </cell>
          <cell r="DM389">
            <v>28</v>
          </cell>
          <cell r="DT389">
            <v>780.97</v>
          </cell>
        </row>
        <row r="390">
          <cell r="W390">
            <v>178.37500000000003</v>
          </cell>
          <cell r="AF390">
            <v>39926</v>
          </cell>
          <cell r="AG390">
            <v>350</v>
          </cell>
          <cell r="AH390">
            <v>345.29921174147609</v>
          </cell>
          <cell r="AM390">
            <v>21141</v>
          </cell>
          <cell r="AO390">
            <v>3771025.8750000005</v>
          </cell>
          <cell r="AQ390">
            <v>7299970.6354265455</v>
          </cell>
          <cell r="AU390">
            <v>0</v>
          </cell>
          <cell r="AW390">
            <v>0</v>
          </cell>
          <cell r="AY390">
            <v>1999783.1731061118</v>
          </cell>
          <cell r="AZ390">
            <v>94.59264808221522</v>
          </cell>
          <cell r="BA390">
            <v>1601015.2039055333</v>
          </cell>
          <cell r="BB390">
            <v>75.730344066294563</v>
          </cell>
          <cell r="BC390">
            <v>0</v>
          </cell>
          <cell r="BD390">
            <v>0</v>
          </cell>
          <cell r="BG390">
            <v>0</v>
          </cell>
          <cell r="BH390">
            <v>0</v>
          </cell>
          <cell r="BI390">
            <v>626351.30521307851</v>
          </cell>
          <cell r="BJ390">
            <v>29.627326295495884</v>
          </cell>
          <cell r="BK390">
            <v>0</v>
          </cell>
          <cell r="BL390">
            <v>0</v>
          </cell>
          <cell r="BM390">
            <v>2350942.0454920009</v>
          </cell>
          <cell r="BN390">
            <v>111.20297268303301</v>
          </cell>
          <cell r="BO390">
            <v>0</v>
          </cell>
          <cell r="BP390">
            <v>0</v>
          </cell>
          <cell r="BY390">
            <v>1524</v>
          </cell>
          <cell r="CF390">
            <v>2749.5231440165426</v>
          </cell>
          <cell r="CG390">
            <v>727.32</v>
          </cell>
          <cell r="CJ390">
            <v>0</v>
          </cell>
          <cell r="CK390">
            <v>0</v>
          </cell>
          <cell r="CL390">
            <v>0</v>
          </cell>
          <cell r="CM390">
            <v>0</v>
          </cell>
          <cell r="CN390">
            <v>0</v>
          </cell>
          <cell r="CO390">
            <v>0</v>
          </cell>
          <cell r="CX390">
            <v>0</v>
          </cell>
          <cell r="CY390">
            <v>0</v>
          </cell>
          <cell r="DB390">
            <v>0</v>
          </cell>
          <cell r="DC390">
            <v>0</v>
          </cell>
          <cell r="DJ390" t="str">
            <v>НКРЕ</v>
          </cell>
          <cell r="DL390">
            <v>40526</v>
          </cell>
          <cell r="DM390">
            <v>1854</v>
          </cell>
          <cell r="DO390" t="str">
            <v>Тариф на теплову енергію</v>
          </cell>
          <cell r="DT390">
            <v>379.83</v>
          </cell>
        </row>
        <row r="391">
          <cell r="W391">
            <v>964.49166666666679</v>
          </cell>
          <cell r="AF391">
            <v>39926</v>
          </cell>
          <cell r="AG391">
            <v>351</v>
          </cell>
          <cell r="AH391">
            <v>513.22450607902738</v>
          </cell>
          <cell r="AM391">
            <v>8039</v>
          </cell>
          <cell r="AO391">
            <v>7753548.5083333347</v>
          </cell>
          <cell r="AQ391">
            <v>4125811.8043693011</v>
          </cell>
          <cell r="AU391">
            <v>0</v>
          </cell>
          <cell r="AW391">
            <v>0</v>
          </cell>
          <cell r="AY391">
            <v>2449373.3580309143</v>
          </cell>
          <cell r="AZ391">
            <v>304.6863239247312</v>
          </cell>
          <cell r="BA391">
            <v>285307.53085106384</v>
          </cell>
          <cell r="BB391">
            <v>35.490425531914894</v>
          </cell>
          <cell r="BC391">
            <v>0</v>
          </cell>
          <cell r="BD391">
            <v>0</v>
          </cell>
          <cell r="BG391">
            <v>0</v>
          </cell>
          <cell r="BH391">
            <v>0</v>
          </cell>
          <cell r="BI391">
            <v>225299.69452887538</v>
          </cell>
          <cell r="BJ391">
            <v>28.025835866261399</v>
          </cell>
          <cell r="BK391">
            <v>0</v>
          </cell>
          <cell r="BL391">
            <v>0</v>
          </cell>
          <cell r="BM391">
            <v>893960.62378419458</v>
          </cell>
          <cell r="BN391">
            <v>111.20296352583587</v>
          </cell>
          <cell r="BO391">
            <v>0</v>
          </cell>
          <cell r="BP391">
            <v>0</v>
          </cell>
          <cell r="BY391">
            <v>1524</v>
          </cell>
          <cell r="CF391">
            <v>1143.364853789667</v>
          </cell>
          <cell r="CG391">
            <v>2142.25</v>
          </cell>
          <cell r="CJ391">
            <v>0</v>
          </cell>
          <cell r="CK391">
            <v>0</v>
          </cell>
          <cell r="CL391">
            <v>0</v>
          </cell>
          <cell r="CM391">
            <v>0</v>
          </cell>
          <cell r="CN391">
            <v>0</v>
          </cell>
          <cell r="CO391">
            <v>0</v>
          </cell>
          <cell r="CX391">
            <v>0</v>
          </cell>
          <cell r="CY391">
            <v>0</v>
          </cell>
          <cell r="DB391">
            <v>0</v>
          </cell>
          <cell r="DC391">
            <v>0</v>
          </cell>
          <cell r="DJ391" t="str">
            <v>НКРКП</v>
          </cell>
          <cell r="DL391">
            <v>40942</v>
          </cell>
          <cell r="DM391">
            <v>28</v>
          </cell>
          <cell r="DT391">
            <v>853.5</v>
          </cell>
        </row>
        <row r="392">
          <cell r="W392">
            <v>964.49166666666679</v>
          </cell>
          <cell r="AF392">
            <v>39926</v>
          </cell>
          <cell r="AG392">
            <v>351</v>
          </cell>
          <cell r="AH392">
            <v>513.22442638623329</v>
          </cell>
          <cell r="AM392">
            <v>2723</v>
          </cell>
          <cell r="AO392">
            <v>2626310.8083333336</v>
          </cell>
          <cell r="AQ392">
            <v>1397510.1130497132</v>
          </cell>
          <cell r="AU392">
            <v>0</v>
          </cell>
          <cell r="AW392">
            <v>0</v>
          </cell>
          <cell r="AY392">
            <v>829660.86004704307</v>
          </cell>
          <cell r="AZ392">
            <v>304.6863239247312</v>
          </cell>
          <cell r="BA392">
            <v>96640.467495219884</v>
          </cell>
          <cell r="BB392">
            <v>35.490439770554495</v>
          </cell>
          <cell r="BC392">
            <v>0</v>
          </cell>
          <cell r="BD392">
            <v>0</v>
          </cell>
          <cell r="BG392">
            <v>0</v>
          </cell>
          <cell r="BH392">
            <v>0</v>
          </cell>
          <cell r="BI392">
            <v>76314.287762906315</v>
          </cell>
          <cell r="BJ392">
            <v>28.025812619502869</v>
          </cell>
          <cell r="BK392">
            <v>0</v>
          </cell>
          <cell r="BL392">
            <v>0</v>
          </cell>
          <cell r="BM392">
            <v>302806.19072657742</v>
          </cell>
          <cell r="BN392">
            <v>111.203154875717</v>
          </cell>
          <cell r="BO392">
            <v>0</v>
          </cell>
          <cell r="BP392">
            <v>0</v>
          </cell>
          <cell r="BY392">
            <v>1524</v>
          </cell>
          <cell r="CF392">
            <v>387.28479871492266</v>
          </cell>
          <cell r="CG392">
            <v>2142.25</v>
          </cell>
          <cell r="CJ392">
            <v>0</v>
          </cell>
          <cell r="CK392">
            <v>0</v>
          </cell>
          <cell r="CL392">
            <v>0</v>
          </cell>
          <cell r="CM392">
            <v>0</v>
          </cell>
          <cell r="CN392">
            <v>0</v>
          </cell>
          <cell r="CO392">
            <v>0</v>
          </cell>
          <cell r="CX392">
            <v>0</v>
          </cell>
          <cell r="CY392">
            <v>0</v>
          </cell>
          <cell r="DB392">
            <v>0</v>
          </cell>
          <cell r="DC392">
            <v>0</v>
          </cell>
          <cell r="DJ392" t="str">
            <v>НКРКП</v>
          </cell>
          <cell r="DL392">
            <v>40942</v>
          </cell>
          <cell r="DM392">
            <v>28</v>
          </cell>
          <cell r="DT392">
            <v>964.49</v>
          </cell>
        </row>
        <row r="393">
          <cell r="W393">
            <v>192.64166666666665</v>
          </cell>
          <cell r="AF393">
            <v>39926</v>
          </cell>
          <cell r="AG393">
            <v>350</v>
          </cell>
          <cell r="AH393">
            <v>345.29921174147603</v>
          </cell>
          <cell r="AM393">
            <v>11975</v>
          </cell>
          <cell r="AO393">
            <v>2306883.958333333</v>
          </cell>
          <cell r="AQ393">
            <v>4134958.0606041756</v>
          </cell>
          <cell r="AU393">
            <v>0</v>
          </cell>
          <cell r="AW393">
            <v>0</v>
          </cell>
          <cell r="AY393">
            <v>1132746.960784527</v>
          </cell>
          <cell r="AZ393">
            <v>94.592648082215206</v>
          </cell>
          <cell r="BA393">
            <v>906870.87019387737</v>
          </cell>
          <cell r="BB393">
            <v>75.730344066294563</v>
          </cell>
          <cell r="BC393">
            <v>0</v>
          </cell>
          <cell r="BD393">
            <v>0</v>
          </cell>
          <cell r="BG393">
            <v>0</v>
          </cell>
          <cell r="BH393">
            <v>0</v>
          </cell>
          <cell r="BI393">
            <v>354787.23238856322</v>
          </cell>
          <cell r="BJ393">
            <v>29.627326295495884</v>
          </cell>
          <cell r="BK393">
            <v>0</v>
          </cell>
          <cell r="BL393">
            <v>0</v>
          </cell>
          <cell r="BM393">
            <v>1331655.5978793202</v>
          </cell>
          <cell r="BN393">
            <v>111.202972683033</v>
          </cell>
          <cell r="BO393">
            <v>0</v>
          </cell>
          <cell r="BP393">
            <v>0</v>
          </cell>
          <cell r="BY393">
            <v>1524</v>
          </cell>
          <cell r="CF393">
            <v>1557.4258383992287</v>
          </cell>
          <cell r="CG393">
            <v>727.32</v>
          </cell>
          <cell r="CJ393">
            <v>0</v>
          </cell>
          <cell r="CK393">
            <v>0</v>
          </cell>
          <cell r="CL393">
            <v>0</v>
          </cell>
          <cell r="CM393">
            <v>0</v>
          </cell>
          <cell r="CN393">
            <v>0</v>
          </cell>
          <cell r="CO393">
            <v>0</v>
          </cell>
          <cell r="CX393">
            <v>0</v>
          </cell>
          <cell r="CY393">
            <v>0</v>
          </cell>
          <cell r="DB393">
            <v>0</v>
          </cell>
          <cell r="DC393">
            <v>0</v>
          </cell>
          <cell r="DJ393" t="str">
            <v>НКРЕ</v>
          </cell>
          <cell r="DL393">
            <v>40526</v>
          </cell>
          <cell r="DM393">
            <v>1854</v>
          </cell>
          <cell r="DO393" t="str">
            <v>Тариф на теплову енергію</v>
          </cell>
          <cell r="DT393">
            <v>240.8</v>
          </cell>
        </row>
        <row r="394">
          <cell r="W394">
            <v>934.41666666666663</v>
          </cell>
          <cell r="AF394">
            <v>39926</v>
          </cell>
          <cell r="AG394">
            <v>351</v>
          </cell>
          <cell r="AH394">
            <v>513.22450607902738</v>
          </cell>
          <cell r="AM394">
            <v>2652</v>
          </cell>
          <cell r="AO394">
            <v>2478073</v>
          </cell>
          <cell r="AQ394">
            <v>1361071.3901215806</v>
          </cell>
          <cell r="AU394">
            <v>0</v>
          </cell>
          <cell r="AW394">
            <v>0</v>
          </cell>
          <cell r="AY394">
            <v>808028.13104838715</v>
          </cell>
          <cell r="AZ394">
            <v>304.6863239247312</v>
          </cell>
          <cell r="BA394">
            <v>94120.608510638296</v>
          </cell>
          <cell r="BB394">
            <v>35.490425531914894</v>
          </cell>
          <cell r="BC394">
            <v>0</v>
          </cell>
          <cell r="BD394">
            <v>0</v>
          </cell>
          <cell r="BG394">
            <v>0</v>
          </cell>
          <cell r="BH394">
            <v>0</v>
          </cell>
          <cell r="BI394">
            <v>74324.516717325227</v>
          </cell>
          <cell r="BJ394">
            <v>28.025835866261399</v>
          </cell>
          <cell r="BK394">
            <v>0</v>
          </cell>
          <cell r="BL394">
            <v>0</v>
          </cell>
          <cell r="BM394">
            <v>294910.25927051675</v>
          </cell>
          <cell r="BN394">
            <v>111.20296352583588</v>
          </cell>
          <cell r="BO394">
            <v>0</v>
          </cell>
          <cell r="BP394">
            <v>0</v>
          </cell>
          <cell r="BY394">
            <v>1524</v>
          </cell>
          <cell r="CF394">
            <v>377.1866640440598</v>
          </cell>
          <cell r="CG394">
            <v>2142.25</v>
          </cell>
          <cell r="CJ394">
            <v>0</v>
          </cell>
          <cell r="CK394">
            <v>0</v>
          </cell>
          <cell r="CL394">
            <v>0</v>
          </cell>
          <cell r="CM394">
            <v>0</v>
          </cell>
          <cell r="CN394">
            <v>0</v>
          </cell>
          <cell r="CO394">
            <v>0</v>
          </cell>
          <cell r="CX394">
            <v>0</v>
          </cell>
          <cell r="CY394">
            <v>0</v>
          </cell>
          <cell r="DB394">
            <v>0</v>
          </cell>
          <cell r="DC394">
            <v>0</v>
          </cell>
          <cell r="DJ394" t="str">
            <v>НКРКП</v>
          </cell>
          <cell r="DL394">
            <v>40942</v>
          </cell>
          <cell r="DM394">
            <v>28</v>
          </cell>
          <cell r="DT394">
            <v>999.9</v>
          </cell>
        </row>
        <row r="395">
          <cell r="W395">
            <v>934.41666666666663</v>
          </cell>
          <cell r="AF395">
            <v>39926</v>
          </cell>
          <cell r="AG395">
            <v>351</v>
          </cell>
          <cell r="AH395">
            <v>513.22442638623329</v>
          </cell>
          <cell r="AM395">
            <v>28</v>
          </cell>
          <cell r="AO395">
            <v>26163.666666666664</v>
          </cell>
          <cell r="AQ395">
            <v>14370.283938814533</v>
          </cell>
          <cell r="AU395">
            <v>0</v>
          </cell>
          <cell r="AW395">
            <v>0</v>
          </cell>
          <cell r="AY395">
            <v>8531.2170698924747</v>
          </cell>
          <cell r="AZ395">
            <v>304.68632392473125</v>
          </cell>
          <cell r="BA395">
            <v>993.73231357552595</v>
          </cell>
          <cell r="BB395">
            <v>35.490439770554495</v>
          </cell>
          <cell r="BC395">
            <v>0</v>
          </cell>
          <cell r="BD395">
            <v>0</v>
          </cell>
          <cell r="BG395">
            <v>0</v>
          </cell>
          <cell r="BH395">
            <v>0</v>
          </cell>
          <cell r="BI395">
            <v>784.72275334608048</v>
          </cell>
          <cell r="BJ395">
            <v>28.025812619502876</v>
          </cell>
          <cell r="BK395">
            <v>0</v>
          </cell>
          <cell r="BL395">
            <v>0</v>
          </cell>
          <cell r="BM395">
            <v>3113.688336520077</v>
          </cell>
          <cell r="BN395">
            <v>111.20315487571703</v>
          </cell>
          <cell r="BO395">
            <v>0</v>
          </cell>
          <cell r="BP395">
            <v>0</v>
          </cell>
          <cell r="BY395">
            <v>1524</v>
          </cell>
          <cell r="CF395">
            <v>3.9823629687909787</v>
          </cell>
          <cell r="CG395">
            <v>2142.25</v>
          </cell>
          <cell r="CJ395">
            <v>0</v>
          </cell>
          <cell r="CK395">
            <v>0</v>
          </cell>
          <cell r="CL395">
            <v>0</v>
          </cell>
          <cell r="CM395">
            <v>0</v>
          </cell>
          <cell r="CN395">
            <v>0</v>
          </cell>
          <cell r="CO395">
            <v>0</v>
          </cell>
          <cell r="CX395">
            <v>0</v>
          </cell>
          <cell r="CY395">
            <v>0</v>
          </cell>
          <cell r="DB395">
            <v>0</v>
          </cell>
          <cell r="DC395">
            <v>0</v>
          </cell>
          <cell r="DJ395" t="str">
            <v>НКРКП</v>
          </cell>
          <cell r="DL395">
            <v>40942</v>
          </cell>
          <cell r="DM395">
            <v>28</v>
          </cell>
          <cell r="DT395">
            <v>999.9</v>
          </cell>
        </row>
        <row r="396">
          <cell r="W396">
            <v>192.64166666666665</v>
          </cell>
          <cell r="AF396">
            <v>39926</v>
          </cell>
          <cell r="AG396">
            <v>350</v>
          </cell>
          <cell r="AH396">
            <v>345.29921174147609</v>
          </cell>
          <cell r="AM396">
            <v>6199</v>
          </cell>
          <cell r="AO396">
            <v>1194185.6916666667</v>
          </cell>
          <cell r="AQ396">
            <v>2140509.8135854104</v>
          </cell>
          <cell r="AU396">
            <v>0</v>
          </cell>
          <cell r="AW396">
            <v>0</v>
          </cell>
          <cell r="AY396">
            <v>586379.82546165213</v>
          </cell>
          <cell r="AZ396">
            <v>94.59264808221522</v>
          </cell>
          <cell r="BA396">
            <v>469452.40286696004</v>
          </cell>
          <cell r="BB396">
            <v>75.730344066294563</v>
          </cell>
          <cell r="BC396">
            <v>0</v>
          </cell>
          <cell r="BD396">
            <v>0</v>
          </cell>
          <cell r="BG396">
            <v>0</v>
          </cell>
          <cell r="BH396">
            <v>0</v>
          </cell>
          <cell r="BI396">
            <v>183659.79570577902</v>
          </cell>
          <cell r="BJ396">
            <v>29.627326295495891</v>
          </cell>
          <cell r="BK396">
            <v>0</v>
          </cell>
          <cell r="BL396">
            <v>0</v>
          </cell>
          <cell r="BM396">
            <v>689347.22766212164</v>
          </cell>
          <cell r="BN396">
            <v>111.20297268303301</v>
          </cell>
          <cell r="BO396">
            <v>0</v>
          </cell>
          <cell r="BP396">
            <v>0</v>
          </cell>
          <cell r="BY396">
            <v>1524</v>
          </cell>
          <cell r="CF396">
            <v>806.2198557191499</v>
          </cell>
          <cell r="CG396">
            <v>727.32</v>
          </cell>
          <cell r="CJ396">
            <v>0</v>
          </cell>
          <cell r="CK396">
            <v>0</v>
          </cell>
          <cell r="CL396">
            <v>0</v>
          </cell>
          <cell r="CM396">
            <v>0</v>
          </cell>
          <cell r="CN396">
            <v>0</v>
          </cell>
          <cell r="CO396">
            <v>0</v>
          </cell>
          <cell r="CX396">
            <v>0</v>
          </cell>
          <cell r="CY396">
            <v>0</v>
          </cell>
          <cell r="DB396">
            <v>0</v>
          </cell>
          <cell r="DC396">
            <v>0</v>
          </cell>
          <cell r="DJ396" t="str">
            <v>НКРЕ</v>
          </cell>
          <cell r="DL396">
            <v>40526</v>
          </cell>
          <cell r="DM396">
            <v>1854</v>
          </cell>
          <cell r="DO396" t="str">
            <v>Тариф на теплову енергію</v>
          </cell>
          <cell r="DT396">
            <v>240.8</v>
          </cell>
        </row>
        <row r="397">
          <cell r="W397">
            <v>934.41666666666663</v>
          </cell>
          <cell r="AF397">
            <v>39926</v>
          </cell>
          <cell r="AG397">
            <v>351</v>
          </cell>
          <cell r="AH397">
            <v>513.22450607902738</v>
          </cell>
          <cell r="AM397">
            <v>1544</v>
          </cell>
          <cell r="AO397">
            <v>1442739.3333333333</v>
          </cell>
          <cell r="AQ397">
            <v>792418.63738601829</v>
          </cell>
          <cell r="AU397">
            <v>0</v>
          </cell>
          <cell r="AW397">
            <v>0</v>
          </cell>
          <cell r="AY397">
            <v>470435.68413978501</v>
          </cell>
          <cell r="AZ397">
            <v>304.6863239247312</v>
          </cell>
          <cell r="BA397">
            <v>54797.2170212766</v>
          </cell>
          <cell r="BB397">
            <v>35.490425531914894</v>
          </cell>
          <cell r="BC397">
            <v>0</v>
          </cell>
          <cell r="BD397">
            <v>0</v>
          </cell>
          <cell r="BG397">
            <v>0</v>
          </cell>
          <cell r="BH397">
            <v>0</v>
          </cell>
          <cell r="BI397">
            <v>43271.890577507605</v>
          </cell>
          <cell r="BJ397">
            <v>28.025835866261403</v>
          </cell>
          <cell r="BK397">
            <v>0</v>
          </cell>
          <cell r="BL397">
            <v>0</v>
          </cell>
          <cell r="BM397">
            <v>171697.3756838906</v>
          </cell>
          <cell r="BN397">
            <v>111.20296352583588</v>
          </cell>
          <cell r="BO397">
            <v>0</v>
          </cell>
          <cell r="BP397">
            <v>0</v>
          </cell>
          <cell r="BY397">
            <v>1524</v>
          </cell>
          <cell r="CF397">
            <v>219.59887227904539</v>
          </cell>
          <cell r="CG397">
            <v>2142.25</v>
          </cell>
          <cell r="CJ397">
            <v>0</v>
          </cell>
          <cell r="CK397">
            <v>0</v>
          </cell>
          <cell r="CL397">
            <v>0</v>
          </cell>
          <cell r="CM397">
            <v>0</v>
          </cell>
          <cell r="CN397">
            <v>0</v>
          </cell>
          <cell r="CO397">
            <v>0</v>
          </cell>
          <cell r="CX397">
            <v>0</v>
          </cell>
          <cell r="CY397">
            <v>0</v>
          </cell>
          <cell r="DB397">
            <v>0</v>
          </cell>
          <cell r="DC397">
            <v>0</v>
          </cell>
          <cell r="DJ397" t="str">
            <v>НКРКП</v>
          </cell>
          <cell r="DL397">
            <v>40942</v>
          </cell>
          <cell r="DM397">
            <v>28</v>
          </cell>
          <cell r="DT397">
            <v>999.9</v>
          </cell>
        </row>
        <row r="398">
          <cell r="W398">
            <v>934.41666666666663</v>
          </cell>
          <cell r="AF398">
            <v>39926</v>
          </cell>
          <cell r="AG398">
            <v>351</v>
          </cell>
          <cell r="AH398">
            <v>513.22442638623329</v>
          </cell>
          <cell r="AM398">
            <v>21</v>
          </cell>
          <cell r="AO398">
            <v>19622.75</v>
          </cell>
          <cell r="AQ398">
            <v>10777.712954110899</v>
          </cell>
          <cell r="AU398">
            <v>0</v>
          </cell>
          <cell r="AW398">
            <v>0</v>
          </cell>
          <cell r="AY398">
            <v>6398.4128024193551</v>
          </cell>
          <cell r="AZ398">
            <v>304.6863239247312</v>
          </cell>
          <cell r="BA398">
            <v>745.29923518164435</v>
          </cell>
          <cell r="BB398">
            <v>35.490439770554495</v>
          </cell>
          <cell r="BC398">
            <v>0</v>
          </cell>
          <cell r="BD398">
            <v>0</v>
          </cell>
          <cell r="BG398">
            <v>0</v>
          </cell>
          <cell r="BH398">
            <v>0</v>
          </cell>
          <cell r="BI398">
            <v>588.54206500956025</v>
          </cell>
          <cell r="BJ398">
            <v>28.025812619502869</v>
          </cell>
          <cell r="BK398">
            <v>0</v>
          </cell>
          <cell r="BL398">
            <v>0</v>
          </cell>
          <cell r="BM398">
            <v>2335.2662523900572</v>
          </cell>
          <cell r="BN398">
            <v>111.203154875717</v>
          </cell>
          <cell r="BO398">
            <v>0</v>
          </cell>
          <cell r="BP398">
            <v>0</v>
          </cell>
          <cell r="BY398">
            <v>1524</v>
          </cell>
          <cell r="CF398">
            <v>2.9867722265932337</v>
          </cell>
          <cell r="CG398">
            <v>2142.25</v>
          </cell>
          <cell r="CJ398">
            <v>0</v>
          </cell>
          <cell r="CK398">
            <v>0</v>
          </cell>
          <cell r="CL398">
            <v>0</v>
          </cell>
          <cell r="CM398">
            <v>0</v>
          </cell>
          <cell r="CN398">
            <v>0</v>
          </cell>
          <cell r="CO398">
            <v>0</v>
          </cell>
          <cell r="CX398">
            <v>0</v>
          </cell>
          <cell r="CY398">
            <v>0</v>
          </cell>
          <cell r="DB398">
            <v>0</v>
          </cell>
          <cell r="DC398">
            <v>0</v>
          </cell>
          <cell r="DJ398" t="str">
            <v>НКРКП</v>
          </cell>
          <cell r="DL398">
            <v>40942</v>
          </cell>
          <cell r="DM398">
            <v>28</v>
          </cell>
          <cell r="DT398">
            <v>999.9</v>
          </cell>
        </row>
        <row r="399">
          <cell r="W399">
            <v>192.64166666666665</v>
          </cell>
          <cell r="AF399">
            <v>39926</v>
          </cell>
          <cell r="AG399">
            <v>350</v>
          </cell>
          <cell r="AH399">
            <v>345.29921174147603</v>
          </cell>
          <cell r="AM399">
            <v>889</v>
          </cell>
          <cell r="AO399">
            <v>171258.44166666665</v>
          </cell>
          <cell r="AQ399">
            <v>306970.9992381722</v>
          </cell>
          <cell r="AU399">
            <v>0</v>
          </cell>
          <cell r="AW399">
            <v>0</v>
          </cell>
          <cell r="AY399">
            <v>84092.864145089319</v>
          </cell>
          <cell r="AZ399">
            <v>94.592648082215206</v>
          </cell>
          <cell r="BA399">
            <v>67324.275874935862</v>
          </cell>
          <cell r="BB399">
            <v>75.730344066294563</v>
          </cell>
          <cell r="BC399">
            <v>0</v>
          </cell>
          <cell r="BD399">
            <v>0</v>
          </cell>
          <cell r="BG399">
            <v>0</v>
          </cell>
          <cell r="BH399">
            <v>0</v>
          </cell>
          <cell r="BI399">
            <v>26338.693076695843</v>
          </cell>
          <cell r="BJ399">
            <v>29.627326295495887</v>
          </cell>
          <cell r="BK399">
            <v>0</v>
          </cell>
          <cell r="BL399">
            <v>0</v>
          </cell>
          <cell r="BM399">
            <v>98859.442715216341</v>
          </cell>
          <cell r="BN399">
            <v>111.20297268303301</v>
          </cell>
          <cell r="BO399">
            <v>0</v>
          </cell>
          <cell r="BP399">
            <v>0</v>
          </cell>
          <cell r="BY399">
            <v>1524</v>
          </cell>
          <cell r="CF399">
            <v>115.62017288826007</v>
          </cell>
          <cell r="CG399">
            <v>727.32</v>
          </cell>
          <cell r="CJ399">
            <v>0</v>
          </cell>
          <cell r="CK399">
            <v>0</v>
          </cell>
          <cell r="CL399">
            <v>0</v>
          </cell>
          <cell r="CM399">
            <v>0</v>
          </cell>
          <cell r="CN399">
            <v>0</v>
          </cell>
          <cell r="CO399">
            <v>0</v>
          </cell>
          <cell r="CX399">
            <v>0</v>
          </cell>
          <cell r="CY399">
            <v>0</v>
          </cell>
          <cell r="DB399">
            <v>0</v>
          </cell>
          <cell r="DC399">
            <v>0</v>
          </cell>
          <cell r="DJ399" t="str">
            <v>НКРЕ</v>
          </cell>
          <cell r="DL399">
            <v>40526</v>
          </cell>
          <cell r="DM399">
            <v>1854</v>
          </cell>
          <cell r="DO399" t="str">
            <v>Тариф на теплову енергію</v>
          </cell>
          <cell r="DT399">
            <v>240.8</v>
          </cell>
        </row>
        <row r="400">
          <cell r="W400">
            <v>934.41666666666663</v>
          </cell>
          <cell r="AF400">
            <v>39926</v>
          </cell>
          <cell r="AG400">
            <v>351</v>
          </cell>
          <cell r="AH400">
            <v>513.22450607902738</v>
          </cell>
          <cell r="AM400">
            <v>1157</v>
          </cell>
          <cell r="AO400">
            <v>1081120.0833333333</v>
          </cell>
          <cell r="AQ400">
            <v>593800.7535334347</v>
          </cell>
          <cell r="AU400">
            <v>0</v>
          </cell>
          <cell r="AW400">
            <v>0</v>
          </cell>
          <cell r="AY400">
            <v>352522.07678091398</v>
          </cell>
          <cell r="AZ400">
            <v>304.6863239247312</v>
          </cell>
          <cell r="BA400">
            <v>41062.422340425532</v>
          </cell>
          <cell r="BB400">
            <v>35.490425531914894</v>
          </cell>
          <cell r="BC400">
            <v>0</v>
          </cell>
          <cell r="BD400">
            <v>0</v>
          </cell>
          <cell r="BG400">
            <v>0</v>
          </cell>
          <cell r="BH400">
            <v>0</v>
          </cell>
          <cell r="BI400">
            <v>32425.892097264441</v>
          </cell>
          <cell r="BJ400">
            <v>28.025835866261399</v>
          </cell>
          <cell r="BK400">
            <v>0</v>
          </cell>
          <cell r="BL400">
            <v>0</v>
          </cell>
          <cell r="BM400">
            <v>128661.82879939211</v>
          </cell>
          <cell r="BN400">
            <v>111.20296352583588</v>
          </cell>
          <cell r="BO400">
            <v>0</v>
          </cell>
          <cell r="BP400">
            <v>0</v>
          </cell>
          <cell r="BY400">
            <v>1524</v>
          </cell>
          <cell r="CF400">
            <v>164.55692696039864</v>
          </cell>
          <cell r="CG400">
            <v>2142.25</v>
          </cell>
          <cell r="CJ400">
            <v>0</v>
          </cell>
          <cell r="CK400">
            <v>0</v>
          </cell>
          <cell r="CL400">
            <v>0</v>
          </cell>
          <cell r="CM400">
            <v>0</v>
          </cell>
          <cell r="CN400">
            <v>0</v>
          </cell>
          <cell r="CO400">
            <v>0</v>
          </cell>
          <cell r="CX400">
            <v>0</v>
          </cell>
          <cell r="CY400">
            <v>0</v>
          </cell>
          <cell r="DB400">
            <v>0</v>
          </cell>
          <cell r="DC400">
            <v>0</v>
          </cell>
          <cell r="DJ400" t="str">
            <v>НКРКП</v>
          </cell>
          <cell r="DL400">
            <v>40942</v>
          </cell>
          <cell r="DM400">
            <v>28</v>
          </cell>
          <cell r="DT400">
            <v>999.9</v>
          </cell>
        </row>
        <row r="401">
          <cell r="W401">
            <v>934.41666666666663</v>
          </cell>
          <cell r="AF401">
            <v>39926</v>
          </cell>
          <cell r="AG401">
            <v>351</v>
          </cell>
          <cell r="AH401">
            <v>513.22442638623329</v>
          </cell>
          <cell r="AM401">
            <v>61</v>
          </cell>
          <cell r="AO401">
            <v>56999.416666666664</v>
          </cell>
          <cell r="AQ401">
            <v>31306.690009560232</v>
          </cell>
          <cell r="AU401">
            <v>0</v>
          </cell>
          <cell r="AW401">
            <v>0</v>
          </cell>
          <cell r="AY401">
            <v>18585.865759408603</v>
          </cell>
          <cell r="AZ401">
            <v>304.6863239247312</v>
          </cell>
          <cell r="BA401">
            <v>2164.9168260038241</v>
          </cell>
          <cell r="BB401">
            <v>35.490439770554495</v>
          </cell>
          <cell r="BC401">
            <v>0</v>
          </cell>
          <cell r="BD401">
            <v>0</v>
          </cell>
          <cell r="BG401">
            <v>0</v>
          </cell>
          <cell r="BH401">
            <v>0</v>
          </cell>
          <cell r="BI401">
            <v>1709.574569789675</v>
          </cell>
          <cell r="BJ401">
            <v>28.025812619502869</v>
          </cell>
          <cell r="BK401">
            <v>0</v>
          </cell>
          <cell r="BL401">
            <v>0</v>
          </cell>
          <cell r="BM401">
            <v>6783.3924474187379</v>
          </cell>
          <cell r="BN401">
            <v>111.20315487571702</v>
          </cell>
          <cell r="BO401">
            <v>0</v>
          </cell>
          <cell r="BP401">
            <v>0</v>
          </cell>
          <cell r="BY401">
            <v>1524</v>
          </cell>
          <cell r="CF401">
            <v>8.6758621820089168</v>
          </cell>
          <cell r="CG401">
            <v>2142.25</v>
          </cell>
          <cell r="CJ401">
            <v>0</v>
          </cell>
          <cell r="CK401">
            <v>0</v>
          </cell>
          <cell r="CL401">
            <v>0</v>
          </cell>
          <cell r="CM401">
            <v>0</v>
          </cell>
          <cell r="CN401">
            <v>0</v>
          </cell>
          <cell r="CO401">
            <v>0</v>
          </cell>
          <cell r="CX401">
            <v>0</v>
          </cell>
          <cell r="CY401">
            <v>0</v>
          </cell>
          <cell r="DB401">
            <v>0</v>
          </cell>
          <cell r="DC401">
            <v>0</v>
          </cell>
          <cell r="DJ401" t="str">
            <v>НКРКП</v>
          </cell>
          <cell r="DL401">
            <v>40942</v>
          </cell>
          <cell r="DM401">
            <v>28</v>
          </cell>
          <cell r="DT401">
            <v>999.9</v>
          </cell>
        </row>
        <row r="402">
          <cell r="W402">
            <v>192.64166666666665</v>
          </cell>
          <cell r="AF402">
            <v>39926</v>
          </cell>
          <cell r="AG402">
            <v>350</v>
          </cell>
          <cell r="AH402">
            <v>345.29921174147609</v>
          </cell>
          <cell r="AM402">
            <v>15837</v>
          </cell>
          <cell r="AO402">
            <v>3050866.0749999997</v>
          </cell>
          <cell r="AQ402">
            <v>5468503.6163497567</v>
          </cell>
          <cell r="AU402">
            <v>0</v>
          </cell>
          <cell r="AW402">
            <v>0</v>
          </cell>
          <cell r="AY402">
            <v>1498063.7676780424</v>
          </cell>
          <cell r="AZ402">
            <v>94.59264808221522</v>
          </cell>
          <cell r="BA402">
            <v>1199341.458977907</v>
          </cell>
          <cell r="BB402">
            <v>75.730344066294563</v>
          </cell>
          <cell r="BC402">
            <v>0</v>
          </cell>
          <cell r="BD402">
            <v>0</v>
          </cell>
          <cell r="BG402">
            <v>0</v>
          </cell>
          <cell r="BH402">
            <v>0</v>
          </cell>
          <cell r="BI402">
            <v>469207.9665417684</v>
          </cell>
          <cell r="BJ402">
            <v>29.627326295495891</v>
          </cell>
          <cell r="BK402">
            <v>0</v>
          </cell>
          <cell r="BL402">
            <v>0</v>
          </cell>
          <cell r="BM402">
            <v>1761121.4783811937</v>
          </cell>
          <cell r="BN402">
            <v>111.20297268303301</v>
          </cell>
          <cell r="BO402">
            <v>0</v>
          </cell>
          <cell r="BP402">
            <v>0</v>
          </cell>
          <cell r="BY402">
            <v>1524</v>
          </cell>
          <cell r="CF402">
            <v>2059.7037998103206</v>
          </cell>
          <cell r="CG402">
            <v>727.32</v>
          </cell>
          <cell r="CJ402">
            <v>0</v>
          </cell>
          <cell r="CK402">
            <v>0</v>
          </cell>
          <cell r="CL402">
            <v>0</v>
          </cell>
          <cell r="CM402">
            <v>0</v>
          </cell>
          <cell r="CN402">
            <v>0</v>
          </cell>
          <cell r="CO402">
            <v>0</v>
          </cell>
          <cell r="CX402">
            <v>0</v>
          </cell>
          <cell r="CY402">
            <v>0</v>
          </cell>
          <cell r="DB402">
            <v>0</v>
          </cell>
          <cell r="DC402">
            <v>0</v>
          </cell>
          <cell r="DJ402" t="str">
            <v>НКРЕ</v>
          </cell>
          <cell r="DL402">
            <v>40526</v>
          </cell>
          <cell r="DM402">
            <v>1854</v>
          </cell>
          <cell r="DO402" t="str">
            <v>Тариф на теплову енергію</v>
          </cell>
          <cell r="DT402">
            <v>240.8</v>
          </cell>
        </row>
        <row r="403">
          <cell r="W403">
            <v>934.41666666666663</v>
          </cell>
          <cell r="AF403">
            <v>39926</v>
          </cell>
          <cell r="AG403">
            <v>351</v>
          </cell>
          <cell r="AH403">
            <v>513.22450607902749</v>
          </cell>
          <cell r="AM403">
            <v>4850</v>
          </cell>
          <cell r="AO403">
            <v>4531920.833333333</v>
          </cell>
          <cell r="AQ403">
            <v>2489138.8544832831</v>
          </cell>
          <cell r="AU403">
            <v>0</v>
          </cell>
          <cell r="AW403">
            <v>0</v>
          </cell>
          <cell r="AY403">
            <v>1477728.6710349463</v>
          </cell>
          <cell r="AZ403">
            <v>304.6863239247312</v>
          </cell>
          <cell r="BA403">
            <v>172128.56382978725</v>
          </cell>
          <cell r="BB403">
            <v>35.490425531914894</v>
          </cell>
          <cell r="BC403">
            <v>0</v>
          </cell>
          <cell r="BD403">
            <v>0</v>
          </cell>
          <cell r="BG403">
            <v>0</v>
          </cell>
          <cell r="BH403">
            <v>0</v>
          </cell>
          <cell r="BI403">
            <v>135925.30395136779</v>
          </cell>
          <cell r="BJ403">
            <v>28.025835866261399</v>
          </cell>
          <cell r="BK403">
            <v>0</v>
          </cell>
          <cell r="BL403">
            <v>0</v>
          </cell>
          <cell r="BM403">
            <v>539334.37310030404</v>
          </cell>
          <cell r="BN403">
            <v>111.20296352583588</v>
          </cell>
          <cell r="BO403">
            <v>0</v>
          </cell>
          <cell r="BP403">
            <v>0</v>
          </cell>
          <cell r="BY403">
            <v>1524</v>
          </cell>
          <cell r="CF403">
            <v>689.80215709415165</v>
          </cell>
          <cell r="CG403">
            <v>2142.25</v>
          </cell>
          <cell r="CJ403">
            <v>0</v>
          </cell>
          <cell r="CK403">
            <v>0</v>
          </cell>
          <cell r="CL403">
            <v>0</v>
          </cell>
          <cell r="CM403">
            <v>0</v>
          </cell>
          <cell r="CN403">
            <v>0</v>
          </cell>
          <cell r="CO403">
            <v>0</v>
          </cell>
          <cell r="CX403">
            <v>0</v>
          </cell>
          <cell r="CY403">
            <v>0</v>
          </cell>
          <cell r="DB403">
            <v>0</v>
          </cell>
          <cell r="DC403">
            <v>0</v>
          </cell>
          <cell r="DJ403" t="str">
            <v>НКРКП</v>
          </cell>
          <cell r="DL403">
            <v>40942</v>
          </cell>
          <cell r="DM403">
            <v>28</v>
          </cell>
          <cell r="DT403">
            <v>999.9</v>
          </cell>
        </row>
        <row r="404">
          <cell r="W404">
            <v>934.41666666666663</v>
          </cell>
          <cell r="AF404">
            <v>39926</v>
          </cell>
          <cell r="AG404">
            <v>351</v>
          </cell>
          <cell r="AH404">
            <v>513.22442638623329</v>
          </cell>
          <cell r="AM404">
            <v>1281</v>
          </cell>
          <cell r="AO404">
            <v>1196987.75</v>
          </cell>
          <cell r="AQ404">
            <v>657440.49020076485</v>
          </cell>
          <cell r="AU404">
            <v>0</v>
          </cell>
          <cell r="AW404">
            <v>0</v>
          </cell>
          <cell r="AY404">
            <v>390303.18094758061</v>
          </cell>
          <cell r="AZ404">
            <v>304.68632392473114</v>
          </cell>
          <cell r="BA404">
            <v>45463.25334608031</v>
          </cell>
          <cell r="BB404">
            <v>35.490439770554495</v>
          </cell>
          <cell r="BC404">
            <v>0</v>
          </cell>
          <cell r="BD404">
            <v>0</v>
          </cell>
          <cell r="BG404">
            <v>0</v>
          </cell>
          <cell r="BH404">
            <v>0</v>
          </cell>
          <cell r="BI404">
            <v>35901.065965583177</v>
          </cell>
          <cell r="BJ404">
            <v>28.025812619502869</v>
          </cell>
          <cell r="BK404">
            <v>0</v>
          </cell>
          <cell r="BL404">
            <v>0</v>
          </cell>
          <cell r="BM404">
            <v>142451.24139579351</v>
          </cell>
          <cell r="BN404">
            <v>111.20315487571702</v>
          </cell>
          <cell r="BO404">
            <v>0</v>
          </cell>
          <cell r="BP404">
            <v>0</v>
          </cell>
          <cell r="BY404">
            <v>1524</v>
          </cell>
          <cell r="CF404">
            <v>182.19310582218725</v>
          </cell>
          <cell r="CG404">
            <v>2142.25</v>
          </cell>
          <cell r="CJ404">
            <v>0</v>
          </cell>
          <cell r="CK404">
            <v>0</v>
          </cell>
          <cell r="CL404">
            <v>0</v>
          </cell>
          <cell r="CM404">
            <v>0</v>
          </cell>
          <cell r="CN404">
            <v>0</v>
          </cell>
          <cell r="CO404">
            <v>0</v>
          </cell>
          <cell r="CX404">
            <v>0</v>
          </cell>
          <cell r="CY404">
            <v>0</v>
          </cell>
          <cell r="DB404">
            <v>0</v>
          </cell>
          <cell r="DC404">
            <v>0</v>
          </cell>
          <cell r="DJ404" t="str">
            <v>НКРКП</v>
          </cell>
          <cell r="DL404">
            <v>40942</v>
          </cell>
          <cell r="DM404">
            <v>28</v>
          </cell>
          <cell r="DT404">
            <v>999.9</v>
          </cell>
        </row>
        <row r="405">
          <cell r="W405">
            <v>205.10833333333335</v>
          </cell>
          <cell r="AF405">
            <v>39926</v>
          </cell>
          <cell r="AG405">
            <v>350</v>
          </cell>
          <cell r="AH405">
            <v>345.29921174147609</v>
          </cell>
          <cell r="AM405">
            <v>6779</v>
          </cell>
          <cell r="AO405">
            <v>1390429.3916666668</v>
          </cell>
          <cell r="AQ405">
            <v>2340783.3563954663</v>
          </cell>
          <cell r="AU405">
            <v>0</v>
          </cell>
          <cell r="AW405">
            <v>0</v>
          </cell>
          <cell r="AY405">
            <v>641243.56134933699</v>
          </cell>
          <cell r="AZ405">
            <v>94.59264808221522</v>
          </cell>
          <cell r="BA405">
            <v>513376.00242541084</v>
          </cell>
          <cell r="BB405">
            <v>75.730344066294563</v>
          </cell>
          <cell r="BC405">
            <v>0</v>
          </cell>
          <cell r="BD405">
            <v>0</v>
          </cell>
          <cell r="BG405">
            <v>0</v>
          </cell>
          <cell r="BH405">
            <v>0</v>
          </cell>
          <cell r="BI405">
            <v>200843.64495716663</v>
          </cell>
          <cell r="BJ405">
            <v>29.627326295495887</v>
          </cell>
          <cell r="BK405">
            <v>0</v>
          </cell>
          <cell r="BL405">
            <v>0</v>
          </cell>
          <cell r="BM405">
            <v>753844.95181828074</v>
          </cell>
          <cell r="BN405">
            <v>111.20297268303301</v>
          </cell>
          <cell r="BO405">
            <v>0</v>
          </cell>
          <cell r="BP405">
            <v>0</v>
          </cell>
          <cell r="BY405">
            <v>1524</v>
          </cell>
          <cell r="CF405">
            <v>881.65258943702486</v>
          </cell>
          <cell r="CG405">
            <v>727.32</v>
          </cell>
          <cell r="CJ405">
            <v>0</v>
          </cell>
          <cell r="CK405">
            <v>0</v>
          </cell>
          <cell r="CL405">
            <v>0</v>
          </cell>
          <cell r="CM405">
            <v>0</v>
          </cell>
          <cell r="CN405">
            <v>0</v>
          </cell>
          <cell r="CO405">
            <v>0</v>
          </cell>
          <cell r="CX405">
            <v>0</v>
          </cell>
          <cell r="CY405">
            <v>0</v>
          </cell>
          <cell r="DB405">
            <v>0</v>
          </cell>
          <cell r="DC405">
            <v>0</v>
          </cell>
          <cell r="DJ405" t="str">
            <v>НКРЕ</v>
          </cell>
          <cell r="DL405">
            <v>40526</v>
          </cell>
          <cell r="DM405">
            <v>1854</v>
          </cell>
          <cell r="DO405" t="str">
            <v>Тариф на теплову енергію</v>
          </cell>
          <cell r="DT405">
            <v>225.62</v>
          </cell>
        </row>
        <row r="406">
          <cell r="W406">
            <v>905.5916666666667</v>
          </cell>
          <cell r="AF406">
            <v>39926</v>
          </cell>
          <cell r="AG406">
            <v>351</v>
          </cell>
          <cell r="AH406">
            <v>513.22450607902738</v>
          </cell>
          <cell r="AM406">
            <v>1425</v>
          </cell>
          <cell r="AO406">
            <v>1290468.125</v>
          </cell>
          <cell r="AQ406">
            <v>731344.92116261402</v>
          </cell>
          <cell r="AU406">
            <v>0</v>
          </cell>
          <cell r="AW406">
            <v>0</v>
          </cell>
          <cell r="AY406">
            <v>434178.01159274194</v>
          </cell>
          <cell r="AZ406">
            <v>304.6863239247312</v>
          </cell>
          <cell r="BA406">
            <v>50573.856382978724</v>
          </cell>
          <cell r="BB406">
            <v>35.490425531914894</v>
          </cell>
          <cell r="BC406">
            <v>0</v>
          </cell>
          <cell r="BD406">
            <v>0</v>
          </cell>
          <cell r="BG406">
            <v>0</v>
          </cell>
          <cell r="BH406">
            <v>0</v>
          </cell>
          <cell r="BI406">
            <v>39936.816109422492</v>
          </cell>
          <cell r="BJ406">
            <v>28.025835866261399</v>
          </cell>
          <cell r="BK406">
            <v>0</v>
          </cell>
          <cell r="BL406">
            <v>0</v>
          </cell>
          <cell r="BM406">
            <v>158464.2230243161</v>
          </cell>
          <cell r="BN406">
            <v>111.20296352583586</v>
          </cell>
          <cell r="BO406">
            <v>0</v>
          </cell>
          <cell r="BP406">
            <v>0</v>
          </cell>
          <cell r="BY406">
            <v>1524</v>
          </cell>
          <cell r="CF406">
            <v>202.67382966168373</v>
          </cell>
          <cell r="CG406">
            <v>2142.25</v>
          </cell>
          <cell r="CJ406">
            <v>0</v>
          </cell>
          <cell r="CK406">
            <v>0</v>
          </cell>
          <cell r="CL406">
            <v>0</v>
          </cell>
          <cell r="CM406">
            <v>0</v>
          </cell>
          <cell r="CN406">
            <v>0</v>
          </cell>
          <cell r="CO406">
            <v>0</v>
          </cell>
          <cell r="CX406">
            <v>0</v>
          </cell>
          <cell r="CY406">
            <v>0</v>
          </cell>
          <cell r="DB406">
            <v>0</v>
          </cell>
          <cell r="DC406">
            <v>0</v>
          </cell>
          <cell r="DJ406" t="str">
            <v>НКРКП</v>
          </cell>
          <cell r="DL406">
            <v>40942</v>
          </cell>
          <cell r="DM406">
            <v>28</v>
          </cell>
          <cell r="DT406">
            <v>999.9</v>
          </cell>
        </row>
        <row r="407">
          <cell r="W407">
            <v>905.5916666666667</v>
          </cell>
          <cell r="AF407">
            <v>39926</v>
          </cell>
          <cell r="AG407">
            <v>351</v>
          </cell>
          <cell r="AH407">
            <v>513.22442638623329</v>
          </cell>
          <cell r="AM407">
            <v>44</v>
          </cell>
          <cell r="AO407">
            <v>39846.033333333333</v>
          </cell>
          <cell r="AQ407">
            <v>22581.874760994266</v>
          </cell>
          <cell r="AU407">
            <v>0</v>
          </cell>
          <cell r="AW407">
            <v>0</v>
          </cell>
          <cell r="AY407">
            <v>13406.198252688173</v>
          </cell>
          <cell r="AZ407">
            <v>304.6863239247312</v>
          </cell>
          <cell r="BA407">
            <v>1561.5793499043978</v>
          </cell>
          <cell r="BB407">
            <v>35.490439770554495</v>
          </cell>
          <cell r="BC407">
            <v>0</v>
          </cell>
          <cell r="BD407">
            <v>0</v>
          </cell>
          <cell r="BG407">
            <v>0</v>
          </cell>
          <cell r="BH407">
            <v>0</v>
          </cell>
          <cell r="BI407">
            <v>1233.1357552581262</v>
          </cell>
          <cell r="BJ407">
            <v>28.025812619502869</v>
          </cell>
          <cell r="BK407">
            <v>0</v>
          </cell>
          <cell r="BL407">
            <v>0</v>
          </cell>
          <cell r="BM407">
            <v>4892.9388145315488</v>
          </cell>
          <cell r="BN407">
            <v>111.20315487571702</v>
          </cell>
          <cell r="BO407">
            <v>0</v>
          </cell>
          <cell r="BP407">
            <v>0</v>
          </cell>
          <cell r="BY407">
            <v>1524</v>
          </cell>
          <cell r="CF407">
            <v>6.2579989509572522</v>
          </cell>
          <cell r="CG407">
            <v>2142.25</v>
          </cell>
          <cell r="CJ407">
            <v>0</v>
          </cell>
          <cell r="CK407">
            <v>0</v>
          </cell>
          <cell r="CL407">
            <v>0</v>
          </cell>
          <cell r="CM407">
            <v>0</v>
          </cell>
          <cell r="CN407">
            <v>0</v>
          </cell>
          <cell r="CO407">
            <v>0</v>
          </cell>
          <cell r="CX407">
            <v>0</v>
          </cell>
          <cell r="CY407">
            <v>0</v>
          </cell>
          <cell r="DB407">
            <v>0</v>
          </cell>
          <cell r="DC407">
            <v>0</v>
          </cell>
          <cell r="DJ407" t="str">
            <v>НКРКП</v>
          </cell>
          <cell r="DL407">
            <v>40942</v>
          </cell>
          <cell r="DM407">
            <v>28</v>
          </cell>
          <cell r="DT407">
            <v>999.9</v>
          </cell>
        </row>
        <row r="408">
          <cell r="W408">
            <v>554.2833333333333</v>
          </cell>
          <cell r="AF408">
            <v>39926</v>
          </cell>
          <cell r="AG408">
            <v>351</v>
          </cell>
          <cell r="AH408">
            <v>513.22450607902738</v>
          </cell>
          <cell r="AM408">
            <v>2463</v>
          </cell>
          <cell r="AO408">
            <v>1365199.8499999999</v>
          </cell>
          <cell r="AQ408">
            <v>1264071.9584726444</v>
          </cell>
          <cell r="AU408">
            <v>0</v>
          </cell>
          <cell r="AW408">
            <v>0</v>
          </cell>
          <cell r="AY408">
            <v>750442.41582661297</v>
          </cell>
          <cell r="AZ408">
            <v>304.6863239247312</v>
          </cell>
          <cell r="BA408">
            <v>87412.918085106387</v>
          </cell>
          <cell r="BB408">
            <v>35.490425531914894</v>
          </cell>
          <cell r="BC408">
            <v>0</v>
          </cell>
          <cell r="BD408">
            <v>0</v>
          </cell>
          <cell r="BG408">
            <v>0</v>
          </cell>
          <cell r="BH408">
            <v>0</v>
          </cell>
          <cell r="BI408">
            <v>69027.633738601828</v>
          </cell>
          <cell r="BJ408">
            <v>28.025835866261399</v>
          </cell>
          <cell r="BK408">
            <v>0</v>
          </cell>
          <cell r="BL408">
            <v>0</v>
          </cell>
          <cell r="BM408">
            <v>273892.89916413376</v>
          </cell>
          <cell r="BN408">
            <v>111.20296352583587</v>
          </cell>
          <cell r="BO408">
            <v>0</v>
          </cell>
          <cell r="BP408">
            <v>0</v>
          </cell>
          <cell r="BY408">
            <v>1524</v>
          </cell>
          <cell r="CF408">
            <v>350.3057140047207</v>
          </cell>
          <cell r="CG408">
            <v>2142.25</v>
          </cell>
          <cell r="CJ408">
            <v>0</v>
          </cell>
          <cell r="CK408">
            <v>0</v>
          </cell>
          <cell r="CL408">
            <v>0</v>
          </cell>
          <cell r="CM408">
            <v>0</v>
          </cell>
          <cell r="CN408">
            <v>0</v>
          </cell>
          <cell r="CO408">
            <v>0</v>
          </cell>
          <cell r="CX408">
            <v>0</v>
          </cell>
          <cell r="CY408">
            <v>0</v>
          </cell>
          <cell r="DB408">
            <v>0</v>
          </cell>
          <cell r="DC408">
            <v>0</v>
          </cell>
          <cell r="DJ408" t="str">
            <v>НКРКП</v>
          </cell>
          <cell r="DL408">
            <v>40942</v>
          </cell>
          <cell r="DM408">
            <v>28</v>
          </cell>
          <cell r="DT408">
            <v>819.78</v>
          </cell>
        </row>
        <row r="409">
          <cell r="W409">
            <v>372.91666666666669</v>
          </cell>
          <cell r="AF409">
            <v>39926</v>
          </cell>
          <cell r="AG409">
            <v>350</v>
          </cell>
          <cell r="AH409">
            <v>345.29921174147609</v>
          </cell>
          <cell r="AM409">
            <v>1499</v>
          </cell>
          <cell r="AO409">
            <v>559002.08333333337</v>
          </cell>
          <cell r="AQ409">
            <v>517603.51840047265</v>
          </cell>
          <cell r="AU409">
            <v>0</v>
          </cell>
          <cell r="AW409">
            <v>0</v>
          </cell>
          <cell r="AY409">
            <v>141794.37947524062</v>
          </cell>
          <cell r="AZ409">
            <v>94.59264808221522</v>
          </cell>
          <cell r="BA409">
            <v>113519.78575537555</v>
          </cell>
          <cell r="BB409">
            <v>75.730344066294563</v>
          </cell>
          <cell r="BC409">
            <v>0</v>
          </cell>
          <cell r="BD409">
            <v>0</v>
          </cell>
          <cell r="BG409">
            <v>0</v>
          </cell>
          <cell r="BH409">
            <v>0</v>
          </cell>
          <cell r="BI409">
            <v>44411.362116948338</v>
          </cell>
          <cell r="BJ409">
            <v>29.627326295495887</v>
          </cell>
          <cell r="BK409">
            <v>0</v>
          </cell>
          <cell r="BL409">
            <v>0</v>
          </cell>
          <cell r="BM409">
            <v>166693.25605186648</v>
          </cell>
          <cell r="BN409">
            <v>111.20297268303301</v>
          </cell>
          <cell r="BO409">
            <v>0</v>
          </cell>
          <cell r="BP409">
            <v>0</v>
          </cell>
          <cell r="BY409">
            <v>1524</v>
          </cell>
          <cell r="CF409">
            <v>194.95459972947341</v>
          </cell>
          <cell r="CG409">
            <v>727.32</v>
          </cell>
          <cell r="CJ409">
            <v>0</v>
          </cell>
          <cell r="CK409">
            <v>0</v>
          </cell>
          <cell r="CL409">
            <v>0</v>
          </cell>
          <cell r="CM409">
            <v>0</v>
          </cell>
          <cell r="CN409">
            <v>0</v>
          </cell>
          <cell r="CO409">
            <v>0</v>
          </cell>
          <cell r="CX409">
            <v>0</v>
          </cell>
          <cell r="CY409">
            <v>0</v>
          </cell>
          <cell r="DB409">
            <v>0</v>
          </cell>
          <cell r="DC409">
            <v>0</v>
          </cell>
          <cell r="DJ409" t="str">
            <v>НКРЕ</v>
          </cell>
          <cell r="DL409">
            <v>40526</v>
          </cell>
          <cell r="DM409">
            <v>1854</v>
          </cell>
          <cell r="DO409" t="str">
            <v>Тариф на теплову енергію</v>
          </cell>
          <cell r="DT409">
            <v>410.21</v>
          </cell>
        </row>
        <row r="410">
          <cell r="W410">
            <v>554.2833333333333</v>
          </cell>
          <cell r="AF410">
            <v>39926</v>
          </cell>
          <cell r="AG410">
            <v>351</v>
          </cell>
          <cell r="AH410">
            <v>513.22450607902738</v>
          </cell>
          <cell r="AM410">
            <v>4190</v>
          </cell>
          <cell r="AO410">
            <v>2322447.1666666665</v>
          </cell>
          <cell r="AQ410">
            <v>2150410.6804711246</v>
          </cell>
          <cell r="AU410">
            <v>0</v>
          </cell>
          <cell r="AW410">
            <v>0</v>
          </cell>
          <cell r="AY410">
            <v>1276635.6972446237</v>
          </cell>
          <cell r="AZ410">
            <v>304.6863239247312</v>
          </cell>
          <cell r="BA410">
            <v>148704.88297872341</v>
          </cell>
          <cell r="BB410">
            <v>35.490425531914894</v>
          </cell>
          <cell r="BC410">
            <v>0</v>
          </cell>
          <cell r="BD410">
            <v>0</v>
          </cell>
          <cell r="BG410">
            <v>0</v>
          </cell>
          <cell r="BH410">
            <v>0</v>
          </cell>
          <cell r="BI410">
            <v>117428.25227963526</v>
          </cell>
          <cell r="BJ410">
            <v>28.025835866261399</v>
          </cell>
          <cell r="BK410">
            <v>0</v>
          </cell>
          <cell r="BL410">
            <v>0</v>
          </cell>
          <cell r="BM410">
            <v>465940.41717325227</v>
          </cell>
          <cell r="BN410">
            <v>111.20296352583587</v>
          </cell>
          <cell r="BO410">
            <v>0</v>
          </cell>
          <cell r="BP410">
            <v>0</v>
          </cell>
          <cell r="BY410">
            <v>1524</v>
          </cell>
          <cell r="CF410">
            <v>595.93217282979288</v>
          </cell>
          <cell r="CG410">
            <v>2142.25</v>
          </cell>
          <cell r="CJ410">
            <v>0</v>
          </cell>
          <cell r="CK410">
            <v>0</v>
          </cell>
          <cell r="CL410">
            <v>0</v>
          </cell>
          <cell r="CM410">
            <v>0</v>
          </cell>
          <cell r="CN410">
            <v>0</v>
          </cell>
          <cell r="CO410">
            <v>0</v>
          </cell>
          <cell r="CX410">
            <v>0</v>
          </cell>
          <cell r="CY410">
            <v>0</v>
          </cell>
          <cell r="DB410">
            <v>0</v>
          </cell>
          <cell r="DC410">
            <v>0</v>
          </cell>
          <cell r="DJ410" t="str">
            <v>НКРКП</v>
          </cell>
          <cell r="DL410">
            <v>40942</v>
          </cell>
          <cell r="DM410">
            <v>28</v>
          </cell>
          <cell r="DT410">
            <v>819.78</v>
          </cell>
        </row>
        <row r="411">
          <cell r="W411">
            <v>554.2833333333333</v>
          </cell>
          <cell r="AF411">
            <v>39926</v>
          </cell>
          <cell r="AG411">
            <v>351</v>
          </cell>
          <cell r="AH411">
            <v>513.22442638623329</v>
          </cell>
          <cell r="AM411">
            <v>26</v>
          </cell>
          <cell r="AO411">
            <v>14411.366666666665</v>
          </cell>
          <cell r="AQ411">
            <v>13343.835086042065</v>
          </cell>
          <cell r="AU411">
            <v>0</v>
          </cell>
          <cell r="AW411">
            <v>0</v>
          </cell>
          <cell r="AY411">
            <v>7921.844422043011</v>
          </cell>
          <cell r="AZ411">
            <v>304.6863239247312</v>
          </cell>
          <cell r="BA411">
            <v>922.75143403441689</v>
          </cell>
          <cell r="BB411">
            <v>35.490439770554495</v>
          </cell>
          <cell r="BC411">
            <v>0</v>
          </cell>
          <cell r="BD411">
            <v>0</v>
          </cell>
          <cell r="BG411">
            <v>0</v>
          </cell>
          <cell r="BH411">
            <v>0</v>
          </cell>
          <cell r="BI411">
            <v>728.67112810707454</v>
          </cell>
          <cell r="BJ411">
            <v>28.025812619502865</v>
          </cell>
          <cell r="BK411">
            <v>0</v>
          </cell>
          <cell r="BL411">
            <v>0</v>
          </cell>
          <cell r="BM411">
            <v>2891.2820267686425</v>
          </cell>
          <cell r="BN411">
            <v>111.20315487571702</v>
          </cell>
          <cell r="BO411">
            <v>0</v>
          </cell>
          <cell r="BP411">
            <v>0</v>
          </cell>
          <cell r="BY411">
            <v>1524</v>
          </cell>
          <cell r="CF411">
            <v>3.6979084710201944</v>
          </cell>
          <cell r="CG411">
            <v>2142.25</v>
          </cell>
          <cell r="CJ411">
            <v>0</v>
          </cell>
          <cell r="CK411">
            <v>0</v>
          </cell>
          <cell r="CL411">
            <v>0</v>
          </cell>
          <cell r="CM411">
            <v>0</v>
          </cell>
          <cell r="CN411">
            <v>0</v>
          </cell>
          <cell r="CO411">
            <v>0</v>
          </cell>
          <cell r="CX411">
            <v>0</v>
          </cell>
          <cell r="CY411">
            <v>0</v>
          </cell>
          <cell r="DB411">
            <v>0</v>
          </cell>
          <cell r="DC411">
            <v>0</v>
          </cell>
          <cell r="DJ411" t="str">
            <v>НКРКП</v>
          </cell>
          <cell r="DL411">
            <v>40942</v>
          </cell>
          <cell r="DM411">
            <v>28</v>
          </cell>
          <cell r="DT411">
            <v>819.78</v>
          </cell>
        </row>
        <row r="412">
          <cell r="W412">
            <v>178.34</v>
          </cell>
          <cell r="AF412">
            <v>39927</v>
          </cell>
          <cell r="AG412">
            <v>352</v>
          </cell>
          <cell r="AH412">
            <v>370.90954180444027</v>
          </cell>
          <cell r="AM412">
            <v>4234</v>
          </cell>
          <cell r="AO412">
            <v>755091.56</v>
          </cell>
          <cell r="AQ412">
            <v>1570431</v>
          </cell>
          <cell r="AU412">
            <v>0</v>
          </cell>
          <cell r="AW412">
            <v>0</v>
          </cell>
          <cell r="AY412">
            <v>522966.37909499998</v>
          </cell>
          <cell r="AZ412">
            <v>123.51591381554086</v>
          </cell>
          <cell r="BA412">
            <v>0</v>
          </cell>
          <cell r="BB412">
            <v>0</v>
          </cell>
          <cell r="BC412">
            <v>0</v>
          </cell>
          <cell r="BD412">
            <v>0</v>
          </cell>
          <cell r="BG412">
            <v>0</v>
          </cell>
          <cell r="BH412">
            <v>0</v>
          </cell>
          <cell r="BI412">
            <v>202821.3</v>
          </cell>
          <cell r="BJ412">
            <v>47.90299952763344</v>
          </cell>
          <cell r="BK412">
            <v>0</v>
          </cell>
          <cell r="BL412">
            <v>0</v>
          </cell>
          <cell r="BM412">
            <v>612154.30000000005</v>
          </cell>
          <cell r="BN412">
            <v>144.58060935285783</v>
          </cell>
          <cell r="BO412">
            <v>0</v>
          </cell>
          <cell r="BP412">
            <v>0</v>
          </cell>
          <cell r="BY412">
            <v>1643</v>
          </cell>
          <cell r="CF412">
            <v>719.03499999999997</v>
          </cell>
          <cell r="CG412">
            <v>727.31700000000001</v>
          </cell>
          <cell r="CJ412">
            <v>0</v>
          </cell>
          <cell r="CK412">
            <v>0</v>
          </cell>
          <cell r="CL412">
            <v>0</v>
          </cell>
          <cell r="CM412">
            <v>0</v>
          </cell>
          <cell r="CN412">
            <v>0</v>
          </cell>
          <cell r="CO412">
            <v>0</v>
          </cell>
          <cell r="CX412">
            <v>0</v>
          </cell>
          <cell r="CY412">
            <v>0</v>
          </cell>
          <cell r="DB412">
            <v>0</v>
          </cell>
          <cell r="DC412">
            <v>0</v>
          </cell>
          <cell r="DJ412" t="str">
            <v>НКРЕ</v>
          </cell>
          <cell r="DL412">
            <v>40526</v>
          </cell>
          <cell r="DM412">
            <v>1854</v>
          </cell>
          <cell r="DO412" t="str">
            <v>Тариф на теплову енергію</v>
          </cell>
          <cell r="DT412">
            <v>408</v>
          </cell>
        </row>
        <row r="413">
          <cell r="W413">
            <v>911.33333333333326</v>
          </cell>
          <cell r="AF413">
            <v>39927</v>
          </cell>
          <cell r="AG413">
            <v>353</v>
          </cell>
          <cell r="AH413">
            <v>597.61752004935227</v>
          </cell>
          <cell r="AM413">
            <v>4863</v>
          </cell>
          <cell r="AO413">
            <v>4431814</v>
          </cell>
          <cell r="AQ413">
            <v>2906214</v>
          </cell>
          <cell r="AU413">
            <v>0</v>
          </cell>
          <cell r="AW413">
            <v>0</v>
          </cell>
          <cell r="AY413">
            <v>1763142.4442499999</v>
          </cell>
          <cell r="AZ413">
            <v>362.56270702241414</v>
          </cell>
          <cell r="BA413">
            <v>0</v>
          </cell>
          <cell r="BB413">
            <v>0</v>
          </cell>
          <cell r="BC413">
            <v>0</v>
          </cell>
          <cell r="BD413">
            <v>0</v>
          </cell>
          <cell r="BG413">
            <v>0</v>
          </cell>
          <cell r="BH413">
            <v>0</v>
          </cell>
          <cell r="BI413">
            <v>156131.4</v>
          </cell>
          <cell r="BJ413">
            <v>32.105983960518195</v>
          </cell>
          <cell r="BK413">
            <v>0</v>
          </cell>
          <cell r="BL413">
            <v>0</v>
          </cell>
          <cell r="BM413">
            <v>704422.7</v>
          </cell>
          <cell r="BN413">
            <v>144.85352662965246</v>
          </cell>
          <cell r="BO413">
            <v>0</v>
          </cell>
          <cell r="BP413">
            <v>0</v>
          </cell>
          <cell r="BY413">
            <v>1643</v>
          </cell>
          <cell r="CF413">
            <v>823.03300000000002</v>
          </cell>
          <cell r="CG413">
            <v>2142.25</v>
          </cell>
          <cell r="CJ413">
            <v>0</v>
          </cell>
          <cell r="CK413">
            <v>0</v>
          </cell>
          <cell r="CL413">
            <v>0</v>
          </cell>
          <cell r="CM413">
            <v>0</v>
          </cell>
          <cell r="CN413">
            <v>0</v>
          </cell>
          <cell r="CO413">
            <v>0</v>
          </cell>
          <cell r="CX413">
            <v>0</v>
          </cell>
          <cell r="CY413">
            <v>0</v>
          </cell>
          <cell r="DB413">
            <v>0</v>
          </cell>
          <cell r="DC413">
            <v>0</v>
          </cell>
          <cell r="DJ413" t="str">
            <v>НКРКП</v>
          </cell>
          <cell r="DL413">
            <v>40942</v>
          </cell>
          <cell r="DM413">
            <v>28</v>
          </cell>
          <cell r="DT413">
            <v>999.9</v>
          </cell>
        </row>
        <row r="414">
          <cell r="W414">
            <v>911.33333333333326</v>
          </cell>
          <cell r="AF414">
            <v>39927</v>
          </cell>
          <cell r="AG414">
            <v>353</v>
          </cell>
          <cell r="AH414">
            <v>597.61917549661246</v>
          </cell>
          <cell r="AM414">
            <v>390.99900000000002</v>
          </cell>
          <cell r="AO414">
            <v>356330.42200000002</v>
          </cell>
          <cell r="AQ414">
            <v>233668.5</v>
          </cell>
          <cell r="AU414">
            <v>0</v>
          </cell>
          <cell r="AW414">
            <v>0</v>
          </cell>
          <cell r="AY414">
            <v>141762.322625</v>
          </cell>
          <cell r="AZ414">
            <v>362.56441224913618</v>
          </cell>
          <cell r="BA414">
            <v>0</v>
          </cell>
          <cell r="BB414">
            <v>0</v>
          </cell>
          <cell r="BC414">
            <v>0</v>
          </cell>
          <cell r="BD414">
            <v>0</v>
          </cell>
          <cell r="BG414">
            <v>0</v>
          </cell>
          <cell r="BH414">
            <v>0</v>
          </cell>
          <cell r="BI414">
            <v>12553.5</v>
          </cell>
          <cell r="BJ414">
            <v>32.106220220512071</v>
          </cell>
          <cell r="BK414">
            <v>0</v>
          </cell>
          <cell r="BL414">
            <v>0</v>
          </cell>
          <cell r="BM414">
            <v>56637.5</v>
          </cell>
          <cell r="BN414">
            <v>144.85331164529831</v>
          </cell>
          <cell r="BO414">
            <v>0</v>
          </cell>
          <cell r="BP414">
            <v>0</v>
          </cell>
          <cell r="BY414">
            <v>1643</v>
          </cell>
          <cell r="CF414">
            <v>66.174499999999995</v>
          </cell>
          <cell r="CG414">
            <v>2142.25</v>
          </cell>
          <cell r="CJ414">
            <v>0</v>
          </cell>
          <cell r="CK414">
            <v>0</v>
          </cell>
          <cell r="CL414">
            <v>0</v>
          </cell>
          <cell r="CM414">
            <v>0</v>
          </cell>
          <cell r="CN414">
            <v>0</v>
          </cell>
          <cell r="CO414">
            <v>0</v>
          </cell>
          <cell r="CX414">
            <v>0</v>
          </cell>
          <cell r="CY414">
            <v>0</v>
          </cell>
          <cell r="DB414">
            <v>0</v>
          </cell>
          <cell r="DC414">
            <v>0</v>
          </cell>
          <cell r="DJ414" t="str">
            <v>НКРКП</v>
          </cell>
          <cell r="DL414">
            <v>40942</v>
          </cell>
          <cell r="DM414">
            <v>28</v>
          </cell>
          <cell r="DT414">
            <v>999.9</v>
          </cell>
        </row>
        <row r="415">
          <cell r="W415">
            <v>178.34</v>
          </cell>
          <cell r="AF415">
            <v>39927</v>
          </cell>
          <cell r="AG415">
            <v>352</v>
          </cell>
          <cell r="AH415">
            <v>370.9095730214849</v>
          </cell>
          <cell r="AM415">
            <v>7354</v>
          </cell>
          <cell r="AO415">
            <v>1311512.3600000001</v>
          </cell>
          <cell r="AQ415">
            <v>2727669</v>
          </cell>
          <cell r="AU415">
            <v>0</v>
          </cell>
          <cell r="AW415">
            <v>0</v>
          </cell>
          <cell r="AY415">
            <v>908335.29154500004</v>
          </cell>
          <cell r="AZ415">
            <v>123.5158133729943</v>
          </cell>
          <cell r="BA415">
            <v>0</v>
          </cell>
          <cell r="BB415">
            <v>0</v>
          </cell>
          <cell r="BC415">
            <v>0</v>
          </cell>
          <cell r="BD415">
            <v>0</v>
          </cell>
          <cell r="BG415">
            <v>0</v>
          </cell>
          <cell r="BH415">
            <v>0</v>
          </cell>
          <cell r="BI415">
            <v>352278.7</v>
          </cell>
          <cell r="BJ415">
            <v>47.90300516725592</v>
          </cell>
          <cell r="BK415">
            <v>0</v>
          </cell>
          <cell r="BL415">
            <v>0</v>
          </cell>
          <cell r="BM415">
            <v>1063245.7</v>
          </cell>
          <cell r="BN415">
            <v>144.58059559423441</v>
          </cell>
          <cell r="BO415">
            <v>0</v>
          </cell>
          <cell r="BP415">
            <v>0</v>
          </cell>
          <cell r="BY415">
            <v>1643</v>
          </cell>
          <cell r="CF415">
            <v>1248.885</v>
          </cell>
          <cell r="CG415">
            <v>727.31700000000001</v>
          </cell>
          <cell r="CJ415">
            <v>0</v>
          </cell>
          <cell r="CK415">
            <v>0</v>
          </cell>
          <cell r="CL415">
            <v>0</v>
          </cell>
          <cell r="CM415">
            <v>0</v>
          </cell>
          <cell r="CN415">
            <v>0</v>
          </cell>
          <cell r="CO415">
            <v>0</v>
          </cell>
          <cell r="CX415">
            <v>0</v>
          </cell>
          <cell r="CY415">
            <v>0</v>
          </cell>
          <cell r="DB415">
            <v>0</v>
          </cell>
          <cell r="DC415">
            <v>0</v>
          </cell>
          <cell r="DJ415" t="str">
            <v>НКРЕ</v>
          </cell>
          <cell r="DL415">
            <v>40526</v>
          </cell>
          <cell r="DM415">
            <v>1854</v>
          </cell>
          <cell r="DO415" t="str">
            <v>Тариф на теплову енергію</v>
          </cell>
          <cell r="DT415">
            <v>408</v>
          </cell>
        </row>
        <row r="416">
          <cell r="W416">
            <v>911.33333333333326</v>
          </cell>
          <cell r="AF416">
            <v>39927</v>
          </cell>
          <cell r="AG416">
            <v>353</v>
          </cell>
          <cell r="AH416">
            <v>597.61763054463779</v>
          </cell>
          <cell r="AM416">
            <v>3562</v>
          </cell>
          <cell r="AO416">
            <v>3246169.333333333</v>
          </cell>
          <cell r="AQ416">
            <v>2128714</v>
          </cell>
          <cell r="AU416">
            <v>0</v>
          </cell>
          <cell r="AW416">
            <v>0</v>
          </cell>
          <cell r="AY416">
            <v>1291448.98575</v>
          </cell>
          <cell r="AZ416">
            <v>362.56288201852891</v>
          </cell>
          <cell r="BA416">
            <v>0</v>
          </cell>
          <cell r="BB416">
            <v>0</v>
          </cell>
          <cell r="BC416">
            <v>0</v>
          </cell>
          <cell r="BD416">
            <v>0</v>
          </cell>
          <cell r="BG416">
            <v>0</v>
          </cell>
          <cell r="BH416">
            <v>0</v>
          </cell>
          <cell r="BI416">
            <v>114361.60000000001</v>
          </cell>
          <cell r="BJ416">
            <v>32.106007860752385</v>
          </cell>
          <cell r="BK416">
            <v>0</v>
          </cell>
          <cell r="BL416">
            <v>0</v>
          </cell>
          <cell r="BM416">
            <v>515968.3</v>
          </cell>
          <cell r="BN416">
            <v>144.85353733857383</v>
          </cell>
          <cell r="BO416">
            <v>0</v>
          </cell>
          <cell r="BP416">
            <v>0</v>
          </cell>
          <cell r="BY416">
            <v>1643</v>
          </cell>
          <cell r="CF416">
            <v>602.84699999999998</v>
          </cell>
          <cell r="CG416">
            <v>2142.25</v>
          </cell>
          <cell r="CJ416">
            <v>0</v>
          </cell>
          <cell r="CK416">
            <v>0</v>
          </cell>
          <cell r="CL416">
            <v>0</v>
          </cell>
          <cell r="CM416">
            <v>0</v>
          </cell>
          <cell r="CN416">
            <v>0</v>
          </cell>
          <cell r="CO416">
            <v>0</v>
          </cell>
          <cell r="CX416">
            <v>0</v>
          </cell>
          <cell r="CY416">
            <v>0</v>
          </cell>
          <cell r="DB416">
            <v>0</v>
          </cell>
          <cell r="DC416">
            <v>0</v>
          </cell>
          <cell r="DJ416" t="str">
            <v>НКРКП</v>
          </cell>
          <cell r="DL416">
            <v>40942</v>
          </cell>
          <cell r="DM416">
            <v>28</v>
          </cell>
          <cell r="DT416">
            <v>999.9</v>
          </cell>
        </row>
        <row r="417">
          <cell r="W417">
            <v>911.33</v>
          </cell>
          <cell r="AF417">
            <v>39927</v>
          </cell>
          <cell r="AG417">
            <v>353</v>
          </cell>
          <cell r="AH417">
            <v>597.61817045454541</v>
          </cell>
          <cell r="AM417">
            <v>880</v>
          </cell>
          <cell r="AO417">
            <v>801970.4</v>
          </cell>
          <cell r="AQ417">
            <v>525903.99</v>
          </cell>
          <cell r="AU417">
            <v>0</v>
          </cell>
          <cell r="AW417">
            <v>0</v>
          </cell>
          <cell r="AY417">
            <v>319054.93262500002</v>
          </cell>
          <cell r="AZ417">
            <v>362.5624234375</v>
          </cell>
          <cell r="BA417">
            <v>0</v>
          </cell>
          <cell r="BB417">
            <v>0</v>
          </cell>
          <cell r="BC417">
            <v>0</v>
          </cell>
          <cell r="BD417">
            <v>0</v>
          </cell>
          <cell r="BG417">
            <v>0</v>
          </cell>
          <cell r="BH417">
            <v>0</v>
          </cell>
          <cell r="BI417">
            <v>28253.7</v>
          </cell>
          <cell r="BJ417">
            <v>32.106477272727275</v>
          </cell>
          <cell r="BK417">
            <v>0</v>
          </cell>
          <cell r="BL417">
            <v>0</v>
          </cell>
          <cell r="BM417">
            <v>127471.4</v>
          </cell>
          <cell r="BN417">
            <v>144.85386363636363</v>
          </cell>
          <cell r="BO417">
            <v>0</v>
          </cell>
          <cell r="BP417">
            <v>0</v>
          </cell>
          <cell r="BY417">
            <v>1643</v>
          </cell>
          <cell r="CF417">
            <v>148.93450000000001</v>
          </cell>
          <cell r="CG417">
            <v>2142.25</v>
          </cell>
          <cell r="CJ417">
            <v>0</v>
          </cell>
          <cell r="CK417">
            <v>0</v>
          </cell>
          <cell r="CL417">
            <v>0</v>
          </cell>
          <cell r="CM417">
            <v>0</v>
          </cell>
          <cell r="CN417">
            <v>0</v>
          </cell>
          <cell r="CO417">
            <v>0</v>
          </cell>
          <cell r="CX417">
            <v>0</v>
          </cell>
          <cell r="CY417">
            <v>0</v>
          </cell>
          <cell r="DB417">
            <v>0</v>
          </cell>
          <cell r="DC417">
            <v>0</v>
          </cell>
          <cell r="DJ417" t="str">
            <v>НКРКП</v>
          </cell>
          <cell r="DL417">
            <v>40942</v>
          </cell>
          <cell r="DM417">
            <v>28</v>
          </cell>
          <cell r="DT417">
            <v>999.9</v>
          </cell>
        </row>
        <row r="418">
          <cell r="AF418">
            <v>39897</v>
          </cell>
          <cell r="AG418" t="str">
            <v>№ 47</v>
          </cell>
          <cell r="AM418">
            <v>116546</v>
          </cell>
          <cell r="AO418">
            <v>14411071.98529</v>
          </cell>
          <cell r="AQ418">
            <v>14411072.004148608</v>
          </cell>
          <cell r="AU418">
            <v>0</v>
          </cell>
          <cell r="AW418">
            <v>0</v>
          </cell>
          <cell r="AY418">
            <v>11460520.455166366</v>
          </cell>
          <cell r="AZ418">
            <v>98.33473868829789</v>
          </cell>
          <cell r="BA418">
            <v>415026.95515793381</v>
          </cell>
          <cell r="BB418">
            <v>3.5610570517901414</v>
          </cell>
          <cell r="BG418">
            <v>0</v>
          </cell>
          <cell r="BH418">
            <v>0</v>
          </cell>
          <cell r="BI418">
            <v>2535477.4227363947</v>
          </cell>
          <cell r="BJ418">
            <v>21.755164679494747</v>
          </cell>
          <cell r="BK418">
            <v>0</v>
          </cell>
          <cell r="BL418">
            <v>0</v>
          </cell>
          <cell r="BO418">
            <v>0</v>
          </cell>
          <cell r="BP418">
            <v>0</v>
          </cell>
          <cell r="CF418">
            <v>15757.191408412205</v>
          </cell>
          <cell r="CG418">
            <v>727.32</v>
          </cell>
          <cell r="CJ418">
            <v>0</v>
          </cell>
          <cell r="CK418">
            <v>0</v>
          </cell>
          <cell r="CL418">
            <v>0</v>
          </cell>
          <cell r="CM418">
            <v>0</v>
          </cell>
          <cell r="CN418">
            <v>0</v>
          </cell>
          <cell r="CO418">
            <v>0</v>
          </cell>
          <cell r="CX418">
            <v>0</v>
          </cell>
          <cell r="CY418">
            <v>0</v>
          </cell>
          <cell r="DJ418" t="str">
            <v>НКРЕ</v>
          </cell>
          <cell r="DL418">
            <v>40526</v>
          </cell>
          <cell r="DM418" t="str">
            <v>№ 1737</v>
          </cell>
          <cell r="DO418" t="str">
            <v>умовно-змінна величина двоставкового тарифу на теплову енергію</v>
          </cell>
        </row>
        <row r="419">
          <cell r="AF419">
            <v>39897</v>
          </cell>
          <cell r="AG419" t="str">
            <v>№ 47</v>
          </cell>
          <cell r="AM419">
            <v>32358</v>
          </cell>
          <cell r="AO419">
            <v>10163971.380000001</v>
          </cell>
          <cell r="AQ419">
            <v>10163919.086830299</v>
          </cell>
          <cell r="AU419">
            <v>0</v>
          </cell>
          <cell r="AW419">
            <v>0</v>
          </cell>
          <cell r="AY419">
            <v>9311410.4231547471</v>
          </cell>
          <cell r="AZ419">
            <v>287.76223571156277</v>
          </cell>
          <cell r="BA419">
            <v>148548.2801090877</v>
          </cell>
          <cell r="BB419">
            <v>4.5907744640919619</v>
          </cell>
          <cell r="BG419">
            <v>0</v>
          </cell>
          <cell r="BH419">
            <v>0</v>
          </cell>
          <cell r="BI419">
            <v>703957.53690507601</v>
          </cell>
          <cell r="BJ419">
            <v>21.755285768745782</v>
          </cell>
          <cell r="BK419">
            <v>0</v>
          </cell>
          <cell r="BL419">
            <v>0</v>
          </cell>
          <cell r="BO419">
            <v>0</v>
          </cell>
          <cell r="BP419">
            <v>0</v>
          </cell>
          <cell r="CF419">
            <v>4346.5563884489429</v>
          </cell>
          <cell r="CG419">
            <v>2142.25</v>
          </cell>
          <cell r="CJ419">
            <v>0</v>
          </cell>
          <cell r="CK419">
            <v>0</v>
          </cell>
          <cell r="CL419">
            <v>0</v>
          </cell>
          <cell r="CM419">
            <v>0</v>
          </cell>
          <cell r="CN419">
            <v>0</v>
          </cell>
          <cell r="CO419">
            <v>0</v>
          </cell>
          <cell r="CX419">
            <v>0</v>
          </cell>
          <cell r="CY419">
            <v>0</v>
          </cell>
          <cell r="DJ419" t="str">
            <v>НКРКП</v>
          </cell>
          <cell r="DL419">
            <v>40816</v>
          </cell>
          <cell r="DM419">
            <v>164</v>
          </cell>
        </row>
        <row r="420">
          <cell r="AF420">
            <v>39897</v>
          </cell>
          <cell r="AG420" t="str">
            <v>№ 47</v>
          </cell>
          <cell r="AM420">
            <v>8115</v>
          </cell>
          <cell r="AO420">
            <v>2547217.35</v>
          </cell>
          <cell r="AQ420">
            <v>2547334.1421984956</v>
          </cell>
          <cell r="AU420">
            <v>0</v>
          </cell>
          <cell r="AW420">
            <v>0</v>
          </cell>
          <cell r="AY420">
            <v>2331344.3884979375</v>
          </cell>
          <cell r="AZ420">
            <v>287.28827954380006</v>
          </cell>
          <cell r="BA420">
            <v>39432.874302353797</v>
          </cell>
          <cell r="BB420">
            <v>4.8592574617811213</v>
          </cell>
          <cell r="BG420">
            <v>0</v>
          </cell>
          <cell r="BH420">
            <v>0</v>
          </cell>
          <cell r="BI420">
            <v>176556.87898932301</v>
          </cell>
          <cell r="BJ420">
            <v>21.756855081863588</v>
          </cell>
          <cell r="BK420">
            <v>0</v>
          </cell>
          <cell r="BL420">
            <v>0</v>
          </cell>
          <cell r="BO420">
            <v>0</v>
          </cell>
          <cell r="BP420">
            <v>0</v>
          </cell>
          <cell r="CF420">
            <v>1088.2690575320048</v>
          </cell>
          <cell r="CG420">
            <v>2142.25</v>
          </cell>
          <cell r="CJ420">
            <v>0</v>
          </cell>
          <cell r="CK420">
            <v>0</v>
          </cell>
          <cell r="CL420">
            <v>0</v>
          </cell>
          <cell r="CM420">
            <v>0</v>
          </cell>
          <cell r="CN420">
            <v>0</v>
          </cell>
          <cell r="CO420">
            <v>0</v>
          </cell>
          <cell r="CX420">
            <v>0</v>
          </cell>
          <cell r="CY420">
            <v>0</v>
          </cell>
          <cell r="DJ420" t="str">
            <v>НКРКП</v>
          </cell>
          <cell r="DL420">
            <v>40816</v>
          </cell>
          <cell r="DM420">
            <v>164</v>
          </cell>
        </row>
        <row r="421">
          <cell r="AF421">
            <v>39897</v>
          </cell>
          <cell r="AG421" t="str">
            <v>№ 47</v>
          </cell>
          <cell r="AO421">
            <v>10437801.677999998</v>
          </cell>
          <cell r="AQ421">
            <v>9534809.9276523273</v>
          </cell>
          <cell r="AY421">
            <v>1789504.01116414</v>
          </cell>
          <cell r="AZ421">
            <v>2857.3545557324837</v>
          </cell>
          <cell r="BC421">
            <v>0</v>
          </cell>
          <cell r="BD421">
            <v>0</v>
          </cell>
          <cell r="BG421">
            <v>0</v>
          </cell>
          <cell r="BH421">
            <v>0</v>
          </cell>
          <cell r="BI421">
            <v>389387.50341501256</v>
          </cell>
          <cell r="BJ421">
            <v>621.74666828736758</v>
          </cell>
          <cell r="BK421">
            <v>0</v>
          </cell>
          <cell r="BL421">
            <v>0</v>
          </cell>
          <cell r="BM421">
            <v>5260244.5594212189</v>
          </cell>
          <cell r="BN421">
            <v>8399.1897544568219</v>
          </cell>
          <cell r="BO421">
            <v>0</v>
          </cell>
          <cell r="BP421">
            <v>0</v>
          </cell>
          <cell r="BY421">
            <v>1104.1199999999999</v>
          </cell>
          <cell r="CF421">
            <v>2460.4080888249187</v>
          </cell>
          <cell r="CG421">
            <v>727.32</v>
          </cell>
          <cell r="CX421">
            <v>0</v>
          </cell>
          <cell r="CY421">
            <v>0</v>
          </cell>
          <cell r="DB421">
            <v>0</v>
          </cell>
          <cell r="DC421">
            <v>0</v>
          </cell>
          <cell r="DJ421" t="str">
            <v>МОС</v>
          </cell>
          <cell r="DL421">
            <v>40003</v>
          </cell>
          <cell r="DM421">
            <v>314</v>
          </cell>
          <cell r="DO421" t="str">
            <v>плата за одиницю приєднаного теплового навантаження в розрахунку на 1 кв. м щомісячно протягом року</v>
          </cell>
        </row>
        <row r="422">
          <cell r="AF422">
            <v>39897</v>
          </cell>
          <cell r="AG422" t="str">
            <v>№ 47</v>
          </cell>
          <cell r="AO422">
            <v>5526407.1744000008</v>
          </cell>
          <cell r="AQ422">
            <v>3535553.4441805226</v>
          </cell>
          <cell r="AY422">
            <v>1453932.3040380047</v>
          </cell>
          <cell r="AZ422">
            <v>8361.6994711180396</v>
          </cell>
          <cell r="BC422">
            <v>0</v>
          </cell>
          <cell r="BD422">
            <v>0</v>
          </cell>
          <cell r="BG422">
            <v>0</v>
          </cell>
          <cell r="BH422">
            <v>0</v>
          </cell>
          <cell r="BI422">
            <v>107584.82273247119</v>
          </cell>
          <cell r="BJ422">
            <v>618.73028946670809</v>
          </cell>
          <cell r="BK422">
            <v>0</v>
          </cell>
          <cell r="BL422">
            <v>0</v>
          </cell>
          <cell r="BM422">
            <v>1460441.6697457554</v>
          </cell>
          <cell r="BN422">
            <v>8399.1354367710792</v>
          </cell>
          <cell r="BO422">
            <v>0</v>
          </cell>
          <cell r="BP422">
            <v>0</v>
          </cell>
          <cell r="BY422">
            <v>1104.1199999999999</v>
          </cell>
          <cell r="CF422">
            <v>678.69403852865196</v>
          </cell>
          <cell r="CG422">
            <v>2142.25</v>
          </cell>
          <cell r="CX422">
            <v>0</v>
          </cell>
          <cell r="CY422">
            <v>0</v>
          </cell>
          <cell r="DB422">
            <v>0</v>
          </cell>
          <cell r="DC422">
            <v>0</v>
          </cell>
          <cell r="DJ422" t="str">
            <v>МОС</v>
          </cell>
          <cell r="DL422">
            <v>40003</v>
          </cell>
          <cell r="DM422">
            <v>314</v>
          </cell>
          <cell r="DO422" t="str">
            <v>плата за одиницю приєднаного теплового навантаження в розрахунку на 1 кв. м щомісячно протягом року</v>
          </cell>
        </row>
        <row r="423">
          <cell r="AF423">
            <v>39897</v>
          </cell>
          <cell r="AG423" t="str">
            <v>№ 47</v>
          </cell>
          <cell r="AO423">
            <v>1903120.7124000001</v>
          </cell>
          <cell r="AQ423">
            <v>886141.85270565399</v>
          </cell>
          <cell r="AY423">
            <v>364023.02839116717</v>
          </cell>
          <cell r="AZ423">
            <v>8347.6203538609243</v>
          </cell>
          <cell r="BC423">
            <v>0</v>
          </cell>
          <cell r="BD423">
            <v>0</v>
          </cell>
          <cell r="BG423">
            <v>0</v>
          </cell>
          <cell r="BH423">
            <v>0</v>
          </cell>
          <cell r="BI423">
            <v>26948.258917738414</v>
          </cell>
          <cell r="BJ423">
            <v>617.9659447289124</v>
          </cell>
          <cell r="BK423">
            <v>0</v>
          </cell>
          <cell r="BL423">
            <v>0</v>
          </cell>
          <cell r="BM423">
            <v>366277.74205289979</v>
          </cell>
          <cell r="BN423">
            <v>8399.3244829595442</v>
          </cell>
          <cell r="BO423">
            <v>0</v>
          </cell>
          <cell r="BP423">
            <v>0</v>
          </cell>
          <cell r="BY423">
            <v>1104.1199999999999</v>
          </cell>
          <cell r="CF423">
            <v>169.92555882421155</v>
          </cell>
          <cell r="CG423">
            <v>2142.25</v>
          </cell>
          <cell r="CX423">
            <v>0</v>
          </cell>
          <cell r="CY423">
            <v>0</v>
          </cell>
          <cell r="DB423">
            <v>0</v>
          </cell>
          <cell r="DC423">
            <v>0</v>
          </cell>
          <cell r="DJ423" t="str">
            <v>МОС</v>
          </cell>
          <cell r="DL423">
            <v>40003</v>
          </cell>
          <cell r="DM423">
            <v>314</v>
          </cell>
          <cell r="DO423" t="str">
            <v>плата за одиницю приєднаного теплового навантаження в розрахунку на 1 кв. м щомісячно протягом року</v>
          </cell>
        </row>
        <row r="424">
          <cell r="W424">
            <v>370.77377654600002</v>
          </cell>
          <cell r="AF424">
            <v>39968</v>
          </cell>
          <cell r="AG424">
            <v>1691</v>
          </cell>
          <cell r="AH424">
            <v>370.77377654662973</v>
          </cell>
          <cell r="AM424">
            <v>3249</v>
          </cell>
          <cell r="AO424">
            <v>1204643.9999979541</v>
          </cell>
          <cell r="AQ424">
            <v>1204644</v>
          </cell>
          <cell r="AU424">
            <v>0</v>
          </cell>
          <cell r="AW424">
            <v>0</v>
          </cell>
          <cell r="AY424">
            <v>423729.99999803881</v>
          </cell>
          <cell r="AZ424">
            <v>130.41859033488421</v>
          </cell>
          <cell r="BA424">
            <v>423730</v>
          </cell>
          <cell r="BB424">
            <v>130.41859033548783</v>
          </cell>
          <cell r="BC424">
            <v>0</v>
          </cell>
          <cell r="BD424">
            <v>0</v>
          </cell>
          <cell r="BG424">
            <v>0</v>
          </cell>
          <cell r="BH424">
            <v>0</v>
          </cell>
          <cell r="BI424">
            <v>43441</v>
          </cell>
          <cell r="BJ424">
            <v>13.370575561711295</v>
          </cell>
          <cell r="BK424">
            <v>0</v>
          </cell>
          <cell r="BL424">
            <v>0</v>
          </cell>
          <cell r="BM424">
            <v>372283.4</v>
          </cell>
          <cell r="BN424">
            <v>114.58399507540783</v>
          </cell>
          <cell r="BO424">
            <v>0</v>
          </cell>
          <cell r="BP424">
            <v>0</v>
          </cell>
          <cell r="BY424">
            <v>1555.83</v>
          </cell>
          <cell r="CF424">
            <v>582.59088158999998</v>
          </cell>
          <cell r="CG424">
            <v>727.32</v>
          </cell>
          <cell r="CJ424">
            <v>0</v>
          </cell>
          <cell r="CK424">
            <v>0</v>
          </cell>
          <cell r="CL424">
            <v>0</v>
          </cell>
          <cell r="CM424">
            <v>0</v>
          </cell>
          <cell r="CN424">
            <v>0</v>
          </cell>
          <cell r="CO424">
            <v>0</v>
          </cell>
          <cell r="CX424">
            <v>0</v>
          </cell>
          <cell r="CY424">
            <v>0</v>
          </cell>
          <cell r="DB424">
            <v>0</v>
          </cell>
          <cell r="DC424">
            <v>0</v>
          </cell>
          <cell r="DJ424" t="str">
            <v>НКРЕ</v>
          </cell>
          <cell r="DL424">
            <v>40526</v>
          </cell>
          <cell r="DM424">
            <v>1749</v>
          </cell>
          <cell r="DO424" t="str">
            <v>тариф на теплову енергію</v>
          </cell>
          <cell r="DT424">
            <v>407.85</v>
          </cell>
        </row>
        <row r="425">
          <cell r="W425">
            <v>524.70000000000005</v>
          </cell>
          <cell r="AF425">
            <v>39968</v>
          </cell>
          <cell r="AH425">
            <v>437.25000000000017</v>
          </cell>
          <cell r="AM425">
            <v>1144.76</v>
          </cell>
          <cell r="AO425">
            <v>600655.57200000004</v>
          </cell>
          <cell r="AQ425">
            <v>500546.31000000017</v>
          </cell>
          <cell r="AU425">
            <v>0</v>
          </cell>
          <cell r="AW425">
            <v>0</v>
          </cell>
          <cell r="AY425">
            <v>302308.22080000001</v>
          </cell>
          <cell r="AZ425">
            <v>264.08</v>
          </cell>
          <cell r="BA425">
            <v>0</v>
          </cell>
          <cell r="BB425">
            <v>0</v>
          </cell>
          <cell r="BC425">
            <v>0</v>
          </cell>
          <cell r="BD425">
            <v>0</v>
          </cell>
          <cell r="BG425">
            <v>0</v>
          </cell>
          <cell r="BH425">
            <v>0</v>
          </cell>
          <cell r="BI425">
            <v>0</v>
          </cell>
          <cell r="BJ425">
            <v>0</v>
          </cell>
          <cell r="BK425">
            <v>0</v>
          </cell>
          <cell r="BL425">
            <v>0</v>
          </cell>
          <cell r="BM425">
            <v>0</v>
          </cell>
          <cell r="BN425">
            <v>0</v>
          </cell>
          <cell r="BO425">
            <v>0</v>
          </cell>
          <cell r="BP425">
            <v>0</v>
          </cell>
          <cell r="BY425">
            <v>1555.83</v>
          </cell>
          <cell r="CF425">
            <v>197.16953692833476</v>
          </cell>
          <cell r="CG425">
            <v>1533.24</v>
          </cell>
          <cell r="CJ425">
            <v>0</v>
          </cell>
          <cell r="CK425">
            <v>0</v>
          </cell>
          <cell r="CL425">
            <v>0</v>
          </cell>
          <cell r="CM425">
            <v>0</v>
          </cell>
          <cell r="CN425">
            <v>0</v>
          </cell>
          <cell r="CO425">
            <v>0</v>
          </cell>
          <cell r="CX425">
            <v>0</v>
          </cell>
          <cell r="CY425">
            <v>0</v>
          </cell>
          <cell r="DB425">
            <v>0</v>
          </cell>
          <cell r="DC425">
            <v>0</v>
          </cell>
          <cell r="DJ425" t="str">
            <v>НКРКП</v>
          </cell>
          <cell r="DL425">
            <v>40816</v>
          </cell>
          <cell r="DM425">
            <v>100</v>
          </cell>
          <cell r="DT425">
            <v>906.84</v>
          </cell>
        </row>
        <row r="426">
          <cell r="W426">
            <v>627.67999999999995</v>
          </cell>
          <cell r="AF426">
            <v>39968</v>
          </cell>
          <cell r="AG426">
            <v>1692</v>
          </cell>
          <cell r="AH426">
            <v>627.71</v>
          </cell>
          <cell r="AM426">
            <v>34</v>
          </cell>
          <cell r="AO426">
            <v>21341.119999999999</v>
          </cell>
          <cell r="AQ426">
            <v>21342.140000000003</v>
          </cell>
          <cell r="AU426">
            <v>0</v>
          </cell>
          <cell r="AW426">
            <v>0</v>
          </cell>
          <cell r="AY426">
            <v>12904.963839223192</v>
          </cell>
          <cell r="AZ426">
            <v>379.55775997715273</v>
          </cell>
          <cell r="BA426">
            <v>0</v>
          </cell>
          <cell r="BB426">
            <v>0</v>
          </cell>
          <cell r="BC426">
            <v>0</v>
          </cell>
          <cell r="BD426">
            <v>0</v>
          </cell>
          <cell r="BG426">
            <v>0</v>
          </cell>
          <cell r="BH426">
            <v>0</v>
          </cell>
          <cell r="BI426">
            <v>449</v>
          </cell>
          <cell r="BJ426">
            <v>13.205882352941176</v>
          </cell>
          <cell r="BK426">
            <v>0</v>
          </cell>
          <cell r="BL426">
            <v>0</v>
          </cell>
          <cell r="BM426">
            <v>3.79</v>
          </cell>
          <cell r="BN426">
            <v>0.11147058823529411</v>
          </cell>
          <cell r="BO426">
            <v>0</v>
          </cell>
          <cell r="BP426">
            <v>0</v>
          </cell>
          <cell r="BY426">
            <v>1555.83</v>
          </cell>
          <cell r="CF426">
            <v>6.0239951449512157</v>
          </cell>
          <cell r="CG426">
            <v>2142.2600000000002</v>
          </cell>
          <cell r="CJ426">
            <v>0</v>
          </cell>
          <cell r="CK426">
            <v>0</v>
          </cell>
          <cell r="CL426">
            <v>0</v>
          </cell>
          <cell r="CM426">
            <v>0</v>
          </cell>
          <cell r="CN426">
            <v>0</v>
          </cell>
          <cell r="CO426">
            <v>0</v>
          </cell>
          <cell r="CX426">
            <v>0</v>
          </cell>
          <cell r="CY426">
            <v>0</v>
          </cell>
          <cell r="DB426">
            <v>0</v>
          </cell>
          <cell r="DC426">
            <v>0</v>
          </cell>
          <cell r="DJ426" t="str">
            <v>НКРКП</v>
          </cell>
          <cell r="DL426">
            <v>40816</v>
          </cell>
          <cell r="DM426">
            <v>100</v>
          </cell>
          <cell r="DT426">
            <v>912.91</v>
          </cell>
        </row>
        <row r="427">
          <cell r="W427">
            <v>803.76</v>
          </cell>
          <cell r="AF427">
            <v>39968</v>
          </cell>
          <cell r="AG427">
            <v>1702</v>
          </cell>
          <cell r="AH427">
            <v>803.76095617529882</v>
          </cell>
          <cell r="AM427">
            <v>502</v>
          </cell>
          <cell r="AO427">
            <v>403487.52</v>
          </cell>
          <cell r="AQ427">
            <v>403488</v>
          </cell>
          <cell r="AU427">
            <v>0</v>
          </cell>
          <cell r="AW427">
            <v>0</v>
          </cell>
          <cell r="AY427">
            <v>143493.99997974251</v>
          </cell>
          <cell r="AZ427">
            <v>285.84462147359068</v>
          </cell>
          <cell r="BA427">
            <v>25991</v>
          </cell>
          <cell r="BB427">
            <v>51.774900398406373</v>
          </cell>
          <cell r="BC427">
            <v>0</v>
          </cell>
          <cell r="BD427">
            <v>0</v>
          </cell>
          <cell r="BG427">
            <v>0</v>
          </cell>
          <cell r="BH427">
            <v>0</v>
          </cell>
          <cell r="BI427">
            <v>15864</v>
          </cell>
          <cell r="BJ427">
            <v>31.601593625498008</v>
          </cell>
          <cell r="BK427">
            <v>0</v>
          </cell>
          <cell r="BL427">
            <v>0</v>
          </cell>
          <cell r="BM427">
            <v>196884</v>
          </cell>
          <cell r="BN427">
            <v>392.19920318725099</v>
          </cell>
          <cell r="BO427">
            <v>0</v>
          </cell>
          <cell r="BP427">
            <v>0</v>
          </cell>
          <cell r="BY427">
            <v>1458.91</v>
          </cell>
          <cell r="CF427">
            <v>66.982845130000001</v>
          </cell>
          <cell r="CG427">
            <v>2142.25</v>
          </cell>
          <cell r="CJ427">
            <v>0</v>
          </cell>
          <cell r="CK427">
            <v>0</v>
          </cell>
          <cell r="CL427">
            <v>0</v>
          </cell>
          <cell r="CM427">
            <v>0</v>
          </cell>
          <cell r="CN427">
            <v>0</v>
          </cell>
          <cell r="CO427">
            <v>0</v>
          </cell>
          <cell r="CX427">
            <v>0</v>
          </cell>
          <cell r="CY427">
            <v>0</v>
          </cell>
          <cell r="DB427">
            <v>0</v>
          </cell>
          <cell r="DC427">
            <v>0</v>
          </cell>
          <cell r="DJ427" t="str">
            <v>НКРКП</v>
          </cell>
          <cell r="DL427">
            <v>40816</v>
          </cell>
          <cell r="DM427">
            <v>100</v>
          </cell>
          <cell r="DT427">
            <v>999.9</v>
          </cell>
        </row>
        <row r="428">
          <cell r="W428">
            <v>371.20870000000002</v>
          </cell>
          <cell r="AF428">
            <v>39968</v>
          </cell>
          <cell r="AG428">
            <v>1710</v>
          </cell>
          <cell r="AH428">
            <v>371.208722065524</v>
          </cell>
          <cell r="AM428">
            <v>4609</v>
          </cell>
          <cell r="AO428">
            <v>1710900.8983</v>
          </cell>
          <cell r="AQ428">
            <v>1710901</v>
          </cell>
          <cell r="AU428">
            <v>0</v>
          </cell>
          <cell r="AW428">
            <v>0</v>
          </cell>
          <cell r="AY428">
            <v>582414.99996900011</v>
          </cell>
          <cell r="AZ428">
            <v>126.36472119093081</v>
          </cell>
          <cell r="BA428">
            <v>0</v>
          </cell>
          <cell r="BB428">
            <v>0</v>
          </cell>
          <cell r="BC428">
            <v>0</v>
          </cell>
          <cell r="BD428">
            <v>0</v>
          </cell>
          <cell r="BG428">
            <v>0</v>
          </cell>
          <cell r="BH428">
            <v>0</v>
          </cell>
          <cell r="BI428">
            <v>117830</v>
          </cell>
          <cell r="BJ428">
            <v>25.565198524625732</v>
          </cell>
          <cell r="BK428">
            <v>0</v>
          </cell>
          <cell r="BL428">
            <v>0</v>
          </cell>
          <cell r="BM428">
            <v>590219.6</v>
          </cell>
          <cell r="BN428">
            <v>128.05806031677153</v>
          </cell>
          <cell r="BO428">
            <v>0</v>
          </cell>
          <cell r="BP428">
            <v>0</v>
          </cell>
          <cell r="BY428">
            <v>1394.96</v>
          </cell>
          <cell r="CF428">
            <v>800.76857500000006</v>
          </cell>
          <cell r="CG428">
            <v>727.32</v>
          </cell>
          <cell r="CJ428">
            <v>0</v>
          </cell>
          <cell r="CK428">
            <v>0</v>
          </cell>
          <cell r="CL428">
            <v>0</v>
          </cell>
          <cell r="CM428">
            <v>0</v>
          </cell>
          <cell r="CN428">
            <v>0</v>
          </cell>
          <cell r="CO428">
            <v>0</v>
          </cell>
          <cell r="CX428">
            <v>0</v>
          </cell>
          <cell r="CY428">
            <v>0</v>
          </cell>
          <cell r="DB428">
            <v>0</v>
          </cell>
          <cell r="DC428">
            <v>0</v>
          </cell>
          <cell r="DJ428" t="str">
            <v>НКРЕ</v>
          </cell>
          <cell r="DL428">
            <v>40526</v>
          </cell>
          <cell r="DM428">
            <v>1749</v>
          </cell>
          <cell r="DO428" t="str">
            <v>тариф на теплову енергію</v>
          </cell>
          <cell r="DT428">
            <v>408.33</v>
          </cell>
        </row>
        <row r="429">
          <cell r="W429">
            <v>727.16</v>
          </cell>
          <cell r="AF429">
            <v>39968</v>
          </cell>
          <cell r="AG429">
            <v>1711</v>
          </cell>
          <cell r="AH429">
            <v>692.53330873308732</v>
          </cell>
          <cell r="AM429">
            <v>1626</v>
          </cell>
          <cell r="AO429">
            <v>1182362.1599999999</v>
          </cell>
          <cell r="AQ429">
            <v>1126059.1599999999</v>
          </cell>
          <cell r="AU429">
            <v>0</v>
          </cell>
          <cell r="AW429">
            <v>0</v>
          </cell>
          <cell r="AY429">
            <v>703117.99998687499</v>
          </cell>
          <cell r="AZ429">
            <v>432.42189421087022</v>
          </cell>
          <cell r="BA429">
            <v>0</v>
          </cell>
          <cell r="BB429">
            <v>0</v>
          </cell>
          <cell r="BC429">
            <v>0</v>
          </cell>
          <cell r="BD429">
            <v>0</v>
          </cell>
          <cell r="BG429">
            <v>0</v>
          </cell>
          <cell r="BH429">
            <v>0</v>
          </cell>
          <cell r="BI429">
            <v>41555</v>
          </cell>
          <cell r="BJ429">
            <v>25.556580565805657</v>
          </cell>
          <cell r="BK429">
            <v>0</v>
          </cell>
          <cell r="BL429">
            <v>0</v>
          </cell>
          <cell r="BM429">
            <v>208203.52001312491</v>
          </cell>
          <cell r="BN429">
            <v>128.04644527252455</v>
          </cell>
          <cell r="BO429">
            <v>0</v>
          </cell>
          <cell r="BP429">
            <v>0</v>
          </cell>
          <cell r="BY429">
            <v>1394.96</v>
          </cell>
          <cell r="CF429">
            <v>328.21472749999998</v>
          </cell>
          <cell r="CG429">
            <v>2142.25</v>
          </cell>
          <cell r="CJ429">
            <v>0</v>
          </cell>
          <cell r="CK429">
            <v>0</v>
          </cell>
          <cell r="CL429">
            <v>0</v>
          </cell>
          <cell r="CM429">
            <v>0</v>
          </cell>
          <cell r="CN429">
            <v>0</v>
          </cell>
          <cell r="CO429">
            <v>0</v>
          </cell>
          <cell r="CX429">
            <v>0</v>
          </cell>
          <cell r="CY429">
            <v>0</v>
          </cell>
          <cell r="DB429">
            <v>0</v>
          </cell>
          <cell r="DC429">
            <v>0</v>
          </cell>
          <cell r="DJ429" t="str">
            <v>НКРКП</v>
          </cell>
          <cell r="DL429">
            <v>40816</v>
          </cell>
          <cell r="DM429">
            <v>100</v>
          </cell>
          <cell r="DT429">
            <v>999.9</v>
          </cell>
        </row>
        <row r="430">
          <cell r="W430">
            <v>304.69261040599997</v>
          </cell>
          <cell r="AF430">
            <v>39968</v>
          </cell>
          <cell r="AG430">
            <v>1707</v>
          </cell>
          <cell r="AH430">
            <v>304.69261040664628</v>
          </cell>
          <cell r="AM430">
            <v>6861</v>
          </cell>
          <cell r="AO430">
            <v>2090495.9999955657</v>
          </cell>
          <cell r="AQ430">
            <v>2090496</v>
          </cell>
          <cell r="AU430">
            <v>0</v>
          </cell>
          <cell r="AW430">
            <v>0</v>
          </cell>
          <cell r="AY430">
            <v>847541.00000000012</v>
          </cell>
          <cell r="AZ430">
            <v>123.53024340475152</v>
          </cell>
          <cell r="BA430">
            <v>0</v>
          </cell>
          <cell r="BB430">
            <v>0</v>
          </cell>
          <cell r="BC430">
            <v>0</v>
          </cell>
          <cell r="BD430">
            <v>0</v>
          </cell>
          <cell r="BG430">
            <v>0</v>
          </cell>
          <cell r="BH430">
            <v>0</v>
          </cell>
          <cell r="BI430">
            <v>94733</v>
          </cell>
          <cell r="BJ430">
            <v>13.807462469027838</v>
          </cell>
          <cell r="BK430">
            <v>0</v>
          </cell>
          <cell r="BL430">
            <v>0</v>
          </cell>
          <cell r="BM430">
            <v>727811.9</v>
          </cell>
          <cell r="BN430">
            <v>106.07956566098237</v>
          </cell>
          <cell r="BO430">
            <v>0</v>
          </cell>
          <cell r="BP430">
            <v>0</v>
          </cell>
          <cell r="BY430">
            <v>1326.12</v>
          </cell>
          <cell r="CF430">
            <v>1165.29</v>
          </cell>
          <cell r="CG430">
            <v>727.32195419166055</v>
          </cell>
          <cell r="CJ430">
            <v>0</v>
          </cell>
          <cell r="CK430">
            <v>0</v>
          </cell>
          <cell r="CL430">
            <v>0</v>
          </cell>
          <cell r="CM430">
            <v>0</v>
          </cell>
          <cell r="CN430">
            <v>0</v>
          </cell>
          <cell r="CO430">
            <v>0</v>
          </cell>
          <cell r="CX430">
            <v>0</v>
          </cell>
          <cell r="CY430">
            <v>0</v>
          </cell>
          <cell r="DB430">
            <v>0</v>
          </cell>
          <cell r="DC430">
            <v>0</v>
          </cell>
          <cell r="DJ430" t="str">
            <v>НКРЕ</v>
          </cell>
          <cell r="DL430">
            <v>40526</v>
          </cell>
          <cell r="DM430">
            <v>1749</v>
          </cell>
          <cell r="DO430" t="str">
            <v>тариф на теплову енергію</v>
          </cell>
          <cell r="DT430">
            <v>335.16</v>
          </cell>
        </row>
        <row r="431">
          <cell r="W431">
            <v>612.29999999999995</v>
          </cell>
          <cell r="AF431">
            <v>39968</v>
          </cell>
          <cell r="AG431">
            <v>1708</v>
          </cell>
          <cell r="AH431">
            <v>556.64143133269943</v>
          </cell>
          <cell r="AM431">
            <v>1078.9972254886256</v>
          </cell>
          <cell r="AO431">
            <v>660670.00116668548</v>
          </cell>
          <cell r="AQ431">
            <v>600614.56000000006</v>
          </cell>
          <cell r="AU431">
            <v>0</v>
          </cell>
          <cell r="AW431">
            <v>0</v>
          </cell>
          <cell r="AY431">
            <v>392215.16914380132</v>
          </cell>
          <cell r="AZ431">
            <v>363.499701276976</v>
          </cell>
          <cell r="BA431">
            <v>0</v>
          </cell>
          <cell r="BB431">
            <v>0</v>
          </cell>
          <cell r="BC431">
            <v>0</v>
          </cell>
          <cell r="BD431">
            <v>0</v>
          </cell>
          <cell r="BG431">
            <v>0</v>
          </cell>
          <cell r="BH431">
            <v>0</v>
          </cell>
          <cell r="BI431">
            <v>14894</v>
          </cell>
          <cell r="BJ431">
            <v>13.803557273518686</v>
          </cell>
          <cell r="BK431">
            <v>0</v>
          </cell>
          <cell r="BL431">
            <v>0</v>
          </cell>
          <cell r="BM431">
            <v>114456.2</v>
          </cell>
          <cell r="BN431">
            <v>106.07645441179733</v>
          </cell>
          <cell r="BO431">
            <v>0</v>
          </cell>
          <cell r="BP431">
            <v>0</v>
          </cell>
          <cell r="BY431">
            <v>1326.12</v>
          </cell>
          <cell r="CF431">
            <v>183.08561985940079</v>
          </cell>
          <cell r="CG431">
            <v>2142.25</v>
          </cell>
          <cell r="CJ431">
            <v>0</v>
          </cell>
          <cell r="CK431">
            <v>0</v>
          </cell>
          <cell r="CL431">
            <v>0</v>
          </cell>
          <cell r="CM431">
            <v>0</v>
          </cell>
          <cell r="CN431">
            <v>0</v>
          </cell>
          <cell r="CO431">
            <v>0</v>
          </cell>
          <cell r="CX431">
            <v>0</v>
          </cell>
          <cell r="CY431">
            <v>0</v>
          </cell>
          <cell r="DB431">
            <v>0</v>
          </cell>
          <cell r="DC431">
            <v>0</v>
          </cell>
          <cell r="DJ431" t="str">
            <v>НКРКП</v>
          </cell>
          <cell r="DL431">
            <v>40816</v>
          </cell>
          <cell r="DM431">
            <v>100</v>
          </cell>
          <cell r="DT431">
            <v>885.44</v>
          </cell>
        </row>
        <row r="432">
          <cell r="W432">
            <v>591.25</v>
          </cell>
          <cell r="AF432">
            <v>39968</v>
          </cell>
          <cell r="AG432">
            <v>1709</v>
          </cell>
          <cell r="AH432">
            <v>537.5</v>
          </cell>
          <cell r="AM432">
            <v>8</v>
          </cell>
          <cell r="AO432">
            <v>4730</v>
          </cell>
          <cell r="AQ432">
            <v>4300</v>
          </cell>
          <cell r="AU432">
            <v>0</v>
          </cell>
          <cell r="AW432">
            <v>0</v>
          </cell>
          <cell r="AY432">
            <v>2791.3485007583708</v>
          </cell>
          <cell r="AZ432">
            <v>348.91856259479636</v>
          </cell>
          <cell r="BA432">
            <v>0</v>
          </cell>
          <cell r="BB432">
            <v>0</v>
          </cell>
          <cell r="BC432">
            <v>0</v>
          </cell>
          <cell r="BD432">
            <v>0</v>
          </cell>
          <cell r="BG432">
            <v>0</v>
          </cell>
          <cell r="BH432">
            <v>0</v>
          </cell>
          <cell r="BI432">
            <v>104</v>
          </cell>
          <cell r="BJ432">
            <v>13</v>
          </cell>
          <cell r="BK432">
            <v>0</v>
          </cell>
          <cell r="BL432">
            <v>0</v>
          </cell>
          <cell r="BM432">
            <v>842.9</v>
          </cell>
          <cell r="BN432">
            <v>105.3625</v>
          </cell>
          <cell r="BO432">
            <v>0</v>
          </cell>
          <cell r="BP432">
            <v>0</v>
          </cell>
          <cell r="BY432">
            <v>1326.12</v>
          </cell>
          <cell r="CF432">
            <v>1.3029984832574961</v>
          </cell>
          <cell r="CG432">
            <v>2142.25</v>
          </cell>
          <cell r="CJ432">
            <v>0</v>
          </cell>
          <cell r="CK432">
            <v>0</v>
          </cell>
          <cell r="CL432">
            <v>0</v>
          </cell>
          <cell r="CM432">
            <v>0</v>
          </cell>
          <cell r="CN432">
            <v>0</v>
          </cell>
          <cell r="CO432">
            <v>0</v>
          </cell>
          <cell r="CX432">
            <v>0</v>
          </cell>
          <cell r="CY432">
            <v>0</v>
          </cell>
          <cell r="DB432">
            <v>0</v>
          </cell>
          <cell r="DC432">
            <v>0</v>
          </cell>
          <cell r="DJ432" t="str">
            <v>НКРКП</v>
          </cell>
          <cell r="DL432">
            <v>40816</v>
          </cell>
          <cell r="DM432">
            <v>100</v>
          </cell>
          <cell r="DT432">
            <v>885.44</v>
          </cell>
        </row>
        <row r="433">
          <cell r="W433">
            <v>807.513888888</v>
          </cell>
          <cell r="AF433">
            <v>39968</v>
          </cell>
          <cell r="AG433">
            <v>1698</v>
          </cell>
          <cell r="AH433">
            <v>807.51388888888891</v>
          </cell>
          <cell r="AM433">
            <v>360</v>
          </cell>
          <cell r="AO433">
            <v>290704.99999967997</v>
          </cell>
          <cell r="AQ433">
            <v>290705</v>
          </cell>
          <cell r="AU433">
            <v>0</v>
          </cell>
          <cell r="AW433">
            <v>0</v>
          </cell>
          <cell r="AY433">
            <v>139377</v>
          </cell>
          <cell r="AZ433">
            <v>387.15833333333336</v>
          </cell>
          <cell r="BA433">
            <v>0</v>
          </cell>
          <cell r="BB433">
            <v>0</v>
          </cell>
          <cell r="BC433">
            <v>0</v>
          </cell>
          <cell r="BD433">
            <v>0</v>
          </cell>
          <cell r="BG433">
            <v>0</v>
          </cell>
          <cell r="BH433">
            <v>0</v>
          </cell>
          <cell r="BI433">
            <v>11876</v>
          </cell>
          <cell r="BJ433">
            <v>32.988888888888887</v>
          </cell>
          <cell r="BK433">
            <v>0</v>
          </cell>
          <cell r="BL433">
            <v>0</v>
          </cell>
          <cell r="BM433">
            <v>89.47</v>
          </cell>
          <cell r="BN433">
            <v>0.24852777777777776</v>
          </cell>
          <cell r="BO433">
            <v>0</v>
          </cell>
          <cell r="BP433">
            <v>0</v>
          </cell>
          <cell r="BY433">
            <v>1344.22</v>
          </cell>
          <cell r="CF433">
            <v>65.061033959621895</v>
          </cell>
          <cell r="CG433">
            <v>2142.25</v>
          </cell>
          <cell r="CJ433">
            <v>0</v>
          </cell>
          <cell r="CK433">
            <v>0</v>
          </cell>
          <cell r="CL433">
            <v>0</v>
          </cell>
          <cell r="CM433">
            <v>0</v>
          </cell>
          <cell r="CN433">
            <v>0</v>
          </cell>
          <cell r="CO433">
            <v>0</v>
          </cell>
          <cell r="CX433">
            <v>0</v>
          </cell>
          <cell r="CY433">
            <v>0</v>
          </cell>
          <cell r="DB433">
            <v>0</v>
          </cell>
          <cell r="DC433">
            <v>0</v>
          </cell>
          <cell r="DJ433" t="str">
            <v>НКРКП</v>
          </cell>
          <cell r="DL433">
            <v>40816</v>
          </cell>
          <cell r="DM433">
            <v>100</v>
          </cell>
          <cell r="DT433">
            <v>999.9</v>
          </cell>
        </row>
        <row r="434">
          <cell r="W434">
            <v>399.132567978</v>
          </cell>
          <cell r="AF434">
            <v>39968</v>
          </cell>
          <cell r="AG434">
            <v>1679</v>
          </cell>
          <cell r="AH434">
            <v>399.13256767842495</v>
          </cell>
          <cell r="AM434">
            <v>12190</v>
          </cell>
          <cell r="AO434">
            <v>4865426.0036518201</v>
          </cell>
          <cell r="AQ434">
            <v>4865426</v>
          </cell>
          <cell r="AU434">
            <v>0</v>
          </cell>
          <cell r="AW434">
            <v>0</v>
          </cell>
          <cell r="AY434">
            <v>1678363.632</v>
          </cell>
          <cell r="AZ434">
            <v>137.68364495488106</v>
          </cell>
          <cell r="BA434">
            <v>0</v>
          </cell>
          <cell r="BB434">
            <v>0</v>
          </cell>
          <cell r="BC434">
            <v>0</v>
          </cell>
          <cell r="BD434">
            <v>0</v>
          </cell>
          <cell r="BG434">
            <v>0</v>
          </cell>
          <cell r="BH434">
            <v>0</v>
          </cell>
          <cell r="BI434">
            <v>560253</v>
          </cell>
          <cell r="BJ434">
            <v>45.96004922067268</v>
          </cell>
          <cell r="BK434">
            <v>0</v>
          </cell>
          <cell r="BL434">
            <v>0</v>
          </cell>
          <cell r="BM434">
            <v>1674846</v>
          </cell>
          <cell r="BN434">
            <v>137.39507793273174</v>
          </cell>
          <cell r="BO434">
            <v>0</v>
          </cell>
          <cell r="BP434">
            <v>0</v>
          </cell>
          <cell r="BY434">
            <v>1489.56</v>
          </cell>
          <cell r="CF434">
            <v>2307.6</v>
          </cell>
          <cell r="CG434">
            <v>727.32</v>
          </cell>
          <cell r="CJ434">
            <v>0</v>
          </cell>
          <cell r="CK434">
            <v>0</v>
          </cell>
          <cell r="CL434">
            <v>0</v>
          </cell>
          <cell r="CM434">
            <v>0</v>
          </cell>
          <cell r="CN434">
            <v>0</v>
          </cell>
          <cell r="CO434">
            <v>0</v>
          </cell>
          <cell r="CX434">
            <v>0</v>
          </cell>
          <cell r="CY434">
            <v>0</v>
          </cell>
          <cell r="DB434">
            <v>0</v>
          </cell>
          <cell r="DC434">
            <v>0</v>
          </cell>
          <cell r="DJ434" t="str">
            <v>НКРЕ</v>
          </cell>
          <cell r="DL434">
            <v>40526</v>
          </cell>
          <cell r="DM434">
            <v>1749</v>
          </cell>
          <cell r="DO434" t="str">
            <v>тариф на теплову енергію</v>
          </cell>
          <cell r="DT434">
            <v>439.04</v>
          </cell>
        </row>
        <row r="435">
          <cell r="W435">
            <v>667.61229134999996</v>
          </cell>
          <cell r="AF435">
            <v>39968</v>
          </cell>
          <cell r="AG435">
            <v>1680</v>
          </cell>
          <cell r="AH435">
            <v>667.61229135053111</v>
          </cell>
          <cell r="AM435">
            <v>2636</v>
          </cell>
          <cell r="AO435">
            <v>1759825.9999986</v>
          </cell>
          <cell r="AQ435">
            <v>1759826</v>
          </cell>
          <cell r="AU435">
            <v>0</v>
          </cell>
          <cell r="AW435">
            <v>0</v>
          </cell>
          <cell r="AY435">
            <v>1037039.9999894275</v>
          </cell>
          <cell r="AZ435">
            <v>393.41426403240803</v>
          </cell>
          <cell r="BA435">
            <v>0</v>
          </cell>
          <cell r="BB435">
            <v>0</v>
          </cell>
          <cell r="BC435">
            <v>0</v>
          </cell>
          <cell r="BD435">
            <v>0</v>
          </cell>
          <cell r="BG435">
            <v>0</v>
          </cell>
          <cell r="BH435">
            <v>0</v>
          </cell>
          <cell r="BI435">
            <v>121133</v>
          </cell>
          <cell r="BJ435">
            <v>45.953338391502278</v>
          </cell>
          <cell r="BK435">
            <v>0</v>
          </cell>
          <cell r="BL435">
            <v>0</v>
          </cell>
          <cell r="BM435">
            <v>362156.9</v>
          </cell>
          <cell r="BN435">
            <v>137.38880880121397</v>
          </cell>
          <cell r="BO435">
            <v>0</v>
          </cell>
          <cell r="BP435">
            <v>0</v>
          </cell>
          <cell r="BY435">
            <v>1489.56</v>
          </cell>
          <cell r="CF435">
            <v>484.08915859000001</v>
          </cell>
          <cell r="CG435">
            <v>2142.25</v>
          </cell>
          <cell r="CJ435">
            <v>0</v>
          </cell>
          <cell r="CK435">
            <v>0</v>
          </cell>
          <cell r="CL435">
            <v>0</v>
          </cell>
          <cell r="CM435">
            <v>0</v>
          </cell>
          <cell r="CN435">
            <v>0</v>
          </cell>
          <cell r="CO435">
            <v>0</v>
          </cell>
          <cell r="CX435">
            <v>0</v>
          </cell>
          <cell r="CY435">
            <v>0</v>
          </cell>
          <cell r="DB435">
            <v>0</v>
          </cell>
          <cell r="DC435">
            <v>0</v>
          </cell>
          <cell r="DJ435" t="str">
            <v>НКРКП</v>
          </cell>
          <cell r="DL435">
            <v>40816</v>
          </cell>
          <cell r="DM435">
            <v>100</v>
          </cell>
          <cell r="DT435">
            <v>963.23</v>
          </cell>
        </row>
        <row r="436">
          <cell r="W436">
            <v>651.29999999999995</v>
          </cell>
          <cell r="AF436">
            <v>39968</v>
          </cell>
          <cell r="AG436">
            <v>1681</v>
          </cell>
          <cell r="AH436">
            <v>651.29999999999995</v>
          </cell>
          <cell r="AM436">
            <v>47</v>
          </cell>
          <cell r="AO436">
            <v>30611.1</v>
          </cell>
          <cell r="AQ436">
            <v>30611.1</v>
          </cell>
          <cell r="AU436">
            <v>0</v>
          </cell>
          <cell r="AW436">
            <v>0</v>
          </cell>
          <cell r="AY436">
            <v>17878.470000000005</v>
          </cell>
          <cell r="AZ436">
            <v>380.39297872340438</v>
          </cell>
          <cell r="BA436">
            <v>0</v>
          </cell>
          <cell r="BB436">
            <v>0</v>
          </cell>
          <cell r="BC436">
            <v>0</v>
          </cell>
          <cell r="BD436">
            <v>0</v>
          </cell>
          <cell r="BG436">
            <v>0</v>
          </cell>
          <cell r="BH436">
            <v>0</v>
          </cell>
          <cell r="BI436">
            <v>2137</v>
          </cell>
          <cell r="BJ436">
            <v>45.468085106382979</v>
          </cell>
          <cell r="BK436">
            <v>0</v>
          </cell>
          <cell r="BL436">
            <v>0</v>
          </cell>
          <cell r="BM436">
            <v>6342.1</v>
          </cell>
          <cell r="BN436">
            <v>134.93829787234043</v>
          </cell>
          <cell r="BO436">
            <v>0</v>
          </cell>
          <cell r="BP436">
            <v>0</v>
          </cell>
          <cell r="BY436">
            <v>1489.56</v>
          </cell>
          <cell r="CF436">
            <v>8.3456506010036193</v>
          </cell>
          <cell r="CG436">
            <v>2142.25</v>
          </cell>
          <cell r="CJ436">
            <v>0</v>
          </cell>
          <cell r="CK436">
            <v>0</v>
          </cell>
          <cell r="CL436">
            <v>0</v>
          </cell>
          <cell r="CM436">
            <v>0</v>
          </cell>
          <cell r="CN436">
            <v>0</v>
          </cell>
          <cell r="CO436">
            <v>0</v>
          </cell>
          <cell r="CX436">
            <v>0</v>
          </cell>
          <cell r="CY436">
            <v>0</v>
          </cell>
          <cell r="DB436">
            <v>0</v>
          </cell>
          <cell r="DC436">
            <v>0</v>
          </cell>
          <cell r="DJ436" t="str">
            <v>НКРКП</v>
          </cell>
          <cell r="DL436">
            <v>40816</v>
          </cell>
          <cell r="DM436">
            <v>100</v>
          </cell>
          <cell r="DT436">
            <v>963.23</v>
          </cell>
        </row>
        <row r="437">
          <cell r="W437">
            <v>667.45</v>
          </cell>
          <cell r="AF437">
            <v>39968</v>
          </cell>
          <cell r="AG437">
            <v>1683</v>
          </cell>
          <cell r="AH437">
            <v>635.66800947867307</v>
          </cell>
          <cell r="AM437">
            <v>422</v>
          </cell>
          <cell r="AO437">
            <v>281663.90000000002</v>
          </cell>
          <cell r="AQ437">
            <v>268251.90000000002</v>
          </cell>
          <cell r="AU437">
            <v>0</v>
          </cell>
          <cell r="AW437">
            <v>0</v>
          </cell>
          <cell r="AY437">
            <v>162663.76999999999</v>
          </cell>
          <cell r="AZ437">
            <v>385.45917061611374</v>
          </cell>
          <cell r="BA437">
            <v>0</v>
          </cell>
          <cell r="BB437">
            <v>0</v>
          </cell>
          <cell r="BC437">
            <v>0</v>
          </cell>
          <cell r="BD437">
            <v>0</v>
          </cell>
          <cell r="BG437">
            <v>0</v>
          </cell>
          <cell r="BH437">
            <v>0</v>
          </cell>
          <cell r="BI437">
            <v>10424</v>
          </cell>
          <cell r="BJ437">
            <v>24.701421800947866</v>
          </cell>
          <cell r="BK437">
            <v>0</v>
          </cell>
          <cell r="BL437">
            <v>0</v>
          </cell>
          <cell r="BM437">
            <v>57219.1</v>
          </cell>
          <cell r="BN437">
            <v>135.59028436018957</v>
          </cell>
          <cell r="BO437">
            <v>0</v>
          </cell>
          <cell r="BP437">
            <v>0</v>
          </cell>
          <cell r="BY437">
            <v>1517.3</v>
          </cell>
          <cell r="CF437">
            <v>75.93127319407165</v>
          </cell>
          <cell r="CG437">
            <v>2142.25</v>
          </cell>
          <cell r="CJ437">
            <v>0</v>
          </cell>
          <cell r="CK437">
            <v>0</v>
          </cell>
          <cell r="CL437">
            <v>0</v>
          </cell>
          <cell r="CM437">
            <v>0</v>
          </cell>
          <cell r="CN437">
            <v>0</v>
          </cell>
          <cell r="CO437">
            <v>0</v>
          </cell>
          <cell r="CX437">
            <v>0</v>
          </cell>
          <cell r="CY437">
            <v>0</v>
          </cell>
          <cell r="DB437">
            <v>0</v>
          </cell>
          <cell r="DC437">
            <v>0</v>
          </cell>
          <cell r="DJ437" t="str">
            <v>НКРКП</v>
          </cell>
          <cell r="DL437">
            <v>40816</v>
          </cell>
          <cell r="DM437">
            <v>100</v>
          </cell>
          <cell r="DT437">
            <v>956.77</v>
          </cell>
        </row>
        <row r="438">
          <cell r="W438">
            <v>716.48</v>
          </cell>
          <cell r="AF438">
            <v>39968</v>
          </cell>
          <cell r="AG438">
            <v>1704</v>
          </cell>
          <cell r="AH438">
            <v>682.37</v>
          </cell>
          <cell r="AM438">
            <v>1509</v>
          </cell>
          <cell r="AO438">
            <v>1081168.32</v>
          </cell>
          <cell r="AQ438">
            <v>1029696.33</v>
          </cell>
          <cell r="AU438">
            <v>0</v>
          </cell>
          <cell r="AW438">
            <v>0</v>
          </cell>
          <cell r="AY438">
            <v>573587.4375</v>
          </cell>
          <cell r="AZ438">
            <v>380.11095924453281</v>
          </cell>
          <cell r="BA438">
            <v>0</v>
          </cell>
          <cell r="BB438">
            <v>0</v>
          </cell>
          <cell r="BC438">
            <v>0</v>
          </cell>
          <cell r="BD438">
            <v>0</v>
          </cell>
          <cell r="BG438">
            <v>0</v>
          </cell>
          <cell r="BH438">
            <v>0</v>
          </cell>
          <cell r="BI438">
            <v>51153</v>
          </cell>
          <cell r="BJ438">
            <v>33.898608349900599</v>
          </cell>
          <cell r="BK438">
            <v>0</v>
          </cell>
          <cell r="BL438">
            <v>0</v>
          </cell>
          <cell r="BM438">
            <v>242342</v>
          </cell>
          <cell r="BN438">
            <v>160.59774685222001</v>
          </cell>
          <cell r="BO438">
            <v>0</v>
          </cell>
          <cell r="BP438">
            <v>0</v>
          </cell>
          <cell r="BY438">
            <v>1336.18</v>
          </cell>
          <cell r="CF438">
            <v>267.75</v>
          </cell>
          <cell r="CG438">
            <v>2142.25</v>
          </cell>
          <cell r="CJ438">
            <v>0</v>
          </cell>
          <cell r="CK438">
            <v>0</v>
          </cell>
          <cell r="CL438">
            <v>0</v>
          </cell>
          <cell r="CM438">
            <v>0</v>
          </cell>
          <cell r="CN438">
            <v>0</v>
          </cell>
          <cell r="CO438">
            <v>0</v>
          </cell>
          <cell r="CX438">
            <v>0</v>
          </cell>
          <cell r="CY438">
            <v>0</v>
          </cell>
          <cell r="DB438">
            <v>0</v>
          </cell>
          <cell r="DC438">
            <v>0</v>
          </cell>
          <cell r="DJ438" t="str">
            <v>НКРКП</v>
          </cell>
          <cell r="DL438">
            <v>40816</v>
          </cell>
          <cell r="DM438">
            <v>100</v>
          </cell>
          <cell r="DT438">
            <v>999.9</v>
          </cell>
        </row>
        <row r="439">
          <cell r="W439">
            <v>402.60681373900002</v>
          </cell>
          <cell r="AF439">
            <v>39968</v>
          </cell>
          <cell r="AG439">
            <v>1693</v>
          </cell>
          <cell r="AH439">
            <v>402.60681373917902</v>
          </cell>
          <cell r="AM439">
            <v>3581</v>
          </cell>
          <cell r="AO439">
            <v>1441734.999999359</v>
          </cell>
          <cell r="AQ439">
            <v>1441735</v>
          </cell>
          <cell r="AU439">
            <v>0</v>
          </cell>
          <cell r="AW439">
            <v>0</v>
          </cell>
          <cell r="AY439">
            <v>468120</v>
          </cell>
          <cell r="AZ439">
            <v>130.72326165875452</v>
          </cell>
          <cell r="BA439">
            <v>0</v>
          </cell>
          <cell r="BB439">
            <v>0</v>
          </cell>
          <cell r="BC439">
            <v>0</v>
          </cell>
          <cell r="BD439">
            <v>0</v>
          </cell>
          <cell r="BG439">
            <v>0</v>
          </cell>
          <cell r="BH439">
            <v>0</v>
          </cell>
          <cell r="BI439">
            <v>126515</v>
          </cell>
          <cell r="BJ439">
            <v>35.329516894722147</v>
          </cell>
          <cell r="BK439">
            <v>0</v>
          </cell>
          <cell r="BL439">
            <v>0</v>
          </cell>
          <cell r="BM439">
            <v>524945.1</v>
          </cell>
          <cell r="BN439">
            <v>146.59176207763193</v>
          </cell>
          <cell r="BO439">
            <v>0</v>
          </cell>
          <cell r="BP439">
            <v>0</v>
          </cell>
          <cell r="BY439">
            <v>1470.95</v>
          </cell>
          <cell r="CF439">
            <v>643.62316449430784</v>
          </cell>
          <cell r="CG439">
            <v>727.32</v>
          </cell>
          <cell r="CJ439">
            <v>0</v>
          </cell>
          <cell r="CK439">
            <v>0</v>
          </cell>
          <cell r="CL439">
            <v>0</v>
          </cell>
          <cell r="CM439">
            <v>0</v>
          </cell>
          <cell r="CN439">
            <v>0</v>
          </cell>
          <cell r="CO439">
            <v>0</v>
          </cell>
          <cell r="CX439">
            <v>0</v>
          </cell>
          <cell r="CY439">
            <v>0</v>
          </cell>
          <cell r="DB439">
            <v>0</v>
          </cell>
          <cell r="DC439">
            <v>0</v>
          </cell>
          <cell r="DJ439" t="str">
            <v>НКРЕ</v>
          </cell>
          <cell r="DL439">
            <v>40526</v>
          </cell>
          <cell r="DM439">
            <v>1749</v>
          </cell>
          <cell r="DO439" t="str">
            <v>тариф на теплову енергію</v>
          </cell>
          <cell r="DT439">
            <v>442.87</v>
          </cell>
        </row>
        <row r="440">
          <cell r="W440">
            <v>666.38766738300001</v>
          </cell>
          <cell r="AF440">
            <v>39968</v>
          </cell>
          <cell r="AG440">
            <v>1694</v>
          </cell>
          <cell r="AH440">
            <v>666.38766738303855</v>
          </cell>
          <cell r="AM440">
            <v>6049</v>
          </cell>
          <cell r="AO440">
            <v>4030978.9999997672</v>
          </cell>
          <cell r="AQ440">
            <v>4030979</v>
          </cell>
          <cell r="AU440">
            <v>0</v>
          </cell>
          <cell r="AW440">
            <v>0</v>
          </cell>
          <cell r="AY440">
            <v>2310456.0000000005</v>
          </cell>
          <cell r="AZ440">
            <v>381.95668705571177</v>
          </cell>
          <cell r="BA440">
            <v>0</v>
          </cell>
          <cell r="BB440">
            <v>0</v>
          </cell>
          <cell r="BC440">
            <v>0</v>
          </cell>
          <cell r="BD440">
            <v>0</v>
          </cell>
          <cell r="BG440">
            <v>0</v>
          </cell>
          <cell r="BH440">
            <v>0</v>
          </cell>
          <cell r="BI440">
            <v>213683</v>
          </cell>
          <cell r="BJ440">
            <v>35.325343031906101</v>
          </cell>
          <cell r="BK440">
            <v>0</v>
          </cell>
          <cell r="BL440">
            <v>0</v>
          </cell>
          <cell r="BM440">
            <v>886696.4</v>
          </cell>
          <cell r="BN440">
            <v>146.58561745743097</v>
          </cell>
          <cell r="BO440">
            <v>0</v>
          </cell>
          <cell r="BP440">
            <v>0</v>
          </cell>
          <cell r="BY440">
            <v>1470.95</v>
          </cell>
          <cell r="CF440">
            <v>1078.52</v>
          </cell>
          <cell r="CG440">
            <v>2142.2467826280463</v>
          </cell>
          <cell r="CJ440">
            <v>0</v>
          </cell>
          <cell r="CK440">
            <v>0</v>
          </cell>
          <cell r="CL440">
            <v>0</v>
          </cell>
          <cell r="CM440">
            <v>0</v>
          </cell>
          <cell r="CN440">
            <v>0</v>
          </cell>
          <cell r="CO440">
            <v>0</v>
          </cell>
          <cell r="CX440">
            <v>0</v>
          </cell>
          <cell r="CY440">
            <v>0</v>
          </cell>
          <cell r="DB440">
            <v>0</v>
          </cell>
          <cell r="DC440">
            <v>0</v>
          </cell>
          <cell r="DJ440" t="str">
            <v>НКРКП</v>
          </cell>
          <cell r="DL440">
            <v>40816</v>
          </cell>
          <cell r="DM440">
            <v>100</v>
          </cell>
          <cell r="DT440">
            <v>953.4</v>
          </cell>
        </row>
        <row r="441">
          <cell r="W441">
            <v>710</v>
          </cell>
          <cell r="AF441">
            <v>39968</v>
          </cell>
          <cell r="AG441">
            <v>1695</v>
          </cell>
          <cell r="AH441">
            <v>710</v>
          </cell>
          <cell r="AM441">
            <v>4</v>
          </cell>
          <cell r="AO441">
            <v>2840</v>
          </cell>
          <cell r="AQ441">
            <v>2840</v>
          </cell>
          <cell r="AU441">
            <v>0</v>
          </cell>
          <cell r="AW441">
            <v>0</v>
          </cell>
          <cell r="AY441">
            <v>1658.7652518635159</v>
          </cell>
          <cell r="AZ441">
            <v>414.69131296587898</v>
          </cell>
          <cell r="BA441">
            <v>0</v>
          </cell>
          <cell r="BB441">
            <v>0</v>
          </cell>
          <cell r="BC441">
            <v>0</v>
          </cell>
          <cell r="BD441">
            <v>0</v>
          </cell>
          <cell r="BG441">
            <v>0</v>
          </cell>
          <cell r="BH441">
            <v>0</v>
          </cell>
          <cell r="BI441">
            <v>152</v>
          </cell>
          <cell r="BJ441">
            <v>38</v>
          </cell>
          <cell r="BK441">
            <v>0</v>
          </cell>
          <cell r="BL441">
            <v>0</v>
          </cell>
          <cell r="BM441">
            <v>602.5</v>
          </cell>
          <cell r="BN441">
            <v>150.625</v>
          </cell>
          <cell r="BO441">
            <v>0</v>
          </cell>
          <cell r="BP441">
            <v>0</v>
          </cell>
          <cell r="BY441">
            <v>1470.95</v>
          </cell>
          <cell r="CF441">
            <v>0.77431100156845178</v>
          </cell>
          <cell r="CG441">
            <v>2142.2467826280463</v>
          </cell>
          <cell r="CJ441">
            <v>0</v>
          </cell>
          <cell r="CK441">
            <v>0</v>
          </cell>
          <cell r="CL441">
            <v>0</v>
          </cell>
          <cell r="CM441">
            <v>0</v>
          </cell>
          <cell r="CN441">
            <v>0</v>
          </cell>
          <cell r="CO441">
            <v>0</v>
          </cell>
          <cell r="CX441">
            <v>0</v>
          </cell>
          <cell r="CY441">
            <v>0</v>
          </cell>
          <cell r="DB441">
            <v>0</v>
          </cell>
          <cell r="DC441">
            <v>0</v>
          </cell>
          <cell r="DJ441" t="str">
            <v>НКРКП</v>
          </cell>
          <cell r="DL441">
            <v>40816</v>
          </cell>
          <cell r="DM441">
            <v>100</v>
          </cell>
          <cell r="DT441">
            <v>999.9</v>
          </cell>
        </row>
        <row r="442">
          <cell r="W442">
            <v>395.23459459399999</v>
          </cell>
          <cell r="AF442">
            <v>39968</v>
          </cell>
          <cell r="AG442">
            <v>1696</v>
          </cell>
          <cell r="AH442">
            <v>395.23459459459457</v>
          </cell>
          <cell r="AM442">
            <v>925</v>
          </cell>
          <cell r="AO442">
            <v>365591.99999945</v>
          </cell>
          <cell r="AQ442">
            <v>365592</v>
          </cell>
          <cell r="AU442">
            <v>0</v>
          </cell>
          <cell r="AW442">
            <v>0</v>
          </cell>
          <cell r="AY442">
            <v>119886.99999578281</v>
          </cell>
          <cell r="AZ442">
            <v>129.60756756300844</v>
          </cell>
          <cell r="BA442">
            <v>0</v>
          </cell>
          <cell r="BB442">
            <v>0</v>
          </cell>
          <cell r="BC442">
            <v>0</v>
          </cell>
          <cell r="BD442">
            <v>0</v>
          </cell>
          <cell r="BG442">
            <v>0</v>
          </cell>
          <cell r="BH442">
            <v>0</v>
          </cell>
          <cell r="BI442">
            <v>27646</v>
          </cell>
          <cell r="BJ442">
            <v>29.887567567567569</v>
          </cell>
          <cell r="BK442">
            <v>0</v>
          </cell>
          <cell r="BL442">
            <v>0</v>
          </cell>
          <cell r="BM442">
            <v>151331.4</v>
          </cell>
          <cell r="BN442">
            <v>163.60151351351351</v>
          </cell>
          <cell r="BO442">
            <v>0</v>
          </cell>
          <cell r="BP442">
            <v>0</v>
          </cell>
          <cell r="BY442">
            <v>1452.37</v>
          </cell>
          <cell r="CF442">
            <v>164.83391079</v>
          </cell>
          <cell r="CG442">
            <v>727.32</v>
          </cell>
          <cell r="CJ442">
            <v>0</v>
          </cell>
          <cell r="CK442">
            <v>0</v>
          </cell>
          <cell r="CL442">
            <v>0</v>
          </cell>
          <cell r="CM442">
            <v>0</v>
          </cell>
          <cell r="CN442">
            <v>0</v>
          </cell>
          <cell r="CO442">
            <v>0</v>
          </cell>
          <cell r="CX442">
            <v>0</v>
          </cell>
          <cell r="CY442">
            <v>0</v>
          </cell>
          <cell r="DB442">
            <v>0</v>
          </cell>
          <cell r="DC442">
            <v>0</v>
          </cell>
          <cell r="DJ442" t="str">
            <v>НКРЕ</v>
          </cell>
          <cell r="DL442">
            <v>40526</v>
          </cell>
          <cell r="DM442">
            <v>1749</v>
          </cell>
          <cell r="DO442" t="str">
            <v>тариф на теплову енергію</v>
          </cell>
          <cell r="DT442">
            <v>434.75</v>
          </cell>
        </row>
        <row r="443">
          <cell r="W443">
            <v>706.11</v>
          </cell>
          <cell r="AF443">
            <v>39968</v>
          </cell>
          <cell r="AG443">
            <v>1697</v>
          </cell>
          <cell r="AH443">
            <v>659.91614906832297</v>
          </cell>
          <cell r="AM443">
            <v>644</v>
          </cell>
          <cell r="AO443">
            <v>454734.84</v>
          </cell>
          <cell r="AQ443">
            <v>424986</v>
          </cell>
          <cell r="AU443">
            <v>0</v>
          </cell>
          <cell r="AW443">
            <v>0</v>
          </cell>
          <cell r="AY443">
            <v>245909.99999615501</v>
          </cell>
          <cell r="AZ443">
            <v>381.84782608098601</v>
          </cell>
          <cell r="BA443">
            <v>0</v>
          </cell>
          <cell r="BB443">
            <v>0</v>
          </cell>
          <cell r="BC443">
            <v>0</v>
          </cell>
          <cell r="BD443">
            <v>0</v>
          </cell>
          <cell r="BG443">
            <v>0</v>
          </cell>
          <cell r="BH443">
            <v>0</v>
          </cell>
          <cell r="BI443">
            <v>19226</v>
          </cell>
          <cell r="BJ443">
            <v>29.854037267080745</v>
          </cell>
          <cell r="BK443">
            <v>0</v>
          </cell>
          <cell r="BL443">
            <v>0</v>
          </cell>
          <cell r="BM443">
            <v>105310.6</v>
          </cell>
          <cell r="BN443">
            <v>163.52577639751553</v>
          </cell>
          <cell r="BO443">
            <v>0</v>
          </cell>
          <cell r="BP443">
            <v>0</v>
          </cell>
          <cell r="BY443">
            <v>1452.37</v>
          </cell>
          <cell r="CF443">
            <v>114.79052398</v>
          </cell>
          <cell r="CG443">
            <v>2142.25</v>
          </cell>
          <cell r="CJ443">
            <v>0</v>
          </cell>
          <cell r="CK443">
            <v>0</v>
          </cell>
          <cell r="CL443">
            <v>0</v>
          </cell>
          <cell r="CM443">
            <v>0</v>
          </cell>
          <cell r="CN443">
            <v>0</v>
          </cell>
          <cell r="CO443">
            <v>0</v>
          </cell>
          <cell r="CX443">
            <v>0</v>
          </cell>
          <cell r="CY443">
            <v>0</v>
          </cell>
          <cell r="DB443">
            <v>0</v>
          </cell>
          <cell r="DC443">
            <v>0</v>
          </cell>
          <cell r="DJ443" t="str">
            <v>НКРКП</v>
          </cell>
          <cell r="DL443">
            <v>40816</v>
          </cell>
          <cell r="DM443">
            <v>100</v>
          </cell>
          <cell r="DT443">
            <v>993.03</v>
          </cell>
        </row>
        <row r="444">
          <cell r="W444">
            <v>726.49</v>
          </cell>
          <cell r="AF444">
            <v>39968</v>
          </cell>
          <cell r="AG444">
            <v>1706</v>
          </cell>
          <cell r="AH444">
            <v>660.44555555555553</v>
          </cell>
          <cell r="AM444">
            <v>540</v>
          </cell>
          <cell r="AO444">
            <v>392304.6</v>
          </cell>
          <cell r="AQ444">
            <v>356640.6</v>
          </cell>
          <cell r="AU444">
            <v>0</v>
          </cell>
          <cell r="AW444">
            <v>0</v>
          </cell>
          <cell r="AY444">
            <v>208737</v>
          </cell>
          <cell r="AZ444">
            <v>386.55</v>
          </cell>
          <cell r="BA444">
            <v>0</v>
          </cell>
          <cell r="BB444">
            <v>0</v>
          </cell>
          <cell r="BC444">
            <v>0</v>
          </cell>
          <cell r="BD444">
            <v>0</v>
          </cell>
          <cell r="BG444">
            <v>0</v>
          </cell>
          <cell r="BH444">
            <v>0</v>
          </cell>
          <cell r="BI444">
            <v>13963</v>
          </cell>
          <cell r="BJ444">
            <v>25.857407407407408</v>
          </cell>
          <cell r="BK444">
            <v>0</v>
          </cell>
          <cell r="BL444">
            <v>0</v>
          </cell>
          <cell r="BM444">
            <v>81340.899999999994</v>
          </cell>
          <cell r="BN444">
            <v>150.63129629629628</v>
          </cell>
          <cell r="BO444">
            <v>0</v>
          </cell>
          <cell r="BP444">
            <v>0</v>
          </cell>
          <cell r="BY444">
            <v>1461.11</v>
          </cell>
          <cell r="CF444">
            <v>97.438025556259902</v>
          </cell>
          <cell r="CG444">
            <v>2142.2539999999999</v>
          </cell>
          <cell r="CJ444">
            <v>0</v>
          </cell>
          <cell r="CK444">
            <v>0</v>
          </cell>
          <cell r="CL444">
            <v>0</v>
          </cell>
          <cell r="CM444">
            <v>0</v>
          </cell>
          <cell r="CN444">
            <v>0</v>
          </cell>
          <cell r="CO444">
            <v>0</v>
          </cell>
          <cell r="CX444">
            <v>0</v>
          </cell>
          <cell r="CY444">
            <v>0</v>
          </cell>
          <cell r="DB444">
            <v>0</v>
          </cell>
          <cell r="DC444">
            <v>0</v>
          </cell>
          <cell r="DJ444" t="str">
            <v>НКРКП</v>
          </cell>
          <cell r="DL444">
            <v>40816</v>
          </cell>
          <cell r="DM444">
            <v>100</v>
          </cell>
          <cell r="DT444">
            <v>999.9</v>
          </cell>
        </row>
        <row r="445">
          <cell r="W445">
            <v>285.32</v>
          </cell>
          <cell r="AF445">
            <v>39660</v>
          </cell>
          <cell r="AG445">
            <v>771</v>
          </cell>
          <cell r="AH445">
            <v>285.32005248717644</v>
          </cell>
          <cell r="AM445">
            <v>8383</v>
          </cell>
          <cell r="AO445">
            <v>2391837.56</v>
          </cell>
          <cell r="AQ445">
            <v>2391838</v>
          </cell>
          <cell r="AU445">
            <v>0</v>
          </cell>
          <cell r="AW445">
            <v>0</v>
          </cell>
          <cell r="AY445">
            <v>1027798.9989564001</v>
          </cell>
          <cell r="AZ445">
            <v>122.60515316192296</v>
          </cell>
          <cell r="BA445">
            <v>0</v>
          </cell>
          <cell r="BB445">
            <v>0</v>
          </cell>
          <cell r="BC445">
            <v>0</v>
          </cell>
          <cell r="BD445">
            <v>0</v>
          </cell>
          <cell r="BG445">
            <v>0</v>
          </cell>
          <cell r="BH445">
            <v>0</v>
          </cell>
          <cell r="BI445">
            <v>115862</v>
          </cell>
          <cell r="BJ445">
            <v>13.821066443993796</v>
          </cell>
          <cell r="BK445">
            <v>0</v>
          </cell>
          <cell r="BL445">
            <v>0</v>
          </cell>
          <cell r="BM445">
            <v>744067</v>
          </cell>
          <cell r="BN445">
            <v>88.759036144578317</v>
          </cell>
          <cell r="BO445">
            <v>0</v>
          </cell>
          <cell r="BP445">
            <v>0</v>
          </cell>
          <cell r="BY445">
            <v>1132.71</v>
          </cell>
          <cell r="CF445">
            <v>1413.13177</v>
          </cell>
          <cell r="CG445">
            <v>727.32</v>
          </cell>
          <cell r="CJ445">
            <v>0</v>
          </cell>
          <cell r="CK445">
            <v>0</v>
          </cell>
          <cell r="CL445">
            <v>0</v>
          </cell>
          <cell r="CM445">
            <v>0</v>
          </cell>
          <cell r="CN445">
            <v>0</v>
          </cell>
          <cell r="CO445">
            <v>0</v>
          </cell>
          <cell r="CX445">
            <v>0</v>
          </cell>
          <cell r="CY445">
            <v>0</v>
          </cell>
          <cell r="DB445">
            <v>0</v>
          </cell>
          <cell r="DC445">
            <v>0</v>
          </cell>
          <cell r="DJ445" t="str">
            <v>НКРЕ</v>
          </cell>
          <cell r="DL445">
            <v>40526</v>
          </cell>
          <cell r="DM445">
            <v>1749</v>
          </cell>
          <cell r="DO445" t="str">
            <v>тариф на теплову енергію</v>
          </cell>
          <cell r="DT445">
            <v>392.23</v>
          </cell>
        </row>
        <row r="446">
          <cell r="W446">
            <v>684.77414409799997</v>
          </cell>
          <cell r="AF446">
            <v>39968</v>
          </cell>
          <cell r="AG446">
            <v>1689</v>
          </cell>
          <cell r="AH446">
            <v>622.52273888605009</v>
          </cell>
          <cell r="AM446">
            <v>1957</v>
          </cell>
          <cell r="AO446">
            <v>1340102.999999786</v>
          </cell>
          <cell r="AQ446">
            <v>1218277</v>
          </cell>
          <cell r="AU446">
            <v>0</v>
          </cell>
          <cell r="AW446">
            <v>0</v>
          </cell>
          <cell r="AY446">
            <v>730280.99999376503</v>
          </cell>
          <cell r="AZ446">
            <v>373.16351558189319</v>
          </cell>
          <cell r="BA446">
            <v>0</v>
          </cell>
          <cell r="BB446">
            <v>0</v>
          </cell>
          <cell r="BC446">
            <v>0</v>
          </cell>
          <cell r="BD446">
            <v>0</v>
          </cell>
          <cell r="BG446">
            <v>0</v>
          </cell>
          <cell r="BH446">
            <v>0</v>
          </cell>
          <cell r="BI446">
            <v>44634</v>
          </cell>
          <cell r="BJ446">
            <v>22.807358201328565</v>
          </cell>
          <cell r="BK446">
            <v>0</v>
          </cell>
          <cell r="BL446">
            <v>0</v>
          </cell>
          <cell r="BM446">
            <v>290721.37162300001</v>
          </cell>
          <cell r="BN446">
            <v>148.55460992488503</v>
          </cell>
          <cell r="BO446">
            <v>0</v>
          </cell>
          <cell r="BP446">
            <v>0</v>
          </cell>
          <cell r="BY446">
            <v>1163.56</v>
          </cell>
          <cell r="CF446">
            <v>340.89438674000002</v>
          </cell>
          <cell r="CG446">
            <v>2142.25</v>
          </cell>
          <cell r="CJ446">
            <v>0</v>
          </cell>
          <cell r="CK446">
            <v>0</v>
          </cell>
          <cell r="CL446">
            <v>0</v>
          </cell>
          <cell r="CM446">
            <v>0</v>
          </cell>
          <cell r="CN446">
            <v>0</v>
          </cell>
          <cell r="CO446">
            <v>0</v>
          </cell>
          <cell r="CX446">
            <v>0</v>
          </cell>
          <cell r="CY446">
            <v>0</v>
          </cell>
          <cell r="DB446">
            <v>0</v>
          </cell>
          <cell r="DC446">
            <v>0</v>
          </cell>
          <cell r="DJ446" t="str">
            <v>НКРКП</v>
          </cell>
          <cell r="DL446">
            <v>40816</v>
          </cell>
          <cell r="DM446">
            <v>100</v>
          </cell>
          <cell r="DT446">
            <v>963.66</v>
          </cell>
        </row>
        <row r="447">
          <cell r="W447">
            <v>669.64680851000003</v>
          </cell>
          <cell r="AF447">
            <v>39968</v>
          </cell>
          <cell r="AG447">
            <v>1690</v>
          </cell>
          <cell r="AH447">
            <v>608.77021276595747</v>
          </cell>
          <cell r="AM447">
            <v>235</v>
          </cell>
          <cell r="AO447">
            <v>157366.99999985</v>
          </cell>
          <cell r="AQ447">
            <v>143061</v>
          </cell>
          <cell r="AU447">
            <v>0</v>
          </cell>
          <cell r="AW447">
            <v>0</v>
          </cell>
          <cell r="AY447">
            <v>84571.999999299995</v>
          </cell>
          <cell r="AZ447">
            <v>359.88085106085106</v>
          </cell>
          <cell r="BA447">
            <v>0</v>
          </cell>
          <cell r="BB447">
            <v>0</v>
          </cell>
          <cell r="BC447">
            <v>0</v>
          </cell>
          <cell r="BD447">
            <v>0</v>
          </cell>
          <cell r="BG447">
            <v>0</v>
          </cell>
          <cell r="BH447">
            <v>0</v>
          </cell>
          <cell r="BI447">
            <v>5368</v>
          </cell>
          <cell r="BJ447">
            <v>22.842553191489362</v>
          </cell>
          <cell r="BK447">
            <v>0</v>
          </cell>
          <cell r="BL447">
            <v>0</v>
          </cell>
          <cell r="BM447">
            <v>34910.3333298</v>
          </cell>
          <cell r="BN447">
            <v>148.55460991404254</v>
          </cell>
          <cell r="BO447">
            <v>0</v>
          </cell>
          <cell r="BP447">
            <v>0</v>
          </cell>
          <cell r="BY447">
            <v>1163.56</v>
          </cell>
          <cell r="CF447">
            <v>39.478118799999997</v>
          </cell>
          <cell r="CG447">
            <v>2142.25</v>
          </cell>
          <cell r="CJ447">
            <v>0</v>
          </cell>
          <cell r="CK447">
            <v>0</v>
          </cell>
          <cell r="CL447">
            <v>0</v>
          </cell>
          <cell r="CM447">
            <v>0</v>
          </cell>
          <cell r="CN447">
            <v>0</v>
          </cell>
          <cell r="CO447">
            <v>0</v>
          </cell>
          <cell r="CX447">
            <v>0</v>
          </cell>
          <cell r="CY447">
            <v>0</v>
          </cell>
          <cell r="DB447">
            <v>0</v>
          </cell>
          <cell r="DC447">
            <v>0</v>
          </cell>
          <cell r="DJ447" t="str">
            <v>НКРКП</v>
          </cell>
          <cell r="DL447">
            <v>40816</v>
          </cell>
          <cell r="DM447">
            <v>100</v>
          </cell>
          <cell r="DT447">
            <v>940.06</v>
          </cell>
        </row>
        <row r="448">
          <cell r="W448">
            <v>394.55</v>
          </cell>
          <cell r="AF448">
            <v>39968</v>
          </cell>
          <cell r="AG448">
            <v>1685</v>
          </cell>
          <cell r="AH448">
            <v>394.54999999999956</v>
          </cell>
          <cell r="AM448">
            <v>5597.1322146240082</v>
          </cell>
          <cell r="AO448">
            <v>2208348.5152799026</v>
          </cell>
          <cell r="AQ448">
            <v>2208348.5152798998</v>
          </cell>
          <cell r="AU448">
            <v>0</v>
          </cell>
          <cell r="AW448">
            <v>0</v>
          </cell>
          <cell r="AY448">
            <v>728300</v>
          </cell>
          <cell r="AZ448">
            <v>130.12020657598922</v>
          </cell>
          <cell r="BA448">
            <v>0</v>
          </cell>
          <cell r="BB448">
            <v>0</v>
          </cell>
          <cell r="BC448">
            <v>0</v>
          </cell>
          <cell r="BD448">
            <v>0</v>
          </cell>
          <cell r="BG448">
            <v>0</v>
          </cell>
          <cell r="BH448">
            <v>0</v>
          </cell>
          <cell r="BI448">
            <v>411604</v>
          </cell>
          <cell r="BJ448">
            <v>73.538373620078914</v>
          </cell>
          <cell r="BK448">
            <v>0</v>
          </cell>
          <cell r="BL448">
            <v>0</v>
          </cell>
          <cell r="BM448">
            <v>673297.2</v>
          </cell>
          <cell r="BN448">
            <v>120.29324557330101</v>
          </cell>
          <cell r="BO448">
            <v>0</v>
          </cell>
          <cell r="BP448">
            <v>0</v>
          </cell>
          <cell r="BY448">
            <v>1439.43</v>
          </cell>
          <cell r="CF448">
            <v>1001.3474124181927</v>
          </cell>
          <cell r="CG448">
            <v>727.32</v>
          </cell>
          <cell r="CJ448">
            <v>0</v>
          </cell>
          <cell r="CK448">
            <v>0</v>
          </cell>
          <cell r="CL448">
            <v>0</v>
          </cell>
          <cell r="CM448">
            <v>0</v>
          </cell>
          <cell r="CN448">
            <v>0</v>
          </cell>
          <cell r="CO448">
            <v>0</v>
          </cell>
          <cell r="CX448">
            <v>0</v>
          </cell>
          <cell r="CY448">
            <v>0</v>
          </cell>
          <cell r="DB448">
            <v>0</v>
          </cell>
          <cell r="DC448">
            <v>0</v>
          </cell>
          <cell r="DJ448" t="str">
            <v>НКРЕ</v>
          </cell>
          <cell r="DL448">
            <v>40526</v>
          </cell>
          <cell r="DM448">
            <v>1749</v>
          </cell>
          <cell r="DO448" t="str">
            <v>тариф на теплову енергію</v>
          </cell>
          <cell r="DT448">
            <v>434.01</v>
          </cell>
        </row>
        <row r="449">
          <cell r="W449">
            <v>759.30345136699998</v>
          </cell>
          <cell r="AF449">
            <v>39968</v>
          </cell>
          <cell r="AG449">
            <v>1686</v>
          </cell>
          <cell r="AH449">
            <v>660.26400717167189</v>
          </cell>
          <cell r="AM449">
            <v>2231</v>
          </cell>
          <cell r="AO449">
            <v>1694005.9999997769</v>
          </cell>
          <cell r="AQ449">
            <v>1473049</v>
          </cell>
          <cell r="AU449">
            <v>0</v>
          </cell>
          <cell r="AW449">
            <v>0</v>
          </cell>
          <cell r="AY449">
            <v>854918.99998527009</v>
          </cell>
          <cell r="AZ449">
            <v>383.19991034749893</v>
          </cell>
          <cell r="BA449">
            <v>0</v>
          </cell>
          <cell r="BB449">
            <v>0</v>
          </cell>
          <cell r="BC449">
            <v>0</v>
          </cell>
          <cell r="BD449">
            <v>0</v>
          </cell>
          <cell r="BG449">
            <v>0</v>
          </cell>
          <cell r="BH449">
            <v>0</v>
          </cell>
          <cell r="BI449">
            <v>164040</v>
          </cell>
          <cell r="BJ449">
            <v>73.527566113850298</v>
          </cell>
          <cell r="BK449">
            <v>0</v>
          </cell>
          <cell r="BL449">
            <v>0</v>
          </cell>
          <cell r="BM449">
            <v>268370.43</v>
          </cell>
          <cell r="BN449">
            <v>120.29154190945764</v>
          </cell>
          <cell r="BO449">
            <v>0</v>
          </cell>
          <cell r="BP449">
            <v>0</v>
          </cell>
          <cell r="BY449">
            <v>1439.43</v>
          </cell>
          <cell r="CF449">
            <v>399.07527132000001</v>
          </cell>
          <cell r="CG449">
            <v>2142.25</v>
          </cell>
          <cell r="CJ449">
            <v>0</v>
          </cell>
          <cell r="CK449">
            <v>0</v>
          </cell>
          <cell r="CL449">
            <v>0</v>
          </cell>
          <cell r="CM449">
            <v>0</v>
          </cell>
          <cell r="CN449">
            <v>0</v>
          </cell>
          <cell r="CO449">
            <v>0</v>
          </cell>
          <cell r="CX449">
            <v>0</v>
          </cell>
          <cell r="CY449">
            <v>0</v>
          </cell>
          <cell r="DB449">
            <v>0</v>
          </cell>
          <cell r="DC449">
            <v>0</v>
          </cell>
          <cell r="DJ449" t="str">
            <v>НКРКП</v>
          </cell>
          <cell r="DL449">
            <v>40816</v>
          </cell>
          <cell r="DM449">
            <v>100</v>
          </cell>
          <cell r="DT449">
            <v>999.9</v>
          </cell>
        </row>
        <row r="450">
          <cell r="W450">
            <v>789.25</v>
          </cell>
          <cell r="AF450">
            <v>39968</v>
          </cell>
          <cell r="AG450">
            <v>1687</v>
          </cell>
          <cell r="AH450">
            <v>657.68977954682316</v>
          </cell>
          <cell r="AM450">
            <v>132.00448402865766</v>
          </cell>
          <cell r="AO450">
            <v>104184.53901961805</v>
          </cell>
          <cell r="AQ450">
            <v>86818</v>
          </cell>
          <cell r="AU450">
            <v>0</v>
          </cell>
          <cell r="AW450">
            <v>0</v>
          </cell>
          <cell r="AY450">
            <v>50420.470724432016</v>
          </cell>
          <cell r="AZ450">
            <v>381.96028790571938</v>
          </cell>
          <cell r="BA450">
            <v>0</v>
          </cell>
          <cell r="BB450">
            <v>0</v>
          </cell>
          <cell r="BC450">
            <v>0</v>
          </cell>
          <cell r="BD450">
            <v>0</v>
          </cell>
          <cell r="BG450">
            <v>0</v>
          </cell>
          <cell r="BH450">
            <v>0</v>
          </cell>
          <cell r="BI450">
            <v>9675</v>
          </cell>
          <cell r="BJ450">
            <v>73.292964789738477</v>
          </cell>
          <cell r="BK450">
            <v>0</v>
          </cell>
          <cell r="BL450">
            <v>0</v>
          </cell>
          <cell r="BM450">
            <v>15772.37</v>
          </cell>
          <cell r="BN450">
            <v>119.48359266777544</v>
          </cell>
          <cell r="BO450">
            <v>0</v>
          </cell>
          <cell r="BP450">
            <v>0</v>
          </cell>
          <cell r="BY450">
            <v>1439.43</v>
          </cell>
          <cell r="CF450">
            <v>23.536221600855182</v>
          </cell>
          <cell r="CG450">
            <v>2142.25</v>
          </cell>
          <cell r="CJ450">
            <v>0</v>
          </cell>
          <cell r="CK450">
            <v>0</v>
          </cell>
          <cell r="CL450">
            <v>0</v>
          </cell>
          <cell r="CM450">
            <v>0</v>
          </cell>
          <cell r="CN450">
            <v>0</v>
          </cell>
          <cell r="CO450">
            <v>0</v>
          </cell>
          <cell r="CX450">
            <v>0</v>
          </cell>
          <cell r="CY450">
            <v>0</v>
          </cell>
          <cell r="DB450">
            <v>0</v>
          </cell>
          <cell r="DC450">
            <v>0</v>
          </cell>
          <cell r="DJ450" t="str">
            <v>НКРКП</v>
          </cell>
          <cell r="DL450">
            <v>40816</v>
          </cell>
          <cell r="DM450">
            <v>100</v>
          </cell>
          <cell r="DT450">
            <v>999.9</v>
          </cell>
        </row>
        <row r="451">
          <cell r="W451">
            <v>661.25130434699997</v>
          </cell>
          <cell r="AF451">
            <v>39968</v>
          </cell>
          <cell r="AG451">
            <v>1701</v>
          </cell>
          <cell r="AH451">
            <v>629.76347826086953</v>
          </cell>
          <cell r="AM451">
            <v>1150</v>
          </cell>
          <cell r="AO451">
            <v>760438.99999904993</v>
          </cell>
          <cell r="AQ451">
            <v>724228</v>
          </cell>
          <cell r="AU451">
            <v>0</v>
          </cell>
          <cell r="AW451">
            <v>0</v>
          </cell>
          <cell r="AY451">
            <v>439570.00000000006</v>
          </cell>
          <cell r="AZ451">
            <v>382.2347826086957</v>
          </cell>
          <cell r="BA451">
            <v>0</v>
          </cell>
          <cell r="BB451">
            <v>0</v>
          </cell>
          <cell r="BC451">
            <v>0</v>
          </cell>
          <cell r="BD451">
            <v>0</v>
          </cell>
          <cell r="BG451">
            <v>0</v>
          </cell>
          <cell r="BH451">
            <v>0</v>
          </cell>
          <cell r="BI451">
            <v>22263</v>
          </cell>
          <cell r="BJ451">
            <v>19.35913043478261</v>
          </cell>
          <cell r="BK451">
            <v>0</v>
          </cell>
          <cell r="BL451">
            <v>0</v>
          </cell>
          <cell r="BM451">
            <v>158415</v>
          </cell>
          <cell r="BN451">
            <v>137.75217391304349</v>
          </cell>
          <cell r="BO451">
            <v>0</v>
          </cell>
          <cell r="BP451">
            <v>0</v>
          </cell>
          <cell r="BY451">
            <v>1326.12</v>
          </cell>
          <cell r="CF451">
            <v>205.19080406115069</v>
          </cell>
          <cell r="CG451">
            <v>2142.25</v>
          </cell>
          <cell r="CJ451">
            <v>0</v>
          </cell>
          <cell r="CK451">
            <v>0</v>
          </cell>
          <cell r="CL451">
            <v>0</v>
          </cell>
          <cell r="CM451">
            <v>0</v>
          </cell>
          <cell r="CN451">
            <v>0</v>
          </cell>
          <cell r="CO451">
            <v>0</v>
          </cell>
          <cell r="CX451">
            <v>0</v>
          </cell>
          <cell r="CY451">
            <v>0</v>
          </cell>
          <cell r="DB451">
            <v>0</v>
          </cell>
          <cell r="DC451">
            <v>0</v>
          </cell>
          <cell r="DJ451" t="str">
            <v>НКРКП</v>
          </cell>
          <cell r="DL451">
            <v>40816</v>
          </cell>
          <cell r="DM451">
            <v>100</v>
          </cell>
          <cell r="DT451">
            <v>948.46</v>
          </cell>
        </row>
        <row r="452">
          <cell r="W452">
            <v>328.17806894099999</v>
          </cell>
          <cell r="AF452">
            <v>39968</v>
          </cell>
          <cell r="AG452">
            <v>1713</v>
          </cell>
          <cell r="AH452">
            <v>328.17806894125926</v>
          </cell>
          <cell r="AM452">
            <v>11372</v>
          </cell>
          <cell r="AO452">
            <v>3732040.9999970519</v>
          </cell>
          <cell r="AQ452">
            <v>3732041</v>
          </cell>
          <cell r="AU452">
            <v>0</v>
          </cell>
          <cell r="AW452">
            <v>0</v>
          </cell>
          <cell r="AY452">
            <v>1471058</v>
          </cell>
          <cell r="AZ452">
            <v>129.35789658811115</v>
          </cell>
          <cell r="BA452">
            <v>0</v>
          </cell>
          <cell r="BB452">
            <v>0</v>
          </cell>
          <cell r="BC452">
            <v>0</v>
          </cell>
          <cell r="BD452">
            <v>0</v>
          </cell>
          <cell r="BG452">
            <v>0</v>
          </cell>
          <cell r="BH452">
            <v>0</v>
          </cell>
          <cell r="BI452">
            <v>210328</v>
          </cell>
          <cell r="BJ452">
            <v>18.495251494899755</v>
          </cell>
          <cell r="BK452">
            <v>0</v>
          </cell>
          <cell r="BL452">
            <v>0</v>
          </cell>
          <cell r="BM452">
            <v>1309826</v>
          </cell>
          <cell r="BN452">
            <v>115.17991558213156</v>
          </cell>
          <cell r="BO452">
            <v>0</v>
          </cell>
          <cell r="BP452">
            <v>0</v>
          </cell>
          <cell r="BY452">
            <v>1452.37</v>
          </cell>
          <cell r="CF452">
            <v>2022.5732827366221</v>
          </cell>
          <cell r="CG452">
            <v>727.32</v>
          </cell>
          <cell r="CJ452">
            <v>0</v>
          </cell>
          <cell r="CK452">
            <v>0</v>
          </cell>
          <cell r="CL452">
            <v>0</v>
          </cell>
          <cell r="CM452">
            <v>0</v>
          </cell>
          <cell r="CN452">
            <v>0</v>
          </cell>
          <cell r="CO452">
            <v>0</v>
          </cell>
          <cell r="CX452">
            <v>0</v>
          </cell>
          <cell r="CY452">
            <v>0</v>
          </cell>
          <cell r="DB452">
            <v>0</v>
          </cell>
          <cell r="DC452">
            <v>0</v>
          </cell>
          <cell r="DJ452" t="str">
            <v>НКРЕ</v>
          </cell>
          <cell r="DL452">
            <v>40526</v>
          </cell>
          <cell r="DM452">
            <v>1749</v>
          </cell>
          <cell r="DO452" t="str">
            <v>тариф на теплову енергію</v>
          </cell>
          <cell r="DT452">
            <v>361</v>
          </cell>
        </row>
        <row r="453">
          <cell r="W453">
            <v>683.04</v>
          </cell>
          <cell r="AF453">
            <v>39968</v>
          </cell>
          <cell r="AG453">
            <v>1714</v>
          </cell>
          <cell r="AH453">
            <v>593.95000000000005</v>
          </cell>
          <cell r="AM453">
            <v>8700</v>
          </cell>
          <cell r="AO453">
            <v>5942448</v>
          </cell>
          <cell r="AQ453">
            <v>5167365</v>
          </cell>
          <cell r="AU453">
            <v>0</v>
          </cell>
          <cell r="AW453">
            <v>0</v>
          </cell>
          <cell r="AY453">
            <v>3327538</v>
          </cell>
          <cell r="AZ453">
            <v>382.47563218390803</v>
          </cell>
          <cell r="BA453">
            <v>0</v>
          </cell>
          <cell r="BB453">
            <v>0</v>
          </cell>
          <cell r="BC453">
            <v>0</v>
          </cell>
          <cell r="BD453">
            <v>0</v>
          </cell>
          <cell r="BG453">
            <v>0</v>
          </cell>
          <cell r="BH453">
            <v>0</v>
          </cell>
          <cell r="BI453">
            <v>160910</v>
          </cell>
          <cell r="BJ453">
            <v>18.495402298850575</v>
          </cell>
          <cell r="BK453">
            <v>0</v>
          </cell>
          <cell r="BL453">
            <v>0</v>
          </cell>
          <cell r="BM453">
            <v>1002066.2</v>
          </cell>
          <cell r="BN453">
            <v>115.18002298850574</v>
          </cell>
          <cell r="BO453">
            <v>0</v>
          </cell>
          <cell r="BP453">
            <v>0</v>
          </cell>
          <cell r="BY453">
            <v>1452.37</v>
          </cell>
          <cell r="CF453">
            <v>1553.2911658303185</v>
          </cell>
          <cell r="CG453">
            <v>2142.25</v>
          </cell>
          <cell r="CJ453">
            <v>0</v>
          </cell>
          <cell r="CK453">
            <v>0</v>
          </cell>
          <cell r="CL453">
            <v>0</v>
          </cell>
          <cell r="CM453">
            <v>0</v>
          </cell>
          <cell r="CN453">
            <v>0</v>
          </cell>
          <cell r="CO453">
            <v>0</v>
          </cell>
          <cell r="CX453">
            <v>0</v>
          </cell>
          <cell r="CY453">
            <v>0</v>
          </cell>
          <cell r="DB453">
            <v>0</v>
          </cell>
          <cell r="DC453">
            <v>0</v>
          </cell>
          <cell r="DJ453" t="str">
            <v>НКРКП</v>
          </cell>
          <cell r="DL453">
            <v>40816</v>
          </cell>
          <cell r="DM453">
            <v>100</v>
          </cell>
          <cell r="DT453">
            <v>970.44</v>
          </cell>
        </row>
        <row r="454">
          <cell r="W454">
            <v>685.07522123800004</v>
          </cell>
          <cell r="AF454">
            <v>39968</v>
          </cell>
          <cell r="AG454">
            <v>1715</v>
          </cell>
          <cell r="AH454">
            <v>595.71978823026734</v>
          </cell>
          <cell r="AM454">
            <v>225.99249287982579</v>
          </cell>
          <cell r="AO454">
            <v>154821.8570577738</v>
          </cell>
          <cell r="AQ454">
            <v>134628.20000000001</v>
          </cell>
          <cell r="AU454">
            <v>0</v>
          </cell>
          <cell r="AW454">
            <v>0</v>
          </cell>
          <cell r="AY454">
            <v>86795.000000000015</v>
          </cell>
          <cell r="AZ454">
            <v>384.06143006774255</v>
          </cell>
          <cell r="BA454">
            <v>0</v>
          </cell>
          <cell r="BB454">
            <v>0</v>
          </cell>
          <cell r="BC454">
            <v>0</v>
          </cell>
          <cell r="BD454">
            <v>0</v>
          </cell>
          <cell r="BG454">
            <v>0</v>
          </cell>
          <cell r="BH454">
            <v>0</v>
          </cell>
          <cell r="BI454">
            <v>4186</v>
          </cell>
          <cell r="BJ454">
            <v>18.522739170039404</v>
          </cell>
          <cell r="BK454">
            <v>0</v>
          </cell>
          <cell r="BL454">
            <v>0</v>
          </cell>
          <cell r="BM454">
            <v>26036.799999999999</v>
          </cell>
          <cell r="BN454">
            <v>115.21090664655564</v>
          </cell>
          <cell r="BO454">
            <v>0</v>
          </cell>
          <cell r="BP454">
            <v>0</v>
          </cell>
          <cell r="BY454">
            <v>1452.37</v>
          </cell>
          <cell r="CF454">
            <v>40.515812813630532</v>
          </cell>
          <cell r="CG454">
            <v>2142.25</v>
          </cell>
          <cell r="CJ454">
            <v>0</v>
          </cell>
          <cell r="CK454">
            <v>0</v>
          </cell>
          <cell r="CL454">
            <v>0</v>
          </cell>
          <cell r="CM454">
            <v>0</v>
          </cell>
          <cell r="CN454">
            <v>0</v>
          </cell>
          <cell r="CO454">
            <v>0</v>
          </cell>
          <cell r="CX454">
            <v>0</v>
          </cell>
          <cell r="CY454">
            <v>0</v>
          </cell>
          <cell r="DB454">
            <v>0</v>
          </cell>
          <cell r="DC454">
            <v>0</v>
          </cell>
          <cell r="DJ454" t="str">
            <v>НКРКП</v>
          </cell>
          <cell r="DL454">
            <v>40816</v>
          </cell>
          <cell r="DM454">
            <v>100</v>
          </cell>
          <cell r="DT454">
            <v>973.69</v>
          </cell>
        </row>
        <row r="455">
          <cell r="W455">
            <v>687.55809859099998</v>
          </cell>
          <cell r="AF455">
            <v>39968</v>
          </cell>
          <cell r="AG455">
            <v>1700</v>
          </cell>
          <cell r="AH455">
            <v>654.81748826291084</v>
          </cell>
          <cell r="AM455">
            <v>1704</v>
          </cell>
          <cell r="AO455">
            <v>1171598.999999064</v>
          </cell>
          <cell r="AQ455">
            <v>1115809</v>
          </cell>
          <cell r="AU455">
            <v>0</v>
          </cell>
          <cell r="AW455">
            <v>0</v>
          </cell>
          <cell r="AY455">
            <v>648916</v>
          </cell>
          <cell r="AZ455">
            <v>380.81924882629107</v>
          </cell>
          <cell r="BA455">
            <v>0</v>
          </cell>
          <cell r="BB455">
            <v>0</v>
          </cell>
          <cell r="BC455">
            <v>0</v>
          </cell>
          <cell r="BD455">
            <v>0</v>
          </cell>
          <cell r="BG455">
            <v>0</v>
          </cell>
          <cell r="BH455">
            <v>0</v>
          </cell>
          <cell r="BI455">
            <v>64467</v>
          </cell>
          <cell r="BJ455">
            <v>37.83274647887324</v>
          </cell>
          <cell r="BK455">
            <v>0</v>
          </cell>
          <cell r="BL455">
            <v>0</v>
          </cell>
          <cell r="BM455">
            <v>258841.46</v>
          </cell>
          <cell r="BN455">
            <v>151.90226525821595</v>
          </cell>
          <cell r="BO455">
            <v>0</v>
          </cell>
          <cell r="BP455">
            <v>0</v>
          </cell>
          <cell r="BY455">
            <v>1326.12</v>
          </cell>
          <cell r="CF455">
            <v>302.91329209942819</v>
          </cell>
          <cell r="CG455">
            <v>2142.25</v>
          </cell>
          <cell r="CJ455">
            <v>0</v>
          </cell>
          <cell r="CK455">
            <v>0</v>
          </cell>
          <cell r="CL455">
            <v>0</v>
          </cell>
          <cell r="CM455">
            <v>0</v>
          </cell>
          <cell r="CN455">
            <v>0</v>
          </cell>
          <cell r="CO455">
            <v>0</v>
          </cell>
          <cell r="CX455">
            <v>0</v>
          </cell>
          <cell r="CY455">
            <v>0</v>
          </cell>
          <cell r="DB455">
            <v>0</v>
          </cell>
          <cell r="DC455">
            <v>0</v>
          </cell>
          <cell r="DJ455" t="str">
            <v>НКРКП</v>
          </cell>
          <cell r="DL455">
            <v>40816</v>
          </cell>
          <cell r="DM455">
            <v>100</v>
          </cell>
          <cell r="DT455">
            <v>973.74</v>
          </cell>
        </row>
        <row r="456">
          <cell r="W456">
            <v>632.943396226</v>
          </cell>
          <cell r="AF456">
            <v>39968</v>
          </cell>
          <cell r="AG456">
            <v>1717</v>
          </cell>
          <cell r="AH456">
            <v>602.80424528301887</v>
          </cell>
          <cell r="AM456">
            <v>424</v>
          </cell>
          <cell r="AO456">
            <v>268367.99999982398</v>
          </cell>
          <cell r="AQ456">
            <v>255589</v>
          </cell>
          <cell r="AU456">
            <v>0</v>
          </cell>
          <cell r="AW456">
            <v>0</v>
          </cell>
          <cell r="AY456">
            <v>162643</v>
          </cell>
          <cell r="AZ456">
            <v>383.59198113207549</v>
          </cell>
          <cell r="BA456">
            <v>0</v>
          </cell>
          <cell r="BB456">
            <v>0</v>
          </cell>
          <cell r="BC456">
            <v>0</v>
          </cell>
          <cell r="BD456">
            <v>0</v>
          </cell>
          <cell r="BG456">
            <v>0</v>
          </cell>
          <cell r="BH456">
            <v>0</v>
          </cell>
          <cell r="BI456">
            <v>7052</v>
          </cell>
          <cell r="BJ456">
            <v>16.632075471698112</v>
          </cell>
          <cell r="BK456">
            <v>0</v>
          </cell>
          <cell r="BL456">
            <v>0</v>
          </cell>
          <cell r="BM456">
            <v>48389.5</v>
          </cell>
          <cell r="BN456">
            <v>114.12617924528301</v>
          </cell>
          <cell r="BO456">
            <v>0</v>
          </cell>
          <cell r="BP456">
            <v>0</v>
          </cell>
          <cell r="BY456">
            <v>1475.92</v>
          </cell>
          <cell r="CF456">
            <v>75.921577780371109</v>
          </cell>
          <cell r="CG456">
            <v>2142.25</v>
          </cell>
          <cell r="CJ456">
            <v>0</v>
          </cell>
          <cell r="CK456">
            <v>0</v>
          </cell>
          <cell r="CL456">
            <v>0</v>
          </cell>
          <cell r="CM456">
            <v>0</v>
          </cell>
          <cell r="CN456">
            <v>0</v>
          </cell>
          <cell r="CO456">
            <v>0</v>
          </cell>
          <cell r="CX456">
            <v>0</v>
          </cell>
          <cell r="CY456">
            <v>0</v>
          </cell>
          <cell r="DB456">
            <v>0</v>
          </cell>
          <cell r="DC456">
            <v>0</v>
          </cell>
          <cell r="DJ456" t="str">
            <v>НКРКП</v>
          </cell>
          <cell r="DL456">
            <v>40816</v>
          </cell>
          <cell r="DM456">
            <v>100</v>
          </cell>
          <cell r="DT456">
            <v>921.16</v>
          </cell>
        </row>
        <row r="457">
          <cell r="W457">
            <v>721.81283422399997</v>
          </cell>
          <cell r="AF457">
            <v>39968</v>
          </cell>
          <cell r="AG457">
            <v>1703</v>
          </cell>
          <cell r="AH457">
            <v>644.4763814616756</v>
          </cell>
          <cell r="AM457">
            <v>2244</v>
          </cell>
          <cell r="AO457">
            <v>1619747.9999986559</v>
          </cell>
          <cell r="AQ457">
            <v>1446205</v>
          </cell>
          <cell r="AU457">
            <v>0</v>
          </cell>
          <cell r="AW457">
            <v>0</v>
          </cell>
          <cell r="AY457">
            <v>848451.99999980745</v>
          </cell>
          <cell r="AZ457">
            <v>378.09803921560047</v>
          </cell>
          <cell r="BA457">
            <v>0</v>
          </cell>
          <cell r="BB457">
            <v>0</v>
          </cell>
          <cell r="BC457">
            <v>0</v>
          </cell>
          <cell r="BD457">
            <v>0</v>
          </cell>
          <cell r="BG457">
            <v>0</v>
          </cell>
          <cell r="BH457">
            <v>0</v>
          </cell>
          <cell r="BI457">
            <v>49481</v>
          </cell>
          <cell r="BJ457">
            <v>22.05035650623886</v>
          </cell>
          <cell r="BK457">
            <v>0</v>
          </cell>
          <cell r="BL457">
            <v>0</v>
          </cell>
          <cell r="BM457">
            <v>359705.7</v>
          </cell>
          <cell r="BN457">
            <v>160.29665775401071</v>
          </cell>
          <cell r="BO457">
            <v>0</v>
          </cell>
          <cell r="BP457">
            <v>0</v>
          </cell>
          <cell r="BY457">
            <v>1113.7066870132981</v>
          </cell>
          <cell r="CF457">
            <v>396.05648266999998</v>
          </cell>
          <cell r="CG457">
            <v>2142.25</v>
          </cell>
          <cell r="CJ457">
            <v>0</v>
          </cell>
          <cell r="CK457">
            <v>0</v>
          </cell>
          <cell r="CL457">
            <v>0</v>
          </cell>
          <cell r="CM457">
            <v>0</v>
          </cell>
          <cell r="CN457">
            <v>0</v>
          </cell>
          <cell r="CO457">
            <v>0</v>
          </cell>
          <cell r="CX457">
            <v>0</v>
          </cell>
          <cell r="CY457">
            <v>0</v>
          </cell>
          <cell r="DB457">
            <v>0</v>
          </cell>
          <cell r="DC457">
            <v>0</v>
          </cell>
          <cell r="DJ457" t="str">
            <v>НКРКП</v>
          </cell>
          <cell r="DL457">
            <v>40816</v>
          </cell>
          <cell r="DM457">
            <v>100</v>
          </cell>
          <cell r="DT457">
            <v>999.9</v>
          </cell>
        </row>
        <row r="458">
          <cell r="W458">
            <v>197.7</v>
          </cell>
          <cell r="AF458">
            <v>39987</v>
          </cell>
          <cell r="AG458" t="str">
            <v xml:space="preserve">  10-09</v>
          </cell>
          <cell r="AH458">
            <v>233.69391690172498</v>
          </cell>
          <cell r="AM458">
            <v>125039.9</v>
          </cell>
          <cell r="AO458">
            <v>24720388.229999997</v>
          </cell>
          <cell r="AQ458">
            <v>29221064</v>
          </cell>
          <cell r="AU458">
            <v>21043605</v>
          </cell>
          <cell r="AW458">
            <v>0</v>
          </cell>
          <cell r="AY458">
            <v>0</v>
          </cell>
          <cell r="AZ458">
            <v>0</v>
          </cell>
          <cell r="BA458">
            <v>0</v>
          </cell>
          <cell r="BB458">
            <v>0</v>
          </cell>
          <cell r="BC458">
            <v>0</v>
          </cell>
          <cell r="BD458">
            <v>0</v>
          </cell>
          <cell r="BG458">
            <v>0</v>
          </cell>
          <cell r="BH458">
            <v>0</v>
          </cell>
          <cell r="BI458">
            <v>1841839.2</v>
          </cell>
          <cell r="BJ458">
            <v>14.730011780239748</v>
          </cell>
          <cell r="BK458">
            <v>0</v>
          </cell>
          <cell r="BL458">
            <v>0</v>
          </cell>
          <cell r="BM458">
            <v>3958767</v>
          </cell>
          <cell r="BN458">
            <v>31.660030118386214</v>
          </cell>
          <cell r="BO458">
            <v>0</v>
          </cell>
          <cell r="BP458">
            <v>0</v>
          </cell>
          <cell r="BY458">
            <v>2323.1999999999998</v>
          </cell>
          <cell r="CF458">
            <v>0</v>
          </cell>
          <cell r="CG458">
            <v>0</v>
          </cell>
          <cell r="CJ458">
            <v>143300</v>
          </cell>
          <cell r="CK458">
            <v>146.85</v>
          </cell>
          <cell r="CL458">
            <v>228.21</v>
          </cell>
          <cell r="CM458">
            <v>0</v>
          </cell>
          <cell r="CN458">
            <v>0</v>
          </cell>
          <cell r="CO458">
            <v>0</v>
          </cell>
          <cell r="CX458">
            <v>0</v>
          </cell>
          <cell r="CY458">
            <v>0</v>
          </cell>
          <cell r="DB458">
            <v>0</v>
          </cell>
          <cell r="DC458">
            <v>0</v>
          </cell>
          <cell r="DJ458" t="str">
            <v>НКРЕ</v>
          </cell>
          <cell r="DL458">
            <v>40633</v>
          </cell>
          <cell r="DM458">
            <v>472</v>
          </cell>
          <cell r="DO458" t="str">
            <v>тариф на теплову енергію</v>
          </cell>
          <cell r="DT458">
            <v>217.47</v>
          </cell>
        </row>
        <row r="459">
          <cell r="W459">
            <v>518.84</v>
          </cell>
          <cell r="AF459">
            <v>39987</v>
          </cell>
          <cell r="AG459" t="str">
            <v xml:space="preserve">  11-09</v>
          </cell>
          <cell r="AH459">
            <v>479.22479400749063</v>
          </cell>
          <cell r="AM459">
            <v>13350</v>
          </cell>
          <cell r="AO459">
            <v>6926514</v>
          </cell>
          <cell r="AQ459">
            <v>6397651</v>
          </cell>
          <cell r="AU459">
            <v>5524565.5700000003</v>
          </cell>
          <cell r="AW459">
            <v>0</v>
          </cell>
          <cell r="AY459">
            <v>0</v>
          </cell>
          <cell r="AZ459">
            <v>0</v>
          </cell>
          <cell r="BA459">
            <v>0</v>
          </cell>
          <cell r="BB459">
            <v>0</v>
          </cell>
          <cell r="BC459">
            <v>0</v>
          </cell>
          <cell r="BD459">
            <v>0</v>
          </cell>
          <cell r="BG459">
            <v>0</v>
          </cell>
          <cell r="BH459">
            <v>0</v>
          </cell>
          <cell r="BI459">
            <v>196645.5</v>
          </cell>
          <cell r="BJ459">
            <v>14.73</v>
          </cell>
          <cell r="BK459">
            <v>0</v>
          </cell>
          <cell r="BL459">
            <v>0</v>
          </cell>
          <cell r="BM459">
            <v>422661</v>
          </cell>
          <cell r="BN459">
            <v>31.66</v>
          </cell>
          <cell r="BO459">
            <v>0</v>
          </cell>
          <cell r="BP459">
            <v>0</v>
          </cell>
          <cell r="BY459">
            <v>2323.1999999999998</v>
          </cell>
          <cell r="CF459">
            <v>0</v>
          </cell>
          <cell r="CG459">
            <v>0</v>
          </cell>
          <cell r="CJ459">
            <v>15349</v>
          </cell>
          <cell r="CK459">
            <v>359.93</v>
          </cell>
          <cell r="CL459">
            <v>633.44000000000005</v>
          </cell>
          <cell r="CM459">
            <v>0</v>
          </cell>
          <cell r="CN459">
            <v>0</v>
          </cell>
          <cell r="CO459">
            <v>0</v>
          </cell>
          <cell r="CX459">
            <v>0</v>
          </cell>
          <cell r="CY459">
            <v>0</v>
          </cell>
          <cell r="DB459">
            <v>0</v>
          </cell>
          <cell r="DC459">
            <v>0</v>
          </cell>
          <cell r="DJ459" t="str">
            <v>НКРКП</v>
          </cell>
          <cell r="DL459">
            <v>40816</v>
          </cell>
          <cell r="DM459">
            <v>145</v>
          </cell>
          <cell r="DT459">
            <v>792.41</v>
          </cell>
        </row>
        <row r="460">
          <cell r="W460">
            <v>532.74</v>
          </cell>
          <cell r="AF460">
            <v>39987</v>
          </cell>
          <cell r="AG460" t="str">
            <v xml:space="preserve">  11-09</v>
          </cell>
          <cell r="AH460">
            <v>479.28483754736902</v>
          </cell>
          <cell r="AM460">
            <v>1609.7</v>
          </cell>
          <cell r="AO460">
            <v>857551.5780000001</v>
          </cell>
          <cell r="AQ460">
            <v>771504.80299999996</v>
          </cell>
          <cell r="AU460">
            <v>666230.43000000005</v>
          </cell>
          <cell r="AW460">
            <v>0</v>
          </cell>
          <cell r="AY460">
            <v>0</v>
          </cell>
          <cell r="AZ460">
            <v>0</v>
          </cell>
          <cell r="BA460">
            <v>0</v>
          </cell>
          <cell r="BB460">
            <v>0</v>
          </cell>
          <cell r="BC460">
            <v>0</v>
          </cell>
          <cell r="BD460">
            <v>0</v>
          </cell>
          <cell r="BG460">
            <v>0</v>
          </cell>
          <cell r="BH460">
            <v>0</v>
          </cell>
          <cell r="BI460">
            <v>23715.3</v>
          </cell>
          <cell r="BJ460">
            <v>14.732745232030812</v>
          </cell>
          <cell r="BK460">
            <v>0</v>
          </cell>
          <cell r="BL460">
            <v>0</v>
          </cell>
          <cell r="BM460">
            <v>50973</v>
          </cell>
          <cell r="BN460">
            <v>31.66614897185811</v>
          </cell>
          <cell r="BO460">
            <v>0</v>
          </cell>
          <cell r="BP460">
            <v>0</v>
          </cell>
          <cell r="BY460">
            <v>2323.1999999999998</v>
          </cell>
          <cell r="CF460">
            <v>0</v>
          </cell>
          <cell r="CG460">
            <v>0</v>
          </cell>
          <cell r="CJ460">
            <v>1851</v>
          </cell>
          <cell r="CK460">
            <v>359.93</v>
          </cell>
          <cell r="CL460">
            <v>633.44000000000005</v>
          </cell>
          <cell r="CM460">
            <v>0</v>
          </cell>
          <cell r="CN460">
            <v>0</v>
          </cell>
          <cell r="CO460">
            <v>0</v>
          </cell>
          <cell r="CX460">
            <v>0</v>
          </cell>
          <cell r="CY460">
            <v>0</v>
          </cell>
          <cell r="DB460">
            <v>0</v>
          </cell>
          <cell r="DC460">
            <v>0</v>
          </cell>
          <cell r="DJ460" t="str">
            <v>НКРКП</v>
          </cell>
          <cell r="DL460">
            <v>40816</v>
          </cell>
          <cell r="DM460">
            <v>145</v>
          </cell>
          <cell r="DT460">
            <v>806.31</v>
          </cell>
        </row>
        <row r="461">
          <cell r="W461">
            <v>170.83</v>
          </cell>
          <cell r="AF461">
            <v>39605</v>
          </cell>
          <cell r="AG461" t="str">
            <v>4/5-6/1731</v>
          </cell>
          <cell r="AH461">
            <v>167.40061205507075</v>
          </cell>
          <cell r="AM461">
            <v>1408370</v>
          </cell>
          <cell r="AO461">
            <v>240591847.10000002</v>
          </cell>
          <cell r="AQ461">
            <v>235762000</v>
          </cell>
          <cell r="AU461">
            <v>0</v>
          </cell>
          <cell r="AW461">
            <v>1134936.3625</v>
          </cell>
          <cell r="AY461">
            <v>154866935.59999999</v>
          </cell>
          <cell r="AZ461">
            <v>109.96182508857757</v>
          </cell>
          <cell r="BA461">
            <v>0</v>
          </cell>
          <cell r="BB461">
            <v>0</v>
          </cell>
          <cell r="BC461">
            <v>0</v>
          </cell>
          <cell r="BD461">
            <v>0</v>
          </cell>
          <cell r="BG461">
            <v>12449000</v>
          </cell>
          <cell r="BH461">
            <v>8.8392964916889731</v>
          </cell>
          <cell r="BI461">
            <v>10916000</v>
          </cell>
          <cell r="BJ461">
            <v>7.750804121076138</v>
          </cell>
          <cell r="BK461">
            <v>0</v>
          </cell>
          <cell r="BL461">
            <v>0</v>
          </cell>
          <cell r="BM461">
            <v>42313000</v>
          </cell>
          <cell r="BN461">
            <v>30.043951518422006</v>
          </cell>
          <cell r="BO461">
            <v>0</v>
          </cell>
          <cell r="BP461">
            <v>0</v>
          </cell>
          <cell r="BY461">
            <v>1918</v>
          </cell>
          <cell r="CF461">
            <v>226460</v>
          </cell>
          <cell r="CG461">
            <v>683.86</v>
          </cell>
          <cell r="CJ461">
            <v>0</v>
          </cell>
          <cell r="CK461">
            <v>0</v>
          </cell>
          <cell r="CL461">
            <v>0</v>
          </cell>
          <cell r="CM461">
            <v>12299.5</v>
          </cell>
          <cell r="CN461">
            <v>92.275000000000006</v>
          </cell>
          <cell r="CO461">
            <v>92.275000000000006</v>
          </cell>
          <cell r="CX461">
            <v>0</v>
          </cell>
          <cell r="CY461">
            <v>0</v>
          </cell>
          <cell r="DB461">
            <v>0</v>
          </cell>
          <cell r="DC461">
            <v>0</v>
          </cell>
          <cell r="DJ461" t="str">
            <v>НКРЕ</v>
          </cell>
          <cell r="DL461">
            <v>40526</v>
          </cell>
          <cell r="DM461">
            <v>1845</v>
          </cell>
          <cell r="DO461" t="str">
            <v>тариф на теплову енергію</v>
          </cell>
          <cell r="DT461">
            <v>213.54</v>
          </cell>
        </row>
        <row r="462">
          <cell r="W462">
            <v>443.33</v>
          </cell>
          <cell r="AF462">
            <v>39849</v>
          </cell>
          <cell r="AG462" t="str">
            <v>6/1/1-34</v>
          </cell>
          <cell r="AH462">
            <v>422.39629739629737</v>
          </cell>
          <cell r="AM462">
            <v>161616</v>
          </cell>
          <cell r="AO462">
            <v>71649221.280000001</v>
          </cell>
          <cell r="AQ462">
            <v>68266000</v>
          </cell>
          <cell r="AU462">
            <v>0</v>
          </cell>
          <cell r="AW462">
            <v>0</v>
          </cell>
          <cell r="AY462">
            <v>56071679.950000003</v>
          </cell>
          <cell r="AZ462">
            <v>346.94386663449166</v>
          </cell>
          <cell r="BA462">
            <v>0</v>
          </cell>
          <cell r="BB462">
            <v>0</v>
          </cell>
          <cell r="BC462">
            <v>0</v>
          </cell>
          <cell r="BD462">
            <v>0</v>
          </cell>
          <cell r="BG462">
            <v>2628542.44</v>
          </cell>
          <cell r="BH462">
            <v>16.264122611622611</v>
          </cell>
          <cell r="BI462">
            <v>1752000</v>
          </cell>
          <cell r="BJ462">
            <v>10.84051084051084</v>
          </cell>
          <cell r="BK462">
            <v>0</v>
          </cell>
          <cell r="BL462">
            <v>0</v>
          </cell>
          <cell r="BM462">
            <v>6116261.1699999999</v>
          </cell>
          <cell r="BN462">
            <v>37.844403833778834</v>
          </cell>
          <cell r="BO462">
            <v>0</v>
          </cell>
          <cell r="BP462">
            <v>0</v>
          </cell>
          <cell r="BY462">
            <v>3313</v>
          </cell>
          <cell r="CF462">
            <v>26174.2</v>
          </cell>
          <cell r="CG462">
            <v>2142.25</v>
          </cell>
          <cell r="CJ462">
            <v>0</v>
          </cell>
          <cell r="CK462">
            <v>0</v>
          </cell>
          <cell r="CL462">
            <v>0</v>
          </cell>
          <cell r="CM462">
            <v>0</v>
          </cell>
          <cell r="CN462">
            <v>0</v>
          </cell>
          <cell r="CO462">
            <v>0</v>
          </cell>
          <cell r="CX462">
            <v>0</v>
          </cell>
          <cell r="CY462">
            <v>0</v>
          </cell>
          <cell r="DB462">
            <v>0</v>
          </cell>
          <cell r="DC462">
            <v>0</v>
          </cell>
          <cell r="DJ462" t="str">
            <v>НКРКП</v>
          </cell>
          <cell r="DL462">
            <v>40816</v>
          </cell>
          <cell r="DM462">
            <v>11</v>
          </cell>
          <cell r="DT462">
            <v>704.02</v>
          </cell>
        </row>
        <row r="463">
          <cell r="W463">
            <v>443.33</v>
          </cell>
          <cell r="AF463">
            <v>39849</v>
          </cell>
          <cell r="AG463" t="str">
            <v>6/1/1-34</v>
          </cell>
          <cell r="AH463">
            <v>422.39767559373422</v>
          </cell>
          <cell r="AM463">
            <v>79160</v>
          </cell>
          <cell r="AO463">
            <v>35094002.799999997</v>
          </cell>
          <cell r="AQ463">
            <v>33437000</v>
          </cell>
          <cell r="AU463">
            <v>0</v>
          </cell>
          <cell r="AW463">
            <v>0</v>
          </cell>
          <cell r="AY463">
            <v>27463645</v>
          </cell>
          <cell r="AZ463">
            <v>346.93841586659931</v>
          </cell>
          <cell r="BA463">
            <v>0</v>
          </cell>
          <cell r="BB463">
            <v>0</v>
          </cell>
          <cell r="BC463">
            <v>0</v>
          </cell>
          <cell r="BD463">
            <v>0</v>
          </cell>
          <cell r="BG463">
            <v>1287457.557</v>
          </cell>
          <cell r="BH463">
            <v>16.263991371905004</v>
          </cell>
          <cell r="BI463">
            <v>858000</v>
          </cell>
          <cell r="BJ463">
            <v>10.838807478524508</v>
          </cell>
          <cell r="BK463">
            <v>0</v>
          </cell>
          <cell r="BL463">
            <v>0</v>
          </cell>
          <cell r="BM463">
            <v>2995738.83</v>
          </cell>
          <cell r="BN463">
            <v>37.844098408287017</v>
          </cell>
          <cell r="BO463">
            <v>0</v>
          </cell>
          <cell r="BP463">
            <v>0</v>
          </cell>
          <cell r="BY463">
            <v>3313</v>
          </cell>
          <cell r="CF463">
            <v>12820</v>
          </cell>
          <cell r="CG463">
            <v>2142.25</v>
          </cell>
          <cell r="CJ463">
            <v>0</v>
          </cell>
          <cell r="CK463">
            <v>0</v>
          </cell>
          <cell r="CL463">
            <v>0</v>
          </cell>
          <cell r="CM463">
            <v>0</v>
          </cell>
          <cell r="CN463">
            <v>0</v>
          </cell>
          <cell r="CO463">
            <v>0</v>
          </cell>
          <cell r="CX463">
            <v>0</v>
          </cell>
          <cell r="CY463">
            <v>0</v>
          </cell>
          <cell r="DB463">
            <v>0</v>
          </cell>
          <cell r="DC463">
            <v>0</v>
          </cell>
          <cell r="DJ463" t="str">
            <v>НКРКП</v>
          </cell>
          <cell r="DL463">
            <v>40816</v>
          </cell>
          <cell r="DM463">
            <v>11</v>
          </cell>
          <cell r="DT463">
            <v>704.02</v>
          </cell>
        </row>
        <row r="464">
          <cell r="W464">
            <v>175.95</v>
          </cell>
          <cell r="AF464">
            <v>39742</v>
          </cell>
          <cell r="AH464">
            <v>159.95216191352347</v>
          </cell>
          <cell r="AM464">
            <v>108700</v>
          </cell>
          <cell r="AO464">
            <v>19125765</v>
          </cell>
          <cell r="AQ464">
            <v>17386800</v>
          </cell>
          <cell r="AU464">
            <v>0</v>
          </cell>
          <cell r="AW464">
            <v>0</v>
          </cell>
          <cell r="AY464">
            <v>11685123.120000001</v>
          </cell>
          <cell r="AZ464">
            <v>107.49883275068999</v>
          </cell>
          <cell r="BA464">
            <v>0</v>
          </cell>
          <cell r="BB464">
            <v>0</v>
          </cell>
          <cell r="BC464">
            <v>1679800</v>
          </cell>
          <cell r="BD464">
            <v>15.453541858325668</v>
          </cell>
          <cell r="BG464">
            <v>1260500</v>
          </cell>
          <cell r="BH464">
            <v>11.596136154553818</v>
          </cell>
          <cell r="BI464">
            <v>0</v>
          </cell>
          <cell r="BJ464">
            <v>0</v>
          </cell>
          <cell r="BK464">
            <v>0</v>
          </cell>
          <cell r="BL464">
            <v>0</v>
          </cell>
          <cell r="BM464">
            <v>1954999.9225352113</v>
          </cell>
          <cell r="BN464">
            <v>17.985279876128899</v>
          </cell>
          <cell r="BO464">
            <v>0</v>
          </cell>
          <cell r="BP464">
            <v>0</v>
          </cell>
          <cell r="BY464">
            <v>2878</v>
          </cell>
          <cell r="CF464">
            <v>16066</v>
          </cell>
          <cell r="CG464">
            <v>727.32</v>
          </cell>
          <cell r="CJ464">
            <v>0</v>
          </cell>
          <cell r="CK464">
            <v>0</v>
          </cell>
          <cell r="CL464">
            <v>0</v>
          </cell>
          <cell r="CM464">
            <v>0</v>
          </cell>
          <cell r="CN464">
            <v>0</v>
          </cell>
          <cell r="CO464">
            <v>0</v>
          </cell>
          <cell r="CX464">
            <v>0</v>
          </cell>
          <cell r="CY464">
            <v>0</v>
          </cell>
          <cell r="DB464">
            <v>15.453386454183256</v>
          </cell>
          <cell r="DC464">
            <v>28.15</v>
          </cell>
          <cell r="DJ464" t="str">
            <v>НКРЕ</v>
          </cell>
          <cell r="DL464">
            <v>40526</v>
          </cell>
          <cell r="DM464">
            <v>1856</v>
          </cell>
          <cell r="DO464" t="str">
            <v>тариф на теплову енергію</v>
          </cell>
          <cell r="DT464">
            <v>219.94</v>
          </cell>
        </row>
        <row r="465">
          <cell r="W465">
            <v>409.2</v>
          </cell>
          <cell r="AF465">
            <v>39861</v>
          </cell>
          <cell r="AH465">
            <v>372.07462686567163</v>
          </cell>
          <cell r="AM465">
            <v>6700</v>
          </cell>
          <cell r="AO465">
            <v>2741640</v>
          </cell>
          <cell r="AQ465">
            <v>2492900</v>
          </cell>
          <cell r="AU465">
            <v>0</v>
          </cell>
          <cell r="AW465">
            <v>0</v>
          </cell>
          <cell r="AY465">
            <v>2121406</v>
          </cell>
          <cell r="AZ465">
            <v>316.62776119402986</v>
          </cell>
          <cell r="BA465">
            <v>0</v>
          </cell>
          <cell r="BB465">
            <v>0</v>
          </cell>
          <cell r="BC465">
            <v>108000</v>
          </cell>
          <cell r="BD465">
            <v>16.119402985074625</v>
          </cell>
          <cell r="BG465">
            <v>80250.399999999994</v>
          </cell>
          <cell r="BH465">
            <v>11.977671641791044</v>
          </cell>
          <cell r="BI465">
            <v>0</v>
          </cell>
          <cell r="BJ465">
            <v>0</v>
          </cell>
          <cell r="BK465">
            <v>0</v>
          </cell>
          <cell r="BL465">
            <v>0</v>
          </cell>
          <cell r="BM465">
            <v>122959.57271095153</v>
          </cell>
          <cell r="BN465">
            <v>18.352175031485302</v>
          </cell>
          <cell r="BO465">
            <v>0</v>
          </cell>
          <cell r="BP465">
            <v>0</v>
          </cell>
          <cell r="BY465">
            <v>2878</v>
          </cell>
          <cell r="CF465">
            <v>990.27004317890066</v>
          </cell>
          <cell r="CG465">
            <v>2142.25</v>
          </cell>
          <cell r="CJ465">
            <v>0</v>
          </cell>
          <cell r="CK465">
            <v>0</v>
          </cell>
          <cell r="CL465">
            <v>0</v>
          </cell>
          <cell r="CM465">
            <v>0</v>
          </cell>
          <cell r="CN465">
            <v>0</v>
          </cell>
          <cell r="CO465">
            <v>0</v>
          </cell>
          <cell r="CX465">
            <v>0</v>
          </cell>
          <cell r="CY465">
            <v>0</v>
          </cell>
          <cell r="DB465">
            <v>16.122448979591837</v>
          </cell>
          <cell r="DC465">
            <v>29.37</v>
          </cell>
          <cell r="DJ465" t="str">
            <v>НКРКП</v>
          </cell>
          <cell r="DL465">
            <v>40816</v>
          </cell>
          <cell r="DM465">
            <v>41</v>
          </cell>
          <cell r="DT465">
            <v>647.15</v>
          </cell>
        </row>
        <row r="466">
          <cell r="W466">
            <v>433.5</v>
          </cell>
          <cell r="AF466">
            <v>39861</v>
          </cell>
          <cell r="AH466">
            <v>377.0204081632653</v>
          </cell>
          <cell r="AM466">
            <v>4900</v>
          </cell>
          <cell r="AO466">
            <v>2124150</v>
          </cell>
          <cell r="AQ466">
            <v>1847400</v>
          </cell>
          <cell r="AU466">
            <v>0</v>
          </cell>
          <cell r="AW466">
            <v>0</v>
          </cell>
          <cell r="AY466">
            <v>1575649</v>
          </cell>
          <cell r="AZ466">
            <v>321.56102040816324</v>
          </cell>
          <cell r="BA466">
            <v>0</v>
          </cell>
          <cell r="BB466">
            <v>0</v>
          </cell>
          <cell r="BC466">
            <v>79000</v>
          </cell>
          <cell r="BD466">
            <v>16.122448979591837</v>
          </cell>
          <cell r="BG466">
            <v>58700.4</v>
          </cell>
          <cell r="BH466">
            <v>11.979673469387755</v>
          </cell>
          <cell r="BI466">
            <v>0</v>
          </cell>
          <cell r="BJ466">
            <v>0</v>
          </cell>
          <cell r="BK466">
            <v>0</v>
          </cell>
          <cell r="BL466">
            <v>0</v>
          </cell>
          <cell r="BM466">
            <v>89899.642728904844</v>
          </cell>
          <cell r="BN466">
            <v>18.346865863041806</v>
          </cell>
          <cell r="BO466">
            <v>0</v>
          </cell>
          <cell r="BP466">
            <v>0</v>
          </cell>
          <cell r="BY466">
            <v>2878</v>
          </cell>
          <cell r="CF466">
            <v>724.2198883092409</v>
          </cell>
          <cell r="CG466">
            <v>2175.65</v>
          </cell>
          <cell r="CJ466">
            <v>0</v>
          </cell>
          <cell r="CK466">
            <v>0</v>
          </cell>
          <cell r="CL466">
            <v>0</v>
          </cell>
          <cell r="CM466">
            <v>0</v>
          </cell>
          <cell r="CN466">
            <v>0</v>
          </cell>
          <cell r="CO466">
            <v>0</v>
          </cell>
          <cell r="CX466">
            <v>0</v>
          </cell>
          <cell r="CY466">
            <v>0</v>
          </cell>
          <cell r="DB466">
            <v>16.122448979591837</v>
          </cell>
          <cell r="DC466">
            <v>29.37</v>
          </cell>
          <cell r="DJ466" t="str">
            <v>НКРКП</v>
          </cell>
          <cell r="DL466">
            <v>40816</v>
          </cell>
          <cell r="DM466">
            <v>41</v>
          </cell>
          <cell r="DO466" t="str">
            <v>для інших споживачів житлового масиву</v>
          </cell>
          <cell r="DT466">
            <v>666.47</v>
          </cell>
        </row>
        <row r="467">
          <cell r="W467">
            <v>415</v>
          </cell>
          <cell r="AF467">
            <v>39861</v>
          </cell>
          <cell r="AG467">
            <v>0</v>
          </cell>
          <cell r="AH467">
            <v>360.88799999999998</v>
          </cell>
          <cell r="AM467">
            <v>12500</v>
          </cell>
          <cell r="AO467">
            <v>5187500</v>
          </cell>
          <cell r="AQ467">
            <v>4511100</v>
          </cell>
          <cell r="AU467">
            <v>0</v>
          </cell>
          <cell r="AW467">
            <v>0</v>
          </cell>
          <cell r="AY467">
            <v>4019557</v>
          </cell>
          <cell r="AZ467">
            <v>321.56455999999997</v>
          </cell>
          <cell r="BA467">
            <v>0</v>
          </cell>
          <cell r="BB467">
            <v>0</v>
          </cell>
          <cell r="BC467">
            <v>0</v>
          </cell>
          <cell r="BD467">
            <v>0</v>
          </cell>
          <cell r="BG467">
            <v>149700.4</v>
          </cell>
          <cell r="BH467">
            <v>11.976032</v>
          </cell>
          <cell r="BI467">
            <v>0</v>
          </cell>
          <cell r="BJ467">
            <v>0</v>
          </cell>
          <cell r="BK467">
            <v>0</v>
          </cell>
          <cell r="BL467">
            <v>0</v>
          </cell>
          <cell r="BM467">
            <v>229399.68043087973</v>
          </cell>
          <cell r="BN467">
            <v>18.351974434470378</v>
          </cell>
          <cell r="BO467">
            <v>0</v>
          </cell>
          <cell r="BP467">
            <v>0</v>
          </cell>
          <cell r="BY467">
            <v>2878</v>
          </cell>
          <cell r="CF467">
            <v>1847.5200514788683</v>
          </cell>
          <cell r="CG467">
            <v>2175.65</v>
          </cell>
          <cell r="CJ467">
            <v>0</v>
          </cell>
          <cell r="CK467">
            <v>0</v>
          </cell>
          <cell r="CL467">
            <v>0</v>
          </cell>
          <cell r="CM467">
            <v>0</v>
          </cell>
          <cell r="CN467">
            <v>0</v>
          </cell>
          <cell r="CO467">
            <v>0</v>
          </cell>
          <cell r="CX467">
            <v>0</v>
          </cell>
          <cell r="CY467">
            <v>0</v>
          </cell>
          <cell r="DB467">
            <v>0</v>
          </cell>
          <cell r="DC467">
            <v>0</v>
          </cell>
          <cell r="DJ467" t="str">
            <v>НКРКП</v>
          </cell>
          <cell r="DL467">
            <v>40816</v>
          </cell>
          <cell r="DM467">
            <v>41</v>
          </cell>
          <cell r="DO467" t="str">
            <v>для інших споживачів промислової зони</v>
          </cell>
          <cell r="DT467">
            <v>647.99</v>
          </cell>
        </row>
        <row r="468">
          <cell r="W468">
            <v>186.44364999999999</v>
          </cell>
          <cell r="AF468">
            <v>39707</v>
          </cell>
          <cell r="AG468" t="str">
            <v>142, 144</v>
          </cell>
          <cell r="AH468">
            <v>186.44365281843679</v>
          </cell>
          <cell r="AM468">
            <v>38275.65</v>
          </cell>
          <cell r="AO468">
            <v>7136251.8921224996</v>
          </cell>
          <cell r="AQ468">
            <v>7136252</v>
          </cell>
          <cell r="AU468">
            <v>0</v>
          </cell>
          <cell r="AW468">
            <v>0</v>
          </cell>
          <cell r="AY468">
            <v>4796529.9360000007</v>
          </cell>
          <cell r="AZ468">
            <v>125.31544039095353</v>
          </cell>
          <cell r="BA468">
            <v>0</v>
          </cell>
          <cell r="BB468">
            <v>0</v>
          </cell>
          <cell r="BC468">
            <v>0</v>
          </cell>
          <cell r="BD468">
            <v>0</v>
          </cell>
          <cell r="BG468">
            <v>0</v>
          </cell>
          <cell r="BH468">
            <v>0</v>
          </cell>
          <cell r="BI468">
            <v>578750</v>
          </cell>
          <cell r="BJ468">
            <v>15.120579271677945</v>
          </cell>
          <cell r="BK468">
            <v>0</v>
          </cell>
          <cell r="BL468">
            <v>0</v>
          </cell>
          <cell r="BM468">
            <v>1138285</v>
          </cell>
          <cell r="BN468">
            <v>29.739142248400743</v>
          </cell>
          <cell r="BO468">
            <v>0</v>
          </cell>
          <cell r="BP468">
            <v>0</v>
          </cell>
          <cell r="BY468">
            <v>1020</v>
          </cell>
          <cell r="CF468">
            <v>6594.8</v>
          </cell>
          <cell r="CG468">
            <v>727.32</v>
          </cell>
          <cell r="CJ468">
            <v>0</v>
          </cell>
          <cell r="CK468">
            <v>0</v>
          </cell>
          <cell r="CL468">
            <v>0</v>
          </cell>
          <cell r="CM468">
            <v>0</v>
          </cell>
          <cell r="CN468">
            <v>0</v>
          </cell>
          <cell r="CO468">
            <v>0</v>
          </cell>
          <cell r="CX468">
            <v>0</v>
          </cell>
          <cell r="CY468">
            <v>0</v>
          </cell>
          <cell r="DB468">
            <v>0</v>
          </cell>
          <cell r="DC468">
            <v>0</v>
          </cell>
          <cell r="DJ468" t="str">
            <v>НКРЕ</v>
          </cell>
          <cell r="DL468">
            <v>40526</v>
          </cell>
          <cell r="DM468">
            <v>1740</v>
          </cell>
          <cell r="DO468" t="str">
            <v>Тариф на теплову енергію</v>
          </cell>
          <cell r="DT468">
            <v>233.05</v>
          </cell>
        </row>
        <row r="469">
          <cell r="W469">
            <v>480.14</v>
          </cell>
          <cell r="AF469">
            <v>39891</v>
          </cell>
          <cell r="AG469" t="str">
            <v>58, 60</v>
          </cell>
          <cell r="AH469">
            <v>436.49542119523028</v>
          </cell>
          <cell r="AM469">
            <v>6485.6739900000002</v>
          </cell>
          <cell r="AO469">
            <v>3114031.5095585999</v>
          </cell>
          <cell r="AQ469">
            <v>2830967</v>
          </cell>
          <cell r="AU469">
            <v>0</v>
          </cell>
          <cell r="AW469">
            <v>0</v>
          </cell>
          <cell r="AY469">
            <v>2395824.1264925003</v>
          </cell>
          <cell r="AZ469">
            <v>369.40249081075075</v>
          </cell>
          <cell r="BA469">
            <v>0</v>
          </cell>
          <cell r="BB469">
            <v>0</v>
          </cell>
          <cell r="BC469">
            <v>0</v>
          </cell>
          <cell r="BD469">
            <v>0</v>
          </cell>
          <cell r="BG469">
            <v>0</v>
          </cell>
          <cell r="BH469">
            <v>0</v>
          </cell>
          <cell r="BI469">
            <v>116951</v>
          </cell>
          <cell r="BJ469">
            <v>18.032204545020615</v>
          </cell>
          <cell r="BK469">
            <v>0</v>
          </cell>
          <cell r="BL469">
            <v>0</v>
          </cell>
          <cell r="BM469">
            <v>221075</v>
          </cell>
          <cell r="BN469">
            <v>34.086665524796132</v>
          </cell>
          <cell r="BO469">
            <v>0</v>
          </cell>
          <cell r="BP469">
            <v>0</v>
          </cell>
          <cell r="BY469">
            <v>1020</v>
          </cell>
          <cell r="CF469">
            <v>1118.3681300000001</v>
          </cell>
          <cell r="CG469">
            <v>2142.25</v>
          </cell>
          <cell r="CJ469">
            <v>0</v>
          </cell>
          <cell r="CK469">
            <v>0</v>
          </cell>
          <cell r="CL469">
            <v>0</v>
          </cell>
          <cell r="CM469">
            <v>0</v>
          </cell>
          <cell r="CN469">
            <v>0</v>
          </cell>
          <cell r="CO469">
            <v>0</v>
          </cell>
          <cell r="CX469">
            <v>0</v>
          </cell>
          <cell r="CY469">
            <v>0</v>
          </cell>
          <cell r="DB469">
            <v>0</v>
          </cell>
          <cell r="DC469">
            <v>0</v>
          </cell>
          <cell r="DJ469" t="str">
            <v>НКРКП</v>
          </cell>
          <cell r="DL469">
            <v>40816</v>
          </cell>
          <cell r="DM469">
            <v>109</v>
          </cell>
          <cell r="DT469">
            <v>757.39214900221702</v>
          </cell>
        </row>
        <row r="470">
          <cell r="W470">
            <v>610.99</v>
          </cell>
          <cell r="AF470">
            <v>39891</v>
          </cell>
          <cell r="AG470" t="str">
            <v>59, 61</v>
          </cell>
          <cell r="AH470">
            <v>436.42111421717539</v>
          </cell>
          <cell r="AM470">
            <v>2349.4899</v>
          </cell>
          <cell r="AO470">
            <v>1435514.834001</v>
          </cell>
          <cell r="AQ470">
            <v>1025367</v>
          </cell>
          <cell r="AU470">
            <v>0</v>
          </cell>
          <cell r="AW470">
            <v>0</v>
          </cell>
          <cell r="AY470">
            <v>867891.88474999997</v>
          </cell>
          <cell r="AZ470">
            <v>369.39587812231071</v>
          </cell>
          <cell r="BA470">
            <v>0</v>
          </cell>
          <cell r="BB470">
            <v>0</v>
          </cell>
          <cell r="BC470">
            <v>0</v>
          </cell>
          <cell r="BD470">
            <v>0</v>
          </cell>
          <cell r="BG470">
            <v>0</v>
          </cell>
          <cell r="BH470">
            <v>0</v>
          </cell>
          <cell r="BI470">
            <v>42381</v>
          </cell>
          <cell r="BJ470">
            <v>18.038383565726331</v>
          </cell>
          <cell r="BK470">
            <v>0</v>
          </cell>
          <cell r="BL470">
            <v>0</v>
          </cell>
          <cell r="BM470">
            <v>80103</v>
          </cell>
          <cell r="BN470">
            <v>34.093783505943144</v>
          </cell>
          <cell r="BO470">
            <v>0</v>
          </cell>
          <cell r="BP470">
            <v>0</v>
          </cell>
          <cell r="BY470">
            <v>1020</v>
          </cell>
          <cell r="CF470">
            <v>405.13099999999997</v>
          </cell>
          <cell r="CG470">
            <v>2142.25</v>
          </cell>
          <cell r="CJ470">
            <v>0</v>
          </cell>
          <cell r="CK470">
            <v>0</v>
          </cell>
          <cell r="CL470">
            <v>0</v>
          </cell>
          <cell r="CM470">
            <v>0</v>
          </cell>
          <cell r="CN470">
            <v>0</v>
          </cell>
          <cell r="CO470">
            <v>0</v>
          </cell>
          <cell r="CX470">
            <v>0</v>
          </cell>
          <cell r="CY470">
            <v>0</v>
          </cell>
          <cell r="DB470">
            <v>0</v>
          </cell>
          <cell r="DC470">
            <v>0</v>
          </cell>
          <cell r="DJ470" t="str">
            <v>НКРКП</v>
          </cell>
          <cell r="DL470">
            <v>40816</v>
          </cell>
          <cell r="DM470">
            <v>109</v>
          </cell>
          <cell r="DT470">
            <v>888.49011151826403</v>
          </cell>
        </row>
        <row r="471">
          <cell r="W471">
            <v>221.76</v>
          </cell>
          <cell r="AF471">
            <v>39715</v>
          </cell>
          <cell r="AG471">
            <v>196</v>
          </cell>
          <cell r="AH471">
            <v>197.99785784339028</v>
          </cell>
          <cell r="AM471">
            <v>154984</v>
          </cell>
          <cell r="AO471">
            <v>34369251.839999996</v>
          </cell>
          <cell r="AQ471">
            <v>30686500</v>
          </cell>
          <cell r="AU471">
            <v>0</v>
          </cell>
          <cell r="AW471">
            <v>3723330.56</v>
          </cell>
          <cell r="AY471">
            <v>17775700.800000001</v>
          </cell>
          <cell r="AZ471">
            <v>114.6937800030971</v>
          </cell>
          <cell r="BA471">
            <v>0</v>
          </cell>
          <cell r="BB471">
            <v>0</v>
          </cell>
          <cell r="BC471">
            <v>0</v>
          </cell>
          <cell r="BD471">
            <v>0</v>
          </cell>
          <cell r="BG471">
            <v>0</v>
          </cell>
          <cell r="BH471">
            <v>0</v>
          </cell>
          <cell r="BI471">
            <v>1332038</v>
          </cell>
          <cell r="BJ471">
            <v>8.5946807412378057</v>
          </cell>
          <cell r="BK471">
            <v>0</v>
          </cell>
          <cell r="BL471">
            <v>0</v>
          </cell>
          <cell r="BM471">
            <v>5677900</v>
          </cell>
          <cell r="BN471">
            <v>36.635394621380271</v>
          </cell>
          <cell r="BO471">
            <v>0</v>
          </cell>
          <cell r="BP471">
            <v>0</v>
          </cell>
          <cell r="BY471">
            <v>1938</v>
          </cell>
          <cell r="CF471">
            <v>24440</v>
          </cell>
          <cell r="CG471">
            <v>727.32</v>
          </cell>
          <cell r="CJ471">
            <v>0</v>
          </cell>
          <cell r="CK471">
            <v>0</v>
          </cell>
          <cell r="CL471">
            <v>0</v>
          </cell>
          <cell r="CM471">
            <v>109768</v>
          </cell>
          <cell r="CN471">
            <v>33.92</v>
          </cell>
          <cell r="CO471">
            <v>33.92</v>
          </cell>
          <cell r="CX471">
            <v>0</v>
          </cell>
          <cell r="CY471">
            <v>0</v>
          </cell>
          <cell r="DB471">
            <v>0</v>
          </cell>
          <cell r="DC471">
            <v>0</v>
          </cell>
          <cell r="DJ471" t="str">
            <v>НКРЕ</v>
          </cell>
          <cell r="DL471">
            <v>40526</v>
          </cell>
          <cell r="DM471">
            <v>1770</v>
          </cell>
          <cell r="DO471" t="str">
            <v>Тариф на теплову енергію</v>
          </cell>
          <cell r="DT471">
            <v>243.94</v>
          </cell>
        </row>
        <row r="472">
          <cell r="W472">
            <v>471.55</v>
          </cell>
          <cell r="AF472">
            <v>39864</v>
          </cell>
          <cell r="AG472">
            <v>308</v>
          </cell>
          <cell r="AH472">
            <v>421.03000280400039</v>
          </cell>
          <cell r="AM472">
            <v>21398</v>
          </cell>
          <cell r="AO472">
            <v>10090226.9</v>
          </cell>
          <cell r="AQ472">
            <v>9009200</v>
          </cell>
          <cell r="AU472">
            <v>0</v>
          </cell>
          <cell r="AW472">
            <v>425051.55</v>
          </cell>
          <cell r="AY472">
            <v>7191072.1376083037</v>
          </cell>
          <cell r="AZ472">
            <v>336.06281603927022</v>
          </cell>
          <cell r="BA472">
            <v>0</v>
          </cell>
          <cell r="BB472">
            <v>0</v>
          </cell>
          <cell r="BC472">
            <v>0</v>
          </cell>
          <cell r="BD472">
            <v>0</v>
          </cell>
          <cell r="BG472">
            <v>0</v>
          </cell>
          <cell r="BH472">
            <v>0</v>
          </cell>
          <cell r="BI472">
            <v>245573</v>
          </cell>
          <cell r="BJ472">
            <v>11.476446396859519</v>
          </cell>
          <cell r="BK472">
            <v>0</v>
          </cell>
          <cell r="BL472">
            <v>0</v>
          </cell>
          <cell r="BM472">
            <v>816767</v>
          </cell>
          <cell r="BN472">
            <v>38.170249556033276</v>
          </cell>
          <cell r="BO472">
            <v>0</v>
          </cell>
          <cell r="BP472">
            <v>0</v>
          </cell>
          <cell r="BY472">
            <v>2202</v>
          </cell>
          <cell r="CF472">
            <v>3356.7847532306237</v>
          </cell>
          <cell r="CG472">
            <v>2142.25</v>
          </cell>
          <cell r="CJ472">
            <v>0</v>
          </cell>
          <cell r="CK472">
            <v>0</v>
          </cell>
          <cell r="CL472">
            <v>0</v>
          </cell>
          <cell r="CM472">
            <v>10857</v>
          </cell>
          <cell r="CN472">
            <v>39.15</v>
          </cell>
          <cell r="CO472">
            <v>56.11</v>
          </cell>
          <cell r="CX472">
            <v>0</v>
          </cell>
          <cell r="CY472">
            <v>0</v>
          </cell>
          <cell r="DB472">
            <v>0</v>
          </cell>
          <cell r="DC472">
            <v>0</v>
          </cell>
          <cell r="DJ472" t="str">
            <v>НКРКП</v>
          </cell>
          <cell r="DL472">
            <v>40816</v>
          </cell>
          <cell r="DM472">
            <v>135</v>
          </cell>
          <cell r="DT472">
            <v>732.74</v>
          </cell>
        </row>
        <row r="473">
          <cell r="W473">
            <v>471.55</v>
          </cell>
          <cell r="AF473">
            <v>39864</v>
          </cell>
          <cell r="AG473">
            <v>308</v>
          </cell>
          <cell r="AH473">
            <v>421.0300346243659</v>
          </cell>
          <cell r="AM473">
            <v>12419</v>
          </cell>
          <cell r="AO473">
            <v>5856179.4500000002</v>
          </cell>
          <cell r="AQ473">
            <v>5228772</v>
          </cell>
          <cell r="AU473">
            <v>0</v>
          </cell>
          <cell r="AW473">
            <v>246689.63099999999</v>
          </cell>
          <cell r="AY473">
            <v>4173564.1123916963</v>
          </cell>
          <cell r="AZ473">
            <v>336.06281603927016</v>
          </cell>
          <cell r="BA473">
            <v>0</v>
          </cell>
          <cell r="BB473">
            <v>0</v>
          </cell>
          <cell r="BC473">
            <v>0</v>
          </cell>
          <cell r="BD473">
            <v>0</v>
          </cell>
          <cell r="BG473">
            <v>0</v>
          </cell>
          <cell r="BH473">
            <v>0</v>
          </cell>
          <cell r="BI473">
            <v>142527</v>
          </cell>
          <cell r="BJ473">
            <v>11.476527900797166</v>
          </cell>
          <cell r="BK473">
            <v>0</v>
          </cell>
          <cell r="BL473">
            <v>0</v>
          </cell>
          <cell r="BM473">
            <v>474038</v>
          </cell>
          <cell r="BN473">
            <v>38.170384088896043</v>
          </cell>
          <cell r="BO473">
            <v>0</v>
          </cell>
          <cell r="BP473">
            <v>0</v>
          </cell>
          <cell r="BY473">
            <v>2202</v>
          </cell>
          <cell r="CF473">
            <v>1948.2152467693763</v>
          </cell>
          <cell r="CG473">
            <v>2142.25</v>
          </cell>
          <cell r="CJ473">
            <v>0</v>
          </cell>
          <cell r="CK473">
            <v>0</v>
          </cell>
          <cell r="CL473">
            <v>0</v>
          </cell>
          <cell r="CM473">
            <v>6301.14</v>
          </cell>
          <cell r="CN473">
            <v>39.15</v>
          </cell>
          <cell r="CO473">
            <v>56.11</v>
          </cell>
          <cell r="CX473">
            <v>0</v>
          </cell>
          <cell r="CY473">
            <v>0</v>
          </cell>
          <cell r="DB473">
            <v>0</v>
          </cell>
          <cell r="DC473">
            <v>0</v>
          </cell>
          <cell r="DJ473" t="str">
            <v>НКРКП</v>
          </cell>
          <cell r="DL473">
            <v>40816</v>
          </cell>
          <cell r="DM473">
            <v>135</v>
          </cell>
          <cell r="DT473">
            <v>732.74</v>
          </cell>
        </row>
        <row r="474">
          <cell r="W474">
            <v>202.75</v>
          </cell>
          <cell r="AF474">
            <v>39646</v>
          </cell>
          <cell r="AG474">
            <v>396</v>
          </cell>
          <cell r="AH474">
            <v>189.53483419531489</v>
          </cell>
          <cell r="AM474">
            <v>13148</v>
          </cell>
          <cell r="AO474">
            <v>2665757</v>
          </cell>
          <cell r="AQ474">
            <v>2492004</v>
          </cell>
          <cell r="AU474">
            <v>0</v>
          </cell>
          <cell r="AW474">
            <v>0</v>
          </cell>
          <cell r="AY474">
            <v>1336814.1600000001</v>
          </cell>
          <cell r="AZ474">
            <v>101.67433526011561</v>
          </cell>
          <cell r="BA474">
            <v>0</v>
          </cell>
          <cell r="BB474">
            <v>0</v>
          </cell>
          <cell r="BC474">
            <v>0</v>
          </cell>
          <cell r="BD474">
            <v>0</v>
          </cell>
          <cell r="BG474">
            <v>0</v>
          </cell>
          <cell r="BH474">
            <v>0</v>
          </cell>
          <cell r="BI474">
            <v>130400</v>
          </cell>
          <cell r="BJ474">
            <v>9.9178582293885</v>
          </cell>
          <cell r="BK474">
            <v>0</v>
          </cell>
          <cell r="BL474">
            <v>0</v>
          </cell>
          <cell r="BM474">
            <v>629327</v>
          </cell>
          <cell r="BN474">
            <v>47.864846364466075</v>
          </cell>
          <cell r="BO474">
            <v>0</v>
          </cell>
          <cell r="BP474">
            <v>0</v>
          </cell>
          <cell r="BY474">
            <v>2131.92</v>
          </cell>
          <cell r="CF474">
            <v>1838</v>
          </cell>
          <cell r="CG474">
            <v>727.32</v>
          </cell>
          <cell r="CJ474">
            <v>0</v>
          </cell>
          <cell r="CK474">
            <v>0</v>
          </cell>
          <cell r="CL474">
            <v>0</v>
          </cell>
          <cell r="CM474">
            <v>0</v>
          </cell>
          <cell r="CN474">
            <v>0</v>
          </cell>
          <cell r="CO474">
            <v>0</v>
          </cell>
          <cell r="CX474">
            <v>0</v>
          </cell>
          <cell r="CY474">
            <v>0</v>
          </cell>
          <cell r="DB474">
            <v>0</v>
          </cell>
          <cell r="DC474">
            <v>0</v>
          </cell>
          <cell r="DJ474" t="str">
            <v>НКРЕ</v>
          </cell>
          <cell r="DL474">
            <v>40526</v>
          </cell>
          <cell r="DM474">
            <v>1805</v>
          </cell>
          <cell r="DO474" t="str">
            <v>на теплову енергію для споживачів від модульних котелень</v>
          </cell>
          <cell r="DT474">
            <v>223.08</v>
          </cell>
        </row>
        <row r="475">
          <cell r="W475">
            <v>465.45</v>
          </cell>
          <cell r="AF475">
            <v>39861</v>
          </cell>
          <cell r="AG475">
            <v>604</v>
          </cell>
          <cell r="AH475">
            <v>384.16463266545236</v>
          </cell>
          <cell r="AM475">
            <v>3294</v>
          </cell>
          <cell r="AO475">
            <v>1533192.3</v>
          </cell>
          <cell r="AQ475">
            <v>1265438.3</v>
          </cell>
          <cell r="AU475">
            <v>0</v>
          </cell>
          <cell r="AW475">
            <v>0</v>
          </cell>
          <cell r="AY475">
            <v>985799</v>
          </cell>
          <cell r="AZ475">
            <v>299.27109896782025</v>
          </cell>
          <cell r="BA475">
            <v>0</v>
          </cell>
          <cell r="BB475">
            <v>0</v>
          </cell>
          <cell r="BC475">
            <v>0</v>
          </cell>
          <cell r="BD475">
            <v>0</v>
          </cell>
          <cell r="BG475">
            <v>0</v>
          </cell>
          <cell r="BH475">
            <v>0</v>
          </cell>
          <cell r="BI475">
            <v>32856</v>
          </cell>
          <cell r="BJ475">
            <v>9.9744990892531877</v>
          </cell>
          <cell r="BK475">
            <v>0</v>
          </cell>
          <cell r="BL475">
            <v>0</v>
          </cell>
          <cell r="BM475">
            <v>150045.29999999999</v>
          </cell>
          <cell r="BN475">
            <v>45.551092896174858</v>
          </cell>
          <cell r="BO475">
            <v>0</v>
          </cell>
          <cell r="BP475">
            <v>0</v>
          </cell>
          <cell r="BY475">
            <v>2131.92</v>
          </cell>
          <cell r="CF475">
            <v>460.16991480919592</v>
          </cell>
          <cell r="CG475">
            <v>2142.25</v>
          </cell>
          <cell r="CJ475">
            <v>0</v>
          </cell>
          <cell r="CK475">
            <v>0</v>
          </cell>
          <cell r="CL475">
            <v>0</v>
          </cell>
          <cell r="CM475">
            <v>0</v>
          </cell>
          <cell r="CN475">
            <v>0</v>
          </cell>
          <cell r="CO475">
            <v>0</v>
          </cell>
          <cell r="CX475">
            <v>0</v>
          </cell>
          <cell r="CY475">
            <v>0</v>
          </cell>
          <cell r="DB475">
            <v>0</v>
          </cell>
          <cell r="DC475">
            <v>0</v>
          </cell>
          <cell r="DJ475" t="str">
            <v>НКРКП</v>
          </cell>
          <cell r="DL475">
            <v>40816</v>
          </cell>
          <cell r="DM475">
            <v>151</v>
          </cell>
          <cell r="DO475" t="str">
            <v>для споживачів від модульних котелень на опалення, пар, технологічні потреби, вентиляцію</v>
          </cell>
          <cell r="DT475">
            <v>690.32</v>
          </cell>
        </row>
        <row r="476">
          <cell r="W476">
            <v>465.45</v>
          </cell>
          <cell r="AF476">
            <v>39861</v>
          </cell>
          <cell r="AG476">
            <v>604</v>
          </cell>
          <cell r="AH476">
            <v>384.15789473684208</v>
          </cell>
          <cell r="AM476">
            <v>57</v>
          </cell>
          <cell r="AO476">
            <v>26530.649999999998</v>
          </cell>
          <cell r="AQ476">
            <v>21897</v>
          </cell>
          <cell r="AU476">
            <v>0</v>
          </cell>
          <cell r="AW476">
            <v>0</v>
          </cell>
          <cell r="AY476">
            <v>17059</v>
          </cell>
          <cell r="AZ476">
            <v>299.28070175438597</v>
          </cell>
          <cell r="BA476">
            <v>0</v>
          </cell>
          <cell r="BB476">
            <v>0</v>
          </cell>
          <cell r="BC476">
            <v>0</v>
          </cell>
          <cell r="BD476">
            <v>0</v>
          </cell>
          <cell r="BG476">
            <v>0</v>
          </cell>
          <cell r="BH476">
            <v>0</v>
          </cell>
          <cell r="BI476">
            <v>569</v>
          </cell>
          <cell r="BJ476">
            <v>9.9824561403508767</v>
          </cell>
          <cell r="BK476">
            <v>0</v>
          </cell>
          <cell r="BL476">
            <v>0</v>
          </cell>
          <cell r="BM476">
            <v>2596</v>
          </cell>
          <cell r="BN476">
            <v>45.543859649122808</v>
          </cell>
          <cell r="BO476">
            <v>0</v>
          </cell>
          <cell r="BP476">
            <v>0</v>
          </cell>
          <cell r="BY476">
            <v>2131.92</v>
          </cell>
          <cell r="CF476">
            <v>7.9631228848173654</v>
          </cell>
          <cell r="CG476">
            <v>2142.25</v>
          </cell>
          <cell r="CJ476">
            <v>0</v>
          </cell>
          <cell r="CK476">
            <v>0</v>
          </cell>
          <cell r="CL476">
            <v>0</v>
          </cell>
          <cell r="CM476">
            <v>0</v>
          </cell>
          <cell r="CN476">
            <v>0</v>
          </cell>
          <cell r="CO476">
            <v>0</v>
          </cell>
          <cell r="CX476">
            <v>0</v>
          </cell>
          <cell r="CY476">
            <v>0</v>
          </cell>
          <cell r="DB476">
            <v>0</v>
          </cell>
          <cell r="DC476">
            <v>0</v>
          </cell>
          <cell r="DJ476" t="str">
            <v>НКРКП</v>
          </cell>
          <cell r="DL476">
            <v>40816</v>
          </cell>
          <cell r="DM476">
            <v>151</v>
          </cell>
          <cell r="DO476" t="str">
            <v>для споживачів від модульних котелень на опалення, пар, технологічні потреби, вентиляцію</v>
          </cell>
          <cell r="DT476">
            <v>690.32</v>
          </cell>
        </row>
        <row r="477">
          <cell r="W477">
            <v>202.75</v>
          </cell>
          <cell r="AF477">
            <v>39646</v>
          </cell>
          <cell r="AG477">
            <v>396</v>
          </cell>
          <cell r="AH477">
            <v>189.53482131967314</v>
          </cell>
          <cell r="AM477">
            <v>8199</v>
          </cell>
          <cell r="AO477">
            <v>1662347.25</v>
          </cell>
          <cell r="AQ477">
            <v>1553996</v>
          </cell>
          <cell r="AU477">
            <v>0</v>
          </cell>
          <cell r="AW477">
            <v>0</v>
          </cell>
          <cell r="AY477">
            <v>833508.72000000009</v>
          </cell>
          <cell r="AZ477">
            <v>101.65980241492866</v>
          </cell>
          <cell r="BA477">
            <v>0</v>
          </cell>
          <cell r="BB477">
            <v>0</v>
          </cell>
          <cell r="BC477">
            <v>0</v>
          </cell>
          <cell r="BD477">
            <v>0</v>
          </cell>
          <cell r="BG477">
            <v>0</v>
          </cell>
          <cell r="BH477">
            <v>0</v>
          </cell>
          <cell r="BI477">
            <v>81310</v>
          </cell>
          <cell r="BJ477">
            <v>9.9170630564703011</v>
          </cell>
          <cell r="BK477">
            <v>0</v>
          </cell>
          <cell r="BL477">
            <v>0</v>
          </cell>
          <cell r="BM477">
            <v>390573</v>
          </cell>
          <cell r="BN477">
            <v>47.636663007683865</v>
          </cell>
          <cell r="BO477">
            <v>0</v>
          </cell>
          <cell r="BP477">
            <v>0</v>
          </cell>
          <cell r="BY477">
            <v>2131.92</v>
          </cell>
          <cell r="CF477">
            <v>1146</v>
          </cell>
          <cell r="CG477">
            <v>727.32</v>
          </cell>
          <cell r="CJ477">
            <v>0</v>
          </cell>
          <cell r="CK477">
            <v>0</v>
          </cell>
          <cell r="CL477">
            <v>0</v>
          </cell>
          <cell r="CM477">
            <v>0</v>
          </cell>
          <cell r="CN477">
            <v>0</v>
          </cell>
          <cell r="CO477">
            <v>0</v>
          </cell>
          <cell r="CX477">
            <v>0</v>
          </cell>
          <cell r="CY477">
            <v>0</v>
          </cell>
          <cell r="DB477">
            <v>0</v>
          </cell>
          <cell r="DC477">
            <v>0</v>
          </cell>
          <cell r="DJ477" t="str">
            <v>НКРЕ</v>
          </cell>
          <cell r="DL477">
            <v>40526</v>
          </cell>
          <cell r="DM477">
            <v>1805</v>
          </cell>
          <cell r="DO477" t="str">
            <v xml:space="preserve">на теплову енергію для споживачів від модульних котелень </v>
          </cell>
          <cell r="DT477">
            <v>223.08</v>
          </cell>
        </row>
        <row r="478">
          <cell r="W478">
            <v>465.45</v>
          </cell>
          <cell r="AF478">
            <v>39861</v>
          </cell>
          <cell r="AG478">
            <v>604</v>
          </cell>
          <cell r="AH478">
            <v>384.16436637390211</v>
          </cell>
          <cell r="AM478">
            <v>797</v>
          </cell>
          <cell r="AO478">
            <v>370963.64999999997</v>
          </cell>
          <cell r="AQ478">
            <v>306179</v>
          </cell>
          <cell r="AU478">
            <v>0</v>
          </cell>
          <cell r="AW478">
            <v>0</v>
          </cell>
          <cell r="AY478">
            <v>238518</v>
          </cell>
          <cell r="AZ478">
            <v>299.2697616060226</v>
          </cell>
          <cell r="BA478">
            <v>0</v>
          </cell>
          <cell r="BB478">
            <v>0</v>
          </cell>
          <cell r="BC478">
            <v>0</v>
          </cell>
          <cell r="BD478">
            <v>0</v>
          </cell>
          <cell r="BG478">
            <v>0</v>
          </cell>
          <cell r="BH478">
            <v>0</v>
          </cell>
          <cell r="BI478">
            <v>7950</v>
          </cell>
          <cell r="BJ478">
            <v>9.9749058971141782</v>
          </cell>
          <cell r="BK478">
            <v>0</v>
          </cell>
          <cell r="BL478">
            <v>0</v>
          </cell>
          <cell r="BM478">
            <v>36304.65</v>
          </cell>
          <cell r="BN478">
            <v>45.551631116687581</v>
          </cell>
          <cell r="BO478">
            <v>0</v>
          </cell>
          <cell r="BP478">
            <v>0</v>
          </cell>
          <cell r="BY478">
            <v>2131.92</v>
          </cell>
          <cell r="CF478">
            <v>111.33994631812347</v>
          </cell>
          <cell r="CG478">
            <v>2142.25</v>
          </cell>
          <cell r="CJ478">
            <v>0</v>
          </cell>
          <cell r="CK478">
            <v>0</v>
          </cell>
          <cell r="CL478">
            <v>0</v>
          </cell>
          <cell r="CM478">
            <v>0</v>
          </cell>
          <cell r="CN478">
            <v>0</v>
          </cell>
          <cell r="CO478">
            <v>0</v>
          </cell>
          <cell r="CX478">
            <v>0</v>
          </cell>
          <cell r="CY478">
            <v>0</v>
          </cell>
          <cell r="DB478">
            <v>0</v>
          </cell>
          <cell r="DC478">
            <v>0</v>
          </cell>
          <cell r="DJ478" t="str">
            <v>НКРКП</v>
          </cell>
          <cell r="DL478">
            <v>40816</v>
          </cell>
          <cell r="DM478">
            <v>151</v>
          </cell>
          <cell r="DO478" t="str">
            <v xml:space="preserve">для споживачів від модульних котелень на централізоване гаряче водопостачання (підігрів води) </v>
          </cell>
          <cell r="DT478">
            <v>690.32</v>
          </cell>
        </row>
        <row r="479">
          <cell r="W479">
            <v>465.45</v>
          </cell>
          <cell r="AF479">
            <v>39861</v>
          </cell>
          <cell r="AG479">
            <v>604</v>
          </cell>
          <cell r="AH479">
            <v>384.16165413533832</v>
          </cell>
          <cell r="AM479">
            <v>133</v>
          </cell>
          <cell r="AO479">
            <v>61904.85</v>
          </cell>
          <cell r="AQ479">
            <v>51093.5</v>
          </cell>
          <cell r="AU479">
            <v>0</v>
          </cell>
          <cell r="AW479">
            <v>0</v>
          </cell>
          <cell r="AY479">
            <v>39803</v>
          </cell>
          <cell r="AZ479">
            <v>299.27067669172931</v>
          </cell>
          <cell r="BA479">
            <v>0</v>
          </cell>
          <cell r="BB479">
            <v>0</v>
          </cell>
          <cell r="BC479">
            <v>0</v>
          </cell>
          <cell r="BD479">
            <v>0</v>
          </cell>
          <cell r="BG479">
            <v>0</v>
          </cell>
          <cell r="BH479">
            <v>0</v>
          </cell>
          <cell r="BI479">
            <v>1327</v>
          </cell>
          <cell r="BJ479">
            <v>9.977443609022556</v>
          </cell>
          <cell r="BK479">
            <v>0</v>
          </cell>
          <cell r="BL479">
            <v>0</v>
          </cell>
          <cell r="BM479">
            <v>6058</v>
          </cell>
          <cell r="BN479">
            <v>45.548872180451127</v>
          </cell>
          <cell r="BO479">
            <v>0</v>
          </cell>
          <cell r="BP479">
            <v>0</v>
          </cell>
          <cell r="BY479">
            <v>2131.92</v>
          </cell>
          <cell r="CF479">
            <v>18.579997666005369</v>
          </cell>
          <cell r="CG479">
            <v>2142.25</v>
          </cell>
          <cell r="CJ479">
            <v>0</v>
          </cell>
          <cell r="CK479">
            <v>0</v>
          </cell>
          <cell r="CL479">
            <v>0</v>
          </cell>
          <cell r="CM479">
            <v>0</v>
          </cell>
          <cell r="CN479">
            <v>0</v>
          </cell>
          <cell r="CO479">
            <v>0</v>
          </cell>
          <cell r="CX479">
            <v>0</v>
          </cell>
          <cell r="CY479">
            <v>0</v>
          </cell>
          <cell r="DB479">
            <v>0</v>
          </cell>
          <cell r="DC479">
            <v>0</v>
          </cell>
          <cell r="DJ479" t="str">
            <v>НКРКП</v>
          </cell>
          <cell r="DL479">
            <v>40816</v>
          </cell>
          <cell r="DM479">
            <v>151</v>
          </cell>
          <cell r="DO479" t="str">
            <v xml:space="preserve">для споживачів від модульних котелень на централізоване гаряче водопостачання (підігрів води) </v>
          </cell>
          <cell r="DT479">
            <v>690.32</v>
          </cell>
        </row>
        <row r="480">
          <cell r="W480">
            <v>204.36</v>
          </cell>
          <cell r="AF480">
            <v>39646</v>
          </cell>
          <cell r="AG480">
            <v>395</v>
          </cell>
          <cell r="AH480">
            <v>190.98682148040638</v>
          </cell>
          <cell r="AM480">
            <v>430625</v>
          </cell>
          <cell r="AO480">
            <v>88002525</v>
          </cell>
          <cell r="AQ480">
            <v>82243700</v>
          </cell>
          <cell r="AU480">
            <v>0</v>
          </cell>
          <cell r="AW480">
            <v>5757903.2700000005</v>
          </cell>
          <cell r="AY480">
            <v>50626563.240000002</v>
          </cell>
          <cell r="AZ480">
            <v>117.56531376487663</v>
          </cell>
          <cell r="BA480">
            <v>0</v>
          </cell>
          <cell r="BB480">
            <v>0</v>
          </cell>
          <cell r="BC480">
            <v>0</v>
          </cell>
          <cell r="BD480">
            <v>0</v>
          </cell>
          <cell r="BG480">
            <v>0</v>
          </cell>
          <cell r="BH480">
            <v>0</v>
          </cell>
          <cell r="BI480">
            <v>4614100</v>
          </cell>
          <cell r="BJ480">
            <v>10.71489114658926</v>
          </cell>
          <cell r="BK480">
            <v>0</v>
          </cell>
          <cell r="BL480">
            <v>0</v>
          </cell>
          <cell r="BM480">
            <v>14081748</v>
          </cell>
          <cell r="BN480">
            <v>32.70072104499274</v>
          </cell>
          <cell r="BO480">
            <v>0</v>
          </cell>
          <cell r="BP480">
            <v>0</v>
          </cell>
          <cell r="BY480">
            <v>2062.1</v>
          </cell>
          <cell r="CF480">
            <v>69607</v>
          </cell>
          <cell r="CG480">
            <v>727.32</v>
          </cell>
          <cell r="CJ480">
            <v>0</v>
          </cell>
          <cell r="CK480">
            <v>0</v>
          </cell>
          <cell r="CL480">
            <v>0</v>
          </cell>
          <cell r="CM480">
            <v>168903</v>
          </cell>
          <cell r="CN480">
            <v>34.090000000000003</v>
          </cell>
          <cell r="CO480">
            <v>34.090000000000003</v>
          </cell>
          <cell r="CX480">
            <v>0</v>
          </cell>
          <cell r="CY480">
            <v>0</v>
          </cell>
          <cell r="DB480">
            <v>0</v>
          </cell>
          <cell r="DC480">
            <v>0</v>
          </cell>
          <cell r="DJ480" t="str">
            <v>НКРЕ</v>
          </cell>
          <cell r="DL480">
            <v>40526</v>
          </cell>
          <cell r="DM480">
            <v>1805</v>
          </cell>
          <cell r="DO480" t="str">
            <v>на теплову енергію для споживачів від централізованих джерел теплозабезпечення</v>
          </cell>
          <cell r="DT480">
            <v>224.79</v>
          </cell>
        </row>
        <row r="481">
          <cell r="W481">
            <v>503.34</v>
          </cell>
          <cell r="AF481">
            <v>39861</v>
          </cell>
          <cell r="AG481">
            <v>602</v>
          </cell>
          <cell r="AH481">
            <v>419.54496454179741</v>
          </cell>
          <cell r="AM481">
            <v>101669</v>
          </cell>
          <cell r="AO481">
            <v>51174074.460000001</v>
          </cell>
          <cell r="AQ481">
            <v>42654717</v>
          </cell>
          <cell r="AU481">
            <v>0</v>
          </cell>
          <cell r="AW481">
            <v>904000</v>
          </cell>
          <cell r="AY481">
            <v>35625617.5</v>
          </cell>
          <cell r="AZ481">
            <v>350.40786768828258</v>
          </cell>
          <cell r="BA481">
            <v>0</v>
          </cell>
          <cell r="BB481">
            <v>0</v>
          </cell>
          <cell r="BC481">
            <v>0</v>
          </cell>
          <cell r="BD481">
            <v>0</v>
          </cell>
          <cell r="BG481">
            <v>0</v>
          </cell>
          <cell r="BH481">
            <v>0</v>
          </cell>
          <cell r="BI481">
            <v>1375815</v>
          </cell>
          <cell r="BJ481">
            <v>13.532295980092259</v>
          </cell>
          <cell r="BK481">
            <v>0</v>
          </cell>
          <cell r="BL481">
            <v>0</v>
          </cell>
          <cell r="BM481">
            <v>3132464</v>
          </cell>
          <cell r="BN481">
            <v>30.810414187215375</v>
          </cell>
          <cell r="BO481">
            <v>0</v>
          </cell>
          <cell r="BP481">
            <v>0</v>
          </cell>
          <cell r="BY481">
            <v>2062.1</v>
          </cell>
          <cell r="CF481">
            <v>16630</v>
          </cell>
          <cell r="CG481">
            <v>2142.25</v>
          </cell>
          <cell r="CJ481">
            <v>0</v>
          </cell>
          <cell r="CK481">
            <v>0</v>
          </cell>
          <cell r="CL481">
            <v>0</v>
          </cell>
          <cell r="CM481">
            <v>28250</v>
          </cell>
          <cell r="CN481">
            <v>32</v>
          </cell>
          <cell r="CO481">
            <v>32</v>
          </cell>
          <cell r="CX481">
            <v>0</v>
          </cell>
          <cell r="CY481">
            <v>0</v>
          </cell>
          <cell r="DB481">
            <v>0</v>
          </cell>
          <cell r="DC481">
            <v>0</v>
          </cell>
          <cell r="DJ481" t="str">
            <v>НКРКП</v>
          </cell>
          <cell r="DL481">
            <v>40816</v>
          </cell>
          <cell r="DM481">
            <v>151</v>
          </cell>
          <cell r="DO481" t="str">
            <v>від централізованих джерел теплозабезпечення на опалення, пар, технологічні потреби, вентиляцію</v>
          </cell>
          <cell r="DT481">
            <v>766.64</v>
          </cell>
        </row>
        <row r="482">
          <cell r="W482">
            <v>503.34</v>
          </cell>
          <cell r="AF482">
            <v>39861</v>
          </cell>
          <cell r="AG482">
            <v>602</v>
          </cell>
          <cell r="AH482">
            <v>419.54495015986458</v>
          </cell>
          <cell r="AM482">
            <v>21268</v>
          </cell>
          <cell r="AO482">
            <v>10705035.119999999</v>
          </cell>
          <cell r="AQ482">
            <v>8922882</v>
          </cell>
          <cell r="AU482">
            <v>0</v>
          </cell>
          <cell r="AW482">
            <v>189120</v>
          </cell>
          <cell r="AY482">
            <v>7452887.75</v>
          </cell>
          <cell r="AZ482">
            <v>350.42729687793872</v>
          </cell>
          <cell r="BA482">
            <v>0</v>
          </cell>
          <cell r="BB482">
            <v>0</v>
          </cell>
          <cell r="BC482">
            <v>0</v>
          </cell>
          <cell r="BD482">
            <v>0</v>
          </cell>
          <cell r="BG482">
            <v>0</v>
          </cell>
          <cell r="BH482">
            <v>0</v>
          </cell>
          <cell r="BI482">
            <v>287805</v>
          </cell>
          <cell r="BJ482">
            <v>13.532302050028211</v>
          </cell>
          <cell r="BK482">
            <v>0</v>
          </cell>
          <cell r="BL482">
            <v>0</v>
          </cell>
          <cell r="BM482">
            <v>655276</v>
          </cell>
          <cell r="BN482">
            <v>30.810419409441415</v>
          </cell>
          <cell r="BO482">
            <v>0</v>
          </cell>
          <cell r="BP482">
            <v>0</v>
          </cell>
          <cell r="BY482">
            <v>2062.1</v>
          </cell>
          <cell r="CF482">
            <v>3479</v>
          </cell>
          <cell r="CG482">
            <v>2142.25</v>
          </cell>
          <cell r="CJ482">
            <v>0</v>
          </cell>
          <cell r="CK482">
            <v>0</v>
          </cell>
          <cell r="CL482">
            <v>0</v>
          </cell>
          <cell r="CM482">
            <v>5910</v>
          </cell>
          <cell r="CN482">
            <v>32</v>
          </cell>
          <cell r="CO482">
            <v>32</v>
          </cell>
          <cell r="CX482">
            <v>0</v>
          </cell>
          <cell r="CY482">
            <v>0</v>
          </cell>
          <cell r="DB482">
            <v>0</v>
          </cell>
          <cell r="DC482">
            <v>0</v>
          </cell>
          <cell r="DJ482" t="str">
            <v>НКРКП</v>
          </cell>
          <cell r="DL482">
            <v>40816</v>
          </cell>
          <cell r="DM482">
            <v>151</v>
          </cell>
          <cell r="DO482" t="str">
            <v>від централізованих джерел теплозабезпечення на опалення, пар, технологічні потреби, вентиляцію</v>
          </cell>
          <cell r="DT482">
            <v>766.64</v>
          </cell>
        </row>
        <row r="483">
          <cell r="W483">
            <v>217.27</v>
          </cell>
          <cell r="AF483">
            <v>39646</v>
          </cell>
          <cell r="AG483">
            <v>397</v>
          </cell>
          <cell r="AH483">
            <v>203.90102201512011</v>
          </cell>
          <cell r="AM483">
            <v>216533</v>
          </cell>
          <cell r="AO483">
            <v>47046124.910000004</v>
          </cell>
          <cell r="AQ483">
            <v>44151300</v>
          </cell>
          <cell r="AU483">
            <v>0</v>
          </cell>
          <cell r="AW483">
            <v>2935313.64</v>
          </cell>
          <cell r="AY483">
            <v>25456927.32</v>
          </cell>
          <cell r="AZ483">
            <v>117.56603991077573</v>
          </cell>
          <cell r="BA483">
            <v>0</v>
          </cell>
          <cell r="BB483">
            <v>0</v>
          </cell>
          <cell r="BC483">
            <v>0</v>
          </cell>
          <cell r="BD483">
            <v>0</v>
          </cell>
          <cell r="BG483">
            <v>0</v>
          </cell>
          <cell r="BH483">
            <v>0</v>
          </cell>
          <cell r="BI483">
            <v>5137900</v>
          </cell>
          <cell r="BJ483">
            <v>23.728022980330941</v>
          </cell>
          <cell r="BK483">
            <v>0</v>
          </cell>
          <cell r="BL483">
            <v>0</v>
          </cell>
          <cell r="BM483">
            <v>7080785</v>
          </cell>
          <cell r="BN483">
            <v>32.700719982635441</v>
          </cell>
          <cell r="BO483">
            <v>0</v>
          </cell>
          <cell r="BP483">
            <v>0</v>
          </cell>
          <cell r="BY483">
            <v>2062.1</v>
          </cell>
          <cell r="CF483">
            <v>35001</v>
          </cell>
          <cell r="CG483">
            <v>727.32</v>
          </cell>
          <cell r="CJ483">
            <v>0</v>
          </cell>
          <cell r="CK483">
            <v>0</v>
          </cell>
          <cell r="CL483">
            <v>0</v>
          </cell>
          <cell r="CM483">
            <v>86282</v>
          </cell>
          <cell r="CN483">
            <v>34.020000000000003</v>
          </cell>
          <cell r="CO483">
            <v>34.020000000000003</v>
          </cell>
          <cell r="CX483">
            <v>0</v>
          </cell>
          <cell r="CY483">
            <v>0</v>
          </cell>
          <cell r="DB483">
            <v>0</v>
          </cell>
          <cell r="DC483">
            <v>0</v>
          </cell>
          <cell r="DJ483" t="str">
            <v>НКРЕ</v>
          </cell>
          <cell r="DL483">
            <v>40526</v>
          </cell>
          <cell r="DM483">
            <v>1805</v>
          </cell>
          <cell r="DO483" t="str">
            <v>на теплову енергію для споживачів від централізованих джерел теплозабезпечення</v>
          </cell>
          <cell r="DT483">
            <v>224.79</v>
          </cell>
        </row>
        <row r="484">
          <cell r="W484">
            <v>564.42999999999995</v>
          </cell>
          <cell r="AF484">
            <v>39861</v>
          </cell>
          <cell r="AG484">
            <v>603</v>
          </cell>
          <cell r="AH484">
            <v>480.62690850648607</v>
          </cell>
          <cell r="AM484">
            <v>8711</v>
          </cell>
          <cell r="AO484">
            <v>4916749.7299999995</v>
          </cell>
          <cell r="AQ484">
            <v>4186741</v>
          </cell>
          <cell r="AU484">
            <v>0</v>
          </cell>
          <cell r="AW484">
            <v>77440</v>
          </cell>
          <cell r="AY484">
            <v>3052406</v>
          </cell>
          <cell r="AZ484">
            <v>350.40821949259555</v>
          </cell>
          <cell r="BA484">
            <v>0</v>
          </cell>
          <cell r="BB484">
            <v>0</v>
          </cell>
          <cell r="BC484">
            <v>0</v>
          </cell>
          <cell r="BD484">
            <v>0</v>
          </cell>
          <cell r="BG484">
            <v>0</v>
          </cell>
          <cell r="BH484">
            <v>0</v>
          </cell>
          <cell r="BI484">
            <v>649964</v>
          </cell>
          <cell r="BJ484">
            <v>74.614165997015263</v>
          </cell>
          <cell r="BK484">
            <v>0</v>
          </cell>
          <cell r="BL484">
            <v>0</v>
          </cell>
          <cell r="BM484">
            <v>268389</v>
          </cell>
          <cell r="BN484">
            <v>30.810354723912294</v>
          </cell>
          <cell r="BO484">
            <v>0</v>
          </cell>
          <cell r="BP484">
            <v>0</v>
          </cell>
          <cell r="BY484">
            <v>2062.1</v>
          </cell>
          <cell r="CF484">
            <v>1424.8598436223597</v>
          </cell>
          <cell r="CG484">
            <v>2142.25</v>
          </cell>
          <cell r="CJ484">
            <v>0</v>
          </cell>
          <cell r="CK484">
            <v>0</v>
          </cell>
          <cell r="CL484">
            <v>0</v>
          </cell>
          <cell r="CM484">
            <v>2420</v>
          </cell>
          <cell r="CN484">
            <v>32</v>
          </cell>
          <cell r="CO484">
            <v>32</v>
          </cell>
          <cell r="CX484">
            <v>0</v>
          </cell>
          <cell r="CY484">
            <v>0</v>
          </cell>
          <cell r="DB484">
            <v>0</v>
          </cell>
          <cell r="DC484">
            <v>0</v>
          </cell>
          <cell r="DJ484" t="str">
            <v>НКРКП</v>
          </cell>
          <cell r="DL484">
            <v>40816</v>
          </cell>
          <cell r="DM484">
            <v>151</v>
          </cell>
          <cell r="DO484" t="str">
            <v xml:space="preserve">для споживачів від централізованих джерел теплозабезпечення на централізоване гаряче водопостачання (підігрів води) </v>
          </cell>
          <cell r="DT484">
            <v>827.73</v>
          </cell>
        </row>
        <row r="485">
          <cell r="W485">
            <v>564.42999999999995</v>
          </cell>
          <cell r="AF485">
            <v>39861</v>
          </cell>
          <cell r="AG485">
            <v>603</v>
          </cell>
          <cell r="AH485">
            <v>480.62706270627064</v>
          </cell>
          <cell r="AM485">
            <v>606</v>
          </cell>
          <cell r="AO485">
            <v>342044.57999999996</v>
          </cell>
          <cell r="AQ485">
            <v>291260</v>
          </cell>
          <cell r="AU485">
            <v>0</v>
          </cell>
          <cell r="AW485">
            <v>5376</v>
          </cell>
          <cell r="AY485">
            <v>212348</v>
          </cell>
          <cell r="AZ485">
            <v>350.40924092409239</v>
          </cell>
          <cell r="BA485">
            <v>0</v>
          </cell>
          <cell r="BB485">
            <v>0</v>
          </cell>
          <cell r="BC485">
            <v>0</v>
          </cell>
          <cell r="BD485">
            <v>0</v>
          </cell>
          <cell r="BG485">
            <v>0</v>
          </cell>
          <cell r="BH485">
            <v>0</v>
          </cell>
          <cell r="BI485">
            <v>45216</v>
          </cell>
          <cell r="BJ485">
            <v>74.613861386138609</v>
          </cell>
          <cell r="BK485">
            <v>0</v>
          </cell>
          <cell r="BL485">
            <v>0</v>
          </cell>
          <cell r="BM485">
            <v>18671</v>
          </cell>
          <cell r="BN485">
            <v>30.810231023102311</v>
          </cell>
          <cell r="BO485">
            <v>0</v>
          </cell>
          <cell r="BP485">
            <v>0</v>
          </cell>
          <cell r="BY485">
            <v>2062.1</v>
          </cell>
          <cell r="CF485">
            <v>99.123818415217642</v>
          </cell>
          <cell r="CG485">
            <v>2142.25</v>
          </cell>
          <cell r="CJ485">
            <v>0</v>
          </cell>
          <cell r="CK485">
            <v>0</v>
          </cell>
          <cell r="CL485">
            <v>0</v>
          </cell>
          <cell r="CM485">
            <v>168</v>
          </cell>
          <cell r="CN485">
            <v>32</v>
          </cell>
          <cell r="CO485">
            <v>32</v>
          </cell>
          <cell r="CX485">
            <v>0</v>
          </cell>
          <cell r="CY485">
            <v>0</v>
          </cell>
          <cell r="DB485">
            <v>0</v>
          </cell>
          <cell r="DC485">
            <v>0</v>
          </cell>
          <cell r="DJ485" t="str">
            <v>НКРКП</v>
          </cell>
          <cell r="DL485">
            <v>40816</v>
          </cell>
          <cell r="DM485">
            <v>151</v>
          </cell>
          <cell r="DO485" t="str">
            <v xml:space="preserve">для споживачів від централізованих джерел теплозабезпечення на централізоване гаряче водопостачання (підігрів води) </v>
          </cell>
          <cell r="DT485">
            <v>827.73</v>
          </cell>
        </row>
        <row r="486">
          <cell r="W486">
            <v>213.67</v>
          </cell>
          <cell r="AF486">
            <v>40429</v>
          </cell>
          <cell r="AG486">
            <v>166</v>
          </cell>
          <cell r="AH486">
            <v>369.36688596179624</v>
          </cell>
          <cell r="AM486">
            <v>211131</v>
          </cell>
          <cell r="AO486">
            <v>45112360.769999996</v>
          </cell>
          <cell r="AQ486">
            <v>77984800</v>
          </cell>
          <cell r="AU486">
            <v>0</v>
          </cell>
          <cell r="AW486">
            <v>0</v>
          </cell>
          <cell r="AY486">
            <v>42467502.300000004</v>
          </cell>
          <cell r="AZ486">
            <v>201.14290322122287</v>
          </cell>
          <cell r="BA486">
            <v>0</v>
          </cell>
          <cell r="BB486">
            <v>0</v>
          </cell>
          <cell r="BC486">
            <v>0</v>
          </cell>
          <cell r="BD486">
            <v>0</v>
          </cell>
          <cell r="BG486">
            <v>0</v>
          </cell>
          <cell r="BH486">
            <v>0</v>
          </cell>
          <cell r="BI486">
            <v>7633420</v>
          </cell>
          <cell r="BJ486">
            <v>36.154899091085632</v>
          </cell>
          <cell r="BK486">
            <v>0</v>
          </cell>
          <cell r="BL486">
            <v>0</v>
          </cell>
          <cell r="BM486">
            <v>20593502</v>
          </cell>
          <cell r="BN486">
            <v>97.538978169951363</v>
          </cell>
          <cell r="BO486">
            <v>0</v>
          </cell>
          <cell r="BP486">
            <v>0</v>
          </cell>
          <cell r="BY486">
            <v>3383.88</v>
          </cell>
          <cell r="CF486">
            <v>38925.300000000003</v>
          </cell>
          <cell r="CG486">
            <v>1091</v>
          </cell>
          <cell r="CJ486">
            <v>0</v>
          </cell>
          <cell r="CK486">
            <v>0</v>
          </cell>
          <cell r="CL486">
            <v>0</v>
          </cell>
          <cell r="CM486">
            <v>0</v>
          </cell>
          <cell r="CN486">
            <v>0</v>
          </cell>
          <cell r="CO486">
            <v>0</v>
          </cell>
          <cell r="CX486">
            <v>0</v>
          </cell>
          <cell r="CY486">
            <v>0</v>
          </cell>
          <cell r="DB486">
            <v>0</v>
          </cell>
          <cell r="DC486">
            <v>0</v>
          </cell>
          <cell r="DJ486" t="str">
            <v>НКРЕ</v>
          </cell>
          <cell r="DL486">
            <v>40526</v>
          </cell>
          <cell r="DM486">
            <v>1767</v>
          </cell>
          <cell r="DO486" t="str">
            <v>тариф на теплову енергію</v>
          </cell>
          <cell r="DT486">
            <v>235.04</v>
          </cell>
        </row>
        <row r="487">
          <cell r="W487">
            <v>493.27</v>
          </cell>
          <cell r="AF487">
            <v>40429</v>
          </cell>
          <cell r="AG487">
            <v>167</v>
          </cell>
          <cell r="AH487">
            <v>611.70869743710045</v>
          </cell>
          <cell r="AM487">
            <v>68204</v>
          </cell>
          <cell r="AO487">
            <v>33642987.079999998</v>
          </cell>
          <cell r="AQ487">
            <v>41720980</v>
          </cell>
          <cell r="AU487">
            <v>0</v>
          </cell>
          <cell r="AW487">
            <v>0</v>
          </cell>
          <cell r="AY487">
            <v>30699891.022800002</v>
          </cell>
          <cell r="AZ487">
            <v>450.11862974019124</v>
          </cell>
          <cell r="BA487">
            <v>0</v>
          </cell>
          <cell r="BB487">
            <v>0</v>
          </cell>
          <cell r="BC487">
            <v>0</v>
          </cell>
          <cell r="BD487">
            <v>0</v>
          </cell>
          <cell r="BG487">
            <v>0</v>
          </cell>
          <cell r="BH487">
            <v>0</v>
          </cell>
          <cell r="BI487">
            <v>2060000</v>
          </cell>
          <cell r="BJ487">
            <v>30.203507125681778</v>
          </cell>
          <cell r="BK487">
            <v>0</v>
          </cell>
          <cell r="BL487">
            <v>0</v>
          </cell>
          <cell r="BM487">
            <v>6652487</v>
          </cell>
          <cell r="BN487">
            <v>97.538076945633691</v>
          </cell>
          <cell r="BO487">
            <v>0</v>
          </cell>
          <cell r="BP487">
            <v>0</v>
          </cell>
          <cell r="BY487">
            <v>3383.88</v>
          </cell>
          <cell r="CF487">
            <v>12454.62</v>
          </cell>
          <cell r="CG487">
            <v>2464.94</v>
          </cell>
          <cell r="CJ487">
            <v>0</v>
          </cell>
          <cell r="CK487">
            <v>0</v>
          </cell>
          <cell r="CL487">
            <v>0</v>
          </cell>
          <cell r="CM487">
            <v>0</v>
          </cell>
          <cell r="CN487">
            <v>0</v>
          </cell>
          <cell r="CO487">
            <v>0</v>
          </cell>
          <cell r="CX487">
            <v>0</v>
          </cell>
          <cell r="CY487">
            <v>0</v>
          </cell>
          <cell r="DB487">
            <v>0</v>
          </cell>
          <cell r="DC487">
            <v>0</v>
          </cell>
          <cell r="DJ487" t="str">
            <v>НКРКП</v>
          </cell>
          <cell r="DL487">
            <v>40984</v>
          </cell>
          <cell r="DM487">
            <v>131</v>
          </cell>
          <cell r="DT487">
            <v>877.89</v>
          </cell>
        </row>
        <row r="488">
          <cell r="W488">
            <v>493.27</v>
          </cell>
          <cell r="AF488">
            <v>40429</v>
          </cell>
          <cell r="AG488">
            <v>168</v>
          </cell>
          <cell r="AH488">
            <v>612.97947171978183</v>
          </cell>
          <cell r="AM488">
            <v>27864</v>
          </cell>
          <cell r="AO488">
            <v>13744475.279999999</v>
          </cell>
          <cell r="AQ488">
            <v>17080060</v>
          </cell>
          <cell r="AU488">
            <v>0</v>
          </cell>
          <cell r="AW488">
            <v>0</v>
          </cell>
          <cell r="AY488">
            <v>12619630.070999999</v>
          </cell>
          <cell r="AZ488">
            <v>452.90087822997413</v>
          </cell>
          <cell r="BA488">
            <v>0</v>
          </cell>
          <cell r="BB488">
            <v>0</v>
          </cell>
          <cell r="BC488">
            <v>0</v>
          </cell>
          <cell r="BD488">
            <v>0</v>
          </cell>
          <cell r="BG488">
            <v>0</v>
          </cell>
          <cell r="BH488">
            <v>0</v>
          </cell>
          <cell r="BI488">
            <v>771930</v>
          </cell>
          <cell r="BJ488">
            <v>27.703488372093023</v>
          </cell>
          <cell r="BK488">
            <v>0</v>
          </cell>
          <cell r="BL488">
            <v>0</v>
          </cell>
          <cell r="BM488">
            <v>2717879</v>
          </cell>
          <cell r="BN488">
            <v>97.540877117427499</v>
          </cell>
          <cell r="BO488">
            <v>0</v>
          </cell>
          <cell r="BP488">
            <v>0</v>
          </cell>
          <cell r="BY488">
            <v>3383.88</v>
          </cell>
          <cell r="CF488">
            <v>5119.6499999999996</v>
          </cell>
          <cell r="CG488">
            <v>2464.94</v>
          </cell>
          <cell r="CJ488">
            <v>0</v>
          </cell>
          <cell r="CK488">
            <v>0</v>
          </cell>
          <cell r="CL488">
            <v>0</v>
          </cell>
          <cell r="CM488">
            <v>0</v>
          </cell>
          <cell r="CN488">
            <v>0</v>
          </cell>
          <cell r="CO488">
            <v>0</v>
          </cell>
          <cell r="CX488">
            <v>0</v>
          </cell>
          <cell r="CY488">
            <v>0</v>
          </cell>
          <cell r="DB488">
            <v>0</v>
          </cell>
          <cell r="DC488">
            <v>0</v>
          </cell>
          <cell r="DJ488" t="str">
            <v>НКРКП</v>
          </cell>
          <cell r="DL488">
            <v>40984</v>
          </cell>
          <cell r="DM488">
            <v>131</v>
          </cell>
          <cell r="DT488">
            <v>880.8</v>
          </cell>
        </row>
        <row r="489">
          <cell r="AF489">
            <v>39512</v>
          </cell>
          <cell r="AG489">
            <v>149</v>
          </cell>
          <cell r="AM489">
            <v>71565</v>
          </cell>
          <cell r="AO489">
            <v>8287227</v>
          </cell>
          <cell r="AQ489">
            <v>8287090</v>
          </cell>
          <cell r="AU489">
            <v>0</v>
          </cell>
          <cell r="AW489">
            <v>0</v>
          </cell>
          <cell r="AY489">
            <v>4759766.9725409998</v>
          </cell>
          <cell r="AZ489">
            <v>66.509704080779713</v>
          </cell>
          <cell r="BA489">
            <v>2671593</v>
          </cell>
          <cell r="BB489">
            <v>37.330999790400334</v>
          </cell>
          <cell r="BG489">
            <v>714742</v>
          </cell>
          <cell r="BH489">
            <v>9.9873122336337588</v>
          </cell>
          <cell r="BI489">
            <v>140988</v>
          </cell>
          <cell r="BJ489">
            <v>1.9700691678893314</v>
          </cell>
          <cell r="BK489">
            <v>0</v>
          </cell>
          <cell r="BL489">
            <v>0</v>
          </cell>
          <cell r="BO489">
            <v>0</v>
          </cell>
          <cell r="BP489">
            <v>0</v>
          </cell>
          <cell r="CF489">
            <v>8326.0889999999999</v>
          </cell>
          <cell r="CG489">
            <v>571.66899999999998</v>
          </cell>
          <cell r="CJ489">
            <v>0</v>
          </cell>
          <cell r="CK489">
            <v>0</v>
          </cell>
          <cell r="CL489">
            <v>0</v>
          </cell>
          <cell r="CM489">
            <v>0</v>
          </cell>
          <cell r="CN489">
            <v>0</v>
          </cell>
          <cell r="CO489">
            <v>0</v>
          </cell>
          <cell r="CX489">
            <v>0</v>
          </cell>
          <cell r="CY489">
            <v>0</v>
          </cell>
          <cell r="DJ489" t="str">
            <v>НКРЕ</v>
          </cell>
          <cell r="DL489">
            <v>40526</v>
          </cell>
          <cell r="DM489">
            <v>1775</v>
          </cell>
          <cell r="DO489" t="str">
            <v>умовно-змінна частина двоставкового тарифу</v>
          </cell>
        </row>
        <row r="490">
          <cell r="AF490">
            <v>39874</v>
          </cell>
          <cell r="AG490">
            <v>547</v>
          </cell>
          <cell r="AM490">
            <v>22627</v>
          </cell>
          <cell r="AO490">
            <v>8002717.3600000003</v>
          </cell>
          <cell r="AQ490">
            <v>6958930</v>
          </cell>
          <cell r="AU490">
            <v>0</v>
          </cell>
          <cell r="AW490">
            <v>0</v>
          </cell>
          <cell r="AY490">
            <v>5984028.9983778</v>
          </cell>
          <cell r="AZ490">
            <v>264.46409150032264</v>
          </cell>
          <cell r="BA490">
            <v>588681</v>
          </cell>
          <cell r="BB490">
            <v>26.016749900561276</v>
          </cell>
          <cell r="BG490">
            <v>341263</v>
          </cell>
          <cell r="BH490">
            <v>15.082114288239714</v>
          </cell>
          <cell r="BI490">
            <v>44957</v>
          </cell>
          <cell r="BJ490">
            <v>1.9868740884783667</v>
          </cell>
          <cell r="BK490">
            <v>0</v>
          </cell>
          <cell r="BL490">
            <v>0</v>
          </cell>
          <cell r="BO490">
            <v>0</v>
          </cell>
          <cell r="BP490">
            <v>0</v>
          </cell>
          <cell r="CF490">
            <v>2746.416228</v>
          </cell>
          <cell r="CG490">
            <v>2178.85</v>
          </cell>
          <cell r="CJ490">
            <v>0</v>
          </cell>
          <cell r="CK490">
            <v>0</v>
          </cell>
          <cell r="CL490">
            <v>0</v>
          </cell>
          <cell r="CM490">
            <v>0</v>
          </cell>
          <cell r="CN490">
            <v>0</v>
          </cell>
          <cell r="CO490">
            <v>0</v>
          </cell>
          <cell r="CX490">
            <v>0</v>
          </cell>
          <cell r="CY490">
            <v>0</v>
          </cell>
          <cell r="DJ490" t="str">
            <v>НКРКП</v>
          </cell>
          <cell r="DL490">
            <v>40816</v>
          </cell>
          <cell r="DM490">
            <v>158</v>
          </cell>
        </row>
        <row r="491">
          <cell r="AF491">
            <v>39874</v>
          </cell>
          <cell r="AG491">
            <v>547</v>
          </cell>
          <cell r="AM491">
            <v>3809.1</v>
          </cell>
          <cell r="AO491">
            <v>1451000.463</v>
          </cell>
          <cell r="AQ491">
            <v>1160810</v>
          </cell>
          <cell r="AU491">
            <v>0</v>
          </cell>
          <cell r="AW491">
            <v>0</v>
          </cell>
          <cell r="AY491">
            <v>1041170.00905</v>
          </cell>
          <cell r="AZ491">
            <v>273.33753617652462</v>
          </cell>
          <cell r="BA491">
            <v>55220</v>
          </cell>
          <cell r="BB491">
            <v>14.496862775983828</v>
          </cell>
          <cell r="BG491">
            <v>59134</v>
          </cell>
          <cell r="BH491">
            <v>15.524402089732483</v>
          </cell>
          <cell r="BI491">
            <v>5286</v>
          </cell>
          <cell r="BJ491">
            <v>1.3877293848940695</v>
          </cell>
          <cell r="BK491">
            <v>0</v>
          </cell>
          <cell r="BL491">
            <v>0</v>
          </cell>
          <cell r="BO491">
            <v>0</v>
          </cell>
          <cell r="BP491">
            <v>0</v>
          </cell>
          <cell r="CF491">
            <v>477.85300000000001</v>
          </cell>
          <cell r="CG491">
            <v>2178.85</v>
          </cell>
          <cell r="CJ491">
            <v>0</v>
          </cell>
          <cell r="CK491">
            <v>0</v>
          </cell>
          <cell r="CL491">
            <v>0</v>
          </cell>
          <cell r="CM491">
            <v>0</v>
          </cell>
          <cell r="CN491">
            <v>0</v>
          </cell>
          <cell r="CO491">
            <v>0</v>
          </cell>
          <cell r="CX491">
            <v>0</v>
          </cell>
          <cell r="CY491">
            <v>0</v>
          </cell>
          <cell r="DJ491" t="str">
            <v>НКРКП</v>
          </cell>
          <cell r="DL491">
            <v>40816</v>
          </cell>
          <cell r="DM491">
            <v>158</v>
          </cell>
        </row>
        <row r="492">
          <cell r="AF492">
            <v>39527</v>
          </cell>
          <cell r="AG492">
            <v>149</v>
          </cell>
          <cell r="AO492">
            <v>6174106.8443999998</v>
          </cell>
          <cell r="AQ492">
            <v>6173937</v>
          </cell>
          <cell r="AY492">
            <v>940550.86062960001</v>
          </cell>
          <cell r="AZ492">
            <v>2169.3672401273179</v>
          </cell>
          <cell r="BC492">
            <v>0</v>
          </cell>
          <cell r="BD492">
            <v>0</v>
          </cell>
          <cell r="BG492">
            <v>133698</v>
          </cell>
          <cell r="BH492">
            <v>308.3725435925823</v>
          </cell>
          <cell r="BI492">
            <v>26372</v>
          </cell>
          <cell r="BJ492">
            <v>60.826644524402617</v>
          </cell>
          <cell r="BK492">
            <v>0</v>
          </cell>
          <cell r="BL492">
            <v>0</v>
          </cell>
          <cell r="BM492">
            <v>3607510</v>
          </cell>
          <cell r="BN492">
            <v>8320.6707260817402</v>
          </cell>
          <cell r="BO492">
            <v>0</v>
          </cell>
          <cell r="BP492">
            <v>0</v>
          </cell>
          <cell r="BY492">
            <v>1576</v>
          </cell>
          <cell r="CF492">
            <v>1645.2688800000001</v>
          </cell>
          <cell r="CG492">
            <v>571.66999999999996</v>
          </cell>
          <cell r="CX492">
            <v>0</v>
          </cell>
          <cell r="CY492">
            <v>0</v>
          </cell>
          <cell r="DB492">
            <v>0</v>
          </cell>
          <cell r="DC492">
            <v>0</v>
          </cell>
          <cell r="DJ492" t="str">
            <v>МОС</v>
          </cell>
          <cell r="DL492">
            <v>40556</v>
          </cell>
          <cell r="DM492">
            <v>7</v>
          </cell>
          <cell r="DO492" t="str">
            <v>тариф на теплову енергію</v>
          </cell>
        </row>
        <row r="493">
          <cell r="AF493">
            <v>39874</v>
          </cell>
          <cell r="AG493">
            <v>547</v>
          </cell>
          <cell r="AO493">
            <v>3282888.2172000008</v>
          </cell>
          <cell r="AQ493">
            <v>2854510</v>
          </cell>
          <cell r="AY493">
            <v>1182470.6103999999</v>
          </cell>
          <cell r="AZ493">
            <v>8651.3799414691239</v>
          </cell>
          <cell r="BC493">
            <v>0</v>
          </cell>
          <cell r="BD493">
            <v>0</v>
          </cell>
          <cell r="BG493">
            <v>64432</v>
          </cell>
          <cell r="BH493">
            <v>471.40766754462976</v>
          </cell>
          <cell r="BI493">
            <v>8488</v>
          </cell>
          <cell r="BJ493">
            <v>62.101258413813277</v>
          </cell>
          <cell r="BK493">
            <v>0</v>
          </cell>
          <cell r="BL493">
            <v>0</v>
          </cell>
          <cell r="BM493">
            <v>1140600</v>
          </cell>
          <cell r="BN493">
            <v>8345.0395083406493</v>
          </cell>
          <cell r="BO493">
            <v>0</v>
          </cell>
          <cell r="BP493">
            <v>0</v>
          </cell>
          <cell r="BY493">
            <v>1576</v>
          </cell>
          <cell r="CF493">
            <v>542.70399999999995</v>
          </cell>
          <cell r="CG493">
            <v>2178.85</v>
          </cell>
          <cell r="CX493">
            <v>0</v>
          </cell>
          <cell r="CY493">
            <v>0</v>
          </cell>
          <cell r="DB493">
            <v>0</v>
          </cell>
          <cell r="DC493">
            <v>0</v>
          </cell>
          <cell r="DJ493" t="str">
            <v>МОС</v>
          </cell>
          <cell r="DL493">
            <v>39954</v>
          </cell>
          <cell r="DM493">
            <v>414</v>
          </cell>
          <cell r="DO493" t="str">
            <v>на теплову енергію</v>
          </cell>
        </row>
        <row r="494">
          <cell r="AF494">
            <v>39874</v>
          </cell>
          <cell r="AG494">
            <v>547</v>
          </cell>
          <cell r="AO494">
            <v>607563.92280000006</v>
          </cell>
          <cell r="AQ494">
            <v>485140</v>
          </cell>
          <cell r="AY494">
            <v>205742.26895</v>
          </cell>
          <cell r="AZ494">
            <v>8883.5176575993082</v>
          </cell>
          <cell r="BC494">
            <v>0</v>
          </cell>
          <cell r="BD494">
            <v>0</v>
          </cell>
          <cell r="BG494">
            <v>11456</v>
          </cell>
          <cell r="BH494">
            <v>494.64594127806566</v>
          </cell>
          <cell r="BI494">
            <v>1024</v>
          </cell>
          <cell r="BJ494">
            <v>44.21416234887738</v>
          </cell>
          <cell r="BK494">
            <v>0</v>
          </cell>
          <cell r="BL494">
            <v>0</v>
          </cell>
          <cell r="BM494">
            <v>192020</v>
          </cell>
          <cell r="BN494">
            <v>8291.0189982728843</v>
          </cell>
          <cell r="BO494">
            <v>0</v>
          </cell>
          <cell r="BP494">
            <v>0</v>
          </cell>
          <cell r="BY494">
            <v>1576</v>
          </cell>
          <cell r="CF494">
            <v>94.427000000000007</v>
          </cell>
          <cell r="CG494">
            <v>2178.85</v>
          </cell>
          <cell r="CX494">
            <v>0</v>
          </cell>
          <cell r="CY494">
            <v>0</v>
          </cell>
          <cell r="DB494">
            <v>0</v>
          </cell>
          <cell r="DC494">
            <v>0</v>
          </cell>
          <cell r="DJ494" t="str">
            <v>МОС</v>
          </cell>
          <cell r="DL494">
            <v>39919</v>
          </cell>
          <cell r="DM494">
            <v>301</v>
          </cell>
          <cell r="DO494" t="str">
            <v>на теплову енергію</v>
          </cell>
        </row>
        <row r="495">
          <cell r="W495">
            <v>227.5</v>
          </cell>
          <cell r="AF495">
            <v>39671</v>
          </cell>
          <cell r="AG495">
            <v>550</v>
          </cell>
          <cell r="AH495">
            <v>234.05665236051502</v>
          </cell>
          <cell r="AM495">
            <v>58250</v>
          </cell>
          <cell r="AO495">
            <v>13251875</v>
          </cell>
          <cell r="AQ495">
            <v>13633800</v>
          </cell>
          <cell r="AU495">
            <v>0</v>
          </cell>
          <cell r="AW495">
            <v>291042.22000000003</v>
          </cell>
          <cell r="AY495">
            <v>6339321.1200000001</v>
          </cell>
          <cell r="AZ495">
            <v>108.82954712446352</v>
          </cell>
          <cell r="BA495">
            <v>44300</v>
          </cell>
          <cell r="BB495">
            <v>0.76051502145922745</v>
          </cell>
          <cell r="BC495">
            <v>0</v>
          </cell>
          <cell r="BD495">
            <v>0</v>
          </cell>
          <cell r="BG495">
            <v>0</v>
          </cell>
          <cell r="BH495">
            <v>0</v>
          </cell>
          <cell r="BI495">
            <v>1229000</v>
          </cell>
          <cell r="BJ495">
            <v>21.098712446351932</v>
          </cell>
          <cell r="BK495">
            <v>0</v>
          </cell>
          <cell r="BL495">
            <v>0</v>
          </cell>
          <cell r="BM495">
            <v>4085500</v>
          </cell>
          <cell r="BN495">
            <v>70.137339055793987</v>
          </cell>
          <cell r="BO495">
            <v>0</v>
          </cell>
          <cell r="BP495">
            <v>0</v>
          </cell>
          <cell r="BY495">
            <v>1506.17</v>
          </cell>
          <cell r="CF495">
            <v>8716</v>
          </cell>
          <cell r="CG495">
            <v>727.32</v>
          </cell>
          <cell r="CJ495">
            <v>0</v>
          </cell>
          <cell r="CK495">
            <v>0</v>
          </cell>
          <cell r="CL495">
            <v>0</v>
          </cell>
          <cell r="CM495">
            <v>1799</v>
          </cell>
          <cell r="CN495">
            <v>161.78</v>
          </cell>
          <cell r="CO495">
            <v>250.25</v>
          </cell>
          <cell r="CX495">
            <v>0</v>
          </cell>
          <cell r="CY495">
            <v>0</v>
          </cell>
          <cell r="DB495">
            <v>0</v>
          </cell>
          <cell r="DC495">
            <v>0</v>
          </cell>
          <cell r="DJ495" t="str">
            <v>НКРЕ</v>
          </cell>
          <cell r="DL495">
            <v>40526</v>
          </cell>
          <cell r="DM495">
            <v>1834</v>
          </cell>
          <cell r="DO495" t="str">
            <v>тариф на теплову енергію</v>
          </cell>
          <cell r="DT495">
            <v>250.25</v>
          </cell>
        </row>
        <row r="496">
          <cell r="W496">
            <v>650</v>
          </cell>
          <cell r="AF496">
            <v>39856</v>
          </cell>
          <cell r="AG496">
            <v>898</v>
          </cell>
          <cell r="AH496">
            <v>461.24980764298539</v>
          </cell>
          <cell r="AM496">
            <v>7798</v>
          </cell>
          <cell r="AO496">
            <v>5068700</v>
          </cell>
          <cell r="AQ496">
            <v>3596826</v>
          </cell>
          <cell r="AU496">
            <v>0</v>
          </cell>
          <cell r="AW496">
            <v>7394.9861899999996</v>
          </cell>
          <cell r="AY496">
            <v>2595560.5970249996</v>
          </cell>
          <cell r="AZ496">
            <v>332.84952513785578</v>
          </cell>
          <cell r="BA496">
            <v>0</v>
          </cell>
          <cell r="BB496">
            <v>0</v>
          </cell>
          <cell r="BC496">
            <v>0</v>
          </cell>
          <cell r="BD496">
            <v>0</v>
          </cell>
          <cell r="BG496">
            <v>0</v>
          </cell>
          <cell r="BH496">
            <v>0</v>
          </cell>
          <cell r="BI496">
            <v>211098</v>
          </cell>
          <cell r="BJ496">
            <v>27.070787381379841</v>
          </cell>
          <cell r="BK496">
            <v>0</v>
          </cell>
          <cell r="BL496">
            <v>0</v>
          </cell>
          <cell r="BM496">
            <v>547276</v>
          </cell>
          <cell r="BN496">
            <v>70.181585021800458</v>
          </cell>
          <cell r="BO496">
            <v>0</v>
          </cell>
          <cell r="BP496">
            <v>0</v>
          </cell>
          <cell r="BY496">
            <v>1506.17</v>
          </cell>
          <cell r="CF496">
            <v>1211.6048999999998</v>
          </cell>
          <cell r="CG496">
            <v>2142.25</v>
          </cell>
          <cell r="CJ496">
            <v>0</v>
          </cell>
          <cell r="CK496">
            <v>0</v>
          </cell>
          <cell r="CL496">
            <v>0</v>
          </cell>
          <cell r="CM496">
            <v>28.151</v>
          </cell>
          <cell r="CN496">
            <v>262.69</v>
          </cell>
          <cell r="CO496">
            <v>702.85</v>
          </cell>
          <cell r="CX496">
            <v>0</v>
          </cell>
          <cell r="CY496">
            <v>0</v>
          </cell>
          <cell r="DB496">
            <v>0</v>
          </cell>
          <cell r="DC496">
            <v>0</v>
          </cell>
          <cell r="DJ496" t="str">
            <v>НКРКП</v>
          </cell>
          <cell r="DL496">
            <v>40816</v>
          </cell>
          <cell r="DM496">
            <v>122</v>
          </cell>
          <cell r="DT496">
            <v>900.1</v>
          </cell>
        </row>
        <row r="497">
          <cell r="W497">
            <v>650</v>
          </cell>
          <cell r="AF497">
            <v>39856</v>
          </cell>
          <cell r="AG497">
            <v>898</v>
          </cell>
          <cell r="AH497">
            <v>461.24977973568281</v>
          </cell>
          <cell r="AM497">
            <v>4540</v>
          </cell>
          <cell r="AO497">
            <v>2951000</v>
          </cell>
          <cell r="AQ497">
            <v>2094074</v>
          </cell>
          <cell r="AU497">
            <v>0</v>
          </cell>
          <cell r="AW497">
            <v>4304.9637200000006</v>
          </cell>
          <cell r="AY497">
            <v>1511143.15</v>
          </cell>
          <cell r="AZ497">
            <v>332.85091409691626</v>
          </cell>
          <cell r="BA497">
            <v>0</v>
          </cell>
          <cell r="BB497">
            <v>0</v>
          </cell>
          <cell r="BC497">
            <v>0</v>
          </cell>
          <cell r="BD497">
            <v>0</v>
          </cell>
          <cell r="BG497">
            <v>0</v>
          </cell>
          <cell r="BH497">
            <v>0</v>
          </cell>
          <cell r="BI497">
            <v>122902</v>
          </cell>
          <cell r="BJ497">
            <v>27.070925110132158</v>
          </cell>
          <cell r="BK497">
            <v>0</v>
          </cell>
          <cell r="BL497">
            <v>0</v>
          </cell>
          <cell r="BM497">
            <v>318624</v>
          </cell>
          <cell r="BN497">
            <v>70.181497797356826</v>
          </cell>
          <cell r="BO497">
            <v>0</v>
          </cell>
          <cell r="BP497">
            <v>0</v>
          </cell>
          <cell r="BY497">
            <v>1506.17</v>
          </cell>
          <cell r="CF497">
            <v>705.4</v>
          </cell>
          <cell r="CG497">
            <v>2142.25</v>
          </cell>
          <cell r="CJ497">
            <v>0</v>
          </cell>
          <cell r="CK497">
            <v>0</v>
          </cell>
          <cell r="CL497">
            <v>0</v>
          </cell>
          <cell r="CM497">
            <v>16.388000000000002</v>
          </cell>
          <cell r="CN497">
            <v>262.69</v>
          </cell>
          <cell r="CO497">
            <v>702.85</v>
          </cell>
          <cell r="CX497">
            <v>0</v>
          </cell>
          <cell r="CY497">
            <v>0</v>
          </cell>
          <cell r="DB497">
            <v>0</v>
          </cell>
          <cell r="DC497">
            <v>0</v>
          </cell>
          <cell r="DJ497" t="str">
            <v>НКРКП</v>
          </cell>
          <cell r="DL497">
            <v>40816</v>
          </cell>
          <cell r="DM497">
            <v>122</v>
          </cell>
          <cell r="DT497">
            <v>900.1</v>
          </cell>
        </row>
        <row r="498">
          <cell r="AF498">
            <v>39874</v>
          </cell>
          <cell r="AG498">
            <v>37</v>
          </cell>
          <cell r="AO498">
            <v>3809899.9007999999</v>
          </cell>
          <cell r="AQ498">
            <v>3666900</v>
          </cell>
          <cell r="AY498">
            <v>0</v>
          </cell>
          <cell r="AZ498">
            <v>0</v>
          </cell>
          <cell r="BC498">
            <v>0</v>
          </cell>
          <cell r="BD498">
            <v>0</v>
          </cell>
          <cell r="BG498">
            <v>0</v>
          </cell>
          <cell r="BH498">
            <v>0</v>
          </cell>
          <cell r="BI498">
            <v>0</v>
          </cell>
          <cell r="BJ498">
            <v>0</v>
          </cell>
          <cell r="BK498">
            <v>0</v>
          </cell>
          <cell r="BL498">
            <v>0</v>
          </cell>
          <cell r="BM498">
            <v>2909900</v>
          </cell>
          <cell r="BN498">
            <v>10715.495654735603</v>
          </cell>
          <cell r="BO498">
            <v>0</v>
          </cell>
          <cell r="BP498">
            <v>0</v>
          </cell>
          <cell r="BY498">
            <v>2015</v>
          </cell>
          <cell r="CF498">
            <v>0</v>
          </cell>
          <cell r="CG498">
            <v>0</v>
          </cell>
          <cell r="CX498">
            <v>0</v>
          </cell>
          <cell r="CY498">
            <v>0</v>
          </cell>
          <cell r="DB498">
            <v>0</v>
          </cell>
          <cell r="DC498">
            <v>0</v>
          </cell>
          <cell r="DJ498" t="str">
            <v>МОС</v>
          </cell>
          <cell r="DL498">
            <v>40198</v>
          </cell>
          <cell r="DM498">
            <v>15</v>
          </cell>
          <cell r="DO498" t="str">
            <v xml:space="preserve">Централізоване опалення </v>
          </cell>
        </row>
        <row r="499">
          <cell r="AF499">
            <v>39874</v>
          </cell>
          <cell r="AG499">
            <v>37</v>
          </cell>
          <cell r="AO499">
            <v>1208999.93994</v>
          </cell>
          <cell r="AQ499">
            <v>1051300</v>
          </cell>
          <cell r="AY499">
            <v>0</v>
          </cell>
          <cell r="AZ499">
            <v>0</v>
          </cell>
          <cell r="BC499">
            <v>0</v>
          </cell>
          <cell r="BD499">
            <v>0</v>
          </cell>
          <cell r="BG499">
            <v>0</v>
          </cell>
          <cell r="BH499">
            <v>0</v>
          </cell>
          <cell r="BI499">
            <v>0</v>
          </cell>
          <cell r="BJ499">
            <v>0</v>
          </cell>
          <cell r="BK499">
            <v>0</v>
          </cell>
          <cell r="BL499">
            <v>0</v>
          </cell>
          <cell r="BM499">
            <v>834300</v>
          </cell>
          <cell r="BN499">
            <v>10715.821500076296</v>
          </cell>
          <cell r="BO499">
            <v>0</v>
          </cell>
          <cell r="BP499">
            <v>0</v>
          </cell>
          <cell r="BY499">
            <v>2015</v>
          </cell>
          <cell r="CF499">
            <v>0</v>
          </cell>
          <cell r="CG499">
            <v>0</v>
          </cell>
          <cell r="CX499">
            <v>0</v>
          </cell>
          <cell r="CY499">
            <v>0</v>
          </cell>
          <cell r="DB499">
            <v>0</v>
          </cell>
          <cell r="DC499">
            <v>0</v>
          </cell>
          <cell r="DJ499" t="str">
            <v>МОС</v>
          </cell>
          <cell r="DL499">
            <v>40198</v>
          </cell>
          <cell r="DM499">
            <v>15</v>
          </cell>
          <cell r="DO499" t="str">
            <v>на теплову енергію</v>
          </cell>
        </row>
        <row r="500">
          <cell r="AF500">
            <v>39874</v>
          </cell>
          <cell r="AG500">
            <v>37</v>
          </cell>
          <cell r="AO500">
            <v>309850.06001975999</v>
          </cell>
          <cell r="AQ500">
            <v>309850</v>
          </cell>
          <cell r="AY500">
            <v>0</v>
          </cell>
          <cell r="AZ500">
            <v>0</v>
          </cell>
          <cell r="BC500">
            <v>0</v>
          </cell>
          <cell r="BD500">
            <v>0</v>
          </cell>
          <cell r="BG500">
            <v>0</v>
          </cell>
          <cell r="BH500">
            <v>0</v>
          </cell>
          <cell r="BI500">
            <v>0</v>
          </cell>
          <cell r="BJ500">
            <v>0</v>
          </cell>
          <cell r="BK500">
            <v>0</v>
          </cell>
          <cell r="BL500">
            <v>0</v>
          </cell>
          <cell r="BM500">
            <v>245800</v>
          </cell>
          <cell r="BN500">
            <v>10711.729491962455</v>
          </cell>
          <cell r="BO500">
            <v>0</v>
          </cell>
          <cell r="BP500">
            <v>0</v>
          </cell>
          <cell r="BY500">
            <v>2015</v>
          </cell>
          <cell r="CF500">
            <v>0</v>
          </cell>
          <cell r="CG500">
            <v>0</v>
          </cell>
          <cell r="CX500">
            <v>0</v>
          </cell>
          <cell r="CY500">
            <v>0</v>
          </cell>
          <cell r="DB500">
            <v>0</v>
          </cell>
          <cell r="DC500">
            <v>0</v>
          </cell>
          <cell r="DJ500" t="str">
            <v>МОС</v>
          </cell>
          <cell r="DL500">
            <v>40198</v>
          </cell>
          <cell r="DM500">
            <v>15</v>
          </cell>
          <cell r="DO500" t="str">
            <v>на теплову енергію</v>
          </cell>
        </row>
        <row r="501">
          <cell r="AF501">
            <v>39874</v>
          </cell>
          <cell r="AG501">
            <v>37</v>
          </cell>
          <cell r="AM501">
            <v>45343</v>
          </cell>
          <cell r="AO501">
            <v>6734795.79</v>
          </cell>
          <cell r="AQ501">
            <v>6402013</v>
          </cell>
          <cell r="AU501">
            <v>0</v>
          </cell>
          <cell r="AW501">
            <v>0</v>
          </cell>
          <cell r="AY501">
            <v>5296213.3223999999</v>
          </cell>
          <cell r="AZ501">
            <v>116.80332846084291</v>
          </cell>
          <cell r="BA501">
            <v>0</v>
          </cell>
          <cell r="BB501">
            <v>0</v>
          </cell>
          <cell r="BG501">
            <v>0</v>
          </cell>
          <cell r="BH501">
            <v>0</v>
          </cell>
          <cell r="BI501">
            <v>1105800</v>
          </cell>
          <cell r="BJ501">
            <v>24.38744679443354</v>
          </cell>
          <cell r="BK501">
            <v>0</v>
          </cell>
          <cell r="BL501">
            <v>0</v>
          </cell>
          <cell r="BO501">
            <v>0</v>
          </cell>
          <cell r="BP501">
            <v>0</v>
          </cell>
          <cell r="CF501">
            <v>7281.82</v>
          </cell>
          <cell r="CG501">
            <v>727.32</v>
          </cell>
          <cell r="CJ501">
            <v>0</v>
          </cell>
          <cell r="CK501">
            <v>0</v>
          </cell>
          <cell r="CL501">
            <v>0</v>
          </cell>
          <cell r="CM501">
            <v>0</v>
          </cell>
          <cell r="CN501">
            <v>0</v>
          </cell>
          <cell r="CO501">
            <v>0</v>
          </cell>
          <cell r="CX501">
            <v>0</v>
          </cell>
          <cell r="CY501">
            <v>0</v>
          </cell>
          <cell r="DJ501" t="str">
            <v>НКРЕ</v>
          </cell>
          <cell r="DL501">
            <v>40526</v>
          </cell>
          <cell r="DM501">
            <v>1739</v>
          </cell>
          <cell r="DO501" t="str">
            <v>умовно-зміна частина двоставкового тарифу на теплову енергію</v>
          </cell>
        </row>
        <row r="502">
          <cell r="AF502">
            <v>39874</v>
          </cell>
          <cell r="AG502">
            <v>37</v>
          </cell>
          <cell r="AM502">
            <v>12840.65</v>
          </cell>
          <cell r="AO502">
            <v>5385111.7970000003</v>
          </cell>
          <cell r="AQ502">
            <v>4682700</v>
          </cell>
          <cell r="AU502">
            <v>0</v>
          </cell>
          <cell r="AW502">
            <v>0</v>
          </cell>
          <cell r="AY502">
            <v>4372699.6458749995</v>
          </cell>
          <cell r="AZ502">
            <v>340.53569296530935</v>
          </cell>
          <cell r="BA502">
            <v>0</v>
          </cell>
          <cell r="BB502">
            <v>0</v>
          </cell>
          <cell r="BG502">
            <v>0</v>
          </cell>
          <cell r="BH502">
            <v>0</v>
          </cell>
          <cell r="BI502">
            <v>310000</v>
          </cell>
          <cell r="BJ502">
            <v>24.142080034889201</v>
          </cell>
          <cell r="BK502">
            <v>0</v>
          </cell>
          <cell r="BL502">
            <v>0</v>
          </cell>
          <cell r="BO502">
            <v>0</v>
          </cell>
          <cell r="BP502">
            <v>0</v>
          </cell>
          <cell r="CF502">
            <v>2041.1714999999999</v>
          </cell>
          <cell r="CG502">
            <v>2142.25</v>
          </cell>
          <cell r="CJ502">
            <v>0</v>
          </cell>
          <cell r="CK502">
            <v>0</v>
          </cell>
          <cell r="CL502">
            <v>0</v>
          </cell>
          <cell r="CM502">
            <v>0</v>
          </cell>
          <cell r="CN502">
            <v>0</v>
          </cell>
          <cell r="CO502">
            <v>0</v>
          </cell>
          <cell r="CX502">
            <v>0</v>
          </cell>
          <cell r="CY502">
            <v>0</v>
          </cell>
          <cell r="DJ502" t="str">
            <v>НКРКП</v>
          </cell>
          <cell r="DL502">
            <v>40816</v>
          </cell>
          <cell r="DM502">
            <v>163</v>
          </cell>
        </row>
        <row r="503">
          <cell r="AF503">
            <v>39874</v>
          </cell>
          <cell r="AG503">
            <v>37</v>
          </cell>
          <cell r="AM503">
            <v>3784.35</v>
          </cell>
          <cell r="AO503">
            <v>1656107.247</v>
          </cell>
          <cell r="AQ503">
            <v>1380068</v>
          </cell>
          <cell r="AU503">
            <v>0</v>
          </cell>
          <cell r="AW503">
            <v>0</v>
          </cell>
          <cell r="AY503">
            <v>1288768.1740999999</v>
          </cell>
          <cell r="AZ503">
            <v>340.55205625800994</v>
          </cell>
          <cell r="BA503">
            <v>0</v>
          </cell>
          <cell r="BB503">
            <v>0</v>
          </cell>
          <cell r="BG503">
            <v>0</v>
          </cell>
          <cell r="BH503">
            <v>0</v>
          </cell>
          <cell r="BI503">
            <v>91300</v>
          </cell>
          <cell r="BJ503">
            <v>24.125675479276495</v>
          </cell>
          <cell r="BK503">
            <v>0</v>
          </cell>
          <cell r="BL503">
            <v>0</v>
          </cell>
          <cell r="BO503">
            <v>0</v>
          </cell>
          <cell r="BP503">
            <v>0</v>
          </cell>
          <cell r="CF503">
            <v>601.59559999999999</v>
          </cell>
          <cell r="CG503">
            <v>2142.25</v>
          </cell>
          <cell r="CJ503">
            <v>0</v>
          </cell>
          <cell r="CK503">
            <v>0</v>
          </cell>
          <cell r="CL503">
            <v>0</v>
          </cell>
          <cell r="CM503">
            <v>0</v>
          </cell>
          <cell r="CN503">
            <v>0</v>
          </cell>
          <cell r="CO503">
            <v>0</v>
          </cell>
          <cell r="CX503">
            <v>0</v>
          </cell>
          <cell r="CY503">
            <v>0</v>
          </cell>
          <cell r="DJ503" t="str">
            <v>НКРКП</v>
          </cell>
          <cell r="DL503">
            <v>40816</v>
          </cell>
          <cell r="DM503">
            <v>163</v>
          </cell>
        </row>
        <row r="504">
          <cell r="W504">
            <v>251</v>
          </cell>
          <cell r="AF504">
            <v>40092</v>
          </cell>
          <cell r="AG504">
            <v>178</v>
          </cell>
          <cell r="AH504">
            <v>248.51327433628319</v>
          </cell>
          <cell r="AM504">
            <v>22600</v>
          </cell>
          <cell r="AO504">
            <v>5672600</v>
          </cell>
          <cell r="AQ504">
            <v>5616400</v>
          </cell>
          <cell r="AU504">
            <v>0</v>
          </cell>
          <cell r="AW504">
            <v>0</v>
          </cell>
          <cell r="AY504">
            <v>2530564.4760000003</v>
          </cell>
          <cell r="AZ504">
            <v>111.97187946902656</v>
          </cell>
          <cell r="BA504">
            <v>89636</v>
          </cell>
          <cell r="BB504">
            <v>3.9661946902654868</v>
          </cell>
          <cell r="BC504">
            <v>0</v>
          </cell>
          <cell r="BD504">
            <v>0</v>
          </cell>
          <cell r="BG504">
            <v>0</v>
          </cell>
          <cell r="BH504">
            <v>0</v>
          </cell>
          <cell r="BI504">
            <v>407000</v>
          </cell>
          <cell r="BJ504">
            <v>18.008849557522122</v>
          </cell>
          <cell r="BK504">
            <v>0</v>
          </cell>
          <cell r="BL504">
            <v>0</v>
          </cell>
          <cell r="BM504">
            <v>1905260</v>
          </cell>
          <cell r="BN504">
            <v>84.303539823008848</v>
          </cell>
          <cell r="BO504">
            <v>0</v>
          </cell>
          <cell r="BP504">
            <v>0</v>
          </cell>
          <cell r="BY504">
            <v>2059</v>
          </cell>
          <cell r="CF504">
            <v>3479.3</v>
          </cell>
          <cell r="CG504">
            <v>727.32</v>
          </cell>
          <cell r="CJ504">
            <v>0</v>
          </cell>
          <cell r="CK504">
            <v>0</v>
          </cell>
          <cell r="CL504">
            <v>0</v>
          </cell>
          <cell r="CM504">
            <v>0</v>
          </cell>
          <cell r="CN504">
            <v>0</v>
          </cell>
          <cell r="CO504">
            <v>0</v>
          </cell>
          <cell r="CX504">
            <v>0</v>
          </cell>
          <cell r="CY504">
            <v>0</v>
          </cell>
          <cell r="DB504">
            <v>0</v>
          </cell>
          <cell r="DC504">
            <v>0</v>
          </cell>
          <cell r="DJ504" t="str">
            <v>НКРКП</v>
          </cell>
          <cell r="DL504">
            <v>40526</v>
          </cell>
          <cell r="DM504">
            <v>1764</v>
          </cell>
          <cell r="DO504" t="str">
            <v>тариф на теплову енергію</v>
          </cell>
          <cell r="DT504">
            <v>276.08999999999997</v>
          </cell>
        </row>
        <row r="505">
          <cell r="W505">
            <v>507.42</v>
          </cell>
          <cell r="AF505">
            <v>40092</v>
          </cell>
          <cell r="AG505">
            <v>179</v>
          </cell>
          <cell r="AH505">
            <v>441.2167832167832</v>
          </cell>
          <cell r="AM505">
            <v>12441</v>
          </cell>
          <cell r="AO505">
            <v>6312812.2199999997</v>
          </cell>
          <cell r="AQ505">
            <v>5489178</v>
          </cell>
          <cell r="AU505">
            <v>0</v>
          </cell>
          <cell r="AW505">
            <v>0</v>
          </cell>
          <cell r="AY505">
            <v>3666563.0322900005</v>
          </cell>
          <cell r="AZ505">
            <v>294.71610258741265</v>
          </cell>
          <cell r="BA505">
            <v>173739</v>
          </cell>
          <cell r="BB505">
            <v>13.965034965034965</v>
          </cell>
          <cell r="BC505">
            <v>0</v>
          </cell>
          <cell r="BD505">
            <v>0</v>
          </cell>
          <cell r="BG505">
            <v>0</v>
          </cell>
          <cell r="BH505">
            <v>0</v>
          </cell>
          <cell r="BI505">
            <v>224460</v>
          </cell>
          <cell r="BJ505">
            <v>18.041958041958043</v>
          </cell>
          <cell r="BK505">
            <v>0</v>
          </cell>
          <cell r="BL505">
            <v>0</v>
          </cell>
          <cell r="BM505">
            <v>1048820</v>
          </cell>
          <cell r="BN505">
            <v>84.303512579374654</v>
          </cell>
          <cell r="BO505">
            <v>0</v>
          </cell>
          <cell r="BP505">
            <v>0</v>
          </cell>
          <cell r="BY505">
            <v>2059</v>
          </cell>
          <cell r="CF505">
            <v>1679.883</v>
          </cell>
          <cell r="CG505">
            <v>2182.63</v>
          </cell>
          <cell r="CJ505">
            <v>0</v>
          </cell>
          <cell r="CK505">
            <v>0</v>
          </cell>
          <cell r="CL505">
            <v>0</v>
          </cell>
          <cell r="CM505">
            <v>0</v>
          </cell>
          <cell r="CN505">
            <v>0</v>
          </cell>
          <cell r="CO505">
            <v>0</v>
          </cell>
          <cell r="CX505">
            <v>0</v>
          </cell>
          <cell r="CY505">
            <v>0</v>
          </cell>
          <cell r="DB505">
            <v>0</v>
          </cell>
          <cell r="DC505">
            <v>0</v>
          </cell>
          <cell r="DJ505" t="str">
            <v>НКРКП</v>
          </cell>
          <cell r="DL505">
            <v>40816</v>
          </cell>
          <cell r="DM505">
            <v>88</v>
          </cell>
          <cell r="DT505">
            <v>719.59</v>
          </cell>
        </row>
        <row r="506">
          <cell r="W506">
            <v>529.48</v>
          </cell>
          <cell r="AF506">
            <v>40092</v>
          </cell>
          <cell r="AG506">
            <v>179</v>
          </cell>
          <cell r="AH506">
            <v>441.2167832167832</v>
          </cell>
          <cell r="AM506">
            <v>1859</v>
          </cell>
          <cell r="AO506">
            <v>984303.32000000007</v>
          </cell>
          <cell r="AQ506">
            <v>820222</v>
          </cell>
          <cell r="AU506">
            <v>0</v>
          </cell>
          <cell r="AW506">
            <v>0</v>
          </cell>
          <cell r="AY506">
            <v>547877.23470999999</v>
          </cell>
          <cell r="AZ506">
            <v>294.71610258741259</v>
          </cell>
          <cell r="BA506">
            <v>25961</v>
          </cell>
          <cell r="BB506">
            <v>13.965034965034965</v>
          </cell>
          <cell r="BC506">
            <v>0</v>
          </cell>
          <cell r="BD506">
            <v>0</v>
          </cell>
          <cell r="BG506">
            <v>0</v>
          </cell>
          <cell r="BH506">
            <v>0</v>
          </cell>
          <cell r="BI506">
            <v>33540</v>
          </cell>
          <cell r="BJ506">
            <v>18.041958041958043</v>
          </cell>
          <cell r="BK506">
            <v>0</v>
          </cell>
          <cell r="BL506">
            <v>0</v>
          </cell>
          <cell r="BM506">
            <v>156720</v>
          </cell>
          <cell r="BN506">
            <v>84.303388918773535</v>
          </cell>
          <cell r="BO506">
            <v>0</v>
          </cell>
          <cell r="BP506">
            <v>0</v>
          </cell>
          <cell r="BY506">
            <v>2059</v>
          </cell>
          <cell r="CF506">
            <v>251.017</v>
          </cell>
          <cell r="CG506">
            <v>2182.63</v>
          </cell>
          <cell r="CJ506">
            <v>0</v>
          </cell>
          <cell r="CK506">
            <v>0</v>
          </cell>
          <cell r="CL506">
            <v>0</v>
          </cell>
          <cell r="CM506">
            <v>0</v>
          </cell>
          <cell r="CN506">
            <v>0</v>
          </cell>
          <cell r="CO506">
            <v>0</v>
          </cell>
          <cell r="CX506">
            <v>0</v>
          </cell>
          <cell r="CY506">
            <v>0</v>
          </cell>
          <cell r="DB506">
            <v>0</v>
          </cell>
          <cell r="DC506">
            <v>0</v>
          </cell>
          <cell r="DJ506" t="str">
            <v>НКРКП</v>
          </cell>
          <cell r="DL506">
            <v>40816</v>
          </cell>
          <cell r="DM506">
            <v>88</v>
          </cell>
          <cell r="DT506">
            <v>741.65</v>
          </cell>
        </row>
        <row r="507">
          <cell r="W507">
            <v>204.17080442846557</v>
          </cell>
          <cell r="AF507">
            <v>39637</v>
          </cell>
          <cell r="AG507" t="str">
            <v>4/6-5/2023</v>
          </cell>
          <cell r="AH507">
            <v>195.58523749662538</v>
          </cell>
          <cell r="AM507">
            <v>1681666</v>
          </cell>
          <cell r="AO507">
            <v>343347100</v>
          </cell>
          <cell r="AQ507">
            <v>328909044</v>
          </cell>
          <cell r="AU507">
            <v>0</v>
          </cell>
          <cell r="AW507">
            <v>107607307.92</v>
          </cell>
          <cell r="AY507">
            <v>115056700</v>
          </cell>
          <cell r="AZ507">
            <v>68.418282821915881</v>
          </cell>
          <cell r="BA507">
            <v>0</v>
          </cell>
          <cell r="BB507">
            <v>0</v>
          </cell>
          <cell r="BC507">
            <v>0</v>
          </cell>
          <cell r="BD507">
            <v>0</v>
          </cell>
          <cell r="BG507">
            <v>16329756</v>
          </cell>
          <cell r="BH507">
            <v>9.7104633143561205</v>
          </cell>
          <cell r="BI507">
            <v>7904668</v>
          </cell>
          <cell r="BJ507">
            <v>4.7004981964313961</v>
          </cell>
          <cell r="BK507">
            <v>0</v>
          </cell>
          <cell r="BL507">
            <v>0</v>
          </cell>
          <cell r="BM507">
            <v>65704280</v>
          </cell>
          <cell r="BN507">
            <v>39.07094512227755</v>
          </cell>
          <cell r="BO507">
            <v>0</v>
          </cell>
          <cell r="BP507">
            <v>0</v>
          </cell>
          <cell r="BY507">
            <v>2116.5</v>
          </cell>
          <cell r="CF507">
            <v>183864</v>
          </cell>
          <cell r="CG507">
            <v>625.77067832745945</v>
          </cell>
          <cell r="CJ507">
            <v>0</v>
          </cell>
          <cell r="CK507">
            <v>0</v>
          </cell>
          <cell r="CL507">
            <v>0</v>
          </cell>
          <cell r="CM507">
            <v>631832</v>
          </cell>
          <cell r="CN507">
            <v>170.31</v>
          </cell>
          <cell r="CO507">
            <v>213.87655337118079</v>
          </cell>
          <cell r="CX507">
            <v>0</v>
          </cell>
          <cell r="CY507">
            <v>0</v>
          </cell>
          <cell r="DB507">
            <v>0</v>
          </cell>
          <cell r="DC507">
            <v>0</v>
          </cell>
          <cell r="DJ507" t="str">
            <v>НКРЕ</v>
          </cell>
          <cell r="DL507">
            <v>40526</v>
          </cell>
          <cell r="DM507">
            <v>1844</v>
          </cell>
          <cell r="DO507" t="str">
            <v>на теплову енергію</v>
          </cell>
          <cell r="DT507">
            <v>224.58</v>
          </cell>
        </row>
        <row r="508">
          <cell r="W508">
            <v>504.16500000000002</v>
          </cell>
          <cell r="AF508">
            <v>39861</v>
          </cell>
          <cell r="AG508" t="str">
            <v>6/1/1-107</v>
          </cell>
          <cell r="AH508">
            <v>480.13224529275215</v>
          </cell>
          <cell r="AM508">
            <v>393800</v>
          </cell>
          <cell r="AO508">
            <v>198540177</v>
          </cell>
          <cell r="AQ508">
            <v>189076078.19628578</v>
          </cell>
          <cell r="AU508">
            <v>0</v>
          </cell>
          <cell r="AW508">
            <v>56374549.513000004</v>
          </cell>
          <cell r="AY508">
            <v>107299631.6481816</v>
          </cell>
          <cell r="AZ508">
            <v>272.47240134124326</v>
          </cell>
          <cell r="BA508">
            <v>0</v>
          </cell>
          <cell r="BB508">
            <v>0</v>
          </cell>
          <cell r="BC508">
            <v>0</v>
          </cell>
          <cell r="BD508">
            <v>0</v>
          </cell>
          <cell r="BG508">
            <v>4328083</v>
          </cell>
          <cell r="BH508">
            <v>10.990561198577959</v>
          </cell>
          <cell r="BI508">
            <v>2552230</v>
          </cell>
          <cell r="BJ508">
            <v>6.4810309801929913</v>
          </cell>
          <cell r="BK508">
            <v>0</v>
          </cell>
          <cell r="BL508">
            <v>0</v>
          </cell>
          <cell r="BM508">
            <v>14677730</v>
          </cell>
          <cell r="BN508">
            <v>37.272041645505332</v>
          </cell>
          <cell r="BO508">
            <v>0</v>
          </cell>
          <cell r="BP508">
            <v>0</v>
          </cell>
          <cell r="BY508">
            <v>2362</v>
          </cell>
          <cell r="CF508">
            <v>50164.553778694863</v>
          </cell>
          <cell r="CG508">
            <v>2138.9531764110357</v>
          </cell>
          <cell r="CJ508">
            <v>0</v>
          </cell>
          <cell r="CK508">
            <v>0</v>
          </cell>
          <cell r="CL508">
            <v>0</v>
          </cell>
          <cell r="CM508">
            <v>127978.546</v>
          </cell>
          <cell r="CN508">
            <v>440.5</v>
          </cell>
          <cell r="CO508">
            <v>781.78747837822641</v>
          </cell>
          <cell r="CX508">
            <v>0</v>
          </cell>
          <cell r="CY508">
            <v>0</v>
          </cell>
          <cell r="DB508">
            <v>0</v>
          </cell>
          <cell r="DC508">
            <v>0</v>
          </cell>
          <cell r="DJ508" t="str">
            <v>НКРКП</v>
          </cell>
          <cell r="DL508">
            <v>40816</v>
          </cell>
          <cell r="DM508">
            <v>119</v>
          </cell>
          <cell r="DT508">
            <v>793.2</v>
          </cell>
        </row>
        <row r="509">
          <cell r="W509">
            <v>504.16500000000002</v>
          </cell>
          <cell r="AF509">
            <v>39861</v>
          </cell>
          <cell r="AG509" t="str">
            <v>6/1/1-107</v>
          </cell>
          <cell r="AH509">
            <v>480.13224529275215</v>
          </cell>
          <cell r="AM509">
            <v>381600</v>
          </cell>
          <cell r="AO509">
            <v>192389364</v>
          </cell>
          <cell r="AQ509">
            <v>183218464.80371422</v>
          </cell>
          <cell r="AU509">
            <v>0</v>
          </cell>
          <cell r="AW509">
            <v>54630202.109999999</v>
          </cell>
          <cell r="AY509">
            <v>103975468.35181843</v>
          </cell>
          <cell r="AZ509">
            <v>272.47240134124326</v>
          </cell>
          <cell r="BA509">
            <v>0</v>
          </cell>
          <cell r="BB509">
            <v>0</v>
          </cell>
          <cell r="BC509">
            <v>0</v>
          </cell>
          <cell r="BD509">
            <v>0</v>
          </cell>
          <cell r="BG509">
            <v>4193998</v>
          </cell>
          <cell r="BH509">
            <v>10.990560796645703</v>
          </cell>
          <cell r="BI509">
            <v>2473161</v>
          </cell>
          <cell r="BJ509">
            <v>6.4810298742138368</v>
          </cell>
          <cell r="BK509">
            <v>0</v>
          </cell>
          <cell r="BL509">
            <v>0</v>
          </cell>
          <cell r="BM509">
            <v>14223011</v>
          </cell>
          <cell r="BN509">
            <v>37.27204140461216</v>
          </cell>
          <cell r="BO509">
            <v>0</v>
          </cell>
          <cell r="BP509">
            <v>0</v>
          </cell>
          <cell r="BY509">
            <v>2362</v>
          </cell>
          <cell r="CF509">
            <v>48610.44622130513</v>
          </cell>
          <cell r="CG509">
            <v>2138.9531764110357</v>
          </cell>
          <cell r="CJ509">
            <v>0</v>
          </cell>
          <cell r="CK509">
            <v>0</v>
          </cell>
          <cell r="CL509">
            <v>0</v>
          </cell>
          <cell r="CM509">
            <v>124018.62</v>
          </cell>
          <cell r="CN509">
            <v>440.5</v>
          </cell>
          <cell r="CO509">
            <v>781.78747837822641</v>
          </cell>
          <cell r="CX509">
            <v>0</v>
          </cell>
          <cell r="CY509">
            <v>0</v>
          </cell>
          <cell r="DB509">
            <v>0</v>
          </cell>
          <cell r="DC509">
            <v>0</v>
          </cell>
          <cell r="DJ509" t="str">
            <v>НКРКП</v>
          </cell>
          <cell r="DL509">
            <v>40816</v>
          </cell>
          <cell r="DM509">
            <v>119</v>
          </cell>
          <cell r="DT509">
            <v>795.04</v>
          </cell>
        </row>
        <row r="510">
          <cell r="W510">
            <v>204.65</v>
          </cell>
          <cell r="AF510">
            <v>40014</v>
          </cell>
          <cell r="AG510">
            <v>517</v>
          </cell>
          <cell r="AH510">
            <v>201.15000285046463</v>
          </cell>
          <cell r="AM510">
            <v>87705</v>
          </cell>
          <cell r="AO510">
            <v>17948828.25</v>
          </cell>
          <cell r="AQ510">
            <v>17641861</v>
          </cell>
          <cell r="AU510">
            <v>0</v>
          </cell>
          <cell r="AW510">
            <v>2852586.9529071632</v>
          </cell>
          <cell r="AY510">
            <v>12170972.880000001</v>
          </cell>
          <cell r="AZ510">
            <v>138.77171062083121</v>
          </cell>
          <cell r="BA510">
            <v>0</v>
          </cell>
          <cell r="BB510">
            <v>0</v>
          </cell>
          <cell r="BC510">
            <v>1473444</v>
          </cell>
          <cell r="BD510">
            <v>16.8</v>
          </cell>
          <cell r="BG510">
            <v>0</v>
          </cell>
          <cell r="BH510">
            <v>0</v>
          </cell>
          <cell r="BI510">
            <v>0</v>
          </cell>
          <cell r="BJ510">
            <v>0</v>
          </cell>
          <cell r="BK510">
            <v>0</v>
          </cell>
          <cell r="BL510">
            <v>0</v>
          </cell>
          <cell r="BM510">
            <v>825975.21</v>
          </cell>
          <cell r="BN510">
            <v>9.4176524713528309</v>
          </cell>
          <cell r="BO510">
            <v>0</v>
          </cell>
          <cell r="BP510">
            <v>0</v>
          </cell>
          <cell r="BY510">
            <v>1867</v>
          </cell>
          <cell r="CF510">
            <v>16734</v>
          </cell>
          <cell r="CG510">
            <v>727.32</v>
          </cell>
          <cell r="CJ510">
            <v>0</v>
          </cell>
          <cell r="CK510">
            <v>0</v>
          </cell>
          <cell r="CL510">
            <v>0</v>
          </cell>
          <cell r="CM510">
            <v>100799.55027304849</v>
          </cell>
          <cell r="CN510">
            <v>28.299600000000002</v>
          </cell>
          <cell r="CO510">
            <v>28.299600000000002</v>
          </cell>
          <cell r="CX510">
            <v>0</v>
          </cell>
          <cell r="CY510">
            <v>0</v>
          </cell>
          <cell r="DB510">
            <v>21.02</v>
          </cell>
          <cell r="DC510">
            <v>21.02</v>
          </cell>
          <cell r="DJ510" t="str">
            <v>НКРЕ</v>
          </cell>
          <cell r="DL510">
            <v>40526</v>
          </cell>
          <cell r="DM510">
            <v>1722</v>
          </cell>
          <cell r="DO510" t="str">
            <v>на теплову енергію</v>
          </cell>
          <cell r="DT510">
            <v>225.12</v>
          </cell>
        </row>
        <row r="511">
          <cell r="W511">
            <v>306.08</v>
          </cell>
          <cell r="AF511">
            <v>40014</v>
          </cell>
          <cell r="AG511">
            <v>517</v>
          </cell>
          <cell r="AH511">
            <v>470.8</v>
          </cell>
          <cell r="AM511">
            <v>5730</v>
          </cell>
          <cell r="AO511">
            <v>1753838.4</v>
          </cell>
          <cell r="AQ511">
            <v>2697684</v>
          </cell>
          <cell r="AU511">
            <v>0</v>
          </cell>
          <cell r="AW511">
            <v>186367.06276903307</v>
          </cell>
          <cell r="AY511">
            <v>2340251.7407499999</v>
          </cell>
          <cell r="AZ511">
            <v>408.42089716404882</v>
          </cell>
          <cell r="BA511">
            <v>0</v>
          </cell>
          <cell r="BB511">
            <v>0</v>
          </cell>
          <cell r="BC511">
            <v>96264</v>
          </cell>
          <cell r="BD511">
            <v>16.8</v>
          </cell>
          <cell r="BG511">
            <v>0</v>
          </cell>
          <cell r="BH511">
            <v>0</v>
          </cell>
          <cell r="BI511">
            <v>0</v>
          </cell>
          <cell r="BJ511">
            <v>0</v>
          </cell>
          <cell r="BK511">
            <v>0</v>
          </cell>
          <cell r="BL511">
            <v>0</v>
          </cell>
          <cell r="BM511">
            <v>53963.15</v>
          </cell>
          <cell r="BN511">
            <v>9.4176527050610819</v>
          </cell>
          <cell r="BO511">
            <v>0</v>
          </cell>
          <cell r="BP511">
            <v>0</v>
          </cell>
          <cell r="BY511">
            <v>1867</v>
          </cell>
          <cell r="CF511">
            <v>1092.4269999999999</v>
          </cell>
          <cell r="CG511">
            <v>2142.25</v>
          </cell>
          <cell r="CJ511">
            <v>0</v>
          </cell>
          <cell r="CK511">
            <v>0</v>
          </cell>
          <cell r="CL511">
            <v>0</v>
          </cell>
          <cell r="CM511">
            <v>6585.501659706606</v>
          </cell>
          <cell r="CN511">
            <v>28.299600000000002</v>
          </cell>
          <cell r="CO511">
            <v>29.01</v>
          </cell>
          <cell r="CX511">
            <v>0</v>
          </cell>
          <cell r="CY511">
            <v>0</v>
          </cell>
          <cell r="DB511">
            <v>21.02</v>
          </cell>
          <cell r="DC511">
            <v>21.02</v>
          </cell>
          <cell r="DJ511" t="str">
            <v>НКРКП</v>
          </cell>
          <cell r="DL511">
            <v>40816</v>
          </cell>
          <cell r="DM511">
            <v>115</v>
          </cell>
          <cell r="DT511">
            <v>816.06</v>
          </cell>
        </row>
        <row r="512">
          <cell r="W512">
            <v>508.46</v>
          </cell>
          <cell r="AF512">
            <v>40014</v>
          </cell>
          <cell r="AG512">
            <v>517</v>
          </cell>
          <cell r="AH512">
            <v>470.8</v>
          </cell>
          <cell r="AM512">
            <v>9030</v>
          </cell>
          <cell r="AO512">
            <v>4591393.8</v>
          </cell>
          <cell r="AQ512">
            <v>4251324</v>
          </cell>
          <cell r="AU512">
            <v>0</v>
          </cell>
          <cell r="AW512">
            <v>293698.87902345002</v>
          </cell>
          <cell r="AY512">
            <v>3688039.7592500001</v>
          </cell>
          <cell r="AZ512">
            <v>408.42079282945735</v>
          </cell>
          <cell r="BA512">
            <v>0</v>
          </cell>
          <cell r="BB512">
            <v>0</v>
          </cell>
          <cell r="BC512">
            <v>151704</v>
          </cell>
          <cell r="BD512">
            <v>16.8</v>
          </cell>
          <cell r="BG512">
            <v>0</v>
          </cell>
          <cell r="BH512">
            <v>0</v>
          </cell>
          <cell r="BI512">
            <v>0</v>
          </cell>
          <cell r="BJ512">
            <v>0</v>
          </cell>
          <cell r="BK512">
            <v>0</v>
          </cell>
          <cell r="BL512">
            <v>0</v>
          </cell>
          <cell r="BM512">
            <v>85041.4</v>
          </cell>
          <cell r="BN512">
            <v>9.4176522702104091</v>
          </cell>
          <cell r="BO512">
            <v>0</v>
          </cell>
          <cell r="BP512">
            <v>0</v>
          </cell>
          <cell r="BY512">
            <v>1867</v>
          </cell>
          <cell r="CF512">
            <v>1721.5730000000001</v>
          </cell>
          <cell r="CG512">
            <v>2142.25</v>
          </cell>
          <cell r="CJ512">
            <v>0</v>
          </cell>
          <cell r="CK512">
            <v>0</v>
          </cell>
          <cell r="CL512">
            <v>0</v>
          </cell>
          <cell r="CM512">
            <v>10378.198950637112</v>
          </cell>
          <cell r="CN512">
            <v>28.299600000000002</v>
          </cell>
          <cell r="CO512">
            <v>29.01</v>
          </cell>
          <cell r="CX512">
            <v>0</v>
          </cell>
          <cell r="CY512">
            <v>0</v>
          </cell>
          <cell r="DB512">
            <v>21.02</v>
          </cell>
          <cell r="DC512">
            <v>21.02</v>
          </cell>
          <cell r="DJ512" t="str">
            <v>НКРКП</v>
          </cell>
          <cell r="DL512">
            <v>40816</v>
          </cell>
          <cell r="DM512">
            <v>115</v>
          </cell>
          <cell r="DT512">
            <v>816.06</v>
          </cell>
        </row>
        <row r="513">
          <cell r="W513">
            <v>343.3</v>
          </cell>
          <cell r="AF513">
            <v>40014</v>
          </cell>
          <cell r="AG513">
            <v>519</v>
          </cell>
          <cell r="AH513">
            <v>317.86968057332643</v>
          </cell>
          <cell r="AM513">
            <v>70191.070000000007</v>
          </cell>
          <cell r="AO513">
            <v>24096594.331000004</v>
          </cell>
          <cell r="AQ513">
            <v>22311613</v>
          </cell>
          <cell r="AU513">
            <v>0</v>
          </cell>
          <cell r="AW513">
            <v>7698556.6898470102</v>
          </cell>
          <cell r="AY513">
            <v>10740334.440000001</v>
          </cell>
          <cell r="AZ513">
            <v>153.01568190939389</v>
          </cell>
          <cell r="BA513">
            <v>0</v>
          </cell>
          <cell r="BB513">
            <v>0</v>
          </cell>
          <cell r="BC513">
            <v>2700248</v>
          </cell>
          <cell r="BD513">
            <v>38.469964911490877</v>
          </cell>
          <cell r="BG513">
            <v>0</v>
          </cell>
          <cell r="BH513">
            <v>0</v>
          </cell>
          <cell r="BI513">
            <v>0</v>
          </cell>
          <cell r="BJ513">
            <v>0</v>
          </cell>
          <cell r="BK513">
            <v>0</v>
          </cell>
          <cell r="BL513">
            <v>0</v>
          </cell>
          <cell r="BM513">
            <v>811300</v>
          </cell>
          <cell r="BN513">
            <v>11.558450384073073</v>
          </cell>
          <cell r="BO513">
            <v>0</v>
          </cell>
          <cell r="BP513">
            <v>0</v>
          </cell>
          <cell r="BY513">
            <v>1867</v>
          </cell>
          <cell r="CF513">
            <v>14767</v>
          </cell>
          <cell r="CG513">
            <v>727.32</v>
          </cell>
          <cell r="CJ513">
            <v>0</v>
          </cell>
          <cell r="CK513">
            <v>0</v>
          </cell>
          <cell r="CL513">
            <v>0</v>
          </cell>
          <cell r="CM513">
            <v>103475.22432590066</v>
          </cell>
          <cell r="CN513">
            <v>74.400000000000006</v>
          </cell>
          <cell r="CO513">
            <v>74.400000000000006</v>
          </cell>
          <cell r="CX513">
            <v>0</v>
          </cell>
          <cell r="CY513">
            <v>0</v>
          </cell>
          <cell r="DB513">
            <v>73.760000000000005</v>
          </cell>
          <cell r="DC513">
            <v>73.760000000000005</v>
          </cell>
          <cell r="DJ513" t="str">
            <v>НКРЕ</v>
          </cell>
          <cell r="DL513">
            <v>40526</v>
          </cell>
          <cell r="DM513">
            <v>1722</v>
          </cell>
          <cell r="DO513" t="str">
            <v>на теплову енергію</v>
          </cell>
          <cell r="DT513">
            <v>377.63</v>
          </cell>
        </row>
        <row r="514">
          <cell r="W514">
            <v>669.7</v>
          </cell>
          <cell r="AF514">
            <v>40014</v>
          </cell>
          <cell r="AG514">
            <v>519</v>
          </cell>
          <cell r="AH514">
            <v>620.08949267993023</v>
          </cell>
          <cell r="AM514">
            <v>12144.01</v>
          </cell>
          <cell r="AO514">
            <v>8132843.4970000004</v>
          </cell>
          <cell r="AQ514">
            <v>7530373</v>
          </cell>
          <cell r="AU514">
            <v>0</v>
          </cell>
          <cell r="AW514">
            <v>1331955.2712100139</v>
          </cell>
          <cell r="AY514">
            <v>5528333.1949999994</v>
          </cell>
          <cell r="AZ514">
            <v>455.23127821864438</v>
          </cell>
          <cell r="BA514">
            <v>0</v>
          </cell>
          <cell r="BB514">
            <v>0</v>
          </cell>
          <cell r="BC514">
            <v>467180</v>
          </cell>
          <cell r="BD514">
            <v>38.469994672270523</v>
          </cell>
          <cell r="BG514">
            <v>0</v>
          </cell>
          <cell r="BH514">
            <v>0</v>
          </cell>
          <cell r="BI514">
            <v>0</v>
          </cell>
          <cell r="BJ514">
            <v>0</v>
          </cell>
          <cell r="BK514">
            <v>0</v>
          </cell>
          <cell r="BL514">
            <v>0</v>
          </cell>
          <cell r="BM514">
            <v>140366</v>
          </cell>
          <cell r="BN514">
            <v>11.55845556780668</v>
          </cell>
          <cell r="BO514">
            <v>0</v>
          </cell>
          <cell r="BP514">
            <v>0</v>
          </cell>
          <cell r="BY514">
            <v>1867</v>
          </cell>
          <cell r="CF514">
            <v>2580.62</v>
          </cell>
          <cell r="CG514">
            <v>2142.25</v>
          </cell>
          <cell r="CJ514">
            <v>0</v>
          </cell>
          <cell r="CK514">
            <v>0</v>
          </cell>
          <cell r="CL514">
            <v>0</v>
          </cell>
          <cell r="CM514">
            <v>17902.62461303782</v>
          </cell>
          <cell r="CN514">
            <v>74.400000000000006</v>
          </cell>
          <cell r="CO514">
            <v>100.65</v>
          </cell>
          <cell r="CX514">
            <v>0</v>
          </cell>
          <cell r="CY514">
            <v>0</v>
          </cell>
          <cell r="DB514">
            <v>73.760000000000005</v>
          </cell>
          <cell r="DC514">
            <v>73.760000000000005</v>
          </cell>
          <cell r="DJ514" t="str">
            <v>НКРКП</v>
          </cell>
          <cell r="DL514">
            <v>40816</v>
          </cell>
          <cell r="DM514">
            <v>115</v>
          </cell>
          <cell r="DT514">
            <v>999.9</v>
          </cell>
        </row>
        <row r="515">
          <cell r="W515">
            <v>669.7</v>
          </cell>
          <cell r="AF515">
            <v>40014</v>
          </cell>
          <cell r="AG515">
            <v>519</v>
          </cell>
          <cell r="AH515">
            <v>620.09142857142854</v>
          </cell>
          <cell r="AM515">
            <v>350</v>
          </cell>
          <cell r="AO515">
            <v>234395.00000000003</v>
          </cell>
          <cell r="AQ515">
            <v>217032</v>
          </cell>
          <cell r="AU515">
            <v>0</v>
          </cell>
          <cell r="AW515">
            <v>38388.038942976367</v>
          </cell>
          <cell r="AY515">
            <v>159329.84375</v>
          </cell>
          <cell r="AZ515">
            <v>455.22812499999998</v>
          </cell>
          <cell r="BA515">
            <v>0</v>
          </cell>
          <cell r="BB515">
            <v>0</v>
          </cell>
          <cell r="BC515">
            <v>13465</v>
          </cell>
          <cell r="BD515">
            <v>38.471428571428568</v>
          </cell>
          <cell r="BG515">
            <v>0</v>
          </cell>
          <cell r="BH515">
            <v>0</v>
          </cell>
          <cell r="BI515">
            <v>0</v>
          </cell>
          <cell r="BJ515">
            <v>0</v>
          </cell>
          <cell r="BK515">
            <v>0</v>
          </cell>
          <cell r="BL515">
            <v>0</v>
          </cell>
          <cell r="BM515">
            <v>4045</v>
          </cell>
          <cell r="BN515">
            <v>11.557142857142857</v>
          </cell>
          <cell r="BO515">
            <v>0</v>
          </cell>
          <cell r="BP515">
            <v>0</v>
          </cell>
          <cell r="BY515">
            <v>1867</v>
          </cell>
          <cell r="CF515">
            <v>74.375</v>
          </cell>
          <cell r="CG515">
            <v>2142.25</v>
          </cell>
          <cell r="CJ515">
            <v>0</v>
          </cell>
          <cell r="CK515">
            <v>0</v>
          </cell>
          <cell r="CL515">
            <v>0</v>
          </cell>
          <cell r="CM515">
            <v>515.9682653625855</v>
          </cell>
          <cell r="CN515">
            <v>74.400000000000006</v>
          </cell>
          <cell r="CO515">
            <v>100.65</v>
          </cell>
          <cell r="CX515">
            <v>0</v>
          </cell>
          <cell r="CY515">
            <v>0</v>
          </cell>
          <cell r="DB515">
            <v>73.760000000000005</v>
          </cell>
          <cell r="DC515">
            <v>73.760000000000005</v>
          </cell>
          <cell r="DJ515" t="str">
            <v>НКРКП</v>
          </cell>
          <cell r="DL515">
            <v>40816</v>
          </cell>
          <cell r="DM515">
            <v>115</v>
          </cell>
          <cell r="DT515">
            <v>1038.01</v>
          </cell>
        </row>
        <row r="516">
          <cell r="W516">
            <v>293.10000000000002</v>
          </cell>
          <cell r="AF516">
            <v>40014</v>
          </cell>
          <cell r="AG516">
            <v>518</v>
          </cell>
          <cell r="AH516">
            <v>290.05999349223134</v>
          </cell>
          <cell r="AM516">
            <v>49172</v>
          </cell>
          <cell r="AO516">
            <v>14412313.200000001</v>
          </cell>
          <cell r="AQ516">
            <v>14262830</v>
          </cell>
          <cell r="AU516">
            <v>0</v>
          </cell>
          <cell r="AW516">
            <v>6353022.3999924501</v>
          </cell>
          <cell r="AY516">
            <v>5471628.3600000003</v>
          </cell>
          <cell r="AZ516">
            <v>111.27528593508501</v>
          </cell>
          <cell r="BA516">
            <v>0</v>
          </cell>
          <cell r="BB516">
            <v>0</v>
          </cell>
          <cell r="BC516">
            <v>1558752</v>
          </cell>
          <cell r="BD516">
            <v>31.699991865289189</v>
          </cell>
          <cell r="BG516">
            <v>0</v>
          </cell>
          <cell r="BH516">
            <v>0</v>
          </cell>
          <cell r="BI516">
            <v>0</v>
          </cell>
          <cell r="BJ516">
            <v>0</v>
          </cell>
          <cell r="BK516">
            <v>0</v>
          </cell>
          <cell r="BL516">
            <v>0</v>
          </cell>
          <cell r="BM516">
            <v>609646</v>
          </cell>
          <cell r="BN516">
            <v>12.398234767754007</v>
          </cell>
          <cell r="BO516">
            <v>0</v>
          </cell>
          <cell r="BP516">
            <v>0</v>
          </cell>
          <cell r="BY516">
            <v>1867</v>
          </cell>
          <cell r="CF516">
            <v>7523</v>
          </cell>
          <cell r="CG516">
            <v>727.32</v>
          </cell>
          <cell r="CJ516">
            <v>0</v>
          </cell>
          <cell r="CK516">
            <v>0</v>
          </cell>
          <cell r="CL516">
            <v>0</v>
          </cell>
          <cell r="CM516">
            <v>55973.765638700002</v>
          </cell>
          <cell r="CN516">
            <v>113.5</v>
          </cell>
          <cell r="CO516">
            <v>113.5</v>
          </cell>
          <cell r="CX516">
            <v>0</v>
          </cell>
          <cell r="CY516">
            <v>0</v>
          </cell>
          <cell r="DB516">
            <v>47.4</v>
          </cell>
          <cell r="DC516">
            <v>47.4</v>
          </cell>
          <cell r="DJ516" t="str">
            <v>НКРЕ</v>
          </cell>
          <cell r="DL516">
            <v>40526</v>
          </cell>
          <cell r="DM516">
            <v>1722</v>
          </cell>
          <cell r="DO516" t="str">
            <v>на теплову енергію</v>
          </cell>
          <cell r="DT516">
            <v>322.41000000000003</v>
          </cell>
        </row>
        <row r="517">
          <cell r="W517">
            <v>666.67</v>
          </cell>
          <cell r="AF517">
            <v>40014</v>
          </cell>
          <cell r="AG517">
            <v>518</v>
          </cell>
          <cell r="AH517">
            <v>507.14004720692367</v>
          </cell>
          <cell r="AM517">
            <v>8897</v>
          </cell>
          <cell r="AO517">
            <v>5931362.9899999993</v>
          </cell>
          <cell r="AQ517">
            <v>4512025</v>
          </cell>
          <cell r="AU517">
            <v>0</v>
          </cell>
          <cell r="AW517">
            <v>1149492.3999986001</v>
          </cell>
          <cell r="AY517">
            <v>2921329.9499988724</v>
          </cell>
          <cell r="AZ517">
            <v>328.34999999987326</v>
          </cell>
          <cell r="BA517">
            <v>0</v>
          </cell>
          <cell r="BB517">
            <v>0</v>
          </cell>
          <cell r="BC517">
            <v>282035</v>
          </cell>
          <cell r="BD517">
            <v>31.700011239743734</v>
          </cell>
          <cell r="BG517">
            <v>0</v>
          </cell>
          <cell r="BH517">
            <v>0</v>
          </cell>
          <cell r="BI517">
            <v>0</v>
          </cell>
          <cell r="BJ517">
            <v>0</v>
          </cell>
          <cell r="BK517">
            <v>0</v>
          </cell>
          <cell r="BL517">
            <v>0</v>
          </cell>
          <cell r="BM517">
            <v>110309</v>
          </cell>
          <cell r="BN517">
            <v>12.39844891536473</v>
          </cell>
          <cell r="BO517">
            <v>0</v>
          </cell>
          <cell r="BP517">
            <v>0</v>
          </cell>
          <cell r="BY517">
            <v>1867</v>
          </cell>
          <cell r="CF517">
            <v>1363.6736842099999</v>
          </cell>
          <cell r="CG517">
            <v>2142.25</v>
          </cell>
          <cell r="CJ517">
            <v>0</v>
          </cell>
          <cell r="CK517">
            <v>0</v>
          </cell>
          <cell r="CL517">
            <v>0</v>
          </cell>
          <cell r="CM517">
            <v>10127.6863436</v>
          </cell>
          <cell r="CN517">
            <v>113.5</v>
          </cell>
          <cell r="CO517">
            <v>138.24</v>
          </cell>
          <cell r="CX517">
            <v>0</v>
          </cell>
          <cell r="CY517">
            <v>0</v>
          </cell>
          <cell r="DB517">
            <v>47.4</v>
          </cell>
          <cell r="DC517">
            <v>47.4</v>
          </cell>
          <cell r="DJ517" t="str">
            <v>НКРКП</v>
          </cell>
          <cell r="DL517">
            <v>40816</v>
          </cell>
          <cell r="DM517">
            <v>115</v>
          </cell>
          <cell r="DT517">
            <v>895.48</v>
          </cell>
        </row>
        <row r="518">
          <cell r="W518">
            <v>547.71</v>
          </cell>
          <cell r="AF518">
            <v>40014</v>
          </cell>
          <cell r="AG518">
            <v>518</v>
          </cell>
          <cell r="AH518">
            <v>507.14010624169987</v>
          </cell>
          <cell r="AM518">
            <v>1506</v>
          </cell>
          <cell r="AO518">
            <v>824851.26</v>
          </cell>
          <cell r="AQ518">
            <v>763753</v>
          </cell>
          <cell r="AU518">
            <v>0</v>
          </cell>
          <cell r="AW518">
            <v>194575.19999985499</v>
          </cell>
          <cell r="AY518">
            <v>494495.09999892476</v>
          </cell>
          <cell r="AZ518">
            <v>328.34999999928601</v>
          </cell>
          <cell r="BA518">
            <v>0</v>
          </cell>
          <cell r="BB518">
            <v>0</v>
          </cell>
          <cell r="BC518">
            <v>47740</v>
          </cell>
          <cell r="BD518">
            <v>31.699867197875164</v>
          </cell>
          <cell r="BG518">
            <v>0</v>
          </cell>
          <cell r="BH518">
            <v>0</v>
          </cell>
          <cell r="BI518">
            <v>0</v>
          </cell>
          <cell r="BJ518">
            <v>0</v>
          </cell>
          <cell r="BK518">
            <v>0</v>
          </cell>
          <cell r="BL518">
            <v>0</v>
          </cell>
          <cell r="BM518">
            <v>18672</v>
          </cell>
          <cell r="BN518">
            <v>12.398406374501992</v>
          </cell>
          <cell r="BO518">
            <v>0</v>
          </cell>
          <cell r="BP518">
            <v>0</v>
          </cell>
          <cell r="BY518">
            <v>1867</v>
          </cell>
          <cell r="CF518">
            <v>230.829781771</v>
          </cell>
          <cell r="CG518">
            <v>2142.25</v>
          </cell>
          <cell r="CJ518">
            <v>0</v>
          </cell>
          <cell r="CK518">
            <v>0</v>
          </cell>
          <cell r="CL518">
            <v>0</v>
          </cell>
          <cell r="CM518">
            <v>1714.3189427299999</v>
          </cell>
          <cell r="CN518">
            <v>113.5</v>
          </cell>
          <cell r="CO518">
            <v>138.24</v>
          </cell>
          <cell r="CX518">
            <v>0</v>
          </cell>
          <cell r="CY518">
            <v>0</v>
          </cell>
          <cell r="DB518">
            <v>47.4</v>
          </cell>
          <cell r="DC518">
            <v>47.4</v>
          </cell>
          <cell r="DJ518" t="str">
            <v>НКРКП</v>
          </cell>
          <cell r="DL518">
            <v>40816</v>
          </cell>
          <cell r="DM518">
            <v>115</v>
          </cell>
          <cell r="DT518">
            <v>819.25</v>
          </cell>
        </row>
        <row r="519">
          <cell r="W519">
            <v>211.69512171113155</v>
          </cell>
          <cell r="AF519">
            <v>39643</v>
          </cell>
          <cell r="AG519">
            <v>385</v>
          </cell>
          <cell r="AH519">
            <v>236.40553127874884</v>
          </cell>
          <cell r="AM519">
            <v>104352</v>
          </cell>
          <cell r="AO519">
            <v>22090809.340799998</v>
          </cell>
          <cell r="AQ519">
            <v>24669390</v>
          </cell>
          <cell r="AU519">
            <v>0</v>
          </cell>
          <cell r="AW519">
            <v>0</v>
          </cell>
          <cell r="AY519">
            <v>12056309.999999998</v>
          </cell>
          <cell r="AZ519">
            <v>115.53501609935601</v>
          </cell>
          <cell r="BA519">
            <v>0</v>
          </cell>
          <cell r="BB519">
            <v>0</v>
          </cell>
          <cell r="BC519">
            <v>0</v>
          </cell>
          <cell r="BD519">
            <v>0</v>
          </cell>
          <cell r="BG519">
            <v>0</v>
          </cell>
          <cell r="BH519">
            <v>0</v>
          </cell>
          <cell r="BI519">
            <v>1475011</v>
          </cell>
          <cell r="BJ519">
            <v>14.13495668506593</v>
          </cell>
          <cell r="BK519">
            <v>0</v>
          </cell>
          <cell r="BL519">
            <v>0</v>
          </cell>
          <cell r="BM519">
            <v>8851138</v>
          </cell>
          <cell r="BN519">
            <v>84.820013032812014</v>
          </cell>
          <cell r="BO519">
            <v>0</v>
          </cell>
          <cell r="BP519">
            <v>0</v>
          </cell>
          <cell r="BY519">
            <v>2104.9699999999998</v>
          </cell>
          <cell r="CF519">
            <v>16720.792414258904</v>
          </cell>
          <cell r="CG519">
            <v>721.03700000000003</v>
          </cell>
          <cell r="CJ519">
            <v>0</v>
          </cell>
          <cell r="CK519">
            <v>0</v>
          </cell>
          <cell r="CL519">
            <v>0</v>
          </cell>
          <cell r="CM519">
            <v>0</v>
          </cell>
          <cell r="CN519">
            <v>0</v>
          </cell>
          <cell r="CO519">
            <v>0</v>
          </cell>
          <cell r="CX519">
            <v>0</v>
          </cell>
          <cell r="CY519">
            <v>0</v>
          </cell>
          <cell r="DB519">
            <v>0</v>
          </cell>
          <cell r="DC519">
            <v>0</v>
          </cell>
          <cell r="DJ519" t="str">
            <v>НКРЕ</v>
          </cell>
          <cell r="DL519">
            <v>40526</v>
          </cell>
          <cell r="DM519">
            <v>1806</v>
          </cell>
          <cell r="DO519" t="str">
            <v>тариф на теплову енергію</v>
          </cell>
          <cell r="DT519">
            <v>267.85200009199627</v>
          </cell>
        </row>
        <row r="520">
          <cell r="W520">
            <v>356.9</v>
          </cell>
          <cell r="AF520">
            <v>39643</v>
          </cell>
          <cell r="AG520">
            <v>387</v>
          </cell>
          <cell r="AH520">
            <v>324.9331960540178</v>
          </cell>
          <cell r="AM520">
            <v>20882</v>
          </cell>
          <cell r="AO520">
            <v>7452785.7999999998</v>
          </cell>
          <cell r="AQ520">
            <v>6785255</v>
          </cell>
          <cell r="AU520">
            <v>0</v>
          </cell>
          <cell r="AW520">
            <v>0</v>
          </cell>
          <cell r="AY520">
            <v>4119436.0000000005</v>
          </cell>
          <cell r="AZ520">
            <v>197.27210037352745</v>
          </cell>
          <cell r="BA520">
            <v>0</v>
          </cell>
          <cell r="BB520">
            <v>0</v>
          </cell>
          <cell r="BC520">
            <v>0</v>
          </cell>
          <cell r="BD520">
            <v>0</v>
          </cell>
          <cell r="BG520">
            <v>0</v>
          </cell>
          <cell r="BH520">
            <v>0</v>
          </cell>
          <cell r="BI520">
            <v>278540</v>
          </cell>
          <cell r="BJ520">
            <v>13.338760655109663</v>
          </cell>
          <cell r="BK520">
            <v>0</v>
          </cell>
          <cell r="BL520">
            <v>0</v>
          </cell>
          <cell r="BM520">
            <v>1940168</v>
          </cell>
          <cell r="BN520">
            <v>92.911023848290398</v>
          </cell>
          <cell r="BO520">
            <v>0</v>
          </cell>
          <cell r="BP520">
            <v>0</v>
          </cell>
          <cell r="BY520">
            <v>2104.9699999999998</v>
          </cell>
          <cell r="CF520">
            <v>3319.2348599606798</v>
          </cell>
          <cell r="CG520">
            <v>1241.08</v>
          </cell>
          <cell r="CJ520">
            <v>0</v>
          </cell>
          <cell r="CK520">
            <v>0</v>
          </cell>
          <cell r="CL520">
            <v>0</v>
          </cell>
          <cell r="CM520">
            <v>0</v>
          </cell>
          <cell r="CN520">
            <v>0</v>
          </cell>
          <cell r="CO520">
            <v>0</v>
          </cell>
          <cell r="CX520">
            <v>0</v>
          </cell>
          <cell r="CY520">
            <v>0</v>
          </cell>
          <cell r="DB520">
            <v>0</v>
          </cell>
          <cell r="DC520">
            <v>0</v>
          </cell>
          <cell r="DJ520" t="str">
            <v>НКРКП</v>
          </cell>
          <cell r="DL520">
            <v>40816</v>
          </cell>
          <cell r="DM520">
            <v>152</v>
          </cell>
          <cell r="DT520">
            <v>835.48</v>
          </cell>
        </row>
        <row r="521">
          <cell r="W521">
            <v>415</v>
          </cell>
          <cell r="AF521">
            <v>39643</v>
          </cell>
          <cell r="AG521">
            <v>390</v>
          </cell>
          <cell r="AH521">
            <v>345.8150301464255</v>
          </cell>
          <cell r="AM521">
            <v>9288</v>
          </cell>
          <cell r="AO521">
            <v>3854520</v>
          </cell>
          <cell r="AQ521">
            <v>3211930</v>
          </cell>
          <cell r="AU521">
            <v>0</v>
          </cell>
          <cell r="AW521">
            <v>0</v>
          </cell>
          <cell r="AY521">
            <v>1931662.3600000003</v>
          </cell>
          <cell r="AZ521">
            <v>207.97398363479763</v>
          </cell>
          <cell r="BA521">
            <v>0</v>
          </cell>
          <cell r="BB521">
            <v>0</v>
          </cell>
          <cell r="BC521">
            <v>0</v>
          </cell>
          <cell r="BD521">
            <v>0</v>
          </cell>
          <cell r="BG521">
            <v>0</v>
          </cell>
          <cell r="BH521">
            <v>0</v>
          </cell>
          <cell r="BI521">
            <v>152125</v>
          </cell>
          <cell r="BJ521">
            <v>16.378660637381568</v>
          </cell>
          <cell r="BK521">
            <v>0</v>
          </cell>
          <cell r="BL521">
            <v>0</v>
          </cell>
          <cell r="BM521">
            <v>916827</v>
          </cell>
          <cell r="BN521">
            <v>98.710917312661493</v>
          </cell>
          <cell r="BO521">
            <v>0</v>
          </cell>
          <cell r="BP521">
            <v>0</v>
          </cell>
          <cell r="BY521">
            <v>2104.9699999999998</v>
          </cell>
          <cell r="CF521">
            <v>1498.4</v>
          </cell>
          <cell r="CG521">
            <v>1289.1500000000001</v>
          </cell>
          <cell r="CJ521">
            <v>0</v>
          </cell>
          <cell r="CK521">
            <v>0</v>
          </cell>
          <cell r="CL521">
            <v>0</v>
          </cell>
          <cell r="CM521">
            <v>0</v>
          </cell>
          <cell r="CN521">
            <v>0</v>
          </cell>
          <cell r="CO521">
            <v>0</v>
          </cell>
          <cell r="CX521">
            <v>0</v>
          </cell>
          <cell r="CY521">
            <v>0</v>
          </cell>
          <cell r="DB521">
            <v>0</v>
          </cell>
          <cell r="DC521">
            <v>0</v>
          </cell>
          <cell r="DJ521" t="str">
            <v>НКРКП</v>
          </cell>
          <cell r="DL521">
            <v>40816</v>
          </cell>
          <cell r="DM521">
            <v>152</v>
          </cell>
          <cell r="DT521">
            <v>999.9</v>
          </cell>
        </row>
        <row r="522">
          <cell r="W522">
            <v>341.45</v>
          </cell>
          <cell r="AF522">
            <v>39643</v>
          </cell>
          <cell r="AG522">
            <v>389</v>
          </cell>
          <cell r="AH522">
            <v>313.92443064182197</v>
          </cell>
          <cell r="AM522">
            <v>966</v>
          </cell>
          <cell r="AO522">
            <v>329840.7</v>
          </cell>
          <cell r="AQ522">
            <v>303251</v>
          </cell>
          <cell r="AU522">
            <v>0</v>
          </cell>
          <cell r="AW522">
            <v>0</v>
          </cell>
          <cell r="AY522">
            <v>188783.00000000003</v>
          </cell>
          <cell r="AZ522">
            <v>195.42753623188409</v>
          </cell>
          <cell r="BA522">
            <v>0</v>
          </cell>
          <cell r="BB522">
            <v>0</v>
          </cell>
          <cell r="BC522">
            <v>0</v>
          </cell>
          <cell r="BD522">
            <v>0</v>
          </cell>
          <cell r="BG522">
            <v>0</v>
          </cell>
          <cell r="BH522">
            <v>0</v>
          </cell>
          <cell r="BI522">
            <v>12700</v>
          </cell>
          <cell r="BJ522">
            <v>13.146997929606625</v>
          </cell>
          <cell r="BK522">
            <v>0</v>
          </cell>
          <cell r="BL522">
            <v>0</v>
          </cell>
          <cell r="BM522">
            <v>82749</v>
          </cell>
          <cell r="BN522">
            <v>85.661490683229815</v>
          </cell>
          <cell r="BO522">
            <v>0</v>
          </cell>
          <cell r="BP522">
            <v>0</v>
          </cell>
          <cell r="BY522">
            <v>2104.9699999999998</v>
          </cell>
          <cell r="CF522">
            <v>152.11187030650726</v>
          </cell>
          <cell r="CG522">
            <v>1241.08</v>
          </cell>
          <cell r="CJ522">
            <v>0</v>
          </cell>
          <cell r="CK522">
            <v>0</v>
          </cell>
          <cell r="CL522">
            <v>0</v>
          </cell>
          <cell r="CM522">
            <v>0</v>
          </cell>
          <cell r="CN522">
            <v>0</v>
          </cell>
          <cell r="CO522">
            <v>0</v>
          </cell>
          <cell r="CX522">
            <v>0</v>
          </cell>
          <cell r="CY522">
            <v>0</v>
          </cell>
          <cell r="DB522">
            <v>0</v>
          </cell>
          <cell r="DC522">
            <v>0</v>
          </cell>
          <cell r="DJ522" t="str">
            <v>НКРКП</v>
          </cell>
          <cell r="DL522">
            <v>40816</v>
          </cell>
          <cell r="DM522">
            <v>152</v>
          </cell>
          <cell r="DO522" t="str">
            <v>на виробництво пари</v>
          </cell>
          <cell r="DT522">
            <v>835.48</v>
          </cell>
        </row>
        <row r="523">
          <cell r="W523">
            <v>176.00833333333335</v>
          </cell>
          <cell r="AF523">
            <v>39780</v>
          </cell>
          <cell r="AG523" t="str">
            <v>25/2440-221</v>
          </cell>
          <cell r="AH523">
            <v>168.72816046095642</v>
          </cell>
          <cell r="AM523">
            <v>23072.03</v>
          </cell>
          <cell r="AO523">
            <v>4060869.5469166669</v>
          </cell>
          <cell r="AQ523">
            <v>3892901.18</v>
          </cell>
          <cell r="AU523">
            <v>0</v>
          </cell>
          <cell r="AW523">
            <v>0</v>
          </cell>
          <cell r="AY523">
            <v>2434553.4900000002</v>
          </cell>
          <cell r="AZ523">
            <v>105.51969159194056</v>
          </cell>
          <cell r="BA523">
            <v>0</v>
          </cell>
          <cell r="BB523">
            <v>0</v>
          </cell>
          <cell r="BC523">
            <v>0</v>
          </cell>
          <cell r="BD523">
            <v>0</v>
          </cell>
          <cell r="BG523">
            <v>226735</v>
          </cell>
          <cell r="BH523">
            <v>9.8272670415217043</v>
          </cell>
          <cell r="BI523">
            <v>219654</v>
          </cell>
          <cell r="BJ523">
            <v>9.5203586333755634</v>
          </cell>
          <cell r="BK523">
            <v>0</v>
          </cell>
          <cell r="BL523">
            <v>0</v>
          </cell>
          <cell r="BM523">
            <v>812007.30176373699</v>
          </cell>
          <cell r="BN523">
            <v>35.194445472016852</v>
          </cell>
          <cell r="BO523">
            <v>0</v>
          </cell>
          <cell r="BP523">
            <v>0</v>
          </cell>
          <cell r="BY523">
            <v>1171.81</v>
          </cell>
          <cell r="CF523">
            <v>3347.2934746741462</v>
          </cell>
          <cell r="CG523">
            <v>727.32</v>
          </cell>
          <cell r="CJ523">
            <v>0</v>
          </cell>
          <cell r="CK523">
            <v>0</v>
          </cell>
          <cell r="CL523">
            <v>0</v>
          </cell>
          <cell r="CM523">
            <v>0</v>
          </cell>
          <cell r="CN523">
            <v>0</v>
          </cell>
          <cell r="CO523">
            <v>0</v>
          </cell>
          <cell r="CX523">
            <v>0</v>
          </cell>
          <cell r="CY523">
            <v>0</v>
          </cell>
          <cell r="DB523">
            <v>0</v>
          </cell>
          <cell r="DC523">
            <v>0</v>
          </cell>
          <cell r="DJ523" t="str">
            <v>МОС</v>
          </cell>
          <cell r="DL523">
            <v>40525</v>
          </cell>
          <cell r="DM523" t="str">
            <v>№ 263</v>
          </cell>
          <cell r="DO523" t="str">
            <v>на послугу з теплопостачання</v>
          </cell>
          <cell r="DT523">
            <v>321.62</v>
          </cell>
        </row>
        <row r="524">
          <cell r="W524">
            <v>417.00833333333338</v>
          </cell>
          <cell r="AF524">
            <v>40000</v>
          </cell>
          <cell r="AG524" t="str">
            <v>25/1190-78</v>
          </cell>
          <cell r="AH524">
            <v>407.81998034267139</v>
          </cell>
          <cell r="AM524">
            <v>5931.63</v>
          </cell>
          <cell r="AO524">
            <v>2473539.1402500002</v>
          </cell>
          <cell r="AQ524">
            <v>2419037.23</v>
          </cell>
          <cell r="AU524">
            <v>0</v>
          </cell>
          <cell r="AW524">
            <v>0</v>
          </cell>
          <cell r="AY524">
            <v>1882065.17</v>
          </cell>
          <cell r="AZ524">
            <v>317.29308301428102</v>
          </cell>
          <cell r="BA524">
            <v>0</v>
          </cell>
          <cell r="BB524">
            <v>0</v>
          </cell>
          <cell r="BC524">
            <v>0</v>
          </cell>
          <cell r="BD524">
            <v>0</v>
          </cell>
          <cell r="BG524">
            <v>69628</v>
          </cell>
          <cell r="BH524">
            <v>11.738426031293253</v>
          </cell>
          <cell r="BI524">
            <v>67397</v>
          </cell>
          <cell r="BJ524">
            <v>11.362306819542015</v>
          </cell>
          <cell r="BK524">
            <v>0</v>
          </cell>
          <cell r="BL524">
            <v>0</v>
          </cell>
          <cell r="BM524">
            <v>299728.22518761078</v>
          </cell>
          <cell r="BN524">
            <v>50.530499236737754</v>
          </cell>
          <cell r="BO524">
            <v>0</v>
          </cell>
          <cell r="BP524">
            <v>0</v>
          </cell>
          <cell r="BY524">
            <v>1496.89</v>
          </cell>
          <cell r="CF524">
            <v>862.28050635463148</v>
          </cell>
          <cell r="CG524">
            <v>2182.66</v>
          </cell>
          <cell r="CJ524">
            <v>0</v>
          </cell>
          <cell r="CK524">
            <v>0</v>
          </cell>
          <cell r="CL524">
            <v>0</v>
          </cell>
          <cell r="CM524">
            <v>0</v>
          </cell>
          <cell r="CN524">
            <v>0</v>
          </cell>
          <cell r="CO524">
            <v>0</v>
          </cell>
          <cell r="CX524">
            <v>0</v>
          </cell>
          <cell r="CY524">
            <v>0</v>
          </cell>
          <cell r="DB524">
            <v>0</v>
          </cell>
          <cell r="DC524">
            <v>0</v>
          </cell>
          <cell r="DJ524" t="str">
            <v>НКРКП</v>
          </cell>
          <cell r="DL524">
            <v>40942</v>
          </cell>
          <cell r="DM524" t="str">
            <v>№ 40</v>
          </cell>
          <cell r="DT524">
            <v>670.93</v>
          </cell>
        </row>
        <row r="525">
          <cell r="W525">
            <v>419.04166666666669</v>
          </cell>
          <cell r="AF525">
            <v>40000</v>
          </cell>
          <cell r="AG525" t="str">
            <v>25/1191-79</v>
          </cell>
          <cell r="AH525">
            <v>409.84873458681494</v>
          </cell>
          <cell r="AM525">
            <v>1746.07</v>
          </cell>
          <cell r="AO525">
            <v>731676.08291666664</v>
          </cell>
          <cell r="AQ525">
            <v>715624.58</v>
          </cell>
          <cell r="AU525">
            <v>0</v>
          </cell>
          <cell r="AW525">
            <v>0</v>
          </cell>
          <cell r="AY525">
            <v>553488.84</v>
          </cell>
          <cell r="AZ525">
            <v>316.99120882897017</v>
          </cell>
          <cell r="BA525">
            <v>0</v>
          </cell>
          <cell r="BB525">
            <v>0</v>
          </cell>
          <cell r="BC525">
            <v>0</v>
          </cell>
          <cell r="BD525">
            <v>0</v>
          </cell>
          <cell r="BG525">
            <v>20693</v>
          </cell>
          <cell r="BH525">
            <v>11.851185805838254</v>
          </cell>
          <cell r="BI525">
            <v>20047</v>
          </cell>
          <cell r="BJ525">
            <v>11.481212093444135</v>
          </cell>
          <cell r="BK525">
            <v>0</v>
          </cell>
          <cell r="BL525">
            <v>0</v>
          </cell>
          <cell r="BM525">
            <v>88229.788802290699</v>
          </cell>
          <cell r="BN525">
            <v>50.530499236737761</v>
          </cell>
          <cell r="BO525">
            <v>0</v>
          </cell>
          <cell r="BP525">
            <v>0</v>
          </cell>
          <cell r="BY525">
            <v>1496.89</v>
          </cell>
          <cell r="CF525">
            <v>253.58454363024933</v>
          </cell>
          <cell r="CG525">
            <v>2182.66</v>
          </cell>
          <cell r="CJ525">
            <v>0</v>
          </cell>
          <cell r="CK525">
            <v>0</v>
          </cell>
          <cell r="CL525">
            <v>0</v>
          </cell>
          <cell r="CM525">
            <v>0</v>
          </cell>
          <cell r="CN525">
            <v>0</v>
          </cell>
          <cell r="CO525">
            <v>0</v>
          </cell>
          <cell r="CX525">
            <v>0</v>
          </cell>
          <cell r="CY525">
            <v>0</v>
          </cell>
          <cell r="DB525">
            <v>0</v>
          </cell>
          <cell r="DC525">
            <v>0</v>
          </cell>
          <cell r="DJ525" t="str">
            <v>НКРКП</v>
          </cell>
          <cell r="DL525">
            <v>40942</v>
          </cell>
          <cell r="DM525" t="str">
            <v>№ 40</v>
          </cell>
          <cell r="DT525">
            <v>672.72</v>
          </cell>
        </row>
        <row r="526">
          <cell r="W526">
            <v>231.15</v>
          </cell>
          <cell r="AF526">
            <v>39741</v>
          </cell>
          <cell r="AG526" t="str">
            <v>№98</v>
          </cell>
          <cell r="AH526">
            <v>220.46995994659545</v>
          </cell>
          <cell r="AM526">
            <v>7490</v>
          </cell>
          <cell r="AO526">
            <v>1731313.5</v>
          </cell>
          <cell r="AQ526">
            <v>1651320</v>
          </cell>
          <cell r="AU526">
            <v>0</v>
          </cell>
          <cell r="AW526">
            <v>0</v>
          </cell>
          <cell r="AY526">
            <v>825526</v>
          </cell>
          <cell r="AZ526">
            <v>110.21708945260347</v>
          </cell>
          <cell r="BA526">
            <v>0</v>
          </cell>
          <cell r="BB526">
            <v>0</v>
          </cell>
          <cell r="BC526">
            <v>0</v>
          </cell>
          <cell r="BD526">
            <v>0</v>
          </cell>
          <cell r="BG526">
            <v>0</v>
          </cell>
          <cell r="BH526">
            <v>0</v>
          </cell>
          <cell r="BI526">
            <v>92452</v>
          </cell>
          <cell r="BJ526">
            <v>12.343391188251001</v>
          </cell>
          <cell r="BK526">
            <v>0</v>
          </cell>
          <cell r="BL526">
            <v>0</v>
          </cell>
          <cell r="BM526">
            <v>139109</v>
          </cell>
          <cell r="BN526">
            <v>18.572630173564754</v>
          </cell>
          <cell r="BO526">
            <v>0</v>
          </cell>
          <cell r="BP526">
            <v>0</v>
          </cell>
          <cell r="BY526">
            <v>0</v>
          </cell>
          <cell r="CF526">
            <v>1135.0307156724175</v>
          </cell>
          <cell r="CG526">
            <v>727.31600000000003</v>
          </cell>
          <cell r="CJ526">
            <v>0</v>
          </cell>
          <cell r="CK526">
            <v>0</v>
          </cell>
          <cell r="CL526">
            <v>0</v>
          </cell>
          <cell r="CM526">
            <v>0</v>
          </cell>
          <cell r="CN526">
            <v>0</v>
          </cell>
          <cell r="CO526">
            <v>0</v>
          </cell>
          <cell r="CX526">
            <v>0</v>
          </cell>
          <cell r="CY526">
            <v>0</v>
          </cell>
          <cell r="DB526">
            <v>0</v>
          </cell>
          <cell r="DC526">
            <v>0</v>
          </cell>
          <cell r="DJ526" t="str">
            <v>МОС</v>
          </cell>
          <cell r="DL526">
            <v>40541</v>
          </cell>
          <cell r="DM526" t="str">
            <v>№743</v>
          </cell>
          <cell r="DO526" t="str">
            <v>тариф на теплову енергію</v>
          </cell>
          <cell r="DT526">
            <v>261.9666666666667</v>
          </cell>
        </row>
        <row r="527">
          <cell r="W527">
            <v>479.99166666666667</v>
          </cell>
          <cell r="AF527">
            <v>39975</v>
          </cell>
          <cell r="AG527" t="str">
            <v>№40</v>
          </cell>
          <cell r="AH527">
            <v>436.09730632816877</v>
          </cell>
          <cell r="AM527">
            <v>5357</v>
          </cell>
          <cell r="AO527">
            <v>2571315.3583333334</v>
          </cell>
          <cell r="AQ527">
            <v>2336173.27</v>
          </cell>
          <cell r="AU527">
            <v>0</v>
          </cell>
          <cell r="AW527">
            <v>0</v>
          </cell>
          <cell r="AY527">
            <v>1842058.02</v>
          </cell>
          <cell r="AZ527">
            <v>343.86</v>
          </cell>
          <cell r="BA527">
            <v>0</v>
          </cell>
          <cell r="BB527">
            <v>0</v>
          </cell>
          <cell r="BC527">
            <v>0</v>
          </cell>
          <cell r="BD527">
            <v>0</v>
          </cell>
          <cell r="BG527">
            <v>0</v>
          </cell>
          <cell r="BH527">
            <v>0</v>
          </cell>
          <cell r="BI527">
            <v>72212.36</v>
          </cell>
          <cell r="BJ527">
            <v>13.48</v>
          </cell>
          <cell r="BK527">
            <v>0</v>
          </cell>
          <cell r="BL527">
            <v>0</v>
          </cell>
          <cell r="BM527">
            <v>99501</v>
          </cell>
          <cell r="BN527">
            <v>18.574015307074855</v>
          </cell>
          <cell r="BO527">
            <v>0</v>
          </cell>
          <cell r="BP527">
            <v>0</v>
          </cell>
          <cell r="BY527">
            <v>0</v>
          </cell>
          <cell r="CF527">
            <v>843.95161252142839</v>
          </cell>
          <cell r="CG527">
            <v>2182.6583333333333</v>
          </cell>
          <cell r="CJ527">
            <v>0</v>
          </cell>
          <cell r="CK527">
            <v>0</v>
          </cell>
          <cell r="CL527">
            <v>0</v>
          </cell>
          <cell r="CM527">
            <v>0</v>
          </cell>
          <cell r="CN527">
            <v>0</v>
          </cell>
          <cell r="CO527">
            <v>0</v>
          </cell>
          <cell r="CX527">
            <v>0</v>
          </cell>
          <cell r="CY527">
            <v>0</v>
          </cell>
          <cell r="DB527">
            <v>0</v>
          </cell>
          <cell r="DC527">
            <v>0</v>
          </cell>
          <cell r="DJ527" t="str">
            <v>МОС</v>
          </cell>
          <cell r="DL527">
            <v>40897</v>
          </cell>
          <cell r="DM527" t="str">
            <v>№562</v>
          </cell>
          <cell r="DT527">
            <v>765.40833333333342</v>
          </cell>
        </row>
        <row r="528">
          <cell r="W528">
            <v>476.22500000000002</v>
          </cell>
          <cell r="AF528">
            <v>39861</v>
          </cell>
          <cell r="AG528" t="str">
            <v>№19</v>
          </cell>
          <cell r="AH528">
            <v>437.62782086528722</v>
          </cell>
          <cell r="AM528">
            <v>69.11</v>
          </cell>
          <cell r="AO528">
            <v>32911.909749999999</v>
          </cell>
          <cell r="AQ528">
            <v>30244.458699999999</v>
          </cell>
          <cell r="AU528">
            <v>0</v>
          </cell>
          <cell r="AW528">
            <v>0</v>
          </cell>
          <cell r="AY528">
            <v>22800.771199999999</v>
          </cell>
          <cell r="AZ528">
            <v>329.92</v>
          </cell>
          <cell r="BA528">
            <v>0</v>
          </cell>
          <cell r="BB528">
            <v>0</v>
          </cell>
          <cell r="BC528">
            <v>0</v>
          </cell>
          <cell r="BD528">
            <v>0</v>
          </cell>
          <cell r="BG528">
            <v>0</v>
          </cell>
          <cell r="BH528">
            <v>0</v>
          </cell>
          <cell r="BI528">
            <v>931.6028</v>
          </cell>
          <cell r="BJ528">
            <v>13.48</v>
          </cell>
          <cell r="BK528">
            <v>0</v>
          </cell>
          <cell r="BL528">
            <v>0</v>
          </cell>
          <cell r="BM528">
            <v>1283</v>
          </cell>
          <cell r="BN528">
            <v>18.564607148024887</v>
          </cell>
          <cell r="BO528">
            <v>0</v>
          </cell>
          <cell r="BP528">
            <v>0</v>
          </cell>
          <cell r="BY528">
            <v>0</v>
          </cell>
          <cell r="CF528">
            <v>11.286113698799653</v>
          </cell>
          <cell r="CG528">
            <v>2020.25</v>
          </cell>
          <cell r="CJ528">
            <v>0</v>
          </cell>
          <cell r="CK528">
            <v>0</v>
          </cell>
          <cell r="CL528">
            <v>0</v>
          </cell>
          <cell r="CM528">
            <v>0</v>
          </cell>
          <cell r="CN528">
            <v>0</v>
          </cell>
          <cell r="CO528">
            <v>0</v>
          </cell>
          <cell r="CX528">
            <v>0</v>
          </cell>
          <cell r="CY528">
            <v>0</v>
          </cell>
          <cell r="DB528">
            <v>0</v>
          </cell>
          <cell r="DC528">
            <v>0</v>
          </cell>
          <cell r="DJ528" t="str">
            <v>МОС</v>
          </cell>
          <cell r="DL528">
            <v>40897</v>
          </cell>
          <cell r="DM528" t="str">
            <v>№562</v>
          </cell>
          <cell r="DT528">
            <v>813.25833333333333</v>
          </cell>
        </row>
        <row r="529">
          <cell r="W529">
            <v>238.75833333333333</v>
          </cell>
          <cell r="AF529">
            <v>39463</v>
          </cell>
          <cell r="AG529">
            <v>18</v>
          </cell>
          <cell r="AH529">
            <v>167.58559174837035</v>
          </cell>
          <cell r="AM529">
            <v>61906.025999999998</v>
          </cell>
          <cell r="AO529">
            <v>14780579.591049999</v>
          </cell>
          <cell r="AQ529">
            <v>10374558</v>
          </cell>
          <cell r="AU529">
            <v>0</v>
          </cell>
          <cell r="AW529">
            <v>0</v>
          </cell>
          <cell r="AY529">
            <v>4704138.0875499994</v>
          </cell>
          <cell r="AZ529">
            <v>75.988371270189418</v>
          </cell>
          <cell r="BA529">
            <v>757800</v>
          </cell>
          <cell r="BB529">
            <v>12.241134651415035</v>
          </cell>
          <cell r="BC529">
            <v>0</v>
          </cell>
          <cell r="BD529">
            <v>0</v>
          </cell>
          <cell r="BG529">
            <v>0</v>
          </cell>
          <cell r="BH529">
            <v>0</v>
          </cell>
          <cell r="BI529">
            <v>1343500</v>
          </cell>
          <cell r="BJ529">
            <v>21.702249147764711</v>
          </cell>
          <cell r="BK529">
            <v>0</v>
          </cell>
          <cell r="BL529">
            <v>0</v>
          </cell>
          <cell r="BM529">
            <v>1912600</v>
          </cell>
          <cell r="BN529">
            <v>30.895215273550267</v>
          </cell>
          <cell r="BO529">
            <v>0</v>
          </cell>
          <cell r="BP529">
            <v>0</v>
          </cell>
          <cell r="BY529">
            <v>991.1</v>
          </cell>
          <cell r="CF529">
            <v>8228.7649999999994</v>
          </cell>
          <cell r="CG529">
            <v>571.66999999999996</v>
          </cell>
          <cell r="CJ529">
            <v>0</v>
          </cell>
          <cell r="CK529">
            <v>0</v>
          </cell>
          <cell r="CL529">
            <v>0</v>
          </cell>
          <cell r="CM529">
            <v>0</v>
          </cell>
          <cell r="CN529">
            <v>0</v>
          </cell>
          <cell r="CO529">
            <v>0</v>
          </cell>
          <cell r="CX529">
            <v>0</v>
          </cell>
          <cell r="CY529">
            <v>0</v>
          </cell>
          <cell r="DB529">
            <v>0</v>
          </cell>
          <cell r="DC529">
            <v>0</v>
          </cell>
          <cell r="DJ529" t="str">
            <v>НКРЕ</v>
          </cell>
          <cell r="DL529">
            <v>40535</v>
          </cell>
          <cell r="DM529" t="str">
            <v>№1919</v>
          </cell>
          <cell r="DO529" t="str">
            <v>Тариф на теплову енергію</v>
          </cell>
          <cell r="DT529">
            <v>262.64</v>
          </cell>
        </row>
        <row r="530">
          <cell r="W530">
            <v>453.1583333333333</v>
          </cell>
          <cell r="AF530">
            <v>39463</v>
          </cell>
          <cell r="AG530">
            <v>19</v>
          </cell>
          <cell r="AH530">
            <v>230.60936613283502</v>
          </cell>
          <cell r="AM530">
            <v>7728.6540000000005</v>
          </cell>
          <cell r="AO530">
            <v>3502303.9655499998</v>
          </cell>
          <cell r="AQ530">
            <v>1782300</v>
          </cell>
          <cell r="AU530">
            <v>0</v>
          </cell>
          <cell r="AW530">
            <v>0</v>
          </cell>
          <cell r="AY530">
            <v>887588.49708000012</v>
          </cell>
          <cell r="AZ530">
            <v>114.84386506110897</v>
          </cell>
          <cell r="BA530">
            <v>199200</v>
          </cell>
          <cell r="BB530">
            <v>25.774216312439396</v>
          </cell>
          <cell r="BC530">
            <v>0</v>
          </cell>
          <cell r="BD530">
            <v>0</v>
          </cell>
          <cell r="BG530">
            <v>0</v>
          </cell>
          <cell r="BH530">
            <v>0</v>
          </cell>
          <cell r="BI530">
            <v>167700</v>
          </cell>
          <cell r="BJ530">
            <v>21.698474275080756</v>
          </cell>
          <cell r="BK530">
            <v>0</v>
          </cell>
          <cell r="BL530">
            <v>0</v>
          </cell>
          <cell r="BM530">
            <v>238700</v>
          </cell>
          <cell r="BN530">
            <v>30.885067438651024</v>
          </cell>
          <cell r="BO530">
            <v>0</v>
          </cell>
          <cell r="BP530">
            <v>0</v>
          </cell>
          <cell r="BY530">
            <v>991.1</v>
          </cell>
          <cell r="CF530">
            <v>830.77200000000005</v>
          </cell>
          <cell r="CG530">
            <v>1068.3900000000001</v>
          </cell>
          <cell r="CJ530">
            <v>0</v>
          </cell>
          <cell r="CK530">
            <v>0</v>
          </cell>
          <cell r="CL530">
            <v>0</v>
          </cell>
          <cell r="CM530">
            <v>0</v>
          </cell>
          <cell r="CN530">
            <v>0</v>
          </cell>
          <cell r="CO530">
            <v>0</v>
          </cell>
          <cell r="CX530">
            <v>0</v>
          </cell>
          <cell r="CY530">
            <v>0</v>
          </cell>
          <cell r="DB530">
            <v>0</v>
          </cell>
          <cell r="DC530">
            <v>0</v>
          </cell>
          <cell r="DJ530" t="str">
            <v>НКРКП</v>
          </cell>
          <cell r="DL530">
            <v>40816</v>
          </cell>
          <cell r="DM530" t="str">
            <v>№62</v>
          </cell>
          <cell r="DT530">
            <v>596.91999999999996</v>
          </cell>
        </row>
        <row r="531">
          <cell r="W531">
            <v>453.1583333333333</v>
          </cell>
          <cell r="AF531">
            <v>39463</v>
          </cell>
          <cell r="AG531">
            <v>20</v>
          </cell>
          <cell r="AH531">
            <v>251.83945600292148</v>
          </cell>
          <cell r="AM531">
            <v>7042.9790000000003</v>
          </cell>
          <cell r="AO531">
            <v>3191584.6253416664</v>
          </cell>
          <cell r="AQ531">
            <v>1773700</v>
          </cell>
          <cell r="AU531">
            <v>0</v>
          </cell>
          <cell r="AW531">
            <v>0</v>
          </cell>
          <cell r="AY531">
            <v>1005613.54038</v>
          </cell>
          <cell r="AZ531">
            <v>142.7824135752783</v>
          </cell>
          <cell r="BA531">
            <v>86200</v>
          </cell>
          <cell r="BB531">
            <v>12.239139148363213</v>
          </cell>
          <cell r="BC531">
            <v>0</v>
          </cell>
          <cell r="BD531">
            <v>0</v>
          </cell>
          <cell r="BG531">
            <v>0</v>
          </cell>
          <cell r="BH531">
            <v>0</v>
          </cell>
          <cell r="BI531">
            <v>152800</v>
          </cell>
          <cell r="BJ531">
            <v>21.695364986889778</v>
          </cell>
          <cell r="BK531">
            <v>0</v>
          </cell>
          <cell r="BL531">
            <v>0</v>
          </cell>
          <cell r="BM531">
            <v>217600</v>
          </cell>
          <cell r="BN531">
            <v>30.896017154104818</v>
          </cell>
          <cell r="BO531">
            <v>0</v>
          </cell>
          <cell r="BP531">
            <v>0</v>
          </cell>
          <cell r="BY531">
            <v>991.1</v>
          </cell>
          <cell r="CF531">
            <v>941.24199999999996</v>
          </cell>
          <cell r="CG531">
            <v>1068.3900000000001</v>
          </cell>
          <cell r="CJ531">
            <v>0</v>
          </cell>
          <cell r="CK531">
            <v>0</v>
          </cell>
          <cell r="CL531">
            <v>0</v>
          </cell>
          <cell r="CM531">
            <v>0</v>
          </cell>
          <cell r="CN531">
            <v>0</v>
          </cell>
          <cell r="CO531">
            <v>0</v>
          </cell>
          <cell r="CX531">
            <v>0</v>
          </cell>
          <cell r="CY531">
            <v>0</v>
          </cell>
          <cell r="DB531">
            <v>0</v>
          </cell>
          <cell r="DC531">
            <v>0</v>
          </cell>
          <cell r="DJ531" t="str">
            <v>НКРКП</v>
          </cell>
          <cell r="DL531">
            <v>40816</v>
          </cell>
          <cell r="DM531" t="str">
            <v>№62</v>
          </cell>
          <cell r="DT531">
            <v>702.04</v>
          </cell>
        </row>
        <row r="532">
          <cell r="W532">
            <v>405.9</v>
          </cell>
          <cell r="AF532">
            <v>39870</v>
          </cell>
          <cell r="AG532" t="str">
            <v>№25/410-31</v>
          </cell>
          <cell r="AH532">
            <v>391.72979797979798</v>
          </cell>
          <cell r="AM532">
            <v>792</v>
          </cell>
          <cell r="AO532">
            <v>321472.8</v>
          </cell>
          <cell r="AQ532">
            <v>310250</v>
          </cell>
          <cell r="AU532">
            <v>0</v>
          </cell>
          <cell r="AW532">
            <v>0</v>
          </cell>
          <cell r="AY532">
            <v>251130</v>
          </cell>
          <cell r="AZ532">
            <v>317.08333333333331</v>
          </cell>
          <cell r="BA532">
            <v>2040</v>
          </cell>
          <cell r="BB532">
            <v>2.5757575757575757</v>
          </cell>
          <cell r="BC532">
            <v>0</v>
          </cell>
          <cell r="BD532">
            <v>0</v>
          </cell>
          <cell r="BG532">
            <v>0</v>
          </cell>
          <cell r="BH532">
            <v>0</v>
          </cell>
          <cell r="BI532">
            <v>13220</v>
          </cell>
          <cell r="BJ532">
            <v>16.69191919191919</v>
          </cell>
          <cell r="BK532">
            <v>0</v>
          </cell>
          <cell r="BL532">
            <v>0</v>
          </cell>
          <cell r="BM532">
            <v>11300</v>
          </cell>
          <cell r="BN532">
            <v>14.267676767676768</v>
          </cell>
          <cell r="BO532">
            <v>0</v>
          </cell>
          <cell r="BP532">
            <v>0</v>
          </cell>
          <cell r="BY532">
            <v>0</v>
          </cell>
          <cell r="CF532">
            <v>117.22721437740694</v>
          </cell>
          <cell r="CG532">
            <v>2142.25</v>
          </cell>
          <cell r="CJ532">
            <v>0</v>
          </cell>
          <cell r="CK532">
            <v>0</v>
          </cell>
          <cell r="CL532">
            <v>0</v>
          </cell>
          <cell r="CM532">
            <v>0</v>
          </cell>
          <cell r="CN532">
            <v>0</v>
          </cell>
          <cell r="CO532">
            <v>0</v>
          </cell>
          <cell r="CX532">
            <v>0</v>
          </cell>
          <cell r="CY532">
            <v>0</v>
          </cell>
          <cell r="DB532">
            <v>0</v>
          </cell>
          <cell r="DC532">
            <v>0</v>
          </cell>
          <cell r="DJ532" t="str">
            <v>НКРКП</v>
          </cell>
          <cell r="DL532">
            <v>40816</v>
          </cell>
          <cell r="DM532">
            <v>147</v>
          </cell>
          <cell r="DO532" t="str">
            <v>для виробництва пари</v>
          </cell>
          <cell r="DT532">
            <v>644.15</v>
          </cell>
        </row>
        <row r="533">
          <cell r="W533">
            <v>416.41666666666669</v>
          </cell>
          <cell r="AF533">
            <v>39870</v>
          </cell>
          <cell r="AG533" t="str">
            <v>№25/411-32</v>
          </cell>
          <cell r="AH533">
            <v>401.53969206158769</v>
          </cell>
          <cell r="AM533">
            <v>500.1</v>
          </cell>
          <cell r="AO533">
            <v>208249.97500000001</v>
          </cell>
          <cell r="AQ533">
            <v>200810</v>
          </cell>
          <cell r="AU533">
            <v>0</v>
          </cell>
          <cell r="AW533">
            <v>0</v>
          </cell>
          <cell r="AY533">
            <v>163920</v>
          </cell>
          <cell r="AZ533">
            <v>327.77444511097781</v>
          </cell>
          <cell r="BA533">
            <v>560</v>
          </cell>
          <cell r="BB533">
            <v>1.1197760447910416</v>
          </cell>
          <cell r="BC533">
            <v>0</v>
          </cell>
          <cell r="BD533">
            <v>0</v>
          </cell>
          <cell r="BG533">
            <v>0</v>
          </cell>
          <cell r="BH533">
            <v>0</v>
          </cell>
          <cell r="BI533">
            <v>8530</v>
          </cell>
          <cell r="BJ533">
            <v>17.056588682263545</v>
          </cell>
          <cell r="BK533">
            <v>0</v>
          </cell>
          <cell r="BL533">
            <v>0</v>
          </cell>
          <cell r="BM533">
            <v>7140</v>
          </cell>
          <cell r="BN533">
            <v>14.277144571085783</v>
          </cell>
          <cell r="BO533">
            <v>0</v>
          </cell>
          <cell r="BP533">
            <v>0</v>
          </cell>
          <cell r="BY533">
            <v>0</v>
          </cell>
          <cell r="CF533">
            <v>76.517680009335976</v>
          </cell>
          <cell r="CG533">
            <v>2142.25</v>
          </cell>
          <cell r="CJ533">
            <v>0</v>
          </cell>
          <cell r="CK533">
            <v>0</v>
          </cell>
          <cell r="CL533">
            <v>0</v>
          </cell>
          <cell r="CM533">
            <v>0</v>
          </cell>
          <cell r="CN533">
            <v>0</v>
          </cell>
          <cell r="CO533">
            <v>0</v>
          </cell>
          <cell r="CX533">
            <v>0</v>
          </cell>
          <cell r="CY533">
            <v>0</v>
          </cell>
          <cell r="DB533">
            <v>0</v>
          </cell>
          <cell r="DC533">
            <v>0</v>
          </cell>
          <cell r="DJ533" t="str">
            <v>НКРКП</v>
          </cell>
          <cell r="DL533">
            <v>40816</v>
          </cell>
          <cell r="DM533">
            <v>147</v>
          </cell>
          <cell r="DO533" t="str">
            <v>для виробництва пари</v>
          </cell>
          <cell r="DT533">
            <v>662.71</v>
          </cell>
        </row>
        <row r="534">
          <cell r="AF534">
            <v>39870</v>
          </cell>
          <cell r="AG534" t="str">
            <v>№25/410-31</v>
          </cell>
          <cell r="AM534">
            <v>25688.1</v>
          </cell>
          <cell r="AO534">
            <v>7691017.1399999987</v>
          </cell>
          <cell r="AQ534">
            <v>7690970</v>
          </cell>
          <cell r="AU534">
            <v>0</v>
          </cell>
          <cell r="AW534">
            <v>0</v>
          </cell>
          <cell r="AY534">
            <v>7247070</v>
          </cell>
          <cell r="AZ534">
            <v>282.11778994943188</v>
          </cell>
          <cell r="BA534">
            <v>61950</v>
          </cell>
          <cell r="BB534">
            <v>2.411622502248123</v>
          </cell>
          <cell r="BG534">
            <v>0</v>
          </cell>
          <cell r="BH534">
            <v>0</v>
          </cell>
          <cell r="BI534">
            <v>381950</v>
          </cell>
          <cell r="BJ534">
            <v>14.868752457363527</v>
          </cell>
          <cell r="BK534">
            <v>0</v>
          </cell>
          <cell r="BL534">
            <v>0</v>
          </cell>
          <cell r="BO534">
            <v>0</v>
          </cell>
          <cell r="BP534">
            <v>0</v>
          </cell>
          <cell r="CF534">
            <v>3382.9244952736608</v>
          </cell>
          <cell r="CG534">
            <v>2142.25</v>
          </cell>
          <cell r="CJ534">
            <v>0</v>
          </cell>
          <cell r="CK534">
            <v>0</v>
          </cell>
          <cell r="CL534">
            <v>0</v>
          </cell>
          <cell r="CM534">
            <v>0</v>
          </cell>
          <cell r="CN534">
            <v>0</v>
          </cell>
          <cell r="CO534">
            <v>0</v>
          </cell>
          <cell r="CX534">
            <v>0</v>
          </cell>
          <cell r="CY534">
            <v>0</v>
          </cell>
          <cell r="DJ534" t="str">
            <v>НКРКП</v>
          </cell>
          <cell r="DL534">
            <v>40816</v>
          </cell>
          <cell r="DM534">
            <v>147</v>
          </cell>
        </row>
        <row r="535">
          <cell r="AF535">
            <v>39870</v>
          </cell>
          <cell r="AG535" t="str">
            <v>№25/411-32</v>
          </cell>
          <cell r="AM535">
            <v>15383</v>
          </cell>
          <cell r="AO535">
            <v>4634769.708333334</v>
          </cell>
          <cell r="AQ535">
            <v>4634870</v>
          </cell>
          <cell r="AU535">
            <v>0</v>
          </cell>
          <cell r="AW535">
            <v>0</v>
          </cell>
          <cell r="AY535">
            <v>4387720</v>
          </cell>
          <cell r="AZ535">
            <v>285.23174933368006</v>
          </cell>
          <cell r="BA535">
            <v>15720</v>
          </cell>
          <cell r="BB535">
            <v>1.021907300266528</v>
          </cell>
          <cell r="BG535">
            <v>0</v>
          </cell>
          <cell r="BH535">
            <v>0</v>
          </cell>
          <cell r="BI535">
            <v>228540</v>
          </cell>
          <cell r="BJ535">
            <v>14.856659949294675</v>
          </cell>
          <cell r="BK535">
            <v>0</v>
          </cell>
          <cell r="BL535">
            <v>0</v>
          </cell>
          <cell r="BO535">
            <v>0</v>
          </cell>
          <cell r="BP535">
            <v>0</v>
          </cell>
          <cell r="CF535">
            <v>2048.182985179134</v>
          </cell>
          <cell r="CG535">
            <v>2142.25</v>
          </cell>
          <cell r="CJ535">
            <v>0</v>
          </cell>
          <cell r="CK535">
            <v>0</v>
          </cell>
          <cell r="CL535">
            <v>0</v>
          </cell>
          <cell r="CM535">
            <v>0</v>
          </cell>
          <cell r="CN535">
            <v>0</v>
          </cell>
          <cell r="CO535">
            <v>0</v>
          </cell>
          <cell r="CX535">
            <v>0</v>
          </cell>
          <cell r="CY535">
            <v>0</v>
          </cell>
          <cell r="DJ535" t="str">
            <v>НКРКП</v>
          </cell>
          <cell r="DL535">
            <v>40816</v>
          </cell>
          <cell r="DM535">
            <v>147</v>
          </cell>
        </row>
        <row r="536">
          <cell r="W536">
            <v>244.31208142898492</v>
          </cell>
          <cell r="AF536">
            <v>39776</v>
          </cell>
          <cell r="AG536">
            <v>1099</v>
          </cell>
          <cell r="AH536">
            <v>244.31208142898492</v>
          </cell>
          <cell r="AM536">
            <v>3300.8885</v>
          </cell>
          <cell r="AO536">
            <v>806446.94</v>
          </cell>
          <cell r="AQ536">
            <v>806446.94</v>
          </cell>
          <cell r="AU536">
            <v>0</v>
          </cell>
          <cell r="AW536">
            <v>0</v>
          </cell>
          <cell r="AY536">
            <v>419225.51879999996</v>
          </cell>
          <cell r="AZ536">
            <v>127.00384117791315</v>
          </cell>
          <cell r="BA536">
            <v>0</v>
          </cell>
          <cell r="BB536">
            <v>0</v>
          </cell>
          <cell r="BC536">
            <v>0</v>
          </cell>
          <cell r="BD536">
            <v>0</v>
          </cell>
          <cell r="BG536">
            <v>0</v>
          </cell>
          <cell r="BH536">
            <v>0</v>
          </cell>
          <cell r="BI536">
            <v>44939.81</v>
          </cell>
          <cell r="BJ536">
            <v>13.614458652571875</v>
          </cell>
          <cell r="BK536">
            <v>0</v>
          </cell>
          <cell r="BL536">
            <v>0</v>
          </cell>
          <cell r="BM536">
            <v>300975.28000000003</v>
          </cell>
          <cell r="BN536">
            <v>91.180080757044664</v>
          </cell>
          <cell r="BO536">
            <v>0</v>
          </cell>
          <cell r="BP536">
            <v>0</v>
          </cell>
          <cell r="BY536">
            <v>1391.94</v>
          </cell>
          <cell r="CF536">
            <v>576.4</v>
          </cell>
          <cell r="CG536">
            <v>727.31700000000001</v>
          </cell>
          <cell r="CJ536">
            <v>0</v>
          </cell>
          <cell r="CK536">
            <v>0</v>
          </cell>
          <cell r="CL536">
            <v>0</v>
          </cell>
          <cell r="CM536">
            <v>0</v>
          </cell>
          <cell r="CN536">
            <v>0</v>
          </cell>
          <cell r="CO536">
            <v>0</v>
          </cell>
          <cell r="CX536">
            <v>0</v>
          </cell>
          <cell r="CY536">
            <v>0</v>
          </cell>
          <cell r="DB536">
            <v>0</v>
          </cell>
          <cell r="DC536">
            <v>0</v>
          </cell>
          <cell r="DJ536" t="str">
            <v>НКРЕ</v>
          </cell>
          <cell r="DL536">
            <v>40526</v>
          </cell>
          <cell r="DM536">
            <v>1758</v>
          </cell>
          <cell r="DO536" t="str">
            <v>Тариф на теплову енергію</v>
          </cell>
          <cell r="DT536">
            <v>268.74</v>
          </cell>
        </row>
        <row r="537">
          <cell r="W537">
            <v>556.02</v>
          </cell>
          <cell r="AF537">
            <v>39882</v>
          </cell>
          <cell r="AG537">
            <v>1510</v>
          </cell>
          <cell r="AH537">
            <v>489.45183592935842</v>
          </cell>
          <cell r="AM537">
            <v>5832.3267999999998</v>
          </cell>
          <cell r="AO537">
            <v>3242890.3473359998</v>
          </cell>
          <cell r="AQ537">
            <v>2854643.06</v>
          </cell>
          <cell r="AU537">
            <v>0</v>
          </cell>
          <cell r="AW537">
            <v>0</v>
          </cell>
          <cell r="AY537">
            <v>2136358.8125</v>
          </cell>
          <cell r="AZ537">
            <v>366.2961431619367</v>
          </cell>
          <cell r="BA537">
            <v>0</v>
          </cell>
          <cell r="BB537">
            <v>0</v>
          </cell>
          <cell r="BC537">
            <v>0</v>
          </cell>
          <cell r="BD537">
            <v>0</v>
          </cell>
          <cell r="BG537">
            <v>0</v>
          </cell>
          <cell r="BH537">
            <v>0</v>
          </cell>
          <cell r="BI537">
            <v>91479.03</v>
          </cell>
          <cell r="BJ537">
            <v>15.684825822860269</v>
          </cell>
          <cell r="BK537">
            <v>0</v>
          </cell>
          <cell r="BL537">
            <v>0</v>
          </cell>
          <cell r="BM537">
            <v>557081.86</v>
          </cell>
          <cell r="BN537">
            <v>95.516228617367602</v>
          </cell>
          <cell r="BO537">
            <v>0</v>
          </cell>
          <cell r="BP537">
            <v>0</v>
          </cell>
          <cell r="BY537">
            <v>1391.94</v>
          </cell>
          <cell r="CF537">
            <v>997.25</v>
          </cell>
          <cell r="CG537">
            <v>2142.25</v>
          </cell>
          <cell r="CJ537">
            <v>0</v>
          </cell>
          <cell r="CK537">
            <v>0</v>
          </cell>
          <cell r="CL537">
            <v>0</v>
          </cell>
          <cell r="CM537">
            <v>0</v>
          </cell>
          <cell r="CN537">
            <v>0</v>
          </cell>
          <cell r="CO537">
            <v>0</v>
          </cell>
          <cell r="CX537">
            <v>0</v>
          </cell>
          <cell r="CY537">
            <v>0</v>
          </cell>
          <cell r="DB537">
            <v>0</v>
          </cell>
          <cell r="DC537">
            <v>0</v>
          </cell>
          <cell r="DJ537" t="str">
            <v>НКРКП</v>
          </cell>
          <cell r="DL537">
            <v>40816</v>
          </cell>
          <cell r="DM537">
            <v>92</v>
          </cell>
          <cell r="DT537">
            <v>831.26</v>
          </cell>
        </row>
        <row r="538">
          <cell r="W538">
            <v>615.41999999999996</v>
          </cell>
          <cell r="AF538">
            <v>39882</v>
          </cell>
          <cell r="AG538">
            <v>1511</v>
          </cell>
          <cell r="AH538">
            <v>500.27795996026248</v>
          </cell>
          <cell r="AM538">
            <v>927.18389999999999</v>
          </cell>
          <cell r="AO538">
            <v>570607.51573799993</v>
          </cell>
          <cell r="AQ538">
            <v>463849.67</v>
          </cell>
          <cell r="AU538">
            <v>0</v>
          </cell>
          <cell r="AW538">
            <v>0</v>
          </cell>
          <cell r="AY538">
            <v>348156.32775</v>
          </cell>
          <cell r="AZ538">
            <v>375.49867696149596</v>
          </cell>
          <cell r="BA538">
            <v>0</v>
          </cell>
          <cell r="BB538">
            <v>0</v>
          </cell>
          <cell r="BC538">
            <v>0</v>
          </cell>
          <cell r="BD538">
            <v>0</v>
          </cell>
          <cell r="BG538">
            <v>0</v>
          </cell>
          <cell r="BH538">
            <v>0</v>
          </cell>
          <cell r="BI538">
            <v>14948.7</v>
          </cell>
          <cell r="BJ538">
            <v>16.122691517831576</v>
          </cell>
          <cell r="BK538">
            <v>0</v>
          </cell>
          <cell r="BL538">
            <v>0</v>
          </cell>
          <cell r="BM538">
            <v>88867.87</v>
          </cell>
          <cell r="BN538">
            <v>95.847080606123555</v>
          </cell>
          <cell r="BO538">
            <v>0</v>
          </cell>
          <cell r="BP538">
            <v>0</v>
          </cell>
          <cell r="BY538">
            <v>1391.94</v>
          </cell>
          <cell r="CF538">
            <v>162.51900000000001</v>
          </cell>
          <cell r="CG538">
            <v>2142.25</v>
          </cell>
          <cell r="CJ538">
            <v>0</v>
          </cell>
          <cell r="CK538">
            <v>0</v>
          </cell>
          <cell r="CL538">
            <v>0</v>
          </cell>
          <cell r="CM538">
            <v>0</v>
          </cell>
          <cell r="CN538">
            <v>0</v>
          </cell>
          <cell r="CO538">
            <v>0</v>
          </cell>
          <cell r="CX538">
            <v>0</v>
          </cell>
          <cell r="CY538">
            <v>0</v>
          </cell>
          <cell r="DB538">
            <v>0</v>
          </cell>
          <cell r="DC538">
            <v>0</v>
          </cell>
          <cell r="DJ538" t="str">
            <v>НКРКП</v>
          </cell>
          <cell r="DL538">
            <v>40816</v>
          </cell>
          <cell r="DM538">
            <v>92</v>
          </cell>
          <cell r="DT538">
            <v>897.57</v>
          </cell>
        </row>
        <row r="539">
          <cell r="W539">
            <v>680.23</v>
          </cell>
          <cell r="AF539">
            <v>39895</v>
          </cell>
          <cell r="AG539">
            <v>1575</v>
          </cell>
          <cell r="AH539">
            <v>607.35056718085821</v>
          </cell>
          <cell r="AM539">
            <v>442.4162</v>
          </cell>
          <cell r="AO539">
            <v>300944.77172600001</v>
          </cell>
          <cell r="AQ539">
            <v>268701.73</v>
          </cell>
          <cell r="AU539">
            <v>0</v>
          </cell>
          <cell r="AW539">
            <v>0</v>
          </cell>
          <cell r="AY539">
            <v>164345.49367500001</v>
          </cell>
          <cell r="AZ539">
            <v>371.47259452750603</v>
          </cell>
          <cell r="BA539">
            <v>0</v>
          </cell>
          <cell r="BB539">
            <v>0</v>
          </cell>
          <cell r="BC539">
            <v>0</v>
          </cell>
          <cell r="BD539">
            <v>0</v>
          </cell>
          <cell r="BG539">
            <v>0</v>
          </cell>
          <cell r="BH539">
            <v>0</v>
          </cell>
          <cell r="BI539">
            <v>11207.58</v>
          </cell>
          <cell r="BJ539">
            <v>25.332661869072606</v>
          </cell>
          <cell r="BK539">
            <v>0</v>
          </cell>
          <cell r="BL539">
            <v>0</v>
          </cell>
          <cell r="BM539">
            <v>87525.22</v>
          </cell>
          <cell r="BN539">
            <v>197.83457296545652</v>
          </cell>
          <cell r="BO539">
            <v>0</v>
          </cell>
          <cell r="BP539">
            <v>0</v>
          </cell>
          <cell r="BY539">
            <v>1350</v>
          </cell>
          <cell r="CF539">
            <v>76.716300000000004</v>
          </cell>
          <cell r="CG539">
            <v>2142.25</v>
          </cell>
          <cell r="CJ539">
            <v>0</v>
          </cell>
          <cell r="CK539">
            <v>0</v>
          </cell>
          <cell r="CL539">
            <v>0</v>
          </cell>
          <cell r="CM539">
            <v>0</v>
          </cell>
          <cell r="CN539">
            <v>0</v>
          </cell>
          <cell r="CO539">
            <v>0</v>
          </cell>
          <cell r="CX539">
            <v>0</v>
          </cell>
          <cell r="CY539">
            <v>0</v>
          </cell>
          <cell r="DB539">
            <v>0</v>
          </cell>
          <cell r="DC539">
            <v>0</v>
          </cell>
          <cell r="DJ539" t="str">
            <v>НКРКП</v>
          </cell>
          <cell r="DL539">
            <v>40816</v>
          </cell>
          <cell r="DM539">
            <v>92</v>
          </cell>
          <cell r="DT539">
            <v>959.35</v>
          </cell>
        </row>
        <row r="541">
          <cell r="W541">
            <v>708.08</v>
          </cell>
          <cell r="AF541">
            <v>39895</v>
          </cell>
          <cell r="AG541">
            <v>1576</v>
          </cell>
          <cell r="AH541">
            <v>632.21517461278722</v>
          </cell>
          <cell r="AM541">
            <v>677.67660000000001</v>
          </cell>
          <cell r="AO541">
            <v>479849.24692800001</v>
          </cell>
          <cell r="AQ541">
            <v>428437.43</v>
          </cell>
          <cell r="AU541">
            <v>0</v>
          </cell>
          <cell r="AW541">
            <v>0</v>
          </cell>
          <cell r="AY541">
            <v>264375.50095000002</v>
          </cell>
          <cell r="AZ541">
            <v>390.12045118571308</v>
          </cell>
          <cell r="BA541">
            <v>0</v>
          </cell>
          <cell r="BB541">
            <v>0</v>
          </cell>
          <cell r="BC541">
            <v>0</v>
          </cell>
          <cell r="BD541">
            <v>0</v>
          </cell>
          <cell r="BG541">
            <v>0</v>
          </cell>
          <cell r="BH541">
            <v>0</v>
          </cell>
          <cell r="BI541">
            <v>22404.080000000002</v>
          </cell>
          <cell r="BJ541">
            <v>33.060135173621163</v>
          </cell>
          <cell r="BK541">
            <v>0</v>
          </cell>
          <cell r="BL541">
            <v>0</v>
          </cell>
          <cell r="BM541">
            <v>109939.5</v>
          </cell>
          <cell r="BN541">
            <v>162.23003715931759</v>
          </cell>
          <cell r="BO541">
            <v>0</v>
          </cell>
          <cell r="BP541">
            <v>0</v>
          </cell>
          <cell r="BY541">
            <v>1350</v>
          </cell>
          <cell r="CF541">
            <v>123.4102</v>
          </cell>
          <cell r="CG541">
            <v>2142.25</v>
          </cell>
          <cell r="CJ541">
            <v>0</v>
          </cell>
          <cell r="CK541">
            <v>0</v>
          </cell>
          <cell r="CL541">
            <v>0</v>
          </cell>
          <cell r="CM541">
            <v>0</v>
          </cell>
          <cell r="CN541">
            <v>0</v>
          </cell>
          <cell r="CO541">
            <v>0</v>
          </cell>
          <cell r="CX541">
            <v>0</v>
          </cell>
          <cell r="CY541">
            <v>0</v>
          </cell>
          <cell r="DB541">
            <v>0</v>
          </cell>
          <cell r="DC541">
            <v>0</v>
          </cell>
          <cell r="DJ541" t="str">
            <v>НКРКП</v>
          </cell>
          <cell r="DL541">
            <v>40816</v>
          </cell>
          <cell r="DM541">
            <v>92</v>
          </cell>
          <cell r="DT541">
            <v>999.9</v>
          </cell>
        </row>
        <row r="543">
          <cell r="W543">
            <v>679.78</v>
          </cell>
          <cell r="AF543">
            <v>39895</v>
          </cell>
          <cell r="AG543">
            <v>1570</v>
          </cell>
          <cell r="AH543">
            <v>612.40710224566612</v>
          </cell>
          <cell r="AM543">
            <v>259.3039</v>
          </cell>
          <cell r="AO543">
            <v>176269.60514199999</v>
          </cell>
          <cell r="AQ543">
            <v>158799.54999999999</v>
          </cell>
          <cell r="AU543">
            <v>0</v>
          </cell>
          <cell r="AW543">
            <v>0</v>
          </cell>
          <cell r="AY543">
            <v>97753.009749999997</v>
          </cell>
          <cell r="AZ543">
            <v>376.98241233548742</v>
          </cell>
          <cell r="BA543">
            <v>0</v>
          </cell>
          <cell r="BB543">
            <v>0</v>
          </cell>
          <cell r="BC543">
            <v>0</v>
          </cell>
          <cell r="BD543">
            <v>0</v>
          </cell>
          <cell r="BG543">
            <v>0</v>
          </cell>
          <cell r="BH543">
            <v>0</v>
          </cell>
          <cell r="BI543">
            <v>5035.54</v>
          </cell>
          <cell r="BJ543">
            <v>19.41945339040408</v>
          </cell>
          <cell r="BK543">
            <v>0</v>
          </cell>
          <cell r="BL543">
            <v>0</v>
          </cell>
          <cell r="BM543">
            <v>49471.44</v>
          </cell>
          <cell r="BN543">
            <v>190.78556088049584</v>
          </cell>
          <cell r="BO543">
            <v>0</v>
          </cell>
          <cell r="BP543">
            <v>0</v>
          </cell>
          <cell r="BY543">
            <v>1350</v>
          </cell>
          <cell r="CF543">
            <v>45.631</v>
          </cell>
          <cell r="CG543">
            <v>2142.25</v>
          </cell>
          <cell r="CJ543">
            <v>0</v>
          </cell>
          <cell r="CK543">
            <v>0</v>
          </cell>
          <cell r="CL543">
            <v>0</v>
          </cell>
          <cell r="CM543">
            <v>0</v>
          </cell>
          <cell r="CN543">
            <v>0</v>
          </cell>
          <cell r="CO543">
            <v>0</v>
          </cell>
          <cell r="CX543">
            <v>0</v>
          </cell>
          <cell r="CY543">
            <v>0</v>
          </cell>
          <cell r="DB543">
            <v>0</v>
          </cell>
          <cell r="DC543">
            <v>0</v>
          </cell>
          <cell r="DJ543" t="str">
            <v>НКРКП</v>
          </cell>
          <cell r="DL543">
            <v>40816</v>
          </cell>
          <cell r="DM543">
            <v>92</v>
          </cell>
          <cell r="DT543">
            <v>963.04</v>
          </cell>
        </row>
        <row r="544">
          <cell r="W544">
            <v>886.11</v>
          </cell>
          <cell r="AF544">
            <v>39877</v>
          </cell>
          <cell r="AG544">
            <v>1482</v>
          </cell>
          <cell r="AH544">
            <v>791.16931298236591</v>
          </cell>
          <cell r="AM544">
            <v>255.0968</v>
          </cell>
          <cell r="AO544">
            <v>226043.82544800002</v>
          </cell>
          <cell r="AQ544">
            <v>201824.76</v>
          </cell>
          <cell r="AU544">
            <v>0</v>
          </cell>
          <cell r="AW544">
            <v>0</v>
          </cell>
          <cell r="AY544">
            <v>101639.05125</v>
          </cell>
          <cell r="AZ544">
            <v>398.43326631302313</v>
          </cell>
          <cell r="BA544">
            <v>0</v>
          </cell>
          <cell r="BB544">
            <v>0</v>
          </cell>
          <cell r="BC544">
            <v>0</v>
          </cell>
          <cell r="BD544">
            <v>0</v>
          </cell>
          <cell r="BG544">
            <v>0</v>
          </cell>
          <cell r="BH544">
            <v>0</v>
          </cell>
          <cell r="BI544">
            <v>14518.46</v>
          </cell>
          <cell r="BJ544">
            <v>56.913532431610271</v>
          </cell>
          <cell r="BK544">
            <v>0</v>
          </cell>
          <cell r="BL544">
            <v>0</v>
          </cell>
          <cell r="BM544">
            <v>80470.58</v>
          </cell>
          <cell r="BN544">
            <v>315.45115422851245</v>
          </cell>
          <cell r="BO544">
            <v>0</v>
          </cell>
          <cell r="BP544">
            <v>0</v>
          </cell>
          <cell r="BY544">
            <v>1382</v>
          </cell>
          <cell r="CF544">
            <v>47.445</v>
          </cell>
          <cell r="CG544">
            <v>2142.25</v>
          </cell>
          <cell r="CJ544">
            <v>0</v>
          </cell>
          <cell r="CK544">
            <v>0</v>
          </cell>
          <cell r="CL544">
            <v>0</v>
          </cell>
          <cell r="CM544">
            <v>0</v>
          </cell>
          <cell r="CN544">
            <v>0</v>
          </cell>
          <cell r="CO544">
            <v>0</v>
          </cell>
          <cell r="CX544">
            <v>0</v>
          </cell>
          <cell r="CY544">
            <v>0</v>
          </cell>
          <cell r="DB544">
            <v>0</v>
          </cell>
          <cell r="DC544">
            <v>0</v>
          </cell>
          <cell r="DJ544" t="str">
            <v>НКРКП</v>
          </cell>
          <cell r="DL544">
            <v>40816</v>
          </cell>
          <cell r="DM544">
            <v>92</v>
          </cell>
          <cell r="DT544">
            <v>999.9</v>
          </cell>
        </row>
        <row r="545">
          <cell r="W545">
            <v>773.83</v>
          </cell>
          <cell r="AF545">
            <v>39877</v>
          </cell>
          <cell r="AG545">
            <v>1483</v>
          </cell>
          <cell r="AH545">
            <v>682.24544407042265</v>
          </cell>
          <cell r="AM545">
            <v>326.83780000000002</v>
          </cell>
          <cell r="AO545">
            <v>252916.89477400001</v>
          </cell>
          <cell r="AQ545">
            <v>222983.6</v>
          </cell>
          <cell r="AU545">
            <v>0</v>
          </cell>
          <cell r="AW545">
            <v>0</v>
          </cell>
          <cell r="AY545">
            <v>130660.11199999999</v>
          </cell>
          <cell r="AZ545">
            <v>399.77050390132348</v>
          </cell>
          <cell r="BA545">
            <v>0</v>
          </cell>
          <cell r="BB545">
            <v>0</v>
          </cell>
          <cell r="BC545">
            <v>0</v>
          </cell>
          <cell r="BD545">
            <v>0</v>
          </cell>
          <cell r="BG545">
            <v>0</v>
          </cell>
          <cell r="BH545">
            <v>0</v>
          </cell>
          <cell r="BI545">
            <v>8401.8799999999992</v>
          </cell>
          <cell r="BJ545">
            <v>25.706573719441259</v>
          </cell>
          <cell r="BK545">
            <v>0</v>
          </cell>
          <cell r="BL545">
            <v>0</v>
          </cell>
          <cell r="BM545">
            <v>73398.81</v>
          </cell>
          <cell r="BN545">
            <v>224.57258615741506</v>
          </cell>
          <cell r="BO545">
            <v>0</v>
          </cell>
          <cell r="BP545">
            <v>0</v>
          </cell>
          <cell r="BY545">
            <v>1382</v>
          </cell>
          <cell r="CF545">
            <v>60.991999999999997</v>
          </cell>
          <cell r="CG545">
            <v>2142.25</v>
          </cell>
          <cell r="CJ545">
            <v>0</v>
          </cell>
          <cell r="CK545">
            <v>0</v>
          </cell>
          <cell r="CL545">
            <v>0</v>
          </cell>
          <cell r="CM545">
            <v>0</v>
          </cell>
          <cell r="CN545">
            <v>0</v>
          </cell>
          <cell r="CO545">
            <v>0</v>
          </cell>
          <cell r="CX545">
            <v>0</v>
          </cell>
          <cell r="CY545">
            <v>0</v>
          </cell>
          <cell r="DB545">
            <v>0</v>
          </cell>
          <cell r="DC545">
            <v>0</v>
          </cell>
          <cell r="DJ545" t="str">
            <v>НКРКП</v>
          </cell>
          <cell r="DL545">
            <v>40816</v>
          </cell>
          <cell r="DM545">
            <v>92</v>
          </cell>
          <cell r="DT545">
            <v>999.9</v>
          </cell>
        </row>
        <row r="546">
          <cell r="W546">
            <v>288.0209590082535</v>
          </cell>
          <cell r="AF546">
            <v>39665</v>
          </cell>
          <cell r="AG546">
            <v>788</v>
          </cell>
          <cell r="AH546">
            <v>288.0209590082535</v>
          </cell>
          <cell r="AM546">
            <v>9801.2461999999996</v>
          </cell>
          <cell r="AO546">
            <v>2822964.33</v>
          </cell>
          <cell r="AQ546">
            <v>2822964.33</v>
          </cell>
          <cell r="AU546">
            <v>0</v>
          </cell>
          <cell r="AW546">
            <v>0</v>
          </cell>
          <cell r="AY546">
            <v>1420399.18881</v>
          </cell>
          <cell r="AZ546">
            <v>144.92026420170939</v>
          </cell>
          <cell r="BA546">
            <v>0</v>
          </cell>
          <cell r="BB546">
            <v>0</v>
          </cell>
          <cell r="BC546">
            <v>0</v>
          </cell>
          <cell r="BD546">
            <v>0</v>
          </cell>
          <cell r="BG546">
            <v>0</v>
          </cell>
          <cell r="BH546">
            <v>0</v>
          </cell>
          <cell r="BI546">
            <v>450610.08</v>
          </cell>
          <cell r="BJ546">
            <v>45.974774105766265</v>
          </cell>
          <cell r="BK546">
            <v>0</v>
          </cell>
          <cell r="BL546">
            <v>0</v>
          </cell>
          <cell r="BM546">
            <v>783076.10000000009</v>
          </cell>
          <cell r="BN546">
            <v>79.895564708904075</v>
          </cell>
          <cell r="BO546">
            <v>0</v>
          </cell>
          <cell r="BP546">
            <v>0</v>
          </cell>
          <cell r="BY546">
            <v>1822</v>
          </cell>
          <cell r="CF546">
            <v>1952.93</v>
          </cell>
          <cell r="CG546">
            <v>727.31700000000001</v>
          </cell>
          <cell r="CJ546">
            <v>0</v>
          </cell>
          <cell r="CK546">
            <v>0</v>
          </cell>
          <cell r="CL546">
            <v>0</v>
          </cell>
          <cell r="CM546">
            <v>0</v>
          </cell>
          <cell r="CN546">
            <v>0</v>
          </cell>
          <cell r="CO546">
            <v>0</v>
          </cell>
          <cell r="CX546">
            <v>0</v>
          </cell>
          <cell r="CY546">
            <v>0</v>
          </cell>
          <cell r="DB546">
            <v>0</v>
          </cell>
          <cell r="DC546">
            <v>0</v>
          </cell>
          <cell r="DJ546" t="str">
            <v>НКРЕ</v>
          </cell>
          <cell r="DL546">
            <v>40526</v>
          </cell>
          <cell r="DM546">
            <v>1758</v>
          </cell>
          <cell r="DO546" t="str">
            <v>Тариф на теплову енергію</v>
          </cell>
          <cell r="DT546">
            <v>316.82</v>
          </cell>
        </row>
        <row r="547">
          <cell r="W547">
            <v>621.45000000000005</v>
          </cell>
          <cell r="AF547">
            <v>39875</v>
          </cell>
          <cell r="AG547">
            <v>1446</v>
          </cell>
          <cell r="AH547">
            <v>533.21374071938669</v>
          </cell>
          <cell r="AM547">
            <v>7216.7779</v>
          </cell>
          <cell r="AO547">
            <v>4484866.6259550005</v>
          </cell>
          <cell r="AQ547">
            <v>3848085.14</v>
          </cell>
          <cell r="AU547">
            <v>0</v>
          </cell>
          <cell r="AW547">
            <v>0</v>
          </cell>
          <cell r="AY547">
            <v>2878249.9790000003</v>
          </cell>
          <cell r="AZ547">
            <v>398.82756804806206</v>
          </cell>
          <cell r="BA547">
            <v>0</v>
          </cell>
          <cell r="BB547">
            <v>0</v>
          </cell>
          <cell r="BC547">
            <v>0</v>
          </cell>
          <cell r="BD547">
            <v>0</v>
          </cell>
          <cell r="BG547">
            <v>0</v>
          </cell>
          <cell r="BH547">
            <v>0</v>
          </cell>
          <cell r="BI547">
            <v>256703.97</v>
          </cell>
          <cell r="BJ547">
            <v>35.570440653300416</v>
          </cell>
          <cell r="BK547">
            <v>0</v>
          </cell>
          <cell r="BL547">
            <v>0</v>
          </cell>
          <cell r="BM547">
            <v>600384.05000000005</v>
          </cell>
          <cell r="BN547">
            <v>83.192812404549684</v>
          </cell>
          <cell r="BO547">
            <v>0</v>
          </cell>
          <cell r="BP547">
            <v>0</v>
          </cell>
          <cell r="BY547">
            <v>1822</v>
          </cell>
          <cell r="CF547">
            <v>1343.5640000000001</v>
          </cell>
          <cell r="CG547">
            <v>2142.25</v>
          </cell>
          <cell r="CJ547">
            <v>0</v>
          </cell>
          <cell r="CK547">
            <v>0</v>
          </cell>
          <cell r="CL547">
            <v>0</v>
          </cell>
          <cell r="CM547">
            <v>0</v>
          </cell>
          <cell r="CN547">
            <v>0</v>
          </cell>
          <cell r="CO547">
            <v>0</v>
          </cell>
          <cell r="CX547">
            <v>0</v>
          </cell>
          <cell r="CY547">
            <v>0</v>
          </cell>
          <cell r="DB547">
            <v>0</v>
          </cell>
          <cell r="DC547">
            <v>0</v>
          </cell>
          <cell r="DJ547" t="str">
            <v>НКРКП</v>
          </cell>
          <cell r="DL547">
            <v>40816</v>
          </cell>
          <cell r="DM547">
            <v>92</v>
          </cell>
          <cell r="DT547">
            <v>921.13</v>
          </cell>
        </row>
        <row r="548">
          <cell r="W548">
            <v>811.12</v>
          </cell>
          <cell r="AF548">
            <v>39875</v>
          </cell>
          <cell r="AG548">
            <v>1447</v>
          </cell>
          <cell r="AH548">
            <v>540.74608981049062</v>
          </cell>
          <cell r="AM548">
            <v>796.81560000000002</v>
          </cell>
          <cell r="AO548">
            <v>646313.069472</v>
          </cell>
          <cell r="AQ548">
            <v>430874.92</v>
          </cell>
          <cell r="AU548">
            <v>0</v>
          </cell>
          <cell r="AW548">
            <v>0</v>
          </cell>
          <cell r="AY548">
            <v>320596.28149999998</v>
          </cell>
          <cell r="AZ548">
            <v>402.34689368531434</v>
          </cell>
          <cell r="BA548">
            <v>0</v>
          </cell>
          <cell r="BB548">
            <v>0</v>
          </cell>
          <cell r="BC548">
            <v>0</v>
          </cell>
          <cell r="BD548">
            <v>0</v>
          </cell>
          <cell r="BG548">
            <v>0</v>
          </cell>
          <cell r="BH548">
            <v>0</v>
          </cell>
          <cell r="BI548">
            <v>31200.080000000002</v>
          </cell>
          <cell r="BJ548">
            <v>39.155960299974048</v>
          </cell>
          <cell r="BK548">
            <v>0</v>
          </cell>
          <cell r="BL548">
            <v>0</v>
          </cell>
          <cell r="BM548">
            <v>66487.670000000013</v>
          </cell>
          <cell r="BN548">
            <v>83.441727295499746</v>
          </cell>
          <cell r="BO548">
            <v>0</v>
          </cell>
          <cell r="BP548">
            <v>0</v>
          </cell>
          <cell r="BY548">
            <v>1822</v>
          </cell>
          <cell r="CF548">
            <v>149.654</v>
          </cell>
          <cell r="CG548">
            <v>2142.25</v>
          </cell>
          <cell r="CJ548">
            <v>0</v>
          </cell>
          <cell r="CK548">
            <v>0</v>
          </cell>
          <cell r="CL548">
            <v>0</v>
          </cell>
          <cell r="CM548">
            <v>0</v>
          </cell>
          <cell r="CN548">
            <v>0</v>
          </cell>
          <cell r="CO548">
            <v>0</v>
          </cell>
          <cell r="CX548">
            <v>0</v>
          </cell>
          <cell r="CY548">
            <v>0</v>
          </cell>
          <cell r="DB548">
            <v>0</v>
          </cell>
          <cell r="DC548">
            <v>0</v>
          </cell>
          <cell r="DJ548" t="str">
            <v>НКРКП</v>
          </cell>
          <cell r="DL548">
            <v>40816</v>
          </cell>
          <cell r="DM548">
            <v>92</v>
          </cell>
          <cell r="DT548">
            <v>999.9</v>
          </cell>
        </row>
        <row r="549">
          <cell r="W549">
            <v>659.8</v>
          </cell>
          <cell r="AF549">
            <v>39875</v>
          </cell>
          <cell r="AG549">
            <v>1455</v>
          </cell>
          <cell r="AH549">
            <v>589.62772791009854</v>
          </cell>
          <cell r="AM549">
            <v>1906.2670000000001</v>
          </cell>
          <cell r="AO549">
            <v>1257754.9665999999</v>
          </cell>
          <cell r="AQ549">
            <v>1123987.8799999999</v>
          </cell>
          <cell r="AU549">
            <v>0</v>
          </cell>
          <cell r="AW549">
            <v>0</v>
          </cell>
          <cell r="AY549">
            <v>768163.72049999994</v>
          </cell>
          <cell r="AZ549">
            <v>402.96753838785435</v>
          </cell>
          <cell r="BA549">
            <v>0</v>
          </cell>
          <cell r="BB549">
            <v>0</v>
          </cell>
          <cell r="BC549">
            <v>0</v>
          </cell>
          <cell r="BD549">
            <v>0</v>
          </cell>
          <cell r="BG549">
            <v>0</v>
          </cell>
          <cell r="BH549">
            <v>0</v>
          </cell>
          <cell r="BI549">
            <v>83912.98</v>
          </cell>
          <cell r="BJ549">
            <v>44.019531366802234</v>
          </cell>
          <cell r="BK549">
            <v>0</v>
          </cell>
          <cell r="BL549">
            <v>0</v>
          </cell>
          <cell r="BM549">
            <v>238403.12</v>
          </cell>
          <cell r="BN549">
            <v>125.06281648898081</v>
          </cell>
          <cell r="BO549">
            <v>0</v>
          </cell>
          <cell r="BP549">
            <v>0</v>
          </cell>
          <cell r="BY549">
            <v>1630</v>
          </cell>
          <cell r="CF549">
            <v>358.57799999999997</v>
          </cell>
          <cell r="CG549">
            <v>2142.25</v>
          </cell>
          <cell r="CJ549">
            <v>0</v>
          </cell>
          <cell r="CK549">
            <v>0</v>
          </cell>
          <cell r="CL549">
            <v>0</v>
          </cell>
          <cell r="CM549">
            <v>0</v>
          </cell>
          <cell r="CN549">
            <v>0</v>
          </cell>
          <cell r="CO549">
            <v>0</v>
          </cell>
          <cell r="CX549">
            <v>0</v>
          </cell>
          <cell r="CY549">
            <v>0</v>
          </cell>
          <cell r="DB549">
            <v>0</v>
          </cell>
          <cell r="DC549">
            <v>0</v>
          </cell>
          <cell r="DJ549" t="str">
            <v>НКРКП</v>
          </cell>
          <cell r="DL549">
            <v>40816</v>
          </cell>
          <cell r="DM549">
            <v>92</v>
          </cell>
          <cell r="DT549">
            <v>962.59</v>
          </cell>
        </row>
        <row r="550">
          <cell r="W550">
            <v>855.82</v>
          </cell>
          <cell r="AF550">
            <v>39877</v>
          </cell>
          <cell r="AG550">
            <v>1485</v>
          </cell>
          <cell r="AH550">
            <v>764.12560517773159</v>
          </cell>
          <cell r="AM550">
            <v>242.09829999999999</v>
          </cell>
          <cell r="AO550">
            <v>207192.567106</v>
          </cell>
          <cell r="AQ550">
            <v>184993.51</v>
          </cell>
          <cell r="AU550">
            <v>0</v>
          </cell>
          <cell r="AW550">
            <v>0</v>
          </cell>
          <cell r="AY550">
            <v>88528.481250000012</v>
          </cell>
          <cell r="AZ550">
            <v>365.67163524072663</v>
          </cell>
          <cell r="BA550">
            <v>0</v>
          </cell>
          <cell r="BB550">
            <v>0</v>
          </cell>
          <cell r="BC550">
            <v>0</v>
          </cell>
          <cell r="BD550">
            <v>0</v>
          </cell>
          <cell r="BG550">
            <v>0</v>
          </cell>
          <cell r="BH550">
            <v>0</v>
          </cell>
          <cell r="BI550">
            <v>13082.03</v>
          </cell>
          <cell r="BJ550">
            <v>54.036025862222083</v>
          </cell>
          <cell r="BK550">
            <v>0</v>
          </cell>
          <cell r="BL550">
            <v>0</v>
          </cell>
          <cell r="BM550">
            <v>79441.39</v>
          </cell>
          <cell r="BN550">
            <v>328.13691793787893</v>
          </cell>
          <cell r="BO550">
            <v>0</v>
          </cell>
          <cell r="BP550">
            <v>0</v>
          </cell>
          <cell r="BY550">
            <v>1382</v>
          </cell>
          <cell r="CF550">
            <v>41.325000000000003</v>
          </cell>
          <cell r="CG550">
            <v>2142.25</v>
          </cell>
          <cell r="CJ550">
            <v>0</v>
          </cell>
          <cell r="CK550">
            <v>0</v>
          </cell>
          <cell r="CL550">
            <v>0</v>
          </cell>
          <cell r="CM550">
            <v>0</v>
          </cell>
          <cell r="CN550">
            <v>0</v>
          </cell>
          <cell r="CO550">
            <v>0</v>
          </cell>
          <cell r="CX550">
            <v>0</v>
          </cell>
          <cell r="CY550">
            <v>0</v>
          </cell>
          <cell r="DB550">
            <v>0</v>
          </cell>
          <cell r="DC550">
            <v>0</v>
          </cell>
          <cell r="DJ550" t="str">
            <v>НКРКП</v>
          </cell>
          <cell r="DL550">
            <v>40816</v>
          </cell>
          <cell r="DM550">
            <v>92</v>
          </cell>
          <cell r="DT550">
            <v>999.9</v>
          </cell>
        </row>
        <row r="551">
          <cell r="W551">
            <v>246.21045838352421</v>
          </cell>
          <cell r="AF551">
            <v>39742</v>
          </cell>
          <cell r="AG551">
            <v>1031</v>
          </cell>
          <cell r="AH551">
            <v>246.21045838352421</v>
          </cell>
          <cell r="AM551">
            <v>88638.757400000002</v>
          </cell>
          <cell r="AO551">
            <v>21823789.09</v>
          </cell>
          <cell r="AQ551">
            <v>21823789.09</v>
          </cell>
          <cell r="AU551">
            <v>0</v>
          </cell>
          <cell r="AW551">
            <v>0</v>
          </cell>
          <cell r="AY551">
            <v>10951913.32467657</v>
          </cell>
          <cell r="AZ551">
            <v>123.55671092334795</v>
          </cell>
          <cell r="BA551">
            <v>0</v>
          </cell>
          <cell r="BB551">
            <v>0</v>
          </cell>
          <cell r="BC551">
            <v>0</v>
          </cell>
          <cell r="BD551">
            <v>0</v>
          </cell>
          <cell r="BG551">
            <v>0</v>
          </cell>
          <cell r="BH551">
            <v>0</v>
          </cell>
          <cell r="BI551">
            <v>1732394.81</v>
          </cell>
          <cell r="BJ551">
            <v>19.54443925902779</v>
          </cell>
          <cell r="BK551">
            <v>0</v>
          </cell>
          <cell r="BL551">
            <v>0</v>
          </cell>
          <cell r="BM551">
            <v>6232705.6500000004</v>
          </cell>
          <cell r="BN551">
            <v>70.31580578091453</v>
          </cell>
          <cell r="BO551">
            <v>0</v>
          </cell>
          <cell r="BP551">
            <v>0</v>
          </cell>
          <cell r="BY551">
            <v>1720</v>
          </cell>
          <cell r="CF551">
            <v>15057.971</v>
          </cell>
          <cell r="CG551">
            <v>727.31667000000004</v>
          </cell>
          <cell r="CJ551">
            <v>0</v>
          </cell>
          <cell r="CK551">
            <v>0</v>
          </cell>
          <cell r="CL551">
            <v>0</v>
          </cell>
          <cell r="CM551">
            <v>0</v>
          </cell>
          <cell r="CN551">
            <v>0</v>
          </cell>
          <cell r="CO551">
            <v>0</v>
          </cell>
          <cell r="CX551">
            <v>0</v>
          </cell>
          <cell r="CY551">
            <v>0</v>
          </cell>
          <cell r="DB551">
            <v>0</v>
          </cell>
          <cell r="DC551">
            <v>0</v>
          </cell>
          <cell r="DJ551" t="str">
            <v>НКРЕ</v>
          </cell>
          <cell r="DL551">
            <v>40526</v>
          </cell>
          <cell r="DM551">
            <v>1758</v>
          </cell>
          <cell r="DO551" t="str">
            <v>Тариф на теплову енергію</v>
          </cell>
          <cell r="DT551">
            <v>270.83</v>
          </cell>
        </row>
        <row r="552">
          <cell r="W552">
            <v>627.84</v>
          </cell>
          <cell r="AF552">
            <v>39877</v>
          </cell>
          <cell r="AG552">
            <v>1480</v>
          </cell>
          <cell r="AH552">
            <v>499.99010109626795</v>
          </cell>
          <cell r="AM552">
            <v>23797.584699999999</v>
          </cell>
          <cell r="AO552">
            <v>14941075.578048</v>
          </cell>
          <cell r="AQ552">
            <v>11898556.779999999</v>
          </cell>
          <cell r="AU552">
            <v>0</v>
          </cell>
          <cell r="AW552">
            <v>0</v>
          </cell>
          <cell r="AY552">
            <v>8816935.4460000005</v>
          </cell>
          <cell r="AZ552">
            <v>370.49707174694919</v>
          </cell>
          <cell r="BA552">
            <v>0</v>
          </cell>
          <cell r="BB552">
            <v>0</v>
          </cell>
          <cell r="BC552">
            <v>0</v>
          </cell>
          <cell r="BD552">
            <v>0</v>
          </cell>
          <cell r="BG552">
            <v>0</v>
          </cell>
          <cell r="BH552">
            <v>0</v>
          </cell>
          <cell r="BI552">
            <v>593408.91</v>
          </cell>
          <cell r="BJ552">
            <v>24.935678031224743</v>
          </cell>
          <cell r="BK552">
            <v>0</v>
          </cell>
          <cell r="BL552">
            <v>0</v>
          </cell>
          <cell r="BM552">
            <v>2161773</v>
          </cell>
          <cell r="BN552">
            <v>90.840017054335775</v>
          </cell>
          <cell r="BO552">
            <v>0</v>
          </cell>
          <cell r="BP552">
            <v>0</v>
          </cell>
          <cell r="BY552">
            <v>1720</v>
          </cell>
          <cell r="CF552">
            <v>4115.7359999999999</v>
          </cell>
          <cell r="CG552">
            <v>2142.25</v>
          </cell>
          <cell r="CJ552">
            <v>0</v>
          </cell>
          <cell r="CK552">
            <v>0</v>
          </cell>
          <cell r="CL552">
            <v>0</v>
          </cell>
          <cell r="CM552">
            <v>0</v>
          </cell>
          <cell r="CN552">
            <v>0</v>
          </cell>
          <cell r="CO552">
            <v>0</v>
          </cell>
          <cell r="CX552">
            <v>0</v>
          </cell>
          <cell r="CY552">
            <v>0</v>
          </cell>
          <cell r="DB552">
            <v>0</v>
          </cell>
          <cell r="DC552">
            <v>0</v>
          </cell>
          <cell r="DJ552" t="str">
            <v>НКРКП</v>
          </cell>
          <cell r="DL552">
            <v>40816</v>
          </cell>
          <cell r="DM552">
            <v>92</v>
          </cell>
          <cell r="DT552">
            <v>906.23</v>
          </cell>
        </row>
        <row r="553">
          <cell r="W553">
            <v>722.93</v>
          </cell>
          <cell r="AF553">
            <v>39877</v>
          </cell>
          <cell r="AG553">
            <v>1481</v>
          </cell>
          <cell r="AH553">
            <v>498.51459269105339</v>
          </cell>
          <cell r="AM553">
            <v>6100.2662</v>
          </cell>
          <cell r="AO553">
            <v>4410065.4439659994</v>
          </cell>
          <cell r="AQ553">
            <v>3041071.72</v>
          </cell>
          <cell r="AU553">
            <v>0</v>
          </cell>
          <cell r="AW553">
            <v>0</v>
          </cell>
          <cell r="AY553">
            <v>2220527.8149999999</v>
          </cell>
          <cell r="AZ553">
            <v>364.00506833619818</v>
          </cell>
          <cell r="BA553">
            <v>0</v>
          </cell>
          <cell r="BB553">
            <v>0</v>
          </cell>
          <cell r="BC553">
            <v>0</v>
          </cell>
          <cell r="BD553">
            <v>0</v>
          </cell>
          <cell r="BG553">
            <v>0</v>
          </cell>
          <cell r="BH553">
            <v>0</v>
          </cell>
          <cell r="BI553">
            <v>129268.75</v>
          </cell>
          <cell r="BJ553">
            <v>21.190673613554765</v>
          </cell>
          <cell r="BK553">
            <v>0</v>
          </cell>
          <cell r="BL553">
            <v>0</v>
          </cell>
          <cell r="BM553">
            <v>554715.11</v>
          </cell>
          <cell r="BN553">
            <v>90.93293502503218</v>
          </cell>
          <cell r="BO553">
            <v>0</v>
          </cell>
          <cell r="BP553">
            <v>0</v>
          </cell>
          <cell r="BY553">
            <v>1720</v>
          </cell>
          <cell r="CF553">
            <v>1036.54</v>
          </cell>
          <cell r="CG553">
            <v>2142.25</v>
          </cell>
          <cell r="CJ553">
            <v>0</v>
          </cell>
          <cell r="CK553">
            <v>0</v>
          </cell>
          <cell r="CL553">
            <v>0</v>
          </cell>
          <cell r="CM553">
            <v>0</v>
          </cell>
          <cell r="CN553">
            <v>0</v>
          </cell>
          <cell r="CO553">
            <v>0</v>
          </cell>
          <cell r="CX553">
            <v>0</v>
          </cell>
          <cell r="CY553">
            <v>0</v>
          </cell>
          <cell r="DB553">
            <v>0</v>
          </cell>
          <cell r="DC553">
            <v>0</v>
          </cell>
          <cell r="DJ553" t="str">
            <v>НКРКП</v>
          </cell>
          <cell r="DL553">
            <v>40816</v>
          </cell>
          <cell r="DM553">
            <v>92</v>
          </cell>
          <cell r="DT553">
            <v>996.45</v>
          </cell>
        </row>
        <row r="554">
          <cell r="W554">
            <v>284.55</v>
          </cell>
          <cell r="AF554">
            <v>39742</v>
          </cell>
          <cell r="AG554">
            <v>1043</v>
          </cell>
          <cell r="AH554">
            <v>284.54834527819503</v>
          </cell>
          <cell r="AM554">
            <v>3788.4072000000001</v>
          </cell>
          <cell r="AO554">
            <v>1077991.2687600001</v>
          </cell>
          <cell r="AQ554">
            <v>1077985</v>
          </cell>
          <cell r="AU554">
            <v>0</v>
          </cell>
          <cell r="AW554">
            <v>0</v>
          </cell>
          <cell r="AY554">
            <v>486994.56167999998</v>
          </cell>
          <cell r="AZ554">
            <v>128.54863164656638</v>
          </cell>
          <cell r="BA554">
            <v>0</v>
          </cell>
          <cell r="BB554">
            <v>0</v>
          </cell>
          <cell r="BC554">
            <v>0</v>
          </cell>
          <cell r="BD554">
            <v>0</v>
          </cell>
          <cell r="BG554">
            <v>0</v>
          </cell>
          <cell r="BH554">
            <v>0</v>
          </cell>
          <cell r="BI554">
            <v>74174.289999999994</v>
          </cell>
          <cell r="BJ554">
            <v>19.579281234604345</v>
          </cell>
          <cell r="BK554">
            <v>0</v>
          </cell>
          <cell r="BL554">
            <v>0</v>
          </cell>
          <cell r="BM554">
            <v>369658.55</v>
          </cell>
          <cell r="BN554">
            <v>97.576245235728621</v>
          </cell>
          <cell r="BO554">
            <v>0</v>
          </cell>
          <cell r="BP554">
            <v>0</v>
          </cell>
          <cell r="BY554">
            <v>1620</v>
          </cell>
          <cell r="CF554">
            <v>669.57399999999996</v>
          </cell>
          <cell r="CG554">
            <v>727.32</v>
          </cell>
          <cell r="CJ554">
            <v>0</v>
          </cell>
          <cell r="CK554">
            <v>0</v>
          </cell>
          <cell r="CL554">
            <v>0</v>
          </cell>
          <cell r="CM554">
            <v>0</v>
          </cell>
          <cell r="CN554">
            <v>0</v>
          </cell>
          <cell r="CO554">
            <v>0</v>
          </cell>
          <cell r="CX554">
            <v>0</v>
          </cell>
          <cell r="CY554">
            <v>0</v>
          </cell>
          <cell r="DB554">
            <v>0</v>
          </cell>
          <cell r="DC554">
            <v>0</v>
          </cell>
          <cell r="DJ554" t="str">
            <v>НКРЕ</v>
          </cell>
          <cell r="DL554">
            <v>40526</v>
          </cell>
          <cell r="DM554">
            <v>1758</v>
          </cell>
          <cell r="DO554" t="str">
            <v>Тариф на теплову енергію</v>
          </cell>
          <cell r="DT554">
            <v>313.01</v>
          </cell>
        </row>
        <row r="555">
          <cell r="W555">
            <v>781.38</v>
          </cell>
          <cell r="AF555">
            <v>39877</v>
          </cell>
          <cell r="AG555">
            <v>1486</v>
          </cell>
          <cell r="AH555">
            <v>541.46213303443699</v>
          </cell>
          <cell r="AM555">
            <v>600.43100000000004</v>
          </cell>
          <cell r="AO555">
            <v>469164.77478000004</v>
          </cell>
          <cell r="AQ555">
            <v>325110.65000000002</v>
          </cell>
          <cell r="AU555">
            <v>0</v>
          </cell>
          <cell r="AW555">
            <v>0</v>
          </cell>
          <cell r="AY555">
            <v>230958.11475000001</v>
          </cell>
          <cell r="AZ555">
            <v>384.65388154509009</v>
          </cell>
          <cell r="BA555">
            <v>0</v>
          </cell>
          <cell r="BB555">
            <v>0</v>
          </cell>
          <cell r="BC555">
            <v>0</v>
          </cell>
          <cell r="BD555">
            <v>0</v>
          </cell>
          <cell r="BG555">
            <v>0</v>
          </cell>
          <cell r="BH555">
            <v>0</v>
          </cell>
          <cell r="BI555">
            <v>14055.29</v>
          </cell>
          <cell r="BJ555">
            <v>23.408668106743324</v>
          </cell>
          <cell r="BK555">
            <v>0</v>
          </cell>
          <cell r="BL555">
            <v>0</v>
          </cell>
          <cell r="BM555">
            <v>70929.64</v>
          </cell>
          <cell r="BN555">
            <v>118.13120908147647</v>
          </cell>
          <cell r="BO555">
            <v>0</v>
          </cell>
          <cell r="BP555">
            <v>0</v>
          </cell>
          <cell r="BY555">
            <v>1620</v>
          </cell>
          <cell r="CF555">
            <v>107.81100000000001</v>
          </cell>
          <cell r="CG555">
            <v>2142.25</v>
          </cell>
          <cell r="CJ555">
            <v>0</v>
          </cell>
          <cell r="CK555">
            <v>0</v>
          </cell>
          <cell r="CL555">
            <v>0</v>
          </cell>
          <cell r="CM555">
            <v>0</v>
          </cell>
          <cell r="CN555">
            <v>0</v>
          </cell>
          <cell r="CO555">
            <v>0</v>
          </cell>
          <cell r="CX555">
            <v>0</v>
          </cell>
          <cell r="CY555">
            <v>0</v>
          </cell>
          <cell r="DB555">
            <v>0</v>
          </cell>
          <cell r="DC555">
            <v>0</v>
          </cell>
          <cell r="DJ555" t="str">
            <v>НКРКП</v>
          </cell>
          <cell r="DL555">
            <v>40816</v>
          </cell>
          <cell r="DM555">
            <v>92</v>
          </cell>
          <cell r="DT555">
            <v>999.9</v>
          </cell>
        </row>
        <row r="556">
          <cell r="W556">
            <v>763.32</v>
          </cell>
          <cell r="AF556">
            <v>39877</v>
          </cell>
          <cell r="AG556">
            <v>1488</v>
          </cell>
          <cell r="AH556">
            <v>681.54190221161423</v>
          </cell>
          <cell r="AM556">
            <v>341.21230000000003</v>
          </cell>
          <cell r="AO556">
            <v>260454.17283600004</v>
          </cell>
          <cell r="AQ556">
            <v>232550.48</v>
          </cell>
          <cell r="AU556">
            <v>0</v>
          </cell>
          <cell r="AW556">
            <v>0</v>
          </cell>
          <cell r="AY556">
            <v>130145.97200000001</v>
          </cell>
          <cell r="AZ556">
            <v>381.42227580893183</v>
          </cell>
          <cell r="BA556">
            <v>0</v>
          </cell>
          <cell r="BB556">
            <v>0</v>
          </cell>
          <cell r="BC556">
            <v>0</v>
          </cell>
          <cell r="BD556">
            <v>0</v>
          </cell>
          <cell r="BG556">
            <v>0</v>
          </cell>
          <cell r="BH556">
            <v>0</v>
          </cell>
          <cell r="BI556">
            <v>13331.13</v>
          </cell>
          <cell r="BJ556">
            <v>39.069898711154309</v>
          </cell>
          <cell r="BK556">
            <v>0</v>
          </cell>
          <cell r="BL556">
            <v>0</v>
          </cell>
          <cell r="BM556">
            <v>87288.940000000017</v>
          </cell>
          <cell r="BN556">
            <v>255.82002758986124</v>
          </cell>
          <cell r="BO556">
            <v>0</v>
          </cell>
          <cell r="BP556">
            <v>0</v>
          </cell>
          <cell r="BY556">
            <v>1382</v>
          </cell>
          <cell r="CF556">
            <v>60.752000000000002</v>
          </cell>
          <cell r="CG556">
            <v>2142.25</v>
          </cell>
          <cell r="CJ556">
            <v>0</v>
          </cell>
          <cell r="CK556">
            <v>0</v>
          </cell>
          <cell r="CL556">
            <v>0</v>
          </cell>
          <cell r="CM556">
            <v>0</v>
          </cell>
          <cell r="CN556">
            <v>0</v>
          </cell>
          <cell r="CO556">
            <v>0</v>
          </cell>
          <cell r="CX556">
            <v>0</v>
          </cell>
          <cell r="CY556">
            <v>0</v>
          </cell>
          <cell r="DB556">
            <v>0</v>
          </cell>
          <cell r="DC556">
            <v>0</v>
          </cell>
          <cell r="DJ556" t="str">
            <v>НКРКП</v>
          </cell>
          <cell r="DL556">
            <v>40816</v>
          </cell>
          <cell r="DM556">
            <v>92</v>
          </cell>
          <cell r="DT556">
            <v>999.9</v>
          </cell>
        </row>
        <row r="557">
          <cell r="W557">
            <v>338.75</v>
          </cell>
          <cell r="AF557">
            <v>39665</v>
          </cell>
          <cell r="AG557">
            <v>802</v>
          </cell>
          <cell r="AH557">
            <v>328.88069293467811</v>
          </cell>
          <cell r="AM557">
            <v>1937.4871000000001</v>
          </cell>
          <cell r="AO557">
            <v>656323.75512500003</v>
          </cell>
          <cell r="AQ557">
            <v>637202.1</v>
          </cell>
          <cell r="AU557">
            <v>0</v>
          </cell>
          <cell r="AW557">
            <v>0</v>
          </cell>
          <cell r="AY557">
            <v>293110.68732000003</v>
          </cell>
          <cell r="AZ557">
            <v>151.28394264921818</v>
          </cell>
          <cell r="BA557">
            <v>0</v>
          </cell>
          <cell r="BB557">
            <v>0</v>
          </cell>
          <cell r="BC557">
            <v>0</v>
          </cell>
          <cell r="BD557">
            <v>0</v>
          </cell>
          <cell r="BG557">
            <v>0</v>
          </cell>
          <cell r="BH557">
            <v>0</v>
          </cell>
          <cell r="BI557">
            <v>32776.910000000003</v>
          </cell>
          <cell r="BJ557">
            <v>16.91722747470164</v>
          </cell>
          <cell r="BK557">
            <v>0</v>
          </cell>
          <cell r="BL557">
            <v>0</v>
          </cell>
          <cell r="BM557">
            <v>198305.5</v>
          </cell>
          <cell r="BN557">
            <v>102.35190727205358</v>
          </cell>
          <cell r="BO557">
            <v>0</v>
          </cell>
          <cell r="BP557">
            <v>0</v>
          </cell>
          <cell r="BY557">
            <v>1650</v>
          </cell>
          <cell r="CF557">
            <v>403.00099999999998</v>
          </cell>
          <cell r="CG557">
            <v>727.32</v>
          </cell>
          <cell r="CJ557">
            <v>0</v>
          </cell>
          <cell r="CK557">
            <v>0</v>
          </cell>
          <cell r="CL557">
            <v>0</v>
          </cell>
          <cell r="CM557">
            <v>0</v>
          </cell>
          <cell r="CN557">
            <v>0</v>
          </cell>
          <cell r="CO557">
            <v>0</v>
          </cell>
          <cell r="CX557">
            <v>0</v>
          </cell>
          <cell r="CY557">
            <v>0</v>
          </cell>
          <cell r="DB557">
            <v>0</v>
          </cell>
          <cell r="DC557">
            <v>0</v>
          </cell>
          <cell r="DJ557" t="str">
            <v>НКРЕ</v>
          </cell>
          <cell r="DL557">
            <v>40526</v>
          </cell>
          <cell r="DM557">
            <v>1758</v>
          </cell>
          <cell r="DO557" t="str">
            <v>Тариф на теплову енергію</v>
          </cell>
          <cell r="DT557">
            <v>372.63</v>
          </cell>
        </row>
        <row r="558">
          <cell r="W558">
            <v>672.69</v>
          </cell>
          <cell r="AF558">
            <v>39875</v>
          </cell>
          <cell r="AG558">
            <v>1451</v>
          </cell>
          <cell r="AH558">
            <v>640.65619454609873</v>
          </cell>
          <cell r="AM558">
            <v>1651.5407</v>
          </cell>
          <cell r="AO558">
            <v>1110974.9134830001</v>
          </cell>
          <cell r="AQ558">
            <v>1058069.78</v>
          </cell>
          <cell r="AU558">
            <v>0</v>
          </cell>
          <cell r="AW558">
            <v>0</v>
          </cell>
          <cell r="AY558">
            <v>674091.09625000006</v>
          </cell>
          <cell r="AZ558">
            <v>408.15893683395149</v>
          </cell>
          <cell r="BA558">
            <v>0</v>
          </cell>
          <cell r="BB558">
            <v>0</v>
          </cell>
          <cell r="BC558">
            <v>0</v>
          </cell>
          <cell r="BD558">
            <v>0</v>
          </cell>
          <cell r="BG558">
            <v>0</v>
          </cell>
          <cell r="BH558">
            <v>0</v>
          </cell>
          <cell r="BI558">
            <v>116652.65</v>
          </cell>
          <cell r="BJ558">
            <v>70.63262201167673</v>
          </cell>
          <cell r="BK558">
            <v>0</v>
          </cell>
          <cell r="BL558">
            <v>0</v>
          </cell>
          <cell r="BM558">
            <v>178777.64</v>
          </cell>
          <cell r="BN558">
            <v>108.2490065185799</v>
          </cell>
          <cell r="BO558">
            <v>0</v>
          </cell>
          <cell r="BP558">
            <v>0</v>
          </cell>
          <cell r="BY558">
            <v>1650</v>
          </cell>
          <cell r="CF558">
            <v>314.66500000000002</v>
          </cell>
          <cell r="CG558">
            <v>2142.25</v>
          </cell>
          <cell r="CJ558">
            <v>0</v>
          </cell>
          <cell r="CK558">
            <v>0</v>
          </cell>
          <cell r="CL558">
            <v>0</v>
          </cell>
          <cell r="CM558">
            <v>0</v>
          </cell>
          <cell r="CN558">
            <v>0</v>
          </cell>
          <cell r="CO558">
            <v>0</v>
          </cell>
          <cell r="CX558">
            <v>0</v>
          </cell>
          <cell r="CY558">
            <v>0</v>
          </cell>
          <cell r="DB558">
            <v>0</v>
          </cell>
          <cell r="DC558">
            <v>0</v>
          </cell>
          <cell r="DJ558" t="str">
            <v>НКРКП</v>
          </cell>
          <cell r="DL558">
            <v>40816</v>
          </cell>
          <cell r="DM558">
            <v>92</v>
          </cell>
          <cell r="DT558">
            <v>979.38</v>
          </cell>
        </row>
        <row r="559">
          <cell r="W559">
            <v>231.62328379985743</v>
          </cell>
          <cell r="AF559">
            <v>39665</v>
          </cell>
          <cell r="AG559">
            <v>793</v>
          </cell>
          <cell r="AH559">
            <v>231.62328379985743</v>
          </cell>
          <cell r="AM559">
            <v>8490.4869999999992</v>
          </cell>
          <cell r="AO559">
            <v>1966594.48</v>
          </cell>
          <cell r="AQ559">
            <v>1966594.48</v>
          </cell>
          <cell r="AU559">
            <v>0</v>
          </cell>
          <cell r="AW559">
            <v>0</v>
          </cell>
          <cell r="AY559">
            <v>1046028.0367170001</v>
          </cell>
          <cell r="AZ559">
            <v>123.20000451293315</v>
          </cell>
          <cell r="BA559">
            <v>0</v>
          </cell>
          <cell r="BB559">
            <v>0</v>
          </cell>
          <cell r="BC559">
            <v>0</v>
          </cell>
          <cell r="BD559">
            <v>0</v>
          </cell>
          <cell r="BG559">
            <v>0</v>
          </cell>
          <cell r="BH559">
            <v>0</v>
          </cell>
          <cell r="BI559">
            <v>235435.58</v>
          </cell>
          <cell r="BJ559">
            <v>27.729337551544454</v>
          </cell>
          <cell r="BK559">
            <v>0</v>
          </cell>
          <cell r="BL559">
            <v>0</v>
          </cell>
          <cell r="BM559">
            <v>569756.44999999995</v>
          </cell>
          <cell r="BN559">
            <v>67.105273231087921</v>
          </cell>
          <cell r="BO559">
            <v>0</v>
          </cell>
          <cell r="BP559">
            <v>0</v>
          </cell>
          <cell r="BY559">
            <v>1805</v>
          </cell>
          <cell r="CF559">
            <v>1438.201</v>
          </cell>
          <cell r="CG559">
            <v>727.31700000000001</v>
          </cell>
          <cell r="CJ559">
            <v>0</v>
          </cell>
          <cell r="CK559">
            <v>0</v>
          </cell>
          <cell r="CL559">
            <v>0</v>
          </cell>
          <cell r="CM559">
            <v>0</v>
          </cell>
          <cell r="CN559">
            <v>0</v>
          </cell>
          <cell r="CO559">
            <v>0</v>
          </cell>
          <cell r="CX559">
            <v>0</v>
          </cell>
          <cell r="CY559">
            <v>0</v>
          </cell>
          <cell r="DB559">
            <v>0</v>
          </cell>
          <cell r="DC559">
            <v>0</v>
          </cell>
          <cell r="DJ559" t="str">
            <v>НКРЕ</v>
          </cell>
          <cell r="DL559">
            <v>40526</v>
          </cell>
          <cell r="DM559">
            <v>1758</v>
          </cell>
          <cell r="DO559" t="str">
            <v>Тариф на теплову енергію</v>
          </cell>
          <cell r="DT559">
            <v>254.78</v>
          </cell>
        </row>
        <row r="560">
          <cell r="W560">
            <v>573.17999999999995</v>
          </cell>
          <cell r="AF560">
            <v>39875</v>
          </cell>
          <cell r="AG560">
            <v>1448</v>
          </cell>
          <cell r="AH560">
            <v>483.92778534669213</v>
          </cell>
          <cell r="AM560">
            <v>5685.9762000000001</v>
          </cell>
          <cell r="AO560">
            <v>3259087.8383159996</v>
          </cell>
          <cell r="AQ560">
            <v>2751601.87</v>
          </cell>
          <cell r="AU560">
            <v>0</v>
          </cell>
          <cell r="AW560">
            <v>0</v>
          </cell>
          <cell r="AY560">
            <v>2063297.37625</v>
          </cell>
          <cell r="AZ560">
            <v>362.8747823900494</v>
          </cell>
          <cell r="BA560">
            <v>0</v>
          </cell>
          <cell r="BB560">
            <v>0</v>
          </cell>
          <cell r="BC560">
            <v>0</v>
          </cell>
          <cell r="BD560">
            <v>0</v>
          </cell>
          <cell r="BG560">
            <v>0</v>
          </cell>
          <cell r="BH560">
            <v>0</v>
          </cell>
          <cell r="BI560">
            <v>204737.71</v>
          </cell>
          <cell r="BJ560">
            <v>36.007486278257723</v>
          </cell>
          <cell r="BK560">
            <v>0</v>
          </cell>
          <cell r="BL560">
            <v>0</v>
          </cell>
          <cell r="BM560">
            <v>406300.43</v>
          </cell>
          <cell r="BN560">
            <v>71.456582952281792</v>
          </cell>
          <cell r="BO560">
            <v>0</v>
          </cell>
          <cell r="BP560">
            <v>0</v>
          </cell>
          <cell r="BY560">
            <v>1805</v>
          </cell>
          <cell r="CF560">
            <v>963.14499999999998</v>
          </cell>
          <cell r="CG560">
            <v>2142.25</v>
          </cell>
          <cell r="CJ560">
            <v>0</v>
          </cell>
          <cell r="CK560">
            <v>0</v>
          </cell>
          <cell r="CL560">
            <v>0</v>
          </cell>
          <cell r="CM560">
            <v>0</v>
          </cell>
          <cell r="CN560">
            <v>0</v>
          </cell>
          <cell r="CO560">
            <v>0</v>
          </cell>
          <cell r="CX560">
            <v>0</v>
          </cell>
          <cell r="CY560">
            <v>0</v>
          </cell>
          <cell r="DB560">
            <v>0</v>
          </cell>
          <cell r="DC560">
            <v>0</v>
          </cell>
          <cell r="DJ560" t="str">
            <v>НКРКП</v>
          </cell>
          <cell r="DL560">
            <v>40816</v>
          </cell>
          <cell r="DM560">
            <v>92</v>
          </cell>
          <cell r="DT560">
            <v>845.84</v>
          </cell>
        </row>
        <row r="561">
          <cell r="W561">
            <v>754.92</v>
          </cell>
          <cell r="AF561">
            <v>39875</v>
          </cell>
          <cell r="AG561">
            <v>1449</v>
          </cell>
          <cell r="AH561">
            <v>483.9278278268111</v>
          </cell>
          <cell r="AM561">
            <v>275.68520000000001</v>
          </cell>
          <cell r="AO561">
            <v>208120.27118399998</v>
          </cell>
          <cell r="AQ561">
            <v>133411.74</v>
          </cell>
          <cell r="AU561">
            <v>0</v>
          </cell>
          <cell r="AW561">
            <v>0</v>
          </cell>
          <cell r="AY561">
            <v>100038.7905</v>
          </cell>
          <cell r="AZ561">
            <v>362.87327176068936</v>
          </cell>
          <cell r="BA561">
            <v>0</v>
          </cell>
          <cell r="BB561">
            <v>0</v>
          </cell>
          <cell r="BC561">
            <v>0</v>
          </cell>
          <cell r="BD561">
            <v>0</v>
          </cell>
          <cell r="BG561">
            <v>0</v>
          </cell>
          <cell r="BH561">
            <v>0</v>
          </cell>
          <cell r="BI561">
            <v>9926.73</v>
          </cell>
          <cell r="BJ561">
            <v>36.007482447371132</v>
          </cell>
          <cell r="BK561">
            <v>0</v>
          </cell>
          <cell r="BL561">
            <v>0</v>
          </cell>
          <cell r="BM561">
            <v>19699.52</v>
          </cell>
          <cell r="BN561">
            <v>71.456574382665451</v>
          </cell>
          <cell r="BO561">
            <v>0</v>
          </cell>
          <cell r="BP561">
            <v>0</v>
          </cell>
          <cell r="BY561">
            <v>1805</v>
          </cell>
          <cell r="CF561">
            <v>46.698</v>
          </cell>
          <cell r="CG561">
            <v>2142.25</v>
          </cell>
          <cell r="CJ561">
            <v>0</v>
          </cell>
          <cell r="CK561">
            <v>0</v>
          </cell>
          <cell r="CL561">
            <v>0</v>
          </cell>
          <cell r="CM561">
            <v>0</v>
          </cell>
          <cell r="CN561">
            <v>0</v>
          </cell>
          <cell r="CO561">
            <v>0</v>
          </cell>
          <cell r="CX561">
            <v>0</v>
          </cell>
          <cell r="CY561">
            <v>0</v>
          </cell>
          <cell r="DB561">
            <v>0</v>
          </cell>
          <cell r="DC561">
            <v>0</v>
          </cell>
          <cell r="DJ561" t="str">
            <v>НКРКП</v>
          </cell>
          <cell r="DL561">
            <v>40816</v>
          </cell>
          <cell r="DM561">
            <v>92</v>
          </cell>
          <cell r="DT561">
            <v>999.9</v>
          </cell>
        </row>
        <row r="563">
          <cell r="W563">
            <v>616.84</v>
          </cell>
          <cell r="AF563">
            <v>39895</v>
          </cell>
          <cell r="AG563">
            <v>1572</v>
          </cell>
          <cell r="AH563">
            <v>550.75175982102496</v>
          </cell>
          <cell r="AM563">
            <v>237.3963</v>
          </cell>
          <cell r="AO563">
            <v>146435.533692</v>
          </cell>
          <cell r="AQ563">
            <v>130746.43</v>
          </cell>
          <cell r="AU563">
            <v>0</v>
          </cell>
          <cell r="AW563">
            <v>0</v>
          </cell>
          <cell r="AY563">
            <v>81568.52522499999</v>
          </cell>
          <cell r="AZ563">
            <v>343.5964470592001</v>
          </cell>
          <cell r="BA563">
            <v>0</v>
          </cell>
          <cell r="BB563">
            <v>0</v>
          </cell>
          <cell r="BC563">
            <v>0</v>
          </cell>
          <cell r="BD563">
            <v>0</v>
          </cell>
          <cell r="BG563">
            <v>0</v>
          </cell>
          <cell r="BH563">
            <v>0</v>
          </cell>
          <cell r="BI563">
            <v>937.7</v>
          </cell>
          <cell r="BJ563">
            <v>3.9499351927557425</v>
          </cell>
          <cell r="BK563">
            <v>0</v>
          </cell>
          <cell r="BL563">
            <v>0</v>
          </cell>
          <cell r="BM563">
            <v>41899.56</v>
          </cell>
          <cell r="BN563">
            <v>176.49626384235978</v>
          </cell>
          <cell r="BO563">
            <v>0</v>
          </cell>
          <cell r="BP563">
            <v>0</v>
          </cell>
          <cell r="BY563">
            <v>1350</v>
          </cell>
          <cell r="CF563">
            <v>38.076099999999997</v>
          </cell>
          <cell r="CG563">
            <v>2142.25</v>
          </cell>
          <cell r="CJ563">
            <v>0</v>
          </cell>
          <cell r="CK563">
            <v>0</v>
          </cell>
          <cell r="CL563">
            <v>0</v>
          </cell>
          <cell r="CM563">
            <v>0</v>
          </cell>
          <cell r="CN563">
            <v>0</v>
          </cell>
          <cell r="CO563">
            <v>0</v>
          </cell>
          <cell r="CX563">
            <v>0</v>
          </cell>
          <cell r="CY563">
            <v>0</v>
          </cell>
          <cell r="DB563">
            <v>0</v>
          </cell>
          <cell r="DC563">
            <v>0</v>
          </cell>
          <cell r="DJ563" t="str">
            <v>НКРКП</v>
          </cell>
          <cell r="DL563">
            <v>40816</v>
          </cell>
          <cell r="DM563">
            <v>92</v>
          </cell>
          <cell r="DT563">
            <v>875.02</v>
          </cell>
        </row>
        <row r="564">
          <cell r="W564">
            <v>631.76</v>
          </cell>
          <cell r="AF564">
            <v>39877</v>
          </cell>
          <cell r="AG564">
            <v>1489</v>
          </cell>
          <cell r="AH564">
            <v>564.0742353522719</v>
          </cell>
          <cell r="AM564">
            <v>716.95759999999996</v>
          </cell>
          <cell r="AO564">
            <v>452945.13337599998</v>
          </cell>
          <cell r="AQ564">
            <v>404417.31</v>
          </cell>
          <cell r="AU564">
            <v>0</v>
          </cell>
          <cell r="AW564">
            <v>0</v>
          </cell>
          <cell r="AY564">
            <v>270257.69099999999</v>
          </cell>
          <cell r="AZ564">
            <v>376.95073041976264</v>
          </cell>
          <cell r="BA564">
            <v>0</v>
          </cell>
          <cell r="BB564">
            <v>0</v>
          </cell>
          <cell r="BC564">
            <v>0</v>
          </cell>
          <cell r="BD564">
            <v>0</v>
          </cell>
          <cell r="BG564">
            <v>0</v>
          </cell>
          <cell r="BH564">
            <v>0</v>
          </cell>
          <cell r="BI564">
            <v>13607.81</v>
          </cell>
          <cell r="BJ564">
            <v>18.979936888875994</v>
          </cell>
          <cell r="BK564">
            <v>0</v>
          </cell>
          <cell r="BL564">
            <v>0</v>
          </cell>
          <cell r="BM564">
            <v>117039.28</v>
          </cell>
          <cell r="BN564">
            <v>163.24435364099637</v>
          </cell>
          <cell r="BO564">
            <v>0</v>
          </cell>
          <cell r="BP564">
            <v>0</v>
          </cell>
          <cell r="BY564">
            <v>1382</v>
          </cell>
          <cell r="CF564">
            <v>126.15600000000001</v>
          </cell>
          <cell r="CG564">
            <v>2142.25</v>
          </cell>
          <cell r="CJ564">
            <v>0</v>
          </cell>
          <cell r="CK564">
            <v>0</v>
          </cell>
          <cell r="CL564">
            <v>0</v>
          </cell>
          <cell r="CM564">
            <v>0</v>
          </cell>
          <cell r="CN564">
            <v>0</v>
          </cell>
          <cell r="CO564">
            <v>0</v>
          </cell>
          <cell r="CX564">
            <v>0</v>
          </cell>
          <cell r="CY564">
            <v>0</v>
          </cell>
          <cell r="DB564">
            <v>0</v>
          </cell>
          <cell r="DC564">
            <v>0</v>
          </cell>
          <cell r="DJ564" t="str">
            <v>НКРКП</v>
          </cell>
          <cell r="DL564">
            <v>40816</v>
          </cell>
          <cell r="DM564">
            <v>92</v>
          </cell>
          <cell r="DT564">
            <v>915.01</v>
          </cell>
        </row>
        <row r="568">
          <cell r="W568">
            <v>821.03</v>
          </cell>
          <cell r="AF568">
            <v>39895</v>
          </cell>
          <cell r="AG568">
            <v>1574</v>
          </cell>
          <cell r="AH568">
            <v>733.06843387711842</v>
          </cell>
          <cell r="AM568">
            <v>91.519000000000005</v>
          </cell>
          <cell r="AO568">
            <v>75139.844570000001</v>
          </cell>
          <cell r="AQ568">
            <v>67089.69</v>
          </cell>
          <cell r="AU568">
            <v>0</v>
          </cell>
          <cell r="AW568">
            <v>0</v>
          </cell>
          <cell r="AY568">
            <v>27966.216850000001</v>
          </cell>
          <cell r="AZ568">
            <v>305.57826079830414</v>
          </cell>
          <cell r="BA568">
            <v>0</v>
          </cell>
          <cell r="BB568">
            <v>0</v>
          </cell>
          <cell r="BC568">
            <v>0</v>
          </cell>
          <cell r="BD568">
            <v>0</v>
          </cell>
          <cell r="BG568">
            <v>0</v>
          </cell>
          <cell r="BH568">
            <v>0</v>
          </cell>
          <cell r="BI568">
            <v>358.83</v>
          </cell>
          <cell r="BJ568">
            <v>3.9208251838416062</v>
          </cell>
          <cell r="BK568">
            <v>0</v>
          </cell>
          <cell r="BL568">
            <v>0</v>
          </cell>
          <cell r="BM568">
            <v>28001.19</v>
          </cell>
          <cell r="BN568">
            <v>305.96040166522795</v>
          </cell>
          <cell r="BO568">
            <v>0</v>
          </cell>
          <cell r="BP568">
            <v>0</v>
          </cell>
          <cell r="BY568">
            <v>1350</v>
          </cell>
          <cell r="CF568">
            <v>13.054600000000001</v>
          </cell>
          <cell r="CG568">
            <v>2142.25</v>
          </cell>
          <cell r="CJ568">
            <v>0</v>
          </cell>
          <cell r="CK568">
            <v>0</v>
          </cell>
          <cell r="CL568">
            <v>0</v>
          </cell>
          <cell r="CM568">
            <v>0</v>
          </cell>
          <cell r="CN568">
            <v>0</v>
          </cell>
          <cell r="CO568">
            <v>0</v>
          </cell>
          <cell r="CX568">
            <v>0</v>
          </cell>
          <cell r="CY568">
            <v>0</v>
          </cell>
          <cell r="DB568">
            <v>0</v>
          </cell>
          <cell r="DC568">
            <v>0</v>
          </cell>
          <cell r="DJ568" t="str">
            <v>НКРКП</v>
          </cell>
          <cell r="DL568">
            <v>40816</v>
          </cell>
          <cell r="DM568">
            <v>92</v>
          </cell>
          <cell r="DT568">
            <v>999.9</v>
          </cell>
        </row>
        <row r="569">
          <cell r="W569">
            <v>642.51</v>
          </cell>
          <cell r="AF569">
            <v>39895</v>
          </cell>
          <cell r="AG569">
            <v>1573</v>
          </cell>
          <cell r="AH569">
            <v>573.67180028716018</v>
          </cell>
          <cell r="AM569">
            <v>418.37270000000001</v>
          </cell>
          <cell r="AO569">
            <v>268808.64347700001</v>
          </cell>
          <cell r="AQ569">
            <v>240008.62</v>
          </cell>
          <cell r="AU569">
            <v>0</v>
          </cell>
          <cell r="AW569">
            <v>0</v>
          </cell>
          <cell r="AY569">
            <v>136650.91412500001</v>
          </cell>
          <cell r="AZ569">
            <v>326.6248350454033</v>
          </cell>
          <cell r="BA569">
            <v>0</v>
          </cell>
          <cell r="BB569">
            <v>0</v>
          </cell>
          <cell r="BC569">
            <v>0</v>
          </cell>
          <cell r="BD569">
            <v>0</v>
          </cell>
          <cell r="BG569">
            <v>0</v>
          </cell>
          <cell r="BH569">
            <v>0</v>
          </cell>
          <cell r="BI569">
            <v>9450.2900000000009</v>
          </cell>
          <cell r="BJ569">
            <v>22.588209029891292</v>
          </cell>
          <cell r="BK569">
            <v>0</v>
          </cell>
          <cell r="BL569">
            <v>0</v>
          </cell>
          <cell r="BM569">
            <v>85234.48</v>
          </cell>
          <cell r="BN569">
            <v>203.72858936541508</v>
          </cell>
          <cell r="BO569">
            <v>0</v>
          </cell>
          <cell r="BP569">
            <v>0</v>
          </cell>
          <cell r="BY569">
            <v>1350</v>
          </cell>
          <cell r="CF569">
            <v>63.788499999999999</v>
          </cell>
          <cell r="CG569">
            <v>2142.25</v>
          </cell>
          <cell r="CJ569">
            <v>0</v>
          </cell>
          <cell r="CK569">
            <v>0</v>
          </cell>
          <cell r="CL569">
            <v>0</v>
          </cell>
          <cell r="CM569">
            <v>0</v>
          </cell>
          <cell r="CN569">
            <v>0</v>
          </cell>
          <cell r="CO569">
            <v>0</v>
          </cell>
          <cell r="CX569">
            <v>0</v>
          </cell>
          <cell r="CY569">
            <v>0</v>
          </cell>
          <cell r="DB569">
            <v>0</v>
          </cell>
          <cell r="DC569">
            <v>0</v>
          </cell>
          <cell r="DJ569" t="str">
            <v>НКРКП</v>
          </cell>
          <cell r="DL569">
            <v>40816</v>
          </cell>
          <cell r="DM569">
            <v>92</v>
          </cell>
          <cell r="DT569">
            <v>887.93</v>
          </cell>
        </row>
        <row r="570">
          <cell r="W570">
            <v>749.15</v>
          </cell>
          <cell r="AF570">
            <v>39875</v>
          </cell>
          <cell r="AG570">
            <v>1450</v>
          </cell>
          <cell r="AH570">
            <v>592.68512756384087</v>
          </cell>
          <cell r="AM570">
            <v>407.5136</v>
          </cell>
          <cell r="AO570">
            <v>305288.81344</v>
          </cell>
          <cell r="AQ570">
            <v>241527.25</v>
          </cell>
          <cell r="AU570">
            <v>0</v>
          </cell>
          <cell r="AW570">
            <v>0</v>
          </cell>
          <cell r="AY570">
            <v>167742.45950000003</v>
          </cell>
          <cell r="AZ570">
            <v>411.62419978130799</v>
          </cell>
          <cell r="BA570">
            <v>0</v>
          </cell>
          <cell r="BB570">
            <v>0</v>
          </cell>
          <cell r="BC570">
            <v>0</v>
          </cell>
          <cell r="BD570">
            <v>0</v>
          </cell>
          <cell r="BG570">
            <v>0</v>
          </cell>
          <cell r="BH570">
            <v>0</v>
          </cell>
          <cell r="BI570">
            <v>15749.47</v>
          </cell>
          <cell r="BJ570">
            <v>38.647716297075725</v>
          </cell>
          <cell r="BK570">
            <v>0</v>
          </cell>
          <cell r="BL570">
            <v>0</v>
          </cell>
          <cell r="BM570">
            <v>51773.07</v>
          </cell>
          <cell r="BN570">
            <v>127.04623845682696</v>
          </cell>
          <cell r="BO570">
            <v>0</v>
          </cell>
          <cell r="BP570">
            <v>0</v>
          </cell>
          <cell r="BY570">
            <v>1630</v>
          </cell>
          <cell r="CF570">
            <v>78.302000000000007</v>
          </cell>
          <cell r="CG570">
            <v>2142.25</v>
          </cell>
          <cell r="CJ570">
            <v>0</v>
          </cell>
          <cell r="CK570">
            <v>0</v>
          </cell>
          <cell r="CL570">
            <v>0</v>
          </cell>
          <cell r="CM570">
            <v>0</v>
          </cell>
          <cell r="CN570">
            <v>0</v>
          </cell>
          <cell r="CO570">
            <v>0</v>
          </cell>
          <cell r="CX570">
            <v>0</v>
          </cell>
          <cell r="CY570">
            <v>0</v>
          </cell>
          <cell r="DB570">
            <v>0</v>
          </cell>
          <cell r="DC570">
            <v>0</v>
          </cell>
          <cell r="DJ570" t="str">
            <v>НКРКП</v>
          </cell>
          <cell r="DL570">
            <v>40816</v>
          </cell>
          <cell r="DM570">
            <v>92</v>
          </cell>
          <cell r="DT570">
            <v>999.9</v>
          </cell>
        </row>
        <row r="571">
          <cell r="W571">
            <v>198.26</v>
          </cell>
          <cell r="AF571">
            <v>39769</v>
          </cell>
          <cell r="AG571">
            <v>1087</v>
          </cell>
          <cell r="AH571">
            <v>198.25898828026558</v>
          </cell>
          <cell r="AM571">
            <v>14512.8374</v>
          </cell>
          <cell r="AO571">
            <v>2877315.142924</v>
          </cell>
          <cell r="AQ571">
            <v>2877300.46</v>
          </cell>
          <cell r="AU571">
            <v>0</v>
          </cell>
          <cell r="AW571">
            <v>0</v>
          </cell>
          <cell r="AY571">
            <v>1654551.6237899999</v>
          </cell>
          <cell r="AZ571">
            <v>114.00607463499865</v>
          </cell>
          <cell r="BA571">
            <v>0</v>
          </cell>
          <cell r="BB571">
            <v>0</v>
          </cell>
          <cell r="BC571">
            <v>0</v>
          </cell>
          <cell r="BD571">
            <v>0</v>
          </cell>
          <cell r="BG571">
            <v>0</v>
          </cell>
          <cell r="BH571">
            <v>0</v>
          </cell>
          <cell r="BI571">
            <v>353268.56</v>
          </cell>
          <cell r="BJ571">
            <v>24.341798248218502</v>
          </cell>
          <cell r="BK571">
            <v>0</v>
          </cell>
          <cell r="BL571">
            <v>0</v>
          </cell>
          <cell r="BM571">
            <v>806705.04</v>
          </cell>
          <cell r="BN571">
            <v>55.585618288536743</v>
          </cell>
          <cell r="BO571">
            <v>0</v>
          </cell>
          <cell r="BP571">
            <v>0</v>
          </cell>
          <cell r="BY571">
            <v>1460</v>
          </cell>
          <cell r="CF571">
            <v>2274.87</v>
          </cell>
          <cell r="CG571">
            <v>727.31700000000001</v>
          </cell>
          <cell r="CJ571">
            <v>0</v>
          </cell>
          <cell r="CK571">
            <v>0</v>
          </cell>
          <cell r="CL571">
            <v>0</v>
          </cell>
          <cell r="CM571">
            <v>0</v>
          </cell>
          <cell r="CN571">
            <v>0</v>
          </cell>
          <cell r="CO571">
            <v>0</v>
          </cell>
          <cell r="CX571">
            <v>0</v>
          </cell>
          <cell r="CY571">
            <v>0</v>
          </cell>
          <cell r="DB571">
            <v>0</v>
          </cell>
          <cell r="DC571">
            <v>0</v>
          </cell>
          <cell r="DJ571" t="str">
            <v>НКРЕ</v>
          </cell>
          <cell r="DL571">
            <v>40526</v>
          </cell>
          <cell r="DM571">
            <v>1758</v>
          </cell>
          <cell r="DO571" t="str">
            <v>Тариф на теплову енергію</v>
          </cell>
          <cell r="DT571">
            <v>218.09</v>
          </cell>
        </row>
        <row r="572">
          <cell r="W572">
            <v>490.51</v>
          </cell>
          <cell r="AF572">
            <v>39888</v>
          </cell>
          <cell r="AG572">
            <v>1528</v>
          </cell>
          <cell r="AH572">
            <v>426.53032423623358</v>
          </cell>
          <cell r="AM572">
            <v>1296.0210999999999</v>
          </cell>
          <cell r="AO572">
            <v>635711.30976099998</v>
          </cell>
          <cell r="AQ572">
            <v>552792.30000000005</v>
          </cell>
          <cell r="AU572">
            <v>0</v>
          </cell>
          <cell r="AW572">
            <v>0</v>
          </cell>
          <cell r="AY572">
            <v>435198.08750000002</v>
          </cell>
          <cell r="AZ572">
            <v>335.79552639999463</v>
          </cell>
          <cell r="BA572">
            <v>0</v>
          </cell>
          <cell r="BB572">
            <v>0</v>
          </cell>
          <cell r="BC572">
            <v>0</v>
          </cell>
          <cell r="BD572">
            <v>0</v>
          </cell>
          <cell r="BG572">
            <v>0</v>
          </cell>
          <cell r="BH572">
            <v>0</v>
          </cell>
          <cell r="BI572">
            <v>38422.25</v>
          </cell>
          <cell r="BJ572">
            <v>29.646315171874903</v>
          </cell>
          <cell r="BK572">
            <v>0</v>
          </cell>
          <cell r="BL572">
            <v>0</v>
          </cell>
          <cell r="BM572">
            <v>73565.960000000006</v>
          </cell>
          <cell r="BN572">
            <v>56.762933875073493</v>
          </cell>
          <cell r="BO572">
            <v>0</v>
          </cell>
          <cell r="BP572">
            <v>0</v>
          </cell>
          <cell r="BY572">
            <v>1460</v>
          </cell>
          <cell r="CF572">
            <v>203.15</v>
          </cell>
          <cell r="CG572">
            <v>2142.25</v>
          </cell>
          <cell r="CJ572">
            <v>0</v>
          </cell>
          <cell r="CK572">
            <v>0</v>
          </cell>
          <cell r="CL572">
            <v>0</v>
          </cell>
          <cell r="CM572">
            <v>0</v>
          </cell>
          <cell r="CN572">
            <v>0</v>
          </cell>
          <cell r="CO572">
            <v>0</v>
          </cell>
          <cell r="CX572">
            <v>0</v>
          </cell>
          <cell r="CY572">
            <v>0</v>
          </cell>
          <cell r="DB572">
            <v>0</v>
          </cell>
          <cell r="DC572">
            <v>0</v>
          </cell>
          <cell r="DJ572" t="str">
            <v>НКРКП</v>
          </cell>
          <cell r="DL572">
            <v>40816</v>
          </cell>
          <cell r="DM572">
            <v>92</v>
          </cell>
          <cell r="DT572">
            <v>742.83</v>
          </cell>
        </row>
        <row r="573">
          <cell r="W573">
            <v>639.79</v>
          </cell>
          <cell r="AF573">
            <v>39888</v>
          </cell>
          <cell r="AG573">
            <v>1529</v>
          </cell>
          <cell r="AH573">
            <v>426.52963704882382</v>
          </cell>
          <cell r="AM573">
            <v>1331.1818000000001</v>
          </cell>
          <cell r="AO573">
            <v>851676.80382200005</v>
          </cell>
          <cell r="AQ573">
            <v>567788.49</v>
          </cell>
          <cell r="AU573">
            <v>0</v>
          </cell>
          <cell r="AW573">
            <v>0</v>
          </cell>
          <cell r="AY573">
            <v>447004.02724999998</v>
          </cell>
          <cell r="AZ573">
            <v>335.79487583889738</v>
          </cell>
          <cell r="BA573">
            <v>0</v>
          </cell>
          <cell r="BB573">
            <v>0</v>
          </cell>
          <cell r="BC573">
            <v>0</v>
          </cell>
          <cell r="BD573">
            <v>0</v>
          </cell>
          <cell r="BG573">
            <v>0</v>
          </cell>
          <cell r="BH573">
            <v>0</v>
          </cell>
          <cell r="BI573">
            <v>39464.589999999997</v>
          </cell>
          <cell r="BJ573">
            <v>29.646281221693382</v>
          </cell>
          <cell r="BK573">
            <v>0</v>
          </cell>
          <cell r="BL573">
            <v>0</v>
          </cell>
          <cell r="BM573">
            <v>75561.790000000008</v>
          </cell>
          <cell r="BN573">
            <v>56.762938014927791</v>
          </cell>
          <cell r="BO573">
            <v>0</v>
          </cell>
          <cell r="BP573">
            <v>0</v>
          </cell>
          <cell r="BY573">
            <v>1460</v>
          </cell>
          <cell r="CF573">
            <v>208.661</v>
          </cell>
          <cell r="CG573">
            <v>2142.25</v>
          </cell>
          <cell r="CJ573">
            <v>0</v>
          </cell>
          <cell r="CK573">
            <v>0</v>
          </cell>
          <cell r="CL573">
            <v>0</v>
          </cell>
          <cell r="CM573">
            <v>0</v>
          </cell>
          <cell r="CN573">
            <v>0</v>
          </cell>
          <cell r="CO573">
            <v>0</v>
          </cell>
          <cell r="CX573">
            <v>0</v>
          </cell>
          <cell r="CY573">
            <v>0</v>
          </cell>
          <cell r="DB573">
            <v>0</v>
          </cell>
          <cell r="DC573">
            <v>0</v>
          </cell>
          <cell r="DJ573" t="str">
            <v>НКРКП</v>
          </cell>
          <cell r="DL573">
            <v>40816</v>
          </cell>
          <cell r="DM573">
            <v>92</v>
          </cell>
          <cell r="DT573">
            <v>892.11</v>
          </cell>
        </row>
        <row r="574">
          <cell r="W574">
            <v>282.2</v>
          </cell>
          <cell r="AF574">
            <v>39895</v>
          </cell>
          <cell r="AG574">
            <v>1567</v>
          </cell>
          <cell r="AH574">
            <v>282.20006954841796</v>
          </cell>
          <cell r="AM574">
            <v>689.87909999999999</v>
          </cell>
          <cell r="AO574">
            <v>194683.88201999999</v>
          </cell>
          <cell r="AQ574">
            <v>194683.93</v>
          </cell>
          <cell r="AU574">
            <v>0</v>
          </cell>
          <cell r="AW574">
            <v>0</v>
          </cell>
          <cell r="AY574">
            <v>84362.792316000006</v>
          </cell>
          <cell r="AZ574">
            <v>122.28634309402909</v>
          </cell>
          <cell r="BA574">
            <v>0</v>
          </cell>
          <cell r="BB574">
            <v>0</v>
          </cell>
          <cell r="BC574">
            <v>0</v>
          </cell>
          <cell r="BD574">
            <v>0</v>
          </cell>
          <cell r="BG574">
            <v>0</v>
          </cell>
          <cell r="BH574">
            <v>0</v>
          </cell>
          <cell r="BI574">
            <v>13287.08</v>
          </cell>
          <cell r="BJ574">
            <v>19.26001237028343</v>
          </cell>
          <cell r="BK574">
            <v>0</v>
          </cell>
          <cell r="BL574">
            <v>0</v>
          </cell>
          <cell r="BM574">
            <v>86554.31</v>
          </cell>
          <cell r="BN574">
            <v>125.4630122872254</v>
          </cell>
          <cell r="BO574">
            <v>0</v>
          </cell>
          <cell r="BP574">
            <v>0</v>
          </cell>
          <cell r="BY574">
            <v>1526</v>
          </cell>
          <cell r="CF574">
            <v>115.9913</v>
          </cell>
          <cell r="CG574">
            <v>727.32</v>
          </cell>
          <cell r="CJ574">
            <v>0</v>
          </cell>
          <cell r="CK574">
            <v>0</v>
          </cell>
          <cell r="CL574">
            <v>0</v>
          </cell>
          <cell r="CM574">
            <v>0</v>
          </cell>
          <cell r="CN574">
            <v>0</v>
          </cell>
          <cell r="CO574">
            <v>0</v>
          </cell>
          <cell r="CX574">
            <v>0</v>
          </cell>
          <cell r="CY574">
            <v>0</v>
          </cell>
          <cell r="DB574">
            <v>0</v>
          </cell>
          <cell r="DC574">
            <v>0</v>
          </cell>
          <cell r="DJ574" t="str">
            <v>НКРЕ</v>
          </cell>
          <cell r="DL574">
            <v>40526</v>
          </cell>
          <cell r="DM574">
            <v>1758</v>
          </cell>
          <cell r="DO574" t="str">
            <v>Тариф на теплову енергію</v>
          </cell>
          <cell r="DT574">
            <v>310.42</v>
          </cell>
        </row>
        <row r="575">
          <cell r="W575">
            <v>581.27</v>
          </cell>
          <cell r="AF575">
            <v>39895</v>
          </cell>
          <cell r="AG575">
            <v>1568</v>
          </cell>
          <cell r="AH575">
            <v>518.99166885282114</v>
          </cell>
          <cell r="AM575">
            <v>7794.5087999999996</v>
          </cell>
          <cell r="AO575">
            <v>4530714.1301759994</v>
          </cell>
          <cell r="AQ575">
            <v>4045285.13</v>
          </cell>
          <cell r="AU575">
            <v>0</v>
          </cell>
          <cell r="AW575">
            <v>0</v>
          </cell>
          <cell r="AY575">
            <v>2795931.6662749997</v>
          </cell>
          <cell r="AZ575">
            <v>358.70530626317338</v>
          </cell>
          <cell r="BA575">
            <v>0</v>
          </cell>
          <cell r="BB575">
            <v>0</v>
          </cell>
          <cell r="BC575">
            <v>0</v>
          </cell>
          <cell r="BD575">
            <v>0</v>
          </cell>
          <cell r="BG575">
            <v>0</v>
          </cell>
          <cell r="BH575">
            <v>0</v>
          </cell>
          <cell r="BI575">
            <v>143389.17000000001</v>
          </cell>
          <cell r="BJ575">
            <v>18.396177832270844</v>
          </cell>
          <cell r="BK575">
            <v>0</v>
          </cell>
          <cell r="BL575">
            <v>0</v>
          </cell>
          <cell r="BM575">
            <v>987560.28</v>
          </cell>
          <cell r="BN575">
            <v>126.69948874777074</v>
          </cell>
          <cell r="BO575">
            <v>0</v>
          </cell>
          <cell r="BP575">
            <v>0</v>
          </cell>
          <cell r="BY575">
            <v>1526</v>
          </cell>
          <cell r="CF575">
            <v>1305.1378999999999</v>
          </cell>
          <cell r="CG575">
            <v>2142.25</v>
          </cell>
          <cell r="CJ575">
            <v>0</v>
          </cell>
          <cell r="CK575">
            <v>0</v>
          </cell>
          <cell r="CL575">
            <v>0</v>
          </cell>
          <cell r="CM575">
            <v>0</v>
          </cell>
          <cell r="CN575">
            <v>0</v>
          </cell>
          <cell r="CO575">
            <v>0</v>
          </cell>
          <cell r="CX575">
            <v>0</v>
          </cell>
          <cell r="CY575">
            <v>0</v>
          </cell>
          <cell r="DB575">
            <v>0</v>
          </cell>
          <cell r="DC575">
            <v>0</v>
          </cell>
          <cell r="DJ575" t="str">
            <v>НКРКП</v>
          </cell>
          <cell r="DL575">
            <v>40816</v>
          </cell>
          <cell r="DM575">
            <v>92</v>
          </cell>
          <cell r="DT575">
            <v>850.81</v>
          </cell>
        </row>
        <row r="576">
          <cell r="W576">
            <v>646.08000000000004</v>
          </cell>
          <cell r="AF576">
            <v>39895</v>
          </cell>
          <cell r="AG576">
            <v>1569</v>
          </cell>
          <cell r="AH576">
            <v>521.70598363842669</v>
          </cell>
          <cell r="AM576">
            <v>378.08100000000002</v>
          </cell>
          <cell r="AO576">
            <v>244270.57248000003</v>
          </cell>
          <cell r="AQ576">
            <v>197247.12</v>
          </cell>
          <cell r="AU576">
            <v>0</v>
          </cell>
          <cell r="AW576">
            <v>0</v>
          </cell>
          <cell r="AY576">
            <v>136360.63925000001</v>
          </cell>
          <cell r="AZ576">
            <v>360.66514648977335</v>
          </cell>
          <cell r="BA576">
            <v>0</v>
          </cell>
          <cell r="BB576">
            <v>0</v>
          </cell>
          <cell r="BC576">
            <v>0</v>
          </cell>
          <cell r="BD576">
            <v>0</v>
          </cell>
          <cell r="BG576">
            <v>0</v>
          </cell>
          <cell r="BH576">
            <v>0</v>
          </cell>
          <cell r="BI576">
            <v>7240.5</v>
          </cell>
          <cell r="BJ576">
            <v>19.150658192292127</v>
          </cell>
          <cell r="BK576">
            <v>0</v>
          </cell>
          <cell r="BL576">
            <v>0</v>
          </cell>
          <cell r="BM576">
            <v>47902.66</v>
          </cell>
          <cell r="BN576">
            <v>126.69946387149844</v>
          </cell>
          <cell r="BO576">
            <v>0</v>
          </cell>
          <cell r="BP576">
            <v>0</v>
          </cell>
          <cell r="BY576">
            <v>1526</v>
          </cell>
          <cell r="CF576">
            <v>63.652999999999999</v>
          </cell>
          <cell r="CG576">
            <v>2142.25</v>
          </cell>
          <cell r="CJ576">
            <v>0</v>
          </cell>
          <cell r="CK576">
            <v>0</v>
          </cell>
          <cell r="CL576">
            <v>0</v>
          </cell>
          <cell r="CM576">
            <v>0</v>
          </cell>
          <cell r="CN576">
            <v>0</v>
          </cell>
          <cell r="CO576">
            <v>0</v>
          </cell>
          <cell r="CX576">
            <v>0</v>
          </cell>
          <cell r="CY576">
            <v>0</v>
          </cell>
          <cell r="DB576">
            <v>0</v>
          </cell>
          <cell r="DC576">
            <v>0</v>
          </cell>
          <cell r="DJ576" t="str">
            <v>НКРКП</v>
          </cell>
          <cell r="DL576">
            <v>40816</v>
          </cell>
          <cell r="DM576">
            <v>92</v>
          </cell>
          <cell r="DT576">
            <v>917.09</v>
          </cell>
        </row>
        <row r="577">
          <cell r="W577">
            <v>301.33999999999997</v>
          </cell>
          <cell r="AF577">
            <v>38961</v>
          </cell>
          <cell r="AG577" t="str">
            <v>Кошторис планових витрат на 2006 р. по однобродівській селищній раді (536)</v>
          </cell>
          <cell r="AH577">
            <v>286.99958618664317</v>
          </cell>
          <cell r="AM577">
            <v>149.82599999999999</v>
          </cell>
          <cell r="AO577">
            <v>45148.566839999992</v>
          </cell>
          <cell r="AQ577">
            <v>43000</v>
          </cell>
          <cell r="AU577">
            <v>0</v>
          </cell>
          <cell r="AW577">
            <v>0</v>
          </cell>
          <cell r="AY577">
            <v>7525.0882000000001</v>
          </cell>
          <cell r="AZ577">
            <v>50.225516265534694</v>
          </cell>
          <cell r="BA577">
            <v>0</v>
          </cell>
          <cell r="BB577">
            <v>0</v>
          </cell>
          <cell r="BC577">
            <v>0</v>
          </cell>
          <cell r="BD577">
            <v>0</v>
          </cell>
          <cell r="BG577">
            <v>0</v>
          </cell>
          <cell r="BH577">
            <v>0</v>
          </cell>
          <cell r="BI577">
            <v>8500</v>
          </cell>
          <cell r="BJ577">
            <v>56.732476339220163</v>
          </cell>
          <cell r="BK577">
            <v>0</v>
          </cell>
          <cell r="BL577">
            <v>0</v>
          </cell>
          <cell r="BM577">
            <v>19100</v>
          </cell>
          <cell r="BN577">
            <v>127.48121153871826</v>
          </cell>
          <cell r="BO577">
            <v>0</v>
          </cell>
          <cell r="BP577">
            <v>0</v>
          </cell>
          <cell r="BY577">
            <v>990</v>
          </cell>
          <cell r="CF577">
            <v>29.638000000000002</v>
          </cell>
          <cell r="CG577">
            <v>253.9</v>
          </cell>
          <cell r="CJ577">
            <v>0</v>
          </cell>
          <cell r="CK577">
            <v>0</v>
          </cell>
          <cell r="CL577">
            <v>0</v>
          </cell>
          <cell r="CM577">
            <v>0</v>
          </cell>
          <cell r="CN577">
            <v>0</v>
          </cell>
          <cell r="CO577">
            <v>0</v>
          </cell>
          <cell r="CX577">
            <v>0</v>
          </cell>
          <cell r="CY577">
            <v>0</v>
          </cell>
          <cell r="DB577">
            <v>0</v>
          </cell>
          <cell r="DC577">
            <v>0</v>
          </cell>
          <cell r="DJ577" t="str">
            <v>НКРЕ</v>
          </cell>
          <cell r="DL577">
            <v>40526</v>
          </cell>
          <cell r="DM577">
            <v>1758</v>
          </cell>
          <cell r="DO577" t="str">
            <v>Тариф на теплову енергію</v>
          </cell>
          <cell r="DT577">
            <v>331.49</v>
          </cell>
        </row>
        <row r="578">
          <cell r="W578">
            <v>747.4</v>
          </cell>
          <cell r="AF578">
            <v>39335</v>
          </cell>
          <cell r="AG578">
            <v>136</v>
          </cell>
          <cell r="AH578">
            <v>533.85656231628457</v>
          </cell>
          <cell r="AM578">
            <v>1360.8</v>
          </cell>
          <cell r="AO578">
            <v>1017061.9199999999</v>
          </cell>
          <cell r="AQ578">
            <v>726472.01</v>
          </cell>
          <cell r="AU578">
            <v>0</v>
          </cell>
          <cell r="AW578">
            <v>0</v>
          </cell>
          <cell r="AY578">
            <v>327172.85639999999</v>
          </cell>
          <cell r="AZ578">
            <v>240.4268492063492</v>
          </cell>
          <cell r="BA578">
            <v>0</v>
          </cell>
          <cell r="BB578">
            <v>0</v>
          </cell>
          <cell r="BC578">
            <v>0</v>
          </cell>
          <cell r="BD578">
            <v>0</v>
          </cell>
          <cell r="BG578">
            <v>0</v>
          </cell>
          <cell r="BH578">
            <v>0</v>
          </cell>
          <cell r="BI578">
            <v>173307.6</v>
          </cell>
          <cell r="BJ578">
            <v>127.35714285714286</v>
          </cell>
          <cell r="BK578">
            <v>0</v>
          </cell>
          <cell r="BL578">
            <v>0</v>
          </cell>
          <cell r="BM578">
            <v>190917.49</v>
          </cell>
          <cell r="BN578">
            <v>140.29797912992356</v>
          </cell>
          <cell r="BO578">
            <v>0</v>
          </cell>
          <cell r="BP578">
            <v>0</v>
          </cell>
          <cell r="BY578">
            <v>1153</v>
          </cell>
          <cell r="CF578">
            <v>393.85199999999998</v>
          </cell>
          <cell r="CG578">
            <v>830.7</v>
          </cell>
          <cell r="CJ578">
            <v>0</v>
          </cell>
          <cell r="CK578">
            <v>0</v>
          </cell>
          <cell r="CL578">
            <v>0</v>
          </cell>
          <cell r="CM578">
            <v>0</v>
          </cell>
          <cell r="CN578">
            <v>0</v>
          </cell>
          <cell r="CO578">
            <v>0</v>
          </cell>
          <cell r="CX578">
            <v>0</v>
          </cell>
          <cell r="CY578">
            <v>0</v>
          </cell>
          <cell r="DB578">
            <v>0</v>
          </cell>
          <cell r="DC578">
            <v>0</v>
          </cell>
          <cell r="DJ578" t="str">
            <v>НКРКП</v>
          </cell>
          <cell r="DL578">
            <v>40816</v>
          </cell>
          <cell r="DM578">
            <v>92</v>
          </cell>
          <cell r="DT578">
            <v>999.9</v>
          </cell>
        </row>
        <row r="579">
          <cell r="AF579">
            <v>39861</v>
          </cell>
          <cell r="AG579">
            <v>17</v>
          </cell>
          <cell r="AM579">
            <v>1726.9601000000002</v>
          </cell>
          <cell r="AO579">
            <v>576338.39417300012</v>
          </cell>
          <cell r="AQ579">
            <v>540181.0452020982</v>
          </cell>
          <cell r="AU579">
            <v>0</v>
          </cell>
          <cell r="AW579">
            <v>0</v>
          </cell>
          <cell r="AY579">
            <v>502319.63204879209</v>
          </cell>
          <cell r="AZ579">
            <v>290.86927488874352</v>
          </cell>
          <cell r="BA579">
            <v>0</v>
          </cell>
          <cell r="BB579">
            <v>0</v>
          </cell>
          <cell r="BG579">
            <v>0</v>
          </cell>
          <cell r="BH579">
            <v>0</v>
          </cell>
          <cell r="BI579">
            <v>37861.413153306072</v>
          </cell>
          <cell r="BJ579">
            <v>21.923733590200531</v>
          </cell>
          <cell r="BK579">
            <v>0</v>
          </cell>
          <cell r="BL579">
            <v>0</v>
          </cell>
          <cell r="BO579">
            <v>0</v>
          </cell>
          <cell r="BP579">
            <v>0</v>
          </cell>
          <cell r="CF579">
            <v>234.48226493116681</v>
          </cell>
          <cell r="CG579">
            <v>2142.25</v>
          </cell>
          <cell r="CJ579">
            <v>0</v>
          </cell>
          <cell r="CK579">
            <v>0</v>
          </cell>
          <cell r="CL579">
            <v>0</v>
          </cell>
          <cell r="CM579">
            <v>0</v>
          </cell>
          <cell r="CN579">
            <v>0</v>
          </cell>
          <cell r="CO579">
            <v>0</v>
          </cell>
          <cell r="CX579">
            <v>0</v>
          </cell>
          <cell r="CY579">
            <v>0</v>
          </cell>
          <cell r="DJ579" t="str">
            <v>НКРКП</v>
          </cell>
          <cell r="DL579">
            <v>40816</v>
          </cell>
          <cell r="DM579">
            <v>161</v>
          </cell>
        </row>
        <row r="580">
          <cell r="AF580">
            <v>39861</v>
          </cell>
          <cell r="AG580">
            <v>17</v>
          </cell>
          <cell r="AM580">
            <v>117.07490000000001</v>
          </cell>
          <cell r="AO580">
            <v>43186.589112000001</v>
          </cell>
          <cell r="AQ580">
            <v>36491.224793717018</v>
          </cell>
          <cell r="AU580">
            <v>0</v>
          </cell>
          <cell r="AW580">
            <v>0</v>
          </cell>
          <cell r="AY580">
            <v>33996.121648626031</v>
          </cell>
          <cell r="AZ580">
            <v>290.3792499385097</v>
          </cell>
          <cell r="BA580">
            <v>0</v>
          </cell>
          <cell r="BB580">
            <v>0</v>
          </cell>
          <cell r="BG580">
            <v>0</v>
          </cell>
          <cell r="BH580">
            <v>0</v>
          </cell>
          <cell r="BI580">
            <v>2495.1031450909841</v>
          </cell>
          <cell r="BJ580">
            <v>21.31202456795593</v>
          </cell>
          <cell r="BK580">
            <v>0</v>
          </cell>
          <cell r="BL580">
            <v>0</v>
          </cell>
          <cell r="BO580">
            <v>0</v>
          </cell>
          <cell r="BP580">
            <v>0</v>
          </cell>
          <cell r="CF580">
            <v>15.869353086066532</v>
          </cell>
          <cell r="CG580">
            <v>2142.25</v>
          </cell>
          <cell r="CJ580">
            <v>0</v>
          </cell>
          <cell r="CK580">
            <v>0</v>
          </cell>
          <cell r="CL580">
            <v>0</v>
          </cell>
          <cell r="CM580">
            <v>0</v>
          </cell>
          <cell r="CN580">
            <v>0</v>
          </cell>
          <cell r="CO580">
            <v>0</v>
          </cell>
          <cell r="CX580">
            <v>0</v>
          </cell>
          <cell r="CY580">
            <v>0</v>
          </cell>
          <cell r="DJ580" t="str">
            <v>НКРКП</v>
          </cell>
          <cell r="DL580">
            <v>40816</v>
          </cell>
          <cell r="DM580">
            <v>161</v>
          </cell>
        </row>
        <row r="581">
          <cell r="AF581">
            <v>39861</v>
          </cell>
          <cell r="AG581">
            <v>17</v>
          </cell>
          <cell r="AO581">
            <v>347882.04000000027</v>
          </cell>
          <cell r="AQ581">
            <v>263460.55055061769</v>
          </cell>
          <cell r="AY581">
            <v>63805.550234926901</v>
          </cell>
          <cell r="AZ581">
            <v>6506.5212753841224</v>
          </cell>
          <cell r="BC581">
            <v>0</v>
          </cell>
          <cell r="BD581">
            <v>0</v>
          </cell>
          <cell r="BG581">
            <v>0</v>
          </cell>
          <cell r="BH581">
            <v>0</v>
          </cell>
          <cell r="BI581">
            <v>3858.8144788798886</v>
          </cell>
          <cell r="BJ581">
            <v>393.49960014683126</v>
          </cell>
          <cell r="BK581">
            <v>0</v>
          </cell>
          <cell r="BL581">
            <v>0</v>
          </cell>
          <cell r="BM581">
            <v>96283.105988358438</v>
          </cell>
          <cell r="BN581">
            <v>9818.3947206271787</v>
          </cell>
          <cell r="BO581">
            <v>0</v>
          </cell>
          <cell r="BP581">
            <v>0</v>
          </cell>
          <cell r="BY581">
            <v>0</v>
          </cell>
          <cell r="CF581">
            <v>29.784362345630484</v>
          </cell>
          <cell r="CG581">
            <v>2142.25</v>
          </cell>
          <cell r="CX581">
            <v>0</v>
          </cell>
          <cell r="CY581">
            <v>0</v>
          </cell>
          <cell r="DB581">
            <v>0</v>
          </cell>
          <cell r="DC581">
            <v>0</v>
          </cell>
          <cell r="DJ581" t="str">
            <v>МОС</v>
          </cell>
          <cell r="DL581">
            <v>40084</v>
          </cell>
          <cell r="DM581">
            <v>80</v>
          </cell>
          <cell r="DO581" t="str">
            <v>на теплову енергію</v>
          </cell>
        </row>
        <row r="582">
          <cell r="AF582">
            <v>39861</v>
          </cell>
          <cell r="AG582">
            <v>17</v>
          </cell>
          <cell r="AO582">
            <v>33879.963071999984</v>
          </cell>
          <cell r="AQ582">
            <v>18247.581134352367</v>
          </cell>
          <cell r="AY582">
            <v>4340.9619889380519</v>
          </cell>
          <cell r="AZ582">
            <v>6529.7262168141606</v>
          </cell>
          <cell r="BC582">
            <v>0</v>
          </cell>
          <cell r="BD582">
            <v>0</v>
          </cell>
          <cell r="BG582">
            <v>0</v>
          </cell>
          <cell r="BH582">
            <v>0</v>
          </cell>
          <cell r="BI582">
            <v>256.31302493966206</v>
          </cell>
          <cell r="BJ582">
            <v>385.54907481898636</v>
          </cell>
          <cell r="BK582">
            <v>0</v>
          </cell>
          <cell r="BL582">
            <v>0</v>
          </cell>
          <cell r="BM582">
            <v>6837.0530571198688</v>
          </cell>
          <cell r="BN582">
            <v>10284.375838026281</v>
          </cell>
          <cell r="BO582">
            <v>0</v>
          </cell>
          <cell r="BP582">
            <v>0</v>
          </cell>
          <cell r="BY582">
            <v>0</v>
          </cell>
          <cell r="CF582">
            <v>2.0263563958165722</v>
          </cell>
          <cell r="CG582">
            <v>2142.25</v>
          </cell>
          <cell r="CX582">
            <v>0</v>
          </cell>
          <cell r="CY582">
            <v>0</v>
          </cell>
          <cell r="DB582">
            <v>0</v>
          </cell>
          <cell r="DC582">
            <v>0</v>
          </cell>
          <cell r="DJ582" t="str">
            <v>МОС</v>
          </cell>
          <cell r="DL582">
            <v>40084</v>
          </cell>
          <cell r="DM582">
            <v>80</v>
          </cell>
          <cell r="DO582" t="str">
            <v>на теплову енергію</v>
          </cell>
        </row>
        <row r="583">
          <cell r="AF583">
            <v>39861</v>
          </cell>
          <cell r="AG583">
            <v>17</v>
          </cell>
          <cell r="AM583">
            <v>9026.82</v>
          </cell>
          <cell r="AO583">
            <v>3012520.6386000002</v>
          </cell>
          <cell r="AQ583">
            <v>2823526.1847979021</v>
          </cell>
          <cell r="AU583">
            <v>0</v>
          </cell>
          <cell r="AW583">
            <v>0</v>
          </cell>
          <cell r="AY583">
            <v>2625624.587951208</v>
          </cell>
          <cell r="AZ583">
            <v>290.86927488874358</v>
          </cell>
          <cell r="BA583">
            <v>0</v>
          </cell>
          <cell r="BB583">
            <v>0</v>
          </cell>
          <cell r="BG583">
            <v>0</v>
          </cell>
          <cell r="BH583">
            <v>0</v>
          </cell>
          <cell r="BI583">
            <v>197901.59684669395</v>
          </cell>
          <cell r="BJ583">
            <v>21.923733590200531</v>
          </cell>
          <cell r="BK583">
            <v>0</v>
          </cell>
          <cell r="BL583">
            <v>0</v>
          </cell>
          <cell r="BO583">
            <v>0</v>
          </cell>
          <cell r="BP583">
            <v>0</v>
          </cell>
          <cell r="CF583">
            <v>1225.6387386865249</v>
          </cell>
          <cell r="CG583">
            <v>2142.25</v>
          </cell>
          <cell r="CJ583">
            <v>0</v>
          </cell>
          <cell r="CK583">
            <v>0</v>
          </cell>
          <cell r="CL583">
            <v>0</v>
          </cell>
          <cell r="CM583">
            <v>0</v>
          </cell>
          <cell r="CN583">
            <v>0</v>
          </cell>
          <cell r="CO583">
            <v>0</v>
          </cell>
          <cell r="CX583">
            <v>0</v>
          </cell>
          <cell r="CY583">
            <v>0</v>
          </cell>
          <cell r="DJ583" t="str">
            <v>НКРКП</v>
          </cell>
          <cell r="DL583">
            <v>40816</v>
          </cell>
          <cell r="DM583">
            <v>161</v>
          </cell>
        </row>
        <row r="584">
          <cell r="AF584">
            <v>39861</v>
          </cell>
          <cell r="AG584">
            <v>17</v>
          </cell>
          <cell r="AM584">
            <v>408.61799999999999</v>
          </cell>
          <cell r="AO584">
            <v>156014.43857999999</v>
          </cell>
          <cell r="AQ584">
            <v>127362.66520628298</v>
          </cell>
          <cell r="AU584">
            <v>0</v>
          </cell>
          <cell r="AW584">
            <v>0</v>
          </cell>
          <cell r="AY584">
            <v>118654.18835137396</v>
          </cell>
          <cell r="AZ584">
            <v>290.3792499385097</v>
          </cell>
          <cell r="BA584">
            <v>0</v>
          </cell>
          <cell r="BB584">
            <v>0</v>
          </cell>
          <cell r="BG584">
            <v>0</v>
          </cell>
          <cell r="BH584">
            <v>0</v>
          </cell>
          <cell r="BI584">
            <v>8708.4768549090168</v>
          </cell>
          <cell r="BJ584">
            <v>21.31202456795593</v>
          </cell>
          <cell r="BK584">
            <v>0</v>
          </cell>
          <cell r="BL584">
            <v>0</v>
          </cell>
          <cell r="BO584">
            <v>0</v>
          </cell>
          <cell r="BP584">
            <v>0</v>
          </cell>
          <cell r="CF584">
            <v>55.387647730831581</v>
          </cell>
          <cell r="CG584">
            <v>2142.25</v>
          </cell>
          <cell r="CJ584">
            <v>0</v>
          </cell>
          <cell r="CK584">
            <v>0</v>
          </cell>
          <cell r="CL584">
            <v>0</v>
          </cell>
          <cell r="CM584">
            <v>0</v>
          </cell>
          <cell r="CN584">
            <v>0</v>
          </cell>
          <cell r="CO584">
            <v>0</v>
          </cell>
          <cell r="CX584">
            <v>0</v>
          </cell>
          <cell r="CY584">
            <v>0</v>
          </cell>
          <cell r="DJ584" t="str">
            <v>НКРКП</v>
          </cell>
          <cell r="DL584">
            <v>40816</v>
          </cell>
          <cell r="DM584">
            <v>161</v>
          </cell>
        </row>
        <row r="585">
          <cell r="AF585">
            <v>39861</v>
          </cell>
          <cell r="AG585">
            <v>17</v>
          </cell>
          <cell r="AO585">
            <v>1816887.5999999999</v>
          </cell>
          <cell r="AQ585">
            <v>1375978.4994493825</v>
          </cell>
          <cell r="AY585">
            <v>333237.99364007305</v>
          </cell>
          <cell r="AZ585">
            <v>6506.5212753841197</v>
          </cell>
          <cell r="BC585">
            <v>0</v>
          </cell>
          <cell r="BD585">
            <v>0</v>
          </cell>
          <cell r="BG585">
            <v>0</v>
          </cell>
          <cell r="BH585">
            <v>0</v>
          </cell>
          <cell r="BI585">
            <v>20153.475521120108</v>
          </cell>
          <cell r="BJ585">
            <v>393.49960014683126</v>
          </cell>
          <cell r="BK585">
            <v>0</v>
          </cell>
          <cell r="BL585">
            <v>0</v>
          </cell>
          <cell r="BM585">
            <v>502858.90401164151</v>
          </cell>
          <cell r="BN585">
            <v>9818.3947206271787</v>
          </cell>
          <cell r="BO585">
            <v>0</v>
          </cell>
          <cell r="BP585">
            <v>0</v>
          </cell>
          <cell r="BY585">
            <v>0</v>
          </cell>
          <cell r="CF585">
            <v>155.5551376543695</v>
          </cell>
          <cell r="CG585">
            <v>2142.25</v>
          </cell>
          <cell r="CX585">
            <v>0</v>
          </cell>
          <cell r="CY585">
            <v>0</v>
          </cell>
          <cell r="DB585">
            <v>0</v>
          </cell>
          <cell r="DC585">
            <v>0</v>
          </cell>
          <cell r="DJ585" t="str">
            <v>МОС</v>
          </cell>
          <cell r="DL585">
            <v>40087</v>
          </cell>
          <cell r="DM585">
            <v>155</v>
          </cell>
          <cell r="DO585" t="str">
            <v>на теплову енергію</v>
          </cell>
        </row>
        <row r="586">
          <cell r="AF586">
            <v>39861</v>
          </cell>
          <cell r="AG586">
            <v>17</v>
          </cell>
          <cell r="AO586">
            <v>130477.34952</v>
          </cell>
          <cell r="AQ586">
            <v>63635.968865647636</v>
          </cell>
          <cell r="AY586">
            <v>15138.517261061948</v>
          </cell>
          <cell r="AZ586">
            <v>6529.7262168141597</v>
          </cell>
          <cell r="BC586">
            <v>0</v>
          </cell>
          <cell r="BD586">
            <v>0</v>
          </cell>
          <cell r="BG586">
            <v>0</v>
          </cell>
          <cell r="BH586">
            <v>0</v>
          </cell>
          <cell r="BI586">
            <v>893.85697506033796</v>
          </cell>
          <cell r="BJ586">
            <v>385.54907481898636</v>
          </cell>
          <cell r="BK586">
            <v>0</v>
          </cell>
          <cell r="BL586">
            <v>0</v>
          </cell>
          <cell r="BM586">
            <v>23843.29694288013</v>
          </cell>
          <cell r="BN586">
            <v>10284.375838026281</v>
          </cell>
          <cell r="BO586">
            <v>0</v>
          </cell>
          <cell r="BP586">
            <v>0</v>
          </cell>
          <cell r="BY586">
            <v>0</v>
          </cell>
          <cell r="CF586">
            <v>7.0666436041834277</v>
          </cell>
          <cell r="CG586">
            <v>2142.25</v>
          </cell>
          <cell r="CX586">
            <v>0</v>
          </cell>
          <cell r="CY586">
            <v>0</v>
          </cell>
          <cell r="DB586">
            <v>0</v>
          </cell>
          <cell r="DC586">
            <v>0</v>
          </cell>
          <cell r="DJ586" t="str">
            <v>МОС</v>
          </cell>
          <cell r="DL586">
            <v>40087</v>
          </cell>
          <cell r="DM586">
            <v>155</v>
          </cell>
          <cell r="DO586" t="str">
            <v>на теплову енергію</v>
          </cell>
        </row>
        <row r="587">
          <cell r="AF587">
            <v>39861</v>
          </cell>
          <cell r="AG587">
            <v>11</v>
          </cell>
          <cell r="AM587">
            <v>1613.6588999999999</v>
          </cell>
          <cell r="AO587">
            <v>179342.05014599999</v>
          </cell>
          <cell r="AQ587">
            <v>174350.28</v>
          </cell>
          <cell r="AU587">
            <v>0</v>
          </cell>
          <cell r="AW587">
            <v>0</v>
          </cell>
          <cell r="AY587">
            <v>147227.01999999999</v>
          </cell>
          <cell r="AZ587">
            <v>91.238005752021067</v>
          </cell>
          <cell r="BA587">
            <v>0</v>
          </cell>
          <cell r="BB587">
            <v>0</v>
          </cell>
          <cell r="BG587">
            <v>0</v>
          </cell>
          <cell r="BH587">
            <v>0</v>
          </cell>
          <cell r="BI587">
            <v>27123.26</v>
          </cell>
          <cell r="BJ587">
            <v>16.808546093601318</v>
          </cell>
          <cell r="BK587">
            <v>0</v>
          </cell>
          <cell r="BL587">
            <v>0</v>
          </cell>
          <cell r="BO587">
            <v>0</v>
          </cell>
          <cell r="BP587">
            <v>0</v>
          </cell>
          <cell r="CF587">
            <v>202.42399494032884</v>
          </cell>
          <cell r="CG587">
            <v>727.32</v>
          </cell>
          <cell r="CJ587">
            <v>0</v>
          </cell>
          <cell r="CK587">
            <v>0</v>
          </cell>
          <cell r="CL587">
            <v>0</v>
          </cell>
          <cell r="CM587">
            <v>0</v>
          </cell>
          <cell r="CN587">
            <v>0</v>
          </cell>
          <cell r="CO587">
            <v>0</v>
          </cell>
          <cell r="CX587">
            <v>0</v>
          </cell>
          <cell r="CY587">
            <v>0</v>
          </cell>
          <cell r="DJ587" t="str">
            <v>МОС</v>
          </cell>
          <cell r="DL587">
            <v>40563</v>
          </cell>
          <cell r="DM587">
            <v>40</v>
          </cell>
          <cell r="DO587" t="str">
            <v>тариф на послуги з централізованого опалення</v>
          </cell>
        </row>
        <row r="588">
          <cell r="AF588">
            <v>39861</v>
          </cell>
          <cell r="AG588">
            <v>11</v>
          </cell>
          <cell r="AM588">
            <v>6119.6271999999999</v>
          </cell>
          <cell r="AO588">
            <v>1831359.6358719999</v>
          </cell>
          <cell r="AQ588">
            <v>1747409.52</v>
          </cell>
          <cell r="AU588">
            <v>0</v>
          </cell>
          <cell r="AW588">
            <v>0</v>
          </cell>
          <cell r="AY588">
            <v>1644547.48</v>
          </cell>
          <cell r="AZ588">
            <v>268.7332783931675</v>
          </cell>
          <cell r="BA588">
            <v>0</v>
          </cell>
          <cell r="BB588">
            <v>0</v>
          </cell>
          <cell r="BG588">
            <v>0</v>
          </cell>
          <cell r="BH588">
            <v>0</v>
          </cell>
          <cell r="BI588">
            <v>102862.04</v>
          </cell>
          <cell r="BJ588">
            <v>16.808546768992723</v>
          </cell>
          <cell r="BK588">
            <v>0</v>
          </cell>
          <cell r="BL588">
            <v>0</v>
          </cell>
          <cell r="BO588">
            <v>0</v>
          </cell>
          <cell r="BP588">
            <v>0</v>
          </cell>
          <cell r="CF588">
            <v>767.67299801610454</v>
          </cell>
          <cell r="CG588">
            <v>2142.25</v>
          </cell>
          <cell r="CJ588">
            <v>0</v>
          </cell>
          <cell r="CK588">
            <v>0</v>
          </cell>
          <cell r="CL588">
            <v>0</v>
          </cell>
          <cell r="CM588">
            <v>0</v>
          </cell>
          <cell r="CN588">
            <v>0</v>
          </cell>
          <cell r="CO588">
            <v>0</v>
          </cell>
          <cell r="CX588">
            <v>0</v>
          </cell>
          <cell r="CY588">
            <v>0</v>
          </cell>
          <cell r="DJ588" t="str">
            <v>НКРКП</v>
          </cell>
          <cell r="DL588">
            <v>40816</v>
          </cell>
          <cell r="DM588">
            <v>161</v>
          </cell>
        </row>
        <row r="589">
          <cell r="AF589">
            <v>39861</v>
          </cell>
          <cell r="AG589">
            <v>11</v>
          </cell>
          <cell r="AM589">
            <v>62.678899999999999</v>
          </cell>
          <cell r="AO589">
            <v>21337.777926999999</v>
          </cell>
          <cell r="AQ589">
            <v>17898.060000000001</v>
          </cell>
          <cell r="AU589">
            <v>0</v>
          </cell>
          <cell r="AW589">
            <v>0</v>
          </cell>
          <cell r="AY589">
            <v>16844.509999999998</v>
          </cell>
          <cell r="AZ589">
            <v>268.74291029357568</v>
          </cell>
          <cell r="BA589">
            <v>0</v>
          </cell>
          <cell r="BB589">
            <v>0</v>
          </cell>
          <cell r="BG589">
            <v>0</v>
          </cell>
          <cell r="BH589">
            <v>0</v>
          </cell>
          <cell r="BI589">
            <v>1053.55</v>
          </cell>
          <cell r="BJ589">
            <v>16.80868681486114</v>
          </cell>
          <cell r="BK589">
            <v>0</v>
          </cell>
          <cell r="BL589">
            <v>0</v>
          </cell>
          <cell r="BO589">
            <v>0</v>
          </cell>
          <cell r="BP589">
            <v>0</v>
          </cell>
          <cell r="CF589">
            <v>7.862999183101878</v>
          </cell>
          <cell r="CG589">
            <v>2142.25</v>
          </cell>
          <cell r="CJ589">
            <v>0</v>
          </cell>
          <cell r="CK589">
            <v>0</v>
          </cell>
          <cell r="CL589">
            <v>0</v>
          </cell>
          <cell r="CM589">
            <v>0</v>
          </cell>
          <cell r="CN589">
            <v>0</v>
          </cell>
          <cell r="CO589">
            <v>0</v>
          </cell>
          <cell r="CX589">
            <v>0</v>
          </cell>
          <cell r="CY589">
            <v>0</v>
          </cell>
          <cell r="DJ589" t="str">
            <v>НКРКП</v>
          </cell>
          <cell r="DL589">
            <v>40816</v>
          </cell>
          <cell r="DM589">
            <v>161</v>
          </cell>
        </row>
        <row r="590">
          <cell r="AF590">
            <v>39861</v>
          </cell>
          <cell r="AG590">
            <v>11</v>
          </cell>
          <cell r="AO590">
            <v>254539.39036439999</v>
          </cell>
          <cell r="AQ590">
            <v>242883.1</v>
          </cell>
          <cell r="AY590">
            <v>17628.78</v>
          </cell>
          <cell r="AZ590">
            <v>1967.6339210972185</v>
          </cell>
          <cell r="BC590">
            <v>0</v>
          </cell>
          <cell r="BD590">
            <v>0</v>
          </cell>
          <cell r="BG590">
            <v>0</v>
          </cell>
          <cell r="BH590">
            <v>0</v>
          </cell>
          <cell r="BI590">
            <v>2854.49</v>
          </cell>
          <cell r="BJ590">
            <v>318.60351943996119</v>
          </cell>
          <cell r="BK590">
            <v>0</v>
          </cell>
          <cell r="BL590">
            <v>0</v>
          </cell>
          <cell r="BM590">
            <v>190563.05</v>
          </cell>
          <cell r="BN590">
            <v>21269.669329797372</v>
          </cell>
          <cell r="BO590">
            <v>0</v>
          </cell>
          <cell r="BP590">
            <v>0</v>
          </cell>
          <cell r="BY590">
            <v>1605</v>
          </cell>
          <cell r="CF590">
            <v>24.237997030193036</v>
          </cell>
          <cell r="CG590">
            <v>727.32</v>
          </cell>
          <cell r="CX590">
            <v>0</v>
          </cell>
          <cell r="CY590">
            <v>0</v>
          </cell>
          <cell r="DB590">
            <v>0</v>
          </cell>
          <cell r="DC590">
            <v>0</v>
          </cell>
          <cell r="DJ590" t="str">
            <v>МОС</v>
          </cell>
          <cell r="DL590">
            <v>40563</v>
          </cell>
          <cell r="DM590">
            <v>40</v>
          </cell>
          <cell r="DO590" t="str">
            <v>тариф на послуги з централізованого опалення</v>
          </cell>
        </row>
        <row r="591">
          <cell r="AF591">
            <v>39861</v>
          </cell>
          <cell r="AG591">
            <v>11</v>
          </cell>
          <cell r="AO591">
            <v>1247057.5940355998</v>
          </cell>
          <cell r="AQ591">
            <v>1051166.1000000001</v>
          </cell>
          <cell r="AY591">
            <v>196913.48</v>
          </cell>
          <cell r="AZ591">
            <v>5795.5684742657895</v>
          </cell>
          <cell r="BC591">
            <v>0</v>
          </cell>
          <cell r="BD591">
            <v>0</v>
          </cell>
          <cell r="BG591">
            <v>0</v>
          </cell>
          <cell r="BH591">
            <v>0</v>
          </cell>
          <cell r="BI591">
            <v>10825.35</v>
          </cell>
          <cell r="BJ591">
            <v>318.61230212829082</v>
          </cell>
          <cell r="BK591">
            <v>0</v>
          </cell>
          <cell r="BL591">
            <v>0</v>
          </cell>
          <cell r="BM591">
            <v>720711.81</v>
          </cell>
          <cell r="BN591">
            <v>21212.029999505543</v>
          </cell>
          <cell r="BO591">
            <v>0</v>
          </cell>
          <cell r="BP591">
            <v>0</v>
          </cell>
          <cell r="BY591">
            <v>1605</v>
          </cell>
          <cell r="CF591">
            <v>91.919001050297595</v>
          </cell>
          <cell r="CG591">
            <v>2142.25</v>
          </cell>
          <cell r="CX591">
            <v>0</v>
          </cell>
          <cell r="CY591">
            <v>0</v>
          </cell>
          <cell r="DB591">
            <v>0</v>
          </cell>
          <cell r="DC591">
            <v>0</v>
          </cell>
          <cell r="DJ591" t="str">
            <v>МОС</v>
          </cell>
          <cell r="DL591">
            <v>40101</v>
          </cell>
          <cell r="DM591">
            <v>1522</v>
          </cell>
          <cell r="DO591" t="str">
            <v>тарифи на виробництво, транспортування, постачання теплової енергії та послуги з централізованого опалення</v>
          </cell>
        </row>
        <row r="592">
          <cell r="AF592">
            <v>39861</v>
          </cell>
          <cell r="AG592">
            <v>11</v>
          </cell>
          <cell r="AO592">
            <v>18791.089980000001</v>
          </cell>
          <cell r="AQ592">
            <v>10765.34</v>
          </cell>
          <cell r="AY592">
            <v>2015.86</v>
          </cell>
          <cell r="AZ592">
            <v>5792.7011494252865</v>
          </cell>
          <cell r="BC592">
            <v>0</v>
          </cell>
          <cell r="BD592">
            <v>0</v>
          </cell>
          <cell r="BG592">
            <v>0</v>
          </cell>
          <cell r="BH592">
            <v>0</v>
          </cell>
          <cell r="BI592">
            <v>110.88</v>
          </cell>
          <cell r="BJ592">
            <v>318.62068965517238</v>
          </cell>
          <cell r="BK592">
            <v>0</v>
          </cell>
          <cell r="BL592">
            <v>0</v>
          </cell>
          <cell r="BM592">
            <v>7213.31</v>
          </cell>
          <cell r="BN592">
            <v>20727.902298850575</v>
          </cell>
          <cell r="BO592">
            <v>0</v>
          </cell>
          <cell r="BP592">
            <v>0</v>
          </cell>
          <cell r="BY592">
            <v>1605</v>
          </cell>
          <cell r="CF592">
            <v>0.9410012836970475</v>
          </cell>
          <cell r="CG592">
            <v>2142.25</v>
          </cell>
          <cell r="CX592">
            <v>0</v>
          </cell>
          <cell r="CY592">
            <v>0</v>
          </cell>
          <cell r="DB592">
            <v>0</v>
          </cell>
          <cell r="DC592">
            <v>0</v>
          </cell>
          <cell r="DJ592" t="str">
            <v>МОС</v>
          </cell>
          <cell r="DL592">
            <v>40101</v>
          </cell>
          <cell r="DM592">
            <v>1522</v>
          </cell>
          <cell r="DO592" t="str">
            <v>тарифи на виробництво, транспортування, постачання теплової енергії та послуги з централізованого опалення</v>
          </cell>
        </row>
        <row r="593">
          <cell r="AF593">
            <v>39861</v>
          </cell>
          <cell r="AG593">
            <v>8</v>
          </cell>
          <cell r="AM593">
            <v>306.40699999999998</v>
          </cell>
          <cell r="AO593">
            <v>37016.518991666664</v>
          </cell>
          <cell r="AQ593">
            <v>36101.96</v>
          </cell>
          <cell r="AU593">
            <v>0</v>
          </cell>
          <cell r="AW593">
            <v>0</v>
          </cell>
          <cell r="AY593">
            <v>30116.13924</v>
          </cell>
          <cell r="AZ593">
            <v>98.288026187391281</v>
          </cell>
          <cell r="BA593">
            <v>0</v>
          </cell>
          <cell r="BB593">
            <v>0</v>
          </cell>
          <cell r="BG593">
            <v>0</v>
          </cell>
          <cell r="BH593">
            <v>0</v>
          </cell>
          <cell r="BI593">
            <v>5985.82</v>
          </cell>
          <cell r="BJ593">
            <v>19.535519749875167</v>
          </cell>
          <cell r="BK593">
            <v>0</v>
          </cell>
          <cell r="BL593">
            <v>0</v>
          </cell>
          <cell r="BO593">
            <v>0</v>
          </cell>
          <cell r="BP593">
            <v>0</v>
          </cell>
          <cell r="CF593">
            <v>41.406999999999996</v>
          </cell>
          <cell r="CG593">
            <v>727.32</v>
          </cell>
          <cell r="CJ593">
            <v>0</v>
          </cell>
          <cell r="CK593">
            <v>0</v>
          </cell>
          <cell r="CL593">
            <v>0</v>
          </cell>
          <cell r="CM593">
            <v>0</v>
          </cell>
          <cell r="CN593">
            <v>0</v>
          </cell>
          <cell r="CO593">
            <v>0</v>
          </cell>
          <cell r="CX593">
            <v>0</v>
          </cell>
          <cell r="CY593">
            <v>0</v>
          </cell>
          <cell r="DJ593" t="str">
            <v>ОДА</v>
          </cell>
          <cell r="DL593">
            <v>40541</v>
          </cell>
          <cell r="DM593" t="str">
            <v>106-В</v>
          </cell>
          <cell r="DO593" t="str">
            <v>тарифи на постачання теплової енергії</v>
          </cell>
        </row>
        <row r="594">
          <cell r="AF594">
            <v>39861</v>
          </cell>
          <cell r="AG594">
            <v>8</v>
          </cell>
          <cell r="AM594">
            <v>5260.0596999999998</v>
          </cell>
          <cell r="AO594">
            <v>1679142.5577325001</v>
          </cell>
          <cell r="AQ594">
            <v>1625546.6</v>
          </cell>
          <cell r="AU594">
            <v>0</v>
          </cell>
          <cell r="AW594">
            <v>0</v>
          </cell>
          <cell r="AY594">
            <v>1522788.4210000001</v>
          </cell>
          <cell r="AZ594">
            <v>289.5002163188376</v>
          </cell>
          <cell r="BA594">
            <v>0</v>
          </cell>
          <cell r="BB594">
            <v>0</v>
          </cell>
          <cell r="BG594">
            <v>0</v>
          </cell>
          <cell r="BH594">
            <v>0</v>
          </cell>
          <cell r="BI594">
            <v>102758.18</v>
          </cell>
          <cell r="BJ594">
            <v>19.535553940575998</v>
          </cell>
          <cell r="BK594">
            <v>0</v>
          </cell>
          <cell r="BL594">
            <v>0</v>
          </cell>
          <cell r="BO594">
            <v>0</v>
          </cell>
          <cell r="BP594">
            <v>0</v>
          </cell>
          <cell r="CF594">
            <v>710.83600000000001</v>
          </cell>
          <cell r="CG594">
            <v>2142.25</v>
          </cell>
          <cell r="CJ594">
            <v>0</v>
          </cell>
          <cell r="CK594">
            <v>0</v>
          </cell>
          <cell r="CL594">
            <v>0</v>
          </cell>
          <cell r="CM594">
            <v>0</v>
          </cell>
          <cell r="CN594">
            <v>0</v>
          </cell>
          <cell r="CO594">
            <v>0</v>
          </cell>
          <cell r="CX594">
            <v>0</v>
          </cell>
          <cell r="CY594">
            <v>0</v>
          </cell>
          <cell r="DJ594" t="str">
            <v>НКРКП</v>
          </cell>
          <cell r="DL594">
            <v>40816</v>
          </cell>
          <cell r="DM594">
            <v>161</v>
          </cell>
        </row>
        <row r="595">
          <cell r="AF595">
            <v>39861</v>
          </cell>
          <cell r="AG595">
            <v>8</v>
          </cell>
          <cell r="AM595">
            <v>158.66730000000001</v>
          </cell>
          <cell r="AO595">
            <v>50650.568842500004</v>
          </cell>
          <cell r="AQ595">
            <v>49033.78</v>
          </cell>
          <cell r="AU595">
            <v>0</v>
          </cell>
          <cell r="AW595">
            <v>0</v>
          </cell>
          <cell r="AY595">
            <v>45934.124499999998</v>
          </cell>
          <cell r="AZ595">
            <v>289.4996290981191</v>
          </cell>
          <cell r="BA595">
            <v>0</v>
          </cell>
          <cell r="BB595">
            <v>0</v>
          </cell>
          <cell r="BG595">
            <v>0</v>
          </cell>
          <cell r="BH595">
            <v>0</v>
          </cell>
          <cell r="BI595">
            <v>3099.66</v>
          </cell>
          <cell r="BJ595">
            <v>19.535594290695055</v>
          </cell>
          <cell r="BK595">
            <v>0</v>
          </cell>
          <cell r="BL595">
            <v>0</v>
          </cell>
          <cell r="BO595">
            <v>0</v>
          </cell>
          <cell r="BP595">
            <v>0</v>
          </cell>
          <cell r="CF595">
            <v>21.442</v>
          </cell>
          <cell r="CG595">
            <v>2142.25</v>
          </cell>
          <cell r="CJ595">
            <v>0</v>
          </cell>
          <cell r="CK595">
            <v>0</v>
          </cell>
          <cell r="CL595">
            <v>0</v>
          </cell>
          <cell r="CM595">
            <v>0</v>
          </cell>
          <cell r="CN595">
            <v>0</v>
          </cell>
          <cell r="CO595">
            <v>0</v>
          </cell>
          <cell r="CX595">
            <v>0</v>
          </cell>
          <cell r="CY595">
            <v>0</v>
          </cell>
          <cell r="DJ595" t="str">
            <v>НКРКП</v>
          </cell>
          <cell r="DL595">
            <v>40816</v>
          </cell>
          <cell r="DM595">
            <v>161</v>
          </cell>
        </row>
        <row r="596">
          <cell r="AF596">
            <v>39861</v>
          </cell>
          <cell r="AG596">
            <v>8</v>
          </cell>
          <cell r="AO596">
            <v>42854.830018333334</v>
          </cell>
          <cell r="AQ596">
            <v>40718.06</v>
          </cell>
          <cell r="AY596">
            <v>4507.2</v>
          </cell>
          <cell r="AZ596">
            <v>2679.0299572039944</v>
          </cell>
          <cell r="BC596">
            <v>0</v>
          </cell>
          <cell r="BD596">
            <v>0</v>
          </cell>
          <cell r="BG596">
            <v>0</v>
          </cell>
          <cell r="BH596">
            <v>0</v>
          </cell>
          <cell r="BI596">
            <v>774.37</v>
          </cell>
          <cell r="BJ596">
            <v>460.27698525915361</v>
          </cell>
          <cell r="BK596">
            <v>0</v>
          </cell>
          <cell r="BL596">
            <v>0</v>
          </cell>
          <cell r="BM596">
            <v>30652.01</v>
          </cell>
          <cell r="BN596">
            <v>18219.216595339993</v>
          </cell>
          <cell r="BO596">
            <v>0</v>
          </cell>
          <cell r="BP596">
            <v>0</v>
          </cell>
          <cell r="BY596">
            <v>1605</v>
          </cell>
          <cell r="CF596">
            <v>6.1969971951823126</v>
          </cell>
          <cell r="CG596">
            <v>727.32</v>
          </cell>
          <cell r="CX596">
            <v>0</v>
          </cell>
          <cell r="CY596">
            <v>0</v>
          </cell>
          <cell r="DB596">
            <v>0</v>
          </cell>
          <cell r="DC596">
            <v>0</v>
          </cell>
          <cell r="DJ596" t="str">
            <v>ОДА</v>
          </cell>
          <cell r="DL596">
            <v>40541</v>
          </cell>
          <cell r="DM596" t="str">
            <v>106-В</v>
          </cell>
          <cell r="DO596" t="str">
            <v>тарифи на постачання теплової енергії</v>
          </cell>
        </row>
        <row r="597">
          <cell r="AF597">
            <v>39861</v>
          </cell>
          <cell r="AG597">
            <v>8</v>
          </cell>
          <cell r="AO597">
            <v>974572.6075066668</v>
          </cell>
          <cell r="AQ597">
            <v>849533.93</v>
          </cell>
          <cell r="AY597">
            <v>227905.41</v>
          </cell>
          <cell r="AZ597">
            <v>7891.0243892305143</v>
          </cell>
          <cell r="BC597">
            <v>0</v>
          </cell>
          <cell r="BD597">
            <v>0</v>
          </cell>
          <cell r="BG597">
            <v>0</v>
          </cell>
          <cell r="BH597">
            <v>0</v>
          </cell>
          <cell r="BI597">
            <v>13293.49</v>
          </cell>
          <cell r="BJ597">
            <v>460.27540025483353</v>
          </cell>
          <cell r="BK597">
            <v>0</v>
          </cell>
          <cell r="BL597">
            <v>0</v>
          </cell>
          <cell r="BM597">
            <v>526316.01</v>
          </cell>
          <cell r="BN597">
            <v>18223.228976234004</v>
          </cell>
          <cell r="BO597">
            <v>0</v>
          </cell>
          <cell r="BP597">
            <v>0</v>
          </cell>
          <cell r="BY597">
            <v>1605</v>
          </cell>
          <cell r="CF597">
            <v>106.38600070019839</v>
          </cell>
          <cell r="CG597">
            <v>2142.25</v>
          </cell>
          <cell r="CX597">
            <v>0</v>
          </cell>
          <cell r="CY597">
            <v>0</v>
          </cell>
          <cell r="DB597">
            <v>0</v>
          </cell>
          <cell r="DC597">
            <v>0</v>
          </cell>
          <cell r="DJ597" t="str">
            <v>МОС</v>
          </cell>
          <cell r="DL597">
            <v>39896</v>
          </cell>
          <cell r="DM597">
            <v>65</v>
          </cell>
          <cell r="DO597" t="str">
            <v>тарифи на виробництво, транспортування, постачання теплової енергії</v>
          </cell>
        </row>
        <row r="598">
          <cell r="AF598">
            <v>39861</v>
          </cell>
          <cell r="AG598">
            <v>8</v>
          </cell>
          <cell r="AO598">
            <v>29397.340225000004</v>
          </cell>
          <cell r="AQ598">
            <v>25625.61</v>
          </cell>
          <cell r="AY598">
            <v>6874.4800000000005</v>
          </cell>
          <cell r="AZ598">
            <v>7890.8172635445371</v>
          </cell>
          <cell r="BC598">
            <v>0</v>
          </cell>
          <cell r="BD598">
            <v>0</v>
          </cell>
          <cell r="BG598">
            <v>0</v>
          </cell>
          <cell r="BH598">
            <v>0</v>
          </cell>
          <cell r="BI598">
            <v>400.99</v>
          </cell>
          <cell r="BJ598">
            <v>460.27318640955008</v>
          </cell>
          <cell r="BK598">
            <v>0</v>
          </cell>
          <cell r="BL598">
            <v>0</v>
          </cell>
          <cell r="BM598">
            <v>15881.25</v>
          </cell>
          <cell r="BN598">
            <v>18229.166666666668</v>
          </cell>
          <cell r="BO598">
            <v>0</v>
          </cell>
          <cell r="BP598">
            <v>0</v>
          </cell>
          <cell r="BY598">
            <v>1605</v>
          </cell>
          <cell r="CF598">
            <v>3.2089998833002684</v>
          </cell>
          <cell r="CG598">
            <v>2142.25</v>
          </cell>
          <cell r="CX598">
            <v>0</v>
          </cell>
          <cell r="CY598">
            <v>0</v>
          </cell>
          <cell r="DB598">
            <v>0</v>
          </cell>
          <cell r="DC598">
            <v>0</v>
          </cell>
          <cell r="DJ598" t="str">
            <v>МОС</v>
          </cell>
          <cell r="DL598">
            <v>39896</v>
          </cell>
          <cell r="DM598">
            <v>65</v>
          </cell>
          <cell r="DO598" t="str">
            <v>тарифи на виробництво, транспортування, постачання теплової енергії</v>
          </cell>
        </row>
        <row r="599">
          <cell r="AF599">
            <v>39861</v>
          </cell>
          <cell r="AG599">
            <v>20</v>
          </cell>
          <cell r="AM599">
            <v>2242.9198999999999</v>
          </cell>
          <cell r="AO599">
            <v>297366.32034199999</v>
          </cell>
          <cell r="AQ599">
            <v>290844.46999999997</v>
          </cell>
          <cell r="AU599">
            <v>0</v>
          </cell>
          <cell r="AW599">
            <v>0</v>
          </cell>
          <cell r="AY599">
            <v>220914.72216</v>
          </cell>
          <cell r="AZ599">
            <v>98.494253923200745</v>
          </cell>
          <cell r="BA599">
            <v>0</v>
          </cell>
          <cell r="BB599">
            <v>0</v>
          </cell>
          <cell r="BG599">
            <v>0</v>
          </cell>
          <cell r="BH599">
            <v>0</v>
          </cell>
          <cell r="BI599">
            <v>69929.75</v>
          </cell>
          <cell r="BJ599">
            <v>31.177997038592419</v>
          </cell>
          <cell r="BK599">
            <v>0</v>
          </cell>
          <cell r="BL599">
            <v>0</v>
          </cell>
          <cell r="BO599">
            <v>0</v>
          </cell>
          <cell r="BP599">
            <v>0</v>
          </cell>
          <cell r="CF599">
            <v>303.738</v>
          </cell>
          <cell r="CG599">
            <v>727.32</v>
          </cell>
          <cell r="CJ599">
            <v>0</v>
          </cell>
          <cell r="CK599">
            <v>0</v>
          </cell>
          <cell r="CL599">
            <v>0</v>
          </cell>
          <cell r="CM599">
            <v>0</v>
          </cell>
          <cell r="CN599">
            <v>0</v>
          </cell>
          <cell r="CO599">
            <v>0</v>
          </cell>
          <cell r="CX599">
            <v>0</v>
          </cell>
          <cell r="CY599">
            <v>0</v>
          </cell>
          <cell r="DJ599" t="str">
            <v>МОС</v>
          </cell>
          <cell r="DL599">
            <v>40555</v>
          </cell>
          <cell r="DM599">
            <v>3</v>
          </cell>
          <cell r="DO599" t="str">
            <v>тарифи на послуги з централізованого опалення</v>
          </cell>
        </row>
        <row r="600">
          <cell r="AF600">
            <v>39861</v>
          </cell>
          <cell r="AG600">
            <v>20</v>
          </cell>
          <cell r="AM600">
            <v>5478.8395</v>
          </cell>
          <cell r="AO600">
            <v>1873215.2250499998</v>
          </cell>
          <cell r="AQ600">
            <v>1760257.35</v>
          </cell>
          <cell r="AU600">
            <v>0</v>
          </cell>
          <cell r="AW600">
            <v>0</v>
          </cell>
          <cell r="AY600">
            <v>1589438.1029999999</v>
          </cell>
          <cell r="AZ600">
            <v>290.10488498522358</v>
          </cell>
          <cell r="BA600">
            <v>0</v>
          </cell>
          <cell r="BB600">
            <v>0</v>
          </cell>
          <cell r="BG600">
            <v>0</v>
          </cell>
          <cell r="BH600">
            <v>0</v>
          </cell>
          <cell r="BI600">
            <v>170819.25</v>
          </cell>
          <cell r="BJ600">
            <v>31.177998552430672</v>
          </cell>
          <cell r="BK600">
            <v>0</v>
          </cell>
          <cell r="BL600">
            <v>0</v>
          </cell>
          <cell r="BO600">
            <v>0</v>
          </cell>
          <cell r="BP600">
            <v>0</v>
          </cell>
          <cell r="CF600">
            <v>741.94799999999998</v>
          </cell>
          <cell r="CG600">
            <v>2142.25</v>
          </cell>
          <cell r="CJ600">
            <v>0</v>
          </cell>
          <cell r="CK600">
            <v>0</v>
          </cell>
          <cell r="CL600">
            <v>0</v>
          </cell>
          <cell r="CM600">
            <v>0</v>
          </cell>
          <cell r="CN600">
            <v>0</v>
          </cell>
          <cell r="CO600">
            <v>0</v>
          </cell>
          <cell r="CX600">
            <v>0</v>
          </cell>
          <cell r="CY600">
            <v>0</v>
          </cell>
          <cell r="DJ600" t="str">
            <v>НКРКП</v>
          </cell>
          <cell r="DL600">
            <v>40816</v>
          </cell>
          <cell r="DM600">
            <v>161</v>
          </cell>
        </row>
        <row r="601">
          <cell r="AF601">
            <v>39861</v>
          </cell>
          <cell r="AG601">
            <v>20</v>
          </cell>
          <cell r="AM601">
            <v>385.2706</v>
          </cell>
          <cell r="AO601">
            <v>150261.95517666667</v>
          </cell>
          <cell r="AQ601">
            <v>123779.58</v>
          </cell>
          <cell r="AU601">
            <v>0</v>
          </cell>
          <cell r="AW601">
            <v>0</v>
          </cell>
          <cell r="AY601">
            <v>111767.60925000001</v>
          </cell>
          <cell r="AZ601">
            <v>290.10157860475209</v>
          </cell>
          <cell r="BA601">
            <v>0</v>
          </cell>
          <cell r="BB601">
            <v>0</v>
          </cell>
          <cell r="BG601">
            <v>0</v>
          </cell>
          <cell r="BH601">
            <v>0</v>
          </cell>
          <cell r="BI601">
            <v>12011.97</v>
          </cell>
          <cell r="BJ601">
            <v>31.178008392023681</v>
          </cell>
          <cell r="BK601">
            <v>0</v>
          </cell>
          <cell r="BL601">
            <v>0</v>
          </cell>
          <cell r="BO601">
            <v>0</v>
          </cell>
          <cell r="BP601">
            <v>0</v>
          </cell>
          <cell r="CF601">
            <v>52.173000000000002</v>
          </cell>
          <cell r="CG601">
            <v>2142.25</v>
          </cell>
          <cell r="CJ601">
            <v>0</v>
          </cell>
          <cell r="CK601">
            <v>0</v>
          </cell>
          <cell r="CL601">
            <v>0</v>
          </cell>
          <cell r="CM601">
            <v>0</v>
          </cell>
          <cell r="CN601">
            <v>0</v>
          </cell>
          <cell r="CO601">
            <v>0</v>
          </cell>
          <cell r="CX601">
            <v>0</v>
          </cell>
          <cell r="CY601">
            <v>0</v>
          </cell>
          <cell r="DJ601" t="str">
            <v>НКРКП</v>
          </cell>
          <cell r="DL601">
            <v>40816</v>
          </cell>
          <cell r="DM601">
            <v>161</v>
          </cell>
        </row>
        <row r="602">
          <cell r="AF602">
            <v>39861</v>
          </cell>
          <cell r="AG602">
            <v>20</v>
          </cell>
          <cell r="AO602">
            <v>258120.63277</v>
          </cell>
          <cell r="AQ602">
            <v>242912.2</v>
          </cell>
          <cell r="AY602">
            <v>33035.601719999999</v>
          </cell>
          <cell r="AZ602">
            <v>2711.4811484290353</v>
          </cell>
          <cell r="BC602">
            <v>0</v>
          </cell>
          <cell r="BD602">
            <v>0</v>
          </cell>
          <cell r="BG602">
            <v>0</v>
          </cell>
          <cell r="BH602">
            <v>0</v>
          </cell>
          <cell r="BI602">
            <v>4155.04</v>
          </cell>
          <cell r="BJ602">
            <v>341.03549033126495</v>
          </cell>
          <cell r="BK602">
            <v>0</v>
          </cell>
          <cell r="BL602">
            <v>0</v>
          </cell>
          <cell r="BM602">
            <v>171380.45</v>
          </cell>
          <cell r="BN602">
            <v>14066.486916839029</v>
          </cell>
          <cell r="BO602">
            <v>0</v>
          </cell>
          <cell r="BP602">
            <v>0</v>
          </cell>
          <cell r="BY602">
            <v>1605</v>
          </cell>
          <cell r="CF602">
            <v>45.420999999999999</v>
          </cell>
          <cell r="CG602">
            <v>727.32</v>
          </cell>
          <cell r="CX602">
            <v>0</v>
          </cell>
          <cell r="CY602">
            <v>0</v>
          </cell>
          <cell r="DB602">
            <v>0</v>
          </cell>
          <cell r="DC602">
            <v>0</v>
          </cell>
          <cell r="DJ602" t="str">
            <v>МОС</v>
          </cell>
          <cell r="DL602">
            <v>40555</v>
          </cell>
          <cell r="DM602">
            <v>3</v>
          </cell>
          <cell r="DO602" t="str">
            <v>тарифи на послуги з централізованого опалення</v>
          </cell>
        </row>
        <row r="603">
          <cell r="AF603">
            <v>39861</v>
          </cell>
          <cell r="AG603">
            <v>20</v>
          </cell>
          <cell r="AO603">
            <v>1013967.8868200001</v>
          </cell>
          <cell r="AQ603">
            <v>750353.72</v>
          </cell>
          <cell r="AY603">
            <v>237682.63750000001</v>
          </cell>
          <cell r="AZ603">
            <v>7986.3257361934329</v>
          </cell>
          <cell r="BC603">
            <v>0</v>
          </cell>
          <cell r="BD603">
            <v>0</v>
          </cell>
          <cell r="BG603">
            <v>0</v>
          </cell>
          <cell r="BH603">
            <v>0</v>
          </cell>
          <cell r="BI603">
            <v>10149.620000000001</v>
          </cell>
          <cell r="BJ603">
            <v>341.03530771608672</v>
          </cell>
          <cell r="BK603">
            <v>0</v>
          </cell>
          <cell r="BL603">
            <v>0</v>
          </cell>
          <cell r="BM603">
            <v>418633.07</v>
          </cell>
          <cell r="BN603">
            <v>14066.404244452509</v>
          </cell>
          <cell r="BO603">
            <v>0</v>
          </cell>
          <cell r="BP603">
            <v>0</v>
          </cell>
          <cell r="BY603">
            <v>1605</v>
          </cell>
          <cell r="CF603">
            <v>110.95</v>
          </cell>
          <cell r="CG603">
            <v>2142.25</v>
          </cell>
          <cell r="CX603">
            <v>0</v>
          </cell>
          <cell r="CY603">
            <v>0</v>
          </cell>
          <cell r="DB603">
            <v>0</v>
          </cell>
          <cell r="DC603">
            <v>0</v>
          </cell>
          <cell r="DJ603" t="str">
            <v>МОС</v>
          </cell>
          <cell r="DL603">
            <v>40093</v>
          </cell>
          <cell r="DM603">
            <v>614</v>
          </cell>
          <cell r="DO603" t="str">
            <v>тарифи на виробництво, транспортування, постачання теплової енергії</v>
          </cell>
        </row>
        <row r="604">
          <cell r="AF604">
            <v>39861</v>
          </cell>
          <cell r="AG604">
            <v>20</v>
          </cell>
          <cell r="AO604">
            <v>114555.19953333335</v>
          </cell>
          <cell r="AQ604">
            <v>52764.7</v>
          </cell>
          <cell r="AY604">
            <v>16713.834500000001</v>
          </cell>
          <cell r="AZ604">
            <v>7986.3505829510714</v>
          </cell>
          <cell r="BC604">
            <v>0</v>
          </cell>
          <cell r="BD604">
            <v>0</v>
          </cell>
          <cell r="BG604">
            <v>0</v>
          </cell>
          <cell r="BH604">
            <v>0</v>
          </cell>
          <cell r="BI604">
            <v>713.72</v>
          </cell>
          <cell r="BJ604">
            <v>341.03593272171253</v>
          </cell>
          <cell r="BK604">
            <v>0</v>
          </cell>
          <cell r="BL604">
            <v>0</v>
          </cell>
          <cell r="BM604">
            <v>29433.38</v>
          </cell>
          <cell r="BN604">
            <v>14064.115061162081</v>
          </cell>
          <cell r="BO604">
            <v>0</v>
          </cell>
          <cell r="BP604">
            <v>0</v>
          </cell>
          <cell r="BY604">
            <v>1605</v>
          </cell>
          <cell r="CF604">
            <v>7.8019999999999996</v>
          </cell>
          <cell r="CG604">
            <v>2142.25</v>
          </cell>
          <cell r="CX604">
            <v>0</v>
          </cell>
          <cell r="CY604">
            <v>0</v>
          </cell>
          <cell r="DB604">
            <v>0</v>
          </cell>
          <cell r="DC604">
            <v>0</v>
          </cell>
          <cell r="DJ604" t="str">
            <v>МОС</v>
          </cell>
          <cell r="DL604">
            <v>40093</v>
          </cell>
          <cell r="DM604">
            <v>614</v>
          </cell>
          <cell r="DO604" t="str">
            <v>тарифи на виробництво, транспортування, постачання теплової енергії</v>
          </cell>
        </row>
        <row r="605">
          <cell r="AF605">
            <v>39861</v>
          </cell>
          <cell r="AG605">
            <v>23</v>
          </cell>
          <cell r="AM605">
            <v>13304.7793</v>
          </cell>
          <cell r="AO605">
            <v>1682500.2156458334</v>
          </cell>
          <cell r="AQ605">
            <v>1645582.23</v>
          </cell>
          <cell r="AU605">
            <v>0</v>
          </cell>
          <cell r="AW605">
            <v>0</v>
          </cell>
          <cell r="AY605">
            <v>1285882.1223600002</v>
          </cell>
          <cell r="AZ605">
            <v>96.648136234773929</v>
          </cell>
          <cell r="BA605">
            <v>0</v>
          </cell>
          <cell r="BB605">
            <v>0</v>
          </cell>
          <cell r="BG605">
            <v>0</v>
          </cell>
          <cell r="BH605">
            <v>0</v>
          </cell>
          <cell r="BI605">
            <v>359700.11</v>
          </cell>
          <cell r="BJ605">
            <v>27.03540599128916</v>
          </cell>
          <cell r="BK605">
            <v>0</v>
          </cell>
          <cell r="BL605">
            <v>0</v>
          </cell>
          <cell r="BO605">
            <v>0</v>
          </cell>
          <cell r="BP605">
            <v>0</v>
          </cell>
          <cell r="CF605">
            <v>1767.973</v>
          </cell>
          <cell r="CG605">
            <v>727.32</v>
          </cell>
          <cell r="CJ605">
            <v>0</v>
          </cell>
          <cell r="CK605">
            <v>0</v>
          </cell>
          <cell r="CL605">
            <v>0</v>
          </cell>
          <cell r="CM605">
            <v>0</v>
          </cell>
          <cell r="CN605">
            <v>0</v>
          </cell>
          <cell r="CO605">
            <v>0</v>
          </cell>
          <cell r="CX605">
            <v>0</v>
          </cell>
          <cell r="CY605">
            <v>0</v>
          </cell>
          <cell r="DJ605" t="str">
            <v>МОС</v>
          </cell>
          <cell r="DL605">
            <v>40590</v>
          </cell>
          <cell r="DM605">
            <v>147</v>
          </cell>
          <cell r="DO605" t="str">
            <v>тарифи на послуги з централізованого опалення</v>
          </cell>
        </row>
        <row r="606">
          <cell r="AF606">
            <v>39861</v>
          </cell>
          <cell r="AG606">
            <v>23</v>
          </cell>
          <cell r="AM606">
            <v>16622.799800000001</v>
          </cell>
          <cell r="AO606">
            <v>5510319.6103683338</v>
          </cell>
          <cell r="AQ606">
            <v>5181377.3099999996</v>
          </cell>
          <cell r="AU606">
            <v>0</v>
          </cell>
          <cell r="AW606">
            <v>0</v>
          </cell>
          <cell r="AY606">
            <v>4731973.1800000006</v>
          </cell>
          <cell r="AZ606">
            <v>284.66763944302573</v>
          </cell>
          <cell r="BA606">
            <v>0</v>
          </cell>
          <cell r="BB606">
            <v>0</v>
          </cell>
          <cell r="BG606">
            <v>0</v>
          </cell>
          <cell r="BH606">
            <v>0</v>
          </cell>
          <cell r="BI606">
            <v>449404.13</v>
          </cell>
          <cell r="BJ606">
            <v>27.035405311203952</v>
          </cell>
          <cell r="BK606">
            <v>0</v>
          </cell>
          <cell r="BL606">
            <v>0</v>
          </cell>
          <cell r="BO606">
            <v>0</v>
          </cell>
          <cell r="BP606">
            <v>0</v>
          </cell>
          <cell r="CF606">
            <v>2208.88</v>
          </cell>
          <cell r="CG606">
            <v>2142.25</v>
          </cell>
          <cell r="CJ606">
            <v>0</v>
          </cell>
          <cell r="CK606">
            <v>0</v>
          </cell>
          <cell r="CL606">
            <v>0</v>
          </cell>
          <cell r="CM606">
            <v>0</v>
          </cell>
          <cell r="CN606">
            <v>0</v>
          </cell>
          <cell r="CO606">
            <v>0</v>
          </cell>
          <cell r="CX606">
            <v>0</v>
          </cell>
          <cell r="CY606">
            <v>0</v>
          </cell>
          <cell r="DJ606" t="str">
            <v>НКРКП</v>
          </cell>
          <cell r="DL606">
            <v>40816</v>
          </cell>
          <cell r="DM606">
            <v>161</v>
          </cell>
        </row>
        <row r="607">
          <cell r="AF607">
            <v>39861</v>
          </cell>
          <cell r="AG607">
            <v>23</v>
          </cell>
          <cell r="AM607">
            <v>2436.0589</v>
          </cell>
          <cell r="AO607">
            <v>839668.90184833331</v>
          </cell>
          <cell r="AQ607">
            <v>759327.59</v>
          </cell>
          <cell r="AU607">
            <v>0</v>
          </cell>
          <cell r="AW607">
            <v>0</v>
          </cell>
          <cell r="AY607">
            <v>693467.74749999994</v>
          </cell>
          <cell r="AZ607">
            <v>284.66789021398455</v>
          </cell>
          <cell r="BA607">
            <v>0</v>
          </cell>
          <cell r="BB607">
            <v>0</v>
          </cell>
          <cell r="BG607">
            <v>0</v>
          </cell>
          <cell r="BH607">
            <v>0</v>
          </cell>
          <cell r="BI607">
            <v>65859.839999999997</v>
          </cell>
          <cell r="BJ607">
            <v>27.035405424721052</v>
          </cell>
          <cell r="BK607">
            <v>0</v>
          </cell>
          <cell r="BL607">
            <v>0</v>
          </cell>
          <cell r="BO607">
            <v>0</v>
          </cell>
          <cell r="BP607">
            <v>0</v>
          </cell>
          <cell r="CF607">
            <v>323.70999999999998</v>
          </cell>
          <cell r="CG607">
            <v>2142.25</v>
          </cell>
          <cell r="CJ607">
            <v>0</v>
          </cell>
          <cell r="CK607">
            <v>0</v>
          </cell>
          <cell r="CL607">
            <v>0</v>
          </cell>
          <cell r="CM607">
            <v>0</v>
          </cell>
          <cell r="CN607">
            <v>0</v>
          </cell>
          <cell r="CO607">
            <v>0</v>
          </cell>
          <cell r="CX607">
            <v>0</v>
          </cell>
          <cell r="CY607">
            <v>0</v>
          </cell>
          <cell r="DJ607" t="str">
            <v>НКРКП</v>
          </cell>
          <cell r="DL607">
            <v>40816</v>
          </cell>
          <cell r="DM607">
            <v>161</v>
          </cell>
        </row>
        <row r="608">
          <cell r="AF608">
            <v>39861</v>
          </cell>
          <cell r="AG608">
            <v>23</v>
          </cell>
          <cell r="AO608">
            <v>1513172.94099</v>
          </cell>
          <cell r="AQ608">
            <v>1427001.69</v>
          </cell>
          <cell r="AY608">
            <v>142313.24976000001</v>
          </cell>
          <cell r="AZ608">
            <v>1930.1527399378285</v>
          </cell>
          <cell r="BC608">
            <v>0</v>
          </cell>
          <cell r="BD608">
            <v>0</v>
          </cell>
          <cell r="BG608">
            <v>0</v>
          </cell>
          <cell r="BH608">
            <v>0</v>
          </cell>
          <cell r="BI608">
            <v>30.63</v>
          </cell>
          <cell r="BJ608">
            <v>0.41542567908468003</v>
          </cell>
          <cell r="BK608">
            <v>0</v>
          </cell>
          <cell r="BL608">
            <v>0</v>
          </cell>
          <cell r="BM608">
            <v>1079075.1299999999</v>
          </cell>
          <cell r="BN608">
            <v>14635.178539459333</v>
          </cell>
          <cell r="BO608">
            <v>0</v>
          </cell>
          <cell r="BP608">
            <v>0</v>
          </cell>
          <cell r="BY608">
            <v>1605</v>
          </cell>
          <cell r="CF608">
            <v>195.66800000000001</v>
          </cell>
          <cell r="CG608">
            <v>727.32</v>
          </cell>
          <cell r="CX608">
            <v>0</v>
          </cell>
          <cell r="CY608">
            <v>0</v>
          </cell>
          <cell r="DB608">
            <v>0</v>
          </cell>
          <cell r="DC608">
            <v>0</v>
          </cell>
          <cell r="DJ608" t="str">
            <v>МОС</v>
          </cell>
          <cell r="DL608">
            <v>40590</v>
          </cell>
          <cell r="DM608">
            <v>147</v>
          </cell>
          <cell r="DO608" t="str">
            <v>тарифи на послуги з централізованого опалення</v>
          </cell>
        </row>
        <row r="609">
          <cell r="AF609">
            <v>39861</v>
          </cell>
          <cell r="AG609">
            <v>23</v>
          </cell>
          <cell r="AO609">
            <v>2896342.5411133338</v>
          </cell>
          <cell r="AQ609">
            <v>2128776.39</v>
          </cell>
          <cell r="AY609">
            <v>523705.14624999999</v>
          </cell>
          <cell r="AZ609">
            <v>5685.0813538328593</v>
          </cell>
          <cell r="BC609">
            <v>0</v>
          </cell>
          <cell r="BD609">
            <v>0</v>
          </cell>
          <cell r="BG609">
            <v>0</v>
          </cell>
          <cell r="BH609">
            <v>0</v>
          </cell>
          <cell r="BI609">
            <v>38.270000000000003</v>
          </cell>
          <cell r="BJ609">
            <v>0.41543999513673596</v>
          </cell>
          <cell r="BK609">
            <v>0</v>
          </cell>
          <cell r="BL609">
            <v>0</v>
          </cell>
          <cell r="BM609">
            <v>1348178.99</v>
          </cell>
          <cell r="BN609">
            <v>14635.157383042841</v>
          </cell>
          <cell r="BO609">
            <v>0</v>
          </cell>
          <cell r="BP609">
            <v>0</v>
          </cell>
          <cell r="BY609">
            <v>1605</v>
          </cell>
          <cell r="CF609">
            <v>244.465</v>
          </cell>
          <cell r="CG609">
            <v>2142.25</v>
          </cell>
          <cell r="CX609">
            <v>0</v>
          </cell>
          <cell r="CY609">
            <v>0</v>
          </cell>
          <cell r="DB609">
            <v>0</v>
          </cell>
          <cell r="DC609">
            <v>0</v>
          </cell>
          <cell r="DJ609" t="str">
            <v>МОС</v>
          </cell>
          <cell r="DL609">
            <v>40107</v>
          </cell>
          <cell r="DM609">
            <v>469</v>
          </cell>
          <cell r="DO609" t="str">
            <v>тарифи на виробництво, транспортування, постачання теплової енергії</v>
          </cell>
        </row>
        <row r="610">
          <cell r="AF610">
            <v>39861</v>
          </cell>
          <cell r="AG610">
            <v>23</v>
          </cell>
          <cell r="AO610">
            <v>499449.85312500002</v>
          </cell>
          <cell r="AQ610">
            <v>311972.36</v>
          </cell>
          <cell r="AY610">
            <v>76750.390749999991</v>
          </cell>
          <cell r="AZ610">
            <v>5685.2141296296286</v>
          </cell>
          <cell r="BC610">
            <v>0</v>
          </cell>
          <cell r="BD610">
            <v>0</v>
          </cell>
          <cell r="BG610">
            <v>0</v>
          </cell>
          <cell r="BH610">
            <v>0</v>
          </cell>
          <cell r="BI610">
            <v>5.61</v>
          </cell>
          <cell r="BJ610">
            <v>0.41555555555555562</v>
          </cell>
          <cell r="BK610">
            <v>0</v>
          </cell>
          <cell r="BL610">
            <v>0</v>
          </cell>
          <cell r="BM610">
            <v>197573.17</v>
          </cell>
          <cell r="BN610">
            <v>14635.049629629631</v>
          </cell>
          <cell r="BO610">
            <v>0</v>
          </cell>
          <cell r="BP610">
            <v>0</v>
          </cell>
          <cell r="BY610">
            <v>1605</v>
          </cell>
          <cell r="CF610">
            <v>35.826999999999998</v>
          </cell>
          <cell r="CG610">
            <v>2142.25</v>
          </cell>
          <cell r="CX610">
            <v>0</v>
          </cell>
          <cell r="CY610">
            <v>0</v>
          </cell>
          <cell r="DB610">
            <v>0</v>
          </cell>
          <cell r="DC610">
            <v>0</v>
          </cell>
          <cell r="DJ610" t="str">
            <v>МОС</v>
          </cell>
          <cell r="DL610">
            <v>40107</v>
          </cell>
          <cell r="DM610">
            <v>469</v>
          </cell>
          <cell r="DO610" t="str">
            <v>тарифи на виробництво, транспортування, постачання теплової енергії</v>
          </cell>
        </row>
        <row r="611">
          <cell r="AF611">
            <v>39861</v>
          </cell>
          <cell r="AG611">
            <v>21</v>
          </cell>
          <cell r="AM611">
            <v>2658.6635000000001</v>
          </cell>
          <cell r="AO611">
            <v>294260.87618000002</v>
          </cell>
          <cell r="AQ611">
            <v>287001.5</v>
          </cell>
          <cell r="AU611">
            <v>0</v>
          </cell>
          <cell r="AW611">
            <v>0</v>
          </cell>
          <cell r="AY611">
            <v>248701.25544000001</v>
          </cell>
          <cell r="AZ611">
            <v>93.543713012195795</v>
          </cell>
          <cell r="BA611">
            <v>0</v>
          </cell>
          <cell r="BB611">
            <v>0</v>
          </cell>
          <cell r="BG611">
            <v>0</v>
          </cell>
          <cell r="BH611">
            <v>0</v>
          </cell>
          <cell r="BI611">
            <v>38300.239999999998</v>
          </cell>
          <cell r="BJ611">
            <v>14.405824580658663</v>
          </cell>
          <cell r="BK611">
            <v>0</v>
          </cell>
          <cell r="BL611">
            <v>0</v>
          </cell>
          <cell r="BO611">
            <v>0</v>
          </cell>
          <cell r="BP611">
            <v>0</v>
          </cell>
          <cell r="CF611">
            <v>341.94200000000001</v>
          </cell>
          <cell r="CG611">
            <v>727.32</v>
          </cell>
          <cell r="CJ611">
            <v>0</v>
          </cell>
          <cell r="CK611">
            <v>0</v>
          </cell>
          <cell r="CL611">
            <v>0</v>
          </cell>
          <cell r="CM611">
            <v>0</v>
          </cell>
          <cell r="CN611">
            <v>0</v>
          </cell>
          <cell r="CO611">
            <v>0</v>
          </cell>
          <cell r="CX611">
            <v>0</v>
          </cell>
          <cell r="CY611">
            <v>0</v>
          </cell>
          <cell r="DJ611" t="str">
            <v>МОС</v>
          </cell>
          <cell r="DL611">
            <v>40568</v>
          </cell>
          <cell r="DM611">
            <v>6</v>
          </cell>
          <cell r="DO611" t="str">
            <v>тарифи на послуги з централізованого опалення</v>
          </cell>
        </row>
        <row r="612">
          <cell r="AF612">
            <v>39861</v>
          </cell>
          <cell r="AG612">
            <v>21</v>
          </cell>
          <cell r="AM612">
            <v>6761.2928000000002</v>
          </cell>
          <cell r="AO612">
            <v>2031768.4999225857</v>
          </cell>
          <cell r="AQ612">
            <v>1960300.47</v>
          </cell>
          <cell r="AU612">
            <v>0</v>
          </cell>
          <cell r="AW612">
            <v>0</v>
          </cell>
          <cell r="AY612">
            <v>1862898.4577500001</v>
          </cell>
          <cell r="AZ612">
            <v>275.52400300575653</v>
          </cell>
          <cell r="BA612">
            <v>0</v>
          </cell>
          <cell r="BB612">
            <v>0</v>
          </cell>
          <cell r="BG612">
            <v>0</v>
          </cell>
          <cell r="BH612">
            <v>0</v>
          </cell>
          <cell r="BI612">
            <v>97402.01</v>
          </cell>
          <cell r="BJ612">
            <v>14.405826353208663</v>
          </cell>
          <cell r="BK612">
            <v>0</v>
          </cell>
          <cell r="BL612">
            <v>0</v>
          </cell>
          <cell r="BO612">
            <v>0</v>
          </cell>
          <cell r="BP612">
            <v>0</v>
          </cell>
          <cell r="CF612">
            <v>869.59900000000005</v>
          </cell>
          <cell r="CG612">
            <v>2142.25</v>
          </cell>
          <cell r="CJ612">
            <v>0</v>
          </cell>
          <cell r="CK612">
            <v>0</v>
          </cell>
          <cell r="CL612">
            <v>0</v>
          </cell>
          <cell r="CM612">
            <v>0</v>
          </cell>
          <cell r="CN612">
            <v>0</v>
          </cell>
          <cell r="CO612">
            <v>0</v>
          </cell>
          <cell r="CX612">
            <v>0</v>
          </cell>
          <cell r="CY612">
            <v>0</v>
          </cell>
          <cell r="DJ612" t="str">
            <v>НКРКП</v>
          </cell>
          <cell r="DL612">
            <v>40816</v>
          </cell>
          <cell r="DM612">
            <v>161</v>
          </cell>
        </row>
        <row r="613">
          <cell r="AF613">
            <v>39861</v>
          </cell>
          <cell r="AG613">
            <v>21</v>
          </cell>
          <cell r="AM613">
            <v>189.7003</v>
          </cell>
          <cell r="AO613">
            <v>57006.837153</v>
          </cell>
          <cell r="AQ613">
            <v>55001.56</v>
          </cell>
          <cell r="AU613">
            <v>0</v>
          </cell>
          <cell r="AW613">
            <v>0</v>
          </cell>
          <cell r="AY613">
            <v>52268.757750000004</v>
          </cell>
          <cell r="AZ613">
            <v>275.53334259355415</v>
          </cell>
          <cell r="BA613">
            <v>0</v>
          </cell>
          <cell r="BB613">
            <v>0</v>
          </cell>
          <cell r="BG613">
            <v>0</v>
          </cell>
          <cell r="BH613">
            <v>0</v>
          </cell>
          <cell r="BI613">
            <v>2732.8</v>
          </cell>
          <cell r="BJ613">
            <v>14.405881276940523</v>
          </cell>
          <cell r="BK613">
            <v>0</v>
          </cell>
          <cell r="BL613">
            <v>0</v>
          </cell>
          <cell r="BO613">
            <v>0</v>
          </cell>
          <cell r="BP613">
            <v>0</v>
          </cell>
          <cell r="CF613">
            <v>24.399000000000001</v>
          </cell>
          <cell r="CG613">
            <v>2142.25</v>
          </cell>
          <cell r="CJ613">
            <v>0</v>
          </cell>
          <cell r="CK613">
            <v>0</v>
          </cell>
          <cell r="CL613">
            <v>0</v>
          </cell>
          <cell r="CM613">
            <v>0</v>
          </cell>
          <cell r="CN613">
            <v>0</v>
          </cell>
          <cell r="CO613">
            <v>0</v>
          </cell>
          <cell r="CX613">
            <v>0</v>
          </cell>
          <cell r="CY613">
            <v>0</v>
          </cell>
          <cell r="DJ613" t="str">
            <v>НКРКП</v>
          </cell>
          <cell r="DL613">
            <v>40816</v>
          </cell>
          <cell r="DM613">
            <v>161</v>
          </cell>
        </row>
        <row r="614">
          <cell r="AF614">
            <v>39861</v>
          </cell>
          <cell r="AG614">
            <v>21</v>
          </cell>
          <cell r="AO614">
            <v>345971.63450006995</v>
          </cell>
          <cell r="AQ614">
            <v>329037.69</v>
          </cell>
          <cell r="AY614">
            <v>28050.550440000003</v>
          </cell>
          <cell r="AZ614">
            <v>1932.6147619933447</v>
          </cell>
          <cell r="BC614">
            <v>0</v>
          </cell>
          <cell r="BD614">
            <v>0</v>
          </cell>
          <cell r="BG614">
            <v>0</v>
          </cell>
          <cell r="BH614">
            <v>0</v>
          </cell>
          <cell r="BI614">
            <v>3705.44</v>
          </cell>
          <cell r="BJ614">
            <v>255.29581171672078</v>
          </cell>
          <cell r="BK614">
            <v>0</v>
          </cell>
          <cell r="BL614">
            <v>0</v>
          </cell>
          <cell r="BM614">
            <v>244728.38</v>
          </cell>
          <cell r="BN614">
            <v>16861.190687804443</v>
          </cell>
          <cell r="BO614">
            <v>0</v>
          </cell>
          <cell r="BP614">
            <v>0</v>
          </cell>
          <cell r="BY614">
            <v>1605</v>
          </cell>
          <cell r="CF614">
            <v>38.567</v>
          </cell>
          <cell r="CG614">
            <v>727.32</v>
          </cell>
          <cell r="CX614">
            <v>0</v>
          </cell>
          <cell r="CY614">
            <v>0</v>
          </cell>
          <cell r="DB614">
            <v>0</v>
          </cell>
          <cell r="DC614">
            <v>0</v>
          </cell>
          <cell r="DJ614" t="str">
            <v>МОС</v>
          </cell>
          <cell r="DL614">
            <v>40568</v>
          </cell>
          <cell r="DM614">
            <v>6</v>
          </cell>
          <cell r="DO614" t="str">
            <v>тарифи на послуги з централізованого опалення</v>
          </cell>
        </row>
        <row r="615">
          <cell r="AF615">
            <v>39861</v>
          </cell>
          <cell r="AG615">
            <v>21</v>
          </cell>
          <cell r="AO615">
            <v>1142320.5409416656</v>
          </cell>
          <cell r="AQ615">
            <v>975561.48</v>
          </cell>
          <cell r="AY615">
            <v>210116.16449999998</v>
          </cell>
          <cell r="AZ615">
            <v>5692.440806150159</v>
          </cell>
          <cell r="BC615">
            <v>0</v>
          </cell>
          <cell r="BD615">
            <v>0</v>
          </cell>
          <cell r="BG615">
            <v>0</v>
          </cell>
          <cell r="BH615">
            <v>0</v>
          </cell>
          <cell r="BI615">
            <v>9423.36</v>
          </cell>
          <cell r="BJ615">
            <v>255.2964886004435</v>
          </cell>
          <cell r="BK615">
            <v>0</v>
          </cell>
          <cell r="BL615">
            <v>0</v>
          </cell>
          <cell r="BM615">
            <v>620908.77</v>
          </cell>
          <cell r="BN615">
            <v>16821.582611957983</v>
          </cell>
          <cell r="BO615">
            <v>0</v>
          </cell>
          <cell r="BP615">
            <v>0</v>
          </cell>
          <cell r="BY615">
            <v>1605</v>
          </cell>
          <cell r="CF615">
            <v>98.081999999999994</v>
          </cell>
          <cell r="CG615">
            <v>2142.25</v>
          </cell>
          <cell r="CX615">
            <v>0</v>
          </cell>
          <cell r="CY615">
            <v>0</v>
          </cell>
          <cell r="DB615">
            <v>0</v>
          </cell>
          <cell r="DC615">
            <v>0</v>
          </cell>
          <cell r="DJ615" t="str">
            <v>МОС</v>
          </cell>
          <cell r="DL615">
            <v>39868</v>
          </cell>
          <cell r="DM615">
            <v>35</v>
          </cell>
          <cell r="DO615" t="str">
            <v>тарифи на виробництво, транспортування, постачання теплової енергії та послуги з централізованого опалення</v>
          </cell>
        </row>
        <row r="616">
          <cell r="AF616">
            <v>39861</v>
          </cell>
          <cell r="AG616">
            <v>21</v>
          </cell>
          <cell r="AO616">
            <v>32049.689828333339</v>
          </cell>
          <cell r="AQ616">
            <v>27371.43</v>
          </cell>
          <cell r="AY616">
            <v>5895.4719999999998</v>
          </cell>
          <cell r="AZ616">
            <v>5692.808033989957</v>
          </cell>
          <cell r="BC616">
            <v>0</v>
          </cell>
          <cell r="BD616">
            <v>0</v>
          </cell>
          <cell r="BG616">
            <v>0</v>
          </cell>
          <cell r="BH616">
            <v>0</v>
          </cell>
          <cell r="BI616">
            <v>264.39</v>
          </cell>
          <cell r="BJ616">
            <v>255.3012746234067</v>
          </cell>
          <cell r="BK616">
            <v>0</v>
          </cell>
          <cell r="BL616">
            <v>0</v>
          </cell>
          <cell r="BM616">
            <v>17595.009999999998</v>
          </cell>
          <cell r="BN616">
            <v>16990.16029354963</v>
          </cell>
          <cell r="BO616">
            <v>0</v>
          </cell>
          <cell r="BP616">
            <v>0</v>
          </cell>
          <cell r="BY616">
            <v>1605</v>
          </cell>
          <cell r="CF616">
            <v>2.7519999999999998</v>
          </cell>
          <cell r="CG616">
            <v>2142.25</v>
          </cell>
          <cell r="CX616">
            <v>0</v>
          </cell>
          <cell r="CY616">
            <v>0</v>
          </cell>
          <cell r="DB616">
            <v>0</v>
          </cell>
          <cell r="DC616">
            <v>0</v>
          </cell>
          <cell r="DJ616" t="str">
            <v>МОС</v>
          </cell>
          <cell r="DL616">
            <v>39868</v>
          </cell>
          <cell r="DM616">
            <v>35</v>
          </cell>
          <cell r="DO616" t="str">
            <v>тарифи на виробництво, транспортування, постачання теплової енергії та послуги з централізованого опалення</v>
          </cell>
        </row>
        <row r="617">
          <cell r="AF617">
            <v>39861</v>
          </cell>
          <cell r="AG617">
            <v>19</v>
          </cell>
          <cell r="AM617">
            <v>186.89580000000001</v>
          </cell>
          <cell r="AO617">
            <v>22090.7097684</v>
          </cell>
          <cell r="AQ617">
            <v>21538.69</v>
          </cell>
          <cell r="AU617">
            <v>0</v>
          </cell>
          <cell r="AW617">
            <v>0</v>
          </cell>
          <cell r="AY617">
            <v>18289.91604</v>
          </cell>
          <cell r="AZ617">
            <v>97.861567996712608</v>
          </cell>
          <cell r="BA617">
            <v>0</v>
          </cell>
          <cell r="BB617">
            <v>0</v>
          </cell>
          <cell r="BG617">
            <v>0</v>
          </cell>
          <cell r="BH617">
            <v>0</v>
          </cell>
          <cell r="BI617">
            <v>3248.77</v>
          </cell>
          <cell r="BJ617">
            <v>17.382787628186399</v>
          </cell>
          <cell r="BK617">
            <v>0</v>
          </cell>
          <cell r="BL617">
            <v>0</v>
          </cell>
          <cell r="BO617">
            <v>0</v>
          </cell>
          <cell r="BP617">
            <v>0</v>
          </cell>
          <cell r="CF617">
            <v>25.146999999999998</v>
          </cell>
          <cell r="CG617">
            <v>727.32</v>
          </cell>
          <cell r="CJ617">
            <v>0</v>
          </cell>
          <cell r="CK617">
            <v>0</v>
          </cell>
          <cell r="CL617">
            <v>0</v>
          </cell>
          <cell r="CM617">
            <v>0</v>
          </cell>
          <cell r="CN617">
            <v>0</v>
          </cell>
          <cell r="CO617">
            <v>0</v>
          </cell>
          <cell r="CX617">
            <v>0</v>
          </cell>
          <cell r="CY617">
            <v>0</v>
          </cell>
          <cell r="DJ617" t="str">
            <v>МОС</v>
          </cell>
          <cell r="DL617">
            <v>40542</v>
          </cell>
          <cell r="DM617">
            <v>133</v>
          </cell>
          <cell r="DO617" t="str">
            <v>тарифи на послуги з централізованого опалення</v>
          </cell>
        </row>
        <row r="618">
          <cell r="AF618">
            <v>39861</v>
          </cell>
          <cell r="AG618">
            <v>19</v>
          </cell>
          <cell r="AM618">
            <v>4204.4961000000003</v>
          </cell>
          <cell r="AO618">
            <v>1365031.7038260002</v>
          </cell>
          <cell r="AQ618">
            <v>1285010.3999999999</v>
          </cell>
          <cell r="AU618">
            <v>0</v>
          </cell>
          <cell r="AW618">
            <v>0</v>
          </cell>
          <cell r="AY618">
            <v>1211924.3812500001</v>
          </cell>
          <cell r="AZ618">
            <v>288.24485798666814</v>
          </cell>
          <cell r="BA618">
            <v>0</v>
          </cell>
          <cell r="BB618">
            <v>0</v>
          </cell>
          <cell r="BG618">
            <v>0</v>
          </cell>
          <cell r="BH618">
            <v>0</v>
          </cell>
          <cell r="BI618">
            <v>73086.02</v>
          </cell>
          <cell r="BJ618">
            <v>17.382825019150332</v>
          </cell>
          <cell r="BK618">
            <v>0</v>
          </cell>
          <cell r="BL618">
            <v>0</v>
          </cell>
          <cell r="BO618">
            <v>0</v>
          </cell>
          <cell r="BP618">
            <v>0</v>
          </cell>
          <cell r="CF618">
            <v>565.72500000000002</v>
          </cell>
          <cell r="CG618">
            <v>2142.25</v>
          </cell>
          <cell r="CJ618">
            <v>0</v>
          </cell>
          <cell r="CK618">
            <v>0</v>
          </cell>
          <cell r="CL618">
            <v>0</v>
          </cell>
          <cell r="CM618">
            <v>0</v>
          </cell>
          <cell r="CN618">
            <v>0</v>
          </cell>
          <cell r="CO618">
            <v>0</v>
          </cell>
          <cell r="CX618">
            <v>0</v>
          </cell>
          <cell r="CY618">
            <v>0</v>
          </cell>
          <cell r="DJ618" t="str">
            <v>НКРКП</v>
          </cell>
          <cell r="DL618">
            <v>40816</v>
          </cell>
          <cell r="DM618">
            <v>161</v>
          </cell>
        </row>
        <row r="619">
          <cell r="AF619">
            <v>39861</v>
          </cell>
          <cell r="AG619">
            <v>19</v>
          </cell>
          <cell r="AM619">
            <v>96.080100000000002</v>
          </cell>
          <cell r="AO619">
            <v>34783.878602999997</v>
          </cell>
          <cell r="AQ619">
            <v>29365.17</v>
          </cell>
          <cell r="AU619">
            <v>0</v>
          </cell>
          <cell r="AW619">
            <v>0</v>
          </cell>
          <cell r="AY619">
            <v>27695.008000000002</v>
          </cell>
          <cell r="AZ619">
            <v>288.24915877481396</v>
          </cell>
          <cell r="BA619">
            <v>0</v>
          </cell>
          <cell r="BB619">
            <v>0</v>
          </cell>
          <cell r="BG619">
            <v>0</v>
          </cell>
          <cell r="BH619">
            <v>0</v>
          </cell>
          <cell r="BI619">
            <v>1670.16</v>
          </cell>
          <cell r="BJ619">
            <v>17.382996062660219</v>
          </cell>
          <cell r="BK619">
            <v>0</v>
          </cell>
          <cell r="BL619">
            <v>0</v>
          </cell>
          <cell r="BO619">
            <v>0</v>
          </cell>
          <cell r="BP619">
            <v>0</v>
          </cell>
          <cell r="CF619">
            <v>12.928000000000001</v>
          </cell>
          <cell r="CG619">
            <v>2142.25</v>
          </cell>
          <cell r="CJ619">
            <v>0</v>
          </cell>
          <cell r="CK619">
            <v>0</v>
          </cell>
          <cell r="CL619">
            <v>0</v>
          </cell>
          <cell r="CM619">
            <v>0</v>
          </cell>
          <cell r="CN619">
            <v>0</v>
          </cell>
          <cell r="CO619">
            <v>0</v>
          </cell>
          <cell r="CX619">
            <v>0</v>
          </cell>
          <cell r="CY619">
            <v>0</v>
          </cell>
          <cell r="DJ619" t="str">
            <v>НКРКП</v>
          </cell>
          <cell r="DL619">
            <v>40816</v>
          </cell>
          <cell r="DM619">
            <v>161</v>
          </cell>
        </row>
        <row r="620">
          <cell r="AF620">
            <v>39861</v>
          </cell>
          <cell r="AG620">
            <v>19</v>
          </cell>
          <cell r="AO620">
            <v>26679.207110219999</v>
          </cell>
          <cell r="AQ620">
            <v>25392.34</v>
          </cell>
          <cell r="AY620">
            <v>2736.91</v>
          </cell>
          <cell r="AZ620">
            <v>2677.0406626211411</v>
          </cell>
          <cell r="BC620">
            <v>0</v>
          </cell>
          <cell r="BD620">
            <v>0</v>
          </cell>
          <cell r="BG620">
            <v>0</v>
          </cell>
          <cell r="BH620">
            <v>0</v>
          </cell>
          <cell r="BI620">
            <v>424.62</v>
          </cell>
          <cell r="BJ620">
            <v>415.33152575794924</v>
          </cell>
          <cell r="BK620">
            <v>0</v>
          </cell>
          <cell r="BL620">
            <v>0</v>
          </cell>
          <cell r="BM620">
            <v>18966.02</v>
          </cell>
          <cell r="BN620">
            <v>18551.142254617731</v>
          </cell>
          <cell r="BO620">
            <v>0</v>
          </cell>
          <cell r="BP620">
            <v>0</v>
          </cell>
          <cell r="BY620">
            <v>1605</v>
          </cell>
          <cell r="CF620">
            <v>3.7630066545674525</v>
          </cell>
          <cell r="CG620">
            <v>727.32</v>
          </cell>
          <cell r="CX620">
            <v>0</v>
          </cell>
          <cell r="CY620">
            <v>0</v>
          </cell>
          <cell r="DB620">
            <v>0</v>
          </cell>
          <cell r="DC620">
            <v>0</v>
          </cell>
          <cell r="DJ620" t="str">
            <v>МОС</v>
          </cell>
          <cell r="DL620">
            <v>40542</v>
          </cell>
          <cell r="DM620">
            <v>133</v>
          </cell>
          <cell r="DO620" t="str">
            <v>тарифи на послуги з централізованого опалення</v>
          </cell>
        </row>
        <row r="621">
          <cell r="AF621">
            <v>39861</v>
          </cell>
          <cell r="AG621">
            <v>19</v>
          </cell>
          <cell r="AO621">
            <v>877772.43238950009</v>
          </cell>
          <cell r="AQ621">
            <v>691036.56</v>
          </cell>
          <cell r="AY621">
            <v>181369.31</v>
          </cell>
          <cell r="AZ621">
            <v>7885.4891491395711</v>
          </cell>
          <cell r="BC621">
            <v>0</v>
          </cell>
          <cell r="BD621">
            <v>0</v>
          </cell>
          <cell r="BG621">
            <v>0</v>
          </cell>
          <cell r="BH621">
            <v>0</v>
          </cell>
          <cell r="BI621">
            <v>9552.51</v>
          </cell>
          <cell r="BJ621">
            <v>415.31951547947801</v>
          </cell>
          <cell r="BK621">
            <v>0</v>
          </cell>
          <cell r="BL621">
            <v>0</v>
          </cell>
          <cell r="BM621">
            <v>426631.1</v>
          </cell>
          <cell r="BN621">
            <v>18548.865349575841</v>
          </cell>
          <cell r="BO621">
            <v>0</v>
          </cell>
          <cell r="BP621">
            <v>0</v>
          </cell>
          <cell r="BY621">
            <v>1605</v>
          </cell>
          <cell r="CF621">
            <v>84.662999183101874</v>
          </cell>
          <cell r="CG621">
            <v>2142.25</v>
          </cell>
          <cell r="CX621">
            <v>0</v>
          </cell>
          <cell r="CY621">
            <v>0</v>
          </cell>
          <cell r="DB621">
            <v>0</v>
          </cell>
          <cell r="DC621">
            <v>0</v>
          </cell>
          <cell r="DJ621" t="str">
            <v>МОС</v>
          </cell>
          <cell r="DL621">
            <v>40086</v>
          </cell>
          <cell r="DM621">
            <v>99</v>
          </cell>
          <cell r="DO621" t="str">
            <v>тарифи на виробництво, транспортування, постачання теплової енергії</v>
          </cell>
        </row>
        <row r="622">
          <cell r="AF622">
            <v>39861</v>
          </cell>
          <cell r="AG622">
            <v>19</v>
          </cell>
          <cell r="AO622">
            <v>28436.049889999998</v>
          </cell>
          <cell r="AQ622">
            <v>15792.03</v>
          </cell>
          <cell r="AY622">
            <v>4145.25</v>
          </cell>
          <cell r="AZ622">
            <v>7886.7009132420098</v>
          </cell>
          <cell r="BC622">
            <v>0</v>
          </cell>
          <cell r="BD622">
            <v>0</v>
          </cell>
          <cell r="BG622">
            <v>0</v>
          </cell>
          <cell r="BH622">
            <v>0</v>
          </cell>
          <cell r="BI622">
            <v>218.29</v>
          </cell>
          <cell r="BJ622">
            <v>415.3158295281583</v>
          </cell>
          <cell r="BK622">
            <v>0</v>
          </cell>
          <cell r="BL622">
            <v>0</v>
          </cell>
          <cell r="BM622">
            <v>9748.24</v>
          </cell>
          <cell r="BN622">
            <v>18546.879756468796</v>
          </cell>
          <cell r="BO622">
            <v>0</v>
          </cell>
          <cell r="BP622">
            <v>0</v>
          </cell>
          <cell r="BY622">
            <v>1605</v>
          </cell>
          <cell r="CF622">
            <v>1.9349982495040261</v>
          </cell>
          <cell r="CG622">
            <v>2142.25</v>
          </cell>
          <cell r="CX622">
            <v>0</v>
          </cell>
          <cell r="CY622">
            <v>0</v>
          </cell>
          <cell r="DB622">
            <v>0</v>
          </cell>
          <cell r="DC622">
            <v>0</v>
          </cell>
          <cell r="DJ622" t="str">
            <v>МОС</v>
          </cell>
          <cell r="DL622">
            <v>40086</v>
          </cell>
          <cell r="DM622">
            <v>99</v>
          </cell>
          <cell r="DO622" t="str">
            <v>тарифи на виробництво, транспортування, постачання теплової енергії</v>
          </cell>
        </row>
        <row r="623">
          <cell r="AF623">
            <v>39861</v>
          </cell>
          <cell r="AG623">
            <v>18</v>
          </cell>
          <cell r="AM623">
            <v>1095.0051000000001</v>
          </cell>
          <cell r="AO623">
            <v>335258.25896955002</v>
          </cell>
          <cell r="AQ623">
            <v>324214.68</v>
          </cell>
          <cell r="AU623">
            <v>0</v>
          </cell>
          <cell r="AW623">
            <v>0</v>
          </cell>
          <cell r="AY623">
            <v>313717.51675000001</v>
          </cell>
          <cell r="AZ623">
            <v>286.49868091938566</v>
          </cell>
          <cell r="BA623">
            <v>0</v>
          </cell>
          <cell r="BB623">
            <v>0</v>
          </cell>
          <cell r="BG623">
            <v>0</v>
          </cell>
          <cell r="BH623">
            <v>0</v>
          </cell>
          <cell r="BI623">
            <v>10497.16</v>
          </cell>
          <cell r="BJ623">
            <v>9.586402839584947</v>
          </cell>
          <cell r="BK623">
            <v>0</v>
          </cell>
          <cell r="BL623">
            <v>0</v>
          </cell>
          <cell r="BO623">
            <v>0</v>
          </cell>
          <cell r="BP623">
            <v>0</v>
          </cell>
          <cell r="CF623">
            <v>146.44300000000001</v>
          </cell>
          <cell r="CG623">
            <v>2142.25</v>
          </cell>
          <cell r="CJ623">
            <v>0</v>
          </cell>
          <cell r="CK623">
            <v>0</v>
          </cell>
          <cell r="CL623">
            <v>0</v>
          </cell>
          <cell r="CM623">
            <v>0</v>
          </cell>
          <cell r="CN623">
            <v>0</v>
          </cell>
          <cell r="CO623">
            <v>0</v>
          </cell>
          <cell r="CX623">
            <v>0</v>
          </cell>
          <cell r="CY623">
            <v>0</v>
          </cell>
          <cell r="DJ623" t="str">
            <v>НКРКП</v>
          </cell>
          <cell r="DL623">
            <v>40816</v>
          </cell>
          <cell r="DM623">
            <v>161</v>
          </cell>
        </row>
        <row r="624">
          <cell r="AF624">
            <v>39861</v>
          </cell>
          <cell r="AG624">
            <v>18</v>
          </cell>
          <cell r="AM624">
            <v>85.992900000000006</v>
          </cell>
          <cell r="AO624">
            <v>26327.586264000005</v>
          </cell>
          <cell r="AQ624">
            <v>25460.240000000002</v>
          </cell>
          <cell r="AU624">
            <v>0</v>
          </cell>
          <cell r="AW624">
            <v>0</v>
          </cell>
          <cell r="AY624">
            <v>24635.875</v>
          </cell>
          <cell r="AZ624">
            <v>286.48731465039555</v>
          </cell>
          <cell r="BA624">
            <v>0</v>
          </cell>
          <cell r="BB624">
            <v>0</v>
          </cell>
          <cell r="BG624">
            <v>0</v>
          </cell>
          <cell r="BH624">
            <v>0</v>
          </cell>
          <cell r="BI624">
            <v>824.36</v>
          </cell>
          <cell r="BJ624">
            <v>9.5863728284544418</v>
          </cell>
          <cell r="BK624">
            <v>0</v>
          </cell>
          <cell r="BL624">
            <v>0</v>
          </cell>
          <cell r="BO624">
            <v>0</v>
          </cell>
          <cell r="BP624">
            <v>0</v>
          </cell>
          <cell r="CF624">
            <v>11.5</v>
          </cell>
          <cell r="CG624">
            <v>2142.25</v>
          </cell>
          <cell r="CJ624">
            <v>0</v>
          </cell>
          <cell r="CK624">
            <v>0</v>
          </cell>
          <cell r="CL624">
            <v>0</v>
          </cell>
          <cell r="CM624">
            <v>0</v>
          </cell>
          <cell r="CN624">
            <v>0</v>
          </cell>
          <cell r="CO624">
            <v>0</v>
          </cell>
          <cell r="CX624">
            <v>0</v>
          </cell>
          <cell r="CY624">
            <v>0</v>
          </cell>
          <cell r="DJ624" t="str">
            <v>НКРКП</v>
          </cell>
          <cell r="DL624">
            <v>40816</v>
          </cell>
          <cell r="DM624">
            <v>161</v>
          </cell>
        </row>
        <row r="625">
          <cell r="AF625">
            <v>39861</v>
          </cell>
          <cell r="AG625">
            <v>18</v>
          </cell>
          <cell r="AO625">
            <v>232906.49172578281</v>
          </cell>
          <cell r="AQ625">
            <v>207128.99</v>
          </cell>
          <cell r="AY625">
            <v>46889.568000000007</v>
          </cell>
          <cell r="AZ625">
            <v>7709.918904520433</v>
          </cell>
          <cell r="BC625">
            <v>0</v>
          </cell>
          <cell r="BD625">
            <v>0</v>
          </cell>
          <cell r="BG625">
            <v>0</v>
          </cell>
          <cell r="BH625">
            <v>0</v>
          </cell>
          <cell r="BI625">
            <v>1365.92</v>
          </cell>
          <cell r="BJ625">
            <v>224.59435817498999</v>
          </cell>
          <cell r="BK625">
            <v>0</v>
          </cell>
          <cell r="BL625">
            <v>0</v>
          </cell>
          <cell r="BM625">
            <v>138229.10999999999</v>
          </cell>
          <cell r="BN625">
            <v>22728.621179534734</v>
          </cell>
          <cell r="BO625">
            <v>0</v>
          </cell>
          <cell r="BP625">
            <v>0</v>
          </cell>
          <cell r="BY625">
            <v>1605</v>
          </cell>
          <cell r="CF625">
            <v>21.888000000000002</v>
          </cell>
          <cell r="CG625">
            <v>2142.25</v>
          </cell>
          <cell r="CX625">
            <v>0</v>
          </cell>
          <cell r="CY625">
            <v>0</v>
          </cell>
          <cell r="DB625">
            <v>0</v>
          </cell>
          <cell r="DC625">
            <v>0</v>
          </cell>
          <cell r="DJ625" t="str">
            <v>МОС</v>
          </cell>
          <cell r="DL625">
            <v>39870</v>
          </cell>
          <cell r="DM625">
            <v>39</v>
          </cell>
          <cell r="DO625" t="str">
            <v>тарифи на виробництво, транспортування, постачання теплової енергії та послуги з централізованого опалення</v>
          </cell>
        </row>
        <row r="626">
          <cell r="AF626">
            <v>39861</v>
          </cell>
          <cell r="AG626">
            <v>18</v>
          </cell>
          <cell r="AO626">
            <v>18290.390158333335</v>
          </cell>
          <cell r="AQ626">
            <v>16266.43</v>
          </cell>
          <cell r="AY626">
            <v>3682.5277500000002</v>
          </cell>
          <cell r="AZ626">
            <v>7710.4852386934681</v>
          </cell>
          <cell r="BC626">
            <v>0</v>
          </cell>
          <cell r="BD626">
            <v>0</v>
          </cell>
          <cell r="BG626">
            <v>0</v>
          </cell>
          <cell r="BH626">
            <v>0</v>
          </cell>
          <cell r="BI626">
            <v>107.27</v>
          </cell>
          <cell r="BJ626">
            <v>224.60217755443884</v>
          </cell>
          <cell r="BK626">
            <v>0</v>
          </cell>
          <cell r="BL626">
            <v>0</v>
          </cell>
          <cell r="BM626">
            <v>11090.99</v>
          </cell>
          <cell r="BN626">
            <v>23222.340871021774</v>
          </cell>
          <cell r="BO626">
            <v>0</v>
          </cell>
          <cell r="BP626">
            <v>0</v>
          </cell>
          <cell r="BY626">
            <v>1605</v>
          </cell>
          <cell r="CF626">
            <v>1.7190000000000001</v>
          </cell>
          <cell r="CG626">
            <v>2142.25</v>
          </cell>
          <cell r="CX626">
            <v>0</v>
          </cell>
          <cell r="CY626">
            <v>0</v>
          </cell>
          <cell r="DB626">
            <v>0</v>
          </cell>
          <cell r="DC626">
            <v>0</v>
          </cell>
          <cell r="DJ626" t="str">
            <v>МОС</v>
          </cell>
          <cell r="DL626">
            <v>39870</v>
          </cell>
          <cell r="DM626">
            <v>39</v>
          </cell>
          <cell r="DO626" t="str">
            <v>тарифи на виробництво, транспортування, постачання теплової енергії та послуги з централізованого опалення</v>
          </cell>
        </row>
        <row r="627">
          <cell r="AF627">
            <v>39861</v>
          </cell>
          <cell r="AG627">
            <v>14</v>
          </cell>
          <cell r="AM627">
            <v>3075.7020000000002</v>
          </cell>
          <cell r="AO627">
            <v>1051890.084</v>
          </cell>
          <cell r="AQ627">
            <v>982897.51</v>
          </cell>
          <cell r="AU627">
            <v>0</v>
          </cell>
          <cell r="AW627">
            <v>0</v>
          </cell>
          <cell r="AY627">
            <v>871720.09</v>
          </cell>
          <cell r="AZ627">
            <v>283.42150507428869</v>
          </cell>
          <cell r="BA627">
            <v>0</v>
          </cell>
          <cell r="BB627">
            <v>0</v>
          </cell>
          <cell r="BG627">
            <v>0</v>
          </cell>
          <cell r="BH627">
            <v>0</v>
          </cell>
          <cell r="BI627">
            <v>111177.42</v>
          </cell>
          <cell r="BJ627">
            <v>36.147006439505518</v>
          </cell>
          <cell r="BK627">
            <v>0</v>
          </cell>
          <cell r="BL627">
            <v>0</v>
          </cell>
          <cell r="BO627">
            <v>0</v>
          </cell>
          <cell r="BP627">
            <v>0</v>
          </cell>
          <cell r="CF627">
            <v>406.91800210059517</v>
          </cell>
          <cell r="CG627">
            <v>2142.25</v>
          </cell>
          <cell r="CJ627">
            <v>0</v>
          </cell>
          <cell r="CK627">
            <v>0</v>
          </cell>
          <cell r="CL627">
            <v>0</v>
          </cell>
          <cell r="CM627">
            <v>0</v>
          </cell>
          <cell r="CN627">
            <v>0</v>
          </cell>
          <cell r="CO627">
            <v>0</v>
          </cell>
          <cell r="CX627">
            <v>0</v>
          </cell>
          <cell r="CY627">
            <v>0</v>
          </cell>
          <cell r="DJ627" t="str">
            <v>НКРКП</v>
          </cell>
          <cell r="DL627">
            <v>40816</v>
          </cell>
          <cell r="DM627">
            <v>161</v>
          </cell>
        </row>
        <row r="628">
          <cell r="AF628">
            <v>39861</v>
          </cell>
          <cell r="AG628">
            <v>14</v>
          </cell>
          <cell r="AO628">
            <v>711440.83549108449</v>
          </cell>
          <cell r="AQ628">
            <v>550434.30000000005</v>
          </cell>
          <cell r="AY628">
            <v>79246.109999999986</v>
          </cell>
          <cell r="AZ628">
            <v>4694.1864341600476</v>
          </cell>
          <cell r="BC628">
            <v>0</v>
          </cell>
          <cell r="BD628">
            <v>0</v>
          </cell>
          <cell r="BG628">
            <v>0</v>
          </cell>
          <cell r="BH628">
            <v>0</v>
          </cell>
          <cell r="BI628">
            <v>7857.02</v>
          </cell>
          <cell r="BJ628">
            <v>465.41485376284317</v>
          </cell>
          <cell r="BK628">
            <v>0</v>
          </cell>
          <cell r="BL628">
            <v>0</v>
          </cell>
          <cell r="BM628">
            <v>402260.49</v>
          </cell>
          <cell r="BN628">
            <v>23828.118946867849</v>
          </cell>
          <cell r="BO628">
            <v>0</v>
          </cell>
          <cell r="BP628">
            <v>0</v>
          </cell>
          <cell r="BY628">
            <v>1605</v>
          </cell>
          <cell r="CF628">
            <v>36.991999066402144</v>
          </cell>
          <cell r="CG628">
            <v>2142.25</v>
          </cell>
          <cell r="CX628">
            <v>0</v>
          </cell>
          <cell r="CY628">
            <v>0</v>
          </cell>
          <cell r="DB628">
            <v>0</v>
          </cell>
          <cell r="DC628">
            <v>0</v>
          </cell>
          <cell r="DJ628" t="str">
            <v>МОС</v>
          </cell>
          <cell r="DL628">
            <v>40086</v>
          </cell>
          <cell r="DM628">
            <v>335</v>
          </cell>
          <cell r="DO628" t="str">
            <v>тарифи на виробництво, транспортування та постачання теплової енергії</v>
          </cell>
        </row>
        <row r="629">
          <cell r="AF629">
            <v>39861</v>
          </cell>
          <cell r="AG629">
            <v>15</v>
          </cell>
          <cell r="AM629">
            <v>5069.8047999999999</v>
          </cell>
          <cell r="AO629">
            <v>1686774.7550079999</v>
          </cell>
          <cell r="AQ629">
            <v>1585256.31</v>
          </cell>
          <cell r="AU629">
            <v>0</v>
          </cell>
          <cell r="AW629">
            <v>0</v>
          </cell>
          <cell r="AY629">
            <v>1506299.52</v>
          </cell>
          <cell r="AZ629">
            <v>297.11193614397149</v>
          </cell>
          <cell r="BA629">
            <v>0</v>
          </cell>
          <cell r="BB629">
            <v>0</v>
          </cell>
          <cell r="BG629">
            <v>0</v>
          </cell>
          <cell r="BH629">
            <v>0</v>
          </cell>
          <cell r="BI629">
            <v>78956.789999999994</v>
          </cell>
          <cell r="BJ629">
            <v>15.573930972648098</v>
          </cell>
          <cell r="BK629">
            <v>0</v>
          </cell>
          <cell r="BL629">
            <v>0</v>
          </cell>
          <cell r="BO629">
            <v>0</v>
          </cell>
          <cell r="BP629">
            <v>0</v>
          </cell>
          <cell r="CF629">
            <v>703.13899871630292</v>
          </cell>
          <cell r="CG629">
            <v>2142.25</v>
          </cell>
          <cell r="CJ629">
            <v>0</v>
          </cell>
          <cell r="CK629">
            <v>0</v>
          </cell>
          <cell r="CL629">
            <v>0</v>
          </cell>
          <cell r="CM629">
            <v>0</v>
          </cell>
          <cell r="CN629">
            <v>0</v>
          </cell>
          <cell r="CO629">
            <v>0</v>
          </cell>
          <cell r="CX629">
            <v>0</v>
          </cell>
          <cell r="CY629">
            <v>0</v>
          </cell>
          <cell r="DJ629" t="str">
            <v>НКРКП</v>
          </cell>
          <cell r="DL629">
            <v>40816</v>
          </cell>
          <cell r="DM629">
            <v>161</v>
          </cell>
        </row>
        <row r="630">
          <cell r="AF630">
            <v>39861</v>
          </cell>
          <cell r="AG630">
            <v>15</v>
          </cell>
          <cell r="AM630">
            <v>314.14819999999997</v>
          </cell>
          <cell r="AO630">
            <v>119196.62322959999</v>
          </cell>
          <cell r="AQ630">
            <v>98230.35</v>
          </cell>
          <cell r="AU630">
            <v>0</v>
          </cell>
          <cell r="AW630">
            <v>0</v>
          </cell>
          <cell r="AY630">
            <v>93337.83</v>
          </cell>
          <cell r="AZ630">
            <v>297.11400542801141</v>
          </cell>
          <cell r="BA630">
            <v>0</v>
          </cell>
          <cell r="BB630">
            <v>0</v>
          </cell>
          <cell r="BG630">
            <v>0</v>
          </cell>
          <cell r="BH630">
            <v>0</v>
          </cell>
          <cell r="BI630">
            <v>4892.5200000000004</v>
          </cell>
          <cell r="BJ630">
            <v>15.573923390297958</v>
          </cell>
          <cell r="BK630">
            <v>0</v>
          </cell>
          <cell r="BL630">
            <v>0</v>
          </cell>
          <cell r="BO630">
            <v>0</v>
          </cell>
          <cell r="BP630">
            <v>0</v>
          </cell>
          <cell r="CF630">
            <v>43.569998833002686</v>
          </cell>
          <cell r="CG630">
            <v>2142.25</v>
          </cell>
          <cell r="CJ630">
            <v>0</v>
          </cell>
          <cell r="CK630">
            <v>0</v>
          </cell>
          <cell r="CL630">
            <v>0</v>
          </cell>
          <cell r="CM630">
            <v>0</v>
          </cell>
          <cell r="CN630">
            <v>0</v>
          </cell>
          <cell r="CO630">
            <v>0</v>
          </cell>
          <cell r="CX630">
            <v>0</v>
          </cell>
          <cell r="CY630">
            <v>0</v>
          </cell>
          <cell r="DJ630" t="str">
            <v>НКРКП</v>
          </cell>
          <cell r="DL630">
            <v>40816</v>
          </cell>
          <cell r="DM630">
            <v>161</v>
          </cell>
        </row>
        <row r="631">
          <cell r="AF631">
            <v>39861</v>
          </cell>
          <cell r="AG631" t="str">
            <v>№ 15</v>
          </cell>
          <cell r="AO631">
            <v>907283.79780000006</v>
          </cell>
          <cell r="AQ631">
            <v>670436.1</v>
          </cell>
          <cell r="AY631">
            <v>160336.70000000001</v>
          </cell>
          <cell r="AZ631">
            <v>5666.8893318630362</v>
          </cell>
          <cell r="BC631">
            <v>0</v>
          </cell>
          <cell r="BD631">
            <v>0</v>
          </cell>
          <cell r="BG631">
            <v>0</v>
          </cell>
          <cell r="BH631">
            <v>0</v>
          </cell>
          <cell r="BI631">
            <v>7189.39</v>
          </cell>
          <cell r="BJ631">
            <v>254.09951367093618</v>
          </cell>
          <cell r="BK631">
            <v>0</v>
          </cell>
          <cell r="BL631">
            <v>0</v>
          </cell>
          <cell r="BM631">
            <v>423789.38</v>
          </cell>
          <cell r="BN631">
            <v>14978.277066191646</v>
          </cell>
          <cell r="BO631">
            <v>0</v>
          </cell>
          <cell r="BP631">
            <v>0</v>
          </cell>
          <cell r="BY631">
            <v>1605</v>
          </cell>
          <cell r="CF631">
            <v>74.844999416501352</v>
          </cell>
          <cell r="CG631">
            <v>2142.25</v>
          </cell>
          <cell r="CX631">
            <v>0</v>
          </cell>
          <cell r="CY631">
            <v>0</v>
          </cell>
          <cell r="DB631">
            <v>0</v>
          </cell>
          <cell r="DC631">
            <v>0</v>
          </cell>
          <cell r="DJ631" t="str">
            <v>МОС</v>
          </cell>
          <cell r="DL631">
            <v>40098</v>
          </cell>
          <cell r="DM631">
            <v>98</v>
          </cell>
          <cell r="DO631" t="str">
            <v>тарифи на виробництво, транспортування, постачання теплової енергії</v>
          </cell>
        </row>
        <row r="632">
          <cell r="AF632">
            <v>39861</v>
          </cell>
          <cell r="AG632" t="str">
            <v>№ 15</v>
          </cell>
          <cell r="AO632">
            <v>90464.809537499998</v>
          </cell>
          <cell r="AQ632">
            <v>41543.839999999997</v>
          </cell>
          <cell r="AY632">
            <v>9935.76</v>
          </cell>
          <cell r="AZ632">
            <v>5667.2142368240929</v>
          </cell>
          <cell r="BC632">
            <v>0</v>
          </cell>
          <cell r="BD632">
            <v>0</v>
          </cell>
          <cell r="BG632">
            <v>0</v>
          </cell>
          <cell r="BH632">
            <v>0</v>
          </cell>
          <cell r="BI632">
            <v>445.49</v>
          </cell>
          <cell r="BJ632">
            <v>254.10107232489165</v>
          </cell>
          <cell r="BK632">
            <v>0</v>
          </cell>
          <cell r="BL632">
            <v>0</v>
          </cell>
          <cell r="BM632">
            <v>25815</v>
          </cell>
          <cell r="BN632">
            <v>14724.503764544832</v>
          </cell>
          <cell r="BO632">
            <v>0</v>
          </cell>
          <cell r="BP632">
            <v>0</v>
          </cell>
          <cell r="BY632">
            <v>1605</v>
          </cell>
          <cell r="CF632">
            <v>4.6380021005951688</v>
          </cell>
          <cell r="CG632">
            <v>2142.25</v>
          </cell>
          <cell r="CX632">
            <v>0</v>
          </cell>
          <cell r="CY632">
            <v>0</v>
          </cell>
          <cell r="DB632">
            <v>0</v>
          </cell>
          <cell r="DC632">
            <v>0</v>
          </cell>
          <cell r="DJ632" t="str">
            <v>МОС</v>
          </cell>
          <cell r="DL632">
            <v>40098</v>
          </cell>
          <cell r="DM632">
            <v>98</v>
          </cell>
          <cell r="DO632" t="str">
            <v>тарифи на виробництво, транспортування, постачання теплової енергії</v>
          </cell>
        </row>
        <row r="633">
          <cell r="AF633">
            <v>39861</v>
          </cell>
          <cell r="AG633">
            <v>13</v>
          </cell>
          <cell r="AM633">
            <v>3545.4576999999999</v>
          </cell>
          <cell r="AO633">
            <v>1122775.5444360001</v>
          </cell>
          <cell r="AQ633">
            <v>1083394.32</v>
          </cell>
          <cell r="AU633">
            <v>0</v>
          </cell>
          <cell r="AW633">
            <v>0</v>
          </cell>
          <cell r="AY633">
            <v>1026266.29</v>
          </cell>
          <cell r="AZ633">
            <v>289.45946527580912</v>
          </cell>
          <cell r="BA633">
            <v>0</v>
          </cell>
          <cell r="BB633">
            <v>0</v>
          </cell>
          <cell r="BG633">
            <v>0</v>
          </cell>
          <cell r="BH633">
            <v>0</v>
          </cell>
          <cell r="BI633">
            <v>57128.03</v>
          </cell>
          <cell r="BJ633">
            <v>16.113019766108053</v>
          </cell>
          <cell r="BK633">
            <v>0</v>
          </cell>
          <cell r="BL633">
            <v>0</v>
          </cell>
          <cell r="BO633">
            <v>0</v>
          </cell>
          <cell r="BP633">
            <v>0</v>
          </cell>
          <cell r="CF633">
            <v>479.06000233399465</v>
          </cell>
          <cell r="CG633">
            <v>2142.25</v>
          </cell>
          <cell r="CJ633">
            <v>0</v>
          </cell>
          <cell r="CK633">
            <v>0</v>
          </cell>
          <cell r="CL633">
            <v>0</v>
          </cell>
          <cell r="CM633">
            <v>0</v>
          </cell>
          <cell r="CN633">
            <v>0</v>
          </cell>
          <cell r="CO633">
            <v>0</v>
          </cell>
          <cell r="CX633">
            <v>0</v>
          </cell>
          <cell r="CY633">
            <v>0</v>
          </cell>
          <cell r="DJ633" t="str">
            <v>НКРКП</v>
          </cell>
          <cell r="DL633">
            <v>40816</v>
          </cell>
          <cell r="DM633">
            <v>161</v>
          </cell>
        </row>
        <row r="634">
          <cell r="AF634">
            <v>39861</v>
          </cell>
          <cell r="AG634">
            <v>13</v>
          </cell>
          <cell r="AO634">
            <v>729336.95127562503</v>
          </cell>
          <cell r="AQ634">
            <v>637435.93999999994</v>
          </cell>
          <cell r="AY634">
            <v>113691.35</v>
          </cell>
          <cell r="AZ634">
            <v>5892.3494175096421</v>
          </cell>
          <cell r="BC634">
            <v>0</v>
          </cell>
          <cell r="BD634">
            <v>0</v>
          </cell>
          <cell r="BG634">
            <v>0</v>
          </cell>
          <cell r="BH634">
            <v>0</v>
          </cell>
          <cell r="BI634">
            <v>5300.41</v>
          </cell>
          <cell r="BJ634">
            <v>274.70751095894525</v>
          </cell>
          <cell r="BK634">
            <v>0</v>
          </cell>
          <cell r="BL634">
            <v>0</v>
          </cell>
          <cell r="BM634">
            <v>445810.71</v>
          </cell>
          <cell r="BN634">
            <v>23105.297609607591</v>
          </cell>
          <cell r="BO634">
            <v>0</v>
          </cell>
          <cell r="BP634">
            <v>0</v>
          </cell>
          <cell r="BY634">
            <v>1605</v>
          </cell>
          <cell r="CF634">
            <v>53.071000116699736</v>
          </cell>
          <cell r="CG634">
            <v>2142.25</v>
          </cell>
          <cell r="CX634">
            <v>0</v>
          </cell>
          <cell r="CY634">
            <v>0</v>
          </cell>
          <cell r="DB634">
            <v>0</v>
          </cell>
          <cell r="DC634">
            <v>0</v>
          </cell>
          <cell r="DJ634" t="str">
            <v>МОС</v>
          </cell>
          <cell r="DL634">
            <v>39870</v>
          </cell>
          <cell r="DM634">
            <v>65</v>
          </cell>
          <cell r="DO634" t="str">
            <v>тарифи на виробництво, транспортування, постачання иеплової енергії</v>
          </cell>
        </row>
        <row r="635">
          <cell r="AF635">
            <v>39861</v>
          </cell>
          <cell r="AG635">
            <v>12</v>
          </cell>
          <cell r="AM635">
            <v>169.49</v>
          </cell>
          <cell r="AO635">
            <v>21209.809110000002</v>
          </cell>
          <cell r="AQ635">
            <v>20623.5</v>
          </cell>
          <cell r="AU635">
            <v>0</v>
          </cell>
          <cell r="AW635">
            <v>0</v>
          </cell>
          <cell r="AY635">
            <v>17209.849999999999</v>
          </cell>
          <cell r="AZ635">
            <v>101.53902885125964</v>
          </cell>
          <cell r="BA635">
            <v>0</v>
          </cell>
          <cell r="BB635">
            <v>0</v>
          </cell>
          <cell r="BG635">
            <v>0</v>
          </cell>
          <cell r="BH635">
            <v>0</v>
          </cell>
          <cell r="BI635">
            <v>3413.92</v>
          </cell>
          <cell r="BJ635">
            <v>20.142309280783525</v>
          </cell>
          <cell r="BK635">
            <v>0</v>
          </cell>
          <cell r="BL635">
            <v>0</v>
          </cell>
          <cell r="BO635">
            <v>0</v>
          </cell>
          <cell r="BP635">
            <v>0</v>
          </cell>
          <cell r="CF635">
            <v>23.662005719628219</v>
          </cell>
          <cell r="CG635">
            <v>727.32</v>
          </cell>
          <cell r="CJ635">
            <v>0</v>
          </cell>
          <cell r="CK635">
            <v>0</v>
          </cell>
          <cell r="CL635">
            <v>0</v>
          </cell>
          <cell r="CM635">
            <v>0</v>
          </cell>
          <cell r="CN635">
            <v>0</v>
          </cell>
          <cell r="CO635">
            <v>0</v>
          </cell>
          <cell r="CX635">
            <v>0</v>
          </cell>
          <cell r="CY635">
            <v>0</v>
          </cell>
          <cell r="DJ635" t="str">
            <v>ОДА</v>
          </cell>
          <cell r="DL635">
            <v>40541</v>
          </cell>
          <cell r="DM635" t="str">
            <v>106-В</v>
          </cell>
          <cell r="DO635" t="str">
            <v>тариф на теплову енергію</v>
          </cell>
        </row>
        <row r="636">
          <cell r="AF636">
            <v>39861</v>
          </cell>
          <cell r="AG636">
            <v>12</v>
          </cell>
          <cell r="AM636">
            <v>6177.7462999999998</v>
          </cell>
          <cell r="AO636">
            <v>2113777.6740080002</v>
          </cell>
          <cell r="AQ636">
            <v>1971976.67</v>
          </cell>
          <cell r="AU636">
            <v>0</v>
          </cell>
          <cell r="AW636">
            <v>0</v>
          </cell>
          <cell r="AY636">
            <v>1847544.95</v>
          </cell>
          <cell r="AZ636">
            <v>299.06455530554888</v>
          </cell>
          <cell r="BA636">
            <v>0</v>
          </cell>
          <cell r="BB636">
            <v>0</v>
          </cell>
          <cell r="BG636">
            <v>0</v>
          </cell>
          <cell r="BH636">
            <v>0</v>
          </cell>
          <cell r="BI636">
            <v>124431.66</v>
          </cell>
          <cell r="BJ636">
            <v>20.141918097219371</v>
          </cell>
          <cell r="BK636">
            <v>0</v>
          </cell>
          <cell r="BL636">
            <v>0</v>
          </cell>
          <cell r="BO636">
            <v>0</v>
          </cell>
          <cell r="BP636">
            <v>0</v>
          </cell>
          <cell r="CF636">
            <v>862.43199906640211</v>
          </cell>
          <cell r="CG636">
            <v>2142.25</v>
          </cell>
          <cell r="CJ636">
            <v>0</v>
          </cell>
          <cell r="CK636">
            <v>0</v>
          </cell>
          <cell r="CL636">
            <v>0</v>
          </cell>
          <cell r="CM636">
            <v>0</v>
          </cell>
          <cell r="CN636">
            <v>0</v>
          </cell>
          <cell r="CO636">
            <v>0</v>
          </cell>
          <cell r="CX636">
            <v>0</v>
          </cell>
          <cell r="CY636">
            <v>0</v>
          </cell>
          <cell r="DJ636" t="str">
            <v>НКРКП</v>
          </cell>
          <cell r="DL636">
            <v>40816</v>
          </cell>
          <cell r="DM636">
            <v>161</v>
          </cell>
        </row>
        <row r="637">
          <cell r="AF637">
            <v>39861</v>
          </cell>
          <cell r="AG637">
            <v>12</v>
          </cell>
          <cell r="AO637">
            <v>28718.767432212167</v>
          </cell>
          <cell r="AQ637">
            <v>27349.93</v>
          </cell>
          <cell r="AY637">
            <v>2573.2600000000002</v>
          </cell>
          <cell r="AZ637">
            <v>2707.5540300789489</v>
          </cell>
          <cell r="BC637">
            <v>0</v>
          </cell>
          <cell r="BD637">
            <v>0</v>
          </cell>
          <cell r="BG637">
            <v>0</v>
          </cell>
          <cell r="BH637">
            <v>0</v>
          </cell>
          <cell r="BI637">
            <v>438.2</v>
          </cell>
          <cell r="BJ637">
            <v>461.06890713748135</v>
          </cell>
          <cell r="BK637">
            <v>0</v>
          </cell>
          <cell r="BL637">
            <v>0</v>
          </cell>
          <cell r="BM637">
            <v>21754.85</v>
          </cell>
          <cell r="BN637">
            <v>22890.198344226006</v>
          </cell>
          <cell r="BO637">
            <v>0</v>
          </cell>
          <cell r="BP637">
            <v>0</v>
          </cell>
          <cell r="BY637">
            <v>1605</v>
          </cell>
          <cell r="CF637">
            <v>3.5380025298355608</v>
          </cell>
          <cell r="CG637">
            <v>727.32</v>
          </cell>
          <cell r="CX637">
            <v>0</v>
          </cell>
          <cell r="CY637">
            <v>0</v>
          </cell>
          <cell r="DB637">
            <v>0</v>
          </cell>
          <cell r="DC637">
            <v>0</v>
          </cell>
          <cell r="DJ637" t="str">
            <v>ОДА</v>
          </cell>
          <cell r="DL637">
            <v>40541</v>
          </cell>
          <cell r="DM637" t="str">
            <v>106-В</v>
          </cell>
          <cell r="DO637" t="str">
            <v>тариф на теплову енергію</v>
          </cell>
        </row>
        <row r="638">
          <cell r="AF638">
            <v>39861</v>
          </cell>
          <cell r="AG638">
            <v>12</v>
          </cell>
          <cell r="AO638">
            <v>1510212.1371429835</v>
          </cell>
          <cell r="AQ638">
            <v>1179333.46</v>
          </cell>
          <cell r="AY638">
            <v>276268.84000000003</v>
          </cell>
          <cell r="AZ638">
            <v>7975.3832801638891</v>
          </cell>
          <cell r="BC638">
            <v>0</v>
          </cell>
          <cell r="BD638">
            <v>0</v>
          </cell>
          <cell r="BG638">
            <v>0</v>
          </cell>
          <cell r="BH638">
            <v>0</v>
          </cell>
          <cell r="BI638">
            <v>15971.52</v>
          </cell>
          <cell r="BJ638">
            <v>461.06898471359688</v>
          </cell>
          <cell r="BK638">
            <v>0</v>
          </cell>
          <cell r="BL638">
            <v>0</v>
          </cell>
          <cell r="BM638">
            <v>723869.53</v>
          </cell>
          <cell r="BN638">
            <v>20896.808147390391</v>
          </cell>
          <cell r="BO638">
            <v>0</v>
          </cell>
          <cell r="BP638">
            <v>0</v>
          </cell>
          <cell r="BY638">
            <v>1605</v>
          </cell>
          <cell r="CF638">
            <v>128.96199789940485</v>
          </cell>
          <cell r="CG638">
            <v>2142.25</v>
          </cell>
          <cell r="CX638">
            <v>0</v>
          </cell>
          <cell r="CY638">
            <v>0</v>
          </cell>
          <cell r="DB638">
            <v>0</v>
          </cell>
          <cell r="DC638">
            <v>0</v>
          </cell>
          <cell r="DJ638" t="str">
            <v>МОС</v>
          </cell>
          <cell r="DL638">
            <v>40086</v>
          </cell>
          <cell r="DM638">
            <v>339</v>
          </cell>
          <cell r="DO638" t="str">
            <v>тарифи на виробництво, транспортування, постачання теплової енергії та надання послуг з централізованого опалення</v>
          </cell>
        </row>
        <row r="639">
          <cell r="AF639">
            <v>39861</v>
          </cell>
          <cell r="AG639">
            <v>10</v>
          </cell>
          <cell r="AM639">
            <v>1743.3779999999999</v>
          </cell>
          <cell r="AO639">
            <v>227929.23972000001</v>
          </cell>
          <cell r="AQ639">
            <v>225025.97</v>
          </cell>
          <cell r="AU639">
            <v>0</v>
          </cell>
          <cell r="AW639">
            <v>0</v>
          </cell>
          <cell r="AY639">
            <v>170808.19</v>
          </cell>
          <cell r="AZ639">
            <v>97.975418985440911</v>
          </cell>
          <cell r="BA639">
            <v>0</v>
          </cell>
          <cell r="BB639">
            <v>0</v>
          </cell>
          <cell r="BG639">
            <v>0</v>
          </cell>
          <cell r="BH639">
            <v>0</v>
          </cell>
          <cell r="BI639">
            <v>54217.78</v>
          </cell>
          <cell r="BJ639">
            <v>31.099268202306099</v>
          </cell>
          <cell r="BK639">
            <v>0</v>
          </cell>
          <cell r="BL639">
            <v>0</v>
          </cell>
          <cell r="BO639">
            <v>0</v>
          </cell>
          <cell r="BP639">
            <v>0</v>
          </cell>
          <cell r="CF639">
            <v>234.84599626024308</v>
          </cell>
          <cell r="CG639">
            <v>727.32</v>
          </cell>
          <cell r="CJ639">
            <v>0</v>
          </cell>
          <cell r="CK639">
            <v>0</v>
          </cell>
          <cell r="CL639">
            <v>0</v>
          </cell>
          <cell r="CM639">
            <v>0</v>
          </cell>
          <cell r="CN639">
            <v>0</v>
          </cell>
          <cell r="CO639">
            <v>0</v>
          </cell>
          <cell r="CX639">
            <v>0</v>
          </cell>
          <cell r="CY639">
            <v>0</v>
          </cell>
          <cell r="DJ639" t="str">
            <v>МОС</v>
          </cell>
          <cell r="DL639">
            <v>40563</v>
          </cell>
          <cell r="DM639">
            <v>8</v>
          </cell>
          <cell r="DO639" t="str">
            <v>тарифи на послуги з централізованого опалення</v>
          </cell>
        </row>
        <row r="640">
          <cell r="AF640">
            <v>39861</v>
          </cell>
          <cell r="AG640">
            <v>11</v>
          </cell>
          <cell r="AO640">
            <v>236994.672096075</v>
          </cell>
          <cell r="AQ640">
            <v>230240.36</v>
          </cell>
          <cell r="AY640">
            <v>19996.939999999999</v>
          </cell>
          <cell r="AZ640">
            <v>2068.8507141317091</v>
          </cell>
          <cell r="BC640">
            <v>0</v>
          </cell>
          <cell r="BD640">
            <v>0</v>
          </cell>
          <cell r="BG640">
            <v>0</v>
          </cell>
          <cell r="BH640">
            <v>0</v>
          </cell>
          <cell r="BI640">
            <v>5343.24</v>
          </cell>
          <cell r="BJ640">
            <v>552.8028733284749</v>
          </cell>
          <cell r="BK640">
            <v>0</v>
          </cell>
          <cell r="BL640">
            <v>0</v>
          </cell>
          <cell r="BM640">
            <v>181153.01</v>
          </cell>
          <cell r="BN640">
            <v>18741.794199792999</v>
          </cell>
          <cell r="BO640">
            <v>0</v>
          </cell>
          <cell r="BP640">
            <v>0</v>
          </cell>
          <cell r="BY640">
            <v>1605</v>
          </cell>
          <cell r="CF640">
            <v>27.494005389649669</v>
          </cell>
          <cell r="CG640">
            <v>727.32</v>
          </cell>
          <cell r="CX640">
            <v>0</v>
          </cell>
          <cell r="CY640">
            <v>0</v>
          </cell>
          <cell r="DB640">
            <v>0</v>
          </cell>
          <cell r="DC640">
            <v>0</v>
          </cell>
          <cell r="DJ640" t="str">
            <v>МОС</v>
          </cell>
          <cell r="DL640">
            <v>40563</v>
          </cell>
          <cell r="DM640">
            <v>8</v>
          </cell>
          <cell r="DO640" t="str">
            <v>тарифи на послуги з централізованого опалення</v>
          </cell>
        </row>
        <row r="641">
          <cell r="AF641">
            <v>39861</v>
          </cell>
          <cell r="AG641" t="str">
            <v>№ 22</v>
          </cell>
          <cell r="AM641">
            <v>192.27010000000001</v>
          </cell>
          <cell r="AO641">
            <v>20951.672797000003</v>
          </cell>
          <cell r="AQ641">
            <v>20363.96</v>
          </cell>
          <cell r="AU641">
            <v>0</v>
          </cell>
          <cell r="AW641">
            <v>0</v>
          </cell>
          <cell r="AY641">
            <v>18038.259999999998</v>
          </cell>
          <cell r="AZ641">
            <v>93.817291404123665</v>
          </cell>
          <cell r="BA641">
            <v>0</v>
          </cell>
          <cell r="BB641">
            <v>0</v>
          </cell>
          <cell r="BG641">
            <v>0</v>
          </cell>
          <cell r="BH641">
            <v>0</v>
          </cell>
          <cell r="BI641">
            <v>2325.6999999999998</v>
          </cell>
          <cell r="BJ641">
            <v>12.096004526964929</v>
          </cell>
          <cell r="BK641">
            <v>0</v>
          </cell>
          <cell r="BL641">
            <v>0</v>
          </cell>
          <cell r="BO641">
            <v>0</v>
          </cell>
          <cell r="BP641">
            <v>0</v>
          </cell>
          <cell r="CF641">
            <v>24.800995435296702</v>
          </cell>
          <cell r="CG641">
            <v>727.32</v>
          </cell>
          <cell r="CJ641">
            <v>0</v>
          </cell>
          <cell r="CK641">
            <v>0</v>
          </cell>
          <cell r="CL641">
            <v>0</v>
          </cell>
          <cell r="CM641">
            <v>0</v>
          </cell>
          <cell r="CN641">
            <v>0</v>
          </cell>
          <cell r="CO641">
            <v>0</v>
          </cell>
          <cell r="CX641">
            <v>0</v>
          </cell>
          <cell r="CY641">
            <v>0</v>
          </cell>
          <cell r="DJ641" t="str">
            <v>МОС</v>
          </cell>
          <cell r="DL641">
            <v>40563</v>
          </cell>
          <cell r="DM641">
            <v>11</v>
          </cell>
          <cell r="DO641" t="str">
            <v>тарифи на послуги з централізованого опалення</v>
          </cell>
        </row>
        <row r="642">
          <cell r="AF642">
            <v>39861</v>
          </cell>
          <cell r="AG642" t="str">
            <v>№ 22</v>
          </cell>
          <cell r="AM642">
            <v>1823.6459</v>
          </cell>
          <cell r="AO642">
            <v>562722.41536300001</v>
          </cell>
          <cell r="AQ642">
            <v>525995.32999999996</v>
          </cell>
          <cell r="AU642">
            <v>0</v>
          </cell>
          <cell r="AW642">
            <v>0</v>
          </cell>
          <cell r="AY642">
            <v>503936.46</v>
          </cell>
          <cell r="AZ642">
            <v>276.33459982554729</v>
          </cell>
          <cell r="BA642">
            <v>0</v>
          </cell>
          <cell r="BB642">
            <v>0</v>
          </cell>
          <cell r="BG642">
            <v>0</v>
          </cell>
          <cell r="BH642">
            <v>0</v>
          </cell>
          <cell r="BI642">
            <v>22058.87</v>
          </cell>
          <cell r="BJ642">
            <v>12.096026975412277</v>
          </cell>
          <cell r="BK642">
            <v>0</v>
          </cell>
          <cell r="BL642">
            <v>0</v>
          </cell>
          <cell r="BO642">
            <v>0</v>
          </cell>
          <cell r="BP642">
            <v>0</v>
          </cell>
          <cell r="CF642">
            <v>235.23699848290349</v>
          </cell>
          <cell r="CG642">
            <v>2142.25</v>
          </cell>
          <cell r="CJ642">
            <v>0</v>
          </cell>
          <cell r="CK642">
            <v>0</v>
          </cell>
          <cell r="CL642">
            <v>0</v>
          </cell>
          <cell r="CM642">
            <v>0</v>
          </cell>
          <cell r="CN642">
            <v>0</v>
          </cell>
          <cell r="CO642">
            <v>0</v>
          </cell>
          <cell r="CX642">
            <v>0</v>
          </cell>
          <cell r="CY642">
            <v>0</v>
          </cell>
          <cell r="DJ642" t="str">
            <v>НКРКП</v>
          </cell>
          <cell r="DL642">
            <v>40816</v>
          </cell>
          <cell r="DM642">
            <v>161</v>
          </cell>
        </row>
        <row r="643">
          <cell r="AF643">
            <v>39861</v>
          </cell>
          <cell r="AG643">
            <v>22</v>
          </cell>
          <cell r="AO643">
            <v>26718.398942637599</v>
          </cell>
          <cell r="AQ643">
            <v>25346.02</v>
          </cell>
          <cell r="AY643">
            <v>2694.72</v>
          </cell>
          <cell r="AZ643">
            <v>2525.9274257047086</v>
          </cell>
          <cell r="BC643">
            <v>0</v>
          </cell>
          <cell r="BD643">
            <v>0</v>
          </cell>
          <cell r="BG643">
            <v>0</v>
          </cell>
          <cell r="BH643">
            <v>0</v>
          </cell>
          <cell r="BI643">
            <v>296.63</v>
          </cell>
          <cell r="BJ643">
            <v>278.04961268212941</v>
          </cell>
          <cell r="BK643">
            <v>0</v>
          </cell>
          <cell r="BL643">
            <v>0</v>
          </cell>
          <cell r="BM643">
            <v>18188.830000000002</v>
          </cell>
          <cell r="BN643">
            <v>17049.513321785042</v>
          </cell>
          <cell r="BO643">
            <v>0</v>
          </cell>
          <cell r="BP643">
            <v>0</v>
          </cell>
          <cell r="BY643">
            <v>1605</v>
          </cell>
          <cell r="CF643">
            <v>3.7049991750536209</v>
          </cell>
          <cell r="CG643">
            <v>727.32</v>
          </cell>
          <cell r="CX643">
            <v>0</v>
          </cell>
          <cell r="CY643">
            <v>0</v>
          </cell>
          <cell r="DB643">
            <v>0</v>
          </cell>
          <cell r="DC643">
            <v>0</v>
          </cell>
          <cell r="DJ643" t="str">
            <v>МОС</v>
          </cell>
          <cell r="DL643">
            <v>40563</v>
          </cell>
          <cell r="DM643">
            <v>11</v>
          </cell>
          <cell r="DO643" t="str">
            <v>тарифи на послуги з централізованого опалення</v>
          </cell>
        </row>
        <row r="644">
          <cell r="AF644">
            <v>39861</v>
          </cell>
          <cell r="AG644">
            <v>22</v>
          </cell>
          <cell r="AO644">
            <v>375816.40322381997</v>
          </cell>
          <cell r="AQ644">
            <v>290128.375</v>
          </cell>
          <cell r="AY644">
            <v>75285.09</v>
          </cell>
          <cell r="AZ644">
            <v>7440.5115579069461</v>
          </cell>
          <cell r="BC644">
            <v>0</v>
          </cell>
          <cell r="BD644">
            <v>0</v>
          </cell>
          <cell r="BG644">
            <v>0</v>
          </cell>
          <cell r="BH644">
            <v>0</v>
          </cell>
          <cell r="BI644">
            <v>2813.45</v>
          </cell>
          <cell r="BJ644">
            <v>278.05648160337324</v>
          </cell>
          <cell r="BK644">
            <v>0</v>
          </cell>
          <cell r="BL644">
            <v>0</v>
          </cell>
          <cell r="BM644">
            <v>175027.27</v>
          </cell>
          <cell r="BN644">
            <v>17298.145295222461</v>
          </cell>
          <cell r="BO644">
            <v>0</v>
          </cell>
          <cell r="BP644">
            <v>0</v>
          </cell>
          <cell r="BY644">
            <v>1605</v>
          </cell>
          <cell r="CF644">
            <v>35.142999183101878</v>
          </cell>
          <cell r="CG644">
            <v>2142.25</v>
          </cell>
          <cell r="CX644">
            <v>0</v>
          </cell>
          <cell r="CY644">
            <v>0</v>
          </cell>
          <cell r="DB644">
            <v>0</v>
          </cell>
          <cell r="DC644">
            <v>0</v>
          </cell>
          <cell r="DJ644" t="str">
            <v>МОС</v>
          </cell>
          <cell r="DL644">
            <v>40073</v>
          </cell>
          <cell r="DM644">
            <v>123</v>
          </cell>
          <cell r="DO644" t="str">
            <v>тарифи на виробництво, транспортування, постачання теплової енергії</v>
          </cell>
        </row>
        <row r="645">
          <cell r="W645">
            <v>194.97</v>
          </cell>
          <cell r="AF645">
            <v>40093</v>
          </cell>
          <cell r="AG645">
            <v>432</v>
          </cell>
          <cell r="AH645">
            <v>193.39824945295405</v>
          </cell>
          <cell r="AM645">
            <v>297050</v>
          </cell>
          <cell r="AO645">
            <v>57915838.5</v>
          </cell>
          <cell r="AQ645">
            <v>57448950</v>
          </cell>
          <cell r="AU645">
            <v>0</v>
          </cell>
          <cell r="AW645">
            <v>0</v>
          </cell>
          <cell r="AY645">
            <v>25787900</v>
          </cell>
          <cell r="AZ645">
            <v>86.813331089042251</v>
          </cell>
          <cell r="BA645">
            <v>3967000</v>
          </cell>
          <cell r="BB645">
            <v>13.354654098636594</v>
          </cell>
          <cell r="BC645">
            <v>0</v>
          </cell>
          <cell r="BD645">
            <v>0</v>
          </cell>
          <cell r="BG645">
            <v>1546900</v>
          </cell>
          <cell r="BH645">
            <v>5.2075408180441007</v>
          </cell>
          <cell r="BI645">
            <v>6548900</v>
          </cell>
          <cell r="BJ645">
            <v>22.04645682545026</v>
          </cell>
          <cell r="BK645">
            <v>0</v>
          </cell>
          <cell r="BL645">
            <v>0</v>
          </cell>
          <cell r="BM645">
            <v>12154300</v>
          </cell>
          <cell r="BN645">
            <v>40.916680693485944</v>
          </cell>
          <cell r="BO645">
            <v>0</v>
          </cell>
          <cell r="BP645">
            <v>0</v>
          </cell>
          <cell r="BY645">
            <v>1829.59</v>
          </cell>
          <cell r="CF645">
            <v>35456.057856239342</v>
          </cell>
          <cell r="CG645">
            <v>727.32</v>
          </cell>
          <cell r="CJ645">
            <v>0</v>
          </cell>
          <cell r="CK645">
            <v>0</v>
          </cell>
          <cell r="CL645">
            <v>0</v>
          </cell>
          <cell r="CM645">
            <v>0</v>
          </cell>
          <cell r="CN645">
            <v>0</v>
          </cell>
          <cell r="CO645">
            <v>0</v>
          </cell>
          <cell r="CX645">
            <v>0</v>
          </cell>
          <cell r="CY645">
            <v>0</v>
          </cell>
          <cell r="DB645">
            <v>0</v>
          </cell>
          <cell r="DC645">
            <v>0</v>
          </cell>
          <cell r="DJ645" t="str">
            <v>НКРЕ</v>
          </cell>
          <cell r="DL645">
            <v>40526</v>
          </cell>
          <cell r="DM645">
            <v>1794</v>
          </cell>
          <cell r="DO645" t="str">
            <v>тариф на теплову енергію</v>
          </cell>
          <cell r="DT645">
            <v>243.71</v>
          </cell>
        </row>
        <row r="646">
          <cell r="W646">
            <v>413.77</v>
          </cell>
          <cell r="AF646">
            <v>40093</v>
          </cell>
          <cell r="AG646">
            <v>433</v>
          </cell>
          <cell r="AH646">
            <v>359.79936811666636</v>
          </cell>
          <cell r="AM646">
            <v>56023</v>
          </cell>
          <cell r="AO646">
            <v>23180636.709999997</v>
          </cell>
          <cell r="AQ646">
            <v>20157040</v>
          </cell>
          <cell r="AU646">
            <v>0</v>
          </cell>
          <cell r="AW646">
            <v>0</v>
          </cell>
          <cell r="AY646">
            <v>14217425</v>
          </cell>
          <cell r="AZ646">
            <v>253.77835888831373</v>
          </cell>
          <cell r="BA646">
            <v>807242.8</v>
          </cell>
          <cell r="BB646">
            <v>14.409131963657785</v>
          </cell>
          <cell r="BC646">
            <v>0</v>
          </cell>
          <cell r="BD646">
            <v>0</v>
          </cell>
          <cell r="BG646">
            <v>291758.11</v>
          </cell>
          <cell r="BH646">
            <v>5.2078273209217638</v>
          </cell>
          <cell r="BI646">
            <v>1235063.99</v>
          </cell>
          <cell r="BJ646">
            <v>22.045659639790799</v>
          </cell>
          <cell r="BK646">
            <v>0</v>
          </cell>
          <cell r="BL646">
            <v>0</v>
          </cell>
          <cell r="BM646">
            <v>2292176.91</v>
          </cell>
          <cell r="BN646">
            <v>40.914926191028684</v>
          </cell>
          <cell r="BO646">
            <v>0</v>
          </cell>
          <cell r="BP646">
            <v>0</v>
          </cell>
          <cell r="BY646">
            <v>1829.59</v>
          </cell>
          <cell r="CF646">
            <v>8887.8055117148178</v>
          </cell>
          <cell r="CG646">
            <v>2182.66</v>
          </cell>
          <cell r="CJ646">
            <v>0</v>
          </cell>
          <cell r="CK646">
            <v>0</v>
          </cell>
          <cell r="CL646">
            <v>0</v>
          </cell>
          <cell r="CM646">
            <v>0</v>
          </cell>
          <cell r="CN646">
            <v>0</v>
          </cell>
          <cell r="CO646">
            <v>0</v>
          </cell>
          <cell r="CX646">
            <v>0</v>
          </cell>
          <cell r="CY646">
            <v>0</v>
          </cell>
          <cell r="DB646">
            <v>0</v>
          </cell>
          <cell r="DC646">
            <v>0</v>
          </cell>
          <cell r="DJ646" t="str">
            <v>НКРКП</v>
          </cell>
          <cell r="DL646">
            <v>40816</v>
          </cell>
          <cell r="DM646">
            <v>60</v>
          </cell>
          <cell r="DT646">
            <v>596.23</v>
          </cell>
        </row>
        <row r="647">
          <cell r="W647">
            <v>463.41</v>
          </cell>
          <cell r="AF647">
            <v>40093</v>
          </cell>
          <cell r="AG647">
            <v>434</v>
          </cell>
          <cell r="AH647">
            <v>308.93702700826219</v>
          </cell>
          <cell r="AM647">
            <v>14403</v>
          </cell>
          <cell r="AO647">
            <v>6674494.2300000004</v>
          </cell>
          <cell r="AQ647">
            <v>4449620</v>
          </cell>
          <cell r="AU647">
            <v>0</v>
          </cell>
          <cell r="AW647">
            <v>0</v>
          </cell>
          <cell r="AY647">
            <v>2794845.92882</v>
          </cell>
          <cell r="AZ647">
            <v>194.0460965646046</v>
          </cell>
          <cell r="BA647">
            <v>333076.8</v>
          </cell>
          <cell r="BB647">
            <v>23.125515517600498</v>
          </cell>
          <cell r="BC647">
            <v>0</v>
          </cell>
          <cell r="BD647">
            <v>0</v>
          </cell>
          <cell r="BG647">
            <v>75000</v>
          </cell>
          <cell r="BH647">
            <v>5.2072484898979381</v>
          </cell>
          <cell r="BI647">
            <v>317500</v>
          </cell>
          <cell r="BJ647">
            <v>22.044018607234605</v>
          </cell>
          <cell r="BK647">
            <v>0</v>
          </cell>
          <cell r="BL647">
            <v>0</v>
          </cell>
          <cell r="BM647">
            <v>589200</v>
          </cell>
          <cell r="BN647">
            <v>40.908144136638199</v>
          </cell>
          <cell r="BO647">
            <v>0</v>
          </cell>
          <cell r="BP647">
            <v>0</v>
          </cell>
          <cell r="BY647">
            <v>1828.59</v>
          </cell>
          <cell r="CF647">
            <v>2260.0137367119901</v>
          </cell>
          <cell r="CG647">
            <v>2182.66</v>
          </cell>
          <cell r="CJ647">
            <v>0</v>
          </cell>
          <cell r="CK647">
            <v>0</v>
          </cell>
          <cell r="CL647">
            <v>0</v>
          </cell>
          <cell r="CM647">
            <v>0</v>
          </cell>
          <cell r="CN647">
            <v>0</v>
          </cell>
          <cell r="CO647">
            <v>0</v>
          </cell>
          <cell r="CX647">
            <v>0</v>
          </cell>
          <cell r="CY647">
            <v>0</v>
          </cell>
          <cell r="DB647">
            <v>0</v>
          </cell>
          <cell r="DC647">
            <v>0</v>
          </cell>
          <cell r="DJ647" t="str">
            <v>НКРКП</v>
          </cell>
          <cell r="DL647">
            <v>40816</v>
          </cell>
          <cell r="DM647">
            <v>60</v>
          </cell>
          <cell r="DT647">
            <v>602.91999999999996</v>
          </cell>
        </row>
        <row r="648">
          <cell r="W648">
            <v>184.16</v>
          </cell>
          <cell r="AF648">
            <v>39645</v>
          </cell>
          <cell r="AG648">
            <v>755</v>
          </cell>
          <cell r="AH648">
            <v>175.38512616201859</v>
          </cell>
          <cell r="AM648">
            <v>75300</v>
          </cell>
          <cell r="AO648">
            <v>13867248</v>
          </cell>
          <cell r="AQ648">
            <v>13206500</v>
          </cell>
          <cell r="AU648">
            <v>0</v>
          </cell>
          <cell r="AW648">
            <v>0</v>
          </cell>
          <cell r="AY648">
            <v>7940879.7600000007</v>
          </cell>
          <cell r="AZ648">
            <v>105.4565705179283</v>
          </cell>
          <cell r="BA648">
            <v>0</v>
          </cell>
          <cell r="BB648">
            <v>0</v>
          </cell>
          <cell r="BC648">
            <v>0</v>
          </cell>
          <cell r="BD648">
            <v>0</v>
          </cell>
          <cell r="BG648">
            <v>220954</v>
          </cell>
          <cell r="BH648">
            <v>2.9343160690571048</v>
          </cell>
          <cell r="BI648">
            <v>137667</v>
          </cell>
          <cell r="BJ648">
            <v>1.8282470119521912</v>
          </cell>
          <cell r="BK648">
            <v>0</v>
          </cell>
          <cell r="BL648">
            <v>0</v>
          </cell>
          <cell r="BM648">
            <v>2355833</v>
          </cell>
          <cell r="BN648">
            <v>31.285962815405046</v>
          </cell>
          <cell r="BO648">
            <v>0</v>
          </cell>
          <cell r="BP648">
            <v>0</v>
          </cell>
          <cell r="BY648">
            <v>3435.9</v>
          </cell>
          <cell r="CF648">
            <v>10918</v>
          </cell>
          <cell r="CG648">
            <v>727.32</v>
          </cell>
          <cell r="CJ648">
            <v>0</v>
          </cell>
          <cell r="CK648">
            <v>0</v>
          </cell>
          <cell r="CL648">
            <v>0</v>
          </cell>
          <cell r="CM648">
            <v>0</v>
          </cell>
          <cell r="CN648">
            <v>0</v>
          </cell>
          <cell r="CO648">
            <v>0</v>
          </cell>
          <cell r="CX648">
            <v>0</v>
          </cell>
          <cell r="CY648">
            <v>0</v>
          </cell>
          <cell r="DB648">
            <v>0</v>
          </cell>
          <cell r="DC648">
            <v>0</v>
          </cell>
          <cell r="DJ648" t="str">
            <v>НКРЕ</v>
          </cell>
          <cell r="DL648">
            <v>40526</v>
          </cell>
          <cell r="DM648">
            <v>1755</v>
          </cell>
          <cell r="DO648" t="str">
            <v>тариф на теплову енергію</v>
          </cell>
          <cell r="DT648">
            <v>230.2</v>
          </cell>
        </row>
        <row r="649">
          <cell r="W649">
            <v>431.57</v>
          </cell>
          <cell r="AF649">
            <v>39862</v>
          </cell>
          <cell r="AG649">
            <v>1362</v>
          </cell>
          <cell r="AH649">
            <v>385.33333333333331</v>
          </cell>
          <cell r="AM649">
            <v>4200</v>
          </cell>
          <cell r="AO649">
            <v>1812594</v>
          </cell>
          <cell r="AQ649">
            <v>1618400</v>
          </cell>
          <cell r="AU649">
            <v>0</v>
          </cell>
          <cell r="AW649">
            <v>0</v>
          </cell>
          <cell r="AY649">
            <v>1301631.1000000001</v>
          </cell>
          <cell r="AZ649">
            <v>309.91216666666668</v>
          </cell>
          <cell r="BA649">
            <v>0</v>
          </cell>
          <cell r="BB649">
            <v>0</v>
          </cell>
          <cell r="BC649">
            <v>0</v>
          </cell>
          <cell r="BD649">
            <v>0</v>
          </cell>
          <cell r="BG649">
            <v>17305</v>
          </cell>
          <cell r="BH649">
            <v>4.1202380952380953</v>
          </cell>
          <cell r="BI649">
            <v>10499</v>
          </cell>
          <cell r="BJ649">
            <v>2.4997619047619049</v>
          </cell>
          <cell r="BK649">
            <v>0</v>
          </cell>
          <cell r="BL649">
            <v>0</v>
          </cell>
          <cell r="BM649">
            <v>131401</v>
          </cell>
          <cell r="BN649">
            <v>31.285952380952381</v>
          </cell>
          <cell r="BO649">
            <v>0</v>
          </cell>
          <cell r="BP649">
            <v>0</v>
          </cell>
          <cell r="BY649">
            <v>3435.9</v>
          </cell>
          <cell r="CF649">
            <v>607.6</v>
          </cell>
          <cell r="CG649">
            <v>2142.25</v>
          </cell>
          <cell r="CJ649">
            <v>0</v>
          </cell>
          <cell r="CK649">
            <v>0</v>
          </cell>
          <cell r="CL649">
            <v>0</v>
          </cell>
          <cell r="CM649">
            <v>0</v>
          </cell>
          <cell r="CN649">
            <v>0</v>
          </cell>
          <cell r="CO649">
            <v>0</v>
          </cell>
          <cell r="CX649">
            <v>0</v>
          </cell>
          <cell r="CY649">
            <v>0</v>
          </cell>
          <cell r="DB649">
            <v>0</v>
          </cell>
          <cell r="DC649">
            <v>0</v>
          </cell>
          <cell r="DJ649" t="str">
            <v>НКРКП</v>
          </cell>
          <cell r="DL649">
            <v>40816</v>
          </cell>
          <cell r="DM649">
            <v>94</v>
          </cell>
          <cell r="DT649">
            <v>652.52</v>
          </cell>
        </row>
        <row r="650">
          <cell r="W650">
            <v>436.06</v>
          </cell>
          <cell r="AF650">
            <v>39862</v>
          </cell>
          <cell r="AG650">
            <v>1363</v>
          </cell>
          <cell r="AH650">
            <v>389.33718244803697</v>
          </cell>
          <cell r="AM650">
            <v>173200</v>
          </cell>
          <cell r="AO650">
            <v>75525592</v>
          </cell>
          <cell r="AQ650">
            <v>67433200</v>
          </cell>
          <cell r="AU650">
            <v>0</v>
          </cell>
          <cell r="AW650">
            <v>4168988</v>
          </cell>
          <cell r="AY650">
            <v>49893645.174999997</v>
          </cell>
          <cell r="AZ650">
            <v>288.06954489030022</v>
          </cell>
          <cell r="BA650">
            <v>0</v>
          </cell>
          <cell r="BB650">
            <v>0</v>
          </cell>
          <cell r="BC650">
            <v>0</v>
          </cell>
          <cell r="BD650">
            <v>0</v>
          </cell>
          <cell r="BG650">
            <v>713629</v>
          </cell>
          <cell r="BH650">
            <v>4.1202598152424939</v>
          </cell>
          <cell r="BI650">
            <v>432917</v>
          </cell>
          <cell r="BJ650">
            <v>2.4995207852193997</v>
          </cell>
          <cell r="BK650">
            <v>0</v>
          </cell>
          <cell r="BL650">
            <v>0</v>
          </cell>
          <cell r="BM650">
            <v>5418729</v>
          </cell>
          <cell r="BN650">
            <v>31.285964203233256</v>
          </cell>
          <cell r="BO650">
            <v>0</v>
          </cell>
          <cell r="BP650">
            <v>0</v>
          </cell>
          <cell r="BY650">
            <v>3435.9</v>
          </cell>
          <cell r="CF650">
            <v>23290.3</v>
          </cell>
          <cell r="CG650">
            <v>2142.25</v>
          </cell>
          <cell r="CJ650">
            <v>0</v>
          </cell>
          <cell r="CK650">
            <v>0</v>
          </cell>
          <cell r="CL650">
            <v>0</v>
          </cell>
          <cell r="CM650">
            <v>13360</v>
          </cell>
          <cell r="CN650">
            <v>312.05</v>
          </cell>
          <cell r="CO650">
            <v>587.72</v>
          </cell>
          <cell r="CX650">
            <v>0</v>
          </cell>
          <cell r="CY650">
            <v>0</v>
          </cell>
          <cell r="DB650">
            <v>0</v>
          </cell>
          <cell r="DC650">
            <v>0</v>
          </cell>
          <cell r="DJ650" t="str">
            <v>НКРКП</v>
          </cell>
          <cell r="DL650">
            <v>40816</v>
          </cell>
          <cell r="DM650">
            <v>94</v>
          </cell>
          <cell r="DT650">
            <v>652.52</v>
          </cell>
        </row>
        <row r="651">
          <cell r="W651">
            <v>487.5</v>
          </cell>
          <cell r="AF651">
            <v>39857</v>
          </cell>
          <cell r="AG651">
            <v>1346</v>
          </cell>
          <cell r="AH651">
            <v>446.41117915642565</v>
          </cell>
          <cell r="AM651">
            <v>33167.440000000002</v>
          </cell>
          <cell r="AO651">
            <v>16169127.000000002</v>
          </cell>
          <cell r="AQ651">
            <v>14806316</v>
          </cell>
          <cell r="AU651">
            <v>0</v>
          </cell>
          <cell r="AW651">
            <v>0</v>
          </cell>
          <cell r="AY651">
            <v>10302787.192499999</v>
          </cell>
          <cell r="AZ651">
            <v>310.62955695404884</v>
          </cell>
          <cell r="BA651">
            <v>0</v>
          </cell>
          <cell r="BB651">
            <v>0</v>
          </cell>
          <cell r="BC651">
            <v>0</v>
          </cell>
          <cell r="BD651">
            <v>0</v>
          </cell>
          <cell r="BG651">
            <v>0</v>
          </cell>
          <cell r="BH651">
            <v>0</v>
          </cell>
          <cell r="BI651">
            <v>480657</v>
          </cell>
          <cell r="BJ651">
            <v>14.491832954246695</v>
          </cell>
          <cell r="BK651">
            <v>0</v>
          </cell>
          <cell r="BL651">
            <v>0</v>
          </cell>
          <cell r="BM651">
            <v>1119300</v>
          </cell>
          <cell r="BN651">
            <v>33.74695182986688</v>
          </cell>
          <cell r="BO651">
            <v>0</v>
          </cell>
          <cell r="BP651">
            <v>0</v>
          </cell>
          <cell r="BY651">
            <v>995.92</v>
          </cell>
          <cell r="CF651">
            <v>4809.33</v>
          </cell>
          <cell r="CG651">
            <v>2142.25</v>
          </cell>
          <cell r="CJ651">
            <v>0</v>
          </cell>
          <cell r="CK651">
            <v>0</v>
          </cell>
          <cell r="CL651">
            <v>0</v>
          </cell>
          <cell r="CM651">
            <v>0</v>
          </cell>
          <cell r="CN651">
            <v>0</v>
          </cell>
          <cell r="CO651">
            <v>0</v>
          </cell>
          <cell r="CX651">
            <v>0</v>
          </cell>
          <cell r="CY651">
            <v>0</v>
          </cell>
          <cell r="DB651">
            <v>0</v>
          </cell>
          <cell r="DC651">
            <v>0</v>
          </cell>
          <cell r="DJ651" t="str">
            <v>НКРКП</v>
          </cell>
          <cell r="DL651">
            <v>40816</v>
          </cell>
          <cell r="DM651">
            <v>96</v>
          </cell>
          <cell r="DT651">
            <v>720.91</v>
          </cell>
        </row>
        <row r="652">
          <cell r="W652">
            <v>488.66</v>
          </cell>
          <cell r="AF652">
            <v>39857</v>
          </cell>
          <cell r="AG652">
            <v>1347</v>
          </cell>
          <cell r="AH652">
            <v>432.82665937147351</v>
          </cell>
          <cell r="AM652">
            <v>1754.58</v>
          </cell>
          <cell r="AO652">
            <v>857393.06279999996</v>
          </cell>
          <cell r="AQ652">
            <v>759429</v>
          </cell>
          <cell r="AU652">
            <v>0</v>
          </cell>
          <cell r="AW652">
            <v>0</v>
          </cell>
          <cell r="AY652">
            <v>589118.75</v>
          </cell>
          <cell r="AZ652">
            <v>335.76055238290644</v>
          </cell>
          <cell r="BA652">
            <v>0</v>
          </cell>
          <cell r="BB652">
            <v>0</v>
          </cell>
          <cell r="BC652">
            <v>0</v>
          </cell>
          <cell r="BD652">
            <v>0</v>
          </cell>
          <cell r="BG652">
            <v>0</v>
          </cell>
          <cell r="BH652">
            <v>0</v>
          </cell>
          <cell r="BI652">
            <v>19634</v>
          </cell>
          <cell r="BJ652">
            <v>11.190142370253851</v>
          </cell>
          <cell r="BK652">
            <v>0</v>
          </cell>
          <cell r="BL652">
            <v>0</v>
          </cell>
          <cell r="BM652">
            <v>59212</v>
          </cell>
          <cell r="BN652">
            <v>33.747107569902774</v>
          </cell>
          <cell r="BO652">
            <v>0</v>
          </cell>
          <cell r="BP652">
            <v>0</v>
          </cell>
          <cell r="BY652">
            <v>995.92</v>
          </cell>
          <cell r="CF652">
            <v>275</v>
          </cell>
          <cell r="CG652">
            <v>2142.25</v>
          </cell>
          <cell r="CJ652">
            <v>0</v>
          </cell>
          <cell r="CK652">
            <v>0</v>
          </cell>
          <cell r="CL652">
            <v>0</v>
          </cell>
          <cell r="CM652">
            <v>0</v>
          </cell>
          <cell r="CN652">
            <v>0</v>
          </cell>
          <cell r="CO652">
            <v>0</v>
          </cell>
          <cell r="CX652">
            <v>0</v>
          </cell>
          <cell r="CY652">
            <v>0</v>
          </cell>
          <cell r="DB652">
            <v>0</v>
          </cell>
          <cell r="DC652">
            <v>0</v>
          </cell>
          <cell r="DJ652" t="str">
            <v>НКРКП</v>
          </cell>
          <cell r="DL652">
            <v>40816</v>
          </cell>
          <cell r="DM652">
            <v>96</v>
          </cell>
          <cell r="DT652">
            <v>741.37</v>
          </cell>
        </row>
        <row r="653">
          <cell r="W653">
            <v>496.51</v>
          </cell>
          <cell r="AF653">
            <v>39694</v>
          </cell>
          <cell r="AG653">
            <v>909</v>
          </cell>
          <cell r="AH653">
            <v>451.37741935483871</v>
          </cell>
          <cell r="AM653">
            <v>620</v>
          </cell>
          <cell r="AO653">
            <v>307836.2</v>
          </cell>
          <cell r="AQ653">
            <v>279854</v>
          </cell>
          <cell r="AU653">
            <v>0</v>
          </cell>
          <cell r="AW653">
            <v>0</v>
          </cell>
          <cell r="AY653">
            <v>85823.760000000009</v>
          </cell>
          <cell r="AZ653">
            <v>138.42541935483874</v>
          </cell>
          <cell r="BA653">
            <v>0</v>
          </cell>
          <cell r="BB653">
            <v>0</v>
          </cell>
          <cell r="BC653">
            <v>0</v>
          </cell>
          <cell r="BD653">
            <v>0</v>
          </cell>
          <cell r="BG653">
            <v>0</v>
          </cell>
          <cell r="BH653">
            <v>0</v>
          </cell>
          <cell r="BI653">
            <v>23371</v>
          </cell>
          <cell r="BJ653">
            <v>37.695161290322581</v>
          </cell>
          <cell r="BK653">
            <v>0</v>
          </cell>
          <cell r="BL653">
            <v>0</v>
          </cell>
          <cell r="BM653">
            <v>49283</v>
          </cell>
          <cell r="BN653">
            <v>79.488709677419351</v>
          </cell>
          <cell r="BO653">
            <v>0</v>
          </cell>
          <cell r="BP653">
            <v>0</v>
          </cell>
          <cell r="BY653">
            <v>688.52</v>
          </cell>
          <cell r="CF653">
            <v>118</v>
          </cell>
          <cell r="CG653">
            <v>727.32</v>
          </cell>
          <cell r="CJ653">
            <v>0</v>
          </cell>
          <cell r="CK653">
            <v>0</v>
          </cell>
          <cell r="CL653">
            <v>0</v>
          </cell>
          <cell r="CM653">
            <v>0</v>
          </cell>
          <cell r="CN653">
            <v>0</v>
          </cell>
          <cell r="CO653">
            <v>0</v>
          </cell>
          <cell r="CX653">
            <v>0</v>
          </cell>
          <cell r="CY653">
            <v>0</v>
          </cell>
          <cell r="DB653">
            <v>0</v>
          </cell>
          <cell r="DC653">
            <v>0</v>
          </cell>
          <cell r="DJ653" t="str">
            <v>НКРЕ</v>
          </cell>
          <cell r="DL653">
            <v>40526</v>
          </cell>
          <cell r="DM653">
            <v>1752</v>
          </cell>
          <cell r="DO653" t="str">
            <v>на теплову енергію</v>
          </cell>
          <cell r="DT653">
            <v>293.8</v>
          </cell>
        </row>
        <row r="654">
          <cell r="W654">
            <v>628.38</v>
          </cell>
          <cell r="AF654">
            <v>39867</v>
          </cell>
          <cell r="AG654">
            <v>1415</v>
          </cell>
          <cell r="AH654">
            <v>587.27389179167369</v>
          </cell>
          <cell r="AM654">
            <v>5933</v>
          </cell>
          <cell r="AO654">
            <v>3728178.54</v>
          </cell>
          <cell r="AQ654">
            <v>3484296</v>
          </cell>
          <cell r="AU654">
            <v>0</v>
          </cell>
          <cell r="AW654">
            <v>0</v>
          </cell>
          <cell r="AY654">
            <v>2302918.75</v>
          </cell>
          <cell r="AZ654">
            <v>388.15418001011295</v>
          </cell>
          <cell r="BA654">
            <v>0</v>
          </cell>
          <cell r="BB654">
            <v>0</v>
          </cell>
          <cell r="BC654">
            <v>0</v>
          </cell>
          <cell r="BD654">
            <v>0</v>
          </cell>
          <cell r="BG654">
            <v>0</v>
          </cell>
          <cell r="BH654">
            <v>0</v>
          </cell>
          <cell r="BI654">
            <v>220397</v>
          </cell>
          <cell r="BJ654">
            <v>37.147648744311475</v>
          </cell>
          <cell r="BK654">
            <v>0</v>
          </cell>
          <cell r="BL654">
            <v>0</v>
          </cell>
          <cell r="BM654">
            <v>471603</v>
          </cell>
          <cell r="BN654">
            <v>79.48811730996124</v>
          </cell>
          <cell r="BO654">
            <v>0</v>
          </cell>
          <cell r="BP654">
            <v>0</v>
          </cell>
          <cell r="BY654">
            <v>688.52</v>
          </cell>
          <cell r="CF654">
            <v>1075</v>
          </cell>
          <cell r="CG654">
            <v>2142.25</v>
          </cell>
          <cell r="CJ654">
            <v>0</v>
          </cell>
          <cell r="CK654">
            <v>0</v>
          </cell>
          <cell r="CL654">
            <v>0</v>
          </cell>
          <cell r="CM654">
            <v>0</v>
          </cell>
          <cell r="CN654">
            <v>0</v>
          </cell>
          <cell r="CO654">
            <v>0</v>
          </cell>
          <cell r="CX654">
            <v>0</v>
          </cell>
          <cell r="CY654">
            <v>0</v>
          </cell>
          <cell r="DB654">
            <v>0</v>
          </cell>
          <cell r="DC654">
            <v>0</v>
          </cell>
          <cell r="DJ654" t="str">
            <v>НКРКП</v>
          </cell>
          <cell r="DL654">
            <v>40816</v>
          </cell>
          <cell r="DM654">
            <v>96</v>
          </cell>
          <cell r="DT654">
            <v>920.03</v>
          </cell>
        </row>
        <row r="655">
          <cell r="W655">
            <v>724.83</v>
          </cell>
          <cell r="AF655">
            <v>39867</v>
          </cell>
          <cell r="AG655">
            <v>1416</v>
          </cell>
          <cell r="AH655">
            <v>604.02654867256638</v>
          </cell>
          <cell r="AM655">
            <v>565</v>
          </cell>
          <cell r="AO655">
            <v>409528.95</v>
          </cell>
          <cell r="AQ655">
            <v>341275</v>
          </cell>
          <cell r="AU655">
            <v>0</v>
          </cell>
          <cell r="AW655">
            <v>0</v>
          </cell>
          <cell r="AY655">
            <v>220651.75</v>
          </cell>
          <cell r="AZ655">
            <v>390.53407079646018</v>
          </cell>
          <cell r="BA655">
            <v>0</v>
          </cell>
          <cell r="BB655">
            <v>0</v>
          </cell>
          <cell r="BC655">
            <v>0</v>
          </cell>
          <cell r="BD655">
            <v>0</v>
          </cell>
          <cell r="BG655">
            <v>0</v>
          </cell>
          <cell r="BH655">
            <v>0</v>
          </cell>
          <cell r="BI655">
            <v>22008</v>
          </cell>
          <cell r="BJ655">
            <v>38.952212389380534</v>
          </cell>
          <cell r="BK655">
            <v>0</v>
          </cell>
          <cell r="BL655">
            <v>0</v>
          </cell>
          <cell r="BM655">
            <v>44911</v>
          </cell>
          <cell r="BN655">
            <v>79.488495575221236</v>
          </cell>
          <cell r="BO655">
            <v>0</v>
          </cell>
          <cell r="BP655">
            <v>0</v>
          </cell>
          <cell r="BY655">
            <v>688.52</v>
          </cell>
          <cell r="CF655">
            <v>103</v>
          </cell>
          <cell r="CG655">
            <v>2142.25</v>
          </cell>
          <cell r="CJ655">
            <v>0</v>
          </cell>
          <cell r="CK655">
            <v>0</v>
          </cell>
          <cell r="CL655">
            <v>0</v>
          </cell>
          <cell r="CM655">
            <v>0</v>
          </cell>
          <cell r="CN655">
            <v>0</v>
          </cell>
          <cell r="CO655">
            <v>0</v>
          </cell>
          <cell r="CX655">
            <v>0</v>
          </cell>
          <cell r="CY655">
            <v>0</v>
          </cell>
          <cell r="DB655">
            <v>0</v>
          </cell>
          <cell r="DC655">
            <v>0</v>
          </cell>
          <cell r="DJ655" t="str">
            <v>НКРКП</v>
          </cell>
          <cell r="DL655">
            <v>40816</v>
          </cell>
          <cell r="DM655">
            <v>96</v>
          </cell>
          <cell r="DT655">
            <v>999.9</v>
          </cell>
        </row>
        <row r="656">
          <cell r="W656">
            <v>267.08999999999997</v>
          </cell>
          <cell r="AF656">
            <v>39682</v>
          </cell>
          <cell r="AG656">
            <v>832</v>
          </cell>
          <cell r="AH656">
            <v>267.09269162210336</v>
          </cell>
          <cell r="AM656">
            <v>1683</v>
          </cell>
          <cell r="AO656">
            <v>449512.47</v>
          </cell>
          <cell r="AQ656">
            <v>449517</v>
          </cell>
          <cell r="AU656">
            <v>0</v>
          </cell>
          <cell r="AW656">
            <v>0</v>
          </cell>
          <cell r="AY656">
            <v>216741.36000000002</v>
          </cell>
          <cell r="AZ656">
            <v>128.78274509803921</v>
          </cell>
          <cell r="BA656">
            <v>0</v>
          </cell>
          <cell r="BB656">
            <v>0</v>
          </cell>
          <cell r="BC656">
            <v>0</v>
          </cell>
          <cell r="BD656">
            <v>0</v>
          </cell>
          <cell r="BG656">
            <v>0</v>
          </cell>
          <cell r="BH656">
            <v>0</v>
          </cell>
          <cell r="BI656">
            <v>37734</v>
          </cell>
          <cell r="BJ656">
            <v>22.420677361853834</v>
          </cell>
          <cell r="BK656">
            <v>0</v>
          </cell>
          <cell r="BL656">
            <v>0</v>
          </cell>
          <cell r="BM656">
            <v>95955</v>
          </cell>
          <cell r="BN656">
            <v>57.014260249554368</v>
          </cell>
          <cell r="BO656">
            <v>0</v>
          </cell>
          <cell r="BP656">
            <v>0</v>
          </cell>
          <cell r="BY656">
            <v>913.52</v>
          </cell>
          <cell r="CF656">
            <v>298</v>
          </cell>
          <cell r="CG656">
            <v>727.32</v>
          </cell>
          <cell r="CJ656">
            <v>0</v>
          </cell>
          <cell r="CK656">
            <v>0</v>
          </cell>
          <cell r="CL656">
            <v>0</v>
          </cell>
          <cell r="CM656">
            <v>0</v>
          </cell>
          <cell r="CN656">
            <v>0</v>
          </cell>
          <cell r="CO656">
            <v>0</v>
          </cell>
          <cell r="CX656">
            <v>0</v>
          </cell>
          <cell r="CY656">
            <v>0</v>
          </cell>
          <cell r="DB656">
            <v>0</v>
          </cell>
          <cell r="DC656">
            <v>0</v>
          </cell>
          <cell r="DJ656" t="str">
            <v>НКРЕ</v>
          </cell>
          <cell r="DL656">
            <v>40526</v>
          </cell>
          <cell r="DM656">
            <v>1752</v>
          </cell>
          <cell r="DO656" t="str">
            <v>Тариф на теплову енергію</v>
          </cell>
          <cell r="DT656">
            <v>293.8</v>
          </cell>
        </row>
        <row r="657">
          <cell r="W657">
            <v>573.77</v>
          </cell>
          <cell r="AF657">
            <v>39883</v>
          </cell>
          <cell r="AG657">
            <v>1518</v>
          </cell>
          <cell r="AH657">
            <v>521.60805084745766</v>
          </cell>
          <cell r="AM657">
            <v>3304</v>
          </cell>
          <cell r="AO657">
            <v>1895736.0799999998</v>
          </cell>
          <cell r="AQ657">
            <v>1723393</v>
          </cell>
          <cell r="AU657">
            <v>0</v>
          </cell>
          <cell r="AW657">
            <v>0</v>
          </cell>
          <cell r="AY657">
            <v>1251074</v>
          </cell>
          <cell r="AZ657">
            <v>378.65435835351087</v>
          </cell>
          <cell r="BA657">
            <v>0</v>
          </cell>
          <cell r="BB657">
            <v>0</v>
          </cell>
          <cell r="BC657">
            <v>0</v>
          </cell>
          <cell r="BD657">
            <v>0</v>
          </cell>
          <cell r="BG657">
            <v>0</v>
          </cell>
          <cell r="BH657">
            <v>0</v>
          </cell>
          <cell r="BI657">
            <v>90014</v>
          </cell>
          <cell r="BJ657">
            <v>27.243946731234868</v>
          </cell>
          <cell r="BK657">
            <v>0</v>
          </cell>
          <cell r="BL657">
            <v>0</v>
          </cell>
          <cell r="BM657">
            <v>188376</v>
          </cell>
          <cell r="BN657">
            <v>57.014527845036319</v>
          </cell>
          <cell r="BO657">
            <v>0</v>
          </cell>
          <cell r="BP657">
            <v>0</v>
          </cell>
          <cell r="BY657">
            <v>913.52</v>
          </cell>
          <cell r="CF657">
            <v>584</v>
          </cell>
          <cell r="CG657">
            <v>2142.25</v>
          </cell>
          <cell r="CJ657">
            <v>0</v>
          </cell>
          <cell r="CK657">
            <v>0</v>
          </cell>
          <cell r="CL657">
            <v>0</v>
          </cell>
          <cell r="CM657">
            <v>0</v>
          </cell>
          <cell r="CN657">
            <v>0</v>
          </cell>
          <cell r="CO657">
            <v>0</v>
          </cell>
          <cell r="CX657">
            <v>0</v>
          </cell>
          <cell r="CY657">
            <v>0</v>
          </cell>
          <cell r="DB657">
            <v>0</v>
          </cell>
          <cell r="DC657">
            <v>0</v>
          </cell>
          <cell r="DJ657" t="str">
            <v>НКРКП</v>
          </cell>
          <cell r="DL657">
            <v>40816</v>
          </cell>
          <cell r="DM657">
            <v>96</v>
          </cell>
          <cell r="DT657">
            <v>858.32</v>
          </cell>
        </row>
        <row r="658">
          <cell r="W658">
            <v>610.64</v>
          </cell>
          <cell r="AF658">
            <v>39883</v>
          </cell>
          <cell r="AG658">
            <v>1518</v>
          </cell>
          <cell r="AH658">
            <v>524.58379373848982</v>
          </cell>
          <cell r="AM658">
            <v>543</v>
          </cell>
          <cell r="AO658">
            <v>331577.52</v>
          </cell>
          <cell r="AQ658">
            <v>284849</v>
          </cell>
          <cell r="AU658">
            <v>0</v>
          </cell>
          <cell r="AW658">
            <v>0</v>
          </cell>
          <cell r="AY658">
            <v>207798.25</v>
          </cell>
          <cell r="AZ658">
            <v>382.68554327808471</v>
          </cell>
          <cell r="BA658">
            <v>0</v>
          </cell>
          <cell r="BB658">
            <v>0</v>
          </cell>
          <cell r="BC658">
            <v>0</v>
          </cell>
          <cell r="BD658">
            <v>0</v>
          </cell>
          <cell r="BG658">
            <v>0</v>
          </cell>
          <cell r="BH658">
            <v>0</v>
          </cell>
          <cell r="BI658">
            <v>14918</v>
          </cell>
          <cell r="BJ658">
            <v>27.47329650092081</v>
          </cell>
          <cell r="BK658">
            <v>0</v>
          </cell>
          <cell r="BL658">
            <v>0</v>
          </cell>
          <cell r="BM658">
            <v>30959</v>
          </cell>
          <cell r="BN658">
            <v>57.014732965009209</v>
          </cell>
          <cell r="BO658">
            <v>0</v>
          </cell>
          <cell r="BP658">
            <v>0</v>
          </cell>
          <cell r="BY658">
            <v>913.52</v>
          </cell>
          <cell r="CF658">
            <v>97</v>
          </cell>
          <cell r="CG658">
            <v>2142.25</v>
          </cell>
          <cell r="CJ658">
            <v>0</v>
          </cell>
          <cell r="CK658">
            <v>0</v>
          </cell>
          <cell r="CL658">
            <v>0</v>
          </cell>
          <cell r="CM658">
            <v>0</v>
          </cell>
          <cell r="CN658">
            <v>0</v>
          </cell>
          <cell r="CO658">
            <v>0</v>
          </cell>
          <cell r="CX658">
            <v>0</v>
          </cell>
          <cell r="CY658">
            <v>0</v>
          </cell>
          <cell r="DB658">
            <v>0</v>
          </cell>
          <cell r="DC658">
            <v>0</v>
          </cell>
          <cell r="DJ658" t="str">
            <v>НКРКП</v>
          </cell>
          <cell r="DL658">
            <v>40816</v>
          </cell>
          <cell r="DM658">
            <v>96</v>
          </cell>
          <cell r="DT658">
            <v>897.24</v>
          </cell>
        </row>
        <row r="659">
          <cell r="W659">
            <v>705.02</v>
          </cell>
          <cell r="AF659">
            <v>39883</v>
          </cell>
          <cell r="AG659">
            <v>1522</v>
          </cell>
          <cell r="AH659">
            <v>629.482905982906</v>
          </cell>
          <cell r="AM659">
            <v>234</v>
          </cell>
          <cell r="AO659">
            <v>164974.68</v>
          </cell>
          <cell r="AQ659">
            <v>147299</v>
          </cell>
          <cell r="AU659">
            <v>0</v>
          </cell>
          <cell r="AW659">
            <v>0</v>
          </cell>
          <cell r="AY659">
            <v>87832.25</v>
          </cell>
          <cell r="AZ659">
            <v>375.35149572649573</v>
          </cell>
          <cell r="BA659">
            <v>0</v>
          </cell>
          <cell r="BB659">
            <v>0</v>
          </cell>
          <cell r="BC659">
            <v>0</v>
          </cell>
          <cell r="BD659">
            <v>0</v>
          </cell>
          <cell r="BG659">
            <v>0</v>
          </cell>
          <cell r="BH659">
            <v>0</v>
          </cell>
          <cell r="BI659">
            <v>6042</v>
          </cell>
          <cell r="BJ659">
            <v>25.820512820512821</v>
          </cell>
          <cell r="BK659">
            <v>0</v>
          </cell>
          <cell r="BL659">
            <v>0</v>
          </cell>
          <cell r="BM659">
            <v>39394</v>
          </cell>
          <cell r="BN659">
            <v>168.35042735042734</v>
          </cell>
          <cell r="BO659">
            <v>0</v>
          </cell>
          <cell r="BP659">
            <v>0</v>
          </cell>
          <cell r="BY659">
            <v>798.97</v>
          </cell>
          <cell r="CF659">
            <v>41</v>
          </cell>
          <cell r="CG659">
            <v>2142.25</v>
          </cell>
          <cell r="CJ659">
            <v>0</v>
          </cell>
          <cell r="CK659">
            <v>0</v>
          </cell>
          <cell r="CL659">
            <v>0</v>
          </cell>
          <cell r="CM659">
            <v>0</v>
          </cell>
          <cell r="CN659">
            <v>0</v>
          </cell>
          <cell r="CO659">
            <v>0</v>
          </cell>
          <cell r="CX659">
            <v>0</v>
          </cell>
          <cell r="CY659">
            <v>0</v>
          </cell>
          <cell r="DB659">
            <v>0</v>
          </cell>
          <cell r="DC659">
            <v>0</v>
          </cell>
          <cell r="DJ659" t="str">
            <v>НКРКП</v>
          </cell>
          <cell r="DL659">
            <v>40816</v>
          </cell>
          <cell r="DM659">
            <v>96</v>
          </cell>
          <cell r="DT659">
            <v>987.75</v>
          </cell>
        </row>
        <row r="660">
          <cell r="W660">
            <v>640.44000000000005</v>
          </cell>
          <cell r="AF660">
            <v>39883</v>
          </cell>
          <cell r="AG660">
            <v>1523</v>
          </cell>
          <cell r="AH660">
            <v>571.82058047493399</v>
          </cell>
          <cell r="AM660">
            <v>379</v>
          </cell>
          <cell r="AO660">
            <v>242726.76</v>
          </cell>
          <cell r="AQ660">
            <v>216720</v>
          </cell>
          <cell r="AU660">
            <v>0</v>
          </cell>
          <cell r="AW660">
            <v>0</v>
          </cell>
          <cell r="AY660">
            <v>143530.75</v>
          </cell>
          <cell r="AZ660">
            <v>378.7091029023747</v>
          </cell>
          <cell r="BA660">
            <v>0</v>
          </cell>
          <cell r="BB660">
            <v>0</v>
          </cell>
          <cell r="BC660">
            <v>0</v>
          </cell>
          <cell r="BD660">
            <v>0</v>
          </cell>
          <cell r="BG660">
            <v>0</v>
          </cell>
          <cell r="BH660">
            <v>0</v>
          </cell>
          <cell r="BI660">
            <v>11594</v>
          </cell>
          <cell r="BJ660">
            <v>30.591029023746703</v>
          </cell>
          <cell r="BK660">
            <v>0</v>
          </cell>
          <cell r="BL660">
            <v>0</v>
          </cell>
          <cell r="BM660">
            <v>45763</v>
          </cell>
          <cell r="BN660">
            <v>120.74670184696571</v>
          </cell>
          <cell r="BO660">
            <v>0</v>
          </cell>
          <cell r="BP660">
            <v>0</v>
          </cell>
          <cell r="BY660">
            <v>928.17</v>
          </cell>
          <cell r="CF660">
            <v>67</v>
          </cell>
          <cell r="CG660">
            <v>2142.25</v>
          </cell>
          <cell r="CJ660">
            <v>0</v>
          </cell>
          <cell r="CK660">
            <v>0</v>
          </cell>
          <cell r="CL660">
            <v>0</v>
          </cell>
          <cell r="CM660">
            <v>0</v>
          </cell>
          <cell r="CN660">
            <v>0</v>
          </cell>
          <cell r="CO660">
            <v>0</v>
          </cell>
          <cell r="CX660">
            <v>0</v>
          </cell>
          <cell r="CY660">
            <v>0</v>
          </cell>
          <cell r="DB660">
            <v>0</v>
          </cell>
          <cell r="DC660">
            <v>0</v>
          </cell>
          <cell r="DJ660" t="str">
            <v>НКРКП</v>
          </cell>
          <cell r="DL660">
            <v>40816</v>
          </cell>
          <cell r="DM660">
            <v>96</v>
          </cell>
          <cell r="DT660">
            <v>925.3</v>
          </cell>
        </row>
        <row r="661">
          <cell r="W661">
            <v>615.77</v>
          </cell>
          <cell r="AF661">
            <v>39883</v>
          </cell>
          <cell r="AG661">
            <v>1520</v>
          </cell>
          <cell r="AH661">
            <v>549.79115479115478</v>
          </cell>
          <cell r="AM661">
            <v>407</v>
          </cell>
          <cell r="AO661">
            <v>250618.38999999998</v>
          </cell>
          <cell r="AQ661">
            <v>223765</v>
          </cell>
          <cell r="AU661">
            <v>0</v>
          </cell>
          <cell r="AW661">
            <v>0</v>
          </cell>
          <cell r="AY661">
            <v>139246.25</v>
          </cell>
          <cell r="AZ661">
            <v>342.12837837837839</v>
          </cell>
          <cell r="BA661">
            <v>0</v>
          </cell>
          <cell r="BB661">
            <v>0</v>
          </cell>
          <cell r="BC661">
            <v>0</v>
          </cell>
          <cell r="BD661">
            <v>0</v>
          </cell>
          <cell r="BG661">
            <v>0</v>
          </cell>
          <cell r="BH661">
            <v>0</v>
          </cell>
          <cell r="BI661">
            <v>8383</v>
          </cell>
          <cell r="BJ661">
            <v>20.597051597051596</v>
          </cell>
          <cell r="BK661">
            <v>0</v>
          </cell>
          <cell r="BL661">
            <v>0</v>
          </cell>
          <cell r="BM661">
            <v>51631</v>
          </cell>
          <cell r="BN661">
            <v>126.85749385749386</v>
          </cell>
          <cell r="BO661">
            <v>0</v>
          </cell>
          <cell r="BP661">
            <v>0</v>
          </cell>
          <cell r="BY661">
            <v>1047.17</v>
          </cell>
          <cell r="CF661">
            <v>65</v>
          </cell>
          <cell r="CG661">
            <v>2142.25</v>
          </cell>
          <cell r="CJ661">
            <v>0</v>
          </cell>
          <cell r="CK661">
            <v>0</v>
          </cell>
          <cell r="CL661">
            <v>0</v>
          </cell>
          <cell r="CM661">
            <v>0</v>
          </cell>
          <cell r="CN661">
            <v>0</v>
          </cell>
          <cell r="CO661">
            <v>0</v>
          </cell>
          <cell r="CX661">
            <v>0</v>
          </cell>
          <cell r="CY661">
            <v>0</v>
          </cell>
          <cell r="DB661">
            <v>0</v>
          </cell>
          <cell r="DC661">
            <v>0</v>
          </cell>
          <cell r="DJ661" t="str">
            <v>НКРКП</v>
          </cell>
          <cell r="DL661">
            <v>40816</v>
          </cell>
          <cell r="DM661">
            <v>96</v>
          </cell>
          <cell r="DT661">
            <v>873.13</v>
          </cell>
        </row>
        <row r="662">
          <cell r="W662">
            <v>551.04999999999995</v>
          </cell>
          <cell r="AF662">
            <v>39883</v>
          </cell>
          <cell r="AG662">
            <v>1524</v>
          </cell>
          <cell r="AH662">
            <v>492.00908173562061</v>
          </cell>
          <cell r="AM662">
            <v>991</v>
          </cell>
          <cell r="AO662">
            <v>546090.54999999993</v>
          </cell>
          <cell r="AQ662">
            <v>487581</v>
          </cell>
          <cell r="AU662">
            <v>0</v>
          </cell>
          <cell r="AW662">
            <v>0</v>
          </cell>
          <cell r="AY662">
            <v>377036</v>
          </cell>
          <cell r="AZ662">
            <v>380.46014127144298</v>
          </cell>
          <cell r="BA662">
            <v>0</v>
          </cell>
          <cell r="BB662">
            <v>0</v>
          </cell>
          <cell r="BC662">
            <v>0</v>
          </cell>
          <cell r="BD662">
            <v>0</v>
          </cell>
          <cell r="BG662">
            <v>0</v>
          </cell>
          <cell r="BH662">
            <v>0</v>
          </cell>
          <cell r="BI662">
            <v>16440</v>
          </cell>
          <cell r="BJ662">
            <v>16.589303733602421</v>
          </cell>
          <cell r="BK662">
            <v>0</v>
          </cell>
          <cell r="BL662">
            <v>0</v>
          </cell>
          <cell r="BM662">
            <v>71504</v>
          </cell>
          <cell r="BN662">
            <v>72.153380423814326</v>
          </cell>
          <cell r="BO662">
            <v>0</v>
          </cell>
          <cell r="BP662">
            <v>0</v>
          </cell>
          <cell r="BY662">
            <v>1087.67</v>
          </cell>
          <cell r="CF662">
            <v>176</v>
          </cell>
          <cell r="CG662">
            <v>2142.25</v>
          </cell>
          <cell r="CJ662">
            <v>0</v>
          </cell>
          <cell r="CK662">
            <v>0</v>
          </cell>
          <cell r="CL662">
            <v>0</v>
          </cell>
          <cell r="CM662">
            <v>0</v>
          </cell>
          <cell r="CN662">
            <v>0</v>
          </cell>
          <cell r="CO662">
            <v>0</v>
          </cell>
          <cell r="CX662">
            <v>0</v>
          </cell>
          <cell r="CY662">
            <v>0</v>
          </cell>
          <cell r="DB662">
            <v>0</v>
          </cell>
          <cell r="DC662">
            <v>0</v>
          </cell>
          <cell r="DJ662" t="str">
            <v>НКРКП</v>
          </cell>
          <cell r="DL662">
            <v>40816</v>
          </cell>
          <cell r="DM662">
            <v>96</v>
          </cell>
          <cell r="DT662">
            <v>836.51</v>
          </cell>
        </row>
        <row r="663">
          <cell r="W663">
            <v>665.89</v>
          </cell>
          <cell r="AF663">
            <v>39891</v>
          </cell>
          <cell r="AG663">
            <v>1553</v>
          </cell>
          <cell r="AH663">
            <v>590.01044826423993</v>
          </cell>
          <cell r="AM663">
            <v>2967</v>
          </cell>
          <cell r="AO663">
            <v>1975695.63</v>
          </cell>
          <cell r="AQ663">
            <v>1750561</v>
          </cell>
          <cell r="AU663">
            <v>0</v>
          </cell>
          <cell r="AW663">
            <v>0</v>
          </cell>
          <cell r="AY663">
            <v>998288.5</v>
          </cell>
          <cell r="AZ663">
            <v>336.46393663633302</v>
          </cell>
          <cell r="BA663">
            <v>0</v>
          </cell>
          <cell r="BB663">
            <v>0</v>
          </cell>
          <cell r="BC663">
            <v>0</v>
          </cell>
          <cell r="BD663">
            <v>0</v>
          </cell>
          <cell r="BG663">
            <v>0</v>
          </cell>
          <cell r="BH663">
            <v>0</v>
          </cell>
          <cell r="BI663">
            <v>80340</v>
          </cell>
          <cell r="BJ663">
            <v>27.077856420626897</v>
          </cell>
          <cell r="BK663">
            <v>0</v>
          </cell>
          <cell r="BL663">
            <v>0</v>
          </cell>
          <cell r="BM663">
            <v>395054</v>
          </cell>
          <cell r="BN663">
            <v>133.14930906639702</v>
          </cell>
          <cell r="BO663">
            <v>0</v>
          </cell>
          <cell r="BP663">
            <v>0</v>
          </cell>
          <cell r="BY663">
            <v>1066.23</v>
          </cell>
          <cell r="CF663">
            <v>466</v>
          </cell>
          <cell r="CG663">
            <v>2142.25</v>
          </cell>
          <cell r="CJ663">
            <v>0</v>
          </cell>
          <cell r="CK663">
            <v>0</v>
          </cell>
          <cell r="CL663">
            <v>0</v>
          </cell>
          <cell r="CM663">
            <v>0</v>
          </cell>
          <cell r="CN663">
            <v>0</v>
          </cell>
          <cell r="CO663">
            <v>0</v>
          </cell>
          <cell r="CX663">
            <v>0</v>
          </cell>
          <cell r="CY663">
            <v>0</v>
          </cell>
          <cell r="DB663">
            <v>0</v>
          </cell>
          <cell r="DC663">
            <v>0</v>
          </cell>
          <cell r="DJ663" t="str">
            <v>НКРКП</v>
          </cell>
          <cell r="DL663">
            <v>40816</v>
          </cell>
          <cell r="DM663">
            <v>96</v>
          </cell>
          <cell r="DT663">
            <v>918.56</v>
          </cell>
        </row>
        <row r="664">
          <cell r="W664">
            <v>670.91</v>
          </cell>
          <cell r="AF664">
            <v>39891</v>
          </cell>
          <cell r="AG664">
            <v>1554</v>
          </cell>
          <cell r="AH664">
            <v>599.66666666666663</v>
          </cell>
          <cell r="AM664">
            <v>60</v>
          </cell>
          <cell r="AO664">
            <v>40254.6</v>
          </cell>
          <cell r="AQ664">
            <v>35980</v>
          </cell>
          <cell r="AU664">
            <v>0</v>
          </cell>
          <cell r="AW664">
            <v>0</v>
          </cell>
          <cell r="AY664">
            <v>21422.5</v>
          </cell>
          <cell r="AZ664">
            <v>357.04166666666669</v>
          </cell>
          <cell r="BA664">
            <v>0</v>
          </cell>
          <cell r="BB664">
            <v>0</v>
          </cell>
          <cell r="BC664">
            <v>0</v>
          </cell>
          <cell r="BD664">
            <v>0</v>
          </cell>
          <cell r="BG664">
            <v>0</v>
          </cell>
          <cell r="BH664">
            <v>0</v>
          </cell>
          <cell r="BI664">
            <v>1378</v>
          </cell>
          <cell r="BJ664">
            <v>22.966666666666665</v>
          </cell>
          <cell r="BK664">
            <v>0</v>
          </cell>
          <cell r="BL664">
            <v>0</v>
          </cell>
          <cell r="BM664">
            <v>7989</v>
          </cell>
          <cell r="BN664">
            <v>133.15</v>
          </cell>
          <cell r="BO664">
            <v>0</v>
          </cell>
          <cell r="BP664">
            <v>0</v>
          </cell>
          <cell r="BY664">
            <v>1066.23</v>
          </cell>
          <cell r="CF664">
            <v>10</v>
          </cell>
          <cell r="CG664">
            <v>2142.25</v>
          </cell>
          <cell r="CJ664">
            <v>0</v>
          </cell>
          <cell r="CK664">
            <v>0</v>
          </cell>
          <cell r="CL664">
            <v>0</v>
          </cell>
          <cell r="CM664">
            <v>0</v>
          </cell>
          <cell r="CN664">
            <v>0</v>
          </cell>
          <cell r="CO664">
            <v>0</v>
          </cell>
          <cell r="CX664">
            <v>0</v>
          </cell>
          <cell r="CY664">
            <v>0</v>
          </cell>
          <cell r="DB664">
            <v>0</v>
          </cell>
          <cell r="DC664">
            <v>0</v>
          </cell>
          <cell r="DJ664" t="str">
            <v>НКРКП</v>
          </cell>
          <cell r="DL664">
            <v>40816</v>
          </cell>
          <cell r="DM664">
            <v>96</v>
          </cell>
          <cell r="DT664">
            <v>932.35</v>
          </cell>
        </row>
        <row r="665">
          <cell r="W665">
            <v>771.66</v>
          </cell>
          <cell r="AF665">
            <v>39891</v>
          </cell>
          <cell r="AG665">
            <v>1555</v>
          </cell>
          <cell r="AH665">
            <v>662.09767929723353</v>
          </cell>
          <cell r="AM665">
            <v>7627</v>
          </cell>
          <cell r="AO665">
            <v>5885450.8199999994</v>
          </cell>
          <cell r="AQ665">
            <v>5049819</v>
          </cell>
          <cell r="AU665">
            <v>0</v>
          </cell>
          <cell r="AW665">
            <v>0</v>
          </cell>
          <cell r="AY665">
            <v>2874899.5</v>
          </cell>
          <cell r="AZ665">
            <v>376.93713124426381</v>
          </cell>
          <cell r="BA665">
            <v>0</v>
          </cell>
          <cell r="BB665">
            <v>0</v>
          </cell>
          <cell r="BC665">
            <v>0</v>
          </cell>
          <cell r="BD665">
            <v>0</v>
          </cell>
          <cell r="BG665">
            <v>0</v>
          </cell>
          <cell r="BH665">
            <v>0</v>
          </cell>
          <cell r="BI665">
            <v>255875</v>
          </cell>
          <cell r="BJ665">
            <v>33.548577422315461</v>
          </cell>
          <cell r="BK665">
            <v>0</v>
          </cell>
          <cell r="BL665">
            <v>0</v>
          </cell>
          <cell r="BM665">
            <v>1044062</v>
          </cell>
          <cell r="BN665">
            <v>136.89025829290676</v>
          </cell>
          <cell r="BO665">
            <v>0</v>
          </cell>
          <cell r="BP665">
            <v>0</v>
          </cell>
          <cell r="BY665">
            <v>1003.46</v>
          </cell>
          <cell r="CF665">
            <v>1342</v>
          </cell>
          <cell r="CG665">
            <v>2142.25</v>
          </cell>
          <cell r="CJ665">
            <v>0</v>
          </cell>
          <cell r="CK665">
            <v>0</v>
          </cell>
          <cell r="CL665">
            <v>0</v>
          </cell>
          <cell r="CM665">
            <v>0</v>
          </cell>
          <cell r="CN665">
            <v>0</v>
          </cell>
          <cell r="CO665">
            <v>0</v>
          </cell>
          <cell r="CX665">
            <v>0</v>
          </cell>
          <cell r="CY665">
            <v>0</v>
          </cell>
          <cell r="DB665">
            <v>0</v>
          </cell>
          <cell r="DC665">
            <v>0</v>
          </cell>
          <cell r="DJ665" t="str">
            <v>НКРКП</v>
          </cell>
          <cell r="DL665">
            <v>40904</v>
          </cell>
          <cell r="DM665">
            <v>236</v>
          </cell>
          <cell r="DT665">
            <v>999.9</v>
          </cell>
        </row>
        <row r="666">
          <cell r="W666">
            <v>767.3</v>
          </cell>
          <cell r="AF666">
            <v>39891</v>
          </cell>
          <cell r="AG666">
            <v>1556</v>
          </cell>
          <cell r="AH666">
            <v>655.53921568627447</v>
          </cell>
          <cell r="AM666">
            <v>204</v>
          </cell>
          <cell r="AO666">
            <v>156529.19999999998</v>
          </cell>
          <cell r="AQ666">
            <v>133730</v>
          </cell>
          <cell r="AU666">
            <v>0</v>
          </cell>
          <cell r="AW666">
            <v>0</v>
          </cell>
          <cell r="AY666">
            <v>72836.5</v>
          </cell>
          <cell r="AZ666">
            <v>357.04166666666669</v>
          </cell>
          <cell r="BA666">
            <v>0</v>
          </cell>
          <cell r="BB666">
            <v>0</v>
          </cell>
          <cell r="BC666">
            <v>0</v>
          </cell>
          <cell r="BD666">
            <v>0</v>
          </cell>
          <cell r="BG666">
            <v>0</v>
          </cell>
          <cell r="BH666">
            <v>0</v>
          </cell>
          <cell r="BI666">
            <v>9506</v>
          </cell>
          <cell r="BJ666">
            <v>46.598039215686278</v>
          </cell>
          <cell r="BK666">
            <v>0</v>
          </cell>
          <cell r="BL666">
            <v>0</v>
          </cell>
          <cell r="BM666">
            <v>27926</v>
          </cell>
          <cell r="BN666">
            <v>136.89215686274511</v>
          </cell>
          <cell r="BO666">
            <v>0</v>
          </cell>
          <cell r="BP666">
            <v>0</v>
          </cell>
          <cell r="BY666">
            <v>1003.46</v>
          </cell>
          <cell r="CF666">
            <v>34</v>
          </cell>
          <cell r="CG666">
            <v>2142.25</v>
          </cell>
          <cell r="CJ666">
            <v>0</v>
          </cell>
          <cell r="CK666">
            <v>0</v>
          </cell>
          <cell r="CL666">
            <v>0</v>
          </cell>
          <cell r="CM666">
            <v>0</v>
          </cell>
          <cell r="CN666">
            <v>0</v>
          </cell>
          <cell r="CO666">
            <v>0</v>
          </cell>
          <cell r="CX666">
            <v>0</v>
          </cell>
          <cell r="CY666">
            <v>0</v>
          </cell>
          <cell r="DB666">
            <v>0</v>
          </cell>
          <cell r="DC666">
            <v>0</v>
          </cell>
          <cell r="DJ666" t="str">
            <v>НКРКП</v>
          </cell>
          <cell r="DL666">
            <v>40904</v>
          </cell>
          <cell r="DM666">
            <v>236</v>
          </cell>
          <cell r="DT666">
            <v>999.9</v>
          </cell>
        </row>
        <row r="667">
          <cell r="W667">
            <v>441.3</v>
          </cell>
          <cell r="AF667">
            <v>39773</v>
          </cell>
          <cell r="AG667">
            <v>1093</v>
          </cell>
          <cell r="AH667">
            <v>401.18041154889136</v>
          </cell>
          <cell r="AM667">
            <v>250.76</v>
          </cell>
          <cell r="AO667">
            <v>110660.38799999999</v>
          </cell>
          <cell r="AQ667">
            <v>100600</v>
          </cell>
          <cell r="AU667">
            <v>0</v>
          </cell>
          <cell r="AW667">
            <v>0</v>
          </cell>
          <cell r="AY667">
            <v>32002.080000000002</v>
          </cell>
          <cell r="AZ667">
            <v>127.62035412346468</v>
          </cell>
          <cell r="BA667">
            <v>0</v>
          </cell>
          <cell r="BB667">
            <v>0</v>
          </cell>
          <cell r="BC667">
            <v>0</v>
          </cell>
          <cell r="BD667">
            <v>0</v>
          </cell>
          <cell r="BG667">
            <v>0</v>
          </cell>
          <cell r="BH667">
            <v>0</v>
          </cell>
          <cell r="BI667">
            <v>17558</v>
          </cell>
          <cell r="BJ667">
            <v>70.01914180890094</v>
          </cell>
          <cell r="BK667">
            <v>0</v>
          </cell>
          <cell r="BL667">
            <v>0</v>
          </cell>
          <cell r="BM667">
            <v>26717</v>
          </cell>
          <cell r="BN667">
            <v>106.54410591800925</v>
          </cell>
          <cell r="BO667">
            <v>0</v>
          </cell>
          <cell r="BP667">
            <v>0</v>
          </cell>
          <cell r="BY667">
            <v>928.68</v>
          </cell>
          <cell r="CF667">
            <v>44</v>
          </cell>
          <cell r="CG667">
            <v>727.32</v>
          </cell>
          <cell r="CJ667">
            <v>0</v>
          </cell>
          <cell r="CK667">
            <v>0</v>
          </cell>
          <cell r="CL667">
            <v>0</v>
          </cell>
          <cell r="CM667">
            <v>0</v>
          </cell>
          <cell r="CN667">
            <v>0</v>
          </cell>
          <cell r="CO667">
            <v>0</v>
          </cell>
          <cell r="CX667">
            <v>0</v>
          </cell>
          <cell r="CY667">
            <v>0</v>
          </cell>
          <cell r="DB667">
            <v>0</v>
          </cell>
          <cell r="DC667">
            <v>0</v>
          </cell>
          <cell r="DJ667" t="str">
            <v>НКРЕ</v>
          </cell>
          <cell r="DL667">
            <v>40526</v>
          </cell>
          <cell r="DM667">
            <v>1752</v>
          </cell>
          <cell r="DO667" t="str">
            <v>на теплову енергію</v>
          </cell>
          <cell r="DT667">
            <v>485.43</v>
          </cell>
        </row>
        <row r="668">
          <cell r="W668">
            <v>701.43</v>
          </cell>
          <cell r="AF668">
            <v>39882</v>
          </cell>
          <cell r="AG668">
            <v>1508</v>
          </cell>
          <cell r="AH668">
            <v>608.19018964433496</v>
          </cell>
          <cell r="AM668">
            <v>1573.4190000000001</v>
          </cell>
          <cell r="AO668">
            <v>1103643.28917</v>
          </cell>
          <cell r="AQ668">
            <v>956938</v>
          </cell>
          <cell r="AU668">
            <v>0</v>
          </cell>
          <cell r="AW668">
            <v>0</v>
          </cell>
          <cell r="AY668">
            <v>584834.25</v>
          </cell>
          <cell r="AZ668">
            <v>371.69644576555891</v>
          </cell>
          <cell r="BA668">
            <v>0</v>
          </cell>
          <cell r="BB668">
            <v>0</v>
          </cell>
          <cell r="BC668">
            <v>0</v>
          </cell>
          <cell r="BD668">
            <v>0</v>
          </cell>
          <cell r="BG668">
            <v>0</v>
          </cell>
          <cell r="BH668">
            <v>0</v>
          </cell>
          <cell r="BI668">
            <v>68305</v>
          </cell>
          <cell r="BJ668">
            <v>43.411831177836291</v>
          </cell>
          <cell r="BK668">
            <v>0</v>
          </cell>
          <cell r="BL668">
            <v>0</v>
          </cell>
          <cell r="BM668">
            <v>167640</v>
          </cell>
          <cell r="BN668">
            <v>106.54504617015556</v>
          </cell>
          <cell r="BO668">
            <v>0</v>
          </cell>
          <cell r="BP668">
            <v>0</v>
          </cell>
          <cell r="BY668">
            <v>928.68</v>
          </cell>
          <cell r="CF668">
            <v>273</v>
          </cell>
          <cell r="CG668">
            <v>2142.25</v>
          </cell>
          <cell r="CJ668">
            <v>0</v>
          </cell>
          <cell r="CK668">
            <v>0</v>
          </cell>
          <cell r="CL668">
            <v>0</v>
          </cell>
          <cell r="CM668">
            <v>0</v>
          </cell>
          <cell r="CN668">
            <v>0</v>
          </cell>
          <cell r="CO668">
            <v>0</v>
          </cell>
          <cell r="CX668">
            <v>0</v>
          </cell>
          <cell r="CY668">
            <v>0</v>
          </cell>
          <cell r="DB668">
            <v>0</v>
          </cell>
          <cell r="DC668">
            <v>0</v>
          </cell>
          <cell r="DJ668" t="str">
            <v>НКРКП</v>
          </cell>
          <cell r="DL668">
            <v>40816</v>
          </cell>
          <cell r="DM668">
            <v>96</v>
          </cell>
          <cell r="DT668">
            <v>981.03</v>
          </cell>
        </row>
        <row r="669">
          <cell r="W669">
            <v>829.12</v>
          </cell>
          <cell r="AF669">
            <v>39882</v>
          </cell>
          <cell r="AG669">
            <v>1509</v>
          </cell>
          <cell r="AH669">
            <v>675.54232476088089</v>
          </cell>
          <cell r="AM669">
            <v>181.39500000000001</v>
          </cell>
          <cell r="AO669">
            <v>150398.2224</v>
          </cell>
          <cell r="AQ669">
            <v>122540</v>
          </cell>
          <cell r="AU669">
            <v>0</v>
          </cell>
          <cell r="AW669">
            <v>0</v>
          </cell>
          <cell r="AY669">
            <v>68552</v>
          </cell>
          <cell r="AZ669">
            <v>377.91559855563821</v>
          </cell>
          <cell r="BA669">
            <v>0</v>
          </cell>
          <cell r="BB669">
            <v>0</v>
          </cell>
          <cell r="BC669">
            <v>0</v>
          </cell>
          <cell r="BD669">
            <v>0</v>
          </cell>
          <cell r="BG669">
            <v>0</v>
          </cell>
          <cell r="BH669">
            <v>0</v>
          </cell>
          <cell r="BI669">
            <v>16842</v>
          </cell>
          <cell r="BJ669">
            <v>92.847101629041589</v>
          </cell>
          <cell r="BK669">
            <v>0</v>
          </cell>
          <cell r="BL669">
            <v>0</v>
          </cell>
          <cell r="BM669">
            <v>19327</v>
          </cell>
          <cell r="BN669">
            <v>106.54648694837233</v>
          </cell>
          <cell r="BO669">
            <v>0</v>
          </cell>
          <cell r="BP669">
            <v>0</v>
          </cell>
          <cell r="BY669">
            <v>928.68</v>
          </cell>
          <cell r="CF669">
            <v>32</v>
          </cell>
          <cell r="CG669">
            <v>2142.25</v>
          </cell>
          <cell r="CJ669">
            <v>0</v>
          </cell>
          <cell r="CK669">
            <v>0</v>
          </cell>
          <cell r="CL669">
            <v>0</v>
          </cell>
          <cell r="CM669">
            <v>0</v>
          </cell>
          <cell r="CN669">
            <v>0</v>
          </cell>
          <cell r="CO669">
            <v>0</v>
          </cell>
          <cell r="CX669">
            <v>0</v>
          </cell>
          <cell r="CY669">
            <v>0</v>
          </cell>
          <cell r="DB669">
            <v>0</v>
          </cell>
          <cell r="DC669">
            <v>0</v>
          </cell>
          <cell r="DJ669" t="str">
            <v>НКРКП</v>
          </cell>
          <cell r="DL669">
            <v>40816</v>
          </cell>
          <cell r="DM669">
            <v>96</v>
          </cell>
          <cell r="DT669">
            <v>999.9</v>
          </cell>
        </row>
        <row r="670">
          <cell r="W670">
            <v>645.86</v>
          </cell>
          <cell r="AF670">
            <v>39877</v>
          </cell>
          <cell r="AG670">
            <v>1490</v>
          </cell>
          <cell r="AH670">
            <v>598.01878787878786</v>
          </cell>
          <cell r="AM670">
            <v>1650</v>
          </cell>
          <cell r="AO670">
            <v>1065669</v>
          </cell>
          <cell r="AQ670">
            <v>986731</v>
          </cell>
          <cell r="AU670">
            <v>0</v>
          </cell>
          <cell r="AW670">
            <v>0</v>
          </cell>
          <cell r="AY670">
            <v>608470</v>
          </cell>
          <cell r="AZ670">
            <v>368.76969696969695</v>
          </cell>
          <cell r="BA670">
            <v>0</v>
          </cell>
          <cell r="BB670">
            <v>0</v>
          </cell>
          <cell r="BC670">
            <v>0</v>
          </cell>
          <cell r="BD670">
            <v>0</v>
          </cell>
          <cell r="BG670">
            <v>0</v>
          </cell>
          <cell r="BH670">
            <v>0</v>
          </cell>
          <cell r="BI670">
            <v>49186</v>
          </cell>
          <cell r="BJ670">
            <v>29.809696969696969</v>
          </cell>
          <cell r="BK670">
            <v>0</v>
          </cell>
          <cell r="BL670">
            <v>0</v>
          </cell>
          <cell r="BM670">
            <v>150977</v>
          </cell>
          <cell r="BN670">
            <v>91.50121212121212</v>
          </cell>
          <cell r="BO670">
            <v>0</v>
          </cell>
          <cell r="BP670">
            <v>0</v>
          </cell>
          <cell r="BY670">
            <v>772.68</v>
          </cell>
          <cell r="CF670">
            <v>284</v>
          </cell>
          <cell r="CG670">
            <v>2142.5</v>
          </cell>
          <cell r="CJ670">
            <v>0</v>
          </cell>
          <cell r="CK670">
            <v>0</v>
          </cell>
          <cell r="CL670">
            <v>0</v>
          </cell>
          <cell r="CM670">
            <v>0</v>
          </cell>
          <cell r="CN670">
            <v>0</v>
          </cell>
          <cell r="CO670">
            <v>0</v>
          </cell>
          <cell r="CX670">
            <v>0</v>
          </cell>
          <cell r="CY670">
            <v>0</v>
          </cell>
          <cell r="DB670">
            <v>0</v>
          </cell>
          <cell r="DC670">
            <v>0</v>
          </cell>
          <cell r="DJ670" t="str">
            <v>НКРКП</v>
          </cell>
          <cell r="DL670">
            <v>40816</v>
          </cell>
          <cell r="DM670">
            <v>96</v>
          </cell>
          <cell r="DT670">
            <v>923.21</v>
          </cell>
        </row>
        <row r="671">
          <cell r="W671">
            <v>739.92</v>
          </cell>
          <cell r="AF671">
            <v>39877</v>
          </cell>
          <cell r="AG671">
            <v>1491</v>
          </cell>
          <cell r="AH671">
            <v>616.59726962457341</v>
          </cell>
          <cell r="AM671">
            <v>293</v>
          </cell>
          <cell r="AO671">
            <v>216796.56</v>
          </cell>
          <cell r="AQ671">
            <v>180663</v>
          </cell>
          <cell r="AU671">
            <v>0</v>
          </cell>
          <cell r="AW671">
            <v>0</v>
          </cell>
          <cell r="AY671">
            <v>104982.5</v>
          </cell>
          <cell r="AZ671">
            <v>358.30204778156997</v>
          </cell>
          <cell r="BA671">
            <v>0</v>
          </cell>
          <cell r="BB671">
            <v>0</v>
          </cell>
          <cell r="BC671">
            <v>0</v>
          </cell>
          <cell r="BD671">
            <v>0</v>
          </cell>
          <cell r="BG671">
            <v>0</v>
          </cell>
          <cell r="BH671">
            <v>0</v>
          </cell>
          <cell r="BI671">
            <v>18078</v>
          </cell>
          <cell r="BJ671">
            <v>61.69965870307167</v>
          </cell>
          <cell r="BK671">
            <v>0</v>
          </cell>
          <cell r="BL671">
            <v>0</v>
          </cell>
          <cell r="BM671">
            <v>26810</v>
          </cell>
          <cell r="BN671">
            <v>91.501706484641645</v>
          </cell>
          <cell r="BO671">
            <v>0</v>
          </cell>
          <cell r="BP671">
            <v>0</v>
          </cell>
          <cell r="BY671">
            <v>772.68</v>
          </cell>
          <cell r="CF671">
            <v>49</v>
          </cell>
          <cell r="CG671">
            <v>2142.5</v>
          </cell>
          <cell r="CJ671">
            <v>0</v>
          </cell>
          <cell r="CK671">
            <v>0</v>
          </cell>
          <cell r="CL671">
            <v>0</v>
          </cell>
          <cell r="CM671">
            <v>0</v>
          </cell>
          <cell r="CN671">
            <v>0</v>
          </cell>
          <cell r="CO671">
            <v>0</v>
          </cell>
          <cell r="CX671">
            <v>0</v>
          </cell>
          <cell r="CY671">
            <v>0</v>
          </cell>
          <cell r="DB671">
            <v>0</v>
          </cell>
          <cell r="DC671">
            <v>0</v>
          </cell>
          <cell r="DJ671" t="str">
            <v>НКРКП</v>
          </cell>
          <cell r="DL671">
            <v>40816</v>
          </cell>
          <cell r="DM671">
            <v>96</v>
          </cell>
          <cell r="DT671">
            <v>999.9</v>
          </cell>
        </row>
        <row r="672">
          <cell r="W672">
            <v>677.35</v>
          </cell>
          <cell r="AF672">
            <v>39877</v>
          </cell>
          <cell r="AG672">
            <v>1502</v>
          </cell>
          <cell r="AH672">
            <v>604.77072554907295</v>
          </cell>
          <cell r="AM672">
            <v>678.05200000000002</v>
          </cell>
          <cell r="AO672">
            <v>459278.52220000001</v>
          </cell>
          <cell r="AQ672">
            <v>410066</v>
          </cell>
          <cell r="AU672">
            <v>0</v>
          </cell>
          <cell r="AW672">
            <v>0</v>
          </cell>
          <cell r="AY672">
            <v>252785.5</v>
          </cell>
          <cell r="AZ672">
            <v>372.81137729849627</v>
          </cell>
          <cell r="BA672">
            <v>0</v>
          </cell>
          <cell r="BB672">
            <v>0</v>
          </cell>
          <cell r="BC672">
            <v>0</v>
          </cell>
          <cell r="BD672">
            <v>0</v>
          </cell>
          <cell r="BG672">
            <v>0</v>
          </cell>
          <cell r="BH672">
            <v>0</v>
          </cell>
          <cell r="BI672">
            <v>13532</v>
          </cell>
          <cell r="BJ672">
            <v>19.957171426380278</v>
          </cell>
          <cell r="BK672">
            <v>0</v>
          </cell>
          <cell r="BL672">
            <v>0</v>
          </cell>
          <cell r="BM672">
            <v>80100</v>
          </cell>
          <cell r="BN672">
            <v>118.13253260811855</v>
          </cell>
          <cell r="BO672">
            <v>0</v>
          </cell>
          <cell r="BP672">
            <v>0</v>
          </cell>
          <cell r="BY672">
            <v>696.24</v>
          </cell>
          <cell r="CF672">
            <v>118</v>
          </cell>
          <cell r="CG672">
            <v>2142.25</v>
          </cell>
          <cell r="CJ672">
            <v>0</v>
          </cell>
          <cell r="CK672">
            <v>0</v>
          </cell>
          <cell r="CL672">
            <v>0</v>
          </cell>
          <cell r="CM672">
            <v>0</v>
          </cell>
          <cell r="CN672">
            <v>0</v>
          </cell>
          <cell r="CO672">
            <v>0</v>
          </cell>
          <cell r="CX672">
            <v>0</v>
          </cell>
          <cell r="CY672">
            <v>0</v>
          </cell>
          <cell r="DB672">
            <v>0</v>
          </cell>
          <cell r="DC672">
            <v>0</v>
          </cell>
          <cell r="DJ672" t="str">
            <v>НКРКП</v>
          </cell>
          <cell r="DL672">
            <v>40816</v>
          </cell>
          <cell r="DM672">
            <v>96</v>
          </cell>
          <cell r="DT672">
            <v>958.52</v>
          </cell>
        </row>
        <row r="673">
          <cell r="W673">
            <v>564.21</v>
          </cell>
          <cell r="AF673">
            <v>39877</v>
          </cell>
          <cell r="AG673">
            <v>1497</v>
          </cell>
          <cell r="AH673">
            <v>503.75784737413085</v>
          </cell>
          <cell r="AM673">
            <v>562.29</v>
          </cell>
          <cell r="AO673">
            <v>317249.6409</v>
          </cell>
          <cell r="AQ673">
            <v>283258</v>
          </cell>
          <cell r="AU673">
            <v>0</v>
          </cell>
          <cell r="AW673">
            <v>0</v>
          </cell>
          <cell r="AY673">
            <v>187232.65000000002</v>
          </cell>
          <cell r="AZ673">
            <v>332.98235785804485</v>
          </cell>
          <cell r="BA673">
            <v>0</v>
          </cell>
          <cell r="BB673">
            <v>0</v>
          </cell>
          <cell r="BC673">
            <v>0</v>
          </cell>
          <cell r="BD673">
            <v>0</v>
          </cell>
          <cell r="BG673">
            <v>0</v>
          </cell>
          <cell r="BH673">
            <v>0</v>
          </cell>
          <cell r="BI673">
            <v>6374</v>
          </cell>
          <cell r="BJ673">
            <v>11.335787582919846</v>
          </cell>
          <cell r="BK673">
            <v>0</v>
          </cell>
          <cell r="BL673">
            <v>0</v>
          </cell>
          <cell r="BM673">
            <v>40161</v>
          </cell>
          <cell r="BN673">
            <v>71.423998292695941</v>
          </cell>
          <cell r="BO673">
            <v>0</v>
          </cell>
          <cell r="BP673">
            <v>0</v>
          </cell>
          <cell r="BY673">
            <v>814.53</v>
          </cell>
          <cell r="CF673">
            <v>87.4</v>
          </cell>
          <cell r="CG673">
            <v>2142.25</v>
          </cell>
          <cell r="CJ673">
            <v>0</v>
          </cell>
          <cell r="CK673">
            <v>0</v>
          </cell>
          <cell r="CL673">
            <v>0</v>
          </cell>
          <cell r="CM673">
            <v>0</v>
          </cell>
          <cell r="CN673">
            <v>0</v>
          </cell>
          <cell r="CO673">
            <v>0</v>
          </cell>
          <cell r="CX673">
            <v>0</v>
          </cell>
          <cell r="CY673">
            <v>0</v>
          </cell>
          <cell r="DB673">
            <v>0</v>
          </cell>
          <cell r="DC673">
            <v>0</v>
          </cell>
          <cell r="DJ673" t="str">
            <v>НКРКП</v>
          </cell>
          <cell r="DL673">
            <v>40816</v>
          </cell>
          <cell r="DM673">
            <v>96</v>
          </cell>
          <cell r="DT673">
            <v>814.41</v>
          </cell>
        </row>
        <row r="674">
          <cell r="W674">
            <v>729.97</v>
          </cell>
          <cell r="AF674">
            <v>39877</v>
          </cell>
          <cell r="AG674">
            <v>1499</v>
          </cell>
          <cell r="AH674">
            <v>651.75579192772841</v>
          </cell>
          <cell r="AM674">
            <v>144.12299999999999</v>
          </cell>
          <cell r="AO674">
            <v>105205.46631</v>
          </cell>
          <cell r="AQ674">
            <v>93933</v>
          </cell>
          <cell r="AU674">
            <v>0</v>
          </cell>
          <cell r="AW674">
            <v>0</v>
          </cell>
          <cell r="AY674">
            <v>46529.67</v>
          </cell>
          <cell r="AZ674">
            <v>322.84694323598592</v>
          </cell>
          <cell r="BA674">
            <v>0</v>
          </cell>
          <cell r="BB674">
            <v>0</v>
          </cell>
          <cell r="BC674">
            <v>0</v>
          </cell>
          <cell r="BD674">
            <v>0</v>
          </cell>
          <cell r="BG674">
            <v>0</v>
          </cell>
          <cell r="BH674">
            <v>0</v>
          </cell>
          <cell r="BI674">
            <v>21</v>
          </cell>
          <cell r="BJ674">
            <v>0.14570887367040652</v>
          </cell>
          <cell r="BK674">
            <v>0</v>
          </cell>
          <cell r="BL674">
            <v>0</v>
          </cell>
          <cell r="BM674">
            <v>22661</v>
          </cell>
          <cell r="BN674">
            <v>157.23375172595632</v>
          </cell>
          <cell r="BO674">
            <v>0</v>
          </cell>
          <cell r="BP674">
            <v>0</v>
          </cell>
          <cell r="BY674">
            <v>689.36</v>
          </cell>
          <cell r="CF674">
            <v>21.72</v>
          </cell>
          <cell r="CG674">
            <v>2142.25</v>
          </cell>
          <cell r="CJ674">
            <v>0</v>
          </cell>
          <cell r="CK674">
            <v>0</v>
          </cell>
          <cell r="CL674">
            <v>0</v>
          </cell>
          <cell r="CM674">
            <v>0</v>
          </cell>
          <cell r="CN674">
            <v>0</v>
          </cell>
          <cell r="CO674">
            <v>0</v>
          </cell>
          <cell r="CX674">
            <v>0</v>
          </cell>
          <cell r="CY674">
            <v>0</v>
          </cell>
          <cell r="DB674">
            <v>0</v>
          </cell>
          <cell r="DC674">
            <v>0</v>
          </cell>
          <cell r="DJ674" t="str">
            <v>НКРКП</v>
          </cell>
          <cell r="DL674">
            <v>40816</v>
          </cell>
          <cell r="DM674">
            <v>96</v>
          </cell>
          <cell r="DT674">
            <v>972.56</v>
          </cell>
        </row>
        <row r="675">
          <cell r="W675">
            <v>698.01</v>
          </cell>
          <cell r="AF675">
            <v>39877</v>
          </cell>
          <cell r="AG675">
            <v>1500</v>
          </cell>
          <cell r="AH675">
            <v>623.22495750863538</v>
          </cell>
          <cell r="AM675">
            <v>310.06299999999999</v>
          </cell>
          <cell r="AO675">
            <v>216427.07462999999</v>
          </cell>
          <cell r="AQ675">
            <v>193239</v>
          </cell>
          <cell r="AU675">
            <v>0</v>
          </cell>
          <cell r="AW675">
            <v>0</v>
          </cell>
          <cell r="AY675">
            <v>109254.75</v>
          </cell>
          <cell r="AZ675">
            <v>352.36306815066615</v>
          </cell>
          <cell r="BA675">
            <v>0</v>
          </cell>
          <cell r="BB675">
            <v>0</v>
          </cell>
          <cell r="BC675">
            <v>0</v>
          </cell>
          <cell r="BD675">
            <v>0</v>
          </cell>
          <cell r="BG675">
            <v>0</v>
          </cell>
          <cell r="BH675">
            <v>0</v>
          </cell>
          <cell r="BI675">
            <v>3506</v>
          </cell>
          <cell r="BJ675">
            <v>11.307379468043592</v>
          </cell>
          <cell r="BK675">
            <v>0</v>
          </cell>
          <cell r="BL675">
            <v>0</v>
          </cell>
          <cell r="BM675">
            <v>41521</v>
          </cell>
          <cell r="BN675">
            <v>133.91149540577237</v>
          </cell>
          <cell r="BO675">
            <v>0</v>
          </cell>
          <cell r="BP675">
            <v>0</v>
          </cell>
          <cell r="BY675">
            <v>631.58000000000004</v>
          </cell>
          <cell r="CF675">
            <v>51</v>
          </cell>
          <cell r="CG675">
            <v>2142.25</v>
          </cell>
          <cell r="CJ675">
            <v>0</v>
          </cell>
          <cell r="CK675">
            <v>0</v>
          </cell>
          <cell r="CL675">
            <v>0</v>
          </cell>
          <cell r="CM675">
            <v>0</v>
          </cell>
          <cell r="CN675">
            <v>0</v>
          </cell>
          <cell r="CO675">
            <v>0</v>
          </cell>
          <cell r="CX675">
            <v>0</v>
          </cell>
          <cell r="CY675">
            <v>0</v>
          </cell>
          <cell r="DB675">
            <v>0</v>
          </cell>
          <cell r="DC675">
            <v>0</v>
          </cell>
          <cell r="DJ675" t="str">
            <v>НКРКП</v>
          </cell>
          <cell r="DL675">
            <v>40816</v>
          </cell>
          <cell r="DM675">
            <v>96</v>
          </cell>
          <cell r="DT675">
            <v>964.28</v>
          </cell>
        </row>
        <row r="676">
          <cell r="W676">
            <v>573.69000000000005</v>
          </cell>
          <cell r="AF676">
            <v>39877</v>
          </cell>
          <cell r="AG676">
            <v>1496</v>
          </cell>
          <cell r="AH676">
            <v>512.22815533980588</v>
          </cell>
          <cell r="AM676">
            <v>412</v>
          </cell>
          <cell r="AO676">
            <v>236360.28000000003</v>
          </cell>
          <cell r="AQ676">
            <v>211038</v>
          </cell>
          <cell r="AU676">
            <v>0</v>
          </cell>
          <cell r="AW676">
            <v>0</v>
          </cell>
          <cell r="AY676">
            <v>134961.75</v>
          </cell>
          <cell r="AZ676">
            <v>327.57706310679612</v>
          </cell>
          <cell r="BA676">
            <v>0</v>
          </cell>
          <cell r="BB676">
            <v>0</v>
          </cell>
          <cell r="BC676">
            <v>0</v>
          </cell>
          <cell r="BD676">
            <v>0</v>
          </cell>
          <cell r="BG676">
            <v>0</v>
          </cell>
          <cell r="BH676">
            <v>0</v>
          </cell>
          <cell r="BI676">
            <v>5631</v>
          </cell>
          <cell r="BJ676">
            <v>13.66747572815534</v>
          </cell>
          <cell r="BK676">
            <v>0</v>
          </cell>
          <cell r="BL676">
            <v>0</v>
          </cell>
          <cell r="BM676">
            <v>37029</v>
          </cell>
          <cell r="BN676">
            <v>89.876213592233015</v>
          </cell>
          <cell r="BO676">
            <v>0</v>
          </cell>
          <cell r="BP676">
            <v>0</v>
          </cell>
          <cell r="BY676">
            <v>751</v>
          </cell>
          <cell r="CF676">
            <v>63</v>
          </cell>
          <cell r="CG676">
            <v>2142.25</v>
          </cell>
          <cell r="CJ676">
            <v>0</v>
          </cell>
          <cell r="CK676">
            <v>0</v>
          </cell>
          <cell r="CL676">
            <v>0</v>
          </cell>
          <cell r="CM676">
            <v>0</v>
          </cell>
          <cell r="CN676">
            <v>0</v>
          </cell>
          <cell r="CO676">
            <v>0</v>
          </cell>
          <cell r="CX676">
            <v>0</v>
          </cell>
          <cell r="CY676">
            <v>0</v>
          </cell>
          <cell r="DB676">
            <v>0</v>
          </cell>
          <cell r="DC676">
            <v>0</v>
          </cell>
          <cell r="DJ676" t="str">
            <v>НКРКП</v>
          </cell>
          <cell r="DL676">
            <v>40816</v>
          </cell>
          <cell r="DM676">
            <v>96</v>
          </cell>
          <cell r="DT676">
            <v>821.08</v>
          </cell>
        </row>
        <row r="677">
          <cell r="W677">
            <v>735.92</v>
          </cell>
          <cell r="AF677">
            <v>39877</v>
          </cell>
          <cell r="AG677">
            <v>1495</v>
          </cell>
          <cell r="AH677">
            <v>657.08117758507615</v>
          </cell>
          <cell r="AM677">
            <v>439.13600000000002</v>
          </cell>
          <cell r="AO677">
            <v>323168.96512000001</v>
          </cell>
          <cell r="AQ677">
            <v>288548</v>
          </cell>
          <cell r="AU677">
            <v>0</v>
          </cell>
          <cell r="AW677">
            <v>0</v>
          </cell>
          <cell r="AY677">
            <v>162811</v>
          </cell>
          <cell r="AZ677">
            <v>370.75302412009034</v>
          </cell>
          <cell r="BA677">
            <v>0</v>
          </cell>
          <cell r="BB677">
            <v>0</v>
          </cell>
          <cell r="BC677">
            <v>0</v>
          </cell>
          <cell r="BD677">
            <v>0</v>
          </cell>
          <cell r="BG677">
            <v>0</v>
          </cell>
          <cell r="BH677">
            <v>0</v>
          </cell>
          <cell r="BI677">
            <v>14649</v>
          </cell>
          <cell r="BJ677">
            <v>33.358686147343874</v>
          </cell>
          <cell r="BK677">
            <v>0</v>
          </cell>
          <cell r="BL677">
            <v>0</v>
          </cell>
          <cell r="BM677">
            <v>74027</v>
          </cell>
          <cell r="BN677">
            <v>168.57420024775922</v>
          </cell>
          <cell r="BO677">
            <v>0</v>
          </cell>
          <cell r="BP677">
            <v>0</v>
          </cell>
          <cell r="BY677">
            <v>750.69</v>
          </cell>
          <cell r="CF677">
            <v>76</v>
          </cell>
          <cell r="CG677">
            <v>2142.25</v>
          </cell>
          <cell r="CJ677">
            <v>0</v>
          </cell>
          <cell r="CK677">
            <v>0</v>
          </cell>
          <cell r="CL677">
            <v>0</v>
          </cell>
          <cell r="CM677">
            <v>0</v>
          </cell>
          <cell r="CN677">
            <v>0</v>
          </cell>
          <cell r="CO677">
            <v>0</v>
          </cell>
          <cell r="CX677">
            <v>0</v>
          </cell>
          <cell r="CY677">
            <v>0</v>
          </cell>
          <cell r="DB677">
            <v>0</v>
          </cell>
          <cell r="DC677">
            <v>0</v>
          </cell>
          <cell r="DJ677" t="str">
            <v>НКРКП</v>
          </cell>
          <cell r="DL677">
            <v>40816</v>
          </cell>
          <cell r="DM677">
            <v>96</v>
          </cell>
          <cell r="DT677">
            <v>999.9</v>
          </cell>
        </row>
        <row r="678">
          <cell r="W678">
            <v>524.70117609099998</v>
          </cell>
          <cell r="AF678">
            <v>39811</v>
          </cell>
          <cell r="AG678">
            <v>1268</v>
          </cell>
          <cell r="AH678">
            <v>437.25097470597711</v>
          </cell>
          <cell r="AM678">
            <v>31035</v>
          </cell>
          <cell r="AO678">
            <v>16284100.999984184</v>
          </cell>
          <cell r="AQ678">
            <v>13570084</v>
          </cell>
          <cell r="AU678">
            <v>0</v>
          </cell>
          <cell r="AW678">
            <v>0</v>
          </cell>
          <cell r="AY678">
            <v>8196947.9999940712</v>
          </cell>
          <cell r="AZ678">
            <v>264.11947800850879</v>
          </cell>
          <cell r="BA678">
            <v>0</v>
          </cell>
          <cell r="BB678">
            <v>0</v>
          </cell>
          <cell r="BC678">
            <v>0</v>
          </cell>
          <cell r="BD678">
            <v>0</v>
          </cell>
          <cell r="BG678">
            <v>0</v>
          </cell>
          <cell r="BH678">
            <v>0</v>
          </cell>
          <cell r="BI678">
            <v>790916</v>
          </cell>
          <cell r="BJ678">
            <v>25.484646367004995</v>
          </cell>
          <cell r="BK678">
            <v>0</v>
          </cell>
          <cell r="BL678">
            <v>0</v>
          </cell>
          <cell r="BM678">
            <v>3304537</v>
          </cell>
          <cell r="BN678">
            <v>106.47775092637345</v>
          </cell>
          <cell r="BO678">
            <v>0</v>
          </cell>
          <cell r="BP678">
            <v>0</v>
          </cell>
          <cell r="BY678">
            <v>1336.18</v>
          </cell>
          <cell r="CF678">
            <v>5346.1610706700003</v>
          </cell>
          <cell r="CG678">
            <v>1533.24</v>
          </cell>
          <cell r="CJ678">
            <v>0</v>
          </cell>
          <cell r="CK678">
            <v>0</v>
          </cell>
          <cell r="CL678">
            <v>0</v>
          </cell>
          <cell r="CM678">
            <v>0</v>
          </cell>
          <cell r="CN678">
            <v>0</v>
          </cell>
          <cell r="CO678">
            <v>0</v>
          </cell>
          <cell r="CX678">
            <v>0</v>
          </cell>
          <cell r="CY678">
            <v>0</v>
          </cell>
          <cell r="DB678">
            <v>0</v>
          </cell>
          <cell r="DC678">
            <v>0</v>
          </cell>
          <cell r="DJ678" t="str">
            <v>НКРКП</v>
          </cell>
          <cell r="DL678">
            <v>40816</v>
          </cell>
          <cell r="DM678">
            <v>100</v>
          </cell>
          <cell r="DT678">
            <v>906.84</v>
          </cell>
        </row>
        <row r="679">
          <cell r="W679">
            <v>701.57</v>
          </cell>
          <cell r="AF679">
            <v>39877</v>
          </cell>
          <cell r="AG679">
            <v>1492</v>
          </cell>
          <cell r="AH679">
            <v>626.40436964341222</v>
          </cell>
          <cell r="AM679">
            <v>180.15199999999999</v>
          </cell>
          <cell r="AO679">
            <v>126389.23864</v>
          </cell>
          <cell r="AQ679">
            <v>112848</v>
          </cell>
          <cell r="AU679">
            <v>0</v>
          </cell>
          <cell r="AW679">
            <v>0</v>
          </cell>
          <cell r="AY679">
            <v>64717.372500000005</v>
          </cell>
          <cell r="AZ679">
            <v>359.2376021359741</v>
          </cell>
          <cell r="BA679">
            <v>0</v>
          </cell>
          <cell r="BB679">
            <v>0</v>
          </cell>
          <cell r="BC679">
            <v>0</v>
          </cell>
          <cell r="BD679">
            <v>0</v>
          </cell>
          <cell r="BG679">
            <v>0</v>
          </cell>
          <cell r="BH679">
            <v>0</v>
          </cell>
          <cell r="BI679">
            <v>1675</v>
          </cell>
          <cell r="BJ679">
            <v>9.2977041609307705</v>
          </cell>
          <cell r="BK679">
            <v>0</v>
          </cell>
          <cell r="BL679">
            <v>0</v>
          </cell>
          <cell r="BM679">
            <v>19625</v>
          </cell>
          <cell r="BN679">
            <v>108.93578755717395</v>
          </cell>
          <cell r="BO679">
            <v>0</v>
          </cell>
          <cell r="BP679">
            <v>0</v>
          </cell>
          <cell r="BY679">
            <v>702.4</v>
          </cell>
          <cell r="CF679">
            <v>30.21</v>
          </cell>
          <cell r="CG679">
            <v>2142.25</v>
          </cell>
          <cell r="CJ679">
            <v>0</v>
          </cell>
          <cell r="CK679">
            <v>0</v>
          </cell>
          <cell r="CL679">
            <v>0</v>
          </cell>
          <cell r="CM679">
            <v>0</v>
          </cell>
          <cell r="CN679">
            <v>0</v>
          </cell>
          <cell r="CO679">
            <v>0</v>
          </cell>
          <cell r="CX679">
            <v>0</v>
          </cell>
          <cell r="CY679">
            <v>0</v>
          </cell>
          <cell r="DB679">
            <v>0</v>
          </cell>
          <cell r="DC679">
            <v>0</v>
          </cell>
          <cell r="DJ679" t="str">
            <v>НКРКП</v>
          </cell>
          <cell r="DL679">
            <v>40816</v>
          </cell>
          <cell r="DM679">
            <v>96</v>
          </cell>
          <cell r="DT679">
            <v>971.52</v>
          </cell>
        </row>
        <row r="680">
          <cell r="W680">
            <v>764.48</v>
          </cell>
          <cell r="AF680">
            <v>39877</v>
          </cell>
          <cell r="AG680">
            <v>1498</v>
          </cell>
          <cell r="AH680">
            <v>696.42531682482593</v>
          </cell>
          <cell r="AM680">
            <v>164.602</v>
          </cell>
          <cell r="AO680">
            <v>125834.93696000001</v>
          </cell>
          <cell r="AQ680">
            <v>114633</v>
          </cell>
          <cell r="AU680">
            <v>0</v>
          </cell>
          <cell r="AW680">
            <v>0</v>
          </cell>
          <cell r="AY680">
            <v>57204.75</v>
          </cell>
          <cell r="AZ680">
            <v>347.53374807110487</v>
          </cell>
          <cell r="BA680">
            <v>0</v>
          </cell>
          <cell r="BB680">
            <v>0</v>
          </cell>
          <cell r="BC680">
            <v>0</v>
          </cell>
          <cell r="BD680">
            <v>0</v>
          </cell>
          <cell r="BG680">
            <v>0</v>
          </cell>
          <cell r="BH680">
            <v>0</v>
          </cell>
          <cell r="BI680">
            <v>2256</v>
          </cell>
          <cell r="BJ680">
            <v>13.705787292985503</v>
          </cell>
          <cell r="BK680">
            <v>0</v>
          </cell>
          <cell r="BL680">
            <v>0</v>
          </cell>
          <cell r="BM680">
            <v>33705</v>
          </cell>
          <cell r="BN680">
            <v>204.76664925092041</v>
          </cell>
          <cell r="BO680">
            <v>0</v>
          </cell>
          <cell r="BP680">
            <v>0</v>
          </cell>
          <cell r="BY680">
            <v>638.58000000000004</v>
          </cell>
          <cell r="CF680">
            <v>26.7</v>
          </cell>
          <cell r="CG680">
            <v>2142.5</v>
          </cell>
          <cell r="CJ680">
            <v>0</v>
          </cell>
          <cell r="CK680">
            <v>0</v>
          </cell>
          <cell r="CL680">
            <v>0</v>
          </cell>
          <cell r="CM680">
            <v>0</v>
          </cell>
          <cell r="CN680">
            <v>0</v>
          </cell>
          <cell r="CO680">
            <v>0</v>
          </cell>
          <cell r="CX680">
            <v>0</v>
          </cell>
          <cell r="CY680">
            <v>0</v>
          </cell>
          <cell r="DB680">
            <v>0</v>
          </cell>
          <cell r="DC680">
            <v>0</v>
          </cell>
          <cell r="DJ680" t="str">
            <v>НКРКП</v>
          </cell>
          <cell r="DL680">
            <v>40816</v>
          </cell>
          <cell r="DM680">
            <v>96</v>
          </cell>
          <cell r="DT680">
            <v>999.9</v>
          </cell>
        </row>
        <row r="681">
          <cell r="W681">
            <v>695.44</v>
          </cell>
          <cell r="AF681">
            <v>39877</v>
          </cell>
          <cell r="AG681">
            <v>1493</v>
          </cell>
          <cell r="AH681">
            <v>620.93229166666663</v>
          </cell>
          <cell r="AM681">
            <v>192</v>
          </cell>
          <cell r="AO681">
            <v>133524.48000000001</v>
          </cell>
          <cell r="AQ681">
            <v>119219</v>
          </cell>
          <cell r="AU681">
            <v>0</v>
          </cell>
          <cell r="AW681">
            <v>0</v>
          </cell>
          <cell r="AY681">
            <v>64267.5</v>
          </cell>
          <cell r="AZ681">
            <v>334.7265625</v>
          </cell>
          <cell r="BA681">
            <v>0</v>
          </cell>
          <cell r="BB681">
            <v>0</v>
          </cell>
          <cell r="BC681">
            <v>0</v>
          </cell>
          <cell r="BD681">
            <v>0</v>
          </cell>
          <cell r="BG681">
            <v>0</v>
          </cell>
          <cell r="BH681">
            <v>0</v>
          </cell>
          <cell r="BI681">
            <v>128</v>
          </cell>
          <cell r="BJ681">
            <v>0.66666666666666663</v>
          </cell>
          <cell r="BK681">
            <v>0</v>
          </cell>
          <cell r="BL681">
            <v>0</v>
          </cell>
          <cell r="BM681">
            <v>25209</v>
          </cell>
          <cell r="BN681">
            <v>131.296875</v>
          </cell>
          <cell r="BO681">
            <v>0</v>
          </cell>
          <cell r="BP681">
            <v>0</v>
          </cell>
          <cell r="BY681">
            <v>766.92</v>
          </cell>
          <cell r="CF681">
            <v>30</v>
          </cell>
          <cell r="CG681">
            <v>2142.25</v>
          </cell>
          <cell r="CJ681">
            <v>0</v>
          </cell>
          <cell r="CK681">
            <v>0</v>
          </cell>
          <cell r="CL681">
            <v>0</v>
          </cell>
          <cell r="CM681">
            <v>0</v>
          </cell>
          <cell r="CN681">
            <v>0</v>
          </cell>
          <cell r="CO681">
            <v>0</v>
          </cell>
          <cell r="CX681">
            <v>0</v>
          </cell>
          <cell r="CY681">
            <v>0</v>
          </cell>
          <cell r="DB681">
            <v>0</v>
          </cell>
          <cell r="DC681">
            <v>0</v>
          </cell>
          <cell r="DJ681" t="str">
            <v>НКРКП</v>
          </cell>
          <cell r="DL681">
            <v>40816</v>
          </cell>
          <cell r="DM681">
            <v>96</v>
          </cell>
          <cell r="DT681">
            <v>946.71</v>
          </cell>
        </row>
        <row r="682">
          <cell r="W682">
            <v>523.23</v>
          </cell>
          <cell r="AF682">
            <v>39877</v>
          </cell>
          <cell r="AG682">
            <v>1494</v>
          </cell>
          <cell r="AH682">
            <v>467.17289719626166</v>
          </cell>
          <cell r="AM682">
            <v>428</v>
          </cell>
          <cell r="AO682">
            <v>223942.44</v>
          </cell>
          <cell r="AQ682">
            <v>199950</v>
          </cell>
          <cell r="AU682">
            <v>0</v>
          </cell>
          <cell r="AW682">
            <v>0</v>
          </cell>
          <cell r="AY682">
            <v>141388.5</v>
          </cell>
          <cell r="AZ682">
            <v>330.34696261682245</v>
          </cell>
          <cell r="BA682">
            <v>0</v>
          </cell>
          <cell r="BB682">
            <v>0</v>
          </cell>
          <cell r="BC682">
            <v>0</v>
          </cell>
          <cell r="BD682">
            <v>0</v>
          </cell>
          <cell r="BG682">
            <v>0</v>
          </cell>
          <cell r="BH682">
            <v>0</v>
          </cell>
          <cell r="BI682">
            <v>2473</v>
          </cell>
          <cell r="BJ682">
            <v>5.77803738317757</v>
          </cell>
          <cell r="BK682">
            <v>0</v>
          </cell>
          <cell r="BL682">
            <v>0</v>
          </cell>
          <cell r="BM682">
            <v>28206</v>
          </cell>
          <cell r="BN682">
            <v>65.901869158878512</v>
          </cell>
          <cell r="BO682">
            <v>0</v>
          </cell>
          <cell r="BP682">
            <v>0</v>
          </cell>
          <cell r="BY682">
            <v>858.08</v>
          </cell>
          <cell r="CF682">
            <v>66</v>
          </cell>
          <cell r="CG682">
            <v>2142.25</v>
          </cell>
          <cell r="CJ682">
            <v>0</v>
          </cell>
          <cell r="CK682">
            <v>0</v>
          </cell>
          <cell r="CL682">
            <v>0</v>
          </cell>
          <cell r="CM682">
            <v>0</v>
          </cell>
          <cell r="CN682">
            <v>0</v>
          </cell>
          <cell r="CO682">
            <v>0</v>
          </cell>
          <cell r="CX682">
            <v>0</v>
          </cell>
          <cell r="CY682">
            <v>0</v>
          </cell>
          <cell r="DB682">
            <v>0</v>
          </cell>
          <cell r="DC682">
            <v>0</v>
          </cell>
          <cell r="DJ682" t="str">
            <v>НКРКП</v>
          </cell>
          <cell r="DL682">
            <v>40816</v>
          </cell>
          <cell r="DM682">
            <v>96</v>
          </cell>
          <cell r="DT682">
            <v>770.18</v>
          </cell>
        </row>
        <row r="683">
          <cell r="W683">
            <v>398.17</v>
          </cell>
          <cell r="AF683">
            <v>39721</v>
          </cell>
          <cell r="AG683">
            <v>961</v>
          </cell>
          <cell r="AH683">
            <v>361.96670792079209</v>
          </cell>
          <cell r="AM683">
            <v>8080</v>
          </cell>
          <cell r="AO683">
            <v>3217213.6</v>
          </cell>
          <cell r="AQ683">
            <v>2924691</v>
          </cell>
          <cell r="AU683">
            <v>0</v>
          </cell>
          <cell r="AW683">
            <v>0</v>
          </cell>
          <cell r="AY683">
            <v>944788.68</v>
          </cell>
          <cell r="AZ683">
            <v>116.92929207920793</v>
          </cell>
          <cell r="BA683">
            <v>0</v>
          </cell>
          <cell r="BB683">
            <v>0</v>
          </cell>
          <cell r="BC683">
            <v>0</v>
          </cell>
          <cell r="BD683">
            <v>0</v>
          </cell>
          <cell r="BG683">
            <v>0</v>
          </cell>
          <cell r="BH683">
            <v>0</v>
          </cell>
          <cell r="BI683">
            <v>260117</v>
          </cell>
          <cell r="BJ683">
            <v>32.192698019801981</v>
          </cell>
          <cell r="BK683">
            <v>0</v>
          </cell>
          <cell r="BL683">
            <v>0</v>
          </cell>
          <cell r="BM683">
            <v>1219187</v>
          </cell>
          <cell r="BN683">
            <v>150.88948019801981</v>
          </cell>
          <cell r="BO683">
            <v>0</v>
          </cell>
          <cell r="BP683">
            <v>0</v>
          </cell>
          <cell r="BY683">
            <v>1243.3499999999999</v>
          </cell>
          <cell r="CF683">
            <v>1299</v>
          </cell>
          <cell r="CG683">
            <v>727.32</v>
          </cell>
          <cell r="CJ683">
            <v>0</v>
          </cell>
          <cell r="CK683">
            <v>0</v>
          </cell>
          <cell r="CL683">
            <v>0</v>
          </cell>
          <cell r="CM683">
            <v>0</v>
          </cell>
          <cell r="CN683">
            <v>0</v>
          </cell>
          <cell r="CO683">
            <v>0</v>
          </cell>
          <cell r="CX683">
            <v>0</v>
          </cell>
          <cell r="CY683">
            <v>0</v>
          </cell>
          <cell r="DB683">
            <v>0</v>
          </cell>
          <cell r="DC683">
            <v>0</v>
          </cell>
          <cell r="DJ683" t="str">
            <v>НКРЕ</v>
          </cell>
          <cell r="DL683">
            <v>40526</v>
          </cell>
          <cell r="DM683">
            <v>1752</v>
          </cell>
          <cell r="DO683" t="str">
            <v>Тариф на теплову енергію</v>
          </cell>
          <cell r="DT683">
            <v>437.99</v>
          </cell>
        </row>
        <row r="684">
          <cell r="W684">
            <v>660</v>
          </cell>
          <cell r="AF684">
            <v>39871</v>
          </cell>
          <cell r="AG684">
            <v>1428</v>
          </cell>
          <cell r="AH684">
            <v>600.00042964554245</v>
          </cell>
          <cell r="AM684">
            <v>4655</v>
          </cell>
          <cell r="AO684">
            <v>3072300</v>
          </cell>
          <cell r="AQ684">
            <v>2793002</v>
          </cell>
          <cell r="AU684">
            <v>0</v>
          </cell>
          <cell r="AW684">
            <v>0</v>
          </cell>
          <cell r="AY684">
            <v>1692377.5</v>
          </cell>
          <cell r="AZ684">
            <v>363.5612244897959</v>
          </cell>
          <cell r="BA684">
            <v>0</v>
          </cell>
          <cell r="BB684">
            <v>0</v>
          </cell>
          <cell r="BC684">
            <v>0</v>
          </cell>
          <cell r="BD684">
            <v>0</v>
          </cell>
          <cell r="BG684">
            <v>0</v>
          </cell>
          <cell r="BH684">
            <v>0</v>
          </cell>
          <cell r="BI684">
            <v>58993</v>
          </cell>
          <cell r="BJ684">
            <v>12.673039742212675</v>
          </cell>
          <cell r="BK684">
            <v>0</v>
          </cell>
          <cell r="BL684">
            <v>0</v>
          </cell>
          <cell r="BM684">
            <v>702404</v>
          </cell>
          <cell r="BN684">
            <v>150.89237379162191</v>
          </cell>
          <cell r="BO684">
            <v>0</v>
          </cell>
          <cell r="BP684">
            <v>0</v>
          </cell>
          <cell r="BY684">
            <v>1243.3499999999999</v>
          </cell>
          <cell r="CF684">
            <v>790</v>
          </cell>
          <cell r="CG684">
            <v>2142.25</v>
          </cell>
          <cell r="CJ684">
            <v>0</v>
          </cell>
          <cell r="CK684">
            <v>0</v>
          </cell>
          <cell r="CL684">
            <v>0</v>
          </cell>
          <cell r="CM684">
            <v>0</v>
          </cell>
          <cell r="CN684">
            <v>0</v>
          </cell>
          <cell r="CO684">
            <v>0</v>
          </cell>
          <cell r="CX684">
            <v>0</v>
          </cell>
          <cell r="CY684">
            <v>0</v>
          </cell>
          <cell r="DB684">
            <v>0</v>
          </cell>
          <cell r="DC684">
            <v>0</v>
          </cell>
          <cell r="DJ684" t="str">
            <v>НКРКП</v>
          </cell>
          <cell r="DL684">
            <v>40816</v>
          </cell>
          <cell r="DM684">
            <v>96</v>
          </cell>
          <cell r="DT684">
            <v>933.16</v>
          </cell>
        </row>
        <row r="685">
          <cell r="W685">
            <v>1168.8800000000001</v>
          </cell>
          <cell r="AF685">
            <v>39871</v>
          </cell>
          <cell r="AG685">
            <v>1429</v>
          </cell>
          <cell r="AH685">
            <v>601.89097744360902</v>
          </cell>
          <cell r="AM685">
            <v>266</v>
          </cell>
          <cell r="AO685">
            <v>310922.08</v>
          </cell>
          <cell r="AQ685">
            <v>160103</v>
          </cell>
          <cell r="AU685">
            <v>0</v>
          </cell>
          <cell r="AW685">
            <v>0</v>
          </cell>
          <cell r="AY685">
            <v>92116.75</v>
          </cell>
          <cell r="AZ685">
            <v>346.30357142857144</v>
          </cell>
          <cell r="BA685">
            <v>0</v>
          </cell>
          <cell r="BB685">
            <v>0</v>
          </cell>
          <cell r="BC685">
            <v>0</v>
          </cell>
          <cell r="BD685">
            <v>0</v>
          </cell>
          <cell r="BG685">
            <v>0</v>
          </cell>
          <cell r="BH685">
            <v>0</v>
          </cell>
          <cell r="BI685">
            <v>9309</v>
          </cell>
          <cell r="BJ685">
            <v>34.996240601503757</v>
          </cell>
          <cell r="BK685">
            <v>0</v>
          </cell>
          <cell r="BL685">
            <v>0</v>
          </cell>
          <cell r="BM685">
            <v>40137</v>
          </cell>
          <cell r="BN685">
            <v>150.89097744360902</v>
          </cell>
          <cell r="BO685">
            <v>0</v>
          </cell>
          <cell r="BP685">
            <v>0</v>
          </cell>
          <cell r="BY685">
            <v>1243.3499999999999</v>
          </cell>
          <cell r="CF685">
            <v>43</v>
          </cell>
          <cell r="CG685">
            <v>2142.25</v>
          </cell>
          <cell r="CJ685">
            <v>0</v>
          </cell>
          <cell r="CK685">
            <v>0</v>
          </cell>
          <cell r="CL685">
            <v>0</v>
          </cell>
          <cell r="CM685">
            <v>0</v>
          </cell>
          <cell r="CN685">
            <v>0</v>
          </cell>
          <cell r="CO685">
            <v>0</v>
          </cell>
          <cell r="CX685">
            <v>0</v>
          </cell>
          <cell r="CY685">
            <v>0</v>
          </cell>
          <cell r="DB685">
            <v>0</v>
          </cell>
          <cell r="DC685">
            <v>0</v>
          </cell>
          <cell r="DJ685" t="str">
            <v>НКРКП</v>
          </cell>
          <cell r="DL685">
            <v>40816</v>
          </cell>
          <cell r="DM685">
            <v>96</v>
          </cell>
          <cell r="DT685">
            <v>1168.8800000000001</v>
          </cell>
        </row>
        <row r="686">
          <cell r="W686">
            <v>604.39</v>
          </cell>
          <cell r="AF686">
            <v>39895</v>
          </cell>
          <cell r="AG686">
            <v>1577</v>
          </cell>
          <cell r="AH686">
            <v>538.88146399055495</v>
          </cell>
          <cell r="AM686">
            <v>4235</v>
          </cell>
          <cell r="AO686">
            <v>2559591.65</v>
          </cell>
          <cell r="AQ686">
            <v>2282163</v>
          </cell>
          <cell r="AU686">
            <v>0</v>
          </cell>
          <cell r="AW686">
            <v>0</v>
          </cell>
          <cell r="AY686">
            <v>1649532.5</v>
          </cell>
          <cell r="AZ686">
            <v>389.5</v>
          </cell>
          <cell r="BA686">
            <v>0</v>
          </cell>
          <cell r="BB686">
            <v>0</v>
          </cell>
          <cell r="BC686">
            <v>0</v>
          </cell>
          <cell r="BD686">
            <v>0</v>
          </cell>
          <cell r="BG686">
            <v>0</v>
          </cell>
          <cell r="BH686">
            <v>0</v>
          </cell>
          <cell r="BI686">
            <v>49184</v>
          </cell>
          <cell r="BJ686">
            <v>11.613695395513577</v>
          </cell>
          <cell r="BK686">
            <v>0</v>
          </cell>
          <cell r="BL686">
            <v>0</v>
          </cell>
          <cell r="BM686">
            <v>319292</v>
          </cell>
          <cell r="BN686">
            <v>75.393624557260921</v>
          </cell>
          <cell r="BO686">
            <v>0</v>
          </cell>
          <cell r="BP686">
            <v>0</v>
          </cell>
          <cell r="BY686">
            <v>1142.78</v>
          </cell>
          <cell r="CF686">
            <v>770</v>
          </cell>
          <cell r="CG686">
            <v>2142.25</v>
          </cell>
          <cell r="CJ686">
            <v>0</v>
          </cell>
          <cell r="CK686">
            <v>0</v>
          </cell>
          <cell r="CL686">
            <v>0</v>
          </cell>
          <cell r="CM686">
            <v>0</v>
          </cell>
          <cell r="CN686">
            <v>0</v>
          </cell>
          <cell r="CO686">
            <v>0</v>
          </cell>
          <cell r="CX686">
            <v>0</v>
          </cell>
          <cell r="CY686">
            <v>0</v>
          </cell>
          <cell r="DB686">
            <v>0</v>
          </cell>
          <cell r="DC686">
            <v>0</v>
          </cell>
          <cell r="DJ686" t="str">
            <v>НКРКП</v>
          </cell>
          <cell r="DL686">
            <v>40816</v>
          </cell>
          <cell r="DM686">
            <v>96</v>
          </cell>
          <cell r="DT686">
            <v>897.17</v>
          </cell>
        </row>
        <row r="687">
          <cell r="W687">
            <v>684.25</v>
          </cell>
          <cell r="AF687">
            <v>39871</v>
          </cell>
          <cell r="AG687">
            <v>1433</v>
          </cell>
          <cell r="AH687">
            <v>684.25250836120404</v>
          </cell>
          <cell r="AM687">
            <v>598</v>
          </cell>
          <cell r="AO687">
            <v>409181.5</v>
          </cell>
          <cell r="AQ687">
            <v>409183</v>
          </cell>
          <cell r="AU687">
            <v>0</v>
          </cell>
          <cell r="AW687">
            <v>0</v>
          </cell>
          <cell r="AY687">
            <v>218509.5</v>
          </cell>
          <cell r="AZ687">
            <v>365.40050167224081</v>
          </cell>
          <cell r="BA687">
            <v>0</v>
          </cell>
          <cell r="BB687">
            <v>0</v>
          </cell>
          <cell r="BC687">
            <v>0</v>
          </cell>
          <cell r="BD687">
            <v>0</v>
          </cell>
          <cell r="BG687">
            <v>0</v>
          </cell>
          <cell r="BH687">
            <v>0</v>
          </cell>
          <cell r="BI687">
            <v>34423</v>
          </cell>
          <cell r="BJ687">
            <v>57.563545150501675</v>
          </cell>
          <cell r="BK687">
            <v>0</v>
          </cell>
          <cell r="BL687">
            <v>0</v>
          </cell>
          <cell r="BM687">
            <v>100160</v>
          </cell>
          <cell r="BN687">
            <v>167.49163879598663</v>
          </cell>
          <cell r="BO687">
            <v>0</v>
          </cell>
          <cell r="BP687">
            <v>0</v>
          </cell>
          <cell r="BY687">
            <v>1218.8499999999999</v>
          </cell>
          <cell r="CF687">
            <v>102</v>
          </cell>
          <cell r="CG687">
            <v>2142.25</v>
          </cell>
          <cell r="CJ687">
            <v>0</v>
          </cell>
          <cell r="CK687">
            <v>0</v>
          </cell>
          <cell r="CL687">
            <v>0</v>
          </cell>
          <cell r="CM687">
            <v>0</v>
          </cell>
          <cell r="CN687">
            <v>0</v>
          </cell>
          <cell r="CO687">
            <v>0</v>
          </cell>
          <cell r="CX687">
            <v>0</v>
          </cell>
          <cell r="CY687">
            <v>0</v>
          </cell>
          <cell r="DB687">
            <v>0</v>
          </cell>
          <cell r="DC687">
            <v>0</v>
          </cell>
          <cell r="DJ687" t="str">
            <v>НКРКП</v>
          </cell>
          <cell r="DL687">
            <v>40816</v>
          </cell>
          <cell r="DM687">
            <v>96</v>
          </cell>
          <cell r="DT687">
            <v>958.32</v>
          </cell>
        </row>
        <row r="688">
          <cell r="W688">
            <v>943.08</v>
          </cell>
          <cell r="AF688">
            <v>39871</v>
          </cell>
          <cell r="AG688">
            <v>1431</v>
          </cell>
          <cell r="AH688">
            <v>857.61111111111109</v>
          </cell>
          <cell r="AM688">
            <v>234</v>
          </cell>
          <cell r="AO688">
            <v>220680.72</v>
          </cell>
          <cell r="AQ688">
            <v>200681</v>
          </cell>
          <cell r="AU688">
            <v>0</v>
          </cell>
          <cell r="AW688">
            <v>0</v>
          </cell>
          <cell r="AY688">
            <v>94259</v>
          </cell>
          <cell r="AZ688">
            <v>402.81623931623932</v>
          </cell>
          <cell r="BA688">
            <v>0</v>
          </cell>
          <cell r="BB688">
            <v>0</v>
          </cell>
          <cell r="BC688">
            <v>0</v>
          </cell>
          <cell r="BD688">
            <v>0</v>
          </cell>
          <cell r="BG688">
            <v>0</v>
          </cell>
          <cell r="BH688">
            <v>0</v>
          </cell>
          <cell r="BI688">
            <v>13982</v>
          </cell>
          <cell r="BJ688">
            <v>59.752136752136749</v>
          </cell>
          <cell r="BK688">
            <v>0</v>
          </cell>
          <cell r="BL688">
            <v>0</v>
          </cell>
          <cell r="BM688">
            <v>61747</v>
          </cell>
          <cell r="BN688">
            <v>263.87606837606836</v>
          </cell>
          <cell r="BO688">
            <v>0</v>
          </cell>
          <cell r="BP688">
            <v>0</v>
          </cell>
          <cell r="BY688">
            <v>751.4</v>
          </cell>
          <cell r="CF688">
            <v>44</v>
          </cell>
          <cell r="CG688">
            <v>2142.25</v>
          </cell>
          <cell r="CJ688">
            <v>0</v>
          </cell>
          <cell r="CK688">
            <v>0</v>
          </cell>
          <cell r="CL688">
            <v>0</v>
          </cell>
          <cell r="CM688">
            <v>0</v>
          </cell>
          <cell r="CN688">
            <v>0</v>
          </cell>
          <cell r="CO688">
            <v>0</v>
          </cell>
          <cell r="CX688">
            <v>0</v>
          </cell>
          <cell r="CY688">
            <v>0</v>
          </cell>
          <cell r="DB688">
            <v>0</v>
          </cell>
          <cell r="DC688">
            <v>0</v>
          </cell>
          <cell r="DJ688" t="str">
            <v>НКРКП</v>
          </cell>
          <cell r="DL688">
            <v>40816</v>
          </cell>
          <cell r="DM688">
            <v>96</v>
          </cell>
          <cell r="DT688">
            <v>999.9</v>
          </cell>
        </row>
        <row r="689">
          <cell r="W689">
            <v>794.26</v>
          </cell>
          <cell r="AF689">
            <v>39871</v>
          </cell>
          <cell r="AG689">
            <v>1435</v>
          </cell>
          <cell r="AH689">
            <v>697.4741784037559</v>
          </cell>
          <cell r="AM689">
            <v>852</v>
          </cell>
          <cell r="AO689">
            <v>676709.52</v>
          </cell>
          <cell r="AQ689">
            <v>594248</v>
          </cell>
          <cell r="AU689">
            <v>0</v>
          </cell>
          <cell r="AW689">
            <v>0</v>
          </cell>
          <cell r="AY689">
            <v>310626.25</v>
          </cell>
          <cell r="AZ689">
            <v>364.58480046948358</v>
          </cell>
          <cell r="BA689">
            <v>0</v>
          </cell>
          <cell r="BB689">
            <v>0</v>
          </cell>
          <cell r="BC689">
            <v>0</v>
          </cell>
          <cell r="BD689">
            <v>0</v>
          </cell>
          <cell r="BG689">
            <v>0</v>
          </cell>
          <cell r="BH689">
            <v>0</v>
          </cell>
          <cell r="BI689">
            <v>50053</v>
          </cell>
          <cell r="BJ689">
            <v>58.747652582159624</v>
          </cell>
          <cell r="BK689">
            <v>0</v>
          </cell>
          <cell r="BL689">
            <v>0</v>
          </cell>
          <cell r="BM689">
            <v>129139</v>
          </cell>
          <cell r="BN689">
            <v>151.57159624413146</v>
          </cell>
          <cell r="BO689">
            <v>0</v>
          </cell>
          <cell r="BP689">
            <v>0</v>
          </cell>
          <cell r="BY689">
            <v>1232.72</v>
          </cell>
          <cell r="CF689">
            <v>145</v>
          </cell>
          <cell r="CG689">
            <v>2142.25</v>
          </cell>
          <cell r="CJ689">
            <v>0</v>
          </cell>
          <cell r="CK689">
            <v>0</v>
          </cell>
          <cell r="CL689">
            <v>0</v>
          </cell>
          <cell r="CM689">
            <v>0</v>
          </cell>
          <cell r="CN689">
            <v>0</v>
          </cell>
          <cell r="CO689">
            <v>0</v>
          </cell>
          <cell r="CX689">
            <v>0</v>
          </cell>
          <cell r="CY689">
            <v>0</v>
          </cell>
          <cell r="DB689">
            <v>0</v>
          </cell>
          <cell r="DC689">
            <v>0</v>
          </cell>
          <cell r="DJ689" t="str">
            <v>НКРКП</v>
          </cell>
          <cell r="DL689">
            <v>40816</v>
          </cell>
          <cell r="DM689">
            <v>96</v>
          </cell>
          <cell r="DT689">
            <v>999.9</v>
          </cell>
        </row>
        <row r="690">
          <cell r="W690">
            <v>1310.18</v>
          </cell>
          <cell r="AF690">
            <v>39871</v>
          </cell>
          <cell r="AG690">
            <v>1430</v>
          </cell>
          <cell r="AH690">
            <v>1162.0320156308894</v>
          </cell>
          <cell r="AM690">
            <v>129.999</v>
          </cell>
          <cell r="AO690">
            <v>170322.08981999999</v>
          </cell>
          <cell r="AQ690">
            <v>151063</v>
          </cell>
          <cell r="AU690">
            <v>0</v>
          </cell>
          <cell r="AW690">
            <v>0</v>
          </cell>
          <cell r="AY690">
            <v>47129.5</v>
          </cell>
          <cell r="AZ690">
            <v>362.53740413387794</v>
          </cell>
          <cell r="BA690">
            <v>0</v>
          </cell>
          <cell r="BB690">
            <v>0</v>
          </cell>
          <cell r="BC690">
            <v>0</v>
          </cell>
          <cell r="BD690">
            <v>0</v>
          </cell>
          <cell r="BG690">
            <v>0</v>
          </cell>
          <cell r="BH690">
            <v>0</v>
          </cell>
          <cell r="BI690">
            <v>11794</v>
          </cell>
          <cell r="BJ690">
            <v>90.723774798267684</v>
          </cell>
          <cell r="BK690">
            <v>0</v>
          </cell>
          <cell r="BL690">
            <v>0</v>
          </cell>
          <cell r="BM690">
            <v>50287</v>
          </cell>
          <cell r="BN690">
            <v>386.82605250809621</v>
          </cell>
          <cell r="BO690">
            <v>0</v>
          </cell>
          <cell r="BP690">
            <v>0</v>
          </cell>
          <cell r="BY690">
            <v>1019.99</v>
          </cell>
          <cell r="CF690">
            <v>22</v>
          </cell>
          <cell r="CG690">
            <v>2142.25</v>
          </cell>
          <cell r="CJ690">
            <v>0</v>
          </cell>
          <cell r="CK690">
            <v>0</v>
          </cell>
          <cell r="CL690">
            <v>0</v>
          </cell>
          <cell r="CM690">
            <v>0</v>
          </cell>
          <cell r="CN690">
            <v>0</v>
          </cell>
          <cell r="CO690">
            <v>0</v>
          </cell>
          <cell r="CX690">
            <v>0</v>
          </cell>
          <cell r="CY690">
            <v>0</v>
          </cell>
          <cell r="DB690">
            <v>0</v>
          </cell>
          <cell r="DC690">
            <v>0</v>
          </cell>
          <cell r="DJ690" t="str">
            <v>НКРКП</v>
          </cell>
          <cell r="DL690">
            <v>40816</v>
          </cell>
          <cell r="DM690">
            <v>96</v>
          </cell>
          <cell r="DT690">
            <v>1336.34</v>
          </cell>
        </row>
        <row r="691">
          <cell r="W691">
            <v>287.98</v>
          </cell>
          <cell r="AF691">
            <v>39769</v>
          </cell>
          <cell r="AG691">
            <v>1071</v>
          </cell>
          <cell r="AH691">
            <v>261.80306778304822</v>
          </cell>
          <cell r="AM691">
            <v>3824.26</v>
          </cell>
          <cell r="AO691">
            <v>1101310.3948000001</v>
          </cell>
          <cell r="AQ691">
            <v>1001203</v>
          </cell>
          <cell r="AU691">
            <v>0</v>
          </cell>
          <cell r="AW691">
            <v>0</v>
          </cell>
          <cell r="AY691">
            <v>427664.16000000003</v>
          </cell>
          <cell r="AZ691">
            <v>111.82925847091987</v>
          </cell>
          <cell r="BA691">
            <v>0</v>
          </cell>
          <cell r="BB691">
            <v>0</v>
          </cell>
          <cell r="BC691">
            <v>0</v>
          </cell>
          <cell r="BD691">
            <v>0</v>
          </cell>
          <cell r="BG691">
            <v>0</v>
          </cell>
          <cell r="BH691">
            <v>0</v>
          </cell>
          <cell r="BI691">
            <v>65318</v>
          </cell>
          <cell r="BJ691">
            <v>17.079905654950238</v>
          </cell>
          <cell r="BK691">
            <v>0</v>
          </cell>
          <cell r="BL691">
            <v>0</v>
          </cell>
          <cell r="BM691">
            <v>364629</v>
          </cell>
          <cell r="BN691">
            <v>95.346289216737347</v>
          </cell>
          <cell r="BO691">
            <v>0</v>
          </cell>
          <cell r="BP691">
            <v>0</v>
          </cell>
          <cell r="BY691">
            <v>1478.46</v>
          </cell>
          <cell r="CF691">
            <v>588</v>
          </cell>
          <cell r="CG691">
            <v>727.32</v>
          </cell>
          <cell r="CJ691">
            <v>0</v>
          </cell>
          <cell r="CK691">
            <v>0</v>
          </cell>
          <cell r="CL691">
            <v>0</v>
          </cell>
          <cell r="CM691">
            <v>0</v>
          </cell>
          <cell r="CN691">
            <v>0</v>
          </cell>
          <cell r="CO691">
            <v>0</v>
          </cell>
          <cell r="CX691">
            <v>0</v>
          </cell>
          <cell r="CY691">
            <v>0</v>
          </cell>
          <cell r="DB691">
            <v>0</v>
          </cell>
          <cell r="DC691">
            <v>0</v>
          </cell>
          <cell r="DJ691" t="str">
            <v>НКРЕ</v>
          </cell>
          <cell r="DL691">
            <v>40526</v>
          </cell>
          <cell r="DM691">
            <v>1752</v>
          </cell>
          <cell r="DO691" t="str">
            <v>Тариф на теплову енергію</v>
          </cell>
          <cell r="DT691">
            <v>316.77999999999997</v>
          </cell>
        </row>
        <row r="692">
          <cell r="W692">
            <v>604.19000000000005</v>
          </cell>
          <cell r="AF692">
            <v>39875</v>
          </cell>
          <cell r="AG692">
            <v>1466</v>
          </cell>
          <cell r="AH692">
            <v>517.33813892529486</v>
          </cell>
          <cell r="AM692">
            <v>763</v>
          </cell>
          <cell r="AO692">
            <v>460996.97000000003</v>
          </cell>
          <cell r="AQ692">
            <v>394729</v>
          </cell>
          <cell r="AU692">
            <v>0</v>
          </cell>
          <cell r="AW692">
            <v>0</v>
          </cell>
          <cell r="AY692">
            <v>278492.5</v>
          </cell>
          <cell r="AZ692">
            <v>364.9967234600262</v>
          </cell>
          <cell r="BA692">
            <v>0</v>
          </cell>
          <cell r="BB692">
            <v>0</v>
          </cell>
          <cell r="BC692">
            <v>0</v>
          </cell>
          <cell r="BD692">
            <v>0</v>
          </cell>
          <cell r="BG692">
            <v>0</v>
          </cell>
          <cell r="BH692">
            <v>0</v>
          </cell>
          <cell r="BI692">
            <v>14193</v>
          </cell>
          <cell r="BJ692">
            <v>18.601572739187418</v>
          </cell>
          <cell r="BK692">
            <v>0</v>
          </cell>
          <cell r="BL692">
            <v>0</v>
          </cell>
          <cell r="BM692">
            <v>72749</v>
          </cell>
          <cell r="BN692">
            <v>95.346002621231975</v>
          </cell>
          <cell r="BO692">
            <v>0</v>
          </cell>
          <cell r="BP692">
            <v>0</v>
          </cell>
          <cell r="BY692">
            <v>1478.46</v>
          </cell>
          <cell r="CF692">
            <v>130</v>
          </cell>
          <cell r="CG692">
            <v>2142.25</v>
          </cell>
          <cell r="CJ692">
            <v>0</v>
          </cell>
          <cell r="CK692">
            <v>0</v>
          </cell>
          <cell r="CL692">
            <v>0</v>
          </cell>
          <cell r="CM692">
            <v>0</v>
          </cell>
          <cell r="CN692">
            <v>0</v>
          </cell>
          <cell r="CO692">
            <v>0</v>
          </cell>
          <cell r="CX692">
            <v>0</v>
          </cell>
          <cell r="CY692">
            <v>0</v>
          </cell>
          <cell r="DB692">
            <v>0</v>
          </cell>
          <cell r="DC692">
            <v>0</v>
          </cell>
          <cell r="DJ692" t="str">
            <v>НКРКП</v>
          </cell>
          <cell r="DL692">
            <v>40816</v>
          </cell>
          <cell r="DM692">
            <v>96</v>
          </cell>
          <cell r="DT692">
            <v>879.09</v>
          </cell>
        </row>
        <row r="693">
          <cell r="W693">
            <v>286.38</v>
          </cell>
          <cell r="AF693">
            <v>39764</v>
          </cell>
          <cell r="AG693">
            <v>1077</v>
          </cell>
          <cell r="AH693">
            <v>260.34977549479578</v>
          </cell>
          <cell r="AM693">
            <v>5258.23</v>
          </cell>
          <cell r="AO693">
            <v>1505851.9073999999</v>
          </cell>
          <cell r="AQ693">
            <v>1368979</v>
          </cell>
          <cell r="AU693">
            <v>0</v>
          </cell>
          <cell r="AW693">
            <v>0</v>
          </cell>
          <cell r="AY693">
            <v>636405</v>
          </cell>
          <cell r="AZ693">
            <v>121.03027064240248</v>
          </cell>
          <cell r="BA693">
            <v>0</v>
          </cell>
          <cell r="BB693">
            <v>0</v>
          </cell>
          <cell r="BC693">
            <v>0</v>
          </cell>
          <cell r="BD693">
            <v>0</v>
          </cell>
          <cell r="BG693">
            <v>0</v>
          </cell>
          <cell r="BH693">
            <v>0</v>
          </cell>
          <cell r="BI693">
            <v>100503</v>
          </cell>
          <cell r="BJ693">
            <v>19.113465938157898</v>
          </cell>
          <cell r="BK693">
            <v>0</v>
          </cell>
          <cell r="BL693">
            <v>0</v>
          </cell>
          <cell r="BM693">
            <v>428783</v>
          </cell>
          <cell r="BN693">
            <v>81.54512069650815</v>
          </cell>
          <cell r="BO693">
            <v>0</v>
          </cell>
          <cell r="BP693">
            <v>0</v>
          </cell>
          <cell r="BY693">
            <v>1789.9</v>
          </cell>
          <cell r="CF693">
            <v>875</v>
          </cell>
          <cell r="CG693">
            <v>727.32</v>
          </cell>
          <cell r="CJ693">
            <v>0</v>
          </cell>
          <cell r="CK693">
            <v>0</v>
          </cell>
          <cell r="CL693">
            <v>0</v>
          </cell>
          <cell r="CM693">
            <v>0</v>
          </cell>
          <cell r="CN693">
            <v>0</v>
          </cell>
          <cell r="CO693">
            <v>0</v>
          </cell>
          <cell r="CX693">
            <v>0</v>
          </cell>
          <cell r="CY693">
            <v>0</v>
          </cell>
          <cell r="DB693">
            <v>0</v>
          </cell>
          <cell r="DC693">
            <v>0</v>
          </cell>
          <cell r="DJ693" t="str">
            <v>НКРЕ</v>
          </cell>
          <cell r="DL693">
            <v>40526</v>
          </cell>
          <cell r="DM693">
            <v>1752</v>
          </cell>
          <cell r="DO693" t="str">
            <v>на теплову енергію</v>
          </cell>
          <cell r="DT693">
            <v>315.02</v>
          </cell>
        </row>
        <row r="694">
          <cell r="W694">
            <v>518.25</v>
          </cell>
          <cell r="AF694">
            <v>39863</v>
          </cell>
          <cell r="AG694">
            <v>1391</v>
          </cell>
          <cell r="AH694">
            <v>469.42194497760715</v>
          </cell>
          <cell r="AM694">
            <v>3126</v>
          </cell>
          <cell r="AO694">
            <v>1620049.5</v>
          </cell>
          <cell r="AQ694">
            <v>1467413</v>
          </cell>
          <cell r="AU694">
            <v>0</v>
          </cell>
          <cell r="AW694">
            <v>0</v>
          </cell>
          <cell r="AY694">
            <v>1036849</v>
          </cell>
          <cell r="AZ694">
            <v>331.68554062699934</v>
          </cell>
          <cell r="BA694">
            <v>0</v>
          </cell>
          <cell r="BB694">
            <v>0</v>
          </cell>
          <cell r="BC694">
            <v>0</v>
          </cell>
          <cell r="BD694">
            <v>0</v>
          </cell>
          <cell r="BG694">
            <v>0</v>
          </cell>
          <cell r="BH694">
            <v>0</v>
          </cell>
          <cell r="BI694">
            <v>54239</v>
          </cell>
          <cell r="BJ694">
            <v>17.350927703134996</v>
          </cell>
          <cell r="BK694">
            <v>0</v>
          </cell>
          <cell r="BL694">
            <v>0</v>
          </cell>
          <cell r="BM694">
            <v>254910</v>
          </cell>
          <cell r="BN694">
            <v>81.545105566218808</v>
          </cell>
          <cell r="BO694">
            <v>0</v>
          </cell>
          <cell r="BP694">
            <v>0</v>
          </cell>
          <cell r="BY694">
            <v>1789.9</v>
          </cell>
          <cell r="CF694">
            <v>484</v>
          </cell>
          <cell r="CG694">
            <v>2142.25</v>
          </cell>
          <cell r="CJ694">
            <v>0</v>
          </cell>
          <cell r="CK694">
            <v>0</v>
          </cell>
          <cell r="CL694">
            <v>0</v>
          </cell>
          <cell r="CM694">
            <v>0</v>
          </cell>
          <cell r="CN694">
            <v>0</v>
          </cell>
          <cell r="CO694">
            <v>0</v>
          </cell>
          <cell r="CX694">
            <v>0</v>
          </cell>
          <cell r="CY694">
            <v>0</v>
          </cell>
          <cell r="DB694">
            <v>0</v>
          </cell>
          <cell r="DC694">
            <v>0</v>
          </cell>
          <cell r="DJ694" t="str">
            <v>НКРКП</v>
          </cell>
          <cell r="DL694">
            <v>40816</v>
          </cell>
          <cell r="DM694">
            <v>96</v>
          </cell>
          <cell r="DT694">
            <v>767.62</v>
          </cell>
        </row>
        <row r="695">
          <cell r="W695">
            <v>557.79</v>
          </cell>
          <cell r="AF695">
            <v>39863</v>
          </cell>
          <cell r="AG695">
            <v>1392</v>
          </cell>
          <cell r="AH695">
            <v>497.57732201791606</v>
          </cell>
          <cell r="AM695">
            <v>4242</v>
          </cell>
          <cell r="AO695">
            <v>2366145.1799999997</v>
          </cell>
          <cell r="AQ695">
            <v>2110723</v>
          </cell>
          <cell r="AU695">
            <v>0</v>
          </cell>
          <cell r="AW695">
            <v>0</v>
          </cell>
          <cell r="AY695">
            <v>1495290.5</v>
          </cell>
          <cell r="AZ695">
            <v>352.49658180103722</v>
          </cell>
          <cell r="BA695">
            <v>0</v>
          </cell>
          <cell r="BB695">
            <v>0</v>
          </cell>
          <cell r="BC695">
            <v>0</v>
          </cell>
          <cell r="BD695">
            <v>0</v>
          </cell>
          <cell r="BG695">
            <v>0</v>
          </cell>
          <cell r="BH695">
            <v>0</v>
          </cell>
          <cell r="BI695">
            <v>104640</v>
          </cell>
          <cell r="BJ695">
            <v>24.667609618104667</v>
          </cell>
          <cell r="BK695">
            <v>0</v>
          </cell>
          <cell r="BL695">
            <v>0</v>
          </cell>
          <cell r="BM695">
            <v>345914</v>
          </cell>
          <cell r="BN695">
            <v>81.545025931164545</v>
          </cell>
          <cell r="BO695">
            <v>0</v>
          </cell>
          <cell r="BP695">
            <v>0</v>
          </cell>
          <cell r="BY695">
            <v>1789.9</v>
          </cell>
          <cell r="CF695">
            <v>698</v>
          </cell>
          <cell r="CG695">
            <v>2142.25</v>
          </cell>
          <cell r="CJ695">
            <v>0</v>
          </cell>
          <cell r="CK695">
            <v>0</v>
          </cell>
          <cell r="CL695">
            <v>0</v>
          </cell>
          <cell r="CM695">
            <v>0</v>
          </cell>
          <cell r="CN695">
            <v>0</v>
          </cell>
          <cell r="CO695">
            <v>0</v>
          </cell>
          <cell r="CX695">
            <v>0</v>
          </cell>
          <cell r="CY695">
            <v>0</v>
          </cell>
          <cell r="DB695">
            <v>0</v>
          </cell>
          <cell r="DC695">
            <v>0</v>
          </cell>
          <cell r="DJ695" t="str">
            <v>НКРКП</v>
          </cell>
          <cell r="DL695">
            <v>40816</v>
          </cell>
          <cell r="DM695">
            <v>96</v>
          </cell>
          <cell r="DT695">
            <v>822.79</v>
          </cell>
        </row>
        <row r="696">
          <cell r="W696">
            <v>672.19</v>
          </cell>
          <cell r="AF696">
            <v>39875</v>
          </cell>
          <cell r="AG696">
            <v>1464</v>
          </cell>
          <cell r="AH696">
            <v>579.14968814968813</v>
          </cell>
          <cell r="AM696">
            <v>481</v>
          </cell>
          <cell r="AO696">
            <v>323323.39</v>
          </cell>
          <cell r="AQ696">
            <v>278571</v>
          </cell>
          <cell r="AU696">
            <v>0</v>
          </cell>
          <cell r="AW696">
            <v>0</v>
          </cell>
          <cell r="AY696">
            <v>169237.75</v>
          </cell>
          <cell r="AZ696">
            <v>351.84563409563407</v>
          </cell>
          <cell r="BA696">
            <v>0</v>
          </cell>
          <cell r="BB696">
            <v>0</v>
          </cell>
          <cell r="BC696">
            <v>0</v>
          </cell>
          <cell r="BD696">
            <v>0</v>
          </cell>
          <cell r="BG696">
            <v>0</v>
          </cell>
          <cell r="BH696">
            <v>0</v>
          </cell>
          <cell r="BI696">
            <v>4505</v>
          </cell>
          <cell r="BJ696">
            <v>9.365904365904365</v>
          </cell>
          <cell r="BK696">
            <v>0</v>
          </cell>
          <cell r="BL696">
            <v>0</v>
          </cell>
          <cell r="BM696">
            <v>74656</v>
          </cell>
          <cell r="BN696">
            <v>155.20997920997922</v>
          </cell>
          <cell r="BO696">
            <v>0</v>
          </cell>
          <cell r="BP696">
            <v>0</v>
          </cell>
          <cell r="BY696">
            <v>948.15</v>
          </cell>
          <cell r="CF696">
            <v>79</v>
          </cell>
          <cell r="CG696">
            <v>2142.25</v>
          </cell>
          <cell r="CJ696">
            <v>0</v>
          </cell>
          <cell r="CK696">
            <v>0</v>
          </cell>
          <cell r="CL696">
            <v>0</v>
          </cell>
          <cell r="CM696">
            <v>0</v>
          </cell>
          <cell r="CN696">
            <v>0</v>
          </cell>
          <cell r="CO696">
            <v>0</v>
          </cell>
          <cell r="CX696">
            <v>0</v>
          </cell>
          <cell r="CY696">
            <v>0</v>
          </cell>
          <cell r="DB696">
            <v>0</v>
          </cell>
          <cell r="DC696">
            <v>0</v>
          </cell>
          <cell r="DJ696" t="str">
            <v>НКРКП</v>
          </cell>
          <cell r="DL696">
            <v>40816</v>
          </cell>
          <cell r="DM696">
            <v>96</v>
          </cell>
          <cell r="DT696">
            <v>937.97</v>
          </cell>
        </row>
        <row r="697">
          <cell r="W697">
            <v>743.94</v>
          </cell>
          <cell r="AF697">
            <v>39875</v>
          </cell>
          <cell r="AG697">
            <v>1465</v>
          </cell>
          <cell r="AH697">
            <v>638.90476190476193</v>
          </cell>
          <cell r="AM697">
            <v>21</v>
          </cell>
          <cell r="AO697">
            <v>15622.740000000002</v>
          </cell>
          <cell r="AQ697">
            <v>13417</v>
          </cell>
          <cell r="AU697">
            <v>0</v>
          </cell>
          <cell r="AW697">
            <v>0</v>
          </cell>
          <cell r="AY697">
            <v>8569</v>
          </cell>
          <cell r="AZ697">
            <v>408.04761904761904</v>
          </cell>
          <cell r="BA697">
            <v>0</v>
          </cell>
          <cell r="BB697">
            <v>0</v>
          </cell>
          <cell r="BC697">
            <v>0</v>
          </cell>
          <cell r="BD697">
            <v>0</v>
          </cell>
          <cell r="BG697">
            <v>0</v>
          </cell>
          <cell r="BH697">
            <v>0</v>
          </cell>
          <cell r="BI697">
            <v>1223</v>
          </cell>
          <cell r="BJ697">
            <v>58.238095238095241</v>
          </cell>
          <cell r="BK697">
            <v>0</v>
          </cell>
          <cell r="BL697">
            <v>0</v>
          </cell>
          <cell r="BM697">
            <v>3259</v>
          </cell>
          <cell r="BN697">
            <v>155.1904761904762</v>
          </cell>
          <cell r="BO697">
            <v>0</v>
          </cell>
          <cell r="BP697">
            <v>0</v>
          </cell>
          <cell r="BY697">
            <v>948.15</v>
          </cell>
          <cell r="CF697">
            <v>4</v>
          </cell>
          <cell r="CG697">
            <v>2142.25</v>
          </cell>
          <cell r="CJ697">
            <v>0</v>
          </cell>
          <cell r="CK697">
            <v>0</v>
          </cell>
          <cell r="CL697">
            <v>0</v>
          </cell>
          <cell r="CM697">
            <v>0</v>
          </cell>
          <cell r="CN697">
            <v>0</v>
          </cell>
          <cell r="CO697">
            <v>0</v>
          </cell>
          <cell r="CX697">
            <v>0</v>
          </cell>
          <cell r="CY697">
            <v>0</v>
          </cell>
          <cell r="DB697">
            <v>0</v>
          </cell>
          <cell r="DC697">
            <v>0</v>
          </cell>
          <cell r="DJ697" t="str">
            <v>НКРКП</v>
          </cell>
          <cell r="DL697">
            <v>40816</v>
          </cell>
          <cell r="DM697">
            <v>96</v>
          </cell>
          <cell r="DT697">
            <v>999.9</v>
          </cell>
        </row>
        <row r="698">
          <cell r="W698">
            <v>563.01</v>
          </cell>
          <cell r="AF698">
            <v>39875</v>
          </cell>
          <cell r="AG698">
            <v>1461</v>
          </cell>
          <cell r="AH698">
            <v>482.94444444444446</v>
          </cell>
          <cell r="AM698">
            <v>486</v>
          </cell>
          <cell r="AO698">
            <v>273622.86</v>
          </cell>
          <cell r="AQ698">
            <v>234711</v>
          </cell>
          <cell r="AU698">
            <v>0</v>
          </cell>
          <cell r="AW698">
            <v>0</v>
          </cell>
          <cell r="AY698">
            <v>162811</v>
          </cell>
          <cell r="AZ698">
            <v>335.00205761316874</v>
          </cell>
          <cell r="BA698">
            <v>0</v>
          </cell>
          <cell r="BB698">
            <v>0</v>
          </cell>
          <cell r="BC698">
            <v>0</v>
          </cell>
          <cell r="BD698">
            <v>0</v>
          </cell>
          <cell r="BG698">
            <v>0</v>
          </cell>
          <cell r="BH698">
            <v>0</v>
          </cell>
          <cell r="BI698">
            <v>7156</v>
          </cell>
          <cell r="BJ698">
            <v>14.724279835390947</v>
          </cell>
          <cell r="BK698">
            <v>0</v>
          </cell>
          <cell r="BL698">
            <v>0</v>
          </cell>
          <cell r="BM698">
            <v>47301</v>
          </cell>
          <cell r="BN698">
            <v>97.327160493827165</v>
          </cell>
          <cell r="BO698">
            <v>0</v>
          </cell>
          <cell r="BP698">
            <v>0</v>
          </cell>
          <cell r="BY698">
            <v>959.33</v>
          </cell>
          <cell r="CF698">
            <v>76</v>
          </cell>
          <cell r="CG698">
            <v>2142.25</v>
          </cell>
          <cell r="CJ698">
            <v>0</v>
          </cell>
          <cell r="CK698">
            <v>0</v>
          </cell>
          <cell r="CL698">
            <v>0</v>
          </cell>
          <cell r="CM698">
            <v>0</v>
          </cell>
          <cell r="CN698">
            <v>0</v>
          </cell>
          <cell r="CO698">
            <v>0</v>
          </cell>
          <cell r="CX698">
            <v>0</v>
          </cell>
          <cell r="CY698">
            <v>0</v>
          </cell>
          <cell r="DB698">
            <v>0</v>
          </cell>
          <cell r="DC698">
            <v>0</v>
          </cell>
          <cell r="DJ698" t="str">
            <v>НКРКП</v>
          </cell>
          <cell r="DL698">
            <v>40816</v>
          </cell>
          <cell r="DM698">
            <v>96</v>
          </cell>
          <cell r="DT698">
            <v>814.16</v>
          </cell>
        </row>
        <row r="699">
          <cell r="W699">
            <v>531.23</v>
          </cell>
          <cell r="AF699">
            <v>39875</v>
          </cell>
          <cell r="AG699">
            <v>1469</v>
          </cell>
          <cell r="AH699">
            <v>451.31829896907215</v>
          </cell>
          <cell r="AM699">
            <v>776</v>
          </cell>
          <cell r="AO699">
            <v>412234.48000000004</v>
          </cell>
          <cell r="AQ699">
            <v>350223</v>
          </cell>
          <cell r="AU699">
            <v>0</v>
          </cell>
          <cell r="AW699">
            <v>0</v>
          </cell>
          <cell r="AY699">
            <v>250643.25</v>
          </cell>
          <cell r="AZ699">
            <v>322.99387886597935</v>
          </cell>
          <cell r="BA699">
            <v>0</v>
          </cell>
          <cell r="BB699">
            <v>0</v>
          </cell>
          <cell r="BC699">
            <v>0</v>
          </cell>
          <cell r="BD699">
            <v>0</v>
          </cell>
          <cell r="BG699">
            <v>0</v>
          </cell>
          <cell r="BH699">
            <v>0</v>
          </cell>
          <cell r="BI699">
            <v>19543</v>
          </cell>
          <cell r="BJ699">
            <v>25.184278350515463</v>
          </cell>
          <cell r="BK699">
            <v>0</v>
          </cell>
          <cell r="BL699">
            <v>0</v>
          </cell>
          <cell r="BM699">
            <v>0</v>
          </cell>
          <cell r="BN699">
            <v>0</v>
          </cell>
          <cell r="BO699">
            <v>0</v>
          </cell>
          <cell r="BP699">
            <v>0</v>
          </cell>
          <cell r="BY699">
            <v>1237.58</v>
          </cell>
          <cell r="CF699">
            <v>117</v>
          </cell>
          <cell r="CG699">
            <v>2142.25</v>
          </cell>
          <cell r="CJ699">
            <v>0</v>
          </cell>
          <cell r="CK699">
            <v>0</v>
          </cell>
          <cell r="CL699">
            <v>0</v>
          </cell>
          <cell r="CM699">
            <v>0</v>
          </cell>
          <cell r="CN699">
            <v>0</v>
          </cell>
          <cell r="CO699">
            <v>0</v>
          </cell>
          <cell r="CX699">
            <v>0</v>
          </cell>
          <cell r="CY699">
            <v>0</v>
          </cell>
          <cell r="DB699">
            <v>0</v>
          </cell>
          <cell r="DC699">
            <v>0</v>
          </cell>
          <cell r="DJ699" t="str">
            <v>НКРКП</v>
          </cell>
          <cell r="DL699">
            <v>40816</v>
          </cell>
          <cell r="DM699">
            <v>96</v>
          </cell>
          <cell r="DT699">
            <v>774.32</v>
          </cell>
        </row>
        <row r="700">
          <cell r="W700">
            <v>193.6</v>
          </cell>
          <cell r="AF700">
            <v>39667</v>
          </cell>
          <cell r="AG700">
            <v>524</v>
          </cell>
          <cell r="AH700">
            <v>176.0024906600249</v>
          </cell>
          <cell r="AM700">
            <v>7227</v>
          </cell>
          <cell r="AO700">
            <v>1399147.2</v>
          </cell>
          <cell r="AQ700">
            <v>1271970</v>
          </cell>
          <cell r="AU700">
            <v>0</v>
          </cell>
          <cell r="AW700">
            <v>0</v>
          </cell>
          <cell r="AY700">
            <v>848636.99999999988</v>
          </cell>
          <cell r="AZ700">
            <v>117.42590286425902</v>
          </cell>
          <cell r="BA700">
            <v>0</v>
          </cell>
          <cell r="BB700">
            <v>0</v>
          </cell>
          <cell r="BC700">
            <v>0</v>
          </cell>
          <cell r="BD700">
            <v>0</v>
          </cell>
          <cell r="BG700">
            <v>101293</v>
          </cell>
          <cell r="BH700">
            <v>14.015912550159126</v>
          </cell>
          <cell r="BI700">
            <v>43707</v>
          </cell>
          <cell r="BJ700">
            <v>6.0477376504773765</v>
          </cell>
          <cell r="BK700">
            <v>0</v>
          </cell>
          <cell r="BL700">
            <v>0</v>
          </cell>
          <cell r="BM700">
            <v>163970</v>
          </cell>
          <cell r="BN700">
            <v>22.688529126885292</v>
          </cell>
          <cell r="BO700">
            <v>0</v>
          </cell>
          <cell r="BP700">
            <v>0</v>
          </cell>
          <cell r="BY700">
            <v>1064.52</v>
          </cell>
          <cell r="CF700">
            <v>1166.8000329978549</v>
          </cell>
          <cell r="CG700">
            <v>727.32</v>
          </cell>
          <cell r="CJ700">
            <v>0</v>
          </cell>
          <cell r="CK700">
            <v>0</v>
          </cell>
          <cell r="CL700">
            <v>0</v>
          </cell>
          <cell r="CM700">
            <v>0</v>
          </cell>
          <cell r="CN700">
            <v>0</v>
          </cell>
          <cell r="CO700">
            <v>0</v>
          </cell>
          <cell r="CX700">
            <v>0</v>
          </cell>
          <cell r="CY700">
            <v>0</v>
          </cell>
          <cell r="DB700">
            <v>0</v>
          </cell>
          <cell r="DC700">
            <v>0</v>
          </cell>
          <cell r="DJ700" t="str">
            <v>МОС</v>
          </cell>
          <cell r="DL700">
            <v>40618</v>
          </cell>
          <cell r="DM700" t="str">
            <v>№ 61</v>
          </cell>
          <cell r="DO700" t="str">
            <v>тариф на послуги з централізованого теплопостачання</v>
          </cell>
          <cell r="DT700">
            <v>245.84</v>
          </cell>
        </row>
        <row r="701">
          <cell r="W701">
            <v>470.53</v>
          </cell>
          <cell r="AF701">
            <v>39874</v>
          </cell>
          <cell r="AG701">
            <v>938</v>
          </cell>
          <cell r="AH701">
            <v>415.30013368983958</v>
          </cell>
          <cell r="AM701">
            <v>1496</v>
          </cell>
          <cell r="AO701">
            <v>703912.88</v>
          </cell>
          <cell r="AQ701">
            <v>621289</v>
          </cell>
          <cell r="AU701">
            <v>0</v>
          </cell>
          <cell r="AW701">
            <v>0</v>
          </cell>
          <cell r="AY701">
            <v>517439</v>
          </cell>
          <cell r="AZ701">
            <v>345.8816844919786</v>
          </cell>
          <cell r="BA701">
            <v>0</v>
          </cell>
          <cell r="BB701">
            <v>0</v>
          </cell>
          <cell r="BC701">
            <v>0</v>
          </cell>
          <cell r="BD701">
            <v>0</v>
          </cell>
          <cell r="BG701">
            <v>20992</v>
          </cell>
          <cell r="BH701">
            <v>14.032085561497325</v>
          </cell>
          <cell r="BI701">
            <v>16220</v>
          </cell>
          <cell r="BJ701">
            <v>10.842245989304812</v>
          </cell>
          <cell r="BK701">
            <v>0</v>
          </cell>
          <cell r="BL701">
            <v>0</v>
          </cell>
          <cell r="BM701">
            <v>38222</v>
          </cell>
          <cell r="BN701">
            <v>25.549465240641712</v>
          </cell>
          <cell r="BO701">
            <v>0</v>
          </cell>
          <cell r="BP701">
            <v>0</v>
          </cell>
          <cell r="BY701">
            <v>1198.5899999999999</v>
          </cell>
          <cell r="CF701">
            <v>241.53996965806979</v>
          </cell>
          <cell r="CG701">
            <v>2142.25</v>
          </cell>
          <cell r="CJ701">
            <v>0</v>
          </cell>
          <cell r="CK701">
            <v>0</v>
          </cell>
          <cell r="CL701">
            <v>0</v>
          </cell>
          <cell r="CM701">
            <v>0</v>
          </cell>
          <cell r="CN701">
            <v>0</v>
          </cell>
          <cell r="CO701">
            <v>0</v>
          </cell>
          <cell r="CX701">
            <v>0</v>
          </cell>
          <cell r="CY701">
            <v>0</v>
          </cell>
          <cell r="DB701">
            <v>0</v>
          </cell>
          <cell r="DC701">
            <v>0</v>
          </cell>
          <cell r="DJ701" t="str">
            <v>НКРКП</v>
          </cell>
          <cell r="DL701">
            <v>40942</v>
          </cell>
          <cell r="DM701" t="str">
            <v>№ 37</v>
          </cell>
          <cell r="DT701">
            <v>751.87</v>
          </cell>
        </row>
        <row r="702">
          <cell r="W702">
            <v>470.53</v>
          </cell>
          <cell r="AF702">
            <v>39874</v>
          </cell>
          <cell r="AG702">
            <v>938</v>
          </cell>
          <cell r="AH702">
            <v>415.30016926838442</v>
          </cell>
          <cell r="AM702">
            <v>5317</v>
          </cell>
          <cell r="AO702">
            <v>2501808.0099999998</v>
          </cell>
          <cell r="AQ702">
            <v>2208151</v>
          </cell>
          <cell r="AU702">
            <v>0</v>
          </cell>
          <cell r="AW702">
            <v>0</v>
          </cell>
          <cell r="AY702">
            <v>1839035.9</v>
          </cell>
          <cell r="AZ702">
            <v>345.87848410757942</v>
          </cell>
          <cell r="BA702">
            <v>0</v>
          </cell>
          <cell r="BB702">
            <v>0</v>
          </cell>
          <cell r="BC702">
            <v>0</v>
          </cell>
          <cell r="BD702">
            <v>0</v>
          </cell>
          <cell r="BG702">
            <v>74608</v>
          </cell>
          <cell r="BH702">
            <v>14.031972917058491</v>
          </cell>
          <cell r="BI702">
            <v>57650</v>
          </cell>
          <cell r="BJ702">
            <v>10.842580402482604</v>
          </cell>
          <cell r="BK702">
            <v>0</v>
          </cell>
          <cell r="BL702">
            <v>0</v>
          </cell>
          <cell r="BM702">
            <v>135848</v>
          </cell>
          <cell r="BN702">
            <v>25.549746097423359</v>
          </cell>
          <cell r="BO702">
            <v>0</v>
          </cell>
          <cell r="BP702">
            <v>0</v>
          </cell>
          <cell r="BY702">
            <v>1198.5899999999999</v>
          </cell>
          <cell r="CF702">
            <v>858.45998366203753</v>
          </cell>
          <cell r="CG702">
            <v>2142.25</v>
          </cell>
          <cell r="CJ702">
            <v>0</v>
          </cell>
          <cell r="CK702">
            <v>0</v>
          </cell>
          <cell r="CL702">
            <v>0</v>
          </cell>
          <cell r="CM702">
            <v>0</v>
          </cell>
          <cell r="CN702">
            <v>0</v>
          </cell>
          <cell r="CO702">
            <v>0</v>
          </cell>
          <cell r="CX702">
            <v>0</v>
          </cell>
          <cell r="CY702">
            <v>0</v>
          </cell>
          <cell r="DB702">
            <v>0</v>
          </cell>
          <cell r="DC702">
            <v>0</v>
          </cell>
          <cell r="DJ702" t="str">
            <v>НКРКП</v>
          </cell>
          <cell r="DL702">
            <v>40942</v>
          </cell>
          <cell r="DM702" t="str">
            <v>№ 37</v>
          </cell>
          <cell r="DT702">
            <v>751.87</v>
          </cell>
        </row>
        <row r="703">
          <cell r="W703">
            <v>215</v>
          </cell>
          <cell r="AF703">
            <v>39856</v>
          </cell>
          <cell r="AG703">
            <v>893</v>
          </cell>
          <cell r="AH703">
            <v>215</v>
          </cell>
          <cell r="AM703">
            <v>7205</v>
          </cell>
          <cell r="AO703">
            <v>1549075</v>
          </cell>
          <cell r="AQ703">
            <v>1549075</v>
          </cell>
          <cell r="AU703">
            <v>0</v>
          </cell>
          <cell r="AW703">
            <v>0</v>
          </cell>
          <cell r="AY703">
            <v>383372.37409999996</v>
          </cell>
          <cell r="AZ703">
            <v>53.209212227619702</v>
          </cell>
          <cell r="BA703">
            <v>222599</v>
          </cell>
          <cell r="BB703">
            <v>30.895072866065231</v>
          </cell>
          <cell r="BC703">
            <v>0</v>
          </cell>
          <cell r="BD703">
            <v>0</v>
          </cell>
          <cell r="BG703">
            <v>104152</v>
          </cell>
          <cell r="BH703">
            <v>14.455517002081887</v>
          </cell>
          <cell r="BI703">
            <v>0</v>
          </cell>
          <cell r="BJ703">
            <v>0</v>
          </cell>
          <cell r="BK703">
            <v>0</v>
          </cell>
          <cell r="BL703">
            <v>0</v>
          </cell>
          <cell r="BM703">
            <v>56720</v>
          </cell>
          <cell r="BN703">
            <v>7.8723108952116583</v>
          </cell>
          <cell r="BO703">
            <v>0</v>
          </cell>
          <cell r="BP703">
            <v>0</v>
          </cell>
          <cell r="BY703">
            <v>1629</v>
          </cell>
          <cell r="CF703">
            <v>527.11</v>
          </cell>
          <cell r="CG703">
            <v>727.31</v>
          </cell>
          <cell r="CJ703">
            <v>0</v>
          </cell>
          <cell r="CK703">
            <v>0</v>
          </cell>
          <cell r="CL703">
            <v>0</v>
          </cell>
          <cell r="CM703">
            <v>0</v>
          </cell>
          <cell r="CN703">
            <v>0</v>
          </cell>
          <cell r="CO703">
            <v>0</v>
          </cell>
          <cell r="CX703">
            <v>0</v>
          </cell>
          <cell r="CY703">
            <v>0</v>
          </cell>
          <cell r="DB703">
            <v>0</v>
          </cell>
          <cell r="DC703">
            <v>0</v>
          </cell>
          <cell r="DJ703" t="str">
            <v>МОС</v>
          </cell>
          <cell r="DL703">
            <v>39862</v>
          </cell>
          <cell r="DM703" t="str">
            <v>№71</v>
          </cell>
          <cell r="DO703" t="str">
            <v>Тариф на послуги з теплопостачання</v>
          </cell>
          <cell r="DT703">
            <v>215</v>
          </cell>
        </row>
        <row r="704">
          <cell r="W704">
            <v>585.67999999999995</v>
          </cell>
          <cell r="AF704">
            <v>39948</v>
          </cell>
          <cell r="AG704">
            <v>1012</v>
          </cell>
          <cell r="AH704">
            <v>557.79008925823325</v>
          </cell>
          <cell r="AM704">
            <v>8122.5</v>
          </cell>
          <cell r="AO704">
            <v>4757185.8</v>
          </cell>
          <cell r="AQ704">
            <v>4530650</v>
          </cell>
          <cell r="AU704">
            <v>0</v>
          </cell>
          <cell r="AW704">
            <v>0</v>
          </cell>
          <cell r="AY704">
            <v>2291158.7820000001</v>
          </cell>
          <cell r="AZ704">
            <v>282.07556565096957</v>
          </cell>
          <cell r="BA704">
            <v>57138.39</v>
          </cell>
          <cell r="BB704">
            <v>7.0345817174515233</v>
          </cell>
          <cell r="BC704">
            <v>0</v>
          </cell>
          <cell r="BD704">
            <v>0</v>
          </cell>
          <cell r="BG704">
            <v>22850</v>
          </cell>
          <cell r="BH704">
            <v>2.8131732840874113</v>
          </cell>
          <cell r="BI704">
            <v>90133</v>
          </cell>
          <cell r="BJ704">
            <v>11.096706678978148</v>
          </cell>
          <cell r="BK704">
            <v>0</v>
          </cell>
          <cell r="BL704">
            <v>0</v>
          </cell>
          <cell r="BM704">
            <v>826929</v>
          </cell>
          <cell r="BN704">
            <v>101.80720221606649</v>
          </cell>
          <cell r="BO704">
            <v>0</v>
          </cell>
          <cell r="BP704">
            <v>0</v>
          </cell>
          <cell r="BY704">
            <v>1641</v>
          </cell>
          <cell r="CF704">
            <v>1150.44</v>
          </cell>
          <cell r="CG704">
            <v>1991.55</v>
          </cell>
          <cell r="CJ704">
            <v>0</v>
          </cell>
          <cell r="CK704">
            <v>0</v>
          </cell>
          <cell r="CL704">
            <v>0</v>
          </cell>
          <cell r="CM704">
            <v>0</v>
          </cell>
          <cell r="CN704">
            <v>0</v>
          </cell>
          <cell r="CO704">
            <v>0</v>
          </cell>
          <cell r="CX704">
            <v>0</v>
          </cell>
          <cell r="CY704">
            <v>0</v>
          </cell>
          <cell r="DB704">
            <v>0</v>
          </cell>
          <cell r="DC704">
            <v>0</v>
          </cell>
          <cell r="DJ704" t="str">
            <v>МОС</v>
          </cell>
          <cell r="DL704">
            <v>40009</v>
          </cell>
          <cell r="DM704" t="str">
            <v>№267</v>
          </cell>
          <cell r="DT704">
            <v>585.67999999999995</v>
          </cell>
        </row>
        <row r="705">
          <cell r="W705">
            <v>613.57000000000005</v>
          </cell>
          <cell r="AF705">
            <v>39948</v>
          </cell>
          <cell r="AG705">
            <v>1012</v>
          </cell>
          <cell r="AH705">
            <v>557.7901774235022</v>
          </cell>
          <cell r="AM705">
            <v>1944.5</v>
          </cell>
          <cell r="AO705">
            <v>1193086.865</v>
          </cell>
          <cell r="AQ705">
            <v>1084623</v>
          </cell>
          <cell r="AU705">
            <v>0</v>
          </cell>
          <cell r="AW705">
            <v>0</v>
          </cell>
          <cell r="AY705">
            <v>548495.97198000003</v>
          </cell>
          <cell r="AZ705">
            <v>282.07558343018775</v>
          </cell>
          <cell r="BA705">
            <v>13678.75</v>
          </cell>
          <cell r="BB705">
            <v>7.0345847261506815</v>
          </cell>
          <cell r="BC705">
            <v>0</v>
          </cell>
          <cell r="BD705">
            <v>0</v>
          </cell>
          <cell r="BG705">
            <v>5470</v>
          </cell>
          <cell r="BH705">
            <v>2.8130624839290306</v>
          </cell>
          <cell r="BI705">
            <v>21577</v>
          </cell>
          <cell r="BJ705">
            <v>11.096425816405246</v>
          </cell>
          <cell r="BK705">
            <v>0</v>
          </cell>
          <cell r="BL705">
            <v>0</v>
          </cell>
          <cell r="BM705">
            <v>197964</v>
          </cell>
          <cell r="BN705">
            <v>101.80714836718951</v>
          </cell>
          <cell r="BO705">
            <v>0</v>
          </cell>
          <cell r="BP705">
            <v>0</v>
          </cell>
          <cell r="BY705">
            <v>1641</v>
          </cell>
          <cell r="CF705">
            <v>275.41160000000002</v>
          </cell>
          <cell r="CG705">
            <v>1991.55</v>
          </cell>
          <cell r="CJ705">
            <v>0</v>
          </cell>
          <cell r="CK705">
            <v>0</v>
          </cell>
          <cell r="CL705">
            <v>0</v>
          </cell>
          <cell r="CM705">
            <v>0</v>
          </cell>
          <cell r="CN705">
            <v>0</v>
          </cell>
          <cell r="CO705">
            <v>0</v>
          </cell>
          <cell r="CX705">
            <v>0</v>
          </cell>
          <cell r="CY705">
            <v>0</v>
          </cell>
          <cell r="DB705">
            <v>0</v>
          </cell>
          <cell r="DC705">
            <v>0</v>
          </cell>
          <cell r="DJ705" t="str">
            <v>МОС</v>
          </cell>
          <cell r="DL705">
            <v>40009</v>
          </cell>
          <cell r="DM705" t="str">
            <v>№267</v>
          </cell>
          <cell r="DT705">
            <v>613.57000000000005</v>
          </cell>
        </row>
        <row r="706">
          <cell r="W706">
            <v>385.24</v>
          </cell>
          <cell r="AF706">
            <v>40435</v>
          </cell>
          <cell r="AG706">
            <v>904</v>
          </cell>
          <cell r="AH706">
            <v>356.65817599664001</v>
          </cell>
          <cell r="AM706">
            <v>31238.21</v>
          </cell>
          <cell r="AO706">
            <v>12034208.020400001</v>
          </cell>
          <cell r="AQ706">
            <v>11141363</v>
          </cell>
          <cell r="AU706">
            <v>0</v>
          </cell>
          <cell r="AW706">
            <v>0</v>
          </cell>
          <cell r="AY706">
            <v>5434194.629999999</v>
          </cell>
          <cell r="AZ706">
            <v>173.95985973588111</v>
          </cell>
          <cell r="BA706">
            <v>0</v>
          </cell>
          <cell r="BB706">
            <v>0</v>
          </cell>
          <cell r="BC706">
            <v>0</v>
          </cell>
          <cell r="BD706">
            <v>0</v>
          </cell>
          <cell r="BG706">
            <v>0</v>
          </cell>
          <cell r="BH706">
            <v>0</v>
          </cell>
          <cell r="BI706">
            <v>805911</v>
          </cell>
          <cell r="BJ706">
            <v>25.798885403485027</v>
          </cell>
          <cell r="BK706">
            <v>0</v>
          </cell>
          <cell r="BL706">
            <v>0</v>
          </cell>
          <cell r="BM706">
            <v>3782576.0496148113</v>
          </cell>
          <cell r="BN706">
            <v>121.08811771272462</v>
          </cell>
          <cell r="BO706">
            <v>0</v>
          </cell>
          <cell r="BP706">
            <v>0</v>
          </cell>
          <cell r="BY706">
            <v>2231</v>
          </cell>
          <cell r="CF706">
            <v>4980.9299999999994</v>
          </cell>
          <cell r="CG706">
            <v>1091</v>
          </cell>
          <cell r="CJ706">
            <v>0</v>
          </cell>
          <cell r="CK706">
            <v>0</v>
          </cell>
          <cell r="CL706">
            <v>0</v>
          </cell>
          <cell r="CM706">
            <v>0</v>
          </cell>
          <cell r="CN706">
            <v>0</v>
          </cell>
          <cell r="CO706">
            <v>0</v>
          </cell>
          <cell r="CX706">
            <v>0</v>
          </cell>
          <cell r="CY706">
            <v>0</v>
          </cell>
          <cell r="DB706">
            <v>0</v>
          </cell>
          <cell r="DC706">
            <v>0</v>
          </cell>
          <cell r="DJ706" t="str">
            <v>МОС</v>
          </cell>
          <cell r="DL706">
            <v>40645</v>
          </cell>
          <cell r="DM706">
            <v>110</v>
          </cell>
          <cell r="DO706" t="str">
            <v>середньорічний одноставковий тариф на теплову енергію для населення</v>
          </cell>
          <cell r="DT706">
            <v>385.24</v>
          </cell>
        </row>
        <row r="707">
          <cell r="W707">
            <v>615</v>
          </cell>
          <cell r="AF707">
            <v>40435</v>
          </cell>
          <cell r="AG707">
            <v>905</v>
          </cell>
          <cell r="AH707">
            <v>572.01167960443991</v>
          </cell>
          <cell r="AM707">
            <v>4914.55</v>
          </cell>
          <cell r="AO707">
            <v>3022448.25</v>
          </cell>
          <cell r="AQ707">
            <v>2811180</v>
          </cell>
          <cell r="AU707">
            <v>0</v>
          </cell>
          <cell r="AW707">
            <v>0</v>
          </cell>
          <cell r="AY707">
            <v>1931588.6075000002</v>
          </cell>
          <cell r="AZ707">
            <v>393.03468425389917</v>
          </cell>
          <cell r="BA707">
            <v>0</v>
          </cell>
          <cell r="BB707">
            <v>0</v>
          </cell>
          <cell r="BC707">
            <v>0</v>
          </cell>
          <cell r="BD707">
            <v>0</v>
          </cell>
          <cell r="BG707">
            <v>0</v>
          </cell>
          <cell r="BH707">
            <v>0</v>
          </cell>
          <cell r="BI707">
            <v>126790</v>
          </cell>
          <cell r="BJ707">
            <v>25.798903256656253</v>
          </cell>
          <cell r="BK707">
            <v>0</v>
          </cell>
          <cell r="BL707">
            <v>0</v>
          </cell>
          <cell r="BM707">
            <v>595031.10089598899</v>
          </cell>
          <cell r="BN707">
            <v>121.0753987437281</v>
          </cell>
          <cell r="BO707">
            <v>0</v>
          </cell>
          <cell r="BP707">
            <v>0</v>
          </cell>
          <cell r="BY707">
            <v>2231</v>
          </cell>
          <cell r="CF707">
            <v>783.625</v>
          </cell>
          <cell r="CG707">
            <v>2464.94</v>
          </cell>
          <cell r="CJ707">
            <v>0</v>
          </cell>
          <cell r="CK707">
            <v>0</v>
          </cell>
          <cell r="CL707">
            <v>0</v>
          </cell>
          <cell r="CM707">
            <v>0</v>
          </cell>
          <cell r="CN707">
            <v>0</v>
          </cell>
          <cell r="CO707">
            <v>0</v>
          </cell>
          <cell r="CX707">
            <v>0</v>
          </cell>
          <cell r="CY707">
            <v>0</v>
          </cell>
          <cell r="DB707">
            <v>0</v>
          </cell>
          <cell r="DC707">
            <v>0</v>
          </cell>
          <cell r="DJ707" t="str">
            <v>МОС</v>
          </cell>
          <cell r="DL707">
            <v>40876</v>
          </cell>
          <cell r="DM707">
            <v>478</v>
          </cell>
          <cell r="DT707">
            <v>745</v>
          </cell>
        </row>
        <row r="708">
          <cell r="W708">
            <v>615</v>
          </cell>
          <cell r="AF708">
            <v>40435</v>
          </cell>
          <cell r="AG708">
            <v>906</v>
          </cell>
          <cell r="AH708">
            <v>572.01155550569365</v>
          </cell>
          <cell r="AM708">
            <v>2139.2399999999998</v>
          </cell>
          <cell r="AO708">
            <v>1315632.5999999999</v>
          </cell>
          <cell r="AQ708">
            <v>1223670</v>
          </cell>
          <cell r="AU708">
            <v>0</v>
          </cell>
          <cell r="AW708">
            <v>0</v>
          </cell>
          <cell r="AY708">
            <v>840796.21037400002</v>
          </cell>
          <cell r="AZ708">
            <v>393.03500793459364</v>
          </cell>
          <cell r="BA708">
            <v>0</v>
          </cell>
          <cell r="BB708">
            <v>0</v>
          </cell>
          <cell r="BC708">
            <v>0</v>
          </cell>
          <cell r="BD708">
            <v>0</v>
          </cell>
          <cell r="BG708">
            <v>0</v>
          </cell>
          <cell r="BH708">
            <v>0</v>
          </cell>
          <cell r="BI708">
            <v>55190</v>
          </cell>
          <cell r="BJ708">
            <v>25.798881845889198</v>
          </cell>
          <cell r="BK708">
            <v>0</v>
          </cell>
          <cell r="BL708">
            <v>0</v>
          </cell>
          <cell r="BM708">
            <v>262331.77789944835</v>
          </cell>
          <cell r="BN708">
            <v>122.62849324968137</v>
          </cell>
          <cell r="BO708">
            <v>0</v>
          </cell>
          <cell r="BP708">
            <v>0</v>
          </cell>
          <cell r="BY708">
            <v>2231</v>
          </cell>
          <cell r="CF708">
            <v>341.10210000000001</v>
          </cell>
          <cell r="CG708">
            <v>2464.94</v>
          </cell>
          <cell r="CJ708">
            <v>0</v>
          </cell>
          <cell r="CK708">
            <v>0</v>
          </cell>
          <cell r="CL708">
            <v>0</v>
          </cell>
          <cell r="CM708">
            <v>0</v>
          </cell>
          <cell r="CN708">
            <v>0</v>
          </cell>
          <cell r="CO708">
            <v>0</v>
          </cell>
          <cell r="CX708">
            <v>0</v>
          </cell>
          <cell r="CY708">
            <v>0</v>
          </cell>
          <cell r="DB708">
            <v>0</v>
          </cell>
          <cell r="DC708">
            <v>0</v>
          </cell>
          <cell r="DJ708" t="str">
            <v>МОС</v>
          </cell>
          <cell r="DL708">
            <v>40876</v>
          </cell>
          <cell r="DM708">
            <v>478</v>
          </cell>
          <cell r="DT708">
            <v>745</v>
          </cell>
        </row>
        <row r="709">
          <cell r="W709">
            <v>222.93</v>
          </cell>
          <cell r="AF709">
            <v>39885</v>
          </cell>
          <cell r="AG709">
            <v>40</v>
          </cell>
          <cell r="AH709">
            <v>212.31749216838045</v>
          </cell>
          <cell r="AM709">
            <v>12139.89</v>
          </cell>
          <cell r="AO709">
            <v>2706345.6776999999</v>
          </cell>
          <cell r="AQ709">
            <v>2577511</v>
          </cell>
          <cell r="AU709">
            <v>0</v>
          </cell>
          <cell r="AW709">
            <v>0</v>
          </cell>
          <cell r="AY709">
            <v>1489890</v>
          </cell>
          <cell r="AZ709">
            <v>122.72681218693086</v>
          </cell>
          <cell r="BA709">
            <v>0</v>
          </cell>
          <cell r="BB709">
            <v>0</v>
          </cell>
          <cell r="BC709">
            <v>0</v>
          </cell>
          <cell r="BD709">
            <v>0</v>
          </cell>
          <cell r="BG709">
            <v>0</v>
          </cell>
          <cell r="BH709">
            <v>0</v>
          </cell>
          <cell r="BI709">
            <v>261855</v>
          </cell>
          <cell r="BJ709">
            <v>21.56980005584894</v>
          </cell>
          <cell r="BK709">
            <v>0</v>
          </cell>
          <cell r="BL709">
            <v>0</v>
          </cell>
          <cell r="BM709">
            <v>639122</v>
          </cell>
          <cell r="BN709">
            <v>52.646440783236095</v>
          </cell>
          <cell r="BO709">
            <v>0</v>
          </cell>
          <cell r="BP709">
            <v>0</v>
          </cell>
          <cell r="BY709">
            <v>1436.35</v>
          </cell>
          <cell r="CF709">
            <v>2048.4655997360169</v>
          </cell>
          <cell r="CG709">
            <v>727.32</v>
          </cell>
          <cell r="CJ709">
            <v>0</v>
          </cell>
          <cell r="CK709">
            <v>0</v>
          </cell>
          <cell r="CL709">
            <v>0</v>
          </cell>
          <cell r="CM709">
            <v>0</v>
          </cell>
          <cell r="CN709">
            <v>0</v>
          </cell>
          <cell r="CO709">
            <v>0</v>
          </cell>
          <cell r="CX709">
            <v>0</v>
          </cell>
          <cell r="CY709">
            <v>0</v>
          </cell>
          <cell r="DB709">
            <v>0</v>
          </cell>
          <cell r="DC709">
            <v>0</v>
          </cell>
          <cell r="DJ709" t="str">
            <v>МОС (НКРЕ №1736 від 14.12.2010 - 245,22 грн/Гкал)</v>
          </cell>
          <cell r="DL709">
            <v>40759</v>
          </cell>
          <cell r="DM709">
            <v>151</v>
          </cell>
          <cell r="DO709" t="str">
            <v>тариф на теплову енергію</v>
          </cell>
          <cell r="DT709">
            <v>350.05</v>
          </cell>
        </row>
        <row r="710">
          <cell r="W710">
            <v>516.78</v>
          </cell>
          <cell r="AF710">
            <v>39885</v>
          </cell>
          <cell r="AG710">
            <v>40</v>
          </cell>
          <cell r="AH710">
            <v>478.49835317692953</v>
          </cell>
          <cell r="AM710">
            <v>4690.8500000000004</v>
          </cell>
          <cell r="AO710">
            <v>2424137.463</v>
          </cell>
          <cell r="AQ710">
            <v>2244564</v>
          </cell>
          <cell r="AU710">
            <v>0</v>
          </cell>
          <cell r="AW710">
            <v>0</v>
          </cell>
          <cell r="AY710">
            <v>1695651</v>
          </cell>
          <cell r="AZ710">
            <v>361.48054190605109</v>
          </cell>
          <cell r="BA710">
            <v>0</v>
          </cell>
          <cell r="BB710">
            <v>0</v>
          </cell>
          <cell r="BC710">
            <v>0</v>
          </cell>
          <cell r="BD710">
            <v>0</v>
          </cell>
          <cell r="BG710">
            <v>0</v>
          </cell>
          <cell r="BH710">
            <v>0</v>
          </cell>
          <cell r="BI710">
            <v>101181</v>
          </cell>
          <cell r="BJ710">
            <v>21.569864736668194</v>
          </cell>
          <cell r="BK710">
            <v>0</v>
          </cell>
          <cell r="BL710">
            <v>0</v>
          </cell>
          <cell r="BM710">
            <v>346534</v>
          </cell>
          <cell r="BN710">
            <v>73.874457720882134</v>
          </cell>
          <cell r="BO710">
            <v>0</v>
          </cell>
          <cell r="BP710">
            <v>0</v>
          </cell>
          <cell r="BY710">
            <v>1436.35</v>
          </cell>
          <cell r="CF710">
            <v>791.52806628544749</v>
          </cell>
          <cell r="CG710">
            <v>2142.25</v>
          </cell>
          <cell r="CJ710">
            <v>0</v>
          </cell>
          <cell r="CK710">
            <v>0</v>
          </cell>
          <cell r="CL710">
            <v>0</v>
          </cell>
          <cell r="CM710">
            <v>0</v>
          </cell>
          <cell r="CN710">
            <v>0</v>
          </cell>
          <cell r="CO710">
            <v>0</v>
          </cell>
          <cell r="CX710">
            <v>0</v>
          </cell>
          <cell r="CY710">
            <v>0</v>
          </cell>
          <cell r="DB710">
            <v>0</v>
          </cell>
          <cell r="DC710">
            <v>0</v>
          </cell>
          <cell r="DJ710" t="str">
            <v>НКРКП</v>
          </cell>
          <cell r="DL710">
            <v>40816</v>
          </cell>
          <cell r="DM710">
            <v>111</v>
          </cell>
          <cell r="DT710">
            <v>788.4</v>
          </cell>
        </row>
        <row r="711">
          <cell r="W711">
            <v>516.78</v>
          </cell>
          <cell r="AF711">
            <v>39885</v>
          </cell>
          <cell r="AG711">
            <v>40</v>
          </cell>
          <cell r="AH711">
            <v>478.50124312777956</v>
          </cell>
          <cell r="AM711">
            <v>1427.85</v>
          </cell>
          <cell r="AO711">
            <v>737884.32299999986</v>
          </cell>
          <cell r="AQ711">
            <v>683228</v>
          </cell>
          <cell r="AU711">
            <v>0</v>
          </cell>
          <cell r="AW711">
            <v>0</v>
          </cell>
          <cell r="AY711">
            <v>516140</v>
          </cell>
          <cell r="AZ711">
            <v>361.48054767657669</v>
          </cell>
          <cell r="BA711">
            <v>0</v>
          </cell>
          <cell r="BB711">
            <v>0</v>
          </cell>
          <cell r="BC711">
            <v>0</v>
          </cell>
          <cell r="BD711">
            <v>0</v>
          </cell>
          <cell r="BG711">
            <v>0</v>
          </cell>
          <cell r="BH711">
            <v>0</v>
          </cell>
          <cell r="BI711">
            <v>30798</v>
          </cell>
          <cell r="BJ711">
            <v>21.569492593759851</v>
          </cell>
          <cell r="BK711">
            <v>0</v>
          </cell>
          <cell r="BL711">
            <v>0</v>
          </cell>
          <cell r="BM711">
            <v>105481</v>
          </cell>
          <cell r="BN711">
            <v>73.874006373218478</v>
          </cell>
          <cell r="BO711">
            <v>0</v>
          </cell>
          <cell r="BP711">
            <v>0</v>
          </cell>
          <cell r="BY711">
            <v>1436.35</v>
          </cell>
          <cell r="CF711">
            <v>240.93359785272494</v>
          </cell>
          <cell r="CG711">
            <v>2142.25</v>
          </cell>
          <cell r="CJ711">
            <v>0</v>
          </cell>
          <cell r="CK711">
            <v>0</v>
          </cell>
          <cell r="CL711">
            <v>0</v>
          </cell>
          <cell r="CM711">
            <v>0</v>
          </cell>
          <cell r="CN711">
            <v>0</v>
          </cell>
          <cell r="CO711">
            <v>0</v>
          </cell>
          <cell r="CX711">
            <v>0</v>
          </cell>
          <cell r="CY711">
            <v>0</v>
          </cell>
          <cell r="DB711">
            <v>0</v>
          </cell>
          <cell r="DC711">
            <v>0</v>
          </cell>
          <cell r="DJ711" t="str">
            <v>НКРКП</v>
          </cell>
          <cell r="DL711">
            <v>40816</v>
          </cell>
          <cell r="DM711">
            <v>111</v>
          </cell>
          <cell r="DT711">
            <v>788.4</v>
          </cell>
        </row>
        <row r="712">
          <cell r="W712">
            <v>395.0625</v>
          </cell>
          <cell r="AF712">
            <v>40441</v>
          </cell>
          <cell r="AG712">
            <v>2309</v>
          </cell>
          <cell r="AH712">
            <v>395.06251650382887</v>
          </cell>
          <cell r="AM712">
            <v>15148</v>
          </cell>
          <cell r="AO712">
            <v>5984406.75</v>
          </cell>
          <cell r="AQ712">
            <v>5984407</v>
          </cell>
          <cell r="AU712">
            <v>0</v>
          </cell>
          <cell r="AW712">
            <v>0</v>
          </cell>
          <cell r="AY712">
            <v>2602775.5126799997</v>
          </cell>
          <cell r="AZ712">
            <v>171.82304678373382</v>
          </cell>
          <cell r="BA712">
            <v>0</v>
          </cell>
          <cell r="BB712">
            <v>0</v>
          </cell>
          <cell r="BC712">
            <v>0</v>
          </cell>
          <cell r="BD712">
            <v>0</v>
          </cell>
          <cell r="BG712">
            <v>0</v>
          </cell>
          <cell r="BH712">
            <v>0</v>
          </cell>
          <cell r="BI712">
            <v>218263</v>
          </cell>
          <cell r="BJ712">
            <v>14.408700818589914</v>
          </cell>
          <cell r="BK712">
            <v>0</v>
          </cell>
          <cell r="BL712">
            <v>0</v>
          </cell>
          <cell r="BM712">
            <v>2520018</v>
          </cell>
          <cell r="BN712">
            <v>166.35978346976498</v>
          </cell>
          <cell r="BO712">
            <v>0</v>
          </cell>
          <cell r="BP712">
            <v>0</v>
          </cell>
          <cell r="BY712">
            <v>2222.9699999999998</v>
          </cell>
          <cell r="CF712">
            <v>2385.67</v>
          </cell>
          <cell r="CG712">
            <v>1091.0039999999999</v>
          </cell>
          <cell r="CJ712">
            <v>0</v>
          </cell>
          <cell r="CK712">
            <v>0</v>
          </cell>
          <cell r="CL712">
            <v>0</v>
          </cell>
          <cell r="CM712">
            <v>0</v>
          </cell>
          <cell r="CN712">
            <v>0</v>
          </cell>
          <cell r="CO712">
            <v>0</v>
          </cell>
          <cell r="CX712">
            <v>0</v>
          </cell>
          <cell r="CY712">
            <v>0</v>
          </cell>
          <cell r="DB712">
            <v>0</v>
          </cell>
          <cell r="DC712">
            <v>0</v>
          </cell>
          <cell r="DJ712" t="str">
            <v>МОС</v>
          </cell>
          <cell r="DL712">
            <v>40760</v>
          </cell>
          <cell r="DM712" t="str">
            <v>ХVІІІ сісія VI скликання</v>
          </cell>
          <cell r="DO712" t="str">
            <v>тариф на послугу теплопостачання</v>
          </cell>
          <cell r="DT712">
            <v>395.0625</v>
          </cell>
        </row>
        <row r="713">
          <cell r="W713">
            <v>700.73599999999999</v>
          </cell>
          <cell r="AF713">
            <v>40441</v>
          </cell>
          <cell r="AG713">
            <v>2310</v>
          </cell>
          <cell r="AH713">
            <v>609.33566739606124</v>
          </cell>
          <cell r="AM713">
            <v>2285</v>
          </cell>
          <cell r="AO713">
            <v>1601181.76</v>
          </cell>
          <cell r="AQ713">
            <v>1392332</v>
          </cell>
          <cell r="AU713">
            <v>0</v>
          </cell>
          <cell r="AW713">
            <v>0</v>
          </cell>
          <cell r="AY713">
            <v>875917.8504</v>
          </cell>
          <cell r="AZ713">
            <v>383.33385137855578</v>
          </cell>
          <cell r="BA713">
            <v>0</v>
          </cell>
          <cell r="BB713">
            <v>0</v>
          </cell>
          <cell r="BC713">
            <v>0</v>
          </cell>
          <cell r="BD713">
            <v>0</v>
          </cell>
          <cell r="BG713">
            <v>0</v>
          </cell>
          <cell r="BH713">
            <v>0</v>
          </cell>
          <cell r="BI713">
            <v>32490</v>
          </cell>
          <cell r="BJ713">
            <v>14.218818380743983</v>
          </cell>
          <cell r="BK713">
            <v>0</v>
          </cell>
          <cell r="BL713">
            <v>0</v>
          </cell>
          <cell r="BM713">
            <v>379769</v>
          </cell>
          <cell r="BN713">
            <v>166.20087527352297</v>
          </cell>
          <cell r="BO713">
            <v>0</v>
          </cell>
          <cell r="BP713">
            <v>0</v>
          </cell>
          <cell r="BY713">
            <v>2222.9699999999998</v>
          </cell>
          <cell r="CF713">
            <v>355.35</v>
          </cell>
          <cell r="CG713">
            <v>2464.944</v>
          </cell>
          <cell r="CJ713">
            <v>0</v>
          </cell>
          <cell r="CK713">
            <v>0</v>
          </cell>
          <cell r="CL713">
            <v>0</v>
          </cell>
          <cell r="CM713">
            <v>0</v>
          </cell>
          <cell r="CN713">
            <v>0</v>
          </cell>
          <cell r="CO713">
            <v>0</v>
          </cell>
          <cell r="CX713">
            <v>0</v>
          </cell>
          <cell r="CY713">
            <v>0</v>
          </cell>
          <cell r="DB713">
            <v>0</v>
          </cell>
          <cell r="DC713">
            <v>0</v>
          </cell>
          <cell r="DJ713" t="str">
            <v>МОС</v>
          </cell>
          <cell r="DL713">
            <v>40760</v>
          </cell>
          <cell r="DM713" t="str">
            <v>ХVІІІ сісія VI скликання</v>
          </cell>
          <cell r="DT713">
            <v>700.73599999999999</v>
          </cell>
        </row>
        <row r="714">
          <cell r="W714">
            <v>700.74199999999996</v>
          </cell>
          <cell r="AF714">
            <v>40441</v>
          </cell>
          <cell r="AG714">
            <v>2311</v>
          </cell>
          <cell r="AH714">
            <v>604.19117647058829</v>
          </cell>
          <cell r="AM714">
            <v>272</v>
          </cell>
          <cell r="AO714">
            <v>190601.82399999999</v>
          </cell>
          <cell r="AQ714">
            <v>164340</v>
          </cell>
          <cell r="AU714">
            <v>0</v>
          </cell>
          <cell r="AW714">
            <v>0</v>
          </cell>
          <cell r="AY714">
            <v>104760.12</v>
          </cell>
          <cell r="AZ714">
            <v>385.14749999999998</v>
          </cell>
          <cell r="BA714">
            <v>0</v>
          </cell>
          <cell r="BB714">
            <v>0</v>
          </cell>
          <cell r="BC714">
            <v>0</v>
          </cell>
          <cell r="BD714">
            <v>0</v>
          </cell>
          <cell r="BG714">
            <v>0</v>
          </cell>
          <cell r="BH714">
            <v>0</v>
          </cell>
          <cell r="BI714">
            <v>3798</v>
          </cell>
          <cell r="BJ714">
            <v>13.963235294117647</v>
          </cell>
          <cell r="BK714">
            <v>0</v>
          </cell>
          <cell r="BL714">
            <v>0</v>
          </cell>
          <cell r="BM714">
            <v>44159</v>
          </cell>
          <cell r="BN714">
            <v>162.34926470588235</v>
          </cell>
          <cell r="BO714">
            <v>0</v>
          </cell>
          <cell r="BP714">
            <v>0</v>
          </cell>
          <cell r="BY714">
            <v>2222.9699999999998</v>
          </cell>
          <cell r="CF714">
            <v>42.5</v>
          </cell>
          <cell r="CG714">
            <v>2464.944</v>
          </cell>
          <cell r="CJ714">
            <v>0</v>
          </cell>
          <cell r="CK714">
            <v>0</v>
          </cell>
          <cell r="CL714">
            <v>0</v>
          </cell>
          <cell r="CM714">
            <v>0</v>
          </cell>
          <cell r="CN714">
            <v>0</v>
          </cell>
          <cell r="CO714">
            <v>0</v>
          </cell>
          <cell r="CX714">
            <v>0</v>
          </cell>
          <cell r="CY714">
            <v>0</v>
          </cell>
          <cell r="DB714">
            <v>0</v>
          </cell>
          <cell r="DC714">
            <v>0</v>
          </cell>
          <cell r="DJ714" t="str">
            <v>МОС</v>
          </cell>
          <cell r="DL714">
            <v>40760</v>
          </cell>
          <cell r="DM714" t="str">
            <v>ХVІІІ сісія VI скликання</v>
          </cell>
          <cell r="DT714">
            <v>700.73599999999999</v>
          </cell>
        </row>
        <row r="715">
          <cell r="W715">
            <v>775.03300000000002</v>
          </cell>
          <cell r="AF715">
            <v>40441</v>
          </cell>
          <cell r="AG715">
            <v>2312</v>
          </cell>
          <cell r="AH715">
            <v>775.03338632750399</v>
          </cell>
          <cell r="AM715">
            <v>629</v>
          </cell>
          <cell r="AO715">
            <v>487495.75699999998</v>
          </cell>
          <cell r="AQ715">
            <v>487496</v>
          </cell>
          <cell r="AU715">
            <v>0</v>
          </cell>
          <cell r="AW715">
            <v>0</v>
          </cell>
          <cell r="AY715">
            <v>116159.19587999998</v>
          </cell>
          <cell r="AZ715">
            <v>184.67280744038155</v>
          </cell>
          <cell r="BA715">
            <v>0</v>
          </cell>
          <cell r="BB715">
            <v>0</v>
          </cell>
          <cell r="BC715">
            <v>0</v>
          </cell>
          <cell r="BD715">
            <v>0</v>
          </cell>
          <cell r="BG715">
            <v>0</v>
          </cell>
          <cell r="BH715">
            <v>0</v>
          </cell>
          <cell r="BI715">
            <v>40662</v>
          </cell>
          <cell r="BJ715">
            <v>64.64546899841018</v>
          </cell>
          <cell r="BK715">
            <v>0</v>
          </cell>
          <cell r="BL715">
            <v>0</v>
          </cell>
          <cell r="BM715">
            <v>316085</v>
          </cell>
          <cell r="BN715">
            <v>502.51987281399045</v>
          </cell>
          <cell r="BO715">
            <v>0</v>
          </cell>
          <cell r="BP715">
            <v>0</v>
          </cell>
          <cell r="BY715">
            <v>1788.69</v>
          </cell>
          <cell r="CF715">
            <v>106.47</v>
          </cell>
          <cell r="CG715">
            <v>1091.0039999999999</v>
          </cell>
          <cell r="CJ715">
            <v>0</v>
          </cell>
          <cell r="CK715">
            <v>0</v>
          </cell>
          <cell r="CL715">
            <v>0</v>
          </cell>
          <cell r="CM715">
            <v>0</v>
          </cell>
          <cell r="CN715">
            <v>0</v>
          </cell>
          <cell r="CO715">
            <v>0</v>
          </cell>
          <cell r="CX715">
            <v>0</v>
          </cell>
          <cell r="CY715">
            <v>0</v>
          </cell>
          <cell r="DB715">
            <v>0</v>
          </cell>
          <cell r="DC715">
            <v>0</v>
          </cell>
          <cell r="DJ715" t="str">
            <v>МОС</v>
          </cell>
          <cell r="DL715">
            <v>40773</v>
          </cell>
          <cell r="DM715" t="str">
            <v>ХІ сісія VI скликання</v>
          </cell>
          <cell r="DO715" t="str">
            <v>тариф на виробництво теплової енергії та послуги з теплопостачання</v>
          </cell>
          <cell r="DT715">
            <v>775.03300000000002</v>
          </cell>
        </row>
        <row r="716">
          <cell r="W716">
            <v>1160.1415</v>
          </cell>
          <cell r="AF716">
            <v>40441</v>
          </cell>
          <cell r="AG716">
            <v>2313</v>
          </cell>
          <cell r="AH716">
            <v>1008.8187919463087</v>
          </cell>
          <cell r="AM716">
            <v>1639</v>
          </cell>
          <cell r="AO716">
            <v>1901471.9184999999</v>
          </cell>
          <cell r="AQ716">
            <v>1653454</v>
          </cell>
          <cell r="AU716">
            <v>0</v>
          </cell>
          <cell r="AW716">
            <v>0</v>
          </cell>
          <cell r="AY716">
            <v>684095.90831999993</v>
          </cell>
          <cell r="AZ716">
            <v>417.3861551677852</v>
          </cell>
          <cell r="BA716">
            <v>0</v>
          </cell>
          <cell r="BB716">
            <v>0</v>
          </cell>
          <cell r="BC716">
            <v>0</v>
          </cell>
          <cell r="BD716">
            <v>0</v>
          </cell>
          <cell r="BG716">
            <v>0</v>
          </cell>
          <cell r="BH716">
            <v>0</v>
          </cell>
          <cell r="BI716">
            <v>105982</v>
          </cell>
          <cell r="BJ716">
            <v>64.662599145820622</v>
          </cell>
          <cell r="BK716">
            <v>0</v>
          </cell>
          <cell r="BL716">
            <v>0</v>
          </cell>
          <cell r="BM716">
            <v>825268</v>
          </cell>
          <cell r="BN716">
            <v>503.51921903599754</v>
          </cell>
          <cell r="BO716">
            <v>0</v>
          </cell>
          <cell r="BP716">
            <v>0</v>
          </cell>
          <cell r="BY716">
            <v>1788.69</v>
          </cell>
          <cell r="CF716">
            <v>277.52999999999997</v>
          </cell>
          <cell r="CG716">
            <v>2464.944</v>
          </cell>
          <cell r="CJ716">
            <v>0</v>
          </cell>
          <cell r="CK716">
            <v>0</v>
          </cell>
          <cell r="CL716">
            <v>0</v>
          </cell>
          <cell r="CM716">
            <v>0</v>
          </cell>
          <cell r="CN716">
            <v>0</v>
          </cell>
          <cell r="CO716">
            <v>0</v>
          </cell>
          <cell r="CX716">
            <v>0</v>
          </cell>
          <cell r="CY716">
            <v>0</v>
          </cell>
          <cell r="DB716">
            <v>0</v>
          </cell>
          <cell r="DC716">
            <v>0</v>
          </cell>
          <cell r="DJ716" t="str">
            <v>МОС</v>
          </cell>
          <cell r="DL716">
            <v>40773</v>
          </cell>
          <cell r="DM716" t="str">
            <v>ХІ сісія VI скликання</v>
          </cell>
          <cell r="DT716">
            <v>1160.1415</v>
          </cell>
        </row>
        <row r="717">
          <cell r="W717">
            <v>1160.1415</v>
          </cell>
          <cell r="AF717">
            <v>40441</v>
          </cell>
          <cell r="AG717">
            <v>2314</v>
          </cell>
          <cell r="AH717">
            <v>999.3125</v>
          </cell>
          <cell r="AM717">
            <v>16</v>
          </cell>
          <cell r="AO717">
            <v>18562.263999999999</v>
          </cell>
          <cell r="AQ717">
            <v>15989</v>
          </cell>
          <cell r="AU717">
            <v>0</v>
          </cell>
          <cell r="AW717">
            <v>0</v>
          </cell>
          <cell r="AY717">
            <v>6556.7510400000001</v>
          </cell>
          <cell r="AZ717">
            <v>409.79694000000001</v>
          </cell>
          <cell r="BA717">
            <v>0</v>
          </cell>
          <cell r="BB717">
            <v>0</v>
          </cell>
          <cell r="BC717">
            <v>0</v>
          </cell>
          <cell r="BD717">
            <v>0</v>
          </cell>
          <cell r="BG717">
            <v>0</v>
          </cell>
          <cell r="BH717">
            <v>0</v>
          </cell>
          <cell r="BI717">
            <v>1014</v>
          </cell>
          <cell r="BJ717">
            <v>63.375</v>
          </cell>
          <cell r="BK717">
            <v>0</v>
          </cell>
          <cell r="BL717">
            <v>0</v>
          </cell>
          <cell r="BM717">
            <v>8046</v>
          </cell>
          <cell r="BN717">
            <v>502.875</v>
          </cell>
          <cell r="BO717">
            <v>0</v>
          </cell>
          <cell r="BP717">
            <v>0</v>
          </cell>
          <cell r="BY717">
            <v>1788.69</v>
          </cell>
          <cell r="CF717">
            <v>2.66</v>
          </cell>
          <cell r="CG717">
            <v>2464.944</v>
          </cell>
          <cell r="CJ717">
            <v>0</v>
          </cell>
          <cell r="CK717">
            <v>0</v>
          </cell>
          <cell r="CL717">
            <v>0</v>
          </cell>
          <cell r="CM717">
            <v>0</v>
          </cell>
          <cell r="CN717">
            <v>0</v>
          </cell>
          <cell r="CO717">
            <v>0</v>
          </cell>
          <cell r="CX717">
            <v>0</v>
          </cell>
          <cell r="CY717">
            <v>0</v>
          </cell>
          <cell r="DB717">
            <v>0</v>
          </cell>
          <cell r="DC717">
            <v>0</v>
          </cell>
          <cell r="DJ717" t="str">
            <v>МОС</v>
          </cell>
          <cell r="DL717">
            <v>40773</v>
          </cell>
          <cell r="DM717">
            <v>0</v>
          </cell>
          <cell r="DT717">
            <v>1160.1415</v>
          </cell>
        </row>
        <row r="718">
          <cell r="W718">
            <v>534.82830000000001</v>
          </cell>
          <cell r="AF718">
            <v>40441</v>
          </cell>
          <cell r="AG718">
            <v>2315</v>
          </cell>
          <cell r="AH718">
            <v>534.82838983050851</v>
          </cell>
          <cell r="AM718">
            <v>1888</v>
          </cell>
          <cell r="AO718">
            <v>1009755.8304</v>
          </cell>
          <cell r="AQ718">
            <v>1009756</v>
          </cell>
          <cell r="AU718">
            <v>0</v>
          </cell>
          <cell r="AW718">
            <v>0</v>
          </cell>
          <cell r="AY718">
            <v>359027.59631999995</v>
          </cell>
          <cell r="AZ718">
            <v>190.16292177966099</v>
          </cell>
          <cell r="BA718">
            <v>0</v>
          </cell>
          <cell r="BB718">
            <v>0</v>
          </cell>
          <cell r="BC718">
            <v>0</v>
          </cell>
          <cell r="BD718">
            <v>0</v>
          </cell>
          <cell r="BG718">
            <v>0</v>
          </cell>
          <cell r="BH718">
            <v>0</v>
          </cell>
          <cell r="BI718">
            <v>46588</v>
          </cell>
          <cell r="BJ718">
            <v>24.675847457627118</v>
          </cell>
          <cell r="BK718">
            <v>0</v>
          </cell>
          <cell r="BL718">
            <v>0</v>
          </cell>
          <cell r="BM718">
            <v>524206</v>
          </cell>
          <cell r="BN718">
            <v>277.65148305084745</v>
          </cell>
          <cell r="BO718">
            <v>0</v>
          </cell>
          <cell r="BP718">
            <v>0</v>
          </cell>
          <cell r="BY718">
            <v>1917.2</v>
          </cell>
          <cell r="CF718">
            <v>329.08</v>
          </cell>
          <cell r="CG718">
            <v>1091.0039999999999</v>
          </cell>
          <cell r="CJ718">
            <v>0</v>
          </cell>
          <cell r="CK718">
            <v>0</v>
          </cell>
          <cell r="CL718">
            <v>0</v>
          </cell>
          <cell r="CM718">
            <v>0</v>
          </cell>
          <cell r="CN718">
            <v>0</v>
          </cell>
          <cell r="CO718">
            <v>0</v>
          </cell>
          <cell r="CX718">
            <v>0</v>
          </cell>
          <cell r="CY718">
            <v>0</v>
          </cell>
          <cell r="DB718">
            <v>0</v>
          </cell>
          <cell r="DC718">
            <v>0</v>
          </cell>
          <cell r="DJ718" t="str">
            <v>МОС</v>
          </cell>
          <cell r="DL718">
            <v>40764</v>
          </cell>
          <cell r="DM718" t="str">
            <v>ХІV сесія VІ скликання</v>
          </cell>
          <cell r="DO718" t="str">
            <v>тариф на послуги з теплопостачання</v>
          </cell>
          <cell r="DT718">
            <v>534.82830000000001</v>
          </cell>
        </row>
        <row r="719">
          <cell r="W719">
            <v>890.24400000000003</v>
          </cell>
          <cell r="AF719">
            <v>40441</v>
          </cell>
          <cell r="AG719">
            <v>2316</v>
          </cell>
          <cell r="AH719">
            <v>774.12525252525256</v>
          </cell>
          <cell r="AM719">
            <v>495</v>
          </cell>
          <cell r="AO719">
            <v>440670.78</v>
          </cell>
          <cell r="AQ719">
            <v>383192</v>
          </cell>
          <cell r="AU719">
            <v>0</v>
          </cell>
          <cell r="AW719">
            <v>0</v>
          </cell>
          <cell r="AY719">
            <v>212502.82223999998</v>
          </cell>
          <cell r="AZ719">
            <v>429.29863078787872</v>
          </cell>
          <cell r="BA719">
            <v>0</v>
          </cell>
          <cell r="BB719">
            <v>0</v>
          </cell>
          <cell r="BC719">
            <v>0</v>
          </cell>
          <cell r="BD719">
            <v>0</v>
          </cell>
          <cell r="BG719">
            <v>0</v>
          </cell>
          <cell r="BH719">
            <v>0</v>
          </cell>
          <cell r="BI719">
            <v>12203</v>
          </cell>
          <cell r="BJ719">
            <v>24.652525252525251</v>
          </cell>
          <cell r="BK719">
            <v>0</v>
          </cell>
          <cell r="BL719">
            <v>0</v>
          </cell>
          <cell r="BM719">
            <v>137529</v>
          </cell>
          <cell r="BN719">
            <v>277.83636363636361</v>
          </cell>
          <cell r="BO719">
            <v>0</v>
          </cell>
          <cell r="BP719">
            <v>0</v>
          </cell>
          <cell r="BY719">
            <v>1917.2</v>
          </cell>
          <cell r="CF719">
            <v>86.21</v>
          </cell>
          <cell r="CG719">
            <v>2464.944</v>
          </cell>
          <cell r="CJ719">
            <v>0</v>
          </cell>
          <cell r="CK719">
            <v>0</v>
          </cell>
          <cell r="CL719">
            <v>0</v>
          </cell>
          <cell r="CM719">
            <v>0</v>
          </cell>
          <cell r="CN719">
            <v>0</v>
          </cell>
          <cell r="CO719">
            <v>0</v>
          </cell>
          <cell r="CX719">
            <v>0</v>
          </cell>
          <cell r="CY719">
            <v>0</v>
          </cell>
          <cell r="DB719">
            <v>0</v>
          </cell>
          <cell r="DC719">
            <v>0</v>
          </cell>
          <cell r="DJ719" t="str">
            <v>МОС</v>
          </cell>
          <cell r="DL719">
            <v>40764</v>
          </cell>
          <cell r="DM719" t="str">
            <v>ХІV сесія VІ скликання</v>
          </cell>
          <cell r="DT719">
            <v>890.24400000000003</v>
          </cell>
        </row>
        <row r="720">
          <cell r="W720">
            <v>890.24400000000003</v>
          </cell>
          <cell r="AF720">
            <v>40441</v>
          </cell>
          <cell r="AG720">
            <v>2317</v>
          </cell>
          <cell r="AH720">
            <v>781.22222222222217</v>
          </cell>
          <cell r="AM720">
            <v>9</v>
          </cell>
          <cell r="AO720">
            <v>8012.1959999999999</v>
          </cell>
          <cell r="AQ720">
            <v>7031</v>
          </cell>
          <cell r="AU720">
            <v>0</v>
          </cell>
          <cell r="AW720">
            <v>0</v>
          </cell>
          <cell r="AY720">
            <v>3771.3643200000001</v>
          </cell>
          <cell r="AZ720">
            <v>419.04048</v>
          </cell>
          <cell r="BA720">
            <v>0</v>
          </cell>
          <cell r="BB720">
            <v>0</v>
          </cell>
          <cell r="BC720">
            <v>0</v>
          </cell>
          <cell r="BD720">
            <v>0</v>
          </cell>
          <cell r="BG720">
            <v>0</v>
          </cell>
          <cell r="BH720">
            <v>0</v>
          </cell>
          <cell r="BI720">
            <v>215</v>
          </cell>
          <cell r="BJ720">
            <v>23.888888888888889</v>
          </cell>
          <cell r="BK720">
            <v>0</v>
          </cell>
          <cell r="BL720">
            <v>0</v>
          </cell>
          <cell r="BM720">
            <v>2658</v>
          </cell>
          <cell r="BN720">
            <v>295.33333333333331</v>
          </cell>
          <cell r="BO720">
            <v>0</v>
          </cell>
          <cell r="BP720">
            <v>0</v>
          </cell>
          <cell r="BY720">
            <v>1917.2</v>
          </cell>
          <cell r="CF720">
            <v>1.53</v>
          </cell>
          <cell r="CG720">
            <v>2464.944</v>
          </cell>
          <cell r="CJ720">
            <v>0</v>
          </cell>
          <cell r="CK720">
            <v>0</v>
          </cell>
          <cell r="CL720">
            <v>0</v>
          </cell>
          <cell r="CM720">
            <v>0</v>
          </cell>
          <cell r="CN720">
            <v>0</v>
          </cell>
          <cell r="CO720">
            <v>0</v>
          </cell>
          <cell r="CX720">
            <v>0</v>
          </cell>
          <cell r="CY720">
            <v>0</v>
          </cell>
          <cell r="DB720">
            <v>0</v>
          </cell>
          <cell r="DC720">
            <v>0</v>
          </cell>
          <cell r="DJ720" t="str">
            <v>МОС</v>
          </cell>
          <cell r="DL720">
            <v>40764</v>
          </cell>
          <cell r="DM720" t="str">
            <v>ХІV сесія VІ скликання</v>
          </cell>
          <cell r="DT720">
            <v>890.24400000000003</v>
          </cell>
        </row>
        <row r="721">
          <cell r="W721">
            <v>959.42840000000001</v>
          </cell>
          <cell r="AF721">
            <v>40441</v>
          </cell>
          <cell r="AG721">
            <v>2318</v>
          </cell>
          <cell r="AH721">
            <v>834.28577567683715</v>
          </cell>
          <cell r="AM721">
            <v>2327</v>
          </cell>
          <cell r="AO721">
            <v>2232589.8868</v>
          </cell>
          <cell r="AQ721">
            <v>1941383</v>
          </cell>
          <cell r="AU721">
            <v>0</v>
          </cell>
          <cell r="AW721">
            <v>0</v>
          </cell>
          <cell r="AY721">
            <v>990734.94192000001</v>
          </cell>
          <cell r="AZ721">
            <v>425.75631367425871</v>
          </cell>
          <cell r="BA721">
            <v>0</v>
          </cell>
          <cell r="BB721">
            <v>0</v>
          </cell>
          <cell r="BC721">
            <v>0</v>
          </cell>
          <cell r="BD721">
            <v>0</v>
          </cell>
          <cell r="BG721">
            <v>0</v>
          </cell>
          <cell r="BH721">
            <v>0</v>
          </cell>
          <cell r="BI721">
            <v>40437</v>
          </cell>
          <cell r="BJ721">
            <v>17.377309840996993</v>
          </cell>
          <cell r="BK721">
            <v>0</v>
          </cell>
          <cell r="BL721">
            <v>0</v>
          </cell>
          <cell r="BM721">
            <v>851350</v>
          </cell>
          <cell r="BN721">
            <v>365.85732703051139</v>
          </cell>
          <cell r="BO721">
            <v>0</v>
          </cell>
          <cell r="BP721">
            <v>0</v>
          </cell>
          <cell r="BY721">
            <v>1912.88</v>
          </cell>
          <cell r="CF721">
            <v>401.93</v>
          </cell>
          <cell r="CG721">
            <v>2464.944</v>
          </cell>
          <cell r="CJ721">
            <v>0</v>
          </cell>
          <cell r="CK721">
            <v>0</v>
          </cell>
          <cell r="CL721">
            <v>0</v>
          </cell>
          <cell r="CM721">
            <v>0</v>
          </cell>
          <cell r="CN721">
            <v>0</v>
          </cell>
          <cell r="CO721">
            <v>0</v>
          </cell>
          <cell r="CX721">
            <v>0</v>
          </cell>
          <cell r="CY721">
            <v>0</v>
          </cell>
          <cell r="DB721">
            <v>0</v>
          </cell>
          <cell r="DC721">
            <v>0</v>
          </cell>
          <cell r="DJ721" t="str">
            <v>МОС</v>
          </cell>
          <cell r="DL721">
            <v>40791</v>
          </cell>
          <cell r="DM721" t="str">
            <v>ХІ сесія VІ скликання</v>
          </cell>
          <cell r="DT721">
            <v>959.42840000000001</v>
          </cell>
        </row>
        <row r="722">
          <cell r="W722">
            <v>935</v>
          </cell>
          <cell r="AF722">
            <v>40441</v>
          </cell>
          <cell r="AG722">
            <v>2320</v>
          </cell>
          <cell r="AH722">
            <v>813.04421052631574</v>
          </cell>
          <cell r="AM722">
            <v>475</v>
          </cell>
          <cell r="AO722">
            <v>444125</v>
          </cell>
          <cell r="AQ722">
            <v>386196</v>
          </cell>
          <cell r="AU722">
            <v>0</v>
          </cell>
          <cell r="AW722">
            <v>0</v>
          </cell>
          <cell r="AY722">
            <v>193079.06352</v>
          </cell>
          <cell r="AZ722">
            <v>406.48223898947367</v>
          </cell>
          <cell r="BA722">
            <v>0</v>
          </cell>
          <cell r="BB722">
            <v>0</v>
          </cell>
          <cell r="BC722">
            <v>0</v>
          </cell>
          <cell r="BD722">
            <v>0</v>
          </cell>
          <cell r="BG722">
            <v>0</v>
          </cell>
          <cell r="BH722">
            <v>0</v>
          </cell>
          <cell r="BI722">
            <v>11507</v>
          </cell>
          <cell r="BJ722">
            <v>24.225263157894737</v>
          </cell>
          <cell r="BK722">
            <v>0</v>
          </cell>
          <cell r="BL722">
            <v>0</v>
          </cell>
          <cell r="BM722">
            <v>170585</v>
          </cell>
          <cell r="BN722">
            <v>359.12631578947367</v>
          </cell>
          <cell r="BO722">
            <v>0</v>
          </cell>
          <cell r="BP722">
            <v>0</v>
          </cell>
          <cell r="BY722">
            <v>1782.07</v>
          </cell>
          <cell r="CF722">
            <v>78.33</v>
          </cell>
          <cell r="CG722">
            <v>2464.944</v>
          </cell>
          <cell r="CJ722">
            <v>0</v>
          </cell>
          <cell r="CK722">
            <v>0</v>
          </cell>
          <cell r="CL722">
            <v>0</v>
          </cell>
          <cell r="CM722">
            <v>0</v>
          </cell>
          <cell r="CN722">
            <v>0</v>
          </cell>
          <cell r="CO722">
            <v>0</v>
          </cell>
          <cell r="CX722">
            <v>0</v>
          </cell>
          <cell r="CY722">
            <v>0</v>
          </cell>
          <cell r="DB722">
            <v>0</v>
          </cell>
          <cell r="DC722">
            <v>0</v>
          </cell>
          <cell r="DJ722" t="str">
            <v>МОС</v>
          </cell>
          <cell r="DL722">
            <v>40772</v>
          </cell>
          <cell r="DM722" t="str">
            <v>ХІV сесія VІ скликання</v>
          </cell>
          <cell r="DT722">
            <v>935</v>
          </cell>
        </row>
        <row r="723">
          <cell r="W723">
            <v>307.13333333333333</v>
          </cell>
          <cell r="AF723">
            <v>40043</v>
          </cell>
          <cell r="AG723">
            <v>728</v>
          </cell>
          <cell r="AH723">
            <v>307.13335945114443</v>
          </cell>
          <cell r="AM723">
            <v>11323.052</v>
          </cell>
          <cell r="AO723">
            <v>3477686.7042666664</v>
          </cell>
          <cell r="AQ723">
            <v>3477687</v>
          </cell>
          <cell r="AU723">
            <v>0</v>
          </cell>
          <cell r="AW723">
            <v>0</v>
          </cell>
          <cell r="AY723">
            <v>1311865.6299999999</v>
          </cell>
          <cell r="AZ723">
            <v>115.85795331506029</v>
          </cell>
          <cell r="BA723">
            <v>0</v>
          </cell>
          <cell r="BB723">
            <v>0</v>
          </cell>
          <cell r="BC723">
            <v>0</v>
          </cell>
          <cell r="BD723">
            <v>0</v>
          </cell>
          <cell r="BG723">
            <v>0</v>
          </cell>
          <cell r="BH723">
            <v>0</v>
          </cell>
          <cell r="BI723">
            <v>328355</v>
          </cell>
          <cell r="BJ723">
            <v>28.998807035417659</v>
          </cell>
          <cell r="BK723">
            <v>0</v>
          </cell>
          <cell r="BL723">
            <v>0</v>
          </cell>
          <cell r="BM723">
            <v>1510754.9390819394</v>
          </cell>
          <cell r="BN723">
            <v>133.42294454551117</v>
          </cell>
          <cell r="BO723">
            <v>0</v>
          </cell>
          <cell r="BP723">
            <v>0</v>
          </cell>
          <cell r="BY723">
            <v>1917.0410666666664</v>
          </cell>
          <cell r="CF723">
            <v>1803.6980008799426</v>
          </cell>
          <cell r="CG723">
            <v>727.32</v>
          </cell>
          <cell r="CJ723">
            <v>0</v>
          </cell>
          <cell r="CK723">
            <v>0</v>
          </cell>
          <cell r="CL723">
            <v>0</v>
          </cell>
          <cell r="CM723">
            <v>0</v>
          </cell>
          <cell r="CN723">
            <v>0</v>
          </cell>
          <cell r="CO723">
            <v>0</v>
          </cell>
          <cell r="CX723">
            <v>0</v>
          </cell>
          <cell r="CY723">
            <v>0</v>
          </cell>
          <cell r="DB723">
            <v>0</v>
          </cell>
          <cell r="DC723">
            <v>0</v>
          </cell>
          <cell r="DJ723" t="str">
            <v>МОС</v>
          </cell>
          <cell r="DL723">
            <v>40564</v>
          </cell>
          <cell r="DM723" t="str">
            <v>20/1</v>
          </cell>
          <cell r="DO723" t="str">
            <v>Тариф на оплату послуг теплопостачання</v>
          </cell>
          <cell r="DT723">
            <v>351.44</v>
          </cell>
        </row>
        <row r="724">
          <cell r="W724">
            <v>603.65</v>
          </cell>
          <cell r="AF724">
            <v>40043</v>
          </cell>
          <cell r="AG724">
            <v>729</v>
          </cell>
          <cell r="AH724">
            <v>524.91109123434705</v>
          </cell>
          <cell r="AM724">
            <v>5590</v>
          </cell>
          <cell r="AO724">
            <v>3374403.5</v>
          </cell>
          <cell r="AQ724">
            <v>2934253</v>
          </cell>
          <cell r="AU724">
            <v>0</v>
          </cell>
          <cell r="AW724">
            <v>0</v>
          </cell>
          <cell r="AY724">
            <v>1869888.62</v>
          </cell>
          <cell r="AZ724">
            <v>334.50601431127012</v>
          </cell>
          <cell r="BA724">
            <v>0</v>
          </cell>
          <cell r="BB724">
            <v>0</v>
          </cell>
          <cell r="BC724">
            <v>0</v>
          </cell>
          <cell r="BD724">
            <v>0</v>
          </cell>
          <cell r="BG724">
            <v>0</v>
          </cell>
          <cell r="BH724">
            <v>0</v>
          </cell>
          <cell r="BI724">
            <v>163392</v>
          </cell>
          <cell r="BJ724">
            <v>29.22933810375671</v>
          </cell>
          <cell r="BK724">
            <v>0</v>
          </cell>
          <cell r="BL724">
            <v>0</v>
          </cell>
          <cell r="BM724">
            <v>745891.45672242693</v>
          </cell>
          <cell r="BN724">
            <v>133.43317651563987</v>
          </cell>
          <cell r="BO724">
            <v>0</v>
          </cell>
          <cell r="BP724">
            <v>0</v>
          </cell>
          <cell r="BY724">
            <v>1917.0410666666664</v>
          </cell>
          <cell r="CF724">
            <v>856.70174007861976</v>
          </cell>
          <cell r="CG724">
            <v>2182.66</v>
          </cell>
          <cell r="CJ724">
            <v>0</v>
          </cell>
          <cell r="CK724">
            <v>0</v>
          </cell>
          <cell r="CL724">
            <v>0</v>
          </cell>
          <cell r="CM724">
            <v>0</v>
          </cell>
          <cell r="CN724">
            <v>0</v>
          </cell>
          <cell r="CO724">
            <v>0</v>
          </cell>
          <cell r="CX724">
            <v>0</v>
          </cell>
          <cell r="CY724">
            <v>0</v>
          </cell>
          <cell r="DB724">
            <v>0</v>
          </cell>
          <cell r="DC724">
            <v>0</v>
          </cell>
          <cell r="DJ724" t="str">
            <v>НКРКП</v>
          </cell>
          <cell r="DL724">
            <v>40942</v>
          </cell>
          <cell r="DM724">
            <v>43</v>
          </cell>
          <cell r="DT724">
            <v>870.69</v>
          </cell>
        </row>
        <row r="725">
          <cell r="W725">
            <v>821.73</v>
          </cell>
          <cell r="AF725">
            <v>40043</v>
          </cell>
          <cell r="AG725">
            <v>730</v>
          </cell>
          <cell r="AH725">
            <v>547.81689750692522</v>
          </cell>
          <cell r="AM725">
            <v>722</v>
          </cell>
          <cell r="AO725">
            <v>593289.06000000006</v>
          </cell>
          <cell r="AQ725">
            <v>395523.8</v>
          </cell>
          <cell r="AU725">
            <v>0</v>
          </cell>
          <cell r="AW725">
            <v>0</v>
          </cell>
          <cell r="AY725">
            <v>256899</v>
          </cell>
          <cell r="AZ725">
            <v>355.81578947368422</v>
          </cell>
          <cell r="BA725">
            <v>0</v>
          </cell>
          <cell r="BB725">
            <v>0</v>
          </cell>
          <cell r="BC725">
            <v>0</v>
          </cell>
          <cell r="BD725">
            <v>0</v>
          </cell>
          <cell r="BG725">
            <v>0</v>
          </cell>
          <cell r="BH725">
            <v>0</v>
          </cell>
          <cell r="BI725">
            <v>22094</v>
          </cell>
          <cell r="BJ725">
            <v>30.601108033240997</v>
          </cell>
          <cell r="BK725">
            <v>0</v>
          </cell>
          <cell r="BL725">
            <v>0</v>
          </cell>
          <cell r="BM725">
            <v>96396.5</v>
          </cell>
          <cell r="BN725">
            <v>133.51315789473685</v>
          </cell>
          <cell r="BO725">
            <v>0</v>
          </cell>
          <cell r="BP725">
            <v>0</v>
          </cell>
          <cell r="BY725">
            <v>1917.0410666666664</v>
          </cell>
          <cell r="CF725">
            <v>115.2344170524276</v>
          </cell>
          <cell r="CG725">
            <v>2229.36</v>
          </cell>
          <cell r="CJ725">
            <v>0</v>
          </cell>
          <cell r="CK725">
            <v>0</v>
          </cell>
          <cell r="CL725">
            <v>0</v>
          </cell>
          <cell r="CM725">
            <v>0</v>
          </cell>
          <cell r="CN725">
            <v>0</v>
          </cell>
          <cell r="CO725">
            <v>0</v>
          </cell>
          <cell r="CX725">
            <v>0</v>
          </cell>
          <cell r="CY725">
            <v>0</v>
          </cell>
          <cell r="DB725">
            <v>0</v>
          </cell>
          <cell r="DC725">
            <v>0</v>
          </cell>
          <cell r="DJ725" t="str">
            <v>НКРКП</v>
          </cell>
          <cell r="DL725">
            <v>40942</v>
          </cell>
          <cell r="DM725">
            <v>43</v>
          </cell>
          <cell r="DT725">
            <v>999.9</v>
          </cell>
        </row>
        <row r="726">
          <cell r="W726">
            <v>172.32</v>
          </cell>
          <cell r="AF726">
            <v>39721</v>
          </cell>
          <cell r="AG726">
            <v>322</v>
          </cell>
          <cell r="AH726">
            <v>171.06035062024458</v>
          </cell>
          <cell r="AM726">
            <v>24853.1</v>
          </cell>
          <cell r="AO726">
            <v>4282686.1919999998</v>
          </cell>
          <cell r="AQ726">
            <v>4251380</v>
          </cell>
          <cell r="AU726">
            <v>0</v>
          </cell>
          <cell r="AW726">
            <v>0</v>
          </cell>
          <cell r="AY726">
            <v>2519901.9648000002</v>
          </cell>
          <cell r="AZ726">
            <v>101.39185714458158</v>
          </cell>
          <cell r="BA726">
            <v>0</v>
          </cell>
          <cell r="BB726">
            <v>0</v>
          </cell>
          <cell r="BC726">
            <v>0</v>
          </cell>
          <cell r="BD726">
            <v>0</v>
          </cell>
          <cell r="BG726">
            <v>0</v>
          </cell>
          <cell r="BH726">
            <v>0</v>
          </cell>
          <cell r="BI726">
            <v>530900</v>
          </cell>
          <cell r="BJ726">
            <v>21.361520293243096</v>
          </cell>
          <cell r="BK726">
            <v>0</v>
          </cell>
          <cell r="BL726">
            <v>0</v>
          </cell>
          <cell r="BM726">
            <v>729638</v>
          </cell>
          <cell r="BN726">
            <v>29.358027771183476</v>
          </cell>
          <cell r="BO726">
            <v>0</v>
          </cell>
          <cell r="BP726">
            <v>0</v>
          </cell>
          <cell r="BY726">
            <v>761.34</v>
          </cell>
          <cell r="CF726">
            <v>3464.64</v>
          </cell>
          <cell r="CG726">
            <v>727.32</v>
          </cell>
          <cell r="CJ726">
            <v>0</v>
          </cell>
          <cell r="CK726">
            <v>0</v>
          </cell>
          <cell r="CL726">
            <v>0</v>
          </cell>
          <cell r="CM726">
            <v>0</v>
          </cell>
          <cell r="CN726">
            <v>0</v>
          </cell>
          <cell r="CO726">
            <v>0</v>
          </cell>
          <cell r="CX726">
            <v>0</v>
          </cell>
          <cell r="CY726">
            <v>0</v>
          </cell>
          <cell r="DB726">
            <v>0</v>
          </cell>
          <cell r="DC726">
            <v>0</v>
          </cell>
          <cell r="DJ726" t="str">
            <v>НКРЕ</v>
          </cell>
          <cell r="DL726">
            <v>40526</v>
          </cell>
          <cell r="DM726">
            <v>1763</v>
          </cell>
          <cell r="DO726" t="str">
            <v>тариф на теплову енергію</v>
          </cell>
          <cell r="DT726">
            <v>215.4</v>
          </cell>
        </row>
        <row r="727">
          <cell r="W727">
            <v>437.29</v>
          </cell>
          <cell r="AF727">
            <v>39974</v>
          </cell>
          <cell r="AG727">
            <v>156</v>
          </cell>
          <cell r="AH727">
            <v>380.25342882825413</v>
          </cell>
          <cell r="AM727">
            <v>3448.7</v>
          </cell>
          <cell r="AO727">
            <v>1508082.023</v>
          </cell>
          <cell r="AQ727">
            <v>1311380</v>
          </cell>
          <cell r="AU727">
            <v>0</v>
          </cell>
          <cell r="AW727">
            <v>0</v>
          </cell>
          <cell r="AY727">
            <v>1050779.669456</v>
          </cell>
          <cell r="AZ727">
            <v>304.68862744106474</v>
          </cell>
          <cell r="BA727">
            <v>0</v>
          </cell>
          <cell r="BB727">
            <v>0</v>
          </cell>
          <cell r="BC727">
            <v>0</v>
          </cell>
          <cell r="BD727">
            <v>0</v>
          </cell>
          <cell r="BG727">
            <v>0</v>
          </cell>
          <cell r="BH727">
            <v>0</v>
          </cell>
          <cell r="BI727">
            <v>80220</v>
          </cell>
          <cell r="BJ727">
            <v>23.260938904514745</v>
          </cell>
          <cell r="BK727">
            <v>0</v>
          </cell>
          <cell r="BL727">
            <v>0</v>
          </cell>
          <cell r="BM727">
            <v>101520</v>
          </cell>
          <cell r="BN727">
            <v>29.437179226955084</v>
          </cell>
          <cell r="BO727">
            <v>0</v>
          </cell>
          <cell r="BP727">
            <v>0</v>
          </cell>
          <cell r="BY727">
            <v>761.34</v>
          </cell>
          <cell r="CF727">
            <v>481.42160000000001</v>
          </cell>
          <cell r="CG727">
            <v>2182.66</v>
          </cell>
          <cell r="CJ727">
            <v>0</v>
          </cell>
          <cell r="CK727">
            <v>0</v>
          </cell>
          <cell r="CL727">
            <v>0</v>
          </cell>
          <cell r="CM727">
            <v>0</v>
          </cell>
          <cell r="CN727">
            <v>0</v>
          </cell>
          <cell r="CO727">
            <v>0</v>
          </cell>
          <cell r="CX727">
            <v>0</v>
          </cell>
          <cell r="CY727">
            <v>0</v>
          </cell>
          <cell r="DB727">
            <v>0</v>
          </cell>
          <cell r="DC727">
            <v>0</v>
          </cell>
          <cell r="DJ727" t="str">
            <v>НКРКП</v>
          </cell>
          <cell r="DL727">
            <v>40816</v>
          </cell>
          <cell r="DM727">
            <v>89</v>
          </cell>
          <cell r="DT727">
            <v>656.35</v>
          </cell>
        </row>
        <row r="728">
          <cell r="W728">
            <v>473.48</v>
          </cell>
          <cell r="AF728">
            <v>39974</v>
          </cell>
          <cell r="AG728">
            <v>155</v>
          </cell>
          <cell r="AH728">
            <v>378.79699248120301</v>
          </cell>
          <cell r="AM728">
            <v>199.5</v>
          </cell>
          <cell r="AO728">
            <v>94459.260000000009</v>
          </cell>
          <cell r="AQ728">
            <v>75570</v>
          </cell>
          <cell r="AU728">
            <v>0</v>
          </cell>
          <cell r="AW728">
            <v>0</v>
          </cell>
          <cell r="AY728">
            <v>60649.573419999993</v>
          </cell>
          <cell r="AZ728">
            <v>304.00788681704256</v>
          </cell>
          <cell r="BA728">
            <v>0</v>
          </cell>
          <cell r="BB728">
            <v>0</v>
          </cell>
          <cell r="BC728">
            <v>0</v>
          </cell>
          <cell r="BD728">
            <v>0</v>
          </cell>
          <cell r="BG728">
            <v>0</v>
          </cell>
          <cell r="BH728">
            <v>0</v>
          </cell>
          <cell r="BI728">
            <v>4580</v>
          </cell>
          <cell r="BJ728">
            <v>22.957393483709271</v>
          </cell>
          <cell r="BK728">
            <v>0</v>
          </cell>
          <cell r="BL728">
            <v>0</v>
          </cell>
          <cell r="BM728">
            <v>5860</v>
          </cell>
          <cell r="BN728">
            <v>29.373433583959901</v>
          </cell>
          <cell r="BO728">
            <v>0</v>
          </cell>
          <cell r="BP728">
            <v>0</v>
          </cell>
          <cell r="BY728">
            <v>761.34</v>
          </cell>
          <cell r="CF728">
            <v>27.786999999999999</v>
          </cell>
          <cell r="CG728">
            <v>2182.66</v>
          </cell>
          <cell r="CJ728">
            <v>0</v>
          </cell>
          <cell r="CK728">
            <v>0</v>
          </cell>
          <cell r="CL728">
            <v>0</v>
          </cell>
          <cell r="CM728">
            <v>0</v>
          </cell>
          <cell r="CN728">
            <v>0</v>
          </cell>
          <cell r="CO728">
            <v>0</v>
          </cell>
          <cell r="CX728">
            <v>0</v>
          </cell>
          <cell r="CY728">
            <v>0</v>
          </cell>
          <cell r="DB728">
            <v>0</v>
          </cell>
          <cell r="DC728">
            <v>0</v>
          </cell>
          <cell r="DJ728" t="str">
            <v>НКРКП</v>
          </cell>
          <cell r="DL728">
            <v>40816</v>
          </cell>
          <cell r="DM728">
            <v>89</v>
          </cell>
          <cell r="DT728">
            <v>692.08</v>
          </cell>
        </row>
        <row r="729">
          <cell r="W729">
            <v>251.91</v>
          </cell>
          <cell r="AF729" t="str">
            <v>25.12.2007</v>
          </cell>
          <cell r="AG729" t="str">
            <v>154; 173</v>
          </cell>
          <cell r="AH729">
            <v>251.91156945846896</v>
          </cell>
          <cell r="AM729">
            <v>69095</v>
          </cell>
          <cell r="AO729">
            <v>17405829.891732913</v>
          </cell>
          <cell r="AQ729">
            <v>17405829.891732913</v>
          </cell>
          <cell r="AU729">
            <v>14674311.1</v>
          </cell>
          <cell r="AW729">
            <v>0</v>
          </cell>
          <cell r="AY729">
            <v>0</v>
          </cell>
          <cell r="AZ729">
            <v>0</v>
          </cell>
          <cell r="BA729">
            <v>0</v>
          </cell>
          <cell r="BB729">
            <v>0</v>
          </cell>
          <cell r="BC729">
            <v>0</v>
          </cell>
          <cell r="BD729">
            <v>0</v>
          </cell>
          <cell r="BG729">
            <v>0</v>
          </cell>
          <cell r="BH729">
            <v>0</v>
          </cell>
          <cell r="BI729">
            <v>109848.9666136725</v>
          </cell>
          <cell r="BJ729">
            <v>1.589825119236884</v>
          </cell>
          <cell r="BK729">
            <v>0</v>
          </cell>
          <cell r="BL729">
            <v>0</v>
          </cell>
          <cell r="BM729">
            <v>1053874.0858505564</v>
          </cell>
          <cell r="BN729">
            <v>15.25253760547878</v>
          </cell>
          <cell r="BO729">
            <v>0</v>
          </cell>
          <cell r="BP729">
            <v>0</v>
          </cell>
          <cell r="BY729">
            <v>1264</v>
          </cell>
          <cell r="CF729">
            <v>0</v>
          </cell>
          <cell r="CG729">
            <v>0</v>
          </cell>
          <cell r="CJ729">
            <v>79420</v>
          </cell>
          <cell r="CK729">
            <v>184.76846008562075</v>
          </cell>
          <cell r="CL729">
            <v>214.51</v>
          </cell>
          <cell r="CM729">
            <v>0</v>
          </cell>
          <cell r="CN729">
            <v>0</v>
          </cell>
          <cell r="CO729">
            <v>0</v>
          </cell>
          <cell r="CX729">
            <v>0</v>
          </cell>
          <cell r="CY729">
            <v>0</v>
          </cell>
          <cell r="DB729">
            <v>0</v>
          </cell>
          <cell r="DC729">
            <v>0</v>
          </cell>
          <cell r="DJ729">
            <v>0</v>
          </cell>
          <cell r="DL729" t="str">
            <v>Рішення Новояворівської міськради від 03.09.2008, №619, Постанова НКРЕ від 04.07.2013 №869</v>
          </cell>
          <cell r="DM729" t="str">
            <v>869</v>
          </cell>
          <cell r="DO729" t="str">
            <v>тариф на теплову енергію</v>
          </cell>
          <cell r="DT729">
            <v>278.98</v>
          </cell>
        </row>
        <row r="730">
          <cell r="W730">
            <v>453.75</v>
          </cell>
          <cell r="AF730" t="str">
            <v>25.12.2007</v>
          </cell>
          <cell r="AG730" t="str">
            <v>154; 174</v>
          </cell>
          <cell r="AH730">
            <v>451.83829790129607</v>
          </cell>
          <cell r="AM730">
            <v>9159</v>
          </cell>
          <cell r="AO730">
            <v>4155896.25</v>
          </cell>
          <cell r="AQ730">
            <v>4138386.9704779708</v>
          </cell>
          <cell r="AU730">
            <v>3776315.7899999996</v>
          </cell>
          <cell r="AW730">
            <v>0</v>
          </cell>
          <cell r="AY730">
            <v>0</v>
          </cell>
          <cell r="AZ730">
            <v>0</v>
          </cell>
          <cell r="BA730">
            <v>0</v>
          </cell>
          <cell r="BB730">
            <v>0</v>
          </cell>
          <cell r="BC730">
            <v>0</v>
          </cell>
          <cell r="BD730">
            <v>0</v>
          </cell>
          <cell r="BG730">
            <v>0</v>
          </cell>
          <cell r="BH730">
            <v>0</v>
          </cell>
          <cell r="BI730">
            <v>14561.20826709062</v>
          </cell>
          <cell r="BJ730">
            <v>1.589825119236884</v>
          </cell>
          <cell r="BK730">
            <v>0</v>
          </cell>
          <cell r="BL730">
            <v>0</v>
          </cell>
          <cell r="BM730">
            <v>139697.99192858016</v>
          </cell>
          <cell r="BN730">
            <v>15.252537605478782</v>
          </cell>
          <cell r="BO730">
            <v>0</v>
          </cell>
          <cell r="BP730">
            <v>0</v>
          </cell>
          <cell r="BY730">
            <v>1264</v>
          </cell>
          <cell r="CF730">
            <v>0</v>
          </cell>
          <cell r="CG730">
            <v>0</v>
          </cell>
          <cell r="CJ730">
            <v>10526.888520710059</v>
          </cell>
          <cell r="CK730">
            <v>358.73048171552972</v>
          </cell>
          <cell r="CL730">
            <v>620.66</v>
          </cell>
          <cell r="CM730">
            <v>0</v>
          </cell>
          <cell r="CN730">
            <v>0</v>
          </cell>
          <cell r="CO730">
            <v>0</v>
          </cell>
          <cell r="CX730">
            <v>0</v>
          </cell>
          <cell r="CY730">
            <v>0</v>
          </cell>
          <cell r="DB730">
            <v>0</v>
          </cell>
          <cell r="DC730">
            <v>0</v>
          </cell>
          <cell r="DJ730" t="str">
            <v>МОС</v>
          </cell>
          <cell r="DL730" t="str">
            <v>Рішення Новояворівської міськради від 09.04.2008 №296, Постанова НКРЕ від 04.07.2013 №869</v>
          </cell>
          <cell r="DM730" t="str">
            <v>869</v>
          </cell>
          <cell r="DT730">
            <v>647.57000000000005</v>
          </cell>
        </row>
        <row r="731">
          <cell r="W731">
            <v>453.75</v>
          </cell>
          <cell r="AF731" t="str">
            <v>25.12.2007</v>
          </cell>
          <cell r="AG731" t="str">
            <v>154; 174</v>
          </cell>
          <cell r="AH731">
            <v>451.84129345538099</v>
          </cell>
          <cell r="AM731">
            <v>3516</v>
          </cell>
          <cell r="AO731">
            <v>1595385</v>
          </cell>
          <cell r="AQ731">
            <v>1588673.9877891196</v>
          </cell>
          <cell r="AU731">
            <v>1449680.4</v>
          </cell>
          <cell r="AW731">
            <v>0</v>
          </cell>
          <cell r="AY731">
            <v>0</v>
          </cell>
          <cell r="AZ731">
            <v>0</v>
          </cell>
          <cell r="BA731">
            <v>0</v>
          </cell>
          <cell r="BB731">
            <v>0</v>
          </cell>
          <cell r="BC731">
            <v>0</v>
          </cell>
          <cell r="BD731">
            <v>0</v>
          </cell>
          <cell r="BG731">
            <v>0</v>
          </cell>
          <cell r="BH731">
            <v>0</v>
          </cell>
          <cell r="BI731">
            <v>5589.8251192368843</v>
          </cell>
          <cell r="BJ731">
            <v>1.589825119236884</v>
          </cell>
          <cell r="BK731">
            <v>0</v>
          </cell>
          <cell r="BL731">
            <v>0</v>
          </cell>
          <cell r="BM731">
            <v>53627.922220863402</v>
          </cell>
          <cell r="BN731">
            <v>15.252537605478784</v>
          </cell>
          <cell r="BO731">
            <v>0</v>
          </cell>
          <cell r="BP731">
            <v>0</v>
          </cell>
          <cell r="BY731">
            <v>1264</v>
          </cell>
          <cell r="CF731">
            <v>0</v>
          </cell>
          <cell r="CG731">
            <v>0</v>
          </cell>
          <cell r="CJ731">
            <v>4041.1114792899407</v>
          </cell>
          <cell r="CK731">
            <v>358.73308802030914</v>
          </cell>
          <cell r="CL731">
            <v>620.66</v>
          </cell>
          <cell r="CM731">
            <v>0</v>
          </cell>
          <cell r="CN731">
            <v>0</v>
          </cell>
          <cell r="CO731">
            <v>0</v>
          </cell>
          <cell r="CX731">
            <v>0</v>
          </cell>
          <cell r="CY731">
            <v>0</v>
          </cell>
          <cell r="DB731">
            <v>0</v>
          </cell>
          <cell r="DC731">
            <v>0</v>
          </cell>
          <cell r="DJ731" t="str">
            <v>МОС</v>
          </cell>
          <cell r="DL731" t="str">
            <v>Рішення Новояворівської міськради від 09.04.2008 №296, Постанова НКРЕ від 04.07.2013 №869</v>
          </cell>
          <cell r="DM731" t="str">
            <v>869</v>
          </cell>
          <cell r="DT731">
            <v>647.57000000000005</v>
          </cell>
        </row>
        <row r="732">
          <cell r="W732">
            <v>199.85</v>
          </cell>
          <cell r="AF732">
            <v>39675</v>
          </cell>
          <cell r="AG732">
            <v>643</v>
          </cell>
          <cell r="AH732">
            <v>181.69275929549903</v>
          </cell>
          <cell r="AM732">
            <v>51100</v>
          </cell>
          <cell r="AO732">
            <v>10212335</v>
          </cell>
          <cell r="AQ732">
            <v>9284500</v>
          </cell>
          <cell r="AU732">
            <v>0</v>
          </cell>
          <cell r="AW732">
            <v>0</v>
          </cell>
          <cell r="AY732">
            <v>6121899.9999999991</v>
          </cell>
          <cell r="AZ732">
            <v>119.80234833659489</v>
          </cell>
          <cell r="BA732">
            <v>0</v>
          </cell>
          <cell r="BB732">
            <v>0</v>
          </cell>
          <cell r="BC732">
            <v>0</v>
          </cell>
          <cell r="BD732">
            <v>0</v>
          </cell>
          <cell r="BG732">
            <v>0</v>
          </cell>
          <cell r="BH732">
            <v>0</v>
          </cell>
          <cell r="BI732">
            <v>934200</v>
          </cell>
          <cell r="BJ732">
            <v>18.281800391389432</v>
          </cell>
          <cell r="BK732">
            <v>0</v>
          </cell>
          <cell r="BL732">
            <v>0</v>
          </cell>
          <cell r="BM732">
            <v>1690700</v>
          </cell>
          <cell r="BN732">
            <v>33.086105675146769</v>
          </cell>
          <cell r="BO732">
            <v>0</v>
          </cell>
          <cell r="BP732">
            <v>0</v>
          </cell>
          <cell r="BY732">
            <v>1585.65</v>
          </cell>
          <cell r="CF732">
            <v>8417.1001090308619</v>
          </cell>
          <cell r="CG732">
            <v>727.31700000000001</v>
          </cell>
          <cell r="CJ732">
            <v>0</v>
          </cell>
          <cell r="CK732">
            <v>0</v>
          </cell>
          <cell r="CL732">
            <v>0</v>
          </cell>
          <cell r="CM732">
            <v>0</v>
          </cell>
          <cell r="CN732">
            <v>0</v>
          </cell>
          <cell r="CO732">
            <v>0</v>
          </cell>
          <cell r="CX732">
            <v>0</v>
          </cell>
          <cell r="CY732">
            <v>0</v>
          </cell>
          <cell r="DB732">
            <v>0</v>
          </cell>
          <cell r="DC732">
            <v>0</v>
          </cell>
          <cell r="DJ732" t="str">
            <v>МОС</v>
          </cell>
          <cell r="DL732">
            <v>40436</v>
          </cell>
          <cell r="DM732">
            <v>257</v>
          </cell>
          <cell r="DO732" t="str">
            <v>тариф на теплову енергію</v>
          </cell>
          <cell r="DT732">
            <v>281.29000000000002</v>
          </cell>
        </row>
        <row r="733">
          <cell r="W733">
            <v>564.71</v>
          </cell>
          <cell r="AF733">
            <v>40434</v>
          </cell>
          <cell r="AG733">
            <v>1638</v>
          </cell>
          <cell r="AH733">
            <v>491.04618656943177</v>
          </cell>
          <cell r="AM733">
            <v>6582</v>
          </cell>
          <cell r="AO733">
            <v>3716921.22</v>
          </cell>
          <cell r="AQ733">
            <v>3232066</v>
          </cell>
          <cell r="AU733">
            <v>0</v>
          </cell>
          <cell r="AW733">
            <v>0</v>
          </cell>
          <cell r="AY733">
            <v>2620615</v>
          </cell>
          <cell r="AZ733">
            <v>398.14873898511092</v>
          </cell>
          <cell r="BA733">
            <v>0</v>
          </cell>
          <cell r="BB733">
            <v>0</v>
          </cell>
          <cell r="BC733">
            <v>0</v>
          </cell>
          <cell r="BD733">
            <v>0</v>
          </cell>
          <cell r="BG733">
            <v>0</v>
          </cell>
          <cell r="BH733">
            <v>0</v>
          </cell>
          <cell r="BI733">
            <v>190616</v>
          </cell>
          <cell r="BJ733">
            <v>28.96019446976603</v>
          </cell>
          <cell r="BK733">
            <v>0</v>
          </cell>
          <cell r="BL733">
            <v>0</v>
          </cell>
          <cell r="BM733">
            <v>345686</v>
          </cell>
          <cell r="BN733">
            <v>52.519902765116989</v>
          </cell>
          <cell r="BO733">
            <v>0</v>
          </cell>
          <cell r="BP733">
            <v>0</v>
          </cell>
          <cell r="BY733">
            <v>2683.33</v>
          </cell>
          <cell r="CF733">
            <v>1063.1556954733178</v>
          </cell>
          <cell r="CG733">
            <v>2464.94</v>
          </cell>
          <cell r="CJ733">
            <v>0</v>
          </cell>
          <cell r="CK733">
            <v>0</v>
          </cell>
          <cell r="CL733">
            <v>0</v>
          </cell>
          <cell r="CM733">
            <v>0</v>
          </cell>
          <cell r="CN733">
            <v>0</v>
          </cell>
          <cell r="CO733">
            <v>0</v>
          </cell>
          <cell r="CX733">
            <v>0</v>
          </cell>
          <cell r="CY733">
            <v>0</v>
          </cell>
          <cell r="DB733">
            <v>0</v>
          </cell>
          <cell r="DC733">
            <v>0</v>
          </cell>
          <cell r="DJ733" t="str">
            <v>НКРКП</v>
          </cell>
          <cell r="DL733">
            <v>40942</v>
          </cell>
          <cell r="DM733">
            <v>39</v>
          </cell>
          <cell r="DT733">
            <v>794.05</v>
          </cell>
        </row>
        <row r="734">
          <cell r="W734">
            <v>638.37</v>
          </cell>
          <cell r="AF734">
            <v>40434</v>
          </cell>
          <cell r="AG734">
            <v>1638</v>
          </cell>
          <cell r="AH734">
            <v>491.04634017904158</v>
          </cell>
          <cell r="AM734">
            <v>1899</v>
          </cell>
          <cell r="AO734">
            <v>1212264.6300000001</v>
          </cell>
          <cell r="AQ734">
            <v>932497</v>
          </cell>
          <cell r="AU734">
            <v>0</v>
          </cell>
          <cell r="AW734">
            <v>0</v>
          </cell>
          <cell r="AY734">
            <v>756085</v>
          </cell>
          <cell r="AZ734">
            <v>398.14902580305426</v>
          </cell>
          <cell r="BA734">
            <v>0</v>
          </cell>
          <cell r="BB734">
            <v>0</v>
          </cell>
          <cell r="BC734">
            <v>0</v>
          </cell>
          <cell r="BD734">
            <v>0</v>
          </cell>
          <cell r="BG734">
            <v>0</v>
          </cell>
          <cell r="BH734">
            <v>0</v>
          </cell>
          <cell r="BI734">
            <v>54995</v>
          </cell>
          <cell r="BJ734">
            <v>28.959978936282255</v>
          </cell>
          <cell r="BK734">
            <v>0</v>
          </cell>
          <cell r="BL734">
            <v>0</v>
          </cell>
          <cell r="BM734">
            <v>99735</v>
          </cell>
          <cell r="BN734">
            <v>52.519747235387044</v>
          </cell>
          <cell r="BO734">
            <v>0</v>
          </cell>
          <cell r="BP734">
            <v>0</v>
          </cell>
          <cell r="BY734">
            <v>2683.33</v>
          </cell>
          <cell r="CF734">
            <v>306.73566090858196</v>
          </cell>
          <cell r="CG734">
            <v>2464.94</v>
          </cell>
          <cell r="CJ734">
            <v>0</v>
          </cell>
          <cell r="CK734">
            <v>0</v>
          </cell>
          <cell r="CL734">
            <v>0</v>
          </cell>
          <cell r="CM734">
            <v>0</v>
          </cell>
          <cell r="CN734">
            <v>0</v>
          </cell>
          <cell r="CO734">
            <v>0</v>
          </cell>
          <cell r="CX734">
            <v>0</v>
          </cell>
          <cell r="CY734">
            <v>0</v>
          </cell>
          <cell r="DB734">
            <v>0</v>
          </cell>
          <cell r="DC734">
            <v>0</v>
          </cell>
          <cell r="DJ734" t="str">
            <v>НКРКП</v>
          </cell>
          <cell r="DL734">
            <v>40942</v>
          </cell>
          <cell r="DM734">
            <v>39</v>
          </cell>
          <cell r="DT734">
            <v>794.05</v>
          </cell>
        </row>
        <row r="735">
          <cell r="W735">
            <v>251.48333333333335</v>
          </cell>
          <cell r="AF735">
            <v>39430</v>
          </cell>
          <cell r="AG735">
            <v>0</v>
          </cell>
          <cell r="AH735">
            <v>249.12999999999997</v>
          </cell>
          <cell r="AM735">
            <v>79638</v>
          </cell>
          <cell r="AO735">
            <v>20027629.700000003</v>
          </cell>
          <cell r="AQ735">
            <v>19840214.939999998</v>
          </cell>
          <cell r="AU735">
            <v>17145265.02</v>
          </cell>
          <cell r="AW735">
            <v>0</v>
          </cell>
          <cell r="AY735">
            <v>0</v>
          </cell>
          <cell r="AZ735">
            <v>0</v>
          </cell>
          <cell r="BA735">
            <v>0</v>
          </cell>
          <cell r="BB735">
            <v>0</v>
          </cell>
          <cell r="BC735">
            <v>0</v>
          </cell>
          <cell r="BD735">
            <v>0</v>
          </cell>
          <cell r="BG735">
            <v>0</v>
          </cell>
          <cell r="BH735">
            <v>0</v>
          </cell>
          <cell r="BI735">
            <v>112289.57999999999</v>
          </cell>
          <cell r="BJ735">
            <v>1.41</v>
          </cell>
          <cell r="BK735">
            <v>0</v>
          </cell>
          <cell r="BL735">
            <v>0</v>
          </cell>
          <cell r="BM735">
            <v>1036886.76</v>
          </cell>
          <cell r="BN735">
            <v>13.02</v>
          </cell>
          <cell r="BO735">
            <v>0</v>
          </cell>
          <cell r="BP735">
            <v>0</v>
          </cell>
          <cell r="BY735">
            <v>927</v>
          </cell>
          <cell r="CF735">
            <v>0</v>
          </cell>
          <cell r="CG735">
            <v>0</v>
          </cell>
          <cell r="CJ735">
            <v>91538</v>
          </cell>
          <cell r="CK735">
            <v>187.30215888483471</v>
          </cell>
          <cell r="CL735">
            <v>192.77</v>
          </cell>
          <cell r="CM735">
            <v>0</v>
          </cell>
          <cell r="CN735">
            <v>0</v>
          </cell>
          <cell r="CO735">
            <v>0</v>
          </cell>
          <cell r="CX735">
            <v>0</v>
          </cell>
          <cell r="CY735">
            <v>0</v>
          </cell>
          <cell r="DB735">
            <v>0</v>
          </cell>
          <cell r="DC735">
            <v>0</v>
          </cell>
          <cell r="DJ735">
            <v>0</v>
          </cell>
          <cell r="DL735" t="str">
            <v>Рішення Новороздільської міської ради від 11.10.2006 №447 (постачання) та від 14.12.2007 №540 (транспортування), Постанова НКРЕ від 26.12.2012 №1754</v>
          </cell>
          <cell r="DM735" t="str">
            <v>1754</v>
          </cell>
          <cell r="DO735" t="str">
            <v>тариф на теплову енергію</v>
          </cell>
          <cell r="DT735">
            <v>244.2</v>
          </cell>
        </row>
        <row r="736">
          <cell r="W736">
            <v>469.41666700000002</v>
          </cell>
          <cell r="AF736">
            <v>39430</v>
          </cell>
          <cell r="AG736">
            <v>0</v>
          </cell>
          <cell r="AH736">
            <v>465.42</v>
          </cell>
          <cell r="AM736">
            <v>8127</v>
          </cell>
          <cell r="AO736">
            <v>3814949.2527090004</v>
          </cell>
          <cell r="AQ736">
            <v>3782468.3400000003</v>
          </cell>
          <cell r="AU736">
            <v>3507450.66</v>
          </cell>
          <cell r="AW736">
            <v>0</v>
          </cell>
          <cell r="AY736">
            <v>0</v>
          </cell>
          <cell r="AZ736">
            <v>0</v>
          </cell>
          <cell r="BA736">
            <v>0</v>
          </cell>
          <cell r="BB736">
            <v>0</v>
          </cell>
          <cell r="BC736">
            <v>0</v>
          </cell>
          <cell r="BD736">
            <v>0</v>
          </cell>
          <cell r="BG736">
            <v>0</v>
          </cell>
          <cell r="BH736">
            <v>0</v>
          </cell>
          <cell r="BI736">
            <v>11459.07</v>
          </cell>
          <cell r="BJ736">
            <v>1.41</v>
          </cell>
          <cell r="BK736">
            <v>0</v>
          </cell>
          <cell r="BL736">
            <v>0</v>
          </cell>
          <cell r="BM736">
            <v>105813.54000000001</v>
          </cell>
          <cell r="BN736">
            <v>13.020000000000001</v>
          </cell>
          <cell r="BO736">
            <v>0</v>
          </cell>
          <cell r="BP736">
            <v>0</v>
          </cell>
          <cell r="BY736">
            <v>927</v>
          </cell>
          <cell r="CF736">
            <v>0</v>
          </cell>
          <cell r="CG736">
            <v>0</v>
          </cell>
          <cell r="CJ736">
            <v>9341.5490654205605</v>
          </cell>
          <cell r="CK736">
            <v>375.4677768576376</v>
          </cell>
          <cell r="CL736">
            <v>626.94000000000005</v>
          </cell>
          <cell r="CM736">
            <v>0</v>
          </cell>
          <cell r="CN736">
            <v>0</v>
          </cell>
          <cell r="CO736">
            <v>0</v>
          </cell>
          <cell r="CX736">
            <v>0</v>
          </cell>
          <cell r="CY736">
            <v>0</v>
          </cell>
          <cell r="DB736">
            <v>0</v>
          </cell>
          <cell r="DC736">
            <v>0</v>
          </cell>
          <cell r="DJ736" t="str">
            <v>МОС</v>
          </cell>
          <cell r="DL736" t="str">
            <v>Рішення Новороздільської міської ради від 11.10.2006 №447 (постачання) та від 14.12.2007 №540 (транспортування), Постанова НКРЕ від 04.07.2013 №866</v>
          </cell>
          <cell r="DM736" t="str">
            <v>866</v>
          </cell>
          <cell r="DT736">
            <v>632.03</v>
          </cell>
        </row>
        <row r="737">
          <cell r="W737">
            <v>472.24166700000001</v>
          </cell>
          <cell r="AF737">
            <v>39430</v>
          </cell>
          <cell r="AG737">
            <v>0</v>
          </cell>
          <cell r="AH737">
            <v>465.42000000000007</v>
          </cell>
          <cell r="AM737">
            <v>3429</v>
          </cell>
          <cell r="AO737">
            <v>1619316.6761430001</v>
          </cell>
          <cell r="AQ737">
            <v>1595925.1800000002</v>
          </cell>
          <cell r="AU737">
            <v>1479887.82</v>
          </cell>
          <cell r="AW737">
            <v>0</v>
          </cell>
          <cell r="AY737">
            <v>0</v>
          </cell>
          <cell r="AZ737">
            <v>0</v>
          </cell>
          <cell r="BA737">
            <v>0</v>
          </cell>
          <cell r="BB737">
            <v>0</v>
          </cell>
          <cell r="BC737">
            <v>0</v>
          </cell>
          <cell r="BD737">
            <v>0</v>
          </cell>
          <cell r="BG737">
            <v>0</v>
          </cell>
          <cell r="BH737">
            <v>0</v>
          </cell>
          <cell r="BI737">
            <v>4834.8899999999994</v>
          </cell>
          <cell r="BJ737">
            <v>1.41</v>
          </cell>
          <cell r="BK737">
            <v>0</v>
          </cell>
          <cell r="BL737">
            <v>0</v>
          </cell>
          <cell r="BM737">
            <v>44645.580000000009</v>
          </cell>
          <cell r="BN737">
            <v>13.020000000000003</v>
          </cell>
          <cell r="BO737">
            <v>0</v>
          </cell>
          <cell r="BP737">
            <v>0</v>
          </cell>
          <cell r="BY737">
            <v>927</v>
          </cell>
          <cell r="CF737">
            <v>0</v>
          </cell>
          <cell r="CG737">
            <v>0</v>
          </cell>
          <cell r="CJ737">
            <v>3941.4509345794395</v>
          </cell>
          <cell r="CK737">
            <v>375.4677768576376</v>
          </cell>
          <cell r="CL737">
            <v>626.94000000000005</v>
          </cell>
          <cell r="CM737">
            <v>0</v>
          </cell>
          <cell r="CN737">
            <v>0</v>
          </cell>
          <cell r="CO737">
            <v>0</v>
          </cell>
          <cell r="CX737">
            <v>0</v>
          </cell>
          <cell r="CY737">
            <v>0</v>
          </cell>
          <cell r="DB737">
            <v>0</v>
          </cell>
          <cell r="DC737">
            <v>0</v>
          </cell>
          <cell r="DJ737" t="str">
            <v>МОС</v>
          </cell>
          <cell r="DL737" t="str">
            <v>Рішення Новороздільської міської ради від 11.10.2006 №447 (постачання) та від 14.12.2007 №540 (транспортування), Постанова НКРЕ від 04.07.2013 №866</v>
          </cell>
          <cell r="DM737" t="str">
            <v>866</v>
          </cell>
          <cell r="DT737">
            <v>634.85</v>
          </cell>
        </row>
        <row r="738">
          <cell r="W738">
            <v>210.04</v>
          </cell>
          <cell r="AF738">
            <v>39714</v>
          </cell>
          <cell r="AG738">
            <v>452</v>
          </cell>
          <cell r="AH738">
            <v>197.21888582533057</v>
          </cell>
          <cell r="AM738">
            <v>10873.34</v>
          </cell>
          <cell r="AO738">
            <v>2283836.3336</v>
          </cell>
          <cell r="AQ738">
            <v>2144428</v>
          </cell>
          <cell r="AU738">
            <v>0</v>
          </cell>
          <cell r="AW738">
            <v>0</v>
          </cell>
          <cell r="AY738">
            <v>1107460.48248</v>
          </cell>
          <cell r="AZ738">
            <v>101.85099357511123</v>
          </cell>
          <cell r="BA738">
            <v>0</v>
          </cell>
          <cell r="BB738">
            <v>0</v>
          </cell>
          <cell r="BC738">
            <v>0</v>
          </cell>
          <cell r="BD738">
            <v>0</v>
          </cell>
          <cell r="BG738">
            <v>0</v>
          </cell>
          <cell r="BH738">
            <v>0</v>
          </cell>
          <cell r="BI738">
            <v>92681</v>
          </cell>
          <cell r="BJ738">
            <v>8.5236918922796487</v>
          </cell>
          <cell r="BK738">
            <v>0</v>
          </cell>
          <cell r="BL738">
            <v>0</v>
          </cell>
          <cell r="BM738">
            <v>797001</v>
          </cell>
          <cell r="BN738">
            <v>73.298636849394939</v>
          </cell>
          <cell r="BO738">
            <v>0</v>
          </cell>
          <cell r="BP738">
            <v>0</v>
          </cell>
          <cell r="BY738">
            <v>2468</v>
          </cell>
          <cell r="CF738">
            <v>1631.1130000000001</v>
          </cell>
          <cell r="CG738">
            <v>678.96</v>
          </cell>
          <cell r="CJ738">
            <v>0</v>
          </cell>
          <cell r="CK738">
            <v>0</v>
          </cell>
          <cell r="CL738">
            <v>0</v>
          </cell>
          <cell r="CM738">
            <v>0</v>
          </cell>
          <cell r="CN738">
            <v>0</v>
          </cell>
          <cell r="CO738">
            <v>0</v>
          </cell>
          <cell r="CX738">
            <v>0</v>
          </cell>
          <cell r="CY738">
            <v>0</v>
          </cell>
          <cell r="DB738">
            <v>0</v>
          </cell>
          <cell r="DC738">
            <v>0</v>
          </cell>
          <cell r="DJ738" t="str">
            <v>МОС</v>
          </cell>
          <cell r="DL738">
            <v>40561</v>
          </cell>
          <cell r="DM738">
            <v>6</v>
          </cell>
          <cell r="DO738" t="str">
            <v>теплова енергія</v>
          </cell>
          <cell r="DT738">
            <v>262.55</v>
          </cell>
        </row>
        <row r="739">
          <cell r="W739">
            <v>754.76</v>
          </cell>
          <cell r="AF739">
            <v>40450</v>
          </cell>
          <cell r="AG739">
            <v>967</v>
          </cell>
          <cell r="AH739">
            <v>692.4405804852729</v>
          </cell>
          <cell r="AM739">
            <v>10769.61</v>
          </cell>
          <cell r="AO739">
            <v>8128470.8436000003</v>
          </cell>
          <cell r="AQ739">
            <v>7457315</v>
          </cell>
          <cell r="AU739">
            <v>0</v>
          </cell>
          <cell r="AW739">
            <v>0</v>
          </cell>
          <cell r="AY739">
            <v>3901309.8368000002</v>
          </cell>
          <cell r="AZ739">
            <v>362.25172840984959</v>
          </cell>
          <cell r="BA739">
            <v>0</v>
          </cell>
          <cell r="BB739">
            <v>0</v>
          </cell>
          <cell r="BC739">
            <v>0</v>
          </cell>
          <cell r="BD739">
            <v>0</v>
          </cell>
          <cell r="BG739">
            <v>0</v>
          </cell>
          <cell r="BH739">
            <v>0</v>
          </cell>
          <cell r="BI739">
            <v>149909</v>
          </cell>
          <cell r="BJ739">
            <v>13.919631258699246</v>
          </cell>
          <cell r="BK739">
            <v>0</v>
          </cell>
          <cell r="BL739">
            <v>0</v>
          </cell>
          <cell r="BM739">
            <v>2947264</v>
          </cell>
          <cell r="BN739">
            <v>273.66487737253249</v>
          </cell>
          <cell r="BO739">
            <v>0</v>
          </cell>
          <cell r="BP739">
            <v>0</v>
          </cell>
          <cell r="BY739">
            <v>3981</v>
          </cell>
          <cell r="CF739">
            <v>1582.72</v>
          </cell>
          <cell r="CG739">
            <v>2464.94</v>
          </cell>
          <cell r="CJ739">
            <v>0</v>
          </cell>
          <cell r="CK739">
            <v>0</v>
          </cell>
          <cell r="CL739">
            <v>0</v>
          </cell>
          <cell r="CM739">
            <v>0</v>
          </cell>
          <cell r="CN739">
            <v>0</v>
          </cell>
          <cell r="CO739">
            <v>0</v>
          </cell>
          <cell r="CX739">
            <v>0</v>
          </cell>
          <cell r="CY739">
            <v>0</v>
          </cell>
          <cell r="DB739">
            <v>0</v>
          </cell>
          <cell r="DC739">
            <v>0</v>
          </cell>
          <cell r="DJ739" t="str">
            <v>НКРКП</v>
          </cell>
          <cell r="DL739">
            <v>40942</v>
          </cell>
          <cell r="DM739">
            <v>44</v>
          </cell>
          <cell r="DT739">
            <v>969.34</v>
          </cell>
        </row>
        <row r="740">
          <cell r="W740">
            <v>816.74</v>
          </cell>
          <cell r="AF740">
            <v>40450</v>
          </cell>
          <cell r="AG740">
            <v>968</v>
          </cell>
          <cell r="AH740">
            <v>680.62486488946536</v>
          </cell>
          <cell r="AM740">
            <v>878.91</v>
          </cell>
          <cell r="AO740">
            <v>717840.9534</v>
          </cell>
          <cell r="AQ740">
            <v>598208</v>
          </cell>
          <cell r="AU740">
            <v>0</v>
          </cell>
          <cell r="AW740">
            <v>0</v>
          </cell>
          <cell r="AY740">
            <v>335544.88738000003</v>
          </cell>
          <cell r="AZ740">
            <v>381.77388740599156</v>
          </cell>
          <cell r="BA740">
            <v>0</v>
          </cell>
          <cell r="BB740">
            <v>0</v>
          </cell>
          <cell r="BC740">
            <v>0</v>
          </cell>
          <cell r="BD740">
            <v>0</v>
          </cell>
          <cell r="BG740">
            <v>0</v>
          </cell>
          <cell r="BH740">
            <v>0</v>
          </cell>
          <cell r="BI740">
            <v>17023</v>
          </cell>
          <cell r="BJ740">
            <v>19.368308472994961</v>
          </cell>
          <cell r="BK740">
            <v>0</v>
          </cell>
          <cell r="BL740">
            <v>0</v>
          </cell>
          <cell r="BM740">
            <v>210430</v>
          </cell>
          <cell r="BN740">
            <v>239.42155624580448</v>
          </cell>
          <cell r="BO740">
            <v>0</v>
          </cell>
          <cell r="BP740">
            <v>0</v>
          </cell>
          <cell r="BY740">
            <v>3981</v>
          </cell>
          <cell r="CF740">
            <v>136.12700000000001</v>
          </cell>
          <cell r="CG740">
            <v>2464.94</v>
          </cell>
          <cell r="CJ740">
            <v>0</v>
          </cell>
          <cell r="CK740">
            <v>0</v>
          </cell>
          <cell r="CL740">
            <v>0</v>
          </cell>
          <cell r="CM740">
            <v>0</v>
          </cell>
          <cell r="CN740">
            <v>0</v>
          </cell>
          <cell r="CO740">
            <v>0</v>
          </cell>
          <cell r="CX740">
            <v>0</v>
          </cell>
          <cell r="CY740">
            <v>0</v>
          </cell>
          <cell r="DB740">
            <v>0</v>
          </cell>
          <cell r="DC740">
            <v>0</v>
          </cell>
          <cell r="DJ740" t="str">
            <v>НКРКП</v>
          </cell>
          <cell r="DL740">
            <v>40942</v>
          </cell>
          <cell r="DM740">
            <v>44</v>
          </cell>
          <cell r="DT740">
            <v>999.9</v>
          </cell>
        </row>
        <row r="741">
          <cell r="W741">
            <v>338.77</v>
          </cell>
          <cell r="AF741">
            <v>39892</v>
          </cell>
          <cell r="AG741">
            <v>1560</v>
          </cell>
          <cell r="AH741">
            <v>397.68</v>
          </cell>
          <cell r="AM741">
            <v>551.70000000000005</v>
          </cell>
          <cell r="AO741">
            <v>186899.40900000001</v>
          </cell>
          <cell r="AQ741">
            <v>219400.05600000001</v>
          </cell>
          <cell r="AU741">
            <v>0</v>
          </cell>
          <cell r="AW741">
            <v>0</v>
          </cell>
          <cell r="AY741">
            <v>69859.525167</v>
          </cell>
          <cell r="AZ741">
            <v>126.62592924959216</v>
          </cell>
          <cell r="BA741">
            <v>0</v>
          </cell>
          <cell r="BB741">
            <v>0</v>
          </cell>
          <cell r="BC741">
            <v>0</v>
          </cell>
          <cell r="BD741">
            <v>0</v>
          </cell>
          <cell r="BG741">
            <v>0</v>
          </cell>
          <cell r="BH741">
            <v>0</v>
          </cell>
          <cell r="BI741">
            <v>20000</v>
          </cell>
          <cell r="BJ741">
            <v>36.251586006887798</v>
          </cell>
          <cell r="BK741">
            <v>0</v>
          </cell>
          <cell r="BL741">
            <v>0</v>
          </cell>
          <cell r="BM741">
            <v>80900</v>
          </cell>
          <cell r="BN741">
            <v>146.63766539786116</v>
          </cell>
          <cell r="BO741">
            <v>0</v>
          </cell>
          <cell r="BP741">
            <v>0</v>
          </cell>
          <cell r="BY741">
            <v>1870.83</v>
          </cell>
          <cell r="CF741">
            <v>96.051000000000002</v>
          </cell>
          <cell r="CG741">
            <v>727.31700000000001</v>
          </cell>
          <cell r="CJ741">
            <v>0</v>
          </cell>
          <cell r="CK741">
            <v>0</v>
          </cell>
          <cell r="CL741">
            <v>0</v>
          </cell>
          <cell r="CM741">
            <v>0</v>
          </cell>
          <cell r="CN741">
            <v>0</v>
          </cell>
          <cell r="CO741">
            <v>0</v>
          </cell>
          <cell r="CX741">
            <v>0</v>
          </cell>
          <cell r="CY741">
            <v>0</v>
          </cell>
          <cell r="DB741">
            <v>0</v>
          </cell>
          <cell r="DC741">
            <v>0</v>
          </cell>
          <cell r="DJ741" t="str">
            <v>НКРЕ</v>
          </cell>
          <cell r="DL741">
            <v>40526</v>
          </cell>
          <cell r="DM741">
            <v>1700</v>
          </cell>
          <cell r="DO741" t="str">
            <v>Тариф на теплову енергію</v>
          </cell>
          <cell r="DT741">
            <v>372.65</v>
          </cell>
        </row>
        <row r="742">
          <cell r="W742">
            <v>700.86</v>
          </cell>
          <cell r="AF742">
            <v>39892</v>
          </cell>
          <cell r="AG742">
            <v>1561</v>
          </cell>
          <cell r="AH742">
            <v>638.49</v>
          </cell>
          <cell r="AM742">
            <v>446.4</v>
          </cell>
          <cell r="AO742">
            <v>312863.90399999998</v>
          </cell>
          <cell r="AQ742">
            <v>285021.93599999999</v>
          </cell>
          <cell r="AU742">
            <v>0</v>
          </cell>
          <cell r="AW742">
            <v>0</v>
          </cell>
          <cell r="AY742">
            <v>166480.67424999998</v>
          </cell>
          <cell r="AZ742">
            <v>372.94057851702507</v>
          </cell>
          <cell r="BA742">
            <v>0</v>
          </cell>
          <cell r="BB742">
            <v>0</v>
          </cell>
          <cell r="BC742">
            <v>0</v>
          </cell>
          <cell r="BD742">
            <v>0</v>
          </cell>
          <cell r="BG742">
            <v>0</v>
          </cell>
          <cell r="BH742">
            <v>0</v>
          </cell>
          <cell r="BI742">
            <v>16200</v>
          </cell>
          <cell r="BJ742">
            <v>36.29032258064516</v>
          </cell>
          <cell r="BK742">
            <v>0</v>
          </cell>
          <cell r="BL742">
            <v>0</v>
          </cell>
          <cell r="BM742">
            <v>64700</v>
          </cell>
          <cell r="BN742">
            <v>144.93727598566309</v>
          </cell>
          <cell r="BO742">
            <v>0</v>
          </cell>
          <cell r="BP742">
            <v>0</v>
          </cell>
          <cell r="BY742">
            <v>1870.83</v>
          </cell>
          <cell r="CF742">
            <v>77.712999999999994</v>
          </cell>
          <cell r="CG742">
            <v>2142.25</v>
          </cell>
          <cell r="CJ742">
            <v>0</v>
          </cell>
          <cell r="CK742">
            <v>0</v>
          </cell>
          <cell r="CL742">
            <v>0</v>
          </cell>
          <cell r="CM742">
            <v>0</v>
          </cell>
          <cell r="CN742">
            <v>0</v>
          </cell>
          <cell r="CO742">
            <v>0</v>
          </cell>
          <cell r="CX742">
            <v>0</v>
          </cell>
          <cell r="CY742">
            <v>0</v>
          </cell>
          <cell r="DB742">
            <v>0</v>
          </cell>
          <cell r="DC742">
            <v>0</v>
          </cell>
          <cell r="DJ742" t="str">
            <v>НКРКП</v>
          </cell>
          <cell r="DL742">
            <v>40816</v>
          </cell>
          <cell r="DM742">
            <v>99</v>
          </cell>
          <cell r="DT742">
            <v>970.02</v>
          </cell>
        </row>
        <row r="743">
          <cell r="W743">
            <v>689.51</v>
          </cell>
          <cell r="AF743">
            <v>39892</v>
          </cell>
          <cell r="AG743">
            <v>1562</v>
          </cell>
          <cell r="AH743">
            <v>571.20000000000005</v>
          </cell>
          <cell r="AM743">
            <v>2.5</v>
          </cell>
          <cell r="AO743">
            <v>1723.7750000000001</v>
          </cell>
          <cell r="AQ743">
            <v>1428</v>
          </cell>
          <cell r="AU743">
            <v>0</v>
          </cell>
          <cell r="AW743">
            <v>0</v>
          </cell>
          <cell r="AY743">
            <v>914.74074999999993</v>
          </cell>
          <cell r="AZ743">
            <v>365.8963</v>
          </cell>
          <cell r="BA743">
            <v>0</v>
          </cell>
          <cell r="BB743">
            <v>0</v>
          </cell>
          <cell r="BC743">
            <v>0</v>
          </cell>
          <cell r="BD743">
            <v>0</v>
          </cell>
          <cell r="BG743">
            <v>0</v>
          </cell>
          <cell r="BH743">
            <v>0</v>
          </cell>
          <cell r="BI743">
            <v>100</v>
          </cell>
          <cell r="BJ743">
            <v>40</v>
          </cell>
          <cell r="BK743">
            <v>0</v>
          </cell>
          <cell r="BL743">
            <v>0</v>
          </cell>
          <cell r="BM743">
            <v>300</v>
          </cell>
          <cell r="BN743">
            <v>120</v>
          </cell>
          <cell r="BO743">
            <v>0</v>
          </cell>
          <cell r="BP743">
            <v>0</v>
          </cell>
          <cell r="BY743">
            <v>1870.83</v>
          </cell>
          <cell r="CF743">
            <v>0.42699999999999999</v>
          </cell>
          <cell r="CG743">
            <v>2142.25</v>
          </cell>
          <cell r="CJ743">
            <v>0</v>
          </cell>
          <cell r="CK743">
            <v>0</v>
          </cell>
          <cell r="CL743">
            <v>0</v>
          </cell>
          <cell r="CM743">
            <v>0</v>
          </cell>
          <cell r="CN743">
            <v>0</v>
          </cell>
          <cell r="CO743">
            <v>0</v>
          </cell>
          <cell r="CX743">
            <v>0</v>
          </cell>
          <cell r="CY743">
            <v>0</v>
          </cell>
          <cell r="DB743">
            <v>0</v>
          </cell>
          <cell r="DC743">
            <v>0</v>
          </cell>
          <cell r="DJ743" t="str">
            <v>НКРКП</v>
          </cell>
          <cell r="DL743">
            <v>40816</v>
          </cell>
          <cell r="DM743">
            <v>99</v>
          </cell>
          <cell r="DT743">
            <v>970.02</v>
          </cell>
        </row>
        <row r="744">
          <cell r="W744">
            <v>821.62</v>
          </cell>
          <cell r="AF744">
            <v>39892</v>
          </cell>
          <cell r="AG744">
            <v>0</v>
          </cell>
          <cell r="AH744">
            <v>831.40000000000009</v>
          </cell>
          <cell r="AM744">
            <v>186.1</v>
          </cell>
          <cell r="AO744">
            <v>152903.48199999999</v>
          </cell>
          <cell r="AQ744">
            <v>154723.54</v>
          </cell>
          <cell r="AU744">
            <v>0</v>
          </cell>
          <cell r="AW744">
            <v>0</v>
          </cell>
          <cell r="AY744">
            <v>59963.719749999997</v>
          </cell>
          <cell r="AZ744">
            <v>322.21235760343899</v>
          </cell>
          <cell r="BA744">
            <v>0</v>
          </cell>
          <cell r="BB744">
            <v>0</v>
          </cell>
          <cell r="BC744">
            <v>0</v>
          </cell>
          <cell r="BD744">
            <v>0</v>
          </cell>
          <cell r="BG744">
            <v>0</v>
          </cell>
          <cell r="BH744">
            <v>0</v>
          </cell>
          <cell r="BI744">
            <v>4500</v>
          </cell>
          <cell r="BJ744">
            <v>24.180548092423429</v>
          </cell>
          <cell r="BK744">
            <v>0</v>
          </cell>
          <cell r="BL744">
            <v>0</v>
          </cell>
          <cell r="BM744">
            <v>71000</v>
          </cell>
          <cell r="BN744">
            <v>381.51531434712524</v>
          </cell>
          <cell r="BO744">
            <v>0</v>
          </cell>
          <cell r="BP744">
            <v>0</v>
          </cell>
          <cell r="BY744">
            <v>1870.83</v>
          </cell>
          <cell r="CF744">
            <v>27.991</v>
          </cell>
          <cell r="CG744">
            <v>2142.25</v>
          </cell>
          <cell r="CJ744">
            <v>0</v>
          </cell>
          <cell r="CK744">
            <v>0</v>
          </cell>
          <cell r="CL744">
            <v>0</v>
          </cell>
          <cell r="CM744">
            <v>0</v>
          </cell>
          <cell r="CN744">
            <v>0</v>
          </cell>
          <cell r="CO744">
            <v>0</v>
          </cell>
          <cell r="CX744">
            <v>0</v>
          </cell>
          <cell r="CY744">
            <v>0</v>
          </cell>
          <cell r="DB744">
            <v>0</v>
          </cell>
          <cell r="DC744">
            <v>0</v>
          </cell>
          <cell r="DJ744" t="str">
            <v>НКРЕ</v>
          </cell>
          <cell r="DL744">
            <v>40816</v>
          </cell>
          <cell r="DM744">
            <v>99</v>
          </cell>
          <cell r="DT744">
            <v>999.9</v>
          </cell>
        </row>
        <row r="745">
          <cell r="W745">
            <v>778.95</v>
          </cell>
          <cell r="AF745">
            <v>39892</v>
          </cell>
          <cell r="AG745">
            <v>1564</v>
          </cell>
          <cell r="AH745">
            <v>792.73</v>
          </cell>
          <cell r="AM745">
            <v>204.6</v>
          </cell>
          <cell r="AO745">
            <v>159373.17000000001</v>
          </cell>
          <cell r="AQ745">
            <v>162192.55799999999</v>
          </cell>
          <cell r="AU745">
            <v>0</v>
          </cell>
          <cell r="AW745">
            <v>0</v>
          </cell>
          <cell r="AY745">
            <v>65185.566500000001</v>
          </cell>
          <cell r="AZ745">
            <v>318.60003176930599</v>
          </cell>
          <cell r="BA745">
            <v>0</v>
          </cell>
          <cell r="BB745">
            <v>0</v>
          </cell>
          <cell r="BC745">
            <v>0</v>
          </cell>
          <cell r="BD745">
            <v>0</v>
          </cell>
          <cell r="BG745">
            <v>0</v>
          </cell>
          <cell r="BH745">
            <v>0</v>
          </cell>
          <cell r="BI745">
            <v>2700</v>
          </cell>
          <cell r="BJ745">
            <v>13.196480938416423</v>
          </cell>
          <cell r="BK745">
            <v>0</v>
          </cell>
          <cell r="BL745">
            <v>0</v>
          </cell>
          <cell r="BM745">
            <v>73100</v>
          </cell>
          <cell r="BN745">
            <v>357.28250244379279</v>
          </cell>
          <cell r="BO745">
            <v>0</v>
          </cell>
          <cell r="BP745">
            <v>0</v>
          </cell>
          <cell r="BY745">
            <v>1870.83</v>
          </cell>
          <cell r="CF745">
            <v>30.385999999999999</v>
          </cell>
          <cell r="CG745">
            <v>2145.25</v>
          </cell>
          <cell r="CJ745">
            <v>0</v>
          </cell>
          <cell r="CK745">
            <v>0</v>
          </cell>
          <cell r="CL745">
            <v>0</v>
          </cell>
          <cell r="CM745">
            <v>0</v>
          </cell>
          <cell r="CN745">
            <v>0</v>
          </cell>
          <cell r="CO745">
            <v>0</v>
          </cell>
          <cell r="CX745">
            <v>0</v>
          </cell>
          <cell r="CY745">
            <v>0</v>
          </cell>
          <cell r="DB745">
            <v>0</v>
          </cell>
          <cell r="DC745">
            <v>0</v>
          </cell>
          <cell r="DJ745" t="str">
            <v>НКРЕ</v>
          </cell>
          <cell r="DL745">
            <v>40816</v>
          </cell>
          <cell r="DM745">
            <v>99</v>
          </cell>
          <cell r="DT745">
            <v>999.9</v>
          </cell>
        </row>
        <row r="746">
          <cell r="W746">
            <v>798.82</v>
          </cell>
          <cell r="AF746">
            <v>39892</v>
          </cell>
          <cell r="AG746">
            <v>1565</v>
          </cell>
          <cell r="AH746">
            <v>764.63</v>
          </cell>
          <cell r="AM746">
            <v>210</v>
          </cell>
          <cell r="AO746">
            <v>167752.20000000001</v>
          </cell>
          <cell r="AQ746">
            <v>160572.29999999999</v>
          </cell>
          <cell r="AU746">
            <v>0</v>
          </cell>
          <cell r="AW746">
            <v>0</v>
          </cell>
          <cell r="AY746">
            <v>70482.167250000013</v>
          </cell>
          <cell r="AZ746">
            <v>335.62936785714294</v>
          </cell>
          <cell r="BA746">
            <v>0</v>
          </cell>
          <cell r="BB746">
            <v>0</v>
          </cell>
          <cell r="BC746">
            <v>0</v>
          </cell>
          <cell r="BD746">
            <v>0</v>
          </cell>
          <cell r="BG746">
            <v>0</v>
          </cell>
          <cell r="BH746">
            <v>0</v>
          </cell>
          <cell r="BI746">
            <v>9100</v>
          </cell>
          <cell r="BJ746">
            <v>43.333333333333336</v>
          </cell>
          <cell r="BK746">
            <v>0</v>
          </cell>
          <cell r="BL746">
            <v>0</v>
          </cell>
          <cell r="BM746">
            <v>72600</v>
          </cell>
          <cell r="BN746">
            <v>345.71428571428572</v>
          </cell>
          <cell r="BO746">
            <v>0</v>
          </cell>
          <cell r="BP746">
            <v>0</v>
          </cell>
          <cell r="BY746">
            <v>1870.83</v>
          </cell>
          <cell r="CF746">
            <v>32.901000000000003</v>
          </cell>
          <cell r="CG746">
            <v>2142.25</v>
          </cell>
          <cell r="CJ746">
            <v>0</v>
          </cell>
          <cell r="CK746">
            <v>0</v>
          </cell>
          <cell r="CL746">
            <v>0</v>
          </cell>
          <cell r="CM746">
            <v>0</v>
          </cell>
          <cell r="CN746">
            <v>0</v>
          </cell>
          <cell r="CO746">
            <v>0</v>
          </cell>
          <cell r="CX746">
            <v>0</v>
          </cell>
          <cell r="CY746">
            <v>0</v>
          </cell>
          <cell r="DB746">
            <v>0</v>
          </cell>
          <cell r="DC746">
            <v>0</v>
          </cell>
          <cell r="DJ746" t="str">
            <v>НКРЕ</v>
          </cell>
          <cell r="DL746">
            <v>40816</v>
          </cell>
          <cell r="DM746">
            <v>99</v>
          </cell>
          <cell r="DT746">
            <v>999.9</v>
          </cell>
        </row>
        <row r="747">
          <cell r="W747">
            <v>261.1583333333333</v>
          </cell>
          <cell r="AF747">
            <v>39892</v>
          </cell>
          <cell r="AG747">
            <v>1557</v>
          </cell>
          <cell r="AH747">
            <v>278.67445476985</v>
          </cell>
          <cell r="AM747">
            <v>7892.7219999999998</v>
          </cell>
          <cell r="AO747">
            <v>2061250.122983333</v>
          </cell>
          <cell r="AQ747">
            <v>2199500</v>
          </cell>
          <cell r="AU747">
            <v>0</v>
          </cell>
          <cell r="AW747">
            <v>0</v>
          </cell>
          <cell r="AY747">
            <v>915230.98402199999</v>
          </cell>
          <cell r="AZ747">
            <v>115.95885222132492</v>
          </cell>
          <cell r="BA747">
            <v>0</v>
          </cell>
          <cell r="BB747">
            <v>0</v>
          </cell>
          <cell r="BC747">
            <v>0</v>
          </cell>
          <cell r="BD747">
            <v>0</v>
          </cell>
          <cell r="BG747">
            <v>0</v>
          </cell>
          <cell r="BH747">
            <v>0</v>
          </cell>
          <cell r="BI747">
            <v>136100</v>
          </cell>
          <cell r="BJ747">
            <v>17.243734164208494</v>
          </cell>
          <cell r="BK747">
            <v>0</v>
          </cell>
          <cell r="BL747">
            <v>0</v>
          </cell>
          <cell r="BM747">
            <v>820800</v>
          </cell>
          <cell r="BN747">
            <v>103.99454079340435</v>
          </cell>
          <cell r="BO747">
            <v>0</v>
          </cell>
          <cell r="BP747">
            <v>0</v>
          </cell>
          <cell r="BY747">
            <v>1870.83</v>
          </cell>
          <cell r="CF747">
            <v>1258.366</v>
          </cell>
          <cell r="CG747">
            <v>727.31700000000001</v>
          </cell>
          <cell r="CJ747">
            <v>0</v>
          </cell>
          <cell r="CK747">
            <v>0</v>
          </cell>
          <cell r="CL747">
            <v>0</v>
          </cell>
          <cell r="CM747">
            <v>0</v>
          </cell>
          <cell r="CN747">
            <v>0</v>
          </cell>
          <cell r="CO747">
            <v>0</v>
          </cell>
          <cell r="CX747">
            <v>0</v>
          </cell>
          <cell r="CY747">
            <v>0</v>
          </cell>
          <cell r="DB747">
            <v>0</v>
          </cell>
          <cell r="DC747">
            <v>0</v>
          </cell>
          <cell r="DJ747" t="str">
            <v>НКРЕ</v>
          </cell>
          <cell r="DL747">
            <v>40526</v>
          </cell>
          <cell r="DM747">
            <v>1700</v>
          </cell>
          <cell r="DO747" t="str">
            <v>Тариф на теплову енергію</v>
          </cell>
          <cell r="DT747">
            <v>287.27999999999997</v>
          </cell>
        </row>
        <row r="748">
          <cell r="W748">
            <v>604.85833333333335</v>
          </cell>
          <cell r="AF748">
            <v>39892</v>
          </cell>
          <cell r="AG748">
            <v>1558</v>
          </cell>
          <cell r="AH748">
            <v>504.50289963555434</v>
          </cell>
          <cell r="AM748">
            <v>3502.8539999999998</v>
          </cell>
          <cell r="AO748">
            <v>2118730.4323499999</v>
          </cell>
          <cell r="AQ748">
            <v>1767200</v>
          </cell>
          <cell r="AU748">
            <v>0</v>
          </cell>
          <cell r="AW748">
            <v>0</v>
          </cell>
          <cell r="AY748">
            <v>1205684.007</v>
          </cell>
          <cell r="AZ748">
            <v>344.2004739563796</v>
          </cell>
          <cell r="BA748">
            <v>0</v>
          </cell>
          <cell r="BB748">
            <v>0</v>
          </cell>
          <cell r="BC748">
            <v>0</v>
          </cell>
          <cell r="BD748">
            <v>0</v>
          </cell>
          <cell r="BG748">
            <v>0</v>
          </cell>
          <cell r="BH748">
            <v>0</v>
          </cell>
          <cell r="BI748">
            <v>60400</v>
          </cell>
          <cell r="BJ748">
            <v>17.243082355130987</v>
          </cell>
          <cell r="BK748">
            <v>0</v>
          </cell>
          <cell r="BL748">
            <v>0</v>
          </cell>
          <cell r="BM748">
            <v>391900</v>
          </cell>
          <cell r="BN748">
            <v>111.88019826118931</v>
          </cell>
          <cell r="BO748">
            <v>0</v>
          </cell>
          <cell r="BP748">
            <v>0</v>
          </cell>
          <cell r="BY748">
            <v>1870.83</v>
          </cell>
          <cell r="CF748">
            <v>562.81200000000001</v>
          </cell>
          <cell r="CG748">
            <v>2142.25</v>
          </cell>
          <cell r="CJ748">
            <v>0</v>
          </cell>
          <cell r="CK748">
            <v>0</v>
          </cell>
          <cell r="CL748">
            <v>0</v>
          </cell>
          <cell r="CM748">
            <v>0</v>
          </cell>
          <cell r="CN748">
            <v>0</v>
          </cell>
          <cell r="CO748">
            <v>0</v>
          </cell>
          <cell r="CX748">
            <v>0</v>
          </cell>
          <cell r="CY748">
            <v>0</v>
          </cell>
          <cell r="DB748">
            <v>0</v>
          </cell>
          <cell r="DC748">
            <v>0</v>
          </cell>
          <cell r="DJ748" t="str">
            <v>НКРЕ</v>
          </cell>
          <cell r="DL748">
            <v>40816</v>
          </cell>
          <cell r="DM748">
            <v>99</v>
          </cell>
          <cell r="DT748">
            <v>863.49</v>
          </cell>
        </row>
        <row r="749">
          <cell r="W749">
            <v>605.82000000000005</v>
          </cell>
          <cell r="AF749">
            <v>39892</v>
          </cell>
          <cell r="AG749">
            <v>1559</v>
          </cell>
          <cell r="AH749">
            <v>506.02466666863893</v>
          </cell>
          <cell r="AM749">
            <v>676.05399999999997</v>
          </cell>
          <cell r="AO749">
            <v>409567.03428000002</v>
          </cell>
          <cell r="AQ749">
            <v>342100</v>
          </cell>
          <cell r="AU749">
            <v>0</v>
          </cell>
          <cell r="AW749">
            <v>0</v>
          </cell>
          <cell r="AY749">
            <v>233344.58124999999</v>
          </cell>
          <cell r="AZ749">
            <v>345.15672009928198</v>
          </cell>
          <cell r="BA749">
            <v>0</v>
          </cell>
          <cell r="BB749">
            <v>0</v>
          </cell>
          <cell r="BC749">
            <v>0</v>
          </cell>
          <cell r="BD749">
            <v>0</v>
          </cell>
          <cell r="BG749">
            <v>0</v>
          </cell>
          <cell r="BH749">
            <v>0</v>
          </cell>
          <cell r="BI749">
            <v>11600</v>
          </cell>
          <cell r="BJ749">
            <v>17.15839267277466</v>
          </cell>
          <cell r="BK749">
            <v>0</v>
          </cell>
          <cell r="BL749">
            <v>0</v>
          </cell>
          <cell r="BM749">
            <v>75500</v>
          </cell>
          <cell r="BN749">
            <v>111.67746955124886</v>
          </cell>
          <cell r="BO749">
            <v>0</v>
          </cell>
          <cell r="BP749">
            <v>0</v>
          </cell>
          <cell r="BY749">
            <v>1870.83</v>
          </cell>
          <cell r="CF749">
            <v>108.925</v>
          </cell>
          <cell r="CG749">
            <v>2142.25</v>
          </cell>
          <cell r="CJ749">
            <v>0</v>
          </cell>
          <cell r="CK749">
            <v>0</v>
          </cell>
          <cell r="CL749">
            <v>0</v>
          </cell>
          <cell r="CM749">
            <v>0</v>
          </cell>
          <cell r="CN749">
            <v>0</v>
          </cell>
          <cell r="CO749">
            <v>0</v>
          </cell>
          <cell r="CX749">
            <v>0</v>
          </cell>
          <cell r="CY749">
            <v>0</v>
          </cell>
          <cell r="DB749">
            <v>0</v>
          </cell>
          <cell r="DC749">
            <v>0</v>
          </cell>
          <cell r="DJ749" t="str">
            <v>НКРЕ</v>
          </cell>
          <cell r="DL749">
            <v>40816</v>
          </cell>
          <cell r="DM749">
            <v>99</v>
          </cell>
          <cell r="DT749">
            <v>865.19</v>
          </cell>
        </row>
        <row r="750">
          <cell r="W750">
            <v>720.03</v>
          </cell>
          <cell r="AF750">
            <v>39892</v>
          </cell>
          <cell r="AG750">
            <v>1566</v>
          </cell>
          <cell r="AH750">
            <v>715.49</v>
          </cell>
          <cell r="AM750">
            <v>250.7</v>
          </cell>
          <cell r="AO750">
            <v>180511.52099999998</v>
          </cell>
          <cell r="AQ750">
            <v>179373.34299999999</v>
          </cell>
          <cell r="AU750">
            <v>0</v>
          </cell>
          <cell r="AW750">
            <v>0</v>
          </cell>
          <cell r="AY750">
            <v>84820.246500000008</v>
          </cell>
          <cell r="AZ750">
            <v>338.33365177502998</v>
          </cell>
          <cell r="BA750">
            <v>0</v>
          </cell>
          <cell r="BB750">
            <v>0</v>
          </cell>
          <cell r="BC750">
            <v>0</v>
          </cell>
          <cell r="BD750">
            <v>0</v>
          </cell>
          <cell r="BG750">
            <v>0</v>
          </cell>
          <cell r="BH750">
            <v>0</v>
          </cell>
          <cell r="BI750">
            <v>1300</v>
          </cell>
          <cell r="BJ750">
            <v>5.1854806541683285</v>
          </cell>
          <cell r="BK750">
            <v>0</v>
          </cell>
          <cell r="BL750">
            <v>0</v>
          </cell>
          <cell r="BM750">
            <v>74400</v>
          </cell>
          <cell r="BN750">
            <v>296.76904666932592</v>
          </cell>
          <cell r="BO750">
            <v>0</v>
          </cell>
          <cell r="BP750">
            <v>0</v>
          </cell>
          <cell r="BY750">
            <v>1870.83</v>
          </cell>
          <cell r="CF750">
            <v>39.594000000000001</v>
          </cell>
          <cell r="CG750">
            <v>2142.25</v>
          </cell>
          <cell r="CJ750">
            <v>0</v>
          </cell>
          <cell r="CK750">
            <v>0</v>
          </cell>
          <cell r="CL750">
            <v>0</v>
          </cell>
          <cell r="CM750">
            <v>0</v>
          </cell>
          <cell r="CN750">
            <v>0</v>
          </cell>
          <cell r="CO750">
            <v>0</v>
          </cell>
          <cell r="CX750">
            <v>0</v>
          </cell>
          <cell r="CY750">
            <v>0</v>
          </cell>
          <cell r="DB750">
            <v>0</v>
          </cell>
          <cell r="DC750">
            <v>0</v>
          </cell>
          <cell r="DJ750" t="str">
            <v>НКРЕ</v>
          </cell>
          <cell r="DL750">
            <v>40816</v>
          </cell>
          <cell r="DM750">
            <v>99</v>
          </cell>
          <cell r="DT750">
            <v>974.12</v>
          </cell>
        </row>
        <row r="751">
          <cell r="W751">
            <v>1204.76</v>
          </cell>
          <cell r="AF751">
            <v>40422</v>
          </cell>
          <cell r="AG751">
            <v>2211</v>
          </cell>
          <cell r="AH751">
            <v>1047.6199999999999</v>
          </cell>
          <cell r="AM751">
            <v>235.2</v>
          </cell>
          <cell r="AO751">
            <v>283359.55199999997</v>
          </cell>
          <cell r="AQ751">
            <v>246400.22399999996</v>
          </cell>
          <cell r="AU751">
            <v>0</v>
          </cell>
          <cell r="AW751">
            <v>0</v>
          </cell>
          <cell r="AY751">
            <v>87968.778720000002</v>
          </cell>
          <cell r="AZ751">
            <v>374.01691632653063</v>
          </cell>
          <cell r="BA751">
            <v>0</v>
          </cell>
          <cell r="BB751">
            <v>0</v>
          </cell>
          <cell r="BC751">
            <v>0</v>
          </cell>
          <cell r="BD751">
            <v>0</v>
          </cell>
          <cell r="BG751">
            <v>0</v>
          </cell>
          <cell r="BH751">
            <v>0</v>
          </cell>
          <cell r="BI751">
            <v>1500</v>
          </cell>
          <cell r="BJ751">
            <v>6.3775510204081636</v>
          </cell>
          <cell r="BK751">
            <v>0</v>
          </cell>
          <cell r="BL751">
            <v>0</v>
          </cell>
          <cell r="BM751">
            <v>97800</v>
          </cell>
          <cell r="BN751">
            <v>415.81632653061229</v>
          </cell>
          <cell r="BO751">
            <v>0</v>
          </cell>
          <cell r="BP751">
            <v>0</v>
          </cell>
          <cell r="BY751">
            <v>2531.5300000000002</v>
          </cell>
          <cell r="CF751">
            <v>35.688000000000002</v>
          </cell>
          <cell r="CG751">
            <v>2464.94</v>
          </cell>
          <cell r="CJ751">
            <v>0</v>
          </cell>
          <cell r="CK751">
            <v>0</v>
          </cell>
          <cell r="CL751">
            <v>0</v>
          </cell>
          <cell r="CM751">
            <v>0</v>
          </cell>
          <cell r="CN751">
            <v>0</v>
          </cell>
          <cell r="CO751">
            <v>0</v>
          </cell>
          <cell r="CX751">
            <v>0</v>
          </cell>
          <cell r="CY751">
            <v>0</v>
          </cell>
          <cell r="DB751">
            <v>0</v>
          </cell>
          <cell r="DC751">
            <v>0</v>
          </cell>
          <cell r="DJ751" t="str">
            <v>МОС</v>
          </cell>
          <cell r="DL751">
            <v>40458</v>
          </cell>
          <cell r="DM751">
            <v>0</v>
          </cell>
          <cell r="DT751">
            <v>1204.76</v>
          </cell>
        </row>
        <row r="752">
          <cell r="W752">
            <v>1451.47</v>
          </cell>
          <cell r="AF752">
            <v>40422</v>
          </cell>
          <cell r="AG752">
            <v>2212</v>
          </cell>
          <cell r="AH752">
            <v>1262.1199999999999</v>
          </cell>
          <cell r="AM752">
            <v>177.4</v>
          </cell>
          <cell r="AO752">
            <v>257490.77800000002</v>
          </cell>
          <cell r="AQ752">
            <v>223900.08799999999</v>
          </cell>
          <cell r="AU752">
            <v>0</v>
          </cell>
          <cell r="AW752">
            <v>0</v>
          </cell>
          <cell r="AY752">
            <v>73615.433099999995</v>
          </cell>
          <cell r="AZ752">
            <v>414.96861950394583</v>
          </cell>
          <cell r="BA752">
            <v>0</v>
          </cell>
          <cell r="BB752">
            <v>0</v>
          </cell>
          <cell r="BC752">
            <v>0</v>
          </cell>
          <cell r="BD752">
            <v>0</v>
          </cell>
          <cell r="BG752">
            <v>0</v>
          </cell>
          <cell r="BH752">
            <v>0</v>
          </cell>
          <cell r="BI752">
            <v>1500</v>
          </cell>
          <cell r="BJ752">
            <v>8.4554678692220975</v>
          </cell>
          <cell r="BK752">
            <v>0</v>
          </cell>
          <cell r="BL752">
            <v>0</v>
          </cell>
          <cell r="BM752">
            <v>90900</v>
          </cell>
          <cell r="BN752">
            <v>512.40135287485907</v>
          </cell>
          <cell r="BO752">
            <v>0</v>
          </cell>
          <cell r="BP752">
            <v>0</v>
          </cell>
          <cell r="BY752">
            <v>2531.5300000000002</v>
          </cell>
          <cell r="CF752">
            <v>29.864999999999998</v>
          </cell>
          <cell r="CG752">
            <v>2464.94</v>
          </cell>
          <cell r="CJ752">
            <v>0</v>
          </cell>
          <cell r="CK752">
            <v>0</v>
          </cell>
          <cell r="CL752">
            <v>0</v>
          </cell>
          <cell r="CM752">
            <v>0</v>
          </cell>
          <cell r="CN752">
            <v>0</v>
          </cell>
          <cell r="CO752">
            <v>0</v>
          </cell>
          <cell r="CX752">
            <v>0</v>
          </cell>
          <cell r="CY752">
            <v>0</v>
          </cell>
          <cell r="DB752">
            <v>0</v>
          </cell>
          <cell r="DC752">
            <v>0</v>
          </cell>
          <cell r="DJ752" t="str">
            <v>МОС</v>
          </cell>
          <cell r="DL752">
            <v>40458</v>
          </cell>
          <cell r="DM752">
            <v>0</v>
          </cell>
          <cell r="DT752">
            <v>1451.47</v>
          </cell>
        </row>
        <row r="753">
          <cell r="W753">
            <v>304.7</v>
          </cell>
          <cell r="AF753">
            <v>40455</v>
          </cell>
          <cell r="AG753">
            <v>2404</v>
          </cell>
          <cell r="AH753">
            <v>297.91181921870543</v>
          </cell>
          <cell r="AM753">
            <v>14028</v>
          </cell>
          <cell r="AO753">
            <v>4274331.5999999996</v>
          </cell>
          <cell r="AQ753">
            <v>4179107</v>
          </cell>
          <cell r="AU753">
            <v>0</v>
          </cell>
          <cell r="AW753">
            <v>0</v>
          </cell>
          <cell r="AY753">
            <v>2413182.9</v>
          </cell>
          <cell r="AZ753">
            <v>172.02615483319076</v>
          </cell>
          <cell r="BA753">
            <v>0</v>
          </cell>
          <cell r="BB753">
            <v>0</v>
          </cell>
          <cell r="BC753">
            <v>0</v>
          </cell>
          <cell r="BD753">
            <v>0</v>
          </cell>
          <cell r="BG753">
            <v>0</v>
          </cell>
          <cell r="BH753">
            <v>0</v>
          </cell>
          <cell r="BI753">
            <v>206015</v>
          </cell>
          <cell r="BJ753">
            <v>14.685985172512119</v>
          </cell>
          <cell r="BK753">
            <v>0</v>
          </cell>
          <cell r="BL753">
            <v>0</v>
          </cell>
          <cell r="BM753">
            <v>1277415</v>
          </cell>
          <cell r="BN753">
            <v>91.061804961505558</v>
          </cell>
          <cell r="BO753">
            <v>0</v>
          </cell>
          <cell r="BP753">
            <v>0</v>
          </cell>
          <cell r="BY753">
            <v>2791</v>
          </cell>
          <cell r="CF753">
            <v>2211.9</v>
          </cell>
          <cell r="CG753">
            <v>1091</v>
          </cell>
          <cell r="CJ753">
            <v>0</v>
          </cell>
          <cell r="CK753">
            <v>297.91000000000003</v>
          </cell>
          <cell r="CL753">
            <v>0</v>
          </cell>
          <cell r="CM753">
            <v>0</v>
          </cell>
          <cell r="CN753">
            <v>0</v>
          </cell>
          <cell r="CO753">
            <v>0</v>
          </cell>
          <cell r="CX753">
            <v>0</v>
          </cell>
          <cell r="CY753">
            <v>0</v>
          </cell>
          <cell r="DB753">
            <v>0</v>
          </cell>
          <cell r="DC753">
            <v>0</v>
          </cell>
          <cell r="DJ753" t="str">
            <v>МОС</v>
          </cell>
          <cell r="DL753">
            <v>40521</v>
          </cell>
          <cell r="DM753">
            <v>1</v>
          </cell>
          <cell r="DO753" t="str">
            <v>тариф на послугу теплопостачання</v>
          </cell>
          <cell r="DT753">
            <v>304.7</v>
          </cell>
        </row>
        <row r="754">
          <cell r="W754">
            <v>930.51</v>
          </cell>
          <cell r="AF754">
            <v>40765</v>
          </cell>
          <cell r="AG754">
            <v>2643</v>
          </cell>
          <cell r="AH754">
            <v>809.14292980671416</v>
          </cell>
          <cell r="AM754">
            <v>7864</v>
          </cell>
          <cell r="AO754">
            <v>7317530.6399999997</v>
          </cell>
          <cell r="AQ754">
            <v>6363100</v>
          </cell>
          <cell r="AU754">
            <v>0</v>
          </cell>
          <cell r="AW754">
            <v>0</v>
          </cell>
          <cell r="AY754">
            <v>4163800</v>
          </cell>
          <cell r="AZ754">
            <v>529.47609359104786</v>
          </cell>
          <cell r="BA754">
            <v>0</v>
          </cell>
          <cell r="BB754">
            <v>0</v>
          </cell>
          <cell r="BC754">
            <v>0</v>
          </cell>
          <cell r="BD754">
            <v>0</v>
          </cell>
          <cell r="BG754">
            <v>0</v>
          </cell>
          <cell r="BH754">
            <v>0</v>
          </cell>
          <cell r="BI754">
            <v>155100</v>
          </cell>
          <cell r="BJ754">
            <v>19.722787385554426</v>
          </cell>
          <cell r="BK754">
            <v>0</v>
          </cell>
          <cell r="BL754">
            <v>0</v>
          </cell>
          <cell r="BM754">
            <v>1734105</v>
          </cell>
          <cell r="BN754">
            <v>220.51182604272634</v>
          </cell>
          <cell r="BO754">
            <v>0</v>
          </cell>
          <cell r="BP754">
            <v>0</v>
          </cell>
          <cell r="BY754">
            <v>2791</v>
          </cell>
          <cell r="CF754">
            <v>1235.9267075693758</v>
          </cell>
          <cell r="CG754">
            <v>3368.97</v>
          </cell>
          <cell r="CJ754">
            <v>0</v>
          </cell>
          <cell r="CK754">
            <v>809.14</v>
          </cell>
          <cell r="CL754">
            <v>0</v>
          </cell>
          <cell r="CM754">
            <v>0</v>
          </cell>
          <cell r="CN754">
            <v>0</v>
          </cell>
          <cell r="CO754">
            <v>0</v>
          </cell>
          <cell r="CX754">
            <v>0</v>
          </cell>
          <cell r="CY754">
            <v>0</v>
          </cell>
          <cell r="DB754">
            <v>0</v>
          </cell>
          <cell r="DC754">
            <v>0</v>
          </cell>
          <cell r="DJ754" t="str">
            <v>МОС</v>
          </cell>
          <cell r="DL754">
            <v>40829</v>
          </cell>
          <cell r="DM754">
            <v>3</v>
          </cell>
          <cell r="DT754">
            <v>930.51</v>
          </cell>
        </row>
        <row r="755">
          <cell r="W755">
            <v>993.52</v>
          </cell>
          <cell r="AF755">
            <v>40765</v>
          </cell>
          <cell r="AG755">
            <v>2644</v>
          </cell>
          <cell r="AH755">
            <v>662.40126382306482</v>
          </cell>
          <cell r="AM755">
            <v>633</v>
          </cell>
          <cell r="AO755">
            <v>628898.16</v>
          </cell>
          <cell r="AQ755">
            <v>419300</v>
          </cell>
          <cell r="AU755">
            <v>0</v>
          </cell>
          <cell r="AW755">
            <v>0</v>
          </cell>
          <cell r="AY755">
            <v>337300</v>
          </cell>
          <cell r="AZ755">
            <v>532.85939968404421</v>
          </cell>
          <cell r="BA755">
            <v>0</v>
          </cell>
          <cell r="BB755">
            <v>0</v>
          </cell>
          <cell r="BC755">
            <v>0</v>
          </cell>
          <cell r="BD755">
            <v>0</v>
          </cell>
          <cell r="BG755">
            <v>0</v>
          </cell>
          <cell r="BH755">
            <v>0</v>
          </cell>
          <cell r="BI755">
            <v>11300</v>
          </cell>
          <cell r="BJ755">
            <v>17.851500789889414</v>
          </cell>
          <cell r="BK755">
            <v>0</v>
          </cell>
          <cell r="BL755">
            <v>0</v>
          </cell>
          <cell r="BM755">
            <v>57800</v>
          </cell>
          <cell r="BN755">
            <v>91.31121642969984</v>
          </cell>
          <cell r="BO755">
            <v>0</v>
          </cell>
          <cell r="BP755">
            <v>0</v>
          </cell>
          <cell r="BY755">
            <v>2791</v>
          </cell>
          <cell r="CF755">
            <v>100.1196211304939</v>
          </cell>
          <cell r="CG755">
            <v>3368.97</v>
          </cell>
          <cell r="CJ755">
            <v>0</v>
          </cell>
          <cell r="CK755">
            <v>662.4</v>
          </cell>
          <cell r="CL755">
            <v>0</v>
          </cell>
          <cell r="CM755">
            <v>0</v>
          </cell>
          <cell r="CN755">
            <v>0</v>
          </cell>
          <cell r="CO755">
            <v>0</v>
          </cell>
          <cell r="CX755">
            <v>0</v>
          </cell>
          <cell r="CY755">
            <v>0</v>
          </cell>
          <cell r="DB755">
            <v>0</v>
          </cell>
          <cell r="DC755">
            <v>0</v>
          </cell>
          <cell r="DJ755" t="str">
            <v>МОС</v>
          </cell>
          <cell r="DL755">
            <v>40829</v>
          </cell>
          <cell r="DM755">
            <v>3</v>
          </cell>
          <cell r="DT755">
            <v>993.52</v>
          </cell>
        </row>
        <row r="756">
          <cell r="W756">
            <v>930.52</v>
          </cell>
          <cell r="AF756">
            <v>40765</v>
          </cell>
          <cell r="AG756">
            <v>2646</v>
          </cell>
          <cell r="AH756">
            <v>809.13705583756348</v>
          </cell>
          <cell r="AM756">
            <v>1576</v>
          </cell>
          <cell r="AO756">
            <v>1466499.52</v>
          </cell>
          <cell r="AQ756">
            <v>1275200</v>
          </cell>
          <cell r="AU756">
            <v>0</v>
          </cell>
          <cell r="AW756">
            <v>0</v>
          </cell>
          <cell r="AY756">
            <v>834493.86899999995</v>
          </cell>
          <cell r="AZ756">
            <v>529.50118591370551</v>
          </cell>
          <cell r="BA756">
            <v>0</v>
          </cell>
          <cell r="BB756">
            <v>0</v>
          </cell>
          <cell r="BC756">
            <v>0</v>
          </cell>
          <cell r="BD756">
            <v>0</v>
          </cell>
          <cell r="BG756">
            <v>0</v>
          </cell>
          <cell r="BH756">
            <v>0</v>
          </cell>
          <cell r="BI756">
            <v>31000</v>
          </cell>
          <cell r="BJ756">
            <v>19.670050761421319</v>
          </cell>
          <cell r="BK756">
            <v>0</v>
          </cell>
          <cell r="BL756">
            <v>0</v>
          </cell>
          <cell r="BM756">
            <v>346807</v>
          </cell>
          <cell r="BN756">
            <v>220.05520304568529</v>
          </cell>
          <cell r="BO756">
            <v>0</v>
          </cell>
          <cell r="BP756">
            <v>0</v>
          </cell>
          <cell r="BY756">
            <v>2791</v>
          </cell>
          <cell r="CF756">
            <v>247.7</v>
          </cell>
          <cell r="CG756">
            <v>3368.97</v>
          </cell>
          <cell r="CJ756">
            <v>0</v>
          </cell>
          <cell r="CK756">
            <v>809.14</v>
          </cell>
          <cell r="CL756">
            <v>0</v>
          </cell>
          <cell r="CM756">
            <v>0</v>
          </cell>
          <cell r="CN756">
            <v>0</v>
          </cell>
          <cell r="CO756">
            <v>0</v>
          </cell>
          <cell r="CX756">
            <v>0</v>
          </cell>
          <cell r="CY756">
            <v>0</v>
          </cell>
          <cell r="DB756">
            <v>0</v>
          </cell>
          <cell r="DC756">
            <v>0</v>
          </cell>
          <cell r="DJ756" t="str">
            <v>ОДА</v>
          </cell>
          <cell r="DL756">
            <v>40828</v>
          </cell>
          <cell r="DM756">
            <v>50</v>
          </cell>
          <cell r="DT756">
            <v>930.52</v>
          </cell>
        </row>
        <row r="757">
          <cell r="W757">
            <v>336.92</v>
          </cell>
          <cell r="AF757">
            <v>40455</v>
          </cell>
          <cell r="AG757">
            <v>2407</v>
          </cell>
          <cell r="AH757">
            <v>300.83966244725741</v>
          </cell>
          <cell r="AM757">
            <v>474</v>
          </cell>
          <cell r="AO757">
            <v>159700.08000000002</v>
          </cell>
          <cell r="AQ757">
            <v>142598</v>
          </cell>
          <cell r="AU757">
            <v>0</v>
          </cell>
          <cell r="AW757">
            <v>0</v>
          </cell>
          <cell r="AY757">
            <v>82370.5</v>
          </cell>
          <cell r="AZ757">
            <v>173.77742616033754</v>
          </cell>
          <cell r="BA757">
            <v>0</v>
          </cell>
          <cell r="BB757">
            <v>0</v>
          </cell>
          <cell r="BC757">
            <v>0</v>
          </cell>
          <cell r="BD757">
            <v>0</v>
          </cell>
          <cell r="BG757">
            <v>0</v>
          </cell>
          <cell r="BH757">
            <v>0</v>
          </cell>
          <cell r="BI757">
            <v>7012</v>
          </cell>
          <cell r="BJ757">
            <v>14.793248945147679</v>
          </cell>
          <cell r="BK757">
            <v>0</v>
          </cell>
          <cell r="BL757">
            <v>0</v>
          </cell>
          <cell r="BM757">
            <v>43495</v>
          </cell>
          <cell r="BN757">
            <v>91.761603375527429</v>
          </cell>
          <cell r="BO757">
            <v>0</v>
          </cell>
          <cell r="BP757">
            <v>0</v>
          </cell>
          <cell r="BY757">
            <v>2791</v>
          </cell>
          <cell r="CF757">
            <v>75.5</v>
          </cell>
          <cell r="CG757">
            <v>1091</v>
          </cell>
          <cell r="CJ757">
            <v>0</v>
          </cell>
          <cell r="CK757">
            <v>300.83999999999997</v>
          </cell>
          <cell r="CL757">
            <v>0</v>
          </cell>
          <cell r="CM757">
            <v>0</v>
          </cell>
          <cell r="CN757">
            <v>0</v>
          </cell>
          <cell r="CO757">
            <v>0</v>
          </cell>
          <cell r="CX757">
            <v>0</v>
          </cell>
          <cell r="CY757">
            <v>0</v>
          </cell>
          <cell r="DB757">
            <v>0</v>
          </cell>
          <cell r="DC757">
            <v>0</v>
          </cell>
          <cell r="DJ757" t="str">
            <v>МОС</v>
          </cell>
          <cell r="DL757">
            <v>40458</v>
          </cell>
          <cell r="DM757" t="str">
            <v>б/н</v>
          </cell>
          <cell r="DO757" t="str">
            <v>тариф на послуги теплопостачання</v>
          </cell>
          <cell r="DT757">
            <v>336.92</v>
          </cell>
        </row>
        <row r="758">
          <cell r="W758">
            <v>936.86</v>
          </cell>
          <cell r="AF758">
            <v>40765</v>
          </cell>
          <cell r="AG758">
            <v>2645</v>
          </cell>
          <cell r="AH758">
            <v>814.66113416320889</v>
          </cell>
          <cell r="AM758">
            <v>1446</v>
          </cell>
          <cell r="AO758">
            <v>1354699.56</v>
          </cell>
          <cell r="AQ758">
            <v>1178000</v>
          </cell>
          <cell r="AU758">
            <v>0</v>
          </cell>
          <cell r="AW758">
            <v>0</v>
          </cell>
          <cell r="AY758">
            <v>765766.88099999994</v>
          </cell>
          <cell r="AZ758">
            <v>529.57598962655595</v>
          </cell>
          <cell r="BA758">
            <v>0</v>
          </cell>
          <cell r="BB758">
            <v>0</v>
          </cell>
          <cell r="BC758">
            <v>0</v>
          </cell>
          <cell r="BD758">
            <v>0</v>
          </cell>
          <cell r="BG758">
            <v>0</v>
          </cell>
          <cell r="BH758">
            <v>0</v>
          </cell>
          <cell r="BI758">
            <v>28500</v>
          </cell>
          <cell r="BJ758">
            <v>19.709543568464731</v>
          </cell>
          <cell r="BK758">
            <v>0</v>
          </cell>
          <cell r="BL758">
            <v>0</v>
          </cell>
          <cell r="BM758">
            <v>321885</v>
          </cell>
          <cell r="BN758">
            <v>222.60373443983403</v>
          </cell>
          <cell r="BO758">
            <v>0</v>
          </cell>
          <cell r="BP758">
            <v>0</v>
          </cell>
          <cell r="BY758">
            <v>2791</v>
          </cell>
          <cell r="CF758">
            <v>227.3</v>
          </cell>
          <cell r="CG758">
            <v>3368.97</v>
          </cell>
          <cell r="CJ758">
            <v>0</v>
          </cell>
          <cell r="CK758">
            <v>814.66</v>
          </cell>
          <cell r="CL758">
            <v>0</v>
          </cell>
          <cell r="CM758">
            <v>0</v>
          </cell>
          <cell r="CN758">
            <v>0</v>
          </cell>
          <cell r="CO758">
            <v>0</v>
          </cell>
          <cell r="CX758">
            <v>0</v>
          </cell>
          <cell r="CY758">
            <v>0</v>
          </cell>
          <cell r="DB758">
            <v>0</v>
          </cell>
          <cell r="DC758">
            <v>0</v>
          </cell>
          <cell r="DJ758" t="str">
            <v>МОС</v>
          </cell>
          <cell r="DL758">
            <v>40830</v>
          </cell>
          <cell r="DM758" t="str">
            <v xml:space="preserve"> б/н</v>
          </cell>
          <cell r="DT758">
            <v>936.86</v>
          </cell>
        </row>
        <row r="759">
          <cell r="W759">
            <v>929.97</v>
          </cell>
          <cell r="AF759">
            <v>40765</v>
          </cell>
          <cell r="AG759">
            <v>2647</v>
          </cell>
          <cell r="AH759">
            <v>808.60534124629078</v>
          </cell>
          <cell r="AM759">
            <v>337</v>
          </cell>
          <cell r="AO759">
            <v>313399.89</v>
          </cell>
          <cell r="AQ759">
            <v>272500</v>
          </cell>
          <cell r="AU759">
            <v>0</v>
          </cell>
          <cell r="AW759">
            <v>0</v>
          </cell>
          <cell r="AY759">
            <v>178555.41</v>
          </cell>
          <cell r="AZ759">
            <v>529.83801186943617</v>
          </cell>
          <cell r="BA759">
            <v>0</v>
          </cell>
          <cell r="BB759">
            <v>0</v>
          </cell>
          <cell r="BC759">
            <v>0</v>
          </cell>
          <cell r="BD759">
            <v>0</v>
          </cell>
          <cell r="BG759">
            <v>0</v>
          </cell>
          <cell r="BH759">
            <v>0</v>
          </cell>
          <cell r="BI759">
            <v>6300</v>
          </cell>
          <cell r="BJ759">
            <v>18.694362017804153</v>
          </cell>
          <cell r="BK759">
            <v>0</v>
          </cell>
          <cell r="BL759">
            <v>0</v>
          </cell>
          <cell r="BM759">
            <v>74300</v>
          </cell>
          <cell r="BN759">
            <v>220.47477744807122</v>
          </cell>
          <cell r="BO759">
            <v>0</v>
          </cell>
          <cell r="BP759">
            <v>0</v>
          </cell>
          <cell r="BY759">
            <v>2791</v>
          </cell>
          <cell r="CF759">
            <v>53</v>
          </cell>
          <cell r="CG759">
            <v>3368.97</v>
          </cell>
          <cell r="CJ759">
            <v>0</v>
          </cell>
          <cell r="CK759">
            <v>808.61</v>
          </cell>
          <cell r="CL759">
            <v>0</v>
          </cell>
          <cell r="CM759">
            <v>0</v>
          </cell>
          <cell r="CN759">
            <v>0</v>
          </cell>
          <cell r="CO759">
            <v>0</v>
          </cell>
          <cell r="CX759">
            <v>0</v>
          </cell>
          <cell r="CY759">
            <v>0</v>
          </cell>
          <cell r="DB759">
            <v>0</v>
          </cell>
          <cell r="DC759">
            <v>0</v>
          </cell>
          <cell r="DJ759" t="str">
            <v>МОС</v>
          </cell>
          <cell r="DL759">
            <v>40827</v>
          </cell>
          <cell r="DM759" t="str">
            <v>б/н</v>
          </cell>
          <cell r="DT759">
            <v>929.97</v>
          </cell>
        </row>
        <row r="760">
          <cell r="W760">
            <v>336.95</v>
          </cell>
          <cell r="AF760">
            <v>40429</v>
          </cell>
          <cell r="AG760" t="str">
            <v>900(к)</v>
          </cell>
          <cell r="AH760">
            <v>311.99064074874008</v>
          </cell>
          <cell r="AM760">
            <v>27780</v>
          </cell>
          <cell r="AO760">
            <v>9360471</v>
          </cell>
          <cell r="AQ760">
            <v>8667100</v>
          </cell>
          <cell r="AU760">
            <v>0</v>
          </cell>
          <cell r="AW760">
            <v>0</v>
          </cell>
          <cell r="AY760">
            <v>4879100</v>
          </cell>
          <cell r="AZ760">
            <v>175.63354931605471</v>
          </cell>
          <cell r="BA760">
            <v>0</v>
          </cell>
          <cell r="BB760">
            <v>0</v>
          </cell>
          <cell r="BC760">
            <v>0</v>
          </cell>
          <cell r="BD760">
            <v>0</v>
          </cell>
          <cell r="BG760">
            <v>0</v>
          </cell>
          <cell r="BH760">
            <v>0</v>
          </cell>
          <cell r="BI760">
            <v>552800</v>
          </cell>
          <cell r="BJ760">
            <v>19.89920806335493</v>
          </cell>
          <cell r="BK760">
            <v>0</v>
          </cell>
          <cell r="BL760">
            <v>0</v>
          </cell>
          <cell r="BM760">
            <v>2346800</v>
          </cell>
          <cell r="BN760">
            <v>84.478041756659465</v>
          </cell>
          <cell r="BO760">
            <v>0</v>
          </cell>
          <cell r="BP760">
            <v>0</v>
          </cell>
          <cell r="BY760">
            <v>1655</v>
          </cell>
          <cell r="CF760">
            <v>4472.1356553620535</v>
          </cell>
          <cell r="CG760">
            <v>1091</v>
          </cell>
          <cell r="CJ760">
            <v>0</v>
          </cell>
          <cell r="CK760">
            <v>0</v>
          </cell>
          <cell r="CL760">
            <v>0</v>
          </cell>
          <cell r="CM760">
            <v>0</v>
          </cell>
          <cell r="CN760">
            <v>0</v>
          </cell>
          <cell r="CO760">
            <v>0</v>
          </cell>
          <cell r="CX760">
            <v>0</v>
          </cell>
          <cell r="CY760">
            <v>0</v>
          </cell>
          <cell r="DB760">
            <v>0</v>
          </cell>
          <cell r="DC760">
            <v>0</v>
          </cell>
          <cell r="DJ760" t="str">
            <v>МОС</v>
          </cell>
          <cell r="DL760">
            <v>40451</v>
          </cell>
          <cell r="DM760" t="str">
            <v>591-14</v>
          </cell>
          <cell r="DO760" t="str">
            <v>на послуги з виробництва, транспортування та постачання теплової енергії</v>
          </cell>
          <cell r="DT760">
            <v>336.95</v>
          </cell>
        </row>
        <row r="761">
          <cell r="W761">
            <v>640.99</v>
          </cell>
          <cell r="AF761">
            <v>40429</v>
          </cell>
          <cell r="AG761" t="str">
            <v>901(к)</v>
          </cell>
          <cell r="AH761">
            <v>552.57575757575762</v>
          </cell>
          <cell r="AM761">
            <v>13200</v>
          </cell>
          <cell r="AO761">
            <v>8461068</v>
          </cell>
          <cell r="AQ761">
            <v>7294000</v>
          </cell>
          <cell r="AU761">
            <v>0</v>
          </cell>
          <cell r="AW761">
            <v>0</v>
          </cell>
          <cell r="AY761">
            <v>5246410</v>
          </cell>
          <cell r="AZ761">
            <v>397.45530303030301</v>
          </cell>
          <cell r="BA761">
            <v>0</v>
          </cell>
          <cell r="BB761">
            <v>0</v>
          </cell>
          <cell r="BC761">
            <v>0</v>
          </cell>
          <cell r="BD761">
            <v>0</v>
          </cell>
          <cell r="BG761">
            <v>0</v>
          </cell>
          <cell r="BH761">
            <v>0</v>
          </cell>
          <cell r="BI761">
            <v>254800</v>
          </cell>
          <cell r="BJ761">
            <v>19.303030303030305</v>
          </cell>
          <cell r="BK761">
            <v>0</v>
          </cell>
          <cell r="BL761">
            <v>0</v>
          </cell>
          <cell r="BM761">
            <v>1332800</v>
          </cell>
          <cell r="BN761">
            <v>100.96969696969697</v>
          </cell>
          <cell r="BO761">
            <v>0</v>
          </cell>
          <cell r="BP761">
            <v>0</v>
          </cell>
          <cell r="BY761">
            <v>1655</v>
          </cell>
          <cell r="CF761">
            <v>2128.4128619763565</v>
          </cell>
          <cell r="CG761">
            <v>2464.94</v>
          </cell>
          <cell r="CJ761">
            <v>0</v>
          </cell>
          <cell r="CK761">
            <v>0</v>
          </cell>
          <cell r="CL761">
            <v>0</v>
          </cell>
          <cell r="CM761">
            <v>0</v>
          </cell>
          <cell r="CN761">
            <v>0</v>
          </cell>
          <cell r="CO761">
            <v>0</v>
          </cell>
          <cell r="CX761">
            <v>0</v>
          </cell>
          <cell r="CY761">
            <v>0</v>
          </cell>
          <cell r="DB761">
            <v>0</v>
          </cell>
          <cell r="DC761">
            <v>0</v>
          </cell>
          <cell r="DJ761" t="str">
            <v>НКРКП</v>
          </cell>
          <cell r="DL761">
            <v>40816</v>
          </cell>
          <cell r="DM761">
            <v>51</v>
          </cell>
          <cell r="DT761">
            <v>848.42</v>
          </cell>
        </row>
        <row r="762">
          <cell r="W762">
            <v>732.95</v>
          </cell>
          <cell r="AF762">
            <v>40429</v>
          </cell>
          <cell r="AG762" t="str">
            <v>902(к)</v>
          </cell>
          <cell r="AH762">
            <v>563.80952380952385</v>
          </cell>
          <cell r="AM762">
            <v>2100</v>
          </cell>
          <cell r="AO762">
            <v>1539195</v>
          </cell>
          <cell r="AQ762">
            <v>1184000</v>
          </cell>
          <cell r="AU762">
            <v>0</v>
          </cell>
          <cell r="AW762">
            <v>0</v>
          </cell>
          <cell r="AY762">
            <v>846051</v>
          </cell>
          <cell r="AZ762">
            <v>402.88142857142856</v>
          </cell>
          <cell r="BA762">
            <v>0</v>
          </cell>
          <cell r="BB762">
            <v>0</v>
          </cell>
          <cell r="BC762">
            <v>0</v>
          </cell>
          <cell r="BD762">
            <v>0</v>
          </cell>
          <cell r="BG762">
            <v>0</v>
          </cell>
          <cell r="BH762">
            <v>0</v>
          </cell>
          <cell r="BI762">
            <v>40300</v>
          </cell>
          <cell r="BJ762">
            <v>19.19047619047619</v>
          </cell>
          <cell r="BK762">
            <v>0</v>
          </cell>
          <cell r="BL762">
            <v>0</v>
          </cell>
          <cell r="BM762">
            <v>221300</v>
          </cell>
          <cell r="BN762">
            <v>105.38095238095238</v>
          </cell>
          <cell r="BO762">
            <v>0</v>
          </cell>
          <cell r="BP762">
            <v>0</v>
          </cell>
          <cell r="BY762">
            <v>1655</v>
          </cell>
          <cell r="CF762">
            <v>343.23391238731978</v>
          </cell>
          <cell r="CG762">
            <v>2464.94</v>
          </cell>
          <cell r="CJ762">
            <v>0</v>
          </cell>
          <cell r="CK762">
            <v>0</v>
          </cell>
          <cell r="CL762">
            <v>0</v>
          </cell>
          <cell r="CM762">
            <v>0</v>
          </cell>
          <cell r="CN762">
            <v>0</v>
          </cell>
          <cell r="CO762">
            <v>0</v>
          </cell>
          <cell r="CX762">
            <v>0</v>
          </cell>
          <cell r="CY762">
            <v>0</v>
          </cell>
          <cell r="DB762">
            <v>0</v>
          </cell>
          <cell r="DC762">
            <v>0</v>
          </cell>
          <cell r="DJ762" t="str">
            <v>НКРКП</v>
          </cell>
          <cell r="DL762">
            <v>40816</v>
          </cell>
          <cell r="DM762">
            <v>51</v>
          </cell>
          <cell r="DT762">
            <v>943.38</v>
          </cell>
        </row>
        <row r="763">
          <cell r="W763">
            <v>516.35833333333335</v>
          </cell>
          <cell r="AF763">
            <v>40452</v>
          </cell>
          <cell r="AG763" t="str">
            <v>№97</v>
          </cell>
          <cell r="AH763">
            <v>461.03647798742139</v>
          </cell>
          <cell r="AM763">
            <v>3975</v>
          </cell>
          <cell r="AO763">
            <v>2052524.375</v>
          </cell>
          <cell r="AQ763">
            <v>1832620</v>
          </cell>
          <cell r="AU763">
            <v>0</v>
          </cell>
          <cell r="AW763">
            <v>0</v>
          </cell>
          <cell r="AY763">
            <v>1492300</v>
          </cell>
          <cell r="AZ763">
            <v>375.42138364779873</v>
          </cell>
          <cell r="BA763">
            <v>0</v>
          </cell>
          <cell r="BB763">
            <v>0</v>
          </cell>
          <cell r="BC763">
            <v>0</v>
          </cell>
          <cell r="BD763">
            <v>0</v>
          </cell>
          <cell r="BG763">
            <v>0</v>
          </cell>
          <cell r="BH763">
            <v>0</v>
          </cell>
          <cell r="BI763">
            <v>57340</v>
          </cell>
          <cell r="BJ763">
            <v>14.425157232704402</v>
          </cell>
          <cell r="BK763">
            <v>0</v>
          </cell>
          <cell r="BL763">
            <v>0</v>
          </cell>
          <cell r="BM763">
            <v>241050</v>
          </cell>
          <cell r="BN763">
            <v>60.641509433962263</v>
          </cell>
          <cell r="BO763">
            <v>0</v>
          </cell>
          <cell r="BP763">
            <v>0</v>
          </cell>
          <cell r="BY763">
            <v>1695</v>
          </cell>
          <cell r="CF763">
            <v>605.41027367806112</v>
          </cell>
          <cell r="CG763">
            <v>2464.94</v>
          </cell>
          <cell r="CJ763">
            <v>0</v>
          </cell>
          <cell r="CK763">
            <v>0</v>
          </cell>
          <cell r="CL763">
            <v>0</v>
          </cell>
          <cell r="CM763">
            <v>0</v>
          </cell>
          <cell r="CN763">
            <v>0</v>
          </cell>
          <cell r="CO763">
            <v>0</v>
          </cell>
          <cell r="CX763">
            <v>0</v>
          </cell>
          <cell r="CY763">
            <v>0</v>
          </cell>
          <cell r="DB763">
            <v>0</v>
          </cell>
          <cell r="DC763">
            <v>0</v>
          </cell>
          <cell r="DJ763" t="str">
            <v>МОС</v>
          </cell>
          <cell r="DL763">
            <v>40906</v>
          </cell>
          <cell r="DM763" t="str">
            <v>№479</v>
          </cell>
          <cell r="DT763">
            <v>788.77</v>
          </cell>
        </row>
        <row r="764">
          <cell r="W764">
            <v>516.05000000000007</v>
          </cell>
          <cell r="AF764">
            <v>40452</v>
          </cell>
          <cell r="AG764" t="str">
            <v>№97</v>
          </cell>
          <cell r="AH764">
            <v>460.76023391812868</v>
          </cell>
          <cell r="AM764">
            <v>855</v>
          </cell>
          <cell r="AO764">
            <v>441222.75000000006</v>
          </cell>
          <cell r="AQ764">
            <v>393950</v>
          </cell>
          <cell r="AU764">
            <v>0</v>
          </cell>
          <cell r="AW764">
            <v>0</v>
          </cell>
          <cell r="AY764">
            <v>320700</v>
          </cell>
          <cell r="AZ764">
            <v>375.08771929824559</v>
          </cell>
          <cell r="BA764">
            <v>0</v>
          </cell>
          <cell r="BB764">
            <v>0</v>
          </cell>
          <cell r="BC764">
            <v>0</v>
          </cell>
          <cell r="BD764">
            <v>0</v>
          </cell>
          <cell r="BG764">
            <v>0</v>
          </cell>
          <cell r="BH764">
            <v>0</v>
          </cell>
          <cell r="BI764">
            <v>12340</v>
          </cell>
          <cell r="BJ764">
            <v>14.432748538011696</v>
          </cell>
          <cell r="BK764">
            <v>0</v>
          </cell>
          <cell r="BL764">
            <v>0</v>
          </cell>
          <cell r="BM764">
            <v>51849</v>
          </cell>
          <cell r="BN764">
            <v>60.642105263157895</v>
          </cell>
          <cell r="BO764">
            <v>0</v>
          </cell>
          <cell r="BP764">
            <v>0</v>
          </cell>
          <cell r="BY764">
            <v>1695</v>
          </cell>
          <cell r="CF764">
            <v>130.10458672422047</v>
          </cell>
          <cell r="CG764">
            <v>2464.94</v>
          </cell>
          <cell r="CJ764">
            <v>0</v>
          </cell>
          <cell r="CK764">
            <v>0</v>
          </cell>
          <cell r="CL764">
            <v>0</v>
          </cell>
          <cell r="CM764">
            <v>0</v>
          </cell>
          <cell r="CN764">
            <v>0</v>
          </cell>
          <cell r="CO764">
            <v>0</v>
          </cell>
          <cell r="CX764">
            <v>0</v>
          </cell>
          <cell r="CY764">
            <v>0</v>
          </cell>
          <cell r="DB764">
            <v>0</v>
          </cell>
          <cell r="DC764">
            <v>0</v>
          </cell>
          <cell r="DJ764" t="str">
            <v>МОС</v>
          </cell>
          <cell r="DL764">
            <v>40906</v>
          </cell>
          <cell r="DM764" t="str">
            <v>№479</v>
          </cell>
          <cell r="DT764">
            <v>788.87</v>
          </cell>
        </row>
        <row r="765">
          <cell r="W765">
            <v>190.44642144485107</v>
          </cell>
          <cell r="AF765">
            <v>39786</v>
          </cell>
          <cell r="AG765" t="str">
            <v>№ 1149</v>
          </cell>
          <cell r="AH765">
            <v>190.44642144485107</v>
          </cell>
          <cell r="AM765">
            <v>21148.2</v>
          </cell>
          <cell r="AO765">
            <v>4027599.0099999993</v>
          </cell>
          <cell r="AQ765">
            <v>4027599.01</v>
          </cell>
          <cell r="AU765">
            <v>0</v>
          </cell>
          <cell r="AW765">
            <v>0</v>
          </cell>
          <cell r="AY765">
            <v>2332980.0556656001</v>
          </cell>
          <cell r="AZ765">
            <v>110.31577418719324</v>
          </cell>
          <cell r="BA765">
            <v>0</v>
          </cell>
          <cell r="BB765">
            <v>0</v>
          </cell>
          <cell r="BC765">
            <v>0</v>
          </cell>
          <cell r="BD765">
            <v>0</v>
          </cell>
          <cell r="BG765">
            <v>0</v>
          </cell>
          <cell r="BH765">
            <v>0</v>
          </cell>
          <cell r="BI765">
            <v>396906.28</v>
          </cell>
          <cell r="BJ765">
            <v>18.767851637491606</v>
          </cell>
          <cell r="BK765">
            <v>0</v>
          </cell>
          <cell r="BL765">
            <v>0</v>
          </cell>
          <cell r="BM765">
            <v>737321.05999999994</v>
          </cell>
          <cell r="BN765">
            <v>34.864483029288543</v>
          </cell>
          <cell r="BO765">
            <v>50735.519999999997</v>
          </cell>
          <cell r="BP765">
            <v>2.3990467273810534</v>
          </cell>
          <cell r="BY765">
            <v>923.34</v>
          </cell>
          <cell r="CF765">
            <v>3207.6390799999999</v>
          </cell>
          <cell r="CG765">
            <v>727.32</v>
          </cell>
          <cell r="CJ765">
            <v>0</v>
          </cell>
          <cell r="CK765">
            <v>0</v>
          </cell>
          <cell r="CL765">
            <v>0</v>
          </cell>
          <cell r="CM765">
            <v>0</v>
          </cell>
          <cell r="CN765">
            <v>0</v>
          </cell>
          <cell r="CO765">
            <v>0</v>
          </cell>
          <cell r="CX765">
            <v>0</v>
          </cell>
          <cell r="CY765">
            <v>0</v>
          </cell>
          <cell r="DB765">
            <v>0</v>
          </cell>
          <cell r="DC765">
            <v>0</v>
          </cell>
          <cell r="DJ765" t="str">
            <v>МОС</v>
          </cell>
          <cell r="DL765">
            <v>39812</v>
          </cell>
          <cell r="DM765" t="str">
            <v>№ 866</v>
          </cell>
          <cell r="DO765" t="str">
            <v>Тариф на теплову енергію</v>
          </cell>
          <cell r="DT765">
            <v>190.45</v>
          </cell>
        </row>
        <row r="766">
          <cell r="W766">
            <v>320.61452070081464</v>
          </cell>
          <cell r="AF766">
            <v>39786</v>
          </cell>
          <cell r="AG766" t="str">
            <v>№ 1150</v>
          </cell>
          <cell r="AH766">
            <v>320.61452070081464</v>
          </cell>
          <cell r="AM766">
            <v>26883</v>
          </cell>
          <cell r="AO766">
            <v>8619080.1600000001</v>
          </cell>
          <cell r="AQ766">
            <v>8619080.1600000001</v>
          </cell>
          <cell r="AU766">
            <v>0</v>
          </cell>
          <cell r="AW766">
            <v>0</v>
          </cell>
          <cell r="AY766">
            <v>6465167.5829202002</v>
          </cell>
          <cell r="AZ766">
            <v>240.49278662798795</v>
          </cell>
          <cell r="BA766">
            <v>0</v>
          </cell>
          <cell r="BB766">
            <v>0</v>
          </cell>
          <cell r="BC766">
            <v>0</v>
          </cell>
          <cell r="BD766">
            <v>0</v>
          </cell>
          <cell r="BG766">
            <v>0</v>
          </cell>
          <cell r="BH766">
            <v>0</v>
          </cell>
          <cell r="BI766">
            <v>504296.54</v>
          </cell>
          <cell r="BJ766">
            <v>18.758938362533943</v>
          </cell>
          <cell r="BK766">
            <v>0</v>
          </cell>
          <cell r="BL766">
            <v>0</v>
          </cell>
          <cell r="BM766">
            <v>937261.9</v>
          </cell>
          <cell r="BN766">
            <v>34.864483130602984</v>
          </cell>
          <cell r="BO766">
            <v>64493.57</v>
          </cell>
          <cell r="BP766">
            <v>2.3990466093813936</v>
          </cell>
          <cell r="BY766">
            <v>923.34</v>
          </cell>
          <cell r="CF766">
            <v>4075.5245300000001</v>
          </cell>
          <cell r="CG766">
            <v>1586.34</v>
          </cell>
          <cell r="CJ766">
            <v>0</v>
          </cell>
          <cell r="CK766">
            <v>0</v>
          </cell>
          <cell r="CL766">
            <v>0</v>
          </cell>
          <cell r="CM766">
            <v>0</v>
          </cell>
          <cell r="CN766">
            <v>0</v>
          </cell>
          <cell r="CO766">
            <v>0</v>
          </cell>
          <cell r="CX766">
            <v>0</v>
          </cell>
          <cell r="CY766">
            <v>0</v>
          </cell>
          <cell r="DB766">
            <v>0</v>
          </cell>
          <cell r="DC766">
            <v>0</v>
          </cell>
          <cell r="DJ766" t="str">
            <v>МОС</v>
          </cell>
          <cell r="DL766">
            <v>39812</v>
          </cell>
          <cell r="DM766" t="str">
            <v>№ 866</v>
          </cell>
          <cell r="DT766">
            <v>320.61</v>
          </cell>
        </row>
        <row r="767">
          <cell r="W767">
            <v>320.73355263157896</v>
          </cell>
          <cell r="AF767">
            <v>39786</v>
          </cell>
          <cell r="AG767" t="str">
            <v>№ 1151</v>
          </cell>
          <cell r="AH767">
            <v>320.73355263157896</v>
          </cell>
          <cell r="AM767">
            <v>15.2</v>
          </cell>
          <cell r="AO767">
            <v>4875.1499999999996</v>
          </cell>
          <cell r="AQ767">
            <v>4875.1499999999996</v>
          </cell>
          <cell r="AU767">
            <v>0</v>
          </cell>
          <cell r="AW767">
            <v>0</v>
          </cell>
          <cell r="AY767">
            <v>3657.1799628000003</v>
          </cell>
          <cell r="AZ767">
            <v>240.60394492105266</v>
          </cell>
          <cell r="BA767">
            <v>0</v>
          </cell>
          <cell r="BB767">
            <v>0</v>
          </cell>
          <cell r="BC767">
            <v>0</v>
          </cell>
          <cell r="BD767">
            <v>0</v>
          </cell>
          <cell r="BG767">
            <v>0</v>
          </cell>
          <cell r="BH767">
            <v>0</v>
          </cell>
          <cell r="BI767">
            <v>285.26</v>
          </cell>
          <cell r="BJ767">
            <v>18.767105263157895</v>
          </cell>
          <cell r="BK767">
            <v>0</v>
          </cell>
          <cell r="BL767">
            <v>0</v>
          </cell>
          <cell r="BM767">
            <v>529.93999999999994</v>
          </cell>
          <cell r="BN767">
            <v>34.864473684210523</v>
          </cell>
          <cell r="BO767">
            <v>36.46</v>
          </cell>
          <cell r="BP767">
            <v>2.3986842105263158</v>
          </cell>
          <cell r="BY767">
            <v>923.34</v>
          </cell>
          <cell r="CF767">
            <v>2.3054200000000002</v>
          </cell>
          <cell r="CG767">
            <v>1586.34</v>
          </cell>
          <cell r="CJ767">
            <v>0</v>
          </cell>
          <cell r="CK767">
            <v>0</v>
          </cell>
          <cell r="CL767">
            <v>0</v>
          </cell>
          <cell r="CM767">
            <v>0</v>
          </cell>
          <cell r="CN767">
            <v>0</v>
          </cell>
          <cell r="CO767">
            <v>0</v>
          </cell>
          <cell r="CX767">
            <v>0</v>
          </cell>
          <cell r="CY767">
            <v>0</v>
          </cell>
          <cell r="DB767">
            <v>0</v>
          </cell>
          <cell r="DC767">
            <v>0</v>
          </cell>
          <cell r="DJ767" t="str">
            <v>МОС</v>
          </cell>
          <cell r="DL767">
            <v>39812</v>
          </cell>
          <cell r="DM767" t="str">
            <v>№ 866</v>
          </cell>
          <cell r="DT767">
            <v>320.73</v>
          </cell>
        </row>
        <row r="768">
          <cell r="W768">
            <v>125.47</v>
          </cell>
          <cell r="AF768">
            <v>40276</v>
          </cell>
          <cell r="AG768">
            <v>9</v>
          </cell>
          <cell r="AH768">
            <v>168.37</v>
          </cell>
          <cell r="AM768">
            <v>8900</v>
          </cell>
          <cell r="AO768">
            <v>1116683</v>
          </cell>
          <cell r="AQ768">
            <v>1498493</v>
          </cell>
          <cell r="AU768">
            <v>0</v>
          </cell>
          <cell r="AW768">
            <v>0</v>
          </cell>
          <cell r="AY768">
            <v>828562.94400000013</v>
          </cell>
          <cell r="AZ768">
            <v>93.09696000000001</v>
          </cell>
          <cell r="BA768">
            <v>0</v>
          </cell>
          <cell r="BB768">
            <v>0</v>
          </cell>
          <cell r="BC768">
            <v>0</v>
          </cell>
          <cell r="BD768">
            <v>0</v>
          </cell>
          <cell r="BG768">
            <v>0</v>
          </cell>
          <cell r="BH768">
            <v>0</v>
          </cell>
          <cell r="BI768">
            <v>138039</v>
          </cell>
          <cell r="BJ768">
            <v>15.51</v>
          </cell>
          <cell r="BK768">
            <v>0</v>
          </cell>
          <cell r="BL768">
            <v>0</v>
          </cell>
          <cell r="BM768">
            <v>344341</v>
          </cell>
          <cell r="BN768">
            <v>38.69</v>
          </cell>
          <cell r="BO768">
            <v>0</v>
          </cell>
          <cell r="BP768">
            <v>0</v>
          </cell>
          <cell r="BY768">
            <v>2219.98</v>
          </cell>
          <cell r="CF768">
            <v>1139.2</v>
          </cell>
          <cell r="CG768">
            <v>727.32</v>
          </cell>
          <cell r="CJ768">
            <v>0</v>
          </cell>
          <cell r="CK768">
            <v>0</v>
          </cell>
          <cell r="CL768">
            <v>0</v>
          </cell>
          <cell r="CM768">
            <v>0</v>
          </cell>
          <cell r="CN768">
            <v>0</v>
          </cell>
          <cell r="CO768">
            <v>0</v>
          </cell>
          <cell r="CX768">
            <v>0</v>
          </cell>
          <cell r="CY768">
            <v>0</v>
          </cell>
          <cell r="DB768">
            <v>0</v>
          </cell>
          <cell r="DC768">
            <v>0</v>
          </cell>
          <cell r="DJ768" t="str">
            <v>МОС</v>
          </cell>
          <cell r="DL768">
            <v>40694</v>
          </cell>
          <cell r="DM768">
            <v>857</v>
          </cell>
          <cell r="DO768" t="str">
            <v>тариф на теплову енергію</v>
          </cell>
          <cell r="DT768">
            <v>169.38</v>
          </cell>
        </row>
        <row r="769">
          <cell r="W769">
            <v>360.51</v>
          </cell>
          <cell r="AF769">
            <v>40023</v>
          </cell>
          <cell r="AG769">
            <v>209</v>
          </cell>
          <cell r="AH769">
            <v>360.51</v>
          </cell>
          <cell r="AM769">
            <v>650</v>
          </cell>
          <cell r="AO769">
            <v>234331.5</v>
          </cell>
          <cell r="AQ769">
            <v>234331.5</v>
          </cell>
          <cell r="AU769">
            <v>0</v>
          </cell>
          <cell r="AW769">
            <v>0</v>
          </cell>
          <cell r="AY769">
            <v>185403.712</v>
          </cell>
          <cell r="AZ769">
            <v>285.23647999999997</v>
          </cell>
          <cell r="BA769">
            <v>0</v>
          </cell>
          <cell r="BB769">
            <v>0</v>
          </cell>
          <cell r="BC769">
            <v>0</v>
          </cell>
          <cell r="BD769">
            <v>0</v>
          </cell>
          <cell r="BG769">
            <v>0</v>
          </cell>
          <cell r="BH769">
            <v>0</v>
          </cell>
          <cell r="BI769">
            <v>10082</v>
          </cell>
          <cell r="BJ769">
            <v>15.510769230769231</v>
          </cell>
          <cell r="BK769">
            <v>0</v>
          </cell>
          <cell r="BL769">
            <v>0</v>
          </cell>
          <cell r="BM769">
            <v>25149</v>
          </cell>
          <cell r="BN769">
            <v>38.690769230769227</v>
          </cell>
          <cell r="BO769">
            <v>0</v>
          </cell>
          <cell r="BP769">
            <v>0</v>
          </cell>
          <cell r="BY769">
            <v>2219.98</v>
          </cell>
          <cell r="CF769">
            <v>83.2</v>
          </cell>
          <cell r="CG769">
            <v>2228.41</v>
          </cell>
          <cell r="CJ769">
            <v>0</v>
          </cell>
          <cell r="CK769">
            <v>0</v>
          </cell>
          <cell r="CL769">
            <v>0</v>
          </cell>
          <cell r="CM769">
            <v>0</v>
          </cell>
          <cell r="CN769">
            <v>0</v>
          </cell>
          <cell r="CO769">
            <v>0</v>
          </cell>
          <cell r="CX769">
            <v>0</v>
          </cell>
          <cell r="CY769">
            <v>0</v>
          </cell>
          <cell r="DB769">
            <v>0</v>
          </cell>
          <cell r="DC769">
            <v>0</v>
          </cell>
          <cell r="DJ769" t="str">
            <v>НКРЕ</v>
          </cell>
          <cell r="DL769">
            <v>40942</v>
          </cell>
          <cell r="DM769">
            <v>51</v>
          </cell>
          <cell r="DT769">
            <v>572.53</v>
          </cell>
        </row>
        <row r="770">
          <cell r="W770">
            <v>360.51</v>
          </cell>
          <cell r="AF770">
            <v>40023</v>
          </cell>
          <cell r="AG770">
            <v>209</v>
          </cell>
          <cell r="AH770">
            <v>360.51005747126436</v>
          </cell>
          <cell r="AM770">
            <v>6960</v>
          </cell>
          <cell r="AO770">
            <v>2509149.6</v>
          </cell>
          <cell r="AQ770">
            <v>2509150</v>
          </cell>
          <cell r="AU770">
            <v>0</v>
          </cell>
          <cell r="AW770">
            <v>0</v>
          </cell>
          <cell r="AY770">
            <v>1985245.9007999999</v>
          </cell>
          <cell r="AZ770">
            <v>285.23647999999997</v>
          </cell>
          <cell r="BA770">
            <v>0</v>
          </cell>
          <cell r="BB770">
            <v>0</v>
          </cell>
          <cell r="BC770">
            <v>0</v>
          </cell>
          <cell r="BD770">
            <v>0</v>
          </cell>
          <cell r="BG770">
            <v>0</v>
          </cell>
          <cell r="BH770">
            <v>0</v>
          </cell>
          <cell r="BI770">
            <v>107950</v>
          </cell>
          <cell r="BJ770">
            <v>15.510057471264368</v>
          </cell>
          <cell r="BK770">
            <v>0</v>
          </cell>
          <cell r="BL770">
            <v>0</v>
          </cell>
          <cell r="BM770">
            <v>269282</v>
          </cell>
          <cell r="BN770">
            <v>38.689942528735635</v>
          </cell>
          <cell r="BO770">
            <v>0</v>
          </cell>
          <cell r="BP770">
            <v>0</v>
          </cell>
          <cell r="BY770">
            <v>2219.98</v>
          </cell>
          <cell r="CF770">
            <v>890.88</v>
          </cell>
          <cell r="CG770">
            <v>2228.41</v>
          </cell>
          <cell r="CJ770">
            <v>0</v>
          </cell>
          <cell r="CK770">
            <v>0</v>
          </cell>
          <cell r="CL770">
            <v>0</v>
          </cell>
          <cell r="CM770">
            <v>0</v>
          </cell>
          <cell r="CN770">
            <v>0</v>
          </cell>
          <cell r="CO770">
            <v>0</v>
          </cell>
          <cell r="CX770">
            <v>0</v>
          </cell>
          <cell r="CY770">
            <v>0</v>
          </cell>
          <cell r="DB770">
            <v>0</v>
          </cell>
          <cell r="DC770">
            <v>0</v>
          </cell>
          <cell r="DJ770" t="str">
            <v>НКРЕ</v>
          </cell>
          <cell r="DL770">
            <v>40942</v>
          </cell>
          <cell r="DM770">
            <v>51</v>
          </cell>
          <cell r="DT770">
            <v>572.53</v>
          </cell>
        </row>
        <row r="771">
          <cell r="W771">
            <v>511.14800000000002</v>
          </cell>
          <cell r="AF771">
            <v>39959</v>
          </cell>
          <cell r="AG771" t="str">
            <v xml:space="preserve">6/1/3-248 6/1/1-106(від 17.02.2009) </v>
          </cell>
          <cell r="AH771">
            <v>508.54493709233475</v>
          </cell>
          <cell r="AM771">
            <v>2646</v>
          </cell>
          <cell r="AO771">
            <v>1352497.608</v>
          </cell>
          <cell r="AQ771">
            <v>1345609.9035463177</v>
          </cell>
          <cell r="AU771">
            <v>1316082.3070495534</v>
          </cell>
          <cell r="AW771">
            <v>0</v>
          </cell>
          <cell r="AY771">
            <v>0</v>
          </cell>
          <cell r="AZ771">
            <v>0</v>
          </cell>
          <cell r="BA771">
            <v>0</v>
          </cell>
          <cell r="BB771">
            <v>0</v>
          </cell>
          <cell r="BC771">
            <v>0</v>
          </cell>
          <cell r="BD771">
            <v>0</v>
          </cell>
          <cell r="BG771">
            <v>0</v>
          </cell>
          <cell r="BH771">
            <v>0</v>
          </cell>
          <cell r="BI771">
            <v>0</v>
          </cell>
          <cell r="BJ771">
            <v>0</v>
          </cell>
          <cell r="BK771">
            <v>0</v>
          </cell>
          <cell r="BL771">
            <v>0</v>
          </cell>
          <cell r="BM771">
            <v>10233</v>
          </cell>
          <cell r="BN771">
            <v>3.8673469387755102</v>
          </cell>
          <cell r="BO771">
            <v>0</v>
          </cell>
          <cell r="BP771">
            <v>0</v>
          </cell>
          <cell r="BY771">
            <v>1838.1</v>
          </cell>
          <cell r="CF771">
            <v>0</v>
          </cell>
          <cell r="CG771">
            <v>0</v>
          </cell>
          <cell r="CJ771">
            <v>3289.7945864235435</v>
          </cell>
          <cell r="CK771">
            <v>400.04999475675919</v>
          </cell>
          <cell r="CL771">
            <v>819.54</v>
          </cell>
          <cell r="CM771">
            <v>0</v>
          </cell>
          <cell r="CN771">
            <v>0</v>
          </cell>
          <cell r="CO771">
            <v>0</v>
          </cell>
          <cell r="CX771">
            <v>0</v>
          </cell>
          <cell r="CY771">
            <v>0</v>
          </cell>
          <cell r="DB771">
            <v>0</v>
          </cell>
          <cell r="DC771">
            <v>0</v>
          </cell>
          <cell r="DJ771" t="str">
            <v>МОС</v>
          </cell>
          <cell r="DL771">
            <v>41144</v>
          </cell>
          <cell r="DM771" t="str">
            <v>Рішення №688</v>
          </cell>
          <cell r="DT771">
            <v>869.41</v>
          </cell>
        </row>
        <row r="772">
          <cell r="W772">
            <v>560.72</v>
          </cell>
          <cell r="AF772">
            <v>39959</v>
          </cell>
          <cell r="AG772" t="str">
            <v xml:space="preserve">6/1/3-248 6/1/1-106(від 17.02.2009) </v>
          </cell>
          <cell r="AH772">
            <v>508.54021847550541</v>
          </cell>
          <cell r="AM772">
            <v>103199</v>
          </cell>
          <cell r="AO772">
            <v>57865743.280000001</v>
          </cell>
          <cell r="AQ772">
            <v>52480842.006453685</v>
          </cell>
          <cell r="AU772">
            <v>51329696.902950443</v>
          </cell>
          <cell r="AW772">
            <v>0</v>
          </cell>
          <cell r="AY772">
            <v>0</v>
          </cell>
          <cell r="AZ772">
            <v>0</v>
          </cell>
          <cell r="BA772">
            <v>0</v>
          </cell>
          <cell r="BB772">
            <v>0</v>
          </cell>
          <cell r="BC772">
            <v>0</v>
          </cell>
          <cell r="BD772">
            <v>0</v>
          </cell>
          <cell r="BG772">
            <v>0</v>
          </cell>
          <cell r="BH772">
            <v>0</v>
          </cell>
          <cell r="BI772">
            <v>0</v>
          </cell>
          <cell r="BJ772">
            <v>0</v>
          </cell>
          <cell r="BK772">
            <v>0</v>
          </cell>
          <cell r="BL772">
            <v>0</v>
          </cell>
          <cell r="BM772">
            <v>399106</v>
          </cell>
          <cell r="BN772">
            <v>3.8673436758108122</v>
          </cell>
          <cell r="BO772">
            <v>0</v>
          </cell>
          <cell r="BP772">
            <v>0</v>
          </cell>
          <cell r="BY772">
            <v>1838.1</v>
          </cell>
          <cell r="CF772">
            <v>0</v>
          </cell>
          <cell r="CG772">
            <v>0</v>
          </cell>
          <cell r="CJ772">
            <v>128308.20541357646</v>
          </cell>
          <cell r="CK772">
            <v>400.04999475675919</v>
          </cell>
          <cell r="CL772">
            <v>819.54</v>
          </cell>
          <cell r="CM772">
            <v>0</v>
          </cell>
          <cell r="CN772">
            <v>0</v>
          </cell>
          <cell r="CO772">
            <v>0</v>
          </cell>
          <cell r="CX772">
            <v>0</v>
          </cell>
          <cell r="CY772">
            <v>0</v>
          </cell>
          <cell r="DB772">
            <v>0</v>
          </cell>
          <cell r="DC772">
            <v>0</v>
          </cell>
          <cell r="DJ772" t="str">
            <v>МОС</v>
          </cell>
          <cell r="DL772">
            <v>41144</v>
          </cell>
          <cell r="DM772" t="str">
            <v>Рішення №688</v>
          </cell>
          <cell r="DT772">
            <v>958.41</v>
          </cell>
        </row>
        <row r="773">
          <cell r="W773">
            <v>490.5</v>
          </cell>
          <cell r="AF773">
            <v>40099</v>
          </cell>
          <cell r="AG773">
            <v>458</v>
          </cell>
          <cell r="AH773">
            <v>438.12105263157895</v>
          </cell>
          <cell r="AM773">
            <v>380</v>
          </cell>
          <cell r="AO773">
            <v>186390</v>
          </cell>
          <cell r="AQ773">
            <v>166486</v>
          </cell>
          <cell r="AU773">
            <v>0</v>
          </cell>
          <cell r="AW773">
            <v>0</v>
          </cell>
          <cell r="AY773">
            <v>139782.6</v>
          </cell>
          <cell r="AZ773">
            <v>367.84894736842108</v>
          </cell>
          <cell r="BA773">
            <v>0</v>
          </cell>
          <cell r="BB773">
            <v>0</v>
          </cell>
          <cell r="BC773">
            <v>0</v>
          </cell>
          <cell r="BD773">
            <v>0</v>
          </cell>
          <cell r="BG773">
            <v>3420</v>
          </cell>
          <cell r="BH773">
            <v>9</v>
          </cell>
          <cell r="BI773">
            <v>0</v>
          </cell>
          <cell r="BJ773">
            <v>0</v>
          </cell>
          <cell r="BK773">
            <v>0</v>
          </cell>
          <cell r="BL773">
            <v>0</v>
          </cell>
          <cell r="BM773">
            <v>8307</v>
          </cell>
          <cell r="BN773">
            <v>21.860526315789475</v>
          </cell>
          <cell r="BO773">
            <v>5464</v>
          </cell>
          <cell r="BP773">
            <v>14.378947368421052</v>
          </cell>
          <cell r="BY773">
            <v>1527.88</v>
          </cell>
          <cell r="CF773">
            <v>63.2</v>
          </cell>
          <cell r="CG773">
            <v>2211.75</v>
          </cell>
          <cell r="CJ773">
            <v>0</v>
          </cell>
          <cell r="CK773">
            <v>0</v>
          </cell>
          <cell r="CL773">
            <v>0</v>
          </cell>
          <cell r="CM773">
            <v>0</v>
          </cell>
          <cell r="CN773">
            <v>0</v>
          </cell>
          <cell r="CO773">
            <v>0</v>
          </cell>
          <cell r="CX773">
            <v>0</v>
          </cell>
          <cell r="CY773">
            <v>0</v>
          </cell>
          <cell r="DB773">
            <v>0</v>
          </cell>
          <cell r="DC773">
            <v>0</v>
          </cell>
          <cell r="DJ773" t="str">
            <v>МОС</v>
          </cell>
          <cell r="DL773">
            <v>40638</v>
          </cell>
          <cell r="DM773" t="str">
            <v>№206</v>
          </cell>
          <cell r="DT773">
            <v>490.5</v>
          </cell>
        </row>
        <row r="774">
          <cell r="W774">
            <v>490.5</v>
          </cell>
          <cell r="AF774">
            <v>40099</v>
          </cell>
          <cell r="AG774">
            <v>458</v>
          </cell>
          <cell r="AH774">
            <v>438.11999069388708</v>
          </cell>
          <cell r="AM774">
            <v>34386</v>
          </cell>
          <cell r="AO774">
            <v>16866333</v>
          </cell>
          <cell r="AQ774">
            <v>15065194</v>
          </cell>
          <cell r="AU774">
            <v>0</v>
          </cell>
          <cell r="AW774">
            <v>0</v>
          </cell>
          <cell r="AY774">
            <v>12648843.4275</v>
          </cell>
          <cell r="AZ774">
            <v>367.84864268888504</v>
          </cell>
          <cell r="BA774">
            <v>0</v>
          </cell>
          <cell r="BB774">
            <v>0</v>
          </cell>
          <cell r="BC774">
            <v>0</v>
          </cell>
          <cell r="BD774">
            <v>0</v>
          </cell>
          <cell r="BG774">
            <v>309474</v>
          </cell>
          <cell r="BH774">
            <v>9</v>
          </cell>
          <cell r="BI774">
            <v>0</v>
          </cell>
          <cell r="BJ774">
            <v>0</v>
          </cell>
          <cell r="BK774">
            <v>0</v>
          </cell>
          <cell r="BL774">
            <v>0</v>
          </cell>
          <cell r="BM774">
            <v>751680</v>
          </cell>
          <cell r="BN774">
            <v>21.860059326470076</v>
          </cell>
          <cell r="BO774">
            <v>494471</v>
          </cell>
          <cell r="BP774">
            <v>14.380009306112953</v>
          </cell>
          <cell r="BY774">
            <v>1527.88</v>
          </cell>
          <cell r="CF774">
            <v>5718.93</v>
          </cell>
          <cell r="CG774">
            <v>2211.75</v>
          </cell>
          <cell r="CJ774">
            <v>0</v>
          </cell>
          <cell r="CK774">
            <v>0</v>
          </cell>
          <cell r="CL774">
            <v>0</v>
          </cell>
          <cell r="CM774">
            <v>0</v>
          </cell>
          <cell r="CN774">
            <v>0</v>
          </cell>
          <cell r="CO774">
            <v>0</v>
          </cell>
          <cell r="CX774">
            <v>0</v>
          </cell>
          <cell r="CY774">
            <v>0</v>
          </cell>
          <cell r="DB774">
            <v>0</v>
          </cell>
          <cell r="DC774">
            <v>0</v>
          </cell>
          <cell r="DJ774" t="str">
            <v>МОС</v>
          </cell>
          <cell r="DL774">
            <v>40638</v>
          </cell>
          <cell r="DM774" t="str">
            <v>№206</v>
          </cell>
          <cell r="DT774">
            <v>490.5</v>
          </cell>
        </row>
        <row r="775">
          <cell r="W775">
            <v>325.61669999999998</v>
          </cell>
          <cell r="AF775">
            <v>40451</v>
          </cell>
          <cell r="AG775">
            <v>481</v>
          </cell>
          <cell r="AH775">
            <v>312.3258158389998</v>
          </cell>
          <cell r="AM775">
            <v>35016.1</v>
          </cell>
          <cell r="AO775">
            <v>11401826.928869998</v>
          </cell>
          <cell r="AQ775">
            <v>10936432</v>
          </cell>
          <cell r="AU775">
            <v>0</v>
          </cell>
          <cell r="AW775">
            <v>0</v>
          </cell>
          <cell r="AY775">
            <v>5087223.8999999994</v>
          </cell>
          <cell r="AZ775">
            <v>145.28242437050383</v>
          </cell>
          <cell r="BA775">
            <v>749273</v>
          </cell>
          <cell r="BB775">
            <v>21.397956939807688</v>
          </cell>
          <cell r="BC775">
            <v>0</v>
          </cell>
          <cell r="BD775">
            <v>0</v>
          </cell>
          <cell r="BG775">
            <v>0</v>
          </cell>
          <cell r="BH775">
            <v>0</v>
          </cell>
          <cell r="BI775">
            <v>442657</v>
          </cell>
          <cell r="BJ775">
            <v>12.641527754375845</v>
          </cell>
          <cell r="BK775">
            <v>0</v>
          </cell>
          <cell r="BL775">
            <v>0</v>
          </cell>
          <cell r="BM775">
            <v>4147409</v>
          </cell>
          <cell r="BN775">
            <v>118.44291625852108</v>
          </cell>
          <cell r="BO775">
            <v>0</v>
          </cell>
          <cell r="BP775">
            <v>0</v>
          </cell>
          <cell r="BY775">
            <v>1591.04</v>
          </cell>
          <cell r="CF775">
            <v>4662.8999999999996</v>
          </cell>
          <cell r="CG775">
            <v>1091</v>
          </cell>
          <cell r="CJ775">
            <v>0</v>
          </cell>
          <cell r="CK775">
            <v>0</v>
          </cell>
          <cell r="CL775">
            <v>0</v>
          </cell>
          <cell r="CM775">
            <v>0</v>
          </cell>
          <cell r="CN775">
            <v>0</v>
          </cell>
          <cell r="CO775">
            <v>0</v>
          </cell>
          <cell r="CX775">
            <v>0</v>
          </cell>
          <cell r="CY775">
            <v>0</v>
          </cell>
          <cell r="DB775">
            <v>0</v>
          </cell>
          <cell r="DC775">
            <v>0</v>
          </cell>
          <cell r="DJ775" t="str">
            <v>МОС</v>
          </cell>
          <cell r="DL775">
            <v>40508</v>
          </cell>
          <cell r="DM775">
            <v>3258</v>
          </cell>
          <cell r="DO775" t="str">
            <v>Тарифи на послуги  теплопостачання та гарячого водопостачання</v>
          </cell>
          <cell r="DT775">
            <v>326.62</v>
          </cell>
        </row>
        <row r="776">
          <cell r="W776">
            <v>459.63</v>
          </cell>
          <cell r="AF776">
            <v>40490</v>
          </cell>
          <cell r="AG776">
            <v>568</v>
          </cell>
          <cell r="AH776">
            <v>447.33405585152684</v>
          </cell>
          <cell r="AM776">
            <v>1148.76</v>
          </cell>
          <cell r="AO776">
            <v>528004.5588</v>
          </cell>
          <cell r="AQ776">
            <v>513879.47</v>
          </cell>
          <cell r="AU776">
            <v>0</v>
          </cell>
          <cell r="AW776">
            <v>0</v>
          </cell>
          <cell r="AY776">
            <v>386956.35168000002</v>
          </cell>
          <cell r="AZ776">
            <v>336.84699300114909</v>
          </cell>
          <cell r="BA776">
            <v>0</v>
          </cell>
          <cell r="BB776">
            <v>0</v>
          </cell>
          <cell r="BC776">
            <v>0</v>
          </cell>
          <cell r="BD776">
            <v>0</v>
          </cell>
          <cell r="BG776">
            <v>0</v>
          </cell>
          <cell r="BH776">
            <v>0</v>
          </cell>
          <cell r="BI776">
            <v>8844.6</v>
          </cell>
          <cell r="BJ776">
            <v>7.6992583307218219</v>
          </cell>
          <cell r="BK776">
            <v>0</v>
          </cell>
          <cell r="BL776">
            <v>0</v>
          </cell>
          <cell r="BM776">
            <v>101063</v>
          </cell>
          <cell r="BN776">
            <v>87.975730352728164</v>
          </cell>
          <cell r="BO776">
            <v>0</v>
          </cell>
          <cell r="BP776">
            <v>0</v>
          </cell>
          <cell r="BY776">
            <v>2116.19</v>
          </cell>
          <cell r="CF776">
            <v>154.84200000000001</v>
          </cell>
          <cell r="CG776">
            <v>2499.04</v>
          </cell>
          <cell r="CJ776">
            <v>0</v>
          </cell>
          <cell r="CK776">
            <v>0</v>
          </cell>
          <cell r="CL776">
            <v>0</v>
          </cell>
          <cell r="CM776">
            <v>0</v>
          </cell>
          <cell r="CN776">
            <v>0</v>
          </cell>
          <cell r="CO776">
            <v>0</v>
          </cell>
          <cell r="CX776">
            <v>0</v>
          </cell>
          <cell r="CY776">
            <v>0</v>
          </cell>
          <cell r="DB776">
            <v>0</v>
          </cell>
          <cell r="DC776">
            <v>0</v>
          </cell>
          <cell r="DJ776" t="str">
            <v>МОС</v>
          </cell>
          <cell r="DL776">
            <v>40508</v>
          </cell>
          <cell r="DM776">
            <v>3258</v>
          </cell>
          <cell r="DT776">
            <v>459.63</v>
          </cell>
        </row>
        <row r="777">
          <cell r="W777">
            <v>432.35</v>
          </cell>
          <cell r="AF777">
            <v>40451</v>
          </cell>
          <cell r="AG777">
            <v>482</v>
          </cell>
          <cell r="AH777">
            <v>430.20834116241139</v>
          </cell>
          <cell r="AM777">
            <v>2661.02</v>
          </cell>
          <cell r="AO777">
            <v>1150491.997</v>
          </cell>
          <cell r="AQ777">
            <v>1144793</v>
          </cell>
          <cell r="AU777">
            <v>0</v>
          </cell>
          <cell r="AW777">
            <v>0</v>
          </cell>
          <cell r="AY777">
            <v>403222.68999999994</v>
          </cell>
          <cell r="AZ777">
            <v>151.52937219562421</v>
          </cell>
          <cell r="BA777">
            <v>0</v>
          </cell>
          <cell r="BB777">
            <v>0</v>
          </cell>
          <cell r="BC777">
            <v>0</v>
          </cell>
          <cell r="BD777">
            <v>0</v>
          </cell>
          <cell r="BG777">
            <v>0</v>
          </cell>
          <cell r="BH777">
            <v>0</v>
          </cell>
          <cell r="BI777">
            <v>19197</v>
          </cell>
          <cell r="BJ777">
            <v>7.2141509646676836</v>
          </cell>
          <cell r="BK777">
            <v>0</v>
          </cell>
          <cell r="BL777">
            <v>0</v>
          </cell>
          <cell r="BM777">
            <v>636589</v>
          </cell>
          <cell r="BN777">
            <v>239.22743910229912</v>
          </cell>
          <cell r="BO777">
            <v>0</v>
          </cell>
          <cell r="BP777">
            <v>0</v>
          </cell>
          <cell r="BY777">
            <v>1593.09</v>
          </cell>
          <cell r="CF777">
            <v>369.59</v>
          </cell>
          <cell r="CG777">
            <v>1091</v>
          </cell>
          <cell r="CJ777">
            <v>0</v>
          </cell>
          <cell r="CK777">
            <v>0</v>
          </cell>
          <cell r="CL777">
            <v>0</v>
          </cell>
          <cell r="CM777">
            <v>0</v>
          </cell>
          <cell r="CN777">
            <v>0</v>
          </cell>
          <cell r="CO777">
            <v>0</v>
          </cell>
          <cell r="CX777">
            <v>0</v>
          </cell>
          <cell r="CY777">
            <v>0</v>
          </cell>
          <cell r="DB777">
            <v>0</v>
          </cell>
          <cell r="DC777">
            <v>0</v>
          </cell>
          <cell r="DJ777" t="str">
            <v>МОС</v>
          </cell>
          <cell r="DL777">
            <v>40508</v>
          </cell>
          <cell r="DM777">
            <v>696</v>
          </cell>
          <cell r="DO777" t="str">
            <v>Тарифи на послуги  теплопостачання та гарячого водопостачання</v>
          </cell>
          <cell r="DT777">
            <v>432.35</v>
          </cell>
        </row>
        <row r="778">
          <cell r="W778">
            <v>658.26</v>
          </cell>
          <cell r="AF778">
            <v>40490</v>
          </cell>
          <cell r="AG778">
            <v>567</v>
          </cell>
          <cell r="AH778">
            <v>626.48183801822609</v>
          </cell>
          <cell r="AM778">
            <v>779.1</v>
          </cell>
          <cell r="AO778">
            <v>512850.36599999998</v>
          </cell>
          <cell r="AQ778">
            <v>488092</v>
          </cell>
          <cell r="AU778">
            <v>0</v>
          </cell>
          <cell r="AW778">
            <v>0</v>
          </cell>
          <cell r="AY778">
            <v>270421.11839999998</v>
          </cell>
          <cell r="AZ778">
            <v>347.09423488640738</v>
          </cell>
          <cell r="BA778">
            <v>0</v>
          </cell>
          <cell r="BB778">
            <v>0</v>
          </cell>
          <cell r="BC778">
            <v>0</v>
          </cell>
          <cell r="BD778">
            <v>0</v>
          </cell>
          <cell r="BG778">
            <v>0</v>
          </cell>
          <cell r="BH778">
            <v>0</v>
          </cell>
          <cell r="BI778">
            <v>11275.6</v>
          </cell>
          <cell r="BJ778">
            <v>14.472596585804133</v>
          </cell>
          <cell r="BK778">
            <v>0</v>
          </cell>
          <cell r="BL778">
            <v>0</v>
          </cell>
          <cell r="BM778">
            <v>190584</v>
          </cell>
          <cell r="BN778">
            <v>244.62071621101271</v>
          </cell>
          <cell r="BO778">
            <v>0</v>
          </cell>
          <cell r="BP778">
            <v>0</v>
          </cell>
          <cell r="BY778">
            <v>1980.16</v>
          </cell>
          <cell r="CF778">
            <v>108.21</v>
          </cell>
          <cell r="CG778">
            <v>2499.04</v>
          </cell>
          <cell r="CJ778">
            <v>0</v>
          </cell>
          <cell r="CK778">
            <v>0</v>
          </cell>
          <cell r="CL778">
            <v>0</v>
          </cell>
          <cell r="CM778">
            <v>0</v>
          </cell>
          <cell r="CN778">
            <v>0</v>
          </cell>
          <cell r="CO778">
            <v>0</v>
          </cell>
          <cell r="CX778">
            <v>0</v>
          </cell>
          <cell r="CY778">
            <v>0</v>
          </cell>
          <cell r="DB778">
            <v>0</v>
          </cell>
          <cell r="DC778">
            <v>0</v>
          </cell>
          <cell r="DJ778" t="str">
            <v>МОС</v>
          </cell>
          <cell r="DL778">
            <v>40557</v>
          </cell>
          <cell r="DM778">
            <v>22</v>
          </cell>
          <cell r="DT778">
            <v>658.26</v>
          </cell>
        </row>
        <row r="779">
          <cell r="W779">
            <v>396.31734999999998</v>
          </cell>
          <cell r="AF779">
            <v>40431</v>
          </cell>
          <cell r="AG779">
            <v>440</v>
          </cell>
          <cell r="AH779">
            <v>379.27594222781147</v>
          </cell>
          <cell r="AM779">
            <v>44609.7</v>
          </cell>
          <cell r="AO779">
            <v>17679598.088294998</v>
          </cell>
          <cell r="AQ779">
            <v>16919386</v>
          </cell>
          <cell r="AU779">
            <v>0</v>
          </cell>
          <cell r="AW779">
            <v>2220779.9999999995</v>
          </cell>
          <cell r="AY779">
            <v>8603298.6999999993</v>
          </cell>
          <cell r="AZ779">
            <v>192.85712972739111</v>
          </cell>
          <cell r="BA779">
            <v>0</v>
          </cell>
          <cell r="BB779">
            <v>0</v>
          </cell>
          <cell r="BC779">
            <v>0</v>
          </cell>
          <cell r="BD779">
            <v>0</v>
          </cell>
          <cell r="BG779">
            <v>0</v>
          </cell>
          <cell r="BH779">
            <v>0</v>
          </cell>
          <cell r="BI779">
            <v>244600</v>
          </cell>
          <cell r="BJ779">
            <v>5.483112417254544</v>
          </cell>
          <cell r="BK779">
            <v>0</v>
          </cell>
          <cell r="BL779">
            <v>0</v>
          </cell>
          <cell r="BM779">
            <v>4376840</v>
          </cell>
          <cell r="BN779">
            <v>98.114087294915691</v>
          </cell>
          <cell r="BO779">
            <v>0</v>
          </cell>
          <cell r="BP779">
            <v>0</v>
          </cell>
          <cell r="BY779">
            <v>0</v>
          </cell>
          <cell r="CF779">
            <v>7885.7</v>
          </cell>
          <cell r="CG779">
            <v>1091</v>
          </cell>
          <cell r="CJ779">
            <v>0</v>
          </cell>
          <cell r="CK779">
            <v>0</v>
          </cell>
          <cell r="CL779">
            <v>0</v>
          </cell>
          <cell r="CM779">
            <v>38608.83171070931</v>
          </cell>
          <cell r="CN779">
            <v>57.52</v>
          </cell>
          <cell r="CO779">
            <v>57.52</v>
          </cell>
          <cell r="CX779">
            <v>0</v>
          </cell>
          <cell r="CY779">
            <v>0</v>
          </cell>
          <cell r="DB779">
            <v>0</v>
          </cell>
          <cell r="DC779">
            <v>0</v>
          </cell>
          <cell r="DJ779" t="str">
            <v>МОС</v>
          </cell>
          <cell r="DL779">
            <v>40837</v>
          </cell>
          <cell r="DM779">
            <v>234</v>
          </cell>
          <cell r="DO779" t="str">
            <v>Тариф на послуги централізованого опалення</v>
          </cell>
          <cell r="DT779">
            <v>437.38</v>
          </cell>
        </row>
        <row r="780">
          <cell r="W780">
            <v>804.39745182482432</v>
          </cell>
          <cell r="AF780">
            <v>40431</v>
          </cell>
          <cell r="AG780">
            <v>441</v>
          </cell>
          <cell r="AH780">
            <v>628.04020354732222</v>
          </cell>
          <cell r="AM780">
            <v>11859.65</v>
          </cell>
          <cell r="AO780">
            <v>9539872.2395342775</v>
          </cell>
          <cell r="AQ780">
            <v>7448337</v>
          </cell>
          <cell r="AU780">
            <v>0</v>
          </cell>
          <cell r="AW780">
            <v>621823.35381932568</v>
          </cell>
          <cell r="AY780">
            <v>5193638.4397599995</v>
          </cell>
          <cell r="AZ780">
            <v>437.92510232258115</v>
          </cell>
          <cell r="BA780">
            <v>0</v>
          </cell>
          <cell r="BB780">
            <v>0</v>
          </cell>
          <cell r="BC780">
            <v>0</v>
          </cell>
          <cell r="BD780">
            <v>0</v>
          </cell>
          <cell r="BG780">
            <v>0</v>
          </cell>
          <cell r="BH780">
            <v>0</v>
          </cell>
          <cell r="BI780">
            <v>65074.5</v>
          </cell>
          <cell r="BJ780">
            <v>5.4870506296560189</v>
          </cell>
          <cell r="BK780">
            <v>0</v>
          </cell>
          <cell r="BL780">
            <v>0</v>
          </cell>
          <cell r="BM780">
            <v>1163597</v>
          </cell>
          <cell r="BN780">
            <v>98.113940967903773</v>
          </cell>
          <cell r="BO780">
            <v>0</v>
          </cell>
          <cell r="BP780">
            <v>0</v>
          </cell>
          <cell r="BY780">
            <v>0</v>
          </cell>
          <cell r="CF780">
            <v>2107.0039999999999</v>
          </cell>
          <cell r="CG780">
            <v>2464.94</v>
          </cell>
          <cell r="CJ780">
            <v>0</v>
          </cell>
          <cell r="CK780">
            <v>0</v>
          </cell>
          <cell r="CL780">
            <v>0</v>
          </cell>
          <cell r="CM780">
            <v>10810.559002422213</v>
          </cell>
          <cell r="CN780">
            <v>57.52</v>
          </cell>
          <cell r="CO780">
            <v>57.52</v>
          </cell>
          <cell r="CX780">
            <v>0</v>
          </cell>
          <cell r="CY780">
            <v>0</v>
          </cell>
          <cell r="DB780">
            <v>0</v>
          </cell>
          <cell r="DC780">
            <v>0</v>
          </cell>
          <cell r="DJ780" t="str">
            <v>МОС</v>
          </cell>
          <cell r="DL780">
            <v>40837</v>
          </cell>
          <cell r="DM780">
            <v>234</v>
          </cell>
          <cell r="DT780">
            <v>984.57</v>
          </cell>
        </row>
        <row r="781">
          <cell r="W781">
            <v>804.39499999999998</v>
          </cell>
          <cell r="AF781">
            <v>40431</v>
          </cell>
          <cell r="AG781">
            <v>441</v>
          </cell>
          <cell r="AH781">
            <v>628.03832348381434</v>
          </cell>
          <cell r="AM781">
            <v>715.38800000000003</v>
          </cell>
          <cell r="AO781">
            <v>575454.53026000003</v>
          </cell>
          <cell r="AQ781">
            <v>449291.08016043901</v>
          </cell>
          <cell r="AU781">
            <v>0</v>
          </cell>
          <cell r="AW781">
            <v>37509.646180674346</v>
          </cell>
          <cell r="AY781">
            <v>313290.39476231113</v>
          </cell>
          <cell r="AZ781">
            <v>437.93073795242736</v>
          </cell>
          <cell r="BA781">
            <v>0</v>
          </cell>
          <cell r="BB781">
            <v>0</v>
          </cell>
          <cell r="BC781">
            <v>0</v>
          </cell>
          <cell r="BD781">
            <v>0</v>
          </cell>
          <cell r="BG781">
            <v>0</v>
          </cell>
          <cell r="BH781">
            <v>0</v>
          </cell>
          <cell r="BI781">
            <v>3925.42998769016</v>
          </cell>
          <cell r="BJ781">
            <v>5.4871342372113592</v>
          </cell>
          <cell r="BK781">
            <v>0</v>
          </cell>
          <cell r="BL781">
            <v>0</v>
          </cell>
          <cell r="BM781">
            <v>70187</v>
          </cell>
          <cell r="BN781">
            <v>98.110396036835951</v>
          </cell>
          <cell r="BO781">
            <v>0</v>
          </cell>
          <cell r="BP781">
            <v>0</v>
          </cell>
          <cell r="BY781">
            <v>0</v>
          </cell>
          <cell r="CF781">
            <v>127.09858851019138</v>
          </cell>
          <cell r="CG781">
            <v>2464.94</v>
          </cell>
          <cell r="CJ781">
            <v>0</v>
          </cell>
          <cell r="CK781">
            <v>0</v>
          </cell>
          <cell r="CL781">
            <v>0</v>
          </cell>
          <cell r="CM781">
            <v>652.11485015080575</v>
          </cell>
          <cell r="CN781">
            <v>57.52</v>
          </cell>
          <cell r="CO781">
            <v>57.52</v>
          </cell>
          <cell r="CX781">
            <v>0</v>
          </cell>
          <cell r="CY781">
            <v>0</v>
          </cell>
          <cell r="DB781">
            <v>0</v>
          </cell>
          <cell r="DC781">
            <v>0</v>
          </cell>
          <cell r="DJ781" t="str">
            <v>МОС</v>
          </cell>
          <cell r="DL781">
            <v>40837</v>
          </cell>
          <cell r="DM781">
            <v>234</v>
          </cell>
          <cell r="DT781">
            <v>984.57</v>
          </cell>
        </row>
        <row r="782">
          <cell r="W782">
            <v>331.67</v>
          </cell>
          <cell r="AF782">
            <v>39826</v>
          </cell>
          <cell r="AG782">
            <v>11</v>
          </cell>
          <cell r="AH782">
            <v>331.67062314540061</v>
          </cell>
          <cell r="AM782">
            <v>674</v>
          </cell>
          <cell r="AO782">
            <v>223545.58000000002</v>
          </cell>
          <cell r="AQ782">
            <v>223546</v>
          </cell>
          <cell r="AU782">
            <v>0</v>
          </cell>
          <cell r="AW782">
            <v>0</v>
          </cell>
          <cell r="AY782">
            <v>90354.963600000003</v>
          </cell>
          <cell r="AZ782">
            <v>134.05780949554895</v>
          </cell>
          <cell r="BA782">
            <v>0</v>
          </cell>
          <cell r="BB782">
            <v>0</v>
          </cell>
          <cell r="BC782">
            <v>0</v>
          </cell>
          <cell r="BD782">
            <v>0</v>
          </cell>
          <cell r="BG782">
            <v>0</v>
          </cell>
          <cell r="BH782">
            <v>0</v>
          </cell>
          <cell r="BI782">
            <v>26007.5</v>
          </cell>
          <cell r="BJ782">
            <v>38.586795252225521</v>
          </cell>
          <cell r="BK782">
            <v>0</v>
          </cell>
          <cell r="BL782">
            <v>0</v>
          </cell>
          <cell r="BM782">
            <v>70302</v>
          </cell>
          <cell r="BN782">
            <v>104.30563798219585</v>
          </cell>
          <cell r="BO782">
            <v>0</v>
          </cell>
          <cell r="BP782">
            <v>0</v>
          </cell>
          <cell r="BY782">
            <v>2191.59</v>
          </cell>
          <cell r="CF782">
            <v>124.23</v>
          </cell>
          <cell r="CG782">
            <v>727.32</v>
          </cell>
          <cell r="CJ782">
            <v>0</v>
          </cell>
          <cell r="CK782">
            <v>0</v>
          </cell>
          <cell r="CL782">
            <v>0</v>
          </cell>
          <cell r="CM782">
            <v>0</v>
          </cell>
          <cell r="CN782">
            <v>0</v>
          </cell>
          <cell r="CO782">
            <v>0</v>
          </cell>
          <cell r="CX782">
            <v>0</v>
          </cell>
          <cell r="CY782">
            <v>0</v>
          </cell>
          <cell r="DB782">
            <v>0</v>
          </cell>
          <cell r="DC782">
            <v>0</v>
          </cell>
          <cell r="DJ782" t="str">
            <v>МОС</v>
          </cell>
          <cell r="DL782">
            <v>39834</v>
          </cell>
          <cell r="DM782">
            <v>5</v>
          </cell>
          <cell r="DO782" t="str">
            <v>Тариф</v>
          </cell>
          <cell r="DT782">
            <v>331.67</v>
          </cell>
        </row>
        <row r="783">
          <cell r="W783">
            <v>671.92</v>
          </cell>
          <cell r="AF783">
            <v>40098</v>
          </cell>
          <cell r="AG783">
            <v>453</v>
          </cell>
          <cell r="AH783">
            <v>559.92999999999995</v>
          </cell>
          <cell r="AM783">
            <v>246</v>
          </cell>
          <cell r="AO783">
            <v>165292.31999999998</v>
          </cell>
          <cell r="AQ783">
            <v>137742.78</v>
          </cell>
          <cell r="AU783">
            <v>0</v>
          </cell>
          <cell r="AW783">
            <v>0</v>
          </cell>
          <cell r="AY783">
            <v>89137.814741000009</v>
          </cell>
          <cell r="AZ783">
            <v>362.34884041056915</v>
          </cell>
          <cell r="BA783">
            <v>0</v>
          </cell>
          <cell r="BB783">
            <v>0</v>
          </cell>
          <cell r="BC783">
            <v>0</v>
          </cell>
          <cell r="BD783">
            <v>0</v>
          </cell>
          <cell r="BG783">
            <v>0</v>
          </cell>
          <cell r="BH783">
            <v>0</v>
          </cell>
          <cell r="BI783">
            <v>9490</v>
          </cell>
          <cell r="BJ783">
            <v>38.577235772357724</v>
          </cell>
          <cell r="BK783">
            <v>0</v>
          </cell>
          <cell r="BL783">
            <v>0</v>
          </cell>
          <cell r="BM783">
            <v>25655</v>
          </cell>
          <cell r="BN783">
            <v>104.28861788617886</v>
          </cell>
          <cell r="BO783">
            <v>0</v>
          </cell>
          <cell r="BP783">
            <v>0</v>
          </cell>
          <cell r="BY783">
            <v>2191.59</v>
          </cell>
          <cell r="CF783">
            <v>41.2849</v>
          </cell>
          <cell r="CG783">
            <v>2159.09</v>
          </cell>
          <cell r="CJ783">
            <v>0</v>
          </cell>
          <cell r="CK783">
            <v>0</v>
          </cell>
          <cell r="CL783">
            <v>0</v>
          </cell>
          <cell r="CM783">
            <v>0</v>
          </cell>
          <cell r="CN783">
            <v>0</v>
          </cell>
          <cell r="CO783">
            <v>0</v>
          </cell>
          <cell r="CX783">
            <v>0</v>
          </cell>
          <cell r="CY783">
            <v>0</v>
          </cell>
          <cell r="DB783">
            <v>0</v>
          </cell>
          <cell r="DC783">
            <v>0</v>
          </cell>
          <cell r="DJ783" t="str">
            <v>НКРКП</v>
          </cell>
          <cell r="DL783">
            <v>40942</v>
          </cell>
          <cell r="DM783">
            <v>34</v>
          </cell>
          <cell r="DT783">
            <v>961.53</v>
          </cell>
        </row>
        <row r="784">
          <cell r="W784">
            <v>671.92</v>
          </cell>
          <cell r="AF784">
            <v>40098</v>
          </cell>
          <cell r="AG784">
            <v>453</v>
          </cell>
          <cell r="AH784">
            <v>559.93473570658034</v>
          </cell>
          <cell r="AM784">
            <v>1854</v>
          </cell>
          <cell r="AO784">
            <v>1245739.68</v>
          </cell>
          <cell r="AQ784">
            <v>1038119</v>
          </cell>
          <cell r="AU784">
            <v>0</v>
          </cell>
          <cell r="AW784">
            <v>0</v>
          </cell>
          <cell r="AY784">
            <v>671802.58077200002</v>
          </cell>
          <cell r="AZ784">
            <v>362.35306406256746</v>
          </cell>
          <cell r="BA784">
            <v>0</v>
          </cell>
          <cell r="BB784">
            <v>0</v>
          </cell>
          <cell r="BC784">
            <v>0</v>
          </cell>
          <cell r="BD784">
            <v>0</v>
          </cell>
          <cell r="BG784">
            <v>0</v>
          </cell>
          <cell r="BH784">
            <v>0</v>
          </cell>
          <cell r="BI784">
            <v>71532</v>
          </cell>
          <cell r="BJ784">
            <v>38.582524271844662</v>
          </cell>
          <cell r="BK784">
            <v>0</v>
          </cell>
          <cell r="BL784">
            <v>0</v>
          </cell>
          <cell r="BM784">
            <v>193354</v>
          </cell>
          <cell r="BN784">
            <v>104.29018338727077</v>
          </cell>
          <cell r="BO784">
            <v>0</v>
          </cell>
          <cell r="BP784">
            <v>0</v>
          </cell>
          <cell r="BY784">
            <v>2191.59</v>
          </cell>
          <cell r="CF784">
            <v>311.1508</v>
          </cell>
          <cell r="CG784">
            <v>2159.09</v>
          </cell>
          <cell r="CJ784">
            <v>0</v>
          </cell>
          <cell r="CK784">
            <v>0</v>
          </cell>
          <cell r="CL784">
            <v>0</v>
          </cell>
          <cell r="CM784">
            <v>0</v>
          </cell>
          <cell r="CN784">
            <v>0</v>
          </cell>
          <cell r="CO784">
            <v>0</v>
          </cell>
          <cell r="CX784">
            <v>0</v>
          </cell>
          <cell r="CY784">
            <v>0</v>
          </cell>
          <cell r="DB784">
            <v>0</v>
          </cell>
          <cell r="DC784">
            <v>0</v>
          </cell>
          <cell r="DJ784" t="str">
            <v>НКРКП</v>
          </cell>
          <cell r="DL784">
            <v>40942</v>
          </cell>
          <cell r="DM784">
            <v>34</v>
          </cell>
          <cell r="DT784">
            <v>961.53</v>
          </cell>
        </row>
        <row r="785">
          <cell r="W785">
            <v>201.01</v>
          </cell>
          <cell r="AF785">
            <v>39675</v>
          </cell>
          <cell r="AG785">
            <v>560</v>
          </cell>
          <cell r="AH785">
            <v>197.46048790309047</v>
          </cell>
          <cell r="AM785">
            <v>14900.5</v>
          </cell>
          <cell r="AO785">
            <v>2995149.5049999999</v>
          </cell>
          <cell r="AQ785">
            <v>2942259.9999999995</v>
          </cell>
          <cell r="AU785">
            <v>0</v>
          </cell>
          <cell r="AW785">
            <v>0</v>
          </cell>
          <cell r="AY785">
            <v>1624460</v>
          </cell>
          <cell r="AZ785">
            <v>109.02050266769571</v>
          </cell>
          <cell r="BA785">
            <v>116240</v>
          </cell>
          <cell r="BB785">
            <v>7.8010805006543409</v>
          </cell>
          <cell r="BC785">
            <v>0</v>
          </cell>
          <cell r="BD785">
            <v>0</v>
          </cell>
          <cell r="BG785">
            <v>0</v>
          </cell>
          <cell r="BH785">
            <v>0</v>
          </cell>
          <cell r="BI785">
            <v>337330</v>
          </cell>
          <cell r="BJ785">
            <v>22.63883762289856</v>
          </cell>
          <cell r="BK785">
            <v>0</v>
          </cell>
          <cell r="BL785">
            <v>0</v>
          </cell>
          <cell r="BM785">
            <v>726280</v>
          </cell>
          <cell r="BN785">
            <v>48.741988523875037</v>
          </cell>
          <cell r="BO785">
            <v>0</v>
          </cell>
          <cell r="BP785">
            <v>0</v>
          </cell>
          <cell r="BY785">
            <v>1626</v>
          </cell>
          <cell r="CF785">
            <v>2233.4873233239837</v>
          </cell>
          <cell r="CG785">
            <v>727.32</v>
          </cell>
          <cell r="CJ785">
            <v>0</v>
          </cell>
          <cell r="CK785">
            <v>0</v>
          </cell>
          <cell r="CL785">
            <v>0</v>
          </cell>
          <cell r="CM785">
            <v>0</v>
          </cell>
          <cell r="CN785">
            <v>0</v>
          </cell>
          <cell r="CO785">
            <v>0</v>
          </cell>
          <cell r="CX785">
            <v>0</v>
          </cell>
          <cell r="CY785">
            <v>0</v>
          </cell>
          <cell r="DB785">
            <v>0</v>
          </cell>
          <cell r="DC785">
            <v>0</v>
          </cell>
          <cell r="DJ785" t="str">
            <v>НКРЕ</v>
          </cell>
          <cell r="DL785">
            <v>40526</v>
          </cell>
          <cell r="DM785">
            <v>1830</v>
          </cell>
          <cell r="DO785" t="str">
            <v>Тариф на теплову енергію</v>
          </cell>
          <cell r="DT785">
            <v>221.11</v>
          </cell>
        </row>
        <row r="786">
          <cell r="W786">
            <v>438.96</v>
          </cell>
          <cell r="AF786">
            <v>39871</v>
          </cell>
          <cell r="AG786">
            <v>933</v>
          </cell>
          <cell r="AH786">
            <v>391.93018867924519</v>
          </cell>
          <cell r="AM786">
            <v>10700</v>
          </cell>
          <cell r="AO786">
            <v>4696872</v>
          </cell>
          <cell r="AQ786">
            <v>4193653.0188679234</v>
          </cell>
          <cell r="AU786">
            <v>0</v>
          </cell>
          <cell r="AW786">
            <v>0</v>
          </cell>
          <cell r="AY786">
            <v>3247296.5660377359</v>
          </cell>
          <cell r="AZ786">
            <v>303.4856603773585</v>
          </cell>
          <cell r="BA786">
            <v>83476.15094339622</v>
          </cell>
          <cell r="BB786">
            <v>7.8015094339622637</v>
          </cell>
          <cell r="BC786">
            <v>0</v>
          </cell>
          <cell r="BD786">
            <v>0</v>
          </cell>
          <cell r="BG786">
            <v>0</v>
          </cell>
          <cell r="BH786">
            <v>0</v>
          </cell>
          <cell r="BI786">
            <v>242252.03773584907</v>
          </cell>
          <cell r="BJ786">
            <v>22.640377358490568</v>
          </cell>
          <cell r="BK786">
            <v>0</v>
          </cell>
          <cell r="BL786">
            <v>0</v>
          </cell>
          <cell r="BM786">
            <v>521562.41509433958</v>
          </cell>
          <cell r="BN786">
            <v>48.744150943396221</v>
          </cell>
          <cell r="BO786">
            <v>0</v>
          </cell>
          <cell r="BP786">
            <v>0</v>
          </cell>
          <cell r="BY786">
            <v>1626</v>
          </cell>
          <cell r="CF786">
            <v>1515.8345506069488</v>
          </cell>
          <cell r="CG786">
            <v>2142.25</v>
          </cell>
          <cell r="CJ786">
            <v>0</v>
          </cell>
          <cell r="CK786">
            <v>0</v>
          </cell>
          <cell r="CL786">
            <v>0</v>
          </cell>
          <cell r="CM786">
            <v>0</v>
          </cell>
          <cell r="CN786">
            <v>0</v>
          </cell>
          <cell r="CO786">
            <v>0</v>
          </cell>
          <cell r="CX786">
            <v>0</v>
          </cell>
          <cell r="CY786">
            <v>0</v>
          </cell>
          <cell r="DB786">
            <v>0</v>
          </cell>
          <cell r="DC786">
            <v>0</v>
          </cell>
          <cell r="DJ786" t="str">
            <v>НКРКП</v>
          </cell>
          <cell r="DL786">
            <v>40942</v>
          </cell>
          <cell r="DM786">
            <v>33</v>
          </cell>
          <cell r="DT786">
            <v>689.09</v>
          </cell>
        </row>
        <row r="787">
          <cell r="W787">
            <v>438.96</v>
          </cell>
          <cell r="AF787">
            <v>39871</v>
          </cell>
          <cell r="AG787">
            <v>933</v>
          </cell>
          <cell r="AH787">
            <v>391.9301886792453</v>
          </cell>
          <cell r="AM787">
            <v>15800</v>
          </cell>
          <cell r="AO787">
            <v>6935568</v>
          </cell>
          <cell r="AQ787">
            <v>6192496.9811320761</v>
          </cell>
          <cell r="AU787">
            <v>0</v>
          </cell>
          <cell r="AW787">
            <v>0</v>
          </cell>
          <cell r="AY787">
            <v>4795073.4339622641</v>
          </cell>
          <cell r="AZ787">
            <v>303.4856603773585</v>
          </cell>
          <cell r="BA787">
            <v>123263.84905660379</v>
          </cell>
          <cell r="BB787">
            <v>7.8015094339622655</v>
          </cell>
          <cell r="BC787">
            <v>0</v>
          </cell>
          <cell r="BD787">
            <v>0</v>
          </cell>
          <cell r="BG787">
            <v>0</v>
          </cell>
          <cell r="BH787">
            <v>0</v>
          </cell>
          <cell r="BI787">
            <v>357717.96226415096</v>
          </cell>
          <cell r="BJ787">
            <v>22.640377358490568</v>
          </cell>
          <cell r="BK787">
            <v>0</v>
          </cell>
          <cell r="BL787">
            <v>0</v>
          </cell>
          <cell r="BM787">
            <v>770157.58490566048</v>
          </cell>
          <cell r="BN787">
            <v>48.744150943396235</v>
          </cell>
          <cell r="BO787">
            <v>0</v>
          </cell>
          <cell r="BP787">
            <v>0</v>
          </cell>
          <cell r="BY787">
            <v>1626</v>
          </cell>
          <cell r="CF787">
            <v>2238.3351308027841</v>
          </cell>
          <cell r="CG787">
            <v>2142.25</v>
          </cell>
          <cell r="CJ787">
            <v>0</v>
          </cell>
          <cell r="CK787">
            <v>0</v>
          </cell>
          <cell r="CL787">
            <v>0</v>
          </cell>
          <cell r="CM787">
            <v>0</v>
          </cell>
          <cell r="CN787">
            <v>0</v>
          </cell>
          <cell r="CO787">
            <v>0</v>
          </cell>
          <cell r="CX787">
            <v>0</v>
          </cell>
          <cell r="CY787">
            <v>0</v>
          </cell>
          <cell r="DB787">
            <v>0</v>
          </cell>
          <cell r="DC787">
            <v>0</v>
          </cell>
          <cell r="DJ787" t="str">
            <v>НКРКП</v>
          </cell>
          <cell r="DL787">
            <v>40942</v>
          </cell>
          <cell r="DM787">
            <v>33</v>
          </cell>
          <cell r="DT787">
            <v>689.09</v>
          </cell>
        </row>
        <row r="788">
          <cell r="W788">
            <v>226.88</v>
          </cell>
          <cell r="AF788">
            <v>39930</v>
          </cell>
          <cell r="AG788">
            <v>997</v>
          </cell>
          <cell r="AH788">
            <v>208.15</v>
          </cell>
          <cell r="AM788">
            <v>2914.0091280326687</v>
          </cell>
          <cell r="AO788">
            <v>661130.39096805186</v>
          </cell>
          <cell r="AQ788">
            <v>606551</v>
          </cell>
          <cell r="AU788">
            <v>0</v>
          </cell>
          <cell r="AW788">
            <v>0</v>
          </cell>
          <cell r="AY788">
            <v>290782.53600000002</v>
          </cell>
          <cell r="AZ788">
            <v>99.78779174117264</v>
          </cell>
          <cell r="BA788">
            <v>0</v>
          </cell>
          <cell r="BB788">
            <v>0</v>
          </cell>
          <cell r="BC788">
            <v>0</v>
          </cell>
          <cell r="BD788">
            <v>0</v>
          </cell>
          <cell r="BG788">
            <v>0</v>
          </cell>
          <cell r="BH788">
            <v>0</v>
          </cell>
          <cell r="BI788">
            <v>71027.64</v>
          </cell>
          <cell r="BJ788">
            <v>24.374542727651921</v>
          </cell>
          <cell r="BK788">
            <v>0</v>
          </cell>
          <cell r="BL788">
            <v>0</v>
          </cell>
          <cell r="BM788">
            <v>50299.03</v>
          </cell>
          <cell r="BN788">
            <v>17.261109279351611</v>
          </cell>
          <cell r="BO788">
            <v>0</v>
          </cell>
          <cell r="BP788">
            <v>0</v>
          </cell>
          <cell r="BY788">
            <v>2293.33</v>
          </cell>
          <cell r="CF788">
            <v>399.8</v>
          </cell>
          <cell r="CG788">
            <v>727.32</v>
          </cell>
          <cell r="CJ788">
            <v>0</v>
          </cell>
          <cell r="CK788">
            <v>0</v>
          </cell>
          <cell r="CL788">
            <v>0</v>
          </cell>
          <cell r="CM788">
            <v>0</v>
          </cell>
          <cell r="CN788">
            <v>0</v>
          </cell>
          <cell r="CO788">
            <v>0</v>
          </cell>
          <cell r="CX788">
            <v>0</v>
          </cell>
          <cell r="CY788">
            <v>0</v>
          </cell>
          <cell r="DB788">
            <v>0</v>
          </cell>
          <cell r="DC788">
            <v>0</v>
          </cell>
          <cell r="DJ788" t="str">
            <v>МОС</v>
          </cell>
          <cell r="DL788">
            <v>40100</v>
          </cell>
          <cell r="DM788">
            <v>455</v>
          </cell>
          <cell r="DO788" t="str">
            <v>Тариф на послуги з теплопостачання</v>
          </cell>
          <cell r="DT788">
            <v>226.88</v>
          </cell>
        </row>
        <row r="789">
          <cell r="W789">
            <v>462.56</v>
          </cell>
          <cell r="AF789">
            <v>39930</v>
          </cell>
          <cell r="AG789">
            <v>998</v>
          </cell>
          <cell r="AH789">
            <v>402.23192105242015</v>
          </cell>
          <cell r="AM789">
            <v>255.8</v>
          </cell>
          <cell r="AO789">
            <v>118322.84800000001</v>
          </cell>
          <cell r="AQ789">
            <v>102890.92540520908</v>
          </cell>
          <cell r="AU789">
            <v>0</v>
          </cell>
          <cell r="AW789">
            <v>0</v>
          </cell>
          <cell r="AY789">
            <v>75171.753405337658</v>
          </cell>
          <cell r="AZ789">
            <v>293.86924708888841</v>
          </cell>
          <cell r="BA789">
            <v>0</v>
          </cell>
          <cell r="BB789">
            <v>0</v>
          </cell>
          <cell r="BC789">
            <v>0</v>
          </cell>
          <cell r="BD789">
            <v>0</v>
          </cell>
          <cell r="BG789">
            <v>0</v>
          </cell>
          <cell r="BH789">
            <v>0</v>
          </cell>
          <cell r="BI789">
            <v>6235.03</v>
          </cell>
          <cell r="BJ789">
            <v>24.374628616106332</v>
          </cell>
          <cell r="BK789">
            <v>0</v>
          </cell>
          <cell r="BL789">
            <v>0</v>
          </cell>
          <cell r="BM789">
            <v>4415.3999999999996</v>
          </cell>
          <cell r="BN789">
            <v>17.261141516810007</v>
          </cell>
          <cell r="BO789">
            <v>0</v>
          </cell>
          <cell r="BP789">
            <v>0</v>
          </cell>
          <cell r="BY789">
            <v>2293.33</v>
          </cell>
          <cell r="CF789">
            <v>35.090093782395918</v>
          </cell>
          <cell r="CG789">
            <v>2142.25</v>
          </cell>
          <cell r="CJ789">
            <v>0</v>
          </cell>
          <cell r="CK789">
            <v>0</v>
          </cell>
          <cell r="CL789">
            <v>0</v>
          </cell>
          <cell r="CM789">
            <v>0</v>
          </cell>
          <cell r="CN789">
            <v>0</v>
          </cell>
          <cell r="CO789">
            <v>0</v>
          </cell>
          <cell r="CX789">
            <v>0</v>
          </cell>
          <cell r="CY789">
            <v>0</v>
          </cell>
          <cell r="DB789">
            <v>0</v>
          </cell>
          <cell r="DC789">
            <v>0</v>
          </cell>
          <cell r="DJ789" t="str">
            <v>НКРКП</v>
          </cell>
          <cell r="DL789">
            <v>40942</v>
          </cell>
          <cell r="DM789">
            <v>36</v>
          </cell>
          <cell r="DT789">
            <v>701.66</v>
          </cell>
        </row>
        <row r="790">
          <cell r="W790">
            <v>603.34</v>
          </cell>
          <cell r="AF790">
            <v>39930</v>
          </cell>
          <cell r="AG790">
            <v>998</v>
          </cell>
          <cell r="AH790">
            <v>402.23192105242009</v>
          </cell>
          <cell r="AM790">
            <v>12187.9</v>
          </cell>
          <cell r="AO790">
            <v>7353447.5860000001</v>
          </cell>
          <cell r="AQ790">
            <v>4902362.4305947907</v>
          </cell>
          <cell r="AU790">
            <v>0</v>
          </cell>
          <cell r="AW790">
            <v>0</v>
          </cell>
          <cell r="AY790">
            <v>3581648.9965946623</v>
          </cell>
          <cell r="AZ790">
            <v>293.86924708888836</v>
          </cell>
          <cell r="BA790">
            <v>0</v>
          </cell>
          <cell r="BB790">
            <v>0</v>
          </cell>
          <cell r="BC790">
            <v>0</v>
          </cell>
          <cell r="BD790">
            <v>0</v>
          </cell>
          <cell r="BG790">
            <v>0</v>
          </cell>
          <cell r="BH790">
            <v>0</v>
          </cell>
          <cell r="BI790">
            <v>297075.42</v>
          </cell>
          <cell r="BJ790">
            <v>24.374619089424758</v>
          </cell>
          <cell r="BK790">
            <v>0</v>
          </cell>
          <cell r="BL790">
            <v>0</v>
          </cell>
          <cell r="BM790">
            <v>210377.4</v>
          </cell>
          <cell r="BN790">
            <v>17.26116886420138</v>
          </cell>
          <cell r="BO790">
            <v>0</v>
          </cell>
          <cell r="BP790">
            <v>0</v>
          </cell>
          <cell r="BY790">
            <v>2293.33</v>
          </cell>
          <cell r="CF790">
            <v>1671.909906217604</v>
          </cell>
          <cell r="CG790">
            <v>2142.25</v>
          </cell>
          <cell r="CJ790">
            <v>0</v>
          </cell>
          <cell r="CK790">
            <v>0</v>
          </cell>
          <cell r="CL790">
            <v>0</v>
          </cell>
          <cell r="CM790">
            <v>0</v>
          </cell>
          <cell r="CN790">
            <v>0</v>
          </cell>
          <cell r="CO790">
            <v>0</v>
          </cell>
          <cell r="CX790">
            <v>0</v>
          </cell>
          <cell r="CY790">
            <v>0</v>
          </cell>
          <cell r="DB790">
            <v>0</v>
          </cell>
          <cell r="DC790">
            <v>0</v>
          </cell>
          <cell r="DJ790" t="str">
            <v>НКРКП</v>
          </cell>
          <cell r="DL790">
            <v>40942</v>
          </cell>
          <cell r="DM790">
            <v>36</v>
          </cell>
          <cell r="DT790">
            <v>737.46</v>
          </cell>
        </row>
        <row r="791">
          <cell r="W791">
            <v>201.38</v>
          </cell>
          <cell r="AF791">
            <v>40079</v>
          </cell>
          <cell r="AG791" t="str">
            <v>калькуляція</v>
          </cell>
          <cell r="AH791">
            <v>201.37621281323291</v>
          </cell>
          <cell r="AM791">
            <v>810.1</v>
          </cell>
          <cell r="AO791">
            <v>163137.93799999999</v>
          </cell>
          <cell r="AQ791">
            <v>163134.87</v>
          </cell>
          <cell r="AU791">
            <v>0</v>
          </cell>
          <cell r="AW791">
            <v>0</v>
          </cell>
          <cell r="AY791">
            <v>85224.76</v>
          </cell>
          <cell r="AZ791">
            <v>105.20276509072953</v>
          </cell>
          <cell r="BA791">
            <v>0</v>
          </cell>
          <cell r="BB791">
            <v>0</v>
          </cell>
          <cell r="BC791">
            <v>0</v>
          </cell>
          <cell r="BD791">
            <v>0</v>
          </cell>
          <cell r="BG791">
            <v>0</v>
          </cell>
          <cell r="BH791">
            <v>0</v>
          </cell>
          <cell r="BI791">
            <v>8552.7199999999993</v>
          </cell>
          <cell r="BJ791">
            <v>10.557610171583754</v>
          </cell>
          <cell r="BK791">
            <v>0</v>
          </cell>
          <cell r="BL791">
            <v>0</v>
          </cell>
          <cell r="BM791">
            <v>38463.79</v>
          </cell>
          <cell r="BN791">
            <v>47.480298728552029</v>
          </cell>
          <cell r="BO791">
            <v>0</v>
          </cell>
          <cell r="BP791">
            <v>0</v>
          </cell>
          <cell r="BY791">
            <v>3268.5</v>
          </cell>
          <cell r="CF791">
            <v>117.17642853214539</v>
          </cell>
          <cell r="CG791">
            <v>727.32</v>
          </cell>
          <cell r="CJ791">
            <v>0</v>
          </cell>
          <cell r="CK791">
            <v>0</v>
          </cell>
          <cell r="CL791">
            <v>0</v>
          </cell>
          <cell r="CM791">
            <v>0</v>
          </cell>
          <cell r="CN791">
            <v>0</v>
          </cell>
          <cell r="CO791">
            <v>0</v>
          </cell>
          <cell r="CX791">
            <v>0</v>
          </cell>
          <cell r="CY791">
            <v>0</v>
          </cell>
          <cell r="DB791">
            <v>0</v>
          </cell>
          <cell r="DC791">
            <v>0</v>
          </cell>
          <cell r="DJ791" t="str">
            <v>НКРЕ</v>
          </cell>
          <cell r="DL791">
            <v>40526</v>
          </cell>
          <cell r="DM791">
            <v>1828</v>
          </cell>
          <cell r="DO791" t="str">
            <v>Тариф на теплову енергію</v>
          </cell>
          <cell r="DT791">
            <v>221.51</v>
          </cell>
        </row>
        <row r="792">
          <cell r="W792">
            <v>450.2</v>
          </cell>
          <cell r="AF792">
            <v>40079</v>
          </cell>
          <cell r="AG792" t="str">
            <v>калькуляція</v>
          </cell>
          <cell r="AH792">
            <v>409.26979116670924</v>
          </cell>
          <cell r="AM792">
            <v>9792.5</v>
          </cell>
          <cell r="AO792">
            <v>4408583.5</v>
          </cell>
          <cell r="AQ792">
            <v>4007774.43</v>
          </cell>
          <cell r="AU792">
            <v>0</v>
          </cell>
          <cell r="AW792">
            <v>0</v>
          </cell>
          <cell r="AY792">
            <v>3065947.58</v>
          </cell>
          <cell r="AZ792">
            <v>313.09140464641308</v>
          </cell>
          <cell r="BA792">
            <v>0</v>
          </cell>
          <cell r="BB792">
            <v>0</v>
          </cell>
          <cell r="BC792">
            <v>0</v>
          </cell>
          <cell r="BD792">
            <v>0</v>
          </cell>
          <cell r="BG792">
            <v>0</v>
          </cell>
          <cell r="BH792">
            <v>0</v>
          </cell>
          <cell r="BI792">
            <v>103385.38</v>
          </cell>
          <cell r="BJ792">
            <v>10.557608373755425</v>
          </cell>
          <cell r="BK792">
            <v>0</v>
          </cell>
          <cell r="BL792">
            <v>0</v>
          </cell>
          <cell r="BM792">
            <v>464950.89</v>
          </cell>
          <cell r="BN792">
            <v>47.48030533571611</v>
          </cell>
          <cell r="BO792">
            <v>0</v>
          </cell>
          <cell r="BP792">
            <v>0</v>
          </cell>
          <cell r="BY792">
            <v>3268.5</v>
          </cell>
          <cell r="CF792">
            <v>1404.6840002565677</v>
          </cell>
          <cell r="CG792">
            <v>2182.66</v>
          </cell>
          <cell r="CJ792">
            <v>0</v>
          </cell>
          <cell r="CK792">
            <v>0</v>
          </cell>
          <cell r="CL792">
            <v>0</v>
          </cell>
          <cell r="CM792">
            <v>0</v>
          </cell>
          <cell r="CN792">
            <v>0</v>
          </cell>
          <cell r="CO792">
            <v>0</v>
          </cell>
          <cell r="CX792">
            <v>0</v>
          </cell>
          <cell r="CY792">
            <v>0</v>
          </cell>
          <cell r="DB792">
            <v>0</v>
          </cell>
          <cell r="DC792">
            <v>0</v>
          </cell>
          <cell r="DJ792" t="str">
            <v>НКРКП</v>
          </cell>
          <cell r="DL792">
            <v>40816</v>
          </cell>
          <cell r="DM792">
            <v>26</v>
          </cell>
          <cell r="DT792">
            <v>675.3</v>
          </cell>
        </row>
        <row r="793">
          <cell r="W793">
            <v>240.05</v>
          </cell>
          <cell r="AF793">
            <v>39862</v>
          </cell>
          <cell r="AG793">
            <v>915</v>
          </cell>
          <cell r="AH793">
            <v>240.0503488455729</v>
          </cell>
          <cell r="AM793">
            <v>1390.3</v>
          </cell>
          <cell r="AO793">
            <v>333741.51500000001</v>
          </cell>
          <cell r="AQ793">
            <v>333742</v>
          </cell>
          <cell r="AU793">
            <v>0</v>
          </cell>
          <cell r="AW793">
            <v>0</v>
          </cell>
          <cell r="AY793">
            <v>158338</v>
          </cell>
          <cell r="AZ793">
            <v>113.88765014745019</v>
          </cell>
          <cell r="BA793">
            <v>0</v>
          </cell>
          <cell r="BB793">
            <v>0</v>
          </cell>
          <cell r="BC793">
            <v>0</v>
          </cell>
          <cell r="BD793">
            <v>0</v>
          </cell>
          <cell r="BG793">
            <v>0</v>
          </cell>
          <cell r="BH793">
            <v>0</v>
          </cell>
          <cell r="BI793">
            <v>49793</v>
          </cell>
          <cell r="BJ793">
            <v>35.814572394447239</v>
          </cell>
          <cell r="BK793">
            <v>0</v>
          </cell>
          <cell r="BL793">
            <v>0</v>
          </cell>
          <cell r="BM793">
            <v>111100</v>
          </cell>
          <cell r="BN793">
            <v>79.910810616413727</v>
          </cell>
          <cell r="BO793">
            <v>0</v>
          </cell>
          <cell r="BP793">
            <v>0</v>
          </cell>
          <cell r="BY793">
            <v>1744</v>
          </cell>
          <cell r="CF793">
            <v>217.70149742134447</v>
          </cell>
          <cell r="CG793">
            <v>727.31700000000001</v>
          </cell>
          <cell r="CJ793">
            <v>0</v>
          </cell>
          <cell r="CK793">
            <v>0</v>
          </cell>
          <cell r="CL793">
            <v>0</v>
          </cell>
          <cell r="CM793">
            <v>0</v>
          </cell>
          <cell r="CN793">
            <v>0</v>
          </cell>
          <cell r="CO793">
            <v>0</v>
          </cell>
          <cell r="CX793">
            <v>0</v>
          </cell>
          <cell r="CY793">
            <v>0</v>
          </cell>
          <cell r="DB793">
            <v>0</v>
          </cell>
          <cell r="DC793">
            <v>0</v>
          </cell>
          <cell r="DJ793" t="str">
            <v>НКРЕ</v>
          </cell>
          <cell r="DL793">
            <v>40526</v>
          </cell>
          <cell r="DM793">
            <v>1829</v>
          </cell>
          <cell r="DO793" t="str">
            <v>тариф на теплову енергію</v>
          </cell>
          <cell r="DT793">
            <v>264.06</v>
          </cell>
        </row>
        <row r="794">
          <cell r="W794">
            <v>461.69</v>
          </cell>
          <cell r="AF794">
            <v>39862</v>
          </cell>
          <cell r="AG794">
            <v>916</v>
          </cell>
          <cell r="AH794">
            <v>461.69</v>
          </cell>
          <cell r="AM794">
            <v>2971.4</v>
          </cell>
          <cell r="AO794">
            <v>1371865.666</v>
          </cell>
          <cell r="AQ794">
            <v>1371865.666</v>
          </cell>
          <cell r="AU794">
            <v>0</v>
          </cell>
          <cell r="AW794">
            <v>0</v>
          </cell>
          <cell r="AY794">
            <v>997000</v>
          </cell>
          <cell r="AZ794">
            <v>335.53207242377329</v>
          </cell>
          <cell r="BA794">
            <v>0</v>
          </cell>
          <cell r="BB794">
            <v>0</v>
          </cell>
          <cell r="BC794">
            <v>0</v>
          </cell>
          <cell r="BD794">
            <v>0</v>
          </cell>
          <cell r="BG794">
            <v>0</v>
          </cell>
          <cell r="BH794">
            <v>0</v>
          </cell>
          <cell r="BI794">
            <v>106400</v>
          </cell>
          <cell r="BJ794">
            <v>35.80803661573669</v>
          </cell>
          <cell r="BK794">
            <v>0</v>
          </cell>
          <cell r="BL794">
            <v>0</v>
          </cell>
          <cell r="BM794">
            <v>237650</v>
          </cell>
          <cell r="BN794">
            <v>79.979134414753986</v>
          </cell>
          <cell r="BO794">
            <v>0</v>
          </cell>
          <cell r="BP794">
            <v>0</v>
          </cell>
          <cell r="BY794">
            <v>1744</v>
          </cell>
          <cell r="CF794">
            <v>465.39852958338196</v>
          </cell>
          <cell r="CG794">
            <v>2142.25</v>
          </cell>
          <cell r="CJ794">
            <v>0</v>
          </cell>
          <cell r="CK794">
            <v>0</v>
          </cell>
          <cell r="CL794">
            <v>0</v>
          </cell>
          <cell r="CM794">
            <v>0</v>
          </cell>
          <cell r="CN794">
            <v>0</v>
          </cell>
          <cell r="CO794">
            <v>0</v>
          </cell>
          <cell r="CX794">
            <v>0</v>
          </cell>
          <cell r="CY794">
            <v>0</v>
          </cell>
          <cell r="DB794">
            <v>0</v>
          </cell>
          <cell r="DC794">
            <v>0</v>
          </cell>
          <cell r="DJ794" t="str">
            <v>НКРКП</v>
          </cell>
          <cell r="DL794">
            <v>40816</v>
          </cell>
          <cell r="DM794">
            <v>28</v>
          </cell>
          <cell r="DT794">
            <v>713.81</v>
          </cell>
        </row>
        <row r="795">
          <cell r="W795">
            <v>181.07</v>
          </cell>
          <cell r="AF795">
            <v>39895</v>
          </cell>
          <cell r="AG795">
            <v>961</v>
          </cell>
          <cell r="AH795">
            <v>172.45</v>
          </cell>
          <cell r="AM795">
            <v>2267.9899999999998</v>
          </cell>
          <cell r="AO795">
            <v>410664.94929999992</v>
          </cell>
          <cell r="AQ795">
            <v>391114.87549999997</v>
          </cell>
          <cell r="AU795">
            <v>0</v>
          </cell>
          <cell r="AW795">
            <v>0</v>
          </cell>
          <cell r="AY795">
            <v>263400</v>
          </cell>
          <cell r="AZ795">
            <v>116.13807821022139</v>
          </cell>
          <cell r="BA795">
            <v>0</v>
          </cell>
          <cell r="BB795">
            <v>0</v>
          </cell>
          <cell r="BC795">
            <v>0</v>
          </cell>
          <cell r="BD795">
            <v>0</v>
          </cell>
          <cell r="BG795">
            <v>0</v>
          </cell>
          <cell r="BH795">
            <v>0</v>
          </cell>
          <cell r="BI795">
            <v>25380</v>
          </cell>
          <cell r="BJ795">
            <v>11.190525531417688</v>
          </cell>
          <cell r="BK795">
            <v>0</v>
          </cell>
          <cell r="BL795">
            <v>0</v>
          </cell>
          <cell r="BM795">
            <v>35600</v>
          </cell>
          <cell r="BN795">
            <v>15.696718239498413</v>
          </cell>
          <cell r="BO795">
            <v>0</v>
          </cell>
          <cell r="BP795">
            <v>0</v>
          </cell>
          <cell r="BY795">
            <v>1493</v>
          </cell>
          <cell r="CF795">
            <v>362.15146015508992</v>
          </cell>
          <cell r="CG795">
            <v>727.32</v>
          </cell>
          <cell r="CJ795">
            <v>0</v>
          </cell>
          <cell r="CK795">
            <v>0</v>
          </cell>
          <cell r="CL795">
            <v>0</v>
          </cell>
          <cell r="CM795">
            <v>0</v>
          </cell>
          <cell r="CN795">
            <v>0</v>
          </cell>
          <cell r="CO795">
            <v>0</v>
          </cell>
          <cell r="CX795">
            <v>0</v>
          </cell>
          <cell r="CY795">
            <v>0</v>
          </cell>
          <cell r="DB795">
            <v>0</v>
          </cell>
          <cell r="DC795">
            <v>0</v>
          </cell>
          <cell r="DJ795" t="str">
            <v>МОС</v>
          </cell>
          <cell r="DL795">
            <v>39904</v>
          </cell>
          <cell r="DM795">
            <v>58</v>
          </cell>
          <cell r="DO795" t="str">
            <v>Тариф на послуги з теплопостачання</v>
          </cell>
          <cell r="DT795">
            <v>181.07</v>
          </cell>
        </row>
        <row r="796">
          <cell r="W796">
            <v>518.08000000000004</v>
          </cell>
          <cell r="AF796">
            <v>39895</v>
          </cell>
          <cell r="AG796">
            <v>962</v>
          </cell>
          <cell r="AH796">
            <v>398.53</v>
          </cell>
          <cell r="AM796">
            <v>499.58597847088055</v>
          </cell>
          <cell r="AO796">
            <v>258825.50372619383</v>
          </cell>
          <cell r="AQ796">
            <v>199100</v>
          </cell>
          <cell r="AU796">
            <v>0</v>
          </cell>
          <cell r="AW796">
            <v>0</v>
          </cell>
          <cell r="AY796">
            <v>170970</v>
          </cell>
          <cell r="AZ796">
            <v>342.22337569060767</v>
          </cell>
          <cell r="BA796">
            <v>0</v>
          </cell>
          <cell r="BB796">
            <v>0</v>
          </cell>
          <cell r="BC796">
            <v>0</v>
          </cell>
          <cell r="BD796">
            <v>0</v>
          </cell>
          <cell r="BG796">
            <v>0</v>
          </cell>
          <cell r="BH796">
            <v>0</v>
          </cell>
          <cell r="BI796">
            <v>5590</v>
          </cell>
          <cell r="BJ796">
            <v>11.189265193370165</v>
          </cell>
          <cell r="BK796">
            <v>0</v>
          </cell>
          <cell r="BL796">
            <v>0</v>
          </cell>
          <cell r="BM796">
            <v>7840</v>
          </cell>
          <cell r="BN796">
            <v>15.69299447513812</v>
          </cell>
          <cell r="BO796">
            <v>0</v>
          </cell>
          <cell r="BP796">
            <v>0</v>
          </cell>
          <cell r="BY796">
            <v>1493</v>
          </cell>
          <cell r="CF796">
            <v>79.808612440191382</v>
          </cell>
          <cell r="CG796">
            <v>2142.25</v>
          </cell>
          <cell r="CJ796">
            <v>0</v>
          </cell>
          <cell r="CK796">
            <v>0</v>
          </cell>
          <cell r="CL796">
            <v>0</v>
          </cell>
          <cell r="CM796">
            <v>0</v>
          </cell>
          <cell r="CN796">
            <v>0</v>
          </cell>
          <cell r="CO796">
            <v>0</v>
          </cell>
          <cell r="CX796">
            <v>0</v>
          </cell>
          <cell r="CY796">
            <v>0</v>
          </cell>
          <cell r="DB796">
            <v>0</v>
          </cell>
          <cell r="DC796">
            <v>0</v>
          </cell>
          <cell r="DJ796" t="str">
            <v>НКРКП</v>
          </cell>
          <cell r="DL796">
            <v>40942</v>
          </cell>
          <cell r="DM796">
            <v>35</v>
          </cell>
          <cell r="DT796">
            <v>778.44</v>
          </cell>
        </row>
        <row r="797">
          <cell r="W797">
            <v>677.5</v>
          </cell>
          <cell r="AF797">
            <v>39895</v>
          </cell>
          <cell r="AG797">
            <v>962</v>
          </cell>
          <cell r="AH797">
            <v>398.53</v>
          </cell>
          <cell r="AM797">
            <v>1539.1563997691517</v>
          </cell>
          <cell r="AO797">
            <v>1042778.4608436002</v>
          </cell>
          <cell r="AQ797">
            <v>613400</v>
          </cell>
          <cell r="AU797">
            <v>0</v>
          </cell>
          <cell r="AW797">
            <v>0</v>
          </cell>
          <cell r="AY797">
            <v>526730</v>
          </cell>
          <cell r="AZ797">
            <v>342.21993299641343</v>
          </cell>
          <cell r="BA797">
            <v>0</v>
          </cell>
          <cell r="BB797">
            <v>0</v>
          </cell>
          <cell r="BC797">
            <v>0</v>
          </cell>
          <cell r="BD797">
            <v>0</v>
          </cell>
          <cell r="BG797">
            <v>0</v>
          </cell>
          <cell r="BH797">
            <v>0</v>
          </cell>
          <cell r="BI797">
            <v>17230</v>
          </cell>
          <cell r="BJ797">
            <v>11.194443919139223</v>
          </cell>
          <cell r="BK797">
            <v>0</v>
          </cell>
          <cell r="BL797">
            <v>0</v>
          </cell>
          <cell r="BM797">
            <v>24160</v>
          </cell>
          <cell r="BN797">
            <v>15.696910335833062</v>
          </cell>
          <cell r="BO797">
            <v>0</v>
          </cell>
          <cell r="BP797">
            <v>0</v>
          </cell>
          <cell r="BY797">
            <v>1493</v>
          </cell>
          <cell r="CF797">
            <v>245.8769984829035</v>
          </cell>
          <cell r="CG797">
            <v>2142.25</v>
          </cell>
          <cell r="CJ797">
            <v>0</v>
          </cell>
          <cell r="CK797">
            <v>0</v>
          </cell>
          <cell r="CL797">
            <v>0</v>
          </cell>
          <cell r="CM797">
            <v>0</v>
          </cell>
          <cell r="CN797">
            <v>0</v>
          </cell>
          <cell r="CO797">
            <v>0</v>
          </cell>
          <cell r="CX797">
            <v>0</v>
          </cell>
          <cell r="CY797">
            <v>0</v>
          </cell>
          <cell r="DB797">
            <v>0</v>
          </cell>
          <cell r="DC797">
            <v>0</v>
          </cell>
          <cell r="DJ797" t="str">
            <v>НКРКП</v>
          </cell>
          <cell r="DL797">
            <v>40942</v>
          </cell>
          <cell r="DM797">
            <v>35</v>
          </cell>
          <cell r="DT797">
            <v>778.44</v>
          </cell>
        </row>
        <row r="798">
          <cell r="W798">
            <v>443.86</v>
          </cell>
          <cell r="AF798">
            <v>40091</v>
          </cell>
          <cell r="AG798">
            <v>104</v>
          </cell>
          <cell r="AH798">
            <v>443.86209003870442</v>
          </cell>
          <cell r="AM798">
            <v>4909</v>
          </cell>
          <cell r="AO798">
            <v>2178908.7400000002</v>
          </cell>
          <cell r="AQ798">
            <v>2178919</v>
          </cell>
          <cell r="AU798">
            <v>0</v>
          </cell>
          <cell r="AW798">
            <v>0</v>
          </cell>
          <cell r="AY798">
            <v>575819.24400000006</v>
          </cell>
          <cell r="AZ798">
            <v>117.29868486453454</v>
          </cell>
          <cell r="BA798">
            <v>0</v>
          </cell>
          <cell r="BB798">
            <v>0</v>
          </cell>
          <cell r="BC798">
            <v>0</v>
          </cell>
          <cell r="BD798">
            <v>0</v>
          </cell>
          <cell r="BG798">
            <v>0</v>
          </cell>
          <cell r="BH798">
            <v>0</v>
          </cell>
          <cell r="BI798">
            <v>163519</v>
          </cell>
          <cell r="BJ798">
            <v>33.310042778569972</v>
          </cell>
          <cell r="BK798">
            <v>0</v>
          </cell>
          <cell r="BL798">
            <v>0</v>
          </cell>
          <cell r="BM798">
            <v>929615</v>
          </cell>
          <cell r="BN798">
            <v>189.36952536158077</v>
          </cell>
          <cell r="BO798">
            <v>0</v>
          </cell>
          <cell r="BP798">
            <v>0</v>
          </cell>
          <cell r="BY798">
            <v>1855.73</v>
          </cell>
          <cell r="CF798">
            <v>791.7</v>
          </cell>
          <cell r="CG798">
            <v>727.32</v>
          </cell>
          <cell r="CJ798">
            <v>0</v>
          </cell>
          <cell r="CK798">
            <v>0</v>
          </cell>
          <cell r="CL798">
            <v>0</v>
          </cell>
          <cell r="CM798">
            <v>0</v>
          </cell>
          <cell r="CN798">
            <v>0</v>
          </cell>
          <cell r="CO798">
            <v>0</v>
          </cell>
          <cell r="CX798">
            <v>0</v>
          </cell>
          <cell r="CY798">
            <v>0</v>
          </cell>
          <cell r="DB798">
            <v>0</v>
          </cell>
          <cell r="DC798">
            <v>0</v>
          </cell>
          <cell r="DJ798" t="str">
            <v>НКРЕ</v>
          </cell>
          <cell r="DL798">
            <v>40526</v>
          </cell>
          <cell r="DM798" t="str">
            <v>№1802</v>
          </cell>
          <cell r="DO798" t="str">
            <v>на теплову енергію від основної котельні</v>
          </cell>
          <cell r="DT798">
            <v>488.25</v>
          </cell>
        </row>
        <row r="799">
          <cell r="W799">
            <v>772.86</v>
          </cell>
          <cell r="AF799">
            <v>40091</v>
          </cell>
          <cell r="AG799">
            <v>105</v>
          </cell>
          <cell r="AH799">
            <v>672.05120852109792</v>
          </cell>
          <cell r="AM799">
            <v>2441</v>
          </cell>
          <cell r="AO799">
            <v>1886551.26</v>
          </cell>
          <cell r="AQ799">
            <v>1640477</v>
          </cell>
          <cell r="AU799">
            <v>0</v>
          </cell>
          <cell r="AW799">
            <v>0</v>
          </cell>
          <cell r="AY799">
            <v>843317</v>
          </cell>
          <cell r="AZ799">
            <v>345.48013109381401</v>
          </cell>
          <cell r="BA799">
            <v>0</v>
          </cell>
          <cell r="BB799">
            <v>0</v>
          </cell>
          <cell r="BC799">
            <v>0</v>
          </cell>
          <cell r="BD799">
            <v>0</v>
          </cell>
          <cell r="BG799">
            <v>0</v>
          </cell>
          <cell r="BH799">
            <v>0</v>
          </cell>
          <cell r="BI799">
            <v>81310</v>
          </cell>
          <cell r="BJ799">
            <v>33.310118803768944</v>
          </cell>
          <cell r="BK799">
            <v>0</v>
          </cell>
          <cell r="BL799">
            <v>0</v>
          </cell>
          <cell r="BM799">
            <v>462251</v>
          </cell>
          <cell r="BN799">
            <v>189.36952068824252</v>
          </cell>
          <cell r="BO799">
            <v>0</v>
          </cell>
          <cell r="BP799">
            <v>0</v>
          </cell>
          <cell r="BY799">
            <v>1855.73</v>
          </cell>
          <cell r="CF799">
            <v>393.65947018321856</v>
          </cell>
          <cell r="CG799">
            <v>2142.25</v>
          </cell>
          <cell r="CJ799">
            <v>0</v>
          </cell>
          <cell r="CK799">
            <v>0</v>
          </cell>
          <cell r="CL799">
            <v>0</v>
          </cell>
          <cell r="CM799">
            <v>0</v>
          </cell>
          <cell r="CN799">
            <v>0</v>
          </cell>
          <cell r="CO799">
            <v>0</v>
          </cell>
          <cell r="CX799">
            <v>0</v>
          </cell>
          <cell r="CY799">
            <v>0</v>
          </cell>
          <cell r="DB799">
            <v>0</v>
          </cell>
          <cell r="DC799">
            <v>0</v>
          </cell>
          <cell r="DJ799" t="str">
            <v>НКРКП</v>
          </cell>
          <cell r="DL799">
            <v>40816</v>
          </cell>
          <cell r="DM799" t="str">
            <v>№129</v>
          </cell>
          <cell r="DO799" t="str">
            <v>на теплову енергію від основної котельні</v>
          </cell>
          <cell r="DT799">
            <v>999.9</v>
          </cell>
        </row>
        <row r="800">
          <cell r="W800">
            <v>772.86</v>
          </cell>
          <cell r="AF800">
            <v>40091</v>
          </cell>
          <cell r="AG800">
            <v>105</v>
          </cell>
          <cell r="AH800">
            <v>672.05000180901277</v>
          </cell>
          <cell r="AM800">
            <v>72.000595000000004</v>
          </cell>
          <cell r="AO800">
            <v>55646.379851700003</v>
          </cell>
          <cell r="AQ800">
            <v>48388</v>
          </cell>
          <cell r="AU800">
            <v>0</v>
          </cell>
          <cell r="AW800">
            <v>0</v>
          </cell>
          <cell r="AY800">
            <v>24875</v>
          </cell>
          <cell r="AZ800">
            <v>345.48325607586992</v>
          </cell>
          <cell r="BA800">
            <v>0</v>
          </cell>
          <cell r="BB800">
            <v>0</v>
          </cell>
          <cell r="BC800">
            <v>0</v>
          </cell>
          <cell r="BD800">
            <v>0</v>
          </cell>
          <cell r="BG800">
            <v>0</v>
          </cell>
          <cell r="BH800">
            <v>0</v>
          </cell>
          <cell r="BI800">
            <v>2398</v>
          </cell>
          <cell r="BJ800">
            <v>33.305280324419542</v>
          </cell>
          <cell r="BK800">
            <v>0</v>
          </cell>
          <cell r="BL800">
            <v>0</v>
          </cell>
          <cell r="BM800">
            <v>13635</v>
          </cell>
          <cell r="BN800">
            <v>189.37343503897432</v>
          </cell>
          <cell r="BO800">
            <v>0</v>
          </cell>
          <cell r="BP800">
            <v>0</v>
          </cell>
          <cell r="BY800">
            <v>1855.73</v>
          </cell>
          <cell r="CF800">
            <v>11.611623293266426</v>
          </cell>
          <cell r="CG800">
            <v>2142.25</v>
          </cell>
          <cell r="CJ800">
            <v>0</v>
          </cell>
          <cell r="CK800">
            <v>0</v>
          </cell>
          <cell r="CL800">
            <v>0</v>
          </cell>
          <cell r="CM800">
            <v>0</v>
          </cell>
          <cell r="CN800">
            <v>0</v>
          </cell>
          <cell r="CO800">
            <v>0</v>
          </cell>
          <cell r="CX800">
            <v>0</v>
          </cell>
          <cell r="CY800">
            <v>0</v>
          </cell>
          <cell r="DB800">
            <v>0</v>
          </cell>
          <cell r="DC800">
            <v>0</v>
          </cell>
          <cell r="DJ800" t="str">
            <v>НКРКП</v>
          </cell>
          <cell r="DL800">
            <v>40816</v>
          </cell>
          <cell r="DM800" t="str">
            <v>№129</v>
          </cell>
          <cell r="DO800" t="str">
            <v>на теплову енергію від основної котельні</v>
          </cell>
          <cell r="DT800">
            <v>999.9</v>
          </cell>
        </row>
        <row r="801">
          <cell r="W801">
            <v>119.45</v>
          </cell>
          <cell r="AF801">
            <v>39063</v>
          </cell>
          <cell r="AG801" t="str">
            <v>КАЛЬКУЛЯЦІЯ</v>
          </cell>
          <cell r="AH801">
            <v>119.44688259924889</v>
          </cell>
          <cell r="AM801">
            <v>69497</v>
          </cell>
          <cell r="AO801">
            <v>8301416.6500000004</v>
          </cell>
          <cell r="AQ801">
            <v>8301200</v>
          </cell>
          <cell r="AU801">
            <v>0</v>
          </cell>
          <cell r="AW801">
            <v>0</v>
          </cell>
          <cell r="AY801">
            <v>0</v>
          </cell>
          <cell r="AZ801">
            <v>0</v>
          </cell>
          <cell r="BA801">
            <v>5790838</v>
          </cell>
          <cell r="BB801">
            <v>83.325006834827406</v>
          </cell>
          <cell r="BC801">
            <v>0</v>
          </cell>
          <cell r="BD801">
            <v>0</v>
          </cell>
          <cell r="BG801">
            <v>0</v>
          </cell>
          <cell r="BH801">
            <v>0</v>
          </cell>
          <cell r="BI801">
            <v>777200</v>
          </cell>
          <cell r="BJ801">
            <v>11.183216541721226</v>
          </cell>
          <cell r="BK801">
            <v>0</v>
          </cell>
          <cell r="BL801">
            <v>0</v>
          </cell>
          <cell r="BM801">
            <v>986400</v>
          </cell>
          <cell r="BN801">
            <v>14.193418420939034</v>
          </cell>
          <cell r="BO801">
            <v>0</v>
          </cell>
          <cell r="BP801">
            <v>0</v>
          </cell>
          <cell r="BY801">
            <v>1089.5999999999999</v>
          </cell>
          <cell r="CF801">
            <v>0</v>
          </cell>
          <cell r="CG801">
            <v>0</v>
          </cell>
          <cell r="CJ801">
            <v>0</v>
          </cell>
          <cell r="CK801">
            <v>0</v>
          </cell>
          <cell r="CL801">
            <v>0</v>
          </cell>
          <cell r="CM801">
            <v>0</v>
          </cell>
          <cell r="CN801">
            <v>0</v>
          </cell>
          <cell r="CO801">
            <v>0</v>
          </cell>
          <cell r="CX801">
            <v>0</v>
          </cell>
          <cell r="CY801">
            <v>0</v>
          </cell>
          <cell r="DB801">
            <v>0</v>
          </cell>
          <cell r="DC801">
            <v>0</v>
          </cell>
          <cell r="DJ801" t="str">
            <v>МОС</v>
          </cell>
          <cell r="DL801">
            <v>39063</v>
          </cell>
          <cell r="DM801">
            <v>545</v>
          </cell>
          <cell r="DO801" t="str">
            <v>Тариф на послуги з теплопостачання</v>
          </cell>
          <cell r="DT801">
            <v>119.45</v>
          </cell>
        </row>
        <row r="802">
          <cell r="W802">
            <v>222.2</v>
          </cell>
          <cell r="AF802">
            <v>38266</v>
          </cell>
          <cell r="AG802" t="str">
            <v>КАЛЬКУЛЯЦІЯ</v>
          </cell>
          <cell r="AH802">
            <v>222.20260347129505</v>
          </cell>
          <cell r="AM802">
            <v>2996</v>
          </cell>
          <cell r="AO802">
            <v>665711.19999999995</v>
          </cell>
          <cell r="AQ802">
            <v>665719</v>
          </cell>
          <cell r="AU802">
            <v>0</v>
          </cell>
          <cell r="AW802">
            <v>0</v>
          </cell>
          <cell r="AY802">
            <v>0</v>
          </cell>
          <cell r="AZ802">
            <v>0</v>
          </cell>
          <cell r="BA802">
            <v>293633.016</v>
          </cell>
          <cell r="BB802">
            <v>98.008349799732983</v>
          </cell>
          <cell r="BC802">
            <v>0</v>
          </cell>
          <cell r="BD802">
            <v>0</v>
          </cell>
          <cell r="BG802">
            <v>0</v>
          </cell>
          <cell r="BH802">
            <v>0</v>
          </cell>
          <cell r="BI802">
            <v>27671.631000000001</v>
          </cell>
          <cell r="BJ802">
            <v>9.2361919225634175</v>
          </cell>
          <cell r="BK802">
            <v>0</v>
          </cell>
          <cell r="BL802">
            <v>0</v>
          </cell>
          <cell r="BM802">
            <v>237800</v>
          </cell>
          <cell r="BN802">
            <v>79.372496662216292</v>
          </cell>
          <cell r="BO802">
            <v>0</v>
          </cell>
          <cell r="BP802">
            <v>0</v>
          </cell>
          <cell r="BY802">
            <v>943</v>
          </cell>
          <cell r="CF802">
            <v>0</v>
          </cell>
          <cell r="CG802">
            <v>0</v>
          </cell>
          <cell r="CJ802">
            <v>0</v>
          </cell>
          <cell r="CK802">
            <v>0</v>
          </cell>
          <cell r="CL802">
            <v>0</v>
          </cell>
          <cell r="CM802">
            <v>0</v>
          </cell>
          <cell r="CN802">
            <v>0</v>
          </cell>
          <cell r="CO802">
            <v>0</v>
          </cell>
          <cell r="CX802">
            <v>0</v>
          </cell>
          <cell r="CY802">
            <v>0</v>
          </cell>
          <cell r="DB802">
            <v>0</v>
          </cell>
          <cell r="DC802">
            <v>0</v>
          </cell>
          <cell r="DJ802" t="str">
            <v>НКРКП</v>
          </cell>
          <cell r="DL802">
            <v>40984</v>
          </cell>
          <cell r="DM802">
            <v>130</v>
          </cell>
          <cell r="DT802">
            <v>421.2</v>
          </cell>
        </row>
        <row r="803">
          <cell r="W803">
            <v>222.2</v>
          </cell>
          <cell r="AF803">
            <v>38266</v>
          </cell>
          <cell r="AG803" t="str">
            <v>КАЛЬКУЛЯЦІЯ</v>
          </cell>
          <cell r="AH803">
            <v>222.20243270037366</v>
          </cell>
          <cell r="AM803">
            <v>26226</v>
          </cell>
          <cell r="AO803">
            <v>5827417.1999999993</v>
          </cell>
          <cell r="AQ803">
            <v>5827481</v>
          </cell>
          <cell r="AU803">
            <v>0</v>
          </cell>
          <cell r="AW803">
            <v>0</v>
          </cell>
          <cell r="AY803">
            <v>0</v>
          </cell>
          <cell r="AZ803">
            <v>0</v>
          </cell>
          <cell r="BA803">
            <v>2570366.9840000002</v>
          </cell>
          <cell r="BB803">
            <v>98.00834988179669</v>
          </cell>
          <cell r="BC803">
            <v>0</v>
          </cell>
          <cell r="BD803">
            <v>0</v>
          </cell>
          <cell r="BG803">
            <v>0</v>
          </cell>
          <cell r="BH803">
            <v>0</v>
          </cell>
          <cell r="BI803">
            <v>242228.36900000001</v>
          </cell>
          <cell r="BJ803">
            <v>9.2361919087928008</v>
          </cell>
          <cell r="BK803">
            <v>0</v>
          </cell>
          <cell r="BL803">
            <v>0</v>
          </cell>
          <cell r="BM803">
            <v>2081600</v>
          </cell>
          <cell r="BN803">
            <v>79.371615953633793</v>
          </cell>
          <cell r="BO803">
            <v>0</v>
          </cell>
          <cell r="BP803">
            <v>0</v>
          </cell>
          <cell r="BY803">
            <v>943</v>
          </cell>
          <cell r="CF803">
            <v>0</v>
          </cell>
          <cell r="CG803">
            <v>0</v>
          </cell>
          <cell r="CJ803">
            <v>0</v>
          </cell>
          <cell r="CK803">
            <v>0</v>
          </cell>
          <cell r="CL803">
            <v>0</v>
          </cell>
          <cell r="CM803">
            <v>0</v>
          </cell>
          <cell r="CN803">
            <v>0</v>
          </cell>
          <cell r="CO803">
            <v>0</v>
          </cell>
          <cell r="CX803">
            <v>0</v>
          </cell>
          <cell r="CY803">
            <v>0</v>
          </cell>
          <cell r="DB803">
            <v>0</v>
          </cell>
          <cell r="DC803">
            <v>0</v>
          </cell>
          <cell r="DJ803" t="str">
            <v>НКРКП</v>
          </cell>
          <cell r="DL803">
            <v>40984</v>
          </cell>
          <cell r="DM803">
            <v>130</v>
          </cell>
          <cell r="DT803">
            <v>421.2</v>
          </cell>
        </row>
      </sheetData>
      <sheetData sheetId="5" refreshError="1"/>
      <sheetData sheetId="6" refreshError="1"/>
      <sheetData sheetId="7" refreshError="1"/>
      <sheetData sheetId="8" refreshError="1"/>
      <sheetData sheetId="9" refreshError="1"/>
      <sheetData sheetId="10" refreshError="1"/>
      <sheetData sheetId="11"/>
      <sheetData sheetId="12" refreshError="1"/>
    </sheetDataSet>
  </externalBook>
</externalLink>
</file>

<file path=xl/externalLinks/externalLink2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ВД (анал)"/>
    </sheetNames>
    <sheetDataSet>
      <sheetData sheetId="0"/>
      <sheetData sheetId="1"/>
      <sheetData sheetId="2"/>
      <sheetData sheetId="3"/>
      <sheetData sheetId="4"/>
      <sheetData sheetId="5"/>
      <sheetData sheetId="6" refreshError="1"/>
      <sheetData sheetId="7"/>
      <sheetData sheetId="8" refreshError="1"/>
    </sheetDataSet>
  </externalBook>
</externalLink>
</file>

<file path=xl/externalLinks/externalLink2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Это важно!!!"/>
      <sheetName val="План_сокр"/>
      <sheetName val="ПЛАН(2)_і рай_для отрав"/>
      <sheetName val="ПЛАН(2)_і район"/>
      <sheetName val="Баланс _2"/>
      <sheetName val="ПЛАН_1вар"/>
      <sheetName val="Експл (3)"/>
      <sheetName val="Експл (2)"/>
      <sheetName val="Експл"/>
      <sheetName val="Інші витрати"/>
      <sheetName val="Основні показники "/>
      <sheetName val="Баланс_1вар"/>
      <sheetName val="Потреби в коштах"/>
      <sheetName val="Технич лист"/>
      <sheetName val="Операційні_нов"/>
      <sheetName val="Експл мес"/>
      <sheetName val="Баланс"/>
      <sheetName val="м_430"/>
      <sheetName val="м_812"/>
      <sheetName val="Баланс (2)"/>
      <sheetName val="Експл_нов"/>
      <sheetName val="Експл_ст"/>
      <sheetName val="експл_д_трансп"/>
      <sheetName val="Операційні_КМ"/>
      <sheetName val="Операційні (2)"/>
      <sheetName val="Операційні_ст"/>
      <sheetName val="Адмін _КМ"/>
      <sheetName val="Адмін"/>
      <sheetName val="ВД (анал)"/>
      <sheetName val="812"/>
      <sheetName val="Ф2"/>
      <sheetName val="0"/>
      <sheetName val="1"/>
      <sheetName val="1 кв"/>
      <sheetName val="10"/>
      <sheetName val="10 міс."/>
      <sheetName val="11"/>
      <sheetName val="11 міс."/>
      <sheetName val="12"/>
      <sheetName val="12 міс."/>
      <sheetName val="1998"/>
      <sheetName val="1півр"/>
      <sheetName val="2"/>
      <sheetName val="2 кв"/>
      <sheetName val="2 утв"/>
      <sheetName val="3 не сокр."/>
      <sheetName val="3 тар."/>
      <sheetName val="3 утв."/>
      <sheetName val="3кв"/>
      <sheetName val="3кв "/>
      <sheetName val="4 утв"/>
      <sheetName val="5"/>
      <sheetName val="6"/>
      <sheetName val="7"/>
      <sheetName val="7 міс"/>
      <sheetName val="8"/>
      <sheetName val="8 міс."/>
      <sheetName val="812 (2)"/>
      <sheetName val="9"/>
      <sheetName val="9 (2)"/>
      <sheetName val="9 міс."/>
      <sheetName val="2013"/>
      <sheetName val="2014"/>
      <sheetName val="2015"/>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efreshError="1"/>
      <sheetData sheetId="52" refreshError="1"/>
      <sheetData sheetId="53" refreshError="1"/>
      <sheetData sheetId="54" refreshError="1"/>
      <sheetData sheetId="55" refreshError="1"/>
      <sheetData sheetId="56" refreshError="1"/>
      <sheetData sheetId="57" refreshError="1"/>
      <sheetData sheetId="58" refreshError="1"/>
      <sheetData sheetId="59" refreshError="1"/>
      <sheetData sheetId="60" refreshError="1"/>
      <sheetData sheetId="61" refreshError="1"/>
      <sheetData sheetId="62" refreshError="1"/>
      <sheetData sheetId="63" refreshError="1"/>
    </sheetDataSet>
  </externalBook>
</externalLink>
</file>

<file path=xl/externalLinks/externalLink2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ar ee 99"/>
      <sheetName val="Експл"/>
      <sheetName val="ПЛАН_1вар"/>
      <sheetName val="Інші витрати"/>
      <sheetName val="3 утв."/>
    </sheetNames>
    <sheetDataSet>
      <sheetData sheetId="0">
        <row r="95">
          <cell r="CT95">
            <v>0</v>
          </cell>
        </row>
      </sheetData>
      <sheetData sheetId="1" refreshError="1"/>
      <sheetData sheetId="2" refreshError="1"/>
      <sheetData sheetId="3" refreshError="1"/>
      <sheetData sheetId="4" refreshError="1"/>
    </sheetDataSet>
  </externalBook>
</externalLink>
</file>

<file path=xl/externalLinks/externalLink2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мат на цеха"/>
      <sheetName val="tar ee 99"/>
    </sheetNames>
    <sheetDataSet>
      <sheetData sheetId="0"/>
      <sheetData sheetId="1" refreshError="1"/>
    </sheetDataSet>
  </externalBook>
</externalLink>
</file>

<file path=xl/externalLinks/externalLink2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міст"/>
      <sheetName val="Вхідні дані"/>
      <sheetName val="Приєднане_навантаж"/>
      <sheetName val="Обсяги вироб_реаліз"/>
      <sheetName val="Проект доходів 1ст"/>
      <sheetName val="Проект доходів 2ст"/>
      <sheetName val="Тариф_1ст"/>
      <sheetName val="Тариф_2ст"/>
      <sheetName val="Витрати на кап_інвестиції"/>
      <sheetName val="Собі- Вартість_для_2ст тарифу"/>
      <sheetName val="Собівартість_для 1ст тарифу"/>
      <sheetName val="Повна собівартість_елементи"/>
      <sheetName val="Прямі"/>
      <sheetName val="Загальновиробничі"/>
      <sheetName val="Адміністративні"/>
      <sheetName val="Збут"/>
      <sheetName val="Інші витрати"/>
      <sheetName val="Паливо_1ст"/>
      <sheetName val="Паливо_2ст"/>
      <sheetName val="Електр_енерг"/>
      <sheetName val="ПММ"/>
      <sheetName val="Вода_Водовід"/>
      <sheetName val="Мат_витр"/>
      <sheetName val="Амортизац_2008 "/>
      <sheetName val="ЗП_Всього по під-ву"/>
      <sheetName val="ЗП_Виробнич"/>
      <sheetName val="ЗП_Загальновир"/>
      <sheetName val="ЗП_Адміністр"/>
      <sheetName val="ЗП_Збут"/>
      <sheetName val="Чисельн_працівн"/>
      <sheetName val="Комунальн_посл"/>
      <sheetName val="Зв'язок"/>
      <sheetName val="Подат_Збори"/>
      <sheetName val="Фін_витр"/>
      <sheetName val="Ремон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Set>
  </externalBook>
</externalLink>
</file>

<file path=xl/externalLinks/externalLink2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У_З"/>
      <sheetName val="У_П"/>
      <sheetName val="О"/>
      <sheetName val="Список_с_названиями"/>
      <sheetName val="НС"/>
      <sheetName val="ВСписки"/>
      <sheetName val="Енергоресурси"/>
      <sheetName val="середня номінальна зп 2013"/>
      <sheetName val="Розрахунок"/>
      <sheetName val="Для гиперссілок"/>
      <sheetName val="Структури"/>
      <sheetName val="База"/>
      <sheetName val="Лист1"/>
      <sheetName val="Зведена"/>
      <sheetName val="Лист2"/>
      <sheetName val="Додаток 1"/>
      <sheetName val="Додаток 2"/>
      <sheetName val="Додаток 3"/>
      <sheetName val="СТ_список"/>
      <sheetName val="БАЗА_Б_І"/>
      <sheetName val="Додаток 4"/>
      <sheetName val="На орден"/>
    </sheetNames>
    <sheetDataSet>
      <sheetData sheetId="0"/>
      <sheetData sheetId="1"/>
      <sheetData sheetId="2"/>
      <sheetData sheetId="3"/>
      <sheetData sheetId="4"/>
      <sheetData sheetId="5"/>
      <sheetData sheetId="6"/>
      <sheetData sheetId="7"/>
      <sheetData sheetId="8"/>
      <sheetData sheetId="9"/>
      <sheetData sheetId="10"/>
      <sheetData sheetId="11">
        <row r="1">
          <cell r="E1" t="str">
            <v>:</v>
          </cell>
        </row>
      </sheetData>
      <sheetData sheetId="12"/>
      <sheetData sheetId="13"/>
      <sheetData sheetId="14"/>
      <sheetData sheetId="15"/>
      <sheetData sheetId="16"/>
      <sheetData sheetId="17"/>
      <sheetData sheetId="18"/>
      <sheetData sheetId="19"/>
      <sheetData sheetId="20"/>
      <sheetData sheetId="21"/>
    </sheetDataSet>
  </externalBook>
</externalLink>
</file>

<file path=xl/externalLinks/externalLink2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812"/>
      <sheetName val="макет 430"/>
      <sheetName val="Ф2"/>
      <sheetName val="Технич лист"/>
      <sheetName val="KOEF"/>
    </sheetNames>
    <sheetDataSet>
      <sheetData sheetId="0">
        <row r="8">
          <cell r="F8" t="str">
            <v xml:space="preserve">Звіт </v>
          </cell>
        </row>
      </sheetData>
      <sheetData sheetId="1"/>
      <sheetData sheetId="2" refreshError="1"/>
      <sheetData sheetId="3" refreshError="1"/>
      <sheetData sheetId="4" refreshError="1"/>
    </sheetDataSet>
  </externalBook>
</externalLink>
</file>

<file path=xl/externalLinks/externalLink2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газ"/>
      <sheetName val="газ детал"/>
      <sheetName val="рік"/>
      <sheetName val="ОП"/>
      <sheetName val="темп. квітень жовтень Ваня"/>
      <sheetName val="темп. квітень жовтень"/>
      <sheetName val="ктм Дсту"/>
      <sheetName val="факт 5 років"/>
      <sheetName val="Порівняння"/>
    </sheetNames>
    <sheetDataSet>
      <sheetData sheetId="0" refreshError="1"/>
      <sheetData sheetId="1"/>
      <sheetData sheetId="2"/>
      <sheetData sheetId="3" refreshError="1"/>
      <sheetData sheetId="4" refreshError="1"/>
      <sheetData sheetId="5" refreshError="1"/>
      <sheetData sheetId="6" refreshError="1"/>
      <sheetData sheetId="7" refreshError="1"/>
      <sheetData sheetId="8" refreshError="1"/>
    </sheetDataSet>
  </externalBook>
</externalLink>
</file>

<file path=xl/externalLinks/externalLink3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1_ реєстр"/>
      <sheetName val="скрыть"/>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Set>
  </externalBook>
</externalLink>
</file>

<file path=xl/externalLinks/externalLink3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Д1. реєстр"/>
      <sheetName val="скрыть"/>
      <sheetName val="Лист3"/>
      <sheetName val="Лист4"/>
    </sheetNames>
    <sheetDataSet>
      <sheetData sheetId="0"/>
      <sheetData sheetId="1">
        <row r="4">
          <cell r="B4" t="str">
            <v>вибрати</v>
          </cell>
          <cell r="D4" t="str">
            <v>вибрати</v>
          </cell>
          <cell r="G4" t="str">
            <v>вибрати</v>
          </cell>
        </row>
        <row r="5">
          <cell r="B5">
            <v>1</v>
          </cell>
          <cell r="D5" t="str">
            <v>наявний</v>
          </cell>
          <cell r="G5" t="str">
            <v>наявний</v>
          </cell>
        </row>
        <row r="6">
          <cell r="B6">
            <v>2</v>
          </cell>
          <cell r="D6" t="str">
            <v>відсутній</v>
          </cell>
          <cell r="G6" t="str">
            <v>відсутній</v>
          </cell>
        </row>
        <row r="7">
          <cell r="B7">
            <v>3</v>
          </cell>
        </row>
        <row r="8">
          <cell r="B8">
            <v>4</v>
          </cell>
        </row>
        <row r="9">
          <cell r="B9" t="str">
            <v>5 і вище</v>
          </cell>
        </row>
      </sheetData>
      <sheetData sheetId="2"/>
      <sheetData sheetId="3"/>
    </sheetDataSet>
  </externalBook>
</externalLink>
</file>

<file path=xl/externalLinks/externalLink3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міст"/>
      <sheetName val="Вхідні дані"/>
      <sheetName val="Обсяги послуг_навантаж"/>
      <sheetName val="Тариф_опал_ГВП"/>
      <sheetName val="Проект доходів"/>
      <sheetName val="Повна собівартість"/>
      <sheetName val="Прямі"/>
      <sheetName val="Загальновиробничі"/>
      <sheetName val="Адміністративні"/>
      <sheetName val="Збут"/>
      <sheetName val="Інші_операц"/>
      <sheetName val="Паливо"/>
      <sheetName val="Електр_енерг"/>
      <sheetName val="ПММ"/>
      <sheetName val="Вода_Водовід"/>
      <sheetName val="Мат_витр"/>
      <sheetName val="Охорон_ прац"/>
      <sheetName val="Амортизац_2006"/>
      <sheetName val="Амортизац_2007 "/>
      <sheetName val="ЗП_Всього по під-ву"/>
      <sheetName val="ЗП_Виробнич"/>
      <sheetName val="ЗП_Загальновир"/>
      <sheetName val="ЗП_Адміністр"/>
      <sheetName val="ЗП_Збут"/>
      <sheetName val="Чисельн_працівн"/>
      <sheetName val="Комунальн_посл"/>
      <sheetName val="Зв'язок"/>
      <sheetName val="Подат_Збори"/>
      <sheetName val="Фін_витр"/>
      <sheetName val="Фін_витр (2)"/>
      <sheetName val="Ремонти"/>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Set>
  </externalBook>
</externalLink>
</file>

<file path=xl/externalLinks/externalLink3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Зміст"/>
      <sheetName val="Вхідні дані"/>
      <sheetName val="Хар.ліцен."/>
      <sheetName val="Заг.хар.ліц.Дод9"/>
      <sheetName val="Обсяги вироб_реаліз_ТЕ"/>
      <sheetName val="Дод2"/>
      <sheetName val="Інвест_Програм"/>
      <sheetName val="Тарифи_послуга ЦО_ГВП"/>
      <sheetName val="Дод.10"/>
      <sheetName val="Дод.3"/>
      <sheetName val="Дод4"/>
      <sheetName val="Дод5"/>
      <sheetName val="Дод.6"/>
      <sheetName val="Витрати_дод.НК"/>
      <sheetName val="Повна собівартість_ТЕ"/>
      <sheetName val="Прямі_ТЕ_всього"/>
      <sheetName val="прямі_інші"/>
      <sheetName val="Загальновиробничі"/>
      <sheetName val="Адміністративні"/>
      <sheetName val="Збут"/>
      <sheetName val="Паливо"/>
      <sheetName val="паливо (НКРКП)"/>
      <sheetName val="Дод.7"/>
      <sheetName val="Електр_енерг"/>
      <sheetName val="електроенергія(НКРРКП)"/>
      <sheetName val="Дод.8"/>
      <sheetName val="ПММ"/>
      <sheetName val="Хім_реаг"/>
      <sheetName val="дод.11 вода"/>
      <sheetName val="Вода_Водовід"/>
      <sheetName val="Амортизація"/>
      <sheetName val="Охорон_ праці"/>
      <sheetName val="Дод.13_ЗП_ЗУ&quot;ОП&quot;"/>
      <sheetName val="Дод.14_ЗП_ПсБО16"/>
      <sheetName val="ЗП_Всього по під-ву"/>
      <sheetName val="Заг.ЗП за рік"/>
      <sheetName val="Літо (виробництво ТЕЦ та ін.)"/>
      <sheetName val="Зима (виробництво ТЕЦ та ін.)"/>
      <sheetName val="Літо (виробництво)"/>
      <sheetName val="Зима (виробництво)"/>
      <sheetName val="Літо (транспортування)"/>
      <sheetName val="Зима (транспортування)"/>
      <sheetName val="Літо (постачання)"/>
      <sheetName val="Зима (постачання)"/>
      <sheetName val="Літо (заг.-виробничі)"/>
      <sheetName val="Зима (заг.-виробничі)"/>
      <sheetName val="Літо (адміністративні)"/>
      <sheetName val="Зима (адміністративні)"/>
      <sheetName val="Подат_Збори"/>
      <sheetName val="Зв_язок"/>
      <sheetName val="Фін_витр"/>
      <sheetName val="дод.12 ремонти"/>
      <sheetName val="Ремонти"/>
      <sheetName val="Тепловий баланс_Питома_норм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Set>
  </externalBook>
</externalLink>
</file>

<file path=xl/externalLinks/externalLink3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Ф2"/>
      <sheetName val="ФЗ_"/>
      <sheetName val="Д_КЗ"/>
      <sheetName val="ИП_1.4.1"/>
      <sheetName val="ИП_1.4.2"/>
      <sheetName val="РП_1.2.1.2"/>
      <sheetName val="Технич лист"/>
      <sheetName val="БП"/>
      <sheetName val="Экономический эффект"/>
      <sheetName val="812"/>
      <sheetName val="Лист1"/>
      <sheetName val="Отчетность!!!"/>
    </sheetNames>
    <sheetDataSet>
      <sheetData sheetId="0"/>
      <sheetData sheetId="1"/>
      <sheetData sheetId="2"/>
      <sheetData sheetId="3"/>
      <sheetData sheetId="4"/>
      <sheetData sheetId="5"/>
      <sheetData sheetId="6" refreshError="1"/>
      <sheetData sheetId="7"/>
      <sheetData sheetId="8" refreshError="1"/>
      <sheetData sheetId="9" refreshError="1"/>
      <sheetData sheetId="10" refreshError="1"/>
      <sheetData sheetId="11" refreshError="1"/>
    </sheetDataSet>
  </externalBook>
</externalLink>
</file>

<file path=xl/externalLinks/externalLink3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одноставковий"/>
      <sheetName val="Розрахунок"/>
      <sheetName val="Енергоресурси"/>
      <sheetName val="МЗП по місяцях"/>
      <sheetName val="середня номінальна зп 2013"/>
      <sheetName val="свод"/>
      <sheetName val="виконавці"/>
      <sheetName val="ШАБЛОН"/>
      <sheetName val="Лист1"/>
      <sheetName val="рік"/>
    </sheetNames>
    <sheetDataSet>
      <sheetData sheetId="0" refreshError="1"/>
      <sheetData sheetId="1">
        <row r="22">
          <cell r="F22" t="str">
            <v/>
          </cell>
        </row>
      </sheetData>
      <sheetData sheetId="2">
        <row r="3">
          <cell r="A3">
            <v>39083</v>
          </cell>
        </row>
      </sheetData>
      <sheetData sheetId="3" refreshError="1"/>
      <sheetData sheetId="4">
        <row r="31">
          <cell r="M31">
            <v>3181</v>
          </cell>
        </row>
      </sheetData>
      <sheetData sheetId="5" refreshError="1"/>
      <sheetData sheetId="6" refreshError="1"/>
      <sheetData sheetId="7">
        <row r="35">
          <cell r="L35" t="str">
            <v>х</v>
          </cell>
        </row>
      </sheetData>
      <sheetData sheetId="8">
        <row r="4">
          <cell r="C4" t="str">
            <v>Алуштинська філія</v>
          </cell>
        </row>
        <row r="5">
          <cell r="C5" t="str">
            <v>Джанкойська філія</v>
          </cell>
        </row>
        <row r="6">
          <cell r="C6" t="str">
            <v>Євпаторійська філія</v>
          </cell>
        </row>
        <row r="7">
          <cell r="C7" t="str">
            <v>Керченська філія</v>
          </cell>
        </row>
        <row r="8">
          <cell r="C8" t="str">
            <v>Роздольницька філія</v>
          </cell>
        </row>
        <row r="9">
          <cell r="C9" t="str">
            <v>Сімферопольська філія</v>
          </cell>
        </row>
        <row r="10">
          <cell r="C10" t="str">
            <v>Феодосійська філія</v>
          </cell>
        </row>
        <row r="11">
          <cell r="C11" t="str">
            <v>Ялтинська філія</v>
          </cell>
        </row>
      </sheetData>
      <sheetData sheetId="9" refreshError="1"/>
    </sheetDataSet>
  </externalBook>
</externalLink>
</file>

<file path=xl/externalLinks/externalLink3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иробництво-2311"/>
      <sheetName val="транспортування-2312"/>
      <sheetName val="постачання-2313"/>
      <sheetName val="2314-2315-2316"/>
      <sheetName val="звв-91"/>
      <sheetName val="адм-92"/>
      <sheetName val="2314-2019"/>
      <sheetName val="розподіл 91 92"/>
    </sheetNames>
    <sheetDataSet>
      <sheetData sheetId="0"/>
      <sheetData sheetId="1">
        <row r="24">
          <cell r="O24">
            <v>0</v>
          </cell>
        </row>
      </sheetData>
      <sheetData sheetId="2"/>
      <sheetData sheetId="3">
        <row r="25">
          <cell r="E25">
            <v>13.55</v>
          </cell>
          <cell r="F25">
            <v>16.43</v>
          </cell>
        </row>
        <row r="26">
          <cell r="E26">
            <v>33.25</v>
          </cell>
          <cell r="F26">
            <v>23.88</v>
          </cell>
        </row>
      </sheetData>
      <sheetData sheetId="4"/>
      <sheetData sheetId="5"/>
      <sheetData sheetId="6"/>
      <sheetData sheetId="7"/>
    </sheetDataSet>
  </externalBook>
</externalLink>
</file>

<file path=xl/externalLinks/externalLink3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 змін"/>
      <sheetName val="Зведений баланс"/>
      <sheetName val="Корисний м2"/>
      <sheetName val="Баланс 7 та 8"/>
      <sheetName val="Баланс 7 та 8 ="/>
      <sheetName val="М3 нас без прил."/>
      <sheetName val="Послуга М3"/>
      <sheetName val="МЗК"/>
      <sheetName val="Q max"/>
      <sheetName val="Списки"/>
      <sheetName val="Q"/>
      <sheetName val="ДСТУ"/>
      <sheetName val="Додаток 2000"/>
      <sheetName val="Факт ГВП населення 3 года"/>
      <sheetName val="Q max (факт)"/>
      <sheetName val="Q факт 2 та 3"/>
      <sheetName val="МЗК база"/>
      <sheetName val="СНИП82+КТМ"/>
      <sheetName val="t ДСТУ"/>
      <sheetName val="дати ОП МОП"/>
      <sheetName val="2 Корисний дсту"/>
      <sheetName val="Послуга Д2 прямые"/>
      <sheetName val="ПОСЛУГА ОП"/>
      <sheetName val=" послуга ГВП 1"/>
      <sheetName val="послуга 2 3"/>
      <sheetName val="Реестр прям.дог."/>
      <sheetName val="Реестр вед."/>
      <sheetName val="Реестр бюджет"/>
      <sheetName val="Реестр религия"/>
      <sheetName val="Реестр ГП"/>
      <sheetName val="Реестр інші 22"/>
      <sheetName val=" інші 20"/>
      <sheetName val="паливо"/>
      <sheetName val="Річний план"/>
      <sheetName val="Річний план 1"/>
      <sheetName val="Лист1"/>
      <sheetName val="Річний план 2"/>
      <sheetName val="Ср. за 5 лет"/>
      <sheetName val="Факт вода 5 лет"/>
      <sheetName val="Додаток 2"/>
      <sheetName val="Додаток Бюджет"/>
      <sheetName val="Додаток 1"/>
      <sheetName val="Соотношение"/>
      <sheetName val="Абонплата"/>
      <sheetName val="Динаміка"/>
      <sheetName val="Сч.ЦТП"/>
      <sheetName val="Лист2"/>
      <sheetName val="Лист4"/>
      <sheetName val="Додаток12 П"/>
      <sheetName val="Лист3"/>
      <sheetName val="Лист6"/>
      <sheetName val="Лист5"/>
      <sheetName val="Лист7"/>
      <sheetName val="Додаток 12"/>
      <sheetName val="Додаток 13"/>
    </sheetNames>
    <sheetDataSet>
      <sheetData sheetId="0"/>
      <sheetData sheetId="1"/>
      <sheetData sheetId="2">
        <row r="854">
          <cell r="BG854">
            <v>13.291675960000001</v>
          </cell>
        </row>
      </sheetData>
      <sheetData sheetId="3">
        <row r="14">
          <cell r="P14">
            <v>0</v>
          </cell>
        </row>
        <row r="27">
          <cell r="G27">
            <v>0</v>
          </cell>
          <cell r="K27">
            <v>0</v>
          </cell>
          <cell r="L27">
            <v>0</v>
          </cell>
          <cell r="M27">
            <v>0</v>
          </cell>
          <cell r="N27">
            <v>0</v>
          </cell>
          <cell r="O27">
            <v>0</v>
          </cell>
          <cell r="P27">
            <v>0</v>
          </cell>
        </row>
        <row r="29">
          <cell r="P29">
            <v>0</v>
          </cell>
        </row>
      </sheetData>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row r="23">
          <cell r="F23">
            <v>108851.10225121622</v>
          </cell>
        </row>
        <row r="123">
          <cell r="G123">
            <v>0</v>
          </cell>
          <cell r="H123">
            <v>1663.2027500542913</v>
          </cell>
          <cell r="I123">
            <v>2914.5680084213395</v>
          </cell>
          <cell r="J123">
            <v>3360.7588973510115</v>
          </cell>
          <cell r="K123">
            <v>2873.6778948488609</v>
          </cell>
          <cell r="L123">
            <v>2575.976666381217</v>
          </cell>
          <cell r="M123">
            <v>278.3074404634371</v>
          </cell>
        </row>
        <row r="124">
          <cell r="G124">
            <v>0</v>
          </cell>
        </row>
        <row r="126">
          <cell r="G126">
            <v>0</v>
          </cell>
          <cell r="H126">
            <v>8321.6503406855845</v>
          </cell>
          <cell r="I126">
            <v>14582.717506593253</v>
          </cell>
          <cell r="J126">
            <v>16815.184091170016</v>
          </cell>
          <cell r="K126">
            <v>14378.128362227071</v>
          </cell>
          <cell r="L126">
            <v>12888.613311088882</v>
          </cell>
          <cell r="M126">
            <v>1392.4803856128156</v>
          </cell>
        </row>
        <row r="127">
          <cell r="G127">
            <v>0</v>
          </cell>
          <cell r="H127">
            <v>0.24259950909380276</v>
          </cell>
          <cell r="I127">
            <v>0.4470529069697709</v>
          </cell>
          <cell r="J127">
            <v>0.52667507504118449</v>
          </cell>
          <cell r="K127">
            <v>0.44446888602813278</v>
          </cell>
          <cell r="L127">
            <v>0.38663173430056974</v>
          </cell>
          <cell r="M127">
            <v>4.0238060562920112E-2</v>
          </cell>
        </row>
        <row r="129">
          <cell r="G129">
            <v>0</v>
          </cell>
          <cell r="H129">
            <v>0</v>
          </cell>
          <cell r="I129">
            <v>0</v>
          </cell>
          <cell r="J129">
            <v>0</v>
          </cell>
          <cell r="K129">
            <v>0</v>
          </cell>
          <cell r="L129">
            <v>0</v>
          </cell>
          <cell r="M129">
            <v>0</v>
          </cell>
        </row>
        <row r="130">
          <cell r="G130">
            <v>0</v>
          </cell>
          <cell r="H130">
            <v>1.6175879342933333</v>
          </cell>
          <cell r="I130">
            <v>2.8346333866666664</v>
          </cell>
          <cell r="J130">
            <v>3.2685870933333332</v>
          </cell>
          <cell r="K130">
            <v>2.794864720853333</v>
          </cell>
          <cell r="L130">
            <v>2.5053282135466661</v>
          </cell>
          <cell r="M130">
            <v>0.27067461120000003</v>
          </cell>
        </row>
        <row r="132">
          <cell r="G132">
            <v>0</v>
          </cell>
          <cell r="H132">
            <v>244.67361017759998</v>
          </cell>
          <cell r="I132">
            <v>428.76184319999993</v>
          </cell>
          <cell r="J132">
            <v>494.4009456</v>
          </cell>
          <cell r="K132">
            <v>422.74650219120002</v>
          </cell>
          <cell r="L132">
            <v>378.95170067279992</v>
          </cell>
          <cell r="M132">
            <v>40.941783072000007</v>
          </cell>
        </row>
        <row r="133">
          <cell r="G133">
            <v>0</v>
          </cell>
          <cell r="H133">
            <v>1278.9475292568065</v>
          </cell>
          <cell r="I133">
            <v>2241.2057418133331</v>
          </cell>
          <cell r="J133">
            <v>2584.3116770066667</v>
          </cell>
          <cell r="K133">
            <v>2209.7626061385963</v>
          </cell>
          <cell r="L133">
            <v>1980.8402750560037</v>
          </cell>
          <cell r="M133">
            <v>214.00915393080007</v>
          </cell>
        </row>
        <row r="135">
          <cell r="G135">
            <v>0</v>
          </cell>
          <cell r="H135">
            <v>93.617952078910662</v>
          </cell>
          <cell r="I135">
            <v>164.05449554133338</v>
          </cell>
          <cell r="J135">
            <v>189.16957983066669</v>
          </cell>
          <cell r="K135">
            <v>161.75288276874466</v>
          </cell>
          <cell r="L135">
            <v>144.99594839041535</v>
          </cell>
          <cell r="M135">
            <v>15.665301553679999</v>
          </cell>
        </row>
        <row r="136">
          <cell r="G136">
            <v>0</v>
          </cell>
          <cell r="H136">
            <v>419.17663026940619</v>
          </cell>
          <cell r="I136">
            <v>734.55794636053338</v>
          </cell>
          <cell r="J136">
            <v>847.01133983426678</v>
          </cell>
          <cell r="K136">
            <v>724.2524198586766</v>
          </cell>
          <cell r="L136">
            <v>649.22284347536686</v>
          </cell>
          <cell r="M136">
            <v>70.141764176712002</v>
          </cell>
        </row>
      </sheetData>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Set>
  </externalBook>
</externalLink>
</file>

<file path=xl/externalLinks/externalLink3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хідні дані"/>
      <sheetName val="Д 1_Заява"/>
      <sheetName val="КОНТРОЛЬ 1"/>
      <sheetName val="Д 2_Т на В"/>
      <sheetName val="Д 3_Т на Т з ЦТП"/>
      <sheetName val="D1_2023-2024"/>
      <sheetName val="D2_2023-2024"/>
      <sheetName val="D3_2023-2024"/>
      <sheetName val="D4_2023-2024"/>
      <sheetName val="D5_2023-2024"/>
      <sheetName val="D6_2023-2024"/>
      <sheetName val="D7_2023-2024"/>
      <sheetName val="Д 3.1_Т на Т без ЦТП"/>
      <sheetName val="Д 4_Т на П"/>
      <sheetName val="Д 5 Т на ТЕ з ЦТП"/>
      <sheetName val="Д 5.1 Т на ТЕ без ЦТП"/>
      <sheetName val="КОНТРОЛЬ 3"/>
      <sheetName val="Виробництво_1ст"/>
      <sheetName val="Транспортування_1ст"/>
      <sheetName val="Постачання_1ст"/>
      <sheetName val="ЗВВ_1ст"/>
      <sheetName val="Адміністративні_1ст"/>
      <sheetName val="БАЗИ РОЗПОДІЛУ"/>
      <sheetName val="ТЕ_2ст_тариф_з ЦТП"/>
      <sheetName val="ТЕ_2ст_тариф_без ЦТП"/>
      <sheetName val="Виробництво_2ст"/>
      <sheetName val="Транспортування_2ст"/>
      <sheetName val="Постачання_2ст"/>
      <sheetName val="ЗВВ_2ст"/>
      <sheetName val="БАЗИ РОЗПОДІЛУ_2ст"/>
      <sheetName val="Покриття втрат в мережах"/>
      <sheetName val="Д 6_Втрати"/>
      <sheetName val="Д 7_РП"/>
      <sheetName val="Д 8_Паливо"/>
      <sheetName val="Д 9_ЕЕ"/>
      <sheetName val="Д 10"/>
      <sheetName val="Д 11"/>
      <sheetName val="Д12_11"/>
      <sheetName val="Д 13_12"/>
      <sheetName val="Д 14"/>
      <sheetName val="Реєстр_робочий"/>
      <sheetName val="Д 15_13_Реєстр"/>
      <sheetName val="Розрахунки Річного плану"/>
      <sheetName val="Ср. за 5 лет"/>
      <sheetName val="ТР_КА 1-2"/>
      <sheetName val="Адміністративні_2ст"/>
      <sheetName val="БАЗА ИА"/>
      <sheetName val="ТЕ_2ст_вих"/>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sheetName val="Порівняння структур"/>
      <sheetName val="Податки"/>
      <sheetName val="Зв'язок"/>
      <sheetName val="РКО"/>
      <sheetName val="ПММ"/>
      <sheetName val="Прямі витрати"/>
      <sheetName val="ОП"/>
      <sheetName val="ФОП"/>
      <sheetName val="Зарплата Факт"/>
      <sheetName val="Амортизація"/>
      <sheetName val="Утилизація"/>
      <sheetName val="Страхування"/>
      <sheetName val="ТО"/>
      <sheetName val="Періодичні видання"/>
      <sheetName val="Факт 2023Поверка Юст"/>
      <sheetName val="Котел-повірка Юст"/>
      <sheetName val="Абон обсл 2022-23"/>
      <sheetName val="АО-прямые"/>
      <sheetName val="гран розмір"/>
      <sheetName val="Профпослуги2"/>
      <sheetName val="Запчастини"/>
      <sheetName val="по городам"/>
      <sheetName val="СВЕДЕНО_И"/>
      <sheetName val="Д-Сведено"/>
      <sheetName val="сведено-економ"/>
      <sheetName val="стр_тар_1 Гкал"/>
      <sheetName val="структури %"/>
      <sheetName val="інвестпрограма"/>
      <sheetName val="Сравнение 1 и 2 "/>
      <sheetName val="прибуток"/>
      <sheetName val="ПРЯМІ АО"/>
      <sheetName val="ПРЯМІ ІНШІ"/>
      <sheetName val="Примечания"/>
      <sheetName val="АО"/>
      <sheetName val="Ремонт-БФ"/>
      <sheetName val="Ремонт-план"/>
      <sheetName val="Профпослуги"/>
      <sheetName val="Картріджі"/>
      <sheetName val="Ціна ее"/>
      <sheetName val="Ціна газ"/>
      <sheetName val="Коригування витрат"/>
      <sheetName val="КОНТРОЛЬ 2"/>
      <sheetName val="ВОДА"/>
      <sheetName val="ТО ТЗ"/>
      <sheetName val="ТК ТЗ"/>
      <sheetName val="Для звіту по тарифам"/>
      <sheetName val="Додаток 1 до рішення"/>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8 до рішення"/>
      <sheetName val="Додаток 9 до рішення"/>
      <sheetName val="Додаток 10 до рішення"/>
      <sheetName val="Додаток 11 до рішення"/>
      <sheetName val="По квартирам 1-3"/>
      <sheetName val="Лист3"/>
      <sheetName val="% структури"/>
      <sheetName val="Порівн ТАРИФІВ"/>
      <sheetName val="По Україні тариф"/>
      <sheetName val="Склад статей витрат"/>
    </sheetNames>
    <sheetDataSet>
      <sheetData sheetId="0">
        <row r="24">
          <cell r="D24">
            <v>124.16</v>
          </cell>
        </row>
        <row r="25">
          <cell r="D25">
            <v>1090</v>
          </cell>
        </row>
        <row r="26">
          <cell r="D26">
            <v>1.1000000000000001</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row r="26">
          <cell r="G26">
            <v>108851.10225142605</v>
          </cell>
        </row>
      </sheetData>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3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хідні дані"/>
      <sheetName val="Д 1_Заява"/>
      <sheetName val="КОНТРОЛЬ 1"/>
      <sheetName val="Д 2_Т на В"/>
      <sheetName val="Д 3_Т на Т з ЦТП"/>
      <sheetName val="D1_2022-2023"/>
      <sheetName val="D2_2022-2023"/>
      <sheetName val="D3_2022-2023"/>
      <sheetName val="D4_2022-2023"/>
      <sheetName val="D5_2022-2023"/>
      <sheetName val="D6_2022-2023"/>
      <sheetName val="D7_2022-2023"/>
      <sheetName val="Д 3.1_Т на Т без ЦТП"/>
      <sheetName val="Д 4_Т на П"/>
      <sheetName val="Д 5 Т на ТЕ з ЦТП"/>
      <sheetName val="Д 5.1 Т на ТЕ без ЦТП"/>
      <sheetName val="КОНТРОЛЬ 3"/>
      <sheetName val="Транспортування_1ст"/>
      <sheetName val="ТЕ_2ст_тариф_з ЦТП"/>
      <sheetName val="ТЕ_2ст_тариф_без ЦТП"/>
      <sheetName val="Виробництво_2ст"/>
      <sheetName val="Транспортування_2ст"/>
      <sheetName val="Постачання_2ст"/>
      <sheetName val="Покриття втрат в мережах"/>
      <sheetName val="Д 6_Втрати"/>
      <sheetName val="Д 7_РП"/>
      <sheetName val="Д 8_Паливо"/>
      <sheetName val="Д 9_ЕЕ"/>
      <sheetName val="Д 10"/>
      <sheetName val="Д 11"/>
      <sheetName val="Д12_11"/>
      <sheetName val="Д 13_12"/>
      <sheetName val="Д 14"/>
      <sheetName val="Реєстр_робочий"/>
      <sheetName val="Д 15_13_Реєстр"/>
      <sheetName val="Розрахунки Річного плану"/>
      <sheetName val="Питоме викор УП"/>
      <sheetName val="Ср. за 5 лет"/>
      <sheetName val="ТР_КА 1-2"/>
      <sheetName val="ЗВВ_2ст"/>
      <sheetName val="Адміністративні_2ст"/>
      <sheetName val="БАЗИ РОЗПОДІЛУ"/>
      <sheetName val="БАЗИ РОЗПОДІЛУ_2ст"/>
      <sheetName val="ТЕ_2ст_вих"/>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Порівняння"/>
      <sheetName val="Порівняння структур"/>
      <sheetName val="Податки"/>
      <sheetName val="Зв'язок"/>
      <sheetName val="РКО"/>
      <sheetName val="ПММ"/>
      <sheetName val="Постачання_1ст"/>
      <sheetName val="Прямі витрати"/>
      <sheetName val="БАЗА ИА"/>
      <sheetName val="ЗВВ_1ст"/>
      <sheetName val="Адміністративні_1ст"/>
      <sheetName val="Виробництво_1ст"/>
      <sheetName val="ОП"/>
      <sheetName val="ФОП"/>
      <sheetName val="Зарплата Факт"/>
      <sheetName val="Амортизація"/>
      <sheetName val="Утилизація"/>
      <sheetName val="Страхування"/>
      <sheetName val="ТО"/>
      <sheetName val="Періодичні видання"/>
      <sheetName val="Факт 2023Поверка Юст"/>
      <sheetName val="Котел-повірка Юст"/>
      <sheetName val="Абон обсл 2022-23"/>
      <sheetName val="АО-прямые"/>
      <sheetName val="гран розмір"/>
      <sheetName val="Профпослуги2"/>
      <sheetName val="Запчастини"/>
      <sheetName val="по городам"/>
      <sheetName val="СВЕДЕНО_И"/>
      <sheetName val="сведено"/>
      <sheetName val="стр_тар_1 Гкал"/>
      <sheetName val="структури %"/>
      <sheetName val="інвестпрограма"/>
      <sheetName val="Сравнение 1 и 2 "/>
      <sheetName val="прибуток"/>
      <sheetName val="ПРЯМІ АО"/>
      <sheetName val="ПРЯМІ ІНШІ"/>
      <sheetName val="Примечания"/>
      <sheetName val="АО"/>
      <sheetName val="Ремонт-БФ"/>
      <sheetName val="Ремонт-план"/>
      <sheetName val="Профпослуги"/>
      <sheetName val="Картріджі"/>
      <sheetName val="Ціна ее"/>
      <sheetName val="Ціна газ"/>
      <sheetName val="Коригування витрат"/>
      <sheetName val="КОНТРОЛЬ 2"/>
      <sheetName val="ВОДА"/>
      <sheetName val="ТО ТЗ"/>
      <sheetName val="ТК ТЗ"/>
      <sheetName val="Для звіту по тарифам"/>
      <sheetName val="Додаток 1 до рішення"/>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8 до рішення"/>
      <sheetName val="Додаток 9 до рішення"/>
      <sheetName val="Додаток 10 до рішення"/>
      <sheetName val="Додаток 11 до рішення"/>
      <sheetName val="По квартирам 1-3"/>
      <sheetName val="Лист3"/>
      <sheetName val="% структури"/>
      <sheetName val="Порівн ТАРИФІВ"/>
      <sheetName val="По Україні тариф"/>
      <sheetName val="Склад статей витрат"/>
    </sheetNames>
    <sheetDataSet>
      <sheetData sheetId="0">
        <row r="13">
          <cell r="B13" t="str">
            <v>Директор підприємства</v>
          </cell>
          <cell r="F13" t="str">
            <v>Анатолій ПАНШИН</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row r="62">
          <cell r="B62" t="str">
            <v>Постачання природного газу</v>
          </cell>
          <cell r="C62">
            <v>106888.39241490094</v>
          </cell>
          <cell r="D62">
            <v>0.78134293554766121</v>
          </cell>
        </row>
        <row r="63">
          <cell r="B63" t="str">
            <v>Транспортування природного газу</v>
          </cell>
          <cell r="C63">
            <v>1959.8215939886993</v>
          </cell>
          <cell r="D63">
            <v>1.4326090259201566E-2</v>
          </cell>
        </row>
        <row r="64">
          <cell r="B64" t="str">
            <v>Розподіл природного газу</v>
          </cell>
          <cell r="C64">
            <v>9950.3473099999992</v>
          </cell>
          <cell r="D64">
            <v>7.2735995006229862E-2</v>
          </cell>
        </row>
        <row r="65">
          <cell r="B65" t="str">
            <v>Електроенергія</v>
          </cell>
          <cell r="C65">
            <v>18002.307482695433</v>
          </cell>
          <cell r="D65">
            <v>0.13159497918690735</v>
          </cell>
        </row>
      </sheetData>
      <sheetData sheetId="27">
        <row r="230">
          <cell r="D230">
            <v>18002.307482695433</v>
          </cell>
        </row>
      </sheetData>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sheetData sheetId="101"/>
      <sheetData sheetId="102"/>
      <sheetData sheetId="103"/>
      <sheetData sheetId="104"/>
      <sheetData sheetId="105"/>
      <sheetData sheetId="106"/>
      <sheetData sheetId="107"/>
      <sheetData sheetId="108"/>
      <sheetData sheetId="109"/>
      <sheetData sheetId="110"/>
      <sheetData sheetId="111"/>
      <sheetData sheetId="112"/>
      <sheetData sheetId="113"/>
      <sheetData sheetId="114"/>
      <sheetData sheetId="115"/>
      <sheetData sheetId="116"/>
      <sheetData sheetId="117"/>
      <sheetData sheetId="118"/>
      <sheetData sheetId="119"/>
      <sheetData sheetId="120"/>
      <sheetData sheetId="121"/>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40.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хідні дані"/>
      <sheetName val="Д 1_Заява"/>
      <sheetName val="КОНТРОЛЬ"/>
      <sheetName val="Д 2_Т на В"/>
      <sheetName val="Д 3_Т на Т з ЦТП"/>
      <sheetName val="Д 3.1_Т на Т без ЦТП"/>
      <sheetName val="Д 4_Т на П"/>
      <sheetName val="Лист1"/>
      <sheetName val="КОНТРОЛЬ 2"/>
      <sheetName val="ТЕ_2ст_тариф_з ЦТП"/>
      <sheetName val="ТЕ_2ст_тариф_без ЦТП"/>
      <sheetName val="енергоеффективн"/>
      <sheetName val="Д 5 Т на ТЕ з ЦТП"/>
      <sheetName val="Д 5.1 Т на ТЕ без ЦТП"/>
      <sheetName val="Д 6_Втрати"/>
      <sheetName val="Д 7_РП"/>
      <sheetName val="Д 8_Паливо"/>
      <sheetName val="Д 9_ЕЕ"/>
      <sheetName val="Д 10"/>
      <sheetName val="Д 11"/>
      <sheetName val="Д12_11"/>
      <sheetName val="Д 13_12"/>
      <sheetName val="Д 14"/>
      <sheetName val="Д 15_13_Реєстр"/>
      <sheetName val="Розрахунки Річного плану"/>
      <sheetName val="Ср. за 5 лет"/>
      <sheetName val="Виробництво_Транспортування_1ст"/>
      <sheetName val="ТР_КА 1-2"/>
      <sheetName val="Постачання_1ст"/>
      <sheetName val="Постачання_2ст"/>
      <sheetName val="ЗВВ_1ст"/>
      <sheetName val="ЗВВ_2ст"/>
      <sheetName val="Адміністративні_1ст"/>
      <sheetName val="Адміністративні_2ст"/>
      <sheetName val="БАЗИ РОЗПОДІЛУ"/>
      <sheetName val="БАЗИ РОЗПОДІЛУ_2ст"/>
      <sheetName val="ТЕ_2ст_вих"/>
      <sheetName val="Покриття втрат в мережах"/>
      <sheetName val="Виробництво_Транспортування_2ст"/>
      <sheetName val="2-х став на одиницю"/>
      <sheetName val="распределение"/>
      <sheetName val="Рішення 1Д"/>
      <sheetName val="Рішення 2Д"/>
      <sheetName val="Рішення 3Д"/>
      <sheetName val="Рішення 4Д"/>
      <sheetName val="Рішення 5Д"/>
      <sheetName val="Рішення 6Д"/>
      <sheetName val="Рішення 7Д"/>
      <sheetName val="Структура тарифу"/>
      <sheetName val="Структ тарифа"/>
      <sheetName val="Порівняння структур"/>
      <sheetName val="Зв'язок"/>
      <sheetName val="ПММ"/>
      <sheetName val="ОП"/>
      <sheetName val="ФОП"/>
      <sheetName val="Амортизація"/>
      <sheetName val="Утилизація"/>
      <sheetName val="Страхування"/>
      <sheetName val="ТО"/>
      <sheetName val="Періодичні видання"/>
      <sheetName val="Котел-повірка Юст"/>
      <sheetName val="Абон обсл 2021-22"/>
      <sheetName val="гран розмір"/>
      <sheetName val="Профпослуги2"/>
      <sheetName val="Запчастини"/>
      <sheetName val="по городам"/>
      <sheetName val="СВЕДЕНО_И"/>
      <sheetName val="сведено"/>
      <sheetName val="стр_тар_1 Гкал"/>
      <sheetName val="структури %"/>
      <sheetName val="інвестпрограма"/>
      <sheetName val="Сравнение 1 и 2 "/>
      <sheetName val="прибуток"/>
      <sheetName val="АО"/>
      <sheetName val="ВКО"/>
      <sheetName val="Примечания"/>
      <sheetName val="СПЕЦХАРЧ"/>
      <sheetName val="Ремонт"/>
      <sheetName val="Профпослуги"/>
      <sheetName val="Картріджі"/>
      <sheetName val="Ціна ее"/>
      <sheetName val="Ціна газ"/>
      <sheetName val="Коригування витрат"/>
      <sheetName val="ВОДА"/>
      <sheetName val="ТО ТЗ"/>
      <sheetName val="Техконтроль ТЗ"/>
      <sheetName val="Для звіту по тарифам"/>
      <sheetName val="Додаток 2 до рішення"/>
      <sheetName val="Додаток 3 до рішення"/>
      <sheetName val="Додаток 4 до рішення"/>
      <sheetName val="Додаток 5 до рішення"/>
      <sheetName val="Додаток 6 до рішення"/>
      <sheetName val="Додаток 7 до рішення"/>
      <sheetName val="Додаток 8 до рішення"/>
      <sheetName val="Додаток 9 до рішення"/>
      <sheetName val="Додаток 10 до рішення"/>
      <sheetName val="Додаток 11 до рішення"/>
      <sheetName val="Додаток 12 до рішення"/>
      <sheetName val="По квартирам 1-3"/>
      <sheetName val="Лист3"/>
      <sheetName val="население разница"/>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row r="7">
          <cell r="D7">
            <v>214010.80808722967</v>
          </cell>
          <cell r="E7">
            <v>1850.4574581774666</v>
          </cell>
          <cell r="F7">
            <v>168131.30157837324</v>
          </cell>
          <cell r="G7">
            <v>1411.5845789432915</v>
          </cell>
          <cell r="H7">
            <v>45921.220822931085</v>
          </cell>
          <cell r="I7">
            <v>423.19715677849308</v>
          </cell>
          <cell r="J7">
            <v>1700.9762492878315</v>
          </cell>
          <cell r="K7">
            <v>15.675722455682061</v>
          </cell>
        </row>
        <row r="8">
          <cell r="D8">
            <v>170735.33297282766</v>
          </cell>
          <cell r="E8">
            <v>1453.2749432053977</v>
          </cell>
          <cell r="F8">
            <v>146154.75864821792</v>
          </cell>
          <cell r="G8">
            <v>1227.075514851904</v>
          </cell>
          <cell r="H8">
            <v>24525.027283578005</v>
          </cell>
          <cell r="I8">
            <v>226.01580773180123</v>
          </cell>
          <cell r="J8">
            <v>19.924715894999999</v>
          </cell>
          <cell r="K8">
            <v>0.18362062169245785</v>
          </cell>
        </row>
        <row r="9">
          <cell r="D9">
            <v>142556.93915274038</v>
          </cell>
          <cell r="E9">
            <v>1196.8692030589136</v>
          </cell>
          <cell r="F9">
            <v>142556.93915274038</v>
          </cell>
          <cell r="G9">
            <v>1196.8692030589136</v>
          </cell>
          <cell r="H9">
            <v>0</v>
          </cell>
          <cell r="I9">
            <v>0</v>
          </cell>
          <cell r="J9">
            <v>0</v>
          </cell>
          <cell r="K9">
            <v>0</v>
          </cell>
        </row>
        <row r="10">
          <cell r="D10">
            <v>129881.01669683617</v>
          </cell>
          <cell r="E10">
            <v>1090.4456133129281</v>
          </cell>
          <cell r="F10">
            <v>129881.01669683617</v>
          </cell>
          <cell r="G10">
            <v>1090.4456133129281</v>
          </cell>
          <cell r="H10">
            <v>0</v>
          </cell>
          <cell r="I10">
            <v>0</v>
          </cell>
          <cell r="J10">
            <v>0</v>
          </cell>
          <cell r="K10">
            <v>0</v>
          </cell>
        </row>
        <row r="11">
          <cell r="D11">
            <v>2174.5863747372441</v>
          </cell>
          <cell r="E11">
            <v>18.257234455110744</v>
          </cell>
          <cell r="F11">
            <v>2174.5863747372441</v>
          </cell>
          <cell r="G11">
            <v>18.257234455110744</v>
          </cell>
          <cell r="H11">
            <v>0</v>
          </cell>
          <cell r="I11">
            <v>0</v>
          </cell>
          <cell r="J11">
            <v>0</v>
          </cell>
          <cell r="K11">
            <v>0</v>
          </cell>
        </row>
        <row r="12">
          <cell r="D12">
            <v>10501.336081166977</v>
          </cell>
          <cell r="E12">
            <v>88.166355290874847</v>
          </cell>
          <cell r="F12">
            <v>10501.336081166977</v>
          </cell>
          <cell r="G12">
            <v>88.166355290874847</v>
          </cell>
          <cell r="H12">
            <v>0</v>
          </cell>
          <cell r="I12">
            <v>0</v>
          </cell>
          <cell r="J12">
            <v>0</v>
          </cell>
          <cell r="K12">
            <v>0</v>
          </cell>
        </row>
        <row r="13">
          <cell r="D13">
            <v>10423.766390494366</v>
          </cell>
          <cell r="E13">
            <v>93.403621151716521</v>
          </cell>
          <cell r="F13">
            <v>3242.5879653075317</v>
          </cell>
          <cell r="G13">
            <v>27.223884694436819</v>
          </cell>
          <cell r="H13">
            <v>7181.1784251868339</v>
          </cell>
          <cell r="I13">
            <v>66.179736457279702</v>
          </cell>
          <cell r="J13">
            <v>0</v>
          </cell>
          <cell r="K13">
            <v>0</v>
          </cell>
        </row>
        <row r="14">
          <cell r="D14">
            <v>639.8210996687078</v>
          </cell>
          <cell r="E14">
            <v>5.8709838271636006</v>
          </cell>
          <cell r="F14">
            <v>31.011080305521947</v>
          </cell>
          <cell r="G14">
            <v>0.26036057726729422</v>
          </cell>
          <cell r="H14">
            <v>608.8100193631858</v>
          </cell>
          <cell r="I14">
            <v>5.6106232498963067</v>
          </cell>
          <cell r="J14">
            <v>0</v>
          </cell>
          <cell r="K14">
            <v>0</v>
          </cell>
        </row>
        <row r="15">
          <cell r="D15">
            <v>957.77221508550178</v>
          </cell>
          <cell r="E15">
            <v>8.5314927207162903</v>
          </cell>
          <cell r="F15">
            <v>359.8427750012047</v>
          </cell>
          <cell r="G15">
            <v>3.0211418532264469</v>
          </cell>
          <cell r="H15">
            <v>578.00472418929712</v>
          </cell>
          <cell r="I15">
            <v>5.3267302457973837</v>
          </cell>
          <cell r="J15">
            <v>19.924715894999999</v>
          </cell>
          <cell r="K15">
            <v>0.18362062169245785</v>
          </cell>
        </row>
        <row r="16">
          <cell r="D16">
            <v>16157.034114838687</v>
          </cell>
          <cell r="E16">
            <v>148.89871777882786</v>
          </cell>
          <cell r="F16">
            <v>0</v>
          </cell>
          <cell r="G16">
            <v>0</v>
          </cell>
          <cell r="H16">
            <v>16157.034114838687</v>
          </cell>
          <cell r="I16">
            <v>148.89871777882786</v>
          </cell>
          <cell r="J16">
            <v>0</v>
          </cell>
          <cell r="K16">
            <v>0</v>
          </cell>
        </row>
        <row r="17">
          <cell r="D17">
            <v>22053.272730501172</v>
          </cell>
          <cell r="E17">
            <v>195.36142961791404</v>
          </cell>
          <cell r="F17">
            <v>9604.1951759493149</v>
          </cell>
          <cell r="G17">
            <v>80.634204792687228</v>
          </cell>
          <cell r="H17">
            <v>11851.20921955186</v>
          </cell>
          <cell r="I17">
            <v>109.21743708514248</v>
          </cell>
          <cell r="J17">
            <v>597.86833500000012</v>
          </cell>
          <cell r="K17">
            <v>5.509787740084346</v>
          </cell>
        </row>
        <row r="18">
          <cell r="D18">
            <v>15640.368366268429</v>
          </cell>
          <cell r="E18">
            <v>139.29939602430488</v>
          </cell>
          <cell r="F18">
            <v>5899.8933769536125</v>
          </cell>
          <cell r="G18">
            <v>49.533896604227778</v>
          </cell>
          <cell r="H18">
            <v>8705.2795896929329</v>
          </cell>
          <cell r="I18">
            <v>80.225427488640264</v>
          </cell>
          <cell r="J18">
            <v>1035.195399621884</v>
          </cell>
          <cell r="K18">
            <v>9.5400719314368274</v>
          </cell>
        </row>
        <row r="19">
          <cell r="D19">
            <v>4794.9435745520195</v>
          </cell>
          <cell r="E19">
            <v>42.456278815939562</v>
          </cell>
          <cell r="F19">
            <v>2112.9229387088499</v>
          </cell>
          <cell r="G19">
            <v>17.739525054391194</v>
          </cell>
          <cell r="H19">
            <v>2550.4896021431691</v>
          </cell>
          <cell r="I19">
            <v>23.504600458729815</v>
          </cell>
          <cell r="J19">
            <v>131.53103370000002</v>
          </cell>
          <cell r="K19">
            <v>1.2121533028185558</v>
          </cell>
        </row>
        <row r="20">
          <cell r="D20">
            <v>7347.5205858333375</v>
          </cell>
          <cell r="E20">
            <v>66.021095232870024</v>
          </cell>
          <cell r="F20">
            <v>2062.9481808333339</v>
          </cell>
          <cell r="G20">
            <v>17.319950609351764</v>
          </cell>
          <cell r="H20">
            <v>4397.3028050000021</v>
          </cell>
          <cell r="I20">
            <v>40.524315582673417</v>
          </cell>
          <cell r="J20">
            <v>887.2696000000019</v>
          </cell>
          <cell r="K20">
            <v>8.1768290408448383</v>
          </cell>
        </row>
        <row r="21">
          <cell r="D21">
            <v>3497.9042058830719</v>
          </cell>
          <cell r="E21">
            <v>30.822021975495296</v>
          </cell>
          <cell r="F21">
            <v>1724.0222574114287</v>
          </cell>
          <cell r="G21">
            <v>14.474420940484823</v>
          </cell>
          <cell r="H21">
            <v>1757.4871825497612</v>
          </cell>
          <cell r="I21">
            <v>16.196511447237043</v>
          </cell>
          <cell r="J21">
            <v>16.394765921882026</v>
          </cell>
          <cell r="K21">
            <v>0.15108958777343207</v>
          </cell>
        </row>
        <row r="22">
          <cell r="D22">
            <v>5581.8340176324209</v>
          </cell>
          <cell r="E22">
            <v>47.591459049253139</v>
          </cell>
          <cell r="F22">
            <v>4694.1414887531846</v>
          </cell>
          <cell r="G22">
            <v>39.410732413875664</v>
          </cell>
          <cell r="H22">
            <v>839.70473010828846</v>
          </cell>
          <cell r="I22">
            <v>7.7384844729090414</v>
          </cell>
          <cell r="J22">
            <v>47.987798770947478</v>
          </cell>
          <cell r="K22">
            <v>0.44224216246843207</v>
          </cell>
        </row>
        <row r="23">
          <cell r="D23">
            <v>4153.1963849473759</v>
          </cell>
          <cell r="E23">
            <v>35.410704627431201</v>
          </cell>
          <cell r="F23">
            <v>3492.7035450958233</v>
          </cell>
          <cell r="G23">
            <v>29.323786926015256</v>
          </cell>
          <cell r="H23">
            <v>624.78723632634797</v>
          </cell>
          <cell r="I23">
            <v>5.7578648229832936</v>
          </cell>
          <cell r="J23">
            <v>35.705603525204253</v>
          </cell>
          <cell r="K23">
            <v>0.32905287843264475</v>
          </cell>
        </row>
        <row r="24">
          <cell r="D24">
            <v>873.53919514142183</v>
          </cell>
          <cell r="E24">
            <v>7.447911332039939</v>
          </cell>
          <cell r="F24">
            <v>734.61814969995817</v>
          </cell>
          <cell r="G24">
            <v>6.1676537431962739</v>
          </cell>
          <cell r="H24">
            <v>131.41110820890469</v>
          </cell>
          <cell r="I24">
            <v>1.211048102957853</v>
          </cell>
          <cell r="J24">
            <v>7.5099372325589755</v>
          </cell>
          <cell r="K24">
            <v>6.9209485885811953E-2</v>
          </cell>
        </row>
        <row r="25">
          <cell r="D25">
            <v>555.09843754362316</v>
          </cell>
          <cell r="E25">
            <v>4.7328430897820093</v>
          </cell>
          <cell r="F25">
            <v>466.81979395740314</v>
          </cell>
          <cell r="G25">
            <v>3.9192917446641395</v>
          </cell>
          <cell r="H25">
            <v>83.506385573035814</v>
          </cell>
          <cell r="I25">
            <v>0.76957154696789365</v>
          </cell>
          <cell r="J25">
            <v>4.7722580131842491</v>
          </cell>
          <cell r="K25">
            <v>4.3979798149975359E-2</v>
          </cell>
        </row>
        <row r="26">
          <cell r="D26">
            <v>6590.0227063402108</v>
          </cell>
          <cell r="E26">
            <v>56.187409867745707</v>
          </cell>
          <cell r="F26">
            <v>5541.9954982427525</v>
          </cell>
          <cell r="G26">
            <v>46.52908357011664</v>
          </cell>
          <cell r="H26">
            <v>991.37187178167869</v>
          </cell>
          <cell r="I26">
            <v>9.1362065278254985</v>
          </cell>
          <cell r="J26">
            <v>56.65533631578046</v>
          </cell>
          <cell r="K26">
            <v>0.522119769803568</v>
          </cell>
        </row>
        <row r="27">
          <cell r="D27">
            <v>4877.1954091341786</v>
          </cell>
          <cell r="E27">
            <v>41.583616577597056</v>
          </cell>
          <cell r="F27">
            <v>4101.5632579637486</v>
          </cell>
          <cell r="G27">
            <v>34.435607112713647</v>
          </cell>
          <cell r="H27">
            <v>733.70222793717141</v>
          </cell>
          <cell r="I27">
            <v>6.7615949929189618</v>
          </cell>
          <cell r="J27">
            <v>41.929923233258783</v>
          </cell>
          <cell r="K27">
            <v>0.38641447196444506</v>
          </cell>
        </row>
        <row r="28">
          <cell r="D28">
            <v>1072.9829900095192</v>
          </cell>
          <cell r="E28">
            <v>9.1483956470713519</v>
          </cell>
          <cell r="F28">
            <v>902.34391675202471</v>
          </cell>
          <cell r="G28">
            <v>7.5758335647970023</v>
          </cell>
          <cell r="H28">
            <v>161.41449014617771</v>
          </cell>
          <cell r="I28">
            <v>1.4875508984421715</v>
          </cell>
          <cell r="J28">
            <v>9.2245831113169316</v>
          </cell>
          <cell r="K28">
            <v>8.50111838321779E-2</v>
          </cell>
        </row>
        <row r="29">
          <cell r="D29">
            <v>639.84430719651357</v>
          </cell>
          <cell r="E29">
            <v>5.455397643077303</v>
          </cell>
          <cell r="F29">
            <v>538.08832352697925</v>
          </cell>
          <cell r="G29">
            <v>4.5176428926059931</v>
          </cell>
          <cell r="H29">
            <v>96.25515369832948</v>
          </cell>
          <cell r="I29">
            <v>0.88706063646436473</v>
          </cell>
          <cell r="J29">
            <v>5.5008299712047446</v>
          </cell>
          <cell r="K29">
            <v>5.0694114006945054E-2</v>
          </cell>
        </row>
        <row r="30">
          <cell r="D30">
            <v>0</v>
          </cell>
          <cell r="E30">
            <v>0</v>
          </cell>
          <cell r="F30">
            <v>0</v>
          </cell>
          <cell r="G30">
            <v>0</v>
          </cell>
          <cell r="H30">
            <v>0</v>
          </cell>
          <cell r="I30">
            <v>0</v>
          </cell>
          <cell r="J30">
            <v>0</v>
          </cell>
          <cell r="K30">
            <v>0</v>
          </cell>
        </row>
        <row r="31">
          <cell r="D31">
            <v>0</v>
          </cell>
          <cell r="E31">
            <v>0</v>
          </cell>
          <cell r="F31">
            <v>0</v>
          </cell>
          <cell r="G31">
            <v>0</v>
          </cell>
          <cell r="H31">
            <v>0</v>
          </cell>
          <cell r="I31">
            <v>0</v>
          </cell>
          <cell r="J31">
            <v>0</v>
          </cell>
          <cell r="K31">
            <v>0</v>
          </cell>
        </row>
        <row r="32">
          <cell r="D32">
            <v>0</v>
          </cell>
          <cell r="E32">
            <v>0</v>
          </cell>
          <cell r="F32">
            <v>0</v>
          </cell>
          <cell r="G32">
            <v>0</v>
          </cell>
          <cell r="H32">
            <v>0</v>
          </cell>
          <cell r="I32">
            <v>0</v>
          </cell>
          <cell r="J32">
            <v>0</v>
          </cell>
          <cell r="K32">
            <v>0</v>
          </cell>
        </row>
        <row r="33">
          <cell r="D33">
            <v>0</v>
          </cell>
          <cell r="E33">
            <v>0</v>
          </cell>
          <cell r="F33">
            <v>0</v>
          </cell>
          <cell r="G33">
            <v>0</v>
          </cell>
          <cell r="H33">
            <v>0</v>
          </cell>
          <cell r="I33">
            <v>0</v>
          </cell>
          <cell r="J33">
            <v>0</v>
          </cell>
          <cell r="K33">
            <v>0</v>
          </cell>
        </row>
        <row r="34">
          <cell r="D34">
            <v>0</v>
          </cell>
          <cell r="E34">
            <v>0</v>
          </cell>
          <cell r="F34">
            <v>0</v>
          </cell>
          <cell r="G34">
            <v>0</v>
          </cell>
          <cell r="H34">
            <v>0</v>
          </cell>
          <cell r="I34">
            <v>0</v>
          </cell>
          <cell r="J34">
            <v>0</v>
          </cell>
          <cell r="K34">
            <v>0</v>
          </cell>
        </row>
        <row r="35">
          <cell r="D35">
            <v>50.187150000000003</v>
          </cell>
          <cell r="E35">
            <v>0.421357631422907</v>
          </cell>
          <cell r="F35">
            <v>50.187150000000003</v>
          </cell>
          <cell r="G35">
            <v>0.421357631422907</v>
          </cell>
          <cell r="H35">
            <v>0</v>
          </cell>
          <cell r="I35">
            <v>0</v>
          </cell>
          <cell r="J35">
            <v>0</v>
          </cell>
          <cell r="K35">
            <v>0</v>
          </cell>
        </row>
        <row r="36">
          <cell r="D36">
            <v>220651.01794356984</v>
          </cell>
          <cell r="E36">
            <v>1892.435070727978</v>
          </cell>
          <cell r="F36">
            <v>171980.79366325345</v>
          </cell>
          <cell r="G36">
            <v>1443.9038651961739</v>
          </cell>
          <cell r="H36">
            <v>46912.592694712759</v>
          </cell>
          <cell r="I36">
            <v>432.33336330631852</v>
          </cell>
          <cell r="J36">
            <v>1757.6315856036119</v>
          </cell>
          <cell r="K36">
            <v>16.19784222548563</v>
          </cell>
        </row>
        <row r="37">
          <cell r="D37">
            <v>0</v>
          </cell>
          <cell r="E37">
            <v>0</v>
          </cell>
          <cell r="F37">
            <v>0</v>
          </cell>
          <cell r="G37">
            <v>0</v>
          </cell>
          <cell r="H37">
            <v>0</v>
          </cell>
          <cell r="I37">
            <v>0</v>
          </cell>
          <cell r="J37">
            <v>0</v>
          </cell>
          <cell r="K37">
            <v>0</v>
          </cell>
        </row>
        <row r="38">
          <cell r="D38">
            <v>12653.401990250341</v>
          </cell>
          <cell r="E38">
            <v>108.52314171735622</v>
          </cell>
          <cell r="F38">
            <v>9862.3706208324857</v>
          </cell>
          <cell r="G38">
            <v>82.801775454650056</v>
          </cell>
          <cell r="H38">
            <v>2690.2386370267841</v>
          </cell>
          <cell r="I38">
            <v>24.792488567221728</v>
          </cell>
          <cell r="J38">
            <v>100.79273239107084</v>
          </cell>
          <cell r="K38">
            <v>0.92887769548444865</v>
          </cell>
        </row>
        <row r="39">
          <cell r="D39">
            <v>2277.6123582450605</v>
          </cell>
          <cell r="E39">
            <v>19.534165509124115</v>
          </cell>
          <cell r="F39">
            <v>1775.2267117498468</v>
          </cell>
          <cell r="G39">
            <v>14.904319581837004</v>
          </cell>
          <cell r="H39">
            <v>484.2429546648209</v>
          </cell>
          <cell r="I39">
            <v>4.4626479420999097</v>
          </cell>
          <cell r="J39">
            <v>18.142691830392749</v>
          </cell>
          <cell r="K39">
            <v>0.16719798518720072</v>
          </cell>
        </row>
        <row r="40">
          <cell r="D40">
            <v>1556.3684448007921</v>
          </cell>
          <cell r="E40">
            <v>13.348346431234818</v>
          </cell>
          <cell r="F40">
            <v>1213.0715863623959</v>
          </cell>
          <cell r="G40">
            <v>10.184618380921957</v>
          </cell>
          <cell r="H40">
            <v>330.89935235429448</v>
          </cell>
          <cell r="I40">
            <v>3.0494760937682734</v>
          </cell>
          <cell r="J40">
            <v>12.397506084101714</v>
          </cell>
          <cell r="K40">
            <v>0.11425195654458718</v>
          </cell>
        </row>
        <row r="41">
          <cell r="D41">
            <v>0</v>
          </cell>
          <cell r="E41">
            <v>0</v>
          </cell>
          <cell r="F41">
            <v>0</v>
          </cell>
          <cell r="G41">
            <v>0</v>
          </cell>
          <cell r="H41">
            <v>0</v>
          </cell>
          <cell r="I41">
            <v>0</v>
          </cell>
          <cell r="J41">
            <v>0</v>
          </cell>
          <cell r="K41">
            <v>0</v>
          </cell>
        </row>
        <row r="42">
          <cell r="D42">
            <v>0</v>
          </cell>
          <cell r="E42">
            <v>0</v>
          </cell>
          <cell r="F42">
            <v>0</v>
          </cell>
          <cell r="G42">
            <v>0</v>
          </cell>
          <cell r="H42">
            <v>0</v>
          </cell>
          <cell r="I42">
            <v>0</v>
          </cell>
          <cell r="J42">
            <v>0</v>
          </cell>
          <cell r="K42">
            <v>0</v>
          </cell>
        </row>
        <row r="43">
          <cell r="D43">
            <v>8819.4211872044889</v>
          </cell>
          <cell r="E43">
            <v>75.640629776997315</v>
          </cell>
          <cell r="F43">
            <v>6874.0723227202434</v>
          </cell>
          <cell r="G43">
            <v>57.712837491891101</v>
          </cell>
          <cell r="H43">
            <v>1875.0963300076689</v>
          </cell>
          <cell r="I43">
            <v>17.280364531353552</v>
          </cell>
          <cell r="J43">
            <v>70.252534476576372</v>
          </cell>
          <cell r="K43">
            <v>0.64742775375266071</v>
          </cell>
        </row>
        <row r="44">
          <cell r="D44">
            <v>233304.41993382017</v>
          </cell>
          <cell r="E44">
            <v>2000.9582124453345</v>
          </cell>
          <cell r="F44">
            <v>181843.16428408594</v>
          </cell>
          <cell r="G44">
            <v>1526.7056406508241</v>
          </cell>
          <cell r="H44">
            <v>49602.831331739544</v>
          </cell>
          <cell r="I44">
            <v>457.12585187354023</v>
          </cell>
          <cell r="J44">
            <v>1858.4243179946827</v>
          </cell>
          <cell r="K44">
            <v>17.126719920970075</v>
          </cell>
        </row>
        <row r="45">
          <cell r="D45">
            <v>108510.23001311622</v>
          </cell>
          <cell r="E45">
            <v>0</v>
          </cell>
          <cell r="F45">
            <v>0</v>
          </cell>
          <cell r="G45">
            <v>0</v>
          </cell>
          <cell r="H45">
            <v>108510.23001311622</v>
          </cell>
          <cell r="I45">
            <v>0</v>
          </cell>
          <cell r="J45">
            <v>108510.23001311622</v>
          </cell>
          <cell r="K45">
            <v>0</v>
          </cell>
        </row>
        <row r="46">
          <cell r="D46">
            <v>73.1036</v>
          </cell>
          <cell r="E46">
            <v>0</v>
          </cell>
          <cell r="F46">
            <v>73.1036</v>
          </cell>
          <cell r="G46">
            <v>0</v>
          </cell>
          <cell r="H46">
            <v>73.1036</v>
          </cell>
          <cell r="I46">
            <v>0</v>
          </cell>
          <cell r="J46">
            <v>73.1036</v>
          </cell>
          <cell r="K46">
            <v>0</v>
          </cell>
        </row>
        <row r="47">
          <cell r="D47">
            <v>119108.20229010712</v>
          </cell>
          <cell r="E47">
            <v>0</v>
          </cell>
          <cell r="F47">
            <v>119108.20229010712</v>
          </cell>
          <cell r="G47">
            <v>0</v>
          </cell>
          <cell r="H47">
            <v>0</v>
          </cell>
          <cell r="I47">
            <v>0</v>
          </cell>
          <cell r="J47">
            <v>0</v>
          </cell>
          <cell r="K47">
            <v>0</v>
          </cell>
        </row>
        <row r="48">
          <cell r="E48">
            <v>2000.9582124453345</v>
          </cell>
          <cell r="G48">
            <v>1526.7056406508241</v>
          </cell>
          <cell r="H48">
            <v>0</v>
          </cell>
          <cell r="I48">
            <v>457.12585187354023</v>
          </cell>
          <cell r="J48">
            <v>0</v>
          </cell>
          <cell r="K48">
            <v>17.126719920970075</v>
          </cell>
        </row>
        <row r="49">
          <cell r="E49">
            <v>2235.2196226041783</v>
          </cell>
          <cell r="G49">
            <v>1526.7056406508241</v>
          </cell>
          <cell r="I49">
            <v>691.38726203238434</v>
          </cell>
          <cell r="K49">
            <v>17.126719920970075</v>
          </cell>
        </row>
        <row r="50">
          <cell r="E50">
            <v>1929.5308297744068</v>
          </cell>
          <cell r="G50">
            <v>1247.7046330531921</v>
          </cell>
          <cell r="I50">
            <v>664.6994768002445</v>
          </cell>
          <cell r="K50">
            <v>17.126719920970075</v>
          </cell>
        </row>
        <row r="51">
          <cell r="E51">
            <v>0</v>
          </cell>
          <cell r="G51">
            <v>0</v>
          </cell>
          <cell r="I51">
            <v>0</v>
          </cell>
          <cell r="K51">
            <v>0</v>
          </cell>
        </row>
        <row r="52">
          <cell r="E52">
            <v>3105.8481717714371</v>
          </cell>
          <cell r="G52">
            <v>2304.2650476069825</v>
          </cell>
          <cell r="I52">
            <v>784.4564042434846</v>
          </cell>
          <cell r="K52">
            <v>17.126719920970075</v>
          </cell>
        </row>
        <row r="53">
          <cell r="E53">
            <v>4204.739957063156</v>
          </cell>
          <cell r="G53">
            <v>3291.2823820994427</v>
          </cell>
          <cell r="I53">
            <v>896.33085504274368</v>
          </cell>
          <cell r="K53">
            <v>17.126719920970075</v>
          </cell>
        </row>
        <row r="54">
          <cell r="E54">
            <v>1955.2341268005832</v>
          </cell>
          <cell r="G54">
            <v>1526.7056406508241</v>
          </cell>
          <cell r="I54">
            <v>411.40176622878897</v>
          </cell>
          <cell r="K54">
            <v>17.126719920970075</v>
          </cell>
        </row>
        <row r="55">
          <cell r="E55">
            <v>1647.6097314502754</v>
          </cell>
          <cell r="G55">
            <v>1247.7046330531921</v>
          </cell>
          <cell r="I55">
            <v>382.77837847611329</v>
          </cell>
          <cell r="K55">
            <v>17.126719920970075</v>
          </cell>
        </row>
        <row r="56">
          <cell r="E56">
            <v>2811.9283935982562</v>
          </cell>
          <cell r="G56">
            <v>2304.2650476069834</v>
          </cell>
          <cell r="I56">
            <v>490.53662607030282</v>
          </cell>
          <cell r="K56">
            <v>17.126719920970075</v>
          </cell>
        </row>
        <row r="57">
          <cell r="E57">
            <v>2805.0869517867714</v>
          </cell>
          <cell r="G57">
            <v>2304.2650476069825</v>
          </cell>
          <cell r="I57">
            <v>483.69518425881876</v>
          </cell>
          <cell r="K57">
            <v>17.126719920970075</v>
          </cell>
        </row>
        <row r="58">
          <cell r="E58">
            <v>3899.3876760622779</v>
          </cell>
          <cell r="G58">
            <v>3291.2823820994427</v>
          </cell>
          <cell r="I58">
            <v>590.97857404186527</v>
          </cell>
          <cell r="K58">
            <v>17.126719920970075</v>
          </cell>
        </row>
      </sheetData>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 sheetId="74"/>
      <sheetData sheetId="75"/>
      <sheetData sheetId="76"/>
      <sheetData sheetId="77"/>
      <sheetData sheetId="78"/>
      <sheetData sheetId="79"/>
      <sheetData sheetId="80"/>
      <sheetData sheetId="81"/>
      <sheetData sheetId="82"/>
      <sheetData sheetId="83"/>
      <sheetData sheetId="84"/>
      <sheetData sheetId="85"/>
      <sheetData sheetId="86"/>
      <sheetData sheetId="87"/>
      <sheetData sheetId="88"/>
      <sheetData sheetId="89"/>
      <sheetData sheetId="90"/>
      <sheetData sheetId="91"/>
      <sheetData sheetId="92"/>
      <sheetData sheetId="93"/>
      <sheetData sheetId="94"/>
      <sheetData sheetId="95"/>
      <sheetData sheetId="96"/>
      <sheetData sheetId="97"/>
      <sheetData sheetId="98"/>
      <sheetData sheetId="99"/>
      <sheetData sheetId="100" refreshError="1"/>
    </sheetDataSet>
  </externalBook>
</externalLink>
</file>

<file path=xl/externalLinks/externalLink4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Лист1"/>
      <sheetName val="Літо (виробництво)"/>
      <sheetName val="Зима (виробництво)"/>
      <sheetName val="Літо (транспортування)"/>
      <sheetName val="Зима (транспортування)"/>
      <sheetName val="Літо (постачання)"/>
      <sheetName val="Зима (постачання)"/>
      <sheetName val="Літо (абон обсл)"/>
      <sheetName val="Зима (абон обслуг)"/>
      <sheetName val="Літо (внески)"/>
      <sheetName val="Зима (івнески)"/>
      <sheetName val="Літо (заг.-виробничі)"/>
      <sheetName val="Зима (заг.-виробничі)"/>
      <sheetName val="Літо (адміністративні)"/>
      <sheetName val="Зима (адміністративні)"/>
      <sheetName val="Літо (інша діяльн)"/>
      <sheetName val="Зима (інша діяльн)"/>
      <sheetName val="ФОТ помесячный"/>
      <sheetName val="Загальна за рік"/>
      <sheetName val="Загальна за рік (ІТР,роб,служб)"/>
      <sheetName val="Для тарифу"/>
      <sheetName val="Состав должностей"/>
      <sheetName val="табл 6"/>
    </sheetNames>
    <sheetDataSet>
      <sheetData sheetId="0"/>
      <sheetData sheetId="1">
        <row r="37">
          <cell r="I37">
            <v>149</v>
          </cell>
        </row>
        <row r="38">
          <cell r="I38">
            <v>216</v>
          </cell>
        </row>
      </sheetData>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Set>
  </externalBook>
</externalLink>
</file>

<file path=xl/externalLinks/externalLink4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1. Додаток + економ"/>
      <sheetName val="Душові сітки"/>
      <sheetName val="2. вода крани"/>
      <sheetName val="3. Продувка ВК"/>
      <sheetName val="4. насып вес кат-т"/>
      <sheetName val="5. вода и фильтроцикл"/>
      <sheetName val="6. вода на реген. фил."/>
      <sheetName val="7. Вода та сіль Свод"/>
      <sheetName val="8. Пара"/>
      <sheetName val="2020"/>
      <sheetName val="2021"/>
      <sheetName val="2022"/>
      <sheetName val="2012"/>
      <sheetName val="1"/>
      <sheetName val="2"/>
      <sheetName val="3"/>
      <sheetName val="4"/>
      <sheetName val="5"/>
      <sheetName val="6"/>
      <sheetName val="7"/>
      <sheetName val="8"/>
      <sheetName val="9"/>
      <sheetName val="10"/>
      <sheetName val="11"/>
      <sheetName val="12"/>
      <sheetName val="13"/>
      <sheetName val="14"/>
      <sheetName val="15"/>
      <sheetName val="16"/>
      <sheetName val="17"/>
      <sheetName val="18"/>
      <sheetName val="19"/>
      <sheetName val="20"/>
      <sheetName val="21"/>
      <sheetName val="22"/>
      <sheetName val="23"/>
      <sheetName val="24"/>
      <sheetName val="25"/>
      <sheetName val="26"/>
      <sheetName val="27"/>
      <sheetName val="28"/>
      <sheetName val="29"/>
      <sheetName val="30"/>
      <sheetName val="Лист1"/>
      <sheetName val="Вода  2023-2024 ТАРИФ"/>
    </sheetNames>
    <sheetDataSet>
      <sheetData sheetId="0">
        <row r="92">
          <cell r="J92">
            <v>4138.8999999999996</v>
          </cell>
        </row>
        <row r="93">
          <cell r="J93">
            <v>149</v>
          </cell>
        </row>
        <row r="94">
          <cell r="J94">
            <v>4138.8999999999996</v>
          </cell>
        </row>
        <row r="95">
          <cell r="J95">
            <v>149</v>
          </cell>
        </row>
      </sheetData>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refreshError="1"/>
    </sheetDataSet>
  </externalBook>
</externalLink>
</file>

<file path=xl/externalLinks/externalLink43.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Вхідні дані"/>
      <sheetName val="Д 1_Заява"/>
      <sheetName val="Д 2_Т на В"/>
      <sheetName val="Д 3_Т на Т з ЦТП"/>
      <sheetName val="Д 3.1_Т на Т без ЦТП"/>
      <sheetName val="Д 4_Т на П"/>
      <sheetName val="Д 5 Т на ТЕ з ЦТП"/>
      <sheetName val="Д 5.1 Т на ТЕ без ЦТП"/>
      <sheetName val="для звиту по тарифам"/>
      <sheetName val="Д 6_Втрати"/>
      <sheetName val="Д 7_РП"/>
      <sheetName val="Д 8_Паливо"/>
      <sheetName val="Д 9_ЕЕ"/>
      <sheetName val="Д 10"/>
      <sheetName val="Д 11"/>
      <sheetName val="Д12_11"/>
      <sheetName val="Д 13_12"/>
      <sheetName val="Д 14"/>
      <sheetName val="Д 15_13_Реєстр"/>
      <sheetName val="Розрахунки Річного плану"/>
      <sheetName val="Ср. за 5 лет"/>
      <sheetName val="Виробництво_Транспортування_1ст"/>
      <sheetName val="Виробництво_Транспортування_2ст"/>
      <sheetName val="Постачання_1ст"/>
      <sheetName val="Постачання_2ст"/>
      <sheetName val="ЗВВ_1ст"/>
      <sheetName val="ЗВВ_2ст"/>
      <sheetName val="Адміністративні_1ст"/>
      <sheetName val="Адміністративні_2ст"/>
      <sheetName val="БАЗИ РОЗПОДІЛУ"/>
      <sheetName val="БАЗИ РОЗПОДІЛУ_2ст"/>
      <sheetName val="ТЕ_2ст_вих"/>
      <sheetName val="ТЕ_2ст_тариф_з ЦТП"/>
      <sheetName val="ТЕ_2ст_тариф_без ЦТП"/>
      <sheetName val="ДПСС-виробн"/>
      <sheetName val="Структура тарифу"/>
      <sheetName val="Порівняння структур"/>
      <sheetName val="Зв'язок"/>
      <sheetName val="ПММ"/>
      <sheetName val="ОП"/>
      <sheetName val="СПЕЦХАРЧ"/>
      <sheetName val="ФОП"/>
      <sheetName val="ВОДА"/>
      <sheetName val="Амортизація"/>
      <sheetName val="Утилизація"/>
      <sheetName val="Картріджі"/>
      <sheetName val="Профпослуги"/>
      <sheetName val="Страхування"/>
      <sheetName val="ТО ТЗ"/>
      <sheetName val="Техконтроль ТЗ"/>
      <sheetName val="ТО"/>
      <sheetName val="Котел-повірка Юст"/>
      <sheetName val="Лист3"/>
      <sheetName val="сведено"/>
      <sheetName val="структури %"/>
      <sheetName val="інвестпрограма"/>
      <sheetName val="Лист2"/>
      <sheetName val="Лист1"/>
      <sheetName val="прибуток"/>
    </sheetNames>
    <sheetDataSet>
      <sheetData sheetId="0"/>
      <sheetData sheetId="1"/>
      <sheetData sheetId="2"/>
      <sheetData sheetId="3"/>
      <sheetData sheetId="4"/>
      <sheetData sheetId="5"/>
      <sheetData sheetId="6"/>
      <sheetData sheetId="7"/>
      <sheetData sheetId="8"/>
      <sheetData sheetId="9"/>
      <sheetData sheetId="10">
        <row r="74">
          <cell r="G74">
            <v>114392.19967570889</v>
          </cell>
        </row>
      </sheetData>
      <sheetData sheetId="11"/>
      <sheetData sheetId="12"/>
      <sheetData sheetId="13"/>
      <sheetData sheetId="14"/>
      <sheetData sheetId="15"/>
      <sheetData sheetId="16"/>
      <sheetData sheetId="17"/>
      <sheetData sheetId="18"/>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sheetData sheetId="42"/>
      <sheetData sheetId="43"/>
      <sheetData sheetId="44"/>
      <sheetData sheetId="45"/>
      <sheetData sheetId="46"/>
      <sheetData sheetId="47"/>
      <sheetData sheetId="48"/>
      <sheetData sheetId="49"/>
      <sheetData sheetId="50"/>
      <sheetData sheetId="51"/>
      <sheetData sheetId="52">
        <row r="10">
          <cell r="C10">
            <v>18623.537990533321</v>
          </cell>
        </row>
        <row r="26">
          <cell r="C26">
            <v>95768.661685175597</v>
          </cell>
        </row>
      </sheetData>
      <sheetData sheetId="53"/>
      <sheetData sheetId="54"/>
      <sheetData sheetId="55"/>
      <sheetData sheetId="56"/>
      <sheetData sheetId="57"/>
      <sheetData sheetId="58"/>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ІНСТРУКЦІЯ"/>
      <sheetName val="1_Структура по елементах"/>
      <sheetName val="2_ФОП"/>
      <sheetName val="3_Стуктура витрат"/>
      <sheetName val="4_Зведена операційних"/>
      <sheetName val="5_Розрахунок тарифів"/>
      <sheetName val="Д2"/>
      <sheetName val="Д3"/>
      <sheetName val="Д4"/>
      <sheetName val="Д5"/>
      <sheetName val="Д6"/>
      <sheetName val="Д7"/>
      <sheetName val="Д8"/>
      <sheetName val="Д9"/>
      <sheetName val="Д10"/>
      <sheetName val="Лист6"/>
    </sheetNames>
    <sheetDataSet>
      <sheetData sheetId="0" refreshError="1"/>
      <sheetData sheetId="1"/>
      <sheetData sheetId="2" refreshError="1"/>
      <sheetData sheetId="3"/>
      <sheetData sheetId="4"/>
      <sheetData sheetId="5"/>
      <sheetData sheetId="6" refreshError="1"/>
      <sheetData sheetId="7"/>
      <sheetData sheetId="8"/>
      <sheetData sheetId="9"/>
      <sheetData sheetId="10" refreshError="1"/>
      <sheetData sheetId="11" refreshError="1"/>
      <sheetData sheetId="12" refreshError="1"/>
      <sheetData sheetId="13"/>
      <sheetData sheetId="14"/>
      <sheetData sheetId="15"/>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
      <sheetName val="Лист1"/>
      <sheetName val="Лист1 (2)"/>
      <sheetName val="бюджет травня "/>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ZMPU23"/>
      <sheetName val="факт"/>
      <sheetName val="рік"/>
      <sheetName val="1_Структура по елементах"/>
      <sheetName val="Реєстр котелень"/>
    </sheetNames>
    <sheetDataSet>
      <sheetData sheetId="0" refreshError="1"/>
      <sheetData sheetId="1" refreshError="1"/>
      <sheetData sheetId="2" refreshError="1"/>
      <sheetData sheetId="3" refreshError="1"/>
      <sheetData sheetId="4"/>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sheetData sheetId="15"/>
      <sheetData sheetId="16" refreshError="1"/>
      <sheetData sheetId="17"/>
      <sheetData sheetId="18"/>
      <sheetData sheetId="19"/>
      <sheetData sheetId="20"/>
      <sheetData sheetId="21"/>
      <sheetData sheetId="22" refreshError="1"/>
      <sheetData sheetId="23" refreshError="1"/>
      <sheetData sheetId="24" refreshError="1"/>
      <sheetData sheetId="25" refreshError="1">
        <row r="38">
          <cell r="C38">
            <v>5</v>
          </cell>
        </row>
        <row r="40">
          <cell r="C40" t="str">
            <v>1-й рівень статтей</v>
          </cell>
        </row>
        <row r="41">
          <cell r="C41" t="str">
            <v>2-й рівень статтей</v>
          </cell>
        </row>
        <row r="42">
          <cell r="C42" t="str">
            <v>3-й рівень статтей</v>
          </cell>
        </row>
        <row r="43">
          <cell r="C43" t="str">
            <v>4-й рівень статтей</v>
          </cell>
        </row>
        <row r="44">
          <cell r="C44" t="str">
            <v>5-й - рівень статтей</v>
          </cell>
        </row>
        <row r="46">
          <cell r="C46">
            <v>1</v>
          </cell>
        </row>
        <row r="47">
          <cell r="C47" t="str">
            <v>1-й рівень данних</v>
          </cell>
        </row>
        <row r="48">
          <cell r="C48" t="str">
            <v>2-й рівень данних</v>
          </cell>
        </row>
        <row r="49">
          <cell r="C49" t="str">
            <v>3-й рівень статтей</v>
          </cell>
        </row>
      </sheetData>
      <sheetData sheetId="26" refreshError="1"/>
      <sheetData sheetId="27" refreshError="1"/>
      <sheetData sheetId="28" refreshError="1"/>
      <sheetData sheetId="29" refreshError="1"/>
      <sheetData sheetId="30"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3 утв."/>
      <sheetName val="812 (2)"/>
      <sheetName val="812"/>
      <sheetName val="0"/>
      <sheetName val="1"/>
      <sheetName val="2"/>
      <sheetName val="2 утв"/>
      <sheetName val="3 не сокр."/>
      <sheetName val="3 тар."/>
      <sheetName val="4 утв"/>
      <sheetName val="rem"/>
      <sheetName val="5"/>
      <sheetName val="6"/>
      <sheetName val="7"/>
      <sheetName val="8"/>
      <sheetName val="3кв "/>
      <sheetName val="1998"/>
      <sheetName val="9 (2)"/>
      <sheetName val="9"/>
      <sheetName val="10"/>
      <sheetName val="11"/>
      <sheetName val="12"/>
      <sheetName val="бюджет травня факт"/>
      <sheetName val="бюджет травня"/>
      <sheetName val="бюджет червня"/>
      <sheetName val="бюджет липня"/>
      <sheetName val="бюджет серпня "/>
      <sheetName val="бюджет вересня"/>
      <sheetName val="бюджет жовтня"/>
      <sheetName val="бюджет листоп."/>
      <sheetName val="бюджет грудня"/>
      <sheetName val="план підр."/>
      <sheetName val="прот."/>
      <sheetName val="1 кв"/>
      <sheetName val="2 кв"/>
      <sheetName val="1півр"/>
      <sheetName val="7 міс"/>
      <sheetName val="8 міс."/>
      <sheetName val="3кв"/>
      <sheetName val="9 міс."/>
      <sheetName val="10 міс."/>
      <sheetName val="11 міс."/>
      <sheetName val="12 міс."/>
      <sheetName val="пок.ен.1к"/>
      <sheetName val="пок.ен.2к"/>
      <sheetName val="пок.ен.3к "/>
      <sheetName val="пок.ен.4к  "/>
      <sheetName val="Лист1"/>
      <sheetName val="Лист1 (2)"/>
      <sheetName val="Лист2"/>
      <sheetName val="sm20 3кв"/>
      <sheetName val="3 утв_"/>
      <sheetName val="812 _2_"/>
      <sheetName val="3 не сокр_"/>
      <sheetName val="3 тар_"/>
      <sheetName val="9 _2_"/>
      <sheetName val="8 міс_"/>
      <sheetName val="9 міс_"/>
      <sheetName val="10 міс_"/>
      <sheetName val="11 міс_"/>
      <sheetName val="12 міс_"/>
      <sheetName val="СправСтатей"/>
      <sheetName val="СправСтатейРасхУК"/>
      <sheetName val="Lead"/>
      <sheetName val="XREF"/>
      <sheetName val="Depreciation"/>
      <sheetName val="tar ee 99"/>
    </sheetNames>
    <sheetDataSet>
      <sheetData sheetId="0" refreshError="1">
        <row r="21">
          <cell r="AI21" t="str">
            <v xml:space="preserve">         Затверджую</v>
          </cell>
        </row>
        <row r="22">
          <cell r="AI22" t="str">
            <v xml:space="preserve"> Голова правління -</v>
          </cell>
        </row>
        <row r="23">
          <cell r="AI23" t="str">
            <v xml:space="preserve"> генеральний директор</v>
          </cell>
        </row>
        <row r="25">
          <cell r="F25" t="e">
            <v>#REF!</v>
          </cell>
          <cell r="G25" t="e">
            <v>#REF!</v>
          </cell>
          <cell r="H25" t="e">
            <v>#REF!</v>
          </cell>
          <cell r="P25" t="e">
            <v>#REF!</v>
          </cell>
          <cell r="Q25" t="e">
            <v>#REF!</v>
          </cell>
          <cell r="R25" t="e">
            <v>#REF!</v>
          </cell>
          <cell r="S25" t="e">
            <v>#REF!</v>
          </cell>
          <cell r="T25" t="e">
            <v>#REF!</v>
          </cell>
          <cell r="U25" t="e">
            <v>#REF!</v>
          </cell>
          <cell r="V25" t="e">
            <v>#REF!</v>
          </cell>
          <cell r="W25" t="e">
            <v>#REF!</v>
          </cell>
          <cell r="X25" t="e">
            <v>#REF!</v>
          </cell>
          <cell r="Y25" t="e">
            <v>#REF!</v>
          </cell>
          <cell r="Z25" t="e">
            <v>#REF!</v>
          </cell>
          <cell r="AA25" t="e">
            <v>#REF!</v>
          </cell>
          <cell r="AB25" t="e">
            <v>#REF!</v>
          </cell>
          <cell r="AC25" t="e">
            <v>#REF!</v>
          </cell>
          <cell r="AD25" t="e">
            <v>#REF!</v>
          </cell>
          <cell r="AE25" t="e">
            <v>#REF!</v>
          </cell>
          <cell r="AF25" t="e">
            <v>#REF!</v>
          </cell>
          <cell r="AG25" t="e">
            <v>#REF!</v>
          </cell>
          <cell r="AH25" t="e">
            <v>#REF!</v>
          </cell>
          <cell r="AI25" t="str">
            <v xml:space="preserve">                        І.В.Плачков</v>
          </cell>
          <cell r="AJ25" t="e">
            <v>#REF!</v>
          </cell>
          <cell r="AK25" t="e">
            <v>#REF!</v>
          </cell>
          <cell r="AL25" t="e">
            <v>#REF!</v>
          </cell>
        </row>
        <row r="26">
          <cell r="AI26" t="str">
            <v xml:space="preserve">   "_____" ________2000 р.</v>
          </cell>
        </row>
        <row r="30">
          <cell r="AK30" t="str">
            <v xml:space="preserve">при діючому тарифі </v>
          </cell>
        </row>
        <row r="32">
          <cell r="Q32" t="str">
            <v>КТМ</v>
          </cell>
          <cell r="V32" t="str">
            <v xml:space="preserve">ТЕЦ-5 </v>
          </cell>
          <cell r="AA32" t="str">
            <v xml:space="preserve">ТЕЦ-6 </v>
          </cell>
        </row>
        <row r="34">
          <cell r="F34" t="str">
            <v>ВИКОН.ДИР.</v>
          </cell>
          <cell r="G34" t="str">
            <v>Е/Е</v>
          </cell>
          <cell r="H34" t="str">
            <v xml:space="preserve"> Т/Е</v>
          </cell>
          <cell r="P34" t="str">
            <v xml:space="preserve">КМ </v>
          </cell>
          <cell r="S34" t="str">
            <v xml:space="preserve">ТМ </v>
          </cell>
          <cell r="T34" t="str">
            <v>ВИРОБН</v>
          </cell>
          <cell r="U34" t="str">
            <v>ПЕРЕД</v>
          </cell>
          <cell r="X34" t="str">
            <v>ТЕЦ-5 ВСЬОГО</v>
          </cell>
          <cell r="Y34" t="str">
            <v>Е/Е</v>
          </cell>
          <cell r="Z34" t="str">
            <v xml:space="preserve"> Т/Е</v>
          </cell>
          <cell r="AC34" t="str">
            <v>ТЕЦ-6 ВСЬОГО</v>
          </cell>
          <cell r="AD34" t="str">
            <v>Е/Е</v>
          </cell>
          <cell r="AE34" t="str">
            <v xml:space="preserve"> Т/Е</v>
          </cell>
          <cell r="AF34" t="str">
            <v>ТРМ ВСЬОГО</v>
          </cell>
          <cell r="AG34" t="str">
            <v>ТРМ  АК КЕ</v>
          </cell>
          <cell r="AH34" t="str">
            <v>ТРМ СТОР</v>
          </cell>
          <cell r="AI34" t="str">
            <v xml:space="preserve">ДОП.ВИР. </v>
          </cell>
          <cell r="AJ34" t="str">
            <v>ДОП.ВИР. СТ.ОРГ.</v>
          </cell>
          <cell r="AK34" t="str">
            <v>АК КЕ ВСЬОГО</v>
          </cell>
          <cell r="AL34" t="str">
            <v xml:space="preserve"> Е/Е</v>
          </cell>
          <cell r="AM34" t="str">
            <v xml:space="preserve"> Т/Е</v>
          </cell>
          <cell r="AN34" t="str">
            <v>СТАНЦІї ЕЛЕКТРО</v>
          </cell>
          <cell r="AO34" t="str">
            <v>СТАНЦІІ ТЕПЛОВІ</v>
          </cell>
          <cell r="AP34" t="str">
            <v>МЕРЕЖІ ЕЛЕКТРО</v>
          </cell>
          <cell r="AQ34" t="str">
            <v>МЕРЕЖІ ТЕПЛОВІ</v>
          </cell>
        </row>
        <row r="35">
          <cell r="AL35">
            <v>395</v>
          </cell>
        </row>
        <row r="36">
          <cell r="AL36">
            <v>336</v>
          </cell>
        </row>
        <row r="37">
          <cell r="AL37">
            <v>0</v>
          </cell>
        </row>
        <row r="39">
          <cell r="AL39">
            <v>0</v>
          </cell>
        </row>
        <row r="40">
          <cell r="AL40">
            <v>0</v>
          </cell>
        </row>
        <row r="41">
          <cell r="AL41">
            <v>395.6</v>
          </cell>
        </row>
        <row r="42">
          <cell r="P42">
            <v>0</v>
          </cell>
          <cell r="AL42">
            <v>395.6</v>
          </cell>
        </row>
        <row r="43">
          <cell r="AL43">
            <v>1580</v>
          </cell>
          <cell r="AM43">
            <v>1580</v>
          </cell>
        </row>
        <row r="44">
          <cell r="AL44">
            <v>0</v>
          </cell>
          <cell r="AM44">
            <v>0</v>
          </cell>
        </row>
        <row r="45">
          <cell r="AL45">
            <v>1580</v>
          </cell>
          <cell r="AM45">
            <v>1580</v>
          </cell>
        </row>
        <row r="46">
          <cell r="F46">
            <v>3213.1666666666652</v>
          </cell>
          <cell r="P46">
            <v>2641.6000000000004</v>
          </cell>
          <cell r="S46">
            <v>8041.218181818178</v>
          </cell>
          <cell r="T46">
            <v>4194.2120000000004</v>
          </cell>
          <cell r="U46">
            <v>2131.2061818181819</v>
          </cell>
          <cell r="X46">
            <v>2404.6545454545439</v>
          </cell>
          <cell r="AC46">
            <v>1313.2</v>
          </cell>
          <cell r="AF46">
            <v>3816.2</v>
          </cell>
          <cell r="AG46">
            <v>3162.08</v>
          </cell>
          <cell r="AH46">
            <v>654.12</v>
          </cell>
        </row>
        <row r="47">
          <cell r="F47">
            <v>0.8</v>
          </cell>
          <cell r="P47">
            <v>0.8</v>
          </cell>
          <cell r="S47">
            <v>0.8</v>
          </cell>
          <cell r="X47">
            <v>0.8</v>
          </cell>
          <cell r="AC47">
            <v>0.8</v>
          </cell>
          <cell r="AF47">
            <v>0.8</v>
          </cell>
          <cell r="AG47">
            <v>0.8</v>
          </cell>
          <cell r="AH47">
            <v>0.8</v>
          </cell>
        </row>
        <row r="49">
          <cell r="F49">
            <v>204.8</v>
          </cell>
          <cell r="G49">
            <v>45</v>
          </cell>
          <cell r="H49">
            <v>159.80000000000001</v>
          </cell>
          <cell r="P49">
            <v>401.6</v>
          </cell>
          <cell r="S49">
            <v>625.40000000000009</v>
          </cell>
          <cell r="T49">
            <v>312.70000000000005</v>
          </cell>
          <cell r="U49">
            <v>312.70000000000005</v>
          </cell>
          <cell r="X49">
            <v>206.4</v>
          </cell>
          <cell r="Y49">
            <v>64</v>
          </cell>
          <cell r="Z49">
            <v>142.4</v>
          </cell>
          <cell r="AC49">
            <v>174.4</v>
          </cell>
          <cell r="AD49">
            <v>57</v>
          </cell>
          <cell r="AE49">
            <v>117.4</v>
          </cell>
          <cell r="AF49">
            <v>468.8</v>
          </cell>
          <cell r="AG49">
            <v>469</v>
          </cell>
          <cell r="AH49">
            <v>-0.19999999999998863</v>
          </cell>
          <cell r="AK49">
            <v>2200.0000000000005</v>
          </cell>
          <cell r="AL49">
            <v>662</v>
          </cell>
          <cell r="AM49">
            <v>1538.0000000000005</v>
          </cell>
          <cell r="AN49">
            <v>121</v>
          </cell>
          <cell r="AO49">
            <v>472</v>
          </cell>
          <cell r="AP49">
            <v>541</v>
          </cell>
          <cell r="AQ49">
            <v>1066.0000000000005</v>
          </cell>
        </row>
        <row r="50">
          <cell r="F50">
            <v>158</v>
          </cell>
          <cell r="G50">
            <v>35</v>
          </cell>
          <cell r="H50" t="e">
            <v>#DIV/0!</v>
          </cell>
          <cell r="P50">
            <v>56</v>
          </cell>
          <cell r="S50">
            <v>625</v>
          </cell>
          <cell r="T50">
            <v>19500</v>
          </cell>
          <cell r="U50">
            <v>0</v>
          </cell>
          <cell r="X50">
            <v>75</v>
          </cell>
          <cell r="Y50">
            <v>23</v>
          </cell>
          <cell r="Z50">
            <v>52</v>
          </cell>
          <cell r="AC50">
            <v>40</v>
          </cell>
          <cell r="AD50">
            <v>13</v>
          </cell>
          <cell r="AE50">
            <v>27</v>
          </cell>
          <cell r="AF50">
            <v>436</v>
          </cell>
          <cell r="AG50">
            <v>436</v>
          </cell>
          <cell r="AH50">
            <v>0</v>
          </cell>
          <cell r="AK50">
            <v>1424</v>
          </cell>
          <cell r="AL50">
            <v>158</v>
          </cell>
          <cell r="AM50">
            <v>1266</v>
          </cell>
        </row>
        <row r="51">
          <cell r="F51">
            <v>0</v>
          </cell>
          <cell r="G51">
            <v>0</v>
          </cell>
          <cell r="H51" t="e">
            <v>#DIV/0!</v>
          </cell>
          <cell r="P51">
            <v>1</v>
          </cell>
          <cell r="T51">
            <v>0</v>
          </cell>
          <cell r="U51">
            <v>0</v>
          </cell>
          <cell r="X51">
            <v>18</v>
          </cell>
          <cell r="Y51">
            <v>6</v>
          </cell>
          <cell r="Z51">
            <v>12</v>
          </cell>
          <cell r="AC51">
            <v>47</v>
          </cell>
          <cell r="AD51">
            <v>15</v>
          </cell>
          <cell r="AE51">
            <v>32</v>
          </cell>
          <cell r="AF51">
            <v>0</v>
          </cell>
          <cell r="AH51">
            <v>0</v>
          </cell>
          <cell r="AK51">
            <v>66</v>
          </cell>
          <cell r="AL51">
            <v>22</v>
          </cell>
          <cell r="AM51">
            <v>44</v>
          </cell>
        </row>
        <row r="52">
          <cell r="F52">
            <v>46.800000000000011</v>
          </cell>
          <cell r="G52">
            <v>10</v>
          </cell>
          <cell r="P52">
            <v>10</v>
          </cell>
          <cell r="X52">
            <v>0</v>
          </cell>
          <cell r="Y52">
            <v>0</v>
          </cell>
          <cell r="Z52">
            <v>0</v>
          </cell>
          <cell r="AC52">
            <v>20</v>
          </cell>
          <cell r="AD52">
            <v>7</v>
          </cell>
          <cell r="AE52">
            <v>13</v>
          </cell>
          <cell r="AF52">
            <v>25.6</v>
          </cell>
          <cell r="AG52">
            <v>25.6</v>
          </cell>
          <cell r="AH52">
            <v>0</v>
          </cell>
          <cell r="AK52">
            <v>102.4</v>
          </cell>
          <cell r="AL52">
            <v>27</v>
          </cell>
          <cell r="AM52">
            <v>75.400000000000006</v>
          </cell>
        </row>
        <row r="53">
          <cell r="F53">
            <v>8.2666666666666675</v>
          </cell>
          <cell r="G53">
            <v>2</v>
          </cell>
          <cell r="H53">
            <v>6.2666666666666675</v>
          </cell>
          <cell r="P53">
            <v>44.800000000000004</v>
          </cell>
          <cell r="S53">
            <v>307.20000000000005</v>
          </cell>
          <cell r="T53">
            <v>239.61600000000004</v>
          </cell>
          <cell r="U53">
            <v>67.584000000000003</v>
          </cell>
          <cell r="X53">
            <v>881.6</v>
          </cell>
          <cell r="Y53">
            <v>273</v>
          </cell>
          <cell r="Z53">
            <v>608.6</v>
          </cell>
          <cell r="AC53">
            <v>76</v>
          </cell>
          <cell r="AD53">
            <v>25</v>
          </cell>
          <cell r="AE53">
            <v>51</v>
          </cell>
          <cell r="AF53">
            <v>164</v>
          </cell>
          <cell r="AG53">
            <v>160.80000000000001</v>
          </cell>
          <cell r="AH53">
            <v>3.1999999999999886</v>
          </cell>
          <cell r="AK53">
            <v>1483.0666666666668</v>
          </cell>
          <cell r="AL53">
            <v>347.2</v>
          </cell>
          <cell r="AM53">
            <v>1135.8666666666668</v>
          </cell>
          <cell r="AN53">
            <v>298</v>
          </cell>
          <cell r="AO53">
            <v>764</v>
          </cell>
          <cell r="AP53">
            <v>49.199999999999989</v>
          </cell>
          <cell r="AQ53">
            <v>371.86666666666679</v>
          </cell>
        </row>
        <row r="54">
          <cell r="F54">
            <v>0</v>
          </cell>
          <cell r="G54">
            <v>0</v>
          </cell>
          <cell r="H54">
            <v>0</v>
          </cell>
          <cell r="S54">
            <v>16.8</v>
          </cell>
          <cell r="T54">
            <v>16.8</v>
          </cell>
          <cell r="U54">
            <v>0</v>
          </cell>
          <cell r="X54">
            <v>777.6</v>
          </cell>
          <cell r="Y54">
            <v>241</v>
          </cell>
          <cell r="Z54">
            <v>536.6</v>
          </cell>
          <cell r="AC54">
            <v>11.200000000000001</v>
          </cell>
          <cell r="AD54">
            <v>4</v>
          </cell>
          <cell r="AE54">
            <v>7.2000000000000011</v>
          </cell>
          <cell r="AH54">
            <v>0</v>
          </cell>
          <cell r="AK54">
            <v>805.6</v>
          </cell>
          <cell r="AL54">
            <v>245</v>
          </cell>
          <cell r="AM54">
            <v>560.6</v>
          </cell>
          <cell r="AN54">
            <v>245</v>
          </cell>
          <cell r="AO54">
            <v>550</v>
          </cell>
          <cell r="AP54">
            <v>0</v>
          </cell>
          <cell r="AQ54">
            <v>10.600000000000023</v>
          </cell>
        </row>
        <row r="55">
          <cell r="F55">
            <v>0</v>
          </cell>
          <cell r="G55">
            <v>0</v>
          </cell>
          <cell r="H55">
            <v>0</v>
          </cell>
          <cell r="S55">
            <v>18925</v>
          </cell>
          <cell r="T55">
            <v>18925</v>
          </cell>
          <cell r="U55">
            <v>0</v>
          </cell>
          <cell r="X55">
            <v>22509</v>
          </cell>
          <cell r="Y55">
            <v>8375.0975609756097</v>
          </cell>
          <cell r="Z55">
            <v>14133.90243902439</v>
          </cell>
          <cell r="AC55">
            <v>20437</v>
          </cell>
          <cell r="AD55">
            <v>8330.4774346793329</v>
          </cell>
          <cell r="AE55">
            <v>12106.522565320667</v>
          </cell>
          <cell r="AH55">
            <v>0</v>
          </cell>
          <cell r="AK55">
            <v>61871</v>
          </cell>
          <cell r="AL55">
            <v>16705.574995654941</v>
          </cell>
          <cell r="AM55">
            <v>45165.425004345059</v>
          </cell>
          <cell r="AN55">
            <v>16705.574995654941</v>
          </cell>
          <cell r="AO55">
            <v>45165</v>
          </cell>
          <cell r="AP55">
            <v>0</v>
          </cell>
          <cell r="AQ55">
            <v>0.42500434505927842</v>
          </cell>
        </row>
        <row r="56">
          <cell r="F56">
            <v>0</v>
          </cell>
          <cell r="G56">
            <v>0</v>
          </cell>
          <cell r="H56">
            <v>0</v>
          </cell>
          <cell r="P56">
            <v>0</v>
          </cell>
          <cell r="S56">
            <v>18925</v>
          </cell>
          <cell r="T56">
            <v>18925</v>
          </cell>
          <cell r="U56">
            <v>0</v>
          </cell>
          <cell r="X56">
            <v>22509</v>
          </cell>
          <cell r="Y56">
            <v>8375.0975609756097</v>
          </cell>
          <cell r="Z56">
            <v>14133.90243902439</v>
          </cell>
          <cell r="AC56">
            <v>20437</v>
          </cell>
          <cell r="AD56">
            <v>8330.4774346793329</v>
          </cell>
          <cell r="AE56">
            <v>12106.522565320667</v>
          </cell>
          <cell r="AF56">
            <v>0</v>
          </cell>
          <cell r="AG56">
            <v>0</v>
          </cell>
          <cell r="AH56">
            <v>0</v>
          </cell>
          <cell r="AI56">
            <v>0</v>
          </cell>
          <cell r="AK56">
            <v>61871</v>
          </cell>
          <cell r="AL56">
            <v>16705.574995654941</v>
          </cell>
          <cell r="AM56">
            <v>45165.425004345059</v>
          </cell>
          <cell r="AN56">
            <v>16705.574995654941</v>
          </cell>
          <cell r="AO56">
            <v>45165</v>
          </cell>
          <cell r="AP56">
            <v>0</v>
          </cell>
          <cell r="AQ56">
            <v>0.42500434505927842</v>
          </cell>
        </row>
        <row r="57">
          <cell r="F57">
            <v>0</v>
          </cell>
          <cell r="G57">
            <v>0</v>
          </cell>
          <cell r="H57">
            <v>0</v>
          </cell>
          <cell r="T57">
            <v>0</v>
          </cell>
          <cell r="U57">
            <v>0</v>
          </cell>
          <cell r="AF57">
            <v>0</v>
          </cell>
          <cell r="AH57">
            <v>0</v>
          </cell>
          <cell r="AK57">
            <v>0</v>
          </cell>
          <cell r="AL57">
            <v>0</v>
          </cell>
          <cell r="AM57">
            <v>0</v>
          </cell>
          <cell r="AO57">
            <v>0</v>
          </cell>
        </row>
        <row r="58">
          <cell r="F58">
            <v>2.4000000000000004</v>
          </cell>
          <cell r="G58">
            <v>1</v>
          </cell>
          <cell r="H58">
            <v>1.4000000000000004</v>
          </cell>
          <cell r="P58">
            <v>72.8</v>
          </cell>
          <cell r="S58">
            <v>2599.8000000000002</v>
          </cell>
          <cell r="T58">
            <v>2599.8000000000002</v>
          </cell>
          <cell r="U58">
            <v>0</v>
          </cell>
          <cell r="X58">
            <v>0</v>
          </cell>
          <cell r="Y58">
            <v>0</v>
          </cell>
          <cell r="Z58">
            <v>0</v>
          </cell>
          <cell r="AC58">
            <v>0</v>
          </cell>
          <cell r="AD58">
            <v>0</v>
          </cell>
          <cell r="AE58">
            <v>0</v>
          </cell>
          <cell r="AF58">
            <v>723.2</v>
          </cell>
          <cell r="AG58">
            <v>253.12</v>
          </cell>
          <cell r="AH58">
            <v>470.08000000000004</v>
          </cell>
          <cell r="AK58">
            <v>2928.12</v>
          </cell>
          <cell r="AL58">
            <v>73.8</v>
          </cell>
          <cell r="AM58">
            <v>2854.3199999999997</v>
          </cell>
          <cell r="AN58">
            <v>0</v>
          </cell>
          <cell r="AO58">
            <v>884</v>
          </cell>
          <cell r="AP58">
            <v>73.8</v>
          </cell>
          <cell r="AQ58">
            <v>1970.3199999999997</v>
          </cell>
        </row>
        <row r="59">
          <cell r="F59">
            <v>281</v>
          </cell>
          <cell r="G59">
            <v>62</v>
          </cell>
          <cell r="H59">
            <v>219</v>
          </cell>
          <cell r="P59">
            <v>477</v>
          </cell>
          <cell r="S59">
            <v>928.27272727272725</v>
          </cell>
          <cell r="T59">
            <v>454.85363636363633</v>
          </cell>
          <cell r="U59">
            <v>473.41909090909093</v>
          </cell>
          <cell r="X59">
            <v>272.81818181818181</v>
          </cell>
          <cell r="Y59">
            <v>85</v>
          </cell>
          <cell r="Z59">
            <v>187.81818181818181</v>
          </cell>
          <cell r="AC59">
            <v>242</v>
          </cell>
          <cell r="AD59">
            <v>79</v>
          </cell>
          <cell r="AE59">
            <v>163</v>
          </cell>
          <cell r="AF59">
            <v>959</v>
          </cell>
          <cell r="AG59">
            <v>906</v>
          </cell>
          <cell r="AH59">
            <v>53</v>
          </cell>
          <cell r="AI59">
            <v>202.90909090909091</v>
          </cell>
          <cell r="AK59">
            <v>3552</v>
          </cell>
          <cell r="AL59">
            <v>862</v>
          </cell>
          <cell r="AM59">
            <v>2690</v>
          </cell>
          <cell r="AN59">
            <v>164</v>
          </cell>
          <cell r="AO59">
            <v>666</v>
          </cell>
          <cell r="AP59">
            <v>698</v>
          </cell>
          <cell r="AQ59">
            <v>2024</v>
          </cell>
        </row>
        <row r="60">
          <cell r="F60">
            <v>15</v>
          </cell>
          <cell r="G60">
            <v>3</v>
          </cell>
          <cell r="H60">
            <v>12</v>
          </cell>
          <cell r="P60">
            <v>26</v>
          </cell>
          <cell r="S60">
            <v>51</v>
          </cell>
          <cell r="T60">
            <v>25</v>
          </cell>
          <cell r="U60">
            <v>26</v>
          </cell>
          <cell r="X60">
            <v>15</v>
          </cell>
          <cell r="Y60">
            <v>5</v>
          </cell>
          <cell r="Z60">
            <v>10</v>
          </cell>
          <cell r="AC60">
            <v>13</v>
          </cell>
          <cell r="AD60">
            <v>4</v>
          </cell>
          <cell r="AE60">
            <v>9</v>
          </cell>
          <cell r="AF60">
            <v>53</v>
          </cell>
          <cell r="AG60">
            <v>50</v>
          </cell>
          <cell r="AH60">
            <v>3</v>
          </cell>
          <cell r="AI60">
            <v>11</v>
          </cell>
          <cell r="AK60">
            <v>195</v>
          </cell>
          <cell r="AL60">
            <v>47</v>
          </cell>
          <cell r="AM60">
            <v>148</v>
          </cell>
          <cell r="AN60">
            <v>9</v>
          </cell>
          <cell r="AO60">
            <v>28</v>
          </cell>
          <cell r="AP60">
            <v>38</v>
          </cell>
          <cell r="AQ60">
            <v>120</v>
          </cell>
        </row>
        <row r="61">
          <cell r="F61">
            <v>88</v>
          </cell>
          <cell r="G61">
            <v>19</v>
          </cell>
          <cell r="H61">
            <v>69</v>
          </cell>
          <cell r="P61">
            <v>153</v>
          </cell>
          <cell r="S61">
            <v>297</v>
          </cell>
          <cell r="T61">
            <v>146</v>
          </cell>
          <cell r="U61">
            <v>151</v>
          </cell>
          <cell r="X61">
            <v>87</v>
          </cell>
          <cell r="Y61">
            <v>27</v>
          </cell>
          <cell r="Z61">
            <v>60</v>
          </cell>
          <cell r="AC61">
            <v>77</v>
          </cell>
          <cell r="AD61">
            <v>25</v>
          </cell>
          <cell r="AE61">
            <v>52</v>
          </cell>
          <cell r="AF61">
            <v>307</v>
          </cell>
          <cell r="AG61">
            <v>290</v>
          </cell>
          <cell r="AH61">
            <v>17</v>
          </cell>
          <cell r="AI61">
            <v>65</v>
          </cell>
          <cell r="AK61">
            <v>1135</v>
          </cell>
          <cell r="AL61">
            <v>276</v>
          </cell>
          <cell r="AM61">
            <v>859</v>
          </cell>
          <cell r="AN61">
            <v>0</v>
          </cell>
          <cell r="AO61">
            <v>0</v>
          </cell>
          <cell r="AP61">
            <v>0</v>
          </cell>
          <cell r="AQ61">
            <v>0</v>
          </cell>
        </row>
        <row r="62">
          <cell r="F62">
            <v>0</v>
          </cell>
          <cell r="G62">
            <v>0</v>
          </cell>
          <cell r="H62" t="str">
            <v xml:space="preserve"> Т/Е</v>
          </cell>
          <cell r="P62">
            <v>0</v>
          </cell>
          <cell r="S62" t="str">
            <v xml:space="preserve">ТМ </v>
          </cell>
          <cell r="T62" t="str">
            <v>ВИРОБН</v>
          </cell>
          <cell r="U62" t="str">
            <v>ПЕРЕД</v>
          </cell>
          <cell r="X62">
            <v>0</v>
          </cell>
          <cell r="Y62" t="str">
            <v>Е/Е</v>
          </cell>
          <cell r="Z62" t="str">
            <v xml:space="preserve"> Т/Е</v>
          </cell>
          <cell r="AC62" t="str">
            <v>ТЕЦ-6 ВСЬОГО</v>
          </cell>
          <cell r="AD62" t="str">
            <v>Е/Е</v>
          </cell>
          <cell r="AE62" t="str">
            <v xml:space="preserve"> Т/Е</v>
          </cell>
          <cell r="AF62" t="str">
            <v>ТРМ ВСЬОГО</v>
          </cell>
          <cell r="AG62" t="str">
            <v>ТРМ  АК КЕ</v>
          </cell>
          <cell r="AH62">
            <v>0</v>
          </cell>
          <cell r="AJ62" t="str">
            <v>ДОП.ВИР. СТ.ОРГ.</v>
          </cell>
          <cell r="AK62">
            <v>0</v>
          </cell>
          <cell r="AL62" t="str">
            <v xml:space="preserve"> Т/Е</v>
          </cell>
        </row>
        <row r="63">
          <cell r="F63">
            <v>87.333333333333329</v>
          </cell>
          <cell r="G63">
            <v>19</v>
          </cell>
          <cell r="H63">
            <v>68.333333333333329</v>
          </cell>
          <cell r="P63">
            <v>586</v>
          </cell>
          <cell r="S63">
            <v>1295</v>
          </cell>
          <cell r="T63">
            <v>207.20000000000002</v>
          </cell>
          <cell r="U63">
            <v>1087.8</v>
          </cell>
          <cell r="X63">
            <v>752</v>
          </cell>
          <cell r="Y63">
            <v>233</v>
          </cell>
          <cell r="Z63">
            <v>519</v>
          </cell>
          <cell r="AC63">
            <v>734</v>
          </cell>
          <cell r="AD63">
            <v>240</v>
          </cell>
          <cell r="AE63">
            <v>494</v>
          </cell>
          <cell r="AF63">
            <v>553</v>
          </cell>
          <cell r="AG63">
            <v>538</v>
          </cell>
          <cell r="AH63">
            <v>15</v>
          </cell>
          <cell r="AK63">
            <v>4002.3333333333335</v>
          </cell>
          <cell r="AL63">
            <v>1086</v>
          </cell>
          <cell r="AM63">
            <v>2916.3333333333335</v>
          </cell>
          <cell r="AN63">
            <v>473</v>
          </cell>
          <cell r="AO63">
            <v>1453</v>
          </cell>
          <cell r="AP63">
            <v>613</v>
          </cell>
          <cell r="AQ63">
            <v>1463.3333333333335</v>
          </cell>
        </row>
        <row r="64">
          <cell r="G64">
            <v>0</v>
          </cell>
          <cell r="T64">
            <v>21</v>
          </cell>
          <cell r="U64">
            <v>109</v>
          </cell>
          <cell r="AH64">
            <v>0</v>
          </cell>
          <cell r="AI64">
            <v>0</v>
          </cell>
          <cell r="AJ64">
            <v>0</v>
          </cell>
          <cell r="AK64">
            <v>0</v>
          </cell>
          <cell r="AN64">
            <v>47</v>
          </cell>
          <cell r="AO64">
            <v>145</v>
          </cell>
          <cell r="AP64">
            <v>61</v>
          </cell>
          <cell r="AQ64">
            <v>146</v>
          </cell>
        </row>
        <row r="65">
          <cell r="F65">
            <v>87</v>
          </cell>
          <cell r="G65">
            <v>19</v>
          </cell>
          <cell r="H65">
            <v>68</v>
          </cell>
          <cell r="P65">
            <v>627.20000000000005</v>
          </cell>
          <cell r="S65">
            <v>1365.6</v>
          </cell>
          <cell r="T65">
            <v>0</v>
          </cell>
          <cell r="U65">
            <v>0</v>
          </cell>
          <cell r="X65">
            <v>175.20000000000002</v>
          </cell>
          <cell r="Y65">
            <v>0</v>
          </cell>
          <cell r="Z65">
            <v>0</v>
          </cell>
          <cell r="AC65">
            <v>159.20000000000002</v>
          </cell>
          <cell r="AD65">
            <v>0</v>
          </cell>
          <cell r="AE65">
            <v>0</v>
          </cell>
          <cell r="AF65">
            <v>444.2</v>
          </cell>
          <cell r="AG65">
            <v>367.2</v>
          </cell>
          <cell r="AH65">
            <v>0</v>
          </cell>
          <cell r="AK65">
            <v>2781.3999999999996</v>
          </cell>
          <cell r="AL65">
            <v>646.20000000000005</v>
          </cell>
          <cell r="AM65">
            <v>2135.1999999999998</v>
          </cell>
          <cell r="AO65">
            <v>376</v>
          </cell>
        </row>
        <row r="66">
          <cell r="F66">
            <v>0</v>
          </cell>
          <cell r="G66">
            <v>0</v>
          </cell>
          <cell r="H66" t="e">
            <v>#DIV/0!</v>
          </cell>
          <cell r="P66">
            <v>0</v>
          </cell>
          <cell r="S66">
            <v>0</v>
          </cell>
          <cell r="T66">
            <v>0</v>
          </cell>
          <cell r="U66">
            <v>0</v>
          </cell>
          <cell r="X66">
            <v>0</v>
          </cell>
          <cell r="Y66">
            <v>0</v>
          </cell>
          <cell r="Z66">
            <v>0</v>
          </cell>
          <cell r="AC66">
            <v>0</v>
          </cell>
          <cell r="AD66">
            <v>0</v>
          </cell>
          <cell r="AE66">
            <v>0</v>
          </cell>
          <cell r="AF66">
            <v>0</v>
          </cell>
          <cell r="AG66">
            <v>0</v>
          </cell>
          <cell r="AH66">
            <v>0</v>
          </cell>
          <cell r="AK66">
            <v>0</v>
          </cell>
          <cell r="AL66">
            <v>0</v>
          </cell>
          <cell r="AM66">
            <v>0</v>
          </cell>
          <cell r="AO66">
            <v>0</v>
          </cell>
        </row>
        <row r="67">
          <cell r="F67">
            <v>0</v>
          </cell>
          <cell r="G67">
            <v>0</v>
          </cell>
          <cell r="H67">
            <v>0.3333333333333286</v>
          </cell>
          <cell r="P67">
            <v>-41.200000000000045</v>
          </cell>
          <cell r="S67">
            <v>-70.599999999999909</v>
          </cell>
          <cell r="T67">
            <v>186.20000000000002</v>
          </cell>
          <cell r="U67">
            <v>978.8</v>
          </cell>
          <cell r="X67">
            <v>576.79999999999995</v>
          </cell>
          <cell r="Y67">
            <v>233</v>
          </cell>
          <cell r="Z67">
            <v>519</v>
          </cell>
          <cell r="AC67">
            <v>574.79999999999995</v>
          </cell>
          <cell r="AD67">
            <v>240</v>
          </cell>
          <cell r="AE67">
            <v>494</v>
          </cell>
          <cell r="AF67">
            <v>108.80000000000001</v>
          </cell>
          <cell r="AG67">
            <v>170.8</v>
          </cell>
          <cell r="AH67">
            <v>-62</v>
          </cell>
          <cell r="AI67">
            <v>0</v>
          </cell>
          <cell r="AJ67">
            <v>0</v>
          </cell>
          <cell r="AK67">
            <v>1220.5999999999999</v>
          </cell>
          <cell r="AN67">
            <v>426</v>
          </cell>
          <cell r="AO67">
            <v>932</v>
          </cell>
          <cell r="AP67">
            <v>552</v>
          </cell>
          <cell r="AQ67">
            <v>1317.3333333333335</v>
          </cell>
        </row>
        <row r="68">
          <cell r="F68">
            <v>133.60000000000002</v>
          </cell>
          <cell r="G68">
            <v>29</v>
          </cell>
          <cell r="H68">
            <v>104.60000000000002</v>
          </cell>
          <cell r="P68">
            <v>699.4</v>
          </cell>
          <cell r="S68">
            <v>1291.1454545454546</v>
          </cell>
          <cell r="T68">
            <v>322.78636363636366</v>
          </cell>
          <cell r="U68">
            <v>968.35909090909104</v>
          </cell>
          <cell r="X68">
            <v>661.0363636363636</v>
          </cell>
          <cell r="Y68">
            <v>205</v>
          </cell>
          <cell r="Z68">
            <v>456.0363636363636</v>
          </cell>
          <cell r="AC68">
            <v>482.8</v>
          </cell>
          <cell r="AD68">
            <v>158</v>
          </cell>
          <cell r="AE68">
            <v>324.8</v>
          </cell>
          <cell r="AF68">
            <v>506</v>
          </cell>
          <cell r="AG68">
            <v>506</v>
          </cell>
          <cell r="AH68">
            <v>0</v>
          </cell>
          <cell r="AK68">
            <v>3773.9818181818182</v>
          </cell>
          <cell r="AL68">
            <v>1091.4000000000001</v>
          </cell>
          <cell r="AM68">
            <v>2682.5818181818181</v>
          </cell>
          <cell r="AN68">
            <v>363</v>
          </cell>
          <cell r="AO68">
            <v>1220</v>
          </cell>
          <cell r="AP68">
            <v>728.40000000000009</v>
          </cell>
          <cell r="AQ68">
            <v>1462.5818181818181</v>
          </cell>
        </row>
        <row r="69">
          <cell r="G69">
            <v>0</v>
          </cell>
          <cell r="H69">
            <v>0</v>
          </cell>
          <cell r="P69">
            <v>51</v>
          </cell>
          <cell r="S69">
            <v>296.72727272727275</v>
          </cell>
          <cell r="X69">
            <v>202.18181818181819</v>
          </cell>
          <cell r="Y69">
            <v>63</v>
          </cell>
          <cell r="Z69">
            <v>139.18181818181819</v>
          </cell>
          <cell r="AC69">
            <v>147</v>
          </cell>
          <cell r="AD69">
            <v>48</v>
          </cell>
          <cell r="AE69">
            <v>99</v>
          </cell>
          <cell r="AF69">
            <v>88</v>
          </cell>
          <cell r="AG69">
            <v>88</v>
          </cell>
          <cell r="AH69">
            <v>0</v>
          </cell>
          <cell r="AK69">
            <v>784.90909090909099</v>
          </cell>
          <cell r="AL69">
            <v>162</v>
          </cell>
          <cell r="AM69">
            <v>622.90909090909099</v>
          </cell>
        </row>
        <row r="70">
          <cell r="F70">
            <v>0</v>
          </cell>
          <cell r="G70">
            <v>0</v>
          </cell>
          <cell r="H70">
            <v>0</v>
          </cell>
          <cell r="P70">
            <v>3</v>
          </cell>
          <cell r="S70">
            <v>17</v>
          </cell>
          <cell r="X70">
            <v>11</v>
          </cell>
          <cell r="Y70">
            <v>3</v>
          </cell>
          <cell r="Z70">
            <v>8</v>
          </cell>
          <cell r="AC70">
            <v>8</v>
          </cell>
          <cell r="AD70">
            <v>3</v>
          </cell>
          <cell r="AE70">
            <v>5</v>
          </cell>
          <cell r="AF70">
            <v>5</v>
          </cell>
          <cell r="AG70">
            <v>5</v>
          </cell>
          <cell r="AH70">
            <v>0</v>
          </cell>
          <cell r="AK70">
            <v>44</v>
          </cell>
          <cell r="AL70">
            <v>9</v>
          </cell>
          <cell r="AM70">
            <v>35</v>
          </cell>
        </row>
        <row r="71">
          <cell r="F71">
            <v>0</v>
          </cell>
          <cell r="G71">
            <v>0</v>
          </cell>
          <cell r="H71">
            <v>0</v>
          </cell>
          <cell r="P71">
            <v>16</v>
          </cell>
          <cell r="S71">
            <v>95</v>
          </cell>
          <cell r="X71">
            <v>65</v>
          </cell>
          <cell r="Y71">
            <v>20</v>
          </cell>
          <cell r="Z71">
            <v>45</v>
          </cell>
          <cell r="AC71">
            <v>48</v>
          </cell>
          <cell r="AD71">
            <v>16</v>
          </cell>
          <cell r="AE71">
            <v>32</v>
          </cell>
          <cell r="AF71">
            <v>28</v>
          </cell>
          <cell r="AG71">
            <v>28</v>
          </cell>
          <cell r="AH71">
            <v>0</v>
          </cell>
          <cell r="AK71">
            <v>252</v>
          </cell>
          <cell r="AL71">
            <v>52</v>
          </cell>
          <cell r="AM71">
            <v>200</v>
          </cell>
        </row>
        <row r="72">
          <cell r="F72">
            <v>0</v>
          </cell>
          <cell r="G72">
            <v>0</v>
          </cell>
          <cell r="X72">
            <v>0</v>
          </cell>
          <cell r="AC72">
            <v>0</v>
          </cell>
          <cell r="AF72">
            <v>0</v>
          </cell>
          <cell r="AG72">
            <v>0</v>
          </cell>
          <cell r="AH72">
            <v>0</v>
          </cell>
          <cell r="AK72">
            <v>0</v>
          </cell>
          <cell r="AL72">
            <v>0</v>
          </cell>
          <cell r="AM72">
            <v>0</v>
          </cell>
        </row>
        <row r="73">
          <cell r="G73">
            <v>0</v>
          </cell>
          <cell r="P73">
            <v>699.4</v>
          </cell>
          <cell r="S73">
            <v>0</v>
          </cell>
          <cell r="X73">
            <v>0</v>
          </cell>
          <cell r="Y73">
            <v>0</v>
          </cell>
          <cell r="Z73">
            <v>0</v>
          </cell>
          <cell r="AC73">
            <v>0</v>
          </cell>
          <cell r="AD73">
            <v>0</v>
          </cell>
          <cell r="AE73">
            <v>0</v>
          </cell>
          <cell r="AF73">
            <v>0</v>
          </cell>
          <cell r="AG73">
            <v>0</v>
          </cell>
          <cell r="AH73">
            <v>0</v>
          </cell>
          <cell r="AK73">
            <v>699.4</v>
          </cell>
          <cell r="AL73">
            <v>699.4</v>
          </cell>
          <cell r="AM73">
            <v>0</v>
          </cell>
        </row>
        <row r="74">
          <cell r="G74">
            <v>0</v>
          </cell>
          <cell r="P74">
            <v>0</v>
          </cell>
          <cell r="S74">
            <v>0</v>
          </cell>
          <cell r="X74">
            <v>0</v>
          </cell>
          <cell r="Z74">
            <v>0</v>
          </cell>
          <cell r="AC74">
            <v>0</v>
          </cell>
          <cell r="AD74">
            <v>0</v>
          </cell>
          <cell r="AE74">
            <v>0</v>
          </cell>
          <cell r="AH74">
            <v>0</v>
          </cell>
          <cell r="AK74">
            <v>0</v>
          </cell>
          <cell r="AL74">
            <v>0</v>
          </cell>
          <cell r="AM74">
            <v>0</v>
          </cell>
        </row>
        <row r="75">
          <cell r="F75">
            <v>1431.9</v>
          </cell>
          <cell r="G75">
            <v>316</v>
          </cell>
          <cell r="H75">
            <v>1115.9000000000001</v>
          </cell>
          <cell r="P75">
            <v>91.000000000000014</v>
          </cell>
          <cell r="S75">
            <v>225.60000000000002</v>
          </cell>
          <cell r="T75">
            <v>93.456000000000003</v>
          </cell>
          <cell r="U75">
            <v>132.14400000000001</v>
          </cell>
          <cell r="X75">
            <v>92.000000000000014</v>
          </cell>
          <cell r="Y75">
            <v>29</v>
          </cell>
          <cell r="Z75">
            <v>63.000000000000014</v>
          </cell>
          <cell r="AC75">
            <v>67.2</v>
          </cell>
          <cell r="AD75">
            <v>22</v>
          </cell>
          <cell r="AE75">
            <v>45.2</v>
          </cell>
          <cell r="AF75">
            <v>180</v>
          </cell>
          <cell r="AG75">
            <v>148.96</v>
          </cell>
          <cell r="AH75">
            <v>31.039999999999992</v>
          </cell>
          <cell r="AI75">
            <v>507.20000000000005</v>
          </cell>
          <cell r="AK75">
            <v>3022.5266666666666</v>
          </cell>
          <cell r="AL75">
            <v>667.6</v>
          </cell>
          <cell r="AM75">
            <v>2354.9266666666667</v>
          </cell>
          <cell r="AN75">
            <v>51</v>
          </cell>
          <cell r="AO75">
            <v>185</v>
          </cell>
          <cell r="AP75">
            <v>616.6</v>
          </cell>
          <cell r="AQ75">
            <v>2169.9266666666667</v>
          </cell>
        </row>
        <row r="76">
          <cell r="F76">
            <v>105</v>
          </cell>
          <cell r="G76">
            <v>23</v>
          </cell>
          <cell r="H76">
            <v>82</v>
          </cell>
          <cell r="T76">
            <v>0</v>
          </cell>
          <cell r="U76">
            <v>0</v>
          </cell>
          <cell r="Y76">
            <v>0</v>
          </cell>
          <cell r="Z76">
            <v>0</v>
          </cell>
          <cell r="AE76">
            <v>0</v>
          </cell>
          <cell r="AH76">
            <v>0</v>
          </cell>
          <cell r="AK76">
            <v>105</v>
          </cell>
          <cell r="AL76">
            <v>23</v>
          </cell>
          <cell r="AM76">
            <v>82</v>
          </cell>
          <cell r="AN76">
            <v>0</v>
          </cell>
          <cell r="AO76">
            <v>0</v>
          </cell>
          <cell r="AP76">
            <v>23</v>
          </cell>
          <cell r="AQ76">
            <v>82</v>
          </cell>
        </row>
        <row r="77">
          <cell r="F77">
            <v>1326.9</v>
          </cell>
          <cell r="G77">
            <v>293</v>
          </cell>
          <cell r="H77">
            <v>1033.9000000000001</v>
          </cell>
          <cell r="P77">
            <v>91.000000000000014</v>
          </cell>
          <cell r="S77">
            <v>225.60000000000002</v>
          </cell>
          <cell r="T77">
            <v>93.456000000000003</v>
          </cell>
          <cell r="U77">
            <v>132.14400000000001</v>
          </cell>
          <cell r="X77">
            <v>92.000000000000014</v>
          </cell>
          <cell r="Y77">
            <v>29</v>
          </cell>
          <cell r="Z77">
            <v>63.000000000000014</v>
          </cell>
          <cell r="AC77">
            <v>67.2</v>
          </cell>
          <cell r="AD77">
            <v>22</v>
          </cell>
          <cell r="AE77">
            <v>45.2</v>
          </cell>
          <cell r="AF77">
            <v>180</v>
          </cell>
          <cell r="AG77">
            <v>148.96</v>
          </cell>
          <cell r="AH77">
            <v>31.039999999999992</v>
          </cell>
          <cell r="AI77">
            <v>507.20000000000005</v>
          </cell>
          <cell r="AK77">
            <v>2917.5266666666666</v>
          </cell>
          <cell r="AL77">
            <v>644.6</v>
          </cell>
          <cell r="AM77">
            <v>2272.9266666666667</v>
          </cell>
          <cell r="AN77">
            <v>51</v>
          </cell>
          <cell r="AO77">
            <v>185</v>
          </cell>
          <cell r="AP77">
            <v>593.6</v>
          </cell>
          <cell r="AQ77">
            <v>2087.9266666666667</v>
          </cell>
        </row>
        <row r="78">
          <cell r="F78">
            <v>474.8</v>
          </cell>
          <cell r="G78">
            <v>105</v>
          </cell>
          <cell r="H78">
            <v>369.8</v>
          </cell>
          <cell r="P78">
            <v>52.800000000000004</v>
          </cell>
          <cell r="S78">
            <v>141.6</v>
          </cell>
          <cell r="T78">
            <v>93.456000000000003</v>
          </cell>
          <cell r="U78">
            <v>48.143999999999991</v>
          </cell>
          <cell r="X78">
            <v>44.800000000000004</v>
          </cell>
          <cell r="Y78">
            <v>14</v>
          </cell>
          <cell r="Z78">
            <v>30.800000000000004</v>
          </cell>
          <cell r="AC78">
            <v>34.4</v>
          </cell>
          <cell r="AD78">
            <v>22</v>
          </cell>
          <cell r="AE78">
            <v>12.399999999999999</v>
          </cell>
          <cell r="AF78">
            <v>130.4</v>
          </cell>
          <cell r="AG78">
            <v>119.2</v>
          </cell>
          <cell r="AH78">
            <v>11.200000000000003</v>
          </cell>
          <cell r="AK78">
            <v>947.59999999999991</v>
          </cell>
          <cell r="AL78">
            <v>239.4</v>
          </cell>
          <cell r="AM78">
            <v>708.19999999999993</v>
          </cell>
          <cell r="AQ78">
            <v>708.19999999999993</v>
          </cell>
        </row>
        <row r="79">
          <cell r="H79">
            <v>0</v>
          </cell>
          <cell r="S79">
            <v>0</v>
          </cell>
          <cell r="AK79">
            <v>363.66666666666663</v>
          </cell>
          <cell r="AL79">
            <v>158</v>
          </cell>
          <cell r="AM79">
            <v>205.66666666666663</v>
          </cell>
          <cell r="AQ79">
            <v>205.66666666666663</v>
          </cell>
        </row>
        <row r="80">
          <cell r="F80">
            <v>353.6</v>
          </cell>
          <cell r="G80">
            <v>78</v>
          </cell>
          <cell r="H80">
            <v>275.60000000000002</v>
          </cell>
          <cell r="P80">
            <v>19</v>
          </cell>
          <cell r="S80">
            <v>36.800000000000004</v>
          </cell>
          <cell r="X80">
            <v>38.400000000000006</v>
          </cell>
          <cell r="Y80">
            <v>12</v>
          </cell>
          <cell r="Z80">
            <v>26.400000000000006</v>
          </cell>
          <cell r="AC80">
            <v>7.2</v>
          </cell>
          <cell r="AF80">
            <v>9.6000000000000014</v>
          </cell>
          <cell r="AG80">
            <v>5.7600000000000007</v>
          </cell>
          <cell r="AH80">
            <v>3.8400000000000007</v>
          </cell>
          <cell r="AI80">
            <v>31.466666666666669</v>
          </cell>
          <cell r="AK80">
            <v>496.22666666666669</v>
          </cell>
          <cell r="AL80">
            <v>111</v>
          </cell>
          <cell r="AM80">
            <v>385.22666666666669</v>
          </cell>
        </row>
        <row r="81">
          <cell r="F81">
            <v>498.5</v>
          </cell>
          <cell r="G81">
            <v>110</v>
          </cell>
          <cell r="H81">
            <v>388.5</v>
          </cell>
          <cell r="P81">
            <v>19.200000000000003</v>
          </cell>
          <cell r="S81">
            <v>47.2</v>
          </cell>
          <cell r="X81">
            <v>8.8000000000000007</v>
          </cell>
          <cell r="Y81">
            <v>3</v>
          </cell>
          <cell r="Z81">
            <v>5.8000000000000007</v>
          </cell>
          <cell r="AC81">
            <v>25.6</v>
          </cell>
          <cell r="AF81">
            <v>40</v>
          </cell>
          <cell r="AG81">
            <v>24</v>
          </cell>
          <cell r="AH81">
            <v>16</v>
          </cell>
          <cell r="AI81">
            <v>475.73333333333335</v>
          </cell>
          <cell r="AK81">
            <v>1110.0333333333333</v>
          </cell>
          <cell r="AL81">
            <v>136.19999999999999</v>
          </cell>
          <cell r="AM81">
            <v>973.83333333333326</v>
          </cell>
        </row>
        <row r="82">
          <cell r="H82">
            <v>0</v>
          </cell>
          <cell r="Y82">
            <v>0</v>
          </cell>
          <cell r="Z82">
            <v>0</v>
          </cell>
          <cell r="AK82">
            <v>0</v>
          </cell>
          <cell r="AL82">
            <v>0</v>
          </cell>
          <cell r="AM82">
            <v>0</v>
          </cell>
        </row>
        <row r="83">
          <cell r="F83">
            <v>19.399999999999999</v>
          </cell>
          <cell r="G83">
            <v>0</v>
          </cell>
          <cell r="H83">
            <v>19.399999999999999</v>
          </cell>
          <cell r="P83">
            <v>3.1</v>
          </cell>
          <cell r="S83">
            <v>7.5</v>
          </cell>
          <cell r="X83">
            <v>3.1</v>
          </cell>
          <cell r="Y83">
            <v>1</v>
          </cell>
          <cell r="Z83">
            <v>2.1</v>
          </cell>
          <cell r="AC83">
            <v>1.7</v>
          </cell>
          <cell r="AF83">
            <v>4.8</v>
          </cell>
          <cell r="AH83">
            <v>4.8</v>
          </cell>
          <cell r="AK83">
            <v>35.800000000000004</v>
          </cell>
          <cell r="AL83">
            <v>5.0999999999999996</v>
          </cell>
          <cell r="AM83">
            <v>30.700000000000003</v>
          </cell>
        </row>
        <row r="84">
          <cell r="F84">
            <v>2252.3000000000002</v>
          </cell>
          <cell r="G84">
            <v>496</v>
          </cell>
          <cell r="H84">
            <v>1756.3000000000002</v>
          </cell>
          <cell r="P84">
            <v>2551.6</v>
          </cell>
          <cell r="Q84">
            <v>0</v>
          </cell>
          <cell r="R84">
            <v>0</v>
          </cell>
          <cell r="S84">
            <v>26545.418181818179</v>
          </cell>
          <cell r="T84">
            <v>23326.412</v>
          </cell>
          <cell r="U84">
            <v>3219.0061818181821</v>
          </cell>
          <cell r="X84">
            <v>25476.854545454546</v>
          </cell>
          <cell r="Y84">
            <v>9296.0975609756097</v>
          </cell>
          <cell r="Z84">
            <v>16180.756984478936</v>
          </cell>
          <cell r="AA84">
            <v>0</v>
          </cell>
          <cell r="AB84">
            <v>0</v>
          </cell>
          <cell r="AC84">
            <v>22303.4</v>
          </cell>
          <cell r="AD84">
            <v>8940.4774346793329</v>
          </cell>
          <cell r="AE84">
            <v>13362.922565320667</v>
          </cell>
          <cell r="AF84">
            <v>3914</v>
          </cell>
          <cell r="AG84">
            <v>3321.88</v>
          </cell>
          <cell r="AH84">
            <v>592.12</v>
          </cell>
          <cell r="AI84">
            <v>786.10909090909092</v>
          </cell>
          <cell r="AK84">
            <v>84163.028484848473</v>
          </cell>
          <cell r="AL84">
            <v>21818.574995654941</v>
          </cell>
          <cell r="AM84">
            <v>62344.453489193547</v>
          </cell>
          <cell r="AN84">
            <v>18184.574995654941</v>
          </cell>
          <cell r="AO84">
            <v>50837</v>
          </cell>
          <cell r="AP84">
            <v>3358</v>
          </cell>
          <cell r="AQ84">
            <v>10648.453489193544</v>
          </cell>
        </row>
        <row r="85">
          <cell r="F85">
            <v>281</v>
          </cell>
          <cell r="G85">
            <v>62</v>
          </cell>
          <cell r="H85">
            <v>219</v>
          </cell>
          <cell r="P85">
            <v>528</v>
          </cell>
          <cell r="Q85">
            <v>0</v>
          </cell>
          <cell r="R85">
            <v>0</v>
          </cell>
          <cell r="T85">
            <v>454.85363636363633</v>
          </cell>
          <cell r="U85">
            <v>473.41909090909093</v>
          </cell>
          <cell r="V85">
            <v>0</v>
          </cell>
          <cell r="W85">
            <v>0</v>
          </cell>
          <cell r="Y85">
            <v>148</v>
          </cell>
          <cell r="Z85">
            <v>327</v>
          </cell>
          <cell r="AA85">
            <v>0</v>
          </cell>
          <cell r="AB85">
            <v>0</v>
          </cell>
          <cell r="AD85">
            <v>127</v>
          </cell>
          <cell r="AE85">
            <v>262</v>
          </cell>
          <cell r="AH85">
            <v>53</v>
          </cell>
          <cell r="AI85">
            <v>202.90909090909091</v>
          </cell>
          <cell r="AK85">
            <v>4336.909090909091</v>
          </cell>
          <cell r="AL85">
            <v>1024</v>
          </cell>
          <cell r="AM85">
            <v>3312.909090909091</v>
          </cell>
        </row>
        <row r="86">
          <cell r="AL86">
            <v>21837.195939509984</v>
          </cell>
        </row>
        <row r="87">
          <cell r="F87">
            <v>11292</v>
          </cell>
          <cell r="G87">
            <v>11292</v>
          </cell>
          <cell r="AK87">
            <v>11292</v>
          </cell>
          <cell r="AL87">
            <v>11292</v>
          </cell>
          <cell r="AM87">
            <v>0</v>
          </cell>
          <cell r="AN87">
            <v>0</v>
          </cell>
          <cell r="AO87">
            <v>0</v>
          </cell>
          <cell r="AP87">
            <v>0</v>
          </cell>
          <cell r="AQ87">
            <v>0</v>
          </cell>
        </row>
        <row r="88">
          <cell r="F88">
            <v>13544.3</v>
          </cell>
          <cell r="G88">
            <v>11788</v>
          </cell>
          <cell r="H88">
            <v>1756.3000000000002</v>
          </cell>
          <cell r="P88">
            <v>2551.6</v>
          </cell>
          <cell r="Q88">
            <v>0</v>
          </cell>
          <cell r="R88">
            <v>0</v>
          </cell>
          <cell r="S88">
            <v>26545.418181818179</v>
          </cell>
          <cell r="T88">
            <v>23326.412</v>
          </cell>
          <cell r="U88">
            <v>3219.0061818181821</v>
          </cell>
          <cell r="V88">
            <v>0</v>
          </cell>
          <cell r="W88">
            <v>0</v>
          </cell>
          <cell r="X88">
            <v>25476.854545454546</v>
          </cell>
          <cell r="Y88">
            <v>9296.0975609756097</v>
          </cell>
          <cell r="Z88">
            <v>16180.756984478936</v>
          </cell>
          <cell r="AA88">
            <v>0</v>
          </cell>
          <cell r="AB88">
            <v>0</v>
          </cell>
          <cell r="AC88">
            <v>22303.4</v>
          </cell>
          <cell r="AD88">
            <v>8940.4774346793329</v>
          </cell>
          <cell r="AE88">
            <v>13362.922565320667</v>
          </cell>
          <cell r="AF88">
            <v>3914</v>
          </cell>
          <cell r="AG88">
            <v>3321.88</v>
          </cell>
          <cell r="AH88">
            <v>592.12</v>
          </cell>
          <cell r="AI88">
            <v>786.10909090909092</v>
          </cell>
          <cell r="AK88">
            <v>95455.028484848473</v>
          </cell>
          <cell r="AL88">
            <v>33110.574995654941</v>
          </cell>
          <cell r="AM88">
            <v>62344.453489193547</v>
          </cell>
          <cell r="AN88">
            <v>18184.574995654941</v>
          </cell>
          <cell r="AO88">
            <v>50837</v>
          </cell>
          <cell r="AP88">
            <v>3358</v>
          </cell>
          <cell r="AQ88">
            <v>10648.453489193544</v>
          </cell>
        </row>
        <row r="89">
          <cell r="F89">
            <v>0</v>
          </cell>
          <cell r="G89">
            <v>0</v>
          </cell>
          <cell r="H89">
            <v>0</v>
          </cell>
          <cell r="AH89">
            <v>0</v>
          </cell>
          <cell r="AM89">
            <v>0</v>
          </cell>
          <cell r="AN89">
            <v>0</v>
          </cell>
          <cell r="AO89">
            <v>0</v>
          </cell>
          <cell r="AP89">
            <v>0</v>
          </cell>
          <cell r="AQ89">
            <v>-1</v>
          </cell>
        </row>
        <row r="90">
          <cell r="F90">
            <v>1390</v>
          </cell>
          <cell r="G90">
            <v>810</v>
          </cell>
          <cell r="H90">
            <v>580</v>
          </cell>
          <cell r="AH90">
            <v>0</v>
          </cell>
          <cell r="AK90">
            <v>1390</v>
          </cell>
          <cell r="AL90">
            <v>810</v>
          </cell>
          <cell r="AM90">
            <v>580</v>
          </cell>
          <cell r="AN90">
            <v>0</v>
          </cell>
          <cell r="AO90">
            <v>0</v>
          </cell>
          <cell r="AP90">
            <v>225.18812577924132</v>
          </cell>
          <cell r="AQ90">
            <v>41.283220704629741</v>
          </cell>
        </row>
        <row r="91">
          <cell r="F91">
            <v>600</v>
          </cell>
          <cell r="G91">
            <v>128</v>
          </cell>
          <cell r="H91">
            <v>472</v>
          </cell>
          <cell r="S91">
            <v>0</v>
          </cell>
          <cell r="T91">
            <v>0</v>
          </cell>
          <cell r="U91">
            <v>0</v>
          </cell>
          <cell r="X91">
            <v>0</v>
          </cell>
          <cell r="Y91">
            <v>0</v>
          </cell>
          <cell r="Z91">
            <v>0</v>
          </cell>
          <cell r="AA91">
            <v>0</v>
          </cell>
          <cell r="AB91">
            <v>0</v>
          </cell>
          <cell r="AC91">
            <v>0</v>
          </cell>
          <cell r="AD91">
            <v>0</v>
          </cell>
          <cell r="AE91">
            <v>0</v>
          </cell>
          <cell r="AH91">
            <v>0</v>
          </cell>
          <cell r="AK91">
            <v>600</v>
          </cell>
          <cell r="AL91">
            <v>128</v>
          </cell>
          <cell r="AM91">
            <v>472</v>
          </cell>
          <cell r="AN91">
            <v>0</v>
          </cell>
          <cell r="AO91">
            <v>0</v>
          </cell>
          <cell r="AP91">
            <v>0</v>
          </cell>
          <cell r="AQ91">
            <v>0</v>
          </cell>
        </row>
        <row r="92">
          <cell r="F92">
            <v>18.666666666666664</v>
          </cell>
          <cell r="G92">
            <v>4</v>
          </cell>
          <cell r="H92">
            <v>14.666666666666664</v>
          </cell>
          <cell r="P92">
            <v>48.800000000000004</v>
          </cell>
          <cell r="S92">
            <v>5.6000000000000005</v>
          </cell>
          <cell r="X92">
            <v>13.600000000000001</v>
          </cell>
          <cell r="Y92">
            <v>4</v>
          </cell>
          <cell r="Z92">
            <v>9.6000000000000014</v>
          </cell>
          <cell r="AC92">
            <v>21.6</v>
          </cell>
          <cell r="AD92">
            <v>9</v>
          </cell>
          <cell r="AE92">
            <v>12.600000000000001</v>
          </cell>
          <cell r="AF92">
            <v>12</v>
          </cell>
          <cell r="AG92">
            <v>11</v>
          </cell>
          <cell r="AH92">
            <v>1</v>
          </cell>
          <cell r="AK92">
            <v>119.26666666666665</v>
          </cell>
          <cell r="AL92">
            <v>65.800000000000011</v>
          </cell>
          <cell r="AM92">
            <v>53.46666666666664</v>
          </cell>
          <cell r="AN92">
            <v>13</v>
          </cell>
          <cell r="AO92">
            <v>24</v>
          </cell>
          <cell r="AP92">
            <v>52.800000000000011</v>
          </cell>
          <cell r="AQ92">
            <v>29.46666666666664</v>
          </cell>
        </row>
        <row r="95">
          <cell r="F95">
            <v>15552.966666666665</v>
          </cell>
          <cell r="G95">
            <v>12730</v>
          </cell>
          <cell r="H95">
            <v>2822.9666666666667</v>
          </cell>
          <cell r="P95">
            <v>2600.4</v>
          </cell>
          <cell r="Q95">
            <v>0</v>
          </cell>
          <cell r="R95">
            <v>0</v>
          </cell>
          <cell r="S95">
            <v>26551.018181818177</v>
          </cell>
          <cell r="T95">
            <v>23326.412</v>
          </cell>
          <cell r="U95">
            <v>3219.0061818181821</v>
          </cell>
          <cell r="V95">
            <v>0</v>
          </cell>
          <cell r="W95">
            <v>0</v>
          </cell>
          <cell r="X95">
            <v>25490.454545454544</v>
          </cell>
          <cell r="Y95">
            <v>9300.0975609756097</v>
          </cell>
          <cell r="Z95">
            <v>16190.356984478936</v>
          </cell>
          <cell r="AA95">
            <v>0</v>
          </cell>
          <cell r="AB95">
            <v>0</v>
          </cell>
          <cell r="AC95">
            <v>22325</v>
          </cell>
          <cell r="AD95">
            <v>8949.4774346793329</v>
          </cell>
          <cell r="AE95">
            <v>13375.522565320667</v>
          </cell>
          <cell r="AF95">
            <v>3925</v>
          </cell>
          <cell r="AG95">
            <v>3332.88</v>
          </cell>
          <cell r="AH95">
            <v>593.12</v>
          </cell>
          <cell r="AI95">
            <v>786.10909090909092</v>
          </cell>
          <cell r="AJ95">
            <v>0</v>
          </cell>
          <cell r="AK95">
            <v>97564.295151515136</v>
          </cell>
          <cell r="AL95">
            <v>34114.374995654944</v>
          </cell>
          <cell r="AM95">
            <v>63449.920155860214</v>
          </cell>
          <cell r="AN95">
            <v>18197.574995654941</v>
          </cell>
          <cell r="AO95">
            <v>50861</v>
          </cell>
          <cell r="AP95">
            <v>3635.9881257792413</v>
          </cell>
          <cell r="AQ95">
            <v>10718.203376564841</v>
          </cell>
        </row>
        <row r="96">
          <cell r="F96">
            <v>4260.9666666666653</v>
          </cell>
          <cell r="G96">
            <v>1438</v>
          </cell>
          <cell r="H96">
            <v>2822.9666666666667</v>
          </cell>
          <cell r="P96">
            <v>2600.4</v>
          </cell>
          <cell r="Q96">
            <v>0</v>
          </cell>
          <cell r="R96">
            <v>0</v>
          </cell>
          <cell r="S96">
            <v>7626.0181818181773</v>
          </cell>
          <cell r="T96">
            <v>4401.4120000000003</v>
          </cell>
          <cell r="U96">
            <v>3219.0061818181821</v>
          </cell>
          <cell r="V96">
            <v>0</v>
          </cell>
          <cell r="W96">
            <v>0</v>
          </cell>
          <cell r="X96">
            <v>2981.4545454545441</v>
          </cell>
          <cell r="Y96">
            <v>925</v>
          </cell>
          <cell r="Z96">
            <v>2056.454545454546</v>
          </cell>
          <cell r="AA96">
            <v>0</v>
          </cell>
          <cell r="AB96">
            <v>0</v>
          </cell>
          <cell r="AC96">
            <v>1888</v>
          </cell>
          <cell r="AD96">
            <v>619</v>
          </cell>
          <cell r="AE96">
            <v>1269</v>
          </cell>
          <cell r="AF96">
            <v>3925</v>
          </cell>
          <cell r="AG96">
            <v>3332.88</v>
          </cell>
          <cell r="AH96">
            <v>593.12</v>
          </cell>
          <cell r="AI96">
            <v>786.10909090909092</v>
          </cell>
          <cell r="AJ96">
            <v>0</v>
          </cell>
          <cell r="AK96">
            <v>24401.295151515136</v>
          </cell>
          <cell r="AL96">
            <v>6116.8000000000029</v>
          </cell>
          <cell r="AM96">
            <v>18284.495151515155</v>
          </cell>
          <cell r="AN96">
            <v>1492</v>
          </cell>
          <cell r="AO96">
            <v>5696</v>
          </cell>
          <cell r="AP96">
            <v>3635.9881257792413</v>
          </cell>
          <cell r="AQ96">
            <v>10717.778372219782</v>
          </cell>
        </row>
        <row r="97">
          <cell r="F97">
            <v>684.2</v>
          </cell>
          <cell r="G97">
            <v>15552.966666666667</v>
          </cell>
          <cell r="P97">
            <v>627.20000000000005</v>
          </cell>
          <cell r="S97">
            <v>1365.6</v>
          </cell>
          <cell r="X97">
            <v>175.20000000000002</v>
          </cell>
          <cell r="Y97">
            <v>25490.454545454544</v>
          </cell>
          <cell r="AC97">
            <v>159.20000000000002</v>
          </cell>
          <cell r="AD97">
            <v>22325</v>
          </cell>
          <cell r="AF97">
            <v>444.2</v>
          </cell>
          <cell r="AG97">
            <v>367.2</v>
          </cell>
          <cell r="AH97">
            <v>77</v>
          </cell>
          <cell r="AI97">
            <v>54.400000000000006</v>
          </cell>
          <cell r="AJ97">
            <v>0</v>
          </cell>
          <cell r="AK97">
            <v>3450.5999999999995</v>
          </cell>
          <cell r="AL97">
            <v>97564.295151515151</v>
          </cell>
        </row>
        <row r="98">
          <cell r="F98">
            <v>87</v>
          </cell>
          <cell r="P98">
            <v>627.20000000000005</v>
          </cell>
          <cell r="S98">
            <v>1365.6</v>
          </cell>
          <cell r="X98">
            <v>175.20000000000002</v>
          </cell>
          <cell r="AC98">
            <v>159.20000000000002</v>
          </cell>
          <cell r="AF98">
            <v>444.2</v>
          </cell>
          <cell r="AG98">
            <v>367.2</v>
          </cell>
          <cell r="AH98">
            <v>0</v>
          </cell>
          <cell r="AI98">
            <v>54.400000000000006</v>
          </cell>
          <cell r="AK98">
            <v>2853.3999999999996</v>
          </cell>
          <cell r="AL98">
            <v>97564.295151515165</v>
          </cell>
          <cell r="AM98">
            <v>34132.995939509987</v>
          </cell>
        </row>
        <row r="99">
          <cell r="F99">
            <v>0</v>
          </cell>
          <cell r="P99">
            <v>0</v>
          </cell>
          <cell r="X99">
            <v>0</v>
          </cell>
          <cell r="AK99">
            <v>0</v>
          </cell>
        </row>
        <row r="100">
          <cell r="F100">
            <v>597.20000000000005</v>
          </cell>
          <cell r="P100">
            <v>0</v>
          </cell>
          <cell r="S100">
            <v>0</v>
          </cell>
          <cell r="X100">
            <v>0</v>
          </cell>
          <cell r="AC100">
            <v>0</v>
          </cell>
          <cell r="AF100">
            <v>0</v>
          </cell>
          <cell r="AG100">
            <v>0</v>
          </cell>
          <cell r="AH100">
            <v>77</v>
          </cell>
          <cell r="AI100">
            <v>0</v>
          </cell>
          <cell r="AK100">
            <v>597.20000000000005</v>
          </cell>
        </row>
        <row r="101">
          <cell r="P101">
            <v>0</v>
          </cell>
          <cell r="S101">
            <v>0</v>
          </cell>
        </row>
        <row r="102">
          <cell r="S102">
            <v>0</v>
          </cell>
          <cell r="X102">
            <v>0</v>
          </cell>
        </row>
        <row r="104">
          <cell r="AK104">
            <v>0</v>
          </cell>
        </row>
        <row r="105">
          <cell r="AK105">
            <v>0</v>
          </cell>
        </row>
        <row r="106">
          <cell r="F106">
            <v>1047.2</v>
          </cell>
          <cell r="P106">
            <v>0</v>
          </cell>
          <cell r="S106">
            <v>0</v>
          </cell>
          <cell r="X106">
            <v>0</v>
          </cell>
          <cell r="AC106">
            <v>0</v>
          </cell>
          <cell r="AF106">
            <v>0</v>
          </cell>
          <cell r="AG106">
            <v>0</v>
          </cell>
          <cell r="AH106">
            <v>0</v>
          </cell>
          <cell r="AI106">
            <v>0</v>
          </cell>
          <cell r="AK106">
            <v>1047.2</v>
          </cell>
        </row>
        <row r="107">
          <cell r="F107">
            <v>597.20000000000005</v>
          </cell>
          <cell r="S107">
            <v>0</v>
          </cell>
          <cell r="AC107">
            <v>0</v>
          </cell>
          <cell r="AF107">
            <v>0</v>
          </cell>
          <cell r="AG107">
            <v>0</v>
          </cell>
          <cell r="AH107">
            <v>0</v>
          </cell>
          <cell r="AI107">
            <v>0</v>
          </cell>
          <cell r="AK107">
            <v>597.20000000000005</v>
          </cell>
        </row>
        <row r="108">
          <cell r="F108">
            <v>450</v>
          </cell>
          <cell r="P108">
            <v>0</v>
          </cell>
          <cell r="S108">
            <v>0</v>
          </cell>
          <cell r="AC108">
            <v>0</v>
          </cell>
          <cell r="AF108">
            <v>0</v>
          </cell>
          <cell r="AG108">
            <v>0</v>
          </cell>
          <cell r="AH108">
            <v>0</v>
          </cell>
          <cell r="AI108">
            <v>0</v>
          </cell>
          <cell r="AK108">
            <v>450</v>
          </cell>
        </row>
        <row r="109">
          <cell r="F109">
            <v>0</v>
          </cell>
          <cell r="P109">
            <v>0</v>
          </cell>
          <cell r="S109">
            <v>0</v>
          </cell>
          <cell r="X109">
            <v>0</v>
          </cell>
          <cell r="AC109">
            <v>0</v>
          </cell>
          <cell r="AF109">
            <v>0</v>
          </cell>
          <cell r="AG109">
            <v>0</v>
          </cell>
          <cell r="AH109">
            <v>0</v>
          </cell>
          <cell r="AK109">
            <v>0</v>
          </cell>
        </row>
        <row r="110">
          <cell r="F110">
            <v>0</v>
          </cell>
          <cell r="P110">
            <v>0</v>
          </cell>
          <cell r="S110">
            <v>79.800000000000011</v>
          </cell>
          <cell r="X110">
            <v>0</v>
          </cell>
          <cell r="AC110">
            <v>0</v>
          </cell>
          <cell r="AF110">
            <v>0</v>
          </cell>
          <cell r="AG110">
            <v>0</v>
          </cell>
          <cell r="AH110">
            <v>0</v>
          </cell>
          <cell r="AI110">
            <v>64</v>
          </cell>
          <cell r="AK110">
            <v>143.80000000000001</v>
          </cell>
        </row>
        <row r="111">
          <cell r="F111">
            <v>0</v>
          </cell>
          <cell r="P111">
            <v>0</v>
          </cell>
          <cell r="S111">
            <v>79.800000000000011</v>
          </cell>
          <cell r="AC111">
            <v>0</v>
          </cell>
          <cell r="AF111">
            <v>0</v>
          </cell>
          <cell r="AG111">
            <v>0</v>
          </cell>
          <cell r="AH111">
            <v>0</v>
          </cell>
          <cell r="AI111">
            <v>64</v>
          </cell>
          <cell r="AK111">
            <v>143.80000000000001</v>
          </cell>
        </row>
        <row r="112">
          <cell r="F112">
            <v>0</v>
          </cell>
          <cell r="P112">
            <v>0</v>
          </cell>
          <cell r="S112">
            <v>0</v>
          </cell>
          <cell r="X112">
            <v>0</v>
          </cell>
          <cell r="AC112">
            <v>0</v>
          </cell>
          <cell r="AF112">
            <v>0</v>
          </cell>
          <cell r="AG112">
            <v>0</v>
          </cell>
          <cell r="AH112">
            <v>0</v>
          </cell>
          <cell r="AK112">
            <v>0</v>
          </cell>
        </row>
        <row r="113">
          <cell r="F113">
            <v>0</v>
          </cell>
          <cell r="P113">
            <v>0</v>
          </cell>
          <cell r="S113">
            <v>264.8</v>
          </cell>
          <cell r="AC113">
            <v>0</v>
          </cell>
          <cell r="AG113">
            <v>0</v>
          </cell>
          <cell r="AH113">
            <v>0</v>
          </cell>
          <cell r="AK113">
            <v>264.8</v>
          </cell>
          <cell r="AM113">
            <v>0</v>
          </cell>
        </row>
        <row r="114">
          <cell r="F114">
            <v>0</v>
          </cell>
          <cell r="P114">
            <v>0</v>
          </cell>
          <cell r="S114">
            <v>264.8</v>
          </cell>
          <cell r="AH114">
            <v>0</v>
          </cell>
          <cell r="AK114">
            <v>264.8</v>
          </cell>
        </row>
        <row r="115">
          <cell r="F115">
            <v>0</v>
          </cell>
          <cell r="P115">
            <v>0</v>
          </cell>
          <cell r="S115">
            <v>0</v>
          </cell>
          <cell r="AC115">
            <v>0</v>
          </cell>
          <cell r="AG115">
            <v>0</v>
          </cell>
          <cell r="AH115">
            <v>0</v>
          </cell>
          <cell r="AK115">
            <v>0</v>
          </cell>
          <cell r="AL115">
            <v>0</v>
          </cell>
          <cell r="AM115">
            <v>0</v>
          </cell>
        </row>
        <row r="116">
          <cell r="P116">
            <v>0</v>
          </cell>
          <cell r="S116">
            <v>0</v>
          </cell>
          <cell r="AC116">
            <v>0</v>
          </cell>
          <cell r="AG116">
            <v>0</v>
          </cell>
          <cell r="AH116">
            <v>0</v>
          </cell>
          <cell r="AK116">
            <v>0</v>
          </cell>
        </row>
        <row r="117">
          <cell r="F117">
            <v>0</v>
          </cell>
          <cell r="P117">
            <v>0</v>
          </cell>
          <cell r="S117">
            <v>0</v>
          </cell>
          <cell r="AC117">
            <v>0</v>
          </cell>
          <cell r="AF117">
            <v>0</v>
          </cell>
          <cell r="AG117">
            <v>0</v>
          </cell>
          <cell r="AH117">
            <v>0</v>
          </cell>
          <cell r="AK117">
            <v>0</v>
          </cell>
        </row>
        <row r="118">
          <cell r="P118">
            <v>0</v>
          </cell>
          <cell r="X118">
            <v>0</v>
          </cell>
          <cell r="AC118">
            <v>0</v>
          </cell>
          <cell r="AG118">
            <v>0</v>
          </cell>
          <cell r="AH118">
            <v>0</v>
          </cell>
          <cell r="AK118">
            <v>0</v>
          </cell>
        </row>
        <row r="119">
          <cell r="F119">
            <v>250.66666666666666</v>
          </cell>
          <cell r="AK119">
            <v>250.66666666666666</v>
          </cell>
        </row>
        <row r="120">
          <cell r="S120">
            <v>0</v>
          </cell>
          <cell r="X120">
            <v>0</v>
          </cell>
          <cell r="AF120">
            <v>0</v>
          </cell>
          <cell r="AK120">
            <v>0</v>
          </cell>
        </row>
        <row r="121">
          <cell r="F121">
            <v>8992</v>
          </cell>
          <cell r="AK121">
            <v>8992</v>
          </cell>
        </row>
        <row r="122">
          <cell r="AK122">
            <v>0</v>
          </cell>
        </row>
        <row r="123">
          <cell r="AK123">
            <v>-4642</v>
          </cell>
          <cell r="AL123">
            <v>-6716.1982727272625</v>
          </cell>
        </row>
        <row r="124">
          <cell r="F124">
            <v>0</v>
          </cell>
        </row>
        <row r="125">
          <cell r="F125">
            <v>10289.866666666667</v>
          </cell>
          <cell r="G125">
            <v>0</v>
          </cell>
          <cell r="H125">
            <v>0</v>
          </cell>
          <cell r="P125">
            <v>0</v>
          </cell>
          <cell r="Q125">
            <v>0</v>
          </cell>
          <cell r="R125">
            <v>0</v>
          </cell>
          <cell r="S125">
            <v>344.6</v>
          </cell>
          <cell r="T125">
            <v>0</v>
          </cell>
          <cell r="U125">
            <v>0</v>
          </cell>
          <cell r="V125">
            <v>0</v>
          </cell>
          <cell r="W125">
            <v>0</v>
          </cell>
          <cell r="X125">
            <v>0</v>
          </cell>
          <cell r="Y125">
            <v>0</v>
          </cell>
          <cell r="Z125">
            <v>0</v>
          </cell>
          <cell r="AA125">
            <v>0</v>
          </cell>
          <cell r="AB125">
            <v>0</v>
          </cell>
          <cell r="AC125">
            <v>0</v>
          </cell>
          <cell r="AD125">
            <v>0</v>
          </cell>
          <cell r="AE125">
            <v>0</v>
          </cell>
          <cell r="AF125">
            <v>0</v>
          </cell>
          <cell r="AG125">
            <v>0</v>
          </cell>
          <cell r="AH125">
            <v>0</v>
          </cell>
          <cell r="AI125">
            <v>64</v>
          </cell>
          <cell r="AJ125">
            <v>0</v>
          </cell>
          <cell r="AK125">
            <v>10698.466666666667</v>
          </cell>
          <cell r="AN125">
            <v>0</v>
          </cell>
          <cell r="AO125">
            <v>0</v>
          </cell>
          <cell r="AP125">
            <v>0</v>
          </cell>
          <cell r="AQ125">
            <v>0</v>
          </cell>
        </row>
        <row r="126">
          <cell r="F126">
            <v>10289.866666666667</v>
          </cell>
          <cell r="G126">
            <v>0</v>
          </cell>
          <cell r="H126">
            <v>0</v>
          </cell>
          <cell r="P126">
            <v>0</v>
          </cell>
          <cell r="S126">
            <v>344.6</v>
          </cell>
          <cell r="X126">
            <v>0</v>
          </cell>
          <cell r="Y126">
            <v>0</v>
          </cell>
          <cell r="Z126">
            <v>0</v>
          </cell>
          <cell r="AC126">
            <v>0</v>
          </cell>
          <cell r="AD126">
            <v>0</v>
          </cell>
          <cell r="AE126">
            <v>0</v>
          </cell>
          <cell r="AF126">
            <v>0</v>
          </cell>
          <cell r="AG126">
            <v>0</v>
          </cell>
          <cell r="AH126">
            <v>77</v>
          </cell>
          <cell r="AI126">
            <v>64</v>
          </cell>
          <cell r="AJ126">
            <v>0</v>
          </cell>
          <cell r="AK126">
            <v>6056.4666666666672</v>
          </cell>
        </row>
        <row r="127">
          <cell r="AK127">
            <v>3982.2683939394046</v>
          </cell>
          <cell r="AL127">
            <v>10698.466666666667</v>
          </cell>
        </row>
        <row r="128">
          <cell r="AK128">
            <v>3982.2683939394046</v>
          </cell>
        </row>
        <row r="129">
          <cell r="AK129">
            <v>5688.9548484848638</v>
          </cell>
          <cell r="AL129">
            <v>12271.625004345056</v>
          </cell>
          <cell r="AM129">
            <v>-7447.9201558602144</v>
          </cell>
        </row>
        <row r="131">
          <cell r="AK131">
            <v>1706.6864545454591</v>
          </cell>
          <cell r="AN131">
            <v>0</v>
          </cell>
        </row>
        <row r="134">
          <cell r="AK134">
            <v>56002</v>
          </cell>
          <cell r="AM134">
            <v>56002</v>
          </cell>
          <cell r="AN134">
            <v>0</v>
          </cell>
          <cell r="AP134">
            <v>0</v>
          </cell>
        </row>
        <row r="135">
          <cell r="AK135">
            <v>-7447.9201558602144</v>
          </cell>
          <cell r="AN135">
            <v>0</v>
          </cell>
        </row>
        <row r="136">
          <cell r="AK136">
            <v>35.44</v>
          </cell>
          <cell r="AN136" t="e">
            <v>#DIV/0!</v>
          </cell>
        </row>
        <row r="137">
          <cell r="AK137">
            <v>40.159999999999997</v>
          </cell>
          <cell r="AN137" t="e">
            <v>#DIV/0!</v>
          </cell>
        </row>
        <row r="138">
          <cell r="AK138">
            <v>0</v>
          </cell>
          <cell r="AN138">
            <v>0</v>
          </cell>
        </row>
        <row r="140">
          <cell r="AK140">
            <v>10.96</v>
          </cell>
          <cell r="AN140" t="e">
            <v>#DIV/0!</v>
          </cell>
        </row>
        <row r="142">
          <cell r="AJ142">
            <v>0</v>
          </cell>
          <cell r="AK142">
            <v>8.6199999999999992</v>
          </cell>
          <cell r="AN142" t="e">
            <v>#DIV/0!</v>
          </cell>
        </row>
        <row r="143">
          <cell r="AK143">
            <v>43363</v>
          </cell>
          <cell r="AL143">
            <v>43363</v>
          </cell>
        </row>
        <row r="145">
          <cell r="AJ145">
            <v>300</v>
          </cell>
        </row>
        <row r="146">
          <cell r="AK146">
            <v>15283.523809523811</v>
          </cell>
          <cell r="AL146">
            <v>-34114.374995654944</v>
          </cell>
          <cell r="AM146">
            <v>-63449.920155860214</v>
          </cell>
        </row>
        <row r="147">
          <cell r="S147">
            <v>0</v>
          </cell>
          <cell r="AK147">
            <v>865.25</v>
          </cell>
        </row>
        <row r="149">
          <cell r="AJ149">
            <v>0</v>
          </cell>
          <cell r="AK149">
            <v>99365</v>
          </cell>
          <cell r="AL149">
            <v>43363</v>
          </cell>
          <cell r="AM149">
            <v>56002</v>
          </cell>
          <cell r="AN149">
            <v>0</v>
          </cell>
        </row>
        <row r="150">
          <cell r="AK150">
            <v>0</v>
          </cell>
        </row>
        <row r="151">
          <cell r="AK151">
            <v>102388</v>
          </cell>
          <cell r="AL151">
            <v>46386</v>
          </cell>
          <cell r="AM151">
            <v>56002</v>
          </cell>
        </row>
        <row r="152">
          <cell r="AK152">
            <v>0</v>
          </cell>
          <cell r="AN152">
            <v>1492</v>
          </cell>
          <cell r="AO152">
            <v>5696</v>
          </cell>
          <cell r="AP152">
            <v>3635.9881257792413</v>
          </cell>
          <cell r="AQ152">
            <v>10717.778372219782</v>
          </cell>
        </row>
        <row r="153">
          <cell r="AK153">
            <v>5.8</v>
          </cell>
          <cell r="AL153">
            <v>36</v>
          </cell>
          <cell r="AM153">
            <v>-11.7</v>
          </cell>
        </row>
        <row r="154">
          <cell r="AK154">
            <v>15.66507889570549</v>
          </cell>
          <cell r="AL154">
            <v>-100</v>
          </cell>
          <cell r="AM154">
            <v>-100</v>
          </cell>
        </row>
        <row r="155">
          <cell r="AL155">
            <v>0</v>
          </cell>
          <cell r="AM155">
            <v>0</v>
          </cell>
        </row>
        <row r="157">
          <cell r="F157">
            <v>0</v>
          </cell>
          <cell r="P157">
            <v>0</v>
          </cell>
          <cell r="S157">
            <v>0</v>
          </cell>
          <cell r="X157">
            <v>0</v>
          </cell>
          <cell r="AC157">
            <v>0</v>
          </cell>
          <cell r="AI157">
            <v>0</v>
          </cell>
          <cell r="AJ157">
            <v>142</v>
          </cell>
          <cell r="AK157">
            <v>0</v>
          </cell>
        </row>
        <row r="158">
          <cell r="F158">
            <v>583.6</v>
          </cell>
          <cell r="P158">
            <v>699.4</v>
          </cell>
          <cell r="S158">
            <v>1291.1454545454546</v>
          </cell>
          <cell r="X158">
            <v>661.0363636363636</v>
          </cell>
          <cell r="AC158">
            <v>482.8</v>
          </cell>
          <cell r="AF158">
            <v>506</v>
          </cell>
          <cell r="AG158">
            <v>506</v>
          </cell>
          <cell r="AH158">
            <v>0</v>
          </cell>
          <cell r="AK158">
            <v>4223.9818181818182</v>
          </cell>
        </row>
        <row r="159">
          <cell r="F159">
            <v>583.6</v>
          </cell>
          <cell r="P159">
            <v>538.20000000000005</v>
          </cell>
          <cell r="S159">
            <v>737</v>
          </cell>
          <cell r="X159">
            <v>351</v>
          </cell>
          <cell r="AC159">
            <v>184.8</v>
          </cell>
          <cell r="AF159">
            <v>67.2</v>
          </cell>
          <cell r="AG159">
            <v>67.2</v>
          </cell>
          <cell r="AH159">
            <v>0</v>
          </cell>
          <cell r="AK159">
            <v>2394.6000000000004</v>
          </cell>
        </row>
        <row r="160">
          <cell r="F160">
            <v>583.6</v>
          </cell>
          <cell r="P160">
            <v>56</v>
          </cell>
          <cell r="S160">
            <v>130.4</v>
          </cell>
          <cell r="X160">
            <v>72.760000000000019</v>
          </cell>
          <cell r="AC160">
            <v>72.8</v>
          </cell>
          <cell r="AF160">
            <v>56</v>
          </cell>
          <cell r="AG160">
            <v>56</v>
          </cell>
          <cell r="AH160">
            <v>0</v>
          </cell>
          <cell r="AI160">
            <v>525.04000000000008</v>
          </cell>
          <cell r="AK160">
            <v>1496.6</v>
          </cell>
        </row>
        <row r="161">
          <cell r="AK161">
            <v>0</v>
          </cell>
        </row>
        <row r="162">
          <cell r="AK162">
            <v>0</v>
          </cell>
        </row>
        <row r="163">
          <cell r="F163">
            <v>14.170833333333334</v>
          </cell>
          <cell r="AK163">
            <v>14.170833333333334</v>
          </cell>
        </row>
        <row r="164">
          <cell r="P164">
            <v>70</v>
          </cell>
          <cell r="S164">
            <v>408.72727272727275</v>
          </cell>
          <cell r="X164">
            <v>278.18181818181819</v>
          </cell>
          <cell r="AC164">
            <v>203</v>
          </cell>
          <cell r="AG164">
            <v>121</v>
          </cell>
          <cell r="AK164">
            <v>959.90909090909099</v>
          </cell>
        </row>
        <row r="165">
          <cell r="F165">
            <v>124.60000000000002</v>
          </cell>
          <cell r="S165">
            <v>882.41818181818189</v>
          </cell>
          <cell r="X165">
            <v>382.85454545454542</v>
          </cell>
          <cell r="AC165">
            <v>279.8</v>
          </cell>
          <cell r="AK165">
            <v>1669.6727272727273</v>
          </cell>
        </row>
        <row r="166">
          <cell r="S166">
            <v>1291.1454545454546</v>
          </cell>
          <cell r="X166">
            <v>661.0363636363636</v>
          </cell>
          <cell r="AC166">
            <v>482.8</v>
          </cell>
        </row>
        <row r="167">
          <cell r="F167">
            <v>459</v>
          </cell>
          <cell r="P167">
            <v>0</v>
          </cell>
          <cell r="S167">
            <v>0</v>
          </cell>
          <cell r="X167">
            <v>0</v>
          </cell>
          <cell r="AC167">
            <v>0</v>
          </cell>
          <cell r="AK167">
            <v>459</v>
          </cell>
        </row>
        <row r="168">
          <cell r="S168">
            <v>0</v>
          </cell>
          <cell r="X168">
            <v>0</v>
          </cell>
          <cell r="AC168">
            <v>0</v>
          </cell>
          <cell r="AF168">
            <v>0</v>
          </cell>
          <cell r="AG168">
            <v>0</v>
          </cell>
          <cell r="AH168">
            <v>0</v>
          </cell>
          <cell r="AK168">
            <v>0</v>
          </cell>
        </row>
        <row r="169">
          <cell r="F169">
            <v>684.2</v>
          </cell>
          <cell r="G169">
            <v>15552.966666666667</v>
          </cell>
          <cell r="H169">
            <v>0</v>
          </cell>
          <cell r="P169">
            <v>627.20000000000005</v>
          </cell>
          <cell r="Q169">
            <v>0</v>
          </cell>
          <cell r="R169">
            <v>0</v>
          </cell>
          <cell r="S169">
            <v>1710.1999999999998</v>
          </cell>
          <cell r="T169">
            <v>0</v>
          </cell>
          <cell r="U169">
            <v>0</v>
          </cell>
          <cell r="V169">
            <v>0</v>
          </cell>
          <cell r="W169">
            <v>0</v>
          </cell>
          <cell r="X169">
            <v>175.20000000000002</v>
          </cell>
          <cell r="Y169">
            <v>25490.454545454544</v>
          </cell>
          <cell r="Z169">
            <v>0</v>
          </cell>
          <cell r="AA169">
            <v>0</v>
          </cell>
          <cell r="AB169">
            <v>0</v>
          </cell>
          <cell r="AC169">
            <v>159.20000000000002</v>
          </cell>
          <cell r="AD169">
            <v>22325</v>
          </cell>
          <cell r="AE169">
            <v>0</v>
          </cell>
          <cell r="AF169">
            <v>444.2</v>
          </cell>
          <cell r="AG169">
            <v>367.2</v>
          </cell>
          <cell r="AH169">
            <v>77</v>
          </cell>
          <cell r="AI169">
            <v>118.4</v>
          </cell>
          <cell r="AJ169">
            <v>0</v>
          </cell>
          <cell r="AK169">
            <v>3859.1999999999994</v>
          </cell>
        </row>
        <row r="170">
          <cell r="F170">
            <v>684.2</v>
          </cell>
          <cell r="G170">
            <v>15552.966666666667</v>
          </cell>
          <cell r="H170">
            <v>0</v>
          </cell>
          <cell r="P170">
            <v>627.20000000000005</v>
          </cell>
          <cell r="Q170">
            <v>0</v>
          </cell>
          <cell r="R170">
            <v>0</v>
          </cell>
          <cell r="S170">
            <v>1445.3999999999999</v>
          </cell>
          <cell r="T170">
            <v>0</v>
          </cell>
          <cell r="U170">
            <v>0</v>
          </cell>
          <cell r="V170">
            <v>0</v>
          </cell>
          <cell r="W170">
            <v>0</v>
          </cell>
          <cell r="X170">
            <v>175.20000000000002</v>
          </cell>
          <cell r="Y170">
            <v>25490.454545454544</v>
          </cell>
          <cell r="Z170">
            <v>0</v>
          </cell>
          <cell r="AA170">
            <v>0</v>
          </cell>
          <cell r="AB170">
            <v>0</v>
          </cell>
          <cell r="AC170">
            <v>159.20000000000002</v>
          </cell>
          <cell r="AD170">
            <v>22325</v>
          </cell>
          <cell r="AE170">
            <v>0</v>
          </cell>
          <cell r="AF170">
            <v>444.2</v>
          </cell>
          <cell r="AG170">
            <v>367.2</v>
          </cell>
          <cell r="AH170">
            <v>77</v>
          </cell>
          <cell r="AI170">
            <v>118.4</v>
          </cell>
          <cell r="AJ170">
            <v>0</v>
          </cell>
          <cell r="AK170">
            <v>3594.3999999999992</v>
          </cell>
        </row>
        <row r="171">
          <cell r="F171">
            <v>0</v>
          </cell>
          <cell r="G171">
            <v>0</v>
          </cell>
          <cell r="H171">
            <v>0</v>
          </cell>
          <cell r="P171">
            <v>0</v>
          </cell>
          <cell r="R171">
            <v>0</v>
          </cell>
          <cell r="S171">
            <v>264.8</v>
          </cell>
          <cell r="T171">
            <v>0</v>
          </cell>
          <cell r="U171">
            <v>0</v>
          </cell>
          <cell r="V171">
            <v>0</v>
          </cell>
          <cell r="W171">
            <v>0</v>
          </cell>
          <cell r="X171">
            <v>0</v>
          </cell>
          <cell r="Y171">
            <v>0</v>
          </cell>
          <cell r="Z171">
            <v>0</v>
          </cell>
          <cell r="AA171">
            <v>0</v>
          </cell>
          <cell r="AB171">
            <v>0</v>
          </cell>
          <cell r="AC171">
            <v>0</v>
          </cell>
          <cell r="AE171">
            <v>0</v>
          </cell>
          <cell r="AF171">
            <v>0</v>
          </cell>
          <cell r="AG171">
            <v>0</v>
          </cell>
          <cell r="AH171">
            <v>0</v>
          </cell>
          <cell r="AI171">
            <v>0</v>
          </cell>
          <cell r="AJ171">
            <v>0</v>
          </cell>
          <cell r="AK171">
            <v>264.8</v>
          </cell>
        </row>
        <row r="172">
          <cell r="F172">
            <v>0</v>
          </cell>
          <cell r="AG172">
            <v>0</v>
          </cell>
          <cell r="AK172">
            <v>0</v>
          </cell>
        </row>
        <row r="173">
          <cell r="AK173">
            <v>0</v>
          </cell>
        </row>
        <row r="174">
          <cell r="F174">
            <v>8992</v>
          </cell>
          <cell r="AK174">
            <v>8992</v>
          </cell>
        </row>
        <row r="175">
          <cell r="F175">
            <v>384</v>
          </cell>
          <cell r="P175">
            <v>726</v>
          </cell>
          <cell r="Q175">
            <v>0</v>
          </cell>
          <cell r="R175">
            <v>0</v>
          </cell>
          <cell r="S175">
            <v>1685</v>
          </cell>
          <cell r="T175">
            <v>625.85363636363627</v>
          </cell>
          <cell r="U175">
            <v>650.41909090909098</v>
          </cell>
          <cell r="V175">
            <v>0</v>
          </cell>
          <cell r="W175">
            <v>0</v>
          </cell>
          <cell r="X175">
            <v>653</v>
          </cell>
          <cell r="AA175">
            <v>0</v>
          </cell>
          <cell r="AB175">
            <v>0</v>
          </cell>
          <cell r="AC175">
            <v>535</v>
          </cell>
          <cell r="AF175">
            <v>1440</v>
          </cell>
          <cell r="AG175">
            <v>1367</v>
          </cell>
          <cell r="AH175">
            <v>73</v>
          </cell>
          <cell r="AJ175">
            <v>0</v>
          </cell>
          <cell r="AK175">
            <v>5684</v>
          </cell>
          <cell r="AN175">
            <v>173</v>
          </cell>
          <cell r="AO175">
            <v>694</v>
          </cell>
          <cell r="AP175">
            <v>736</v>
          </cell>
          <cell r="AQ175">
            <v>2144</v>
          </cell>
        </row>
        <row r="176">
          <cell r="F176">
            <v>0</v>
          </cell>
          <cell r="G176">
            <v>0</v>
          </cell>
          <cell r="H176">
            <v>0</v>
          </cell>
          <cell r="P176">
            <v>70</v>
          </cell>
          <cell r="Q176">
            <v>0</v>
          </cell>
          <cell r="R176">
            <v>0</v>
          </cell>
          <cell r="S176">
            <v>408.72727272727275</v>
          </cell>
          <cell r="T176">
            <v>0</v>
          </cell>
          <cell r="U176">
            <v>0</v>
          </cell>
          <cell r="V176">
            <v>0</v>
          </cell>
          <cell r="W176">
            <v>0</v>
          </cell>
          <cell r="X176">
            <v>278.18181818181819</v>
          </cell>
          <cell r="Y176">
            <v>86</v>
          </cell>
          <cell r="Z176">
            <v>192.18181818181819</v>
          </cell>
          <cell r="AA176">
            <v>0</v>
          </cell>
          <cell r="AB176">
            <v>0</v>
          </cell>
          <cell r="AC176">
            <v>203</v>
          </cell>
          <cell r="AD176">
            <v>67</v>
          </cell>
          <cell r="AE176">
            <v>136</v>
          </cell>
          <cell r="AF176">
            <v>121</v>
          </cell>
          <cell r="AG176">
            <v>121</v>
          </cell>
          <cell r="AH176">
            <v>0</v>
          </cell>
        </row>
        <row r="177">
          <cell r="F177">
            <v>18.666666666666664</v>
          </cell>
          <cell r="P177">
            <v>48.800000000000004</v>
          </cell>
          <cell r="Q177">
            <v>0</v>
          </cell>
          <cell r="R177">
            <v>0</v>
          </cell>
          <cell r="S177">
            <v>22.400000000000002</v>
          </cell>
          <cell r="T177">
            <v>16.8</v>
          </cell>
          <cell r="U177">
            <v>0</v>
          </cell>
          <cell r="V177">
            <v>0</v>
          </cell>
          <cell r="W177">
            <v>0</v>
          </cell>
          <cell r="X177">
            <v>791.2</v>
          </cell>
          <cell r="AA177">
            <v>0</v>
          </cell>
          <cell r="AB177">
            <v>0</v>
          </cell>
          <cell r="AC177">
            <v>32.800000000000004</v>
          </cell>
          <cell r="AF177">
            <v>12</v>
          </cell>
          <cell r="AG177">
            <v>11</v>
          </cell>
          <cell r="AH177">
            <v>1</v>
          </cell>
          <cell r="AI177">
            <v>0</v>
          </cell>
          <cell r="AJ177">
            <v>0</v>
          </cell>
          <cell r="AK177">
            <v>2631.5531212121259</v>
          </cell>
          <cell r="AN177">
            <v>258</v>
          </cell>
          <cell r="AO177">
            <v>574</v>
          </cell>
          <cell r="AP177">
            <v>52.800000000000011</v>
          </cell>
          <cell r="AQ177">
            <v>40.066666666666663</v>
          </cell>
        </row>
        <row r="180">
          <cell r="F180">
            <v>1542.6999999999987</v>
          </cell>
          <cell r="P180">
            <v>610.20000000000027</v>
          </cell>
          <cell r="S180">
            <v>3741.1999999999962</v>
          </cell>
          <cell r="X180">
            <v>402.39999999999844</v>
          </cell>
          <cell r="AC180">
            <v>306.40000000000003</v>
          </cell>
          <cell r="AF180">
            <v>1535</v>
          </cell>
          <cell r="AG180">
            <v>1031.8800000000001</v>
          </cell>
          <cell r="AH180">
            <v>503.12</v>
          </cell>
          <cell r="AO180">
            <v>1507.2</v>
          </cell>
        </row>
        <row r="181">
          <cell r="AN181" t="str">
            <v>ОЧИК.18.02.</v>
          </cell>
        </row>
        <row r="184">
          <cell r="F184" t="str">
            <v>АПАРАТ ВСЬОГО</v>
          </cell>
          <cell r="G184" t="str">
            <v>АПАРАТ ЕЛЕКТРО</v>
          </cell>
          <cell r="H184" t="str">
            <v>АПАРАТ ТЕПЛО</v>
          </cell>
          <cell r="P184" t="str">
            <v>ККМ</v>
          </cell>
          <cell r="S184" t="str">
            <v>КТМ</v>
          </cell>
          <cell r="X184" t="str">
            <v>ТЕЦ-5 ВСЬОГО</v>
          </cell>
          <cell r="Y184" t="str">
            <v>Е/Е</v>
          </cell>
          <cell r="Z184" t="str">
            <v xml:space="preserve"> Т/Е</v>
          </cell>
          <cell r="AC184" t="str">
            <v>ТЕЦ-6 ВСЬОГО</v>
          </cell>
          <cell r="AD184" t="str">
            <v>Е/Е</v>
          </cell>
          <cell r="AE184" t="str">
            <v xml:space="preserve"> Т/Е</v>
          </cell>
          <cell r="AF184" t="str">
            <v>Е/Е</v>
          </cell>
          <cell r="AG184" t="str">
            <v xml:space="preserve"> Т/Е</v>
          </cell>
          <cell r="AI184" t="str">
            <v xml:space="preserve">ДОП.ВИР. </v>
          </cell>
          <cell r="AJ184" t="str">
            <v>ДОП.ВИР. СТ.ОРГ.</v>
          </cell>
          <cell r="AK184" t="str">
            <v>АК КЕ ВСЬОГО</v>
          </cell>
          <cell r="AL184" t="str">
            <v>Е/Е</v>
          </cell>
          <cell r="AM184" t="str">
            <v xml:space="preserve"> Т/Е</v>
          </cell>
          <cell r="AN184" t="str">
            <v>СТАНЦІї ЕЛЕКТРО</v>
          </cell>
          <cell r="AO184" t="str">
            <v>СТАНЦІІ ТЕПЛОВІ</v>
          </cell>
          <cell r="AP184" t="str">
            <v>МЕРЕЖІ ЕЛЕКТРО</v>
          </cell>
          <cell r="AQ184" t="str">
            <v>МЕРЕЖІ ТЕПЛОВІ</v>
          </cell>
        </row>
        <row r="185">
          <cell r="F185" t="str">
            <v>АПАРАТ ВСЬОГО</v>
          </cell>
          <cell r="G185" t="str">
            <v>АПАРАТ ЕЛЕКТРО</v>
          </cell>
          <cell r="H185" t="str">
            <v>АПАРАТ ТЕПЛО</v>
          </cell>
          <cell r="P185" t="str">
            <v>ККМ</v>
          </cell>
          <cell r="S185" t="str">
            <v>КТМ</v>
          </cell>
          <cell r="X185" t="str">
            <v>ТЕЦ-5 ВСЬОГО</v>
          </cell>
          <cell r="Y185" t="str">
            <v>Е/Е</v>
          </cell>
          <cell r="Z185" t="str">
            <v xml:space="preserve"> Т/Е</v>
          </cell>
          <cell r="AC185" t="str">
            <v>ТЕЦ-6 ВСЬОГО</v>
          </cell>
          <cell r="AD185" t="str">
            <v>Е/Е</v>
          </cell>
          <cell r="AE185" t="str">
            <v xml:space="preserve"> Т/Е</v>
          </cell>
          <cell r="AF185" t="str">
            <v>Е/Е</v>
          </cell>
          <cell r="AG185" t="str">
            <v xml:space="preserve"> Т/Е</v>
          </cell>
          <cell r="AJ185" t="str">
            <v>ДОП.ВИР. СТ.ОРГ.</v>
          </cell>
          <cell r="AK185" t="str">
            <v>АК КЕ ВСЬОГО</v>
          </cell>
          <cell r="AL185" t="str">
            <v xml:space="preserve"> Т/Е</v>
          </cell>
        </row>
        <row r="187">
          <cell r="S187">
            <v>97.3</v>
          </cell>
          <cell r="X187">
            <v>89.2</v>
          </cell>
          <cell r="AC187">
            <v>73.2</v>
          </cell>
          <cell r="AK187">
            <v>259.7</v>
          </cell>
          <cell r="AN187">
            <v>221.49122807017542</v>
          </cell>
        </row>
        <row r="188">
          <cell r="S188">
            <v>111.9</v>
          </cell>
          <cell r="X188">
            <v>102.5</v>
          </cell>
          <cell r="AC188">
            <v>84.2</v>
          </cell>
          <cell r="AK188">
            <v>298.60000000000002</v>
          </cell>
          <cell r="AN188">
            <v>252.49999999999997</v>
          </cell>
        </row>
        <row r="189">
          <cell r="P189">
            <v>0</v>
          </cell>
          <cell r="S189">
            <v>0</v>
          </cell>
          <cell r="X189">
            <v>0</v>
          </cell>
          <cell r="AC189">
            <v>0</v>
          </cell>
          <cell r="AK189">
            <v>377.7</v>
          </cell>
          <cell r="AN189">
            <v>66</v>
          </cell>
        </row>
        <row r="190">
          <cell r="P190">
            <v>0</v>
          </cell>
          <cell r="S190">
            <v>194.5</v>
          </cell>
          <cell r="X190">
            <v>194.5</v>
          </cell>
          <cell r="AC190">
            <v>194.5</v>
          </cell>
          <cell r="AK190">
            <v>194.5</v>
          </cell>
          <cell r="AN190">
            <v>0</v>
          </cell>
        </row>
        <row r="191">
          <cell r="P191">
            <v>0</v>
          </cell>
          <cell r="S191">
            <v>18925</v>
          </cell>
          <cell r="X191">
            <v>17350</v>
          </cell>
          <cell r="AC191">
            <v>14237</v>
          </cell>
          <cell r="AK191">
            <v>50512</v>
          </cell>
          <cell r="AN191">
            <v>0</v>
          </cell>
        </row>
        <row r="192">
          <cell r="S192">
            <v>19500</v>
          </cell>
          <cell r="X192">
            <v>22503</v>
          </cell>
          <cell r="AC192">
            <v>21502</v>
          </cell>
          <cell r="AK192">
            <v>50512</v>
          </cell>
        </row>
        <row r="193">
          <cell r="X193">
            <v>0</v>
          </cell>
          <cell r="AC193">
            <v>0</v>
          </cell>
          <cell r="AK193">
            <v>0</v>
          </cell>
        </row>
        <row r="194">
          <cell r="X194">
            <v>0</v>
          </cell>
          <cell r="AC194">
            <v>0</v>
          </cell>
          <cell r="AK194">
            <v>0</v>
          </cell>
        </row>
        <row r="195">
          <cell r="X195">
            <v>82.5</v>
          </cell>
          <cell r="AC195">
            <v>82.5</v>
          </cell>
          <cell r="AK195">
            <v>0</v>
          </cell>
        </row>
        <row r="196">
          <cell r="X196">
            <v>0</v>
          </cell>
          <cell r="AC196">
            <v>0</v>
          </cell>
          <cell r="AK196">
            <v>0</v>
          </cell>
        </row>
        <row r="197">
          <cell r="S197">
            <v>0</v>
          </cell>
          <cell r="X197">
            <v>0</v>
          </cell>
          <cell r="AC197">
            <v>0</v>
          </cell>
          <cell r="AK197">
            <v>0</v>
          </cell>
        </row>
        <row r="198">
          <cell r="S198">
            <v>0</v>
          </cell>
          <cell r="X198">
            <v>0</v>
          </cell>
          <cell r="AC198">
            <v>0</v>
          </cell>
          <cell r="AK198">
            <v>0</v>
          </cell>
        </row>
        <row r="199">
          <cell r="X199">
            <v>13.4</v>
          </cell>
          <cell r="AC199">
            <v>16.100000000000001</v>
          </cell>
          <cell r="AK199">
            <v>29.5</v>
          </cell>
          <cell r="AN199">
            <v>75.839416058394164</v>
          </cell>
        </row>
        <row r="200">
          <cell r="X200">
            <v>18.5</v>
          </cell>
          <cell r="AC200">
            <v>22.2</v>
          </cell>
          <cell r="AK200">
            <v>40.700000000000003</v>
          </cell>
          <cell r="AN200">
            <v>103.9</v>
          </cell>
        </row>
        <row r="201">
          <cell r="F201">
            <v>75</v>
          </cell>
          <cell r="P201">
            <v>75</v>
          </cell>
          <cell r="X201">
            <v>5.7</v>
          </cell>
          <cell r="AC201">
            <v>5.9</v>
          </cell>
          <cell r="AJ201">
            <v>0</v>
          </cell>
          <cell r="AK201">
            <v>11.600000000000001</v>
          </cell>
          <cell r="AN201" t="e">
            <v>#DIV/0!</v>
          </cell>
          <cell r="AQ201">
            <v>75</v>
          </cell>
        </row>
        <row r="202">
          <cell r="F202">
            <v>75</v>
          </cell>
          <cell r="S202">
            <v>385</v>
          </cell>
          <cell r="X202">
            <v>385</v>
          </cell>
          <cell r="AC202">
            <v>385</v>
          </cell>
          <cell r="AJ202">
            <v>0</v>
          </cell>
          <cell r="AK202">
            <v>385</v>
          </cell>
          <cell r="AN202">
            <v>195.28</v>
          </cell>
        </row>
        <row r="203">
          <cell r="S203">
            <v>0</v>
          </cell>
          <cell r="X203">
            <v>5159</v>
          </cell>
          <cell r="AC203">
            <v>6200</v>
          </cell>
          <cell r="AK203">
            <v>11358</v>
          </cell>
          <cell r="AN203">
            <v>14810</v>
          </cell>
        </row>
        <row r="204">
          <cell r="S204">
            <v>0</v>
          </cell>
          <cell r="X204">
            <v>2466</v>
          </cell>
          <cell r="AC204">
            <v>2526</v>
          </cell>
          <cell r="AK204">
            <v>11359</v>
          </cell>
        </row>
        <row r="205">
          <cell r="S205">
            <v>111.9</v>
          </cell>
          <cell r="X205">
            <v>121</v>
          </cell>
          <cell r="Y205">
            <v>37.5</v>
          </cell>
          <cell r="Z205">
            <v>83.5</v>
          </cell>
          <cell r="AC205">
            <v>106.4</v>
          </cell>
          <cell r="AD205">
            <v>34.799999999999997</v>
          </cell>
          <cell r="AE205">
            <v>71.600000000000009</v>
          </cell>
          <cell r="AK205">
            <v>339.3</v>
          </cell>
          <cell r="AL205">
            <v>72.3</v>
          </cell>
          <cell r="AM205">
            <v>267</v>
          </cell>
          <cell r="AN205">
            <v>356.4</v>
          </cell>
          <cell r="AO205">
            <v>74.900000000000006</v>
          </cell>
          <cell r="AP205">
            <v>281.5</v>
          </cell>
        </row>
        <row r="206">
          <cell r="S206">
            <v>18925</v>
          </cell>
          <cell r="X206">
            <v>22509</v>
          </cell>
          <cell r="Y206">
            <v>8375.0975609756097</v>
          </cell>
          <cell r="Z206">
            <v>14133.90243902439</v>
          </cell>
          <cell r="AA206">
            <v>14133.90243902439</v>
          </cell>
          <cell r="AC206">
            <v>20437</v>
          </cell>
          <cell r="AD206">
            <v>8330.4774346793329</v>
          </cell>
          <cell r="AE206">
            <v>12106.522565320667</v>
          </cell>
          <cell r="AK206">
            <v>61870</v>
          </cell>
          <cell r="AL206">
            <v>16705.574995654941</v>
          </cell>
          <cell r="AM206">
            <v>45165.425004345059</v>
          </cell>
          <cell r="AN206">
            <v>14810</v>
          </cell>
          <cell r="AO206">
            <v>3112.427048260382</v>
          </cell>
          <cell r="AP206">
            <v>11697.572951739618</v>
          </cell>
        </row>
        <row r="207">
          <cell r="S207">
            <v>169.12</v>
          </cell>
          <cell r="X207">
            <v>186.02</v>
          </cell>
          <cell r="Y207">
            <v>223.34</v>
          </cell>
          <cell r="Z207">
            <v>169.27</v>
          </cell>
          <cell r="AA207">
            <v>13714</v>
          </cell>
          <cell r="AC207">
            <v>192.08</v>
          </cell>
          <cell r="AD207">
            <v>239.38</v>
          </cell>
          <cell r="AE207">
            <v>169.09</v>
          </cell>
          <cell r="AI207" t="str">
            <v/>
          </cell>
          <cell r="AJ207" t="str">
            <v/>
          </cell>
          <cell r="AK207">
            <v>182.35</v>
          </cell>
          <cell r="AL207">
            <v>231.06</v>
          </cell>
          <cell r="AM207">
            <v>169.16</v>
          </cell>
          <cell r="AN207">
            <v>41.55</v>
          </cell>
          <cell r="AO207">
            <v>41.55</v>
          </cell>
          <cell r="AP207">
            <v>41.55</v>
          </cell>
          <cell r="AQ207" t="str">
            <v/>
          </cell>
        </row>
        <row r="208">
          <cell r="S208">
            <v>168.1</v>
          </cell>
          <cell r="X208">
            <v>178.86</v>
          </cell>
          <cell r="Y208">
            <v>194.05</v>
          </cell>
          <cell r="Z208">
            <v>168.06</v>
          </cell>
          <cell r="AC208">
            <v>179.72</v>
          </cell>
          <cell r="AD208">
            <v>193.34</v>
          </cell>
          <cell r="AE208">
            <v>168.25</v>
          </cell>
          <cell r="AJ208" t="str">
            <v/>
          </cell>
          <cell r="AK208">
            <v>175.95</v>
          </cell>
          <cell r="AL208">
            <v>168.13</v>
          </cell>
          <cell r="AM208">
            <v>0</v>
          </cell>
          <cell r="AN208">
            <v>52</v>
          </cell>
          <cell r="AO208">
            <v>52</v>
          </cell>
        </row>
        <row r="209">
          <cell r="X209">
            <v>22509</v>
          </cell>
          <cell r="AC209">
            <v>20437</v>
          </cell>
          <cell r="AK209">
            <v>61870</v>
          </cell>
          <cell r="AL209">
            <v>16705.574995654941</v>
          </cell>
          <cell r="AM209">
            <v>45164.425004345059</v>
          </cell>
          <cell r="AN209">
            <v>14862</v>
          </cell>
          <cell r="AO209">
            <v>3164.427048260382</v>
          </cell>
          <cell r="AP209">
            <v>11697.572951739618</v>
          </cell>
        </row>
        <row r="210">
          <cell r="X210">
            <v>24969</v>
          </cell>
          <cell r="AC210">
            <v>24028</v>
          </cell>
          <cell r="AK210">
            <v>68498</v>
          </cell>
          <cell r="AL210" t="e">
            <v>#REF!</v>
          </cell>
        </row>
        <row r="211">
          <cell r="AK211">
            <v>61871</v>
          </cell>
        </row>
        <row r="218">
          <cell r="G218" t="str">
            <v>Б.В.ЯЩЕНКО</v>
          </cell>
        </row>
        <row r="219">
          <cell r="G219" t="str">
            <v>М.В.ТЕРПИЛО</v>
          </cell>
        </row>
        <row r="220">
          <cell r="G220" t="str">
            <v xml:space="preserve">В.І.МИРГОРОДСЬКИЙ                                  </v>
          </cell>
        </row>
        <row r="221">
          <cell r="G221" t="str">
            <v xml:space="preserve">М.І.ШЕВЧЕНКО                                 </v>
          </cell>
        </row>
        <row r="222">
          <cell r="G222" t="str">
            <v>В.Ю.МОНТЬЕВ</v>
          </cell>
        </row>
        <row r="223">
          <cell r="G223" t="str">
            <v xml:space="preserve">О.М.НИКОЛЕНКО      </v>
          </cell>
        </row>
        <row r="224">
          <cell r="G224" t="str">
            <v xml:space="preserve">М.І.ШЕВЧЕНКО                                 </v>
          </cell>
        </row>
        <row r="225">
          <cell r="G225" t="str">
            <v>В.Ю.МОНТЬЕВ</v>
          </cell>
        </row>
        <row r="226">
          <cell r="G226" t="str">
            <v xml:space="preserve">О.М.НИКОЛЕНКО      </v>
          </cell>
        </row>
        <row r="227">
          <cell r="AO227">
            <v>1507.2</v>
          </cell>
        </row>
        <row r="242">
          <cell r="AG242" t="str">
            <v xml:space="preserve">         Затверджую</v>
          </cell>
        </row>
        <row r="243">
          <cell r="AG243" t="str">
            <v xml:space="preserve"> Голова правління </v>
          </cell>
        </row>
        <row r="244">
          <cell r="AG244" t="str">
            <v xml:space="preserve">                        І.В.Плачков</v>
          </cell>
        </row>
        <row r="245">
          <cell r="AG245" t="str">
            <v xml:space="preserve">   "_____" ________2000 р.</v>
          </cell>
        </row>
        <row r="246">
          <cell r="AG246" t="str">
            <v xml:space="preserve"> Голова правління </v>
          </cell>
        </row>
        <row r="247">
          <cell r="AG247" t="str">
            <v xml:space="preserve">                        І.В.Плачков</v>
          </cell>
        </row>
        <row r="248">
          <cell r="AG248" t="str">
            <v xml:space="preserve">   "_____" ________2000 р.</v>
          </cell>
        </row>
        <row r="249">
          <cell r="F249" t="str">
            <v>РОЗРАХУНОК ФІНАНСОВИХ ПОТОКІВ НА   березень  2000 року</v>
          </cell>
        </row>
        <row r="250">
          <cell r="F250" t="str">
            <v>ПО ФІЛІАЛАХ АК КИЇВЕНЕРГО</v>
          </cell>
        </row>
        <row r="252">
          <cell r="F252" t="str">
            <v>РОЗРАХУНОК ФІНАНСОВИХ ПОТОКІВ НА   березень  2000 року</v>
          </cell>
        </row>
        <row r="253">
          <cell r="F253" t="str">
            <v>ПО ФІЛІАЛАХ АК КИЇВЕНЕРГО</v>
          </cell>
        </row>
        <row r="255">
          <cell r="AI255" t="str">
            <v>ТИС.ГРН.</v>
          </cell>
          <cell r="AK255" t="str">
            <v>тис.грн.</v>
          </cell>
        </row>
        <row r="256">
          <cell r="F256" t="str">
            <v>ВИКОН.ДИР.</v>
          </cell>
          <cell r="G256" t="str">
            <v>АПАРАТ ЕЛЕКТРО</v>
          </cell>
          <cell r="H256" t="str">
            <v>АПАРАТ ТЕПЛО</v>
          </cell>
          <cell r="P256" t="str">
            <v>КМ</v>
          </cell>
          <cell r="Q256" t="str">
            <v>ТМ</v>
          </cell>
          <cell r="S256" t="str">
            <v>КТМ</v>
          </cell>
          <cell r="T256" t="str">
            <v>ВИРОБН</v>
          </cell>
          <cell r="U256" t="str">
            <v>ПЕРЕД</v>
          </cell>
          <cell r="X256" t="str">
            <v>ТЕЦ-5 ВСЬОГО</v>
          </cell>
          <cell r="Y256" t="str">
            <v>Е/Е</v>
          </cell>
          <cell r="Z256" t="str">
            <v xml:space="preserve"> Т/Е</v>
          </cell>
          <cell r="AC256" t="str">
            <v>ТЕЦ-6 ВСЬОГО</v>
          </cell>
          <cell r="AD256" t="str">
            <v>Е/Е</v>
          </cell>
          <cell r="AE256" t="str">
            <v xml:space="preserve"> Т/Е</v>
          </cell>
          <cell r="AF256" t="str">
            <v>ТРМ ВСЬОГО</v>
          </cell>
          <cell r="AG256" t="str">
            <v>ТРМ  АК КЕ</v>
          </cell>
          <cell r="AH256" t="str">
            <v>ТРМ СТОР</v>
          </cell>
          <cell r="AI256" t="str">
            <v xml:space="preserve">ДОП.ВИР. </v>
          </cell>
          <cell r="AJ256" t="str">
            <v>ДОП.ВИР. СТ.ОРГ.</v>
          </cell>
          <cell r="AK256" t="str">
            <v>АК КЕ осн.вир.</v>
          </cell>
          <cell r="AL256" t="str">
            <v>АК КЕ ВСЬОГО</v>
          </cell>
          <cell r="AM256" t="str">
            <v xml:space="preserve"> Т/Е</v>
          </cell>
          <cell r="AN256" t="str">
            <v>СТАНЦІї ЕЛЕКТРО</v>
          </cell>
          <cell r="AO256" t="str">
            <v>СТАНЦІІ ТЕПЛОВІ</v>
          </cell>
          <cell r="AP256" t="str">
            <v>МЕРЕЖІ ЕЛЕКТРО</v>
          </cell>
          <cell r="AQ256" t="str">
            <v>МЕРЕЖІ ТЕПЛОВІ</v>
          </cell>
        </row>
        <row r="257">
          <cell r="F257">
            <v>3213.1666666666652</v>
          </cell>
          <cell r="P257">
            <v>2641.6000000000004</v>
          </cell>
          <cell r="S257">
            <v>8041.218181818178</v>
          </cell>
          <cell r="X257">
            <v>2404.6545454545439</v>
          </cell>
          <cell r="AC257">
            <v>1313.2</v>
          </cell>
          <cell r="AF257">
            <v>3816.2</v>
          </cell>
          <cell r="AG257">
            <v>3162.08</v>
          </cell>
          <cell r="AH257">
            <v>655.12</v>
          </cell>
          <cell r="AJ257">
            <v>7599</v>
          </cell>
          <cell r="AK257">
            <v>22345.506060606054</v>
          </cell>
        </row>
        <row r="258">
          <cell r="AK258" t="str">
            <v>тис.грн.</v>
          </cell>
        </row>
        <row r="259">
          <cell r="F259">
            <v>22177.384761904759</v>
          </cell>
          <cell r="G259">
            <v>1438</v>
          </cell>
          <cell r="H259">
            <v>2822.6333333333332</v>
          </cell>
          <cell r="P259">
            <v>2641.6000000000004</v>
          </cell>
          <cell r="Q259">
            <v>0</v>
          </cell>
          <cell r="R259">
            <v>0</v>
          </cell>
          <cell r="S259">
            <v>8041.218181818178</v>
          </cell>
          <cell r="T259">
            <v>4194.2120000000004</v>
          </cell>
          <cell r="U259">
            <v>2131.2061818181819</v>
          </cell>
          <cell r="V259">
            <v>0</v>
          </cell>
          <cell r="W259">
            <v>0</v>
          </cell>
          <cell r="X259">
            <v>2404.6545454545439</v>
          </cell>
          <cell r="Y259">
            <v>692</v>
          </cell>
          <cell r="Z259">
            <v>1537.454545454546</v>
          </cell>
          <cell r="AA259">
            <v>0</v>
          </cell>
          <cell r="AB259">
            <v>0</v>
          </cell>
          <cell r="AC259">
            <v>1313.2</v>
          </cell>
          <cell r="AD259">
            <v>379</v>
          </cell>
          <cell r="AE259">
            <v>775</v>
          </cell>
          <cell r="AF259">
            <v>3816.2</v>
          </cell>
          <cell r="AG259">
            <v>3162.08</v>
          </cell>
          <cell r="AH259">
            <v>655.12</v>
          </cell>
          <cell r="AI259">
            <v>850.10909090909092</v>
          </cell>
          <cell r="AJ259">
            <v>0</v>
          </cell>
          <cell r="AK259">
            <v>107685.31324675324</v>
          </cell>
          <cell r="AL259" t="str">
            <v xml:space="preserve"> Т/Е</v>
          </cell>
          <cell r="AM259">
            <v>100230.25</v>
          </cell>
        </row>
        <row r="260">
          <cell r="F260">
            <v>10708.318095238095</v>
          </cell>
          <cell r="G260">
            <v>1354</v>
          </cell>
          <cell r="H260">
            <v>2522.6333333333332</v>
          </cell>
          <cell r="P260">
            <v>1021.4000000000001</v>
          </cell>
          <cell r="S260">
            <v>1606.9999999999959</v>
          </cell>
          <cell r="T260">
            <v>3361.1583636363644</v>
          </cell>
          <cell r="U260">
            <v>392.98709090909097</v>
          </cell>
          <cell r="X260">
            <v>1376.7999999999986</v>
          </cell>
          <cell r="Y260">
            <v>342</v>
          </cell>
          <cell r="Z260">
            <v>760.63636363636419</v>
          </cell>
          <cell r="AC260">
            <v>374.40000000000003</v>
          </cell>
          <cell r="AD260">
            <v>31</v>
          </cell>
          <cell r="AE260">
            <v>57</v>
          </cell>
          <cell r="AF260">
            <v>418.19999999999965</v>
          </cell>
          <cell r="AG260">
            <v>307.16000000000014</v>
          </cell>
          <cell r="AH260">
            <v>112.03999999999996</v>
          </cell>
          <cell r="AI260">
            <v>571.20000000000005</v>
          </cell>
          <cell r="AJ260">
            <v>-2455</v>
          </cell>
          <cell r="AK260">
            <v>91957.440519480515</v>
          </cell>
          <cell r="AM260">
            <v>15842.91809523809</v>
          </cell>
        </row>
        <row r="261">
          <cell r="F261">
            <v>92918.818095238108</v>
          </cell>
          <cell r="P261">
            <v>0</v>
          </cell>
          <cell r="Q261">
            <v>0</v>
          </cell>
          <cell r="R261">
            <v>0</v>
          </cell>
          <cell r="S261">
            <v>0</v>
          </cell>
          <cell r="T261">
            <v>0</v>
          </cell>
          <cell r="U261">
            <v>0</v>
          </cell>
          <cell r="V261">
            <v>0</v>
          </cell>
          <cell r="W261">
            <v>0</v>
          </cell>
          <cell r="X261">
            <v>0</v>
          </cell>
          <cell r="Y261">
            <v>0</v>
          </cell>
          <cell r="Z261">
            <v>0</v>
          </cell>
          <cell r="AA261">
            <v>0</v>
          </cell>
          <cell r="AB261">
            <v>0</v>
          </cell>
          <cell r="AC261">
            <v>0</v>
          </cell>
          <cell r="AD261">
            <v>0</v>
          </cell>
          <cell r="AE261">
            <v>0</v>
          </cell>
          <cell r="AF261">
            <v>0</v>
          </cell>
          <cell r="AG261">
            <v>0</v>
          </cell>
          <cell r="AH261">
            <v>0</v>
          </cell>
          <cell r="AI261">
            <v>0</v>
          </cell>
          <cell r="AK261">
            <v>92918.818095238108</v>
          </cell>
        </row>
        <row r="262">
          <cell r="F262">
            <v>61871</v>
          </cell>
          <cell r="G262" t="e">
            <v>#DIV/0!</v>
          </cell>
          <cell r="H262" t="e">
            <v>#DIV/0!</v>
          </cell>
          <cell r="P262">
            <v>0</v>
          </cell>
          <cell r="Q262">
            <v>0</v>
          </cell>
          <cell r="R262">
            <v>0</v>
          </cell>
          <cell r="S262">
            <v>0</v>
          </cell>
          <cell r="T262">
            <v>0</v>
          </cell>
          <cell r="U262">
            <v>0</v>
          </cell>
          <cell r="V262">
            <v>0</v>
          </cell>
          <cell r="W262">
            <v>0</v>
          </cell>
          <cell r="X262">
            <v>0</v>
          </cell>
          <cell r="Y262">
            <v>0</v>
          </cell>
          <cell r="Z262">
            <v>0</v>
          </cell>
          <cell r="AA262">
            <v>0</v>
          </cell>
          <cell r="AB262">
            <v>0</v>
          </cell>
          <cell r="AC262">
            <v>0</v>
          </cell>
          <cell r="AD262">
            <v>0</v>
          </cell>
          <cell r="AE262">
            <v>0</v>
          </cell>
          <cell r="AF262">
            <v>0</v>
          </cell>
          <cell r="AG262">
            <v>0</v>
          </cell>
          <cell r="AH262">
            <v>0</v>
          </cell>
          <cell r="AJ262">
            <v>0</v>
          </cell>
          <cell r="AK262">
            <v>61871</v>
          </cell>
          <cell r="AL262">
            <v>0</v>
          </cell>
        </row>
        <row r="263">
          <cell r="F263">
            <v>11292</v>
          </cell>
          <cell r="G263" t="e">
            <v>#DIV/0!</v>
          </cell>
          <cell r="H263" t="e">
            <v>#DIV/0!</v>
          </cell>
          <cell r="P263" t="e">
            <v>#REF!</v>
          </cell>
          <cell r="S263" t="e">
            <v>#REF!</v>
          </cell>
          <cell r="T263">
            <v>0</v>
          </cell>
          <cell r="U263">
            <v>0</v>
          </cell>
          <cell r="X263" t="e">
            <v>#REF!</v>
          </cell>
          <cell r="Y263">
            <v>0</v>
          </cell>
          <cell r="Z263">
            <v>0</v>
          </cell>
          <cell r="AC263" t="e">
            <v>#REF!</v>
          </cell>
          <cell r="AD263">
            <v>0</v>
          </cell>
          <cell r="AE263">
            <v>0</v>
          </cell>
          <cell r="AF263" t="e">
            <v>#REF!</v>
          </cell>
          <cell r="AG263" t="e">
            <v>#REF!</v>
          </cell>
          <cell r="AH263" t="e">
            <v>#REF!</v>
          </cell>
          <cell r="AJ263">
            <v>-2455</v>
          </cell>
          <cell r="AK263">
            <v>11292</v>
          </cell>
          <cell r="AL263" t="e">
            <v>#REF!</v>
          </cell>
        </row>
        <row r="264">
          <cell r="F264">
            <v>10408.151428571429</v>
          </cell>
          <cell r="P264">
            <v>0</v>
          </cell>
          <cell r="Q264">
            <v>0</v>
          </cell>
          <cell r="R264">
            <v>0</v>
          </cell>
          <cell r="S264">
            <v>0</v>
          </cell>
          <cell r="T264">
            <v>0</v>
          </cell>
          <cell r="U264">
            <v>0</v>
          </cell>
          <cell r="V264">
            <v>0</v>
          </cell>
          <cell r="W264">
            <v>0</v>
          </cell>
          <cell r="X264">
            <v>0</v>
          </cell>
          <cell r="Y264">
            <v>0</v>
          </cell>
          <cell r="Z264">
            <v>0</v>
          </cell>
          <cell r="AA264">
            <v>0</v>
          </cell>
          <cell r="AB264">
            <v>0</v>
          </cell>
          <cell r="AC264">
            <v>0</v>
          </cell>
          <cell r="AD264">
            <v>0</v>
          </cell>
          <cell r="AE264">
            <v>0</v>
          </cell>
          <cell r="AF264">
            <v>0</v>
          </cell>
          <cell r="AG264">
            <v>0</v>
          </cell>
          <cell r="AH264">
            <v>0</v>
          </cell>
          <cell r="AI264">
            <v>0</v>
          </cell>
          <cell r="AK264">
            <v>10408.151428571429</v>
          </cell>
        </row>
        <row r="265">
          <cell r="F265">
            <v>791.6</v>
          </cell>
          <cell r="AK265">
            <v>791.6</v>
          </cell>
        </row>
        <row r="266">
          <cell r="F266">
            <v>0</v>
          </cell>
          <cell r="AK266">
            <v>0</v>
          </cell>
        </row>
        <row r="267">
          <cell r="F267">
            <v>4126.5514285714289</v>
          </cell>
          <cell r="P267">
            <v>0</v>
          </cell>
          <cell r="Q267">
            <v>0</v>
          </cell>
          <cell r="R267">
            <v>0</v>
          </cell>
          <cell r="S267">
            <v>0</v>
          </cell>
          <cell r="T267">
            <v>0</v>
          </cell>
          <cell r="U267">
            <v>0</v>
          </cell>
          <cell r="V267">
            <v>0</v>
          </cell>
          <cell r="W267">
            <v>0</v>
          </cell>
          <cell r="X267">
            <v>0</v>
          </cell>
          <cell r="Y267">
            <v>0</v>
          </cell>
          <cell r="Z267">
            <v>0</v>
          </cell>
          <cell r="AA267">
            <v>0</v>
          </cell>
          <cell r="AB267">
            <v>0</v>
          </cell>
          <cell r="AC267">
            <v>0</v>
          </cell>
          <cell r="AD267">
            <v>0</v>
          </cell>
          <cell r="AE267">
            <v>0</v>
          </cell>
          <cell r="AF267">
            <v>0</v>
          </cell>
          <cell r="AG267">
            <v>0</v>
          </cell>
          <cell r="AH267">
            <v>0</v>
          </cell>
          <cell r="AK267">
            <v>4126.5514285714289</v>
          </cell>
        </row>
        <row r="268">
          <cell r="F268">
            <v>3500</v>
          </cell>
          <cell r="AK268">
            <v>3500</v>
          </cell>
        </row>
        <row r="269">
          <cell r="F269">
            <v>0</v>
          </cell>
          <cell r="AK269">
            <v>0</v>
          </cell>
        </row>
        <row r="270">
          <cell r="F270">
            <v>1990</v>
          </cell>
          <cell r="P270">
            <v>0</v>
          </cell>
          <cell r="S270">
            <v>0</v>
          </cell>
          <cell r="X270">
            <v>0</v>
          </cell>
          <cell r="AC270">
            <v>0</v>
          </cell>
          <cell r="AF270">
            <v>0</v>
          </cell>
          <cell r="AG270">
            <v>0</v>
          </cell>
          <cell r="AH270">
            <v>0</v>
          </cell>
          <cell r="AI270">
            <v>0</v>
          </cell>
          <cell r="AK270">
            <v>1990</v>
          </cell>
        </row>
        <row r="271">
          <cell r="F271">
            <v>9242.6666666666661</v>
          </cell>
          <cell r="AK271">
            <v>9242.6666666666661</v>
          </cell>
        </row>
        <row r="272">
          <cell r="F272">
            <v>105</v>
          </cell>
          <cell r="P272">
            <v>0</v>
          </cell>
          <cell r="S272">
            <v>0</v>
          </cell>
          <cell r="X272">
            <v>0</v>
          </cell>
          <cell r="AC272">
            <v>0</v>
          </cell>
          <cell r="AF272">
            <v>0</v>
          </cell>
          <cell r="AG272">
            <v>0</v>
          </cell>
          <cell r="AH272">
            <v>0</v>
          </cell>
          <cell r="AI272">
            <v>0</v>
          </cell>
          <cell r="AK272">
            <v>105</v>
          </cell>
        </row>
        <row r="273">
          <cell r="F273">
            <v>96131.98476190478</v>
          </cell>
          <cell r="P273">
            <v>2641.6000000000004</v>
          </cell>
          <cell r="Q273">
            <v>0</v>
          </cell>
          <cell r="R273">
            <v>0</v>
          </cell>
          <cell r="S273">
            <v>8041.218181818178</v>
          </cell>
          <cell r="T273">
            <v>0</v>
          </cell>
          <cell r="U273">
            <v>0</v>
          </cell>
          <cell r="V273">
            <v>0</v>
          </cell>
          <cell r="W273">
            <v>0</v>
          </cell>
          <cell r="X273">
            <v>2404.6545454545439</v>
          </cell>
          <cell r="Y273">
            <v>0</v>
          </cell>
          <cell r="Z273">
            <v>0</v>
          </cell>
          <cell r="AA273">
            <v>0</v>
          </cell>
          <cell r="AB273">
            <v>0</v>
          </cell>
          <cell r="AC273">
            <v>1313.2</v>
          </cell>
          <cell r="AD273">
            <v>0</v>
          </cell>
          <cell r="AE273">
            <v>0</v>
          </cell>
          <cell r="AF273">
            <v>3816.2</v>
          </cell>
          <cell r="AG273">
            <v>3162.08</v>
          </cell>
          <cell r="AH273">
            <v>655.12</v>
          </cell>
          <cell r="AI273">
            <v>0</v>
          </cell>
          <cell r="AK273">
            <v>115264.32415584417</v>
          </cell>
        </row>
        <row r="274">
          <cell r="F274">
            <v>1434.8000000000002</v>
          </cell>
          <cell r="P274">
            <v>1120.8</v>
          </cell>
          <cell r="Q274">
            <v>0</v>
          </cell>
          <cell r="R274">
            <v>0</v>
          </cell>
          <cell r="S274">
            <v>5914.6</v>
          </cell>
          <cell r="T274">
            <v>642.65363636363622</v>
          </cell>
          <cell r="U274">
            <v>650.41909090909098</v>
          </cell>
          <cell r="V274">
            <v>0</v>
          </cell>
          <cell r="W274">
            <v>0</v>
          </cell>
          <cell r="X274">
            <v>1624.6</v>
          </cell>
          <cell r="Y274">
            <v>358</v>
          </cell>
          <cell r="Z274">
            <v>794.41818181818189</v>
          </cell>
          <cell r="AA274">
            <v>0</v>
          </cell>
          <cell r="AB274">
            <v>0</v>
          </cell>
          <cell r="AC274">
            <v>742.2</v>
          </cell>
          <cell r="AD274">
            <v>112</v>
          </cell>
          <cell r="AE274">
            <v>231.2</v>
          </cell>
          <cell r="AF274">
            <v>3125</v>
          </cell>
          <cell r="AG274">
            <v>2581.92</v>
          </cell>
          <cell r="AH274">
            <v>543.08000000000004</v>
          </cell>
          <cell r="AI274">
            <v>278.90909090909088</v>
          </cell>
          <cell r="AK274">
            <v>14693.666666666668</v>
          </cell>
        </row>
        <row r="275">
          <cell r="F275">
            <v>384</v>
          </cell>
          <cell r="G275">
            <v>84</v>
          </cell>
          <cell r="H275">
            <v>300</v>
          </cell>
          <cell r="P275">
            <v>726</v>
          </cell>
          <cell r="S275">
            <v>1685</v>
          </cell>
          <cell r="T275">
            <v>625.85363636363627</v>
          </cell>
          <cell r="U275">
            <v>650.41909090909098</v>
          </cell>
          <cell r="X275">
            <v>653</v>
          </cell>
          <cell r="Y275">
            <v>117</v>
          </cell>
          <cell r="Z275">
            <v>257.81818181818181</v>
          </cell>
          <cell r="AC275">
            <v>535</v>
          </cell>
          <cell r="AD275">
            <v>108</v>
          </cell>
          <cell r="AE275">
            <v>224</v>
          </cell>
          <cell r="AF275">
            <v>1440</v>
          </cell>
          <cell r="AG275">
            <v>1367</v>
          </cell>
          <cell r="AH275">
            <v>73</v>
          </cell>
          <cell r="AI275">
            <v>278.90909090909088</v>
          </cell>
          <cell r="AK275">
            <v>5757</v>
          </cell>
        </row>
        <row r="276">
          <cell r="F276">
            <v>0</v>
          </cell>
          <cell r="P276">
            <v>0</v>
          </cell>
          <cell r="Q276">
            <v>0</v>
          </cell>
          <cell r="R276">
            <v>0</v>
          </cell>
          <cell r="S276">
            <v>16.8</v>
          </cell>
          <cell r="T276">
            <v>16.8</v>
          </cell>
          <cell r="U276">
            <v>0</v>
          </cell>
          <cell r="V276">
            <v>0</v>
          </cell>
          <cell r="W276">
            <v>0</v>
          </cell>
          <cell r="X276">
            <v>777.6</v>
          </cell>
          <cell r="Y276">
            <v>241</v>
          </cell>
          <cell r="Z276">
            <v>536.6</v>
          </cell>
          <cell r="AA276">
            <v>0</v>
          </cell>
          <cell r="AB276">
            <v>0</v>
          </cell>
          <cell r="AC276">
            <v>-2.7999999999999989</v>
          </cell>
          <cell r="AD276">
            <v>4</v>
          </cell>
          <cell r="AE276">
            <v>7.2000000000000011</v>
          </cell>
          <cell r="AF276">
            <v>0</v>
          </cell>
          <cell r="AG276">
            <v>0</v>
          </cell>
          <cell r="AH276">
            <v>0</v>
          </cell>
          <cell r="AI276">
            <v>0</v>
          </cell>
          <cell r="AK276">
            <v>791.6</v>
          </cell>
        </row>
        <row r="277">
          <cell r="F277">
            <v>1048.4000000000001</v>
          </cell>
          <cell r="P277">
            <v>321</v>
          </cell>
          <cell r="Q277">
            <v>0</v>
          </cell>
          <cell r="R277">
            <v>0</v>
          </cell>
          <cell r="S277">
            <v>1363</v>
          </cell>
          <cell r="T277">
            <v>0</v>
          </cell>
          <cell r="U277">
            <v>0</v>
          </cell>
          <cell r="V277">
            <v>0</v>
          </cell>
          <cell r="W277">
            <v>0</v>
          </cell>
          <cell r="X277">
            <v>176</v>
          </cell>
          <cell r="Y277">
            <v>0</v>
          </cell>
          <cell r="Z277">
            <v>0</v>
          </cell>
          <cell r="AA277">
            <v>0</v>
          </cell>
          <cell r="AB277">
            <v>0</v>
          </cell>
          <cell r="AC277">
            <v>163</v>
          </cell>
          <cell r="AD277">
            <v>0</v>
          </cell>
          <cell r="AE277">
            <v>0</v>
          </cell>
          <cell r="AF277">
            <v>961.8</v>
          </cell>
          <cell r="AG277">
            <v>961.8</v>
          </cell>
          <cell r="AH277">
            <v>0</v>
          </cell>
          <cell r="AI277">
            <v>0</v>
          </cell>
          <cell r="AK277">
            <v>4067.2</v>
          </cell>
        </row>
        <row r="278">
          <cell r="F278">
            <v>158</v>
          </cell>
          <cell r="G278">
            <v>0</v>
          </cell>
          <cell r="H278">
            <v>0</v>
          </cell>
          <cell r="P278">
            <v>56</v>
          </cell>
          <cell r="S278">
            <v>625</v>
          </cell>
          <cell r="T278">
            <v>0</v>
          </cell>
          <cell r="U278">
            <v>0</v>
          </cell>
          <cell r="X278">
            <v>75</v>
          </cell>
          <cell r="Y278">
            <v>0</v>
          </cell>
          <cell r="Z278">
            <v>0</v>
          </cell>
          <cell r="AC278">
            <v>40</v>
          </cell>
          <cell r="AD278">
            <v>0</v>
          </cell>
          <cell r="AE278">
            <v>0</v>
          </cell>
          <cell r="AF278">
            <v>436</v>
          </cell>
          <cell r="AG278">
            <v>436</v>
          </cell>
          <cell r="AH278">
            <v>0</v>
          </cell>
          <cell r="AI278">
            <v>0</v>
          </cell>
          <cell r="AK278">
            <v>1424</v>
          </cell>
        </row>
        <row r="279">
          <cell r="F279">
            <v>246.8</v>
          </cell>
          <cell r="P279">
            <v>10</v>
          </cell>
          <cell r="Q279" t="e">
            <v>#REF!</v>
          </cell>
          <cell r="R279" t="e">
            <v>#REF!</v>
          </cell>
          <cell r="S279">
            <v>0</v>
          </cell>
          <cell r="T279" t="e">
            <v>#REF!</v>
          </cell>
          <cell r="U279" t="e">
            <v>#REF!</v>
          </cell>
          <cell r="V279" t="e">
            <v>#REF!</v>
          </cell>
          <cell r="W279" t="e">
            <v>#REF!</v>
          </cell>
          <cell r="X279">
            <v>0</v>
          </cell>
          <cell r="Y279" t="e">
            <v>#REF!</v>
          </cell>
          <cell r="Z279" t="e">
            <v>#REF!</v>
          </cell>
          <cell r="AA279" t="e">
            <v>#REF!</v>
          </cell>
          <cell r="AB279" t="e">
            <v>#REF!</v>
          </cell>
          <cell r="AC279">
            <v>20</v>
          </cell>
          <cell r="AD279" t="e">
            <v>#REF!</v>
          </cell>
          <cell r="AE279" t="e">
            <v>#REF!</v>
          </cell>
          <cell r="AF279">
            <v>25.6</v>
          </cell>
          <cell r="AG279">
            <v>25.6</v>
          </cell>
          <cell r="AH279">
            <v>0</v>
          </cell>
          <cell r="AI279">
            <v>0</v>
          </cell>
          <cell r="AK279">
            <v>302.40000000000003</v>
          </cell>
        </row>
        <row r="280">
          <cell r="F280">
            <v>60</v>
          </cell>
          <cell r="P280">
            <v>190</v>
          </cell>
          <cell r="Q280">
            <v>0</v>
          </cell>
          <cell r="R280">
            <v>0</v>
          </cell>
          <cell r="S280">
            <v>690</v>
          </cell>
          <cell r="T280">
            <v>0</v>
          </cell>
          <cell r="U280">
            <v>0</v>
          </cell>
          <cell r="V280">
            <v>0</v>
          </cell>
          <cell r="W280">
            <v>0</v>
          </cell>
          <cell r="X280">
            <v>0</v>
          </cell>
          <cell r="Y280">
            <v>0</v>
          </cell>
          <cell r="Z280">
            <v>0</v>
          </cell>
          <cell r="AA280">
            <v>0</v>
          </cell>
          <cell r="AB280">
            <v>0</v>
          </cell>
          <cell r="AC280">
            <v>60</v>
          </cell>
          <cell r="AD280">
            <v>0</v>
          </cell>
          <cell r="AE280">
            <v>0</v>
          </cell>
          <cell r="AF280">
            <v>444.2</v>
          </cell>
          <cell r="AG280">
            <v>444.2</v>
          </cell>
          <cell r="AH280" t="e">
            <v>#REF!</v>
          </cell>
          <cell r="AK280">
            <v>1444.2</v>
          </cell>
        </row>
        <row r="281">
          <cell r="F281">
            <v>583.6</v>
          </cell>
          <cell r="P281">
            <v>65</v>
          </cell>
          <cell r="S281">
            <v>48</v>
          </cell>
          <cell r="X281">
            <v>101</v>
          </cell>
          <cell r="AC281">
            <v>43</v>
          </cell>
          <cell r="AF281">
            <v>56</v>
          </cell>
          <cell r="AG281">
            <v>56</v>
          </cell>
          <cell r="AH281">
            <v>0</v>
          </cell>
          <cell r="AK281">
            <v>896.6</v>
          </cell>
        </row>
        <row r="282">
          <cell r="F282">
            <v>2.4000000000000004</v>
          </cell>
          <cell r="P282">
            <v>73.8</v>
          </cell>
          <cell r="Q282">
            <v>0</v>
          </cell>
          <cell r="R282">
            <v>0</v>
          </cell>
          <cell r="S282">
            <v>2599.8000000000002</v>
          </cell>
          <cell r="T282">
            <v>0</v>
          </cell>
          <cell r="U282">
            <v>0</v>
          </cell>
          <cell r="V282">
            <v>0</v>
          </cell>
          <cell r="W282">
            <v>0</v>
          </cell>
          <cell r="X282">
            <v>18</v>
          </cell>
          <cell r="Y282">
            <v>0</v>
          </cell>
          <cell r="Z282">
            <v>0</v>
          </cell>
          <cell r="AA282">
            <v>0</v>
          </cell>
          <cell r="AB282">
            <v>0</v>
          </cell>
          <cell r="AC282">
            <v>47</v>
          </cell>
          <cell r="AD282">
            <v>0</v>
          </cell>
          <cell r="AE282">
            <v>0</v>
          </cell>
          <cell r="AF282">
            <v>723.2</v>
          </cell>
          <cell r="AG282">
            <v>253.12</v>
          </cell>
          <cell r="AH282">
            <v>470.08000000000004</v>
          </cell>
          <cell r="AI282">
            <v>0</v>
          </cell>
          <cell r="AK282">
            <v>3827.8666666666668</v>
          </cell>
        </row>
        <row r="283">
          <cell r="F283">
            <v>0</v>
          </cell>
          <cell r="P283">
            <v>1</v>
          </cell>
          <cell r="S283">
            <v>0</v>
          </cell>
          <cell r="X283">
            <v>18</v>
          </cell>
          <cell r="AC283">
            <v>47</v>
          </cell>
          <cell r="AF283">
            <v>0</v>
          </cell>
          <cell r="AG283">
            <v>0</v>
          </cell>
          <cell r="AH283">
            <v>0</v>
          </cell>
          <cell r="AI283">
            <v>0</v>
          </cell>
          <cell r="AK283">
            <v>66</v>
          </cell>
        </row>
        <row r="284">
          <cell r="F284">
            <v>2.4000000000000004</v>
          </cell>
          <cell r="P284">
            <v>72.8</v>
          </cell>
          <cell r="Q284">
            <v>0</v>
          </cell>
          <cell r="R284">
            <v>0</v>
          </cell>
          <cell r="S284">
            <v>2599.8000000000002</v>
          </cell>
          <cell r="T284">
            <v>0</v>
          </cell>
          <cell r="U284">
            <v>0</v>
          </cell>
          <cell r="V284">
            <v>0</v>
          </cell>
          <cell r="W284">
            <v>0</v>
          </cell>
          <cell r="X284">
            <v>0</v>
          </cell>
          <cell r="Y284">
            <v>0</v>
          </cell>
          <cell r="Z284">
            <v>0</v>
          </cell>
          <cell r="AA284">
            <v>0</v>
          </cell>
          <cell r="AB284">
            <v>0</v>
          </cell>
          <cell r="AC284">
            <v>0</v>
          </cell>
          <cell r="AD284">
            <v>0</v>
          </cell>
          <cell r="AE284">
            <v>0</v>
          </cell>
          <cell r="AF284">
            <v>723.2</v>
          </cell>
          <cell r="AG284">
            <v>253.12</v>
          </cell>
          <cell r="AH284">
            <v>470.08000000000004</v>
          </cell>
          <cell r="AI284">
            <v>0</v>
          </cell>
          <cell r="AJ284">
            <v>0</v>
          </cell>
          <cell r="AK284">
            <v>3398.2</v>
          </cell>
        </row>
        <row r="285">
          <cell r="F285" t="e">
            <v>#REF!</v>
          </cell>
          <cell r="P285" t="e">
            <v>#REF!</v>
          </cell>
          <cell r="Q285">
            <v>0</v>
          </cell>
          <cell r="R285">
            <v>0</v>
          </cell>
          <cell r="S285" t="e">
            <v>#REF!</v>
          </cell>
          <cell r="T285">
            <v>0</v>
          </cell>
          <cell r="U285">
            <v>0</v>
          </cell>
          <cell r="V285">
            <v>0</v>
          </cell>
          <cell r="W285">
            <v>0</v>
          </cell>
          <cell r="X285" t="e">
            <v>#REF!</v>
          </cell>
          <cell r="Y285">
            <v>0</v>
          </cell>
          <cell r="Z285">
            <v>0</v>
          </cell>
          <cell r="AA285">
            <v>0</v>
          </cell>
          <cell r="AB285">
            <v>0</v>
          </cell>
          <cell r="AC285" t="e">
            <v>#REF!</v>
          </cell>
          <cell r="AD285">
            <v>0</v>
          </cell>
          <cell r="AE285">
            <v>0</v>
          </cell>
          <cell r="AF285" t="e">
            <v>#REF!</v>
          </cell>
          <cell r="AG285" t="e">
            <v>#REF!</v>
          </cell>
          <cell r="AH285" t="e">
            <v>#REF!</v>
          </cell>
          <cell r="AK285">
            <v>363.66666666666663</v>
          </cell>
        </row>
        <row r="286">
          <cell r="F286" t="e">
            <v>#REF!</v>
          </cell>
          <cell r="P286" t="e">
            <v>#REF!</v>
          </cell>
          <cell r="S286">
            <v>250</v>
          </cell>
          <cell r="X286" t="e">
            <v>#REF!</v>
          </cell>
          <cell r="AC286" t="e">
            <v>#REF!</v>
          </cell>
          <cell r="AF286" t="e">
            <v>#REF!</v>
          </cell>
          <cell r="AG286" t="e">
            <v>#REF!</v>
          </cell>
          <cell r="AH286">
            <v>0</v>
          </cell>
          <cell r="AI286">
            <v>0</v>
          </cell>
          <cell r="AK286">
            <v>250</v>
          </cell>
        </row>
        <row r="287">
          <cell r="F287">
            <v>94697.184761904777</v>
          </cell>
          <cell r="P287">
            <v>1520.8000000000004</v>
          </cell>
          <cell r="Q287">
            <v>0</v>
          </cell>
          <cell r="R287">
            <v>0</v>
          </cell>
          <cell r="S287">
            <v>2126.6181818181776</v>
          </cell>
          <cell r="T287">
            <v>-642.65363636363622</v>
          </cell>
          <cell r="U287">
            <v>-650.41909090909098</v>
          </cell>
          <cell r="V287">
            <v>0</v>
          </cell>
          <cell r="W287">
            <v>0</v>
          </cell>
          <cell r="X287">
            <v>780.05454545454404</v>
          </cell>
          <cell r="Y287">
            <v>-358</v>
          </cell>
          <cell r="Z287">
            <v>-794.41818181818189</v>
          </cell>
          <cell r="AA287">
            <v>0</v>
          </cell>
          <cell r="AB287">
            <v>0</v>
          </cell>
          <cell r="AC287">
            <v>571</v>
          </cell>
          <cell r="AD287">
            <v>-112</v>
          </cell>
          <cell r="AE287">
            <v>-231.2</v>
          </cell>
          <cell r="AF287">
            <v>691.19999999999982</v>
          </cell>
          <cell r="AG287">
            <v>580.15999999999985</v>
          </cell>
          <cell r="AH287">
            <v>112.03999999999996</v>
          </cell>
          <cell r="AI287">
            <v>-278.90909090909088</v>
          </cell>
          <cell r="AK287">
            <v>100570.65748917751</v>
          </cell>
        </row>
        <row r="288">
          <cell r="AK288">
            <v>0</v>
          </cell>
        </row>
        <row r="289">
          <cell r="F289">
            <v>2621.6333333333337</v>
          </cell>
          <cell r="P289">
            <v>1520.8</v>
          </cell>
          <cell r="Q289">
            <v>0</v>
          </cell>
          <cell r="R289">
            <v>0</v>
          </cell>
          <cell r="S289">
            <v>2126.6181818181817</v>
          </cell>
          <cell r="T289">
            <v>0</v>
          </cell>
          <cell r="U289">
            <v>0</v>
          </cell>
          <cell r="V289">
            <v>0</v>
          </cell>
          <cell r="W289">
            <v>0</v>
          </cell>
          <cell r="X289">
            <v>780.05454545454552</v>
          </cell>
          <cell r="Y289">
            <v>0</v>
          </cell>
          <cell r="Z289">
            <v>0</v>
          </cell>
          <cell r="AA289">
            <v>0</v>
          </cell>
          <cell r="AB289">
            <v>0</v>
          </cell>
          <cell r="AC289">
            <v>568.20000000000005</v>
          </cell>
          <cell r="AD289">
            <v>0</v>
          </cell>
          <cell r="AE289">
            <v>0</v>
          </cell>
          <cell r="AF289">
            <v>692.2</v>
          </cell>
          <cell r="AG289">
            <v>580.16000000000008</v>
          </cell>
          <cell r="AH289">
            <v>112.03999999999999</v>
          </cell>
          <cell r="AI289">
            <v>625.6</v>
          </cell>
          <cell r="AK289">
            <v>8510.9060606060611</v>
          </cell>
        </row>
        <row r="290">
          <cell r="F290">
            <v>684.2</v>
          </cell>
          <cell r="P290">
            <v>437.20000000000005</v>
          </cell>
          <cell r="Q290" t="e">
            <v>#REF!</v>
          </cell>
          <cell r="R290" t="e">
            <v>#REF!</v>
          </cell>
          <cell r="S290">
            <v>770.19999999999982</v>
          </cell>
          <cell r="T290" t="e">
            <v>#REF!</v>
          </cell>
          <cell r="U290" t="e">
            <v>#REF!</v>
          </cell>
          <cell r="V290" t="e">
            <v>#REF!</v>
          </cell>
          <cell r="W290" t="e">
            <v>#REF!</v>
          </cell>
          <cell r="X290">
            <v>175.20000000000002</v>
          </cell>
          <cell r="Y290" t="e">
            <v>#REF!</v>
          </cell>
          <cell r="Z290" t="e">
            <v>#REF!</v>
          </cell>
          <cell r="AA290" t="e">
            <v>#REF!</v>
          </cell>
          <cell r="AB290" t="e">
            <v>#REF!</v>
          </cell>
          <cell r="AC290">
            <v>99.200000000000017</v>
          </cell>
          <cell r="AD290" t="e">
            <v>#REF!</v>
          </cell>
          <cell r="AE290" t="e">
            <v>#REF!</v>
          </cell>
          <cell r="AF290">
            <v>0</v>
          </cell>
          <cell r="AG290">
            <v>-77</v>
          </cell>
          <cell r="AH290">
            <v>77</v>
          </cell>
          <cell r="AI290">
            <v>118.4</v>
          </cell>
          <cell r="AK290">
            <v>2183.5999999999995</v>
          </cell>
        </row>
        <row r="291">
          <cell r="F291">
            <v>583.6</v>
          </cell>
          <cell r="P291">
            <v>564.4</v>
          </cell>
          <cell r="Q291">
            <v>0</v>
          </cell>
          <cell r="R291">
            <v>0</v>
          </cell>
          <cell r="S291">
            <v>834.41818181818189</v>
          </cell>
          <cell r="T291">
            <v>0</v>
          </cell>
          <cell r="U291">
            <v>0</v>
          </cell>
          <cell r="V291">
            <v>0</v>
          </cell>
          <cell r="W291">
            <v>0</v>
          </cell>
          <cell r="X291">
            <v>281.85454545454542</v>
          </cell>
          <cell r="Y291">
            <v>0</v>
          </cell>
          <cell r="Z291">
            <v>0</v>
          </cell>
          <cell r="AA291">
            <v>0</v>
          </cell>
          <cell r="AB291">
            <v>0</v>
          </cell>
          <cell r="AC291">
            <v>236.8</v>
          </cell>
          <cell r="AD291">
            <v>0</v>
          </cell>
          <cell r="AE291">
            <v>0</v>
          </cell>
          <cell r="AF291">
            <v>329</v>
          </cell>
          <cell r="AG291">
            <v>329</v>
          </cell>
          <cell r="AH291">
            <v>0</v>
          </cell>
          <cell r="AI291">
            <v>0</v>
          </cell>
          <cell r="AK291">
            <v>2830.0727272727277</v>
          </cell>
        </row>
        <row r="292">
          <cell r="F292">
            <v>0</v>
          </cell>
          <cell r="P292">
            <v>0</v>
          </cell>
          <cell r="Q292">
            <v>0</v>
          </cell>
          <cell r="R292">
            <v>0</v>
          </cell>
          <cell r="S292">
            <v>0</v>
          </cell>
          <cell r="T292">
            <v>0</v>
          </cell>
          <cell r="U292">
            <v>0</v>
          </cell>
          <cell r="V292">
            <v>0</v>
          </cell>
          <cell r="W292">
            <v>0</v>
          </cell>
          <cell r="X292">
            <v>0</v>
          </cell>
          <cell r="Y292">
            <v>0</v>
          </cell>
          <cell r="Z292">
            <v>0</v>
          </cell>
          <cell r="AA292">
            <v>0</v>
          </cell>
          <cell r="AB292">
            <v>0</v>
          </cell>
          <cell r="AC292">
            <v>0</v>
          </cell>
          <cell r="AD292">
            <v>0</v>
          </cell>
          <cell r="AE292">
            <v>0</v>
          </cell>
          <cell r="AF292">
            <v>0</v>
          </cell>
          <cell r="AG292">
            <v>0</v>
          </cell>
          <cell r="AH292">
            <v>0</v>
          </cell>
          <cell r="AI292">
            <v>0</v>
          </cell>
          <cell r="AK292">
            <v>0</v>
          </cell>
        </row>
        <row r="293">
          <cell r="F293">
            <v>0</v>
          </cell>
          <cell r="P293">
            <v>0</v>
          </cell>
          <cell r="S293">
            <v>0</v>
          </cell>
          <cell r="X293">
            <v>0</v>
          </cell>
          <cell r="AC293">
            <v>0</v>
          </cell>
          <cell r="AF293">
            <v>0</v>
          </cell>
          <cell r="AG293">
            <v>0</v>
          </cell>
          <cell r="AH293">
            <v>0</v>
          </cell>
          <cell r="AI293">
            <v>0</v>
          </cell>
          <cell r="AK293">
            <v>0</v>
          </cell>
        </row>
        <row r="294">
          <cell r="F294">
            <v>1335.1666666666667</v>
          </cell>
          <cell r="P294">
            <v>470.40000000000003</v>
          </cell>
          <cell r="Q294">
            <v>0</v>
          </cell>
          <cell r="R294">
            <v>0</v>
          </cell>
          <cell r="S294">
            <v>516.40000000000009</v>
          </cell>
          <cell r="T294">
            <v>0</v>
          </cell>
          <cell r="U294">
            <v>0</v>
          </cell>
          <cell r="V294">
            <v>0</v>
          </cell>
          <cell r="W294">
            <v>0</v>
          </cell>
          <cell r="X294">
            <v>309.40000000000003</v>
          </cell>
          <cell r="Y294">
            <v>0</v>
          </cell>
          <cell r="Z294">
            <v>0</v>
          </cell>
          <cell r="AA294">
            <v>0</v>
          </cell>
          <cell r="AB294">
            <v>0</v>
          </cell>
          <cell r="AC294">
            <v>210.60000000000002</v>
          </cell>
          <cell r="AD294">
            <v>0</v>
          </cell>
          <cell r="AE294">
            <v>0</v>
          </cell>
          <cell r="AF294">
            <v>351.20000000000005</v>
          </cell>
          <cell r="AG294">
            <v>317.16000000000003</v>
          </cell>
          <cell r="AH294">
            <v>34.039999999999992</v>
          </cell>
          <cell r="AI294">
            <v>507.20000000000005</v>
          </cell>
          <cell r="AK294">
            <v>3376.9666666666672</v>
          </cell>
        </row>
        <row r="295">
          <cell r="F295">
            <v>0</v>
          </cell>
          <cell r="P295">
            <v>334.6</v>
          </cell>
          <cell r="S295">
            <v>0.40000000000009095</v>
          </cell>
          <cell r="X295">
            <v>113.4</v>
          </cell>
          <cell r="AC295">
            <v>67.400000000000006</v>
          </cell>
          <cell r="AF295">
            <v>7.2000000000000099</v>
          </cell>
          <cell r="AG295">
            <v>7.3999999999999986</v>
          </cell>
          <cell r="AH295">
            <v>-0.19999999999998863</v>
          </cell>
          <cell r="AI295">
            <v>0</v>
          </cell>
          <cell r="AK295">
            <v>607.40000000000009</v>
          </cell>
        </row>
        <row r="296">
          <cell r="F296">
            <v>8.2666666666666675</v>
          </cell>
          <cell r="P296">
            <v>44.800000000000004</v>
          </cell>
          <cell r="S296">
            <v>290.40000000000003</v>
          </cell>
          <cell r="X296">
            <v>104</v>
          </cell>
          <cell r="AC296">
            <v>76</v>
          </cell>
          <cell r="AF296">
            <v>164</v>
          </cell>
          <cell r="AG296">
            <v>160.80000000000001</v>
          </cell>
          <cell r="AH296">
            <v>3.1999999999999886</v>
          </cell>
          <cell r="AI296">
            <v>0</v>
          </cell>
          <cell r="AK296">
            <v>691.86666666666667</v>
          </cell>
        </row>
        <row r="297">
          <cell r="F297">
            <v>1326.9</v>
          </cell>
          <cell r="P297">
            <v>91.000000000000014</v>
          </cell>
          <cell r="Q297">
            <v>0</v>
          </cell>
          <cell r="R297">
            <v>0</v>
          </cell>
          <cell r="S297">
            <v>225.60000000000002</v>
          </cell>
          <cell r="T297">
            <v>0</v>
          </cell>
          <cell r="U297">
            <v>0</v>
          </cell>
          <cell r="V297">
            <v>0</v>
          </cell>
          <cell r="W297">
            <v>0</v>
          </cell>
          <cell r="X297">
            <v>92.000000000000014</v>
          </cell>
          <cell r="Y297">
            <v>0</v>
          </cell>
          <cell r="Z297">
            <v>0</v>
          </cell>
          <cell r="AA297">
            <v>0</v>
          </cell>
          <cell r="AB297">
            <v>0</v>
          </cell>
          <cell r="AC297">
            <v>67.2</v>
          </cell>
          <cell r="AD297">
            <v>0</v>
          </cell>
          <cell r="AE297">
            <v>0</v>
          </cell>
          <cell r="AF297">
            <v>180</v>
          </cell>
          <cell r="AG297">
            <v>148.96</v>
          </cell>
          <cell r="AH297">
            <v>31.039999999999992</v>
          </cell>
          <cell r="AI297">
            <v>507.20000000000005</v>
          </cell>
          <cell r="AK297">
            <v>2077.6999999999998</v>
          </cell>
        </row>
        <row r="298">
          <cell r="F298" t="e">
            <v>#REF!</v>
          </cell>
          <cell r="P298">
            <v>0</v>
          </cell>
          <cell r="S298" t="e">
            <v>#REF!</v>
          </cell>
          <cell r="X298" t="e">
            <v>#REF!</v>
          </cell>
          <cell r="AC298" t="e">
            <v>#REF!</v>
          </cell>
          <cell r="AF298">
            <v>0</v>
          </cell>
          <cell r="AG298">
            <v>0</v>
          </cell>
          <cell r="AH298">
            <v>0</v>
          </cell>
          <cell r="AI298">
            <v>0</v>
          </cell>
          <cell r="AK298">
            <v>0</v>
          </cell>
        </row>
        <row r="299">
          <cell r="F299">
            <v>18.666666666666664</v>
          </cell>
          <cell r="P299">
            <v>48.800000000000004</v>
          </cell>
          <cell r="S299">
            <v>5.6000000000000005</v>
          </cell>
          <cell r="X299">
            <v>13.600000000000001</v>
          </cell>
          <cell r="AC299">
            <v>21.6</v>
          </cell>
          <cell r="AF299">
            <v>12</v>
          </cell>
          <cell r="AG299">
            <v>11</v>
          </cell>
          <cell r="AH299">
            <v>1</v>
          </cell>
          <cell r="AI299">
            <v>0</v>
          </cell>
          <cell r="AK299">
            <v>120.26666666666665</v>
          </cell>
        </row>
        <row r="300">
          <cell r="F300">
            <v>94697.184761904777</v>
          </cell>
          <cell r="P300">
            <v>1520.8000000000004</v>
          </cell>
          <cell r="Q300">
            <v>0</v>
          </cell>
          <cell r="R300">
            <v>0</v>
          </cell>
          <cell r="S300">
            <v>2126.6181818181776</v>
          </cell>
          <cell r="T300">
            <v>-642.65363636363622</v>
          </cell>
          <cell r="U300">
            <v>-650.41909090909098</v>
          </cell>
          <cell r="V300">
            <v>0</v>
          </cell>
          <cell r="W300">
            <v>0</v>
          </cell>
          <cell r="X300">
            <v>780.05454545454404</v>
          </cell>
          <cell r="Y300">
            <v>-358</v>
          </cell>
          <cell r="Z300">
            <v>-794.41818181818189</v>
          </cell>
          <cell r="AA300">
            <v>0</v>
          </cell>
          <cell r="AB300">
            <v>0</v>
          </cell>
          <cell r="AC300">
            <v>571</v>
          </cell>
          <cell r="AD300">
            <v>-112</v>
          </cell>
          <cell r="AE300">
            <v>-231.2</v>
          </cell>
          <cell r="AF300">
            <v>691.19999999999982</v>
          </cell>
          <cell r="AG300">
            <v>580.15999999999985</v>
          </cell>
          <cell r="AH300">
            <v>112.03999999999996</v>
          </cell>
          <cell r="AI300">
            <v>-278.90909090909088</v>
          </cell>
          <cell r="AK300">
            <v>100570.65748917751</v>
          </cell>
        </row>
        <row r="301">
          <cell r="P301">
            <v>0</v>
          </cell>
          <cell r="AF301">
            <v>0</v>
          </cell>
          <cell r="AG301">
            <v>0</v>
          </cell>
          <cell r="AH301">
            <v>191</v>
          </cell>
          <cell r="AK301">
            <v>0</v>
          </cell>
        </row>
        <row r="302">
          <cell r="F302">
            <v>0</v>
          </cell>
          <cell r="P302">
            <v>0</v>
          </cell>
          <cell r="S302">
            <v>0</v>
          </cell>
          <cell r="X302">
            <v>0</v>
          </cell>
          <cell r="AC302">
            <v>0</v>
          </cell>
          <cell r="AF302">
            <v>0</v>
          </cell>
          <cell r="AG302">
            <v>0</v>
          </cell>
          <cell r="AH302">
            <v>0</v>
          </cell>
          <cell r="AK302">
            <v>0</v>
          </cell>
        </row>
        <row r="303">
          <cell r="F303">
            <v>94697.184761904777</v>
          </cell>
          <cell r="G303">
            <v>0</v>
          </cell>
          <cell r="H303">
            <v>0</v>
          </cell>
          <cell r="P303">
            <v>1520.8000000000004</v>
          </cell>
          <cell r="Q303">
            <v>0</v>
          </cell>
          <cell r="R303">
            <v>0</v>
          </cell>
          <cell r="S303">
            <v>2126.6181818181776</v>
          </cell>
          <cell r="T303">
            <v>-642.65363636363622</v>
          </cell>
          <cell r="U303">
            <v>-650.41909090909098</v>
          </cell>
          <cell r="V303">
            <v>0</v>
          </cell>
          <cell r="W303">
            <v>0</v>
          </cell>
          <cell r="X303">
            <v>780.05454545454404</v>
          </cell>
          <cell r="Y303">
            <v>-358</v>
          </cell>
          <cell r="Z303">
            <v>-794.41818181818189</v>
          </cell>
          <cell r="AA303">
            <v>0</v>
          </cell>
          <cell r="AB303">
            <v>0</v>
          </cell>
          <cell r="AC303">
            <v>571</v>
          </cell>
          <cell r="AD303" t="e">
            <v>#REF!</v>
          </cell>
          <cell r="AE303" t="e">
            <v>#REF!</v>
          </cell>
          <cell r="AF303">
            <v>691.19999999999982</v>
          </cell>
          <cell r="AG303">
            <v>388.15999999999985</v>
          </cell>
          <cell r="AH303">
            <v>303.03999999999996</v>
          </cell>
          <cell r="AK303">
            <v>100570.65748917751</v>
          </cell>
        </row>
        <row r="304">
          <cell r="F304">
            <v>0</v>
          </cell>
          <cell r="AH304">
            <v>191</v>
          </cell>
          <cell r="AK304">
            <v>0</v>
          </cell>
        </row>
        <row r="305">
          <cell r="F305">
            <v>0</v>
          </cell>
          <cell r="P305">
            <v>0</v>
          </cell>
          <cell r="Q305">
            <v>0</v>
          </cell>
          <cell r="R305">
            <v>0</v>
          </cell>
          <cell r="S305">
            <v>0</v>
          </cell>
          <cell r="T305">
            <v>0</v>
          </cell>
          <cell r="U305">
            <v>0</v>
          </cell>
          <cell r="V305">
            <v>0</v>
          </cell>
          <cell r="W305">
            <v>0</v>
          </cell>
          <cell r="X305">
            <v>0</v>
          </cell>
          <cell r="Y305">
            <v>0</v>
          </cell>
          <cell r="Z305">
            <v>0</v>
          </cell>
          <cell r="AA305">
            <v>0</v>
          </cell>
          <cell r="AB305">
            <v>0</v>
          </cell>
          <cell r="AC305">
            <v>0</v>
          </cell>
          <cell r="AD305">
            <v>0</v>
          </cell>
          <cell r="AE305">
            <v>0</v>
          </cell>
          <cell r="AF305">
            <v>0</v>
          </cell>
          <cell r="AG305">
            <v>0</v>
          </cell>
          <cell r="AH305">
            <v>0</v>
          </cell>
          <cell r="AI305">
            <v>0</v>
          </cell>
          <cell r="AK305">
            <v>0</v>
          </cell>
        </row>
        <row r="306">
          <cell r="F306">
            <v>0</v>
          </cell>
          <cell r="G306">
            <v>0</v>
          </cell>
          <cell r="H306">
            <v>0</v>
          </cell>
          <cell r="P306">
            <v>0</v>
          </cell>
          <cell r="Q306" t="e">
            <v>#REF!</v>
          </cell>
          <cell r="R306" t="e">
            <v>#REF!</v>
          </cell>
          <cell r="S306">
            <v>0</v>
          </cell>
          <cell r="T306" t="e">
            <v>#REF!</v>
          </cell>
          <cell r="U306" t="e">
            <v>#REF!</v>
          </cell>
          <cell r="V306" t="e">
            <v>#REF!</v>
          </cell>
          <cell r="W306" t="e">
            <v>#REF!</v>
          </cell>
          <cell r="X306">
            <v>0</v>
          </cell>
          <cell r="Y306" t="e">
            <v>#REF!</v>
          </cell>
          <cell r="Z306" t="e">
            <v>#REF!</v>
          </cell>
          <cell r="AA306" t="e">
            <v>#REF!</v>
          </cell>
          <cell r="AB306" t="e">
            <v>#REF!</v>
          </cell>
          <cell r="AC306">
            <v>0</v>
          </cell>
          <cell r="AF306">
            <v>0</v>
          </cell>
          <cell r="AG306">
            <v>0</v>
          </cell>
          <cell r="AH306">
            <v>0</v>
          </cell>
          <cell r="AI306">
            <v>0</v>
          </cell>
          <cell r="AK306">
            <v>0</v>
          </cell>
        </row>
        <row r="307">
          <cell r="F307">
            <v>0</v>
          </cell>
          <cell r="AK307">
            <v>0</v>
          </cell>
        </row>
        <row r="308">
          <cell r="F308">
            <v>94697.184761904777</v>
          </cell>
          <cell r="P308">
            <v>1520.8000000000004</v>
          </cell>
          <cell r="Q308">
            <v>0</v>
          </cell>
          <cell r="R308">
            <v>0</v>
          </cell>
          <cell r="S308">
            <v>2126.6181818181776</v>
          </cell>
          <cell r="T308">
            <v>-642.65363636363622</v>
          </cell>
          <cell r="U308">
            <v>-650.41909090909098</v>
          </cell>
          <cell r="V308">
            <v>0</v>
          </cell>
          <cell r="W308">
            <v>0</v>
          </cell>
          <cell r="X308">
            <v>780.05454545454404</v>
          </cell>
          <cell r="Y308">
            <v>-358</v>
          </cell>
          <cell r="Z308">
            <v>-794.41818181818189</v>
          </cell>
          <cell r="AA308">
            <v>0</v>
          </cell>
          <cell r="AB308">
            <v>0</v>
          </cell>
          <cell r="AC308">
            <v>571</v>
          </cell>
          <cell r="AD308">
            <v>-112</v>
          </cell>
          <cell r="AE308">
            <v>-231.2</v>
          </cell>
          <cell r="AF308">
            <v>691.19999999999982</v>
          </cell>
          <cell r="AG308">
            <v>388.15999999999985</v>
          </cell>
          <cell r="AH308">
            <v>303.03999999999996</v>
          </cell>
          <cell r="AI308">
            <v>-278.90909090909088</v>
          </cell>
          <cell r="AK308">
            <v>100570.65748917751</v>
          </cell>
        </row>
        <row r="309">
          <cell r="F309">
            <v>0</v>
          </cell>
          <cell r="P309">
            <v>0</v>
          </cell>
          <cell r="S309">
            <v>0</v>
          </cell>
          <cell r="X309">
            <v>0</v>
          </cell>
          <cell r="AC309">
            <v>0</v>
          </cell>
          <cell r="AF309">
            <v>0</v>
          </cell>
          <cell r="AG309">
            <v>0</v>
          </cell>
          <cell r="AH309">
            <v>0</v>
          </cell>
          <cell r="AK309">
            <v>0</v>
          </cell>
        </row>
        <row r="310">
          <cell r="P310">
            <v>0</v>
          </cell>
          <cell r="AK310">
            <v>0</v>
          </cell>
        </row>
        <row r="311">
          <cell r="F311" t="e">
            <v>#REF!</v>
          </cell>
          <cell r="P311" t="e">
            <v>#REF!</v>
          </cell>
          <cell r="Q311" t="e">
            <v>#REF!</v>
          </cell>
          <cell r="R311" t="e">
            <v>#REF!</v>
          </cell>
          <cell r="S311">
            <v>0</v>
          </cell>
          <cell r="T311" t="e">
            <v>#REF!</v>
          </cell>
          <cell r="U311" t="e">
            <v>#REF!</v>
          </cell>
          <cell r="V311" t="e">
            <v>#REF!</v>
          </cell>
          <cell r="W311" t="e">
            <v>#REF!</v>
          </cell>
          <cell r="X311" t="e">
            <v>#REF!</v>
          </cell>
          <cell r="Y311" t="e">
            <v>#REF!</v>
          </cell>
          <cell r="Z311" t="e">
            <v>#REF!</v>
          </cell>
          <cell r="AA311" t="e">
            <v>#REF!</v>
          </cell>
          <cell r="AB311" t="e">
            <v>#REF!</v>
          </cell>
          <cell r="AC311" t="e">
            <v>#REF!</v>
          </cell>
          <cell r="AD311" t="e">
            <v>#REF!</v>
          </cell>
          <cell r="AE311" t="e">
            <v>#REF!</v>
          </cell>
          <cell r="AF311" t="e">
            <v>#REF!</v>
          </cell>
          <cell r="AG311" t="e">
            <v>#REF!</v>
          </cell>
          <cell r="AH311" t="e">
            <v>#REF!</v>
          </cell>
          <cell r="AK311">
            <v>0</v>
          </cell>
        </row>
        <row r="312">
          <cell r="F312">
            <v>8992</v>
          </cell>
          <cell r="AK312">
            <v>8992</v>
          </cell>
        </row>
        <row r="313">
          <cell r="P313">
            <v>0</v>
          </cell>
          <cell r="S313">
            <v>0</v>
          </cell>
          <cell r="AK313">
            <v>0</v>
          </cell>
        </row>
        <row r="314">
          <cell r="F314">
            <v>0</v>
          </cell>
          <cell r="S314">
            <v>0</v>
          </cell>
          <cell r="AK314">
            <v>0</v>
          </cell>
        </row>
        <row r="315">
          <cell r="F315">
            <v>0</v>
          </cell>
          <cell r="AK315">
            <v>0</v>
          </cell>
        </row>
        <row r="316">
          <cell r="S316">
            <v>0</v>
          </cell>
        </row>
        <row r="317">
          <cell r="F317">
            <v>0</v>
          </cell>
          <cell r="AK317">
            <v>0</v>
          </cell>
        </row>
        <row r="318">
          <cell r="S318">
            <v>0</v>
          </cell>
          <cell r="AK318">
            <v>0</v>
          </cell>
        </row>
        <row r="319">
          <cell r="F319">
            <v>94697.184761904777</v>
          </cell>
          <cell r="P319">
            <v>1520.8000000000004</v>
          </cell>
          <cell r="Q319">
            <v>0</v>
          </cell>
          <cell r="R319">
            <v>0</v>
          </cell>
          <cell r="S319">
            <v>2126.6181818181776</v>
          </cell>
          <cell r="T319">
            <v>-642.65363636363622</v>
          </cell>
          <cell r="U319">
            <v>-650.41909090909098</v>
          </cell>
          <cell r="V319">
            <v>0</v>
          </cell>
          <cell r="W319">
            <v>0</v>
          </cell>
          <cell r="X319">
            <v>780.05454545454404</v>
          </cell>
          <cell r="Y319">
            <v>-358</v>
          </cell>
          <cell r="Z319">
            <v>-794.41818181818189</v>
          </cell>
          <cell r="AA319">
            <v>0</v>
          </cell>
          <cell r="AB319">
            <v>0</v>
          </cell>
          <cell r="AC319">
            <v>571</v>
          </cell>
          <cell r="AD319">
            <v>-112</v>
          </cell>
          <cell r="AE319">
            <v>-231.2</v>
          </cell>
          <cell r="AF319">
            <v>691.19999999999982</v>
          </cell>
          <cell r="AG319">
            <v>388.15999999999985</v>
          </cell>
          <cell r="AH319">
            <v>303.03999999999996</v>
          </cell>
          <cell r="AI319">
            <v>-278.90909090909088</v>
          </cell>
          <cell r="AK319">
            <v>100570.65748917751</v>
          </cell>
        </row>
        <row r="320">
          <cell r="AK320">
            <v>0</v>
          </cell>
        </row>
        <row r="321">
          <cell r="S321">
            <v>0</v>
          </cell>
        </row>
        <row r="322">
          <cell r="F322" t="e">
            <v>#REF!</v>
          </cell>
          <cell r="P322" t="e">
            <v>#REF!</v>
          </cell>
          <cell r="Q322" t="e">
            <v>#REF!</v>
          </cell>
          <cell r="R322" t="e">
            <v>#REF!</v>
          </cell>
          <cell r="S322" t="e">
            <v>#REF!</v>
          </cell>
          <cell r="T322" t="e">
            <v>#REF!</v>
          </cell>
          <cell r="U322" t="e">
            <v>#REF!</v>
          </cell>
          <cell r="V322" t="e">
            <v>#REF!</v>
          </cell>
          <cell r="W322" t="e">
            <v>#REF!</v>
          </cell>
          <cell r="X322" t="e">
            <v>#REF!</v>
          </cell>
          <cell r="Y322" t="e">
            <v>#REF!</v>
          </cell>
          <cell r="Z322" t="e">
            <v>#REF!</v>
          </cell>
          <cell r="AA322" t="e">
            <v>#REF!</v>
          </cell>
          <cell r="AB322" t="e">
            <v>#REF!</v>
          </cell>
          <cell r="AC322" t="e">
            <v>#REF!</v>
          </cell>
          <cell r="AD322" t="e">
            <v>#REF!</v>
          </cell>
          <cell r="AE322" t="e">
            <v>#REF!</v>
          </cell>
          <cell r="AF322" t="e">
            <v>#REF!</v>
          </cell>
          <cell r="AG322" t="e">
            <v>#REF!</v>
          </cell>
          <cell r="AH322" t="e">
            <v>#REF!</v>
          </cell>
          <cell r="AK322" t="e">
            <v>#REF!</v>
          </cell>
        </row>
        <row r="328">
          <cell r="AJ328">
            <v>2455</v>
          </cell>
          <cell r="AK328">
            <v>5757</v>
          </cell>
          <cell r="AM328">
            <v>4595.909090909091</v>
          </cell>
        </row>
        <row r="329">
          <cell r="F329">
            <v>103</v>
          </cell>
          <cell r="P329">
            <v>198</v>
          </cell>
          <cell r="S329">
            <v>460</v>
          </cell>
          <cell r="X329">
            <v>178</v>
          </cell>
          <cell r="AC329">
            <v>146</v>
          </cell>
          <cell r="AF329">
            <v>393</v>
          </cell>
          <cell r="AG329">
            <v>373</v>
          </cell>
          <cell r="AH329">
            <v>20</v>
          </cell>
          <cell r="AI329">
            <v>76</v>
          </cell>
          <cell r="AK329">
            <v>1570</v>
          </cell>
          <cell r="AM329">
            <v>1253</v>
          </cell>
        </row>
        <row r="330">
          <cell r="AJ330">
            <v>36</v>
          </cell>
          <cell r="AK330">
            <v>10408.151428571429</v>
          </cell>
          <cell r="AM330">
            <v>10408.151428571429</v>
          </cell>
        </row>
        <row r="331">
          <cell r="AJ331">
            <v>2455</v>
          </cell>
          <cell r="AK331">
            <v>791.6</v>
          </cell>
          <cell r="AL331">
            <v>0</v>
          </cell>
          <cell r="AM331">
            <v>791.6</v>
          </cell>
        </row>
        <row r="332">
          <cell r="F332">
            <v>0</v>
          </cell>
          <cell r="P332">
            <v>0</v>
          </cell>
          <cell r="S332">
            <v>0</v>
          </cell>
          <cell r="X332">
            <v>0</v>
          </cell>
          <cell r="AC332">
            <v>0</v>
          </cell>
          <cell r="AF332">
            <v>0</v>
          </cell>
          <cell r="AG332">
            <v>0</v>
          </cell>
          <cell r="AH332">
            <v>0</v>
          </cell>
          <cell r="AJ332">
            <v>36</v>
          </cell>
          <cell r="AK332">
            <v>120.26666666666665</v>
          </cell>
          <cell r="AL332">
            <v>0</v>
          </cell>
          <cell r="AM332">
            <v>108.26666666666667</v>
          </cell>
        </row>
        <row r="333">
          <cell r="AJ333">
            <v>36</v>
          </cell>
          <cell r="AK333">
            <v>4126.5514285714289</v>
          </cell>
          <cell r="AL333" t="e">
            <v>#REF!</v>
          </cell>
          <cell r="AM333">
            <v>4126.5514285714289</v>
          </cell>
        </row>
        <row r="334">
          <cell r="AK334">
            <v>3500</v>
          </cell>
          <cell r="AL334" t="e">
            <v>#REF!</v>
          </cell>
          <cell r="AM334">
            <v>3500</v>
          </cell>
        </row>
        <row r="335">
          <cell r="AJ335">
            <v>36</v>
          </cell>
          <cell r="AK335">
            <v>0</v>
          </cell>
          <cell r="AL335">
            <v>0</v>
          </cell>
        </row>
        <row r="336">
          <cell r="AK336">
            <v>1990</v>
          </cell>
          <cell r="AL336">
            <v>0</v>
          </cell>
          <cell r="AM336">
            <v>1990</v>
          </cell>
        </row>
        <row r="337">
          <cell r="AK337">
            <v>9242.6666666666661</v>
          </cell>
          <cell r="AL337">
            <v>3500</v>
          </cell>
        </row>
        <row r="338">
          <cell r="AK338">
            <v>0</v>
          </cell>
          <cell r="AM338">
            <v>0</v>
          </cell>
        </row>
        <row r="339">
          <cell r="AK339">
            <v>2183.5999999999995</v>
          </cell>
          <cell r="AL339">
            <v>0</v>
          </cell>
          <cell r="AM339">
            <v>2302</v>
          </cell>
        </row>
        <row r="340">
          <cell r="AK340">
            <v>2830.0727272727277</v>
          </cell>
          <cell r="AM340">
            <v>2501.0727272727272</v>
          </cell>
        </row>
        <row r="341">
          <cell r="AK341">
            <v>0</v>
          </cell>
          <cell r="AL341">
            <v>0</v>
          </cell>
          <cell r="AM341">
            <v>0</v>
          </cell>
        </row>
        <row r="342">
          <cell r="AK342">
            <v>0</v>
          </cell>
          <cell r="AL342">
            <v>-1300</v>
          </cell>
          <cell r="AM342">
            <v>0</v>
          </cell>
        </row>
        <row r="343">
          <cell r="AK343">
            <v>0</v>
          </cell>
          <cell r="AL343">
            <v>0</v>
          </cell>
          <cell r="AM343">
            <v>0</v>
          </cell>
        </row>
        <row r="344">
          <cell r="AK344">
            <v>4067.2</v>
          </cell>
          <cell r="AL344">
            <v>0</v>
          </cell>
          <cell r="AM344">
            <v>3105.4</v>
          </cell>
        </row>
        <row r="345">
          <cell r="AK345">
            <v>1424</v>
          </cell>
          <cell r="AL345">
            <v>0</v>
          </cell>
          <cell r="AM345">
            <v>988</v>
          </cell>
        </row>
        <row r="346">
          <cell r="AK346">
            <v>302.40000000000003</v>
          </cell>
          <cell r="AL346">
            <v>0</v>
          </cell>
          <cell r="AM346">
            <v>276.8</v>
          </cell>
        </row>
        <row r="347">
          <cell r="AK347">
            <v>1444.2</v>
          </cell>
          <cell r="AL347" t="e">
            <v>#REF!</v>
          </cell>
        </row>
        <row r="348">
          <cell r="AK348">
            <v>896.6</v>
          </cell>
          <cell r="AL348" t="e">
            <v>#REF!</v>
          </cell>
        </row>
        <row r="349">
          <cell r="AK349">
            <v>0</v>
          </cell>
          <cell r="AL349" t="e">
            <v>#REF!</v>
          </cell>
          <cell r="AM349">
            <v>0</v>
          </cell>
        </row>
        <row r="350">
          <cell r="AK350">
            <v>66</v>
          </cell>
          <cell r="AM350">
            <v>66</v>
          </cell>
        </row>
        <row r="351">
          <cell r="AK351">
            <v>3398.2</v>
          </cell>
          <cell r="AM351">
            <v>2675</v>
          </cell>
        </row>
        <row r="352">
          <cell r="P352">
            <v>225</v>
          </cell>
          <cell r="S352">
            <v>296</v>
          </cell>
          <cell r="X352">
            <v>56</v>
          </cell>
          <cell r="AC352">
            <v>95</v>
          </cell>
          <cell r="AF352">
            <v>317.8</v>
          </cell>
          <cell r="AG352">
            <v>317.8</v>
          </cell>
          <cell r="AH352">
            <v>0</v>
          </cell>
          <cell r="AK352">
            <v>989.8</v>
          </cell>
          <cell r="AL352">
            <v>0</v>
          </cell>
        </row>
        <row r="353">
          <cell r="AK353">
            <v>0</v>
          </cell>
          <cell r="AL353" t="e">
            <v>#REF!</v>
          </cell>
        </row>
        <row r="354">
          <cell r="F354">
            <v>0</v>
          </cell>
          <cell r="P354">
            <v>0</v>
          </cell>
          <cell r="S354">
            <v>0</v>
          </cell>
          <cell r="X354">
            <v>0</v>
          </cell>
          <cell r="AC354">
            <v>0</v>
          </cell>
          <cell r="AF354">
            <v>0</v>
          </cell>
          <cell r="AG354">
            <v>0</v>
          </cell>
          <cell r="AH354">
            <v>0</v>
          </cell>
          <cell r="AI354">
            <v>0</v>
          </cell>
          <cell r="AK354">
            <v>363.66666666666663</v>
          </cell>
          <cell r="AL354">
            <v>0</v>
          </cell>
          <cell r="AM354">
            <v>363.66666666666663</v>
          </cell>
        </row>
        <row r="355">
          <cell r="P355">
            <v>225</v>
          </cell>
          <cell r="S355">
            <v>296</v>
          </cell>
          <cell r="X355">
            <v>56</v>
          </cell>
          <cell r="AC355">
            <v>0</v>
          </cell>
          <cell r="AF355">
            <v>0</v>
          </cell>
          <cell r="AG355">
            <v>0</v>
          </cell>
          <cell r="AH355">
            <v>0</v>
          </cell>
          <cell r="AK355">
            <v>105</v>
          </cell>
          <cell r="AM355">
            <v>105</v>
          </cell>
        </row>
        <row r="356">
          <cell r="AK356">
            <v>0</v>
          </cell>
          <cell r="AM356">
            <v>0</v>
          </cell>
        </row>
        <row r="357">
          <cell r="F357">
            <v>0</v>
          </cell>
          <cell r="P357">
            <v>0</v>
          </cell>
          <cell r="S357">
            <v>0</v>
          </cell>
          <cell r="X357">
            <v>0</v>
          </cell>
          <cell r="AC357">
            <v>0</v>
          </cell>
          <cell r="AF357">
            <v>0</v>
          </cell>
          <cell r="AG357">
            <v>0</v>
          </cell>
          <cell r="AH357">
            <v>0</v>
          </cell>
          <cell r="AK357">
            <v>0</v>
          </cell>
          <cell r="AL357">
            <v>0</v>
          </cell>
          <cell r="AM357">
            <v>0</v>
          </cell>
        </row>
        <row r="358">
          <cell r="AJ358">
            <v>-2491</v>
          </cell>
          <cell r="AK358">
            <v>3376.9666666666672</v>
          </cell>
          <cell r="AL358">
            <v>0</v>
          </cell>
          <cell r="AM358" t="e">
            <v>#REF!</v>
          </cell>
        </row>
        <row r="359">
          <cell r="AK359">
            <v>607.40000000000009</v>
          </cell>
          <cell r="AL359">
            <v>0</v>
          </cell>
        </row>
        <row r="360">
          <cell r="AK360">
            <v>691.86666666666667</v>
          </cell>
          <cell r="AL360">
            <v>0</v>
          </cell>
        </row>
        <row r="361">
          <cell r="AJ361">
            <v>-2491</v>
          </cell>
          <cell r="AK361">
            <v>2077.6999999999998</v>
          </cell>
          <cell r="AL361" t="e">
            <v>#REF!</v>
          </cell>
        </row>
        <row r="362">
          <cell r="F362">
            <v>0</v>
          </cell>
          <cell r="P362">
            <v>-41.200000000000045</v>
          </cell>
          <cell r="S362">
            <v>-70.599999999999909</v>
          </cell>
          <cell r="T362">
            <v>207.20000000000002</v>
          </cell>
          <cell r="U362">
            <v>1087.8</v>
          </cell>
          <cell r="X362">
            <v>576.79999999999995</v>
          </cell>
          <cell r="Y362">
            <v>233</v>
          </cell>
          <cell r="Z362">
            <v>519</v>
          </cell>
          <cell r="AC362">
            <v>574.79999999999995</v>
          </cell>
          <cell r="AD362">
            <v>240</v>
          </cell>
          <cell r="AE362">
            <v>494</v>
          </cell>
          <cell r="AF362">
            <v>108.80000000000001</v>
          </cell>
          <cell r="AG362">
            <v>170.8</v>
          </cell>
          <cell r="AH362">
            <v>-62</v>
          </cell>
          <cell r="AI362">
            <v>0</v>
          </cell>
          <cell r="AK362">
            <v>1158.5999999999999</v>
          </cell>
          <cell r="AM362">
            <v>1049.8</v>
          </cell>
        </row>
        <row r="363">
          <cell r="AK363" t="e">
            <v>#REF!</v>
          </cell>
        </row>
        <row r="364">
          <cell r="AK364">
            <v>0</v>
          </cell>
        </row>
        <row r="365">
          <cell r="F365">
            <v>0</v>
          </cell>
          <cell r="P365">
            <v>0</v>
          </cell>
          <cell r="S365">
            <v>0</v>
          </cell>
          <cell r="T365">
            <v>0</v>
          </cell>
          <cell r="U365">
            <v>0</v>
          </cell>
          <cell r="X365">
            <v>0</v>
          </cell>
          <cell r="Y365">
            <v>0</v>
          </cell>
          <cell r="Z365">
            <v>0</v>
          </cell>
          <cell r="AC365">
            <v>0</v>
          </cell>
          <cell r="AD365">
            <v>0</v>
          </cell>
          <cell r="AE365">
            <v>0</v>
          </cell>
          <cell r="AF365">
            <v>0</v>
          </cell>
          <cell r="AG365">
            <v>0</v>
          </cell>
          <cell r="AH365">
            <v>0</v>
          </cell>
          <cell r="AK365">
            <v>0</v>
          </cell>
          <cell r="AL365">
            <v>0</v>
          </cell>
        </row>
        <row r="371">
          <cell r="F371">
            <v>-4642</v>
          </cell>
        </row>
        <row r="374">
          <cell r="F374">
            <v>0</v>
          </cell>
        </row>
        <row r="383">
          <cell r="F383" t="str">
            <v>лютий</v>
          </cell>
          <cell r="P383" t="str">
            <v>лютий</v>
          </cell>
          <cell r="X383" t="str">
            <v>лютий</v>
          </cell>
          <cell r="AC383" t="str">
            <v>лютий</v>
          </cell>
        </row>
        <row r="384">
          <cell r="F384" t="str">
            <v>АППАРАТ</v>
          </cell>
          <cell r="P384" t="str">
            <v>ККМ</v>
          </cell>
          <cell r="X384" t="str">
            <v>ТЕЦ5</v>
          </cell>
          <cell r="AC384" t="str">
            <v>ТЕЦ6</v>
          </cell>
          <cell r="AK384" t="str">
            <v>АК "КЕ"</v>
          </cell>
          <cell r="AL384" t="str">
            <v>Е/Е</v>
          </cell>
        </row>
        <row r="385">
          <cell r="F385" t="str">
            <v>ПЛАН</v>
          </cell>
          <cell r="P385" t="str">
            <v>ПЛАН</v>
          </cell>
          <cell r="X385" t="str">
            <v>ПЛАН</v>
          </cell>
          <cell r="AC385" t="str">
            <v>ПЛАН</v>
          </cell>
          <cell r="AK385" t="str">
            <v>ПЛАН</v>
          </cell>
          <cell r="AL385" t="str">
            <v>ПЛАН</v>
          </cell>
        </row>
        <row r="386">
          <cell r="F386">
            <v>164.3</v>
          </cell>
          <cell r="G386">
            <v>35</v>
          </cell>
          <cell r="H386">
            <v>35</v>
          </cell>
          <cell r="P386">
            <v>14.333333333333332</v>
          </cell>
          <cell r="S386">
            <v>14.333333333333332</v>
          </cell>
          <cell r="X386">
            <v>182</v>
          </cell>
          <cell r="Y386">
            <v>56</v>
          </cell>
          <cell r="Z386">
            <v>56</v>
          </cell>
          <cell r="AC386">
            <v>323.66666666666674</v>
          </cell>
          <cell r="AD386">
            <v>106</v>
          </cell>
          <cell r="AE386">
            <v>105</v>
          </cell>
          <cell r="AK386">
            <v>735.30000000000018</v>
          </cell>
          <cell r="AL386">
            <v>305.73333333333335</v>
          </cell>
          <cell r="AM386">
            <v>226.33333333333334</v>
          </cell>
        </row>
        <row r="387">
          <cell r="F387">
            <v>29</v>
          </cell>
          <cell r="G387">
            <v>6</v>
          </cell>
          <cell r="P387">
            <v>0</v>
          </cell>
          <cell r="X387">
            <v>0</v>
          </cell>
          <cell r="Y387">
            <v>0</v>
          </cell>
          <cell r="AC387">
            <v>3.6666666666666665</v>
          </cell>
          <cell r="AD387">
            <v>1</v>
          </cell>
          <cell r="AK387">
            <v>46</v>
          </cell>
          <cell r="AL387">
            <v>10</v>
          </cell>
        </row>
        <row r="388">
          <cell r="F388">
            <v>0</v>
          </cell>
          <cell r="G388">
            <v>0</v>
          </cell>
          <cell r="P388">
            <v>0.66666666666666663</v>
          </cell>
          <cell r="X388">
            <v>146.66666666666666</v>
          </cell>
          <cell r="Y388">
            <v>45</v>
          </cell>
          <cell r="AC388">
            <v>280.66666666666669</v>
          </cell>
          <cell r="AD388">
            <v>92</v>
          </cell>
          <cell r="AK388">
            <v>428</v>
          </cell>
          <cell r="AL388">
            <v>137.66666666666666</v>
          </cell>
        </row>
        <row r="389">
          <cell r="F389">
            <v>0</v>
          </cell>
          <cell r="G389">
            <v>0</v>
          </cell>
          <cell r="H389" t="e">
            <v>#REF!</v>
          </cell>
          <cell r="P389">
            <v>2</v>
          </cell>
          <cell r="S389">
            <v>14.333333333333332</v>
          </cell>
          <cell r="X389">
            <v>0</v>
          </cell>
          <cell r="Y389">
            <v>0</v>
          </cell>
          <cell r="Z389">
            <v>76</v>
          </cell>
          <cell r="AC389">
            <v>25</v>
          </cell>
          <cell r="AD389">
            <v>8</v>
          </cell>
          <cell r="AE389">
            <v>147</v>
          </cell>
          <cell r="AK389">
            <v>33.666666666666671</v>
          </cell>
          <cell r="AL389">
            <v>13</v>
          </cell>
        </row>
        <row r="390">
          <cell r="F390">
            <v>0</v>
          </cell>
          <cell r="G390">
            <v>0</v>
          </cell>
          <cell r="P390">
            <v>0</v>
          </cell>
          <cell r="X390">
            <v>25.333333333333332</v>
          </cell>
          <cell r="Y390">
            <v>8</v>
          </cell>
          <cell r="AC390">
            <v>0.66666666666666663</v>
          </cell>
          <cell r="AD390">
            <v>0</v>
          </cell>
          <cell r="AK390">
            <v>26</v>
          </cell>
          <cell r="AL390">
            <v>8</v>
          </cell>
        </row>
        <row r="391">
          <cell r="F391">
            <v>120.63333333333333</v>
          </cell>
          <cell r="G391">
            <v>26</v>
          </cell>
          <cell r="P391">
            <v>0</v>
          </cell>
          <cell r="X391">
            <v>0</v>
          </cell>
          <cell r="Y391">
            <v>0</v>
          </cell>
          <cell r="AC391">
            <v>0</v>
          </cell>
          <cell r="AD391">
            <v>0</v>
          </cell>
          <cell r="AK391">
            <v>120.63333333333333</v>
          </cell>
          <cell r="AL391">
            <v>28</v>
          </cell>
        </row>
        <row r="392">
          <cell r="F392">
            <v>8.6666666666666661</v>
          </cell>
          <cell r="G392">
            <v>2</v>
          </cell>
          <cell r="P392">
            <v>0</v>
          </cell>
          <cell r="X392">
            <v>0</v>
          </cell>
          <cell r="Y392">
            <v>0</v>
          </cell>
          <cell r="AC392">
            <v>0</v>
          </cell>
          <cell r="AD392">
            <v>0</v>
          </cell>
          <cell r="AK392">
            <v>8.6666666666666661</v>
          </cell>
          <cell r="AL392">
            <v>0</v>
          </cell>
        </row>
        <row r="393">
          <cell r="F393">
            <v>0</v>
          </cell>
          <cell r="G393">
            <v>0</v>
          </cell>
          <cell r="P393">
            <v>5.333333333333333</v>
          </cell>
          <cell r="X393">
            <v>0</v>
          </cell>
          <cell r="Y393">
            <v>0</v>
          </cell>
          <cell r="AC393">
            <v>0</v>
          </cell>
          <cell r="AD393">
            <v>0</v>
          </cell>
          <cell r="AK393">
            <v>22</v>
          </cell>
          <cell r="AL393">
            <v>15.333333333333332</v>
          </cell>
        </row>
        <row r="394">
          <cell r="F394">
            <v>5.333333333333333</v>
          </cell>
          <cell r="G394">
            <v>1</v>
          </cell>
          <cell r="P394">
            <v>0</v>
          </cell>
          <cell r="X394">
            <v>0</v>
          </cell>
          <cell r="Y394">
            <v>0</v>
          </cell>
          <cell r="AC394">
            <v>0</v>
          </cell>
          <cell r="AD394">
            <v>0</v>
          </cell>
          <cell r="AK394">
            <v>5.333333333333333</v>
          </cell>
          <cell r="AL394">
            <v>1</v>
          </cell>
        </row>
        <row r="395">
          <cell r="F395">
            <v>0.33333333333333331</v>
          </cell>
          <cell r="G395">
            <v>0</v>
          </cell>
          <cell r="P395">
            <v>4.333333333333333</v>
          </cell>
          <cell r="X395">
            <v>0</v>
          </cell>
          <cell r="Y395">
            <v>0</v>
          </cell>
          <cell r="AC395">
            <v>0</v>
          </cell>
          <cell r="AD395">
            <v>0</v>
          </cell>
          <cell r="AK395">
            <v>4.6666666666666661</v>
          </cell>
          <cell r="AL395">
            <v>4.333333333333333</v>
          </cell>
        </row>
        <row r="396">
          <cell r="F396">
            <v>0.33333333333333331</v>
          </cell>
          <cell r="G396">
            <v>0</v>
          </cell>
          <cell r="P396">
            <v>2</v>
          </cell>
          <cell r="X396">
            <v>10</v>
          </cell>
          <cell r="Y396">
            <v>3</v>
          </cell>
          <cell r="AC396">
            <v>13.666666666666666</v>
          </cell>
          <cell r="AD396">
            <v>4</v>
          </cell>
          <cell r="AK396">
            <v>26</v>
          </cell>
          <cell r="AL396">
            <v>9</v>
          </cell>
        </row>
        <row r="397">
          <cell r="F397">
            <v>0</v>
          </cell>
          <cell r="G397">
            <v>0</v>
          </cell>
          <cell r="P397">
            <v>0</v>
          </cell>
          <cell r="X397">
            <v>0</v>
          </cell>
          <cell r="Y397">
            <v>0</v>
          </cell>
          <cell r="AC397">
            <v>0</v>
          </cell>
          <cell r="AD397">
            <v>0</v>
          </cell>
          <cell r="AK397">
            <v>0</v>
          </cell>
        </row>
        <row r="398">
          <cell r="F398">
            <v>1.1666666666666667</v>
          </cell>
          <cell r="G398">
            <v>0</v>
          </cell>
          <cell r="P398">
            <v>20.5</v>
          </cell>
          <cell r="X398">
            <v>522.33333333333337</v>
          </cell>
          <cell r="Y398">
            <v>162</v>
          </cell>
          <cell r="AC398">
            <v>43</v>
          </cell>
          <cell r="AD398">
            <v>14</v>
          </cell>
          <cell r="AK398">
            <v>587.33333333333337</v>
          </cell>
          <cell r="AL398">
            <v>196.5</v>
          </cell>
          <cell r="AM398">
            <v>196.83333333333334</v>
          </cell>
        </row>
        <row r="399">
          <cell r="F399">
            <v>0</v>
          </cell>
          <cell r="G399">
            <v>0</v>
          </cell>
          <cell r="P399">
            <v>0</v>
          </cell>
          <cell r="X399">
            <v>0</v>
          </cell>
          <cell r="Y399">
            <v>0</v>
          </cell>
          <cell r="AC399">
            <v>0</v>
          </cell>
          <cell r="AD399">
            <v>0</v>
          </cell>
          <cell r="AK399">
            <v>0</v>
          </cell>
          <cell r="AL399">
            <v>0</v>
          </cell>
        </row>
        <row r="400">
          <cell r="F400">
            <v>0</v>
          </cell>
          <cell r="G400">
            <v>0</v>
          </cell>
          <cell r="P400">
            <v>0</v>
          </cell>
          <cell r="X400">
            <v>480.66666666666669</v>
          </cell>
          <cell r="Y400">
            <v>149</v>
          </cell>
          <cell r="AC400">
            <v>11</v>
          </cell>
          <cell r="AD400">
            <v>4</v>
          </cell>
          <cell r="AK400">
            <v>491.66666666666669</v>
          </cell>
          <cell r="AL400">
            <v>153</v>
          </cell>
        </row>
        <row r="401">
          <cell r="F401">
            <v>0</v>
          </cell>
          <cell r="G401">
            <v>0</v>
          </cell>
          <cell r="P401">
            <v>0</v>
          </cell>
          <cell r="X401">
            <v>0</v>
          </cell>
          <cell r="Y401">
            <v>0</v>
          </cell>
          <cell r="AC401">
            <v>0</v>
          </cell>
          <cell r="AD401">
            <v>0</v>
          </cell>
          <cell r="AK401">
            <v>0</v>
          </cell>
          <cell r="AL401">
            <v>0</v>
          </cell>
        </row>
        <row r="402">
          <cell r="F402">
            <v>1.1666666666666667</v>
          </cell>
          <cell r="G402">
            <v>0</v>
          </cell>
          <cell r="P402">
            <v>15.833333333333334</v>
          </cell>
          <cell r="X402">
            <v>41.666666666666664</v>
          </cell>
          <cell r="Y402">
            <v>13</v>
          </cell>
          <cell r="AC402">
            <v>32</v>
          </cell>
          <cell r="AD402">
            <v>10</v>
          </cell>
          <cell r="AK402">
            <v>91</v>
          </cell>
          <cell r="AL402">
            <v>43.833333333333336</v>
          </cell>
        </row>
        <row r="403">
          <cell r="F403">
            <v>0</v>
          </cell>
          <cell r="G403">
            <v>0</v>
          </cell>
          <cell r="P403">
            <v>4.666666666666667</v>
          </cell>
          <cell r="X403">
            <v>0</v>
          </cell>
          <cell r="Y403">
            <v>0</v>
          </cell>
          <cell r="AC403">
            <v>0</v>
          </cell>
          <cell r="AD403">
            <v>0</v>
          </cell>
          <cell r="AK403">
            <v>4.666666666666667</v>
          </cell>
          <cell r="AL403">
            <v>0</v>
          </cell>
        </row>
        <row r="404">
          <cell r="F404">
            <v>0</v>
          </cell>
          <cell r="G404">
            <v>0</v>
          </cell>
          <cell r="P404">
            <v>0</v>
          </cell>
          <cell r="X404">
            <v>0</v>
          </cell>
          <cell r="Y404">
            <v>0</v>
          </cell>
          <cell r="AC404">
            <v>0</v>
          </cell>
          <cell r="AD404">
            <v>0</v>
          </cell>
          <cell r="AK404">
            <v>0</v>
          </cell>
        </row>
        <row r="405">
          <cell r="F405">
            <v>10</v>
          </cell>
          <cell r="G405">
            <v>2</v>
          </cell>
          <cell r="P405">
            <v>39</v>
          </cell>
          <cell r="X405">
            <v>0</v>
          </cell>
          <cell r="Y405">
            <v>0</v>
          </cell>
          <cell r="AC405">
            <v>0</v>
          </cell>
          <cell r="AD405">
            <v>0</v>
          </cell>
          <cell r="AK405">
            <v>49</v>
          </cell>
          <cell r="AL405">
            <v>41</v>
          </cell>
          <cell r="AM405">
            <v>42</v>
          </cell>
        </row>
        <row r="406">
          <cell r="F406">
            <v>2.6666666666666665</v>
          </cell>
          <cell r="G406">
            <v>1</v>
          </cell>
          <cell r="P406">
            <v>3.3333333333333335</v>
          </cell>
          <cell r="X406">
            <v>0</v>
          </cell>
          <cell r="Y406">
            <v>0</v>
          </cell>
          <cell r="AC406">
            <v>0</v>
          </cell>
          <cell r="AD406">
            <v>0</v>
          </cell>
          <cell r="AK406">
            <v>6</v>
          </cell>
          <cell r="AL406">
            <v>4.3333333333333339</v>
          </cell>
        </row>
        <row r="407">
          <cell r="F407">
            <v>7.333333333333333</v>
          </cell>
          <cell r="G407">
            <v>2</v>
          </cell>
          <cell r="P407">
            <v>35.666666666666664</v>
          </cell>
          <cell r="X407">
            <v>0</v>
          </cell>
          <cell r="Y407">
            <v>0</v>
          </cell>
          <cell r="AC407">
            <v>0</v>
          </cell>
          <cell r="AD407">
            <v>0</v>
          </cell>
          <cell r="AK407">
            <v>43</v>
          </cell>
          <cell r="AL407">
            <v>37.666666666666664</v>
          </cell>
        </row>
        <row r="408">
          <cell r="F408">
            <v>0</v>
          </cell>
          <cell r="G408">
            <v>0</v>
          </cell>
          <cell r="P408">
            <v>0</v>
          </cell>
          <cell r="X408">
            <v>0</v>
          </cell>
          <cell r="Y408">
            <v>0</v>
          </cell>
          <cell r="AC408">
            <v>0</v>
          </cell>
          <cell r="AD408">
            <v>0</v>
          </cell>
          <cell r="AK408">
            <v>0</v>
          </cell>
          <cell r="AL408" t="e">
            <v>#REF!</v>
          </cell>
        </row>
        <row r="409">
          <cell r="F409">
            <v>206.33333333333329</v>
          </cell>
          <cell r="G409">
            <v>44</v>
          </cell>
          <cell r="H409">
            <v>43</v>
          </cell>
          <cell r="P409">
            <v>50.166666666666671</v>
          </cell>
          <cell r="S409">
            <v>50.166666666666671</v>
          </cell>
          <cell r="X409">
            <v>37.833333333333343</v>
          </cell>
          <cell r="Y409">
            <v>12</v>
          </cell>
          <cell r="AC409">
            <v>26.000000000000004</v>
          </cell>
          <cell r="AD409">
            <v>9</v>
          </cell>
          <cell r="AK409">
            <v>1965.0000000000002</v>
          </cell>
          <cell r="AL409">
            <v>373.16666666666663</v>
          </cell>
          <cell r="AM409">
            <v>373.16666666666663</v>
          </cell>
        </row>
        <row r="410">
          <cell r="F410">
            <v>0</v>
          </cell>
          <cell r="G410">
            <v>0</v>
          </cell>
          <cell r="P410">
            <v>0</v>
          </cell>
          <cell r="X410">
            <v>0</v>
          </cell>
          <cell r="Y410">
            <v>0</v>
          </cell>
          <cell r="AC410">
            <v>0</v>
          </cell>
          <cell r="AD410">
            <v>0</v>
          </cell>
          <cell r="AK410">
            <v>1350</v>
          </cell>
          <cell r="AL410">
            <v>0</v>
          </cell>
        </row>
        <row r="411">
          <cell r="F411">
            <v>0</v>
          </cell>
          <cell r="G411">
            <v>0</v>
          </cell>
          <cell r="P411">
            <v>0</v>
          </cell>
          <cell r="X411">
            <v>0</v>
          </cell>
          <cell r="Y411">
            <v>0</v>
          </cell>
          <cell r="AC411">
            <v>0</v>
          </cell>
          <cell r="AD411">
            <v>0</v>
          </cell>
          <cell r="AK411">
            <v>95</v>
          </cell>
          <cell r="AL411">
            <v>95</v>
          </cell>
        </row>
        <row r="412">
          <cell r="F412">
            <v>0</v>
          </cell>
          <cell r="G412">
            <v>0</v>
          </cell>
          <cell r="H412" t="e">
            <v>#REF!</v>
          </cell>
          <cell r="P412">
            <v>0</v>
          </cell>
          <cell r="S412">
            <v>50.166666666666671</v>
          </cell>
          <cell r="X412">
            <v>0</v>
          </cell>
          <cell r="Y412">
            <v>0</v>
          </cell>
          <cell r="AC412">
            <v>0</v>
          </cell>
          <cell r="AD412">
            <v>0</v>
          </cell>
          <cell r="AK412">
            <v>0</v>
          </cell>
          <cell r="AL412">
            <v>0</v>
          </cell>
        </row>
        <row r="413">
          <cell r="F413">
            <v>0</v>
          </cell>
          <cell r="G413">
            <v>0</v>
          </cell>
          <cell r="P413">
            <v>12.333333333333334</v>
          </cell>
          <cell r="X413">
            <v>0</v>
          </cell>
          <cell r="Y413">
            <v>0</v>
          </cell>
          <cell r="AC413">
            <v>0</v>
          </cell>
          <cell r="AD413">
            <v>0</v>
          </cell>
          <cell r="AK413">
            <v>12.333333333333334</v>
          </cell>
          <cell r="AL413">
            <v>12.333333333333334</v>
          </cell>
        </row>
        <row r="414">
          <cell r="F414">
            <v>0</v>
          </cell>
          <cell r="G414">
            <v>0</v>
          </cell>
          <cell r="P414">
            <v>0</v>
          </cell>
          <cell r="X414">
            <v>0</v>
          </cell>
          <cell r="Y414">
            <v>0</v>
          </cell>
          <cell r="AC414">
            <v>0</v>
          </cell>
          <cell r="AD414">
            <v>0</v>
          </cell>
          <cell r="AK414">
            <v>0</v>
          </cell>
          <cell r="AL414">
            <v>0</v>
          </cell>
        </row>
        <row r="415">
          <cell r="F415">
            <v>1.6666666666666667</v>
          </cell>
          <cell r="G415">
            <v>0</v>
          </cell>
          <cell r="P415">
            <v>5</v>
          </cell>
          <cell r="X415">
            <v>3</v>
          </cell>
          <cell r="Y415">
            <v>1</v>
          </cell>
          <cell r="AC415">
            <v>3</v>
          </cell>
          <cell r="AD415">
            <v>1</v>
          </cell>
          <cell r="AK415">
            <v>57.666666666666664</v>
          </cell>
          <cell r="AL415">
            <v>47</v>
          </cell>
        </row>
        <row r="416">
          <cell r="F416">
            <v>0</v>
          </cell>
          <cell r="G416">
            <v>0</v>
          </cell>
          <cell r="P416">
            <v>0</v>
          </cell>
          <cell r="X416">
            <v>0</v>
          </cell>
          <cell r="Y416">
            <v>0</v>
          </cell>
          <cell r="AC416">
            <v>0</v>
          </cell>
          <cell r="AD416">
            <v>0</v>
          </cell>
          <cell r="AK416">
            <v>4</v>
          </cell>
          <cell r="AL416">
            <v>0</v>
          </cell>
        </row>
        <row r="417">
          <cell r="F417">
            <v>0</v>
          </cell>
          <cell r="G417">
            <v>0</v>
          </cell>
          <cell r="P417">
            <v>0</v>
          </cell>
          <cell r="X417">
            <v>0</v>
          </cell>
          <cell r="Y417">
            <v>0</v>
          </cell>
          <cell r="AC417">
            <v>0</v>
          </cell>
          <cell r="AD417">
            <v>0</v>
          </cell>
          <cell r="AK417">
            <v>0</v>
          </cell>
          <cell r="AL417">
            <v>0</v>
          </cell>
        </row>
        <row r="418">
          <cell r="F418">
            <v>0</v>
          </cell>
          <cell r="G418">
            <v>0</v>
          </cell>
          <cell r="P418">
            <v>18.5</v>
          </cell>
          <cell r="X418">
            <v>4.5</v>
          </cell>
          <cell r="Y418">
            <v>1</v>
          </cell>
          <cell r="AC418">
            <v>1.3333333333333333</v>
          </cell>
          <cell r="AD418">
            <v>0</v>
          </cell>
          <cell r="AK418">
            <v>28.5</v>
          </cell>
          <cell r="AL418">
            <v>23.5</v>
          </cell>
        </row>
        <row r="419">
          <cell r="F419">
            <v>0</v>
          </cell>
          <cell r="G419">
            <v>0</v>
          </cell>
          <cell r="P419">
            <v>1.3333333333333333</v>
          </cell>
          <cell r="X419">
            <v>0</v>
          </cell>
          <cell r="Y419">
            <v>0</v>
          </cell>
          <cell r="AC419">
            <v>1.6666666666666667</v>
          </cell>
          <cell r="AD419">
            <v>1</v>
          </cell>
          <cell r="AK419">
            <v>69</v>
          </cell>
          <cell r="AL419">
            <v>52.333333333333336</v>
          </cell>
        </row>
        <row r="420">
          <cell r="F420">
            <v>177</v>
          </cell>
          <cell r="G420">
            <v>38</v>
          </cell>
          <cell r="P420">
            <v>0</v>
          </cell>
          <cell r="X420">
            <v>0</v>
          </cell>
          <cell r="Y420">
            <v>0</v>
          </cell>
          <cell r="AC420">
            <v>0</v>
          </cell>
          <cell r="AD420">
            <v>0</v>
          </cell>
          <cell r="AK420">
            <v>177</v>
          </cell>
          <cell r="AL420">
            <v>38</v>
          </cell>
        </row>
        <row r="421">
          <cell r="F421">
            <v>0</v>
          </cell>
          <cell r="G421">
            <v>0</v>
          </cell>
          <cell r="P421">
            <v>0</v>
          </cell>
          <cell r="X421">
            <v>10</v>
          </cell>
          <cell r="Y421">
            <v>3</v>
          </cell>
          <cell r="AC421">
            <v>7.666666666666667</v>
          </cell>
          <cell r="AD421">
            <v>3</v>
          </cell>
          <cell r="AK421">
            <v>17.666666666666668</v>
          </cell>
          <cell r="AL421">
            <v>6</v>
          </cell>
        </row>
        <row r="422">
          <cell r="F422">
            <v>0.66666666666666663</v>
          </cell>
          <cell r="G422">
            <v>0</v>
          </cell>
          <cell r="P422">
            <v>2</v>
          </cell>
          <cell r="X422">
            <v>1.3333333333333333</v>
          </cell>
          <cell r="Y422">
            <v>0</v>
          </cell>
          <cell r="AC422">
            <v>1</v>
          </cell>
          <cell r="AD422">
            <v>0</v>
          </cell>
          <cell r="AK422">
            <v>6</v>
          </cell>
          <cell r="AL422">
            <v>2</v>
          </cell>
        </row>
        <row r="423">
          <cell r="F423">
            <v>2.6666666666666665</v>
          </cell>
          <cell r="G423">
            <v>1</v>
          </cell>
          <cell r="P423">
            <v>0.33333333333333331</v>
          </cell>
          <cell r="X423">
            <v>1</v>
          </cell>
          <cell r="Y423">
            <v>0</v>
          </cell>
          <cell r="AC423">
            <v>0.66666666666666663</v>
          </cell>
          <cell r="AD423">
            <v>0</v>
          </cell>
          <cell r="AK423">
            <v>9.3333333333333339</v>
          </cell>
          <cell r="AL423">
            <v>3.3333333333333335</v>
          </cell>
        </row>
        <row r="424">
          <cell r="F424">
            <v>0</v>
          </cell>
          <cell r="G424">
            <v>0</v>
          </cell>
          <cell r="P424">
            <v>2.3333333333333335</v>
          </cell>
          <cell r="X424">
            <v>6</v>
          </cell>
          <cell r="Y424">
            <v>2</v>
          </cell>
          <cell r="AC424">
            <v>5</v>
          </cell>
          <cell r="AD424">
            <v>2</v>
          </cell>
          <cell r="AK424">
            <v>13.333333333333334</v>
          </cell>
          <cell r="AL424">
            <v>6.3333333333333339</v>
          </cell>
        </row>
        <row r="425">
          <cell r="F425">
            <v>0</v>
          </cell>
          <cell r="G425">
            <v>0</v>
          </cell>
          <cell r="P425">
            <v>0</v>
          </cell>
          <cell r="X425">
            <v>0</v>
          </cell>
          <cell r="Y425">
            <v>0</v>
          </cell>
          <cell r="AC425">
            <v>0</v>
          </cell>
          <cell r="AD425">
            <v>0</v>
          </cell>
          <cell r="AK425">
            <v>0</v>
          </cell>
          <cell r="AL425">
            <v>0</v>
          </cell>
        </row>
        <row r="426">
          <cell r="F426">
            <v>0</v>
          </cell>
          <cell r="G426">
            <v>0</v>
          </cell>
          <cell r="P426">
            <v>0</v>
          </cell>
          <cell r="X426">
            <v>0</v>
          </cell>
          <cell r="Y426">
            <v>0</v>
          </cell>
          <cell r="AC426">
            <v>0</v>
          </cell>
          <cell r="AD426">
            <v>0</v>
          </cell>
          <cell r="AK426">
            <v>0</v>
          </cell>
          <cell r="AL426">
            <v>0</v>
          </cell>
        </row>
        <row r="427">
          <cell r="F427">
            <v>9.6666666666666661</v>
          </cell>
          <cell r="G427">
            <v>2</v>
          </cell>
          <cell r="P427">
            <v>1</v>
          </cell>
          <cell r="X427">
            <v>0</v>
          </cell>
          <cell r="Y427">
            <v>0</v>
          </cell>
          <cell r="AC427">
            <v>0</v>
          </cell>
          <cell r="AD427">
            <v>0</v>
          </cell>
          <cell r="AK427">
            <v>12</v>
          </cell>
          <cell r="AL427">
            <v>4</v>
          </cell>
        </row>
        <row r="428">
          <cell r="F428">
            <v>0</v>
          </cell>
          <cell r="G428">
            <v>0</v>
          </cell>
          <cell r="P428">
            <v>0</v>
          </cell>
          <cell r="X428">
            <v>0</v>
          </cell>
          <cell r="Y428">
            <v>0</v>
          </cell>
          <cell r="AC428">
            <v>0</v>
          </cell>
          <cell r="AD428">
            <v>0</v>
          </cell>
          <cell r="AK428">
            <v>0</v>
          </cell>
          <cell r="AL428">
            <v>0</v>
          </cell>
        </row>
        <row r="429">
          <cell r="F429">
            <v>2.3333333333333335</v>
          </cell>
          <cell r="G429">
            <v>0</v>
          </cell>
          <cell r="P429">
            <v>0.66666666666666663</v>
          </cell>
          <cell r="X429">
            <v>0.66666666666666663</v>
          </cell>
          <cell r="Y429">
            <v>0</v>
          </cell>
          <cell r="AC429">
            <v>0.66666666666666663</v>
          </cell>
          <cell r="AD429">
            <v>0</v>
          </cell>
          <cell r="AK429">
            <v>4.333333333333333</v>
          </cell>
          <cell r="AL429">
            <v>0.66666666666666663</v>
          </cell>
        </row>
        <row r="430">
          <cell r="F430">
            <v>1.6666666666666667</v>
          </cell>
          <cell r="G430">
            <v>0</v>
          </cell>
          <cell r="P430">
            <v>0.66666666666666663</v>
          </cell>
          <cell r="X430">
            <v>0.66666666666666663</v>
          </cell>
          <cell r="Y430">
            <v>0</v>
          </cell>
          <cell r="AC430">
            <v>0.66666666666666663</v>
          </cell>
          <cell r="AD430">
            <v>0</v>
          </cell>
          <cell r="AK430">
            <v>3.6666666666666665</v>
          </cell>
          <cell r="AL430">
            <v>0.66666666666666663</v>
          </cell>
        </row>
        <row r="431">
          <cell r="F431">
            <v>6.666666666666667</v>
          </cell>
          <cell r="G431">
            <v>1</v>
          </cell>
          <cell r="P431">
            <v>4.666666666666667</v>
          </cell>
          <cell r="X431">
            <v>3</v>
          </cell>
          <cell r="Y431">
            <v>1</v>
          </cell>
          <cell r="AC431">
            <v>2</v>
          </cell>
          <cell r="AD431">
            <v>1</v>
          </cell>
          <cell r="AK431">
            <v>33</v>
          </cell>
          <cell r="AL431">
            <v>17.666666666666668</v>
          </cell>
        </row>
        <row r="432">
          <cell r="F432">
            <v>0</v>
          </cell>
          <cell r="G432">
            <v>0</v>
          </cell>
          <cell r="P432">
            <v>0</v>
          </cell>
          <cell r="X432">
            <v>0</v>
          </cell>
          <cell r="Y432">
            <v>0</v>
          </cell>
          <cell r="AC432">
            <v>0</v>
          </cell>
          <cell r="AD432">
            <v>0</v>
          </cell>
          <cell r="AK432">
            <v>0</v>
          </cell>
          <cell r="AL432">
            <v>0</v>
          </cell>
        </row>
        <row r="433">
          <cell r="F433">
            <v>0</v>
          </cell>
          <cell r="G433">
            <v>0</v>
          </cell>
          <cell r="P433">
            <v>0</v>
          </cell>
          <cell r="X433">
            <v>0</v>
          </cell>
          <cell r="Y433">
            <v>0</v>
          </cell>
          <cell r="AC433">
            <v>0</v>
          </cell>
          <cell r="AD433">
            <v>0</v>
          </cell>
          <cell r="AK433">
            <v>0</v>
          </cell>
          <cell r="AL433">
            <v>53</v>
          </cell>
        </row>
        <row r="434">
          <cell r="F434">
            <v>1</v>
          </cell>
          <cell r="G434">
            <v>0</v>
          </cell>
          <cell r="P434">
            <v>0</v>
          </cell>
          <cell r="X434">
            <v>0</v>
          </cell>
          <cell r="Y434">
            <v>0</v>
          </cell>
          <cell r="AC434">
            <v>0</v>
          </cell>
          <cell r="AD434">
            <v>0</v>
          </cell>
          <cell r="AK434">
            <v>1</v>
          </cell>
          <cell r="AL434">
            <v>1</v>
          </cell>
        </row>
        <row r="435">
          <cell r="F435">
            <v>0</v>
          </cell>
          <cell r="G435">
            <v>0</v>
          </cell>
          <cell r="P435">
            <v>0</v>
          </cell>
          <cell r="X435">
            <v>0</v>
          </cell>
          <cell r="Y435">
            <v>0</v>
          </cell>
          <cell r="AC435">
            <v>0</v>
          </cell>
          <cell r="AD435">
            <v>0</v>
          </cell>
          <cell r="AK435">
            <v>0</v>
          </cell>
          <cell r="AL435">
            <v>0</v>
          </cell>
        </row>
        <row r="436">
          <cell r="F436">
            <v>0</v>
          </cell>
          <cell r="G436">
            <v>0</v>
          </cell>
          <cell r="P436">
            <v>0</v>
          </cell>
          <cell r="X436">
            <v>0</v>
          </cell>
          <cell r="Y436">
            <v>0</v>
          </cell>
          <cell r="AC436">
            <v>0</v>
          </cell>
          <cell r="AD436">
            <v>0</v>
          </cell>
          <cell r="AK436">
            <v>0</v>
          </cell>
          <cell r="AL436">
            <v>0</v>
          </cell>
        </row>
        <row r="437">
          <cell r="F437">
            <v>2.6666666666666665</v>
          </cell>
          <cell r="G437">
            <v>1</v>
          </cell>
          <cell r="P437">
            <v>1</v>
          </cell>
          <cell r="X437">
            <v>4</v>
          </cell>
          <cell r="Y437">
            <v>1</v>
          </cell>
          <cell r="AC437">
            <v>2</v>
          </cell>
          <cell r="AD437">
            <v>1</v>
          </cell>
          <cell r="AK437">
            <v>15.666666666666666</v>
          </cell>
          <cell r="AL437">
            <v>7</v>
          </cell>
        </row>
        <row r="438">
          <cell r="F438">
            <v>0</v>
          </cell>
          <cell r="G438">
            <v>0</v>
          </cell>
          <cell r="P438">
            <v>0</v>
          </cell>
          <cell r="X438">
            <v>0</v>
          </cell>
          <cell r="Y438">
            <v>0</v>
          </cell>
          <cell r="AC438">
            <v>0</v>
          </cell>
          <cell r="AD438">
            <v>0</v>
          </cell>
          <cell r="AK438">
            <v>0</v>
          </cell>
          <cell r="AL438">
            <v>0</v>
          </cell>
        </row>
        <row r="439">
          <cell r="F439">
            <v>0</v>
          </cell>
          <cell r="G439">
            <v>0</v>
          </cell>
          <cell r="P439">
            <v>0</v>
          </cell>
          <cell r="X439">
            <v>3.3333333333333335</v>
          </cell>
          <cell r="Y439">
            <v>1</v>
          </cell>
          <cell r="AC439">
            <v>0</v>
          </cell>
          <cell r="AD439">
            <v>0</v>
          </cell>
          <cell r="AK439">
            <v>3.3333333333333335</v>
          </cell>
          <cell r="AL439">
            <v>1</v>
          </cell>
        </row>
        <row r="440">
          <cell r="F440">
            <v>0.33333333333333331</v>
          </cell>
          <cell r="G440">
            <v>0</v>
          </cell>
          <cell r="P440">
            <v>0.33333333333333331</v>
          </cell>
          <cell r="X440">
            <v>0.33333333333333331</v>
          </cell>
          <cell r="Y440">
            <v>0</v>
          </cell>
          <cell r="AC440">
            <v>0.33333333333333331</v>
          </cell>
          <cell r="AD440">
            <v>0</v>
          </cell>
          <cell r="AK440">
            <v>1.9999999999999998</v>
          </cell>
          <cell r="AL440">
            <v>0.33333333333333331</v>
          </cell>
        </row>
        <row r="441">
          <cell r="F441">
            <v>0</v>
          </cell>
          <cell r="G441">
            <v>0</v>
          </cell>
          <cell r="P441">
            <v>0</v>
          </cell>
          <cell r="X441">
            <v>0</v>
          </cell>
          <cell r="Y441">
            <v>0</v>
          </cell>
          <cell r="AC441">
            <v>0</v>
          </cell>
          <cell r="AD441">
            <v>0</v>
          </cell>
          <cell r="AK441">
            <v>0</v>
          </cell>
          <cell r="AL441">
            <v>0</v>
          </cell>
        </row>
        <row r="442">
          <cell r="F442">
            <v>0</v>
          </cell>
          <cell r="G442">
            <v>0</v>
          </cell>
          <cell r="P442">
            <v>0</v>
          </cell>
          <cell r="X442">
            <v>0</v>
          </cell>
          <cell r="Y442">
            <v>0</v>
          </cell>
          <cell r="AC442">
            <v>0</v>
          </cell>
          <cell r="AD442">
            <v>0</v>
          </cell>
          <cell r="AK442">
            <v>0</v>
          </cell>
          <cell r="AL442">
            <v>0</v>
          </cell>
        </row>
        <row r="443">
          <cell r="F443">
            <v>0</v>
          </cell>
          <cell r="G443">
            <v>0</v>
          </cell>
          <cell r="P443">
            <v>0</v>
          </cell>
          <cell r="X443">
            <v>0</v>
          </cell>
          <cell r="Y443">
            <v>0</v>
          </cell>
          <cell r="AC443">
            <v>0</v>
          </cell>
          <cell r="AD443">
            <v>0</v>
          </cell>
          <cell r="AK443">
            <v>0</v>
          </cell>
          <cell r="AL443">
            <v>0</v>
          </cell>
        </row>
        <row r="444">
          <cell r="F444">
            <v>0</v>
          </cell>
          <cell r="G444">
            <v>0</v>
          </cell>
          <cell r="P444">
            <v>0</v>
          </cell>
          <cell r="X444">
            <v>0</v>
          </cell>
          <cell r="Y444">
            <v>0</v>
          </cell>
          <cell r="AC444">
            <v>0</v>
          </cell>
          <cell r="AD444">
            <v>0</v>
          </cell>
          <cell r="AK444">
            <v>0</v>
          </cell>
          <cell r="AL444">
            <v>0</v>
          </cell>
        </row>
        <row r="445">
          <cell r="F445">
            <v>0</v>
          </cell>
          <cell r="G445">
            <v>0</v>
          </cell>
          <cell r="P445">
            <v>0</v>
          </cell>
          <cell r="X445">
            <v>0</v>
          </cell>
          <cell r="Y445">
            <v>0</v>
          </cell>
          <cell r="AC445">
            <v>0</v>
          </cell>
          <cell r="AD445">
            <v>0</v>
          </cell>
          <cell r="AK445">
            <v>0</v>
          </cell>
          <cell r="AL445">
            <v>0</v>
          </cell>
        </row>
        <row r="446">
          <cell r="F446">
            <v>0</v>
          </cell>
          <cell r="G446">
            <v>0</v>
          </cell>
          <cell r="P446">
            <v>0</v>
          </cell>
          <cell r="X446">
            <v>0</v>
          </cell>
          <cell r="Y446">
            <v>0</v>
          </cell>
          <cell r="AC446">
            <v>0</v>
          </cell>
          <cell r="AD446">
            <v>0</v>
          </cell>
          <cell r="AK446">
            <v>0</v>
          </cell>
          <cell r="AL446">
            <v>0</v>
          </cell>
        </row>
        <row r="447">
          <cell r="F447">
            <v>0</v>
          </cell>
          <cell r="G447">
            <v>0</v>
          </cell>
          <cell r="P447">
            <v>0</v>
          </cell>
          <cell r="X447">
            <v>0</v>
          </cell>
          <cell r="Y447">
            <v>0</v>
          </cell>
          <cell r="AC447">
            <v>0</v>
          </cell>
          <cell r="AD447">
            <v>0</v>
          </cell>
          <cell r="AK447">
            <v>0</v>
          </cell>
          <cell r="AL447">
            <v>2</v>
          </cell>
        </row>
        <row r="448">
          <cell r="F448">
            <v>0</v>
          </cell>
          <cell r="G448" t="e">
            <v>#REF!</v>
          </cell>
          <cell r="P448">
            <v>0</v>
          </cell>
          <cell r="X448">
            <v>0</v>
          </cell>
          <cell r="Y448">
            <v>0</v>
          </cell>
          <cell r="AC448">
            <v>0</v>
          </cell>
          <cell r="AD448">
            <v>0</v>
          </cell>
          <cell r="AK448">
            <v>0</v>
          </cell>
          <cell r="AL448">
            <v>0</v>
          </cell>
        </row>
        <row r="449">
          <cell r="F449">
            <v>0</v>
          </cell>
          <cell r="G449" t="e">
            <v>#REF!</v>
          </cell>
          <cell r="P449">
            <v>0</v>
          </cell>
          <cell r="X449">
            <v>0</v>
          </cell>
          <cell r="Y449">
            <v>0</v>
          </cell>
          <cell r="AC449">
            <v>0</v>
          </cell>
          <cell r="AD449">
            <v>0</v>
          </cell>
          <cell r="AK449">
            <v>0</v>
          </cell>
        </row>
        <row r="450">
          <cell r="G450" t="e">
            <v>#REF!</v>
          </cell>
          <cell r="P450">
            <v>0</v>
          </cell>
          <cell r="X450">
            <v>0</v>
          </cell>
          <cell r="Y450">
            <v>0</v>
          </cell>
          <cell r="AC450">
            <v>0</v>
          </cell>
          <cell r="AD450">
            <v>0</v>
          </cell>
          <cell r="AK450">
            <v>0</v>
          </cell>
        </row>
        <row r="451">
          <cell r="P451">
            <v>0</v>
          </cell>
          <cell r="X451">
            <v>0</v>
          </cell>
          <cell r="Y451">
            <v>0</v>
          </cell>
          <cell r="AC451">
            <v>0</v>
          </cell>
          <cell r="AD451">
            <v>0</v>
          </cell>
          <cell r="AK451">
            <v>0</v>
          </cell>
        </row>
      </sheetData>
      <sheetData sheetId="1">
        <row r="21">
          <cell r="AI21" t="str">
            <v xml:space="preserve">         Затверджую</v>
          </cell>
        </row>
      </sheetData>
      <sheetData sheetId="2" refreshError="1"/>
      <sheetData sheetId="3">
        <row r="8">
          <cell r="AF8" t="str">
            <v>ЗАТВЕРДЖУЮ</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 sheetId="37" refreshError="1"/>
      <sheetData sheetId="38" refreshError="1"/>
      <sheetData sheetId="39" refreshError="1"/>
      <sheetData sheetId="40" refreshError="1"/>
      <sheetData sheetId="41" refreshError="1"/>
      <sheetData sheetId="42" refreshError="1"/>
      <sheetData sheetId="43" refreshError="1"/>
      <sheetData sheetId="44" refreshError="1"/>
      <sheetData sheetId="45" refreshError="1"/>
      <sheetData sheetId="46" refreshError="1"/>
      <sheetData sheetId="47" refreshError="1"/>
      <sheetData sheetId="48" refreshError="1"/>
      <sheetData sheetId="49" refreshError="1"/>
      <sheetData sheetId="50" refreshError="1"/>
      <sheetData sheetId="51">
        <row r="21">
          <cell r="AI21" t="str">
            <v xml:space="preserve">         Затверджую</v>
          </cell>
        </row>
      </sheetData>
      <sheetData sheetId="52"/>
      <sheetData sheetId="53"/>
      <sheetData sheetId="54"/>
      <sheetData sheetId="55"/>
      <sheetData sheetId="56"/>
      <sheetData sheetId="57"/>
      <sheetData sheetId="58"/>
      <sheetData sheetId="59"/>
      <sheetData sheetId="60"/>
      <sheetData sheetId="61" refreshError="1"/>
      <sheetData sheetId="62" refreshError="1"/>
      <sheetData sheetId="63" refreshError="1"/>
      <sheetData sheetId="64" refreshError="1"/>
      <sheetData sheetId="65" refreshError="1"/>
      <sheetData sheetId="66" refreshError="1"/>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
      <sheetName val="перелДогов"/>
      <sheetName val="ремонт (2)"/>
      <sheetName val="КапІнвес"/>
      <sheetName val="430"/>
      <sheetName val="Доход"/>
      <sheetName val="осн витрани"/>
      <sheetName val="Содер"/>
      <sheetName val="експлуат"/>
      <sheetName val="розш"/>
      <sheetName val="ГрошКош"/>
      <sheetName val="ЕЗ"/>
      <sheetName val="430ЕЗ"/>
      <sheetName val="ST_20001 ЕЗ"/>
      <sheetName val="430ВД"/>
      <sheetName val="ST_20001ВД"/>
      <sheetName val="калькул"/>
      <sheetName val="Перегляд данних"/>
      <sheetName val="01.Вик.дир"/>
      <sheetName val="ДепЕЗ"/>
      <sheetName val="Статті"/>
      <sheetName val="Типи данних"/>
      <sheetName val="вода "/>
      <sheetName val="канал"/>
      <sheetName val="матер"/>
      <sheetName val="енерг"/>
      <sheetName val="посл.банків"/>
      <sheetName val="ком.под (2)"/>
      <sheetName val="ком.под"/>
      <sheetName val="Типи данних філії"/>
      <sheetName val="Звіти"/>
      <sheetName val="Статті до звітів"/>
      <sheetName val="Формати"/>
      <sheetName val="Філіали"/>
      <sheetName val="Типи філіалів"/>
      <sheetName val="Плани"/>
      <sheetName val="Періоди"/>
      <sheetName val="Dialog"/>
      <sheetName val="DialogDB"/>
      <sheetName val="DialogForRep"/>
      <sheetName val="Ini"/>
      <sheetName val="headers"/>
      <sheetName val="Inform"/>
      <sheetName val="1_Структура по елементах"/>
      <sheetName val="3 утв."/>
      <sheetName val="Л змін"/>
      <sheetName val="Заповнення"/>
      <sheetName val="Баланс САО"/>
      <sheetName val="Зв. баланс Джер."/>
      <sheetName val="Зв. баланс ТП"/>
      <sheetName val="Зв.бал.мер"/>
      <sheetName val="Корисний м2"/>
      <sheetName val="Баланс 7 та 8 ="/>
      <sheetName val="Корисний мер"/>
      <sheetName val="Додаток2000"/>
      <sheetName val="Послуга М3"/>
      <sheetName val="МЗК"/>
      <sheetName val="Q max"/>
      <sheetName val="ДСТУ"/>
      <sheetName val="Списки"/>
      <sheetName val="QфактОП "/>
      <sheetName val="ФактГВП М3"/>
      <sheetName val="МЗК база"/>
      <sheetName val="СНИП82+КТМ"/>
      <sheetName val="t ДСТУ"/>
      <sheetName val="дати ОП МОП"/>
      <sheetName val="2 Корисний дсту"/>
      <sheetName val="Послуга Д2_ реєстр"/>
      <sheetName val="Послуга Д3_ОП"/>
      <sheetName val="Послуга Д4_ГВП(нас)"/>
      <sheetName val="Послуга Д5_ГВП(БІРО)"/>
      <sheetName val="Додаток_2"/>
      <sheetName val="Баланс 7 та 8"/>
      <sheetName val="Перехід КВ-Втр-Пал"/>
    </sheetNames>
    <sheetDataSet>
      <sheetData sheetId="0"/>
      <sheetData sheetId="1"/>
      <sheetData sheetId="2"/>
      <sheetData sheetId="3"/>
      <sheetData sheetId="4"/>
      <sheetData sheetId="5"/>
      <sheetData sheetId="6"/>
      <sheetData sheetId="7"/>
      <sheetData sheetId="8"/>
      <sheetData sheetId="9"/>
      <sheetData sheetId="10"/>
      <sheetData sheetId="11"/>
      <sheetData sheetId="12"/>
      <sheetData sheetId="13"/>
      <sheetData sheetId="14"/>
      <sheetData sheetId="15"/>
      <sheetData sheetId="16"/>
      <sheetData sheetId="17"/>
      <sheetData sheetId="18" refreshError="1"/>
      <sheetData sheetId="19"/>
      <sheetData sheetId="20"/>
      <sheetData sheetId="21"/>
      <sheetData sheetId="22"/>
      <sheetData sheetId="23"/>
      <sheetData sheetId="24"/>
      <sheetData sheetId="25"/>
      <sheetData sheetId="26"/>
      <sheetData sheetId="27"/>
      <sheetData sheetId="28"/>
      <sheetData sheetId="29"/>
      <sheetData sheetId="30"/>
      <sheetData sheetId="31"/>
      <sheetData sheetId="32"/>
      <sheetData sheetId="33"/>
      <sheetData sheetId="34"/>
      <sheetData sheetId="35"/>
      <sheetData sheetId="36"/>
      <sheetData sheetId="37"/>
      <sheetData sheetId="38"/>
      <sheetData sheetId="39"/>
      <sheetData sheetId="40"/>
      <sheetData sheetId="41" refreshError="1"/>
      <sheetData sheetId="42" refreshError="1"/>
      <sheetData sheetId="43" refreshError="1"/>
      <sheetData sheetId="44" refreshError="1"/>
      <sheetData sheetId="45"/>
      <sheetData sheetId="46"/>
      <sheetData sheetId="47"/>
      <sheetData sheetId="48"/>
      <sheetData sheetId="49"/>
      <sheetData sheetId="50"/>
      <sheetData sheetId="51"/>
      <sheetData sheetId="52"/>
      <sheetData sheetId="53"/>
      <sheetData sheetId="54"/>
      <sheetData sheetId="55"/>
      <sheetData sheetId="56"/>
      <sheetData sheetId="57"/>
      <sheetData sheetId="58"/>
      <sheetData sheetId="59"/>
      <sheetData sheetId="60"/>
      <sheetData sheetId="61"/>
      <sheetData sheetId="62"/>
      <sheetData sheetId="63"/>
      <sheetData sheetId="64"/>
      <sheetData sheetId="65"/>
      <sheetData sheetId="66"/>
      <sheetData sheetId="67"/>
      <sheetData sheetId="68"/>
      <sheetData sheetId="69"/>
      <sheetData sheetId="70"/>
      <sheetData sheetId="71"/>
      <sheetData sheetId="72"/>
      <sheetData sheetId="73"/>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sheetNames>
      <sheetName val="Templ"/>
      <sheetName val="топл. куп. (2)ПДВ"/>
      <sheetName val="топл. куп. (2) "/>
      <sheetName val="бюджет лист"/>
      <sheetName val="Лист1"/>
      <sheetName val="Ремонти"/>
      <sheetName val="Перегляд данних"/>
      <sheetName val="18.Енергія"/>
      <sheetName val="17.ЖТЕКЕ"/>
      <sheetName val="KOEF"/>
      <sheetName val="AP_calc"/>
      <sheetName val="01.Вик.дир"/>
      <sheetName val="02.ДепЗбут"/>
      <sheetName val="03.ККМ"/>
      <sheetName val="07.ТРМ"/>
      <sheetName val="06.ТЕЦ-6"/>
      <sheetName val="04.КТМ"/>
      <sheetName val="05.ТЕЦ-5"/>
      <sheetName val="Статті"/>
      <sheetName val="Типи данних"/>
      <sheetName val="Типи данних філії"/>
      <sheetName val="Звіти"/>
      <sheetName val="Формати"/>
      <sheetName val="Статті до звітів"/>
      <sheetName val="Філіали"/>
      <sheetName val="Типи філіалів"/>
      <sheetName val="Плани"/>
      <sheetName val="Періоди"/>
      <sheetName val="Dialog"/>
      <sheetName val="DialogDB"/>
      <sheetName val="DialogForRep"/>
      <sheetName val="Ini"/>
      <sheetName val="812"/>
      <sheetName val="факт"/>
      <sheetName val="v9_06_12"/>
      <sheetName val="Inform"/>
      <sheetName val="Periods"/>
    </sheetNames>
    <sheetDataSet>
      <sheetData sheetId="0" refreshError="1"/>
      <sheetData sheetId="1" refreshError="1"/>
      <sheetData sheetId="2" refreshError="1"/>
      <sheetData sheetId="3" refreshError="1"/>
      <sheetData sheetId="4" refreshError="1"/>
      <sheetData sheetId="5" refreshError="1"/>
      <sheetData sheetId="6" refreshError="1"/>
      <sheetData sheetId="7" refreshError="1"/>
      <sheetData sheetId="8" refreshError="1"/>
      <sheetData sheetId="9" refreshError="1">
        <row r="2">
          <cell r="C2">
            <v>0.38669999999999999</v>
          </cell>
          <cell r="D2">
            <v>0.43690000000000001</v>
          </cell>
        </row>
      </sheetData>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 sheetId="18" refreshError="1"/>
      <sheetData sheetId="19" refreshError="1"/>
      <sheetData sheetId="20" refreshError="1"/>
      <sheetData sheetId="21" refreshError="1"/>
      <sheetData sheetId="22" refreshError="1"/>
      <sheetData sheetId="23" refreshError="1"/>
      <sheetData sheetId="24" refreshError="1"/>
      <sheetData sheetId="25" refreshError="1"/>
      <sheetData sheetId="26" refreshError="1"/>
      <sheetData sheetId="27" refreshError="1"/>
      <sheetData sheetId="28" refreshError="1"/>
      <sheetData sheetId="29" refreshError="1"/>
      <sheetData sheetId="30" refreshError="1"/>
      <sheetData sheetId="31" refreshError="1"/>
      <sheetData sheetId="32" refreshError="1"/>
      <sheetData sheetId="33" refreshError="1"/>
      <sheetData sheetId="34" refreshError="1"/>
      <sheetData sheetId="35" refreshError="1"/>
      <sheetData sheetId="36" refreshError="1"/>
    </sheetDataSet>
  </externalBook>
</externalLink>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3" Type="http://schemas.openxmlformats.org/officeDocument/2006/relationships/printerSettings" Target="../printerSettings/printerSettings10.bin"/><Relationship Id="rId2" Type="http://schemas.openxmlformats.org/officeDocument/2006/relationships/hyperlink" Target="http://www.nerc.gov.ua/index.php?id=20884" TargetMode="External"/><Relationship Id="rId1" Type="http://schemas.openxmlformats.org/officeDocument/2006/relationships/hyperlink" Target="http://www.nerc.gov.ua/index.php?id=20884" TargetMode="External"/></Relationships>
</file>

<file path=xl/worksheets/_rels/sheet100.xml.rels><?xml version="1.0" encoding="UTF-8" standalone="yes"?>
<Relationships xmlns="http://schemas.openxmlformats.org/package/2006/relationships"><Relationship Id="rId1" Type="http://schemas.openxmlformats.org/officeDocument/2006/relationships/printerSettings" Target="../printerSettings/printerSettings86.bin"/></Relationships>
</file>

<file path=xl/worksheets/_rels/sheet101.xml.rels><?xml version="1.0" encoding="UTF-8" standalone="yes"?>
<Relationships xmlns="http://schemas.openxmlformats.org/package/2006/relationships"><Relationship Id="rId1" Type="http://schemas.openxmlformats.org/officeDocument/2006/relationships/printerSettings" Target="../printerSettings/printerSettings87.bin"/></Relationships>
</file>

<file path=xl/worksheets/_rels/sheet103.xml.rels><?xml version="1.0" encoding="UTF-8" standalone="yes"?>
<Relationships xmlns="http://schemas.openxmlformats.org/package/2006/relationships"><Relationship Id="rId1" Type="http://schemas.openxmlformats.org/officeDocument/2006/relationships/printerSettings" Target="../printerSettings/printerSettings88.bin"/></Relationships>
</file>

<file path=xl/worksheets/_rels/sheet104.xml.rels><?xml version="1.0" encoding="UTF-8" standalone="yes"?>
<Relationships xmlns="http://schemas.openxmlformats.org/package/2006/relationships"><Relationship Id="rId1" Type="http://schemas.openxmlformats.org/officeDocument/2006/relationships/printerSettings" Target="../printerSettings/printerSettings89.bin"/></Relationships>
</file>

<file path=xl/worksheets/_rels/sheet105.xml.rels><?xml version="1.0" encoding="UTF-8" standalone="yes"?>
<Relationships xmlns="http://schemas.openxmlformats.org/package/2006/relationships"><Relationship Id="rId1" Type="http://schemas.openxmlformats.org/officeDocument/2006/relationships/printerSettings" Target="../printerSettings/printerSettings90.bin"/></Relationships>
</file>

<file path=xl/worksheets/_rels/sheet106.xml.rels><?xml version="1.0" encoding="UTF-8" standalone="yes"?>
<Relationships xmlns="http://schemas.openxmlformats.org/package/2006/relationships"><Relationship Id="rId1" Type="http://schemas.openxmlformats.org/officeDocument/2006/relationships/printerSettings" Target="../printerSettings/printerSettings91.bin"/></Relationships>
</file>

<file path=xl/worksheets/_rels/sheet107.xml.rels><?xml version="1.0" encoding="UTF-8" standalone="yes"?>
<Relationships xmlns="http://schemas.openxmlformats.org/package/2006/relationships"><Relationship Id="rId1" Type="http://schemas.openxmlformats.org/officeDocument/2006/relationships/printerSettings" Target="../printerSettings/printerSettings92.bin"/></Relationships>
</file>

<file path=xl/worksheets/_rels/sheet108.xml.rels><?xml version="1.0" encoding="UTF-8" standalone="yes"?>
<Relationships xmlns="http://schemas.openxmlformats.org/package/2006/relationships"><Relationship Id="rId1" Type="http://schemas.openxmlformats.org/officeDocument/2006/relationships/printerSettings" Target="../printerSettings/printerSettings93.bin"/></Relationships>
</file>

<file path=xl/worksheets/_rels/sheet109.xml.rels><?xml version="1.0" encoding="UTF-8" standalone="yes"?>
<Relationships xmlns="http://schemas.openxmlformats.org/package/2006/relationships"><Relationship Id="rId1" Type="http://schemas.openxmlformats.org/officeDocument/2006/relationships/printerSettings" Target="../printerSettings/printerSettings94.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10.xml.rels><?xml version="1.0" encoding="UTF-8" standalone="yes"?>
<Relationships xmlns="http://schemas.openxmlformats.org/package/2006/relationships"><Relationship Id="rId1" Type="http://schemas.openxmlformats.org/officeDocument/2006/relationships/printerSettings" Target="../printerSettings/printerSettings95.bin"/></Relationships>
</file>

<file path=xl/worksheets/_rels/sheet111.xml.rels><?xml version="1.0" encoding="UTF-8" standalone="yes"?>
<Relationships xmlns="http://schemas.openxmlformats.org/package/2006/relationships"><Relationship Id="rId1" Type="http://schemas.openxmlformats.org/officeDocument/2006/relationships/printerSettings" Target="../printerSettings/printerSettings96.bin"/></Relationships>
</file>

<file path=xl/worksheets/_rels/sheet112.xml.rels><?xml version="1.0" encoding="UTF-8" standalone="yes"?>
<Relationships xmlns="http://schemas.openxmlformats.org/package/2006/relationships"><Relationship Id="rId1" Type="http://schemas.openxmlformats.org/officeDocument/2006/relationships/printerSettings" Target="../printerSettings/printerSettings97.bin"/></Relationships>
</file>

<file path=xl/worksheets/_rels/sheet113.xml.rels><?xml version="1.0" encoding="UTF-8" standalone="yes"?>
<Relationships xmlns="http://schemas.openxmlformats.org/package/2006/relationships"><Relationship Id="rId1" Type="http://schemas.openxmlformats.org/officeDocument/2006/relationships/printerSettings" Target="../printerSettings/printerSettings98.bin"/></Relationships>
</file>

<file path=xl/worksheets/_rels/sheet114.xml.rels><?xml version="1.0" encoding="UTF-8" standalone="yes"?>
<Relationships xmlns="http://schemas.openxmlformats.org/package/2006/relationships"><Relationship Id="rId1" Type="http://schemas.openxmlformats.org/officeDocument/2006/relationships/printerSettings" Target="../printerSettings/printerSettings99.bin"/></Relationships>
</file>

<file path=xl/worksheets/_rels/sheet115.xml.rels><?xml version="1.0" encoding="UTF-8" standalone="yes"?>
<Relationships xmlns="http://schemas.openxmlformats.org/package/2006/relationships"><Relationship Id="rId1" Type="http://schemas.openxmlformats.org/officeDocument/2006/relationships/printerSettings" Target="../printerSettings/printerSettings100.bin"/></Relationships>
</file>

<file path=xl/worksheets/_rels/sheet116.xml.rels><?xml version="1.0" encoding="UTF-8" standalone="yes"?>
<Relationships xmlns="http://schemas.openxmlformats.org/package/2006/relationships"><Relationship Id="rId1" Type="http://schemas.openxmlformats.org/officeDocument/2006/relationships/printerSettings" Target="../printerSettings/printerSettings101.bin"/></Relationships>
</file>

<file path=xl/worksheets/_rels/sheet117.xml.rels><?xml version="1.0" encoding="UTF-8" standalone="yes"?>
<Relationships xmlns="http://schemas.openxmlformats.org/package/2006/relationships"><Relationship Id="rId1" Type="http://schemas.openxmlformats.org/officeDocument/2006/relationships/printerSettings" Target="../printerSettings/printerSettings102.bin"/></Relationships>
</file>

<file path=xl/worksheets/_rels/sheet118.xml.rels><?xml version="1.0" encoding="UTF-8" standalone="yes"?>
<Relationships xmlns="http://schemas.openxmlformats.org/package/2006/relationships"><Relationship Id="rId1" Type="http://schemas.openxmlformats.org/officeDocument/2006/relationships/printerSettings" Target="../printerSettings/printerSettings103.bin"/></Relationships>
</file>

<file path=xl/worksheets/_rels/sheet119.xml.rels><?xml version="1.0" encoding="UTF-8" standalone="yes"?>
<Relationships xmlns="http://schemas.openxmlformats.org/package/2006/relationships"><Relationship Id="rId1" Type="http://schemas.openxmlformats.org/officeDocument/2006/relationships/printerSettings" Target="../printerSettings/printerSettings104.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21.xml.rels><?xml version="1.0" encoding="UTF-8" standalone="yes"?>
<Relationships xmlns="http://schemas.openxmlformats.org/package/2006/relationships"><Relationship Id="rId1" Type="http://schemas.openxmlformats.org/officeDocument/2006/relationships/printerSettings" Target="../printerSettings/printerSettings105.bin"/></Relationships>
</file>

<file path=xl/worksheets/_rels/sheet122.xml.rels><?xml version="1.0" encoding="UTF-8" standalone="yes"?>
<Relationships xmlns="http://schemas.openxmlformats.org/package/2006/relationships"><Relationship Id="rId1" Type="http://schemas.openxmlformats.org/officeDocument/2006/relationships/printerSettings" Target="../printerSettings/printerSettings106.bin"/></Relationships>
</file>

<file path=xl/worksheets/_rels/sheet123.xml.rels><?xml version="1.0" encoding="UTF-8" standalone="yes"?>
<Relationships xmlns="http://schemas.openxmlformats.org/package/2006/relationships"><Relationship Id="rId1" Type="http://schemas.openxmlformats.org/officeDocument/2006/relationships/printerSettings" Target="../printerSettings/printerSettings107.bin"/></Relationships>
</file>

<file path=xl/worksheets/_rels/sheet124.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2.vml"/><Relationship Id="rId1" Type="http://schemas.openxmlformats.org/officeDocument/2006/relationships/printerSettings" Target="../printerSettings/printerSettings108.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3" Type="http://schemas.openxmlformats.org/officeDocument/2006/relationships/vmlDrawing" Target="../drawings/vmlDrawing1.vml"/><Relationship Id="rId2" Type="http://schemas.openxmlformats.org/officeDocument/2006/relationships/drawing" Target="../drawings/drawing1.xml"/><Relationship Id="rId1" Type="http://schemas.openxmlformats.org/officeDocument/2006/relationships/printerSettings" Target="../printerSettings/printerSettings19.bin"/><Relationship Id="rId4" Type="http://schemas.openxmlformats.org/officeDocument/2006/relationships/comments" Target="../comments1.xml"/></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2" Type="http://schemas.openxmlformats.org/officeDocument/2006/relationships/drawing" Target="../drawings/drawing2.x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6.xml.rels><?xml version="1.0" encoding="UTF-8" standalone="yes"?>
<Relationships xmlns="http://schemas.openxmlformats.org/package/2006/relationships"><Relationship Id="rId3" Type="http://schemas.openxmlformats.org/officeDocument/2006/relationships/vmlDrawing" Target="../drawings/vmlDrawing3.vml"/><Relationship Id="rId2" Type="http://schemas.openxmlformats.org/officeDocument/2006/relationships/drawing" Target="../drawings/drawing3.xml"/><Relationship Id="rId1" Type="http://schemas.openxmlformats.org/officeDocument/2006/relationships/printerSettings" Target="../printerSettings/printerSettings35.bin"/><Relationship Id="rId4" Type="http://schemas.openxmlformats.org/officeDocument/2006/relationships/comments" Target="../comments3.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39.bin"/></Relationships>
</file>

<file path=xl/worksheets/_rels/sheet41.xml.rels><?xml version="1.0" encoding="UTF-8" standalone="yes"?>
<Relationships xmlns="http://schemas.openxmlformats.org/package/2006/relationships"><Relationship Id="rId2" Type="http://schemas.openxmlformats.org/officeDocument/2006/relationships/drawing" Target="../drawings/drawing4.xml"/><Relationship Id="rId1" Type="http://schemas.openxmlformats.org/officeDocument/2006/relationships/printerSettings" Target="../printerSettings/printerSettings40.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41.bin"/></Relationships>
</file>

<file path=xl/worksheets/_rels/sheet43.xml.rels><?xml version="1.0" encoding="UTF-8" standalone="yes"?>
<Relationships xmlns="http://schemas.openxmlformats.org/package/2006/relationships"><Relationship Id="rId3" Type="http://schemas.openxmlformats.org/officeDocument/2006/relationships/printerSettings" Target="../printerSettings/printerSettings42.bin"/><Relationship Id="rId2" Type="http://schemas.openxmlformats.org/officeDocument/2006/relationships/hyperlink" Target="https://zakon.rada.gov.ua/laws/show/151-2010-%D0%BF" TargetMode="External"/><Relationship Id="rId1" Type="http://schemas.openxmlformats.org/officeDocument/2006/relationships/hyperlink" Target="http://zakon2.rada.gov.ua/laws/show/z0643-16/print" TargetMode="External"/></Relationships>
</file>

<file path=xl/worksheets/_rels/sheet44.xml.rels><?xml version="1.0" encoding="UTF-8" standalone="yes"?>
<Relationships xmlns="http://schemas.openxmlformats.org/package/2006/relationships"><Relationship Id="rId2" Type="http://schemas.openxmlformats.org/officeDocument/2006/relationships/printerSettings" Target="../printerSettings/printerSettings43.bin"/><Relationship Id="rId1" Type="http://schemas.openxmlformats.org/officeDocument/2006/relationships/hyperlink" Target="http://zakon2.rada.gov.ua/laws/show/z0643-16/print" TargetMode="External"/></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44.bin"/></Relationships>
</file>

<file path=xl/worksheets/_rels/sheet46.xml.rels><?xml version="1.0" encoding="UTF-8" standalone="yes"?>
<Relationships xmlns="http://schemas.openxmlformats.org/package/2006/relationships"><Relationship Id="rId2" Type="http://schemas.openxmlformats.org/officeDocument/2006/relationships/drawing" Target="../drawings/drawing5.xml"/><Relationship Id="rId1" Type="http://schemas.openxmlformats.org/officeDocument/2006/relationships/printerSettings" Target="../printerSettings/printerSettings45.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46.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47.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48.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49.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50.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51.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52.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53.bin"/></Relationships>
</file>

<file path=xl/worksheets/_rels/sheet58.xml.rels><?xml version="1.0" encoding="UTF-8" standalone="yes"?>
<Relationships xmlns="http://schemas.openxmlformats.org/package/2006/relationships"><Relationship Id="rId1" Type="http://schemas.openxmlformats.org/officeDocument/2006/relationships/printerSettings" Target="../printerSettings/printerSettings54.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60.xml.rels><?xml version="1.0" encoding="UTF-8" standalone="yes"?>
<Relationships xmlns="http://schemas.openxmlformats.org/package/2006/relationships"><Relationship Id="rId1" Type="http://schemas.openxmlformats.org/officeDocument/2006/relationships/printerSettings" Target="../printerSettings/printerSettings55.bin"/></Relationships>
</file>

<file path=xl/worksheets/_rels/sheet61.xml.rels><?xml version="1.0" encoding="UTF-8" standalone="yes"?>
<Relationships xmlns="http://schemas.openxmlformats.org/package/2006/relationships"><Relationship Id="rId1" Type="http://schemas.openxmlformats.org/officeDocument/2006/relationships/printerSettings" Target="../printerSettings/printerSettings56.bin"/></Relationships>
</file>

<file path=xl/worksheets/_rels/sheet62.xml.rels><?xml version="1.0" encoding="UTF-8" standalone="yes"?>
<Relationships xmlns="http://schemas.openxmlformats.org/package/2006/relationships"><Relationship Id="rId1" Type="http://schemas.openxmlformats.org/officeDocument/2006/relationships/printerSettings" Target="../printerSettings/printerSettings57.bin"/></Relationships>
</file>

<file path=xl/worksheets/_rels/sheet63.xml.rels><?xml version="1.0" encoding="UTF-8" standalone="yes"?>
<Relationships xmlns="http://schemas.openxmlformats.org/package/2006/relationships"><Relationship Id="rId1" Type="http://schemas.openxmlformats.org/officeDocument/2006/relationships/printerSettings" Target="../printerSettings/printerSettings58.bin"/></Relationships>
</file>

<file path=xl/worksheets/_rels/sheet64.xml.rels><?xml version="1.0" encoding="UTF-8" standalone="yes"?>
<Relationships xmlns="http://schemas.openxmlformats.org/package/2006/relationships"><Relationship Id="rId1" Type="http://schemas.openxmlformats.org/officeDocument/2006/relationships/printerSettings" Target="../printerSettings/printerSettings59.bin"/></Relationships>
</file>

<file path=xl/worksheets/_rels/sheet66.xml.rels><?xml version="1.0" encoding="UTF-8" standalone="yes"?>
<Relationships xmlns="http://schemas.openxmlformats.org/package/2006/relationships"><Relationship Id="rId1" Type="http://schemas.openxmlformats.org/officeDocument/2006/relationships/printerSettings" Target="../printerSettings/printerSettings60.bin"/></Relationships>
</file>

<file path=xl/worksheets/_rels/sheet67.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61.bin"/></Relationships>
</file>

<file path=xl/worksheets/_rels/sheet68.xml.rels><?xml version="1.0" encoding="UTF-8" standalone="yes"?>
<Relationships xmlns="http://schemas.openxmlformats.org/package/2006/relationships"><Relationship Id="rId1" Type="http://schemas.openxmlformats.org/officeDocument/2006/relationships/printerSettings" Target="../printerSettings/printerSettings62.bin"/></Relationships>
</file>

<file path=xl/worksheets/_rels/sheet69.xml.rels><?xml version="1.0" encoding="UTF-8" standalone="yes"?>
<Relationships xmlns="http://schemas.openxmlformats.org/package/2006/relationships"><Relationship Id="rId1" Type="http://schemas.openxmlformats.org/officeDocument/2006/relationships/printerSettings" Target="../printerSettings/printerSettings63.bin"/></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70.xml.rels><?xml version="1.0" encoding="UTF-8" standalone="yes"?>
<Relationships xmlns="http://schemas.openxmlformats.org/package/2006/relationships"><Relationship Id="rId1" Type="http://schemas.openxmlformats.org/officeDocument/2006/relationships/printerSettings" Target="../printerSettings/printerSettings64.bin"/></Relationships>
</file>

<file path=xl/worksheets/_rels/sheet71.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65.bin"/></Relationships>
</file>

<file path=xl/worksheets/_rels/sheet72.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66.bin"/></Relationships>
</file>

<file path=xl/worksheets/_rels/sheet73.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67.bin"/></Relationships>
</file>

<file path=xl/worksheets/_rels/sheet74.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68.bin"/></Relationships>
</file>

<file path=xl/worksheets/_rels/sheet75.xml.rels><?xml version="1.0" encoding="UTF-8" standalone="yes"?>
<Relationships xmlns="http://schemas.openxmlformats.org/package/2006/relationships"><Relationship Id="rId1" Type="http://schemas.openxmlformats.org/officeDocument/2006/relationships/printerSettings" Target="../printerSettings/printerSettings69.bin"/></Relationships>
</file>

<file path=xl/worksheets/_rels/sheet76.xml.rels><?xml version="1.0" encoding="UTF-8" standalone="yes"?>
<Relationships xmlns="http://schemas.openxmlformats.org/package/2006/relationships"><Relationship Id="rId1" Type="http://schemas.openxmlformats.org/officeDocument/2006/relationships/printerSettings" Target="../printerSettings/printerSettings70.bin"/></Relationships>
</file>

<file path=xl/worksheets/_rels/sheet77.xml.rels><?xml version="1.0" encoding="UTF-8" standalone="yes"?>
<Relationships xmlns="http://schemas.openxmlformats.org/package/2006/relationships"><Relationship Id="rId1" Type="http://schemas.openxmlformats.org/officeDocument/2006/relationships/printerSettings" Target="../printerSettings/printerSettings71.bin"/></Relationships>
</file>

<file path=xl/worksheets/_rels/sheet78.xml.rels><?xml version="1.0" encoding="UTF-8" standalone="yes"?>
<Relationships xmlns="http://schemas.openxmlformats.org/package/2006/relationships"><Relationship Id="rId1" Type="http://schemas.openxmlformats.org/officeDocument/2006/relationships/printerSettings" Target="../printerSettings/printerSettings72.bin"/></Relationships>
</file>

<file path=xl/worksheets/_rels/sheet79.xml.rels><?xml version="1.0" encoding="UTF-8" standalone="yes"?>
<Relationships xmlns="http://schemas.openxmlformats.org/package/2006/relationships"><Relationship Id="rId1" Type="http://schemas.openxmlformats.org/officeDocument/2006/relationships/printerSettings" Target="../printerSettings/printerSettings73.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8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74.bin"/></Relationships>
</file>

<file path=xl/worksheets/_rels/sheet83.xml.rels><?xml version="1.0" encoding="UTF-8" standalone="yes"?>
<Relationships xmlns="http://schemas.openxmlformats.org/package/2006/relationships"><Relationship Id="rId1" Type="http://schemas.openxmlformats.org/officeDocument/2006/relationships/printerSettings" Target="../printerSettings/printerSettings75.bin"/></Relationships>
</file>

<file path=xl/worksheets/_rels/sheet84.xml.rels><?xml version="1.0" encoding="UTF-8" standalone="yes"?>
<Relationships xmlns="http://schemas.openxmlformats.org/package/2006/relationships"><Relationship Id="rId1" Type="http://schemas.openxmlformats.org/officeDocument/2006/relationships/printerSettings" Target="../printerSettings/printerSettings76.bin"/></Relationships>
</file>

<file path=xl/worksheets/_rels/sheet86.xml.rels><?xml version="1.0" encoding="UTF-8" standalone="yes"?>
<Relationships xmlns="http://schemas.openxmlformats.org/package/2006/relationships"><Relationship Id="rId1" Type="http://schemas.openxmlformats.org/officeDocument/2006/relationships/printerSettings" Target="../printerSettings/printerSettings77.bin"/></Relationships>
</file>

<file path=xl/worksheets/_rels/sheet87.xml.rels><?xml version="1.0" encoding="UTF-8" standalone="yes"?>
<Relationships xmlns="http://schemas.openxmlformats.org/package/2006/relationships"><Relationship Id="rId1" Type="http://schemas.openxmlformats.org/officeDocument/2006/relationships/printerSettings" Target="../printerSettings/printerSettings78.bin"/></Relationships>
</file>

<file path=xl/worksheets/_rels/sheet88.xml.rels><?xml version="1.0" encoding="UTF-8" standalone="yes"?>
<Relationships xmlns="http://schemas.openxmlformats.org/package/2006/relationships"><Relationship Id="rId1" Type="http://schemas.openxmlformats.org/officeDocument/2006/relationships/printerSettings" Target="../printerSettings/printerSettings79.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91.xml.rels><?xml version="1.0" encoding="UTF-8" standalone="yes"?>
<Relationships xmlns="http://schemas.openxmlformats.org/package/2006/relationships"><Relationship Id="rId1" Type="http://schemas.openxmlformats.org/officeDocument/2006/relationships/printerSettings" Target="../printerSettings/printerSettings80.bin"/></Relationships>
</file>

<file path=xl/worksheets/_rels/sheet92.xml.rels><?xml version="1.0" encoding="UTF-8" standalone="yes"?>
<Relationships xmlns="http://schemas.openxmlformats.org/package/2006/relationships"><Relationship Id="rId1" Type="http://schemas.openxmlformats.org/officeDocument/2006/relationships/printerSettings" Target="../printerSettings/printerSettings81.bin"/></Relationships>
</file>

<file path=xl/worksheets/_rels/sheet96.xml.rels><?xml version="1.0" encoding="UTF-8" standalone="yes"?>
<Relationships xmlns="http://schemas.openxmlformats.org/package/2006/relationships"><Relationship Id="rId1" Type="http://schemas.openxmlformats.org/officeDocument/2006/relationships/printerSettings" Target="../printerSettings/printerSettings82.bin"/></Relationships>
</file>

<file path=xl/worksheets/_rels/sheet97.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1.vml"/><Relationship Id="rId1" Type="http://schemas.openxmlformats.org/officeDocument/2006/relationships/printerSettings" Target="../printerSettings/printerSettings83.bin"/></Relationships>
</file>

<file path=xl/worksheets/_rels/sheet98.xml.rels><?xml version="1.0" encoding="UTF-8" standalone="yes"?>
<Relationships xmlns="http://schemas.openxmlformats.org/package/2006/relationships"><Relationship Id="rId1" Type="http://schemas.openxmlformats.org/officeDocument/2006/relationships/printerSettings" Target="../printerSettings/printerSettings84.bin"/></Relationships>
</file>

<file path=xl/worksheets/_rels/sheet99.xml.rels><?xml version="1.0" encoding="UTF-8" standalone="yes"?>
<Relationships xmlns="http://schemas.openxmlformats.org/package/2006/relationships"><Relationship Id="rId1" Type="http://schemas.openxmlformats.org/officeDocument/2006/relationships/printerSettings" Target="../printerSettings/printerSettings8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dimension ref="A1:L26"/>
  <sheetViews>
    <sheetView topLeftCell="A4" zoomScale="110" zoomScaleNormal="110" workbookViewId="0">
      <selection activeCell="B28" sqref="B28"/>
    </sheetView>
  </sheetViews>
  <sheetFormatPr defaultColWidth="8.88671875" defaultRowHeight="13.8" x14ac:dyDescent="0.25"/>
  <cols>
    <col min="1" max="1" width="4" style="10" customWidth="1"/>
    <col min="2" max="2" width="30.6640625" style="10" customWidth="1"/>
    <col min="3" max="3" width="9.6640625" style="10" customWidth="1"/>
    <col min="4" max="4" width="11.6640625" style="10" customWidth="1"/>
    <col min="5" max="5" width="9.6640625" style="10" customWidth="1"/>
    <col min="6" max="6" width="11.6640625" style="10" customWidth="1"/>
    <col min="7" max="7" width="9.5546875" style="10" customWidth="1"/>
    <col min="8" max="8" width="11.6640625" style="10" customWidth="1"/>
    <col min="9" max="9" width="9.5546875" style="10" customWidth="1"/>
    <col min="10" max="10" width="11.6640625" style="10" customWidth="1"/>
    <col min="11" max="11" width="10" style="10" customWidth="1"/>
    <col min="12" max="12" width="11.6640625" style="10" customWidth="1"/>
    <col min="13" max="16384" width="8.88671875" style="10"/>
  </cols>
  <sheetData>
    <row r="1" spans="1:12" ht="21.6" thickBot="1" x14ac:dyDescent="0.45">
      <c r="B1" s="4609" t="str">
        <f>'Вхідні дані'!F6</f>
        <v>2023-2024</v>
      </c>
      <c r="C1" s="4609"/>
      <c r="J1" s="10" t="s">
        <v>211</v>
      </c>
    </row>
    <row r="2" spans="1:12" ht="14.4" customHeight="1" thickBot="1" x14ac:dyDescent="0.3">
      <c r="A2" s="4876" t="s">
        <v>7</v>
      </c>
      <c r="B2" s="4876" t="s">
        <v>631</v>
      </c>
      <c r="C2" s="4885" t="s">
        <v>4159</v>
      </c>
      <c r="D2" s="4870"/>
      <c r="E2" s="4618"/>
      <c r="F2" s="4879" t="s">
        <v>4158</v>
      </c>
      <c r="G2" s="4879"/>
      <c r="H2" s="4880"/>
      <c r="I2" s="4880"/>
      <c r="J2" s="4880"/>
      <c r="K2" s="4881"/>
      <c r="L2" s="4882"/>
    </row>
    <row r="3" spans="1:12" ht="31.2" customHeight="1" thickBot="1" x14ac:dyDescent="0.3">
      <c r="A3" s="4877"/>
      <c r="B3" s="4878"/>
      <c r="C3" s="4886"/>
      <c r="D3" s="4887"/>
      <c r="E3" s="4883" t="s">
        <v>2736</v>
      </c>
      <c r="F3" s="4884"/>
      <c r="G3" s="4883" t="s">
        <v>2737</v>
      </c>
      <c r="H3" s="4884"/>
      <c r="I3" s="4883" t="s">
        <v>2738</v>
      </c>
      <c r="J3" s="4884"/>
      <c r="K3" s="4883" t="s">
        <v>2810</v>
      </c>
      <c r="L3" s="4884"/>
    </row>
    <row r="4" spans="1:12" ht="15" customHeight="1" thickBot="1" x14ac:dyDescent="0.3">
      <c r="A4" s="4619">
        <v>1</v>
      </c>
      <c r="B4" s="4620">
        <v>2</v>
      </c>
      <c r="C4" s="4866">
        <v>3</v>
      </c>
      <c r="D4" s="4867"/>
      <c r="E4" s="4869">
        <v>4</v>
      </c>
      <c r="F4" s="4870"/>
      <c r="G4" s="4871">
        <v>5</v>
      </c>
      <c r="H4" s="4872"/>
      <c r="I4" s="4873">
        <v>6</v>
      </c>
      <c r="J4" s="4874"/>
      <c r="K4" s="4875">
        <v>7</v>
      </c>
      <c r="L4" s="4874"/>
    </row>
    <row r="5" spans="1:12" s="4621" customFormat="1" ht="30.6" customHeight="1" thickBot="1" x14ac:dyDescent="0.35">
      <c r="A5" s="4631">
        <v>1</v>
      </c>
      <c r="B5" s="4630" t="s">
        <v>4152</v>
      </c>
      <c r="C5" s="4861">
        <f>'Д 5 Т на ТЕ з ЦТП'!D22</f>
        <v>2485.5000000000005</v>
      </c>
      <c r="D5" s="4868"/>
      <c r="E5" s="4862">
        <f>'Д 5 Т на ТЕ з ЦТП'!E22</f>
        <v>2291.61</v>
      </c>
      <c r="F5" s="4862"/>
      <c r="G5" s="4861">
        <f>'Д 5 Т на ТЕ з ЦТП'!F22</f>
        <v>0</v>
      </c>
      <c r="H5" s="4862"/>
      <c r="I5" s="4861">
        <f>'Д 5 Т на ТЕ з ЦТП'!G22</f>
        <v>3436.71</v>
      </c>
      <c r="J5" s="4868"/>
      <c r="K5" s="4862">
        <f>'Д 5 Т на ТЕ з ЦТП'!H22</f>
        <v>3436.71</v>
      </c>
      <c r="L5" s="4868"/>
    </row>
    <row r="6" spans="1:12" s="4617" customFormat="1" ht="15" thickBot="1" x14ac:dyDescent="0.3">
      <c r="A6" s="4641"/>
      <c r="B6" s="4617" t="s">
        <v>1894</v>
      </c>
      <c r="C6" s="4863">
        <f>'Д 5 Т на ТЕ з ЦТП'!D10</f>
        <v>1496.27</v>
      </c>
      <c r="D6" s="4865"/>
      <c r="E6" s="4864">
        <f>'Д 5 Т на ТЕ з ЦТП'!E10</f>
        <v>1321.37</v>
      </c>
      <c r="F6" s="4864"/>
      <c r="G6" s="4863">
        <f>'Д 5 Т на ТЕ з ЦТП'!F23</f>
        <v>0</v>
      </c>
      <c r="H6" s="4864"/>
      <c r="I6" s="4863">
        <f>'Д 5 Т на ТЕ з ЦТП'!G10</f>
        <v>2354.12</v>
      </c>
      <c r="J6" s="4864"/>
      <c r="K6" s="4863">
        <f>'Д 5 Т на ТЕ з ЦТП'!H10</f>
        <v>2354.12</v>
      </c>
      <c r="L6" s="4865"/>
    </row>
    <row r="7" spans="1:12" s="4617" customFormat="1" ht="15" thickBot="1" x14ac:dyDescent="0.3">
      <c r="A7" s="4641"/>
      <c r="B7" s="4617" t="s">
        <v>4153</v>
      </c>
      <c r="C7" s="4863">
        <f>'Д 5 Т на ТЕ з ЦТП'!D14</f>
        <v>968.45</v>
      </c>
      <c r="D7" s="4864"/>
      <c r="E7" s="4863">
        <f>'Д 5 Т на ТЕ з ЦТП'!E14</f>
        <v>949.46</v>
      </c>
      <c r="F7" s="4865"/>
      <c r="G7" s="4864">
        <f>'Д 5 Т на ТЕ з ЦТП'!F24</f>
        <v>0</v>
      </c>
      <c r="H7" s="4864"/>
      <c r="I7" s="4863">
        <f>'Д 5 Т на ТЕ з ЦТП'!G14</f>
        <v>1061.81</v>
      </c>
      <c r="J7" s="4864"/>
      <c r="K7" s="4863">
        <f>'Д 5 Т на ТЕ з ЦТП'!H14</f>
        <v>1061.81</v>
      </c>
      <c r="L7" s="4865"/>
    </row>
    <row r="8" spans="1:12" s="4617" customFormat="1" ht="15" thickBot="1" x14ac:dyDescent="0.3">
      <c r="A8" s="4641"/>
      <c r="B8" s="4617" t="s">
        <v>2233</v>
      </c>
      <c r="C8" s="4863">
        <f>'Д 5 Т на ТЕ з ЦТП'!D18</f>
        <v>20.78</v>
      </c>
      <c r="D8" s="4865"/>
      <c r="E8" s="4864">
        <f>'Д 5 Т на ТЕ з ЦТП'!E18</f>
        <v>20.78</v>
      </c>
      <c r="F8" s="4864"/>
      <c r="G8" s="4863">
        <f>'Д 5 Т на ТЕ з ЦТП'!F25</f>
        <v>0</v>
      </c>
      <c r="H8" s="4864"/>
      <c r="I8" s="4863">
        <f>'Д 5 Т на ТЕ з ЦТП'!G18</f>
        <v>20.78</v>
      </c>
      <c r="J8" s="4864"/>
      <c r="K8" s="4863">
        <f>'Д 5 Т на ТЕ з ЦТП'!H18</f>
        <v>20.78</v>
      </c>
      <c r="L8" s="4865"/>
    </row>
    <row r="9" spans="1:12" s="1445" customFormat="1" ht="29.4" customHeight="1" thickBot="1" x14ac:dyDescent="0.35">
      <c r="A9" s="4610">
        <v>2</v>
      </c>
      <c r="B9" s="4632" t="s">
        <v>4154</v>
      </c>
      <c r="C9" s="4861">
        <f>'Д 5.1 Т на ТЕ без ЦТП'!D22</f>
        <v>2085.0605105178661</v>
      </c>
      <c r="D9" s="4862"/>
      <c r="E9" s="4861">
        <f>'Д 5.1 Т на ТЕ без ЦТП'!E22</f>
        <v>1893.4705105178662</v>
      </c>
      <c r="F9" s="4862"/>
      <c r="G9" s="4861">
        <f>'Д 5.1 Т на ТЕ без ЦТП'!F22</f>
        <v>3024.5705105178668</v>
      </c>
      <c r="H9" s="4862"/>
      <c r="I9" s="4861">
        <f>'Д 5.1 Т на ТЕ без ЦТП'!G22</f>
        <v>3024.5705105178668</v>
      </c>
      <c r="J9" s="4862"/>
      <c r="K9" s="4861">
        <f>'Д 5.1 Т на ТЕ без ЦТП'!H22</f>
        <v>3024.5705105178668</v>
      </c>
      <c r="L9" s="4868"/>
    </row>
    <row r="10" spans="1:12" s="4617" customFormat="1" ht="15" thickBot="1" x14ac:dyDescent="0.3">
      <c r="A10" s="4642"/>
      <c r="B10" s="4617" t="s">
        <v>1894</v>
      </c>
      <c r="C10" s="4863">
        <f>'Д 5.1 Т на ТЕ без ЦТП'!D10</f>
        <v>1496.27</v>
      </c>
      <c r="D10" s="4864"/>
      <c r="E10" s="4863">
        <f>'Д 5.1 Т на ТЕ без ЦТП'!E10</f>
        <v>1321.37</v>
      </c>
      <c r="F10" s="4864"/>
      <c r="G10" s="4863">
        <f>'Д 5.1 Т на ТЕ без ЦТП'!F10</f>
        <v>2354.1200000000003</v>
      </c>
      <c r="H10" s="4864"/>
      <c r="I10" s="4863">
        <f>'Д 5.1 Т на ТЕ без ЦТП'!G10</f>
        <v>2354.1200000000003</v>
      </c>
      <c r="J10" s="4865"/>
      <c r="K10" s="4863">
        <f>'Д 5.1 Т на ТЕ без ЦТП'!H10</f>
        <v>2354.1200000000003</v>
      </c>
      <c r="L10" s="4865"/>
    </row>
    <row r="11" spans="1:12" s="4617" customFormat="1" ht="15" thickBot="1" x14ac:dyDescent="0.3">
      <c r="A11" s="4642"/>
      <c r="B11" s="4617" t="s">
        <v>4155</v>
      </c>
      <c r="C11" s="4863">
        <f>'Д 5.1 Т на ТЕ без ЦТП'!D14</f>
        <v>568.01</v>
      </c>
      <c r="D11" s="4864"/>
      <c r="E11" s="4863">
        <f>'Д 5.1 Т на ТЕ без ЦТП'!E14</f>
        <v>551.31999999999994</v>
      </c>
      <c r="F11" s="4864"/>
      <c r="G11" s="4863">
        <f>'Д 5.1 Т на ТЕ без ЦТП'!F14</f>
        <v>649.66999999999996</v>
      </c>
      <c r="H11" s="4864"/>
      <c r="I11" s="4863">
        <f>'Д 5.1 Т на ТЕ без ЦТП'!G14</f>
        <v>649.66999999999996</v>
      </c>
      <c r="J11" s="4864"/>
      <c r="K11" s="4863">
        <f>'Д 5.1 Т на ТЕ без ЦТП'!H14</f>
        <v>649.66999999999996</v>
      </c>
      <c r="L11" s="4865"/>
    </row>
    <row r="12" spans="1:12" s="4617" customFormat="1" ht="15" thickBot="1" x14ac:dyDescent="0.3">
      <c r="A12" s="4642"/>
      <c r="B12" s="4623" t="s">
        <v>2233</v>
      </c>
      <c r="C12" s="4863">
        <f>'Д 5.1 Т на ТЕ без ЦТП'!D18</f>
        <v>20.780510517866194</v>
      </c>
      <c r="D12" s="4865"/>
      <c r="E12" s="4864">
        <f>'Д 5.1 Т на ТЕ без ЦТП'!E18</f>
        <v>20.780510517866194</v>
      </c>
      <c r="F12" s="4864"/>
      <c r="G12" s="4863">
        <f>'Д 5.1 Т на ТЕ без ЦТП'!F18</f>
        <v>20.780510517866194</v>
      </c>
      <c r="H12" s="4864"/>
      <c r="I12" s="4863">
        <f>'Д 5.1 Т на ТЕ без ЦТП'!G18</f>
        <v>20.780510517866194</v>
      </c>
      <c r="J12" s="4865"/>
      <c r="K12" s="4864">
        <f>'Д 5.1 Т на ТЕ без ЦТП'!H18</f>
        <v>20.780510517866194</v>
      </c>
      <c r="L12" s="4865"/>
    </row>
    <row r="13" spans="1:12" s="1445" customFormat="1" ht="28.95" customHeight="1" thickBot="1" x14ac:dyDescent="0.35">
      <c r="A13" s="4610">
        <v>3</v>
      </c>
      <c r="B13" s="4632" t="s">
        <v>4156</v>
      </c>
      <c r="C13" s="4624">
        <f>'ТЕ_2ст_тариф_з ЦТП'!E214</f>
        <v>1310.4099999999999</v>
      </c>
      <c r="D13" s="4634">
        <f>'ТЕ_2ст_тариф_з ЦТП'!E215</f>
        <v>135298.87</v>
      </c>
      <c r="E13" s="4624">
        <f>'ТЕ_2ст_тариф_з ЦТП'!H214</f>
        <v>1143.25</v>
      </c>
      <c r="F13" s="4638">
        <f>'ТЕ_2ст_тариф_з ЦТП'!H215</f>
        <v>132136.79999999999</v>
      </c>
      <c r="G13" s="4637">
        <f>'ТЕ_2ст_тариф_з ЦТП'!K214</f>
        <v>0</v>
      </c>
      <c r="H13" s="4634">
        <f>'ТЕ_2ст_тариф_з ЦТП'!K215</f>
        <v>0</v>
      </c>
      <c r="I13" s="4624">
        <f>'ТЕ_2ст_тариф_з ЦТП'!N214</f>
        <v>2130.2600000000002</v>
      </c>
      <c r="J13" s="4635">
        <f>'ТЕ_2ст_тариф_з ЦТП'!N215</f>
        <v>150830.23000000001</v>
      </c>
      <c r="K13" s="4624">
        <f>'ТЕ_2ст_тариф_з ЦТП'!Q214</f>
        <v>2130.2600000000002</v>
      </c>
      <c r="L13" s="4643">
        <f>'ТЕ_2ст_тариф_з ЦТП'!Q215</f>
        <v>150830.23000000001</v>
      </c>
    </row>
    <row r="14" spans="1:12" x14ac:dyDescent="0.25">
      <c r="A14" s="1873"/>
      <c r="B14" s="4626" t="s">
        <v>1894</v>
      </c>
      <c r="C14" s="4625">
        <f>'ТЕ_2ст_тариф_з ЦТП'!E80</f>
        <v>1056.28</v>
      </c>
      <c r="D14" s="4648">
        <f>'ТЕ_2ст_тариф_з ЦТП'!E81</f>
        <v>55657.13</v>
      </c>
      <c r="E14" s="4625">
        <f>'ТЕ_2ст_тариф_з ЦТП'!H80</f>
        <v>889.12</v>
      </c>
      <c r="F14" s="4649">
        <f>'ТЕ_2ст_тариф_з ЦТП'!H81</f>
        <v>54678.239999999998</v>
      </c>
      <c r="G14" s="4636">
        <f>'ТЕ_2ст_тариф_з ЦТП'!K80</f>
        <v>0</v>
      </c>
      <c r="H14" s="4649">
        <f>'ТЕ_2ст_тариф_з ЦТП'!K81</f>
        <v>0</v>
      </c>
      <c r="I14" s="4636">
        <f>'ТЕ_2ст_тариф_з ЦТП'!N80</f>
        <v>1876.13</v>
      </c>
      <c r="J14" s="4650">
        <f>'ТЕ_2ст_тариф_з ЦТП'!N81</f>
        <v>60453.2</v>
      </c>
      <c r="K14" s="4636">
        <f>'ТЕ_2ст_тариф_з ЦТП'!Q80</f>
        <v>1876.13</v>
      </c>
      <c r="L14" s="4648">
        <f>'ТЕ_2ст_тариф_з ЦТП'!Q81</f>
        <v>60453.2</v>
      </c>
    </row>
    <row r="15" spans="1:12" x14ac:dyDescent="0.25">
      <c r="A15" s="1873"/>
      <c r="B15" s="4628" t="s">
        <v>4153</v>
      </c>
      <c r="C15" s="4627">
        <f>'ТЕ_2ст_тариф_з ЦТП'!E124</f>
        <v>254.13</v>
      </c>
      <c r="D15" s="4651">
        <f>'ТЕ_2ст_тариф_з ЦТП'!E125</f>
        <v>77251.66</v>
      </c>
      <c r="E15" s="4627">
        <f>'ТЕ_2ст_тариф_з ЦТП'!H124</f>
        <v>254.13</v>
      </c>
      <c r="F15" s="4651">
        <f>'ТЕ_2ст_тариф_з ЦТП'!H125</f>
        <v>75068.479999999996</v>
      </c>
      <c r="G15" s="4627">
        <f>'ТЕ_2ст_тариф_з ЦТП'!K124</f>
        <v>0</v>
      </c>
      <c r="H15" s="4652">
        <f>'ТЕ_2ст_тариф_з ЦТП'!IK25</f>
        <v>0</v>
      </c>
      <c r="I15" s="4639">
        <f>'ТЕ_2ст_тариф_з ЦТП'!N124</f>
        <v>254.13</v>
      </c>
      <c r="J15" s="4652">
        <f>'ТЕ_2ст_тариф_з ЦТП'!N125</f>
        <v>87986.95</v>
      </c>
      <c r="K15" s="4639">
        <f>'ТЕ_2ст_тариф_з ЦТП'!Q124</f>
        <v>254.13</v>
      </c>
      <c r="L15" s="4651">
        <f>'ТЕ_2ст_тариф_з ЦТП'!Q125</f>
        <v>87986.95</v>
      </c>
    </row>
    <row r="16" spans="1:12" ht="14.4" thickBot="1" x14ac:dyDescent="0.3">
      <c r="A16" s="1873"/>
      <c r="B16" s="4617" t="s">
        <v>2233</v>
      </c>
      <c r="C16" s="4629"/>
      <c r="D16" s="4653">
        <f>'ТЕ_2ст_тариф_з ЦТП'!E164</f>
        <v>2390.08</v>
      </c>
      <c r="E16" s="4622"/>
      <c r="F16" s="4654">
        <f>'ТЕ_2ст_тариф_з ЦТП'!H164</f>
        <v>2390.08</v>
      </c>
      <c r="G16" s="4629"/>
      <c r="H16" s="4654">
        <f>'ТЕ_2ст_тариф_з ЦТП'!K164</f>
        <v>0</v>
      </c>
      <c r="I16" s="4629"/>
      <c r="J16" s="4655">
        <f>'ТЕ_2ст_тариф_з ЦТП'!N164</f>
        <v>2390.08</v>
      </c>
      <c r="K16" s="4629"/>
      <c r="L16" s="4656">
        <f>'ТЕ_2ст_тариф_з ЦТП'!Q164</f>
        <v>2390.08</v>
      </c>
    </row>
    <row r="17" spans="1:12" s="1445" customFormat="1" ht="25.95" customHeight="1" thickBot="1" x14ac:dyDescent="0.35">
      <c r="A17" s="1695">
        <v>4</v>
      </c>
      <c r="B17" s="4633" t="s">
        <v>4157</v>
      </c>
      <c r="C17" s="4624">
        <f>'ТЕ_2ст_тариф_без ЦТП'!E214</f>
        <v>1190.06</v>
      </c>
      <c r="D17" s="4635">
        <f>'ТЕ_2ст_тариф_без ЦТП'!E215</f>
        <v>103562.1</v>
      </c>
      <c r="E17" s="4624">
        <f>'ТЕ_2ст_тариф_без ЦТП'!H214</f>
        <v>1022.9</v>
      </c>
      <c r="F17" s="4635">
        <f>'ТЕ_2ст_тариф_без ЦТП'!H215</f>
        <v>100654.02</v>
      </c>
      <c r="G17" s="4624">
        <f>'ТЕ_2ст_тариф_без ЦТП'!K214</f>
        <v>2009.91</v>
      </c>
      <c r="H17" s="4635">
        <f>'ТЕ_2ст_тариф_без ЦТП'!K215</f>
        <v>117803.48</v>
      </c>
      <c r="I17" s="4624">
        <f>'ТЕ_2ст_тариф_без ЦТП'!N214</f>
        <v>2009.91</v>
      </c>
      <c r="J17" s="4640">
        <f>'ТЕ_2ст_тариф_без ЦТП'!N215</f>
        <v>117803.48</v>
      </c>
      <c r="K17" s="4624">
        <f>'ТЕ_2ст_тариф_без ЦТП'!Q214</f>
        <v>2009.91</v>
      </c>
      <c r="L17" s="4638">
        <f>'ТЕ_2ст_тариф_без ЦТП'!Q215</f>
        <v>117803.48</v>
      </c>
    </row>
    <row r="18" spans="1:12" ht="14.4" thickBot="1" x14ac:dyDescent="0.3">
      <c r="A18" s="1873"/>
      <c r="B18" s="4617" t="s">
        <v>1894</v>
      </c>
      <c r="C18" s="4646">
        <f>'ТЕ_2ст_тариф_без ЦТП'!E80</f>
        <v>1056.28</v>
      </c>
      <c r="D18" s="4657">
        <f>'ТЕ_2ст_тариф_без ЦТП'!E81</f>
        <v>55657.13</v>
      </c>
      <c r="E18" s="4646">
        <f>'ТЕ_2ст_тариф_без ЦТП'!H80</f>
        <v>889.12</v>
      </c>
      <c r="F18" s="4657">
        <f>'ТЕ_2ст_тариф_без ЦТП'!H81</f>
        <v>54678.239999999998</v>
      </c>
      <c r="G18" s="4646">
        <f>'ТЕ_2ст_тариф_без ЦТП'!I80</f>
        <v>889.12</v>
      </c>
      <c r="H18" s="4657">
        <f>'ТЕ_2ст_тариф_без ЦТП'!K81</f>
        <v>60453.2</v>
      </c>
      <c r="I18" s="4646">
        <f>'ТЕ_2ст_тариф_без ЦТП'!N80</f>
        <v>1876.13</v>
      </c>
      <c r="J18" s="4657">
        <f>'ТЕ_2ст_тариф_без ЦТП'!N81</f>
        <v>60453.2</v>
      </c>
      <c r="K18" s="4647">
        <f>'ТЕ_2ст_тариф_без ЦТП'!Q80</f>
        <v>1876.13</v>
      </c>
      <c r="L18" s="4658">
        <f>'ТЕ_2ст_тариф_без ЦТП'!Q81</f>
        <v>60453.2</v>
      </c>
    </row>
    <row r="19" spans="1:12" ht="14.4" thickBot="1" x14ac:dyDescent="0.3">
      <c r="A19" s="1873"/>
      <c r="B19" s="4617" t="s">
        <v>4155</v>
      </c>
      <c r="C19" s="4647">
        <f>'ТЕ_2ст_тариф_без ЦТП'!E124</f>
        <v>133.78</v>
      </c>
      <c r="D19" s="4658">
        <f>'ТЕ_2ст_тариф_без ЦТП'!E125</f>
        <v>45514.89</v>
      </c>
      <c r="E19" s="4646">
        <f>'ТЕ_2ст_тариф_без ЦТП'!H124</f>
        <v>133.78</v>
      </c>
      <c r="F19" s="4657">
        <f>'ТЕ_2ст_тариф_без ЦТП'!H125</f>
        <v>43585.7</v>
      </c>
      <c r="G19" s="4647">
        <f>'ТЕ_2ст_тариф_без ЦТП'!K124</f>
        <v>133.78</v>
      </c>
      <c r="H19" s="4658">
        <f>'ТЕ_2ст_тариф_без ЦТП'!K125</f>
        <v>54960.2</v>
      </c>
      <c r="I19" s="4647">
        <f>'ТЕ_2ст_тариф_без ЦТП'!N124</f>
        <v>133.78</v>
      </c>
      <c r="J19" s="4658">
        <f>'ТЕ_2ст_тариф_без ЦТП'!N125</f>
        <v>54960.2</v>
      </c>
      <c r="K19" s="4646">
        <f>'ТЕ_2ст_тариф_без ЦТП'!Q124</f>
        <v>133.78</v>
      </c>
      <c r="L19" s="4657">
        <f>'ТЕ_2ст_тариф_без ЦТП'!Q125</f>
        <v>54960.2</v>
      </c>
    </row>
    <row r="20" spans="1:12" ht="14.4" thickBot="1" x14ac:dyDescent="0.3">
      <c r="A20" s="4644"/>
      <c r="B20" s="4645" t="s">
        <v>2233</v>
      </c>
      <c r="C20" s="4647"/>
      <c r="D20" s="4658">
        <f>'ТЕ_2ст_тариф_без ЦТП'!E164</f>
        <v>2390.08</v>
      </c>
      <c r="E20" s="4646"/>
      <c r="F20" s="4657">
        <f>'ТЕ_2ст_тариф_без ЦТП'!H164</f>
        <v>2390.08</v>
      </c>
      <c r="G20" s="4646"/>
      <c r="H20" s="4657">
        <f>'ТЕ_2ст_тариф_без ЦТП'!K164</f>
        <v>2390.08</v>
      </c>
      <c r="I20" s="4647"/>
      <c r="J20" s="4658">
        <f>'ТЕ_2ст_тариф_без ЦТП'!N164</f>
        <v>2390.08</v>
      </c>
      <c r="K20" s="4647"/>
      <c r="L20" s="4658">
        <f>'ТЕ_2ст_тариф_без ЦТП'!Q164</f>
        <v>2390.08</v>
      </c>
    </row>
    <row r="21" spans="1:12" ht="6" customHeight="1" x14ac:dyDescent="0.25"/>
    <row r="22" spans="1:12" ht="14.4" thickBot="1" x14ac:dyDescent="0.3">
      <c r="I22" s="10" t="s">
        <v>4160</v>
      </c>
    </row>
    <row r="23" spans="1:12" s="2444" customFormat="1" ht="21.6" customHeight="1" thickBot="1" x14ac:dyDescent="0.35">
      <c r="A23" s="4631">
        <v>1</v>
      </c>
      <c r="B23" s="4659" t="s">
        <v>4152</v>
      </c>
      <c r="C23" s="4858">
        <f>C5*1.2</f>
        <v>2982.6000000000004</v>
      </c>
      <c r="D23" s="4860"/>
      <c r="E23" s="4859">
        <f>E5*1.2</f>
        <v>2749.9320000000002</v>
      </c>
      <c r="F23" s="4859"/>
      <c r="G23" s="4858">
        <f>G5*1.2</f>
        <v>0</v>
      </c>
      <c r="H23" s="4859"/>
      <c r="I23" s="4858">
        <f>I5*1.2</f>
        <v>4124.0519999999997</v>
      </c>
      <c r="J23" s="4860"/>
      <c r="K23" s="4859">
        <f>K5*1.2</f>
        <v>4124.0519999999997</v>
      </c>
      <c r="L23" s="4860"/>
    </row>
    <row r="24" spans="1:12" s="1445" customFormat="1" ht="21.6" customHeight="1" thickBot="1" x14ac:dyDescent="0.35">
      <c r="A24" s="4610">
        <v>2</v>
      </c>
      <c r="B24" s="1695" t="s">
        <v>4154</v>
      </c>
      <c r="C24" s="4858">
        <f>C9*1.2</f>
        <v>2502.072612621439</v>
      </c>
      <c r="D24" s="4859"/>
      <c r="E24" s="4858">
        <f>E9*1.2</f>
        <v>2272.1646126214391</v>
      </c>
      <c r="F24" s="4859"/>
      <c r="G24" s="4858">
        <f>G9*1.2</f>
        <v>3629.4846126214402</v>
      </c>
      <c r="H24" s="4859"/>
      <c r="I24" s="4858">
        <f>I9*1.2</f>
        <v>3629.4846126214402</v>
      </c>
      <c r="J24" s="4859"/>
      <c r="K24" s="4858">
        <f>K9*1.2</f>
        <v>3629.4846126214402</v>
      </c>
      <c r="L24" s="4860"/>
    </row>
    <row r="25" spans="1:12" s="1445" customFormat="1" ht="21.6" customHeight="1" thickBot="1" x14ac:dyDescent="0.35">
      <c r="A25" s="4610">
        <v>3</v>
      </c>
      <c r="B25" s="1695" t="s">
        <v>4156</v>
      </c>
      <c r="C25" s="4660">
        <f t="shared" ref="C25:L25" si="0">C13*1.2</f>
        <v>1572.4919999999997</v>
      </c>
      <c r="D25" s="4661">
        <f t="shared" si="0"/>
        <v>162358.644</v>
      </c>
      <c r="E25" s="4660">
        <f t="shared" si="0"/>
        <v>1371.8999999999999</v>
      </c>
      <c r="F25" s="4661">
        <f t="shared" si="0"/>
        <v>158564.15999999997</v>
      </c>
      <c r="G25" s="4660">
        <f t="shared" si="0"/>
        <v>0</v>
      </c>
      <c r="H25" s="4661">
        <f t="shared" si="0"/>
        <v>0</v>
      </c>
      <c r="I25" s="4660">
        <f t="shared" si="0"/>
        <v>2556.3120000000004</v>
      </c>
      <c r="J25" s="4661">
        <f t="shared" si="0"/>
        <v>180996.27600000001</v>
      </c>
      <c r="K25" s="4660">
        <f t="shared" si="0"/>
        <v>2556.3120000000004</v>
      </c>
      <c r="L25" s="4664">
        <f t="shared" si="0"/>
        <v>180996.27600000001</v>
      </c>
    </row>
    <row r="26" spans="1:12" s="1445" customFormat="1" ht="21.6" customHeight="1" thickBot="1" x14ac:dyDescent="0.35">
      <c r="A26" s="1695">
        <v>4</v>
      </c>
      <c r="B26" s="4611" t="s">
        <v>4157</v>
      </c>
      <c r="C26" s="4660">
        <f t="shared" ref="C26:L26" si="1">C17*1.2</f>
        <v>1428.0719999999999</v>
      </c>
      <c r="D26" s="4663">
        <f t="shared" si="1"/>
        <v>124274.52</v>
      </c>
      <c r="E26" s="4660">
        <f t="shared" si="1"/>
        <v>1227.48</v>
      </c>
      <c r="F26" s="4663">
        <f t="shared" si="1"/>
        <v>120784.82399999999</v>
      </c>
      <c r="G26" s="4660">
        <f t="shared" si="1"/>
        <v>2411.8919999999998</v>
      </c>
      <c r="H26" s="4663">
        <f t="shared" si="1"/>
        <v>141364.17599999998</v>
      </c>
      <c r="I26" s="4660">
        <f t="shared" si="1"/>
        <v>2411.8919999999998</v>
      </c>
      <c r="J26" s="4663">
        <f t="shared" si="1"/>
        <v>141364.17599999998</v>
      </c>
      <c r="K26" s="4660">
        <f t="shared" si="1"/>
        <v>2411.8919999999998</v>
      </c>
      <c r="L26" s="4662">
        <f t="shared" si="1"/>
        <v>141364.17599999998</v>
      </c>
    </row>
  </sheetData>
  <mergeCells count="63">
    <mergeCell ref="A2:A3"/>
    <mergeCell ref="B2:B3"/>
    <mergeCell ref="F2:L2"/>
    <mergeCell ref="E3:F3"/>
    <mergeCell ref="G3:H3"/>
    <mergeCell ref="I3:J3"/>
    <mergeCell ref="K3:L3"/>
    <mergeCell ref="C2:D3"/>
    <mergeCell ref="E4:F4"/>
    <mergeCell ref="G4:H4"/>
    <mergeCell ref="I4:J4"/>
    <mergeCell ref="K4:L4"/>
    <mergeCell ref="E5:F5"/>
    <mergeCell ref="G5:H5"/>
    <mergeCell ref="I5:J5"/>
    <mergeCell ref="K5:L5"/>
    <mergeCell ref="E6:F6"/>
    <mergeCell ref="G6:H6"/>
    <mergeCell ref="E7:F7"/>
    <mergeCell ref="E8:F8"/>
    <mergeCell ref="E9:F9"/>
    <mergeCell ref="E10:F10"/>
    <mergeCell ref="E11:F11"/>
    <mergeCell ref="E12:F12"/>
    <mergeCell ref="G7:H7"/>
    <mergeCell ref="G8:H8"/>
    <mergeCell ref="G9:H9"/>
    <mergeCell ref="G10:H10"/>
    <mergeCell ref="G11:H11"/>
    <mergeCell ref="G12:H12"/>
    <mergeCell ref="I6:J6"/>
    <mergeCell ref="I7:J7"/>
    <mergeCell ref="I8:J8"/>
    <mergeCell ref="K6:L6"/>
    <mergeCell ref="K7:L7"/>
    <mergeCell ref="K8:L8"/>
    <mergeCell ref="I9:J9"/>
    <mergeCell ref="I10:J10"/>
    <mergeCell ref="I11:J11"/>
    <mergeCell ref="I12:J12"/>
    <mergeCell ref="K9:L9"/>
    <mergeCell ref="K10:L10"/>
    <mergeCell ref="K11:L11"/>
    <mergeCell ref="K12:L12"/>
    <mergeCell ref="C9:D9"/>
    <mergeCell ref="C10:D10"/>
    <mergeCell ref="C11:D11"/>
    <mergeCell ref="C12:D12"/>
    <mergeCell ref="C4:D4"/>
    <mergeCell ref="C5:D5"/>
    <mergeCell ref="C6:D6"/>
    <mergeCell ref="C7:D7"/>
    <mergeCell ref="C8:D8"/>
    <mergeCell ref="C23:D23"/>
    <mergeCell ref="E23:F23"/>
    <mergeCell ref="G23:H23"/>
    <mergeCell ref="I23:J23"/>
    <mergeCell ref="K23:L23"/>
    <mergeCell ref="C24:D24"/>
    <mergeCell ref="E24:F24"/>
    <mergeCell ref="G24:H24"/>
    <mergeCell ref="I24:J24"/>
    <mergeCell ref="K24:L24"/>
  </mergeCells>
  <pageMargins left="0.27" right="0.2" top="0.74803149606299213" bottom="0.55000000000000004" header="0.31496062992125984" footer="0.31496062992125984"/>
  <pageSetup paperSize="9" orientation="landscape"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Лист2">
    <tabColor theme="9"/>
    <pageSetUpPr fitToPage="1"/>
  </sheetPr>
  <dimension ref="A1:E42"/>
  <sheetViews>
    <sheetView topLeftCell="A13" workbookViewId="0">
      <selection activeCell="G17" sqref="G17:H19"/>
    </sheetView>
  </sheetViews>
  <sheetFormatPr defaultColWidth="9.109375" defaultRowHeight="13.8" x14ac:dyDescent="0.25"/>
  <cols>
    <col min="1" max="1" width="62" style="10" customWidth="1"/>
    <col min="2" max="2" width="37" style="10" customWidth="1"/>
    <col min="3" max="3" width="15.88671875" style="10" customWidth="1"/>
    <col min="4" max="16384" width="9.109375" style="10"/>
  </cols>
  <sheetData>
    <row r="1" spans="1:3" x14ac:dyDescent="0.25">
      <c r="B1" s="10" t="s">
        <v>448</v>
      </c>
    </row>
    <row r="2" spans="1:3" ht="108.75" customHeight="1" x14ac:dyDescent="0.25">
      <c r="B2" s="100" t="s">
        <v>568</v>
      </c>
    </row>
    <row r="3" spans="1:3" x14ac:dyDescent="0.25">
      <c r="B3" s="100"/>
    </row>
    <row r="4" spans="1:3" x14ac:dyDescent="0.25">
      <c r="B4" s="693" t="s">
        <v>449</v>
      </c>
    </row>
    <row r="5" spans="1:3" ht="27.6" x14ac:dyDescent="0.25">
      <c r="B5" s="1618" t="s">
        <v>2653</v>
      </c>
    </row>
    <row r="6" spans="1:3" x14ac:dyDescent="0.25">
      <c r="B6" s="1621" t="s">
        <v>450</v>
      </c>
    </row>
    <row r="7" spans="1:3" ht="27.6" x14ac:dyDescent="0.25">
      <c r="B7" s="1618" t="s">
        <v>2657</v>
      </c>
    </row>
    <row r="10" spans="1:3" ht="16.8" x14ac:dyDescent="0.25">
      <c r="A10" s="4957" t="s">
        <v>425</v>
      </c>
      <c r="B10" s="4957"/>
    </row>
    <row r="11" spans="1:3" ht="16.8" x14ac:dyDescent="0.25">
      <c r="A11" s="4957" t="s">
        <v>2652</v>
      </c>
      <c r="B11" s="4957"/>
    </row>
    <row r="12" spans="1:3" ht="33.6" customHeight="1" x14ac:dyDescent="0.25">
      <c r="A12" s="4961" t="str">
        <f>'Вхідні дані'!C2</f>
        <v>на теплову енергію, її виробництво, транспортування та постачання, послуги з постачання теплової енергії</v>
      </c>
      <c r="B12" s="4961"/>
    </row>
    <row r="13" spans="1:3" x14ac:dyDescent="0.25">
      <c r="A13" s="4962" t="s">
        <v>426</v>
      </c>
      <c r="B13" s="4962"/>
    </row>
    <row r="14" spans="1:3" ht="50.4" customHeight="1" x14ac:dyDescent="0.3">
      <c r="A14" s="4960" t="s">
        <v>2651</v>
      </c>
      <c r="B14" s="4960"/>
      <c r="C14" s="56" t="s">
        <v>594</v>
      </c>
    </row>
    <row r="15" spans="1:3" x14ac:dyDescent="0.25">
      <c r="A15" s="4950" t="s">
        <v>427</v>
      </c>
      <c r="B15" s="4950"/>
    </row>
    <row r="16" spans="1:3" x14ac:dyDescent="0.25">
      <c r="A16" s="42"/>
    </row>
    <row r="17" spans="1:5" ht="50.4" customHeight="1" x14ac:dyDescent="0.3">
      <c r="A17" s="4959" t="s">
        <v>2242</v>
      </c>
      <c r="B17" s="4959"/>
      <c r="C17" s="153" t="s">
        <v>589</v>
      </c>
    </row>
    <row r="18" spans="1:5" ht="67.2" customHeight="1" x14ac:dyDescent="0.3">
      <c r="A18" s="4959" t="s">
        <v>2241</v>
      </c>
      <c r="B18" s="4959"/>
      <c r="C18" s="153" t="s">
        <v>590</v>
      </c>
    </row>
    <row r="19" spans="1:5" ht="50.4" customHeight="1" x14ac:dyDescent="0.3">
      <c r="A19" s="4959" t="s">
        <v>2240</v>
      </c>
      <c r="B19" s="4959"/>
      <c r="C19" s="153" t="s">
        <v>591</v>
      </c>
    </row>
    <row r="20" spans="1:5" x14ac:dyDescent="0.25">
      <c r="A20" s="4950" t="s">
        <v>428</v>
      </c>
      <c r="B20" s="4950"/>
    </row>
    <row r="21" spans="1:5" x14ac:dyDescent="0.25">
      <c r="A21" s="39"/>
    </row>
    <row r="22" spans="1:5" ht="16.8" x14ac:dyDescent="0.25">
      <c r="A22" s="4959" t="s">
        <v>2373</v>
      </c>
      <c r="B22" s="4959"/>
    </row>
    <row r="23" spans="1:5" ht="37.200000000000003" customHeight="1" x14ac:dyDescent="0.25">
      <c r="A23" s="4963" t="str">
        <f>'Вхідні дані'!C2</f>
        <v>на теплову енергію, її виробництво, транспортування та постачання, послуги з постачання теплової енергії</v>
      </c>
      <c r="B23" s="4963"/>
    </row>
    <row r="24" spans="1:5" ht="15.6" x14ac:dyDescent="0.25">
      <c r="A24" s="4951" t="s">
        <v>426</v>
      </c>
      <c r="B24" s="4951"/>
    </row>
    <row r="25" spans="1:5" x14ac:dyDescent="0.25">
      <c r="A25" s="39"/>
    </row>
    <row r="26" spans="1:5" ht="36" customHeight="1" x14ac:dyDescent="0.25">
      <c r="A26" s="4963" t="s">
        <v>2381</v>
      </c>
      <c r="B26" s="4963"/>
    </row>
    <row r="27" spans="1:5" ht="16.8" hidden="1" x14ac:dyDescent="0.25">
      <c r="A27" s="4956"/>
      <c r="B27" s="4956"/>
      <c r="D27" s="157"/>
      <c r="E27" s="157"/>
    </row>
    <row r="28" spans="1:5" x14ac:dyDescent="0.25">
      <c r="A28" s="4964" t="s">
        <v>429</v>
      </c>
      <c r="B28" s="4964"/>
    </row>
    <row r="29" spans="1:5" x14ac:dyDescent="0.25">
      <c r="A29" s="43"/>
    </row>
    <row r="30" spans="1:5" ht="19.5" customHeight="1" x14ac:dyDescent="0.25">
      <c r="A30" s="4956" t="s">
        <v>430</v>
      </c>
      <c r="B30" s="4956"/>
    </row>
    <row r="31" spans="1:5" x14ac:dyDescent="0.25">
      <c r="A31" s="39"/>
    </row>
    <row r="32" spans="1:5" ht="16.8" x14ac:dyDescent="0.25">
      <c r="A32" s="4956" t="s">
        <v>2239</v>
      </c>
      <c r="B32" s="4956"/>
    </row>
    <row r="33" spans="1:3" ht="18" x14ac:dyDescent="0.25">
      <c r="A33" s="41"/>
    </row>
    <row r="34" spans="1:3" s="45" customFormat="1" ht="18.75" customHeight="1" x14ac:dyDescent="0.3">
      <c r="A34" s="4955" t="s">
        <v>2427</v>
      </c>
      <c r="B34" s="4955"/>
      <c r="C34" s="49"/>
    </row>
    <row r="35" spans="1:3" s="1098" customFormat="1" ht="13.2" x14ac:dyDescent="0.25">
      <c r="A35" s="4954" t="s">
        <v>2243</v>
      </c>
      <c r="B35" s="4954"/>
      <c r="C35" s="1113"/>
    </row>
    <row r="36" spans="1:3" s="45" customFormat="1" ht="9.6" customHeight="1" x14ac:dyDescent="0.3">
      <c r="A36" s="49"/>
      <c r="B36" s="49"/>
      <c r="C36" s="49"/>
    </row>
    <row r="37" spans="1:3" s="45" customFormat="1" ht="9.6" customHeight="1" x14ac:dyDescent="0.3">
      <c r="A37" s="50"/>
      <c r="B37" s="49"/>
      <c r="C37" s="49"/>
    </row>
    <row r="38" spans="1:3" s="45" customFormat="1" ht="15.6" x14ac:dyDescent="0.3">
      <c r="A38" s="4952" t="s">
        <v>3478</v>
      </c>
      <c r="B38" s="4953"/>
    </row>
    <row r="39" spans="1:3" s="45" customFormat="1" ht="15.6" x14ac:dyDescent="0.3">
      <c r="A39" s="4965" t="s">
        <v>431</v>
      </c>
      <c r="B39" s="4965"/>
    </row>
    <row r="40" spans="1:3" x14ac:dyDescent="0.25">
      <c r="A40" s="39"/>
    </row>
    <row r="41" spans="1:3" ht="27" customHeight="1" x14ac:dyDescent="0.25">
      <c r="A41" s="4958"/>
      <c r="B41" s="4958"/>
    </row>
    <row r="42" spans="1:3" ht="3.6" customHeight="1" x14ac:dyDescent="0.25"/>
  </sheetData>
  <mergeCells count="23">
    <mergeCell ref="A11:B11"/>
    <mergeCell ref="A10:B10"/>
    <mergeCell ref="A41:B41"/>
    <mergeCell ref="A18:B18"/>
    <mergeCell ref="A17:B17"/>
    <mergeCell ref="A15:B15"/>
    <mergeCell ref="A14:B14"/>
    <mergeCell ref="A12:B12"/>
    <mergeCell ref="A13:B13"/>
    <mergeCell ref="A26:B26"/>
    <mergeCell ref="A28:B28"/>
    <mergeCell ref="A27:B27"/>
    <mergeCell ref="A23:B23"/>
    <mergeCell ref="A22:B22"/>
    <mergeCell ref="A19:B19"/>
    <mergeCell ref="A39:B39"/>
    <mergeCell ref="A20:B20"/>
    <mergeCell ref="A24:B24"/>
    <mergeCell ref="A38:B38"/>
    <mergeCell ref="A35:B35"/>
    <mergeCell ref="A34:B34"/>
    <mergeCell ref="A32:B32"/>
    <mergeCell ref="A30:B30"/>
  </mergeCells>
  <hyperlinks>
    <hyperlink ref="C17" r:id="rId1" xr:uid="{00000000-0004-0000-0900-000000000000}"/>
    <hyperlink ref="C18:C19" r:id="rId2" display="http://www.nerc.gov.ua/index.php?id=20884" xr:uid="{00000000-0004-0000-0900-000001000000}"/>
  </hyperlinks>
  <pageMargins left="0.7" right="0.33" top="0.75" bottom="0.33" header="0.3" footer="0.3"/>
  <pageSetup paperSize="9" scale="93" fitToHeight="0" orientation="portrait" horizontalDpi="300" verticalDpi="300" r:id="rId3"/>
</worksheet>
</file>

<file path=xl/worksheets/sheet10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300-000000000000}">
  <sheetPr codeName="Лист96">
    <tabColor rgb="FF92D050"/>
    <pageSetUpPr fitToPage="1"/>
  </sheetPr>
  <dimension ref="A2:J19"/>
  <sheetViews>
    <sheetView topLeftCell="A3" workbookViewId="0">
      <selection activeCell="D14" sqref="D14"/>
    </sheetView>
  </sheetViews>
  <sheetFormatPr defaultRowHeight="14.4" x14ac:dyDescent="0.3"/>
  <cols>
    <col min="1" max="1" width="5.6640625" customWidth="1"/>
    <col min="2" max="2" width="16.109375" customWidth="1"/>
    <col min="3" max="3" width="13.33203125" customWidth="1"/>
    <col min="4" max="4" width="15.33203125" customWidth="1"/>
    <col min="5" max="6" width="16.33203125" customWidth="1"/>
    <col min="7" max="7" width="1.6640625" customWidth="1"/>
    <col min="8" max="8" width="13.33203125" customWidth="1"/>
    <col min="10" max="10" width="9.109375" bestFit="1" customWidth="1"/>
  </cols>
  <sheetData>
    <row r="2" spans="1:10" x14ac:dyDescent="0.3">
      <c r="J2" s="1513"/>
    </row>
    <row r="3" spans="1:10" s="245" customFormat="1" ht="15.6" customHeight="1" x14ac:dyDescent="0.3">
      <c r="A3" s="5591" t="str">
        <f>"Розрахунок ціни електричної енергії для потреб КП ЧТЕ на планований період "&amp;'Вхідні дані'!F6</f>
        <v>Розрахунок ціни електричної енергії для потреб КП ЧТЕ на планований період 2023-2024</v>
      </c>
      <c r="B3" s="5591"/>
      <c r="C3" s="5591"/>
      <c r="D3" s="5591"/>
      <c r="E3" s="5591"/>
      <c r="F3" s="5591"/>
      <c r="G3" s="5591"/>
      <c r="H3" s="5591"/>
    </row>
    <row r="4" spans="1:10" ht="15.6" x14ac:dyDescent="0.3">
      <c r="A4" s="45"/>
      <c r="B4" s="45"/>
      <c r="C4" s="45"/>
      <c r="D4" s="45"/>
      <c r="E4" s="45"/>
      <c r="F4" s="45"/>
    </row>
    <row r="5" spans="1:10" ht="15.6" x14ac:dyDescent="0.3">
      <c r="A5" s="2040" t="str">
        <f>'Вхідні дані'!F1</f>
        <v>станом на 01.09.2023 року</v>
      </c>
      <c r="B5" s="45"/>
      <c r="C5" s="45"/>
      <c r="D5" s="5828"/>
      <c r="E5" s="5828"/>
      <c r="F5" s="5828"/>
      <c r="G5" s="2039"/>
      <c r="H5" s="2039" t="s">
        <v>2421</v>
      </c>
      <c r="I5" s="2040"/>
    </row>
    <row r="6" spans="1:10" ht="111" customHeight="1" x14ac:dyDescent="0.3">
      <c r="A6" s="1311" t="s">
        <v>975</v>
      </c>
      <c r="B6" s="1311" t="s">
        <v>2422</v>
      </c>
      <c r="C6" s="1311" t="s">
        <v>2423</v>
      </c>
      <c r="D6" s="1312" t="s">
        <v>2424</v>
      </c>
      <c r="E6" s="1312" t="s">
        <v>3583</v>
      </c>
      <c r="F6" s="1312" t="s">
        <v>2425</v>
      </c>
      <c r="H6" s="1311" t="s">
        <v>3220</v>
      </c>
    </row>
    <row r="7" spans="1:10" s="2038" customFormat="1" ht="13.8" x14ac:dyDescent="0.3">
      <c r="A7" s="2035">
        <v>1</v>
      </c>
      <c r="B7" s="2036">
        <v>2</v>
      </c>
      <c r="C7" s="2036">
        <v>3</v>
      </c>
      <c r="D7" s="2036">
        <v>4</v>
      </c>
      <c r="E7" s="2037">
        <v>5</v>
      </c>
      <c r="F7" s="2037">
        <v>6</v>
      </c>
      <c r="H7" s="2035">
        <v>7</v>
      </c>
    </row>
    <row r="8" spans="1:10" ht="15.6" x14ac:dyDescent="0.3">
      <c r="A8" s="2013">
        <v>1</v>
      </c>
      <c r="B8" s="1313" t="s">
        <v>3565</v>
      </c>
      <c r="C8" s="2058">
        <v>3.9021599999999999</v>
      </c>
      <c r="D8" s="1313">
        <v>1.02695</v>
      </c>
      <c r="E8" s="1314">
        <v>7.7829999999999996E-2</v>
      </c>
      <c r="F8" s="1314">
        <v>7.6600000000000001E-2</v>
      </c>
      <c r="H8" s="1315">
        <f t="shared" ref="H8:H14" si="0">C8+D8</f>
        <v>4.9291099999999997</v>
      </c>
    </row>
    <row r="9" spans="1:10" ht="15.6" x14ac:dyDescent="0.3">
      <c r="A9" s="2013">
        <v>2</v>
      </c>
      <c r="B9" s="1313" t="s">
        <v>3566</v>
      </c>
      <c r="C9" s="2058">
        <v>3.9353600000000002</v>
      </c>
      <c r="D9" s="1313">
        <v>1.13656</v>
      </c>
      <c r="E9" s="1314">
        <v>6.8089999999999998E-2</v>
      </c>
      <c r="F9" s="1314">
        <v>7.4899999999999994E-2</v>
      </c>
      <c r="H9" s="1315">
        <f t="shared" si="0"/>
        <v>5.0719200000000004</v>
      </c>
    </row>
    <row r="10" spans="1:10" ht="15.6" x14ac:dyDescent="0.3">
      <c r="A10" s="2013">
        <v>3</v>
      </c>
      <c r="B10" s="1313" t="s">
        <v>3567</v>
      </c>
      <c r="C10" s="2058">
        <v>3.67028</v>
      </c>
      <c r="D10" s="1313">
        <v>1.13656</v>
      </c>
      <c r="E10" s="1314">
        <v>6.9839999999999999E-2</v>
      </c>
      <c r="F10" s="1314">
        <v>7.3099999999999998E-2</v>
      </c>
      <c r="H10" s="1315">
        <f t="shared" si="0"/>
        <v>4.8068400000000002</v>
      </c>
    </row>
    <row r="11" spans="1:10" ht="15.6" x14ac:dyDescent="0.3">
      <c r="A11" s="2013">
        <v>4</v>
      </c>
      <c r="B11" s="1313" t="s">
        <v>3568</v>
      </c>
      <c r="C11" s="2058">
        <v>3.7702800000000001</v>
      </c>
      <c r="D11" s="1313">
        <v>1.13656</v>
      </c>
      <c r="E11" s="1314">
        <v>6.8510000000000001E-2</v>
      </c>
      <c r="F11" s="1314">
        <v>7.331E-2</v>
      </c>
      <c r="H11" s="1315">
        <f t="shared" si="0"/>
        <v>4.9068399999999999</v>
      </c>
    </row>
    <row r="12" spans="1:10" ht="15.6" x14ac:dyDescent="0.3">
      <c r="A12" s="2013">
        <v>5</v>
      </c>
      <c r="B12" s="1313" t="s">
        <v>3569</v>
      </c>
      <c r="C12" s="2058">
        <v>3.45025</v>
      </c>
      <c r="D12" s="1313">
        <v>1.13656</v>
      </c>
      <c r="E12" s="1314">
        <v>6.6549999999999998E-2</v>
      </c>
      <c r="F12" s="1314">
        <v>7.1300000000000002E-2</v>
      </c>
      <c r="H12" s="1315">
        <f t="shared" si="0"/>
        <v>4.5868099999999998</v>
      </c>
    </row>
    <row r="13" spans="1:10" ht="15.6" x14ac:dyDescent="0.3">
      <c r="A13" s="2013">
        <v>6</v>
      </c>
      <c r="B13" s="1313" t="s">
        <v>3564</v>
      </c>
      <c r="C13" s="2058">
        <v>3.5188700000000002</v>
      </c>
      <c r="D13" s="1313">
        <v>1.13656</v>
      </c>
      <c r="E13" s="1314">
        <v>3.5819999999999998E-2</v>
      </c>
      <c r="F13" s="1314">
        <v>6.4119999999999996E-2</v>
      </c>
      <c r="H13" s="1315">
        <f t="shared" si="0"/>
        <v>4.65543</v>
      </c>
      <c r="J13" s="276"/>
    </row>
    <row r="14" spans="1:10" ht="15.6" x14ac:dyDescent="0.3">
      <c r="A14" s="778"/>
      <c r="B14" s="778" t="s">
        <v>2426</v>
      </c>
      <c r="C14" s="1316">
        <f>AVERAGE(C13,C8,C9,C10,C11,C12)</f>
        <v>3.7078666666666673</v>
      </c>
      <c r="D14" s="1317">
        <f>D13</f>
        <v>1.13656</v>
      </c>
      <c r="E14" s="1318">
        <f>SUM(E8:E13)/6</f>
        <v>6.4440000000000011E-2</v>
      </c>
      <c r="F14" s="2041">
        <f>SUM(F8:F13)/6</f>
        <v>7.222166666666667E-2</v>
      </c>
      <c r="G14" s="2042"/>
      <c r="H14" s="1315">
        <f t="shared" si="0"/>
        <v>4.8444266666666671</v>
      </c>
      <c r="J14" s="2101">
        <f>H14/2.2-1</f>
        <v>1.2020121212121211</v>
      </c>
    </row>
    <row r="17" spans="1:8" s="433" customFormat="1" ht="13.95" customHeight="1" x14ac:dyDescent="0.3">
      <c r="B17" s="433" t="s">
        <v>904</v>
      </c>
      <c r="F17" s="5829" t="s">
        <v>2376</v>
      </c>
      <c r="G17" s="5829"/>
      <c r="H17" s="5829"/>
    </row>
    <row r="19" spans="1:8" x14ac:dyDescent="0.3">
      <c r="A19" t="s">
        <v>3582</v>
      </c>
    </row>
  </sheetData>
  <sheetProtection password="E93B" sheet="1" objects="1" scenarios="1"/>
  <mergeCells count="3">
    <mergeCell ref="D5:F5"/>
    <mergeCell ref="A3:H3"/>
    <mergeCell ref="F17:H17"/>
  </mergeCells>
  <pageMargins left="0.70866141732283472" right="0.51" top="0.74803149606299213" bottom="0.74803149606299213" header="0.31496062992125984" footer="0.31496062992125984"/>
  <pageSetup paperSize="9" scale="91" orientation="portrait" horizontalDpi="0" verticalDpi="0" r:id="rId1"/>
</worksheet>
</file>

<file path=xl/worksheets/sheet10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400-000000000000}">
  <sheetPr codeName="Лист97">
    <tabColor rgb="FF92D050"/>
  </sheetPr>
  <dimension ref="A1:I15"/>
  <sheetViews>
    <sheetView workbookViewId="0">
      <selection activeCell="E12" sqref="E12"/>
    </sheetView>
  </sheetViews>
  <sheetFormatPr defaultColWidth="8.88671875" defaultRowHeight="13.8" x14ac:dyDescent="0.25"/>
  <cols>
    <col min="1" max="1" width="8.88671875" style="10"/>
    <col min="2" max="2" width="17.88671875" style="10" customWidth="1"/>
    <col min="3" max="3" width="13.5546875" style="10" customWidth="1"/>
    <col min="4" max="4" width="13.6640625" style="10" customWidth="1"/>
    <col min="5" max="5" width="14.44140625" style="10" customWidth="1"/>
    <col min="6" max="9" width="13.44140625" style="10" customWidth="1"/>
    <col min="10" max="16384" width="8.88671875" style="10"/>
  </cols>
  <sheetData>
    <row r="1" spans="1:9" ht="30.6" customHeight="1" x14ac:dyDescent="0.25">
      <c r="A1" s="5830" t="str">
        <f>"Розрахунок ціни природного газу для потреб КП ЧТЕ на планований період "&amp;'Вхідні дані'!F6</f>
        <v>Розрахунок ціни природного газу для потреб КП ЧТЕ на планований період 2023-2024</v>
      </c>
      <c r="B1" s="5830"/>
      <c r="C1" s="5830"/>
      <c r="D1" s="5830"/>
      <c r="E1" s="5830"/>
      <c r="F1" s="5830"/>
      <c r="G1" s="5830"/>
      <c r="H1" s="5830"/>
      <c r="I1" s="5830"/>
    </row>
    <row r="2" spans="1:9" ht="19.95" customHeight="1" x14ac:dyDescent="0.25">
      <c r="H2" s="5834" t="s">
        <v>2421</v>
      </c>
      <c r="I2" s="5834"/>
    </row>
    <row r="3" spans="1:9" ht="15.6" x14ac:dyDescent="0.25">
      <c r="A3" s="5689" t="s">
        <v>975</v>
      </c>
      <c r="B3" s="5689" t="s">
        <v>2422</v>
      </c>
      <c r="C3" s="5831" t="s">
        <v>3279</v>
      </c>
      <c r="D3" s="5831"/>
      <c r="E3" s="5831" t="s">
        <v>3280</v>
      </c>
      <c r="F3" s="5831"/>
      <c r="G3" s="5831" t="s">
        <v>3281</v>
      </c>
      <c r="H3" s="5831"/>
      <c r="I3" s="5832" t="s">
        <v>3571</v>
      </c>
    </row>
    <row r="4" spans="1:9" ht="93.6" x14ac:dyDescent="0.25">
      <c r="A4" s="5689"/>
      <c r="B4" s="5689"/>
      <c r="C4" s="1311" t="s">
        <v>3572</v>
      </c>
      <c r="D4" s="1311" t="s">
        <v>3573</v>
      </c>
      <c r="E4" s="1311" t="s">
        <v>3572</v>
      </c>
      <c r="F4" s="1311" t="s">
        <v>3574</v>
      </c>
      <c r="G4" s="1311" t="s">
        <v>3572</v>
      </c>
      <c r="H4" s="1311" t="s">
        <v>3575</v>
      </c>
      <c r="I4" s="5833"/>
    </row>
    <row r="5" spans="1:9" s="42" customFormat="1" ht="13.2" x14ac:dyDescent="0.3">
      <c r="A5" s="1611" t="s">
        <v>2691</v>
      </c>
      <c r="B5" s="3605">
        <v>1</v>
      </c>
      <c r="C5" s="3605">
        <v>2</v>
      </c>
      <c r="D5" s="3605">
        <v>3</v>
      </c>
      <c r="E5" s="3605">
        <v>4</v>
      </c>
      <c r="F5" s="3605">
        <v>5</v>
      </c>
      <c r="G5" s="3605">
        <v>6</v>
      </c>
      <c r="H5" s="3605">
        <v>7</v>
      </c>
      <c r="I5" s="2037">
        <v>8</v>
      </c>
    </row>
    <row r="6" spans="1:9" ht="15.6" x14ac:dyDescent="0.3">
      <c r="A6" s="2013">
        <v>1</v>
      </c>
      <c r="B6" s="1313" t="s">
        <v>3565</v>
      </c>
      <c r="C6" s="3655">
        <v>6183.33</v>
      </c>
      <c r="D6" s="3655">
        <v>136.57599999999999</v>
      </c>
      <c r="E6" s="3655">
        <v>31937.919999999998</v>
      </c>
      <c r="F6" s="3655">
        <v>136.57599999999999</v>
      </c>
      <c r="G6" s="3655">
        <v>13658.33</v>
      </c>
      <c r="H6" s="3655">
        <v>136.57599999999999</v>
      </c>
      <c r="I6" s="2545">
        <v>1090</v>
      </c>
    </row>
    <row r="7" spans="1:9" ht="15.6" x14ac:dyDescent="0.3">
      <c r="A7" s="2013">
        <f>A6+1</f>
        <v>2</v>
      </c>
      <c r="B7" s="1313" t="s">
        <v>3566</v>
      </c>
      <c r="C7" s="3655">
        <v>6183.33</v>
      </c>
      <c r="D7" s="3655">
        <v>136.57599999999999</v>
      </c>
      <c r="E7" s="3655">
        <v>31937.919999999998</v>
      </c>
      <c r="F7" s="3655">
        <v>136.57599999999999</v>
      </c>
      <c r="G7" s="3655">
        <v>13658.33</v>
      </c>
      <c r="H7" s="3655">
        <v>136.57599999999999</v>
      </c>
      <c r="I7" s="2545">
        <v>1090</v>
      </c>
    </row>
    <row r="8" spans="1:9" ht="15.6" x14ac:dyDescent="0.3">
      <c r="A8" s="2013">
        <f>A7+1</f>
        <v>3</v>
      </c>
      <c r="B8" s="1313" t="s">
        <v>3567</v>
      </c>
      <c r="C8" s="3655">
        <v>6183.33</v>
      </c>
      <c r="D8" s="3655">
        <v>136.57599999999999</v>
      </c>
      <c r="E8" s="3655">
        <v>31937.919999999998</v>
      </c>
      <c r="F8" s="3655">
        <v>136.57599999999999</v>
      </c>
      <c r="G8" s="3655">
        <v>13658.33</v>
      </c>
      <c r="H8" s="3655">
        <v>136.57599999999999</v>
      </c>
      <c r="I8" s="2545">
        <v>1090</v>
      </c>
    </row>
    <row r="9" spans="1:9" ht="15.6" x14ac:dyDescent="0.3">
      <c r="A9" s="2013">
        <f>A8+1</f>
        <v>4</v>
      </c>
      <c r="B9" s="1313" t="s">
        <v>3568</v>
      </c>
      <c r="C9" s="3655">
        <v>6183.33</v>
      </c>
      <c r="D9" s="3655">
        <v>136.57599999999999</v>
      </c>
      <c r="E9" s="3655">
        <v>31937.919999999998</v>
      </c>
      <c r="F9" s="3655">
        <v>136.57599999999999</v>
      </c>
      <c r="G9" s="3655">
        <v>13658.33</v>
      </c>
      <c r="H9" s="3655">
        <v>136.57599999999999</v>
      </c>
      <c r="I9" s="2545">
        <v>1090</v>
      </c>
    </row>
    <row r="10" spans="1:9" ht="15.6" x14ac:dyDescent="0.3">
      <c r="A10" s="2013">
        <f>A9+1</f>
        <v>5</v>
      </c>
      <c r="B10" s="1313" t="s">
        <v>3569</v>
      </c>
      <c r="C10" s="3655"/>
      <c r="D10" s="3655"/>
      <c r="E10" s="3655"/>
      <c r="F10" s="3656"/>
      <c r="G10" s="3655"/>
      <c r="H10" s="3655"/>
      <c r="I10" s="2545">
        <v>1090</v>
      </c>
    </row>
    <row r="11" spans="1:9" ht="15.6" x14ac:dyDescent="0.3">
      <c r="A11" s="2013">
        <f>A10+1</f>
        <v>6</v>
      </c>
      <c r="B11" s="1313" t="s">
        <v>3564</v>
      </c>
      <c r="C11" s="3655"/>
      <c r="D11" s="3655"/>
      <c r="E11" s="3655"/>
      <c r="F11" s="3656"/>
      <c r="G11" s="3655"/>
      <c r="H11" s="3655"/>
      <c r="I11" s="2545">
        <v>1090</v>
      </c>
    </row>
    <row r="12" spans="1:9" ht="15.6" x14ac:dyDescent="0.3">
      <c r="A12" s="778"/>
      <c r="B12" s="778" t="s">
        <v>2426</v>
      </c>
      <c r="C12" s="1321">
        <f t="shared" ref="C12:I12" si="0">AVERAGE(C6,C7,C8,C9,C10,C11)</f>
        <v>6183.33</v>
      </c>
      <c r="D12" s="2546">
        <f t="shared" si="0"/>
        <v>136.57599999999999</v>
      </c>
      <c r="E12" s="1321">
        <f t="shared" si="0"/>
        <v>31937.919999999998</v>
      </c>
      <c r="F12" s="2546">
        <f t="shared" si="0"/>
        <v>136.57599999999999</v>
      </c>
      <c r="G12" s="1321">
        <f t="shared" si="0"/>
        <v>13658.33</v>
      </c>
      <c r="H12" s="2546">
        <f t="shared" si="0"/>
        <v>136.57599999999999</v>
      </c>
      <c r="I12" s="2546">
        <f t="shared" si="0"/>
        <v>1090</v>
      </c>
    </row>
    <row r="15" spans="1:9" s="433" customFormat="1" ht="13.95" customHeight="1" x14ac:dyDescent="0.3">
      <c r="B15" s="433" t="s">
        <v>904</v>
      </c>
      <c r="G15" s="5829" t="s">
        <v>2376</v>
      </c>
      <c r="H15" s="5829"/>
    </row>
  </sheetData>
  <sheetProtection password="E93B" sheet="1" objects="1" scenarios="1"/>
  <mergeCells count="9">
    <mergeCell ref="A1:I1"/>
    <mergeCell ref="G15:H15"/>
    <mergeCell ref="A3:A4"/>
    <mergeCell ref="B3:B4"/>
    <mergeCell ref="C3:D3"/>
    <mergeCell ref="E3:F3"/>
    <mergeCell ref="G3:H3"/>
    <mergeCell ref="I3:I4"/>
    <mergeCell ref="H2:I2"/>
  </mergeCells>
  <pageMargins left="0.70866141732283472" right="0.70866141732283472" top="0.74803149606299213" bottom="0.74803149606299213" header="0.31496062992125984" footer="0.31496062992125984"/>
  <pageSetup paperSize="9" orientation="landscape" horizontalDpi="0" verticalDpi="0" r:id="rId1"/>
</worksheet>
</file>

<file path=xl/worksheets/sheet10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500-000000000000}">
  <sheetPr codeName="Лист98">
    <tabColor theme="2" tint="-0.499984740745262"/>
  </sheetPr>
  <dimension ref="A1:E16"/>
  <sheetViews>
    <sheetView workbookViewId="0">
      <selection activeCell="D14" sqref="D14"/>
    </sheetView>
  </sheetViews>
  <sheetFormatPr defaultRowHeight="14.4" x14ac:dyDescent="0.3"/>
  <cols>
    <col min="2" max="2" width="10.33203125" customWidth="1"/>
    <col min="3" max="3" width="11.109375" customWidth="1"/>
    <col min="4" max="4" width="10.33203125" customWidth="1"/>
    <col min="5" max="5" width="15.5546875" customWidth="1"/>
  </cols>
  <sheetData>
    <row r="1" spans="1:5" x14ac:dyDescent="0.3">
      <c r="A1" s="10" t="s">
        <v>3107</v>
      </c>
      <c r="B1" s="10"/>
      <c r="C1" s="10"/>
      <c r="D1" s="10"/>
      <c r="E1" s="10" t="s">
        <v>967</v>
      </c>
    </row>
    <row r="2" spans="1:5" ht="55.2" x14ac:dyDescent="0.3">
      <c r="A2" s="9" t="s">
        <v>3108</v>
      </c>
      <c r="B2" s="9" t="s">
        <v>3109</v>
      </c>
      <c r="C2" s="2012" t="s">
        <v>3110</v>
      </c>
      <c r="D2" s="9" t="s">
        <v>3111</v>
      </c>
      <c r="E2" s="9" t="s">
        <v>3112</v>
      </c>
    </row>
    <row r="3" spans="1:5" x14ac:dyDescent="0.3">
      <c r="A3" s="1491">
        <v>1</v>
      </c>
      <c r="B3" s="1491">
        <v>2</v>
      </c>
      <c r="C3" s="1241">
        <v>3</v>
      </c>
      <c r="D3" s="1491">
        <v>4</v>
      </c>
      <c r="E3" s="1491">
        <v>5</v>
      </c>
    </row>
    <row r="4" spans="1:5" x14ac:dyDescent="0.3">
      <c r="A4" s="12" t="s">
        <v>10</v>
      </c>
      <c r="B4" s="12">
        <v>179.32899999999989</v>
      </c>
      <c r="C4" s="1292">
        <f>B4*7331.45/1000</f>
        <v>1314.7415970499992</v>
      </c>
      <c r="D4" s="1240">
        <f>B4*4011.12/1000</f>
        <v>719.31013847999952</v>
      </c>
      <c r="E4" s="1240">
        <f>C4-D4</f>
        <v>595.43145856999968</v>
      </c>
    </row>
    <row r="5" spans="1:5" x14ac:dyDescent="0.3">
      <c r="A5" s="12" t="s">
        <v>11</v>
      </c>
      <c r="B5" s="12">
        <v>172.30599999999936</v>
      </c>
      <c r="C5" s="1292">
        <f>B5*6841.15/1000</f>
        <v>1178.7711918999955</v>
      </c>
      <c r="D5" s="1240">
        <f>B5*4011.12/1000</f>
        <v>691.14004271999738</v>
      </c>
      <c r="E5" s="1240">
        <f>C5-D5</f>
        <v>487.63114917999815</v>
      </c>
    </row>
    <row r="6" spans="1:5" x14ac:dyDescent="0.3">
      <c r="A6" s="12" t="s">
        <v>12</v>
      </c>
      <c r="B6" s="12">
        <v>152.25499999999974</v>
      </c>
      <c r="C6" s="1292">
        <f>B6*6279.77/1000</f>
        <v>956.12638134999838</v>
      </c>
      <c r="D6" s="1240">
        <f>B6*4011.12/1000</f>
        <v>610.71307559999889</v>
      </c>
      <c r="E6" s="1240">
        <f>C6-D6</f>
        <v>345.41330574999949</v>
      </c>
    </row>
    <row r="7" spans="1:5" x14ac:dyDescent="0.3">
      <c r="A7" s="12" t="s">
        <v>13</v>
      </c>
      <c r="B7" s="12">
        <v>49.245000000000005</v>
      </c>
      <c r="C7" s="1292">
        <f>B7*6279.77/1000</f>
        <v>309.24727365000007</v>
      </c>
      <c r="D7" s="1240">
        <f>B7*4011.12/1000</f>
        <v>197.5276044</v>
      </c>
      <c r="E7" s="1240">
        <f>C7-D7</f>
        <v>111.71966925000007</v>
      </c>
    </row>
    <row r="8" spans="1:5" x14ac:dyDescent="0.3">
      <c r="A8" s="1238" t="s">
        <v>973</v>
      </c>
      <c r="B8" s="1292">
        <f>SUM(B4:B7)</f>
        <v>553.13499999999897</v>
      </c>
      <c r="C8" s="1292">
        <f>SUM(C4:C7)</f>
        <v>3758.8864439499926</v>
      </c>
      <c r="D8" s="1292">
        <f>SUM(D4:D7)</f>
        <v>2218.6908611999961</v>
      </c>
      <c r="E8" s="1292">
        <f>SUM(E4:E7)</f>
        <v>1540.1955827499974</v>
      </c>
    </row>
    <row r="9" spans="1:5" x14ac:dyDescent="0.3">
      <c r="A9" s="15" t="s">
        <v>2023</v>
      </c>
      <c r="B9" s="1622"/>
      <c r="C9" s="1622">
        <f>C8*1.2</f>
        <v>4510.6637327399912</v>
      </c>
      <c r="D9" s="1622">
        <f>D8*1.2</f>
        <v>2662.4290334399952</v>
      </c>
      <c r="E9" s="1622">
        <f>E8*1.2</f>
        <v>1848.2346992999967</v>
      </c>
    </row>
    <row r="11" spans="1:5" ht="15" customHeight="1" x14ac:dyDescent="0.3">
      <c r="A11" s="1502"/>
      <c r="B11" s="1502"/>
      <c r="C11" s="1502"/>
      <c r="D11" s="1502"/>
      <c r="E11" s="1502"/>
    </row>
    <row r="16" spans="1:5" x14ac:dyDescent="0.3">
      <c r="E16" s="1679"/>
    </row>
  </sheetData>
  <pageMargins left="0.7" right="0.7" top="0.75" bottom="0.75" header="0.3" footer="0.3"/>
</worksheet>
</file>

<file path=xl/worksheets/sheet10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600-000000000000}">
  <sheetPr codeName="Лист99">
    <tabColor rgb="FFFF0000"/>
  </sheetPr>
  <dimension ref="A1:P34"/>
  <sheetViews>
    <sheetView topLeftCell="A10" workbookViewId="0">
      <selection activeCell="I11" sqref="I11"/>
    </sheetView>
  </sheetViews>
  <sheetFormatPr defaultColWidth="8.88671875" defaultRowHeight="13.8" x14ac:dyDescent="0.25"/>
  <cols>
    <col min="1" max="1" width="23" style="10" customWidth="1"/>
    <col min="2" max="6" width="12.33203125" style="10" customWidth="1"/>
    <col min="7" max="7" width="13.33203125" style="10" customWidth="1"/>
    <col min="8" max="8" width="9.88671875" style="10" customWidth="1"/>
    <col min="9" max="9" width="9.33203125" style="10" customWidth="1"/>
    <col min="10" max="16" width="13.33203125" style="10" customWidth="1"/>
    <col min="17" max="16384" width="8.88671875" style="10"/>
  </cols>
  <sheetData>
    <row r="1" spans="1:16" x14ac:dyDescent="0.25">
      <c r="A1" s="5473" t="s">
        <v>1894</v>
      </c>
      <c r="B1" s="5746" t="s">
        <v>3134</v>
      </c>
      <c r="C1" s="5746"/>
      <c r="D1" s="5746"/>
      <c r="E1" s="5746"/>
      <c r="F1" s="5746"/>
      <c r="G1" s="5746" t="s">
        <v>3229</v>
      </c>
      <c r="H1" s="5746"/>
      <c r="I1" s="5746"/>
      <c r="J1" s="5746"/>
      <c r="K1" s="5746"/>
      <c r="L1" s="5746" t="s">
        <v>3134</v>
      </c>
      <c r="M1" s="5746"/>
      <c r="N1" s="5746"/>
      <c r="O1" s="5746"/>
      <c r="P1" s="5746"/>
    </row>
    <row r="2" spans="1:16" s="1445" customFormat="1" x14ac:dyDescent="0.3">
      <c r="A2" s="5833"/>
      <c r="B2" s="1491" t="s">
        <v>1438</v>
      </c>
      <c r="C2" s="1491" t="s">
        <v>3</v>
      </c>
      <c r="D2" s="1491" t="s">
        <v>2649</v>
      </c>
      <c r="E2" s="1491" t="s">
        <v>1027</v>
      </c>
      <c r="F2" s="1491" t="s">
        <v>2300</v>
      </c>
      <c r="G2" s="1491" t="s">
        <v>1438</v>
      </c>
      <c r="H2" s="1491" t="s">
        <v>3</v>
      </c>
      <c r="I2" s="1491" t="s">
        <v>2649</v>
      </c>
      <c r="J2" s="1491" t="s">
        <v>1027</v>
      </c>
      <c r="K2" s="1491" t="s">
        <v>2300</v>
      </c>
      <c r="L2" s="1491" t="s">
        <v>1438</v>
      </c>
      <c r="M2" s="1491" t="s">
        <v>3</v>
      </c>
      <c r="N2" s="1491" t="s">
        <v>2649</v>
      </c>
      <c r="O2" s="1491" t="s">
        <v>1027</v>
      </c>
      <c r="P2" s="1491" t="s">
        <v>2300</v>
      </c>
    </row>
    <row r="3" spans="1:16" x14ac:dyDescent="0.25">
      <c r="A3" s="12" t="s">
        <v>2997</v>
      </c>
      <c r="B3" s="12">
        <f t="shared" ref="B3:B8" si="0">SUM(C3:F3)</f>
        <v>149071.37204744885</v>
      </c>
      <c r="C3" s="789">
        <f>'Д 2_Т на В'!L12</f>
        <v>108736.71495653845</v>
      </c>
      <c r="D3" s="789">
        <f>'Д 2_Т на В'!P12</f>
        <v>32.00344215611409</v>
      </c>
      <c r="E3" s="789">
        <f>'Д 2_Т на В'!T12</f>
        <v>30140.124858011673</v>
      </c>
      <c r="F3" s="789">
        <f>'Д 2_Т на В'!X12</f>
        <v>10162.528790742614</v>
      </c>
      <c r="G3" s="12">
        <f t="shared" ref="G3:G8" si="1">SUM(H3:K3)</f>
        <v>0</v>
      </c>
      <c r="H3" s="12"/>
      <c r="I3" s="12"/>
      <c r="J3" s="12"/>
      <c r="K3" s="12"/>
      <c r="L3" s="12">
        <f t="shared" ref="L3:L8" si="2">B3-G3</f>
        <v>149071.37204744885</v>
      </c>
      <c r="M3" s="12">
        <f t="shared" ref="M3:P8" si="3">C3-H3</f>
        <v>108736.71495653845</v>
      </c>
      <c r="N3" s="12">
        <f t="shared" si="3"/>
        <v>32.00344215611409</v>
      </c>
      <c r="O3" s="12">
        <f t="shared" si="3"/>
        <v>30140.124858011673</v>
      </c>
      <c r="P3" s="12">
        <f t="shared" si="3"/>
        <v>10162.528790742614</v>
      </c>
    </row>
    <row r="4" spans="1:16" x14ac:dyDescent="0.25">
      <c r="A4" s="12" t="s">
        <v>2437</v>
      </c>
      <c r="B4" s="12">
        <f t="shared" si="0"/>
        <v>143860.61850577861</v>
      </c>
      <c r="C4" s="789">
        <f>'Д 2_Т на В'!L13+'Д 2_Т на В'!L24+'Д 2_Т на В'!L25</f>
        <v>104408.41565144414</v>
      </c>
      <c r="D4" s="789">
        <f>'Д 2_Т на В'!P13+'Д 2_Т на В'!P24+'Д 2_Т на В'!P25</f>
        <v>31.303260844245695</v>
      </c>
      <c r="E4" s="789">
        <f>'Д 2_Т на В'!T13+'Д 2_Т на В'!T24+'Д 2_Т на В'!T25</f>
        <v>29480.709784470029</v>
      </c>
      <c r="F4" s="789">
        <f>'Д 2_Т на В'!X13+'Д 2_Т на В'!X24+'Д 2_Т на В'!X25</f>
        <v>9940.189809020203</v>
      </c>
      <c r="G4" s="12">
        <f t="shared" si="1"/>
        <v>0</v>
      </c>
      <c r="H4" s="12"/>
      <c r="I4" s="12"/>
      <c r="J4" s="12"/>
      <c r="K4" s="12"/>
      <c r="L4" s="12">
        <f t="shared" si="2"/>
        <v>143860.61850577861</v>
      </c>
      <c r="M4" s="12">
        <f t="shared" si="3"/>
        <v>104408.41565144414</v>
      </c>
      <c r="N4" s="12">
        <f t="shared" si="3"/>
        <v>31.303260844245695</v>
      </c>
      <c r="O4" s="12">
        <f t="shared" si="3"/>
        <v>29480.709784470029</v>
      </c>
      <c r="P4" s="12">
        <f t="shared" si="3"/>
        <v>9940.189809020203</v>
      </c>
    </row>
    <row r="5" spans="1:16" x14ac:dyDescent="0.25">
      <c r="A5" s="12" t="s">
        <v>1437</v>
      </c>
      <c r="B5" s="12">
        <f t="shared" si="0"/>
        <v>39509.925596071393</v>
      </c>
      <c r="C5" s="789">
        <f>'Д 2_Т на В'!L29</f>
        <v>4328.2993050943005</v>
      </c>
      <c r="D5" s="789">
        <f>'Д 2_Т на В'!P29</f>
        <v>0.70018131186839383</v>
      </c>
      <c r="E5" s="789">
        <f>'Д 2_Т на В'!T14</f>
        <v>26309.868198928565</v>
      </c>
      <c r="F5" s="789">
        <f>'Д 2_Т на В'!X14</f>
        <v>8871.0579107366611</v>
      </c>
      <c r="G5" s="12">
        <f t="shared" si="1"/>
        <v>0</v>
      </c>
      <c r="H5" s="12"/>
      <c r="I5" s="12"/>
      <c r="J5" s="12"/>
      <c r="K5" s="12"/>
      <c r="L5" s="12">
        <f t="shared" si="2"/>
        <v>39509.925596071393</v>
      </c>
      <c r="M5" s="12">
        <f t="shared" si="3"/>
        <v>4328.2993050943005</v>
      </c>
      <c r="N5" s="12">
        <f t="shared" si="3"/>
        <v>0.70018131186839383</v>
      </c>
      <c r="O5" s="12">
        <f t="shared" si="3"/>
        <v>26309.868198928565</v>
      </c>
      <c r="P5" s="12">
        <f t="shared" si="3"/>
        <v>8871.0579107366611</v>
      </c>
    </row>
    <row r="6" spans="1:16" x14ac:dyDescent="0.25">
      <c r="A6" s="12" t="s">
        <v>2246</v>
      </c>
      <c r="B6" s="12">
        <f t="shared" si="0"/>
        <v>82725.321645568605</v>
      </c>
      <c r="C6" s="789">
        <f>'Д 2_Т на В'!L15</f>
        <v>73702.346534835888</v>
      </c>
      <c r="D6" s="789">
        <f>'Д 2_Т на В'!P29</f>
        <v>0.70018131186839383</v>
      </c>
      <c r="E6" s="789">
        <f>'Д 2_Т на В'!T29</f>
        <v>659.41507354164594</v>
      </c>
      <c r="F6" s="789">
        <f>'Д 2_Т на В'!X15</f>
        <v>8362.8598558791964</v>
      </c>
      <c r="G6" s="12">
        <f t="shared" si="1"/>
        <v>0</v>
      </c>
      <c r="H6" s="12"/>
      <c r="I6" s="12"/>
      <c r="J6" s="12"/>
      <c r="K6" s="12"/>
      <c r="L6" s="12">
        <f t="shared" si="2"/>
        <v>82725.321645568605</v>
      </c>
      <c r="M6" s="12">
        <f t="shared" si="3"/>
        <v>73702.346534835888</v>
      </c>
      <c r="N6" s="12">
        <f t="shared" si="3"/>
        <v>0.70018131186839383</v>
      </c>
      <c r="O6" s="12">
        <f t="shared" si="3"/>
        <v>659.41507354164594</v>
      </c>
      <c r="P6" s="12">
        <f t="shared" si="3"/>
        <v>8362.8598558791964</v>
      </c>
    </row>
    <row r="7" spans="1:16" x14ac:dyDescent="0.25">
      <c r="A7" s="12" t="s">
        <v>2224</v>
      </c>
      <c r="B7" s="12">
        <f t="shared" si="0"/>
        <v>2098.5363927348703</v>
      </c>
      <c r="C7" s="789">
        <f>'Д 2_Т на В'!L16</f>
        <v>1627.9208258885981</v>
      </c>
      <c r="D7" s="789">
        <f>'Д 2_Т на В'!P16</f>
        <v>0.26334586846778241</v>
      </c>
      <c r="E7" s="789">
        <f>'Д 2_Т на В'!T16</f>
        <v>248.01323925539364</v>
      </c>
      <c r="F7" s="789">
        <f>'Д 2_Т на В'!X29</f>
        <v>222.33898172241075</v>
      </c>
      <c r="G7" s="12">
        <f t="shared" si="1"/>
        <v>0</v>
      </c>
      <c r="H7" s="12"/>
      <c r="I7" s="12"/>
      <c r="J7" s="12"/>
      <c r="K7" s="12"/>
      <c r="L7" s="12">
        <f t="shared" si="2"/>
        <v>2098.5363927348703</v>
      </c>
      <c r="M7" s="12">
        <f t="shared" si="3"/>
        <v>1627.9208258885981</v>
      </c>
      <c r="N7" s="12">
        <f t="shared" si="3"/>
        <v>0.26334586846778241</v>
      </c>
      <c r="O7" s="12">
        <f t="shared" si="3"/>
        <v>248.01323925539364</v>
      </c>
      <c r="P7" s="12">
        <f t="shared" si="3"/>
        <v>222.33898172241075</v>
      </c>
    </row>
    <row r="8" spans="1:16" x14ac:dyDescent="0.25">
      <c r="A8" s="12" t="s">
        <v>3135</v>
      </c>
      <c r="B8" s="12">
        <f t="shared" si="0"/>
        <v>233895.23008575232</v>
      </c>
      <c r="C8" s="12">
        <f>C3+C6+C7</f>
        <v>184066.98231726294</v>
      </c>
      <c r="D8" s="12">
        <f>D3+D6+D7</f>
        <v>32.966969336450262</v>
      </c>
      <c r="E8" s="12">
        <f>E3+E6+E7</f>
        <v>31047.553170808711</v>
      </c>
      <c r="F8" s="12">
        <f>F3+F6+F7</f>
        <v>18747.727628344222</v>
      </c>
      <c r="G8" s="12">
        <f t="shared" si="1"/>
        <v>0</v>
      </c>
      <c r="H8" s="12">
        <f>H3+H6+H7</f>
        <v>0</v>
      </c>
      <c r="I8" s="12">
        <f>I3+I6+I7</f>
        <v>0</v>
      </c>
      <c r="J8" s="12">
        <f>J3+J6+J7</f>
        <v>0</v>
      </c>
      <c r="K8" s="12">
        <f>K3+K6+K7</f>
        <v>0</v>
      </c>
      <c r="L8" s="12">
        <f t="shared" si="2"/>
        <v>233895.23008575232</v>
      </c>
      <c r="M8" s="12">
        <f t="shared" si="3"/>
        <v>184066.98231726294</v>
      </c>
      <c r="N8" s="12">
        <f t="shared" si="3"/>
        <v>32.966969336450262</v>
      </c>
      <c r="O8" s="12">
        <f t="shared" si="3"/>
        <v>31047.553170808711</v>
      </c>
      <c r="P8" s="12">
        <f t="shared" si="3"/>
        <v>18747.727628344222</v>
      </c>
    </row>
    <row r="10" spans="1:16" s="1445" customFormat="1" ht="27.6" x14ac:dyDescent="0.3">
      <c r="A10" s="1491"/>
      <c r="B10" s="1491" t="s">
        <v>973</v>
      </c>
      <c r="C10" s="9" t="s">
        <v>1894</v>
      </c>
      <c r="D10" s="9" t="s">
        <v>1895</v>
      </c>
      <c r="E10" s="9" t="s">
        <v>2233</v>
      </c>
      <c r="F10" s="1491" t="s">
        <v>1427</v>
      </c>
      <c r="G10" s="1491" t="s">
        <v>971</v>
      </c>
      <c r="H10" s="1491" t="s">
        <v>3232</v>
      </c>
      <c r="I10" s="2445" t="s">
        <v>2300</v>
      </c>
    </row>
    <row r="11" spans="1:16" s="2444" customFormat="1" x14ac:dyDescent="0.3">
      <c r="A11" s="2443" t="s">
        <v>3233</v>
      </c>
      <c r="B11" s="1253" t="e">
        <f>IF(SUM(C11:H11)=SUM(B12:B34),SUM(B12:B34))</f>
        <v>#REF!</v>
      </c>
      <c r="C11" s="1253">
        <f>SUM(C12:C34)</f>
        <v>142313.34013723349</v>
      </c>
      <c r="D11" s="1253">
        <f t="shared" ref="D11:I11" si="4">SUM(D12:D34)</f>
        <v>56096.759702278985</v>
      </c>
      <c r="E11" s="1253">
        <f t="shared" si="4"/>
        <v>1817.0086428701243</v>
      </c>
      <c r="F11" s="1253" t="e">
        <f t="shared" si="4"/>
        <v>#REF!</v>
      </c>
      <c r="G11" s="1253">
        <f t="shared" si="4"/>
        <v>7842.6345832197312</v>
      </c>
      <c r="H11" s="1253">
        <f t="shared" si="4"/>
        <v>9407.6257433387873</v>
      </c>
      <c r="I11" s="1258" t="e">
        <f t="shared" si="4"/>
        <v>#REF!</v>
      </c>
    </row>
    <row r="12" spans="1:16" x14ac:dyDescent="0.25">
      <c r="A12" s="12" t="s">
        <v>3230</v>
      </c>
      <c r="B12" s="1253">
        <f t="shared" ref="B12:B34" si="5">SUM(C12:H12)</f>
        <v>118804.36079362931</v>
      </c>
      <c r="C12" s="790">
        <f>'Д 8_Паливо'!I27</f>
        <v>118804.36079362931</v>
      </c>
      <c r="D12" s="790"/>
      <c r="E12" s="790"/>
      <c r="F12" s="790"/>
      <c r="G12" s="790"/>
      <c r="H12" s="790"/>
      <c r="I12" s="2684"/>
    </row>
    <row r="13" spans="1:16" x14ac:dyDescent="0.25">
      <c r="A13" s="12" t="s">
        <v>2333</v>
      </c>
      <c r="B13" s="1253">
        <f t="shared" si="5"/>
        <v>15955.198915203942</v>
      </c>
      <c r="C13" s="790">
        <f>'Д 9_ЕЕ'!D236</f>
        <v>4374.533527125328</v>
      </c>
      <c r="D13" s="790">
        <f>'Д 9_ЕЕ'!D241</f>
        <v>11275.726781279654</v>
      </c>
      <c r="E13" s="790">
        <f>'Д 9_ЕЕ'!D255</f>
        <v>24.449068362624004</v>
      </c>
      <c r="F13" s="790">
        <f>'Д 9_ЕЕ'!D275+'Д 9_ЕЕ'!D280</f>
        <v>39.083402008416009</v>
      </c>
      <c r="G13" s="790">
        <f>'Д 9_ЕЕ'!D260+'Д 9_ЕЕ'!D270</f>
        <v>140.25106158235116</v>
      </c>
      <c r="H13" s="790">
        <f>'Д 9_ЕЕ'!D265</f>
        <v>101.15507484556801</v>
      </c>
      <c r="I13" s="2685">
        <f>'Д 9_ЕЕ'!D230-'КОНТРОЛЬ 2'!B13</f>
        <v>5574.15851107454</v>
      </c>
      <c r="J13" s="729">
        <f>'Д 9_ЕЕ'!D230-'Д 9_ЕЕ'!D285</f>
        <v>21501.456577658624</v>
      </c>
    </row>
    <row r="14" spans="1:16" x14ac:dyDescent="0.25">
      <c r="A14" s="12" t="s">
        <v>2334</v>
      </c>
      <c r="B14" s="1253">
        <f t="shared" si="5"/>
        <v>720.61312611368248</v>
      </c>
      <c r="C14" s="790">
        <f>ВОДА!J88+ВОДА!K88</f>
        <v>44.102875788086209</v>
      </c>
      <c r="D14" s="790">
        <f>ВОДА!L88+ВОДА!M88</f>
        <v>667.47769514430342</v>
      </c>
      <c r="E14" s="790">
        <f>ВОДА!N88+ВОДА!O88</f>
        <v>0.24865050000000002</v>
      </c>
      <c r="F14" s="790">
        <f>ВОДА!T88+ВОДА!U88+ВОДА!V88+ВОДА!W88</f>
        <v>3.7531722437928079</v>
      </c>
      <c r="G14" s="790">
        <f>ВОДА!P88+ВОДА!Q88</f>
        <v>3.2901789374999995</v>
      </c>
      <c r="H14" s="790">
        <f>ВОДА!R88+ВОДА!S88</f>
        <v>1.7405535000000001</v>
      </c>
      <c r="I14" s="2686">
        <f>ВОДА!H88+ВОДА!I88-B14</f>
        <v>0</v>
      </c>
    </row>
    <row r="15" spans="1:16" ht="27.6" x14ac:dyDescent="0.25">
      <c r="A15" s="23" t="s">
        <v>2341</v>
      </c>
      <c r="B15" s="1253">
        <f t="shared" si="5"/>
        <v>14113.081982088981</v>
      </c>
      <c r="C15" s="790"/>
      <c r="D15" s="790">
        <f>Транспортування_1ст!F26</f>
        <v>14113.081982088981</v>
      </c>
      <c r="E15" s="790"/>
      <c r="F15" s="790"/>
      <c r="G15" s="790"/>
      <c r="H15" s="790"/>
      <c r="I15" s="2686">
        <f>B15-'Покриття втрат в мережах'!C19</f>
        <v>3692.346547445326</v>
      </c>
    </row>
    <row r="16" spans="1:16" x14ac:dyDescent="0.25">
      <c r="A16" s="12" t="s">
        <v>2529</v>
      </c>
      <c r="B16" s="1253">
        <f t="shared" si="5"/>
        <v>592.78954999999996</v>
      </c>
      <c r="C16" s="790">
        <f>ОП!D9</f>
        <v>200.22371999999999</v>
      </c>
      <c r="D16" s="790">
        <f>ОП!E9</f>
        <v>245.19080000000008</v>
      </c>
      <c r="E16" s="790">
        <f>ОП!F9</f>
        <v>1.2658</v>
      </c>
      <c r="F16" s="790">
        <f>ОП!G9</f>
        <v>52.428769999999993</v>
      </c>
      <c r="G16" s="790">
        <f>ОП!H9</f>
        <v>58.992849999999997</v>
      </c>
      <c r="H16" s="790">
        <f>ОП!I9</f>
        <v>34.687609999999999</v>
      </c>
      <c r="I16" s="2686">
        <f>ОП!J9-'КОНТРОЛЬ 2'!B16</f>
        <v>0</v>
      </c>
    </row>
    <row r="17" spans="1:9" x14ac:dyDescent="0.25">
      <c r="A17" s="12" t="s">
        <v>2294</v>
      </c>
      <c r="B17" s="1253">
        <f t="shared" si="5"/>
        <v>43637.65059363444</v>
      </c>
      <c r="C17" s="790">
        <f>ФОП!H9/1000</f>
        <v>11228.939355305936</v>
      </c>
      <c r="D17" s="790">
        <f>ФОП!H14/1000+ФОП!H19/1000</f>
        <v>14520.984552954531</v>
      </c>
      <c r="E17" s="790">
        <f>ФОП!H24/1000</f>
        <v>754.48063799999989</v>
      </c>
      <c r="F17" s="790">
        <f>ФОП!H29/1000</f>
        <v>4002.4260561000001</v>
      </c>
      <c r="G17" s="790">
        <f>ФОП!H44/1000</f>
        <v>5991.8348819999992</v>
      </c>
      <c r="H17" s="790">
        <f>ФОП!H49/1000</f>
        <v>7138.9851092739718</v>
      </c>
      <c r="I17" s="2686">
        <f>ФОП!H54/1000-'КОНТРОЛЬ 2'!B17</f>
        <v>0</v>
      </c>
    </row>
    <row r="18" spans="1:9" x14ac:dyDescent="0.25">
      <c r="A18" s="12" t="s">
        <v>3231</v>
      </c>
      <c r="B18" s="1253">
        <f t="shared" si="5"/>
        <v>9404.9235305796392</v>
      </c>
      <c r="C18" s="790">
        <f>ФОП!H11/1000</f>
        <v>2470.366658167306</v>
      </c>
      <c r="D18" s="790">
        <f>ФОП!H16/1000+ФОП!H21/1000</f>
        <v>3158.4447164513967</v>
      </c>
      <c r="E18" s="790">
        <f>ФОП!H26/1000</f>
        <v>165.98574035999999</v>
      </c>
      <c r="F18" s="790">
        <f>ФОП!H31/1000</f>
        <v>760.57735636166251</v>
      </c>
      <c r="G18" s="790">
        <f>ФОП!H46/1000</f>
        <v>1278.9723351989999</v>
      </c>
      <c r="H18" s="790">
        <f>ФОП!H51/1000</f>
        <v>1570.576724040274</v>
      </c>
      <c r="I18" s="2686">
        <f>ФОП!H56/1000-'КОНТРОЛЬ 2'!B18</f>
        <v>0</v>
      </c>
    </row>
    <row r="19" spans="1:9" x14ac:dyDescent="0.25">
      <c r="A19" s="12" t="s">
        <v>2337</v>
      </c>
      <c r="B19" s="1253">
        <f t="shared" si="5"/>
        <v>11346.026079999991</v>
      </c>
      <c r="C19" s="790">
        <f>Амортизація!T9/1000</f>
        <v>2122.9628600000001</v>
      </c>
      <c r="D19" s="790">
        <f>Амортизація!T10/1000+Амортизація!T11/1000+Амортизація!T13/1000</f>
        <v>8238.32887999999</v>
      </c>
      <c r="E19" s="790">
        <f>Амортизація!T14/1000</f>
        <v>843.99335000000065</v>
      </c>
      <c r="F19" s="790">
        <f>Амортизація!T15/1000</f>
        <v>13.824890000000021</v>
      </c>
      <c r="G19" s="790">
        <f>Амортизація!T24/1000</f>
        <v>36.866270000000014</v>
      </c>
      <c r="H19" s="790">
        <f>Амортизація!T18/1000</f>
        <v>90.049830000000014</v>
      </c>
      <c r="I19" s="2685">
        <f>Амортизація!T8/1000-'КОНТРОЛЬ 2'!B19</f>
        <v>-3335.0131199999951</v>
      </c>
    </row>
    <row r="20" spans="1:9" x14ac:dyDescent="0.25">
      <c r="A20" s="12" t="s">
        <v>2299</v>
      </c>
      <c r="B20" s="1253" t="e">
        <f t="shared" si="5"/>
        <v>#REF!</v>
      </c>
      <c r="C20" s="790">
        <f>'Ремонт-план'!C5/1000</f>
        <v>1244.7175333333332</v>
      </c>
      <c r="D20" s="790">
        <f>'Ремонт-план'!D5/1000</f>
        <v>2728.4690000000001</v>
      </c>
      <c r="E20" s="790">
        <f>'Ремонт-план'!I5/1000</f>
        <v>0</v>
      </c>
      <c r="F20" s="790" t="e">
        <f>'Ремонт-план'!K5+'Ремонт-план'!#REF!/1000</f>
        <v>#REF!</v>
      </c>
      <c r="G20" s="790">
        <f>'Ремонт-план'!M5/1000</f>
        <v>2.23</v>
      </c>
      <c r="H20" s="790">
        <f>'Ремонт-план'!O5/1000</f>
        <v>0</v>
      </c>
      <c r="I20" s="2685" t="e">
        <f>B20-'Ремонт-план'!H2/1000</f>
        <v>#REF!</v>
      </c>
    </row>
    <row r="21" spans="1:9" x14ac:dyDescent="0.25">
      <c r="A21" s="12" t="s">
        <v>3267</v>
      </c>
      <c r="B21" s="1253">
        <f t="shared" si="5"/>
        <v>69.295780000000008</v>
      </c>
      <c r="C21" s="790">
        <f>ТО!E8/1000</f>
        <v>59.095780000000005</v>
      </c>
      <c r="D21" s="790">
        <f>ТО!G8/1000</f>
        <v>10.199999999999999</v>
      </c>
      <c r="E21" s="790">
        <f>ТО!I8/1000</f>
        <v>0</v>
      </c>
      <c r="F21" s="790">
        <f>ТО!K8/1000+ТО!M8/1000</f>
        <v>0</v>
      </c>
      <c r="G21" s="790">
        <f>ТО!O8/1000</f>
        <v>0</v>
      </c>
      <c r="H21" s="790">
        <f>ТО!Q8/1000</f>
        <v>0</v>
      </c>
      <c r="I21" s="2686">
        <f>ТО!R8/1000-'КОНТРОЛЬ 2'!B21</f>
        <v>0</v>
      </c>
    </row>
    <row r="22" spans="1:9" x14ac:dyDescent="0.25">
      <c r="A22" s="12" t="s">
        <v>3268</v>
      </c>
      <c r="B22" s="1253">
        <f t="shared" si="5"/>
        <v>207.61167166666667</v>
      </c>
      <c r="C22" s="790">
        <f>ТО!E30/1000</f>
        <v>180.79783166666667</v>
      </c>
      <c r="D22" s="790">
        <f>ТО!G30/1000</f>
        <v>26.61384</v>
      </c>
      <c r="E22" s="790">
        <f>ТО!I30/1000</f>
        <v>0</v>
      </c>
      <c r="F22" s="790">
        <f>ТО!K30/1000+ТО!M30/1000</f>
        <v>0</v>
      </c>
      <c r="G22" s="790">
        <f>ТО!O30/1000</f>
        <v>0</v>
      </c>
      <c r="H22" s="790">
        <f>ТО!Q30/1000</f>
        <v>0.2</v>
      </c>
      <c r="I22" s="2685">
        <f>ТО!R30/1000-'КОНТРОЛЬ 2'!B22</f>
        <v>0</v>
      </c>
    </row>
    <row r="23" spans="1:9" x14ac:dyDescent="0.25">
      <c r="A23" s="12" t="s">
        <v>3275</v>
      </c>
      <c r="B23" s="1253">
        <f t="shared" si="5"/>
        <v>235</v>
      </c>
      <c r="C23" s="790">
        <f>'ТО ТЗ'!I38/1000</f>
        <v>2</v>
      </c>
      <c r="D23" s="790">
        <f>'ТО ТЗ'!I39/1000</f>
        <v>120</v>
      </c>
      <c r="E23" s="790"/>
      <c r="F23" s="790"/>
      <c r="G23" s="790">
        <f>'ТО ТЗ'!I40/1000</f>
        <v>67</v>
      </c>
      <c r="H23" s="790">
        <f>'ТО ТЗ'!I41/1000</f>
        <v>46</v>
      </c>
      <c r="I23" s="2685">
        <f>'ТО ТЗ'!I37/1000-'КОНТРОЛЬ 2'!B23</f>
        <v>0</v>
      </c>
    </row>
    <row r="24" spans="1:9" x14ac:dyDescent="0.25">
      <c r="A24" s="12" t="s">
        <v>3278</v>
      </c>
      <c r="B24" s="1253">
        <f t="shared" si="5"/>
        <v>0</v>
      </c>
      <c r="C24" s="790">
        <f>'ТК ТЗ'!I12/1000</f>
        <v>0</v>
      </c>
      <c r="D24" s="790">
        <f>'ТК ТЗ'!I13/1000</f>
        <v>0</v>
      </c>
      <c r="E24" s="790">
        <f>'ТК ТЗ'!I12/1000</f>
        <v>0</v>
      </c>
      <c r="F24" s="790"/>
      <c r="G24" s="790">
        <f>'ТК ТЗ'!I14/1000</f>
        <v>0</v>
      </c>
      <c r="H24" s="790">
        <f>'ТК ТЗ'!I15/1000</f>
        <v>0</v>
      </c>
      <c r="I24" s="2685">
        <f>'ТК ТЗ'!I11/1000-'КОНТРОЛЬ 2'!B24</f>
        <v>0</v>
      </c>
    </row>
    <row r="25" spans="1:9" x14ac:dyDescent="0.25">
      <c r="A25" s="12" t="s">
        <v>3272</v>
      </c>
      <c r="B25" s="1253">
        <f t="shared" si="5"/>
        <v>33.884999999999998</v>
      </c>
      <c r="C25" s="790">
        <f>Страхування!D25/1000</f>
        <v>7.069</v>
      </c>
      <c r="D25" s="790">
        <f>Страхування!F25/1000</f>
        <v>21.872</v>
      </c>
      <c r="E25" s="790">
        <f>Страхування!H25/1000</f>
        <v>0</v>
      </c>
      <c r="F25" s="790">
        <f>Страхування!J25/1000+Страхування!L25/1000</f>
        <v>0</v>
      </c>
      <c r="G25" s="790">
        <f>Страхування!N25/1000</f>
        <v>3.8410000000000002</v>
      </c>
      <c r="H25" s="790">
        <f>Страхування!P25/1000</f>
        <v>1.103</v>
      </c>
      <c r="I25" s="2685">
        <f>Страхування!R25/1000-'КОНТРОЛЬ 2'!B25</f>
        <v>0</v>
      </c>
    </row>
    <row r="26" spans="1:9" x14ac:dyDescent="0.25">
      <c r="A26" s="12" t="s">
        <v>2529</v>
      </c>
      <c r="B26" s="1253">
        <f t="shared" si="5"/>
        <v>592.78954999999996</v>
      </c>
      <c r="C26" s="790">
        <f>ОП!D9</f>
        <v>200.22371999999999</v>
      </c>
      <c r="D26" s="790">
        <f>ОП!E9</f>
        <v>245.19080000000008</v>
      </c>
      <c r="E26" s="790">
        <f>ОП!F9</f>
        <v>1.2658</v>
      </c>
      <c r="F26" s="790">
        <f>ОП!G9</f>
        <v>52.428769999999993</v>
      </c>
      <c r="G26" s="790">
        <f>ОП!H9</f>
        <v>58.992849999999997</v>
      </c>
      <c r="H26" s="790">
        <f>ОП!I9</f>
        <v>34.687609999999999</v>
      </c>
      <c r="I26" s="2685">
        <f>ОП!J9-'КОНТРОЛЬ 2'!B26</f>
        <v>0</v>
      </c>
    </row>
    <row r="27" spans="1:9" x14ac:dyDescent="0.25">
      <c r="A27" s="12" t="s">
        <v>3269</v>
      </c>
      <c r="B27" s="1253">
        <f t="shared" si="5"/>
        <v>118.9015061826087</v>
      </c>
      <c r="C27" s="790">
        <f>'Зв''язок'!G8/1000</f>
        <v>6.8063595999999995</v>
      </c>
      <c r="D27" s="790">
        <f>'Зв''язок'!H8/1000</f>
        <v>31.061620000000001</v>
      </c>
      <c r="E27" s="790">
        <f>'Зв''язок'!I8/1000</f>
        <v>1.4068700000000001</v>
      </c>
      <c r="F27" s="790">
        <f>'Зв''язок'!J8/1000</f>
        <v>48.3064465826087</v>
      </c>
      <c r="G27" s="790">
        <f>'Зв''язок'!K8/1000</f>
        <v>4.9680299999999997</v>
      </c>
      <c r="H27" s="790">
        <f>'Зв''язок'!L8/1000</f>
        <v>26.352180000000001</v>
      </c>
      <c r="I27" s="2685">
        <f>'Зв''язок'!F8/1000-'КОНТРОЛЬ 2'!B27</f>
        <v>0</v>
      </c>
    </row>
    <row r="28" spans="1:9" x14ac:dyDescent="0.25">
      <c r="A28" s="12" t="s">
        <v>3271</v>
      </c>
      <c r="B28" s="1253">
        <f t="shared" si="5"/>
        <v>3.2582499999999999</v>
      </c>
      <c r="C28" s="790">
        <f>Утилизація!C34/1000</f>
        <v>1.5309999999999999</v>
      </c>
      <c r="D28" s="790">
        <f>Утилизація!D34/1000</f>
        <v>1.6372500000000001</v>
      </c>
      <c r="E28" s="790">
        <f>Утилизація!E34/1000</f>
        <v>7.4999999999999997E-3</v>
      </c>
      <c r="F28" s="790">
        <f>Утилизація!F34/1000+Утилизація!G34/1000</f>
        <v>7.4999999999999997E-3</v>
      </c>
      <c r="G28" s="790">
        <f>Утилизація!H34/1000</f>
        <v>7.4999999999999997E-2</v>
      </c>
      <c r="H28" s="790">
        <f>Утилизація!I34/1000</f>
        <v>0</v>
      </c>
      <c r="I28" s="2685">
        <f>Утилизація!J34/1000-'КОНТРОЛЬ 2'!B28</f>
        <v>0</v>
      </c>
    </row>
    <row r="29" spans="1:9" x14ac:dyDescent="0.25">
      <c r="A29" s="12" t="s">
        <v>3273</v>
      </c>
      <c r="B29" s="1253">
        <f t="shared" si="5"/>
        <v>0</v>
      </c>
      <c r="C29" s="790">
        <f>'Котел-повірка Юст'!N25/1000</f>
        <v>0</v>
      </c>
      <c r="D29" s="790">
        <f>'Котел-повірка Юст'!J108/1000</f>
        <v>0</v>
      </c>
      <c r="E29" s="790"/>
      <c r="F29" s="790"/>
      <c r="G29" s="790"/>
      <c r="H29" s="790"/>
      <c r="I29" s="2685">
        <f>'Котел-повірка Юст'!N62/1000-'КОНТРОЛЬ 2'!B29</f>
        <v>0</v>
      </c>
    </row>
    <row r="30" spans="1:9" x14ac:dyDescent="0.25">
      <c r="A30" s="12" t="s">
        <v>3274</v>
      </c>
      <c r="B30" s="1253" t="e">
        <f t="shared" si="5"/>
        <v>#REF!</v>
      </c>
      <c r="C30" s="790">
        <f>'Періодичні видання'!B3/1000</f>
        <v>0</v>
      </c>
      <c r="D30" s="790">
        <f>'Періодичні видання'!C3/1000</f>
        <v>9.9433760851443633</v>
      </c>
      <c r="E30" s="790">
        <f>'Періодичні видання'!D3/1000</f>
        <v>0</v>
      </c>
      <c r="F30" s="790" t="e">
        <f>'Періодичні видання'!#REF!/1000+'Періодичні видання'!F3/1000</f>
        <v>#REF!</v>
      </c>
      <c r="G30" s="790">
        <f>'Періодичні видання'!G3/1000</f>
        <v>25.324695210882179</v>
      </c>
      <c r="H30" s="790">
        <f>'Періодичні видання'!H3/1000</f>
        <v>37.411088703973469</v>
      </c>
      <c r="I30" s="2685" t="e">
        <f>'Періодичні видання'!I3/1000-B30</f>
        <v>#REF!</v>
      </c>
    </row>
    <row r="31" spans="1:9" x14ac:dyDescent="0.25">
      <c r="A31" s="12" t="s">
        <v>3276</v>
      </c>
      <c r="B31" s="1253">
        <f t="shared" si="5"/>
        <v>39.550000000000004</v>
      </c>
      <c r="C31" s="790">
        <f>Картріджі!E57/1000</f>
        <v>0.7</v>
      </c>
      <c r="D31" s="790">
        <f>Картріджі!E58/1000</f>
        <v>2.1</v>
      </c>
      <c r="E31" s="790">
        <f>Картріджі!E59/1000</f>
        <v>7.7</v>
      </c>
      <c r="F31" s="790">
        <f>Картріджі!E60/1000+Картріджі!E61/1000</f>
        <v>17.850000000000001</v>
      </c>
      <c r="G31" s="790">
        <f>Картріджі!E62/1000</f>
        <v>9.1</v>
      </c>
      <c r="H31" s="790">
        <f>Картріджі!E63/1000</f>
        <v>2.1</v>
      </c>
      <c r="I31" s="2685">
        <f>Картріджі!E64/1000-'КОНТРОЛЬ 2'!B31</f>
        <v>0</v>
      </c>
    </row>
    <row r="32" spans="1:9" x14ac:dyDescent="0.25">
      <c r="A32" s="2512" t="s">
        <v>935</v>
      </c>
      <c r="B32" s="1253">
        <f t="shared" si="5"/>
        <v>981.88076980500875</v>
      </c>
      <c r="C32" s="2647">
        <f>Виробництво_1ст!F11-Виробництво_1ст!F12-Виробництво_1ст!F16-Виробництво_1ст!F27-Виробництво_1ст!F28-Виробництво_1ст!F17</f>
        <v>446.36526261750907</v>
      </c>
      <c r="D32" s="2647">
        <f>Транспортування_1ст!F13-Транспортування_1ст!F14-Транспортування_1ст!F15-Транспортування_1ст!F24-Транспортування_1ст!F25-Транспортування_1ст!F26-Транспортування_1ст!F16</f>
        <v>300.87179827499961</v>
      </c>
      <c r="E32" s="790">
        <f>Постачання_1ст!F10-Постачання_1ст!F19-Постачання_1ст!F20</f>
        <v>16.205225647500001</v>
      </c>
      <c r="F32" s="1479"/>
      <c r="G32" s="2647">
        <f>ЗВВ_1ст!F9-ЗВВ_1ст!F10-ЗВВ_1ст!F18-ЗВВ_1ст!F19</f>
        <v>44.997340289999961</v>
      </c>
      <c r="H32" s="2647">
        <f>Адміністративні_1ст!F9-Адміністративні_1ст!F10-Адміністративні_1ст!F18-Адміністративні_1ст!F19</f>
        <v>173.44114297500002</v>
      </c>
      <c r="I32" s="2685">
        <v>0</v>
      </c>
    </row>
    <row r="33" spans="1:9" x14ac:dyDescent="0.25">
      <c r="A33" s="12" t="s">
        <v>934</v>
      </c>
      <c r="B33" s="1253">
        <f t="shared" si="5"/>
        <v>658.75284999999997</v>
      </c>
      <c r="C33" s="2647">
        <f>ПММ!N11/1000</f>
        <v>14.317770000000001</v>
      </c>
      <c r="D33" s="2647">
        <f>ПММ!N12/1000</f>
        <v>379.40116999999998</v>
      </c>
      <c r="E33" s="1479">
        <f>ПММ!N13/1000</f>
        <v>0</v>
      </c>
      <c r="F33" s="1479">
        <f>ПММ!N14/1000</f>
        <v>0</v>
      </c>
      <c r="G33" s="2647">
        <f>ПММ!N16/1000</f>
        <v>115.89809</v>
      </c>
      <c r="H33" s="2647">
        <f>ПММ!N17/1000</f>
        <v>149.13582</v>
      </c>
      <c r="I33" s="2685">
        <f>ПММ!N18/1000-'КОНТРОЛЬ 2'!B33</f>
        <v>0</v>
      </c>
    </row>
    <row r="34" spans="1:9" x14ac:dyDescent="0.25">
      <c r="A34" s="12" t="s">
        <v>2338</v>
      </c>
      <c r="B34" s="1253">
        <f t="shared" si="5"/>
        <v>904.38953000000004</v>
      </c>
      <c r="C34" s="2647">
        <f>Податки!C9</f>
        <v>904.22609</v>
      </c>
      <c r="D34" s="2647">
        <f>Податки!D9</f>
        <v>0.16344</v>
      </c>
      <c r="E34" s="1479"/>
      <c r="F34" s="1479"/>
      <c r="G34" s="1479"/>
      <c r="H34" s="1479"/>
      <c r="I34" s="2685">
        <f>Податки!G9-'КОНТРОЛЬ 2'!B34</f>
        <v>0</v>
      </c>
    </row>
  </sheetData>
  <mergeCells count="4">
    <mergeCell ref="B1:F1"/>
    <mergeCell ref="A1:A2"/>
    <mergeCell ref="G1:K1"/>
    <mergeCell ref="L1:P1"/>
  </mergeCells>
  <pageMargins left="0.7" right="0.7" top="0.75" bottom="0.75" header="0.3" footer="0.3"/>
  <pageSetup paperSize="9" orientation="portrait" horizontalDpi="0" verticalDpi="0" r:id="rId1"/>
</worksheet>
</file>

<file path=xl/worksheets/sheet10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700-000000000000}">
  <sheetPr codeName="Лист100">
    <tabColor rgb="FF92D050"/>
    <pageSetUpPr fitToPage="1"/>
  </sheetPr>
  <dimension ref="A1:HQ110"/>
  <sheetViews>
    <sheetView topLeftCell="A3" zoomScale="85" zoomScaleNormal="85" zoomScaleSheetLayoutView="80" workbookViewId="0">
      <pane ySplit="11" topLeftCell="A33" activePane="bottomLeft" state="frozen"/>
      <selection activeCell="G8" sqref="G8"/>
      <selection pane="bottomLeft" activeCell="H88" sqref="H88"/>
    </sheetView>
  </sheetViews>
  <sheetFormatPr defaultColWidth="8.88671875" defaultRowHeight="13.2" outlineLevelRow="1" x14ac:dyDescent="0.25"/>
  <cols>
    <col min="1" max="1" width="5.109375" style="1409" customWidth="1"/>
    <col min="2" max="2" width="31.33203125" style="1358" customWidth="1"/>
    <col min="3" max="3" width="7.44140625" style="1359" customWidth="1"/>
    <col min="4" max="4" width="9.88671875" style="1358" customWidth="1"/>
    <col min="5" max="5" width="10" style="1358" customWidth="1"/>
    <col min="6" max="6" width="9.33203125" style="1358" customWidth="1"/>
    <col min="7" max="7" width="8.6640625" style="1358" customWidth="1"/>
    <col min="8" max="8" width="10.33203125" style="1358" customWidth="1"/>
    <col min="9" max="10" width="8.6640625" style="1358" customWidth="1"/>
    <col min="11" max="11" width="8.33203125" style="1358" customWidth="1"/>
    <col min="12" max="13" width="8.6640625" style="1358" customWidth="1"/>
    <col min="14" max="19" width="9.109375" style="1358" customWidth="1"/>
    <col min="20" max="20" width="9" style="1358" customWidth="1"/>
    <col min="21" max="221" width="9.109375" style="1358" customWidth="1"/>
    <col min="222" max="222" width="5.109375" style="1358" customWidth="1"/>
    <col min="223" max="223" width="29.44140625" style="1358" customWidth="1"/>
    <col min="224" max="224" width="6" style="1358" customWidth="1"/>
    <col min="225" max="16384" width="8.88671875" style="1358"/>
  </cols>
  <sheetData>
    <row r="1" spans="1:23" ht="12.75" hidden="1" customHeight="1" x14ac:dyDescent="0.25">
      <c r="J1" s="1360"/>
    </row>
    <row r="2" spans="1:23" ht="12.75" hidden="1" customHeight="1" x14ac:dyDescent="0.25">
      <c r="J2" s="1360"/>
    </row>
    <row r="3" spans="1:23" ht="12.75" hidden="1" customHeight="1" x14ac:dyDescent="0.25">
      <c r="J3" s="1360"/>
      <c r="U3" s="5842" t="s">
        <v>1731</v>
      </c>
      <c r="V3" s="5842"/>
      <c r="W3" s="5842"/>
    </row>
    <row r="4" spans="1:23" ht="12.75" hidden="1" customHeight="1" x14ac:dyDescent="0.25">
      <c r="J4" s="1361"/>
      <c r="U4" s="5841" t="s">
        <v>614</v>
      </c>
      <c r="V4" s="5841"/>
      <c r="W4" s="5841"/>
    </row>
    <row r="5" spans="1:23" ht="12.75" customHeight="1" x14ac:dyDescent="0.25">
      <c r="B5" s="1362"/>
      <c r="F5" s="5843"/>
      <c r="G5" s="5843"/>
      <c r="H5" s="1363"/>
      <c r="J5" s="1364"/>
      <c r="M5" s="5843"/>
      <c r="N5" s="5843"/>
      <c r="U5" s="5841"/>
      <c r="V5" s="5841"/>
      <c r="W5" s="5841"/>
    </row>
    <row r="6" spans="1:23" ht="12.75" hidden="1" customHeight="1" x14ac:dyDescent="0.25">
      <c r="H6" s="1365"/>
      <c r="J6" s="1366"/>
      <c r="U6" s="5841" t="s">
        <v>1732</v>
      </c>
      <c r="V6" s="5841"/>
      <c r="W6" s="5841"/>
    </row>
    <row r="7" spans="1:23" ht="12.75" hidden="1" customHeight="1" thickBot="1" x14ac:dyDescent="0.3">
      <c r="J7" s="1360"/>
    </row>
    <row r="8" spans="1:23" hidden="1" x14ac:dyDescent="0.25">
      <c r="B8" s="1365"/>
      <c r="J8" s="1360"/>
    </row>
    <row r="9" spans="1:23" x14ac:dyDescent="0.25">
      <c r="A9" s="1410" t="s">
        <v>1876</v>
      </c>
      <c r="B9" s="1360"/>
      <c r="C9" s="1360"/>
      <c r="D9" s="1360"/>
      <c r="E9" s="1360"/>
      <c r="F9" s="1360"/>
      <c r="G9" s="1360"/>
      <c r="H9" s="1360"/>
      <c r="I9" s="1360"/>
      <c r="J9" s="1360"/>
      <c r="K9" s="1360"/>
      <c r="L9" s="1360"/>
      <c r="M9" s="1367" t="str">
        <f>'Вхідні дані'!F5</f>
        <v>КП «КТЕ"</v>
      </c>
      <c r="N9" s="1367"/>
      <c r="O9" s="1367"/>
      <c r="P9" s="1367"/>
      <c r="Q9" s="1360" t="s">
        <v>461</v>
      </c>
      <c r="R9" s="1367" t="str">
        <f>'Вхідні дані'!F6</f>
        <v>2023-2024</v>
      </c>
      <c r="S9" s="1360"/>
      <c r="T9" s="1360"/>
      <c r="U9" s="1360"/>
      <c r="V9" s="1360"/>
      <c r="W9" s="1360"/>
    </row>
    <row r="10" spans="1:23" ht="13.8" thickBot="1" x14ac:dyDescent="0.3">
      <c r="N10" s="1368" t="s">
        <v>1733</v>
      </c>
      <c r="W10" s="1368" t="s">
        <v>1734</v>
      </c>
    </row>
    <row r="11" spans="1:23" ht="20.25" customHeight="1" thickBot="1" x14ac:dyDescent="0.3">
      <c r="A11" s="5849" t="s">
        <v>1735</v>
      </c>
      <c r="B11" s="5852" t="s">
        <v>357</v>
      </c>
      <c r="C11" s="5855" t="s">
        <v>1736</v>
      </c>
      <c r="D11" s="5858" t="s">
        <v>2385</v>
      </c>
      <c r="E11" s="5859"/>
      <c r="F11" s="5858" t="s">
        <v>3198</v>
      </c>
      <c r="G11" s="5859"/>
      <c r="H11" s="5860" t="s">
        <v>933</v>
      </c>
      <c r="I11" s="5861"/>
      <c r="J11" s="5861"/>
      <c r="K11" s="5861"/>
      <c r="L11" s="5861"/>
      <c r="M11" s="5861"/>
      <c r="N11" s="5861"/>
      <c r="O11" s="5861"/>
      <c r="P11" s="5861"/>
      <c r="Q11" s="5861"/>
      <c r="R11" s="5861"/>
      <c r="S11" s="5861"/>
      <c r="T11" s="5861"/>
      <c r="U11" s="5861"/>
      <c r="V11" s="5861"/>
      <c r="W11" s="5862"/>
    </row>
    <row r="12" spans="1:23" ht="63" customHeight="1" x14ac:dyDescent="0.25">
      <c r="A12" s="5850"/>
      <c r="B12" s="5853"/>
      <c r="C12" s="5856"/>
      <c r="D12" s="5863" t="s">
        <v>1737</v>
      </c>
      <c r="E12" s="5864"/>
      <c r="F12" s="5863" t="s">
        <v>1737</v>
      </c>
      <c r="G12" s="5864"/>
      <c r="H12" s="5865" t="s">
        <v>786</v>
      </c>
      <c r="I12" s="5866"/>
      <c r="J12" s="5847" t="s">
        <v>1738</v>
      </c>
      <c r="K12" s="5848"/>
      <c r="L12" s="5847" t="s">
        <v>1739</v>
      </c>
      <c r="M12" s="5848"/>
      <c r="N12" s="5839" t="s">
        <v>2</v>
      </c>
      <c r="O12" s="5840"/>
      <c r="P12" s="5839" t="s">
        <v>1009</v>
      </c>
      <c r="Q12" s="5840"/>
      <c r="R12" s="5839" t="s">
        <v>972</v>
      </c>
      <c r="S12" s="5840"/>
      <c r="T12" s="5839" t="s">
        <v>1740</v>
      </c>
      <c r="U12" s="5840"/>
      <c r="V12" s="5839" t="s">
        <v>1741</v>
      </c>
      <c r="W12" s="5840"/>
    </row>
    <row r="13" spans="1:23" ht="24.6" thickBot="1" x14ac:dyDescent="0.3">
      <c r="A13" s="5851"/>
      <c r="B13" s="5854"/>
      <c r="C13" s="5857"/>
      <c r="D13" s="1380" t="s">
        <v>1742</v>
      </c>
      <c r="E13" s="1381" t="s">
        <v>1743</v>
      </c>
      <c r="F13" s="1380" t="s">
        <v>1742</v>
      </c>
      <c r="G13" s="1381" t="s">
        <v>1743</v>
      </c>
      <c r="H13" s="1380" t="s">
        <v>1742</v>
      </c>
      <c r="I13" s="1381" t="s">
        <v>1743</v>
      </c>
      <c r="J13" s="1380" t="s">
        <v>1742</v>
      </c>
      <c r="K13" s="1381" t="s">
        <v>1743</v>
      </c>
      <c r="L13" s="1380" t="s">
        <v>1742</v>
      </c>
      <c r="M13" s="1381" t="s">
        <v>1743</v>
      </c>
      <c r="N13" s="1380" t="s">
        <v>1742</v>
      </c>
      <c r="O13" s="1381" t="s">
        <v>1743</v>
      </c>
      <c r="P13" s="1380" t="s">
        <v>1742</v>
      </c>
      <c r="Q13" s="1381" t="s">
        <v>1743</v>
      </c>
      <c r="R13" s="1380" t="s">
        <v>1742</v>
      </c>
      <c r="S13" s="1381" t="s">
        <v>1743</v>
      </c>
      <c r="T13" s="1380" t="s">
        <v>1742</v>
      </c>
      <c r="U13" s="1381" t="s">
        <v>1743</v>
      </c>
      <c r="V13" s="1380" t="s">
        <v>1742</v>
      </c>
      <c r="W13" s="1381" t="s">
        <v>1743</v>
      </c>
    </row>
    <row r="14" spans="1:23" ht="12" customHeight="1" thickBot="1" x14ac:dyDescent="0.3">
      <c r="A14" s="3604">
        <v>1</v>
      </c>
      <c r="B14" s="1519">
        <v>2</v>
      </c>
      <c r="C14" s="1520">
        <v>3</v>
      </c>
      <c r="D14" s="1383">
        <v>4</v>
      </c>
      <c r="E14" s="1382">
        <v>5</v>
      </c>
      <c r="F14" s="1383">
        <v>6</v>
      </c>
      <c r="G14" s="1382">
        <v>7</v>
      </c>
      <c r="H14" s="1383">
        <v>8</v>
      </c>
      <c r="I14" s="1382">
        <v>9</v>
      </c>
      <c r="J14" s="1383">
        <v>10</v>
      </c>
      <c r="K14" s="1382">
        <v>11</v>
      </c>
      <c r="L14" s="1383">
        <v>12</v>
      </c>
      <c r="M14" s="1382">
        <v>13</v>
      </c>
      <c r="N14" s="1383">
        <v>14</v>
      </c>
      <c r="O14" s="1382">
        <v>15</v>
      </c>
      <c r="P14" s="1383">
        <v>16</v>
      </c>
      <c r="Q14" s="1382">
        <v>17</v>
      </c>
      <c r="R14" s="1383">
        <v>18</v>
      </c>
      <c r="S14" s="1382">
        <v>19</v>
      </c>
      <c r="T14" s="3584">
        <v>20</v>
      </c>
      <c r="U14" s="1382">
        <v>21</v>
      </c>
      <c r="V14" s="3584">
        <v>22</v>
      </c>
      <c r="W14" s="1382">
        <v>23</v>
      </c>
    </row>
    <row r="15" spans="1:23" ht="15.75" customHeight="1" thickBot="1" x14ac:dyDescent="0.3">
      <c r="A15" s="5835" t="s">
        <v>1744</v>
      </c>
      <c r="B15" s="5836"/>
      <c r="C15" s="5836"/>
      <c r="D15" s="5837"/>
      <c r="E15" s="5837"/>
      <c r="F15" s="5837"/>
      <c r="G15" s="5837"/>
      <c r="H15" s="5837"/>
      <c r="I15" s="5837"/>
      <c r="J15" s="5837"/>
      <c r="K15" s="5837"/>
      <c r="L15" s="5837"/>
      <c r="M15" s="5837"/>
      <c r="N15" s="5837"/>
      <c r="O15" s="5837"/>
      <c r="P15" s="5837"/>
      <c r="Q15" s="5837"/>
      <c r="R15" s="5837"/>
      <c r="S15" s="5837"/>
      <c r="T15" s="5837"/>
      <c r="U15" s="5837"/>
      <c r="V15" s="5837"/>
      <c r="W15" s="5838"/>
    </row>
    <row r="16" spans="1:23" ht="24.6" thickBot="1" x14ac:dyDescent="0.3">
      <c r="A16" s="1411"/>
      <c r="B16" s="1394" t="s">
        <v>1745</v>
      </c>
      <c r="C16" s="3612" t="s">
        <v>1746</v>
      </c>
      <c r="D16" s="1347">
        <f>D17+D28</f>
        <v>31043.99996480974</v>
      </c>
      <c r="E16" s="1515">
        <f>E17+E28</f>
        <v>9501.0020000000004</v>
      </c>
      <c r="F16" s="1347">
        <f t="shared" ref="F16:W16" si="0">F17+F28</f>
        <v>22519.19</v>
      </c>
      <c r="G16" s="1515">
        <f t="shared" si="0"/>
        <v>7024.23</v>
      </c>
      <c r="H16" s="1327">
        <f t="shared" si="0"/>
        <v>30691.672408246941</v>
      </c>
      <c r="I16" s="1348">
        <f t="shared" si="0"/>
        <v>9426.0623011619246</v>
      </c>
      <c r="J16" s="1335">
        <f t="shared" si="0"/>
        <v>1899.74750461547</v>
      </c>
      <c r="K16" s="1348">
        <f t="shared" si="0"/>
        <v>552.82652384310165</v>
      </c>
      <c r="L16" s="1335">
        <f t="shared" si="0"/>
        <v>28532.55504917942</v>
      </c>
      <c r="M16" s="1348">
        <f t="shared" si="0"/>
        <v>8613.8659228667657</v>
      </c>
      <c r="N16" s="1335">
        <f t="shared" si="0"/>
        <v>7.1400000000000006</v>
      </c>
      <c r="O16" s="1348">
        <f t="shared" si="0"/>
        <v>7.1400000000000006</v>
      </c>
      <c r="P16" s="1335">
        <f t="shared" si="0"/>
        <v>94.477499999999992</v>
      </c>
      <c r="Q16" s="1348">
        <f t="shared" si="0"/>
        <v>94.477499999999992</v>
      </c>
      <c r="R16" s="1337">
        <f t="shared" si="0"/>
        <v>49.980000000000004</v>
      </c>
      <c r="S16" s="1328">
        <f t="shared" si="0"/>
        <v>49.980000000000004</v>
      </c>
      <c r="T16" s="1328">
        <f t="shared" si="0"/>
        <v>85.740000000000009</v>
      </c>
      <c r="U16" s="1328">
        <f t="shared" si="0"/>
        <v>85.740000000000009</v>
      </c>
      <c r="V16" s="1328">
        <f t="shared" si="0"/>
        <v>22.032354452054793</v>
      </c>
      <c r="W16" s="1348">
        <f t="shared" si="0"/>
        <v>22.032354452054793</v>
      </c>
    </row>
    <row r="17" spans="1:225" ht="36" x14ac:dyDescent="0.25">
      <c r="A17" s="1412" t="s">
        <v>1747</v>
      </c>
      <c r="B17" s="1395" t="s">
        <v>1748</v>
      </c>
      <c r="C17" s="3613" t="s">
        <v>1746</v>
      </c>
      <c r="D17" s="3608">
        <f t="shared" ref="D17:J17" si="1">D18+D19+D20+D22+D23+D24</f>
        <v>29932</v>
      </c>
      <c r="E17" s="3609">
        <f t="shared" si="1"/>
        <v>8709.5820000000003</v>
      </c>
      <c r="F17" s="3608">
        <f t="shared" si="1"/>
        <v>21439</v>
      </c>
      <c r="G17" s="3609">
        <f t="shared" si="1"/>
        <v>6240.0049999999992</v>
      </c>
      <c r="H17" s="1384">
        <f t="shared" si="1"/>
        <v>29529.070206572665</v>
      </c>
      <c r="I17" s="1385">
        <f t="shared" si="1"/>
        <v>8592.9594301126472</v>
      </c>
      <c r="J17" s="1384">
        <f t="shared" si="1"/>
        <v>1435.0093796154699</v>
      </c>
      <c r="K17" s="1521">
        <f>K18+K19+K20+K22+K23+K24+K21</f>
        <v>417.58772946810171</v>
      </c>
      <c r="L17" s="1384">
        <f>L18+L19+L20+L21+L22+L23+L24</f>
        <v>28094.060826957197</v>
      </c>
      <c r="M17" s="1521">
        <f>M18+M19+M20+M22+M23+M24+M21</f>
        <v>8175.371700644544</v>
      </c>
      <c r="N17" s="1384"/>
      <c r="O17" s="1521"/>
      <c r="P17" s="1384"/>
      <c r="Q17" s="1521"/>
      <c r="R17" s="1329"/>
      <c r="S17" s="1330"/>
      <c r="T17" s="1330"/>
      <c r="U17" s="1330"/>
      <c r="V17" s="1330"/>
      <c r="W17" s="1521"/>
    </row>
    <row r="18" spans="1:225" x14ac:dyDescent="0.25">
      <c r="A18" s="3603" t="s">
        <v>1749</v>
      </c>
      <c r="B18" s="1396" t="s">
        <v>1750</v>
      </c>
      <c r="C18" s="1349" t="s">
        <v>1746</v>
      </c>
      <c r="D18" s="3610">
        <v>1237</v>
      </c>
      <c r="E18" s="1387">
        <f>D18*0.291</f>
        <v>359.96699999999998</v>
      </c>
      <c r="F18" s="3610">
        <v>966</v>
      </c>
      <c r="G18" s="1387">
        <v>281.10599999999999</v>
      </c>
      <c r="H18" s="1386">
        <f t="shared" ref="H18:I27" si="2">J18+L18</f>
        <v>1312.90937961547</v>
      </c>
      <c r="I18" s="595">
        <f t="shared" si="2"/>
        <v>382.05662946810173</v>
      </c>
      <c r="J18" s="1386">
        <v>1312.90937961547</v>
      </c>
      <c r="K18" s="595">
        <v>382.05662946810173</v>
      </c>
      <c r="L18" s="1386"/>
      <c r="M18" s="595"/>
      <c r="N18" s="1524" t="s">
        <v>317</v>
      </c>
      <c r="O18" s="1525" t="s">
        <v>317</v>
      </c>
      <c r="P18" s="1524" t="s">
        <v>317</v>
      </c>
      <c r="Q18" s="1525" t="s">
        <v>317</v>
      </c>
      <c r="R18" s="1518" t="s">
        <v>317</v>
      </c>
      <c r="S18" s="587" t="s">
        <v>317</v>
      </c>
      <c r="T18" s="587" t="s">
        <v>317</v>
      </c>
      <c r="U18" s="587" t="s">
        <v>317</v>
      </c>
      <c r="V18" s="587" t="s">
        <v>317</v>
      </c>
      <c r="W18" s="1525" t="s">
        <v>317</v>
      </c>
    </row>
    <row r="19" spans="1:225" x14ac:dyDescent="0.25">
      <c r="A19" s="3603" t="s">
        <v>1751</v>
      </c>
      <c r="B19" s="1396" t="s">
        <v>1752</v>
      </c>
      <c r="C19" s="1349" t="s">
        <v>1746</v>
      </c>
      <c r="D19" s="3610">
        <f>2720+1467</f>
        <v>4187</v>
      </c>
      <c r="E19" s="1387">
        <f>D19*0.291</f>
        <v>1218.4169999999999</v>
      </c>
      <c r="F19" s="3610">
        <v>2756</v>
      </c>
      <c r="G19" s="1387">
        <v>801.99599999999998</v>
      </c>
      <c r="H19" s="1386">
        <f t="shared" si="2"/>
        <v>4138.8831299999993</v>
      </c>
      <c r="I19" s="595">
        <f t="shared" si="2"/>
        <v>1204.4149908299996</v>
      </c>
      <c r="J19" s="1386"/>
      <c r="K19" s="595"/>
      <c r="L19" s="1386">
        <v>4138.8831299999993</v>
      </c>
      <c r="M19" s="595">
        <v>1204.4149908299996</v>
      </c>
      <c r="N19" s="1524" t="s">
        <v>317</v>
      </c>
      <c r="O19" s="1525" t="s">
        <v>317</v>
      </c>
      <c r="P19" s="1524" t="s">
        <v>317</v>
      </c>
      <c r="Q19" s="1525" t="s">
        <v>317</v>
      </c>
      <c r="R19" s="1518" t="s">
        <v>317</v>
      </c>
      <c r="S19" s="587" t="s">
        <v>317</v>
      </c>
      <c r="T19" s="587" t="s">
        <v>317</v>
      </c>
      <c r="U19" s="587" t="s">
        <v>317</v>
      </c>
      <c r="V19" s="587" t="s">
        <v>317</v>
      </c>
      <c r="W19" s="1525" t="s">
        <v>317</v>
      </c>
    </row>
    <row r="20" spans="1:225" s="1369" customFormat="1" ht="13.5" customHeight="1" x14ac:dyDescent="0.25">
      <c r="A20" s="3603" t="s">
        <v>1753</v>
      </c>
      <c r="B20" s="1396" t="s">
        <v>1754</v>
      </c>
      <c r="C20" s="1349" t="s">
        <v>1746</v>
      </c>
      <c r="D20" s="3610">
        <f>24215+1</f>
        <v>24216</v>
      </c>
      <c r="E20" s="1387">
        <f>D20*0.291-0.63</f>
        <v>7046.2259999999997</v>
      </c>
      <c r="F20" s="3610">
        <v>17479</v>
      </c>
      <c r="G20" s="1387">
        <v>5087.6449999999995</v>
      </c>
      <c r="H20" s="1386">
        <f t="shared" si="2"/>
        <v>21856.1676969572</v>
      </c>
      <c r="I20" s="595">
        <f t="shared" si="2"/>
        <v>6360.144799814545</v>
      </c>
      <c r="J20" s="1386"/>
      <c r="K20" s="595">
        <v>0</v>
      </c>
      <c r="L20" s="1386">
        <v>21856.1676969572</v>
      </c>
      <c r="M20" s="595">
        <v>6360.144799814545</v>
      </c>
      <c r="N20" s="1524" t="s">
        <v>317</v>
      </c>
      <c r="O20" s="1525" t="s">
        <v>317</v>
      </c>
      <c r="P20" s="1524" t="s">
        <v>317</v>
      </c>
      <c r="Q20" s="1525" t="s">
        <v>317</v>
      </c>
      <c r="R20" s="1518" t="s">
        <v>317</v>
      </c>
      <c r="S20" s="587" t="s">
        <v>317</v>
      </c>
      <c r="T20" s="587" t="s">
        <v>317</v>
      </c>
      <c r="U20" s="587" t="s">
        <v>317</v>
      </c>
      <c r="V20" s="587" t="s">
        <v>317</v>
      </c>
      <c r="W20" s="1525" t="s">
        <v>317</v>
      </c>
      <c r="X20" s="1358"/>
      <c r="Y20" s="1358"/>
      <c r="Z20" s="1358"/>
      <c r="AA20" s="1358"/>
      <c r="AB20" s="1358"/>
      <c r="AC20" s="1358"/>
      <c r="AD20" s="1358"/>
      <c r="AE20" s="1358"/>
      <c r="AF20" s="1358"/>
      <c r="AG20" s="1358"/>
      <c r="AH20" s="1358"/>
      <c r="AI20" s="1358"/>
      <c r="AJ20" s="1358"/>
      <c r="AK20" s="1358"/>
      <c r="AL20" s="1358"/>
      <c r="AM20" s="1358"/>
      <c r="AN20" s="1358"/>
      <c r="AO20" s="1358"/>
      <c r="AP20" s="1358"/>
      <c r="AQ20" s="1358"/>
      <c r="AR20" s="1358"/>
      <c r="AS20" s="1358"/>
      <c r="AT20" s="1358"/>
      <c r="AU20" s="1358"/>
      <c r="AV20" s="1358"/>
      <c r="AW20" s="1358"/>
      <c r="AX20" s="1358"/>
      <c r="AY20" s="1358"/>
      <c r="AZ20" s="1358"/>
      <c r="BA20" s="1358"/>
      <c r="BB20" s="1358"/>
      <c r="BC20" s="1358"/>
      <c r="BD20" s="1358"/>
      <c r="BE20" s="1358"/>
      <c r="BF20" s="1358"/>
      <c r="BG20" s="1358"/>
      <c r="BH20" s="1358"/>
      <c r="BI20" s="1358"/>
      <c r="BJ20" s="1358"/>
      <c r="BK20" s="1358"/>
      <c r="BL20" s="1358"/>
      <c r="BM20" s="1358"/>
      <c r="BN20" s="1358"/>
      <c r="BO20" s="1358"/>
      <c r="BP20" s="1358"/>
      <c r="BQ20" s="1358"/>
      <c r="BR20" s="1358"/>
      <c r="BS20" s="1358"/>
      <c r="BT20" s="1358"/>
      <c r="BU20" s="1358"/>
      <c r="BV20" s="1358"/>
      <c r="BW20" s="1358"/>
      <c r="BX20" s="1358"/>
      <c r="BY20" s="1358"/>
      <c r="BZ20" s="1358"/>
      <c r="CA20" s="1358"/>
      <c r="CB20" s="1358"/>
      <c r="CC20" s="1358"/>
      <c r="CD20" s="1358"/>
      <c r="CE20" s="1358"/>
      <c r="CF20" s="1358"/>
      <c r="CG20" s="1358"/>
      <c r="CH20" s="1358"/>
      <c r="CI20" s="1358"/>
      <c r="CJ20" s="1358"/>
      <c r="CK20" s="1358"/>
      <c r="CL20" s="1358"/>
      <c r="CM20" s="1358"/>
      <c r="CN20" s="1358"/>
      <c r="CO20" s="1358"/>
      <c r="CP20" s="1358"/>
      <c r="CQ20" s="1358"/>
      <c r="CR20" s="1358"/>
      <c r="CS20" s="1358"/>
      <c r="CT20" s="1358"/>
      <c r="CU20" s="1358"/>
      <c r="CV20" s="1358"/>
      <c r="CW20" s="1358"/>
      <c r="CX20" s="1358"/>
      <c r="CY20" s="1358"/>
      <c r="CZ20" s="1358"/>
      <c r="DA20" s="1358"/>
      <c r="DB20" s="1358"/>
      <c r="DC20" s="1358"/>
      <c r="DD20" s="1358"/>
      <c r="DE20" s="1358"/>
      <c r="DF20" s="1358"/>
      <c r="DG20" s="1358"/>
      <c r="DH20" s="1358"/>
      <c r="DI20" s="1358"/>
      <c r="DJ20" s="1358"/>
      <c r="DK20" s="1358"/>
      <c r="DL20" s="1358"/>
      <c r="DM20" s="1358"/>
      <c r="DN20" s="1358"/>
      <c r="DO20" s="1358"/>
      <c r="DP20" s="1358"/>
      <c r="DQ20" s="1358"/>
      <c r="DR20" s="1358"/>
      <c r="DS20" s="1358"/>
      <c r="DT20" s="1358"/>
      <c r="DU20" s="1358"/>
      <c r="DV20" s="1358"/>
      <c r="DW20" s="1358"/>
      <c r="DX20" s="1358"/>
      <c r="DY20" s="1358"/>
      <c r="DZ20" s="1358"/>
      <c r="EA20" s="1358"/>
      <c r="EB20" s="1358"/>
      <c r="EC20" s="1358"/>
      <c r="ED20" s="1358"/>
      <c r="EE20" s="1358"/>
      <c r="EF20" s="1358"/>
      <c r="EG20" s="1358"/>
      <c r="EH20" s="1358"/>
      <c r="EI20" s="1358"/>
      <c r="EJ20" s="1358"/>
      <c r="EK20" s="1358"/>
      <c r="EL20" s="1358"/>
      <c r="EM20" s="1358"/>
      <c r="EN20" s="1358"/>
      <c r="EO20" s="1358"/>
      <c r="EP20" s="1358"/>
      <c r="EQ20" s="1358"/>
      <c r="ER20" s="1358"/>
      <c r="ES20" s="1358"/>
      <c r="ET20" s="1358"/>
      <c r="EU20" s="1358"/>
      <c r="EV20" s="1358"/>
      <c r="EW20" s="1358"/>
      <c r="EX20" s="1358"/>
      <c r="EY20" s="1358"/>
      <c r="EZ20" s="1358"/>
      <c r="FA20" s="1358"/>
      <c r="FB20" s="1358"/>
      <c r="FC20" s="1358"/>
      <c r="FD20" s="1358"/>
      <c r="FE20" s="1358"/>
      <c r="FF20" s="1358"/>
      <c r="FG20" s="1358"/>
      <c r="FH20" s="1358"/>
      <c r="FI20" s="1358"/>
      <c r="FJ20" s="1358"/>
      <c r="FK20" s="1358"/>
      <c r="FL20" s="1358"/>
      <c r="FM20" s="1358"/>
      <c r="FN20" s="1358"/>
      <c r="FO20" s="1358"/>
      <c r="FP20" s="1358"/>
      <c r="FQ20" s="1358"/>
      <c r="FR20" s="1358"/>
      <c r="FS20" s="1358"/>
      <c r="FT20" s="1358"/>
      <c r="FU20" s="1358"/>
      <c r="FV20" s="1358"/>
      <c r="FW20" s="1358"/>
      <c r="FX20" s="1358"/>
      <c r="FY20" s="1358"/>
      <c r="FZ20" s="1358"/>
      <c r="GA20" s="1358"/>
      <c r="GB20" s="1358"/>
      <c r="GC20" s="1358"/>
      <c r="GD20" s="1358"/>
      <c r="GE20" s="1358"/>
      <c r="GF20" s="1358"/>
      <c r="GG20" s="1358"/>
      <c r="GH20" s="1358"/>
      <c r="GI20" s="1358"/>
      <c r="GJ20" s="1358"/>
      <c r="GK20" s="1358"/>
      <c r="GL20" s="1358"/>
      <c r="GM20" s="1358"/>
      <c r="GN20" s="1358"/>
      <c r="GO20" s="1358"/>
      <c r="GP20" s="1358"/>
      <c r="GQ20" s="1358"/>
      <c r="GR20" s="1358"/>
      <c r="GS20" s="1358"/>
      <c r="GT20" s="1358"/>
      <c r="GU20" s="1358"/>
      <c r="GV20" s="1358"/>
      <c r="GW20" s="1358"/>
      <c r="GX20" s="1358"/>
      <c r="GY20" s="1358"/>
      <c r="GZ20" s="1358"/>
      <c r="HA20" s="1358"/>
      <c r="HB20" s="1358"/>
      <c r="HC20" s="1358"/>
      <c r="HD20" s="1358"/>
      <c r="HE20" s="1358"/>
      <c r="HF20" s="1358"/>
      <c r="HG20" s="1358"/>
      <c r="HH20" s="1358"/>
      <c r="HI20" s="1358"/>
      <c r="HJ20" s="1358"/>
      <c r="HK20" s="1358"/>
      <c r="HL20" s="1358"/>
      <c r="HM20" s="1358"/>
      <c r="HN20" s="1358"/>
      <c r="HO20" s="1358"/>
      <c r="HP20" s="1358"/>
      <c r="HQ20" s="1358"/>
    </row>
    <row r="21" spans="1:225" ht="36" x14ac:dyDescent="0.25">
      <c r="A21" s="3603" t="s">
        <v>1755</v>
      </c>
      <c r="B21" s="1396" t="s">
        <v>2434</v>
      </c>
      <c r="C21" s="1349" t="s">
        <v>1746</v>
      </c>
      <c r="D21" s="1352">
        <f>D92*0.0025*D93*24</f>
        <v>40931.578739999997</v>
      </c>
      <c r="E21" s="1516">
        <f>D21*0.291</f>
        <v>11911.089413339998</v>
      </c>
      <c r="F21" s="1352">
        <f>F92*0.0025*F93*24</f>
        <v>33773.285279999996</v>
      </c>
      <c r="G21" s="1516">
        <f>F21*0.291</f>
        <v>9828.0260164799984</v>
      </c>
      <c r="H21" s="1331">
        <f>H92*0.0025*H93*24</f>
        <v>37001.765999999996</v>
      </c>
      <c r="I21" s="1387">
        <f>H21*0.291</f>
        <v>10767.513905999998</v>
      </c>
      <c r="J21" s="1386"/>
      <c r="K21" s="595"/>
      <c r="L21" s="1386"/>
      <c r="M21" s="595">
        <f>L21*0.291</f>
        <v>0</v>
      </c>
      <c r="N21" s="1524" t="s">
        <v>317</v>
      </c>
      <c r="O21" s="1525" t="s">
        <v>317</v>
      </c>
      <c r="P21" s="1524" t="s">
        <v>317</v>
      </c>
      <c r="Q21" s="1525" t="s">
        <v>317</v>
      </c>
      <c r="R21" s="1518" t="s">
        <v>317</v>
      </c>
      <c r="S21" s="587" t="s">
        <v>317</v>
      </c>
      <c r="T21" s="587" t="s">
        <v>317</v>
      </c>
      <c r="U21" s="587" t="s">
        <v>317</v>
      </c>
      <c r="V21" s="587" t="s">
        <v>317</v>
      </c>
      <c r="W21" s="1525" t="s">
        <v>317</v>
      </c>
    </row>
    <row r="22" spans="1:225" x14ac:dyDescent="0.25">
      <c r="A22" s="3603" t="s">
        <v>1756</v>
      </c>
      <c r="B22" s="1396" t="s">
        <v>1757</v>
      </c>
      <c r="C22" s="1349" t="s">
        <v>1746</v>
      </c>
      <c r="D22" s="3610">
        <v>169</v>
      </c>
      <c r="E22" s="1387">
        <f>D22*0.291</f>
        <v>49.178999999999995</v>
      </c>
      <c r="F22" s="3610">
        <v>80</v>
      </c>
      <c r="G22" s="1387">
        <f>F22*0.291</f>
        <v>23.279999999999998</v>
      </c>
      <c r="H22" s="1386">
        <f t="shared" si="2"/>
        <v>2099.0099999999998</v>
      </c>
      <c r="I22" s="595">
        <f t="shared" si="2"/>
        <v>610.8119099999999</v>
      </c>
      <c r="J22" s="1386"/>
      <c r="K22" s="595"/>
      <c r="L22" s="1386">
        <v>2099.0099999999998</v>
      </c>
      <c r="M22" s="595">
        <f>L22*0.291</f>
        <v>610.8119099999999</v>
      </c>
      <c r="N22" s="1524" t="s">
        <v>317</v>
      </c>
      <c r="O22" s="1525" t="s">
        <v>317</v>
      </c>
      <c r="P22" s="1524" t="s">
        <v>317</v>
      </c>
      <c r="Q22" s="1525" t="s">
        <v>317</v>
      </c>
      <c r="R22" s="1518" t="s">
        <v>317</v>
      </c>
      <c r="S22" s="587" t="s">
        <v>317</v>
      </c>
      <c r="T22" s="587" t="s">
        <v>317</v>
      </c>
      <c r="U22" s="587" t="s">
        <v>317</v>
      </c>
      <c r="V22" s="587" t="s">
        <v>317</v>
      </c>
      <c r="W22" s="1525" t="s">
        <v>317</v>
      </c>
    </row>
    <row r="23" spans="1:225" ht="15.6" customHeight="1" x14ac:dyDescent="0.25">
      <c r="A23" s="3603" t="s">
        <v>1758</v>
      </c>
      <c r="B23" s="1396" t="s">
        <v>1759</v>
      </c>
      <c r="C23" s="1349" t="s">
        <v>1746</v>
      </c>
      <c r="D23" s="1352"/>
      <c r="E23" s="1516"/>
      <c r="F23" s="1352"/>
      <c r="G23" s="1516"/>
      <c r="H23" s="1386">
        <f t="shared" si="2"/>
        <v>0</v>
      </c>
      <c r="I23" s="595">
        <f t="shared" si="2"/>
        <v>0</v>
      </c>
      <c r="J23" s="1386"/>
      <c r="K23" s="595"/>
      <c r="L23" s="1386"/>
      <c r="M23" s="595"/>
      <c r="N23" s="1524" t="s">
        <v>317</v>
      </c>
      <c r="O23" s="1525" t="s">
        <v>317</v>
      </c>
      <c r="P23" s="1524" t="s">
        <v>317</v>
      </c>
      <c r="Q23" s="1525" t="s">
        <v>317</v>
      </c>
      <c r="R23" s="1518" t="s">
        <v>317</v>
      </c>
      <c r="S23" s="587" t="s">
        <v>317</v>
      </c>
      <c r="T23" s="587" t="s">
        <v>317</v>
      </c>
      <c r="U23" s="587" t="s">
        <v>317</v>
      </c>
      <c r="V23" s="587" t="s">
        <v>317</v>
      </c>
      <c r="W23" s="1525" t="s">
        <v>317</v>
      </c>
    </row>
    <row r="24" spans="1:225" ht="36" customHeight="1" x14ac:dyDescent="0.25">
      <c r="A24" s="3603" t="s">
        <v>1760</v>
      </c>
      <c r="B24" s="1396" t="s">
        <v>1761</v>
      </c>
      <c r="C24" s="1349" t="s">
        <v>1746</v>
      </c>
      <c r="D24" s="3610">
        <f>D25+D26+D27</f>
        <v>123</v>
      </c>
      <c r="E24" s="1387">
        <f>E25+E26+E27</f>
        <v>35.792999999999999</v>
      </c>
      <c r="F24" s="3610">
        <f>F25+F26+F27</f>
        <v>158</v>
      </c>
      <c r="G24" s="1387">
        <f>G25+G26+G27</f>
        <v>45.977999999999994</v>
      </c>
      <c r="H24" s="1386">
        <f t="shared" si="2"/>
        <v>122.1</v>
      </c>
      <c r="I24" s="595">
        <f t="shared" si="2"/>
        <v>35.531099999999995</v>
      </c>
      <c r="J24" s="1386">
        <f>J25+J26+J27</f>
        <v>122.1</v>
      </c>
      <c r="K24" s="595">
        <f>K25+K26+K27</f>
        <v>35.531099999999995</v>
      </c>
      <c r="L24" s="1386">
        <f>L25+L26+L27</f>
        <v>0</v>
      </c>
      <c r="M24" s="595">
        <f>M25+M26+M27</f>
        <v>0</v>
      </c>
      <c r="N24" s="1524" t="s">
        <v>317</v>
      </c>
      <c r="O24" s="1525" t="s">
        <v>317</v>
      </c>
      <c r="P24" s="1524" t="s">
        <v>317</v>
      </c>
      <c r="Q24" s="1525" t="s">
        <v>317</v>
      </c>
      <c r="R24" s="1518" t="s">
        <v>317</v>
      </c>
      <c r="S24" s="587" t="s">
        <v>317</v>
      </c>
      <c r="T24" s="587" t="s">
        <v>317</v>
      </c>
      <c r="U24" s="587" t="s">
        <v>317</v>
      </c>
      <c r="V24" s="587" t="s">
        <v>317</v>
      </c>
      <c r="W24" s="1525" t="s">
        <v>317</v>
      </c>
    </row>
    <row r="25" spans="1:225" x14ac:dyDescent="0.25">
      <c r="A25" s="1413" t="s">
        <v>1762</v>
      </c>
      <c r="B25" s="1397" t="s">
        <v>1763</v>
      </c>
      <c r="C25" s="1349" t="s">
        <v>1746</v>
      </c>
      <c r="D25" s="3610">
        <v>123</v>
      </c>
      <c r="E25" s="1387">
        <f>D25*0.291</f>
        <v>35.792999999999999</v>
      </c>
      <c r="F25" s="3610">
        <v>158</v>
      </c>
      <c r="G25" s="1387">
        <f>F25*0.291</f>
        <v>45.977999999999994</v>
      </c>
      <c r="H25" s="1386">
        <f t="shared" si="2"/>
        <v>122.1</v>
      </c>
      <c r="I25" s="595">
        <f t="shared" si="2"/>
        <v>35.531099999999995</v>
      </c>
      <c r="J25" s="1386">
        <v>122.1</v>
      </c>
      <c r="K25" s="595">
        <v>35.531099999999995</v>
      </c>
      <c r="L25" s="1386"/>
      <c r="M25" s="595"/>
      <c r="N25" s="1524" t="s">
        <v>317</v>
      </c>
      <c r="O25" s="1525" t="s">
        <v>317</v>
      </c>
      <c r="P25" s="1524" t="s">
        <v>317</v>
      </c>
      <c r="Q25" s="1525" t="s">
        <v>317</v>
      </c>
      <c r="R25" s="1518" t="s">
        <v>317</v>
      </c>
      <c r="S25" s="587" t="s">
        <v>317</v>
      </c>
      <c r="T25" s="587" t="s">
        <v>317</v>
      </c>
      <c r="U25" s="587" t="s">
        <v>317</v>
      </c>
      <c r="V25" s="587" t="s">
        <v>317</v>
      </c>
      <c r="W25" s="1525" t="s">
        <v>317</v>
      </c>
    </row>
    <row r="26" spans="1:225" x14ac:dyDescent="0.25">
      <c r="A26" s="1413" t="s">
        <v>1764</v>
      </c>
      <c r="B26" s="1397" t="s">
        <v>1765</v>
      </c>
      <c r="C26" s="1349" t="s">
        <v>1746</v>
      </c>
      <c r="D26" s="1352"/>
      <c r="E26" s="1516"/>
      <c r="F26" s="1352"/>
      <c r="G26" s="1516"/>
      <c r="H26" s="1386">
        <f t="shared" si="2"/>
        <v>0</v>
      </c>
      <c r="I26" s="595">
        <f t="shared" si="2"/>
        <v>0</v>
      </c>
      <c r="J26" s="1386"/>
      <c r="K26" s="595"/>
      <c r="L26" s="1386"/>
      <c r="M26" s="595"/>
      <c r="N26" s="1524" t="s">
        <v>317</v>
      </c>
      <c r="O26" s="1525" t="s">
        <v>317</v>
      </c>
      <c r="P26" s="1524" t="s">
        <v>317</v>
      </c>
      <c r="Q26" s="1525" t="s">
        <v>317</v>
      </c>
      <c r="R26" s="1518" t="s">
        <v>317</v>
      </c>
      <c r="S26" s="587" t="s">
        <v>317</v>
      </c>
      <c r="T26" s="587" t="s">
        <v>317</v>
      </c>
      <c r="U26" s="587" t="s">
        <v>317</v>
      </c>
      <c r="V26" s="587" t="s">
        <v>317</v>
      </c>
      <c r="W26" s="1525" t="s">
        <v>317</v>
      </c>
    </row>
    <row r="27" spans="1:225" ht="13.2" customHeight="1" x14ac:dyDescent="0.25">
      <c r="A27" s="1413" t="s">
        <v>1766</v>
      </c>
      <c r="B27" s="1397" t="s">
        <v>1767</v>
      </c>
      <c r="C27" s="1349" t="s">
        <v>1746</v>
      </c>
      <c r="D27" s="1352"/>
      <c r="E27" s="1516"/>
      <c r="F27" s="1352"/>
      <c r="G27" s="1516"/>
      <c r="H27" s="1386">
        <f t="shared" si="2"/>
        <v>0</v>
      </c>
      <c r="I27" s="595">
        <f t="shared" si="2"/>
        <v>0</v>
      </c>
      <c r="J27" s="1386"/>
      <c r="K27" s="595"/>
      <c r="L27" s="1386"/>
      <c r="M27" s="595"/>
      <c r="N27" s="1524" t="s">
        <v>317</v>
      </c>
      <c r="O27" s="1525" t="s">
        <v>317</v>
      </c>
      <c r="P27" s="1524" t="s">
        <v>317</v>
      </c>
      <c r="Q27" s="1525" t="s">
        <v>317</v>
      </c>
      <c r="R27" s="1518" t="s">
        <v>317</v>
      </c>
      <c r="S27" s="587" t="s">
        <v>317</v>
      </c>
      <c r="T27" s="587" t="s">
        <v>317</v>
      </c>
      <c r="U27" s="587" t="s">
        <v>317</v>
      </c>
      <c r="V27" s="587" t="s">
        <v>317</v>
      </c>
      <c r="W27" s="1525" t="s">
        <v>317</v>
      </c>
    </row>
    <row r="28" spans="1:225" ht="39" customHeight="1" thickBot="1" x14ac:dyDescent="0.3">
      <c r="A28" s="1414" t="s">
        <v>1768</v>
      </c>
      <c r="B28" s="1397" t="s">
        <v>1769</v>
      </c>
      <c r="C28" s="3614" t="s">
        <v>1746</v>
      </c>
      <c r="D28" s="3611">
        <f>1038.99996480974+73</f>
        <v>1111.99996480974</v>
      </c>
      <c r="E28" s="595">
        <v>791.42</v>
      </c>
      <c r="F28" s="2540">
        <f>415+423+7+89+52+94.19</f>
        <v>1080.19</v>
      </c>
      <c r="G28" s="586">
        <f>(415*0.291)+423+7+89+52+94.19-1.73</f>
        <v>784.22499999999991</v>
      </c>
      <c r="H28" s="1332">
        <f>J28+L28+N28+P28+R28+T28+V28</f>
        <v>1162.6022016742768</v>
      </c>
      <c r="I28" s="1388">
        <f>K28+M28+O28+Q28+S28+U28+W28</f>
        <v>833.10287104927704</v>
      </c>
      <c r="J28" s="1386">
        <v>464.73812499999997</v>
      </c>
      <c r="K28" s="586">
        <f>J28*0.291</f>
        <v>135.23879437499997</v>
      </c>
      <c r="L28" s="1386">
        <v>438.49422222222222</v>
      </c>
      <c r="M28" s="595">
        <f>L28</f>
        <v>438.49422222222222</v>
      </c>
      <c r="N28" s="1334">
        <v>7.1400000000000006</v>
      </c>
      <c r="O28" s="1388">
        <f>N28</f>
        <v>7.1400000000000006</v>
      </c>
      <c r="P28" s="1332">
        <v>94.477499999999992</v>
      </c>
      <c r="Q28" s="1388">
        <f>P28</f>
        <v>94.477499999999992</v>
      </c>
      <c r="R28" s="1522">
        <v>49.980000000000004</v>
      </c>
      <c r="S28" s="1334">
        <f>R28</f>
        <v>49.980000000000004</v>
      </c>
      <c r="T28" s="1334">
        <v>85.740000000000009</v>
      </c>
      <c r="U28" s="1334">
        <f>T28</f>
        <v>85.740000000000009</v>
      </c>
      <c r="V28" s="1334">
        <v>22.032354452054793</v>
      </c>
      <c r="W28" s="1388">
        <f>V28</f>
        <v>22.032354452054793</v>
      </c>
    </row>
    <row r="29" spans="1:225" ht="38.4" customHeight="1" thickBot="1" x14ac:dyDescent="0.3">
      <c r="A29" s="1415" t="s">
        <v>1770</v>
      </c>
      <c r="B29" s="1398" t="s">
        <v>1771</v>
      </c>
      <c r="C29" s="3615" t="s">
        <v>1746</v>
      </c>
      <c r="D29" s="1333">
        <f>D19+D20+D22</f>
        <v>28572</v>
      </c>
      <c r="E29" s="1517"/>
      <c r="F29" s="1333">
        <f>F19+F20+F22</f>
        <v>20315</v>
      </c>
      <c r="G29" s="1517"/>
      <c r="H29" s="1335">
        <f>J29+L29</f>
        <v>28094.060826957197</v>
      </c>
      <c r="I29" s="1336" t="s">
        <v>317</v>
      </c>
      <c r="J29" s="1335">
        <v>0</v>
      </c>
      <c r="K29" s="1336" t="s">
        <v>317</v>
      </c>
      <c r="L29" s="1335">
        <f>L19+L20+L22</f>
        <v>28094.060826957197</v>
      </c>
      <c r="M29" s="1336" t="s">
        <v>317</v>
      </c>
      <c r="N29" s="1327" t="s">
        <v>317</v>
      </c>
      <c r="O29" s="1336" t="s">
        <v>317</v>
      </c>
      <c r="P29" s="1327" t="s">
        <v>317</v>
      </c>
      <c r="Q29" s="1336" t="s">
        <v>317</v>
      </c>
      <c r="R29" s="1523" t="s">
        <v>317</v>
      </c>
      <c r="S29" s="1338" t="s">
        <v>317</v>
      </c>
      <c r="T29" s="1338" t="s">
        <v>317</v>
      </c>
      <c r="U29" s="1338" t="s">
        <v>317</v>
      </c>
      <c r="V29" s="1338" t="s">
        <v>317</v>
      </c>
      <c r="W29" s="1336" t="s">
        <v>317</v>
      </c>
    </row>
    <row r="30" spans="1:225" ht="13.8" thickBot="1" x14ac:dyDescent="0.3">
      <c r="A30" s="5867" t="s">
        <v>1772</v>
      </c>
      <c r="B30" s="5868"/>
      <c r="C30" s="5868"/>
      <c r="D30" s="5868"/>
      <c r="E30" s="5868"/>
      <c r="F30" s="5868"/>
      <c r="G30" s="5868"/>
      <c r="H30" s="5868"/>
      <c r="I30" s="5868"/>
      <c r="J30" s="5868"/>
      <c r="K30" s="5868"/>
      <c r="L30" s="5868"/>
      <c r="M30" s="5868"/>
      <c r="N30" s="5868"/>
      <c r="O30" s="5868"/>
      <c r="P30" s="5868"/>
      <c r="Q30" s="5868"/>
      <c r="R30" s="5868"/>
      <c r="S30" s="5868"/>
      <c r="T30" s="5868"/>
      <c r="U30" s="5868"/>
      <c r="V30" s="5868"/>
      <c r="W30" s="5869"/>
    </row>
    <row r="31" spans="1:225" ht="24.6" thickBot="1" x14ac:dyDescent="0.3">
      <c r="A31" s="1415" t="s">
        <v>1773</v>
      </c>
      <c r="B31" s="3642" t="s">
        <v>1774</v>
      </c>
      <c r="C31" s="3615" t="s">
        <v>1746</v>
      </c>
      <c r="D31" s="3636">
        <f>SUMIF($C$34:$C$81,$C$34,D$34:D$81)</f>
        <v>31043.99996480974</v>
      </c>
      <c r="E31" s="3637">
        <f>SUMIF($C$34:$C$81,$C$34,E$34:E$81)</f>
        <v>9501.0020000000004</v>
      </c>
      <c r="F31" s="3636">
        <f>SUMIF($C$34:$C$81,$C$34,F$34:F$81)</f>
        <v>22519.19</v>
      </c>
      <c r="G31" s="3637">
        <f>SUMIF($C$34:$C$81,$C$34,G$34:G$81)</f>
        <v>7024.23</v>
      </c>
      <c r="H31" s="3636">
        <f t="shared" ref="H31:W31" si="3">SUMIF($C$34:$C$81,$C$34,H$34:H$81)</f>
        <v>30691.672408246941</v>
      </c>
      <c r="I31" s="3637">
        <f t="shared" si="3"/>
        <v>9426.0623011619246</v>
      </c>
      <c r="J31" s="3636">
        <f t="shared" si="3"/>
        <v>1899.74750461547</v>
      </c>
      <c r="K31" s="3637">
        <f t="shared" si="3"/>
        <v>552.82652384310165</v>
      </c>
      <c r="L31" s="3636">
        <f t="shared" si="3"/>
        <v>28532.55504917942</v>
      </c>
      <c r="M31" s="3637">
        <f t="shared" si="3"/>
        <v>8613.8659228667657</v>
      </c>
      <c r="N31" s="3636">
        <f t="shared" si="3"/>
        <v>7.1400000000000006</v>
      </c>
      <c r="O31" s="3637">
        <f t="shared" si="3"/>
        <v>7.1400000000000006</v>
      </c>
      <c r="P31" s="3636">
        <f t="shared" si="3"/>
        <v>94.477499999999992</v>
      </c>
      <c r="Q31" s="3637">
        <f t="shared" si="3"/>
        <v>94.477499999999992</v>
      </c>
      <c r="R31" s="3636">
        <f t="shared" si="3"/>
        <v>49.980000000000004</v>
      </c>
      <c r="S31" s="3637">
        <f t="shared" si="3"/>
        <v>49.980000000000004</v>
      </c>
      <c r="T31" s="3636">
        <f t="shared" si="3"/>
        <v>85.740000000000009</v>
      </c>
      <c r="U31" s="3637">
        <f t="shared" si="3"/>
        <v>85.740000000000009</v>
      </c>
      <c r="V31" s="3636">
        <f t="shared" si="3"/>
        <v>22.032354452054793</v>
      </c>
      <c r="W31" s="3637">
        <f t="shared" si="3"/>
        <v>22.032354452054793</v>
      </c>
    </row>
    <row r="32" spans="1:225" s="1370" customFormat="1" ht="24" x14ac:dyDescent="0.25">
      <c r="A32" s="3638" t="s">
        <v>1775</v>
      </c>
      <c r="B32" s="3639" t="s">
        <v>1776</v>
      </c>
      <c r="C32" s="3640" t="s">
        <v>1777</v>
      </c>
      <c r="D32" s="1390">
        <v>14.5</v>
      </c>
      <c r="E32" s="3635">
        <v>11.4</v>
      </c>
      <c r="F32" s="3643">
        <f>F33*1000/F31</f>
        <v>17.7559530338347</v>
      </c>
      <c r="G32" s="3644">
        <f>G33*1000/G31</f>
        <v>15.535006826371005</v>
      </c>
      <c r="H32" s="3647">
        <f>'Вхідні дані'!D36</f>
        <v>18.45</v>
      </c>
      <c r="I32" s="3648">
        <f>'Вхідні дані'!D37</f>
        <v>16.375</v>
      </c>
      <c r="J32" s="1390">
        <f t="shared" ref="J32:U32" si="4">IF(J31=0,,J33*1000/J31)</f>
        <v>18.45</v>
      </c>
      <c r="K32" s="3641">
        <f t="shared" si="4"/>
        <v>16.375</v>
      </c>
      <c r="L32" s="1390">
        <f t="shared" si="4"/>
        <v>18.449999999999996</v>
      </c>
      <c r="M32" s="3641">
        <f t="shared" si="4"/>
        <v>16.375</v>
      </c>
      <c r="N32" s="1390">
        <f t="shared" si="4"/>
        <v>18.45</v>
      </c>
      <c r="O32" s="3641">
        <f t="shared" si="4"/>
        <v>16.375</v>
      </c>
      <c r="P32" s="1390">
        <f t="shared" si="4"/>
        <v>18.45</v>
      </c>
      <c r="Q32" s="3641">
        <f t="shared" si="4"/>
        <v>16.375</v>
      </c>
      <c r="R32" s="1390">
        <f t="shared" si="4"/>
        <v>18.45</v>
      </c>
      <c r="S32" s="3641">
        <f t="shared" si="4"/>
        <v>16.375</v>
      </c>
      <c r="T32" s="1390">
        <f t="shared" si="4"/>
        <v>18.45</v>
      </c>
      <c r="U32" s="3641">
        <f t="shared" si="4"/>
        <v>16.375</v>
      </c>
      <c r="V32" s="1390">
        <f>IF(V31=0,,V33/1000/V31)</f>
        <v>1.8449999999999998E-5</v>
      </c>
      <c r="W32" s="3641">
        <f>IF(W31=0,,W33/1000/W31)</f>
        <v>1.6375000000000002E-5</v>
      </c>
      <c r="X32" s="1358"/>
      <c r="Y32" s="1358"/>
      <c r="Z32" s="1358"/>
      <c r="AA32" s="1358"/>
      <c r="AB32" s="1358"/>
      <c r="AC32" s="1358"/>
      <c r="AD32" s="1358"/>
      <c r="AE32" s="1358"/>
      <c r="AF32" s="1358"/>
      <c r="AG32" s="1358"/>
      <c r="AH32" s="1358"/>
      <c r="AI32" s="1358"/>
      <c r="AJ32" s="1358"/>
      <c r="AK32" s="1358"/>
      <c r="AL32" s="1358"/>
      <c r="AM32" s="1358"/>
      <c r="AN32" s="1358"/>
      <c r="AO32" s="1358"/>
      <c r="AP32" s="1358"/>
      <c r="AQ32" s="1358"/>
      <c r="AR32" s="1358"/>
      <c r="AS32" s="1358"/>
      <c r="AT32" s="1358"/>
      <c r="AU32" s="1358"/>
      <c r="AV32" s="1358"/>
      <c r="AW32" s="1358"/>
      <c r="AX32" s="1358"/>
      <c r="AY32" s="1358"/>
      <c r="AZ32" s="1358"/>
      <c r="BA32" s="1358"/>
      <c r="BB32" s="1358"/>
      <c r="BC32" s="1358"/>
      <c r="BD32" s="1358"/>
      <c r="BE32" s="1358"/>
      <c r="BF32" s="1358"/>
      <c r="BG32" s="1358"/>
      <c r="BH32" s="1358"/>
      <c r="BI32" s="1358"/>
      <c r="BJ32" s="1358"/>
      <c r="BK32" s="1358"/>
      <c r="BL32" s="1358"/>
      <c r="BM32" s="1358"/>
      <c r="BN32" s="1358"/>
      <c r="BO32" s="1358"/>
      <c r="BP32" s="1358"/>
      <c r="BQ32" s="1358"/>
      <c r="BR32" s="1358"/>
      <c r="BS32" s="1358"/>
      <c r="BT32" s="1358"/>
      <c r="BU32" s="1358"/>
      <c r="BV32" s="1358"/>
      <c r="BW32" s="1358"/>
      <c r="BX32" s="1358"/>
      <c r="BY32" s="1358"/>
      <c r="BZ32" s="1358"/>
      <c r="CA32" s="1358"/>
      <c r="CB32" s="1358"/>
      <c r="CC32" s="1358"/>
      <c r="CD32" s="1358"/>
      <c r="CE32" s="1358"/>
      <c r="CF32" s="1358"/>
      <c r="CG32" s="1358"/>
      <c r="CH32" s="1358"/>
      <c r="CI32" s="1358"/>
      <c r="CJ32" s="1358"/>
      <c r="CK32" s="1358"/>
      <c r="CL32" s="1358"/>
      <c r="CM32" s="1358"/>
      <c r="CN32" s="1358"/>
      <c r="CO32" s="1358"/>
      <c r="CP32" s="1358"/>
      <c r="CQ32" s="1358"/>
      <c r="CR32" s="1358"/>
      <c r="CS32" s="1358"/>
      <c r="CT32" s="1358"/>
      <c r="CU32" s="1358"/>
      <c r="CV32" s="1358"/>
      <c r="CW32" s="1358"/>
      <c r="CX32" s="1358"/>
      <c r="CY32" s="1358"/>
      <c r="CZ32" s="1358"/>
      <c r="DA32" s="1358"/>
      <c r="DB32" s="1358"/>
      <c r="DC32" s="1358"/>
      <c r="DD32" s="1358"/>
      <c r="DE32" s="1358"/>
      <c r="DF32" s="1358"/>
      <c r="DG32" s="1358"/>
      <c r="DH32" s="1358"/>
      <c r="DI32" s="1358"/>
      <c r="DJ32" s="1358"/>
      <c r="DK32" s="1358"/>
      <c r="DL32" s="1358"/>
      <c r="DM32" s="1358"/>
      <c r="DN32" s="1358"/>
      <c r="DO32" s="1358"/>
      <c r="DP32" s="1358"/>
      <c r="DQ32" s="1358"/>
      <c r="DR32" s="1358"/>
      <c r="DS32" s="1358"/>
      <c r="DT32" s="1358"/>
      <c r="DU32" s="1358"/>
      <c r="DV32" s="1358"/>
      <c r="DW32" s="1358"/>
      <c r="DX32" s="1358"/>
      <c r="DY32" s="1358"/>
      <c r="DZ32" s="1358"/>
      <c r="EA32" s="1358"/>
      <c r="EB32" s="1358"/>
      <c r="EC32" s="1358"/>
      <c r="ED32" s="1358"/>
      <c r="EE32" s="1358"/>
      <c r="EF32" s="1358"/>
      <c r="EG32" s="1358"/>
      <c r="EH32" s="1358"/>
      <c r="EI32" s="1358"/>
      <c r="EJ32" s="1358"/>
      <c r="EK32" s="1358"/>
      <c r="EL32" s="1358"/>
      <c r="EM32" s="1358"/>
      <c r="EN32" s="1358"/>
      <c r="EO32" s="1358"/>
      <c r="EP32" s="1358"/>
      <c r="EQ32" s="1358"/>
      <c r="ER32" s="1358"/>
      <c r="ES32" s="1358"/>
      <c r="ET32" s="1358"/>
      <c r="EU32" s="1358"/>
      <c r="EV32" s="1358"/>
      <c r="EW32" s="1358"/>
      <c r="EX32" s="1358"/>
      <c r="EY32" s="1358"/>
      <c r="EZ32" s="1358"/>
      <c r="FA32" s="1358"/>
      <c r="FB32" s="1358"/>
      <c r="FC32" s="1358"/>
      <c r="FD32" s="1358"/>
      <c r="FE32" s="1358"/>
      <c r="FF32" s="1358"/>
      <c r="FG32" s="1358"/>
      <c r="FH32" s="1358"/>
      <c r="FI32" s="1358"/>
      <c r="FJ32" s="1358"/>
      <c r="FK32" s="1358"/>
      <c r="FL32" s="1358"/>
      <c r="FM32" s="1358"/>
      <c r="FN32" s="1358"/>
      <c r="FO32" s="1358"/>
      <c r="FP32" s="1358"/>
      <c r="FQ32" s="1358"/>
      <c r="FR32" s="1358"/>
      <c r="FS32" s="1358"/>
      <c r="FT32" s="1358"/>
      <c r="FU32" s="1358"/>
      <c r="FV32" s="1358"/>
      <c r="FW32" s="1358"/>
      <c r="FX32" s="1358"/>
      <c r="FY32" s="1358"/>
      <c r="FZ32" s="1358"/>
      <c r="GA32" s="1358"/>
      <c r="GB32" s="1358"/>
      <c r="GC32" s="1358"/>
      <c r="GD32" s="1358"/>
      <c r="GE32" s="1358"/>
      <c r="GF32" s="1358"/>
      <c r="GG32" s="1358"/>
      <c r="GH32" s="1358"/>
      <c r="GI32" s="1358"/>
      <c r="GJ32" s="1358"/>
      <c r="GK32" s="1358"/>
      <c r="GL32" s="1358"/>
      <c r="GM32" s="1358"/>
      <c r="GN32" s="1358"/>
      <c r="GO32" s="1358"/>
      <c r="GP32" s="1358"/>
      <c r="GQ32" s="1358"/>
      <c r="GR32" s="1358"/>
      <c r="GS32" s="1358"/>
      <c r="GT32" s="1358"/>
      <c r="GU32" s="1358"/>
      <c r="GV32" s="1358"/>
      <c r="GW32" s="1358"/>
      <c r="GX32" s="1358"/>
      <c r="GY32" s="1358"/>
      <c r="GZ32" s="1358"/>
      <c r="HA32" s="1358"/>
      <c r="HB32" s="1358"/>
      <c r="HC32" s="1358"/>
      <c r="HD32" s="1358"/>
      <c r="HE32" s="1358"/>
      <c r="HF32" s="1358"/>
      <c r="HG32" s="1358"/>
      <c r="HH32" s="1358"/>
      <c r="HI32" s="1358"/>
      <c r="HJ32" s="1358"/>
      <c r="HK32" s="1358"/>
      <c r="HL32" s="1358"/>
      <c r="HM32" s="1358"/>
      <c r="HN32" s="1358"/>
      <c r="HO32" s="1358"/>
      <c r="HP32" s="1358"/>
      <c r="HQ32" s="1358"/>
    </row>
    <row r="33" spans="1:225" ht="24" x14ac:dyDescent="0.25">
      <c r="A33" s="1416" t="s">
        <v>1778</v>
      </c>
      <c r="B33" s="1399" t="s">
        <v>1779</v>
      </c>
      <c r="C33" s="1350" t="s">
        <v>1780</v>
      </c>
      <c r="D33" s="2541">
        <v>450.13799999999998</v>
      </c>
      <c r="E33" s="3620">
        <v>108.31139999999999</v>
      </c>
      <c r="F33" s="3628">
        <f>SUMIF($C$34:$C$81,$C$36,F$34:F$81)</f>
        <v>399.84967999999998</v>
      </c>
      <c r="G33" s="3618">
        <f>SUMIF($C$34:$C$81,$C$36,G$34:G$81)</f>
        <v>109.121461</v>
      </c>
      <c r="H33" s="3623">
        <f t="shared" ref="H33:W33" si="5">SUMIF($C$34:$C$81,$C$36,H$34:H$81)</f>
        <v>566.26135593215611</v>
      </c>
      <c r="I33" s="1343">
        <f t="shared" si="5"/>
        <v>154.35177018152646</v>
      </c>
      <c r="J33" s="1344">
        <f t="shared" si="5"/>
        <v>35.050341460155416</v>
      </c>
      <c r="K33" s="1343">
        <f t="shared" si="5"/>
        <v>9.0525343279307897</v>
      </c>
      <c r="L33" s="1344">
        <f t="shared" si="5"/>
        <v>526.42564065736019</v>
      </c>
      <c r="M33" s="1343">
        <f t="shared" si="5"/>
        <v>141.05205448694329</v>
      </c>
      <c r="N33" s="1344">
        <f t="shared" si="5"/>
        <v>0.13173300000000002</v>
      </c>
      <c r="O33" s="1343">
        <f t="shared" si="5"/>
        <v>0.11691750000000001</v>
      </c>
      <c r="P33" s="1344">
        <f t="shared" si="5"/>
        <v>1.7431098749999998</v>
      </c>
      <c r="Q33" s="1343">
        <f t="shared" si="5"/>
        <v>1.5470690624999999</v>
      </c>
      <c r="R33" s="1344">
        <f t="shared" si="5"/>
        <v>0.92213100000000003</v>
      </c>
      <c r="S33" s="1343">
        <f t="shared" si="5"/>
        <v>0.81842250000000005</v>
      </c>
      <c r="T33" s="1344">
        <f t="shared" si="5"/>
        <v>1.5819030000000001</v>
      </c>
      <c r="U33" s="1343">
        <f t="shared" si="5"/>
        <v>1.4039925</v>
      </c>
      <c r="V33" s="1344">
        <f t="shared" si="5"/>
        <v>0.40649693964041089</v>
      </c>
      <c r="W33" s="1343">
        <f t="shared" si="5"/>
        <v>0.36077980415239724</v>
      </c>
      <c r="X33" s="1370"/>
      <c r="Y33" s="1370"/>
      <c r="Z33" s="1370"/>
      <c r="AA33" s="1370"/>
      <c r="AB33" s="1370"/>
      <c r="AC33" s="1370"/>
      <c r="AD33" s="1370"/>
      <c r="AE33" s="1370"/>
      <c r="AF33" s="1370"/>
      <c r="AG33" s="1370"/>
      <c r="AH33" s="1370"/>
      <c r="AI33" s="1370"/>
      <c r="AJ33" s="1370"/>
      <c r="AK33" s="1370"/>
      <c r="AL33" s="1370"/>
      <c r="AM33" s="1370"/>
      <c r="AN33" s="1370"/>
      <c r="AO33" s="1370"/>
      <c r="AP33" s="1370"/>
      <c r="AQ33" s="1370"/>
      <c r="AR33" s="1370"/>
      <c r="AS33" s="1370"/>
      <c r="AT33" s="1370"/>
      <c r="AU33" s="1370"/>
      <c r="AV33" s="1370"/>
      <c r="AW33" s="1370"/>
      <c r="AX33" s="1370"/>
      <c r="AY33" s="1370"/>
      <c r="AZ33" s="1370"/>
      <c r="BA33" s="1370"/>
      <c r="BB33" s="1370"/>
      <c r="BC33" s="1370"/>
      <c r="BD33" s="1370"/>
      <c r="BE33" s="1370"/>
      <c r="BF33" s="1370"/>
      <c r="BG33" s="1370"/>
      <c r="BH33" s="1370"/>
      <c r="BI33" s="1370"/>
      <c r="BJ33" s="1370"/>
      <c r="BK33" s="1370"/>
      <c r="BL33" s="1370"/>
      <c r="BM33" s="1370"/>
      <c r="BN33" s="1370"/>
      <c r="BO33" s="1370"/>
      <c r="BP33" s="1370"/>
      <c r="BQ33" s="1370"/>
      <c r="BR33" s="1370"/>
      <c r="BS33" s="1370"/>
      <c r="BT33" s="1370"/>
      <c r="BU33" s="1370"/>
      <c r="BV33" s="1370"/>
      <c r="BW33" s="1370"/>
      <c r="BX33" s="1370"/>
      <c r="BY33" s="1370"/>
      <c r="BZ33" s="1370"/>
      <c r="CA33" s="1370"/>
      <c r="CB33" s="1370"/>
      <c r="CC33" s="1370"/>
      <c r="CD33" s="1370"/>
      <c r="CE33" s="1370"/>
      <c r="CF33" s="1370"/>
      <c r="CG33" s="1370"/>
      <c r="CH33" s="1370"/>
      <c r="CI33" s="1370"/>
      <c r="CJ33" s="1370"/>
      <c r="CK33" s="1370"/>
      <c r="CL33" s="1370"/>
      <c r="CM33" s="1370"/>
      <c r="CN33" s="1370"/>
      <c r="CO33" s="1370"/>
      <c r="CP33" s="1370"/>
      <c r="CQ33" s="1370"/>
      <c r="CR33" s="1370"/>
      <c r="CS33" s="1370"/>
      <c r="CT33" s="1370"/>
      <c r="CU33" s="1370"/>
      <c r="CV33" s="1370"/>
      <c r="CW33" s="1370"/>
      <c r="CX33" s="1370"/>
      <c r="CY33" s="1370"/>
      <c r="CZ33" s="1370"/>
      <c r="DA33" s="1370"/>
      <c r="DB33" s="1370"/>
      <c r="DC33" s="1370"/>
      <c r="DD33" s="1370"/>
      <c r="DE33" s="1370"/>
      <c r="DF33" s="1370"/>
      <c r="DG33" s="1370"/>
      <c r="DH33" s="1370"/>
      <c r="DI33" s="1370"/>
      <c r="DJ33" s="1370"/>
      <c r="DK33" s="1370"/>
      <c r="DL33" s="1370"/>
      <c r="DM33" s="1370"/>
      <c r="DN33" s="1370"/>
      <c r="DO33" s="1370"/>
      <c r="DP33" s="1370"/>
      <c r="DQ33" s="1370"/>
      <c r="DR33" s="1370"/>
      <c r="DS33" s="1370"/>
      <c r="DT33" s="1370"/>
      <c r="DU33" s="1370"/>
      <c r="DV33" s="1370"/>
      <c r="DW33" s="1370"/>
      <c r="DX33" s="1370"/>
      <c r="DY33" s="1370"/>
      <c r="DZ33" s="1370"/>
      <c r="EA33" s="1370"/>
      <c r="EB33" s="1370"/>
      <c r="EC33" s="1370"/>
      <c r="ED33" s="1370"/>
      <c r="EE33" s="1370"/>
      <c r="EF33" s="1370"/>
      <c r="EG33" s="1370"/>
      <c r="EH33" s="1370"/>
      <c r="EI33" s="1370"/>
      <c r="EJ33" s="1370"/>
      <c r="EK33" s="1370"/>
      <c r="EL33" s="1370"/>
      <c r="EM33" s="1370"/>
      <c r="EN33" s="1370"/>
      <c r="EO33" s="1370"/>
      <c r="EP33" s="1370"/>
      <c r="EQ33" s="1370"/>
      <c r="ER33" s="1370"/>
      <c r="ES33" s="1370"/>
      <c r="ET33" s="1370"/>
      <c r="EU33" s="1370"/>
      <c r="EV33" s="1370"/>
      <c r="EW33" s="1370"/>
      <c r="EX33" s="1370"/>
      <c r="EY33" s="1370"/>
      <c r="EZ33" s="1370"/>
      <c r="FA33" s="1370"/>
      <c r="FB33" s="1370"/>
      <c r="FC33" s="1370"/>
      <c r="FD33" s="1370"/>
      <c r="FE33" s="1370"/>
      <c r="FF33" s="1370"/>
      <c r="FG33" s="1370"/>
      <c r="FH33" s="1370"/>
      <c r="FI33" s="1370"/>
      <c r="FJ33" s="1370"/>
      <c r="FK33" s="1370"/>
      <c r="FL33" s="1370"/>
      <c r="FM33" s="1370"/>
      <c r="FN33" s="1370"/>
      <c r="FO33" s="1370"/>
      <c r="FP33" s="1370"/>
      <c r="FQ33" s="1370"/>
      <c r="FR33" s="1370"/>
      <c r="FS33" s="1370"/>
      <c r="FT33" s="1370"/>
      <c r="FU33" s="1370"/>
      <c r="FV33" s="1370"/>
      <c r="FW33" s="1370"/>
      <c r="FX33" s="1370"/>
      <c r="FY33" s="1370"/>
      <c r="FZ33" s="1370"/>
      <c r="GA33" s="1370"/>
      <c r="GB33" s="1370"/>
      <c r="GC33" s="1370"/>
      <c r="GD33" s="1370"/>
      <c r="GE33" s="1370"/>
      <c r="GF33" s="1370"/>
      <c r="GG33" s="1370"/>
      <c r="GH33" s="1370"/>
      <c r="GI33" s="1370"/>
      <c r="GJ33" s="1370"/>
      <c r="GK33" s="1370"/>
      <c r="GL33" s="1370"/>
      <c r="GM33" s="1370"/>
      <c r="GN33" s="1370"/>
      <c r="GO33" s="1370"/>
      <c r="GP33" s="1370"/>
      <c r="GQ33" s="1370"/>
      <c r="GR33" s="1370"/>
      <c r="GS33" s="1370"/>
      <c r="GT33" s="1370"/>
      <c r="GU33" s="1370"/>
      <c r="GV33" s="1370"/>
      <c r="GW33" s="1370"/>
      <c r="GX33" s="1370"/>
      <c r="GY33" s="1370"/>
      <c r="GZ33" s="1370"/>
      <c r="HA33" s="1370"/>
      <c r="HB33" s="1370"/>
      <c r="HC33" s="1370"/>
      <c r="HD33" s="1370"/>
      <c r="HE33" s="1370"/>
      <c r="HF33" s="1370"/>
      <c r="HG33" s="1370"/>
      <c r="HH33" s="1370"/>
      <c r="HI33" s="1370"/>
      <c r="HJ33" s="1370"/>
      <c r="HK33" s="1370"/>
      <c r="HL33" s="1370"/>
      <c r="HM33" s="1370"/>
      <c r="HN33" s="1370"/>
      <c r="HO33" s="1370"/>
      <c r="HP33" s="1370"/>
      <c r="HQ33" s="1370"/>
    </row>
    <row r="34" spans="1:225" x14ac:dyDescent="0.25">
      <c r="A34" s="5844" t="s">
        <v>1781</v>
      </c>
      <c r="B34" s="1400" t="s">
        <v>1782</v>
      </c>
      <c r="C34" s="1349" t="s">
        <v>1746</v>
      </c>
      <c r="D34" s="1344">
        <f t="shared" ref="D34:I34" si="6">D16-D37</f>
        <v>31041.99996480974</v>
      </c>
      <c r="E34" s="3619">
        <f t="shared" si="6"/>
        <v>9500.42</v>
      </c>
      <c r="F34" s="3629">
        <f t="shared" si="6"/>
        <v>22519.19</v>
      </c>
      <c r="G34" s="3630">
        <f t="shared" si="6"/>
        <v>7024.23</v>
      </c>
      <c r="H34" s="3624">
        <f t="shared" si="6"/>
        <v>30683.571800242633</v>
      </c>
      <c r="I34" s="1343">
        <f t="shared" si="6"/>
        <v>9423.7050242326713</v>
      </c>
      <c r="J34" s="1344">
        <f t="shared" ref="J34:W34" si="7">J16</f>
        <v>1899.74750461547</v>
      </c>
      <c r="K34" s="1343">
        <f t="shared" si="7"/>
        <v>552.82652384310165</v>
      </c>
      <c r="L34" s="1344">
        <f>L16-L37</f>
        <v>28524.454441175112</v>
      </c>
      <c r="M34" s="1343">
        <f>M16-M37</f>
        <v>8611.5086459375125</v>
      </c>
      <c r="N34" s="1344">
        <f t="shared" si="7"/>
        <v>7.1400000000000006</v>
      </c>
      <c r="O34" s="1343">
        <f t="shared" si="7"/>
        <v>7.1400000000000006</v>
      </c>
      <c r="P34" s="1344">
        <f t="shared" si="7"/>
        <v>94.477499999999992</v>
      </c>
      <c r="Q34" s="1343">
        <f t="shared" si="7"/>
        <v>94.477499999999992</v>
      </c>
      <c r="R34" s="1344">
        <f t="shared" si="7"/>
        <v>49.980000000000004</v>
      </c>
      <c r="S34" s="1343">
        <f t="shared" si="7"/>
        <v>49.980000000000004</v>
      </c>
      <c r="T34" s="1344">
        <f t="shared" si="7"/>
        <v>85.740000000000009</v>
      </c>
      <c r="U34" s="1343">
        <f t="shared" si="7"/>
        <v>85.740000000000009</v>
      </c>
      <c r="V34" s="1344">
        <f t="shared" si="7"/>
        <v>22.032354452054793</v>
      </c>
      <c r="W34" s="1343">
        <f t="shared" si="7"/>
        <v>22.032354452054793</v>
      </c>
      <c r="X34" s="1370"/>
      <c r="Y34" s="1370"/>
      <c r="Z34" s="1370"/>
      <c r="AA34" s="1370"/>
      <c r="AB34" s="1370"/>
      <c r="AC34" s="1370"/>
      <c r="AD34" s="1370"/>
      <c r="AE34" s="1370"/>
      <c r="AF34" s="1370"/>
      <c r="AG34" s="1370"/>
      <c r="AH34" s="1370"/>
      <c r="AI34" s="1370"/>
      <c r="AJ34" s="1370"/>
      <c r="AK34" s="1370"/>
      <c r="AL34" s="1370"/>
      <c r="AM34" s="1370"/>
      <c r="AN34" s="1370"/>
      <c r="AO34" s="1370"/>
      <c r="AP34" s="1370"/>
      <c r="AQ34" s="1370"/>
      <c r="AR34" s="1370"/>
      <c r="AS34" s="1370"/>
      <c r="AT34" s="1370"/>
      <c r="AU34" s="1370"/>
      <c r="AV34" s="1370"/>
      <c r="AW34" s="1370"/>
      <c r="AX34" s="1370"/>
      <c r="AY34" s="1370"/>
      <c r="AZ34" s="1370"/>
      <c r="BA34" s="1370"/>
      <c r="BB34" s="1370"/>
      <c r="BC34" s="1370"/>
      <c r="BD34" s="1370"/>
      <c r="BE34" s="1370"/>
      <c r="BF34" s="1370"/>
      <c r="BG34" s="1370"/>
      <c r="BH34" s="1370"/>
      <c r="BI34" s="1370"/>
      <c r="BJ34" s="1370"/>
      <c r="BK34" s="1370"/>
      <c r="BL34" s="1370"/>
      <c r="BM34" s="1370"/>
      <c r="BN34" s="1370"/>
      <c r="BO34" s="1370"/>
      <c r="BP34" s="1370"/>
      <c r="BQ34" s="1370"/>
      <c r="BR34" s="1370"/>
      <c r="BS34" s="1370"/>
      <c r="BT34" s="1370"/>
      <c r="BU34" s="1370"/>
      <c r="BV34" s="1370"/>
      <c r="BW34" s="1370"/>
      <c r="BX34" s="1370"/>
      <c r="BY34" s="1370"/>
      <c r="BZ34" s="1370"/>
      <c r="CA34" s="1370"/>
      <c r="CB34" s="1370"/>
      <c r="CC34" s="1370"/>
      <c r="CD34" s="1370"/>
      <c r="CE34" s="1370"/>
      <c r="CF34" s="1370"/>
      <c r="CG34" s="1370"/>
      <c r="CH34" s="1370"/>
      <c r="CI34" s="1370"/>
      <c r="CJ34" s="1370"/>
      <c r="CK34" s="1370"/>
      <c r="CL34" s="1370"/>
      <c r="CM34" s="1370"/>
      <c r="CN34" s="1370"/>
      <c r="CO34" s="1370"/>
      <c r="CP34" s="1370"/>
      <c r="CQ34" s="1370"/>
      <c r="CR34" s="1370"/>
      <c r="CS34" s="1370"/>
      <c r="CT34" s="1370"/>
      <c r="CU34" s="1370"/>
      <c r="CV34" s="1370"/>
      <c r="CW34" s="1370"/>
      <c r="CX34" s="1370"/>
      <c r="CY34" s="1370"/>
      <c r="CZ34" s="1370"/>
      <c r="DA34" s="1370"/>
      <c r="DB34" s="1370"/>
      <c r="DC34" s="1370"/>
      <c r="DD34" s="1370"/>
      <c r="DE34" s="1370"/>
      <c r="DF34" s="1370"/>
      <c r="DG34" s="1370"/>
      <c r="DH34" s="1370"/>
      <c r="DI34" s="1370"/>
      <c r="DJ34" s="1370"/>
      <c r="DK34" s="1370"/>
      <c r="DL34" s="1370"/>
      <c r="DM34" s="1370"/>
      <c r="DN34" s="1370"/>
      <c r="DO34" s="1370"/>
      <c r="DP34" s="1370"/>
      <c r="DQ34" s="1370"/>
      <c r="DR34" s="1370"/>
      <c r="DS34" s="1370"/>
      <c r="DT34" s="1370"/>
      <c r="DU34" s="1370"/>
      <c r="DV34" s="1370"/>
      <c r="DW34" s="1370"/>
      <c r="DX34" s="1370"/>
      <c r="DY34" s="1370"/>
      <c r="DZ34" s="1370"/>
      <c r="EA34" s="1370"/>
      <c r="EB34" s="1370"/>
      <c r="EC34" s="1370"/>
      <c r="ED34" s="1370"/>
      <c r="EE34" s="1370"/>
      <c r="EF34" s="1370"/>
      <c r="EG34" s="1370"/>
      <c r="EH34" s="1370"/>
      <c r="EI34" s="1370"/>
      <c r="EJ34" s="1370"/>
      <c r="EK34" s="1370"/>
      <c r="EL34" s="1370"/>
      <c r="EM34" s="1370"/>
      <c r="EN34" s="1370"/>
      <c r="EO34" s="1370"/>
      <c r="EP34" s="1370"/>
      <c r="EQ34" s="1370"/>
      <c r="ER34" s="1370"/>
      <c r="ES34" s="1370"/>
      <c r="ET34" s="1370"/>
      <c r="EU34" s="1370"/>
      <c r="EV34" s="1370"/>
      <c r="EW34" s="1370"/>
      <c r="EX34" s="1370"/>
      <c r="EY34" s="1370"/>
      <c r="EZ34" s="1370"/>
      <c r="FA34" s="1370"/>
      <c r="FB34" s="1370"/>
      <c r="FC34" s="1370"/>
      <c r="FD34" s="1370"/>
      <c r="FE34" s="1370"/>
      <c r="FF34" s="1370"/>
      <c r="FG34" s="1370"/>
      <c r="FH34" s="1370"/>
      <c r="FI34" s="1370"/>
      <c r="FJ34" s="1370"/>
      <c r="FK34" s="1370"/>
      <c r="FL34" s="1370"/>
      <c r="FM34" s="1370"/>
      <c r="FN34" s="1370"/>
      <c r="FO34" s="1370"/>
      <c r="FP34" s="1370"/>
      <c r="FQ34" s="1370"/>
      <c r="FR34" s="1370"/>
      <c r="FS34" s="1370"/>
      <c r="FT34" s="1370"/>
      <c r="FU34" s="1370"/>
      <c r="FV34" s="1370"/>
      <c r="FW34" s="1370"/>
      <c r="FX34" s="1370"/>
      <c r="FY34" s="1370"/>
      <c r="FZ34" s="1370"/>
      <c r="GA34" s="1370"/>
      <c r="GB34" s="1370"/>
      <c r="GC34" s="1370"/>
      <c r="GD34" s="1370"/>
      <c r="GE34" s="1370"/>
      <c r="GF34" s="1370"/>
      <c r="GG34" s="1370"/>
      <c r="GH34" s="1370"/>
      <c r="GI34" s="1370"/>
      <c r="GJ34" s="1370"/>
      <c r="GK34" s="1370"/>
      <c r="GL34" s="1370"/>
      <c r="GM34" s="1370"/>
      <c r="GN34" s="1370"/>
      <c r="GO34" s="1370"/>
      <c r="GP34" s="1370"/>
      <c r="GQ34" s="1370"/>
      <c r="GR34" s="1370"/>
      <c r="GS34" s="1370"/>
      <c r="GT34" s="1370"/>
      <c r="GU34" s="1370"/>
      <c r="GV34" s="1370"/>
      <c r="GW34" s="1370"/>
      <c r="GX34" s="1370"/>
      <c r="GY34" s="1370"/>
      <c r="GZ34" s="1370"/>
      <c r="HA34" s="1370"/>
      <c r="HB34" s="1370"/>
      <c r="HC34" s="1370"/>
      <c r="HD34" s="1370"/>
      <c r="HE34" s="1370"/>
      <c r="HF34" s="1370"/>
      <c r="HG34" s="1370"/>
      <c r="HH34" s="1370"/>
      <c r="HI34" s="1370"/>
      <c r="HJ34" s="1370"/>
      <c r="HK34" s="1370"/>
      <c r="HL34" s="1370"/>
      <c r="HM34" s="1370"/>
      <c r="HN34" s="1370"/>
      <c r="HO34" s="1370"/>
      <c r="HP34" s="1370"/>
      <c r="HQ34" s="1370"/>
    </row>
    <row r="35" spans="1:225" s="1370" customFormat="1" ht="24" x14ac:dyDescent="0.25">
      <c r="A35" s="5845"/>
      <c r="B35" s="1401" t="s">
        <v>1783</v>
      </c>
      <c r="C35" s="1349" t="s">
        <v>1777</v>
      </c>
      <c r="D35" s="1344">
        <v>14.5</v>
      </c>
      <c r="E35" s="3619">
        <v>11.4</v>
      </c>
      <c r="F35" s="3645">
        <f>F36*1000/F34</f>
        <v>17.7559530338347</v>
      </c>
      <c r="G35" s="3646">
        <f>G36*1000/G34</f>
        <v>15.535006826371005</v>
      </c>
      <c r="H35" s="3649">
        <f>'Вхідні дані'!D36</f>
        <v>18.45</v>
      </c>
      <c r="I35" s="3650">
        <f>'Вхідні дані'!D37</f>
        <v>16.375</v>
      </c>
      <c r="J35" s="1344">
        <f>'Вхідні дані'!D36</f>
        <v>18.45</v>
      </c>
      <c r="K35" s="1343">
        <f>'Вхідні дані'!D37</f>
        <v>16.375</v>
      </c>
      <c r="L35" s="1344">
        <f>H35</f>
        <v>18.45</v>
      </c>
      <c r="M35" s="1343">
        <f>I35</f>
        <v>16.375</v>
      </c>
      <c r="N35" s="1344">
        <f>H35</f>
        <v>18.45</v>
      </c>
      <c r="O35" s="1343">
        <f>I35</f>
        <v>16.375</v>
      </c>
      <c r="P35" s="1344">
        <f>H35</f>
        <v>18.45</v>
      </c>
      <c r="Q35" s="1343">
        <f>I35</f>
        <v>16.375</v>
      </c>
      <c r="R35" s="1344">
        <f>H35</f>
        <v>18.45</v>
      </c>
      <c r="S35" s="1343">
        <f>I35</f>
        <v>16.375</v>
      </c>
      <c r="T35" s="1344">
        <f>H35</f>
        <v>18.45</v>
      </c>
      <c r="U35" s="1343">
        <f>I35</f>
        <v>16.375</v>
      </c>
      <c r="V35" s="1344">
        <f>H35</f>
        <v>18.45</v>
      </c>
      <c r="W35" s="1343">
        <f>I35</f>
        <v>16.375</v>
      </c>
    </row>
    <row r="36" spans="1:225" ht="24" x14ac:dyDescent="0.25">
      <c r="A36" s="5846"/>
      <c r="B36" s="1402" t="s">
        <v>1784</v>
      </c>
      <c r="C36" s="1350" t="s">
        <v>1780</v>
      </c>
      <c r="D36" s="2542">
        <f>450138/1000-D39</f>
        <v>450.12349999999998</v>
      </c>
      <c r="E36" s="3620">
        <f>108311.4/1000-E39</f>
        <v>108.30476519999999</v>
      </c>
      <c r="F36" s="3617">
        <f>399849.68/1000-F39</f>
        <v>399.84967999999998</v>
      </c>
      <c r="G36" s="3631">
        <f>109121.461/1000-G39</f>
        <v>109.121461</v>
      </c>
      <c r="H36" s="3623">
        <f>J36+L36+N36+P36+R36+T36+V36</f>
        <v>566.11189971447664</v>
      </c>
      <c r="I36" s="1343">
        <f>K36+M36+O36+Q36+S36+U36+W36</f>
        <v>154.31316977180995</v>
      </c>
      <c r="J36" s="1344">
        <f>J34*J35/1000</f>
        <v>35.050341460155416</v>
      </c>
      <c r="K36" s="1343">
        <f t="shared" ref="K36:W36" si="8">K34*K35/1000</f>
        <v>9.0525343279307897</v>
      </c>
      <c r="L36" s="1344">
        <f t="shared" si="8"/>
        <v>526.27618443968072</v>
      </c>
      <c r="M36" s="1343">
        <f t="shared" si="8"/>
        <v>141.01345407722678</v>
      </c>
      <c r="N36" s="1344">
        <f t="shared" si="8"/>
        <v>0.13173300000000002</v>
      </c>
      <c r="O36" s="1343">
        <f t="shared" si="8"/>
        <v>0.11691750000000001</v>
      </c>
      <c r="P36" s="1344">
        <f t="shared" si="8"/>
        <v>1.7431098749999998</v>
      </c>
      <c r="Q36" s="1343">
        <f t="shared" si="8"/>
        <v>1.5470690624999999</v>
      </c>
      <c r="R36" s="1344">
        <f t="shared" si="8"/>
        <v>0.92213100000000003</v>
      </c>
      <c r="S36" s="1343">
        <f t="shared" si="8"/>
        <v>0.81842250000000005</v>
      </c>
      <c r="T36" s="1344">
        <f t="shared" si="8"/>
        <v>1.5819030000000001</v>
      </c>
      <c r="U36" s="1343">
        <f t="shared" si="8"/>
        <v>1.4039925</v>
      </c>
      <c r="V36" s="1344">
        <f t="shared" si="8"/>
        <v>0.40649693964041089</v>
      </c>
      <c r="W36" s="1343">
        <f t="shared" si="8"/>
        <v>0.36077980415239724</v>
      </c>
      <c r="X36" s="1370"/>
      <c r="Y36" s="1370"/>
      <c r="Z36" s="1370"/>
      <c r="AA36" s="1370"/>
      <c r="AB36" s="1370"/>
      <c r="AC36" s="1370"/>
      <c r="AD36" s="1370"/>
      <c r="AE36" s="1370"/>
      <c r="AF36" s="1370"/>
      <c r="AG36" s="1370"/>
      <c r="AH36" s="1370"/>
      <c r="AI36" s="1370"/>
      <c r="AJ36" s="1370"/>
      <c r="AK36" s="1370"/>
      <c r="AL36" s="1370"/>
      <c r="AM36" s="1370"/>
      <c r="AN36" s="1370"/>
      <c r="AO36" s="1370"/>
      <c r="AP36" s="1370"/>
      <c r="AQ36" s="1370"/>
      <c r="AR36" s="1370"/>
      <c r="AS36" s="1370"/>
      <c r="AT36" s="1370"/>
      <c r="AU36" s="1370"/>
      <c r="AV36" s="1370"/>
      <c r="AW36" s="1370"/>
      <c r="AX36" s="1370"/>
      <c r="AY36" s="1370"/>
      <c r="AZ36" s="1370"/>
      <c r="BA36" s="1370"/>
      <c r="BB36" s="1370"/>
      <c r="BC36" s="1370"/>
      <c r="BD36" s="1370"/>
      <c r="BE36" s="1370"/>
      <c r="BF36" s="1370"/>
      <c r="BG36" s="1370"/>
      <c r="BH36" s="1370"/>
      <c r="BI36" s="1370"/>
      <c r="BJ36" s="1370"/>
      <c r="BK36" s="1370"/>
      <c r="BL36" s="1370"/>
      <c r="BM36" s="1370"/>
      <c r="BN36" s="1370"/>
      <c r="BO36" s="1370"/>
      <c r="BP36" s="1370"/>
      <c r="BQ36" s="1370"/>
      <c r="BR36" s="1370"/>
      <c r="BS36" s="1370"/>
      <c r="BT36" s="1370"/>
      <c r="BU36" s="1370"/>
      <c r="BV36" s="1370"/>
      <c r="BW36" s="1370"/>
      <c r="BX36" s="1370"/>
      <c r="BY36" s="1370"/>
      <c r="BZ36" s="1370"/>
      <c r="CA36" s="1370"/>
      <c r="CB36" s="1370"/>
      <c r="CC36" s="1370"/>
      <c r="CD36" s="1370"/>
      <c r="CE36" s="1370"/>
      <c r="CF36" s="1370"/>
      <c r="CG36" s="1370"/>
      <c r="CH36" s="1370"/>
      <c r="CI36" s="1370"/>
      <c r="CJ36" s="1370"/>
      <c r="CK36" s="1370"/>
      <c r="CL36" s="1370"/>
      <c r="CM36" s="1370"/>
      <c r="CN36" s="1370"/>
      <c r="CO36" s="1370"/>
      <c r="CP36" s="1370"/>
      <c r="CQ36" s="1370"/>
      <c r="CR36" s="1370"/>
      <c r="CS36" s="1370"/>
      <c r="CT36" s="1370"/>
      <c r="CU36" s="1370"/>
      <c r="CV36" s="1370"/>
      <c r="CW36" s="1370"/>
      <c r="CX36" s="1370"/>
      <c r="CY36" s="1370"/>
      <c r="CZ36" s="1370"/>
      <c r="DA36" s="1370"/>
      <c r="DB36" s="1370"/>
      <c r="DC36" s="1370"/>
      <c r="DD36" s="1370"/>
      <c r="DE36" s="1370"/>
      <c r="DF36" s="1370"/>
      <c r="DG36" s="1370"/>
      <c r="DH36" s="1370"/>
      <c r="DI36" s="1370"/>
      <c r="DJ36" s="1370"/>
      <c r="DK36" s="1370"/>
      <c r="DL36" s="1370"/>
      <c r="DM36" s="1370"/>
      <c r="DN36" s="1370"/>
      <c r="DO36" s="1370"/>
      <c r="DP36" s="1370"/>
      <c r="DQ36" s="1370"/>
      <c r="DR36" s="1370"/>
      <c r="DS36" s="1370"/>
      <c r="DT36" s="1370"/>
      <c r="DU36" s="1370"/>
      <c r="DV36" s="1370"/>
      <c r="DW36" s="1370"/>
      <c r="DX36" s="1370"/>
      <c r="DY36" s="1370"/>
      <c r="DZ36" s="1370"/>
      <c r="EA36" s="1370"/>
      <c r="EB36" s="1370"/>
      <c r="EC36" s="1370"/>
      <c r="ED36" s="1370"/>
      <c r="EE36" s="1370"/>
      <c r="EF36" s="1370"/>
      <c r="EG36" s="1370"/>
      <c r="EH36" s="1370"/>
      <c r="EI36" s="1370"/>
      <c r="EJ36" s="1370"/>
      <c r="EK36" s="1370"/>
      <c r="EL36" s="1370"/>
      <c r="EM36" s="1370"/>
      <c r="EN36" s="1370"/>
      <c r="EO36" s="1370"/>
      <c r="EP36" s="1370"/>
      <c r="EQ36" s="1370"/>
      <c r="ER36" s="1370"/>
      <c r="ES36" s="1370"/>
      <c r="ET36" s="1370"/>
      <c r="EU36" s="1370"/>
      <c r="EV36" s="1370"/>
      <c r="EW36" s="1370"/>
      <c r="EX36" s="1370"/>
      <c r="EY36" s="1370"/>
      <c r="EZ36" s="1370"/>
      <c r="FA36" s="1370"/>
      <c r="FB36" s="1370"/>
      <c r="FC36" s="1370"/>
      <c r="FD36" s="1370"/>
      <c r="FE36" s="1370"/>
      <c r="FF36" s="1370"/>
      <c r="FG36" s="1370"/>
      <c r="FH36" s="1370"/>
      <c r="FI36" s="1370"/>
      <c r="FJ36" s="1370"/>
      <c r="FK36" s="1370"/>
      <c r="FL36" s="1370"/>
      <c r="FM36" s="1370"/>
      <c r="FN36" s="1370"/>
      <c r="FO36" s="1370"/>
      <c r="FP36" s="1370"/>
      <c r="FQ36" s="1370"/>
      <c r="FR36" s="1370"/>
      <c r="FS36" s="1370"/>
      <c r="FT36" s="1370"/>
      <c r="FU36" s="1370"/>
      <c r="FV36" s="1370"/>
      <c r="FW36" s="1370"/>
      <c r="FX36" s="1370"/>
      <c r="FY36" s="1370"/>
      <c r="FZ36" s="1370"/>
      <c r="GA36" s="1370"/>
      <c r="GB36" s="1370"/>
      <c r="GC36" s="1370"/>
      <c r="GD36" s="1370"/>
      <c r="GE36" s="1370"/>
      <c r="GF36" s="1370"/>
      <c r="GG36" s="1370"/>
      <c r="GH36" s="1370"/>
      <c r="GI36" s="1370"/>
      <c r="GJ36" s="1370"/>
      <c r="GK36" s="1370"/>
      <c r="GL36" s="1370"/>
      <c r="GM36" s="1370"/>
      <c r="GN36" s="1370"/>
      <c r="GO36" s="1370"/>
      <c r="GP36" s="1370"/>
      <c r="GQ36" s="1370"/>
      <c r="GR36" s="1370"/>
      <c r="GS36" s="1370"/>
      <c r="GT36" s="1370"/>
      <c r="GU36" s="1370"/>
      <c r="GV36" s="1370"/>
      <c r="GW36" s="1370"/>
      <c r="GX36" s="1370"/>
      <c r="GY36" s="1370"/>
      <c r="GZ36" s="1370"/>
      <c r="HA36" s="1370"/>
      <c r="HB36" s="1370"/>
      <c r="HC36" s="1370"/>
      <c r="HD36" s="1370"/>
      <c r="HE36" s="1370"/>
      <c r="HF36" s="1370"/>
      <c r="HG36" s="1370"/>
      <c r="HH36" s="1370"/>
      <c r="HI36" s="1370"/>
      <c r="HJ36" s="1370"/>
      <c r="HK36" s="1370"/>
      <c r="HL36" s="1370"/>
      <c r="HM36" s="1370"/>
      <c r="HN36" s="1370"/>
      <c r="HO36" s="1370"/>
      <c r="HP36" s="1370"/>
      <c r="HQ36" s="1370"/>
    </row>
    <row r="37" spans="1:225" ht="23.25" customHeight="1" x14ac:dyDescent="0.25">
      <c r="A37" s="5844" t="s">
        <v>1785</v>
      </c>
      <c r="B37" s="2024" t="s">
        <v>1786</v>
      </c>
      <c r="C37" s="1349" t="s">
        <v>1746</v>
      </c>
      <c r="D37" s="1344">
        <v>2</v>
      </c>
      <c r="E37" s="3619">
        <f>D37*0.291</f>
        <v>0.58199999999999996</v>
      </c>
      <c r="F37" s="3617">
        <v>0</v>
      </c>
      <c r="G37" s="3618">
        <f>F37*0.291</f>
        <v>0</v>
      </c>
      <c r="H37" s="3623">
        <f>J37+L37</f>
        <v>8.100608004306256</v>
      </c>
      <c r="I37" s="1343">
        <f>K37+M37+O37+Q37+S37+U37+W37</f>
        <v>2.3572769292531204</v>
      </c>
      <c r="J37" s="1344">
        <v>0</v>
      </c>
      <c r="K37" s="1343">
        <f>J37*0.291</f>
        <v>0</v>
      </c>
      <c r="L37" s="1344">
        <v>8.100608004306256</v>
      </c>
      <c r="M37" s="1343">
        <f>L37*0.291</f>
        <v>2.3572769292531204</v>
      </c>
      <c r="N37" s="1344">
        <v>0</v>
      </c>
      <c r="O37" s="1343">
        <f>N37*0.291</f>
        <v>0</v>
      </c>
      <c r="P37" s="1344">
        <v>0</v>
      </c>
      <c r="Q37" s="1343">
        <f>P37*0.291</f>
        <v>0</v>
      </c>
      <c r="R37" s="1344">
        <v>0</v>
      </c>
      <c r="S37" s="1343">
        <f>R37*0.291</f>
        <v>0</v>
      </c>
      <c r="T37" s="1344">
        <v>0</v>
      </c>
      <c r="U37" s="1343">
        <f>T37*0.291</f>
        <v>0</v>
      </c>
      <c r="V37" s="1344">
        <v>0</v>
      </c>
      <c r="W37" s="1343">
        <f>V37*0.291</f>
        <v>0</v>
      </c>
      <c r="X37" s="1370"/>
      <c r="Y37" s="1370"/>
      <c r="Z37" s="1370"/>
      <c r="AA37" s="1370"/>
      <c r="AB37" s="1370"/>
      <c r="AC37" s="1370"/>
      <c r="AD37" s="1370"/>
      <c r="AE37" s="1370"/>
      <c r="AF37" s="1370"/>
      <c r="AG37" s="1370"/>
      <c r="AH37" s="1370"/>
      <c r="AI37" s="1370"/>
      <c r="AJ37" s="1370"/>
      <c r="AK37" s="1370"/>
      <c r="AL37" s="1370"/>
      <c r="AM37" s="1370"/>
      <c r="AN37" s="1370"/>
      <c r="AO37" s="1370"/>
      <c r="AP37" s="1370"/>
      <c r="AQ37" s="1370"/>
      <c r="AR37" s="1370"/>
      <c r="AS37" s="1370"/>
      <c r="AT37" s="1370"/>
      <c r="AU37" s="1370"/>
      <c r="AV37" s="1370"/>
      <c r="AW37" s="1370"/>
      <c r="AX37" s="1370"/>
      <c r="AY37" s="1370"/>
      <c r="AZ37" s="1370"/>
      <c r="BA37" s="1370"/>
      <c r="BB37" s="1370"/>
      <c r="BC37" s="1370"/>
      <c r="BD37" s="1370"/>
      <c r="BE37" s="1370"/>
      <c r="BF37" s="1370"/>
      <c r="BG37" s="1370"/>
      <c r="BH37" s="1370"/>
      <c r="BI37" s="1370"/>
      <c r="BJ37" s="1370"/>
      <c r="BK37" s="1370"/>
      <c r="BL37" s="1370"/>
      <c r="BM37" s="1370"/>
      <c r="BN37" s="1370"/>
      <c r="BO37" s="1370"/>
      <c r="BP37" s="1370"/>
      <c r="BQ37" s="1370"/>
      <c r="BR37" s="1370"/>
      <c r="BS37" s="1370"/>
      <c r="BT37" s="1370"/>
      <c r="BU37" s="1370"/>
      <c r="BV37" s="1370"/>
      <c r="BW37" s="1370"/>
      <c r="BX37" s="1370"/>
      <c r="BY37" s="1370"/>
      <c r="BZ37" s="1370"/>
      <c r="CA37" s="1370"/>
      <c r="CB37" s="1370"/>
      <c r="CC37" s="1370"/>
      <c r="CD37" s="1370"/>
      <c r="CE37" s="1370"/>
      <c r="CF37" s="1370"/>
      <c r="CG37" s="1370"/>
      <c r="CH37" s="1370"/>
      <c r="CI37" s="1370"/>
      <c r="CJ37" s="1370"/>
      <c r="CK37" s="1370"/>
      <c r="CL37" s="1370"/>
      <c r="CM37" s="1370"/>
      <c r="CN37" s="1370"/>
      <c r="CO37" s="1370"/>
      <c r="CP37" s="1370"/>
      <c r="CQ37" s="1370"/>
      <c r="CR37" s="1370"/>
      <c r="CS37" s="1370"/>
      <c r="CT37" s="1370"/>
      <c r="CU37" s="1370"/>
      <c r="CV37" s="1370"/>
      <c r="CW37" s="1370"/>
      <c r="CX37" s="1370"/>
      <c r="CY37" s="1370"/>
      <c r="CZ37" s="1370"/>
      <c r="DA37" s="1370"/>
      <c r="DB37" s="1370"/>
      <c r="DC37" s="1370"/>
      <c r="DD37" s="1370"/>
      <c r="DE37" s="1370"/>
      <c r="DF37" s="1370"/>
      <c r="DG37" s="1370"/>
      <c r="DH37" s="1370"/>
      <c r="DI37" s="1370"/>
      <c r="DJ37" s="1370"/>
      <c r="DK37" s="1370"/>
      <c r="DL37" s="1370"/>
      <c r="DM37" s="1370"/>
      <c r="DN37" s="1370"/>
      <c r="DO37" s="1370"/>
      <c r="DP37" s="1370"/>
      <c r="DQ37" s="1370"/>
      <c r="DR37" s="1370"/>
      <c r="DS37" s="1370"/>
      <c r="DT37" s="1370"/>
      <c r="DU37" s="1370"/>
      <c r="DV37" s="1370"/>
      <c r="DW37" s="1370"/>
      <c r="DX37" s="1370"/>
      <c r="DY37" s="1370"/>
      <c r="DZ37" s="1370"/>
      <c r="EA37" s="1370"/>
      <c r="EB37" s="1370"/>
      <c r="EC37" s="1370"/>
      <c r="ED37" s="1370"/>
      <c r="EE37" s="1370"/>
      <c r="EF37" s="1370"/>
      <c r="EG37" s="1370"/>
      <c r="EH37" s="1370"/>
      <c r="EI37" s="1370"/>
      <c r="EJ37" s="1370"/>
      <c r="EK37" s="1370"/>
      <c r="EL37" s="1370"/>
      <c r="EM37" s="1370"/>
      <c r="EN37" s="1370"/>
      <c r="EO37" s="1370"/>
      <c r="EP37" s="1370"/>
      <c r="EQ37" s="1370"/>
      <c r="ER37" s="1370"/>
      <c r="ES37" s="1370"/>
      <c r="ET37" s="1370"/>
      <c r="EU37" s="1370"/>
      <c r="EV37" s="1370"/>
      <c r="EW37" s="1370"/>
      <c r="EX37" s="1370"/>
      <c r="EY37" s="1370"/>
      <c r="EZ37" s="1370"/>
      <c r="FA37" s="1370"/>
      <c r="FB37" s="1370"/>
      <c r="FC37" s="1370"/>
      <c r="FD37" s="1370"/>
      <c r="FE37" s="1370"/>
      <c r="FF37" s="1370"/>
      <c r="FG37" s="1370"/>
      <c r="FH37" s="1370"/>
      <c r="FI37" s="1370"/>
      <c r="FJ37" s="1370"/>
      <c r="FK37" s="1370"/>
      <c r="FL37" s="1370"/>
      <c r="FM37" s="1370"/>
      <c r="FN37" s="1370"/>
      <c r="FO37" s="1370"/>
      <c r="FP37" s="1370"/>
      <c r="FQ37" s="1370"/>
      <c r="FR37" s="1370"/>
      <c r="FS37" s="1370"/>
      <c r="FT37" s="1370"/>
      <c r="FU37" s="1370"/>
      <c r="FV37" s="1370"/>
      <c r="FW37" s="1370"/>
      <c r="FX37" s="1370"/>
      <c r="FY37" s="1370"/>
      <c r="FZ37" s="1370"/>
      <c r="GA37" s="1370"/>
      <c r="GB37" s="1370"/>
      <c r="GC37" s="1370"/>
      <c r="GD37" s="1370"/>
      <c r="GE37" s="1370"/>
      <c r="GF37" s="1370"/>
      <c r="GG37" s="1370"/>
      <c r="GH37" s="1370"/>
      <c r="GI37" s="1370"/>
      <c r="GJ37" s="1370"/>
      <c r="GK37" s="1370"/>
      <c r="GL37" s="1370"/>
      <c r="GM37" s="1370"/>
      <c r="GN37" s="1370"/>
      <c r="GO37" s="1370"/>
      <c r="GP37" s="1370"/>
      <c r="GQ37" s="1370"/>
      <c r="GR37" s="1370"/>
      <c r="GS37" s="1370"/>
      <c r="GT37" s="1370"/>
      <c r="GU37" s="1370"/>
      <c r="GV37" s="1370"/>
      <c r="GW37" s="1370"/>
      <c r="GX37" s="1370"/>
      <c r="GY37" s="1370"/>
      <c r="GZ37" s="1370"/>
      <c r="HA37" s="1370"/>
      <c r="HB37" s="1370"/>
      <c r="HC37" s="1370"/>
      <c r="HD37" s="1370"/>
      <c r="HE37" s="1370"/>
      <c r="HF37" s="1370"/>
      <c r="HG37" s="1370"/>
      <c r="HH37" s="1370"/>
      <c r="HI37" s="1370"/>
      <c r="HJ37" s="1370"/>
      <c r="HK37" s="1370"/>
      <c r="HL37" s="1370"/>
      <c r="HM37" s="1370"/>
      <c r="HN37" s="1370"/>
      <c r="HO37" s="1370"/>
      <c r="HP37" s="1370"/>
      <c r="HQ37" s="1370"/>
    </row>
    <row r="38" spans="1:225" s="1370" customFormat="1" ht="24" customHeight="1" x14ac:dyDescent="0.25">
      <c r="A38" s="5845"/>
      <c r="B38" s="1401" t="s">
        <v>1787</v>
      </c>
      <c r="C38" s="1349" t="s">
        <v>1777</v>
      </c>
      <c r="D38" s="1344">
        <f>D39/D37*1000</f>
        <v>7.25</v>
      </c>
      <c r="E38" s="3619">
        <f>E39*1000/E37</f>
        <v>11.4</v>
      </c>
      <c r="F38" s="3617">
        <f>IFERROR(F39/F37*1000,0)</f>
        <v>0</v>
      </c>
      <c r="G38" s="3631">
        <f>IFERROR(G39/G37*1000,0)</f>
        <v>0</v>
      </c>
      <c r="H38" s="3649">
        <f>H35</f>
        <v>18.45</v>
      </c>
      <c r="I38" s="3650">
        <f t="shared" ref="I38:W38" si="9">I35</f>
        <v>16.375</v>
      </c>
      <c r="J38" s="1344">
        <f t="shared" si="9"/>
        <v>18.45</v>
      </c>
      <c r="K38" s="1343">
        <f t="shared" si="9"/>
        <v>16.375</v>
      </c>
      <c r="L38" s="1344">
        <f t="shared" si="9"/>
        <v>18.45</v>
      </c>
      <c r="M38" s="1343">
        <f t="shared" si="9"/>
        <v>16.375</v>
      </c>
      <c r="N38" s="1344">
        <f t="shared" si="9"/>
        <v>18.45</v>
      </c>
      <c r="O38" s="1343">
        <f t="shared" si="9"/>
        <v>16.375</v>
      </c>
      <c r="P38" s="1344">
        <f t="shared" si="9"/>
        <v>18.45</v>
      </c>
      <c r="Q38" s="1343">
        <f t="shared" si="9"/>
        <v>16.375</v>
      </c>
      <c r="R38" s="1344">
        <f t="shared" si="9"/>
        <v>18.45</v>
      </c>
      <c r="S38" s="1343">
        <f t="shared" si="9"/>
        <v>16.375</v>
      </c>
      <c r="T38" s="1344">
        <f t="shared" si="9"/>
        <v>18.45</v>
      </c>
      <c r="U38" s="1343">
        <f t="shared" si="9"/>
        <v>16.375</v>
      </c>
      <c r="V38" s="1344">
        <f t="shared" si="9"/>
        <v>18.45</v>
      </c>
      <c r="W38" s="1343">
        <f t="shared" si="9"/>
        <v>16.375</v>
      </c>
    </row>
    <row r="39" spans="1:225" s="1370" customFormat="1" ht="24" customHeight="1" x14ac:dyDescent="0.25">
      <c r="A39" s="5846"/>
      <c r="B39" s="1402" t="s">
        <v>1788</v>
      </c>
      <c r="C39" s="1350" t="s">
        <v>1780</v>
      </c>
      <c r="D39" s="2541">
        <f>1*14.5/1000</f>
        <v>1.4500000000000001E-2</v>
      </c>
      <c r="E39" s="3621">
        <f>E37*11.4/1000</f>
        <v>6.6347999999999997E-3</v>
      </c>
      <c r="F39" s="3628">
        <v>0</v>
      </c>
      <c r="G39" s="3632">
        <f>G37*11.4/1000</f>
        <v>0</v>
      </c>
      <c r="H39" s="3623">
        <f>J39+L39+N39+P39+R39+T39+V39</f>
        <v>0.14945621767945041</v>
      </c>
      <c r="I39" s="1343">
        <f>K39+M39+O39+Q39+S39+U39+W39</f>
        <v>3.8600409716519846E-2</v>
      </c>
      <c r="J39" s="1344">
        <f>J37*J38/1000</f>
        <v>0</v>
      </c>
      <c r="K39" s="1343">
        <f t="shared" ref="K39:W39" si="10">K37*K38/1000</f>
        <v>0</v>
      </c>
      <c r="L39" s="1344">
        <f t="shared" si="10"/>
        <v>0.14945621767945041</v>
      </c>
      <c r="M39" s="1343">
        <f t="shared" si="10"/>
        <v>3.8600409716519846E-2</v>
      </c>
      <c r="N39" s="1344">
        <f t="shared" si="10"/>
        <v>0</v>
      </c>
      <c r="O39" s="1343">
        <f t="shared" si="10"/>
        <v>0</v>
      </c>
      <c r="P39" s="1344">
        <f t="shared" si="10"/>
        <v>0</v>
      </c>
      <c r="Q39" s="1343">
        <f t="shared" si="10"/>
        <v>0</v>
      </c>
      <c r="R39" s="1344">
        <f t="shared" si="10"/>
        <v>0</v>
      </c>
      <c r="S39" s="1343">
        <f t="shared" si="10"/>
        <v>0</v>
      </c>
      <c r="T39" s="1344">
        <f t="shared" si="10"/>
        <v>0</v>
      </c>
      <c r="U39" s="1343">
        <f t="shared" si="10"/>
        <v>0</v>
      </c>
      <c r="V39" s="1344">
        <f t="shared" si="10"/>
        <v>0</v>
      </c>
      <c r="W39" s="1343">
        <f t="shared" si="10"/>
        <v>0</v>
      </c>
    </row>
    <row r="40" spans="1:225" s="1370" customFormat="1" ht="18.75" hidden="1" customHeight="1" x14ac:dyDescent="0.25">
      <c r="A40" s="5844" t="s">
        <v>1789</v>
      </c>
      <c r="B40" s="1403" t="s">
        <v>1790</v>
      </c>
      <c r="C40" s="1349" t="s">
        <v>1746</v>
      </c>
      <c r="D40" s="1344"/>
      <c r="E40" s="3619"/>
      <c r="F40" s="3617"/>
      <c r="G40" s="3631"/>
      <c r="H40" s="3623">
        <f>J40+L40+N40+P40+R40+T40+V40</f>
        <v>0</v>
      </c>
      <c r="I40" s="1343">
        <f>K40+M40+O40+Q40+S40+U40+W40</f>
        <v>0</v>
      </c>
      <c r="J40" s="1344"/>
      <c r="K40" s="1343"/>
      <c r="L40" s="1344"/>
      <c r="M40" s="1343"/>
      <c r="N40" s="1344"/>
      <c r="O40" s="1343"/>
      <c r="P40" s="1344"/>
      <c r="Q40" s="1343"/>
      <c r="R40" s="1344"/>
      <c r="S40" s="1343"/>
      <c r="T40" s="1344"/>
      <c r="U40" s="1343"/>
      <c r="V40" s="1344"/>
      <c r="W40" s="1345"/>
    </row>
    <row r="41" spans="1:225" s="1370" customFormat="1" ht="24" hidden="1" customHeight="1" x14ac:dyDescent="0.25">
      <c r="A41" s="5845"/>
      <c r="B41" s="1401" t="s">
        <v>1791</v>
      </c>
      <c r="C41" s="1349" t="s">
        <v>1777</v>
      </c>
      <c r="D41" s="1344"/>
      <c r="E41" s="3619"/>
      <c r="F41" s="3617"/>
      <c r="G41" s="3631"/>
      <c r="H41" s="3623">
        <f>IF(H40=0,,H42/1000/H40)</f>
        <v>0</v>
      </c>
      <c r="I41" s="1343">
        <f>IF(I40=0,,I42/1000/I40)</f>
        <v>0</v>
      </c>
      <c r="J41" s="1344"/>
      <c r="K41" s="1343"/>
      <c r="L41" s="1344"/>
      <c r="M41" s="1343"/>
      <c r="N41" s="1344"/>
      <c r="O41" s="1343"/>
      <c r="P41" s="1344"/>
      <c r="Q41" s="1343"/>
      <c r="R41" s="1344"/>
      <c r="S41" s="1343"/>
      <c r="T41" s="1344"/>
      <c r="U41" s="1343"/>
      <c r="V41" s="1344"/>
      <c r="W41" s="1345"/>
    </row>
    <row r="42" spans="1:225" s="1370" customFormat="1" ht="27" hidden="1" customHeight="1" x14ac:dyDescent="0.25">
      <c r="A42" s="5846"/>
      <c r="B42" s="1404" t="s">
        <v>1792</v>
      </c>
      <c r="C42" s="1350" t="s">
        <v>1780</v>
      </c>
      <c r="D42" s="1344"/>
      <c r="E42" s="3619"/>
      <c r="F42" s="3617"/>
      <c r="G42" s="3631"/>
      <c r="H42" s="3623">
        <f>J42+L42+N42+P42+R42+T42+V42</f>
        <v>0</v>
      </c>
      <c r="I42" s="1343">
        <f>K42+M42+O42+Q42+S42+U42+W42</f>
        <v>0</v>
      </c>
      <c r="J42" s="1344">
        <f>J40*J41/1000</f>
        <v>0</v>
      </c>
      <c r="K42" s="1343">
        <f t="shared" ref="K42:W42" si="11">K40*K41/1000</f>
        <v>0</v>
      </c>
      <c r="L42" s="1344">
        <f t="shared" si="11"/>
        <v>0</v>
      </c>
      <c r="M42" s="1343">
        <f t="shared" si="11"/>
        <v>0</v>
      </c>
      <c r="N42" s="1344">
        <f t="shared" si="11"/>
        <v>0</v>
      </c>
      <c r="O42" s="1343">
        <f t="shared" si="11"/>
        <v>0</v>
      </c>
      <c r="P42" s="1344">
        <f t="shared" si="11"/>
        <v>0</v>
      </c>
      <c r="Q42" s="1343">
        <f t="shared" si="11"/>
        <v>0</v>
      </c>
      <c r="R42" s="1344">
        <f t="shared" si="11"/>
        <v>0</v>
      </c>
      <c r="S42" s="1343">
        <f t="shared" si="11"/>
        <v>0</v>
      </c>
      <c r="T42" s="1344">
        <f t="shared" si="11"/>
        <v>0</v>
      </c>
      <c r="U42" s="1343">
        <f t="shared" si="11"/>
        <v>0</v>
      </c>
      <c r="V42" s="1344">
        <f t="shared" si="11"/>
        <v>0</v>
      </c>
      <c r="W42" s="1343">
        <f t="shared" si="11"/>
        <v>0</v>
      </c>
    </row>
    <row r="43" spans="1:225" s="1370" customFormat="1" ht="13.2" hidden="1" customHeight="1" outlineLevel="1" x14ac:dyDescent="0.25">
      <c r="A43" s="5844" t="s">
        <v>1793</v>
      </c>
      <c r="B43" s="1401" t="s">
        <v>1794</v>
      </c>
      <c r="C43" s="1349" t="s">
        <v>1746</v>
      </c>
      <c r="D43" s="1344"/>
      <c r="E43" s="3619"/>
      <c r="F43" s="3617"/>
      <c r="G43" s="3631"/>
      <c r="H43" s="3623">
        <f>J43+L43+N43+P43+R43+T43+V43</f>
        <v>0</v>
      </c>
      <c r="I43" s="1343">
        <f>K43+M43+O43+Q43+S43+U43+W43</f>
        <v>0</v>
      </c>
      <c r="J43" s="1344"/>
      <c r="K43" s="1343"/>
      <c r="L43" s="1344"/>
      <c r="M43" s="1343"/>
      <c r="N43" s="1344"/>
      <c r="O43" s="1343"/>
      <c r="P43" s="1344"/>
      <c r="Q43" s="1343"/>
      <c r="R43" s="1344"/>
      <c r="S43" s="1343"/>
      <c r="T43" s="1344"/>
      <c r="U43" s="1343"/>
      <c r="V43" s="1344"/>
      <c r="W43" s="1346"/>
    </row>
    <row r="44" spans="1:225" s="1370" customFormat="1" ht="24" hidden="1" customHeight="1" outlineLevel="1" x14ac:dyDescent="0.25">
      <c r="A44" s="5845"/>
      <c r="B44" s="1401" t="s">
        <v>1795</v>
      </c>
      <c r="C44" s="1349" t="s">
        <v>1777</v>
      </c>
      <c r="D44" s="1344"/>
      <c r="E44" s="3619"/>
      <c r="F44" s="3617"/>
      <c r="G44" s="3631"/>
      <c r="H44" s="3623">
        <f>IF(H43=0,,H45/1000/H43)</f>
        <v>0</v>
      </c>
      <c r="I44" s="1343">
        <f>IF(I43=0,,I45/1000/I43)</f>
        <v>0</v>
      </c>
      <c r="J44" s="1344"/>
      <c r="K44" s="1343"/>
      <c r="L44" s="1344"/>
      <c r="M44" s="1343"/>
      <c r="N44" s="1344"/>
      <c r="O44" s="1343"/>
      <c r="P44" s="1344"/>
      <c r="Q44" s="1343"/>
      <c r="R44" s="1344"/>
      <c r="S44" s="1343"/>
      <c r="T44" s="1344"/>
      <c r="U44" s="1343"/>
      <c r="V44" s="1344"/>
      <c r="W44" s="1346"/>
    </row>
    <row r="45" spans="1:225" s="1370" customFormat="1" ht="24" hidden="1" customHeight="1" outlineLevel="1" x14ac:dyDescent="0.25">
      <c r="A45" s="5846"/>
      <c r="B45" s="1404" t="s">
        <v>1796</v>
      </c>
      <c r="C45" s="1350" t="s">
        <v>1780</v>
      </c>
      <c r="D45" s="1344"/>
      <c r="E45" s="3619"/>
      <c r="F45" s="3617"/>
      <c r="G45" s="3631"/>
      <c r="H45" s="3623">
        <f>J45+L45+N45+P45+R45+T45+V45</f>
        <v>0</v>
      </c>
      <c r="I45" s="1343">
        <f>K45+M45+O45+Q45+S45+U45+W45</f>
        <v>0</v>
      </c>
      <c r="J45" s="1344">
        <f>J43*J44/1000</f>
        <v>0</v>
      </c>
      <c r="K45" s="1343">
        <f t="shared" ref="K45:W45" si="12">K43*K44/1000</f>
        <v>0</v>
      </c>
      <c r="L45" s="1344">
        <f t="shared" si="12"/>
        <v>0</v>
      </c>
      <c r="M45" s="1343">
        <f t="shared" si="12"/>
        <v>0</v>
      </c>
      <c r="N45" s="1344">
        <f t="shared" si="12"/>
        <v>0</v>
      </c>
      <c r="O45" s="1343">
        <f t="shared" si="12"/>
        <v>0</v>
      </c>
      <c r="P45" s="1344">
        <f t="shared" si="12"/>
        <v>0</v>
      </c>
      <c r="Q45" s="1343">
        <f t="shared" si="12"/>
        <v>0</v>
      </c>
      <c r="R45" s="1344">
        <f t="shared" si="12"/>
        <v>0</v>
      </c>
      <c r="S45" s="1343">
        <f t="shared" si="12"/>
        <v>0</v>
      </c>
      <c r="T45" s="1344">
        <f t="shared" si="12"/>
        <v>0</v>
      </c>
      <c r="U45" s="1343">
        <f t="shared" si="12"/>
        <v>0</v>
      </c>
      <c r="V45" s="1344">
        <f t="shared" si="12"/>
        <v>0</v>
      </c>
      <c r="W45" s="1343">
        <f t="shared" si="12"/>
        <v>0</v>
      </c>
    </row>
    <row r="46" spans="1:225" s="1370" customFormat="1" ht="13.2" hidden="1" customHeight="1" outlineLevel="1" x14ac:dyDescent="0.25">
      <c r="A46" s="5844" t="s">
        <v>1797</v>
      </c>
      <c r="B46" s="1401" t="s">
        <v>1798</v>
      </c>
      <c r="C46" s="1349" t="s">
        <v>1746</v>
      </c>
      <c r="D46" s="1344"/>
      <c r="E46" s="3619"/>
      <c r="F46" s="3617"/>
      <c r="G46" s="3631"/>
      <c r="H46" s="3623">
        <f>J46+L46+N46+P46+R46+T46+V46</f>
        <v>0</v>
      </c>
      <c r="I46" s="1343">
        <f>K46+M46+O46+Q46+S46+U46+W46</f>
        <v>0</v>
      </c>
      <c r="J46" s="1344"/>
      <c r="K46" s="1343"/>
      <c r="L46" s="1344"/>
      <c r="M46" s="1343"/>
      <c r="N46" s="1344"/>
      <c r="O46" s="1343"/>
      <c r="P46" s="1344"/>
      <c r="Q46" s="1343"/>
      <c r="R46" s="1344"/>
      <c r="S46" s="1343"/>
      <c r="T46" s="1344"/>
      <c r="U46" s="1343"/>
      <c r="V46" s="1344"/>
      <c r="W46" s="1346"/>
    </row>
    <row r="47" spans="1:225" s="1370" customFormat="1" ht="24" hidden="1" customHeight="1" outlineLevel="1" x14ac:dyDescent="0.25">
      <c r="A47" s="5845"/>
      <c r="B47" s="1401" t="s">
        <v>1799</v>
      </c>
      <c r="C47" s="1349" t="s">
        <v>1777</v>
      </c>
      <c r="D47" s="1344"/>
      <c r="E47" s="3619"/>
      <c r="F47" s="3617"/>
      <c r="G47" s="3631"/>
      <c r="H47" s="3623">
        <f>IF(H46=0,,H48/1000/H46)</f>
        <v>0</v>
      </c>
      <c r="I47" s="1343">
        <f>IF(I46=0,,I48/1000/I46)</f>
        <v>0</v>
      </c>
      <c r="J47" s="1344"/>
      <c r="K47" s="1343"/>
      <c r="L47" s="1344"/>
      <c r="M47" s="1343"/>
      <c r="N47" s="1344"/>
      <c r="O47" s="1343"/>
      <c r="P47" s="1344"/>
      <c r="Q47" s="1343"/>
      <c r="R47" s="1344"/>
      <c r="S47" s="1343"/>
      <c r="T47" s="1344"/>
      <c r="U47" s="1343"/>
      <c r="V47" s="1344"/>
      <c r="W47" s="1346"/>
    </row>
    <row r="48" spans="1:225" s="1370" customFormat="1" ht="24" hidden="1" customHeight="1" outlineLevel="1" x14ac:dyDescent="0.25">
      <c r="A48" s="5846"/>
      <c r="B48" s="1404" t="s">
        <v>1800</v>
      </c>
      <c r="C48" s="1350" t="s">
        <v>1780</v>
      </c>
      <c r="D48" s="1344"/>
      <c r="E48" s="3619"/>
      <c r="F48" s="3617"/>
      <c r="G48" s="3631"/>
      <c r="H48" s="3623">
        <f>J48+L48+N48+P48+R48+T48+V48</f>
        <v>0</v>
      </c>
      <c r="I48" s="1343">
        <f>K48+M48+O48+Q48+S48+U48+W48</f>
        <v>0</v>
      </c>
      <c r="J48" s="1344">
        <f>J46*J47/1000</f>
        <v>0</v>
      </c>
      <c r="K48" s="1343">
        <f t="shared" ref="K48:W48" si="13">K46*K47/1000</f>
        <v>0</v>
      </c>
      <c r="L48" s="1344">
        <f t="shared" si="13"/>
        <v>0</v>
      </c>
      <c r="M48" s="1343">
        <f t="shared" si="13"/>
        <v>0</v>
      </c>
      <c r="N48" s="1344">
        <f t="shared" si="13"/>
        <v>0</v>
      </c>
      <c r="O48" s="1343">
        <f t="shared" si="13"/>
        <v>0</v>
      </c>
      <c r="P48" s="1344">
        <f t="shared" si="13"/>
        <v>0</v>
      </c>
      <c r="Q48" s="1343">
        <f t="shared" si="13"/>
        <v>0</v>
      </c>
      <c r="R48" s="1344">
        <f t="shared" si="13"/>
        <v>0</v>
      </c>
      <c r="S48" s="1343">
        <f t="shared" si="13"/>
        <v>0</v>
      </c>
      <c r="T48" s="1344">
        <f t="shared" si="13"/>
        <v>0</v>
      </c>
      <c r="U48" s="1343">
        <f t="shared" si="13"/>
        <v>0</v>
      </c>
      <c r="V48" s="1344">
        <f t="shared" si="13"/>
        <v>0</v>
      </c>
      <c r="W48" s="1343">
        <f t="shared" si="13"/>
        <v>0</v>
      </c>
    </row>
    <row r="49" spans="1:225" ht="13.2" hidden="1" customHeight="1" outlineLevel="1" x14ac:dyDescent="0.25">
      <c r="A49" s="5844" t="s">
        <v>1801</v>
      </c>
      <c r="B49" s="1401" t="s">
        <v>1802</v>
      </c>
      <c r="C49" s="1349" t="s">
        <v>1746</v>
      </c>
      <c r="D49" s="1344"/>
      <c r="E49" s="3619"/>
      <c r="F49" s="3617"/>
      <c r="G49" s="3631"/>
      <c r="H49" s="3623">
        <f>J49+L49+N49+P49+R49+T49+V49</f>
        <v>0</v>
      </c>
      <c r="I49" s="1343">
        <f>K49+M49+O49+Q49+S49+U49+W49</f>
        <v>0</v>
      </c>
      <c r="J49" s="1344"/>
      <c r="K49" s="1343"/>
      <c r="L49" s="1344"/>
      <c r="M49" s="1343"/>
      <c r="N49" s="1344"/>
      <c r="O49" s="1343"/>
      <c r="P49" s="1344"/>
      <c r="Q49" s="1343"/>
      <c r="R49" s="1344"/>
      <c r="S49" s="1343"/>
      <c r="T49" s="1344"/>
      <c r="U49" s="1343"/>
      <c r="V49" s="1344"/>
      <c r="W49" s="1346"/>
      <c r="X49" s="1370"/>
      <c r="Y49" s="1370"/>
      <c r="Z49" s="1370"/>
      <c r="AA49" s="1370"/>
      <c r="AB49" s="1370"/>
      <c r="AC49" s="1370"/>
      <c r="AD49" s="1370"/>
      <c r="AE49" s="1370"/>
      <c r="AF49" s="1370"/>
      <c r="AG49" s="1370"/>
      <c r="AH49" s="1370"/>
      <c r="AI49" s="1370"/>
      <c r="AJ49" s="1370"/>
      <c r="AK49" s="1370"/>
      <c r="AL49" s="1370"/>
      <c r="AM49" s="1370"/>
      <c r="AN49" s="1370"/>
      <c r="AO49" s="1370"/>
      <c r="AP49" s="1370"/>
      <c r="AQ49" s="1370"/>
      <c r="AR49" s="1370"/>
      <c r="AS49" s="1370"/>
      <c r="AT49" s="1370"/>
      <c r="AU49" s="1370"/>
      <c r="AV49" s="1370"/>
      <c r="AW49" s="1370"/>
      <c r="AX49" s="1370"/>
      <c r="AY49" s="1370"/>
      <c r="AZ49" s="1370"/>
      <c r="BA49" s="1370"/>
      <c r="BB49" s="1370"/>
      <c r="BC49" s="1370"/>
      <c r="BD49" s="1370"/>
      <c r="BE49" s="1370"/>
      <c r="BF49" s="1370"/>
      <c r="BG49" s="1370"/>
      <c r="BH49" s="1370"/>
      <c r="BI49" s="1370"/>
      <c r="BJ49" s="1370"/>
      <c r="BK49" s="1370"/>
      <c r="BL49" s="1370"/>
      <c r="BM49" s="1370"/>
      <c r="BN49" s="1370"/>
      <c r="BO49" s="1370"/>
      <c r="BP49" s="1370"/>
      <c r="BQ49" s="1370"/>
      <c r="BR49" s="1370"/>
      <c r="BS49" s="1370"/>
      <c r="BT49" s="1370"/>
      <c r="BU49" s="1370"/>
      <c r="BV49" s="1370"/>
      <c r="BW49" s="1370"/>
      <c r="BX49" s="1370"/>
      <c r="BY49" s="1370"/>
      <c r="BZ49" s="1370"/>
      <c r="CA49" s="1370"/>
      <c r="CB49" s="1370"/>
      <c r="CC49" s="1370"/>
      <c r="CD49" s="1370"/>
      <c r="CE49" s="1370"/>
      <c r="CF49" s="1370"/>
      <c r="CG49" s="1370"/>
      <c r="CH49" s="1370"/>
      <c r="CI49" s="1370"/>
      <c r="CJ49" s="1370"/>
      <c r="CK49" s="1370"/>
      <c r="CL49" s="1370"/>
      <c r="CM49" s="1370"/>
      <c r="CN49" s="1370"/>
      <c r="CO49" s="1370"/>
      <c r="CP49" s="1370"/>
      <c r="CQ49" s="1370"/>
      <c r="CR49" s="1370"/>
      <c r="CS49" s="1370"/>
      <c r="CT49" s="1370"/>
      <c r="CU49" s="1370"/>
      <c r="CV49" s="1370"/>
      <c r="CW49" s="1370"/>
      <c r="CX49" s="1370"/>
      <c r="CY49" s="1370"/>
      <c r="CZ49" s="1370"/>
      <c r="DA49" s="1370"/>
      <c r="DB49" s="1370"/>
      <c r="DC49" s="1370"/>
      <c r="DD49" s="1370"/>
      <c r="DE49" s="1370"/>
      <c r="DF49" s="1370"/>
      <c r="DG49" s="1370"/>
      <c r="DH49" s="1370"/>
      <c r="DI49" s="1370"/>
      <c r="DJ49" s="1370"/>
      <c r="DK49" s="1370"/>
      <c r="DL49" s="1370"/>
      <c r="DM49" s="1370"/>
      <c r="DN49" s="1370"/>
      <c r="DO49" s="1370"/>
      <c r="DP49" s="1370"/>
      <c r="DQ49" s="1370"/>
      <c r="DR49" s="1370"/>
      <c r="DS49" s="1370"/>
      <c r="DT49" s="1370"/>
      <c r="DU49" s="1370"/>
      <c r="DV49" s="1370"/>
      <c r="DW49" s="1370"/>
      <c r="DX49" s="1370"/>
      <c r="DY49" s="1370"/>
      <c r="DZ49" s="1370"/>
      <c r="EA49" s="1370"/>
      <c r="EB49" s="1370"/>
      <c r="EC49" s="1370"/>
      <c r="ED49" s="1370"/>
      <c r="EE49" s="1370"/>
      <c r="EF49" s="1370"/>
      <c r="EG49" s="1370"/>
      <c r="EH49" s="1370"/>
      <c r="EI49" s="1370"/>
      <c r="EJ49" s="1370"/>
      <c r="EK49" s="1370"/>
      <c r="EL49" s="1370"/>
      <c r="EM49" s="1370"/>
      <c r="EN49" s="1370"/>
      <c r="EO49" s="1370"/>
      <c r="EP49" s="1370"/>
      <c r="EQ49" s="1370"/>
      <c r="ER49" s="1370"/>
      <c r="ES49" s="1370"/>
      <c r="ET49" s="1370"/>
      <c r="EU49" s="1370"/>
      <c r="EV49" s="1370"/>
      <c r="EW49" s="1370"/>
      <c r="EX49" s="1370"/>
      <c r="EY49" s="1370"/>
      <c r="EZ49" s="1370"/>
      <c r="FA49" s="1370"/>
      <c r="FB49" s="1370"/>
      <c r="FC49" s="1370"/>
      <c r="FD49" s="1370"/>
      <c r="FE49" s="1370"/>
      <c r="FF49" s="1370"/>
      <c r="FG49" s="1370"/>
      <c r="FH49" s="1370"/>
      <c r="FI49" s="1370"/>
      <c r="FJ49" s="1370"/>
      <c r="FK49" s="1370"/>
      <c r="FL49" s="1370"/>
      <c r="FM49" s="1370"/>
      <c r="FN49" s="1370"/>
      <c r="FO49" s="1370"/>
      <c r="FP49" s="1370"/>
      <c r="FQ49" s="1370"/>
      <c r="FR49" s="1370"/>
      <c r="FS49" s="1370"/>
      <c r="FT49" s="1370"/>
      <c r="FU49" s="1370"/>
      <c r="FV49" s="1370"/>
      <c r="FW49" s="1370"/>
      <c r="FX49" s="1370"/>
      <c r="FY49" s="1370"/>
      <c r="FZ49" s="1370"/>
      <c r="GA49" s="1370"/>
      <c r="GB49" s="1370"/>
      <c r="GC49" s="1370"/>
      <c r="GD49" s="1370"/>
      <c r="GE49" s="1370"/>
      <c r="GF49" s="1370"/>
      <c r="GG49" s="1370"/>
      <c r="GH49" s="1370"/>
      <c r="GI49" s="1370"/>
      <c r="GJ49" s="1370"/>
      <c r="GK49" s="1370"/>
      <c r="GL49" s="1370"/>
      <c r="GM49" s="1370"/>
      <c r="GN49" s="1370"/>
      <c r="GO49" s="1370"/>
      <c r="GP49" s="1370"/>
      <c r="GQ49" s="1370"/>
      <c r="GR49" s="1370"/>
      <c r="GS49" s="1370"/>
      <c r="GT49" s="1370"/>
      <c r="GU49" s="1370"/>
      <c r="GV49" s="1370"/>
      <c r="GW49" s="1370"/>
      <c r="GX49" s="1370"/>
      <c r="GY49" s="1370"/>
      <c r="GZ49" s="1370"/>
      <c r="HA49" s="1370"/>
      <c r="HB49" s="1370"/>
      <c r="HC49" s="1370"/>
      <c r="HD49" s="1370"/>
      <c r="HE49" s="1370"/>
      <c r="HF49" s="1370"/>
      <c r="HG49" s="1370"/>
      <c r="HH49" s="1370"/>
      <c r="HI49" s="1370"/>
      <c r="HJ49" s="1370"/>
      <c r="HK49" s="1370"/>
      <c r="HL49" s="1370"/>
      <c r="HM49" s="1370"/>
      <c r="HN49" s="1370"/>
      <c r="HO49" s="1370"/>
      <c r="HP49" s="1370"/>
      <c r="HQ49" s="1370"/>
    </row>
    <row r="50" spans="1:225" ht="24" hidden="1" customHeight="1" outlineLevel="1" x14ac:dyDescent="0.25">
      <c r="A50" s="5845"/>
      <c r="B50" s="1401" t="s">
        <v>1803</v>
      </c>
      <c r="C50" s="1349" t="s">
        <v>1777</v>
      </c>
      <c r="D50" s="1344"/>
      <c r="E50" s="3619"/>
      <c r="F50" s="3617"/>
      <c r="G50" s="3631"/>
      <c r="H50" s="3623">
        <f>IF(H49=0,,H51/1000/H49)</f>
        <v>0</v>
      </c>
      <c r="I50" s="1343">
        <f>IF(I49=0,,I51/1000/I49)</f>
        <v>0</v>
      </c>
      <c r="J50" s="1344"/>
      <c r="K50" s="1343"/>
      <c r="L50" s="1344"/>
      <c r="M50" s="1343"/>
      <c r="N50" s="1344"/>
      <c r="O50" s="1343"/>
      <c r="P50" s="1344"/>
      <c r="Q50" s="1343"/>
      <c r="R50" s="1344"/>
      <c r="S50" s="1343"/>
      <c r="T50" s="1344"/>
      <c r="U50" s="1343"/>
      <c r="V50" s="1344"/>
      <c r="W50" s="1346"/>
      <c r="X50" s="1370"/>
      <c r="Y50" s="1370"/>
      <c r="Z50" s="1370"/>
      <c r="AA50" s="1370"/>
      <c r="AB50" s="1370"/>
      <c r="AC50" s="1370"/>
      <c r="AD50" s="1370"/>
      <c r="AE50" s="1370"/>
      <c r="AF50" s="1370"/>
      <c r="AG50" s="1370"/>
      <c r="AH50" s="1370"/>
      <c r="AI50" s="1370"/>
      <c r="AJ50" s="1370"/>
      <c r="AK50" s="1370"/>
      <c r="AL50" s="1370"/>
      <c r="AM50" s="1370"/>
      <c r="AN50" s="1370"/>
      <c r="AO50" s="1370"/>
      <c r="AP50" s="1370"/>
      <c r="AQ50" s="1370"/>
      <c r="AR50" s="1370"/>
      <c r="AS50" s="1370"/>
      <c r="AT50" s="1370"/>
      <c r="AU50" s="1370"/>
      <c r="AV50" s="1370"/>
      <c r="AW50" s="1370"/>
      <c r="AX50" s="1370"/>
      <c r="AY50" s="1370"/>
      <c r="AZ50" s="1370"/>
      <c r="BA50" s="1370"/>
      <c r="BB50" s="1370"/>
      <c r="BC50" s="1370"/>
      <c r="BD50" s="1370"/>
      <c r="BE50" s="1370"/>
      <c r="BF50" s="1370"/>
      <c r="BG50" s="1370"/>
      <c r="BH50" s="1370"/>
      <c r="BI50" s="1370"/>
      <c r="BJ50" s="1370"/>
      <c r="BK50" s="1370"/>
      <c r="BL50" s="1370"/>
      <c r="BM50" s="1370"/>
      <c r="BN50" s="1370"/>
      <c r="BO50" s="1370"/>
      <c r="BP50" s="1370"/>
      <c r="BQ50" s="1370"/>
      <c r="BR50" s="1370"/>
      <c r="BS50" s="1370"/>
      <c r="BT50" s="1370"/>
      <c r="BU50" s="1370"/>
      <c r="BV50" s="1370"/>
      <c r="BW50" s="1370"/>
      <c r="BX50" s="1370"/>
      <c r="BY50" s="1370"/>
      <c r="BZ50" s="1370"/>
      <c r="CA50" s="1370"/>
      <c r="CB50" s="1370"/>
      <c r="CC50" s="1370"/>
      <c r="CD50" s="1370"/>
      <c r="CE50" s="1370"/>
      <c r="CF50" s="1370"/>
      <c r="CG50" s="1370"/>
      <c r="CH50" s="1370"/>
      <c r="CI50" s="1370"/>
      <c r="CJ50" s="1370"/>
      <c r="CK50" s="1370"/>
      <c r="CL50" s="1370"/>
      <c r="CM50" s="1370"/>
      <c r="CN50" s="1370"/>
      <c r="CO50" s="1370"/>
      <c r="CP50" s="1370"/>
      <c r="CQ50" s="1370"/>
      <c r="CR50" s="1370"/>
      <c r="CS50" s="1370"/>
      <c r="CT50" s="1370"/>
      <c r="CU50" s="1370"/>
      <c r="CV50" s="1370"/>
      <c r="CW50" s="1370"/>
      <c r="CX50" s="1370"/>
      <c r="CY50" s="1370"/>
      <c r="CZ50" s="1370"/>
      <c r="DA50" s="1370"/>
      <c r="DB50" s="1370"/>
      <c r="DC50" s="1370"/>
      <c r="DD50" s="1370"/>
      <c r="DE50" s="1370"/>
      <c r="DF50" s="1370"/>
      <c r="DG50" s="1370"/>
      <c r="DH50" s="1370"/>
      <c r="DI50" s="1370"/>
      <c r="DJ50" s="1370"/>
      <c r="DK50" s="1370"/>
      <c r="DL50" s="1370"/>
      <c r="DM50" s="1370"/>
      <c r="DN50" s="1370"/>
      <c r="DO50" s="1370"/>
      <c r="DP50" s="1370"/>
      <c r="DQ50" s="1370"/>
      <c r="DR50" s="1370"/>
      <c r="DS50" s="1370"/>
      <c r="DT50" s="1370"/>
      <c r="DU50" s="1370"/>
      <c r="DV50" s="1370"/>
      <c r="DW50" s="1370"/>
      <c r="DX50" s="1370"/>
      <c r="DY50" s="1370"/>
      <c r="DZ50" s="1370"/>
      <c r="EA50" s="1370"/>
      <c r="EB50" s="1370"/>
      <c r="EC50" s="1370"/>
      <c r="ED50" s="1370"/>
      <c r="EE50" s="1370"/>
      <c r="EF50" s="1370"/>
      <c r="EG50" s="1370"/>
      <c r="EH50" s="1370"/>
      <c r="EI50" s="1370"/>
      <c r="EJ50" s="1370"/>
      <c r="EK50" s="1370"/>
      <c r="EL50" s="1370"/>
      <c r="EM50" s="1370"/>
      <c r="EN50" s="1370"/>
      <c r="EO50" s="1370"/>
      <c r="EP50" s="1370"/>
      <c r="EQ50" s="1370"/>
      <c r="ER50" s="1370"/>
      <c r="ES50" s="1370"/>
      <c r="ET50" s="1370"/>
      <c r="EU50" s="1370"/>
      <c r="EV50" s="1370"/>
      <c r="EW50" s="1370"/>
      <c r="EX50" s="1370"/>
      <c r="EY50" s="1370"/>
      <c r="EZ50" s="1370"/>
      <c r="FA50" s="1370"/>
      <c r="FB50" s="1370"/>
      <c r="FC50" s="1370"/>
      <c r="FD50" s="1370"/>
      <c r="FE50" s="1370"/>
      <c r="FF50" s="1370"/>
      <c r="FG50" s="1370"/>
      <c r="FH50" s="1370"/>
      <c r="FI50" s="1370"/>
      <c r="FJ50" s="1370"/>
      <c r="FK50" s="1370"/>
      <c r="FL50" s="1370"/>
      <c r="FM50" s="1370"/>
      <c r="FN50" s="1370"/>
      <c r="FO50" s="1370"/>
      <c r="FP50" s="1370"/>
      <c r="FQ50" s="1370"/>
      <c r="FR50" s="1370"/>
      <c r="FS50" s="1370"/>
      <c r="FT50" s="1370"/>
      <c r="FU50" s="1370"/>
      <c r="FV50" s="1370"/>
      <c r="FW50" s="1370"/>
      <c r="FX50" s="1370"/>
      <c r="FY50" s="1370"/>
      <c r="FZ50" s="1370"/>
      <c r="GA50" s="1370"/>
      <c r="GB50" s="1370"/>
      <c r="GC50" s="1370"/>
      <c r="GD50" s="1370"/>
      <c r="GE50" s="1370"/>
      <c r="GF50" s="1370"/>
      <c r="GG50" s="1370"/>
      <c r="GH50" s="1370"/>
      <c r="GI50" s="1370"/>
      <c r="GJ50" s="1370"/>
      <c r="GK50" s="1370"/>
      <c r="GL50" s="1370"/>
      <c r="GM50" s="1370"/>
      <c r="GN50" s="1370"/>
      <c r="GO50" s="1370"/>
      <c r="GP50" s="1370"/>
      <c r="GQ50" s="1370"/>
      <c r="GR50" s="1370"/>
      <c r="GS50" s="1370"/>
      <c r="GT50" s="1370"/>
      <c r="GU50" s="1370"/>
      <c r="GV50" s="1370"/>
      <c r="GW50" s="1370"/>
      <c r="GX50" s="1370"/>
      <c r="GY50" s="1370"/>
      <c r="GZ50" s="1370"/>
      <c r="HA50" s="1370"/>
      <c r="HB50" s="1370"/>
      <c r="HC50" s="1370"/>
      <c r="HD50" s="1370"/>
      <c r="HE50" s="1370"/>
      <c r="HF50" s="1370"/>
      <c r="HG50" s="1370"/>
      <c r="HH50" s="1370"/>
      <c r="HI50" s="1370"/>
      <c r="HJ50" s="1370"/>
      <c r="HK50" s="1370"/>
      <c r="HL50" s="1370"/>
      <c r="HM50" s="1370"/>
      <c r="HN50" s="1370"/>
      <c r="HO50" s="1370"/>
      <c r="HP50" s="1370"/>
      <c r="HQ50" s="1370"/>
    </row>
    <row r="51" spans="1:225" ht="24" hidden="1" customHeight="1" outlineLevel="1" x14ac:dyDescent="0.25">
      <c r="A51" s="5846"/>
      <c r="B51" s="1404" t="s">
        <v>1804</v>
      </c>
      <c r="C51" s="1350" t="s">
        <v>1780</v>
      </c>
      <c r="D51" s="1344"/>
      <c r="E51" s="3619"/>
      <c r="F51" s="3617"/>
      <c r="G51" s="3631"/>
      <c r="H51" s="3623">
        <f>J51+L51+N51+P51+R51+T51+V51</f>
        <v>0</v>
      </c>
      <c r="I51" s="1343">
        <f>K51+M51+O51+Q51+S51+U51+W51</f>
        <v>0</v>
      </c>
      <c r="J51" s="1344">
        <f>J49*J50/1000</f>
        <v>0</v>
      </c>
      <c r="K51" s="1343">
        <f t="shared" ref="K51:W51" si="14">K49*K50/1000</f>
        <v>0</v>
      </c>
      <c r="L51" s="1344">
        <f t="shared" si="14"/>
        <v>0</v>
      </c>
      <c r="M51" s="1343">
        <f t="shared" si="14"/>
        <v>0</v>
      </c>
      <c r="N51" s="1344">
        <f t="shared" si="14"/>
        <v>0</v>
      </c>
      <c r="O51" s="1343">
        <f t="shared" si="14"/>
        <v>0</v>
      </c>
      <c r="P51" s="1344">
        <f t="shared" si="14"/>
        <v>0</v>
      </c>
      <c r="Q51" s="1343">
        <f t="shared" si="14"/>
        <v>0</v>
      </c>
      <c r="R51" s="1344">
        <f t="shared" si="14"/>
        <v>0</v>
      </c>
      <c r="S51" s="1343">
        <f t="shared" si="14"/>
        <v>0</v>
      </c>
      <c r="T51" s="1344">
        <f t="shared" si="14"/>
        <v>0</v>
      </c>
      <c r="U51" s="1343">
        <f t="shared" si="14"/>
        <v>0</v>
      </c>
      <c r="V51" s="1344">
        <f t="shared" si="14"/>
        <v>0</v>
      </c>
      <c r="W51" s="1343">
        <f t="shared" si="14"/>
        <v>0</v>
      </c>
      <c r="X51" s="1370"/>
      <c r="Y51" s="1370"/>
      <c r="Z51" s="1370"/>
      <c r="AA51" s="1370"/>
      <c r="AB51" s="1370"/>
      <c r="AC51" s="1370"/>
      <c r="AD51" s="1370"/>
      <c r="AE51" s="1370"/>
      <c r="AF51" s="1370"/>
      <c r="AG51" s="1370"/>
      <c r="AH51" s="1370"/>
      <c r="AI51" s="1370"/>
      <c r="AJ51" s="1370"/>
      <c r="AK51" s="1370"/>
      <c r="AL51" s="1370"/>
      <c r="AM51" s="1370"/>
      <c r="AN51" s="1370"/>
      <c r="AO51" s="1370"/>
      <c r="AP51" s="1370"/>
      <c r="AQ51" s="1370"/>
      <c r="AR51" s="1370"/>
      <c r="AS51" s="1370"/>
      <c r="AT51" s="1370"/>
      <c r="AU51" s="1370"/>
      <c r="AV51" s="1370"/>
      <c r="AW51" s="1370"/>
      <c r="AX51" s="1370"/>
      <c r="AY51" s="1370"/>
      <c r="AZ51" s="1370"/>
      <c r="BA51" s="1370"/>
      <c r="BB51" s="1370"/>
      <c r="BC51" s="1370"/>
      <c r="BD51" s="1370"/>
      <c r="BE51" s="1370"/>
      <c r="BF51" s="1370"/>
      <c r="BG51" s="1370"/>
      <c r="BH51" s="1370"/>
      <c r="BI51" s="1370"/>
      <c r="BJ51" s="1370"/>
      <c r="BK51" s="1370"/>
      <c r="BL51" s="1370"/>
      <c r="BM51" s="1370"/>
      <c r="BN51" s="1370"/>
      <c r="BO51" s="1370"/>
      <c r="BP51" s="1370"/>
      <c r="BQ51" s="1370"/>
      <c r="BR51" s="1370"/>
      <c r="BS51" s="1370"/>
      <c r="BT51" s="1370"/>
      <c r="BU51" s="1370"/>
      <c r="BV51" s="1370"/>
      <c r="BW51" s="1370"/>
      <c r="BX51" s="1370"/>
      <c r="BY51" s="1370"/>
      <c r="BZ51" s="1370"/>
      <c r="CA51" s="1370"/>
      <c r="CB51" s="1370"/>
      <c r="CC51" s="1370"/>
      <c r="CD51" s="1370"/>
      <c r="CE51" s="1370"/>
      <c r="CF51" s="1370"/>
      <c r="CG51" s="1370"/>
      <c r="CH51" s="1370"/>
      <c r="CI51" s="1370"/>
      <c r="CJ51" s="1370"/>
      <c r="CK51" s="1370"/>
      <c r="CL51" s="1370"/>
      <c r="CM51" s="1370"/>
      <c r="CN51" s="1370"/>
      <c r="CO51" s="1370"/>
      <c r="CP51" s="1370"/>
      <c r="CQ51" s="1370"/>
      <c r="CR51" s="1370"/>
      <c r="CS51" s="1370"/>
      <c r="CT51" s="1370"/>
      <c r="CU51" s="1370"/>
      <c r="CV51" s="1370"/>
      <c r="CW51" s="1370"/>
      <c r="CX51" s="1370"/>
      <c r="CY51" s="1370"/>
      <c r="CZ51" s="1370"/>
      <c r="DA51" s="1370"/>
      <c r="DB51" s="1370"/>
      <c r="DC51" s="1370"/>
      <c r="DD51" s="1370"/>
      <c r="DE51" s="1370"/>
      <c r="DF51" s="1370"/>
      <c r="DG51" s="1370"/>
      <c r="DH51" s="1370"/>
      <c r="DI51" s="1370"/>
      <c r="DJ51" s="1370"/>
      <c r="DK51" s="1370"/>
      <c r="DL51" s="1370"/>
      <c r="DM51" s="1370"/>
      <c r="DN51" s="1370"/>
      <c r="DO51" s="1370"/>
      <c r="DP51" s="1370"/>
      <c r="DQ51" s="1370"/>
      <c r="DR51" s="1370"/>
      <c r="DS51" s="1370"/>
      <c r="DT51" s="1370"/>
      <c r="DU51" s="1370"/>
      <c r="DV51" s="1370"/>
      <c r="DW51" s="1370"/>
      <c r="DX51" s="1370"/>
      <c r="DY51" s="1370"/>
      <c r="DZ51" s="1370"/>
      <c r="EA51" s="1370"/>
      <c r="EB51" s="1370"/>
      <c r="EC51" s="1370"/>
      <c r="ED51" s="1370"/>
      <c r="EE51" s="1370"/>
      <c r="EF51" s="1370"/>
      <c r="EG51" s="1370"/>
      <c r="EH51" s="1370"/>
      <c r="EI51" s="1370"/>
      <c r="EJ51" s="1370"/>
      <c r="EK51" s="1370"/>
      <c r="EL51" s="1370"/>
      <c r="EM51" s="1370"/>
      <c r="EN51" s="1370"/>
      <c r="EO51" s="1370"/>
      <c r="EP51" s="1370"/>
      <c r="EQ51" s="1370"/>
      <c r="ER51" s="1370"/>
      <c r="ES51" s="1370"/>
      <c r="ET51" s="1370"/>
      <c r="EU51" s="1370"/>
      <c r="EV51" s="1370"/>
      <c r="EW51" s="1370"/>
      <c r="EX51" s="1370"/>
      <c r="EY51" s="1370"/>
      <c r="EZ51" s="1370"/>
      <c r="FA51" s="1370"/>
      <c r="FB51" s="1370"/>
      <c r="FC51" s="1370"/>
      <c r="FD51" s="1370"/>
      <c r="FE51" s="1370"/>
      <c r="FF51" s="1370"/>
      <c r="FG51" s="1370"/>
      <c r="FH51" s="1370"/>
      <c r="FI51" s="1370"/>
      <c r="FJ51" s="1370"/>
      <c r="FK51" s="1370"/>
      <c r="FL51" s="1370"/>
      <c r="FM51" s="1370"/>
      <c r="FN51" s="1370"/>
      <c r="FO51" s="1370"/>
      <c r="FP51" s="1370"/>
      <c r="FQ51" s="1370"/>
      <c r="FR51" s="1370"/>
      <c r="FS51" s="1370"/>
      <c r="FT51" s="1370"/>
      <c r="FU51" s="1370"/>
      <c r="FV51" s="1370"/>
      <c r="FW51" s="1370"/>
      <c r="FX51" s="1370"/>
      <c r="FY51" s="1370"/>
      <c r="FZ51" s="1370"/>
      <c r="GA51" s="1370"/>
      <c r="GB51" s="1370"/>
      <c r="GC51" s="1370"/>
      <c r="GD51" s="1370"/>
      <c r="GE51" s="1370"/>
      <c r="GF51" s="1370"/>
      <c r="GG51" s="1370"/>
      <c r="GH51" s="1370"/>
      <c r="GI51" s="1370"/>
      <c r="GJ51" s="1370"/>
      <c r="GK51" s="1370"/>
      <c r="GL51" s="1370"/>
      <c r="GM51" s="1370"/>
      <c r="GN51" s="1370"/>
      <c r="GO51" s="1370"/>
      <c r="GP51" s="1370"/>
      <c r="GQ51" s="1370"/>
      <c r="GR51" s="1370"/>
      <c r="GS51" s="1370"/>
      <c r="GT51" s="1370"/>
      <c r="GU51" s="1370"/>
      <c r="GV51" s="1370"/>
      <c r="GW51" s="1370"/>
      <c r="GX51" s="1370"/>
      <c r="GY51" s="1370"/>
      <c r="GZ51" s="1370"/>
      <c r="HA51" s="1370"/>
      <c r="HB51" s="1370"/>
      <c r="HC51" s="1370"/>
      <c r="HD51" s="1370"/>
      <c r="HE51" s="1370"/>
      <c r="HF51" s="1370"/>
      <c r="HG51" s="1370"/>
      <c r="HH51" s="1370"/>
      <c r="HI51" s="1370"/>
      <c r="HJ51" s="1370"/>
      <c r="HK51" s="1370"/>
      <c r="HL51" s="1370"/>
      <c r="HM51" s="1370"/>
      <c r="HN51" s="1370"/>
      <c r="HO51" s="1370"/>
      <c r="HP51" s="1370"/>
      <c r="HQ51" s="1370"/>
    </row>
    <row r="52" spans="1:225" ht="13.2" hidden="1" customHeight="1" outlineLevel="1" x14ac:dyDescent="0.25">
      <c r="A52" s="5844" t="s">
        <v>1805</v>
      </c>
      <c r="B52" s="1401" t="s">
        <v>1806</v>
      </c>
      <c r="C52" s="1349" t="s">
        <v>1746</v>
      </c>
      <c r="D52" s="1344"/>
      <c r="E52" s="3619"/>
      <c r="F52" s="3617"/>
      <c r="G52" s="3631"/>
      <c r="H52" s="3623">
        <f>J52+L52+N52+P52+R52+T52+V52</f>
        <v>0</v>
      </c>
      <c r="I52" s="1343">
        <f>K52+M52+O52+Q52+S52+U52+W52</f>
        <v>0</v>
      </c>
      <c r="J52" s="1344"/>
      <c r="K52" s="1343"/>
      <c r="L52" s="1344"/>
      <c r="M52" s="1343"/>
      <c r="N52" s="1344"/>
      <c r="O52" s="1343"/>
      <c r="P52" s="1344"/>
      <c r="Q52" s="1343"/>
      <c r="R52" s="1344"/>
      <c r="S52" s="1343"/>
      <c r="T52" s="1344"/>
      <c r="U52" s="1343"/>
      <c r="V52" s="1344"/>
      <c r="W52" s="1346"/>
      <c r="X52" s="1370"/>
      <c r="Y52" s="1370"/>
      <c r="Z52" s="1370"/>
      <c r="AA52" s="1370"/>
      <c r="AB52" s="1370"/>
      <c r="AC52" s="1370"/>
      <c r="AD52" s="1370"/>
      <c r="AE52" s="1370"/>
      <c r="AF52" s="1370"/>
      <c r="AG52" s="1370"/>
      <c r="AH52" s="1370"/>
      <c r="AI52" s="1370"/>
      <c r="AJ52" s="1370"/>
      <c r="AK52" s="1370"/>
      <c r="AL52" s="1370"/>
      <c r="AM52" s="1370"/>
      <c r="AN52" s="1370"/>
      <c r="AO52" s="1370"/>
      <c r="AP52" s="1370"/>
      <c r="AQ52" s="1370"/>
      <c r="AR52" s="1370"/>
      <c r="AS52" s="1370"/>
      <c r="AT52" s="1370"/>
      <c r="AU52" s="1370"/>
      <c r="AV52" s="1370"/>
      <c r="AW52" s="1370"/>
      <c r="AX52" s="1370"/>
      <c r="AY52" s="1370"/>
      <c r="AZ52" s="1370"/>
      <c r="BA52" s="1370"/>
      <c r="BB52" s="1370"/>
      <c r="BC52" s="1370"/>
      <c r="BD52" s="1370"/>
      <c r="BE52" s="1370"/>
      <c r="BF52" s="1370"/>
      <c r="BG52" s="1370"/>
      <c r="BH52" s="1370"/>
      <c r="BI52" s="1370"/>
      <c r="BJ52" s="1370"/>
      <c r="BK52" s="1370"/>
      <c r="BL52" s="1370"/>
      <c r="BM52" s="1370"/>
      <c r="BN52" s="1370"/>
      <c r="BO52" s="1370"/>
      <c r="BP52" s="1370"/>
      <c r="BQ52" s="1370"/>
      <c r="BR52" s="1370"/>
      <c r="BS52" s="1370"/>
      <c r="BT52" s="1370"/>
      <c r="BU52" s="1370"/>
      <c r="BV52" s="1370"/>
      <c r="BW52" s="1370"/>
      <c r="BX52" s="1370"/>
      <c r="BY52" s="1370"/>
      <c r="BZ52" s="1370"/>
      <c r="CA52" s="1370"/>
      <c r="CB52" s="1370"/>
      <c r="CC52" s="1370"/>
      <c r="CD52" s="1370"/>
      <c r="CE52" s="1370"/>
      <c r="CF52" s="1370"/>
      <c r="CG52" s="1370"/>
      <c r="CH52" s="1370"/>
      <c r="CI52" s="1370"/>
      <c r="CJ52" s="1370"/>
      <c r="CK52" s="1370"/>
      <c r="CL52" s="1370"/>
      <c r="CM52" s="1370"/>
      <c r="CN52" s="1370"/>
      <c r="CO52" s="1370"/>
      <c r="CP52" s="1370"/>
      <c r="CQ52" s="1370"/>
      <c r="CR52" s="1370"/>
      <c r="CS52" s="1370"/>
      <c r="CT52" s="1370"/>
      <c r="CU52" s="1370"/>
      <c r="CV52" s="1370"/>
      <c r="CW52" s="1370"/>
      <c r="CX52" s="1370"/>
      <c r="CY52" s="1370"/>
      <c r="CZ52" s="1370"/>
      <c r="DA52" s="1370"/>
      <c r="DB52" s="1370"/>
      <c r="DC52" s="1370"/>
      <c r="DD52" s="1370"/>
      <c r="DE52" s="1370"/>
      <c r="DF52" s="1370"/>
      <c r="DG52" s="1370"/>
      <c r="DH52" s="1370"/>
      <c r="DI52" s="1370"/>
      <c r="DJ52" s="1370"/>
      <c r="DK52" s="1370"/>
      <c r="DL52" s="1370"/>
      <c r="DM52" s="1370"/>
      <c r="DN52" s="1370"/>
      <c r="DO52" s="1370"/>
      <c r="DP52" s="1370"/>
      <c r="DQ52" s="1370"/>
      <c r="DR52" s="1370"/>
      <c r="DS52" s="1370"/>
      <c r="DT52" s="1370"/>
      <c r="DU52" s="1370"/>
      <c r="DV52" s="1370"/>
      <c r="DW52" s="1370"/>
      <c r="DX52" s="1370"/>
      <c r="DY52" s="1370"/>
      <c r="DZ52" s="1370"/>
      <c r="EA52" s="1370"/>
      <c r="EB52" s="1370"/>
      <c r="EC52" s="1370"/>
      <c r="ED52" s="1370"/>
      <c r="EE52" s="1370"/>
      <c r="EF52" s="1370"/>
      <c r="EG52" s="1370"/>
      <c r="EH52" s="1370"/>
      <c r="EI52" s="1370"/>
      <c r="EJ52" s="1370"/>
      <c r="EK52" s="1370"/>
      <c r="EL52" s="1370"/>
      <c r="EM52" s="1370"/>
      <c r="EN52" s="1370"/>
      <c r="EO52" s="1370"/>
      <c r="EP52" s="1370"/>
      <c r="EQ52" s="1370"/>
      <c r="ER52" s="1370"/>
      <c r="ES52" s="1370"/>
      <c r="ET52" s="1370"/>
      <c r="EU52" s="1370"/>
      <c r="EV52" s="1370"/>
      <c r="EW52" s="1370"/>
      <c r="EX52" s="1370"/>
      <c r="EY52" s="1370"/>
      <c r="EZ52" s="1370"/>
      <c r="FA52" s="1370"/>
      <c r="FB52" s="1370"/>
      <c r="FC52" s="1370"/>
      <c r="FD52" s="1370"/>
      <c r="FE52" s="1370"/>
      <c r="FF52" s="1370"/>
      <c r="FG52" s="1370"/>
      <c r="FH52" s="1370"/>
      <c r="FI52" s="1370"/>
      <c r="FJ52" s="1370"/>
      <c r="FK52" s="1370"/>
      <c r="FL52" s="1370"/>
      <c r="FM52" s="1370"/>
      <c r="FN52" s="1370"/>
      <c r="FO52" s="1370"/>
      <c r="FP52" s="1370"/>
      <c r="FQ52" s="1370"/>
      <c r="FR52" s="1370"/>
      <c r="FS52" s="1370"/>
      <c r="FT52" s="1370"/>
      <c r="FU52" s="1370"/>
      <c r="FV52" s="1370"/>
      <c r="FW52" s="1370"/>
      <c r="FX52" s="1370"/>
      <c r="FY52" s="1370"/>
      <c r="FZ52" s="1370"/>
      <c r="GA52" s="1370"/>
      <c r="GB52" s="1370"/>
      <c r="GC52" s="1370"/>
      <c r="GD52" s="1370"/>
      <c r="GE52" s="1370"/>
      <c r="GF52" s="1370"/>
      <c r="GG52" s="1370"/>
      <c r="GH52" s="1370"/>
      <c r="GI52" s="1370"/>
      <c r="GJ52" s="1370"/>
      <c r="GK52" s="1370"/>
      <c r="GL52" s="1370"/>
      <c r="GM52" s="1370"/>
      <c r="GN52" s="1370"/>
      <c r="GO52" s="1370"/>
      <c r="GP52" s="1370"/>
      <c r="GQ52" s="1370"/>
      <c r="GR52" s="1370"/>
      <c r="GS52" s="1370"/>
      <c r="GT52" s="1370"/>
      <c r="GU52" s="1370"/>
      <c r="GV52" s="1370"/>
      <c r="GW52" s="1370"/>
      <c r="GX52" s="1370"/>
      <c r="GY52" s="1370"/>
      <c r="GZ52" s="1370"/>
      <c r="HA52" s="1370"/>
      <c r="HB52" s="1370"/>
      <c r="HC52" s="1370"/>
      <c r="HD52" s="1370"/>
      <c r="HE52" s="1370"/>
      <c r="HF52" s="1370"/>
      <c r="HG52" s="1370"/>
      <c r="HH52" s="1370"/>
      <c r="HI52" s="1370"/>
      <c r="HJ52" s="1370"/>
      <c r="HK52" s="1370"/>
      <c r="HL52" s="1370"/>
      <c r="HM52" s="1370"/>
      <c r="HN52" s="1370"/>
      <c r="HO52" s="1370"/>
      <c r="HP52" s="1370"/>
      <c r="HQ52" s="1370"/>
    </row>
    <row r="53" spans="1:225" ht="24" hidden="1" customHeight="1" outlineLevel="1" x14ac:dyDescent="0.25">
      <c r="A53" s="5845"/>
      <c r="B53" s="1401" t="s">
        <v>1807</v>
      </c>
      <c r="C53" s="1349" t="s">
        <v>1777</v>
      </c>
      <c r="D53" s="1344"/>
      <c r="E53" s="3619"/>
      <c r="F53" s="3617"/>
      <c r="G53" s="3631"/>
      <c r="H53" s="3623">
        <f>IF(H52=0,,H54/1000/H52)</f>
        <v>0</v>
      </c>
      <c r="I53" s="1343">
        <f>IF(I52=0,,I54/1000/I52)</f>
        <v>0</v>
      </c>
      <c r="J53" s="1344"/>
      <c r="K53" s="1343"/>
      <c r="L53" s="1344"/>
      <c r="M53" s="1343"/>
      <c r="N53" s="1344"/>
      <c r="O53" s="1343"/>
      <c r="P53" s="1344"/>
      <c r="Q53" s="1343"/>
      <c r="R53" s="1344"/>
      <c r="S53" s="1343"/>
      <c r="T53" s="1344"/>
      <c r="U53" s="1343"/>
      <c r="V53" s="1344"/>
      <c r="W53" s="1346"/>
      <c r="X53" s="1370"/>
      <c r="Y53" s="1370"/>
      <c r="Z53" s="1370"/>
      <c r="AA53" s="1370"/>
      <c r="AB53" s="1370"/>
      <c r="AC53" s="1370"/>
      <c r="AD53" s="1370"/>
      <c r="AE53" s="1370"/>
      <c r="AF53" s="1370"/>
      <c r="AG53" s="1370"/>
      <c r="AH53" s="1370"/>
      <c r="AI53" s="1370"/>
      <c r="AJ53" s="1370"/>
      <c r="AK53" s="1370"/>
      <c r="AL53" s="1370"/>
      <c r="AM53" s="1370"/>
      <c r="AN53" s="1370"/>
      <c r="AO53" s="1370"/>
      <c r="AP53" s="1370"/>
      <c r="AQ53" s="1370"/>
      <c r="AR53" s="1370"/>
      <c r="AS53" s="1370"/>
      <c r="AT53" s="1370"/>
      <c r="AU53" s="1370"/>
      <c r="AV53" s="1370"/>
      <c r="AW53" s="1370"/>
      <c r="AX53" s="1370"/>
      <c r="AY53" s="1370"/>
      <c r="AZ53" s="1370"/>
      <c r="BA53" s="1370"/>
      <c r="BB53" s="1370"/>
      <c r="BC53" s="1370"/>
      <c r="BD53" s="1370"/>
      <c r="BE53" s="1370"/>
      <c r="BF53" s="1370"/>
      <c r="BG53" s="1370"/>
      <c r="BH53" s="1370"/>
      <c r="BI53" s="1370"/>
      <c r="BJ53" s="1370"/>
      <c r="BK53" s="1370"/>
      <c r="BL53" s="1370"/>
      <c r="BM53" s="1370"/>
      <c r="BN53" s="1370"/>
      <c r="BO53" s="1370"/>
      <c r="BP53" s="1370"/>
      <c r="BQ53" s="1370"/>
      <c r="BR53" s="1370"/>
      <c r="BS53" s="1370"/>
      <c r="BT53" s="1370"/>
      <c r="BU53" s="1370"/>
      <c r="BV53" s="1370"/>
      <c r="BW53" s="1370"/>
      <c r="BX53" s="1370"/>
      <c r="BY53" s="1370"/>
      <c r="BZ53" s="1370"/>
      <c r="CA53" s="1370"/>
      <c r="CB53" s="1370"/>
      <c r="CC53" s="1370"/>
      <c r="CD53" s="1370"/>
      <c r="CE53" s="1370"/>
      <c r="CF53" s="1370"/>
      <c r="CG53" s="1370"/>
      <c r="CH53" s="1370"/>
      <c r="CI53" s="1370"/>
      <c r="CJ53" s="1370"/>
      <c r="CK53" s="1370"/>
      <c r="CL53" s="1370"/>
      <c r="CM53" s="1370"/>
      <c r="CN53" s="1370"/>
      <c r="CO53" s="1370"/>
      <c r="CP53" s="1370"/>
      <c r="CQ53" s="1370"/>
      <c r="CR53" s="1370"/>
      <c r="CS53" s="1370"/>
      <c r="CT53" s="1370"/>
      <c r="CU53" s="1370"/>
      <c r="CV53" s="1370"/>
      <c r="CW53" s="1370"/>
      <c r="CX53" s="1370"/>
      <c r="CY53" s="1370"/>
      <c r="CZ53" s="1370"/>
      <c r="DA53" s="1370"/>
      <c r="DB53" s="1370"/>
      <c r="DC53" s="1370"/>
      <c r="DD53" s="1370"/>
      <c r="DE53" s="1370"/>
      <c r="DF53" s="1370"/>
      <c r="DG53" s="1370"/>
      <c r="DH53" s="1370"/>
      <c r="DI53" s="1370"/>
      <c r="DJ53" s="1370"/>
      <c r="DK53" s="1370"/>
      <c r="DL53" s="1370"/>
      <c r="DM53" s="1370"/>
      <c r="DN53" s="1370"/>
      <c r="DO53" s="1370"/>
      <c r="DP53" s="1370"/>
      <c r="DQ53" s="1370"/>
      <c r="DR53" s="1370"/>
      <c r="DS53" s="1370"/>
      <c r="DT53" s="1370"/>
      <c r="DU53" s="1370"/>
      <c r="DV53" s="1370"/>
      <c r="DW53" s="1370"/>
      <c r="DX53" s="1370"/>
      <c r="DY53" s="1370"/>
      <c r="DZ53" s="1370"/>
      <c r="EA53" s="1370"/>
      <c r="EB53" s="1370"/>
      <c r="EC53" s="1370"/>
      <c r="ED53" s="1370"/>
      <c r="EE53" s="1370"/>
      <c r="EF53" s="1370"/>
      <c r="EG53" s="1370"/>
      <c r="EH53" s="1370"/>
      <c r="EI53" s="1370"/>
      <c r="EJ53" s="1370"/>
      <c r="EK53" s="1370"/>
      <c r="EL53" s="1370"/>
      <c r="EM53" s="1370"/>
      <c r="EN53" s="1370"/>
      <c r="EO53" s="1370"/>
      <c r="EP53" s="1370"/>
      <c r="EQ53" s="1370"/>
      <c r="ER53" s="1370"/>
      <c r="ES53" s="1370"/>
      <c r="ET53" s="1370"/>
      <c r="EU53" s="1370"/>
      <c r="EV53" s="1370"/>
      <c r="EW53" s="1370"/>
      <c r="EX53" s="1370"/>
      <c r="EY53" s="1370"/>
      <c r="EZ53" s="1370"/>
      <c r="FA53" s="1370"/>
      <c r="FB53" s="1370"/>
      <c r="FC53" s="1370"/>
      <c r="FD53" s="1370"/>
      <c r="FE53" s="1370"/>
      <c r="FF53" s="1370"/>
      <c r="FG53" s="1370"/>
      <c r="FH53" s="1370"/>
      <c r="FI53" s="1370"/>
      <c r="FJ53" s="1370"/>
      <c r="FK53" s="1370"/>
      <c r="FL53" s="1370"/>
      <c r="FM53" s="1370"/>
      <c r="FN53" s="1370"/>
      <c r="FO53" s="1370"/>
      <c r="FP53" s="1370"/>
      <c r="FQ53" s="1370"/>
      <c r="FR53" s="1370"/>
      <c r="FS53" s="1370"/>
      <c r="FT53" s="1370"/>
      <c r="FU53" s="1370"/>
      <c r="FV53" s="1370"/>
      <c r="FW53" s="1370"/>
      <c r="FX53" s="1370"/>
      <c r="FY53" s="1370"/>
      <c r="FZ53" s="1370"/>
      <c r="GA53" s="1370"/>
      <c r="GB53" s="1370"/>
      <c r="GC53" s="1370"/>
      <c r="GD53" s="1370"/>
      <c r="GE53" s="1370"/>
      <c r="GF53" s="1370"/>
      <c r="GG53" s="1370"/>
      <c r="GH53" s="1370"/>
      <c r="GI53" s="1370"/>
      <c r="GJ53" s="1370"/>
      <c r="GK53" s="1370"/>
      <c r="GL53" s="1370"/>
      <c r="GM53" s="1370"/>
      <c r="GN53" s="1370"/>
      <c r="GO53" s="1370"/>
      <c r="GP53" s="1370"/>
      <c r="GQ53" s="1370"/>
      <c r="GR53" s="1370"/>
      <c r="GS53" s="1370"/>
      <c r="GT53" s="1370"/>
      <c r="GU53" s="1370"/>
      <c r="GV53" s="1370"/>
      <c r="GW53" s="1370"/>
      <c r="GX53" s="1370"/>
      <c r="GY53" s="1370"/>
      <c r="GZ53" s="1370"/>
      <c r="HA53" s="1370"/>
      <c r="HB53" s="1370"/>
      <c r="HC53" s="1370"/>
      <c r="HD53" s="1370"/>
      <c r="HE53" s="1370"/>
      <c r="HF53" s="1370"/>
      <c r="HG53" s="1370"/>
      <c r="HH53" s="1370"/>
      <c r="HI53" s="1370"/>
      <c r="HJ53" s="1370"/>
      <c r="HK53" s="1370"/>
      <c r="HL53" s="1370"/>
      <c r="HM53" s="1370"/>
      <c r="HN53" s="1370"/>
      <c r="HO53" s="1370"/>
      <c r="HP53" s="1370"/>
      <c r="HQ53" s="1370"/>
    </row>
    <row r="54" spans="1:225" ht="24" hidden="1" customHeight="1" outlineLevel="1" x14ac:dyDescent="0.25">
      <c r="A54" s="5846"/>
      <c r="B54" s="1404" t="s">
        <v>1808</v>
      </c>
      <c r="C54" s="1350" t="s">
        <v>1780</v>
      </c>
      <c r="D54" s="1344"/>
      <c r="E54" s="3619"/>
      <c r="F54" s="3617"/>
      <c r="G54" s="3631"/>
      <c r="H54" s="3623">
        <f>J54+L54+N54+P54+R54+T54+V54</f>
        <v>0</v>
      </c>
      <c r="I54" s="1343">
        <f>K54+M54+O54+Q54+S54+U54+W54</f>
        <v>0</v>
      </c>
      <c r="J54" s="1344">
        <f>J52*J53/1000</f>
        <v>0</v>
      </c>
      <c r="K54" s="1343">
        <f t="shared" ref="K54:W54" si="15">K52*K53/1000</f>
        <v>0</v>
      </c>
      <c r="L54" s="1344">
        <f t="shared" si="15"/>
        <v>0</v>
      </c>
      <c r="M54" s="1343">
        <f t="shared" si="15"/>
        <v>0</v>
      </c>
      <c r="N54" s="1344">
        <f t="shared" si="15"/>
        <v>0</v>
      </c>
      <c r="O54" s="1343">
        <f t="shared" si="15"/>
        <v>0</v>
      </c>
      <c r="P54" s="1344">
        <f t="shared" si="15"/>
        <v>0</v>
      </c>
      <c r="Q54" s="1343">
        <f t="shared" si="15"/>
        <v>0</v>
      </c>
      <c r="R54" s="1344">
        <f t="shared" si="15"/>
        <v>0</v>
      </c>
      <c r="S54" s="1343">
        <f t="shared" si="15"/>
        <v>0</v>
      </c>
      <c r="T54" s="1344">
        <f t="shared" si="15"/>
        <v>0</v>
      </c>
      <c r="U54" s="1343">
        <f t="shared" si="15"/>
        <v>0</v>
      </c>
      <c r="V54" s="1344">
        <f t="shared" si="15"/>
        <v>0</v>
      </c>
      <c r="W54" s="1343">
        <f t="shared" si="15"/>
        <v>0</v>
      </c>
      <c r="X54" s="1370"/>
      <c r="Y54" s="1370"/>
      <c r="Z54" s="1370"/>
      <c r="AA54" s="1370"/>
      <c r="AB54" s="1370"/>
      <c r="AC54" s="1370"/>
      <c r="AD54" s="1370"/>
      <c r="AE54" s="1370"/>
      <c r="AF54" s="1370"/>
      <c r="AG54" s="1370"/>
      <c r="AH54" s="1370"/>
      <c r="AI54" s="1370"/>
      <c r="AJ54" s="1370"/>
      <c r="AK54" s="1370"/>
      <c r="AL54" s="1370"/>
      <c r="AM54" s="1370"/>
      <c r="AN54" s="1370"/>
      <c r="AO54" s="1370"/>
      <c r="AP54" s="1370"/>
      <c r="AQ54" s="1370"/>
      <c r="AR54" s="1370"/>
      <c r="AS54" s="1370"/>
      <c r="AT54" s="1370"/>
      <c r="AU54" s="1370"/>
      <c r="AV54" s="1370"/>
      <c r="AW54" s="1370"/>
      <c r="AX54" s="1370"/>
      <c r="AY54" s="1370"/>
      <c r="AZ54" s="1370"/>
      <c r="BA54" s="1370"/>
      <c r="BB54" s="1370"/>
      <c r="BC54" s="1370"/>
      <c r="BD54" s="1370"/>
      <c r="BE54" s="1370"/>
      <c r="BF54" s="1370"/>
      <c r="BG54" s="1370"/>
      <c r="BH54" s="1370"/>
      <c r="BI54" s="1370"/>
      <c r="BJ54" s="1370"/>
      <c r="BK54" s="1370"/>
      <c r="BL54" s="1370"/>
      <c r="BM54" s="1370"/>
      <c r="BN54" s="1370"/>
      <c r="BO54" s="1370"/>
      <c r="BP54" s="1370"/>
      <c r="BQ54" s="1370"/>
      <c r="BR54" s="1370"/>
      <c r="BS54" s="1370"/>
      <c r="BT54" s="1370"/>
      <c r="BU54" s="1370"/>
      <c r="BV54" s="1370"/>
      <c r="BW54" s="1370"/>
      <c r="BX54" s="1370"/>
      <c r="BY54" s="1370"/>
      <c r="BZ54" s="1370"/>
      <c r="CA54" s="1370"/>
      <c r="CB54" s="1370"/>
      <c r="CC54" s="1370"/>
      <c r="CD54" s="1370"/>
      <c r="CE54" s="1370"/>
      <c r="CF54" s="1370"/>
      <c r="CG54" s="1370"/>
      <c r="CH54" s="1370"/>
      <c r="CI54" s="1370"/>
      <c r="CJ54" s="1370"/>
      <c r="CK54" s="1370"/>
      <c r="CL54" s="1370"/>
      <c r="CM54" s="1370"/>
      <c r="CN54" s="1370"/>
      <c r="CO54" s="1370"/>
      <c r="CP54" s="1370"/>
      <c r="CQ54" s="1370"/>
      <c r="CR54" s="1370"/>
      <c r="CS54" s="1370"/>
      <c r="CT54" s="1370"/>
      <c r="CU54" s="1370"/>
      <c r="CV54" s="1370"/>
      <c r="CW54" s="1370"/>
      <c r="CX54" s="1370"/>
      <c r="CY54" s="1370"/>
      <c r="CZ54" s="1370"/>
      <c r="DA54" s="1370"/>
      <c r="DB54" s="1370"/>
      <c r="DC54" s="1370"/>
      <c r="DD54" s="1370"/>
      <c r="DE54" s="1370"/>
      <c r="DF54" s="1370"/>
      <c r="DG54" s="1370"/>
      <c r="DH54" s="1370"/>
      <c r="DI54" s="1370"/>
      <c r="DJ54" s="1370"/>
      <c r="DK54" s="1370"/>
      <c r="DL54" s="1370"/>
      <c r="DM54" s="1370"/>
      <c r="DN54" s="1370"/>
      <c r="DO54" s="1370"/>
      <c r="DP54" s="1370"/>
      <c r="DQ54" s="1370"/>
      <c r="DR54" s="1370"/>
      <c r="DS54" s="1370"/>
      <c r="DT54" s="1370"/>
      <c r="DU54" s="1370"/>
      <c r="DV54" s="1370"/>
      <c r="DW54" s="1370"/>
      <c r="DX54" s="1370"/>
      <c r="DY54" s="1370"/>
      <c r="DZ54" s="1370"/>
      <c r="EA54" s="1370"/>
      <c r="EB54" s="1370"/>
      <c r="EC54" s="1370"/>
      <c r="ED54" s="1370"/>
      <c r="EE54" s="1370"/>
      <c r="EF54" s="1370"/>
      <c r="EG54" s="1370"/>
      <c r="EH54" s="1370"/>
      <c r="EI54" s="1370"/>
      <c r="EJ54" s="1370"/>
      <c r="EK54" s="1370"/>
      <c r="EL54" s="1370"/>
      <c r="EM54" s="1370"/>
      <c r="EN54" s="1370"/>
      <c r="EO54" s="1370"/>
      <c r="EP54" s="1370"/>
      <c r="EQ54" s="1370"/>
      <c r="ER54" s="1370"/>
      <c r="ES54" s="1370"/>
      <c r="ET54" s="1370"/>
      <c r="EU54" s="1370"/>
      <c r="EV54" s="1370"/>
      <c r="EW54" s="1370"/>
      <c r="EX54" s="1370"/>
      <c r="EY54" s="1370"/>
      <c r="EZ54" s="1370"/>
      <c r="FA54" s="1370"/>
      <c r="FB54" s="1370"/>
      <c r="FC54" s="1370"/>
      <c r="FD54" s="1370"/>
      <c r="FE54" s="1370"/>
      <c r="FF54" s="1370"/>
      <c r="FG54" s="1370"/>
      <c r="FH54" s="1370"/>
      <c r="FI54" s="1370"/>
      <c r="FJ54" s="1370"/>
      <c r="FK54" s="1370"/>
      <c r="FL54" s="1370"/>
      <c r="FM54" s="1370"/>
      <c r="FN54" s="1370"/>
      <c r="FO54" s="1370"/>
      <c r="FP54" s="1370"/>
      <c r="FQ54" s="1370"/>
      <c r="FR54" s="1370"/>
      <c r="FS54" s="1370"/>
      <c r="FT54" s="1370"/>
      <c r="FU54" s="1370"/>
      <c r="FV54" s="1370"/>
      <c r="FW54" s="1370"/>
      <c r="FX54" s="1370"/>
      <c r="FY54" s="1370"/>
      <c r="FZ54" s="1370"/>
      <c r="GA54" s="1370"/>
      <c r="GB54" s="1370"/>
      <c r="GC54" s="1370"/>
      <c r="GD54" s="1370"/>
      <c r="GE54" s="1370"/>
      <c r="GF54" s="1370"/>
      <c r="GG54" s="1370"/>
      <c r="GH54" s="1370"/>
      <c r="GI54" s="1370"/>
      <c r="GJ54" s="1370"/>
      <c r="GK54" s="1370"/>
      <c r="GL54" s="1370"/>
      <c r="GM54" s="1370"/>
      <c r="GN54" s="1370"/>
      <c r="GO54" s="1370"/>
      <c r="GP54" s="1370"/>
      <c r="GQ54" s="1370"/>
      <c r="GR54" s="1370"/>
      <c r="GS54" s="1370"/>
      <c r="GT54" s="1370"/>
      <c r="GU54" s="1370"/>
      <c r="GV54" s="1370"/>
      <c r="GW54" s="1370"/>
      <c r="GX54" s="1370"/>
      <c r="GY54" s="1370"/>
      <c r="GZ54" s="1370"/>
      <c r="HA54" s="1370"/>
      <c r="HB54" s="1370"/>
      <c r="HC54" s="1370"/>
      <c r="HD54" s="1370"/>
      <c r="HE54" s="1370"/>
      <c r="HF54" s="1370"/>
      <c r="HG54" s="1370"/>
      <c r="HH54" s="1370"/>
      <c r="HI54" s="1370"/>
      <c r="HJ54" s="1370"/>
      <c r="HK54" s="1370"/>
      <c r="HL54" s="1370"/>
      <c r="HM54" s="1370"/>
      <c r="HN54" s="1370"/>
      <c r="HO54" s="1370"/>
      <c r="HP54" s="1370"/>
      <c r="HQ54" s="1370"/>
    </row>
    <row r="55" spans="1:225" ht="13.2" hidden="1" customHeight="1" outlineLevel="1" x14ac:dyDescent="0.25">
      <c r="A55" s="5844" t="s">
        <v>1809</v>
      </c>
      <c r="B55" s="1401" t="s">
        <v>1810</v>
      </c>
      <c r="C55" s="1349" t="s">
        <v>1746</v>
      </c>
      <c r="D55" s="1344"/>
      <c r="E55" s="3619"/>
      <c r="F55" s="3617"/>
      <c r="G55" s="3631"/>
      <c r="H55" s="3623">
        <f>J55+L55+N55+P55+R55+T55+V55</f>
        <v>0</v>
      </c>
      <c r="I55" s="1343">
        <f>K55+M55+O55+Q55+S55+U55+W55</f>
        <v>0</v>
      </c>
      <c r="J55" s="1344"/>
      <c r="K55" s="1343"/>
      <c r="L55" s="1344"/>
      <c r="M55" s="1343"/>
      <c r="N55" s="1344"/>
      <c r="O55" s="1343"/>
      <c r="P55" s="1344"/>
      <c r="Q55" s="1343"/>
      <c r="R55" s="1344"/>
      <c r="S55" s="1343"/>
      <c r="T55" s="1344"/>
      <c r="U55" s="1343"/>
      <c r="V55" s="1344"/>
      <c r="W55" s="1346"/>
      <c r="X55" s="1370"/>
      <c r="Y55" s="1370"/>
      <c r="Z55" s="1370"/>
      <c r="AA55" s="1370"/>
      <c r="AB55" s="1370"/>
      <c r="AC55" s="1370"/>
      <c r="AD55" s="1370"/>
      <c r="AE55" s="1370"/>
      <c r="AF55" s="1370"/>
      <c r="AG55" s="1370"/>
      <c r="AH55" s="1370"/>
      <c r="AI55" s="1370"/>
      <c r="AJ55" s="1370"/>
      <c r="AK55" s="1370"/>
      <c r="AL55" s="1370"/>
      <c r="AM55" s="1370"/>
      <c r="AN55" s="1370"/>
      <c r="AO55" s="1370"/>
      <c r="AP55" s="1370"/>
      <c r="AQ55" s="1370"/>
      <c r="AR55" s="1370"/>
      <c r="AS55" s="1370"/>
      <c r="AT55" s="1370"/>
      <c r="AU55" s="1370"/>
      <c r="AV55" s="1370"/>
      <c r="AW55" s="1370"/>
      <c r="AX55" s="1370"/>
      <c r="AY55" s="1370"/>
      <c r="AZ55" s="1370"/>
      <c r="BA55" s="1370"/>
      <c r="BB55" s="1370"/>
      <c r="BC55" s="1370"/>
      <c r="BD55" s="1370"/>
      <c r="BE55" s="1370"/>
      <c r="BF55" s="1370"/>
      <c r="BG55" s="1370"/>
      <c r="BH55" s="1370"/>
      <c r="BI55" s="1370"/>
      <c r="BJ55" s="1370"/>
      <c r="BK55" s="1370"/>
      <c r="BL55" s="1370"/>
      <c r="BM55" s="1370"/>
      <c r="BN55" s="1370"/>
      <c r="BO55" s="1370"/>
      <c r="BP55" s="1370"/>
      <c r="BQ55" s="1370"/>
      <c r="BR55" s="1370"/>
      <c r="BS55" s="1370"/>
      <c r="BT55" s="1370"/>
      <c r="BU55" s="1370"/>
      <c r="BV55" s="1370"/>
      <c r="BW55" s="1370"/>
      <c r="BX55" s="1370"/>
      <c r="BY55" s="1370"/>
      <c r="BZ55" s="1370"/>
      <c r="CA55" s="1370"/>
      <c r="CB55" s="1370"/>
      <c r="CC55" s="1370"/>
      <c r="CD55" s="1370"/>
      <c r="CE55" s="1370"/>
      <c r="CF55" s="1370"/>
      <c r="CG55" s="1370"/>
      <c r="CH55" s="1370"/>
      <c r="CI55" s="1370"/>
      <c r="CJ55" s="1370"/>
      <c r="CK55" s="1370"/>
      <c r="CL55" s="1370"/>
      <c r="CM55" s="1370"/>
      <c r="CN55" s="1370"/>
      <c r="CO55" s="1370"/>
      <c r="CP55" s="1370"/>
      <c r="CQ55" s="1370"/>
      <c r="CR55" s="1370"/>
      <c r="CS55" s="1370"/>
      <c r="CT55" s="1370"/>
      <c r="CU55" s="1370"/>
      <c r="CV55" s="1370"/>
      <c r="CW55" s="1370"/>
      <c r="CX55" s="1370"/>
      <c r="CY55" s="1370"/>
      <c r="CZ55" s="1370"/>
      <c r="DA55" s="1370"/>
      <c r="DB55" s="1370"/>
      <c r="DC55" s="1370"/>
      <c r="DD55" s="1370"/>
      <c r="DE55" s="1370"/>
      <c r="DF55" s="1370"/>
      <c r="DG55" s="1370"/>
      <c r="DH55" s="1370"/>
      <c r="DI55" s="1370"/>
      <c r="DJ55" s="1370"/>
      <c r="DK55" s="1370"/>
      <c r="DL55" s="1370"/>
      <c r="DM55" s="1370"/>
      <c r="DN55" s="1370"/>
      <c r="DO55" s="1370"/>
      <c r="DP55" s="1370"/>
      <c r="DQ55" s="1370"/>
      <c r="DR55" s="1370"/>
      <c r="DS55" s="1370"/>
      <c r="DT55" s="1370"/>
      <c r="DU55" s="1370"/>
      <c r="DV55" s="1370"/>
      <c r="DW55" s="1370"/>
      <c r="DX55" s="1370"/>
      <c r="DY55" s="1370"/>
      <c r="DZ55" s="1370"/>
      <c r="EA55" s="1370"/>
      <c r="EB55" s="1370"/>
      <c r="EC55" s="1370"/>
      <c r="ED55" s="1370"/>
      <c r="EE55" s="1370"/>
      <c r="EF55" s="1370"/>
      <c r="EG55" s="1370"/>
      <c r="EH55" s="1370"/>
      <c r="EI55" s="1370"/>
      <c r="EJ55" s="1370"/>
      <c r="EK55" s="1370"/>
      <c r="EL55" s="1370"/>
      <c r="EM55" s="1370"/>
      <c r="EN55" s="1370"/>
      <c r="EO55" s="1370"/>
      <c r="EP55" s="1370"/>
      <c r="EQ55" s="1370"/>
      <c r="ER55" s="1370"/>
      <c r="ES55" s="1370"/>
      <c r="ET55" s="1370"/>
      <c r="EU55" s="1370"/>
      <c r="EV55" s="1370"/>
      <c r="EW55" s="1370"/>
      <c r="EX55" s="1370"/>
      <c r="EY55" s="1370"/>
      <c r="EZ55" s="1370"/>
      <c r="FA55" s="1370"/>
      <c r="FB55" s="1370"/>
      <c r="FC55" s="1370"/>
      <c r="FD55" s="1370"/>
      <c r="FE55" s="1370"/>
      <c r="FF55" s="1370"/>
      <c r="FG55" s="1370"/>
      <c r="FH55" s="1370"/>
      <c r="FI55" s="1370"/>
      <c r="FJ55" s="1370"/>
      <c r="FK55" s="1370"/>
      <c r="FL55" s="1370"/>
      <c r="FM55" s="1370"/>
      <c r="FN55" s="1370"/>
      <c r="FO55" s="1370"/>
      <c r="FP55" s="1370"/>
      <c r="FQ55" s="1370"/>
      <c r="FR55" s="1370"/>
      <c r="FS55" s="1370"/>
      <c r="FT55" s="1370"/>
      <c r="FU55" s="1370"/>
      <c r="FV55" s="1370"/>
      <c r="FW55" s="1370"/>
      <c r="FX55" s="1370"/>
      <c r="FY55" s="1370"/>
      <c r="FZ55" s="1370"/>
      <c r="GA55" s="1370"/>
      <c r="GB55" s="1370"/>
      <c r="GC55" s="1370"/>
      <c r="GD55" s="1370"/>
      <c r="GE55" s="1370"/>
      <c r="GF55" s="1370"/>
      <c r="GG55" s="1370"/>
      <c r="GH55" s="1370"/>
      <c r="GI55" s="1370"/>
      <c r="GJ55" s="1370"/>
      <c r="GK55" s="1370"/>
      <c r="GL55" s="1370"/>
      <c r="GM55" s="1370"/>
      <c r="GN55" s="1370"/>
      <c r="GO55" s="1370"/>
      <c r="GP55" s="1370"/>
      <c r="GQ55" s="1370"/>
      <c r="GR55" s="1370"/>
      <c r="GS55" s="1370"/>
      <c r="GT55" s="1370"/>
      <c r="GU55" s="1370"/>
      <c r="GV55" s="1370"/>
      <c r="GW55" s="1370"/>
      <c r="GX55" s="1370"/>
      <c r="GY55" s="1370"/>
      <c r="GZ55" s="1370"/>
      <c r="HA55" s="1370"/>
      <c r="HB55" s="1370"/>
      <c r="HC55" s="1370"/>
      <c r="HD55" s="1370"/>
      <c r="HE55" s="1370"/>
      <c r="HF55" s="1370"/>
      <c r="HG55" s="1370"/>
      <c r="HH55" s="1370"/>
      <c r="HI55" s="1370"/>
      <c r="HJ55" s="1370"/>
      <c r="HK55" s="1370"/>
      <c r="HL55" s="1370"/>
      <c r="HM55" s="1370"/>
      <c r="HN55" s="1370"/>
      <c r="HO55" s="1370"/>
      <c r="HP55" s="1370"/>
      <c r="HQ55" s="1370"/>
    </row>
    <row r="56" spans="1:225" ht="24" hidden="1" customHeight="1" outlineLevel="1" x14ac:dyDescent="0.25">
      <c r="A56" s="5845"/>
      <c r="B56" s="1401" t="s">
        <v>1811</v>
      </c>
      <c r="C56" s="1349" t="s">
        <v>1777</v>
      </c>
      <c r="D56" s="1344"/>
      <c r="E56" s="3619"/>
      <c r="F56" s="3617"/>
      <c r="G56" s="3631"/>
      <c r="H56" s="3623">
        <f>IF(H55=0,,H57/1000/H55)</f>
        <v>0</v>
      </c>
      <c r="I56" s="1343">
        <f>IF(I55=0,,I57/1000/I55)</f>
        <v>0</v>
      </c>
      <c r="J56" s="1344"/>
      <c r="K56" s="1343"/>
      <c r="L56" s="1344"/>
      <c r="M56" s="1343"/>
      <c r="N56" s="1344"/>
      <c r="O56" s="1343"/>
      <c r="P56" s="1344"/>
      <c r="Q56" s="1343"/>
      <c r="R56" s="1344"/>
      <c r="S56" s="1343"/>
      <c r="T56" s="1344"/>
      <c r="U56" s="1343"/>
      <c r="V56" s="1344"/>
      <c r="W56" s="1346"/>
      <c r="X56" s="1370"/>
      <c r="Y56" s="1370"/>
      <c r="Z56" s="1370"/>
      <c r="AA56" s="1370"/>
      <c r="AB56" s="1370"/>
      <c r="AC56" s="1370"/>
      <c r="AD56" s="1370"/>
      <c r="AE56" s="1370"/>
      <c r="AF56" s="1370"/>
      <c r="AG56" s="1370"/>
      <c r="AH56" s="1370"/>
      <c r="AI56" s="1370"/>
      <c r="AJ56" s="1370"/>
      <c r="AK56" s="1370"/>
      <c r="AL56" s="1370"/>
      <c r="AM56" s="1370"/>
      <c r="AN56" s="1370"/>
      <c r="AO56" s="1370"/>
      <c r="AP56" s="1370"/>
      <c r="AQ56" s="1370"/>
      <c r="AR56" s="1370"/>
      <c r="AS56" s="1370"/>
      <c r="AT56" s="1370"/>
      <c r="AU56" s="1370"/>
      <c r="AV56" s="1370"/>
      <c r="AW56" s="1370"/>
      <c r="AX56" s="1370"/>
      <c r="AY56" s="1370"/>
      <c r="AZ56" s="1370"/>
      <c r="BA56" s="1370"/>
      <c r="BB56" s="1370"/>
      <c r="BC56" s="1370"/>
      <c r="BD56" s="1370"/>
      <c r="BE56" s="1370"/>
      <c r="BF56" s="1370"/>
      <c r="BG56" s="1370"/>
      <c r="BH56" s="1370"/>
      <c r="BI56" s="1370"/>
      <c r="BJ56" s="1370"/>
      <c r="BK56" s="1370"/>
      <c r="BL56" s="1370"/>
      <c r="BM56" s="1370"/>
      <c r="BN56" s="1370"/>
      <c r="BO56" s="1370"/>
      <c r="BP56" s="1370"/>
      <c r="BQ56" s="1370"/>
      <c r="BR56" s="1370"/>
      <c r="BS56" s="1370"/>
      <c r="BT56" s="1370"/>
      <c r="BU56" s="1370"/>
      <c r="BV56" s="1370"/>
      <c r="BW56" s="1370"/>
      <c r="BX56" s="1370"/>
      <c r="BY56" s="1370"/>
      <c r="BZ56" s="1370"/>
      <c r="CA56" s="1370"/>
      <c r="CB56" s="1370"/>
      <c r="CC56" s="1370"/>
      <c r="CD56" s="1370"/>
      <c r="CE56" s="1370"/>
      <c r="CF56" s="1370"/>
      <c r="CG56" s="1370"/>
      <c r="CH56" s="1370"/>
      <c r="CI56" s="1370"/>
      <c r="CJ56" s="1370"/>
      <c r="CK56" s="1370"/>
      <c r="CL56" s="1370"/>
      <c r="CM56" s="1370"/>
      <c r="CN56" s="1370"/>
      <c r="CO56" s="1370"/>
      <c r="CP56" s="1370"/>
      <c r="CQ56" s="1370"/>
      <c r="CR56" s="1370"/>
      <c r="CS56" s="1370"/>
      <c r="CT56" s="1370"/>
      <c r="CU56" s="1370"/>
      <c r="CV56" s="1370"/>
      <c r="CW56" s="1370"/>
      <c r="CX56" s="1370"/>
      <c r="CY56" s="1370"/>
      <c r="CZ56" s="1370"/>
      <c r="DA56" s="1370"/>
      <c r="DB56" s="1370"/>
      <c r="DC56" s="1370"/>
      <c r="DD56" s="1370"/>
      <c r="DE56" s="1370"/>
      <c r="DF56" s="1370"/>
      <c r="DG56" s="1370"/>
      <c r="DH56" s="1370"/>
      <c r="DI56" s="1370"/>
      <c r="DJ56" s="1370"/>
      <c r="DK56" s="1370"/>
      <c r="DL56" s="1370"/>
      <c r="DM56" s="1370"/>
      <c r="DN56" s="1370"/>
      <c r="DO56" s="1370"/>
      <c r="DP56" s="1370"/>
      <c r="DQ56" s="1370"/>
      <c r="DR56" s="1370"/>
      <c r="DS56" s="1370"/>
      <c r="DT56" s="1370"/>
      <c r="DU56" s="1370"/>
      <c r="DV56" s="1370"/>
      <c r="DW56" s="1370"/>
      <c r="DX56" s="1370"/>
      <c r="DY56" s="1370"/>
      <c r="DZ56" s="1370"/>
      <c r="EA56" s="1370"/>
      <c r="EB56" s="1370"/>
      <c r="EC56" s="1370"/>
      <c r="ED56" s="1370"/>
      <c r="EE56" s="1370"/>
      <c r="EF56" s="1370"/>
      <c r="EG56" s="1370"/>
      <c r="EH56" s="1370"/>
      <c r="EI56" s="1370"/>
      <c r="EJ56" s="1370"/>
      <c r="EK56" s="1370"/>
      <c r="EL56" s="1370"/>
      <c r="EM56" s="1370"/>
      <c r="EN56" s="1370"/>
      <c r="EO56" s="1370"/>
      <c r="EP56" s="1370"/>
      <c r="EQ56" s="1370"/>
      <c r="ER56" s="1370"/>
      <c r="ES56" s="1370"/>
      <c r="ET56" s="1370"/>
      <c r="EU56" s="1370"/>
      <c r="EV56" s="1370"/>
      <c r="EW56" s="1370"/>
      <c r="EX56" s="1370"/>
      <c r="EY56" s="1370"/>
      <c r="EZ56" s="1370"/>
      <c r="FA56" s="1370"/>
      <c r="FB56" s="1370"/>
      <c r="FC56" s="1370"/>
      <c r="FD56" s="1370"/>
      <c r="FE56" s="1370"/>
      <c r="FF56" s="1370"/>
      <c r="FG56" s="1370"/>
      <c r="FH56" s="1370"/>
      <c r="FI56" s="1370"/>
      <c r="FJ56" s="1370"/>
      <c r="FK56" s="1370"/>
      <c r="FL56" s="1370"/>
      <c r="FM56" s="1370"/>
      <c r="FN56" s="1370"/>
      <c r="FO56" s="1370"/>
      <c r="FP56" s="1370"/>
      <c r="FQ56" s="1370"/>
      <c r="FR56" s="1370"/>
      <c r="FS56" s="1370"/>
      <c r="FT56" s="1370"/>
      <c r="FU56" s="1370"/>
      <c r="FV56" s="1370"/>
      <c r="FW56" s="1370"/>
      <c r="FX56" s="1370"/>
      <c r="FY56" s="1370"/>
      <c r="FZ56" s="1370"/>
      <c r="GA56" s="1370"/>
      <c r="GB56" s="1370"/>
      <c r="GC56" s="1370"/>
      <c r="GD56" s="1370"/>
      <c r="GE56" s="1370"/>
      <c r="GF56" s="1370"/>
      <c r="GG56" s="1370"/>
      <c r="GH56" s="1370"/>
      <c r="GI56" s="1370"/>
      <c r="GJ56" s="1370"/>
      <c r="GK56" s="1370"/>
      <c r="GL56" s="1370"/>
      <c r="GM56" s="1370"/>
      <c r="GN56" s="1370"/>
      <c r="GO56" s="1370"/>
      <c r="GP56" s="1370"/>
      <c r="GQ56" s="1370"/>
      <c r="GR56" s="1370"/>
      <c r="GS56" s="1370"/>
      <c r="GT56" s="1370"/>
      <c r="GU56" s="1370"/>
      <c r="GV56" s="1370"/>
      <c r="GW56" s="1370"/>
      <c r="GX56" s="1370"/>
      <c r="GY56" s="1370"/>
      <c r="GZ56" s="1370"/>
      <c r="HA56" s="1370"/>
      <c r="HB56" s="1370"/>
      <c r="HC56" s="1370"/>
      <c r="HD56" s="1370"/>
      <c r="HE56" s="1370"/>
      <c r="HF56" s="1370"/>
      <c r="HG56" s="1370"/>
      <c r="HH56" s="1370"/>
      <c r="HI56" s="1370"/>
      <c r="HJ56" s="1370"/>
      <c r="HK56" s="1370"/>
      <c r="HL56" s="1370"/>
      <c r="HM56" s="1370"/>
      <c r="HN56" s="1370"/>
      <c r="HO56" s="1370"/>
      <c r="HP56" s="1370"/>
      <c r="HQ56" s="1370"/>
    </row>
    <row r="57" spans="1:225" ht="24" hidden="1" customHeight="1" outlineLevel="1" x14ac:dyDescent="0.25">
      <c r="A57" s="5846"/>
      <c r="B57" s="1404" t="s">
        <v>1812</v>
      </c>
      <c r="C57" s="1350" t="s">
        <v>1780</v>
      </c>
      <c r="D57" s="1344"/>
      <c r="E57" s="3619"/>
      <c r="F57" s="3617"/>
      <c r="G57" s="3631"/>
      <c r="H57" s="3623">
        <f>J57+L57+N57+P57+R57+T57+V57</f>
        <v>0</v>
      </c>
      <c r="I57" s="1343">
        <f>K57+M57+O57+Q57+S57+U57+W57</f>
        <v>0</v>
      </c>
      <c r="J57" s="1344">
        <f>J55*J56/1000</f>
        <v>0</v>
      </c>
      <c r="K57" s="1343">
        <f t="shared" ref="K57:W57" si="16">K55*K56/1000</f>
        <v>0</v>
      </c>
      <c r="L57" s="1344">
        <f t="shared" si="16"/>
        <v>0</v>
      </c>
      <c r="M57" s="1343">
        <f t="shared" si="16"/>
        <v>0</v>
      </c>
      <c r="N57" s="1344">
        <f t="shared" si="16"/>
        <v>0</v>
      </c>
      <c r="O57" s="1343">
        <f t="shared" si="16"/>
        <v>0</v>
      </c>
      <c r="P57" s="1344">
        <f t="shared" si="16"/>
        <v>0</v>
      </c>
      <c r="Q57" s="1343">
        <f t="shared" si="16"/>
        <v>0</v>
      </c>
      <c r="R57" s="1344">
        <f t="shared" si="16"/>
        <v>0</v>
      </c>
      <c r="S57" s="1343">
        <f t="shared" si="16"/>
        <v>0</v>
      </c>
      <c r="T57" s="1344">
        <f t="shared" si="16"/>
        <v>0</v>
      </c>
      <c r="U57" s="1343">
        <f t="shared" si="16"/>
        <v>0</v>
      </c>
      <c r="V57" s="1344">
        <f t="shared" si="16"/>
        <v>0</v>
      </c>
      <c r="W57" s="1343">
        <f t="shared" si="16"/>
        <v>0</v>
      </c>
      <c r="X57" s="1370"/>
      <c r="Y57" s="1370"/>
      <c r="Z57" s="1370"/>
      <c r="AA57" s="1370"/>
      <c r="AB57" s="1370"/>
      <c r="AC57" s="1370"/>
      <c r="AD57" s="1370"/>
      <c r="AE57" s="1370"/>
      <c r="AF57" s="1370"/>
      <c r="AG57" s="1370"/>
      <c r="AH57" s="1370"/>
      <c r="AI57" s="1370"/>
      <c r="AJ57" s="1370"/>
      <c r="AK57" s="1370"/>
      <c r="AL57" s="1370"/>
      <c r="AM57" s="1370"/>
      <c r="AN57" s="1370"/>
      <c r="AO57" s="1370"/>
      <c r="AP57" s="1370"/>
      <c r="AQ57" s="1370"/>
      <c r="AR57" s="1370"/>
      <c r="AS57" s="1370"/>
      <c r="AT57" s="1370"/>
      <c r="AU57" s="1370"/>
      <c r="AV57" s="1370"/>
      <c r="AW57" s="1370"/>
      <c r="AX57" s="1370"/>
      <c r="AY57" s="1370"/>
      <c r="AZ57" s="1370"/>
      <c r="BA57" s="1370"/>
      <c r="BB57" s="1370"/>
      <c r="BC57" s="1370"/>
      <c r="BD57" s="1370"/>
      <c r="BE57" s="1370"/>
      <c r="BF57" s="1370"/>
      <c r="BG57" s="1370"/>
      <c r="BH57" s="1370"/>
      <c r="BI57" s="1370"/>
      <c r="BJ57" s="1370"/>
      <c r="BK57" s="1370"/>
      <c r="BL57" s="1370"/>
      <c r="BM57" s="1370"/>
      <c r="BN57" s="1370"/>
      <c r="BO57" s="1370"/>
      <c r="BP57" s="1370"/>
      <c r="BQ57" s="1370"/>
      <c r="BR57" s="1370"/>
      <c r="BS57" s="1370"/>
      <c r="BT57" s="1370"/>
      <c r="BU57" s="1370"/>
      <c r="BV57" s="1370"/>
      <c r="BW57" s="1370"/>
      <c r="BX57" s="1370"/>
      <c r="BY57" s="1370"/>
      <c r="BZ57" s="1370"/>
      <c r="CA57" s="1370"/>
      <c r="CB57" s="1370"/>
      <c r="CC57" s="1370"/>
      <c r="CD57" s="1370"/>
      <c r="CE57" s="1370"/>
      <c r="CF57" s="1370"/>
      <c r="CG57" s="1370"/>
      <c r="CH57" s="1370"/>
      <c r="CI57" s="1370"/>
      <c r="CJ57" s="1370"/>
      <c r="CK57" s="1370"/>
      <c r="CL57" s="1370"/>
      <c r="CM57" s="1370"/>
      <c r="CN57" s="1370"/>
      <c r="CO57" s="1370"/>
      <c r="CP57" s="1370"/>
      <c r="CQ57" s="1370"/>
      <c r="CR57" s="1370"/>
      <c r="CS57" s="1370"/>
      <c r="CT57" s="1370"/>
      <c r="CU57" s="1370"/>
      <c r="CV57" s="1370"/>
      <c r="CW57" s="1370"/>
      <c r="CX57" s="1370"/>
      <c r="CY57" s="1370"/>
      <c r="CZ57" s="1370"/>
      <c r="DA57" s="1370"/>
      <c r="DB57" s="1370"/>
      <c r="DC57" s="1370"/>
      <c r="DD57" s="1370"/>
      <c r="DE57" s="1370"/>
      <c r="DF57" s="1370"/>
      <c r="DG57" s="1370"/>
      <c r="DH57" s="1370"/>
      <c r="DI57" s="1370"/>
      <c r="DJ57" s="1370"/>
      <c r="DK57" s="1370"/>
      <c r="DL57" s="1370"/>
      <c r="DM57" s="1370"/>
      <c r="DN57" s="1370"/>
      <c r="DO57" s="1370"/>
      <c r="DP57" s="1370"/>
      <c r="DQ57" s="1370"/>
      <c r="DR57" s="1370"/>
      <c r="DS57" s="1370"/>
      <c r="DT57" s="1370"/>
      <c r="DU57" s="1370"/>
      <c r="DV57" s="1370"/>
      <c r="DW57" s="1370"/>
      <c r="DX57" s="1370"/>
      <c r="DY57" s="1370"/>
      <c r="DZ57" s="1370"/>
      <c r="EA57" s="1370"/>
      <c r="EB57" s="1370"/>
      <c r="EC57" s="1370"/>
      <c r="ED57" s="1370"/>
      <c r="EE57" s="1370"/>
      <c r="EF57" s="1370"/>
      <c r="EG57" s="1370"/>
      <c r="EH57" s="1370"/>
      <c r="EI57" s="1370"/>
      <c r="EJ57" s="1370"/>
      <c r="EK57" s="1370"/>
      <c r="EL57" s="1370"/>
      <c r="EM57" s="1370"/>
      <c r="EN57" s="1370"/>
      <c r="EO57" s="1370"/>
      <c r="EP57" s="1370"/>
      <c r="EQ57" s="1370"/>
      <c r="ER57" s="1370"/>
      <c r="ES57" s="1370"/>
      <c r="ET57" s="1370"/>
      <c r="EU57" s="1370"/>
      <c r="EV57" s="1370"/>
      <c r="EW57" s="1370"/>
      <c r="EX57" s="1370"/>
      <c r="EY57" s="1370"/>
      <c r="EZ57" s="1370"/>
      <c r="FA57" s="1370"/>
      <c r="FB57" s="1370"/>
      <c r="FC57" s="1370"/>
      <c r="FD57" s="1370"/>
      <c r="FE57" s="1370"/>
      <c r="FF57" s="1370"/>
      <c r="FG57" s="1370"/>
      <c r="FH57" s="1370"/>
      <c r="FI57" s="1370"/>
      <c r="FJ57" s="1370"/>
      <c r="FK57" s="1370"/>
      <c r="FL57" s="1370"/>
      <c r="FM57" s="1370"/>
      <c r="FN57" s="1370"/>
      <c r="FO57" s="1370"/>
      <c r="FP57" s="1370"/>
      <c r="FQ57" s="1370"/>
      <c r="FR57" s="1370"/>
      <c r="FS57" s="1370"/>
      <c r="FT57" s="1370"/>
      <c r="FU57" s="1370"/>
      <c r="FV57" s="1370"/>
      <c r="FW57" s="1370"/>
      <c r="FX57" s="1370"/>
      <c r="FY57" s="1370"/>
      <c r="FZ57" s="1370"/>
      <c r="GA57" s="1370"/>
      <c r="GB57" s="1370"/>
      <c r="GC57" s="1370"/>
      <c r="GD57" s="1370"/>
      <c r="GE57" s="1370"/>
      <c r="GF57" s="1370"/>
      <c r="GG57" s="1370"/>
      <c r="GH57" s="1370"/>
      <c r="GI57" s="1370"/>
      <c r="GJ57" s="1370"/>
      <c r="GK57" s="1370"/>
      <c r="GL57" s="1370"/>
      <c r="GM57" s="1370"/>
      <c r="GN57" s="1370"/>
      <c r="GO57" s="1370"/>
      <c r="GP57" s="1370"/>
      <c r="GQ57" s="1370"/>
      <c r="GR57" s="1370"/>
      <c r="GS57" s="1370"/>
      <c r="GT57" s="1370"/>
      <c r="GU57" s="1370"/>
      <c r="GV57" s="1370"/>
      <c r="GW57" s="1370"/>
      <c r="GX57" s="1370"/>
      <c r="GY57" s="1370"/>
      <c r="GZ57" s="1370"/>
      <c r="HA57" s="1370"/>
      <c r="HB57" s="1370"/>
      <c r="HC57" s="1370"/>
      <c r="HD57" s="1370"/>
      <c r="HE57" s="1370"/>
      <c r="HF57" s="1370"/>
      <c r="HG57" s="1370"/>
      <c r="HH57" s="1370"/>
      <c r="HI57" s="1370"/>
      <c r="HJ57" s="1370"/>
      <c r="HK57" s="1370"/>
      <c r="HL57" s="1370"/>
      <c r="HM57" s="1370"/>
      <c r="HN57" s="1370"/>
      <c r="HO57" s="1370"/>
      <c r="HP57" s="1370"/>
      <c r="HQ57" s="1370"/>
    </row>
    <row r="58" spans="1:225" ht="13.2" hidden="1" customHeight="1" outlineLevel="1" x14ac:dyDescent="0.25">
      <c r="A58" s="5844" t="s">
        <v>1813</v>
      </c>
      <c r="B58" s="1401" t="s">
        <v>1814</v>
      </c>
      <c r="C58" s="1349" t="s">
        <v>1746</v>
      </c>
      <c r="D58" s="1344"/>
      <c r="E58" s="3619"/>
      <c r="F58" s="3617"/>
      <c r="G58" s="3631"/>
      <c r="H58" s="3623">
        <f>J58+L58+N58+P58+R58+T58+V58</f>
        <v>0</v>
      </c>
      <c r="I58" s="1343">
        <f>K58+M58+O58+Q58+S58+U58+W58</f>
        <v>0</v>
      </c>
      <c r="J58" s="1344"/>
      <c r="K58" s="1343"/>
      <c r="L58" s="1344"/>
      <c r="M58" s="1343"/>
      <c r="N58" s="1344"/>
      <c r="O58" s="1343"/>
      <c r="P58" s="1344"/>
      <c r="Q58" s="1343"/>
      <c r="R58" s="1344"/>
      <c r="S58" s="1343"/>
      <c r="T58" s="1344"/>
      <c r="U58" s="1343"/>
      <c r="V58" s="1344"/>
      <c r="W58" s="1346"/>
      <c r="X58" s="1370"/>
      <c r="Y58" s="1370"/>
      <c r="Z58" s="1370"/>
      <c r="AA58" s="1370"/>
      <c r="AB58" s="1370"/>
      <c r="AC58" s="1370"/>
      <c r="AD58" s="1370"/>
      <c r="AE58" s="1370"/>
      <c r="AF58" s="1370"/>
      <c r="AG58" s="1370"/>
      <c r="AH58" s="1370"/>
      <c r="AI58" s="1370"/>
      <c r="AJ58" s="1370"/>
      <c r="AK58" s="1370"/>
      <c r="AL58" s="1370"/>
      <c r="AM58" s="1370"/>
      <c r="AN58" s="1370"/>
      <c r="AO58" s="1370"/>
      <c r="AP58" s="1370"/>
      <c r="AQ58" s="1370"/>
      <c r="AR58" s="1370"/>
      <c r="AS58" s="1370"/>
      <c r="AT58" s="1370"/>
      <c r="AU58" s="1370"/>
      <c r="AV58" s="1370"/>
      <c r="AW58" s="1370"/>
      <c r="AX58" s="1370"/>
      <c r="AY58" s="1370"/>
      <c r="AZ58" s="1370"/>
      <c r="BA58" s="1370"/>
      <c r="BB58" s="1370"/>
      <c r="BC58" s="1370"/>
      <c r="BD58" s="1370"/>
      <c r="BE58" s="1370"/>
      <c r="BF58" s="1370"/>
      <c r="BG58" s="1370"/>
      <c r="BH58" s="1370"/>
      <c r="BI58" s="1370"/>
      <c r="BJ58" s="1370"/>
      <c r="BK58" s="1370"/>
      <c r="BL58" s="1370"/>
      <c r="BM58" s="1370"/>
      <c r="BN58" s="1370"/>
      <c r="BO58" s="1370"/>
      <c r="BP58" s="1370"/>
      <c r="BQ58" s="1370"/>
      <c r="BR58" s="1370"/>
      <c r="BS58" s="1370"/>
      <c r="BT58" s="1370"/>
      <c r="BU58" s="1370"/>
      <c r="BV58" s="1370"/>
      <c r="BW58" s="1370"/>
      <c r="BX58" s="1370"/>
      <c r="BY58" s="1370"/>
      <c r="BZ58" s="1370"/>
      <c r="CA58" s="1370"/>
      <c r="CB58" s="1370"/>
      <c r="CC58" s="1370"/>
      <c r="CD58" s="1370"/>
      <c r="CE58" s="1370"/>
      <c r="CF58" s="1370"/>
      <c r="CG58" s="1370"/>
      <c r="CH58" s="1370"/>
      <c r="CI58" s="1370"/>
      <c r="CJ58" s="1370"/>
      <c r="CK58" s="1370"/>
      <c r="CL58" s="1370"/>
      <c r="CM58" s="1370"/>
      <c r="CN58" s="1370"/>
      <c r="CO58" s="1370"/>
      <c r="CP58" s="1370"/>
      <c r="CQ58" s="1370"/>
      <c r="CR58" s="1370"/>
      <c r="CS58" s="1370"/>
      <c r="CT58" s="1370"/>
      <c r="CU58" s="1370"/>
      <c r="CV58" s="1370"/>
      <c r="CW58" s="1370"/>
      <c r="CX58" s="1370"/>
      <c r="CY58" s="1370"/>
      <c r="CZ58" s="1370"/>
      <c r="DA58" s="1370"/>
      <c r="DB58" s="1370"/>
      <c r="DC58" s="1370"/>
      <c r="DD58" s="1370"/>
      <c r="DE58" s="1370"/>
      <c r="DF58" s="1370"/>
      <c r="DG58" s="1370"/>
      <c r="DH58" s="1370"/>
      <c r="DI58" s="1370"/>
      <c r="DJ58" s="1370"/>
      <c r="DK58" s="1370"/>
      <c r="DL58" s="1370"/>
      <c r="DM58" s="1370"/>
      <c r="DN58" s="1370"/>
      <c r="DO58" s="1370"/>
      <c r="DP58" s="1370"/>
      <c r="DQ58" s="1370"/>
      <c r="DR58" s="1370"/>
      <c r="DS58" s="1370"/>
      <c r="DT58" s="1370"/>
      <c r="DU58" s="1370"/>
      <c r="DV58" s="1370"/>
      <c r="DW58" s="1370"/>
      <c r="DX58" s="1370"/>
      <c r="DY58" s="1370"/>
      <c r="DZ58" s="1370"/>
      <c r="EA58" s="1370"/>
      <c r="EB58" s="1370"/>
      <c r="EC58" s="1370"/>
      <c r="ED58" s="1370"/>
      <c r="EE58" s="1370"/>
      <c r="EF58" s="1370"/>
      <c r="EG58" s="1370"/>
      <c r="EH58" s="1370"/>
      <c r="EI58" s="1370"/>
      <c r="EJ58" s="1370"/>
      <c r="EK58" s="1370"/>
      <c r="EL58" s="1370"/>
      <c r="EM58" s="1370"/>
      <c r="EN58" s="1370"/>
      <c r="EO58" s="1370"/>
      <c r="EP58" s="1370"/>
      <c r="EQ58" s="1370"/>
      <c r="ER58" s="1370"/>
      <c r="ES58" s="1370"/>
      <c r="ET58" s="1370"/>
      <c r="EU58" s="1370"/>
      <c r="EV58" s="1370"/>
      <c r="EW58" s="1370"/>
      <c r="EX58" s="1370"/>
      <c r="EY58" s="1370"/>
      <c r="EZ58" s="1370"/>
      <c r="FA58" s="1370"/>
      <c r="FB58" s="1370"/>
      <c r="FC58" s="1370"/>
      <c r="FD58" s="1370"/>
      <c r="FE58" s="1370"/>
      <c r="FF58" s="1370"/>
      <c r="FG58" s="1370"/>
      <c r="FH58" s="1370"/>
      <c r="FI58" s="1370"/>
      <c r="FJ58" s="1370"/>
      <c r="FK58" s="1370"/>
      <c r="FL58" s="1370"/>
      <c r="FM58" s="1370"/>
      <c r="FN58" s="1370"/>
      <c r="FO58" s="1370"/>
      <c r="FP58" s="1370"/>
      <c r="FQ58" s="1370"/>
      <c r="FR58" s="1370"/>
      <c r="FS58" s="1370"/>
      <c r="FT58" s="1370"/>
      <c r="FU58" s="1370"/>
      <c r="FV58" s="1370"/>
      <c r="FW58" s="1370"/>
      <c r="FX58" s="1370"/>
      <c r="FY58" s="1370"/>
      <c r="FZ58" s="1370"/>
      <c r="GA58" s="1370"/>
      <c r="GB58" s="1370"/>
      <c r="GC58" s="1370"/>
      <c r="GD58" s="1370"/>
      <c r="GE58" s="1370"/>
      <c r="GF58" s="1370"/>
      <c r="GG58" s="1370"/>
      <c r="GH58" s="1370"/>
      <c r="GI58" s="1370"/>
      <c r="GJ58" s="1370"/>
      <c r="GK58" s="1370"/>
      <c r="GL58" s="1370"/>
      <c r="GM58" s="1370"/>
      <c r="GN58" s="1370"/>
      <c r="GO58" s="1370"/>
      <c r="GP58" s="1370"/>
      <c r="GQ58" s="1370"/>
      <c r="GR58" s="1370"/>
      <c r="GS58" s="1370"/>
      <c r="GT58" s="1370"/>
      <c r="GU58" s="1370"/>
      <c r="GV58" s="1370"/>
      <c r="GW58" s="1370"/>
      <c r="GX58" s="1370"/>
      <c r="GY58" s="1370"/>
      <c r="GZ58" s="1370"/>
      <c r="HA58" s="1370"/>
      <c r="HB58" s="1370"/>
      <c r="HC58" s="1370"/>
      <c r="HD58" s="1370"/>
      <c r="HE58" s="1370"/>
      <c r="HF58" s="1370"/>
      <c r="HG58" s="1370"/>
      <c r="HH58" s="1370"/>
      <c r="HI58" s="1370"/>
      <c r="HJ58" s="1370"/>
      <c r="HK58" s="1370"/>
      <c r="HL58" s="1370"/>
      <c r="HM58" s="1370"/>
      <c r="HN58" s="1370"/>
      <c r="HO58" s="1370"/>
      <c r="HP58" s="1370"/>
      <c r="HQ58" s="1370"/>
    </row>
    <row r="59" spans="1:225" ht="24" hidden="1" customHeight="1" outlineLevel="1" x14ac:dyDescent="0.25">
      <c r="A59" s="5845"/>
      <c r="B59" s="1401" t="s">
        <v>1815</v>
      </c>
      <c r="C59" s="1349" t="s">
        <v>1777</v>
      </c>
      <c r="D59" s="1344"/>
      <c r="E59" s="3619"/>
      <c r="F59" s="3617"/>
      <c r="G59" s="3631"/>
      <c r="H59" s="3623">
        <f>IF(H58=0,,H60/1000/H58)</f>
        <v>0</v>
      </c>
      <c r="I59" s="1343">
        <f>IF(I58=0,,I60/1000/I58)</f>
        <v>0</v>
      </c>
      <c r="J59" s="1344"/>
      <c r="K59" s="1343"/>
      <c r="L59" s="1344"/>
      <c r="M59" s="1343"/>
      <c r="N59" s="1344"/>
      <c r="O59" s="1343"/>
      <c r="P59" s="1344"/>
      <c r="Q59" s="1343"/>
      <c r="R59" s="1344"/>
      <c r="S59" s="1343"/>
      <c r="T59" s="1344"/>
      <c r="U59" s="1343"/>
      <c r="V59" s="1344"/>
      <c r="W59" s="1346"/>
      <c r="X59" s="1370"/>
      <c r="Y59" s="1370"/>
      <c r="Z59" s="1370"/>
      <c r="AA59" s="1370"/>
      <c r="AB59" s="1370"/>
      <c r="AC59" s="1370"/>
      <c r="AD59" s="1370"/>
      <c r="AE59" s="1370"/>
      <c r="AF59" s="1370"/>
      <c r="AG59" s="1370"/>
      <c r="AH59" s="1370"/>
      <c r="AI59" s="1370"/>
      <c r="AJ59" s="1370"/>
      <c r="AK59" s="1370"/>
      <c r="AL59" s="1370"/>
      <c r="AM59" s="1370"/>
      <c r="AN59" s="1370"/>
      <c r="AO59" s="1370"/>
      <c r="AP59" s="1370"/>
      <c r="AQ59" s="1370"/>
      <c r="AR59" s="1370"/>
      <c r="AS59" s="1370"/>
      <c r="AT59" s="1370"/>
      <c r="AU59" s="1370"/>
      <c r="AV59" s="1370"/>
      <c r="AW59" s="1370"/>
      <c r="AX59" s="1370"/>
      <c r="AY59" s="1370"/>
      <c r="AZ59" s="1370"/>
      <c r="BA59" s="1370"/>
      <c r="BB59" s="1370"/>
      <c r="BC59" s="1370"/>
      <c r="BD59" s="1370"/>
      <c r="BE59" s="1370"/>
      <c r="BF59" s="1370"/>
      <c r="BG59" s="1370"/>
      <c r="BH59" s="1370"/>
      <c r="BI59" s="1370"/>
      <c r="BJ59" s="1370"/>
      <c r="BK59" s="1370"/>
      <c r="BL59" s="1370"/>
      <c r="BM59" s="1370"/>
      <c r="BN59" s="1370"/>
      <c r="BO59" s="1370"/>
      <c r="BP59" s="1370"/>
      <c r="BQ59" s="1370"/>
      <c r="BR59" s="1370"/>
      <c r="BS59" s="1370"/>
      <c r="BT59" s="1370"/>
      <c r="BU59" s="1370"/>
      <c r="BV59" s="1370"/>
      <c r="BW59" s="1370"/>
      <c r="BX59" s="1370"/>
      <c r="BY59" s="1370"/>
      <c r="BZ59" s="1370"/>
      <c r="CA59" s="1370"/>
      <c r="CB59" s="1370"/>
      <c r="CC59" s="1370"/>
      <c r="CD59" s="1370"/>
      <c r="CE59" s="1370"/>
      <c r="CF59" s="1370"/>
      <c r="CG59" s="1370"/>
      <c r="CH59" s="1370"/>
      <c r="CI59" s="1370"/>
      <c r="CJ59" s="1370"/>
      <c r="CK59" s="1370"/>
      <c r="CL59" s="1370"/>
      <c r="CM59" s="1370"/>
      <c r="CN59" s="1370"/>
      <c r="CO59" s="1370"/>
      <c r="CP59" s="1370"/>
      <c r="CQ59" s="1370"/>
      <c r="CR59" s="1370"/>
      <c r="CS59" s="1370"/>
      <c r="CT59" s="1370"/>
      <c r="CU59" s="1370"/>
      <c r="CV59" s="1370"/>
      <c r="CW59" s="1370"/>
      <c r="CX59" s="1370"/>
      <c r="CY59" s="1370"/>
      <c r="CZ59" s="1370"/>
      <c r="DA59" s="1370"/>
      <c r="DB59" s="1370"/>
      <c r="DC59" s="1370"/>
      <c r="DD59" s="1370"/>
      <c r="DE59" s="1370"/>
      <c r="DF59" s="1370"/>
      <c r="DG59" s="1370"/>
      <c r="DH59" s="1370"/>
      <c r="DI59" s="1370"/>
      <c r="DJ59" s="1370"/>
      <c r="DK59" s="1370"/>
      <c r="DL59" s="1370"/>
      <c r="DM59" s="1370"/>
      <c r="DN59" s="1370"/>
      <c r="DO59" s="1370"/>
      <c r="DP59" s="1370"/>
      <c r="DQ59" s="1370"/>
      <c r="DR59" s="1370"/>
      <c r="DS59" s="1370"/>
      <c r="DT59" s="1370"/>
      <c r="DU59" s="1370"/>
      <c r="DV59" s="1370"/>
      <c r="DW59" s="1370"/>
      <c r="DX59" s="1370"/>
      <c r="DY59" s="1370"/>
      <c r="DZ59" s="1370"/>
      <c r="EA59" s="1370"/>
      <c r="EB59" s="1370"/>
      <c r="EC59" s="1370"/>
      <c r="ED59" s="1370"/>
      <c r="EE59" s="1370"/>
      <c r="EF59" s="1370"/>
      <c r="EG59" s="1370"/>
      <c r="EH59" s="1370"/>
      <c r="EI59" s="1370"/>
      <c r="EJ59" s="1370"/>
      <c r="EK59" s="1370"/>
      <c r="EL59" s="1370"/>
      <c r="EM59" s="1370"/>
      <c r="EN59" s="1370"/>
      <c r="EO59" s="1370"/>
      <c r="EP59" s="1370"/>
      <c r="EQ59" s="1370"/>
      <c r="ER59" s="1370"/>
      <c r="ES59" s="1370"/>
      <c r="ET59" s="1370"/>
      <c r="EU59" s="1370"/>
      <c r="EV59" s="1370"/>
      <c r="EW59" s="1370"/>
      <c r="EX59" s="1370"/>
      <c r="EY59" s="1370"/>
      <c r="EZ59" s="1370"/>
      <c r="FA59" s="1370"/>
      <c r="FB59" s="1370"/>
      <c r="FC59" s="1370"/>
      <c r="FD59" s="1370"/>
      <c r="FE59" s="1370"/>
      <c r="FF59" s="1370"/>
      <c r="FG59" s="1370"/>
      <c r="FH59" s="1370"/>
      <c r="FI59" s="1370"/>
      <c r="FJ59" s="1370"/>
      <c r="FK59" s="1370"/>
      <c r="FL59" s="1370"/>
      <c r="FM59" s="1370"/>
      <c r="FN59" s="1370"/>
      <c r="FO59" s="1370"/>
      <c r="FP59" s="1370"/>
      <c r="FQ59" s="1370"/>
      <c r="FR59" s="1370"/>
      <c r="FS59" s="1370"/>
      <c r="FT59" s="1370"/>
      <c r="FU59" s="1370"/>
      <c r="FV59" s="1370"/>
      <c r="FW59" s="1370"/>
      <c r="FX59" s="1370"/>
      <c r="FY59" s="1370"/>
      <c r="FZ59" s="1370"/>
      <c r="GA59" s="1370"/>
      <c r="GB59" s="1370"/>
      <c r="GC59" s="1370"/>
      <c r="GD59" s="1370"/>
      <c r="GE59" s="1370"/>
      <c r="GF59" s="1370"/>
      <c r="GG59" s="1370"/>
      <c r="GH59" s="1370"/>
      <c r="GI59" s="1370"/>
      <c r="GJ59" s="1370"/>
      <c r="GK59" s="1370"/>
      <c r="GL59" s="1370"/>
      <c r="GM59" s="1370"/>
      <c r="GN59" s="1370"/>
      <c r="GO59" s="1370"/>
      <c r="GP59" s="1370"/>
      <c r="GQ59" s="1370"/>
      <c r="GR59" s="1370"/>
      <c r="GS59" s="1370"/>
      <c r="GT59" s="1370"/>
      <c r="GU59" s="1370"/>
      <c r="GV59" s="1370"/>
      <c r="GW59" s="1370"/>
      <c r="GX59" s="1370"/>
      <c r="GY59" s="1370"/>
      <c r="GZ59" s="1370"/>
      <c r="HA59" s="1370"/>
      <c r="HB59" s="1370"/>
      <c r="HC59" s="1370"/>
      <c r="HD59" s="1370"/>
      <c r="HE59" s="1370"/>
      <c r="HF59" s="1370"/>
      <c r="HG59" s="1370"/>
      <c r="HH59" s="1370"/>
      <c r="HI59" s="1370"/>
      <c r="HJ59" s="1370"/>
      <c r="HK59" s="1370"/>
      <c r="HL59" s="1370"/>
      <c r="HM59" s="1370"/>
      <c r="HN59" s="1370"/>
      <c r="HO59" s="1370"/>
      <c r="HP59" s="1370"/>
      <c r="HQ59" s="1370"/>
    </row>
    <row r="60" spans="1:225" ht="24" hidden="1" customHeight="1" outlineLevel="1" x14ac:dyDescent="0.25">
      <c r="A60" s="5846"/>
      <c r="B60" s="1404" t="s">
        <v>1816</v>
      </c>
      <c r="C60" s="1350" t="s">
        <v>1780</v>
      </c>
      <c r="D60" s="1344"/>
      <c r="E60" s="3619"/>
      <c r="F60" s="3617"/>
      <c r="G60" s="3631"/>
      <c r="H60" s="3623">
        <f>J60+L60+N60+P60+R60+T60+V60</f>
        <v>0</v>
      </c>
      <c r="I60" s="1343">
        <f>K60+M60+O60+Q60+S60+U60+W60</f>
        <v>0</v>
      </c>
      <c r="J60" s="1344">
        <f>J58*J59/1000</f>
        <v>0</v>
      </c>
      <c r="K60" s="1343">
        <f t="shared" ref="K60:W60" si="17">K58*K59/1000</f>
        <v>0</v>
      </c>
      <c r="L60" s="1344">
        <f t="shared" si="17"/>
        <v>0</v>
      </c>
      <c r="M60" s="1343">
        <f t="shared" si="17"/>
        <v>0</v>
      </c>
      <c r="N60" s="1344">
        <f t="shared" si="17"/>
        <v>0</v>
      </c>
      <c r="O60" s="1343">
        <f t="shared" si="17"/>
        <v>0</v>
      </c>
      <c r="P60" s="1344">
        <f t="shared" si="17"/>
        <v>0</v>
      </c>
      <c r="Q60" s="1343">
        <f t="shared" si="17"/>
        <v>0</v>
      </c>
      <c r="R60" s="1344">
        <f t="shared" si="17"/>
        <v>0</v>
      </c>
      <c r="S60" s="1343">
        <f t="shared" si="17"/>
        <v>0</v>
      </c>
      <c r="T60" s="1344">
        <f t="shared" si="17"/>
        <v>0</v>
      </c>
      <c r="U60" s="1343">
        <f t="shared" si="17"/>
        <v>0</v>
      </c>
      <c r="V60" s="1344">
        <f t="shared" si="17"/>
        <v>0</v>
      </c>
      <c r="W60" s="1343">
        <f t="shared" si="17"/>
        <v>0</v>
      </c>
      <c r="X60" s="1370"/>
      <c r="Y60" s="1370"/>
      <c r="Z60" s="1370"/>
      <c r="AA60" s="1370"/>
      <c r="AB60" s="1370"/>
      <c r="AC60" s="1370"/>
      <c r="AD60" s="1370"/>
      <c r="AE60" s="1370"/>
      <c r="AF60" s="1370"/>
      <c r="AG60" s="1370"/>
      <c r="AH60" s="1370"/>
      <c r="AI60" s="1370"/>
      <c r="AJ60" s="1370"/>
      <c r="AK60" s="1370"/>
      <c r="AL60" s="1370"/>
      <c r="AM60" s="1370"/>
      <c r="AN60" s="1370"/>
      <c r="AO60" s="1370"/>
      <c r="AP60" s="1370"/>
      <c r="AQ60" s="1370"/>
      <c r="AR60" s="1370"/>
      <c r="AS60" s="1370"/>
      <c r="AT60" s="1370"/>
      <c r="AU60" s="1370"/>
      <c r="AV60" s="1370"/>
      <c r="AW60" s="1370"/>
      <c r="AX60" s="1370"/>
      <c r="AY60" s="1370"/>
      <c r="AZ60" s="1370"/>
      <c r="BA60" s="1370"/>
      <c r="BB60" s="1370"/>
      <c r="BC60" s="1370"/>
      <c r="BD60" s="1370"/>
      <c r="BE60" s="1370"/>
      <c r="BF60" s="1370"/>
      <c r="BG60" s="1370"/>
      <c r="BH60" s="1370"/>
      <c r="BI60" s="1370"/>
      <c r="BJ60" s="1370"/>
      <c r="BK60" s="1370"/>
      <c r="BL60" s="1370"/>
      <c r="BM60" s="1370"/>
      <c r="BN60" s="1370"/>
      <c r="BO60" s="1370"/>
      <c r="BP60" s="1370"/>
      <c r="BQ60" s="1370"/>
      <c r="BR60" s="1370"/>
      <c r="BS60" s="1370"/>
      <c r="BT60" s="1370"/>
      <c r="BU60" s="1370"/>
      <c r="BV60" s="1370"/>
      <c r="BW60" s="1370"/>
      <c r="BX60" s="1370"/>
      <c r="BY60" s="1370"/>
      <c r="BZ60" s="1370"/>
      <c r="CA60" s="1370"/>
      <c r="CB60" s="1370"/>
      <c r="CC60" s="1370"/>
      <c r="CD60" s="1370"/>
      <c r="CE60" s="1370"/>
      <c r="CF60" s="1370"/>
      <c r="CG60" s="1370"/>
      <c r="CH60" s="1370"/>
      <c r="CI60" s="1370"/>
      <c r="CJ60" s="1370"/>
      <c r="CK60" s="1370"/>
      <c r="CL60" s="1370"/>
      <c r="CM60" s="1370"/>
      <c r="CN60" s="1370"/>
      <c r="CO60" s="1370"/>
      <c r="CP60" s="1370"/>
      <c r="CQ60" s="1370"/>
      <c r="CR60" s="1370"/>
      <c r="CS60" s="1370"/>
      <c r="CT60" s="1370"/>
      <c r="CU60" s="1370"/>
      <c r="CV60" s="1370"/>
      <c r="CW60" s="1370"/>
      <c r="CX60" s="1370"/>
      <c r="CY60" s="1370"/>
      <c r="CZ60" s="1370"/>
      <c r="DA60" s="1370"/>
      <c r="DB60" s="1370"/>
      <c r="DC60" s="1370"/>
      <c r="DD60" s="1370"/>
      <c r="DE60" s="1370"/>
      <c r="DF60" s="1370"/>
      <c r="DG60" s="1370"/>
      <c r="DH60" s="1370"/>
      <c r="DI60" s="1370"/>
      <c r="DJ60" s="1370"/>
      <c r="DK60" s="1370"/>
      <c r="DL60" s="1370"/>
      <c r="DM60" s="1370"/>
      <c r="DN60" s="1370"/>
      <c r="DO60" s="1370"/>
      <c r="DP60" s="1370"/>
      <c r="DQ60" s="1370"/>
      <c r="DR60" s="1370"/>
      <c r="DS60" s="1370"/>
      <c r="DT60" s="1370"/>
      <c r="DU60" s="1370"/>
      <c r="DV60" s="1370"/>
      <c r="DW60" s="1370"/>
      <c r="DX60" s="1370"/>
      <c r="DY60" s="1370"/>
      <c r="DZ60" s="1370"/>
      <c r="EA60" s="1370"/>
      <c r="EB60" s="1370"/>
      <c r="EC60" s="1370"/>
      <c r="ED60" s="1370"/>
      <c r="EE60" s="1370"/>
      <c r="EF60" s="1370"/>
      <c r="EG60" s="1370"/>
      <c r="EH60" s="1370"/>
      <c r="EI60" s="1370"/>
      <c r="EJ60" s="1370"/>
      <c r="EK60" s="1370"/>
      <c r="EL60" s="1370"/>
      <c r="EM60" s="1370"/>
      <c r="EN60" s="1370"/>
      <c r="EO60" s="1370"/>
      <c r="EP60" s="1370"/>
      <c r="EQ60" s="1370"/>
      <c r="ER60" s="1370"/>
      <c r="ES60" s="1370"/>
      <c r="ET60" s="1370"/>
      <c r="EU60" s="1370"/>
      <c r="EV60" s="1370"/>
      <c r="EW60" s="1370"/>
      <c r="EX60" s="1370"/>
      <c r="EY60" s="1370"/>
      <c r="EZ60" s="1370"/>
      <c r="FA60" s="1370"/>
      <c r="FB60" s="1370"/>
      <c r="FC60" s="1370"/>
      <c r="FD60" s="1370"/>
      <c r="FE60" s="1370"/>
      <c r="FF60" s="1370"/>
      <c r="FG60" s="1370"/>
      <c r="FH60" s="1370"/>
      <c r="FI60" s="1370"/>
      <c r="FJ60" s="1370"/>
      <c r="FK60" s="1370"/>
      <c r="FL60" s="1370"/>
      <c r="FM60" s="1370"/>
      <c r="FN60" s="1370"/>
      <c r="FO60" s="1370"/>
      <c r="FP60" s="1370"/>
      <c r="FQ60" s="1370"/>
      <c r="FR60" s="1370"/>
      <c r="FS60" s="1370"/>
      <c r="FT60" s="1370"/>
      <c r="FU60" s="1370"/>
      <c r="FV60" s="1370"/>
      <c r="FW60" s="1370"/>
      <c r="FX60" s="1370"/>
      <c r="FY60" s="1370"/>
      <c r="FZ60" s="1370"/>
      <c r="GA60" s="1370"/>
      <c r="GB60" s="1370"/>
      <c r="GC60" s="1370"/>
      <c r="GD60" s="1370"/>
      <c r="GE60" s="1370"/>
      <c r="GF60" s="1370"/>
      <c r="GG60" s="1370"/>
      <c r="GH60" s="1370"/>
      <c r="GI60" s="1370"/>
      <c r="GJ60" s="1370"/>
      <c r="GK60" s="1370"/>
      <c r="GL60" s="1370"/>
      <c r="GM60" s="1370"/>
      <c r="GN60" s="1370"/>
      <c r="GO60" s="1370"/>
      <c r="GP60" s="1370"/>
      <c r="GQ60" s="1370"/>
      <c r="GR60" s="1370"/>
      <c r="GS60" s="1370"/>
      <c r="GT60" s="1370"/>
      <c r="GU60" s="1370"/>
      <c r="GV60" s="1370"/>
      <c r="GW60" s="1370"/>
      <c r="GX60" s="1370"/>
      <c r="GY60" s="1370"/>
      <c r="GZ60" s="1370"/>
      <c r="HA60" s="1370"/>
      <c r="HB60" s="1370"/>
      <c r="HC60" s="1370"/>
      <c r="HD60" s="1370"/>
      <c r="HE60" s="1370"/>
      <c r="HF60" s="1370"/>
      <c r="HG60" s="1370"/>
      <c r="HH60" s="1370"/>
      <c r="HI60" s="1370"/>
      <c r="HJ60" s="1370"/>
      <c r="HK60" s="1370"/>
      <c r="HL60" s="1370"/>
      <c r="HM60" s="1370"/>
      <c r="HN60" s="1370"/>
      <c r="HO60" s="1370"/>
      <c r="HP60" s="1370"/>
      <c r="HQ60" s="1370"/>
    </row>
    <row r="61" spans="1:225" ht="13.2" hidden="1" customHeight="1" outlineLevel="1" x14ac:dyDescent="0.25">
      <c r="A61" s="5844" t="s">
        <v>1817</v>
      </c>
      <c r="B61" s="1401" t="s">
        <v>1818</v>
      </c>
      <c r="C61" s="1349" t="s">
        <v>1746</v>
      </c>
      <c r="D61" s="1344"/>
      <c r="E61" s="3619"/>
      <c r="F61" s="3617"/>
      <c r="G61" s="3631"/>
      <c r="H61" s="3623">
        <f>J61+L61+N61+P61+R61+T61+V61</f>
        <v>0</v>
      </c>
      <c r="I61" s="1343">
        <f>K61+M61+O61+Q61+S61+U61+W61</f>
        <v>0</v>
      </c>
      <c r="J61" s="1344"/>
      <c r="K61" s="1343"/>
      <c r="L61" s="1344"/>
      <c r="M61" s="1343"/>
      <c r="N61" s="1344"/>
      <c r="O61" s="1343"/>
      <c r="P61" s="1344"/>
      <c r="Q61" s="1343"/>
      <c r="R61" s="1344"/>
      <c r="S61" s="1343"/>
      <c r="T61" s="1344"/>
      <c r="U61" s="1343"/>
      <c r="V61" s="1344"/>
      <c r="W61" s="1346"/>
      <c r="X61" s="1370"/>
      <c r="Y61" s="1370"/>
      <c r="Z61" s="1370"/>
      <c r="AA61" s="1370"/>
      <c r="AB61" s="1370"/>
      <c r="AC61" s="1370"/>
      <c r="AD61" s="1370"/>
      <c r="AE61" s="1370"/>
      <c r="AF61" s="1370"/>
      <c r="AG61" s="1370"/>
      <c r="AH61" s="1370"/>
      <c r="AI61" s="1370"/>
      <c r="AJ61" s="1370"/>
      <c r="AK61" s="1370"/>
      <c r="AL61" s="1370"/>
      <c r="AM61" s="1370"/>
      <c r="AN61" s="1370"/>
      <c r="AO61" s="1370"/>
      <c r="AP61" s="1370"/>
      <c r="AQ61" s="1370"/>
      <c r="AR61" s="1370"/>
      <c r="AS61" s="1370"/>
      <c r="AT61" s="1370"/>
      <c r="AU61" s="1370"/>
      <c r="AV61" s="1370"/>
      <c r="AW61" s="1370"/>
      <c r="AX61" s="1370"/>
      <c r="AY61" s="1370"/>
      <c r="AZ61" s="1370"/>
      <c r="BA61" s="1370"/>
      <c r="BB61" s="1370"/>
      <c r="BC61" s="1370"/>
      <c r="BD61" s="1370"/>
      <c r="BE61" s="1370"/>
      <c r="BF61" s="1370"/>
      <c r="BG61" s="1370"/>
      <c r="BH61" s="1370"/>
      <c r="BI61" s="1370"/>
      <c r="BJ61" s="1370"/>
      <c r="BK61" s="1370"/>
      <c r="BL61" s="1370"/>
      <c r="BM61" s="1370"/>
      <c r="BN61" s="1370"/>
      <c r="BO61" s="1370"/>
      <c r="BP61" s="1370"/>
      <c r="BQ61" s="1370"/>
      <c r="BR61" s="1370"/>
      <c r="BS61" s="1370"/>
      <c r="BT61" s="1370"/>
      <c r="BU61" s="1370"/>
      <c r="BV61" s="1370"/>
      <c r="BW61" s="1370"/>
      <c r="BX61" s="1370"/>
      <c r="BY61" s="1370"/>
      <c r="BZ61" s="1370"/>
      <c r="CA61" s="1370"/>
      <c r="CB61" s="1370"/>
      <c r="CC61" s="1370"/>
      <c r="CD61" s="1370"/>
      <c r="CE61" s="1370"/>
      <c r="CF61" s="1370"/>
      <c r="CG61" s="1370"/>
      <c r="CH61" s="1370"/>
      <c r="CI61" s="1370"/>
      <c r="CJ61" s="1370"/>
      <c r="CK61" s="1370"/>
      <c r="CL61" s="1370"/>
      <c r="CM61" s="1370"/>
      <c r="CN61" s="1370"/>
      <c r="CO61" s="1370"/>
      <c r="CP61" s="1370"/>
      <c r="CQ61" s="1370"/>
      <c r="CR61" s="1370"/>
      <c r="CS61" s="1370"/>
      <c r="CT61" s="1370"/>
      <c r="CU61" s="1370"/>
      <c r="CV61" s="1370"/>
      <c r="CW61" s="1370"/>
      <c r="CX61" s="1370"/>
      <c r="CY61" s="1370"/>
      <c r="CZ61" s="1370"/>
      <c r="DA61" s="1370"/>
      <c r="DB61" s="1370"/>
      <c r="DC61" s="1370"/>
      <c r="DD61" s="1370"/>
      <c r="DE61" s="1370"/>
      <c r="DF61" s="1370"/>
      <c r="DG61" s="1370"/>
      <c r="DH61" s="1370"/>
      <c r="DI61" s="1370"/>
      <c r="DJ61" s="1370"/>
      <c r="DK61" s="1370"/>
      <c r="DL61" s="1370"/>
      <c r="DM61" s="1370"/>
      <c r="DN61" s="1370"/>
      <c r="DO61" s="1370"/>
      <c r="DP61" s="1370"/>
      <c r="DQ61" s="1370"/>
      <c r="DR61" s="1370"/>
      <c r="DS61" s="1370"/>
      <c r="DT61" s="1370"/>
      <c r="DU61" s="1370"/>
      <c r="DV61" s="1370"/>
      <c r="DW61" s="1370"/>
      <c r="DX61" s="1370"/>
      <c r="DY61" s="1370"/>
      <c r="DZ61" s="1370"/>
      <c r="EA61" s="1370"/>
      <c r="EB61" s="1370"/>
      <c r="EC61" s="1370"/>
      <c r="ED61" s="1370"/>
      <c r="EE61" s="1370"/>
      <c r="EF61" s="1370"/>
      <c r="EG61" s="1370"/>
      <c r="EH61" s="1370"/>
      <c r="EI61" s="1370"/>
      <c r="EJ61" s="1370"/>
      <c r="EK61" s="1370"/>
      <c r="EL61" s="1370"/>
      <c r="EM61" s="1370"/>
      <c r="EN61" s="1370"/>
      <c r="EO61" s="1370"/>
      <c r="EP61" s="1370"/>
      <c r="EQ61" s="1370"/>
      <c r="ER61" s="1370"/>
      <c r="ES61" s="1370"/>
      <c r="ET61" s="1370"/>
      <c r="EU61" s="1370"/>
      <c r="EV61" s="1370"/>
      <c r="EW61" s="1370"/>
      <c r="EX61" s="1370"/>
      <c r="EY61" s="1370"/>
      <c r="EZ61" s="1370"/>
      <c r="FA61" s="1370"/>
      <c r="FB61" s="1370"/>
      <c r="FC61" s="1370"/>
      <c r="FD61" s="1370"/>
      <c r="FE61" s="1370"/>
      <c r="FF61" s="1370"/>
      <c r="FG61" s="1370"/>
      <c r="FH61" s="1370"/>
      <c r="FI61" s="1370"/>
      <c r="FJ61" s="1370"/>
      <c r="FK61" s="1370"/>
      <c r="FL61" s="1370"/>
      <c r="FM61" s="1370"/>
      <c r="FN61" s="1370"/>
      <c r="FO61" s="1370"/>
      <c r="FP61" s="1370"/>
      <c r="FQ61" s="1370"/>
      <c r="FR61" s="1370"/>
      <c r="FS61" s="1370"/>
      <c r="FT61" s="1370"/>
      <c r="FU61" s="1370"/>
      <c r="FV61" s="1370"/>
      <c r="FW61" s="1370"/>
      <c r="FX61" s="1370"/>
      <c r="FY61" s="1370"/>
      <c r="FZ61" s="1370"/>
      <c r="GA61" s="1370"/>
      <c r="GB61" s="1370"/>
      <c r="GC61" s="1370"/>
      <c r="GD61" s="1370"/>
      <c r="GE61" s="1370"/>
      <c r="GF61" s="1370"/>
      <c r="GG61" s="1370"/>
      <c r="GH61" s="1370"/>
      <c r="GI61" s="1370"/>
      <c r="GJ61" s="1370"/>
      <c r="GK61" s="1370"/>
      <c r="GL61" s="1370"/>
      <c r="GM61" s="1370"/>
      <c r="GN61" s="1370"/>
      <c r="GO61" s="1370"/>
      <c r="GP61" s="1370"/>
      <c r="GQ61" s="1370"/>
      <c r="GR61" s="1370"/>
      <c r="GS61" s="1370"/>
      <c r="GT61" s="1370"/>
      <c r="GU61" s="1370"/>
      <c r="GV61" s="1370"/>
      <c r="GW61" s="1370"/>
      <c r="GX61" s="1370"/>
      <c r="GY61" s="1370"/>
      <c r="GZ61" s="1370"/>
      <c r="HA61" s="1370"/>
      <c r="HB61" s="1370"/>
      <c r="HC61" s="1370"/>
      <c r="HD61" s="1370"/>
      <c r="HE61" s="1370"/>
      <c r="HF61" s="1370"/>
      <c r="HG61" s="1370"/>
      <c r="HH61" s="1370"/>
      <c r="HI61" s="1370"/>
      <c r="HJ61" s="1370"/>
      <c r="HK61" s="1370"/>
      <c r="HL61" s="1370"/>
      <c r="HM61" s="1370"/>
      <c r="HN61" s="1370"/>
      <c r="HO61" s="1370"/>
      <c r="HP61" s="1370"/>
      <c r="HQ61" s="1370"/>
    </row>
    <row r="62" spans="1:225" ht="24" hidden="1" customHeight="1" outlineLevel="1" x14ac:dyDescent="0.25">
      <c r="A62" s="5845"/>
      <c r="B62" s="1401" t="s">
        <v>1819</v>
      </c>
      <c r="C62" s="1349" t="s">
        <v>1777</v>
      </c>
      <c r="D62" s="1344"/>
      <c r="E62" s="3619"/>
      <c r="F62" s="3617"/>
      <c r="G62" s="3631"/>
      <c r="H62" s="3623">
        <f>IF(H61=0,,H63/1000/H61)</f>
        <v>0</v>
      </c>
      <c r="I62" s="1343">
        <f>IF(I61=0,,I63/1000/I61)</f>
        <v>0</v>
      </c>
      <c r="J62" s="1344"/>
      <c r="K62" s="1343"/>
      <c r="L62" s="1344"/>
      <c r="M62" s="1343"/>
      <c r="N62" s="1344"/>
      <c r="O62" s="1343"/>
      <c r="P62" s="1344"/>
      <c r="Q62" s="1343"/>
      <c r="R62" s="1344"/>
      <c r="S62" s="1343"/>
      <c r="T62" s="1344"/>
      <c r="U62" s="1343"/>
      <c r="V62" s="1344"/>
      <c r="W62" s="1346"/>
      <c r="X62" s="1370"/>
      <c r="Y62" s="1370"/>
      <c r="Z62" s="1370"/>
      <c r="AA62" s="1370"/>
      <c r="AB62" s="1370"/>
      <c r="AC62" s="1370"/>
      <c r="AD62" s="1370"/>
      <c r="AE62" s="1370"/>
      <c r="AF62" s="1370"/>
      <c r="AG62" s="1370"/>
      <c r="AH62" s="1370"/>
      <c r="AI62" s="1370"/>
      <c r="AJ62" s="1370"/>
      <c r="AK62" s="1370"/>
      <c r="AL62" s="1370"/>
      <c r="AM62" s="1370"/>
      <c r="AN62" s="1370"/>
      <c r="AO62" s="1370"/>
      <c r="AP62" s="1370"/>
      <c r="AQ62" s="1370"/>
      <c r="AR62" s="1370"/>
      <c r="AS62" s="1370"/>
      <c r="AT62" s="1370"/>
      <c r="AU62" s="1370"/>
      <c r="AV62" s="1370"/>
      <c r="AW62" s="1370"/>
      <c r="AX62" s="1370"/>
      <c r="AY62" s="1370"/>
      <c r="AZ62" s="1370"/>
      <c r="BA62" s="1370"/>
      <c r="BB62" s="1370"/>
      <c r="BC62" s="1370"/>
      <c r="BD62" s="1370"/>
      <c r="BE62" s="1370"/>
      <c r="BF62" s="1370"/>
      <c r="BG62" s="1370"/>
      <c r="BH62" s="1370"/>
      <c r="BI62" s="1370"/>
      <c r="BJ62" s="1370"/>
      <c r="BK62" s="1370"/>
      <c r="BL62" s="1370"/>
      <c r="BM62" s="1370"/>
      <c r="BN62" s="1370"/>
      <c r="BO62" s="1370"/>
      <c r="BP62" s="1370"/>
      <c r="BQ62" s="1370"/>
      <c r="BR62" s="1370"/>
      <c r="BS62" s="1370"/>
      <c r="BT62" s="1370"/>
      <c r="BU62" s="1370"/>
      <c r="BV62" s="1370"/>
      <c r="BW62" s="1370"/>
      <c r="BX62" s="1370"/>
      <c r="BY62" s="1370"/>
      <c r="BZ62" s="1370"/>
      <c r="CA62" s="1370"/>
      <c r="CB62" s="1370"/>
      <c r="CC62" s="1370"/>
      <c r="CD62" s="1370"/>
      <c r="CE62" s="1370"/>
      <c r="CF62" s="1370"/>
      <c r="CG62" s="1370"/>
      <c r="CH62" s="1370"/>
      <c r="CI62" s="1370"/>
      <c r="CJ62" s="1370"/>
      <c r="CK62" s="1370"/>
      <c r="CL62" s="1370"/>
      <c r="CM62" s="1370"/>
      <c r="CN62" s="1370"/>
      <c r="CO62" s="1370"/>
      <c r="CP62" s="1370"/>
      <c r="CQ62" s="1370"/>
      <c r="CR62" s="1370"/>
      <c r="CS62" s="1370"/>
      <c r="CT62" s="1370"/>
      <c r="CU62" s="1370"/>
      <c r="CV62" s="1370"/>
      <c r="CW62" s="1370"/>
      <c r="CX62" s="1370"/>
      <c r="CY62" s="1370"/>
      <c r="CZ62" s="1370"/>
      <c r="DA62" s="1370"/>
      <c r="DB62" s="1370"/>
      <c r="DC62" s="1370"/>
      <c r="DD62" s="1370"/>
      <c r="DE62" s="1370"/>
      <c r="DF62" s="1370"/>
      <c r="DG62" s="1370"/>
      <c r="DH62" s="1370"/>
      <c r="DI62" s="1370"/>
      <c r="DJ62" s="1370"/>
      <c r="DK62" s="1370"/>
      <c r="DL62" s="1370"/>
      <c r="DM62" s="1370"/>
      <c r="DN62" s="1370"/>
      <c r="DO62" s="1370"/>
      <c r="DP62" s="1370"/>
      <c r="DQ62" s="1370"/>
      <c r="DR62" s="1370"/>
      <c r="DS62" s="1370"/>
      <c r="DT62" s="1370"/>
      <c r="DU62" s="1370"/>
      <c r="DV62" s="1370"/>
      <c r="DW62" s="1370"/>
      <c r="DX62" s="1370"/>
      <c r="DY62" s="1370"/>
      <c r="DZ62" s="1370"/>
      <c r="EA62" s="1370"/>
      <c r="EB62" s="1370"/>
      <c r="EC62" s="1370"/>
      <c r="ED62" s="1370"/>
      <c r="EE62" s="1370"/>
      <c r="EF62" s="1370"/>
      <c r="EG62" s="1370"/>
      <c r="EH62" s="1370"/>
      <c r="EI62" s="1370"/>
      <c r="EJ62" s="1370"/>
      <c r="EK62" s="1370"/>
      <c r="EL62" s="1370"/>
      <c r="EM62" s="1370"/>
      <c r="EN62" s="1370"/>
      <c r="EO62" s="1370"/>
      <c r="EP62" s="1370"/>
      <c r="EQ62" s="1370"/>
      <c r="ER62" s="1370"/>
      <c r="ES62" s="1370"/>
      <c r="ET62" s="1370"/>
      <c r="EU62" s="1370"/>
      <c r="EV62" s="1370"/>
      <c r="EW62" s="1370"/>
      <c r="EX62" s="1370"/>
      <c r="EY62" s="1370"/>
      <c r="EZ62" s="1370"/>
      <c r="FA62" s="1370"/>
      <c r="FB62" s="1370"/>
      <c r="FC62" s="1370"/>
      <c r="FD62" s="1370"/>
      <c r="FE62" s="1370"/>
      <c r="FF62" s="1370"/>
      <c r="FG62" s="1370"/>
      <c r="FH62" s="1370"/>
      <c r="FI62" s="1370"/>
      <c r="FJ62" s="1370"/>
      <c r="FK62" s="1370"/>
      <c r="FL62" s="1370"/>
      <c r="FM62" s="1370"/>
      <c r="FN62" s="1370"/>
      <c r="FO62" s="1370"/>
      <c r="FP62" s="1370"/>
      <c r="FQ62" s="1370"/>
      <c r="FR62" s="1370"/>
      <c r="FS62" s="1370"/>
      <c r="FT62" s="1370"/>
      <c r="FU62" s="1370"/>
      <c r="FV62" s="1370"/>
      <c r="FW62" s="1370"/>
      <c r="FX62" s="1370"/>
      <c r="FY62" s="1370"/>
      <c r="FZ62" s="1370"/>
      <c r="GA62" s="1370"/>
      <c r="GB62" s="1370"/>
      <c r="GC62" s="1370"/>
      <c r="GD62" s="1370"/>
      <c r="GE62" s="1370"/>
      <c r="GF62" s="1370"/>
      <c r="GG62" s="1370"/>
      <c r="GH62" s="1370"/>
      <c r="GI62" s="1370"/>
      <c r="GJ62" s="1370"/>
      <c r="GK62" s="1370"/>
      <c r="GL62" s="1370"/>
      <c r="GM62" s="1370"/>
      <c r="GN62" s="1370"/>
      <c r="GO62" s="1370"/>
      <c r="GP62" s="1370"/>
      <c r="GQ62" s="1370"/>
      <c r="GR62" s="1370"/>
      <c r="GS62" s="1370"/>
      <c r="GT62" s="1370"/>
      <c r="GU62" s="1370"/>
      <c r="GV62" s="1370"/>
      <c r="GW62" s="1370"/>
      <c r="GX62" s="1370"/>
      <c r="GY62" s="1370"/>
      <c r="GZ62" s="1370"/>
      <c r="HA62" s="1370"/>
      <c r="HB62" s="1370"/>
      <c r="HC62" s="1370"/>
      <c r="HD62" s="1370"/>
      <c r="HE62" s="1370"/>
      <c r="HF62" s="1370"/>
      <c r="HG62" s="1370"/>
      <c r="HH62" s="1370"/>
      <c r="HI62" s="1370"/>
      <c r="HJ62" s="1370"/>
      <c r="HK62" s="1370"/>
      <c r="HL62" s="1370"/>
      <c r="HM62" s="1370"/>
      <c r="HN62" s="1370"/>
      <c r="HO62" s="1370"/>
      <c r="HP62" s="1370"/>
      <c r="HQ62" s="1370"/>
    </row>
    <row r="63" spans="1:225" ht="24" hidden="1" customHeight="1" outlineLevel="1" x14ac:dyDescent="0.25">
      <c r="A63" s="5846"/>
      <c r="B63" s="1404" t="s">
        <v>1820</v>
      </c>
      <c r="C63" s="1350" t="s">
        <v>1780</v>
      </c>
      <c r="D63" s="1344"/>
      <c r="E63" s="3619"/>
      <c r="F63" s="3617"/>
      <c r="G63" s="3631"/>
      <c r="H63" s="3623">
        <f>J63+L63+N63+P63+R63+T63+V63</f>
        <v>0</v>
      </c>
      <c r="I63" s="1343">
        <f>K63+M63+O63+Q63+S63+U63+W63</f>
        <v>0</v>
      </c>
      <c r="J63" s="1344">
        <f>J61*J62/1000</f>
        <v>0</v>
      </c>
      <c r="K63" s="1343">
        <f t="shared" ref="K63:W63" si="18">K61*K62/1000</f>
        <v>0</v>
      </c>
      <c r="L63" s="1344">
        <f t="shared" si="18"/>
        <v>0</v>
      </c>
      <c r="M63" s="1343">
        <f t="shared" si="18"/>
        <v>0</v>
      </c>
      <c r="N63" s="1344">
        <f t="shared" si="18"/>
        <v>0</v>
      </c>
      <c r="O63" s="1343">
        <f t="shared" si="18"/>
        <v>0</v>
      </c>
      <c r="P63" s="1344">
        <f t="shared" si="18"/>
        <v>0</v>
      </c>
      <c r="Q63" s="1343">
        <f t="shared" si="18"/>
        <v>0</v>
      </c>
      <c r="R63" s="1344">
        <f t="shared" si="18"/>
        <v>0</v>
      </c>
      <c r="S63" s="1343">
        <f t="shared" si="18"/>
        <v>0</v>
      </c>
      <c r="T63" s="1344">
        <f t="shared" si="18"/>
        <v>0</v>
      </c>
      <c r="U63" s="1343">
        <f t="shared" si="18"/>
        <v>0</v>
      </c>
      <c r="V63" s="1344">
        <f t="shared" si="18"/>
        <v>0</v>
      </c>
      <c r="W63" s="1343">
        <f t="shared" si="18"/>
        <v>0</v>
      </c>
      <c r="X63" s="1370"/>
      <c r="Y63" s="1370"/>
      <c r="Z63" s="1370"/>
      <c r="AA63" s="1370"/>
      <c r="AB63" s="1370"/>
      <c r="AC63" s="1370"/>
      <c r="AD63" s="1370"/>
      <c r="AE63" s="1370"/>
      <c r="AF63" s="1370"/>
      <c r="AG63" s="1370"/>
      <c r="AH63" s="1370"/>
      <c r="AI63" s="1370"/>
      <c r="AJ63" s="1370"/>
      <c r="AK63" s="1370"/>
      <c r="AL63" s="1370"/>
      <c r="AM63" s="1370"/>
      <c r="AN63" s="1370"/>
      <c r="AO63" s="1370"/>
      <c r="AP63" s="1370"/>
      <c r="AQ63" s="1370"/>
      <c r="AR63" s="1370"/>
      <c r="AS63" s="1370"/>
      <c r="AT63" s="1370"/>
      <c r="AU63" s="1370"/>
      <c r="AV63" s="1370"/>
      <c r="AW63" s="1370"/>
      <c r="AX63" s="1370"/>
      <c r="AY63" s="1370"/>
      <c r="AZ63" s="1370"/>
      <c r="BA63" s="1370"/>
      <c r="BB63" s="1370"/>
      <c r="BC63" s="1370"/>
      <c r="BD63" s="1370"/>
      <c r="BE63" s="1370"/>
      <c r="BF63" s="1370"/>
      <c r="BG63" s="1370"/>
      <c r="BH63" s="1370"/>
      <c r="BI63" s="1370"/>
      <c r="BJ63" s="1370"/>
      <c r="BK63" s="1370"/>
      <c r="BL63" s="1370"/>
      <c r="BM63" s="1370"/>
      <c r="BN63" s="1370"/>
      <c r="BO63" s="1370"/>
      <c r="BP63" s="1370"/>
      <c r="BQ63" s="1370"/>
      <c r="BR63" s="1370"/>
      <c r="BS63" s="1370"/>
      <c r="BT63" s="1370"/>
      <c r="BU63" s="1370"/>
      <c r="BV63" s="1370"/>
      <c r="BW63" s="1370"/>
      <c r="BX63" s="1370"/>
      <c r="BY63" s="1370"/>
      <c r="BZ63" s="1370"/>
      <c r="CA63" s="1370"/>
      <c r="CB63" s="1370"/>
      <c r="CC63" s="1370"/>
      <c r="CD63" s="1370"/>
      <c r="CE63" s="1370"/>
      <c r="CF63" s="1370"/>
      <c r="CG63" s="1370"/>
      <c r="CH63" s="1370"/>
      <c r="CI63" s="1370"/>
      <c r="CJ63" s="1370"/>
      <c r="CK63" s="1370"/>
      <c r="CL63" s="1370"/>
      <c r="CM63" s="1370"/>
      <c r="CN63" s="1370"/>
      <c r="CO63" s="1370"/>
      <c r="CP63" s="1370"/>
      <c r="CQ63" s="1370"/>
      <c r="CR63" s="1370"/>
      <c r="CS63" s="1370"/>
      <c r="CT63" s="1370"/>
      <c r="CU63" s="1370"/>
      <c r="CV63" s="1370"/>
      <c r="CW63" s="1370"/>
      <c r="CX63" s="1370"/>
      <c r="CY63" s="1370"/>
      <c r="CZ63" s="1370"/>
      <c r="DA63" s="1370"/>
      <c r="DB63" s="1370"/>
      <c r="DC63" s="1370"/>
      <c r="DD63" s="1370"/>
      <c r="DE63" s="1370"/>
      <c r="DF63" s="1370"/>
      <c r="DG63" s="1370"/>
      <c r="DH63" s="1370"/>
      <c r="DI63" s="1370"/>
      <c r="DJ63" s="1370"/>
      <c r="DK63" s="1370"/>
      <c r="DL63" s="1370"/>
      <c r="DM63" s="1370"/>
      <c r="DN63" s="1370"/>
      <c r="DO63" s="1370"/>
      <c r="DP63" s="1370"/>
      <c r="DQ63" s="1370"/>
      <c r="DR63" s="1370"/>
      <c r="DS63" s="1370"/>
      <c r="DT63" s="1370"/>
      <c r="DU63" s="1370"/>
      <c r="DV63" s="1370"/>
      <c r="DW63" s="1370"/>
      <c r="DX63" s="1370"/>
      <c r="DY63" s="1370"/>
      <c r="DZ63" s="1370"/>
      <c r="EA63" s="1370"/>
      <c r="EB63" s="1370"/>
      <c r="EC63" s="1370"/>
      <c r="ED63" s="1370"/>
      <c r="EE63" s="1370"/>
      <c r="EF63" s="1370"/>
      <c r="EG63" s="1370"/>
      <c r="EH63" s="1370"/>
      <c r="EI63" s="1370"/>
      <c r="EJ63" s="1370"/>
      <c r="EK63" s="1370"/>
      <c r="EL63" s="1370"/>
      <c r="EM63" s="1370"/>
      <c r="EN63" s="1370"/>
      <c r="EO63" s="1370"/>
      <c r="EP63" s="1370"/>
      <c r="EQ63" s="1370"/>
      <c r="ER63" s="1370"/>
      <c r="ES63" s="1370"/>
      <c r="ET63" s="1370"/>
      <c r="EU63" s="1370"/>
      <c r="EV63" s="1370"/>
      <c r="EW63" s="1370"/>
      <c r="EX63" s="1370"/>
      <c r="EY63" s="1370"/>
      <c r="EZ63" s="1370"/>
      <c r="FA63" s="1370"/>
      <c r="FB63" s="1370"/>
      <c r="FC63" s="1370"/>
      <c r="FD63" s="1370"/>
      <c r="FE63" s="1370"/>
      <c r="FF63" s="1370"/>
      <c r="FG63" s="1370"/>
      <c r="FH63" s="1370"/>
      <c r="FI63" s="1370"/>
      <c r="FJ63" s="1370"/>
      <c r="FK63" s="1370"/>
      <c r="FL63" s="1370"/>
      <c r="FM63" s="1370"/>
      <c r="FN63" s="1370"/>
      <c r="FO63" s="1370"/>
      <c r="FP63" s="1370"/>
      <c r="FQ63" s="1370"/>
      <c r="FR63" s="1370"/>
      <c r="FS63" s="1370"/>
      <c r="FT63" s="1370"/>
      <c r="FU63" s="1370"/>
      <c r="FV63" s="1370"/>
      <c r="FW63" s="1370"/>
      <c r="FX63" s="1370"/>
      <c r="FY63" s="1370"/>
      <c r="FZ63" s="1370"/>
      <c r="GA63" s="1370"/>
      <c r="GB63" s="1370"/>
      <c r="GC63" s="1370"/>
      <c r="GD63" s="1370"/>
      <c r="GE63" s="1370"/>
      <c r="GF63" s="1370"/>
      <c r="GG63" s="1370"/>
      <c r="GH63" s="1370"/>
      <c r="GI63" s="1370"/>
      <c r="GJ63" s="1370"/>
      <c r="GK63" s="1370"/>
      <c r="GL63" s="1370"/>
      <c r="GM63" s="1370"/>
      <c r="GN63" s="1370"/>
      <c r="GO63" s="1370"/>
      <c r="GP63" s="1370"/>
      <c r="GQ63" s="1370"/>
      <c r="GR63" s="1370"/>
      <c r="GS63" s="1370"/>
      <c r="GT63" s="1370"/>
      <c r="GU63" s="1370"/>
      <c r="GV63" s="1370"/>
      <c r="GW63" s="1370"/>
      <c r="GX63" s="1370"/>
      <c r="GY63" s="1370"/>
      <c r="GZ63" s="1370"/>
      <c r="HA63" s="1370"/>
      <c r="HB63" s="1370"/>
      <c r="HC63" s="1370"/>
      <c r="HD63" s="1370"/>
      <c r="HE63" s="1370"/>
      <c r="HF63" s="1370"/>
      <c r="HG63" s="1370"/>
      <c r="HH63" s="1370"/>
      <c r="HI63" s="1370"/>
      <c r="HJ63" s="1370"/>
      <c r="HK63" s="1370"/>
      <c r="HL63" s="1370"/>
      <c r="HM63" s="1370"/>
      <c r="HN63" s="1370"/>
      <c r="HO63" s="1370"/>
      <c r="HP63" s="1370"/>
      <c r="HQ63" s="1370"/>
    </row>
    <row r="64" spans="1:225" ht="13.2" hidden="1" customHeight="1" outlineLevel="1" x14ac:dyDescent="0.25">
      <c r="A64" s="5844" t="s">
        <v>1821</v>
      </c>
      <c r="B64" s="1401" t="s">
        <v>1822</v>
      </c>
      <c r="C64" s="1349" t="s">
        <v>1746</v>
      </c>
      <c r="D64" s="1344"/>
      <c r="E64" s="3619"/>
      <c r="F64" s="3617"/>
      <c r="G64" s="3631"/>
      <c r="H64" s="3623">
        <f>J64+L64+N64+P64+R64+T64+V64</f>
        <v>0</v>
      </c>
      <c r="I64" s="1343">
        <f>K64+M64+O64+Q64+S64+U64+W64</f>
        <v>0</v>
      </c>
      <c r="J64" s="1344"/>
      <c r="K64" s="1343"/>
      <c r="L64" s="1344"/>
      <c r="M64" s="1343"/>
      <c r="N64" s="1344"/>
      <c r="O64" s="1343"/>
      <c r="P64" s="1344"/>
      <c r="Q64" s="1343"/>
      <c r="R64" s="1344"/>
      <c r="S64" s="1343"/>
      <c r="T64" s="1344"/>
      <c r="U64" s="1343"/>
      <c r="V64" s="1344"/>
      <c r="W64" s="1346"/>
      <c r="X64" s="1370"/>
      <c r="Y64" s="1370"/>
      <c r="Z64" s="1370"/>
      <c r="AA64" s="1370"/>
      <c r="AB64" s="1370"/>
      <c r="AC64" s="1370"/>
      <c r="AD64" s="1370"/>
      <c r="AE64" s="1370"/>
      <c r="AF64" s="1370"/>
      <c r="AG64" s="1370"/>
      <c r="AH64" s="1370"/>
      <c r="AI64" s="1370"/>
      <c r="AJ64" s="1370"/>
      <c r="AK64" s="1370"/>
      <c r="AL64" s="1370"/>
      <c r="AM64" s="1370"/>
      <c r="AN64" s="1370"/>
      <c r="AO64" s="1370"/>
      <c r="AP64" s="1370"/>
      <c r="AQ64" s="1370"/>
      <c r="AR64" s="1370"/>
      <c r="AS64" s="1370"/>
      <c r="AT64" s="1370"/>
      <c r="AU64" s="1370"/>
      <c r="AV64" s="1370"/>
      <c r="AW64" s="1370"/>
      <c r="AX64" s="1370"/>
      <c r="AY64" s="1370"/>
      <c r="AZ64" s="1370"/>
      <c r="BA64" s="1370"/>
      <c r="BB64" s="1370"/>
      <c r="BC64" s="1370"/>
      <c r="BD64" s="1370"/>
      <c r="BE64" s="1370"/>
      <c r="BF64" s="1370"/>
      <c r="BG64" s="1370"/>
      <c r="BH64" s="1370"/>
      <c r="BI64" s="1370"/>
      <c r="BJ64" s="1370"/>
      <c r="BK64" s="1370"/>
      <c r="BL64" s="1370"/>
      <c r="BM64" s="1370"/>
      <c r="BN64" s="1370"/>
      <c r="BO64" s="1370"/>
      <c r="BP64" s="1370"/>
      <c r="BQ64" s="1370"/>
      <c r="BR64" s="1370"/>
      <c r="BS64" s="1370"/>
      <c r="BT64" s="1370"/>
      <c r="BU64" s="1370"/>
      <c r="BV64" s="1370"/>
      <c r="BW64" s="1370"/>
      <c r="BX64" s="1370"/>
      <c r="BY64" s="1370"/>
      <c r="BZ64" s="1370"/>
      <c r="CA64" s="1370"/>
      <c r="CB64" s="1370"/>
      <c r="CC64" s="1370"/>
      <c r="CD64" s="1370"/>
      <c r="CE64" s="1370"/>
      <c r="CF64" s="1370"/>
      <c r="CG64" s="1370"/>
      <c r="CH64" s="1370"/>
      <c r="CI64" s="1370"/>
      <c r="CJ64" s="1370"/>
      <c r="CK64" s="1370"/>
      <c r="CL64" s="1370"/>
      <c r="CM64" s="1370"/>
      <c r="CN64" s="1370"/>
      <c r="CO64" s="1370"/>
      <c r="CP64" s="1370"/>
      <c r="CQ64" s="1370"/>
      <c r="CR64" s="1370"/>
      <c r="CS64" s="1370"/>
      <c r="CT64" s="1370"/>
      <c r="CU64" s="1370"/>
      <c r="CV64" s="1370"/>
      <c r="CW64" s="1370"/>
      <c r="CX64" s="1370"/>
      <c r="CY64" s="1370"/>
      <c r="CZ64" s="1370"/>
      <c r="DA64" s="1370"/>
      <c r="DB64" s="1370"/>
      <c r="DC64" s="1370"/>
      <c r="DD64" s="1370"/>
      <c r="DE64" s="1370"/>
      <c r="DF64" s="1370"/>
      <c r="DG64" s="1370"/>
      <c r="DH64" s="1370"/>
      <c r="DI64" s="1370"/>
      <c r="DJ64" s="1370"/>
      <c r="DK64" s="1370"/>
      <c r="DL64" s="1370"/>
      <c r="DM64" s="1370"/>
      <c r="DN64" s="1370"/>
      <c r="DO64" s="1370"/>
      <c r="DP64" s="1370"/>
      <c r="DQ64" s="1370"/>
      <c r="DR64" s="1370"/>
      <c r="DS64" s="1370"/>
      <c r="DT64" s="1370"/>
      <c r="DU64" s="1370"/>
      <c r="DV64" s="1370"/>
      <c r="DW64" s="1370"/>
      <c r="DX64" s="1370"/>
      <c r="DY64" s="1370"/>
      <c r="DZ64" s="1370"/>
      <c r="EA64" s="1370"/>
      <c r="EB64" s="1370"/>
      <c r="EC64" s="1370"/>
      <c r="ED64" s="1370"/>
      <c r="EE64" s="1370"/>
      <c r="EF64" s="1370"/>
      <c r="EG64" s="1370"/>
      <c r="EH64" s="1370"/>
      <c r="EI64" s="1370"/>
      <c r="EJ64" s="1370"/>
      <c r="EK64" s="1370"/>
      <c r="EL64" s="1370"/>
      <c r="EM64" s="1370"/>
      <c r="EN64" s="1370"/>
      <c r="EO64" s="1370"/>
      <c r="EP64" s="1370"/>
      <c r="EQ64" s="1370"/>
      <c r="ER64" s="1370"/>
      <c r="ES64" s="1370"/>
      <c r="ET64" s="1370"/>
      <c r="EU64" s="1370"/>
      <c r="EV64" s="1370"/>
      <c r="EW64" s="1370"/>
      <c r="EX64" s="1370"/>
      <c r="EY64" s="1370"/>
      <c r="EZ64" s="1370"/>
      <c r="FA64" s="1370"/>
      <c r="FB64" s="1370"/>
      <c r="FC64" s="1370"/>
      <c r="FD64" s="1370"/>
      <c r="FE64" s="1370"/>
      <c r="FF64" s="1370"/>
      <c r="FG64" s="1370"/>
      <c r="FH64" s="1370"/>
      <c r="FI64" s="1370"/>
      <c r="FJ64" s="1370"/>
      <c r="FK64" s="1370"/>
      <c r="FL64" s="1370"/>
      <c r="FM64" s="1370"/>
      <c r="FN64" s="1370"/>
      <c r="FO64" s="1370"/>
      <c r="FP64" s="1370"/>
      <c r="FQ64" s="1370"/>
      <c r="FR64" s="1370"/>
      <c r="FS64" s="1370"/>
      <c r="FT64" s="1370"/>
      <c r="FU64" s="1370"/>
      <c r="FV64" s="1370"/>
      <c r="FW64" s="1370"/>
      <c r="FX64" s="1370"/>
      <c r="FY64" s="1370"/>
      <c r="FZ64" s="1370"/>
      <c r="GA64" s="1370"/>
      <c r="GB64" s="1370"/>
      <c r="GC64" s="1370"/>
      <c r="GD64" s="1370"/>
      <c r="GE64" s="1370"/>
      <c r="GF64" s="1370"/>
      <c r="GG64" s="1370"/>
      <c r="GH64" s="1370"/>
      <c r="GI64" s="1370"/>
      <c r="GJ64" s="1370"/>
      <c r="GK64" s="1370"/>
      <c r="GL64" s="1370"/>
      <c r="GM64" s="1370"/>
      <c r="GN64" s="1370"/>
      <c r="GO64" s="1370"/>
      <c r="GP64" s="1370"/>
      <c r="GQ64" s="1370"/>
      <c r="GR64" s="1370"/>
      <c r="GS64" s="1370"/>
      <c r="GT64" s="1370"/>
      <c r="GU64" s="1370"/>
      <c r="GV64" s="1370"/>
      <c r="GW64" s="1370"/>
      <c r="GX64" s="1370"/>
      <c r="GY64" s="1370"/>
      <c r="GZ64" s="1370"/>
      <c r="HA64" s="1370"/>
      <c r="HB64" s="1370"/>
      <c r="HC64" s="1370"/>
      <c r="HD64" s="1370"/>
      <c r="HE64" s="1370"/>
      <c r="HF64" s="1370"/>
      <c r="HG64" s="1370"/>
      <c r="HH64" s="1370"/>
      <c r="HI64" s="1370"/>
      <c r="HJ64" s="1370"/>
      <c r="HK64" s="1370"/>
      <c r="HL64" s="1370"/>
      <c r="HM64" s="1370"/>
      <c r="HN64" s="1370"/>
      <c r="HO64" s="1370"/>
      <c r="HP64" s="1370"/>
      <c r="HQ64" s="1370"/>
    </row>
    <row r="65" spans="1:225" ht="24" hidden="1" customHeight="1" outlineLevel="1" x14ac:dyDescent="0.25">
      <c r="A65" s="5845"/>
      <c r="B65" s="1401" t="s">
        <v>1823</v>
      </c>
      <c r="C65" s="1349" t="s">
        <v>1777</v>
      </c>
      <c r="D65" s="1344"/>
      <c r="E65" s="3619"/>
      <c r="F65" s="3617"/>
      <c r="G65" s="3631"/>
      <c r="H65" s="3623">
        <f>IF(H64=0,,H66/1000/H64)</f>
        <v>0</v>
      </c>
      <c r="I65" s="1343">
        <f>IF(I64=0,,I66/1000/I64)</f>
        <v>0</v>
      </c>
      <c r="J65" s="1344"/>
      <c r="K65" s="1343"/>
      <c r="L65" s="1344"/>
      <c r="M65" s="1343"/>
      <c r="N65" s="1344"/>
      <c r="O65" s="1343"/>
      <c r="P65" s="1344"/>
      <c r="Q65" s="1343"/>
      <c r="R65" s="1344"/>
      <c r="S65" s="1343"/>
      <c r="T65" s="1344"/>
      <c r="U65" s="1343"/>
      <c r="V65" s="1344"/>
      <c r="W65" s="1346"/>
      <c r="X65" s="1370"/>
      <c r="Y65" s="1370"/>
      <c r="Z65" s="1370"/>
      <c r="AA65" s="1370"/>
      <c r="AB65" s="1370"/>
      <c r="AC65" s="1370"/>
      <c r="AD65" s="1370"/>
      <c r="AE65" s="1370"/>
      <c r="AF65" s="1370"/>
      <c r="AG65" s="1370"/>
      <c r="AH65" s="1370"/>
      <c r="AI65" s="1370"/>
      <c r="AJ65" s="1370"/>
      <c r="AK65" s="1370"/>
      <c r="AL65" s="1370"/>
      <c r="AM65" s="1370"/>
      <c r="AN65" s="1370"/>
      <c r="AO65" s="1370"/>
      <c r="AP65" s="1370"/>
      <c r="AQ65" s="1370"/>
      <c r="AR65" s="1370"/>
      <c r="AS65" s="1370"/>
      <c r="AT65" s="1370"/>
      <c r="AU65" s="1370"/>
      <c r="AV65" s="1370"/>
      <c r="AW65" s="1370"/>
      <c r="AX65" s="1370"/>
      <c r="AY65" s="1370"/>
      <c r="AZ65" s="1370"/>
      <c r="BA65" s="1370"/>
      <c r="BB65" s="1370"/>
      <c r="BC65" s="1370"/>
      <c r="BD65" s="1370"/>
      <c r="BE65" s="1370"/>
      <c r="BF65" s="1370"/>
      <c r="BG65" s="1370"/>
      <c r="BH65" s="1370"/>
      <c r="BI65" s="1370"/>
      <c r="BJ65" s="1370"/>
      <c r="BK65" s="1370"/>
      <c r="BL65" s="1370"/>
      <c r="BM65" s="1370"/>
      <c r="BN65" s="1370"/>
      <c r="BO65" s="1370"/>
      <c r="BP65" s="1370"/>
      <c r="BQ65" s="1370"/>
      <c r="BR65" s="1370"/>
      <c r="BS65" s="1370"/>
      <c r="BT65" s="1370"/>
      <c r="BU65" s="1370"/>
      <c r="BV65" s="1370"/>
      <c r="BW65" s="1370"/>
      <c r="BX65" s="1370"/>
      <c r="BY65" s="1370"/>
      <c r="BZ65" s="1370"/>
      <c r="CA65" s="1370"/>
      <c r="CB65" s="1370"/>
      <c r="CC65" s="1370"/>
      <c r="CD65" s="1370"/>
      <c r="CE65" s="1370"/>
      <c r="CF65" s="1370"/>
      <c r="CG65" s="1370"/>
      <c r="CH65" s="1370"/>
      <c r="CI65" s="1370"/>
      <c r="CJ65" s="1370"/>
      <c r="CK65" s="1370"/>
      <c r="CL65" s="1370"/>
      <c r="CM65" s="1370"/>
      <c r="CN65" s="1370"/>
      <c r="CO65" s="1370"/>
      <c r="CP65" s="1370"/>
      <c r="CQ65" s="1370"/>
      <c r="CR65" s="1370"/>
      <c r="CS65" s="1370"/>
      <c r="CT65" s="1370"/>
      <c r="CU65" s="1370"/>
      <c r="CV65" s="1370"/>
      <c r="CW65" s="1370"/>
      <c r="CX65" s="1370"/>
      <c r="CY65" s="1370"/>
      <c r="CZ65" s="1370"/>
      <c r="DA65" s="1370"/>
      <c r="DB65" s="1370"/>
      <c r="DC65" s="1370"/>
      <c r="DD65" s="1370"/>
      <c r="DE65" s="1370"/>
      <c r="DF65" s="1370"/>
      <c r="DG65" s="1370"/>
      <c r="DH65" s="1370"/>
      <c r="DI65" s="1370"/>
      <c r="DJ65" s="1370"/>
      <c r="DK65" s="1370"/>
      <c r="DL65" s="1370"/>
      <c r="DM65" s="1370"/>
      <c r="DN65" s="1370"/>
      <c r="DO65" s="1370"/>
      <c r="DP65" s="1370"/>
      <c r="DQ65" s="1370"/>
      <c r="DR65" s="1370"/>
      <c r="DS65" s="1370"/>
      <c r="DT65" s="1370"/>
      <c r="DU65" s="1370"/>
      <c r="DV65" s="1370"/>
      <c r="DW65" s="1370"/>
      <c r="DX65" s="1370"/>
      <c r="DY65" s="1370"/>
      <c r="DZ65" s="1370"/>
      <c r="EA65" s="1370"/>
      <c r="EB65" s="1370"/>
      <c r="EC65" s="1370"/>
      <c r="ED65" s="1370"/>
      <c r="EE65" s="1370"/>
      <c r="EF65" s="1370"/>
      <c r="EG65" s="1370"/>
      <c r="EH65" s="1370"/>
      <c r="EI65" s="1370"/>
      <c r="EJ65" s="1370"/>
      <c r="EK65" s="1370"/>
      <c r="EL65" s="1370"/>
      <c r="EM65" s="1370"/>
      <c r="EN65" s="1370"/>
      <c r="EO65" s="1370"/>
      <c r="EP65" s="1370"/>
      <c r="EQ65" s="1370"/>
      <c r="ER65" s="1370"/>
      <c r="ES65" s="1370"/>
      <c r="ET65" s="1370"/>
      <c r="EU65" s="1370"/>
      <c r="EV65" s="1370"/>
      <c r="EW65" s="1370"/>
      <c r="EX65" s="1370"/>
      <c r="EY65" s="1370"/>
      <c r="EZ65" s="1370"/>
      <c r="FA65" s="1370"/>
      <c r="FB65" s="1370"/>
      <c r="FC65" s="1370"/>
      <c r="FD65" s="1370"/>
      <c r="FE65" s="1370"/>
      <c r="FF65" s="1370"/>
      <c r="FG65" s="1370"/>
      <c r="FH65" s="1370"/>
      <c r="FI65" s="1370"/>
      <c r="FJ65" s="1370"/>
      <c r="FK65" s="1370"/>
      <c r="FL65" s="1370"/>
      <c r="FM65" s="1370"/>
      <c r="FN65" s="1370"/>
      <c r="FO65" s="1370"/>
      <c r="FP65" s="1370"/>
      <c r="FQ65" s="1370"/>
      <c r="FR65" s="1370"/>
      <c r="FS65" s="1370"/>
      <c r="FT65" s="1370"/>
      <c r="FU65" s="1370"/>
      <c r="FV65" s="1370"/>
      <c r="FW65" s="1370"/>
      <c r="FX65" s="1370"/>
      <c r="FY65" s="1370"/>
      <c r="FZ65" s="1370"/>
      <c r="GA65" s="1370"/>
      <c r="GB65" s="1370"/>
      <c r="GC65" s="1370"/>
      <c r="GD65" s="1370"/>
      <c r="GE65" s="1370"/>
      <c r="GF65" s="1370"/>
      <c r="GG65" s="1370"/>
      <c r="GH65" s="1370"/>
      <c r="GI65" s="1370"/>
      <c r="GJ65" s="1370"/>
      <c r="GK65" s="1370"/>
      <c r="GL65" s="1370"/>
      <c r="GM65" s="1370"/>
      <c r="GN65" s="1370"/>
      <c r="GO65" s="1370"/>
      <c r="GP65" s="1370"/>
      <c r="GQ65" s="1370"/>
      <c r="GR65" s="1370"/>
      <c r="GS65" s="1370"/>
      <c r="GT65" s="1370"/>
      <c r="GU65" s="1370"/>
      <c r="GV65" s="1370"/>
      <c r="GW65" s="1370"/>
      <c r="GX65" s="1370"/>
      <c r="GY65" s="1370"/>
      <c r="GZ65" s="1370"/>
      <c r="HA65" s="1370"/>
      <c r="HB65" s="1370"/>
      <c r="HC65" s="1370"/>
      <c r="HD65" s="1370"/>
      <c r="HE65" s="1370"/>
      <c r="HF65" s="1370"/>
      <c r="HG65" s="1370"/>
      <c r="HH65" s="1370"/>
      <c r="HI65" s="1370"/>
      <c r="HJ65" s="1370"/>
      <c r="HK65" s="1370"/>
      <c r="HL65" s="1370"/>
      <c r="HM65" s="1370"/>
      <c r="HN65" s="1370"/>
      <c r="HO65" s="1370"/>
      <c r="HP65" s="1370"/>
      <c r="HQ65" s="1370"/>
    </row>
    <row r="66" spans="1:225" ht="24" hidden="1" customHeight="1" outlineLevel="1" x14ac:dyDescent="0.25">
      <c r="A66" s="5846"/>
      <c r="B66" s="1404" t="s">
        <v>1824</v>
      </c>
      <c r="C66" s="1350" t="s">
        <v>1780</v>
      </c>
      <c r="D66" s="1344"/>
      <c r="E66" s="3619"/>
      <c r="F66" s="3617"/>
      <c r="G66" s="3631"/>
      <c r="H66" s="3623">
        <f>J66+L66+N66+P66+R66+T66+V66</f>
        <v>0</v>
      </c>
      <c r="I66" s="1343">
        <f>K66+M66+O66+Q66+S66+U66+W66</f>
        <v>0</v>
      </c>
      <c r="J66" s="1344">
        <f>J64*J65/1000</f>
        <v>0</v>
      </c>
      <c r="K66" s="1343">
        <f t="shared" ref="K66:W66" si="19">K64*K65/1000</f>
        <v>0</v>
      </c>
      <c r="L66" s="1344">
        <f t="shared" si="19"/>
        <v>0</v>
      </c>
      <c r="M66" s="1343">
        <f t="shared" si="19"/>
        <v>0</v>
      </c>
      <c r="N66" s="1344">
        <f t="shared" si="19"/>
        <v>0</v>
      </c>
      <c r="O66" s="1343">
        <f t="shared" si="19"/>
        <v>0</v>
      </c>
      <c r="P66" s="1344">
        <f t="shared" si="19"/>
        <v>0</v>
      </c>
      <c r="Q66" s="1343">
        <f t="shared" si="19"/>
        <v>0</v>
      </c>
      <c r="R66" s="1344">
        <f t="shared" si="19"/>
        <v>0</v>
      </c>
      <c r="S66" s="1343">
        <f t="shared" si="19"/>
        <v>0</v>
      </c>
      <c r="T66" s="1344">
        <f t="shared" si="19"/>
        <v>0</v>
      </c>
      <c r="U66" s="1343">
        <f t="shared" si="19"/>
        <v>0</v>
      </c>
      <c r="V66" s="1344">
        <f t="shared" si="19"/>
        <v>0</v>
      </c>
      <c r="W66" s="1343">
        <f t="shared" si="19"/>
        <v>0</v>
      </c>
      <c r="X66" s="1370"/>
      <c r="Y66" s="1370"/>
      <c r="Z66" s="1370"/>
      <c r="AA66" s="1370"/>
      <c r="AB66" s="1370"/>
      <c r="AC66" s="1370"/>
      <c r="AD66" s="1370"/>
      <c r="AE66" s="1370"/>
      <c r="AF66" s="1370"/>
      <c r="AG66" s="1370"/>
      <c r="AH66" s="1370"/>
      <c r="AI66" s="1370"/>
      <c r="AJ66" s="1370"/>
      <c r="AK66" s="1370"/>
      <c r="AL66" s="1370"/>
      <c r="AM66" s="1370"/>
      <c r="AN66" s="1370"/>
      <c r="AO66" s="1370"/>
      <c r="AP66" s="1370"/>
      <c r="AQ66" s="1370"/>
      <c r="AR66" s="1370"/>
      <c r="AS66" s="1370"/>
      <c r="AT66" s="1370"/>
      <c r="AU66" s="1370"/>
      <c r="AV66" s="1370"/>
      <c r="AW66" s="1370"/>
      <c r="AX66" s="1370"/>
      <c r="AY66" s="1370"/>
      <c r="AZ66" s="1370"/>
      <c r="BA66" s="1370"/>
      <c r="BB66" s="1370"/>
      <c r="BC66" s="1370"/>
      <c r="BD66" s="1370"/>
      <c r="BE66" s="1370"/>
      <c r="BF66" s="1370"/>
      <c r="BG66" s="1370"/>
      <c r="BH66" s="1370"/>
      <c r="BI66" s="1370"/>
      <c r="BJ66" s="1370"/>
      <c r="BK66" s="1370"/>
      <c r="BL66" s="1370"/>
      <c r="BM66" s="1370"/>
      <c r="BN66" s="1370"/>
      <c r="BO66" s="1370"/>
      <c r="BP66" s="1370"/>
      <c r="BQ66" s="1370"/>
      <c r="BR66" s="1370"/>
      <c r="BS66" s="1370"/>
      <c r="BT66" s="1370"/>
      <c r="BU66" s="1370"/>
      <c r="BV66" s="1370"/>
      <c r="BW66" s="1370"/>
      <c r="BX66" s="1370"/>
      <c r="BY66" s="1370"/>
      <c r="BZ66" s="1370"/>
      <c r="CA66" s="1370"/>
      <c r="CB66" s="1370"/>
      <c r="CC66" s="1370"/>
      <c r="CD66" s="1370"/>
      <c r="CE66" s="1370"/>
      <c r="CF66" s="1370"/>
      <c r="CG66" s="1370"/>
      <c r="CH66" s="1370"/>
      <c r="CI66" s="1370"/>
      <c r="CJ66" s="1370"/>
      <c r="CK66" s="1370"/>
      <c r="CL66" s="1370"/>
      <c r="CM66" s="1370"/>
      <c r="CN66" s="1370"/>
      <c r="CO66" s="1370"/>
      <c r="CP66" s="1370"/>
      <c r="CQ66" s="1370"/>
      <c r="CR66" s="1370"/>
      <c r="CS66" s="1370"/>
      <c r="CT66" s="1370"/>
      <c r="CU66" s="1370"/>
      <c r="CV66" s="1370"/>
      <c r="CW66" s="1370"/>
      <c r="CX66" s="1370"/>
      <c r="CY66" s="1370"/>
      <c r="CZ66" s="1370"/>
      <c r="DA66" s="1370"/>
      <c r="DB66" s="1370"/>
      <c r="DC66" s="1370"/>
      <c r="DD66" s="1370"/>
      <c r="DE66" s="1370"/>
      <c r="DF66" s="1370"/>
      <c r="DG66" s="1370"/>
      <c r="DH66" s="1370"/>
      <c r="DI66" s="1370"/>
      <c r="DJ66" s="1370"/>
      <c r="DK66" s="1370"/>
      <c r="DL66" s="1370"/>
      <c r="DM66" s="1370"/>
      <c r="DN66" s="1370"/>
      <c r="DO66" s="1370"/>
      <c r="DP66" s="1370"/>
      <c r="DQ66" s="1370"/>
      <c r="DR66" s="1370"/>
      <c r="DS66" s="1370"/>
      <c r="DT66" s="1370"/>
      <c r="DU66" s="1370"/>
      <c r="DV66" s="1370"/>
      <c r="DW66" s="1370"/>
      <c r="DX66" s="1370"/>
      <c r="DY66" s="1370"/>
      <c r="DZ66" s="1370"/>
      <c r="EA66" s="1370"/>
      <c r="EB66" s="1370"/>
      <c r="EC66" s="1370"/>
      <c r="ED66" s="1370"/>
      <c r="EE66" s="1370"/>
      <c r="EF66" s="1370"/>
      <c r="EG66" s="1370"/>
      <c r="EH66" s="1370"/>
      <c r="EI66" s="1370"/>
      <c r="EJ66" s="1370"/>
      <c r="EK66" s="1370"/>
      <c r="EL66" s="1370"/>
      <c r="EM66" s="1370"/>
      <c r="EN66" s="1370"/>
      <c r="EO66" s="1370"/>
      <c r="EP66" s="1370"/>
      <c r="EQ66" s="1370"/>
      <c r="ER66" s="1370"/>
      <c r="ES66" s="1370"/>
      <c r="ET66" s="1370"/>
      <c r="EU66" s="1370"/>
      <c r="EV66" s="1370"/>
      <c r="EW66" s="1370"/>
      <c r="EX66" s="1370"/>
      <c r="EY66" s="1370"/>
      <c r="EZ66" s="1370"/>
      <c r="FA66" s="1370"/>
      <c r="FB66" s="1370"/>
      <c r="FC66" s="1370"/>
      <c r="FD66" s="1370"/>
      <c r="FE66" s="1370"/>
      <c r="FF66" s="1370"/>
      <c r="FG66" s="1370"/>
      <c r="FH66" s="1370"/>
      <c r="FI66" s="1370"/>
      <c r="FJ66" s="1370"/>
      <c r="FK66" s="1370"/>
      <c r="FL66" s="1370"/>
      <c r="FM66" s="1370"/>
      <c r="FN66" s="1370"/>
      <c r="FO66" s="1370"/>
      <c r="FP66" s="1370"/>
      <c r="FQ66" s="1370"/>
      <c r="FR66" s="1370"/>
      <c r="FS66" s="1370"/>
      <c r="FT66" s="1370"/>
      <c r="FU66" s="1370"/>
      <c r="FV66" s="1370"/>
      <c r="FW66" s="1370"/>
      <c r="FX66" s="1370"/>
      <c r="FY66" s="1370"/>
      <c r="FZ66" s="1370"/>
      <c r="GA66" s="1370"/>
      <c r="GB66" s="1370"/>
      <c r="GC66" s="1370"/>
      <c r="GD66" s="1370"/>
      <c r="GE66" s="1370"/>
      <c r="GF66" s="1370"/>
      <c r="GG66" s="1370"/>
      <c r="GH66" s="1370"/>
      <c r="GI66" s="1370"/>
      <c r="GJ66" s="1370"/>
      <c r="GK66" s="1370"/>
      <c r="GL66" s="1370"/>
      <c r="GM66" s="1370"/>
      <c r="GN66" s="1370"/>
      <c r="GO66" s="1370"/>
      <c r="GP66" s="1370"/>
      <c r="GQ66" s="1370"/>
      <c r="GR66" s="1370"/>
      <c r="GS66" s="1370"/>
      <c r="GT66" s="1370"/>
      <c r="GU66" s="1370"/>
      <c r="GV66" s="1370"/>
      <c r="GW66" s="1370"/>
      <c r="GX66" s="1370"/>
      <c r="GY66" s="1370"/>
      <c r="GZ66" s="1370"/>
      <c r="HA66" s="1370"/>
      <c r="HB66" s="1370"/>
      <c r="HC66" s="1370"/>
      <c r="HD66" s="1370"/>
      <c r="HE66" s="1370"/>
      <c r="HF66" s="1370"/>
      <c r="HG66" s="1370"/>
      <c r="HH66" s="1370"/>
      <c r="HI66" s="1370"/>
      <c r="HJ66" s="1370"/>
      <c r="HK66" s="1370"/>
      <c r="HL66" s="1370"/>
      <c r="HM66" s="1370"/>
      <c r="HN66" s="1370"/>
      <c r="HO66" s="1370"/>
      <c r="HP66" s="1370"/>
      <c r="HQ66" s="1370"/>
    </row>
    <row r="67" spans="1:225" ht="13.2" hidden="1" customHeight="1" outlineLevel="1" x14ac:dyDescent="0.25">
      <c r="A67" s="5844" t="s">
        <v>1825</v>
      </c>
      <c r="B67" s="1401" t="s">
        <v>1826</v>
      </c>
      <c r="C67" s="1349" t="s">
        <v>1746</v>
      </c>
      <c r="D67" s="1344"/>
      <c r="E67" s="3619"/>
      <c r="F67" s="3617"/>
      <c r="G67" s="3631"/>
      <c r="H67" s="3623">
        <f>J67+L67+N67+P67+R67+T67+V67</f>
        <v>0</v>
      </c>
      <c r="I67" s="1343">
        <f>K67+M67+O67+Q67+S67+U67+W67</f>
        <v>0</v>
      </c>
      <c r="J67" s="1344"/>
      <c r="K67" s="1343"/>
      <c r="L67" s="1344"/>
      <c r="M67" s="1343"/>
      <c r="N67" s="1344"/>
      <c r="O67" s="1343"/>
      <c r="P67" s="1344"/>
      <c r="Q67" s="1343"/>
      <c r="R67" s="1344"/>
      <c r="S67" s="1343"/>
      <c r="T67" s="1344"/>
      <c r="U67" s="1343"/>
      <c r="V67" s="1344"/>
      <c r="W67" s="1346"/>
      <c r="X67" s="1370"/>
      <c r="Y67" s="1370"/>
      <c r="Z67" s="1370"/>
      <c r="AA67" s="1370"/>
      <c r="AB67" s="1370"/>
      <c r="AC67" s="1370"/>
      <c r="AD67" s="1370"/>
      <c r="AE67" s="1370"/>
      <c r="AF67" s="1370"/>
      <c r="AG67" s="1370"/>
      <c r="AH67" s="1370"/>
      <c r="AI67" s="1370"/>
      <c r="AJ67" s="1370"/>
      <c r="AK67" s="1370"/>
      <c r="AL67" s="1370"/>
      <c r="AM67" s="1370"/>
      <c r="AN67" s="1370"/>
      <c r="AO67" s="1370"/>
      <c r="AP67" s="1370"/>
      <c r="AQ67" s="1370"/>
      <c r="AR67" s="1370"/>
      <c r="AS67" s="1370"/>
      <c r="AT67" s="1370"/>
      <c r="AU67" s="1370"/>
      <c r="AV67" s="1370"/>
      <c r="AW67" s="1370"/>
      <c r="AX67" s="1370"/>
      <c r="AY67" s="1370"/>
      <c r="AZ67" s="1370"/>
      <c r="BA67" s="1370"/>
      <c r="BB67" s="1370"/>
      <c r="BC67" s="1370"/>
      <c r="BD67" s="1370"/>
      <c r="BE67" s="1370"/>
      <c r="BF67" s="1370"/>
      <c r="BG67" s="1370"/>
      <c r="BH67" s="1370"/>
      <c r="BI67" s="1370"/>
      <c r="BJ67" s="1370"/>
      <c r="BK67" s="1370"/>
      <c r="BL67" s="1370"/>
      <c r="BM67" s="1370"/>
      <c r="BN67" s="1370"/>
      <c r="BO67" s="1370"/>
      <c r="BP67" s="1370"/>
      <c r="BQ67" s="1370"/>
      <c r="BR67" s="1370"/>
      <c r="BS67" s="1370"/>
      <c r="BT67" s="1370"/>
      <c r="BU67" s="1370"/>
      <c r="BV67" s="1370"/>
      <c r="BW67" s="1370"/>
      <c r="BX67" s="1370"/>
      <c r="BY67" s="1370"/>
      <c r="BZ67" s="1370"/>
      <c r="CA67" s="1370"/>
      <c r="CB67" s="1370"/>
      <c r="CC67" s="1370"/>
      <c r="CD67" s="1370"/>
      <c r="CE67" s="1370"/>
      <c r="CF67" s="1370"/>
      <c r="CG67" s="1370"/>
      <c r="CH67" s="1370"/>
      <c r="CI67" s="1370"/>
      <c r="CJ67" s="1370"/>
      <c r="CK67" s="1370"/>
      <c r="CL67" s="1370"/>
      <c r="CM67" s="1370"/>
      <c r="CN67" s="1370"/>
      <c r="CO67" s="1370"/>
      <c r="CP67" s="1370"/>
      <c r="CQ67" s="1370"/>
      <c r="CR67" s="1370"/>
      <c r="CS67" s="1370"/>
      <c r="CT67" s="1370"/>
      <c r="CU67" s="1370"/>
      <c r="CV67" s="1370"/>
      <c r="CW67" s="1370"/>
      <c r="CX67" s="1370"/>
      <c r="CY67" s="1370"/>
      <c r="CZ67" s="1370"/>
      <c r="DA67" s="1370"/>
      <c r="DB67" s="1370"/>
      <c r="DC67" s="1370"/>
      <c r="DD67" s="1370"/>
      <c r="DE67" s="1370"/>
      <c r="DF67" s="1370"/>
      <c r="DG67" s="1370"/>
      <c r="DH67" s="1370"/>
      <c r="DI67" s="1370"/>
      <c r="DJ67" s="1370"/>
      <c r="DK67" s="1370"/>
      <c r="DL67" s="1370"/>
      <c r="DM67" s="1370"/>
      <c r="DN67" s="1370"/>
      <c r="DO67" s="1370"/>
      <c r="DP67" s="1370"/>
      <c r="DQ67" s="1370"/>
      <c r="DR67" s="1370"/>
      <c r="DS67" s="1370"/>
      <c r="DT67" s="1370"/>
      <c r="DU67" s="1370"/>
      <c r="DV67" s="1370"/>
      <c r="DW67" s="1370"/>
      <c r="DX67" s="1370"/>
      <c r="DY67" s="1370"/>
      <c r="DZ67" s="1370"/>
      <c r="EA67" s="1370"/>
      <c r="EB67" s="1370"/>
      <c r="EC67" s="1370"/>
      <c r="ED67" s="1370"/>
      <c r="EE67" s="1370"/>
      <c r="EF67" s="1370"/>
      <c r="EG67" s="1370"/>
      <c r="EH67" s="1370"/>
      <c r="EI67" s="1370"/>
      <c r="EJ67" s="1370"/>
      <c r="EK67" s="1370"/>
      <c r="EL67" s="1370"/>
      <c r="EM67" s="1370"/>
      <c r="EN67" s="1370"/>
      <c r="EO67" s="1370"/>
      <c r="EP67" s="1370"/>
      <c r="EQ67" s="1370"/>
      <c r="ER67" s="1370"/>
      <c r="ES67" s="1370"/>
      <c r="ET67" s="1370"/>
      <c r="EU67" s="1370"/>
      <c r="EV67" s="1370"/>
      <c r="EW67" s="1370"/>
      <c r="EX67" s="1370"/>
      <c r="EY67" s="1370"/>
      <c r="EZ67" s="1370"/>
      <c r="FA67" s="1370"/>
      <c r="FB67" s="1370"/>
      <c r="FC67" s="1370"/>
      <c r="FD67" s="1370"/>
      <c r="FE67" s="1370"/>
      <c r="FF67" s="1370"/>
      <c r="FG67" s="1370"/>
      <c r="FH67" s="1370"/>
      <c r="FI67" s="1370"/>
      <c r="FJ67" s="1370"/>
      <c r="FK67" s="1370"/>
      <c r="FL67" s="1370"/>
      <c r="FM67" s="1370"/>
      <c r="FN67" s="1370"/>
      <c r="FO67" s="1370"/>
      <c r="FP67" s="1370"/>
      <c r="FQ67" s="1370"/>
      <c r="FR67" s="1370"/>
      <c r="FS67" s="1370"/>
      <c r="FT67" s="1370"/>
      <c r="FU67" s="1370"/>
      <c r="FV67" s="1370"/>
      <c r="FW67" s="1370"/>
      <c r="FX67" s="1370"/>
      <c r="FY67" s="1370"/>
      <c r="FZ67" s="1370"/>
      <c r="GA67" s="1370"/>
      <c r="GB67" s="1370"/>
      <c r="GC67" s="1370"/>
      <c r="GD67" s="1370"/>
      <c r="GE67" s="1370"/>
      <c r="GF67" s="1370"/>
      <c r="GG67" s="1370"/>
      <c r="GH67" s="1370"/>
      <c r="GI67" s="1370"/>
      <c r="GJ67" s="1370"/>
      <c r="GK67" s="1370"/>
      <c r="GL67" s="1370"/>
      <c r="GM67" s="1370"/>
      <c r="GN67" s="1370"/>
      <c r="GO67" s="1370"/>
      <c r="GP67" s="1370"/>
      <c r="GQ67" s="1370"/>
      <c r="GR67" s="1370"/>
      <c r="GS67" s="1370"/>
      <c r="GT67" s="1370"/>
      <c r="GU67" s="1370"/>
      <c r="GV67" s="1370"/>
      <c r="GW67" s="1370"/>
      <c r="GX67" s="1370"/>
      <c r="GY67" s="1370"/>
      <c r="GZ67" s="1370"/>
      <c r="HA67" s="1370"/>
      <c r="HB67" s="1370"/>
      <c r="HC67" s="1370"/>
      <c r="HD67" s="1370"/>
      <c r="HE67" s="1370"/>
      <c r="HF67" s="1370"/>
      <c r="HG67" s="1370"/>
      <c r="HH67" s="1370"/>
      <c r="HI67" s="1370"/>
      <c r="HJ67" s="1370"/>
      <c r="HK67" s="1370"/>
      <c r="HL67" s="1370"/>
      <c r="HM67" s="1370"/>
      <c r="HN67" s="1370"/>
      <c r="HO67" s="1370"/>
      <c r="HP67" s="1370"/>
      <c r="HQ67" s="1370"/>
    </row>
    <row r="68" spans="1:225" ht="24" hidden="1" customHeight="1" outlineLevel="1" x14ac:dyDescent="0.25">
      <c r="A68" s="5845"/>
      <c r="B68" s="1401" t="s">
        <v>1827</v>
      </c>
      <c r="C68" s="1349" t="s">
        <v>1777</v>
      </c>
      <c r="D68" s="1344"/>
      <c r="E68" s="3619"/>
      <c r="F68" s="3617"/>
      <c r="G68" s="3631"/>
      <c r="H68" s="3623">
        <f>IF(H67=0,,H69/1000/H67)</f>
        <v>0</v>
      </c>
      <c r="I68" s="1343">
        <f>IF(I67=0,,I69/1000/I67)</f>
        <v>0</v>
      </c>
      <c r="J68" s="1344"/>
      <c r="K68" s="1343"/>
      <c r="L68" s="1344"/>
      <c r="M68" s="1343"/>
      <c r="N68" s="1344"/>
      <c r="O68" s="1343"/>
      <c r="P68" s="1344"/>
      <c r="Q68" s="1343"/>
      <c r="R68" s="1344"/>
      <c r="S68" s="1343"/>
      <c r="T68" s="1344"/>
      <c r="U68" s="1343"/>
      <c r="V68" s="1344"/>
      <c r="W68" s="1346"/>
      <c r="X68" s="1370"/>
      <c r="Y68" s="1370"/>
      <c r="Z68" s="1370"/>
      <c r="AA68" s="1370"/>
      <c r="AB68" s="1370"/>
      <c r="AC68" s="1370"/>
      <c r="AD68" s="1370"/>
      <c r="AE68" s="1370"/>
      <c r="AF68" s="1370"/>
      <c r="AG68" s="1370"/>
      <c r="AH68" s="1370"/>
      <c r="AI68" s="1370"/>
      <c r="AJ68" s="1370"/>
      <c r="AK68" s="1370"/>
      <c r="AL68" s="1370"/>
      <c r="AM68" s="1370"/>
      <c r="AN68" s="1370"/>
      <c r="AO68" s="1370"/>
      <c r="AP68" s="1370"/>
      <c r="AQ68" s="1370"/>
      <c r="AR68" s="1370"/>
      <c r="AS68" s="1370"/>
      <c r="AT68" s="1370"/>
      <c r="AU68" s="1370"/>
      <c r="AV68" s="1370"/>
      <c r="AW68" s="1370"/>
      <c r="AX68" s="1370"/>
      <c r="AY68" s="1370"/>
      <c r="AZ68" s="1370"/>
      <c r="BA68" s="1370"/>
      <c r="BB68" s="1370"/>
      <c r="BC68" s="1370"/>
      <c r="BD68" s="1370"/>
      <c r="BE68" s="1370"/>
      <c r="BF68" s="1370"/>
      <c r="BG68" s="1370"/>
      <c r="BH68" s="1370"/>
      <c r="BI68" s="1370"/>
      <c r="BJ68" s="1370"/>
      <c r="BK68" s="1370"/>
      <c r="BL68" s="1370"/>
      <c r="BM68" s="1370"/>
      <c r="BN68" s="1370"/>
      <c r="BO68" s="1370"/>
      <c r="BP68" s="1370"/>
      <c r="BQ68" s="1370"/>
      <c r="BR68" s="1370"/>
      <c r="BS68" s="1370"/>
      <c r="BT68" s="1370"/>
      <c r="BU68" s="1370"/>
      <c r="BV68" s="1370"/>
      <c r="BW68" s="1370"/>
      <c r="BX68" s="1370"/>
      <c r="BY68" s="1370"/>
      <c r="BZ68" s="1370"/>
      <c r="CA68" s="1370"/>
      <c r="CB68" s="1370"/>
      <c r="CC68" s="1370"/>
      <c r="CD68" s="1370"/>
      <c r="CE68" s="1370"/>
      <c r="CF68" s="1370"/>
      <c r="CG68" s="1370"/>
      <c r="CH68" s="1370"/>
      <c r="CI68" s="1370"/>
      <c r="CJ68" s="1370"/>
      <c r="CK68" s="1370"/>
      <c r="CL68" s="1370"/>
      <c r="CM68" s="1370"/>
      <c r="CN68" s="1370"/>
      <c r="CO68" s="1370"/>
      <c r="CP68" s="1370"/>
      <c r="CQ68" s="1370"/>
      <c r="CR68" s="1370"/>
      <c r="CS68" s="1370"/>
      <c r="CT68" s="1370"/>
      <c r="CU68" s="1370"/>
      <c r="CV68" s="1370"/>
      <c r="CW68" s="1370"/>
      <c r="CX68" s="1370"/>
      <c r="CY68" s="1370"/>
      <c r="CZ68" s="1370"/>
      <c r="DA68" s="1370"/>
      <c r="DB68" s="1370"/>
      <c r="DC68" s="1370"/>
      <c r="DD68" s="1370"/>
      <c r="DE68" s="1370"/>
      <c r="DF68" s="1370"/>
      <c r="DG68" s="1370"/>
      <c r="DH68" s="1370"/>
      <c r="DI68" s="1370"/>
      <c r="DJ68" s="1370"/>
      <c r="DK68" s="1370"/>
      <c r="DL68" s="1370"/>
      <c r="DM68" s="1370"/>
      <c r="DN68" s="1370"/>
      <c r="DO68" s="1370"/>
      <c r="DP68" s="1370"/>
      <c r="DQ68" s="1370"/>
      <c r="DR68" s="1370"/>
      <c r="DS68" s="1370"/>
      <c r="DT68" s="1370"/>
      <c r="DU68" s="1370"/>
      <c r="DV68" s="1370"/>
      <c r="DW68" s="1370"/>
      <c r="DX68" s="1370"/>
      <c r="DY68" s="1370"/>
      <c r="DZ68" s="1370"/>
      <c r="EA68" s="1370"/>
      <c r="EB68" s="1370"/>
      <c r="EC68" s="1370"/>
      <c r="ED68" s="1370"/>
      <c r="EE68" s="1370"/>
      <c r="EF68" s="1370"/>
      <c r="EG68" s="1370"/>
      <c r="EH68" s="1370"/>
      <c r="EI68" s="1370"/>
      <c r="EJ68" s="1370"/>
      <c r="EK68" s="1370"/>
      <c r="EL68" s="1370"/>
      <c r="EM68" s="1370"/>
      <c r="EN68" s="1370"/>
      <c r="EO68" s="1370"/>
      <c r="EP68" s="1370"/>
      <c r="EQ68" s="1370"/>
      <c r="ER68" s="1370"/>
      <c r="ES68" s="1370"/>
      <c r="ET68" s="1370"/>
      <c r="EU68" s="1370"/>
      <c r="EV68" s="1370"/>
      <c r="EW68" s="1370"/>
      <c r="EX68" s="1370"/>
      <c r="EY68" s="1370"/>
      <c r="EZ68" s="1370"/>
      <c r="FA68" s="1370"/>
      <c r="FB68" s="1370"/>
      <c r="FC68" s="1370"/>
      <c r="FD68" s="1370"/>
      <c r="FE68" s="1370"/>
      <c r="FF68" s="1370"/>
      <c r="FG68" s="1370"/>
      <c r="FH68" s="1370"/>
      <c r="FI68" s="1370"/>
      <c r="FJ68" s="1370"/>
      <c r="FK68" s="1370"/>
      <c r="FL68" s="1370"/>
      <c r="FM68" s="1370"/>
      <c r="FN68" s="1370"/>
      <c r="FO68" s="1370"/>
      <c r="FP68" s="1370"/>
      <c r="FQ68" s="1370"/>
      <c r="FR68" s="1370"/>
      <c r="FS68" s="1370"/>
      <c r="FT68" s="1370"/>
      <c r="FU68" s="1370"/>
      <c r="FV68" s="1370"/>
      <c r="FW68" s="1370"/>
      <c r="FX68" s="1370"/>
      <c r="FY68" s="1370"/>
      <c r="FZ68" s="1370"/>
      <c r="GA68" s="1370"/>
      <c r="GB68" s="1370"/>
      <c r="GC68" s="1370"/>
      <c r="GD68" s="1370"/>
      <c r="GE68" s="1370"/>
      <c r="GF68" s="1370"/>
      <c r="GG68" s="1370"/>
      <c r="GH68" s="1370"/>
      <c r="GI68" s="1370"/>
      <c r="GJ68" s="1370"/>
      <c r="GK68" s="1370"/>
      <c r="GL68" s="1370"/>
      <c r="GM68" s="1370"/>
      <c r="GN68" s="1370"/>
      <c r="GO68" s="1370"/>
      <c r="GP68" s="1370"/>
      <c r="GQ68" s="1370"/>
      <c r="GR68" s="1370"/>
      <c r="GS68" s="1370"/>
      <c r="GT68" s="1370"/>
      <c r="GU68" s="1370"/>
      <c r="GV68" s="1370"/>
      <c r="GW68" s="1370"/>
      <c r="GX68" s="1370"/>
      <c r="GY68" s="1370"/>
      <c r="GZ68" s="1370"/>
      <c r="HA68" s="1370"/>
      <c r="HB68" s="1370"/>
      <c r="HC68" s="1370"/>
      <c r="HD68" s="1370"/>
      <c r="HE68" s="1370"/>
      <c r="HF68" s="1370"/>
      <c r="HG68" s="1370"/>
      <c r="HH68" s="1370"/>
      <c r="HI68" s="1370"/>
      <c r="HJ68" s="1370"/>
      <c r="HK68" s="1370"/>
      <c r="HL68" s="1370"/>
      <c r="HM68" s="1370"/>
      <c r="HN68" s="1370"/>
      <c r="HO68" s="1370"/>
      <c r="HP68" s="1370"/>
      <c r="HQ68" s="1370"/>
    </row>
    <row r="69" spans="1:225" ht="24" hidden="1" customHeight="1" outlineLevel="1" x14ac:dyDescent="0.25">
      <c r="A69" s="5846"/>
      <c r="B69" s="1404" t="s">
        <v>1828</v>
      </c>
      <c r="C69" s="1350" t="s">
        <v>1780</v>
      </c>
      <c r="D69" s="1344"/>
      <c r="E69" s="3619"/>
      <c r="F69" s="3617"/>
      <c r="G69" s="3631"/>
      <c r="H69" s="3623">
        <f>J69+L69+N69+P69+R69+T69+V69</f>
        <v>0</v>
      </c>
      <c r="I69" s="1343">
        <f>K69+M69+O69+Q69+S69+U69+W69</f>
        <v>0</v>
      </c>
      <c r="J69" s="1344">
        <f>J67*J68/1000</f>
        <v>0</v>
      </c>
      <c r="K69" s="1343">
        <f t="shared" ref="K69:W69" si="20">K67*K68/1000</f>
        <v>0</v>
      </c>
      <c r="L69" s="1344">
        <f t="shared" si="20"/>
        <v>0</v>
      </c>
      <c r="M69" s="1343">
        <f t="shared" si="20"/>
        <v>0</v>
      </c>
      <c r="N69" s="1344">
        <f t="shared" si="20"/>
        <v>0</v>
      </c>
      <c r="O69" s="1343">
        <f t="shared" si="20"/>
        <v>0</v>
      </c>
      <c r="P69" s="1344">
        <f t="shared" si="20"/>
        <v>0</v>
      </c>
      <c r="Q69" s="1343">
        <f t="shared" si="20"/>
        <v>0</v>
      </c>
      <c r="R69" s="1344">
        <f t="shared" si="20"/>
        <v>0</v>
      </c>
      <c r="S69" s="1343">
        <f t="shared" si="20"/>
        <v>0</v>
      </c>
      <c r="T69" s="1344">
        <f t="shared" si="20"/>
        <v>0</v>
      </c>
      <c r="U69" s="1343">
        <f t="shared" si="20"/>
        <v>0</v>
      </c>
      <c r="V69" s="1344">
        <f t="shared" si="20"/>
        <v>0</v>
      </c>
      <c r="W69" s="1343">
        <f t="shared" si="20"/>
        <v>0</v>
      </c>
      <c r="X69" s="1370"/>
      <c r="Y69" s="1370"/>
      <c r="Z69" s="1370"/>
      <c r="AA69" s="1370"/>
      <c r="AB69" s="1370"/>
      <c r="AC69" s="1370"/>
      <c r="AD69" s="1370"/>
      <c r="AE69" s="1370"/>
      <c r="AF69" s="1370"/>
      <c r="AG69" s="1370"/>
      <c r="AH69" s="1370"/>
      <c r="AI69" s="1370"/>
      <c r="AJ69" s="1370"/>
      <c r="AK69" s="1370"/>
      <c r="AL69" s="1370"/>
      <c r="AM69" s="1370"/>
      <c r="AN69" s="1370"/>
      <c r="AO69" s="1370"/>
      <c r="AP69" s="1370"/>
      <c r="AQ69" s="1370"/>
      <c r="AR69" s="1370"/>
      <c r="AS69" s="1370"/>
      <c r="AT69" s="1370"/>
      <c r="AU69" s="1370"/>
      <c r="AV69" s="1370"/>
      <c r="AW69" s="1370"/>
      <c r="AX69" s="1370"/>
      <c r="AY69" s="1370"/>
      <c r="AZ69" s="1370"/>
      <c r="BA69" s="1370"/>
      <c r="BB69" s="1370"/>
      <c r="BC69" s="1370"/>
      <c r="BD69" s="1370"/>
      <c r="BE69" s="1370"/>
      <c r="BF69" s="1370"/>
      <c r="BG69" s="1370"/>
      <c r="BH69" s="1370"/>
      <c r="BI69" s="1370"/>
      <c r="BJ69" s="1370"/>
      <c r="BK69" s="1370"/>
      <c r="BL69" s="1370"/>
      <c r="BM69" s="1370"/>
      <c r="BN69" s="1370"/>
      <c r="BO69" s="1370"/>
      <c r="BP69" s="1370"/>
      <c r="BQ69" s="1370"/>
      <c r="BR69" s="1370"/>
      <c r="BS69" s="1370"/>
      <c r="BT69" s="1370"/>
      <c r="BU69" s="1370"/>
      <c r="BV69" s="1370"/>
      <c r="BW69" s="1370"/>
      <c r="BX69" s="1370"/>
      <c r="BY69" s="1370"/>
      <c r="BZ69" s="1370"/>
      <c r="CA69" s="1370"/>
      <c r="CB69" s="1370"/>
      <c r="CC69" s="1370"/>
      <c r="CD69" s="1370"/>
      <c r="CE69" s="1370"/>
      <c r="CF69" s="1370"/>
      <c r="CG69" s="1370"/>
      <c r="CH69" s="1370"/>
      <c r="CI69" s="1370"/>
      <c r="CJ69" s="1370"/>
      <c r="CK69" s="1370"/>
      <c r="CL69" s="1370"/>
      <c r="CM69" s="1370"/>
      <c r="CN69" s="1370"/>
      <c r="CO69" s="1370"/>
      <c r="CP69" s="1370"/>
      <c r="CQ69" s="1370"/>
      <c r="CR69" s="1370"/>
      <c r="CS69" s="1370"/>
      <c r="CT69" s="1370"/>
      <c r="CU69" s="1370"/>
      <c r="CV69" s="1370"/>
      <c r="CW69" s="1370"/>
      <c r="CX69" s="1370"/>
      <c r="CY69" s="1370"/>
      <c r="CZ69" s="1370"/>
      <c r="DA69" s="1370"/>
      <c r="DB69" s="1370"/>
      <c r="DC69" s="1370"/>
      <c r="DD69" s="1370"/>
      <c r="DE69" s="1370"/>
      <c r="DF69" s="1370"/>
      <c r="DG69" s="1370"/>
      <c r="DH69" s="1370"/>
      <c r="DI69" s="1370"/>
      <c r="DJ69" s="1370"/>
      <c r="DK69" s="1370"/>
      <c r="DL69" s="1370"/>
      <c r="DM69" s="1370"/>
      <c r="DN69" s="1370"/>
      <c r="DO69" s="1370"/>
      <c r="DP69" s="1370"/>
      <c r="DQ69" s="1370"/>
      <c r="DR69" s="1370"/>
      <c r="DS69" s="1370"/>
      <c r="DT69" s="1370"/>
      <c r="DU69" s="1370"/>
      <c r="DV69" s="1370"/>
      <c r="DW69" s="1370"/>
      <c r="DX69" s="1370"/>
      <c r="DY69" s="1370"/>
      <c r="DZ69" s="1370"/>
      <c r="EA69" s="1370"/>
      <c r="EB69" s="1370"/>
      <c r="EC69" s="1370"/>
      <c r="ED69" s="1370"/>
      <c r="EE69" s="1370"/>
      <c r="EF69" s="1370"/>
      <c r="EG69" s="1370"/>
      <c r="EH69" s="1370"/>
      <c r="EI69" s="1370"/>
      <c r="EJ69" s="1370"/>
      <c r="EK69" s="1370"/>
      <c r="EL69" s="1370"/>
      <c r="EM69" s="1370"/>
      <c r="EN69" s="1370"/>
      <c r="EO69" s="1370"/>
      <c r="EP69" s="1370"/>
      <c r="EQ69" s="1370"/>
      <c r="ER69" s="1370"/>
      <c r="ES69" s="1370"/>
      <c r="ET69" s="1370"/>
      <c r="EU69" s="1370"/>
      <c r="EV69" s="1370"/>
      <c r="EW69" s="1370"/>
      <c r="EX69" s="1370"/>
      <c r="EY69" s="1370"/>
      <c r="EZ69" s="1370"/>
      <c r="FA69" s="1370"/>
      <c r="FB69" s="1370"/>
      <c r="FC69" s="1370"/>
      <c r="FD69" s="1370"/>
      <c r="FE69" s="1370"/>
      <c r="FF69" s="1370"/>
      <c r="FG69" s="1370"/>
      <c r="FH69" s="1370"/>
      <c r="FI69" s="1370"/>
      <c r="FJ69" s="1370"/>
      <c r="FK69" s="1370"/>
      <c r="FL69" s="1370"/>
      <c r="FM69" s="1370"/>
      <c r="FN69" s="1370"/>
      <c r="FO69" s="1370"/>
      <c r="FP69" s="1370"/>
      <c r="FQ69" s="1370"/>
      <c r="FR69" s="1370"/>
      <c r="FS69" s="1370"/>
      <c r="FT69" s="1370"/>
      <c r="FU69" s="1370"/>
      <c r="FV69" s="1370"/>
      <c r="FW69" s="1370"/>
      <c r="FX69" s="1370"/>
      <c r="FY69" s="1370"/>
      <c r="FZ69" s="1370"/>
      <c r="GA69" s="1370"/>
      <c r="GB69" s="1370"/>
      <c r="GC69" s="1370"/>
      <c r="GD69" s="1370"/>
      <c r="GE69" s="1370"/>
      <c r="GF69" s="1370"/>
      <c r="GG69" s="1370"/>
      <c r="GH69" s="1370"/>
      <c r="GI69" s="1370"/>
      <c r="GJ69" s="1370"/>
      <c r="GK69" s="1370"/>
      <c r="GL69" s="1370"/>
      <c r="GM69" s="1370"/>
      <c r="GN69" s="1370"/>
      <c r="GO69" s="1370"/>
      <c r="GP69" s="1370"/>
      <c r="GQ69" s="1370"/>
      <c r="GR69" s="1370"/>
      <c r="GS69" s="1370"/>
      <c r="GT69" s="1370"/>
      <c r="GU69" s="1370"/>
      <c r="GV69" s="1370"/>
      <c r="GW69" s="1370"/>
      <c r="GX69" s="1370"/>
      <c r="GY69" s="1370"/>
      <c r="GZ69" s="1370"/>
      <c r="HA69" s="1370"/>
      <c r="HB69" s="1370"/>
      <c r="HC69" s="1370"/>
      <c r="HD69" s="1370"/>
      <c r="HE69" s="1370"/>
      <c r="HF69" s="1370"/>
      <c r="HG69" s="1370"/>
      <c r="HH69" s="1370"/>
      <c r="HI69" s="1370"/>
      <c r="HJ69" s="1370"/>
      <c r="HK69" s="1370"/>
      <c r="HL69" s="1370"/>
      <c r="HM69" s="1370"/>
      <c r="HN69" s="1370"/>
      <c r="HO69" s="1370"/>
      <c r="HP69" s="1370"/>
      <c r="HQ69" s="1370"/>
    </row>
    <row r="70" spans="1:225" ht="13.2" hidden="1" customHeight="1" outlineLevel="1" x14ac:dyDescent="0.25">
      <c r="A70" s="5844" t="s">
        <v>1829</v>
      </c>
      <c r="B70" s="1401" t="s">
        <v>1830</v>
      </c>
      <c r="C70" s="1349" t="s">
        <v>1746</v>
      </c>
      <c r="D70" s="1344"/>
      <c r="E70" s="3619"/>
      <c r="F70" s="3617"/>
      <c r="G70" s="3631"/>
      <c r="H70" s="3623">
        <f>J70+L70+N70+P70+R70+T70+V70</f>
        <v>0</v>
      </c>
      <c r="I70" s="1343">
        <f>K70+M70+O70+Q70+S70+U70+W70</f>
        <v>0</v>
      </c>
      <c r="J70" s="1344"/>
      <c r="K70" s="1343"/>
      <c r="L70" s="1344"/>
      <c r="M70" s="1343"/>
      <c r="N70" s="1344"/>
      <c r="O70" s="1343"/>
      <c r="P70" s="1344"/>
      <c r="Q70" s="1343"/>
      <c r="R70" s="1344"/>
      <c r="S70" s="1343"/>
      <c r="T70" s="1344"/>
      <c r="U70" s="1343"/>
      <c r="V70" s="1344"/>
      <c r="W70" s="1346"/>
      <c r="X70" s="1370"/>
      <c r="Y70" s="1370"/>
      <c r="Z70" s="1370"/>
      <c r="AA70" s="1370"/>
      <c r="AB70" s="1370"/>
      <c r="AC70" s="1370"/>
      <c r="AD70" s="1370"/>
      <c r="AE70" s="1370"/>
      <c r="AF70" s="1370"/>
      <c r="AG70" s="1370"/>
      <c r="AH70" s="1370"/>
      <c r="AI70" s="1370"/>
      <c r="AJ70" s="1370"/>
      <c r="AK70" s="1370"/>
      <c r="AL70" s="1370"/>
      <c r="AM70" s="1370"/>
      <c r="AN70" s="1370"/>
      <c r="AO70" s="1370"/>
      <c r="AP70" s="1370"/>
      <c r="AQ70" s="1370"/>
      <c r="AR70" s="1370"/>
      <c r="AS70" s="1370"/>
      <c r="AT70" s="1370"/>
      <c r="AU70" s="1370"/>
      <c r="AV70" s="1370"/>
      <c r="AW70" s="1370"/>
      <c r="AX70" s="1370"/>
      <c r="AY70" s="1370"/>
      <c r="AZ70" s="1370"/>
      <c r="BA70" s="1370"/>
      <c r="BB70" s="1370"/>
      <c r="BC70" s="1370"/>
      <c r="BD70" s="1370"/>
      <c r="BE70" s="1370"/>
      <c r="BF70" s="1370"/>
      <c r="BG70" s="1370"/>
      <c r="BH70" s="1370"/>
      <c r="BI70" s="1370"/>
      <c r="BJ70" s="1370"/>
      <c r="BK70" s="1370"/>
      <c r="BL70" s="1370"/>
      <c r="BM70" s="1370"/>
      <c r="BN70" s="1370"/>
      <c r="BO70" s="1370"/>
      <c r="BP70" s="1370"/>
      <c r="BQ70" s="1370"/>
      <c r="BR70" s="1370"/>
      <c r="BS70" s="1370"/>
      <c r="BT70" s="1370"/>
      <c r="BU70" s="1370"/>
      <c r="BV70" s="1370"/>
      <c r="BW70" s="1370"/>
      <c r="BX70" s="1370"/>
      <c r="BY70" s="1370"/>
      <c r="BZ70" s="1370"/>
      <c r="CA70" s="1370"/>
      <c r="CB70" s="1370"/>
      <c r="CC70" s="1370"/>
      <c r="CD70" s="1370"/>
      <c r="CE70" s="1370"/>
      <c r="CF70" s="1370"/>
      <c r="CG70" s="1370"/>
      <c r="CH70" s="1370"/>
      <c r="CI70" s="1370"/>
      <c r="CJ70" s="1370"/>
      <c r="CK70" s="1370"/>
      <c r="CL70" s="1370"/>
      <c r="CM70" s="1370"/>
      <c r="CN70" s="1370"/>
      <c r="CO70" s="1370"/>
      <c r="CP70" s="1370"/>
      <c r="CQ70" s="1370"/>
      <c r="CR70" s="1370"/>
      <c r="CS70" s="1370"/>
      <c r="CT70" s="1370"/>
      <c r="CU70" s="1370"/>
      <c r="CV70" s="1370"/>
      <c r="CW70" s="1370"/>
      <c r="CX70" s="1370"/>
      <c r="CY70" s="1370"/>
      <c r="CZ70" s="1370"/>
      <c r="DA70" s="1370"/>
      <c r="DB70" s="1370"/>
      <c r="DC70" s="1370"/>
      <c r="DD70" s="1370"/>
      <c r="DE70" s="1370"/>
      <c r="DF70" s="1370"/>
      <c r="DG70" s="1370"/>
      <c r="DH70" s="1370"/>
      <c r="DI70" s="1370"/>
      <c r="DJ70" s="1370"/>
      <c r="DK70" s="1370"/>
      <c r="DL70" s="1370"/>
      <c r="DM70" s="1370"/>
      <c r="DN70" s="1370"/>
      <c r="DO70" s="1370"/>
      <c r="DP70" s="1370"/>
      <c r="DQ70" s="1370"/>
      <c r="DR70" s="1370"/>
      <c r="DS70" s="1370"/>
      <c r="DT70" s="1370"/>
      <c r="DU70" s="1370"/>
      <c r="DV70" s="1370"/>
      <c r="DW70" s="1370"/>
      <c r="DX70" s="1370"/>
      <c r="DY70" s="1370"/>
      <c r="DZ70" s="1370"/>
      <c r="EA70" s="1370"/>
      <c r="EB70" s="1370"/>
      <c r="EC70" s="1370"/>
      <c r="ED70" s="1370"/>
      <c r="EE70" s="1370"/>
      <c r="EF70" s="1370"/>
      <c r="EG70" s="1370"/>
      <c r="EH70" s="1370"/>
      <c r="EI70" s="1370"/>
      <c r="EJ70" s="1370"/>
      <c r="EK70" s="1370"/>
      <c r="EL70" s="1370"/>
      <c r="EM70" s="1370"/>
      <c r="EN70" s="1370"/>
      <c r="EO70" s="1370"/>
      <c r="EP70" s="1370"/>
      <c r="EQ70" s="1370"/>
      <c r="ER70" s="1370"/>
      <c r="ES70" s="1370"/>
      <c r="ET70" s="1370"/>
      <c r="EU70" s="1370"/>
      <c r="EV70" s="1370"/>
      <c r="EW70" s="1370"/>
      <c r="EX70" s="1370"/>
      <c r="EY70" s="1370"/>
      <c r="EZ70" s="1370"/>
      <c r="FA70" s="1370"/>
      <c r="FB70" s="1370"/>
      <c r="FC70" s="1370"/>
      <c r="FD70" s="1370"/>
      <c r="FE70" s="1370"/>
      <c r="FF70" s="1370"/>
      <c r="FG70" s="1370"/>
      <c r="FH70" s="1370"/>
      <c r="FI70" s="1370"/>
      <c r="FJ70" s="1370"/>
      <c r="FK70" s="1370"/>
      <c r="FL70" s="1370"/>
      <c r="FM70" s="1370"/>
      <c r="FN70" s="1370"/>
      <c r="FO70" s="1370"/>
      <c r="FP70" s="1370"/>
      <c r="FQ70" s="1370"/>
      <c r="FR70" s="1370"/>
      <c r="FS70" s="1370"/>
      <c r="FT70" s="1370"/>
      <c r="FU70" s="1370"/>
      <c r="FV70" s="1370"/>
      <c r="FW70" s="1370"/>
      <c r="FX70" s="1370"/>
      <c r="FY70" s="1370"/>
      <c r="FZ70" s="1370"/>
      <c r="GA70" s="1370"/>
      <c r="GB70" s="1370"/>
      <c r="GC70" s="1370"/>
      <c r="GD70" s="1370"/>
      <c r="GE70" s="1370"/>
      <c r="GF70" s="1370"/>
      <c r="GG70" s="1370"/>
      <c r="GH70" s="1370"/>
      <c r="GI70" s="1370"/>
      <c r="GJ70" s="1370"/>
      <c r="GK70" s="1370"/>
      <c r="GL70" s="1370"/>
      <c r="GM70" s="1370"/>
      <c r="GN70" s="1370"/>
      <c r="GO70" s="1370"/>
      <c r="GP70" s="1370"/>
      <c r="GQ70" s="1370"/>
      <c r="GR70" s="1370"/>
      <c r="GS70" s="1370"/>
      <c r="GT70" s="1370"/>
      <c r="GU70" s="1370"/>
      <c r="GV70" s="1370"/>
      <c r="GW70" s="1370"/>
      <c r="GX70" s="1370"/>
      <c r="GY70" s="1370"/>
      <c r="GZ70" s="1370"/>
      <c r="HA70" s="1370"/>
      <c r="HB70" s="1370"/>
      <c r="HC70" s="1370"/>
      <c r="HD70" s="1370"/>
      <c r="HE70" s="1370"/>
      <c r="HF70" s="1370"/>
      <c r="HG70" s="1370"/>
      <c r="HH70" s="1370"/>
      <c r="HI70" s="1370"/>
      <c r="HJ70" s="1370"/>
      <c r="HK70" s="1370"/>
      <c r="HL70" s="1370"/>
      <c r="HM70" s="1370"/>
      <c r="HN70" s="1370"/>
      <c r="HO70" s="1370"/>
      <c r="HP70" s="1370"/>
      <c r="HQ70" s="1370"/>
    </row>
    <row r="71" spans="1:225" ht="24" hidden="1" customHeight="1" outlineLevel="1" x14ac:dyDescent="0.25">
      <c r="A71" s="5845"/>
      <c r="B71" s="1401" t="s">
        <v>1831</v>
      </c>
      <c r="C71" s="1349" t="s">
        <v>1777</v>
      </c>
      <c r="D71" s="1344"/>
      <c r="E71" s="3619"/>
      <c r="F71" s="3617"/>
      <c r="G71" s="3631"/>
      <c r="H71" s="3623">
        <f>IF(H70=0,,H72/1000/H70)</f>
        <v>0</v>
      </c>
      <c r="I71" s="1343">
        <f>IF(I70=0,,I72/1000/I70)</f>
        <v>0</v>
      </c>
      <c r="J71" s="1344"/>
      <c r="K71" s="1343"/>
      <c r="L71" s="1344"/>
      <c r="M71" s="1343"/>
      <c r="N71" s="1344"/>
      <c r="O71" s="1343"/>
      <c r="P71" s="1344"/>
      <c r="Q71" s="1343"/>
      <c r="R71" s="1344"/>
      <c r="S71" s="1343"/>
      <c r="T71" s="1344"/>
      <c r="U71" s="1343"/>
      <c r="V71" s="1344"/>
      <c r="W71" s="1346"/>
      <c r="X71" s="1370"/>
      <c r="Y71" s="1370"/>
      <c r="Z71" s="1370"/>
      <c r="AA71" s="1370"/>
      <c r="AB71" s="1370"/>
      <c r="AC71" s="1370"/>
      <c r="AD71" s="1370"/>
      <c r="AE71" s="1370"/>
      <c r="AF71" s="1370"/>
      <c r="AG71" s="1370"/>
      <c r="AH71" s="1370"/>
      <c r="AI71" s="1370"/>
      <c r="AJ71" s="1370"/>
      <c r="AK71" s="1370"/>
      <c r="AL71" s="1370"/>
      <c r="AM71" s="1370"/>
      <c r="AN71" s="1370"/>
      <c r="AO71" s="1370"/>
      <c r="AP71" s="1370"/>
      <c r="AQ71" s="1370"/>
      <c r="AR71" s="1370"/>
      <c r="AS71" s="1370"/>
      <c r="AT71" s="1370"/>
      <c r="AU71" s="1370"/>
      <c r="AV71" s="1370"/>
      <c r="AW71" s="1370"/>
      <c r="AX71" s="1370"/>
      <c r="AY71" s="1370"/>
      <c r="AZ71" s="1370"/>
      <c r="BA71" s="1370"/>
      <c r="BB71" s="1370"/>
      <c r="BC71" s="1370"/>
      <c r="BD71" s="1370"/>
      <c r="BE71" s="1370"/>
      <c r="BF71" s="1370"/>
      <c r="BG71" s="1370"/>
      <c r="BH71" s="1370"/>
      <c r="BI71" s="1370"/>
      <c r="BJ71" s="1370"/>
      <c r="BK71" s="1370"/>
      <c r="BL71" s="1370"/>
      <c r="BM71" s="1370"/>
      <c r="BN71" s="1370"/>
      <c r="BO71" s="1370"/>
      <c r="BP71" s="1370"/>
      <c r="BQ71" s="1370"/>
      <c r="BR71" s="1370"/>
      <c r="BS71" s="1370"/>
      <c r="BT71" s="1370"/>
      <c r="BU71" s="1370"/>
      <c r="BV71" s="1370"/>
      <c r="BW71" s="1370"/>
      <c r="BX71" s="1370"/>
      <c r="BY71" s="1370"/>
      <c r="BZ71" s="1370"/>
      <c r="CA71" s="1370"/>
      <c r="CB71" s="1370"/>
      <c r="CC71" s="1370"/>
      <c r="CD71" s="1370"/>
      <c r="CE71" s="1370"/>
      <c r="CF71" s="1370"/>
      <c r="CG71" s="1370"/>
      <c r="CH71" s="1370"/>
      <c r="CI71" s="1370"/>
      <c r="CJ71" s="1370"/>
      <c r="CK71" s="1370"/>
      <c r="CL71" s="1370"/>
      <c r="CM71" s="1370"/>
      <c r="CN71" s="1370"/>
      <c r="CO71" s="1370"/>
      <c r="CP71" s="1370"/>
      <c r="CQ71" s="1370"/>
      <c r="CR71" s="1370"/>
      <c r="CS71" s="1370"/>
      <c r="CT71" s="1370"/>
      <c r="CU71" s="1370"/>
      <c r="CV71" s="1370"/>
      <c r="CW71" s="1370"/>
      <c r="CX71" s="1370"/>
      <c r="CY71" s="1370"/>
      <c r="CZ71" s="1370"/>
      <c r="DA71" s="1370"/>
      <c r="DB71" s="1370"/>
      <c r="DC71" s="1370"/>
      <c r="DD71" s="1370"/>
      <c r="DE71" s="1370"/>
      <c r="DF71" s="1370"/>
      <c r="DG71" s="1370"/>
      <c r="DH71" s="1370"/>
      <c r="DI71" s="1370"/>
      <c r="DJ71" s="1370"/>
      <c r="DK71" s="1370"/>
      <c r="DL71" s="1370"/>
      <c r="DM71" s="1370"/>
      <c r="DN71" s="1370"/>
      <c r="DO71" s="1370"/>
      <c r="DP71" s="1370"/>
      <c r="DQ71" s="1370"/>
      <c r="DR71" s="1370"/>
      <c r="DS71" s="1370"/>
      <c r="DT71" s="1370"/>
      <c r="DU71" s="1370"/>
      <c r="DV71" s="1370"/>
      <c r="DW71" s="1370"/>
      <c r="DX71" s="1370"/>
      <c r="DY71" s="1370"/>
      <c r="DZ71" s="1370"/>
      <c r="EA71" s="1370"/>
      <c r="EB71" s="1370"/>
      <c r="EC71" s="1370"/>
      <c r="ED71" s="1370"/>
      <c r="EE71" s="1370"/>
      <c r="EF71" s="1370"/>
      <c r="EG71" s="1370"/>
      <c r="EH71" s="1370"/>
      <c r="EI71" s="1370"/>
      <c r="EJ71" s="1370"/>
      <c r="EK71" s="1370"/>
      <c r="EL71" s="1370"/>
      <c r="EM71" s="1370"/>
      <c r="EN71" s="1370"/>
      <c r="EO71" s="1370"/>
      <c r="EP71" s="1370"/>
      <c r="EQ71" s="1370"/>
      <c r="ER71" s="1370"/>
      <c r="ES71" s="1370"/>
      <c r="ET71" s="1370"/>
      <c r="EU71" s="1370"/>
      <c r="EV71" s="1370"/>
      <c r="EW71" s="1370"/>
      <c r="EX71" s="1370"/>
      <c r="EY71" s="1370"/>
      <c r="EZ71" s="1370"/>
      <c r="FA71" s="1370"/>
      <c r="FB71" s="1370"/>
      <c r="FC71" s="1370"/>
      <c r="FD71" s="1370"/>
      <c r="FE71" s="1370"/>
      <c r="FF71" s="1370"/>
      <c r="FG71" s="1370"/>
      <c r="FH71" s="1370"/>
      <c r="FI71" s="1370"/>
      <c r="FJ71" s="1370"/>
      <c r="FK71" s="1370"/>
      <c r="FL71" s="1370"/>
      <c r="FM71" s="1370"/>
      <c r="FN71" s="1370"/>
      <c r="FO71" s="1370"/>
      <c r="FP71" s="1370"/>
      <c r="FQ71" s="1370"/>
      <c r="FR71" s="1370"/>
      <c r="FS71" s="1370"/>
      <c r="FT71" s="1370"/>
      <c r="FU71" s="1370"/>
      <c r="FV71" s="1370"/>
      <c r="FW71" s="1370"/>
      <c r="FX71" s="1370"/>
      <c r="FY71" s="1370"/>
      <c r="FZ71" s="1370"/>
      <c r="GA71" s="1370"/>
      <c r="GB71" s="1370"/>
      <c r="GC71" s="1370"/>
      <c r="GD71" s="1370"/>
      <c r="GE71" s="1370"/>
      <c r="GF71" s="1370"/>
      <c r="GG71" s="1370"/>
      <c r="GH71" s="1370"/>
      <c r="GI71" s="1370"/>
      <c r="GJ71" s="1370"/>
      <c r="GK71" s="1370"/>
      <c r="GL71" s="1370"/>
      <c r="GM71" s="1370"/>
      <c r="GN71" s="1370"/>
      <c r="GO71" s="1370"/>
      <c r="GP71" s="1370"/>
      <c r="GQ71" s="1370"/>
      <c r="GR71" s="1370"/>
      <c r="GS71" s="1370"/>
      <c r="GT71" s="1370"/>
      <c r="GU71" s="1370"/>
      <c r="GV71" s="1370"/>
      <c r="GW71" s="1370"/>
      <c r="GX71" s="1370"/>
      <c r="GY71" s="1370"/>
      <c r="GZ71" s="1370"/>
      <c r="HA71" s="1370"/>
      <c r="HB71" s="1370"/>
      <c r="HC71" s="1370"/>
      <c r="HD71" s="1370"/>
      <c r="HE71" s="1370"/>
      <c r="HF71" s="1370"/>
      <c r="HG71" s="1370"/>
      <c r="HH71" s="1370"/>
      <c r="HI71" s="1370"/>
      <c r="HJ71" s="1370"/>
      <c r="HK71" s="1370"/>
      <c r="HL71" s="1370"/>
      <c r="HM71" s="1370"/>
      <c r="HN71" s="1370"/>
      <c r="HO71" s="1370"/>
      <c r="HP71" s="1370"/>
      <c r="HQ71" s="1370"/>
    </row>
    <row r="72" spans="1:225" ht="24" hidden="1" customHeight="1" outlineLevel="1" x14ac:dyDescent="0.25">
      <c r="A72" s="5846"/>
      <c r="B72" s="1404" t="s">
        <v>1832</v>
      </c>
      <c r="C72" s="1350" t="s">
        <v>1780</v>
      </c>
      <c r="D72" s="1344"/>
      <c r="E72" s="3619"/>
      <c r="F72" s="3617"/>
      <c r="G72" s="3631"/>
      <c r="H72" s="3623">
        <f>J72+L72+N72+P72+R72+T72+V72</f>
        <v>0</v>
      </c>
      <c r="I72" s="1343">
        <f>K72+M72+O72+Q72+S72+U72+W72</f>
        <v>0</v>
      </c>
      <c r="J72" s="1344">
        <f>J70*J71/1000</f>
        <v>0</v>
      </c>
      <c r="K72" s="1343">
        <f t="shared" ref="K72:W72" si="21">K70*K71/1000</f>
        <v>0</v>
      </c>
      <c r="L72" s="1344">
        <f t="shared" si="21"/>
        <v>0</v>
      </c>
      <c r="M72" s="1343">
        <f t="shared" si="21"/>
        <v>0</v>
      </c>
      <c r="N72" s="1344">
        <f t="shared" si="21"/>
        <v>0</v>
      </c>
      <c r="O72" s="1343">
        <f t="shared" si="21"/>
        <v>0</v>
      </c>
      <c r="P72" s="1344">
        <f t="shared" si="21"/>
        <v>0</v>
      </c>
      <c r="Q72" s="1343">
        <f t="shared" si="21"/>
        <v>0</v>
      </c>
      <c r="R72" s="1344">
        <f t="shared" si="21"/>
        <v>0</v>
      </c>
      <c r="S72" s="1343">
        <f t="shared" si="21"/>
        <v>0</v>
      </c>
      <c r="T72" s="1344">
        <f t="shared" si="21"/>
        <v>0</v>
      </c>
      <c r="U72" s="1343">
        <f t="shared" si="21"/>
        <v>0</v>
      </c>
      <c r="V72" s="1344">
        <f t="shared" si="21"/>
        <v>0</v>
      </c>
      <c r="W72" s="1343">
        <f t="shared" si="21"/>
        <v>0</v>
      </c>
      <c r="X72" s="1370"/>
      <c r="Y72" s="1370"/>
      <c r="Z72" s="1370"/>
      <c r="AA72" s="1370"/>
      <c r="AB72" s="1370"/>
      <c r="AC72" s="1370"/>
      <c r="AD72" s="1370"/>
      <c r="AE72" s="1370"/>
      <c r="AF72" s="1370"/>
      <c r="AG72" s="1370"/>
      <c r="AH72" s="1370"/>
      <c r="AI72" s="1370"/>
      <c r="AJ72" s="1370"/>
      <c r="AK72" s="1370"/>
      <c r="AL72" s="1370"/>
      <c r="AM72" s="1370"/>
      <c r="AN72" s="1370"/>
      <c r="AO72" s="1370"/>
      <c r="AP72" s="1370"/>
      <c r="AQ72" s="1370"/>
      <c r="AR72" s="1370"/>
      <c r="AS72" s="1370"/>
      <c r="AT72" s="1370"/>
      <c r="AU72" s="1370"/>
      <c r="AV72" s="1370"/>
      <c r="AW72" s="1370"/>
      <c r="AX72" s="1370"/>
      <c r="AY72" s="1370"/>
      <c r="AZ72" s="1370"/>
      <c r="BA72" s="1370"/>
      <c r="BB72" s="1370"/>
      <c r="BC72" s="1370"/>
      <c r="BD72" s="1370"/>
      <c r="BE72" s="1370"/>
      <c r="BF72" s="1370"/>
      <c r="BG72" s="1370"/>
      <c r="BH72" s="1370"/>
      <c r="BI72" s="1370"/>
      <c r="BJ72" s="1370"/>
      <c r="BK72" s="1370"/>
      <c r="BL72" s="1370"/>
      <c r="BM72" s="1370"/>
      <c r="BN72" s="1370"/>
      <c r="BO72" s="1370"/>
      <c r="BP72" s="1370"/>
      <c r="BQ72" s="1370"/>
      <c r="BR72" s="1370"/>
      <c r="BS72" s="1370"/>
      <c r="BT72" s="1370"/>
      <c r="BU72" s="1370"/>
      <c r="BV72" s="1370"/>
      <c r="BW72" s="1370"/>
      <c r="BX72" s="1370"/>
      <c r="BY72" s="1370"/>
      <c r="BZ72" s="1370"/>
      <c r="CA72" s="1370"/>
      <c r="CB72" s="1370"/>
      <c r="CC72" s="1370"/>
      <c r="CD72" s="1370"/>
      <c r="CE72" s="1370"/>
      <c r="CF72" s="1370"/>
      <c r="CG72" s="1370"/>
      <c r="CH72" s="1370"/>
      <c r="CI72" s="1370"/>
      <c r="CJ72" s="1370"/>
      <c r="CK72" s="1370"/>
      <c r="CL72" s="1370"/>
      <c r="CM72" s="1370"/>
      <c r="CN72" s="1370"/>
      <c r="CO72" s="1370"/>
      <c r="CP72" s="1370"/>
      <c r="CQ72" s="1370"/>
      <c r="CR72" s="1370"/>
      <c r="CS72" s="1370"/>
      <c r="CT72" s="1370"/>
      <c r="CU72" s="1370"/>
      <c r="CV72" s="1370"/>
      <c r="CW72" s="1370"/>
      <c r="CX72" s="1370"/>
      <c r="CY72" s="1370"/>
      <c r="CZ72" s="1370"/>
      <c r="DA72" s="1370"/>
      <c r="DB72" s="1370"/>
      <c r="DC72" s="1370"/>
      <c r="DD72" s="1370"/>
      <c r="DE72" s="1370"/>
      <c r="DF72" s="1370"/>
      <c r="DG72" s="1370"/>
      <c r="DH72" s="1370"/>
      <c r="DI72" s="1370"/>
      <c r="DJ72" s="1370"/>
      <c r="DK72" s="1370"/>
      <c r="DL72" s="1370"/>
      <c r="DM72" s="1370"/>
      <c r="DN72" s="1370"/>
      <c r="DO72" s="1370"/>
      <c r="DP72" s="1370"/>
      <c r="DQ72" s="1370"/>
      <c r="DR72" s="1370"/>
      <c r="DS72" s="1370"/>
      <c r="DT72" s="1370"/>
      <c r="DU72" s="1370"/>
      <c r="DV72" s="1370"/>
      <c r="DW72" s="1370"/>
      <c r="DX72" s="1370"/>
      <c r="DY72" s="1370"/>
      <c r="DZ72" s="1370"/>
      <c r="EA72" s="1370"/>
      <c r="EB72" s="1370"/>
      <c r="EC72" s="1370"/>
      <c r="ED72" s="1370"/>
      <c r="EE72" s="1370"/>
      <c r="EF72" s="1370"/>
      <c r="EG72" s="1370"/>
      <c r="EH72" s="1370"/>
      <c r="EI72" s="1370"/>
      <c r="EJ72" s="1370"/>
      <c r="EK72" s="1370"/>
      <c r="EL72" s="1370"/>
      <c r="EM72" s="1370"/>
      <c r="EN72" s="1370"/>
      <c r="EO72" s="1370"/>
      <c r="EP72" s="1370"/>
      <c r="EQ72" s="1370"/>
      <c r="ER72" s="1370"/>
      <c r="ES72" s="1370"/>
      <c r="ET72" s="1370"/>
      <c r="EU72" s="1370"/>
      <c r="EV72" s="1370"/>
      <c r="EW72" s="1370"/>
      <c r="EX72" s="1370"/>
      <c r="EY72" s="1370"/>
      <c r="EZ72" s="1370"/>
      <c r="FA72" s="1370"/>
      <c r="FB72" s="1370"/>
      <c r="FC72" s="1370"/>
      <c r="FD72" s="1370"/>
      <c r="FE72" s="1370"/>
      <c r="FF72" s="1370"/>
      <c r="FG72" s="1370"/>
      <c r="FH72" s="1370"/>
      <c r="FI72" s="1370"/>
      <c r="FJ72" s="1370"/>
      <c r="FK72" s="1370"/>
      <c r="FL72" s="1370"/>
      <c r="FM72" s="1370"/>
      <c r="FN72" s="1370"/>
      <c r="FO72" s="1370"/>
      <c r="FP72" s="1370"/>
      <c r="FQ72" s="1370"/>
      <c r="FR72" s="1370"/>
      <c r="FS72" s="1370"/>
      <c r="FT72" s="1370"/>
      <c r="FU72" s="1370"/>
      <c r="FV72" s="1370"/>
      <c r="FW72" s="1370"/>
      <c r="FX72" s="1370"/>
      <c r="FY72" s="1370"/>
      <c r="FZ72" s="1370"/>
      <c r="GA72" s="1370"/>
      <c r="GB72" s="1370"/>
      <c r="GC72" s="1370"/>
      <c r="GD72" s="1370"/>
      <c r="GE72" s="1370"/>
      <c r="GF72" s="1370"/>
      <c r="GG72" s="1370"/>
      <c r="GH72" s="1370"/>
      <c r="GI72" s="1370"/>
      <c r="GJ72" s="1370"/>
      <c r="GK72" s="1370"/>
      <c r="GL72" s="1370"/>
      <c r="GM72" s="1370"/>
      <c r="GN72" s="1370"/>
      <c r="GO72" s="1370"/>
      <c r="GP72" s="1370"/>
      <c r="GQ72" s="1370"/>
      <c r="GR72" s="1370"/>
      <c r="GS72" s="1370"/>
      <c r="GT72" s="1370"/>
      <c r="GU72" s="1370"/>
      <c r="GV72" s="1370"/>
      <c r="GW72" s="1370"/>
      <c r="GX72" s="1370"/>
      <c r="GY72" s="1370"/>
      <c r="GZ72" s="1370"/>
      <c r="HA72" s="1370"/>
      <c r="HB72" s="1370"/>
      <c r="HC72" s="1370"/>
      <c r="HD72" s="1370"/>
      <c r="HE72" s="1370"/>
      <c r="HF72" s="1370"/>
      <c r="HG72" s="1370"/>
      <c r="HH72" s="1370"/>
      <c r="HI72" s="1370"/>
      <c r="HJ72" s="1370"/>
      <c r="HK72" s="1370"/>
      <c r="HL72" s="1370"/>
      <c r="HM72" s="1370"/>
      <c r="HN72" s="1370"/>
      <c r="HO72" s="1370"/>
      <c r="HP72" s="1370"/>
      <c r="HQ72" s="1370"/>
    </row>
    <row r="73" spans="1:225" ht="13.2" hidden="1" customHeight="1" outlineLevel="1" x14ac:dyDescent="0.25">
      <c r="A73" s="5844" t="s">
        <v>1833</v>
      </c>
      <c r="B73" s="1401" t="s">
        <v>1834</v>
      </c>
      <c r="C73" s="1349" t="s">
        <v>1746</v>
      </c>
      <c r="D73" s="1344"/>
      <c r="E73" s="3619"/>
      <c r="F73" s="3617"/>
      <c r="G73" s="3631"/>
      <c r="H73" s="3623">
        <f>J73+L73+N73+P73+R73+T73+V73</f>
        <v>0</v>
      </c>
      <c r="I73" s="1343">
        <f>K73+M73+O73+Q73+S73+U73+W73</f>
        <v>0</v>
      </c>
      <c r="J73" s="1344"/>
      <c r="K73" s="1343"/>
      <c r="L73" s="1344"/>
      <c r="M73" s="1343"/>
      <c r="N73" s="1344"/>
      <c r="O73" s="1343"/>
      <c r="P73" s="1344"/>
      <c r="Q73" s="1343"/>
      <c r="R73" s="1344"/>
      <c r="S73" s="1343"/>
      <c r="T73" s="1344"/>
      <c r="U73" s="1343"/>
      <c r="V73" s="1344"/>
      <c r="W73" s="1346"/>
      <c r="X73" s="1370"/>
      <c r="Y73" s="1370"/>
      <c r="Z73" s="1370"/>
      <c r="AA73" s="1370"/>
      <c r="AB73" s="1370"/>
      <c r="AC73" s="1370"/>
      <c r="AD73" s="1370"/>
      <c r="AE73" s="1370"/>
      <c r="AF73" s="1370"/>
      <c r="AG73" s="1370"/>
      <c r="AH73" s="1370"/>
      <c r="AI73" s="1370"/>
      <c r="AJ73" s="1370"/>
      <c r="AK73" s="1370"/>
      <c r="AL73" s="1370"/>
      <c r="AM73" s="1370"/>
      <c r="AN73" s="1370"/>
      <c r="AO73" s="1370"/>
      <c r="AP73" s="1370"/>
      <c r="AQ73" s="1370"/>
      <c r="AR73" s="1370"/>
      <c r="AS73" s="1370"/>
      <c r="AT73" s="1370"/>
      <c r="AU73" s="1370"/>
      <c r="AV73" s="1370"/>
      <c r="AW73" s="1370"/>
      <c r="AX73" s="1370"/>
      <c r="AY73" s="1370"/>
      <c r="AZ73" s="1370"/>
      <c r="BA73" s="1370"/>
      <c r="BB73" s="1370"/>
      <c r="BC73" s="1370"/>
      <c r="BD73" s="1370"/>
      <c r="BE73" s="1370"/>
      <c r="BF73" s="1370"/>
      <c r="BG73" s="1370"/>
      <c r="BH73" s="1370"/>
      <c r="BI73" s="1370"/>
      <c r="BJ73" s="1370"/>
      <c r="BK73" s="1370"/>
      <c r="BL73" s="1370"/>
      <c r="BM73" s="1370"/>
      <c r="BN73" s="1370"/>
      <c r="BO73" s="1370"/>
      <c r="BP73" s="1370"/>
      <c r="BQ73" s="1370"/>
      <c r="BR73" s="1370"/>
      <c r="BS73" s="1370"/>
      <c r="BT73" s="1370"/>
      <c r="BU73" s="1370"/>
      <c r="BV73" s="1370"/>
      <c r="BW73" s="1370"/>
      <c r="BX73" s="1370"/>
      <c r="BY73" s="1370"/>
      <c r="BZ73" s="1370"/>
      <c r="CA73" s="1370"/>
      <c r="CB73" s="1370"/>
      <c r="CC73" s="1370"/>
      <c r="CD73" s="1370"/>
      <c r="CE73" s="1370"/>
      <c r="CF73" s="1370"/>
      <c r="CG73" s="1370"/>
      <c r="CH73" s="1370"/>
      <c r="CI73" s="1370"/>
      <c r="CJ73" s="1370"/>
      <c r="CK73" s="1370"/>
      <c r="CL73" s="1370"/>
      <c r="CM73" s="1370"/>
      <c r="CN73" s="1370"/>
      <c r="CO73" s="1370"/>
      <c r="CP73" s="1370"/>
      <c r="CQ73" s="1370"/>
      <c r="CR73" s="1370"/>
      <c r="CS73" s="1370"/>
      <c r="CT73" s="1370"/>
      <c r="CU73" s="1370"/>
      <c r="CV73" s="1370"/>
      <c r="CW73" s="1370"/>
      <c r="CX73" s="1370"/>
      <c r="CY73" s="1370"/>
      <c r="CZ73" s="1370"/>
      <c r="DA73" s="1370"/>
      <c r="DB73" s="1370"/>
      <c r="DC73" s="1370"/>
      <c r="DD73" s="1370"/>
      <c r="DE73" s="1370"/>
      <c r="DF73" s="1370"/>
      <c r="DG73" s="1370"/>
      <c r="DH73" s="1370"/>
      <c r="DI73" s="1370"/>
      <c r="DJ73" s="1370"/>
      <c r="DK73" s="1370"/>
      <c r="DL73" s="1370"/>
      <c r="DM73" s="1370"/>
      <c r="DN73" s="1370"/>
      <c r="DO73" s="1370"/>
      <c r="DP73" s="1370"/>
      <c r="DQ73" s="1370"/>
      <c r="DR73" s="1370"/>
      <c r="DS73" s="1370"/>
      <c r="DT73" s="1370"/>
      <c r="DU73" s="1370"/>
      <c r="DV73" s="1370"/>
      <c r="DW73" s="1370"/>
      <c r="DX73" s="1370"/>
      <c r="DY73" s="1370"/>
      <c r="DZ73" s="1370"/>
      <c r="EA73" s="1370"/>
      <c r="EB73" s="1370"/>
      <c r="EC73" s="1370"/>
      <c r="ED73" s="1370"/>
      <c r="EE73" s="1370"/>
      <c r="EF73" s="1370"/>
      <c r="EG73" s="1370"/>
      <c r="EH73" s="1370"/>
      <c r="EI73" s="1370"/>
      <c r="EJ73" s="1370"/>
      <c r="EK73" s="1370"/>
      <c r="EL73" s="1370"/>
      <c r="EM73" s="1370"/>
      <c r="EN73" s="1370"/>
      <c r="EO73" s="1370"/>
      <c r="EP73" s="1370"/>
      <c r="EQ73" s="1370"/>
      <c r="ER73" s="1370"/>
      <c r="ES73" s="1370"/>
      <c r="ET73" s="1370"/>
      <c r="EU73" s="1370"/>
      <c r="EV73" s="1370"/>
      <c r="EW73" s="1370"/>
      <c r="EX73" s="1370"/>
      <c r="EY73" s="1370"/>
      <c r="EZ73" s="1370"/>
      <c r="FA73" s="1370"/>
      <c r="FB73" s="1370"/>
      <c r="FC73" s="1370"/>
      <c r="FD73" s="1370"/>
      <c r="FE73" s="1370"/>
      <c r="FF73" s="1370"/>
      <c r="FG73" s="1370"/>
      <c r="FH73" s="1370"/>
      <c r="FI73" s="1370"/>
      <c r="FJ73" s="1370"/>
      <c r="FK73" s="1370"/>
      <c r="FL73" s="1370"/>
      <c r="FM73" s="1370"/>
      <c r="FN73" s="1370"/>
      <c r="FO73" s="1370"/>
      <c r="FP73" s="1370"/>
      <c r="FQ73" s="1370"/>
      <c r="FR73" s="1370"/>
      <c r="FS73" s="1370"/>
      <c r="FT73" s="1370"/>
      <c r="FU73" s="1370"/>
      <c r="FV73" s="1370"/>
      <c r="FW73" s="1370"/>
      <c r="FX73" s="1370"/>
      <c r="FY73" s="1370"/>
      <c r="FZ73" s="1370"/>
      <c r="GA73" s="1370"/>
      <c r="GB73" s="1370"/>
      <c r="GC73" s="1370"/>
      <c r="GD73" s="1370"/>
      <c r="GE73" s="1370"/>
      <c r="GF73" s="1370"/>
      <c r="GG73" s="1370"/>
      <c r="GH73" s="1370"/>
      <c r="GI73" s="1370"/>
      <c r="GJ73" s="1370"/>
      <c r="GK73" s="1370"/>
      <c r="GL73" s="1370"/>
      <c r="GM73" s="1370"/>
      <c r="GN73" s="1370"/>
      <c r="GO73" s="1370"/>
      <c r="GP73" s="1370"/>
      <c r="GQ73" s="1370"/>
      <c r="GR73" s="1370"/>
      <c r="GS73" s="1370"/>
      <c r="GT73" s="1370"/>
      <c r="GU73" s="1370"/>
      <c r="GV73" s="1370"/>
      <c r="GW73" s="1370"/>
      <c r="GX73" s="1370"/>
      <c r="GY73" s="1370"/>
      <c r="GZ73" s="1370"/>
      <c r="HA73" s="1370"/>
      <c r="HB73" s="1370"/>
      <c r="HC73" s="1370"/>
      <c r="HD73" s="1370"/>
      <c r="HE73" s="1370"/>
      <c r="HF73" s="1370"/>
      <c r="HG73" s="1370"/>
      <c r="HH73" s="1370"/>
      <c r="HI73" s="1370"/>
      <c r="HJ73" s="1370"/>
      <c r="HK73" s="1370"/>
      <c r="HL73" s="1370"/>
      <c r="HM73" s="1370"/>
      <c r="HN73" s="1370"/>
      <c r="HO73" s="1370"/>
      <c r="HP73" s="1370"/>
      <c r="HQ73" s="1370"/>
    </row>
    <row r="74" spans="1:225" ht="24" hidden="1" customHeight="1" outlineLevel="1" x14ac:dyDescent="0.25">
      <c r="A74" s="5845"/>
      <c r="B74" s="1401" t="s">
        <v>1835</v>
      </c>
      <c r="C74" s="1349" t="s">
        <v>1777</v>
      </c>
      <c r="D74" s="1344"/>
      <c r="E74" s="3619"/>
      <c r="F74" s="3617"/>
      <c r="G74" s="3631"/>
      <c r="H74" s="3623">
        <f>IF(H73=0,,H75/1000/H73)</f>
        <v>0</v>
      </c>
      <c r="I74" s="1343">
        <f>IF(I73=0,,I75/1000/I73)</f>
        <v>0</v>
      </c>
      <c r="J74" s="1344"/>
      <c r="K74" s="1343"/>
      <c r="L74" s="1344"/>
      <c r="M74" s="1343"/>
      <c r="N74" s="1344"/>
      <c r="O74" s="1343"/>
      <c r="P74" s="1344"/>
      <c r="Q74" s="1343"/>
      <c r="R74" s="1344"/>
      <c r="S74" s="1343"/>
      <c r="T74" s="1344"/>
      <c r="U74" s="1343"/>
      <c r="V74" s="1344"/>
      <c r="W74" s="1346"/>
      <c r="X74" s="1370"/>
      <c r="Y74" s="1370"/>
      <c r="Z74" s="1370"/>
      <c r="AA74" s="1370"/>
      <c r="AB74" s="1370"/>
      <c r="AC74" s="1370"/>
      <c r="AD74" s="1370"/>
      <c r="AE74" s="1370"/>
      <c r="AF74" s="1370"/>
      <c r="AG74" s="1370"/>
      <c r="AH74" s="1370"/>
      <c r="AI74" s="1370"/>
      <c r="AJ74" s="1370"/>
      <c r="AK74" s="1370"/>
      <c r="AL74" s="1370"/>
      <c r="AM74" s="1370"/>
      <c r="AN74" s="1370"/>
      <c r="AO74" s="1370"/>
      <c r="AP74" s="1370"/>
      <c r="AQ74" s="1370"/>
      <c r="AR74" s="1370"/>
      <c r="AS74" s="1370"/>
      <c r="AT74" s="1370"/>
      <c r="AU74" s="1370"/>
      <c r="AV74" s="1370"/>
      <c r="AW74" s="1370"/>
      <c r="AX74" s="1370"/>
      <c r="AY74" s="1370"/>
      <c r="AZ74" s="1370"/>
      <c r="BA74" s="1370"/>
      <c r="BB74" s="1370"/>
      <c r="BC74" s="1370"/>
      <c r="BD74" s="1370"/>
      <c r="BE74" s="1370"/>
      <c r="BF74" s="1370"/>
      <c r="BG74" s="1370"/>
      <c r="BH74" s="1370"/>
      <c r="BI74" s="1370"/>
      <c r="BJ74" s="1370"/>
      <c r="BK74" s="1370"/>
      <c r="BL74" s="1370"/>
      <c r="BM74" s="1370"/>
      <c r="BN74" s="1370"/>
      <c r="BO74" s="1370"/>
      <c r="BP74" s="1370"/>
      <c r="BQ74" s="1370"/>
      <c r="BR74" s="1370"/>
      <c r="BS74" s="1370"/>
      <c r="BT74" s="1370"/>
      <c r="BU74" s="1370"/>
      <c r="BV74" s="1370"/>
      <c r="BW74" s="1370"/>
      <c r="BX74" s="1370"/>
      <c r="BY74" s="1370"/>
      <c r="BZ74" s="1370"/>
      <c r="CA74" s="1370"/>
      <c r="CB74" s="1370"/>
      <c r="CC74" s="1370"/>
      <c r="CD74" s="1370"/>
      <c r="CE74" s="1370"/>
      <c r="CF74" s="1370"/>
      <c r="CG74" s="1370"/>
      <c r="CH74" s="1370"/>
      <c r="CI74" s="1370"/>
      <c r="CJ74" s="1370"/>
      <c r="CK74" s="1370"/>
      <c r="CL74" s="1370"/>
      <c r="CM74" s="1370"/>
      <c r="CN74" s="1370"/>
      <c r="CO74" s="1370"/>
      <c r="CP74" s="1370"/>
      <c r="CQ74" s="1370"/>
      <c r="CR74" s="1370"/>
      <c r="CS74" s="1370"/>
      <c r="CT74" s="1370"/>
      <c r="CU74" s="1370"/>
      <c r="CV74" s="1370"/>
      <c r="CW74" s="1370"/>
      <c r="CX74" s="1370"/>
      <c r="CY74" s="1370"/>
      <c r="CZ74" s="1370"/>
      <c r="DA74" s="1370"/>
      <c r="DB74" s="1370"/>
      <c r="DC74" s="1370"/>
      <c r="DD74" s="1370"/>
      <c r="DE74" s="1370"/>
      <c r="DF74" s="1370"/>
      <c r="DG74" s="1370"/>
      <c r="DH74" s="1370"/>
      <c r="DI74" s="1370"/>
      <c r="DJ74" s="1370"/>
      <c r="DK74" s="1370"/>
      <c r="DL74" s="1370"/>
      <c r="DM74" s="1370"/>
      <c r="DN74" s="1370"/>
      <c r="DO74" s="1370"/>
      <c r="DP74" s="1370"/>
      <c r="DQ74" s="1370"/>
      <c r="DR74" s="1370"/>
      <c r="DS74" s="1370"/>
      <c r="DT74" s="1370"/>
      <c r="DU74" s="1370"/>
      <c r="DV74" s="1370"/>
      <c r="DW74" s="1370"/>
      <c r="DX74" s="1370"/>
      <c r="DY74" s="1370"/>
      <c r="DZ74" s="1370"/>
      <c r="EA74" s="1370"/>
      <c r="EB74" s="1370"/>
      <c r="EC74" s="1370"/>
      <c r="ED74" s="1370"/>
      <c r="EE74" s="1370"/>
      <c r="EF74" s="1370"/>
      <c r="EG74" s="1370"/>
      <c r="EH74" s="1370"/>
      <c r="EI74" s="1370"/>
      <c r="EJ74" s="1370"/>
      <c r="EK74" s="1370"/>
      <c r="EL74" s="1370"/>
      <c r="EM74" s="1370"/>
      <c r="EN74" s="1370"/>
      <c r="EO74" s="1370"/>
      <c r="EP74" s="1370"/>
      <c r="EQ74" s="1370"/>
      <c r="ER74" s="1370"/>
      <c r="ES74" s="1370"/>
      <c r="ET74" s="1370"/>
      <c r="EU74" s="1370"/>
      <c r="EV74" s="1370"/>
      <c r="EW74" s="1370"/>
      <c r="EX74" s="1370"/>
      <c r="EY74" s="1370"/>
      <c r="EZ74" s="1370"/>
      <c r="FA74" s="1370"/>
      <c r="FB74" s="1370"/>
      <c r="FC74" s="1370"/>
      <c r="FD74" s="1370"/>
      <c r="FE74" s="1370"/>
      <c r="FF74" s="1370"/>
      <c r="FG74" s="1370"/>
      <c r="FH74" s="1370"/>
      <c r="FI74" s="1370"/>
      <c r="FJ74" s="1370"/>
      <c r="FK74" s="1370"/>
      <c r="FL74" s="1370"/>
      <c r="FM74" s="1370"/>
      <c r="FN74" s="1370"/>
      <c r="FO74" s="1370"/>
      <c r="FP74" s="1370"/>
      <c r="FQ74" s="1370"/>
      <c r="FR74" s="1370"/>
      <c r="FS74" s="1370"/>
      <c r="FT74" s="1370"/>
      <c r="FU74" s="1370"/>
      <c r="FV74" s="1370"/>
      <c r="FW74" s="1370"/>
      <c r="FX74" s="1370"/>
      <c r="FY74" s="1370"/>
      <c r="FZ74" s="1370"/>
      <c r="GA74" s="1370"/>
      <c r="GB74" s="1370"/>
      <c r="GC74" s="1370"/>
      <c r="GD74" s="1370"/>
      <c r="GE74" s="1370"/>
      <c r="GF74" s="1370"/>
      <c r="GG74" s="1370"/>
      <c r="GH74" s="1370"/>
      <c r="GI74" s="1370"/>
      <c r="GJ74" s="1370"/>
      <c r="GK74" s="1370"/>
      <c r="GL74" s="1370"/>
      <c r="GM74" s="1370"/>
      <c r="GN74" s="1370"/>
      <c r="GO74" s="1370"/>
      <c r="GP74" s="1370"/>
      <c r="GQ74" s="1370"/>
      <c r="GR74" s="1370"/>
      <c r="GS74" s="1370"/>
      <c r="GT74" s="1370"/>
      <c r="GU74" s="1370"/>
      <c r="GV74" s="1370"/>
      <c r="GW74" s="1370"/>
      <c r="GX74" s="1370"/>
      <c r="GY74" s="1370"/>
      <c r="GZ74" s="1370"/>
      <c r="HA74" s="1370"/>
      <c r="HB74" s="1370"/>
      <c r="HC74" s="1370"/>
      <c r="HD74" s="1370"/>
      <c r="HE74" s="1370"/>
      <c r="HF74" s="1370"/>
      <c r="HG74" s="1370"/>
      <c r="HH74" s="1370"/>
      <c r="HI74" s="1370"/>
      <c r="HJ74" s="1370"/>
      <c r="HK74" s="1370"/>
      <c r="HL74" s="1370"/>
      <c r="HM74" s="1370"/>
      <c r="HN74" s="1370"/>
      <c r="HO74" s="1370"/>
      <c r="HP74" s="1370"/>
      <c r="HQ74" s="1370"/>
    </row>
    <row r="75" spans="1:225" ht="24" hidden="1" customHeight="1" outlineLevel="1" x14ac:dyDescent="0.25">
      <c r="A75" s="5846"/>
      <c r="B75" s="1404" t="s">
        <v>1836</v>
      </c>
      <c r="C75" s="1350" t="s">
        <v>1780</v>
      </c>
      <c r="D75" s="1344"/>
      <c r="E75" s="3619"/>
      <c r="F75" s="3617"/>
      <c r="G75" s="3631"/>
      <c r="H75" s="3623">
        <f>J75+L75+N75+P75+R75+T75+V75</f>
        <v>0</v>
      </c>
      <c r="I75" s="1343">
        <f>K75+M75+O75+Q75+S75+U75+W75</f>
        <v>0</v>
      </c>
      <c r="J75" s="1344">
        <f>J73*J74/1000</f>
        <v>0</v>
      </c>
      <c r="K75" s="1343">
        <f t="shared" ref="K75:W75" si="22">K73*K74/1000</f>
        <v>0</v>
      </c>
      <c r="L75" s="1344">
        <f t="shared" si="22"/>
        <v>0</v>
      </c>
      <c r="M75" s="1343">
        <f t="shared" si="22"/>
        <v>0</v>
      </c>
      <c r="N75" s="1344">
        <f t="shared" si="22"/>
        <v>0</v>
      </c>
      <c r="O75" s="1343">
        <f t="shared" si="22"/>
        <v>0</v>
      </c>
      <c r="P75" s="1344">
        <f t="shared" si="22"/>
        <v>0</v>
      </c>
      <c r="Q75" s="1343">
        <f t="shared" si="22"/>
        <v>0</v>
      </c>
      <c r="R75" s="1344">
        <f t="shared" si="22"/>
        <v>0</v>
      </c>
      <c r="S75" s="1343">
        <f t="shared" si="22"/>
        <v>0</v>
      </c>
      <c r="T75" s="1344">
        <f t="shared" si="22"/>
        <v>0</v>
      </c>
      <c r="U75" s="1343">
        <f t="shared" si="22"/>
        <v>0</v>
      </c>
      <c r="V75" s="1344">
        <f t="shared" si="22"/>
        <v>0</v>
      </c>
      <c r="W75" s="1343">
        <f t="shared" si="22"/>
        <v>0</v>
      </c>
      <c r="X75" s="1370"/>
      <c r="Y75" s="1370"/>
      <c r="Z75" s="1370"/>
      <c r="AA75" s="1370"/>
      <c r="AB75" s="1370"/>
      <c r="AC75" s="1370"/>
      <c r="AD75" s="1370"/>
      <c r="AE75" s="1370"/>
      <c r="AF75" s="1370"/>
      <c r="AG75" s="1370"/>
      <c r="AH75" s="1370"/>
      <c r="AI75" s="1370"/>
      <c r="AJ75" s="1370"/>
      <c r="AK75" s="1370"/>
      <c r="AL75" s="1370"/>
      <c r="AM75" s="1370"/>
      <c r="AN75" s="1370"/>
      <c r="AO75" s="1370"/>
      <c r="AP75" s="1370"/>
      <c r="AQ75" s="1370"/>
      <c r="AR75" s="1370"/>
      <c r="AS75" s="1370"/>
      <c r="AT75" s="1370"/>
      <c r="AU75" s="1370"/>
      <c r="AV75" s="1370"/>
      <c r="AW75" s="1370"/>
      <c r="AX75" s="1370"/>
      <c r="AY75" s="1370"/>
      <c r="AZ75" s="1370"/>
      <c r="BA75" s="1370"/>
      <c r="BB75" s="1370"/>
      <c r="BC75" s="1370"/>
      <c r="BD75" s="1370"/>
      <c r="BE75" s="1370"/>
      <c r="BF75" s="1370"/>
      <c r="BG75" s="1370"/>
      <c r="BH75" s="1370"/>
      <c r="BI75" s="1370"/>
      <c r="BJ75" s="1370"/>
      <c r="BK75" s="1370"/>
      <c r="BL75" s="1370"/>
      <c r="BM75" s="1370"/>
      <c r="BN75" s="1370"/>
      <c r="BO75" s="1370"/>
      <c r="BP75" s="1370"/>
      <c r="BQ75" s="1370"/>
      <c r="BR75" s="1370"/>
      <c r="BS75" s="1370"/>
      <c r="BT75" s="1370"/>
      <c r="BU75" s="1370"/>
      <c r="BV75" s="1370"/>
      <c r="BW75" s="1370"/>
      <c r="BX75" s="1370"/>
      <c r="BY75" s="1370"/>
      <c r="BZ75" s="1370"/>
      <c r="CA75" s="1370"/>
      <c r="CB75" s="1370"/>
      <c r="CC75" s="1370"/>
      <c r="CD75" s="1370"/>
      <c r="CE75" s="1370"/>
      <c r="CF75" s="1370"/>
      <c r="CG75" s="1370"/>
      <c r="CH75" s="1370"/>
      <c r="CI75" s="1370"/>
      <c r="CJ75" s="1370"/>
      <c r="CK75" s="1370"/>
      <c r="CL75" s="1370"/>
      <c r="CM75" s="1370"/>
      <c r="CN75" s="1370"/>
      <c r="CO75" s="1370"/>
      <c r="CP75" s="1370"/>
      <c r="CQ75" s="1370"/>
      <c r="CR75" s="1370"/>
      <c r="CS75" s="1370"/>
      <c r="CT75" s="1370"/>
      <c r="CU75" s="1370"/>
      <c r="CV75" s="1370"/>
      <c r="CW75" s="1370"/>
      <c r="CX75" s="1370"/>
      <c r="CY75" s="1370"/>
      <c r="CZ75" s="1370"/>
      <c r="DA75" s="1370"/>
      <c r="DB75" s="1370"/>
      <c r="DC75" s="1370"/>
      <c r="DD75" s="1370"/>
      <c r="DE75" s="1370"/>
      <c r="DF75" s="1370"/>
      <c r="DG75" s="1370"/>
      <c r="DH75" s="1370"/>
      <c r="DI75" s="1370"/>
      <c r="DJ75" s="1370"/>
      <c r="DK75" s="1370"/>
      <c r="DL75" s="1370"/>
      <c r="DM75" s="1370"/>
      <c r="DN75" s="1370"/>
      <c r="DO75" s="1370"/>
      <c r="DP75" s="1370"/>
      <c r="DQ75" s="1370"/>
      <c r="DR75" s="1370"/>
      <c r="DS75" s="1370"/>
      <c r="DT75" s="1370"/>
      <c r="DU75" s="1370"/>
      <c r="DV75" s="1370"/>
      <c r="DW75" s="1370"/>
      <c r="DX75" s="1370"/>
      <c r="DY75" s="1370"/>
      <c r="DZ75" s="1370"/>
      <c r="EA75" s="1370"/>
      <c r="EB75" s="1370"/>
      <c r="EC75" s="1370"/>
      <c r="ED75" s="1370"/>
      <c r="EE75" s="1370"/>
      <c r="EF75" s="1370"/>
      <c r="EG75" s="1370"/>
      <c r="EH75" s="1370"/>
      <c r="EI75" s="1370"/>
      <c r="EJ75" s="1370"/>
      <c r="EK75" s="1370"/>
      <c r="EL75" s="1370"/>
      <c r="EM75" s="1370"/>
      <c r="EN75" s="1370"/>
      <c r="EO75" s="1370"/>
      <c r="EP75" s="1370"/>
      <c r="EQ75" s="1370"/>
      <c r="ER75" s="1370"/>
      <c r="ES75" s="1370"/>
      <c r="ET75" s="1370"/>
      <c r="EU75" s="1370"/>
      <c r="EV75" s="1370"/>
      <c r="EW75" s="1370"/>
      <c r="EX75" s="1370"/>
      <c r="EY75" s="1370"/>
      <c r="EZ75" s="1370"/>
      <c r="FA75" s="1370"/>
      <c r="FB75" s="1370"/>
      <c r="FC75" s="1370"/>
      <c r="FD75" s="1370"/>
      <c r="FE75" s="1370"/>
      <c r="FF75" s="1370"/>
      <c r="FG75" s="1370"/>
      <c r="FH75" s="1370"/>
      <c r="FI75" s="1370"/>
      <c r="FJ75" s="1370"/>
      <c r="FK75" s="1370"/>
      <c r="FL75" s="1370"/>
      <c r="FM75" s="1370"/>
      <c r="FN75" s="1370"/>
      <c r="FO75" s="1370"/>
      <c r="FP75" s="1370"/>
      <c r="FQ75" s="1370"/>
      <c r="FR75" s="1370"/>
      <c r="FS75" s="1370"/>
      <c r="FT75" s="1370"/>
      <c r="FU75" s="1370"/>
      <c r="FV75" s="1370"/>
      <c r="FW75" s="1370"/>
      <c r="FX75" s="1370"/>
      <c r="FY75" s="1370"/>
      <c r="FZ75" s="1370"/>
      <c r="GA75" s="1370"/>
      <c r="GB75" s="1370"/>
      <c r="GC75" s="1370"/>
      <c r="GD75" s="1370"/>
      <c r="GE75" s="1370"/>
      <c r="GF75" s="1370"/>
      <c r="GG75" s="1370"/>
      <c r="GH75" s="1370"/>
      <c r="GI75" s="1370"/>
      <c r="GJ75" s="1370"/>
      <c r="GK75" s="1370"/>
      <c r="GL75" s="1370"/>
      <c r="GM75" s="1370"/>
      <c r="GN75" s="1370"/>
      <c r="GO75" s="1370"/>
      <c r="GP75" s="1370"/>
      <c r="GQ75" s="1370"/>
      <c r="GR75" s="1370"/>
      <c r="GS75" s="1370"/>
      <c r="GT75" s="1370"/>
      <c r="GU75" s="1370"/>
      <c r="GV75" s="1370"/>
      <c r="GW75" s="1370"/>
      <c r="GX75" s="1370"/>
      <c r="GY75" s="1370"/>
      <c r="GZ75" s="1370"/>
      <c r="HA75" s="1370"/>
      <c r="HB75" s="1370"/>
      <c r="HC75" s="1370"/>
      <c r="HD75" s="1370"/>
      <c r="HE75" s="1370"/>
      <c r="HF75" s="1370"/>
      <c r="HG75" s="1370"/>
      <c r="HH75" s="1370"/>
      <c r="HI75" s="1370"/>
      <c r="HJ75" s="1370"/>
      <c r="HK75" s="1370"/>
      <c r="HL75" s="1370"/>
      <c r="HM75" s="1370"/>
      <c r="HN75" s="1370"/>
      <c r="HO75" s="1370"/>
      <c r="HP75" s="1370"/>
      <c r="HQ75" s="1370"/>
    </row>
    <row r="76" spans="1:225" ht="13.2" hidden="1" customHeight="1" outlineLevel="1" x14ac:dyDescent="0.25">
      <c r="A76" s="5844" t="s">
        <v>1837</v>
      </c>
      <c r="B76" s="1401" t="s">
        <v>1838</v>
      </c>
      <c r="C76" s="1349" t="s">
        <v>1746</v>
      </c>
      <c r="D76" s="1344"/>
      <c r="E76" s="3619"/>
      <c r="F76" s="3617"/>
      <c r="G76" s="3631"/>
      <c r="H76" s="3623">
        <f>J76+L76+N76+P76+R76+T76+V76</f>
        <v>0</v>
      </c>
      <c r="I76" s="1343">
        <f>K76+M76+O76+Q76+S76+U76+W76</f>
        <v>0</v>
      </c>
      <c r="J76" s="1344"/>
      <c r="K76" s="1343"/>
      <c r="L76" s="1344"/>
      <c r="M76" s="1343"/>
      <c r="N76" s="1344"/>
      <c r="O76" s="1343"/>
      <c r="P76" s="1344"/>
      <c r="Q76" s="1343"/>
      <c r="R76" s="1344"/>
      <c r="S76" s="1343"/>
      <c r="T76" s="1344"/>
      <c r="U76" s="1343"/>
      <c r="V76" s="1344"/>
      <c r="W76" s="1346"/>
      <c r="X76" s="1370"/>
      <c r="Y76" s="1370"/>
      <c r="Z76" s="1370"/>
      <c r="AA76" s="1370"/>
      <c r="AB76" s="1370"/>
      <c r="AC76" s="1370"/>
      <c r="AD76" s="1370"/>
      <c r="AE76" s="1370"/>
      <c r="AF76" s="1370"/>
      <c r="AG76" s="1370"/>
      <c r="AH76" s="1370"/>
      <c r="AI76" s="1370"/>
      <c r="AJ76" s="1370"/>
      <c r="AK76" s="1370"/>
      <c r="AL76" s="1370"/>
      <c r="AM76" s="1370"/>
      <c r="AN76" s="1370"/>
      <c r="AO76" s="1370"/>
      <c r="AP76" s="1370"/>
      <c r="AQ76" s="1370"/>
      <c r="AR76" s="1370"/>
      <c r="AS76" s="1370"/>
      <c r="AT76" s="1370"/>
      <c r="AU76" s="1370"/>
      <c r="AV76" s="1370"/>
      <c r="AW76" s="1370"/>
      <c r="AX76" s="1370"/>
      <c r="AY76" s="1370"/>
      <c r="AZ76" s="1370"/>
      <c r="BA76" s="1370"/>
      <c r="BB76" s="1370"/>
      <c r="BC76" s="1370"/>
      <c r="BD76" s="1370"/>
      <c r="BE76" s="1370"/>
      <c r="BF76" s="1370"/>
      <c r="BG76" s="1370"/>
      <c r="BH76" s="1370"/>
      <c r="BI76" s="1370"/>
      <c r="BJ76" s="1370"/>
      <c r="BK76" s="1370"/>
      <c r="BL76" s="1370"/>
      <c r="BM76" s="1370"/>
      <c r="BN76" s="1370"/>
      <c r="BO76" s="1370"/>
      <c r="BP76" s="1370"/>
      <c r="BQ76" s="1370"/>
      <c r="BR76" s="1370"/>
      <c r="BS76" s="1370"/>
      <c r="BT76" s="1370"/>
      <c r="BU76" s="1370"/>
      <c r="BV76" s="1370"/>
      <c r="BW76" s="1370"/>
      <c r="BX76" s="1370"/>
      <c r="BY76" s="1370"/>
      <c r="BZ76" s="1370"/>
      <c r="CA76" s="1370"/>
      <c r="CB76" s="1370"/>
      <c r="CC76" s="1370"/>
      <c r="CD76" s="1370"/>
      <c r="CE76" s="1370"/>
      <c r="CF76" s="1370"/>
      <c r="CG76" s="1370"/>
      <c r="CH76" s="1370"/>
      <c r="CI76" s="1370"/>
      <c r="CJ76" s="1370"/>
      <c r="CK76" s="1370"/>
      <c r="CL76" s="1370"/>
      <c r="CM76" s="1370"/>
      <c r="CN76" s="1370"/>
      <c r="CO76" s="1370"/>
      <c r="CP76" s="1370"/>
      <c r="CQ76" s="1370"/>
      <c r="CR76" s="1370"/>
      <c r="CS76" s="1370"/>
      <c r="CT76" s="1370"/>
      <c r="CU76" s="1370"/>
      <c r="CV76" s="1370"/>
      <c r="CW76" s="1370"/>
      <c r="CX76" s="1370"/>
      <c r="CY76" s="1370"/>
      <c r="CZ76" s="1370"/>
      <c r="DA76" s="1370"/>
      <c r="DB76" s="1370"/>
      <c r="DC76" s="1370"/>
      <c r="DD76" s="1370"/>
      <c r="DE76" s="1370"/>
      <c r="DF76" s="1370"/>
      <c r="DG76" s="1370"/>
      <c r="DH76" s="1370"/>
      <c r="DI76" s="1370"/>
      <c r="DJ76" s="1370"/>
      <c r="DK76" s="1370"/>
      <c r="DL76" s="1370"/>
      <c r="DM76" s="1370"/>
      <c r="DN76" s="1370"/>
      <c r="DO76" s="1370"/>
      <c r="DP76" s="1370"/>
      <c r="DQ76" s="1370"/>
      <c r="DR76" s="1370"/>
      <c r="DS76" s="1370"/>
      <c r="DT76" s="1370"/>
      <c r="DU76" s="1370"/>
      <c r="DV76" s="1370"/>
      <c r="DW76" s="1370"/>
      <c r="DX76" s="1370"/>
      <c r="DY76" s="1370"/>
      <c r="DZ76" s="1370"/>
      <c r="EA76" s="1370"/>
      <c r="EB76" s="1370"/>
      <c r="EC76" s="1370"/>
      <c r="ED76" s="1370"/>
      <c r="EE76" s="1370"/>
      <c r="EF76" s="1370"/>
      <c r="EG76" s="1370"/>
      <c r="EH76" s="1370"/>
      <c r="EI76" s="1370"/>
      <c r="EJ76" s="1370"/>
      <c r="EK76" s="1370"/>
      <c r="EL76" s="1370"/>
      <c r="EM76" s="1370"/>
      <c r="EN76" s="1370"/>
      <c r="EO76" s="1370"/>
      <c r="EP76" s="1370"/>
      <c r="EQ76" s="1370"/>
      <c r="ER76" s="1370"/>
      <c r="ES76" s="1370"/>
      <c r="ET76" s="1370"/>
      <c r="EU76" s="1370"/>
      <c r="EV76" s="1370"/>
      <c r="EW76" s="1370"/>
      <c r="EX76" s="1370"/>
      <c r="EY76" s="1370"/>
      <c r="EZ76" s="1370"/>
      <c r="FA76" s="1370"/>
      <c r="FB76" s="1370"/>
      <c r="FC76" s="1370"/>
      <c r="FD76" s="1370"/>
      <c r="FE76" s="1370"/>
      <c r="FF76" s="1370"/>
      <c r="FG76" s="1370"/>
      <c r="FH76" s="1370"/>
      <c r="FI76" s="1370"/>
      <c r="FJ76" s="1370"/>
      <c r="FK76" s="1370"/>
      <c r="FL76" s="1370"/>
      <c r="FM76" s="1370"/>
      <c r="FN76" s="1370"/>
      <c r="FO76" s="1370"/>
      <c r="FP76" s="1370"/>
      <c r="FQ76" s="1370"/>
      <c r="FR76" s="1370"/>
      <c r="FS76" s="1370"/>
      <c r="FT76" s="1370"/>
      <c r="FU76" s="1370"/>
      <c r="FV76" s="1370"/>
      <c r="FW76" s="1370"/>
      <c r="FX76" s="1370"/>
      <c r="FY76" s="1370"/>
      <c r="FZ76" s="1370"/>
      <c r="GA76" s="1370"/>
      <c r="GB76" s="1370"/>
      <c r="GC76" s="1370"/>
      <c r="GD76" s="1370"/>
      <c r="GE76" s="1370"/>
      <c r="GF76" s="1370"/>
      <c r="GG76" s="1370"/>
      <c r="GH76" s="1370"/>
      <c r="GI76" s="1370"/>
      <c r="GJ76" s="1370"/>
      <c r="GK76" s="1370"/>
      <c r="GL76" s="1370"/>
      <c r="GM76" s="1370"/>
      <c r="GN76" s="1370"/>
      <c r="GO76" s="1370"/>
      <c r="GP76" s="1370"/>
      <c r="GQ76" s="1370"/>
      <c r="GR76" s="1370"/>
      <c r="GS76" s="1370"/>
      <c r="GT76" s="1370"/>
      <c r="GU76" s="1370"/>
      <c r="GV76" s="1370"/>
      <c r="GW76" s="1370"/>
      <c r="GX76" s="1370"/>
      <c r="GY76" s="1370"/>
      <c r="GZ76" s="1370"/>
      <c r="HA76" s="1370"/>
      <c r="HB76" s="1370"/>
      <c r="HC76" s="1370"/>
      <c r="HD76" s="1370"/>
      <c r="HE76" s="1370"/>
      <c r="HF76" s="1370"/>
      <c r="HG76" s="1370"/>
      <c r="HH76" s="1370"/>
      <c r="HI76" s="1370"/>
      <c r="HJ76" s="1370"/>
      <c r="HK76" s="1370"/>
      <c r="HL76" s="1370"/>
      <c r="HM76" s="1370"/>
      <c r="HN76" s="1370"/>
      <c r="HO76" s="1370"/>
      <c r="HP76" s="1370"/>
      <c r="HQ76" s="1370"/>
    </row>
    <row r="77" spans="1:225" ht="24" hidden="1" customHeight="1" outlineLevel="1" x14ac:dyDescent="0.25">
      <c r="A77" s="5845"/>
      <c r="B77" s="1401" t="s">
        <v>1839</v>
      </c>
      <c r="C77" s="1349" t="s">
        <v>1777</v>
      </c>
      <c r="D77" s="1344"/>
      <c r="E77" s="3619"/>
      <c r="F77" s="3617"/>
      <c r="G77" s="3631"/>
      <c r="H77" s="3623">
        <f>IF(H76=0,,H78/1000/H76)</f>
        <v>0</v>
      </c>
      <c r="I77" s="1343">
        <f>IF(I76=0,,I78/1000/I76)</f>
        <v>0</v>
      </c>
      <c r="J77" s="1344"/>
      <c r="K77" s="1343"/>
      <c r="L77" s="1344"/>
      <c r="M77" s="1343"/>
      <c r="N77" s="1344"/>
      <c r="O77" s="1343"/>
      <c r="P77" s="1344"/>
      <c r="Q77" s="1343"/>
      <c r="R77" s="1344"/>
      <c r="S77" s="1343"/>
      <c r="T77" s="1344"/>
      <c r="U77" s="1343"/>
      <c r="V77" s="1344"/>
      <c r="W77" s="1346"/>
      <c r="X77" s="1370"/>
      <c r="Y77" s="1370"/>
      <c r="Z77" s="1370"/>
      <c r="AA77" s="1370"/>
      <c r="AB77" s="1370"/>
      <c r="AC77" s="1370"/>
      <c r="AD77" s="1370"/>
      <c r="AE77" s="1370"/>
      <c r="AF77" s="1370"/>
      <c r="AG77" s="1370"/>
      <c r="AH77" s="1370"/>
      <c r="AI77" s="1370"/>
      <c r="AJ77" s="1370"/>
      <c r="AK77" s="1370"/>
      <c r="AL77" s="1370"/>
      <c r="AM77" s="1370"/>
      <c r="AN77" s="1370"/>
      <c r="AO77" s="1370"/>
      <c r="AP77" s="1370"/>
      <c r="AQ77" s="1370"/>
      <c r="AR77" s="1370"/>
      <c r="AS77" s="1370"/>
      <c r="AT77" s="1370"/>
      <c r="AU77" s="1370"/>
      <c r="AV77" s="1370"/>
      <c r="AW77" s="1370"/>
      <c r="AX77" s="1370"/>
      <c r="AY77" s="1370"/>
      <c r="AZ77" s="1370"/>
      <c r="BA77" s="1370"/>
      <c r="BB77" s="1370"/>
      <c r="BC77" s="1370"/>
      <c r="BD77" s="1370"/>
      <c r="BE77" s="1370"/>
      <c r="BF77" s="1370"/>
      <c r="BG77" s="1370"/>
      <c r="BH77" s="1370"/>
      <c r="BI77" s="1370"/>
      <c r="BJ77" s="1370"/>
      <c r="BK77" s="1370"/>
      <c r="BL77" s="1370"/>
      <c r="BM77" s="1370"/>
      <c r="BN77" s="1370"/>
      <c r="BO77" s="1370"/>
      <c r="BP77" s="1370"/>
      <c r="BQ77" s="1370"/>
      <c r="BR77" s="1370"/>
      <c r="BS77" s="1370"/>
      <c r="BT77" s="1370"/>
      <c r="BU77" s="1370"/>
      <c r="BV77" s="1370"/>
      <c r="BW77" s="1370"/>
      <c r="BX77" s="1370"/>
      <c r="BY77" s="1370"/>
      <c r="BZ77" s="1370"/>
      <c r="CA77" s="1370"/>
      <c r="CB77" s="1370"/>
      <c r="CC77" s="1370"/>
      <c r="CD77" s="1370"/>
      <c r="CE77" s="1370"/>
      <c r="CF77" s="1370"/>
      <c r="CG77" s="1370"/>
      <c r="CH77" s="1370"/>
      <c r="CI77" s="1370"/>
      <c r="CJ77" s="1370"/>
      <c r="CK77" s="1370"/>
      <c r="CL77" s="1370"/>
      <c r="CM77" s="1370"/>
      <c r="CN77" s="1370"/>
      <c r="CO77" s="1370"/>
      <c r="CP77" s="1370"/>
      <c r="CQ77" s="1370"/>
      <c r="CR77" s="1370"/>
      <c r="CS77" s="1370"/>
      <c r="CT77" s="1370"/>
      <c r="CU77" s="1370"/>
      <c r="CV77" s="1370"/>
      <c r="CW77" s="1370"/>
      <c r="CX77" s="1370"/>
      <c r="CY77" s="1370"/>
      <c r="CZ77" s="1370"/>
      <c r="DA77" s="1370"/>
      <c r="DB77" s="1370"/>
      <c r="DC77" s="1370"/>
      <c r="DD77" s="1370"/>
      <c r="DE77" s="1370"/>
      <c r="DF77" s="1370"/>
      <c r="DG77" s="1370"/>
      <c r="DH77" s="1370"/>
      <c r="DI77" s="1370"/>
      <c r="DJ77" s="1370"/>
      <c r="DK77" s="1370"/>
      <c r="DL77" s="1370"/>
      <c r="DM77" s="1370"/>
      <c r="DN77" s="1370"/>
      <c r="DO77" s="1370"/>
      <c r="DP77" s="1370"/>
      <c r="DQ77" s="1370"/>
      <c r="DR77" s="1370"/>
      <c r="DS77" s="1370"/>
      <c r="DT77" s="1370"/>
      <c r="DU77" s="1370"/>
      <c r="DV77" s="1370"/>
      <c r="DW77" s="1370"/>
      <c r="DX77" s="1370"/>
      <c r="DY77" s="1370"/>
      <c r="DZ77" s="1370"/>
      <c r="EA77" s="1370"/>
      <c r="EB77" s="1370"/>
      <c r="EC77" s="1370"/>
      <c r="ED77" s="1370"/>
      <c r="EE77" s="1370"/>
      <c r="EF77" s="1370"/>
      <c r="EG77" s="1370"/>
      <c r="EH77" s="1370"/>
      <c r="EI77" s="1370"/>
      <c r="EJ77" s="1370"/>
      <c r="EK77" s="1370"/>
      <c r="EL77" s="1370"/>
      <c r="EM77" s="1370"/>
      <c r="EN77" s="1370"/>
      <c r="EO77" s="1370"/>
      <c r="EP77" s="1370"/>
      <c r="EQ77" s="1370"/>
      <c r="ER77" s="1370"/>
      <c r="ES77" s="1370"/>
      <c r="ET77" s="1370"/>
      <c r="EU77" s="1370"/>
      <c r="EV77" s="1370"/>
      <c r="EW77" s="1370"/>
      <c r="EX77" s="1370"/>
      <c r="EY77" s="1370"/>
      <c r="EZ77" s="1370"/>
      <c r="FA77" s="1370"/>
      <c r="FB77" s="1370"/>
      <c r="FC77" s="1370"/>
      <c r="FD77" s="1370"/>
      <c r="FE77" s="1370"/>
      <c r="FF77" s="1370"/>
      <c r="FG77" s="1370"/>
      <c r="FH77" s="1370"/>
      <c r="FI77" s="1370"/>
      <c r="FJ77" s="1370"/>
      <c r="FK77" s="1370"/>
      <c r="FL77" s="1370"/>
      <c r="FM77" s="1370"/>
      <c r="FN77" s="1370"/>
      <c r="FO77" s="1370"/>
      <c r="FP77" s="1370"/>
      <c r="FQ77" s="1370"/>
      <c r="FR77" s="1370"/>
      <c r="FS77" s="1370"/>
      <c r="FT77" s="1370"/>
      <c r="FU77" s="1370"/>
      <c r="FV77" s="1370"/>
      <c r="FW77" s="1370"/>
      <c r="FX77" s="1370"/>
      <c r="FY77" s="1370"/>
      <c r="FZ77" s="1370"/>
      <c r="GA77" s="1370"/>
      <c r="GB77" s="1370"/>
      <c r="GC77" s="1370"/>
      <c r="GD77" s="1370"/>
      <c r="GE77" s="1370"/>
      <c r="GF77" s="1370"/>
      <c r="GG77" s="1370"/>
      <c r="GH77" s="1370"/>
      <c r="GI77" s="1370"/>
      <c r="GJ77" s="1370"/>
      <c r="GK77" s="1370"/>
      <c r="GL77" s="1370"/>
      <c r="GM77" s="1370"/>
      <c r="GN77" s="1370"/>
      <c r="GO77" s="1370"/>
      <c r="GP77" s="1370"/>
      <c r="GQ77" s="1370"/>
      <c r="GR77" s="1370"/>
      <c r="GS77" s="1370"/>
      <c r="GT77" s="1370"/>
      <c r="GU77" s="1370"/>
      <c r="GV77" s="1370"/>
      <c r="GW77" s="1370"/>
      <c r="GX77" s="1370"/>
      <c r="GY77" s="1370"/>
      <c r="GZ77" s="1370"/>
      <c r="HA77" s="1370"/>
      <c r="HB77" s="1370"/>
      <c r="HC77" s="1370"/>
      <c r="HD77" s="1370"/>
      <c r="HE77" s="1370"/>
      <c r="HF77" s="1370"/>
      <c r="HG77" s="1370"/>
      <c r="HH77" s="1370"/>
      <c r="HI77" s="1370"/>
      <c r="HJ77" s="1370"/>
      <c r="HK77" s="1370"/>
      <c r="HL77" s="1370"/>
      <c r="HM77" s="1370"/>
      <c r="HN77" s="1370"/>
      <c r="HO77" s="1370"/>
      <c r="HP77" s="1370"/>
      <c r="HQ77" s="1370"/>
    </row>
    <row r="78" spans="1:225" ht="24" hidden="1" customHeight="1" outlineLevel="1" x14ac:dyDescent="0.25">
      <c r="A78" s="5846"/>
      <c r="B78" s="1404" t="s">
        <v>1840</v>
      </c>
      <c r="C78" s="1350" t="s">
        <v>1780</v>
      </c>
      <c r="D78" s="1344"/>
      <c r="E78" s="3619"/>
      <c r="F78" s="3617"/>
      <c r="G78" s="3631"/>
      <c r="H78" s="3623">
        <f>J78+L78+N78+P78+R78+T78+V78</f>
        <v>0</v>
      </c>
      <c r="I78" s="1343">
        <f>K78+M78+O78+Q78+S78+U78+W78</f>
        <v>0</v>
      </c>
      <c r="J78" s="1344">
        <f>J76*J77/1000</f>
        <v>0</v>
      </c>
      <c r="K78" s="1343">
        <f t="shared" ref="K78:W78" si="23">K76*K77/1000</f>
        <v>0</v>
      </c>
      <c r="L78" s="1344">
        <f t="shared" si="23"/>
        <v>0</v>
      </c>
      <c r="M78" s="1343">
        <f t="shared" si="23"/>
        <v>0</v>
      </c>
      <c r="N78" s="1344">
        <f t="shared" si="23"/>
        <v>0</v>
      </c>
      <c r="O78" s="1343">
        <f t="shared" si="23"/>
        <v>0</v>
      </c>
      <c r="P78" s="1344">
        <f t="shared" si="23"/>
        <v>0</v>
      </c>
      <c r="Q78" s="1343">
        <f t="shared" si="23"/>
        <v>0</v>
      </c>
      <c r="R78" s="1344">
        <f t="shared" si="23"/>
        <v>0</v>
      </c>
      <c r="S78" s="1343">
        <f t="shared" si="23"/>
        <v>0</v>
      </c>
      <c r="T78" s="1344">
        <f t="shared" si="23"/>
        <v>0</v>
      </c>
      <c r="U78" s="1343">
        <f t="shared" si="23"/>
        <v>0</v>
      </c>
      <c r="V78" s="1344">
        <f t="shared" si="23"/>
        <v>0</v>
      </c>
      <c r="W78" s="1343">
        <f t="shared" si="23"/>
        <v>0</v>
      </c>
      <c r="X78" s="1370"/>
      <c r="Y78" s="1370"/>
      <c r="Z78" s="1370"/>
      <c r="AA78" s="1370"/>
      <c r="AB78" s="1370"/>
      <c r="AC78" s="1370"/>
      <c r="AD78" s="1370"/>
      <c r="AE78" s="1370"/>
      <c r="AF78" s="1370"/>
      <c r="AG78" s="1370"/>
      <c r="AH78" s="1370"/>
      <c r="AI78" s="1370"/>
      <c r="AJ78" s="1370"/>
      <c r="AK78" s="1370"/>
      <c r="AL78" s="1370"/>
      <c r="AM78" s="1370"/>
      <c r="AN78" s="1370"/>
      <c r="AO78" s="1370"/>
      <c r="AP78" s="1370"/>
      <c r="AQ78" s="1370"/>
      <c r="AR78" s="1370"/>
      <c r="AS78" s="1370"/>
      <c r="AT78" s="1370"/>
      <c r="AU78" s="1370"/>
      <c r="AV78" s="1370"/>
      <c r="AW78" s="1370"/>
      <c r="AX78" s="1370"/>
      <c r="AY78" s="1370"/>
      <c r="AZ78" s="1370"/>
      <c r="BA78" s="1370"/>
      <c r="BB78" s="1370"/>
      <c r="BC78" s="1370"/>
      <c r="BD78" s="1370"/>
      <c r="BE78" s="1370"/>
      <c r="BF78" s="1370"/>
      <c r="BG78" s="1370"/>
      <c r="BH78" s="1370"/>
      <c r="BI78" s="1370"/>
      <c r="BJ78" s="1370"/>
      <c r="BK78" s="1370"/>
      <c r="BL78" s="1370"/>
      <c r="BM78" s="1370"/>
      <c r="BN78" s="1370"/>
      <c r="BO78" s="1370"/>
      <c r="BP78" s="1370"/>
      <c r="BQ78" s="1370"/>
      <c r="BR78" s="1370"/>
      <c r="BS78" s="1370"/>
      <c r="BT78" s="1370"/>
      <c r="BU78" s="1370"/>
      <c r="BV78" s="1370"/>
      <c r="BW78" s="1370"/>
      <c r="BX78" s="1370"/>
      <c r="BY78" s="1370"/>
      <c r="BZ78" s="1370"/>
      <c r="CA78" s="1370"/>
      <c r="CB78" s="1370"/>
      <c r="CC78" s="1370"/>
      <c r="CD78" s="1370"/>
      <c r="CE78" s="1370"/>
      <c r="CF78" s="1370"/>
      <c r="CG78" s="1370"/>
      <c r="CH78" s="1370"/>
      <c r="CI78" s="1370"/>
      <c r="CJ78" s="1370"/>
      <c r="CK78" s="1370"/>
      <c r="CL78" s="1370"/>
      <c r="CM78" s="1370"/>
      <c r="CN78" s="1370"/>
      <c r="CO78" s="1370"/>
      <c r="CP78" s="1370"/>
      <c r="CQ78" s="1370"/>
      <c r="CR78" s="1370"/>
      <c r="CS78" s="1370"/>
      <c r="CT78" s="1370"/>
      <c r="CU78" s="1370"/>
      <c r="CV78" s="1370"/>
      <c r="CW78" s="1370"/>
      <c r="CX78" s="1370"/>
      <c r="CY78" s="1370"/>
      <c r="CZ78" s="1370"/>
      <c r="DA78" s="1370"/>
      <c r="DB78" s="1370"/>
      <c r="DC78" s="1370"/>
      <c r="DD78" s="1370"/>
      <c r="DE78" s="1370"/>
      <c r="DF78" s="1370"/>
      <c r="DG78" s="1370"/>
      <c r="DH78" s="1370"/>
      <c r="DI78" s="1370"/>
      <c r="DJ78" s="1370"/>
      <c r="DK78" s="1370"/>
      <c r="DL78" s="1370"/>
      <c r="DM78" s="1370"/>
      <c r="DN78" s="1370"/>
      <c r="DO78" s="1370"/>
      <c r="DP78" s="1370"/>
      <c r="DQ78" s="1370"/>
      <c r="DR78" s="1370"/>
      <c r="DS78" s="1370"/>
      <c r="DT78" s="1370"/>
      <c r="DU78" s="1370"/>
      <c r="DV78" s="1370"/>
      <c r="DW78" s="1370"/>
      <c r="DX78" s="1370"/>
      <c r="DY78" s="1370"/>
      <c r="DZ78" s="1370"/>
      <c r="EA78" s="1370"/>
      <c r="EB78" s="1370"/>
      <c r="EC78" s="1370"/>
      <c r="ED78" s="1370"/>
      <c r="EE78" s="1370"/>
      <c r="EF78" s="1370"/>
      <c r="EG78" s="1370"/>
      <c r="EH78" s="1370"/>
      <c r="EI78" s="1370"/>
      <c r="EJ78" s="1370"/>
      <c r="EK78" s="1370"/>
      <c r="EL78" s="1370"/>
      <c r="EM78" s="1370"/>
      <c r="EN78" s="1370"/>
      <c r="EO78" s="1370"/>
      <c r="EP78" s="1370"/>
      <c r="EQ78" s="1370"/>
      <c r="ER78" s="1370"/>
      <c r="ES78" s="1370"/>
      <c r="ET78" s="1370"/>
      <c r="EU78" s="1370"/>
      <c r="EV78" s="1370"/>
      <c r="EW78" s="1370"/>
      <c r="EX78" s="1370"/>
      <c r="EY78" s="1370"/>
      <c r="EZ78" s="1370"/>
      <c r="FA78" s="1370"/>
      <c r="FB78" s="1370"/>
      <c r="FC78" s="1370"/>
      <c r="FD78" s="1370"/>
      <c r="FE78" s="1370"/>
      <c r="FF78" s="1370"/>
      <c r="FG78" s="1370"/>
      <c r="FH78" s="1370"/>
      <c r="FI78" s="1370"/>
      <c r="FJ78" s="1370"/>
      <c r="FK78" s="1370"/>
      <c r="FL78" s="1370"/>
      <c r="FM78" s="1370"/>
      <c r="FN78" s="1370"/>
      <c r="FO78" s="1370"/>
      <c r="FP78" s="1370"/>
      <c r="FQ78" s="1370"/>
      <c r="FR78" s="1370"/>
      <c r="FS78" s="1370"/>
      <c r="FT78" s="1370"/>
      <c r="FU78" s="1370"/>
      <c r="FV78" s="1370"/>
      <c r="FW78" s="1370"/>
      <c r="FX78" s="1370"/>
      <c r="FY78" s="1370"/>
      <c r="FZ78" s="1370"/>
      <c r="GA78" s="1370"/>
      <c r="GB78" s="1370"/>
      <c r="GC78" s="1370"/>
      <c r="GD78" s="1370"/>
      <c r="GE78" s="1370"/>
      <c r="GF78" s="1370"/>
      <c r="GG78" s="1370"/>
      <c r="GH78" s="1370"/>
      <c r="GI78" s="1370"/>
      <c r="GJ78" s="1370"/>
      <c r="GK78" s="1370"/>
      <c r="GL78" s="1370"/>
      <c r="GM78" s="1370"/>
      <c r="GN78" s="1370"/>
      <c r="GO78" s="1370"/>
      <c r="GP78" s="1370"/>
      <c r="GQ78" s="1370"/>
      <c r="GR78" s="1370"/>
      <c r="GS78" s="1370"/>
      <c r="GT78" s="1370"/>
      <c r="GU78" s="1370"/>
      <c r="GV78" s="1370"/>
      <c r="GW78" s="1370"/>
      <c r="GX78" s="1370"/>
      <c r="GY78" s="1370"/>
      <c r="GZ78" s="1370"/>
      <c r="HA78" s="1370"/>
      <c r="HB78" s="1370"/>
      <c r="HC78" s="1370"/>
      <c r="HD78" s="1370"/>
      <c r="HE78" s="1370"/>
      <c r="HF78" s="1370"/>
      <c r="HG78" s="1370"/>
      <c r="HH78" s="1370"/>
      <c r="HI78" s="1370"/>
      <c r="HJ78" s="1370"/>
      <c r="HK78" s="1370"/>
      <c r="HL78" s="1370"/>
      <c r="HM78" s="1370"/>
      <c r="HN78" s="1370"/>
      <c r="HO78" s="1370"/>
      <c r="HP78" s="1370"/>
      <c r="HQ78" s="1370"/>
    </row>
    <row r="79" spans="1:225" ht="13.2" hidden="1" customHeight="1" outlineLevel="1" x14ac:dyDescent="0.25">
      <c r="A79" s="5844" t="s">
        <v>1841</v>
      </c>
      <c r="B79" s="1401" t="s">
        <v>1842</v>
      </c>
      <c r="C79" s="1349" t="s">
        <v>1746</v>
      </c>
      <c r="D79" s="1344"/>
      <c r="E79" s="3619"/>
      <c r="F79" s="3617"/>
      <c r="G79" s="3631"/>
      <c r="H79" s="3623">
        <f>J79+L79+N79+P79+R79+T79+V79</f>
        <v>0</v>
      </c>
      <c r="I79" s="1343">
        <f>K79+M79+O79+Q79+S79+U79+W79</f>
        <v>0</v>
      </c>
      <c r="J79" s="1344"/>
      <c r="K79" s="1343"/>
      <c r="L79" s="1344"/>
      <c r="M79" s="1343"/>
      <c r="N79" s="1344"/>
      <c r="O79" s="1343"/>
      <c r="P79" s="1344"/>
      <c r="Q79" s="1343"/>
      <c r="R79" s="1344"/>
      <c r="S79" s="1343"/>
      <c r="T79" s="1344"/>
      <c r="U79" s="1343"/>
      <c r="V79" s="1344"/>
      <c r="W79" s="1346"/>
      <c r="X79" s="1370"/>
      <c r="Y79" s="1370"/>
      <c r="Z79" s="1370"/>
      <c r="AA79" s="1370"/>
      <c r="AB79" s="1370"/>
      <c r="AC79" s="1370"/>
      <c r="AD79" s="1370"/>
      <c r="AE79" s="1370"/>
      <c r="AF79" s="1370"/>
      <c r="AG79" s="1370"/>
      <c r="AH79" s="1370"/>
      <c r="AI79" s="1370"/>
      <c r="AJ79" s="1370"/>
      <c r="AK79" s="1370"/>
      <c r="AL79" s="1370"/>
      <c r="AM79" s="1370"/>
      <c r="AN79" s="1370"/>
      <c r="AO79" s="1370"/>
      <c r="AP79" s="1370"/>
      <c r="AQ79" s="1370"/>
      <c r="AR79" s="1370"/>
      <c r="AS79" s="1370"/>
      <c r="AT79" s="1370"/>
      <c r="AU79" s="1370"/>
      <c r="AV79" s="1370"/>
      <c r="AW79" s="1370"/>
      <c r="AX79" s="1370"/>
      <c r="AY79" s="1370"/>
      <c r="AZ79" s="1370"/>
      <c r="BA79" s="1370"/>
      <c r="BB79" s="1370"/>
      <c r="BC79" s="1370"/>
      <c r="BD79" s="1370"/>
      <c r="BE79" s="1370"/>
      <c r="BF79" s="1370"/>
      <c r="BG79" s="1370"/>
      <c r="BH79" s="1370"/>
      <c r="BI79" s="1370"/>
      <c r="BJ79" s="1370"/>
      <c r="BK79" s="1370"/>
      <c r="BL79" s="1370"/>
      <c r="BM79" s="1370"/>
      <c r="BN79" s="1370"/>
      <c r="BO79" s="1370"/>
      <c r="BP79" s="1370"/>
      <c r="BQ79" s="1370"/>
      <c r="BR79" s="1370"/>
      <c r="BS79" s="1370"/>
      <c r="BT79" s="1370"/>
      <c r="BU79" s="1370"/>
      <c r="BV79" s="1370"/>
      <c r="BW79" s="1370"/>
      <c r="BX79" s="1370"/>
      <c r="BY79" s="1370"/>
      <c r="BZ79" s="1370"/>
      <c r="CA79" s="1370"/>
      <c r="CB79" s="1370"/>
      <c r="CC79" s="1370"/>
      <c r="CD79" s="1370"/>
      <c r="CE79" s="1370"/>
      <c r="CF79" s="1370"/>
      <c r="CG79" s="1370"/>
      <c r="CH79" s="1370"/>
      <c r="CI79" s="1370"/>
      <c r="CJ79" s="1370"/>
      <c r="CK79" s="1370"/>
      <c r="CL79" s="1370"/>
      <c r="CM79" s="1370"/>
      <c r="CN79" s="1370"/>
      <c r="CO79" s="1370"/>
      <c r="CP79" s="1370"/>
      <c r="CQ79" s="1370"/>
      <c r="CR79" s="1370"/>
      <c r="CS79" s="1370"/>
      <c r="CT79" s="1370"/>
      <c r="CU79" s="1370"/>
      <c r="CV79" s="1370"/>
      <c r="CW79" s="1370"/>
      <c r="CX79" s="1370"/>
      <c r="CY79" s="1370"/>
      <c r="CZ79" s="1370"/>
      <c r="DA79" s="1370"/>
      <c r="DB79" s="1370"/>
      <c r="DC79" s="1370"/>
      <c r="DD79" s="1370"/>
      <c r="DE79" s="1370"/>
      <c r="DF79" s="1370"/>
      <c r="DG79" s="1370"/>
      <c r="DH79" s="1370"/>
      <c r="DI79" s="1370"/>
      <c r="DJ79" s="1370"/>
      <c r="DK79" s="1370"/>
      <c r="DL79" s="1370"/>
      <c r="DM79" s="1370"/>
      <c r="DN79" s="1370"/>
      <c r="DO79" s="1370"/>
      <c r="DP79" s="1370"/>
      <c r="DQ79" s="1370"/>
      <c r="DR79" s="1370"/>
      <c r="DS79" s="1370"/>
      <c r="DT79" s="1370"/>
      <c r="DU79" s="1370"/>
      <c r="DV79" s="1370"/>
      <c r="DW79" s="1370"/>
      <c r="DX79" s="1370"/>
      <c r="DY79" s="1370"/>
      <c r="DZ79" s="1370"/>
      <c r="EA79" s="1370"/>
      <c r="EB79" s="1370"/>
      <c r="EC79" s="1370"/>
      <c r="ED79" s="1370"/>
      <c r="EE79" s="1370"/>
      <c r="EF79" s="1370"/>
      <c r="EG79" s="1370"/>
      <c r="EH79" s="1370"/>
      <c r="EI79" s="1370"/>
      <c r="EJ79" s="1370"/>
      <c r="EK79" s="1370"/>
      <c r="EL79" s="1370"/>
      <c r="EM79" s="1370"/>
      <c r="EN79" s="1370"/>
      <c r="EO79" s="1370"/>
      <c r="EP79" s="1370"/>
      <c r="EQ79" s="1370"/>
      <c r="ER79" s="1370"/>
      <c r="ES79" s="1370"/>
      <c r="ET79" s="1370"/>
      <c r="EU79" s="1370"/>
      <c r="EV79" s="1370"/>
      <c r="EW79" s="1370"/>
      <c r="EX79" s="1370"/>
      <c r="EY79" s="1370"/>
      <c r="EZ79" s="1370"/>
      <c r="FA79" s="1370"/>
      <c r="FB79" s="1370"/>
      <c r="FC79" s="1370"/>
      <c r="FD79" s="1370"/>
      <c r="FE79" s="1370"/>
      <c r="FF79" s="1370"/>
      <c r="FG79" s="1370"/>
      <c r="FH79" s="1370"/>
      <c r="FI79" s="1370"/>
      <c r="FJ79" s="1370"/>
      <c r="FK79" s="1370"/>
      <c r="FL79" s="1370"/>
      <c r="FM79" s="1370"/>
      <c r="FN79" s="1370"/>
      <c r="FO79" s="1370"/>
      <c r="FP79" s="1370"/>
      <c r="FQ79" s="1370"/>
      <c r="FR79" s="1370"/>
      <c r="FS79" s="1370"/>
      <c r="FT79" s="1370"/>
      <c r="FU79" s="1370"/>
      <c r="FV79" s="1370"/>
      <c r="FW79" s="1370"/>
      <c r="FX79" s="1370"/>
      <c r="FY79" s="1370"/>
      <c r="FZ79" s="1370"/>
      <c r="GA79" s="1370"/>
      <c r="GB79" s="1370"/>
      <c r="GC79" s="1370"/>
      <c r="GD79" s="1370"/>
      <c r="GE79" s="1370"/>
      <c r="GF79" s="1370"/>
      <c r="GG79" s="1370"/>
      <c r="GH79" s="1370"/>
      <c r="GI79" s="1370"/>
      <c r="GJ79" s="1370"/>
      <c r="GK79" s="1370"/>
      <c r="GL79" s="1370"/>
      <c r="GM79" s="1370"/>
      <c r="GN79" s="1370"/>
      <c r="GO79" s="1370"/>
      <c r="GP79" s="1370"/>
      <c r="GQ79" s="1370"/>
      <c r="GR79" s="1370"/>
      <c r="GS79" s="1370"/>
      <c r="GT79" s="1370"/>
      <c r="GU79" s="1370"/>
      <c r="GV79" s="1370"/>
      <c r="GW79" s="1370"/>
      <c r="GX79" s="1370"/>
      <c r="GY79" s="1370"/>
      <c r="GZ79" s="1370"/>
      <c r="HA79" s="1370"/>
      <c r="HB79" s="1370"/>
      <c r="HC79" s="1370"/>
      <c r="HD79" s="1370"/>
      <c r="HE79" s="1370"/>
      <c r="HF79" s="1370"/>
      <c r="HG79" s="1370"/>
      <c r="HH79" s="1370"/>
      <c r="HI79" s="1370"/>
      <c r="HJ79" s="1370"/>
      <c r="HK79" s="1370"/>
      <c r="HL79" s="1370"/>
      <c r="HM79" s="1370"/>
      <c r="HN79" s="1370"/>
      <c r="HO79" s="1370"/>
      <c r="HP79" s="1370"/>
      <c r="HQ79" s="1370"/>
    </row>
    <row r="80" spans="1:225" ht="24" hidden="1" customHeight="1" outlineLevel="1" x14ac:dyDescent="0.25">
      <c r="A80" s="5845"/>
      <c r="B80" s="1401" t="s">
        <v>1843</v>
      </c>
      <c r="C80" s="1349" t="s">
        <v>1777</v>
      </c>
      <c r="D80" s="1344"/>
      <c r="E80" s="3619"/>
      <c r="F80" s="3617"/>
      <c r="G80" s="3631"/>
      <c r="H80" s="3623">
        <f>IF(H79=0,,H81/1000/H79)</f>
        <v>0</v>
      </c>
      <c r="I80" s="1343">
        <f>IF(I79=0,,I81/1000/I79)</f>
        <v>0</v>
      </c>
      <c r="J80" s="1344"/>
      <c r="K80" s="1343"/>
      <c r="L80" s="1344"/>
      <c r="M80" s="1343"/>
      <c r="N80" s="1344"/>
      <c r="O80" s="1343"/>
      <c r="P80" s="1344"/>
      <c r="Q80" s="1343"/>
      <c r="R80" s="1344"/>
      <c r="S80" s="1343"/>
      <c r="T80" s="1344"/>
      <c r="U80" s="1343"/>
      <c r="V80" s="1344"/>
      <c r="W80" s="1346"/>
      <c r="X80" s="1370"/>
      <c r="Y80" s="1370"/>
      <c r="Z80" s="1370"/>
      <c r="AA80" s="1370"/>
      <c r="AB80" s="1370"/>
      <c r="AC80" s="1370"/>
      <c r="AD80" s="1370"/>
      <c r="AE80" s="1370"/>
      <c r="AF80" s="1370"/>
      <c r="AG80" s="1370"/>
      <c r="AH80" s="1370"/>
      <c r="AI80" s="1370"/>
      <c r="AJ80" s="1370"/>
      <c r="AK80" s="1370"/>
      <c r="AL80" s="1370"/>
      <c r="AM80" s="1370"/>
      <c r="AN80" s="1370"/>
      <c r="AO80" s="1370"/>
      <c r="AP80" s="1370"/>
      <c r="AQ80" s="1370"/>
      <c r="AR80" s="1370"/>
      <c r="AS80" s="1370"/>
      <c r="AT80" s="1370"/>
      <c r="AU80" s="1370"/>
      <c r="AV80" s="1370"/>
      <c r="AW80" s="1370"/>
      <c r="AX80" s="1370"/>
      <c r="AY80" s="1370"/>
      <c r="AZ80" s="1370"/>
      <c r="BA80" s="1370"/>
      <c r="BB80" s="1370"/>
      <c r="BC80" s="1370"/>
      <c r="BD80" s="1370"/>
      <c r="BE80" s="1370"/>
      <c r="BF80" s="1370"/>
      <c r="BG80" s="1370"/>
      <c r="BH80" s="1370"/>
      <c r="BI80" s="1370"/>
      <c r="BJ80" s="1370"/>
      <c r="BK80" s="1370"/>
      <c r="BL80" s="1370"/>
      <c r="BM80" s="1370"/>
      <c r="BN80" s="1370"/>
      <c r="BO80" s="1370"/>
      <c r="BP80" s="1370"/>
      <c r="BQ80" s="1370"/>
      <c r="BR80" s="1370"/>
      <c r="BS80" s="1370"/>
      <c r="BT80" s="1370"/>
      <c r="BU80" s="1370"/>
      <c r="BV80" s="1370"/>
      <c r="BW80" s="1370"/>
      <c r="BX80" s="1370"/>
      <c r="BY80" s="1370"/>
      <c r="BZ80" s="1370"/>
      <c r="CA80" s="1370"/>
      <c r="CB80" s="1370"/>
      <c r="CC80" s="1370"/>
      <c r="CD80" s="1370"/>
      <c r="CE80" s="1370"/>
      <c r="CF80" s="1370"/>
      <c r="CG80" s="1370"/>
      <c r="CH80" s="1370"/>
      <c r="CI80" s="1370"/>
      <c r="CJ80" s="1370"/>
      <c r="CK80" s="1370"/>
      <c r="CL80" s="1370"/>
      <c r="CM80" s="1370"/>
      <c r="CN80" s="1370"/>
      <c r="CO80" s="1370"/>
      <c r="CP80" s="1370"/>
      <c r="CQ80" s="1370"/>
      <c r="CR80" s="1370"/>
      <c r="CS80" s="1370"/>
      <c r="CT80" s="1370"/>
      <c r="CU80" s="1370"/>
      <c r="CV80" s="1370"/>
      <c r="CW80" s="1370"/>
      <c r="CX80" s="1370"/>
      <c r="CY80" s="1370"/>
      <c r="CZ80" s="1370"/>
      <c r="DA80" s="1370"/>
      <c r="DB80" s="1370"/>
      <c r="DC80" s="1370"/>
      <c r="DD80" s="1370"/>
      <c r="DE80" s="1370"/>
      <c r="DF80" s="1370"/>
      <c r="DG80" s="1370"/>
      <c r="DH80" s="1370"/>
      <c r="DI80" s="1370"/>
      <c r="DJ80" s="1370"/>
      <c r="DK80" s="1370"/>
      <c r="DL80" s="1370"/>
      <c r="DM80" s="1370"/>
      <c r="DN80" s="1370"/>
      <c r="DO80" s="1370"/>
      <c r="DP80" s="1370"/>
      <c r="DQ80" s="1370"/>
      <c r="DR80" s="1370"/>
      <c r="DS80" s="1370"/>
      <c r="DT80" s="1370"/>
      <c r="DU80" s="1370"/>
      <c r="DV80" s="1370"/>
      <c r="DW80" s="1370"/>
      <c r="DX80" s="1370"/>
      <c r="DY80" s="1370"/>
      <c r="DZ80" s="1370"/>
      <c r="EA80" s="1370"/>
      <c r="EB80" s="1370"/>
      <c r="EC80" s="1370"/>
      <c r="ED80" s="1370"/>
      <c r="EE80" s="1370"/>
      <c r="EF80" s="1370"/>
      <c r="EG80" s="1370"/>
      <c r="EH80" s="1370"/>
      <c r="EI80" s="1370"/>
      <c r="EJ80" s="1370"/>
      <c r="EK80" s="1370"/>
      <c r="EL80" s="1370"/>
      <c r="EM80" s="1370"/>
      <c r="EN80" s="1370"/>
      <c r="EO80" s="1370"/>
      <c r="EP80" s="1370"/>
      <c r="EQ80" s="1370"/>
      <c r="ER80" s="1370"/>
      <c r="ES80" s="1370"/>
      <c r="ET80" s="1370"/>
      <c r="EU80" s="1370"/>
      <c r="EV80" s="1370"/>
      <c r="EW80" s="1370"/>
      <c r="EX80" s="1370"/>
      <c r="EY80" s="1370"/>
      <c r="EZ80" s="1370"/>
      <c r="FA80" s="1370"/>
      <c r="FB80" s="1370"/>
      <c r="FC80" s="1370"/>
      <c r="FD80" s="1370"/>
      <c r="FE80" s="1370"/>
      <c r="FF80" s="1370"/>
      <c r="FG80" s="1370"/>
      <c r="FH80" s="1370"/>
      <c r="FI80" s="1370"/>
      <c r="FJ80" s="1370"/>
      <c r="FK80" s="1370"/>
      <c r="FL80" s="1370"/>
      <c r="FM80" s="1370"/>
      <c r="FN80" s="1370"/>
      <c r="FO80" s="1370"/>
      <c r="FP80" s="1370"/>
      <c r="FQ80" s="1370"/>
      <c r="FR80" s="1370"/>
      <c r="FS80" s="1370"/>
      <c r="FT80" s="1370"/>
      <c r="FU80" s="1370"/>
      <c r="FV80" s="1370"/>
      <c r="FW80" s="1370"/>
      <c r="FX80" s="1370"/>
      <c r="FY80" s="1370"/>
      <c r="FZ80" s="1370"/>
      <c r="GA80" s="1370"/>
      <c r="GB80" s="1370"/>
      <c r="GC80" s="1370"/>
      <c r="GD80" s="1370"/>
      <c r="GE80" s="1370"/>
      <c r="GF80" s="1370"/>
      <c r="GG80" s="1370"/>
      <c r="GH80" s="1370"/>
      <c r="GI80" s="1370"/>
      <c r="GJ80" s="1370"/>
      <c r="GK80" s="1370"/>
      <c r="GL80" s="1370"/>
      <c r="GM80" s="1370"/>
      <c r="GN80" s="1370"/>
      <c r="GO80" s="1370"/>
      <c r="GP80" s="1370"/>
      <c r="GQ80" s="1370"/>
      <c r="GR80" s="1370"/>
      <c r="GS80" s="1370"/>
      <c r="GT80" s="1370"/>
      <c r="GU80" s="1370"/>
      <c r="GV80" s="1370"/>
      <c r="GW80" s="1370"/>
      <c r="GX80" s="1370"/>
      <c r="GY80" s="1370"/>
      <c r="GZ80" s="1370"/>
      <c r="HA80" s="1370"/>
      <c r="HB80" s="1370"/>
      <c r="HC80" s="1370"/>
      <c r="HD80" s="1370"/>
      <c r="HE80" s="1370"/>
      <c r="HF80" s="1370"/>
      <c r="HG80" s="1370"/>
      <c r="HH80" s="1370"/>
      <c r="HI80" s="1370"/>
      <c r="HJ80" s="1370"/>
      <c r="HK80" s="1370"/>
      <c r="HL80" s="1370"/>
      <c r="HM80" s="1370"/>
      <c r="HN80" s="1370"/>
      <c r="HO80" s="1370"/>
      <c r="HP80" s="1370"/>
      <c r="HQ80" s="1370"/>
    </row>
    <row r="81" spans="1:225" ht="24" hidden="1" customHeight="1" outlineLevel="1" x14ac:dyDescent="0.25">
      <c r="A81" s="5845"/>
      <c r="B81" s="1405" t="s">
        <v>1844</v>
      </c>
      <c r="C81" s="1351" t="s">
        <v>1780</v>
      </c>
      <c r="D81" s="1344"/>
      <c r="E81" s="3619"/>
      <c r="F81" s="3617"/>
      <c r="G81" s="3631"/>
      <c r="H81" s="3625">
        <f>J81+L81+N81+P81+R81+T81+V81</f>
        <v>0</v>
      </c>
      <c r="I81" s="1343">
        <f>K81+M81+O81+Q81+S81+U81+W81</f>
        <v>0</v>
      </c>
      <c r="J81" s="1344">
        <f>J79*J80/1000</f>
        <v>0</v>
      </c>
      <c r="K81" s="1343">
        <f t="shared" ref="K81:W81" si="24">K79*K80/1000</f>
        <v>0</v>
      </c>
      <c r="L81" s="1344">
        <f t="shared" si="24"/>
        <v>0</v>
      </c>
      <c r="M81" s="1343">
        <f t="shared" si="24"/>
        <v>0</v>
      </c>
      <c r="N81" s="1344">
        <f t="shared" si="24"/>
        <v>0</v>
      </c>
      <c r="O81" s="1343">
        <f t="shared" si="24"/>
        <v>0</v>
      </c>
      <c r="P81" s="1344">
        <f t="shared" si="24"/>
        <v>0</v>
      </c>
      <c r="Q81" s="1343">
        <f t="shared" si="24"/>
        <v>0</v>
      </c>
      <c r="R81" s="1344">
        <f t="shared" si="24"/>
        <v>0</v>
      </c>
      <c r="S81" s="1343">
        <f t="shared" si="24"/>
        <v>0</v>
      </c>
      <c r="T81" s="1344">
        <f t="shared" si="24"/>
        <v>0</v>
      </c>
      <c r="U81" s="1343">
        <f t="shared" si="24"/>
        <v>0</v>
      </c>
      <c r="V81" s="1344">
        <f t="shared" si="24"/>
        <v>0</v>
      </c>
      <c r="W81" s="1389">
        <f t="shared" si="24"/>
        <v>0</v>
      </c>
      <c r="X81" s="1370"/>
      <c r="Y81" s="1370"/>
      <c r="Z81" s="1370"/>
      <c r="AA81" s="1370"/>
      <c r="AB81" s="1370"/>
      <c r="AC81" s="1370"/>
      <c r="AD81" s="1370"/>
      <c r="AE81" s="1370"/>
      <c r="AF81" s="1370"/>
      <c r="AG81" s="1370"/>
      <c r="AH81" s="1370"/>
      <c r="AI81" s="1370"/>
      <c r="AJ81" s="1370"/>
      <c r="AK81" s="1370"/>
      <c r="AL81" s="1370"/>
      <c r="AM81" s="1370"/>
      <c r="AN81" s="1370"/>
      <c r="AO81" s="1370"/>
      <c r="AP81" s="1370"/>
      <c r="AQ81" s="1370"/>
      <c r="AR81" s="1370"/>
      <c r="AS81" s="1370"/>
      <c r="AT81" s="1370"/>
      <c r="AU81" s="1370"/>
      <c r="AV81" s="1370"/>
      <c r="AW81" s="1370"/>
      <c r="AX81" s="1370"/>
      <c r="AY81" s="1370"/>
      <c r="AZ81" s="1370"/>
      <c r="BA81" s="1370"/>
      <c r="BB81" s="1370"/>
      <c r="BC81" s="1370"/>
      <c r="BD81" s="1370"/>
      <c r="BE81" s="1370"/>
      <c r="BF81" s="1370"/>
      <c r="BG81" s="1370"/>
      <c r="BH81" s="1370"/>
      <c r="BI81" s="1370"/>
      <c r="BJ81" s="1370"/>
      <c r="BK81" s="1370"/>
      <c r="BL81" s="1370"/>
      <c r="BM81" s="1370"/>
      <c r="BN81" s="1370"/>
      <c r="BO81" s="1370"/>
      <c r="BP81" s="1370"/>
      <c r="BQ81" s="1370"/>
      <c r="BR81" s="1370"/>
      <c r="BS81" s="1370"/>
      <c r="BT81" s="1370"/>
      <c r="BU81" s="1370"/>
      <c r="BV81" s="1370"/>
      <c r="BW81" s="1370"/>
      <c r="BX81" s="1370"/>
      <c r="BY81" s="1370"/>
      <c r="BZ81" s="1370"/>
      <c r="CA81" s="1370"/>
      <c r="CB81" s="1370"/>
      <c r="CC81" s="1370"/>
      <c r="CD81" s="1370"/>
      <c r="CE81" s="1370"/>
      <c r="CF81" s="1370"/>
      <c r="CG81" s="1370"/>
      <c r="CH81" s="1370"/>
      <c r="CI81" s="1370"/>
      <c r="CJ81" s="1370"/>
      <c r="CK81" s="1370"/>
      <c r="CL81" s="1370"/>
      <c r="CM81" s="1370"/>
      <c r="CN81" s="1370"/>
      <c r="CO81" s="1370"/>
      <c r="CP81" s="1370"/>
      <c r="CQ81" s="1370"/>
      <c r="CR81" s="1370"/>
      <c r="CS81" s="1370"/>
      <c r="CT81" s="1370"/>
      <c r="CU81" s="1370"/>
      <c r="CV81" s="1370"/>
      <c r="CW81" s="1370"/>
      <c r="CX81" s="1370"/>
      <c r="CY81" s="1370"/>
      <c r="CZ81" s="1370"/>
      <c r="DA81" s="1370"/>
      <c r="DB81" s="1370"/>
      <c r="DC81" s="1370"/>
      <c r="DD81" s="1370"/>
      <c r="DE81" s="1370"/>
      <c r="DF81" s="1370"/>
      <c r="DG81" s="1370"/>
      <c r="DH81" s="1370"/>
      <c r="DI81" s="1370"/>
      <c r="DJ81" s="1370"/>
      <c r="DK81" s="1370"/>
      <c r="DL81" s="1370"/>
      <c r="DM81" s="1370"/>
      <c r="DN81" s="1370"/>
      <c r="DO81" s="1370"/>
      <c r="DP81" s="1370"/>
      <c r="DQ81" s="1370"/>
      <c r="DR81" s="1370"/>
      <c r="DS81" s="1370"/>
      <c r="DT81" s="1370"/>
      <c r="DU81" s="1370"/>
      <c r="DV81" s="1370"/>
      <c r="DW81" s="1370"/>
      <c r="DX81" s="1370"/>
      <c r="DY81" s="1370"/>
      <c r="DZ81" s="1370"/>
      <c r="EA81" s="1370"/>
      <c r="EB81" s="1370"/>
      <c r="EC81" s="1370"/>
      <c r="ED81" s="1370"/>
      <c r="EE81" s="1370"/>
      <c r="EF81" s="1370"/>
      <c r="EG81" s="1370"/>
      <c r="EH81" s="1370"/>
      <c r="EI81" s="1370"/>
      <c r="EJ81" s="1370"/>
      <c r="EK81" s="1370"/>
      <c r="EL81" s="1370"/>
      <c r="EM81" s="1370"/>
      <c r="EN81" s="1370"/>
      <c r="EO81" s="1370"/>
      <c r="EP81" s="1370"/>
      <c r="EQ81" s="1370"/>
      <c r="ER81" s="1370"/>
      <c r="ES81" s="1370"/>
      <c r="ET81" s="1370"/>
      <c r="EU81" s="1370"/>
      <c r="EV81" s="1370"/>
      <c r="EW81" s="1370"/>
      <c r="EX81" s="1370"/>
      <c r="EY81" s="1370"/>
      <c r="EZ81" s="1370"/>
      <c r="FA81" s="1370"/>
      <c r="FB81" s="1370"/>
      <c r="FC81" s="1370"/>
      <c r="FD81" s="1370"/>
      <c r="FE81" s="1370"/>
      <c r="FF81" s="1370"/>
      <c r="FG81" s="1370"/>
      <c r="FH81" s="1370"/>
      <c r="FI81" s="1370"/>
      <c r="FJ81" s="1370"/>
      <c r="FK81" s="1370"/>
      <c r="FL81" s="1370"/>
      <c r="FM81" s="1370"/>
      <c r="FN81" s="1370"/>
      <c r="FO81" s="1370"/>
      <c r="FP81" s="1370"/>
      <c r="FQ81" s="1370"/>
      <c r="FR81" s="1370"/>
      <c r="FS81" s="1370"/>
      <c r="FT81" s="1370"/>
      <c r="FU81" s="1370"/>
      <c r="FV81" s="1370"/>
      <c r="FW81" s="1370"/>
      <c r="FX81" s="1370"/>
      <c r="FY81" s="1370"/>
      <c r="FZ81" s="1370"/>
      <c r="GA81" s="1370"/>
      <c r="GB81" s="1370"/>
      <c r="GC81" s="1370"/>
      <c r="GD81" s="1370"/>
      <c r="GE81" s="1370"/>
      <c r="GF81" s="1370"/>
      <c r="GG81" s="1370"/>
      <c r="GH81" s="1370"/>
      <c r="GI81" s="1370"/>
      <c r="GJ81" s="1370"/>
      <c r="GK81" s="1370"/>
      <c r="GL81" s="1370"/>
      <c r="GM81" s="1370"/>
      <c r="GN81" s="1370"/>
      <c r="GO81" s="1370"/>
      <c r="GP81" s="1370"/>
      <c r="GQ81" s="1370"/>
      <c r="GR81" s="1370"/>
      <c r="GS81" s="1370"/>
      <c r="GT81" s="1370"/>
      <c r="GU81" s="1370"/>
      <c r="GV81" s="1370"/>
      <c r="GW81" s="1370"/>
      <c r="GX81" s="1370"/>
      <c r="GY81" s="1370"/>
      <c r="GZ81" s="1370"/>
      <c r="HA81" s="1370"/>
      <c r="HB81" s="1370"/>
      <c r="HC81" s="1370"/>
      <c r="HD81" s="1370"/>
      <c r="HE81" s="1370"/>
      <c r="HF81" s="1370"/>
      <c r="HG81" s="1370"/>
      <c r="HH81" s="1370"/>
      <c r="HI81" s="1370"/>
      <c r="HJ81" s="1370"/>
      <c r="HK81" s="1370"/>
      <c r="HL81" s="1370"/>
      <c r="HM81" s="1370"/>
      <c r="HN81" s="1370"/>
      <c r="HO81" s="1370"/>
      <c r="HP81" s="1370"/>
      <c r="HQ81" s="1370"/>
    </row>
    <row r="82" spans="1:225" ht="36" hidden="1" customHeight="1" x14ac:dyDescent="0.25">
      <c r="A82" s="3603" t="s">
        <v>1845</v>
      </c>
      <c r="B82" s="588" t="s">
        <v>1846</v>
      </c>
      <c r="C82" s="1349" t="s">
        <v>1746</v>
      </c>
      <c r="D82" s="1344"/>
      <c r="E82" s="3619"/>
      <c r="F82" s="3617"/>
      <c r="G82" s="3631"/>
      <c r="H82" s="3623">
        <v>0</v>
      </c>
      <c r="I82" s="1343">
        <v>0</v>
      </c>
      <c r="J82" s="1344">
        <v>0</v>
      </c>
      <c r="K82" s="1343">
        <v>0</v>
      </c>
      <c r="L82" s="1344">
        <v>0</v>
      </c>
      <c r="M82" s="1343">
        <v>0</v>
      </c>
      <c r="N82" s="1344">
        <v>0</v>
      </c>
      <c r="O82" s="1343">
        <v>0</v>
      </c>
      <c r="P82" s="1344">
        <v>0</v>
      </c>
      <c r="Q82" s="1343">
        <v>0</v>
      </c>
      <c r="R82" s="1344">
        <v>0</v>
      </c>
      <c r="S82" s="1343">
        <v>0</v>
      </c>
      <c r="T82" s="1344">
        <v>0</v>
      </c>
      <c r="U82" s="1343">
        <v>0</v>
      </c>
      <c r="V82" s="1344">
        <v>0</v>
      </c>
      <c r="W82" s="1345">
        <v>0</v>
      </c>
    </row>
    <row r="83" spans="1:225" ht="24" hidden="1" customHeight="1" x14ac:dyDescent="0.25">
      <c r="A83" s="3603" t="s">
        <v>1847</v>
      </c>
      <c r="B83" s="588" t="s">
        <v>1848</v>
      </c>
      <c r="C83" s="1349" t="s">
        <v>1777</v>
      </c>
      <c r="D83" s="1344"/>
      <c r="E83" s="3619"/>
      <c r="F83" s="3617"/>
      <c r="G83" s="3631"/>
      <c r="H83" s="3623">
        <v>0</v>
      </c>
      <c r="I83" s="1343">
        <v>0</v>
      </c>
      <c r="J83" s="1344">
        <v>0</v>
      </c>
      <c r="K83" s="1343">
        <v>0</v>
      </c>
      <c r="L83" s="1344">
        <v>0</v>
      </c>
      <c r="M83" s="1343">
        <v>0</v>
      </c>
      <c r="N83" s="1344">
        <v>0</v>
      </c>
      <c r="O83" s="1343">
        <v>0</v>
      </c>
      <c r="P83" s="1344">
        <v>0</v>
      </c>
      <c r="Q83" s="1343">
        <v>0</v>
      </c>
      <c r="R83" s="1344">
        <v>0</v>
      </c>
      <c r="S83" s="1343">
        <v>0</v>
      </c>
      <c r="T83" s="1344">
        <v>0</v>
      </c>
      <c r="U83" s="1343">
        <v>0</v>
      </c>
      <c r="V83" s="1344">
        <v>0</v>
      </c>
      <c r="W83" s="1345">
        <v>0</v>
      </c>
    </row>
    <row r="84" spans="1:225" ht="36" hidden="1" customHeight="1" x14ac:dyDescent="0.25">
      <c r="A84" s="1416" t="s">
        <v>1849</v>
      </c>
      <c r="B84" s="1399" t="s">
        <v>1850</v>
      </c>
      <c r="C84" s="1350" t="s">
        <v>1780</v>
      </c>
      <c r="D84" s="1344"/>
      <c r="E84" s="3619"/>
      <c r="F84" s="3617"/>
      <c r="G84" s="3631"/>
      <c r="H84" s="3623">
        <f t="shared" ref="H84:W84" si="25">H82*H83/1000</f>
        <v>0</v>
      </c>
      <c r="I84" s="1343">
        <f t="shared" si="25"/>
        <v>0</v>
      </c>
      <c r="J84" s="1344">
        <f t="shared" si="25"/>
        <v>0</v>
      </c>
      <c r="K84" s="1343">
        <f t="shared" si="25"/>
        <v>0</v>
      </c>
      <c r="L84" s="1344">
        <f t="shared" si="25"/>
        <v>0</v>
      </c>
      <c r="M84" s="1343">
        <f t="shared" si="25"/>
        <v>0</v>
      </c>
      <c r="N84" s="1344">
        <f t="shared" si="25"/>
        <v>0</v>
      </c>
      <c r="O84" s="1343">
        <f t="shared" si="25"/>
        <v>0</v>
      </c>
      <c r="P84" s="1344">
        <f t="shared" si="25"/>
        <v>0</v>
      </c>
      <c r="Q84" s="1343">
        <f t="shared" si="25"/>
        <v>0</v>
      </c>
      <c r="R84" s="1344">
        <f t="shared" si="25"/>
        <v>0</v>
      </c>
      <c r="S84" s="1343">
        <f t="shared" si="25"/>
        <v>0</v>
      </c>
      <c r="T84" s="1344">
        <f t="shared" si="25"/>
        <v>0</v>
      </c>
      <c r="U84" s="1343">
        <f t="shared" si="25"/>
        <v>0</v>
      </c>
      <c r="V84" s="1344">
        <f t="shared" si="25"/>
        <v>0</v>
      </c>
      <c r="W84" s="1343">
        <f t="shared" si="25"/>
        <v>0</v>
      </c>
      <c r="X84" s="1370"/>
      <c r="Y84" s="1370"/>
      <c r="Z84" s="1370"/>
      <c r="AA84" s="1370"/>
      <c r="AB84" s="1370"/>
      <c r="AC84" s="1370"/>
      <c r="AD84" s="1370"/>
      <c r="AE84" s="1370"/>
      <c r="AF84" s="1370"/>
      <c r="AG84" s="1370"/>
      <c r="AH84" s="1370"/>
      <c r="AI84" s="1370"/>
      <c r="AJ84" s="1370"/>
      <c r="AK84" s="1370"/>
      <c r="AL84" s="1370"/>
      <c r="AM84" s="1370"/>
      <c r="AN84" s="1370"/>
      <c r="AO84" s="1370"/>
      <c r="AP84" s="1370"/>
      <c r="AQ84" s="1370"/>
      <c r="AR84" s="1370"/>
      <c r="AS84" s="1370"/>
      <c r="AT84" s="1370"/>
      <c r="AU84" s="1370"/>
      <c r="AV84" s="1370"/>
      <c r="AW84" s="1370"/>
      <c r="AX84" s="1370"/>
      <c r="AY84" s="1370"/>
      <c r="AZ84" s="1370"/>
      <c r="BA84" s="1370"/>
      <c r="BB84" s="1370"/>
      <c r="BC84" s="1370"/>
      <c r="BD84" s="1370"/>
      <c r="BE84" s="1370"/>
      <c r="BF84" s="1370"/>
      <c r="BG84" s="1370"/>
      <c r="BH84" s="1370"/>
      <c r="BI84" s="1370"/>
      <c r="BJ84" s="1370"/>
      <c r="BK84" s="1370"/>
      <c r="BL84" s="1370"/>
      <c r="BM84" s="1370"/>
      <c r="BN84" s="1370"/>
      <c r="BO84" s="1370"/>
      <c r="BP84" s="1370"/>
      <c r="BQ84" s="1370"/>
      <c r="BR84" s="1370"/>
      <c r="BS84" s="1370"/>
      <c r="BT84" s="1370"/>
      <c r="BU84" s="1370"/>
      <c r="BV84" s="1370"/>
      <c r="BW84" s="1370"/>
      <c r="BX84" s="1370"/>
      <c r="BY84" s="1370"/>
      <c r="BZ84" s="1370"/>
      <c r="CA84" s="1370"/>
      <c r="CB84" s="1370"/>
      <c r="CC84" s="1370"/>
      <c r="CD84" s="1370"/>
      <c r="CE84" s="1370"/>
      <c r="CF84" s="1370"/>
      <c r="CG84" s="1370"/>
      <c r="CH84" s="1370"/>
      <c r="CI84" s="1370"/>
      <c r="CJ84" s="1370"/>
      <c r="CK84" s="1370"/>
      <c r="CL84" s="1370"/>
      <c r="CM84" s="1370"/>
      <c r="CN84" s="1370"/>
      <c r="CO84" s="1370"/>
      <c r="CP84" s="1370"/>
      <c r="CQ84" s="1370"/>
      <c r="CR84" s="1370"/>
      <c r="CS84" s="1370"/>
      <c r="CT84" s="1370"/>
      <c r="CU84" s="1370"/>
      <c r="CV84" s="1370"/>
      <c r="CW84" s="1370"/>
      <c r="CX84" s="1370"/>
      <c r="CY84" s="1370"/>
      <c r="CZ84" s="1370"/>
      <c r="DA84" s="1370"/>
      <c r="DB84" s="1370"/>
      <c r="DC84" s="1370"/>
      <c r="DD84" s="1370"/>
      <c r="DE84" s="1370"/>
      <c r="DF84" s="1370"/>
      <c r="DG84" s="1370"/>
      <c r="DH84" s="1370"/>
      <c r="DI84" s="1370"/>
      <c r="DJ84" s="1370"/>
      <c r="DK84" s="1370"/>
      <c r="DL84" s="1370"/>
      <c r="DM84" s="1370"/>
      <c r="DN84" s="1370"/>
      <c r="DO84" s="1370"/>
      <c r="DP84" s="1370"/>
      <c r="DQ84" s="1370"/>
      <c r="DR84" s="1370"/>
      <c r="DS84" s="1370"/>
      <c r="DT84" s="1370"/>
      <c r="DU84" s="1370"/>
      <c r="DV84" s="1370"/>
      <c r="DW84" s="1370"/>
      <c r="DX84" s="1370"/>
      <c r="DY84" s="1370"/>
      <c r="DZ84" s="1370"/>
      <c r="EA84" s="1370"/>
      <c r="EB84" s="1370"/>
      <c r="EC84" s="1370"/>
      <c r="ED84" s="1370"/>
      <c r="EE84" s="1370"/>
      <c r="EF84" s="1370"/>
      <c r="EG84" s="1370"/>
      <c r="EH84" s="1370"/>
      <c r="EI84" s="1370"/>
      <c r="EJ84" s="1370"/>
      <c r="EK84" s="1370"/>
      <c r="EL84" s="1370"/>
      <c r="EM84" s="1370"/>
      <c r="EN84" s="1370"/>
      <c r="EO84" s="1370"/>
      <c r="EP84" s="1370"/>
      <c r="EQ84" s="1370"/>
      <c r="ER84" s="1370"/>
      <c r="ES84" s="1370"/>
      <c r="ET84" s="1370"/>
      <c r="EU84" s="1370"/>
      <c r="EV84" s="1370"/>
      <c r="EW84" s="1370"/>
      <c r="EX84" s="1370"/>
      <c r="EY84" s="1370"/>
      <c r="EZ84" s="1370"/>
      <c r="FA84" s="1370"/>
      <c r="FB84" s="1370"/>
      <c r="FC84" s="1370"/>
      <c r="FD84" s="1370"/>
      <c r="FE84" s="1370"/>
      <c r="FF84" s="1370"/>
      <c r="FG84" s="1370"/>
      <c r="FH84" s="1370"/>
      <c r="FI84" s="1370"/>
      <c r="FJ84" s="1370"/>
      <c r="FK84" s="1370"/>
      <c r="FL84" s="1370"/>
      <c r="FM84" s="1370"/>
      <c r="FN84" s="1370"/>
      <c r="FO84" s="1370"/>
      <c r="FP84" s="1370"/>
      <c r="FQ84" s="1370"/>
      <c r="FR84" s="1370"/>
      <c r="FS84" s="1370"/>
      <c r="FT84" s="1370"/>
      <c r="FU84" s="1370"/>
      <c r="FV84" s="1370"/>
      <c r="FW84" s="1370"/>
      <c r="FX84" s="1370"/>
      <c r="FY84" s="1370"/>
      <c r="FZ84" s="1370"/>
      <c r="GA84" s="1370"/>
      <c r="GB84" s="1370"/>
      <c r="GC84" s="1370"/>
      <c r="GD84" s="1370"/>
      <c r="GE84" s="1370"/>
      <c r="GF84" s="1370"/>
      <c r="GG84" s="1370"/>
      <c r="GH84" s="1370"/>
      <c r="GI84" s="1370"/>
      <c r="GJ84" s="1370"/>
      <c r="GK84" s="1370"/>
      <c r="GL84" s="1370"/>
      <c r="GM84" s="1370"/>
      <c r="GN84" s="1370"/>
      <c r="GO84" s="1370"/>
      <c r="GP84" s="1370"/>
      <c r="GQ84" s="1370"/>
      <c r="GR84" s="1370"/>
      <c r="GS84" s="1370"/>
      <c r="GT84" s="1370"/>
      <c r="GU84" s="1370"/>
      <c r="GV84" s="1370"/>
      <c r="GW84" s="1370"/>
      <c r="GX84" s="1370"/>
      <c r="GY84" s="1370"/>
      <c r="GZ84" s="1370"/>
      <c r="HA84" s="1370"/>
      <c r="HB84" s="1370"/>
      <c r="HC84" s="1370"/>
      <c r="HD84" s="1370"/>
      <c r="HE84" s="1370"/>
      <c r="HF84" s="1370"/>
      <c r="HG84" s="1370"/>
      <c r="HH84" s="1370"/>
      <c r="HI84" s="1370"/>
      <c r="HJ84" s="1370"/>
      <c r="HK84" s="1370"/>
      <c r="HL84" s="1370"/>
      <c r="HM84" s="1370"/>
      <c r="HN84" s="1370"/>
      <c r="HO84" s="1370"/>
      <c r="HP84" s="1370"/>
      <c r="HQ84" s="1370"/>
    </row>
    <row r="85" spans="1:225" ht="24" hidden="1" customHeight="1" x14ac:dyDescent="0.25">
      <c r="A85" s="3603" t="s">
        <v>1851</v>
      </c>
      <c r="B85" s="588" t="s">
        <v>1852</v>
      </c>
      <c r="C85" s="1349" t="s">
        <v>1746</v>
      </c>
      <c r="D85" s="1344"/>
      <c r="E85" s="3619"/>
      <c r="F85" s="3617"/>
      <c r="G85" s="3631"/>
      <c r="H85" s="3623">
        <v>0</v>
      </c>
      <c r="I85" s="1343">
        <v>0</v>
      </c>
      <c r="J85" s="1344">
        <v>0</v>
      </c>
      <c r="K85" s="1343">
        <v>0</v>
      </c>
      <c r="L85" s="1344">
        <v>0</v>
      </c>
      <c r="M85" s="1343">
        <v>0</v>
      </c>
      <c r="N85" s="1344">
        <v>0</v>
      </c>
      <c r="O85" s="1343">
        <v>0</v>
      </c>
      <c r="P85" s="1344">
        <v>0</v>
      </c>
      <c r="Q85" s="1343">
        <v>0</v>
      </c>
      <c r="R85" s="1344">
        <v>0</v>
      </c>
      <c r="S85" s="1343">
        <v>0</v>
      </c>
      <c r="T85" s="1344">
        <v>0</v>
      </c>
      <c r="U85" s="1343">
        <v>0</v>
      </c>
      <c r="V85" s="1344">
        <v>0</v>
      </c>
      <c r="W85" s="1345">
        <v>0</v>
      </c>
    </row>
    <row r="86" spans="1:225" ht="24" hidden="1" customHeight="1" x14ac:dyDescent="0.25">
      <c r="A86" s="3603" t="s">
        <v>1853</v>
      </c>
      <c r="B86" s="588" t="s">
        <v>1854</v>
      </c>
      <c r="C86" s="1349" t="s">
        <v>1777</v>
      </c>
      <c r="D86" s="1344"/>
      <c r="E86" s="3619"/>
      <c r="F86" s="3617"/>
      <c r="G86" s="3631"/>
      <c r="H86" s="3623">
        <v>0</v>
      </c>
      <c r="I86" s="1343">
        <v>0</v>
      </c>
      <c r="J86" s="1344">
        <v>0</v>
      </c>
      <c r="K86" s="1343">
        <v>0</v>
      </c>
      <c r="L86" s="1344">
        <v>0</v>
      </c>
      <c r="M86" s="1343">
        <v>0</v>
      </c>
      <c r="N86" s="1344">
        <v>0</v>
      </c>
      <c r="O86" s="1343">
        <v>0</v>
      </c>
      <c r="P86" s="1344">
        <v>0</v>
      </c>
      <c r="Q86" s="1343">
        <v>0</v>
      </c>
      <c r="R86" s="1344">
        <v>0</v>
      </c>
      <c r="S86" s="1343">
        <v>0</v>
      </c>
      <c r="T86" s="1344">
        <v>0</v>
      </c>
      <c r="U86" s="1343">
        <v>0</v>
      </c>
      <c r="V86" s="1344">
        <v>0</v>
      </c>
      <c r="W86" s="1345">
        <v>0</v>
      </c>
    </row>
    <row r="87" spans="1:225" ht="24" hidden="1" customHeight="1" x14ac:dyDescent="0.25">
      <c r="A87" s="1416" t="s">
        <v>1855</v>
      </c>
      <c r="B87" s="1399" t="s">
        <v>1856</v>
      </c>
      <c r="C87" s="1350" t="s">
        <v>1780</v>
      </c>
      <c r="D87" s="1344"/>
      <c r="E87" s="3619"/>
      <c r="F87" s="3617"/>
      <c r="G87" s="3631"/>
      <c r="H87" s="3623">
        <f t="shared" ref="H87:S87" si="26">H85*H86</f>
        <v>0</v>
      </c>
      <c r="I87" s="1343">
        <f t="shared" si="26"/>
        <v>0</v>
      </c>
      <c r="J87" s="1344">
        <f t="shared" si="26"/>
        <v>0</v>
      </c>
      <c r="K87" s="1343">
        <f t="shared" si="26"/>
        <v>0</v>
      </c>
      <c r="L87" s="1344">
        <f t="shared" si="26"/>
        <v>0</v>
      </c>
      <c r="M87" s="1343">
        <f t="shared" si="26"/>
        <v>0</v>
      </c>
      <c r="N87" s="1344">
        <f t="shared" si="26"/>
        <v>0</v>
      </c>
      <c r="O87" s="1343">
        <f t="shared" si="26"/>
        <v>0</v>
      </c>
      <c r="P87" s="1344">
        <f t="shared" si="26"/>
        <v>0</v>
      </c>
      <c r="Q87" s="1343">
        <f t="shared" si="26"/>
        <v>0</v>
      </c>
      <c r="R87" s="1344">
        <f t="shared" si="26"/>
        <v>0</v>
      </c>
      <c r="S87" s="1343">
        <f t="shared" si="26"/>
        <v>0</v>
      </c>
      <c r="T87" s="1344">
        <f>T85*T86</f>
        <v>0</v>
      </c>
      <c r="U87" s="1343">
        <f>U85*U86</f>
        <v>0</v>
      </c>
      <c r="V87" s="1344">
        <f>V85*V86</f>
        <v>0</v>
      </c>
      <c r="W87" s="1343">
        <f>W85*W86</f>
        <v>0</v>
      </c>
      <c r="X87" s="1370"/>
      <c r="Y87" s="1370"/>
      <c r="Z87" s="1370"/>
      <c r="AA87" s="1370"/>
      <c r="AB87" s="1370"/>
      <c r="AC87" s="1370"/>
      <c r="AD87" s="1370"/>
      <c r="AE87" s="1370"/>
      <c r="AF87" s="1370"/>
      <c r="AG87" s="1370"/>
      <c r="AH87" s="1370"/>
      <c r="AI87" s="1370"/>
      <c r="AJ87" s="1370"/>
      <c r="AK87" s="1370"/>
      <c r="AL87" s="1370"/>
      <c r="AM87" s="1370"/>
      <c r="AN87" s="1370"/>
      <c r="AO87" s="1370"/>
      <c r="AP87" s="1370"/>
      <c r="AQ87" s="1370"/>
      <c r="AR87" s="1370"/>
      <c r="AS87" s="1370"/>
      <c r="AT87" s="1370"/>
      <c r="AU87" s="1370"/>
      <c r="AV87" s="1370"/>
      <c r="AW87" s="1370"/>
      <c r="AX87" s="1370"/>
      <c r="AY87" s="1370"/>
      <c r="AZ87" s="1370"/>
      <c r="BA87" s="1370"/>
      <c r="BB87" s="1370"/>
      <c r="BC87" s="1370"/>
      <c r="BD87" s="1370"/>
      <c r="BE87" s="1370"/>
      <c r="BF87" s="1370"/>
      <c r="BG87" s="1370"/>
      <c r="BH87" s="1370"/>
      <c r="BI87" s="1370"/>
      <c r="BJ87" s="1370"/>
      <c r="BK87" s="1370"/>
      <c r="BL87" s="1370"/>
      <c r="BM87" s="1370"/>
      <c r="BN87" s="1370"/>
      <c r="BO87" s="1370"/>
      <c r="BP87" s="1370"/>
      <c r="BQ87" s="1370"/>
      <c r="BR87" s="1370"/>
      <c r="BS87" s="1370"/>
      <c r="BT87" s="1370"/>
      <c r="BU87" s="1370"/>
      <c r="BV87" s="1370"/>
      <c r="BW87" s="1370"/>
      <c r="BX87" s="1370"/>
      <c r="BY87" s="1370"/>
      <c r="BZ87" s="1370"/>
      <c r="CA87" s="1370"/>
      <c r="CB87" s="1370"/>
      <c r="CC87" s="1370"/>
      <c r="CD87" s="1370"/>
      <c r="CE87" s="1370"/>
      <c r="CF87" s="1370"/>
      <c r="CG87" s="1370"/>
      <c r="CH87" s="1370"/>
      <c r="CI87" s="1370"/>
      <c r="CJ87" s="1370"/>
      <c r="CK87" s="1370"/>
      <c r="CL87" s="1370"/>
      <c r="CM87" s="1370"/>
      <c r="CN87" s="1370"/>
      <c r="CO87" s="1370"/>
      <c r="CP87" s="1370"/>
      <c r="CQ87" s="1370"/>
      <c r="CR87" s="1370"/>
      <c r="CS87" s="1370"/>
      <c r="CT87" s="1370"/>
      <c r="CU87" s="1370"/>
      <c r="CV87" s="1370"/>
      <c r="CW87" s="1370"/>
      <c r="CX87" s="1370"/>
      <c r="CY87" s="1370"/>
      <c r="CZ87" s="1370"/>
      <c r="DA87" s="1370"/>
      <c r="DB87" s="1370"/>
      <c r="DC87" s="1370"/>
      <c r="DD87" s="1370"/>
      <c r="DE87" s="1370"/>
      <c r="DF87" s="1370"/>
      <c r="DG87" s="1370"/>
      <c r="DH87" s="1370"/>
      <c r="DI87" s="1370"/>
      <c r="DJ87" s="1370"/>
      <c r="DK87" s="1370"/>
      <c r="DL87" s="1370"/>
      <c r="DM87" s="1370"/>
      <c r="DN87" s="1370"/>
      <c r="DO87" s="1370"/>
      <c r="DP87" s="1370"/>
      <c r="DQ87" s="1370"/>
      <c r="DR87" s="1370"/>
      <c r="DS87" s="1370"/>
      <c r="DT87" s="1370"/>
      <c r="DU87" s="1370"/>
      <c r="DV87" s="1370"/>
      <c r="DW87" s="1370"/>
      <c r="DX87" s="1370"/>
      <c r="DY87" s="1370"/>
      <c r="DZ87" s="1370"/>
      <c r="EA87" s="1370"/>
      <c r="EB87" s="1370"/>
      <c r="EC87" s="1370"/>
      <c r="ED87" s="1370"/>
      <c r="EE87" s="1370"/>
      <c r="EF87" s="1370"/>
      <c r="EG87" s="1370"/>
      <c r="EH87" s="1370"/>
      <c r="EI87" s="1370"/>
      <c r="EJ87" s="1370"/>
      <c r="EK87" s="1370"/>
      <c r="EL87" s="1370"/>
      <c r="EM87" s="1370"/>
      <c r="EN87" s="1370"/>
      <c r="EO87" s="1370"/>
      <c r="EP87" s="1370"/>
      <c r="EQ87" s="1370"/>
      <c r="ER87" s="1370"/>
      <c r="ES87" s="1370"/>
      <c r="ET87" s="1370"/>
      <c r="EU87" s="1370"/>
      <c r="EV87" s="1370"/>
      <c r="EW87" s="1370"/>
      <c r="EX87" s="1370"/>
      <c r="EY87" s="1370"/>
      <c r="EZ87" s="1370"/>
      <c r="FA87" s="1370"/>
      <c r="FB87" s="1370"/>
      <c r="FC87" s="1370"/>
      <c r="FD87" s="1370"/>
      <c r="FE87" s="1370"/>
      <c r="FF87" s="1370"/>
      <c r="FG87" s="1370"/>
      <c r="FH87" s="1370"/>
      <c r="FI87" s="1370"/>
      <c r="FJ87" s="1370"/>
      <c r="FK87" s="1370"/>
      <c r="FL87" s="1370"/>
      <c r="FM87" s="1370"/>
      <c r="FN87" s="1370"/>
      <c r="FO87" s="1370"/>
      <c r="FP87" s="1370"/>
      <c r="FQ87" s="1370"/>
      <c r="FR87" s="1370"/>
      <c r="FS87" s="1370"/>
      <c r="FT87" s="1370"/>
      <c r="FU87" s="1370"/>
      <c r="FV87" s="1370"/>
      <c r="FW87" s="1370"/>
      <c r="FX87" s="1370"/>
      <c r="FY87" s="1370"/>
      <c r="FZ87" s="1370"/>
      <c r="GA87" s="1370"/>
      <c r="GB87" s="1370"/>
      <c r="GC87" s="1370"/>
      <c r="GD87" s="1370"/>
      <c r="GE87" s="1370"/>
      <c r="GF87" s="1370"/>
      <c r="GG87" s="1370"/>
      <c r="GH87" s="1370"/>
      <c r="GI87" s="1370"/>
      <c r="GJ87" s="1370"/>
      <c r="GK87" s="1370"/>
      <c r="GL87" s="1370"/>
      <c r="GM87" s="1370"/>
      <c r="GN87" s="1370"/>
      <c r="GO87" s="1370"/>
      <c r="GP87" s="1370"/>
      <c r="GQ87" s="1370"/>
      <c r="GR87" s="1370"/>
      <c r="GS87" s="1370"/>
      <c r="GT87" s="1370"/>
      <c r="GU87" s="1370"/>
      <c r="GV87" s="1370"/>
      <c r="GW87" s="1370"/>
      <c r="GX87" s="1370"/>
      <c r="GY87" s="1370"/>
      <c r="GZ87" s="1370"/>
      <c r="HA87" s="1370"/>
      <c r="HB87" s="1370"/>
      <c r="HC87" s="1370"/>
      <c r="HD87" s="1370"/>
      <c r="HE87" s="1370"/>
      <c r="HF87" s="1370"/>
      <c r="HG87" s="1370"/>
      <c r="HH87" s="1370"/>
      <c r="HI87" s="1370"/>
      <c r="HJ87" s="1370"/>
      <c r="HK87" s="1370"/>
      <c r="HL87" s="1370"/>
      <c r="HM87" s="1370"/>
      <c r="HN87" s="1370"/>
      <c r="HO87" s="1370"/>
      <c r="HP87" s="1370"/>
      <c r="HQ87" s="1370"/>
    </row>
    <row r="88" spans="1:225" s="1360" customFormat="1" ht="23.4" x14ac:dyDescent="0.25">
      <c r="A88" s="1417" t="s">
        <v>1857</v>
      </c>
      <c r="B88" s="1406" t="s">
        <v>1858</v>
      </c>
      <c r="C88" s="1350" t="s">
        <v>1780</v>
      </c>
      <c r="D88" s="3607">
        <f>D33+D84+D87</f>
        <v>450.13799999999998</v>
      </c>
      <c r="E88" s="3620">
        <f>E33+E84+E87</f>
        <v>108.31139999999999</v>
      </c>
      <c r="F88" s="3607">
        <f>F33+F84+F87</f>
        <v>399.84967999999998</v>
      </c>
      <c r="G88" s="3631">
        <f>G33+G84+G87</f>
        <v>109.121461</v>
      </c>
      <c r="H88" s="3626">
        <f t="shared" ref="H88:S88" si="27">H33+H84+H87</f>
        <v>566.26135593215611</v>
      </c>
      <c r="I88" s="2543">
        <f t="shared" si="27"/>
        <v>154.35177018152646</v>
      </c>
      <c r="J88" s="2544">
        <f t="shared" si="27"/>
        <v>35.050341460155416</v>
      </c>
      <c r="K88" s="2543">
        <f t="shared" si="27"/>
        <v>9.0525343279307897</v>
      </c>
      <c r="L88" s="2544">
        <f t="shared" si="27"/>
        <v>526.42564065736019</v>
      </c>
      <c r="M88" s="2543">
        <f t="shared" si="27"/>
        <v>141.05205448694329</v>
      </c>
      <c r="N88" s="2544">
        <f t="shared" si="27"/>
        <v>0.13173300000000002</v>
      </c>
      <c r="O88" s="2543">
        <f t="shared" si="27"/>
        <v>0.11691750000000001</v>
      </c>
      <c r="P88" s="2544">
        <f t="shared" si="27"/>
        <v>1.7431098749999998</v>
      </c>
      <c r="Q88" s="2543">
        <f t="shared" si="27"/>
        <v>1.5470690624999999</v>
      </c>
      <c r="R88" s="2544">
        <f t="shared" si="27"/>
        <v>0.92213100000000003</v>
      </c>
      <c r="S88" s="2543">
        <f t="shared" si="27"/>
        <v>0.81842250000000005</v>
      </c>
      <c r="T88" s="2544">
        <f>T33+T84+T87</f>
        <v>1.5819030000000001</v>
      </c>
      <c r="U88" s="2543">
        <f>U33+U84+U87</f>
        <v>1.4039925</v>
      </c>
      <c r="V88" s="2544">
        <f>V33+V84+V87</f>
        <v>0.40649693964041089</v>
      </c>
      <c r="W88" s="2543">
        <f>W33+W84+W87</f>
        <v>0.36077980415239724</v>
      </c>
      <c r="X88" s="1371"/>
      <c r="Y88" s="1371"/>
      <c r="Z88" s="1371"/>
      <c r="AA88" s="1371"/>
      <c r="AB88" s="1371"/>
      <c r="AC88" s="1371"/>
      <c r="AD88" s="1371"/>
      <c r="AE88" s="1371"/>
      <c r="AF88" s="1371"/>
      <c r="AG88" s="1371"/>
      <c r="AH88" s="1371"/>
      <c r="AI88" s="1371"/>
      <c r="AJ88" s="1371"/>
      <c r="AK88" s="1371"/>
      <c r="AL88" s="1371"/>
      <c r="AM88" s="1371"/>
      <c r="AN88" s="1371"/>
      <c r="AO88" s="1371"/>
      <c r="AP88" s="1371"/>
      <c r="AQ88" s="1371"/>
      <c r="AR88" s="1371"/>
      <c r="AS88" s="1371"/>
      <c r="AT88" s="1371"/>
      <c r="AU88" s="1371"/>
      <c r="AV88" s="1371"/>
      <c r="AW88" s="1371"/>
      <c r="AX88" s="1371"/>
      <c r="AY88" s="1371"/>
      <c r="AZ88" s="1371"/>
      <c r="BA88" s="1371"/>
      <c r="BB88" s="1371"/>
      <c r="BC88" s="1371"/>
      <c r="BD88" s="1371"/>
      <c r="BE88" s="1371"/>
      <c r="BF88" s="1371"/>
      <c r="BG88" s="1371"/>
      <c r="BH88" s="1371"/>
      <c r="BI88" s="1371"/>
      <c r="BJ88" s="1371"/>
      <c r="BK88" s="1371"/>
      <c r="BL88" s="1371"/>
      <c r="BM88" s="1371"/>
      <c r="BN88" s="1371"/>
      <c r="BO88" s="1371"/>
      <c r="BP88" s="1371"/>
      <c r="BQ88" s="1371"/>
      <c r="BR88" s="1371"/>
      <c r="BS88" s="1371"/>
      <c r="BT88" s="1371"/>
      <c r="BU88" s="1371"/>
      <c r="BV88" s="1371"/>
      <c r="BW88" s="1371"/>
      <c r="BX88" s="1371"/>
      <c r="BY88" s="1371"/>
      <c r="BZ88" s="1371"/>
      <c r="CA88" s="1371"/>
      <c r="CB88" s="1371"/>
      <c r="CC88" s="1371"/>
      <c r="CD88" s="1371"/>
      <c r="CE88" s="1371"/>
      <c r="CF88" s="1371"/>
      <c r="CG88" s="1371"/>
      <c r="CH88" s="1371"/>
      <c r="CI88" s="1371"/>
      <c r="CJ88" s="1371"/>
      <c r="CK88" s="1371"/>
      <c r="CL88" s="1371"/>
      <c r="CM88" s="1371"/>
      <c r="CN88" s="1371"/>
      <c r="CO88" s="1371"/>
      <c r="CP88" s="1371"/>
      <c r="CQ88" s="1371"/>
      <c r="CR88" s="1371"/>
      <c r="CS88" s="1371"/>
      <c r="CT88" s="1371"/>
      <c r="CU88" s="1371"/>
      <c r="CV88" s="1371"/>
      <c r="CW88" s="1371"/>
      <c r="CX88" s="1371"/>
      <c r="CY88" s="1371"/>
      <c r="CZ88" s="1371"/>
      <c r="DA88" s="1371"/>
      <c r="DB88" s="1371"/>
      <c r="DC88" s="1371"/>
      <c r="DD88" s="1371"/>
      <c r="DE88" s="1371"/>
      <c r="DF88" s="1371"/>
      <c r="DG88" s="1371"/>
      <c r="DH88" s="1371"/>
      <c r="DI88" s="1371"/>
      <c r="DJ88" s="1371"/>
      <c r="DK88" s="1371"/>
      <c r="DL88" s="1371"/>
      <c r="DM88" s="1371"/>
      <c r="DN88" s="1371"/>
      <c r="DO88" s="1371"/>
      <c r="DP88" s="1371"/>
      <c r="DQ88" s="1371"/>
      <c r="DR88" s="1371"/>
      <c r="DS88" s="1371"/>
      <c r="DT88" s="1371"/>
      <c r="DU88" s="1371"/>
      <c r="DV88" s="1371"/>
      <c r="DW88" s="1371"/>
      <c r="DX88" s="1371"/>
      <c r="DY88" s="1371"/>
      <c r="DZ88" s="1371"/>
      <c r="EA88" s="1371"/>
      <c r="EB88" s="1371"/>
      <c r="EC88" s="1371"/>
      <c r="ED88" s="1371"/>
      <c r="EE88" s="1371"/>
      <c r="EF88" s="1371"/>
      <c r="EG88" s="1371"/>
      <c r="EH88" s="1371"/>
      <c r="EI88" s="1371"/>
      <c r="EJ88" s="1371"/>
      <c r="EK88" s="1371"/>
      <c r="EL88" s="1371"/>
      <c r="EM88" s="1371"/>
      <c r="EN88" s="1371"/>
      <c r="EO88" s="1371"/>
      <c r="EP88" s="1371"/>
      <c r="EQ88" s="1371"/>
      <c r="ER88" s="1371"/>
      <c r="ES88" s="1371"/>
      <c r="ET88" s="1371"/>
      <c r="EU88" s="1371"/>
      <c r="EV88" s="1371"/>
      <c r="EW88" s="1371"/>
      <c r="EX88" s="1371"/>
      <c r="EY88" s="1371"/>
      <c r="EZ88" s="1371"/>
      <c r="FA88" s="1371"/>
      <c r="FB88" s="1371"/>
      <c r="FC88" s="1371"/>
      <c r="FD88" s="1371"/>
      <c r="FE88" s="1371"/>
      <c r="FF88" s="1371"/>
      <c r="FG88" s="1371"/>
      <c r="FH88" s="1371"/>
      <c r="FI88" s="1371"/>
      <c r="FJ88" s="1371"/>
      <c r="FK88" s="1371"/>
      <c r="FL88" s="1371"/>
      <c r="FM88" s="1371"/>
      <c r="FN88" s="1371"/>
      <c r="FO88" s="1371"/>
      <c r="FP88" s="1371"/>
      <c r="FQ88" s="1371"/>
      <c r="FR88" s="1371"/>
      <c r="FS88" s="1371"/>
      <c r="FT88" s="1371"/>
      <c r="FU88" s="1371"/>
      <c r="FV88" s="1371"/>
      <c r="FW88" s="1371"/>
      <c r="FX88" s="1371"/>
      <c r="FY88" s="1371"/>
      <c r="FZ88" s="1371"/>
      <c r="GA88" s="1371"/>
      <c r="GB88" s="1371"/>
      <c r="GC88" s="1371"/>
      <c r="GD88" s="1371"/>
      <c r="GE88" s="1371"/>
      <c r="GF88" s="1371"/>
      <c r="GG88" s="1371"/>
      <c r="GH88" s="1371"/>
      <c r="GI88" s="1371"/>
      <c r="GJ88" s="1371"/>
      <c r="GK88" s="1371"/>
      <c r="GL88" s="1371"/>
      <c r="GM88" s="1371"/>
      <c r="GN88" s="1371"/>
      <c r="GO88" s="1371"/>
      <c r="GP88" s="1371"/>
      <c r="GQ88" s="1371"/>
      <c r="GR88" s="1371"/>
      <c r="GS88" s="1371"/>
      <c r="GT88" s="1371"/>
      <c r="GU88" s="1371"/>
      <c r="GV88" s="1371"/>
      <c r="GW88" s="1371"/>
      <c r="GX88" s="1371"/>
      <c r="GY88" s="1371"/>
      <c r="GZ88" s="1371"/>
      <c r="HA88" s="1371"/>
      <c r="HB88" s="1371"/>
      <c r="HC88" s="1371"/>
      <c r="HD88" s="1371"/>
      <c r="HE88" s="1371"/>
      <c r="HF88" s="1371"/>
      <c r="HG88" s="1371"/>
      <c r="HH88" s="1371"/>
      <c r="HI88" s="1371"/>
      <c r="HJ88" s="1371"/>
      <c r="HK88" s="1371"/>
      <c r="HL88" s="1371"/>
      <c r="HM88" s="1371"/>
      <c r="HN88" s="1371"/>
      <c r="HO88" s="1371"/>
      <c r="HP88" s="1371"/>
      <c r="HQ88" s="1371"/>
    </row>
    <row r="89" spans="1:225" ht="36" customHeight="1" x14ac:dyDescent="0.25">
      <c r="A89" s="1418" t="s">
        <v>1859</v>
      </c>
      <c r="B89" s="1407" t="s">
        <v>1860</v>
      </c>
      <c r="C89" s="1339" t="s">
        <v>74</v>
      </c>
      <c r="D89" s="1391">
        <f>D88/D90</f>
        <v>4.8595756261241343</v>
      </c>
      <c r="E89" s="3619">
        <f>E88/E90</f>
        <v>1.1693023905366389</v>
      </c>
      <c r="F89" s="3616">
        <f>F88/F90</f>
        <v>5.9810088121862552</v>
      </c>
      <c r="G89" s="3631">
        <f>G88/G90</f>
        <v>1.6322544508217158</v>
      </c>
      <c r="H89" s="3627">
        <f>J89+L89+N89+P89+R89+T89+V89</f>
        <v>5.6993807480309693</v>
      </c>
      <c r="I89" s="1391">
        <f>K89+M89+O89+Q89+S89+U89+W89</f>
        <v>1.5540011934885407</v>
      </c>
      <c r="J89" s="1344">
        <f t="shared" ref="J89:U89" si="28">J88/J90</f>
        <v>0.3225228402107162</v>
      </c>
      <c r="K89" s="1343">
        <f t="shared" si="28"/>
        <v>8.3298734360926233E-2</v>
      </c>
      <c r="L89" s="1344">
        <f t="shared" si="28"/>
        <v>5.3284208943997022</v>
      </c>
      <c r="M89" s="1343">
        <f t="shared" si="28"/>
        <v>1.427712968896637</v>
      </c>
      <c r="N89" s="1344">
        <f t="shared" si="28"/>
        <v>1.333386551622829E-3</v>
      </c>
      <c r="O89" s="1343">
        <f t="shared" si="28"/>
        <v>1.1834257334863861E-3</v>
      </c>
      <c r="P89" s="1344">
        <f t="shared" si="28"/>
        <v>1.7643561334866359E-2</v>
      </c>
      <c r="Q89" s="1343">
        <f t="shared" si="28"/>
        <v>1.5659258366310928E-2</v>
      </c>
      <c r="R89" s="1344">
        <f t="shared" si="28"/>
        <v>9.3337058613598024E-3</v>
      </c>
      <c r="S89" s="1343">
        <f t="shared" si="28"/>
        <v>8.2839801344047025E-3</v>
      </c>
      <c r="T89" s="1344">
        <f t="shared" si="28"/>
        <v>1.601184354847918E-2</v>
      </c>
      <c r="U89" s="1343">
        <f t="shared" si="28"/>
        <v>1.4211053555899543E-2</v>
      </c>
      <c r="V89" s="1344">
        <f>V88/V90</f>
        <v>4.1145161242237003E-3</v>
      </c>
      <c r="W89" s="1343">
        <f>W88/W90</f>
        <v>3.6517724408760485E-3</v>
      </c>
      <c r="X89" s="1370"/>
      <c r="Y89" s="1370"/>
      <c r="Z89" s="1370"/>
      <c r="AA89" s="1370"/>
      <c r="AB89" s="1370"/>
      <c r="AC89" s="1370"/>
      <c r="AD89" s="1370"/>
      <c r="AE89" s="1370"/>
      <c r="AF89" s="1370"/>
      <c r="AG89" s="1370"/>
      <c r="AH89" s="1370"/>
      <c r="AI89" s="1370"/>
      <c r="AJ89" s="1370"/>
      <c r="AK89" s="1370"/>
      <c r="AL89" s="1370"/>
      <c r="AM89" s="1370"/>
      <c r="AN89" s="1370"/>
      <c r="AO89" s="1370"/>
      <c r="AP89" s="1370"/>
      <c r="AQ89" s="1370"/>
      <c r="AR89" s="1370"/>
      <c r="AS89" s="1370"/>
      <c r="AT89" s="1370"/>
      <c r="AU89" s="1370"/>
      <c r="AV89" s="1370"/>
      <c r="AW89" s="1370"/>
      <c r="AX89" s="1370"/>
      <c r="AY89" s="1370"/>
      <c r="AZ89" s="1370"/>
      <c r="BA89" s="1370"/>
      <c r="BB89" s="1370"/>
      <c r="BC89" s="1370"/>
      <c r="BD89" s="1370"/>
      <c r="BE89" s="1370"/>
      <c r="BF89" s="1370"/>
      <c r="BG89" s="1370"/>
      <c r="BH89" s="1370"/>
      <c r="BI89" s="1370"/>
      <c r="BJ89" s="1370"/>
      <c r="BK89" s="1370"/>
      <c r="BL89" s="1370"/>
      <c r="BM89" s="1370"/>
      <c r="BN89" s="1370"/>
      <c r="BO89" s="1370"/>
      <c r="BP89" s="1370"/>
      <c r="BQ89" s="1370"/>
      <c r="BR89" s="1370"/>
      <c r="BS89" s="1370"/>
      <c r="BT89" s="1370"/>
      <c r="BU89" s="1370"/>
      <c r="BV89" s="1370"/>
      <c r="BW89" s="1370"/>
      <c r="BX89" s="1370"/>
      <c r="BY89" s="1370"/>
      <c r="BZ89" s="1370"/>
      <c r="CA89" s="1370"/>
      <c r="CB89" s="1370"/>
      <c r="CC89" s="1370"/>
      <c r="CD89" s="1370"/>
      <c r="CE89" s="1370"/>
      <c r="CF89" s="1370"/>
      <c r="CG89" s="1370"/>
      <c r="CH89" s="1370"/>
      <c r="CI89" s="1370"/>
      <c r="CJ89" s="1370"/>
      <c r="CK89" s="1370"/>
      <c r="CL89" s="1370"/>
      <c r="CM89" s="1370"/>
      <c r="CN89" s="1370"/>
      <c r="CO89" s="1370"/>
      <c r="CP89" s="1370"/>
      <c r="CQ89" s="1370"/>
      <c r="CR89" s="1370"/>
      <c r="CS89" s="1370"/>
      <c r="CT89" s="1370"/>
      <c r="CU89" s="1370"/>
      <c r="CV89" s="1370"/>
      <c r="CW89" s="1370"/>
      <c r="CX89" s="1370"/>
      <c r="CY89" s="1370"/>
      <c r="CZ89" s="1370"/>
      <c r="DA89" s="1370"/>
      <c r="DB89" s="1370"/>
      <c r="DC89" s="1370"/>
      <c r="DD89" s="1370"/>
      <c r="DE89" s="1370"/>
      <c r="DF89" s="1370"/>
      <c r="DG89" s="1370"/>
      <c r="DH89" s="1370"/>
      <c r="DI89" s="1370"/>
      <c r="DJ89" s="1370"/>
      <c r="DK89" s="1370"/>
      <c r="DL89" s="1370"/>
      <c r="DM89" s="1370"/>
      <c r="DN89" s="1370"/>
      <c r="DO89" s="1370"/>
      <c r="DP89" s="1370"/>
      <c r="DQ89" s="1370"/>
      <c r="DR89" s="1370"/>
      <c r="DS89" s="1370"/>
      <c r="DT89" s="1370"/>
      <c r="DU89" s="1370"/>
      <c r="DV89" s="1370"/>
      <c r="DW89" s="1370"/>
      <c r="DX89" s="1370"/>
      <c r="DY89" s="1370"/>
      <c r="DZ89" s="1370"/>
      <c r="EA89" s="1370"/>
      <c r="EB89" s="1370"/>
      <c r="EC89" s="1370"/>
      <c r="ED89" s="1370"/>
      <c r="EE89" s="1370"/>
      <c r="EF89" s="1370"/>
      <c r="EG89" s="1370"/>
      <c r="EH89" s="1370"/>
      <c r="EI89" s="1370"/>
      <c r="EJ89" s="1370"/>
      <c r="EK89" s="1370"/>
      <c r="EL89" s="1370"/>
      <c r="EM89" s="1370"/>
      <c r="EN89" s="1370"/>
      <c r="EO89" s="1370"/>
      <c r="EP89" s="1370"/>
      <c r="EQ89" s="1370"/>
      <c r="ER89" s="1370"/>
      <c r="ES89" s="1370"/>
      <c r="ET89" s="1370"/>
      <c r="EU89" s="1370"/>
      <c r="EV89" s="1370"/>
      <c r="EW89" s="1370"/>
      <c r="EX89" s="1370"/>
      <c r="EY89" s="1370"/>
      <c r="EZ89" s="1370"/>
      <c r="FA89" s="1370"/>
      <c r="FB89" s="1370"/>
      <c r="FC89" s="1370"/>
      <c r="FD89" s="1370"/>
      <c r="FE89" s="1370"/>
      <c r="FF89" s="1370"/>
      <c r="FG89" s="1370"/>
      <c r="FH89" s="1370"/>
      <c r="FI89" s="1370"/>
      <c r="FJ89" s="1370"/>
      <c r="FK89" s="1370"/>
      <c r="FL89" s="1370"/>
      <c r="FM89" s="1370"/>
      <c r="FN89" s="1370"/>
      <c r="FO89" s="1370"/>
      <c r="FP89" s="1370"/>
      <c r="FQ89" s="1370"/>
      <c r="FR89" s="1370"/>
      <c r="FS89" s="1370"/>
      <c r="FT89" s="1370"/>
      <c r="FU89" s="1370"/>
      <c r="FV89" s="1370"/>
      <c r="FW89" s="1370"/>
      <c r="FX89" s="1370"/>
      <c r="FY89" s="1370"/>
      <c r="FZ89" s="1370"/>
      <c r="GA89" s="1370"/>
      <c r="GB89" s="1370"/>
      <c r="GC89" s="1370"/>
      <c r="GD89" s="1370"/>
      <c r="GE89" s="1370"/>
      <c r="GF89" s="1370"/>
      <c r="GG89" s="1370"/>
      <c r="GH89" s="1370"/>
      <c r="GI89" s="1370"/>
      <c r="GJ89" s="1370"/>
      <c r="GK89" s="1370"/>
      <c r="GL89" s="1370"/>
      <c r="GM89" s="1370"/>
      <c r="GN89" s="1370"/>
      <c r="GO89" s="1370"/>
      <c r="GP89" s="1370"/>
      <c r="GQ89" s="1370"/>
      <c r="GR89" s="1370"/>
      <c r="GS89" s="1370"/>
      <c r="GT89" s="1370"/>
      <c r="GU89" s="1370"/>
      <c r="GV89" s="1370"/>
      <c r="GW89" s="1370"/>
      <c r="GX89" s="1370"/>
      <c r="GY89" s="1370"/>
      <c r="GZ89" s="1370"/>
      <c r="HA89" s="1370"/>
      <c r="HB89" s="1370"/>
      <c r="HC89" s="1370"/>
      <c r="HD89" s="1370"/>
      <c r="HE89" s="1370"/>
      <c r="HF89" s="1370"/>
      <c r="HG89" s="1370"/>
      <c r="HH89" s="1370"/>
      <c r="HI89" s="1370"/>
      <c r="HJ89" s="1370"/>
      <c r="HK89" s="1370"/>
      <c r="HL89" s="1370"/>
      <c r="HM89" s="1370"/>
      <c r="HN89" s="1370"/>
      <c r="HO89" s="1370"/>
      <c r="HP89" s="1370"/>
      <c r="HQ89" s="1370"/>
    </row>
    <row r="90" spans="1:225" ht="24.6" customHeight="1" thickBot="1" x14ac:dyDescent="0.3">
      <c r="A90" s="1419" t="s">
        <v>1861</v>
      </c>
      <c r="B90" s="1408" t="s">
        <v>1862</v>
      </c>
      <c r="C90" s="1340" t="s">
        <v>1863</v>
      </c>
      <c r="D90" s="3606">
        <f>92629.076/1000</f>
        <v>92.629075999999998</v>
      </c>
      <c r="E90" s="3622">
        <f>D90</f>
        <v>92.629075999999998</v>
      </c>
      <c r="F90" s="3633">
        <f>66853.217/1000</f>
        <v>66.853217000000001</v>
      </c>
      <c r="G90" s="3634">
        <f>F90</f>
        <v>66.853217000000001</v>
      </c>
      <c r="H90" s="1341">
        <f>102741.280082065/1000</f>
        <v>102.741280082065</v>
      </c>
      <c r="I90" s="1342">
        <f>H90</f>
        <v>102.741280082065</v>
      </c>
      <c r="J90" s="1392">
        <f>'Д 2_Т на В'!H58/1000</f>
        <v>108.67553267624618</v>
      </c>
      <c r="K90" s="1393">
        <f t="shared" ref="K90:W90" si="29">J90</f>
        <v>108.67553267624618</v>
      </c>
      <c r="L90" s="1392">
        <f>'Д 2_Т на В'!H55/1000</f>
        <v>98.795806692118887</v>
      </c>
      <c r="M90" s="1393">
        <f t="shared" si="29"/>
        <v>98.795806692118887</v>
      </c>
      <c r="N90" s="1392">
        <f t="shared" si="29"/>
        <v>98.795806692118887</v>
      </c>
      <c r="O90" s="1393">
        <f t="shared" si="29"/>
        <v>98.795806692118887</v>
      </c>
      <c r="P90" s="1392">
        <f t="shared" si="29"/>
        <v>98.795806692118887</v>
      </c>
      <c r="Q90" s="1393">
        <f t="shared" si="29"/>
        <v>98.795806692118887</v>
      </c>
      <c r="R90" s="1392">
        <f t="shared" si="29"/>
        <v>98.795806692118887</v>
      </c>
      <c r="S90" s="1393">
        <f t="shared" si="29"/>
        <v>98.795806692118887</v>
      </c>
      <c r="T90" s="1392">
        <f t="shared" si="29"/>
        <v>98.795806692118887</v>
      </c>
      <c r="U90" s="1393">
        <f t="shared" si="29"/>
        <v>98.795806692118887</v>
      </c>
      <c r="V90" s="1392">
        <f t="shared" si="29"/>
        <v>98.795806692118887</v>
      </c>
      <c r="W90" s="1393">
        <f t="shared" si="29"/>
        <v>98.795806692118887</v>
      </c>
      <c r="X90" s="1369"/>
      <c r="Y90" s="1369"/>
      <c r="Z90" s="1369"/>
      <c r="AA90" s="1369"/>
      <c r="AB90" s="1369"/>
      <c r="AC90" s="1369"/>
      <c r="AD90" s="1369"/>
      <c r="AE90" s="1369"/>
      <c r="AF90" s="1369"/>
      <c r="AG90" s="1369"/>
      <c r="AH90" s="1369"/>
      <c r="AI90" s="1369"/>
      <c r="AJ90" s="1369"/>
      <c r="AK90" s="1369"/>
      <c r="AL90" s="1369"/>
      <c r="AM90" s="1369"/>
      <c r="AN90" s="1369"/>
      <c r="AO90" s="1369"/>
      <c r="AP90" s="1369"/>
      <c r="AQ90" s="1369"/>
      <c r="AR90" s="1369"/>
      <c r="AS90" s="1369"/>
      <c r="AT90" s="1369"/>
      <c r="AU90" s="1369"/>
      <c r="AV90" s="1369"/>
      <c r="AW90" s="1369"/>
      <c r="AX90" s="1369"/>
      <c r="AY90" s="1369"/>
      <c r="AZ90" s="1369"/>
      <c r="BA90" s="1369"/>
      <c r="BB90" s="1369"/>
      <c r="BC90" s="1369"/>
      <c r="BD90" s="1369"/>
      <c r="BE90" s="1369"/>
      <c r="BF90" s="1369"/>
      <c r="BG90" s="1369"/>
      <c r="BH90" s="1369"/>
      <c r="BI90" s="1369"/>
      <c r="BJ90" s="1369"/>
      <c r="BK90" s="1369"/>
      <c r="BL90" s="1369"/>
      <c r="BM90" s="1369"/>
      <c r="BN90" s="1369"/>
      <c r="BO90" s="1369"/>
      <c r="BP90" s="1369"/>
      <c r="BQ90" s="1369"/>
      <c r="BR90" s="1369"/>
      <c r="BS90" s="1369"/>
      <c r="BT90" s="1369"/>
      <c r="BU90" s="1369"/>
      <c r="BV90" s="1369"/>
      <c r="BW90" s="1369"/>
      <c r="BX90" s="1369"/>
      <c r="BY90" s="1369"/>
      <c r="BZ90" s="1369"/>
      <c r="CA90" s="1369"/>
      <c r="CB90" s="1369"/>
      <c r="CC90" s="1369"/>
      <c r="CD90" s="1369"/>
      <c r="CE90" s="1369"/>
      <c r="CF90" s="1369"/>
      <c r="CG90" s="1369"/>
      <c r="CH90" s="1369"/>
      <c r="CI90" s="1369"/>
      <c r="CJ90" s="1369"/>
      <c r="CK90" s="1369"/>
      <c r="CL90" s="1369"/>
      <c r="CM90" s="1369"/>
      <c r="CN90" s="1369"/>
      <c r="CO90" s="1369"/>
      <c r="CP90" s="1369"/>
      <c r="CQ90" s="1369"/>
      <c r="CR90" s="1369"/>
      <c r="CS90" s="1369"/>
      <c r="CT90" s="1369"/>
      <c r="CU90" s="1369"/>
      <c r="CV90" s="1369"/>
      <c r="CW90" s="1369"/>
      <c r="CX90" s="1369"/>
      <c r="CY90" s="1369"/>
      <c r="CZ90" s="1369"/>
      <c r="DA90" s="1369"/>
      <c r="DB90" s="1369"/>
      <c r="DC90" s="1369"/>
      <c r="DD90" s="1369"/>
      <c r="DE90" s="1369"/>
      <c r="DF90" s="1369"/>
      <c r="DG90" s="1369"/>
      <c r="DH90" s="1369"/>
      <c r="DI90" s="1369"/>
      <c r="DJ90" s="1369"/>
      <c r="DK90" s="1369"/>
      <c r="DL90" s="1369"/>
      <c r="DM90" s="1369"/>
      <c r="DN90" s="1369"/>
      <c r="DO90" s="1369"/>
      <c r="DP90" s="1369"/>
      <c r="DQ90" s="1369"/>
      <c r="DR90" s="1369"/>
      <c r="DS90" s="1369"/>
      <c r="DT90" s="1369"/>
      <c r="DU90" s="1369"/>
      <c r="DV90" s="1369"/>
      <c r="DW90" s="1369"/>
      <c r="DX90" s="1369"/>
      <c r="DY90" s="1369"/>
      <c r="DZ90" s="1369"/>
      <c r="EA90" s="1369"/>
      <c r="EB90" s="1369"/>
      <c r="EC90" s="1369"/>
      <c r="ED90" s="1369"/>
      <c r="EE90" s="1369"/>
      <c r="EF90" s="1369"/>
      <c r="EG90" s="1369"/>
      <c r="EH90" s="1369"/>
      <c r="EI90" s="1369"/>
      <c r="EJ90" s="1369"/>
      <c r="EK90" s="1369"/>
      <c r="EL90" s="1369"/>
      <c r="EM90" s="1369"/>
      <c r="EN90" s="1369"/>
      <c r="EO90" s="1369"/>
      <c r="EP90" s="1369"/>
      <c r="EQ90" s="1369"/>
      <c r="ER90" s="1369"/>
      <c r="ES90" s="1369"/>
      <c r="ET90" s="1369"/>
      <c r="EU90" s="1369"/>
      <c r="EV90" s="1369"/>
      <c r="EW90" s="1369"/>
      <c r="EX90" s="1369"/>
      <c r="EY90" s="1369"/>
      <c r="EZ90" s="1369"/>
      <c r="FA90" s="1369"/>
      <c r="FB90" s="1369"/>
      <c r="FC90" s="1369"/>
      <c r="FD90" s="1369"/>
      <c r="FE90" s="1369"/>
      <c r="FF90" s="1369"/>
      <c r="FG90" s="1369"/>
      <c r="FH90" s="1369"/>
      <c r="FI90" s="1369"/>
      <c r="FJ90" s="1369"/>
      <c r="FK90" s="1369"/>
      <c r="FL90" s="1369"/>
      <c r="FM90" s="1369"/>
      <c r="FN90" s="1369"/>
      <c r="FO90" s="1369"/>
      <c r="FP90" s="1369"/>
      <c r="FQ90" s="1369"/>
      <c r="FR90" s="1369"/>
      <c r="FS90" s="1369"/>
      <c r="FT90" s="1369"/>
      <c r="FU90" s="1369"/>
      <c r="FV90" s="1369"/>
      <c r="FW90" s="1369"/>
      <c r="FX90" s="1369"/>
      <c r="FY90" s="1369"/>
      <c r="FZ90" s="1369"/>
      <c r="GA90" s="1369"/>
      <c r="GB90" s="1369"/>
      <c r="GC90" s="1369"/>
      <c r="GD90" s="1369"/>
      <c r="GE90" s="1369"/>
      <c r="GF90" s="1369"/>
      <c r="GG90" s="1369"/>
      <c r="GH90" s="1369"/>
      <c r="GI90" s="1369"/>
      <c r="GJ90" s="1369"/>
      <c r="GK90" s="1369"/>
      <c r="GL90" s="1369"/>
      <c r="GM90" s="1369"/>
      <c r="GN90" s="1369"/>
      <c r="GO90" s="1369"/>
      <c r="GP90" s="1369"/>
      <c r="GQ90" s="1369"/>
      <c r="GR90" s="1369"/>
      <c r="GS90" s="1369"/>
      <c r="GT90" s="1369"/>
      <c r="GU90" s="1369"/>
      <c r="GV90" s="1369"/>
      <c r="GW90" s="1369"/>
      <c r="GX90" s="1369"/>
      <c r="GY90" s="1369"/>
      <c r="GZ90" s="1369"/>
      <c r="HA90" s="1369"/>
      <c r="HB90" s="1369"/>
      <c r="HC90" s="1369"/>
      <c r="HD90" s="1369"/>
      <c r="HE90" s="1369"/>
      <c r="HF90" s="1369"/>
      <c r="HG90" s="1369"/>
      <c r="HH90" s="1369"/>
      <c r="HI90" s="1369"/>
      <c r="HJ90" s="1369"/>
      <c r="HK90" s="1369"/>
      <c r="HL90" s="1369"/>
      <c r="HM90" s="1369"/>
      <c r="HN90" s="1369"/>
      <c r="HO90" s="1369"/>
      <c r="HP90" s="1369"/>
      <c r="HQ90" s="1369"/>
    </row>
    <row r="91" spans="1:225" ht="13.8" thickBot="1" x14ac:dyDescent="0.3">
      <c r="A91" s="5872" t="s">
        <v>1864</v>
      </c>
      <c r="B91" s="5873"/>
      <c r="C91" s="5873"/>
      <c r="D91" s="5873"/>
      <c r="E91" s="5873"/>
      <c r="F91" s="5873"/>
      <c r="G91" s="5873"/>
      <c r="H91" s="5873"/>
      <c r="I91" s="5873"/>
      <c r="J91" s="5873"/>
      <c r="K91" s="5873"/>
      <c r="L91" s="5873"/>
      <c r="M91" s="5873"/>
      <c r="N91" s="5873"/>
      <c r="O91" s="5873"/>
      <c r="P91" s="5873"/>
      <c r="Q91" s="5873"/>
      <c r="R91" s="5873"/>
      <c r="S91" s="5873"/>
      <c r="T91" s="5873"/>
      <c r="U91" s="5873"/>
      <c r="V91" s="1369"/>
      <c r="W91" s="1369"/>
      <c r="X91" s="1369"/>
      <c r="Y91" s="1369"/>
      <c r="Z91" s="1369"/>
      <c r="AA91" s="1369"/>
      <c r="AB91" s="1369"/>
      <c r="AC91" s="1369"/>
      <c r="AD91" s="1369"/>
      <c r="AE91" s="1369"/>
      <c r="AF91" s="1369"/>
      <c r="AG91" s="1369"/>
      <c r="AH91" s="1369"/>
      <c r="AI91" s="1369"/>
      <c r="AJ91" s="1369"/>
      <c r="AK91" s="1369"/>
      <c r="AL91" s="1369"/>
      <c r="AM91" s="1369"/>
      <c r="AN91" s="1369"/>
      <c r="AO91" s="1369"/>
      <c r="AP91" s="1369"/>
      <c r="AQ91" s="1369"/>
      <c r="AR91" s="1369"/>
      <c r="AS91" s="1369"/>
      <c r="AT91" s="1369"/>
      <c r="AU91" s="1369"/>
      <c r="AV91" s="1369"/>
      <c r="AW91" s="1369"/>
      <c r="AX91" s="1369"/>
      <c r="AY91" s="1369"/>
      <c r="AZ91" s="1369"/>
      <c r="BA91" s="1369"/>
      <c r="BB91" s="1369"/>
      <c r="BC91" s="1369"/>
      <c r="BD91" s="1369"/>
      <c r="BE91" s="1369"/>
      <c r="BF91" s="1369"/>
      <c r="BG91" s="1369"/>
      <c r="BH91" s="1369"/>
      <c r="BI91" s="1369"/>
      <c r="BJ91" s="1369"/>
      <c r="BK91" s="1369"/>
      <c r="BL91" s="1369"/>
      <c r="BM91" s="1369"/>
      <c r="BN91" s="1369"/>
      <c r="BO91" s="1369"/>
      <c r="BP91" s="1369"/>
      <c r="BQ91" s="1369"/>
      <c r="BR91" s="1369"/>
      <c r="BS91" s="1369"/>
      <c r="BT91" s="1369"/>
      <c r="BU91" s="1369"/>
      <c r="BV91" s="1369"/>
      <c r="BW91" s="1369"/>
      <c r="BX91" s="1369"/>
      <c r="BY91" s="1369"/>
      <c r="BZ91" s="1369"/>
      <c r="CA91" s="1369"/>
      <c r="CB91" s="1369"/>
      <c r="CC91" s="1369"/>
      <c r="CD91" s="1369"/>
      <c r="CE91" s="1369"/>
      <c r="CF91" s="1369"/>
      <c r="CG91" s="1369"/>
      <c r="CH91" s="1369"/>
      <c r="CI91" s="1369"/>
      <c r="CJ91" s="1369"/>
      <c r="CK91" s="1369"/>
      <c r="CL91" s="1369"/>
      <c r="CM91" s="1369"/>
      <c r="CN91" s="1369"/>
      <c r="CO91" s="1369"/>
      <c r="CP91" s="1369"/>
      <c r="CQ91" s="1369"/>
      <c r="CR91" s="1369"/>
      <c r="CS91" s="1369"/>
      <c r="CT91" s="1369"/>
      <c r="CU91" s="1369"/>
      <c r="CV91" s="1369"/>
      <c r="CW91" s="1369"/>
      <c r="CX91" s="1369"/>
      <c r="CY91" s="1369"/>
      <c r="CZ91" s="1369"/>
      <c r="DA91" s="1369"/>
      <c r="DB91" s="1369"/>
      <c r="DC91" s="1369"/>
      <c r="DD91" s="1369"/>
      <c r="DE91" s="1369"/>
      <c r="DF91" s="1369"/>
      <c r="DG91" s="1369"/>
      <c r="DH91" s="1369"/>
      <c r="DI91" s="1369"/>
      <c r="DJ91" s="1369"/>
      <c r="DK91" s="1369"/>
      <c r="DL91" s="1369"/>
      <c r="DM91" s="1369"/>
      <c r="DN91" s="1369"/>
      <c r="DO91" s="1369"/>
      <c r="DP91" s="1369"/>
      <c r="DQ91" s="1369"/>
      <c r="DR91" s="1369"/>
      <c r="DS91" s="1369"/>
      <c r="DT91" s="1369"/>
      <c r="DU91" s="1369"/>
      <c r="DV91" s="1369"/>
      <c r="DW91" s="1369"/>
      <c r="DX91" s="1369"/>
      <c r="DY91" s="1369"/>
      <c r="DZ91" s="1369"/>
      <c r="EA91" s="1369"/>
      <c r="EB91" s="1369"/>
      <c r="EC91" s="1369"/>
      <c r="ED91" s="1369"/>
      <c r="EE91" s="1369"/>
      <c r="EF91" s="1369"/>
      <c r="EG91" s="1369"/>
      <c r="EH91" s="1369"/>
      <c r="EI91" s="1369"/>
      <c r="EJ91" s="1369"/>
      <c r="EK91" s="1369"/>
      <c r="EL91" s="1369"/>
      <c r="EM91" s="1369"/>
      <c r="EN91" s="1369"/>
      <c r="EO91" s="1369"/>
      <c r="EP91" s="1369"/>
      <c r="EQ91" s="1369"/>
      <c r="ER91" s="1369"/>
      <c r="ES91" s="1369"/>
      <c r="ET91" s="1369"/>
      <c r="EU91" s="1369"/>
      <c r="EV91" s="1369"/>
      <c r="EW91" s="1369"/>
      <c r="EX91" s="1369"/>
      <c r="EY91" s="1369"/>
      <c r="EZ91" s="1369"/>
      <c r="FA91" s="1369"/>
      <c r="FB91" s="1369"/>
      <c r="FC91" s="1369"/>
      <c r="FD91" s="1369"/>
      <c r="FE91" s="1369"/>
      <c r="FF91" s="1369"/>
      <c r="FG91" s="1369"/>
      <c r="FH91" s="1369"/>
      <c r="FI91" s="1369"/>
      <c r="FJ91" s="1369"/>
      <c r="FK91" s="1369"/>
      <c r="FL91" s="1369"/>
      <c r="FM91" s="1369"/>
      <c r="FN91" s="1369"/>
      <c r="FO91" s="1369"/>
      <c r="FP91" s="1369"/>
      <c r="FQ91" s="1369"/>
      <c r="FR91" s="1369"/>
      <c r="FS91" s="1369"/>
      <c r="FT91" s="1369"/>
      <c r="FU91" s="1369"/>
      <c r="FV91" s="1369"/>
      <c r="FW91" s="1369"/>
      <c r="FX91" s="1369"/>
      <c r="FY91" s="1369"/>
      <c r="FZ91" s="1369"/>
      <c r="GA91" s="1369"/>
      <c r="GB91" s="1369"/>
      <c r="GC91" s="1369"/>
      <c r="GD91" s="1369"/>
      <c r="GE91" s="1369"/>
      <c r="GF91" s="1369"/>
      <c r="GG91" s="1369"/>
      <c r="GH91" s="1369"/>
      <c r="GI91" s="1369"/>
      <c r="GJ91" s="1369"/>
      <c r="GK91" s="1369"/>
      <c r="GL91" s="1369"/>
      <c r="GM91" s="1369"/>
      <c r="GN91" s="1369"/>
      <c r="GO91" s="1369"/>
      <c r="GP91" s="1369"/>
      <c r="GQ91" s="1369"/>
      <c r="GR91" s="1369"/>
      <c r="GS91" s="1369"/>
      <c r="GT91" s="1369"/>
      <c r="GU91" s="1369"/>
      <c r="GV91" s="1369"/>
      <c r="GW91" s="1369"/>
      <c r="GX91" s="1369"/>
      <c r="GY91" s="1369"/>
      <c r="GZ91" s="1369"/>
      <c r="HA91" s="1369"/>
      <c r="HB91" s="1369"/>
      <c r="HC91" s="1369"/>
      <c r="HD91" s="1369"/>
      <c r="HE91" s="1369"/>
      <c r="HF91" s="1369"/>
      <c r="HG91" s="1369"/>
      <c r="HH91" s="1369"/>
      <c r="HI91" s="1369"/>
      <c r="HJ91" s="1369"/>
      <c r="HK91" s="1369"/>
      <c r="HL91" s="1369"/>
      <c r="HM91" s="1369"/>
      <c r="HN91" s="1369"/>
      <c r="HO91" s="1369"/>
      <c r="HP91" s="1369"/>
      <c r="HQ91" s="1369"/>
    </row>
    <row r="92" spans="1:225" ht="36" x14ac:dyDescent="0.25">
      <c r="A92" s="1420" t="s">
        <v>1865</v>
      </c>
      <c r="B92" s="590" t="s">
        <v>1866</v>
      </c>
      <c r="C92" s="591" t="s">
        <v>1746</v>
      </c>
      <c r="D92" s="5870">
        <v>4185.2330000000002</v>
      </c>
      <c r="E92" s="5871"/>
      <c r="F92" s="5870">
        <v>4138.8829999999998</v>
      </c>
      <c r="G92" s="5871"/>
      <c r="H92" s="5874">
        <f>'[42]1. Додаток + економ'!$J$92</f>
        <v>4138.8999999999996</v>
      </c>
      <c r="I92" s="5875"/>
      <c r="J92" s="1353"/>
      <c r="K92" s="1379"/>
      <c r="L92" s="1354"/>
      <c r="M92" s="1354"/>
      <c r="N92" s="1354"/>
      <c r="O92" s="1354"/>
      <c r="P92" s="1372"/>
      <c r="Q92" s="1373"/>
      <c r="R92" s="1373"/>
      <c r="S92" s="1373"/>
      <c r="T92" s="1373"/>
      <c r="U92" s="1373"/>
      <c r="V92" s="1373"/>
      <c r="W92" s="1373"/>
      <c r="X92" s="1370"/>
      <c r="Y92" s="1370"/>
      <c r="Z92" s="1370"/>
      <c r="AA92" s="1370"/>
      <c r="AB92" s="1370"/>
      <c r="AC92" s="1370"/>
      <c r="AD92" s="1370"/>
      <c r="AE92" s="1370"/>
      <c r="AF92" s="1370"/>
      <c r="AG92" s="1370"/>
      <c r="AH92" s="1370"/>
      <c r="AI92" s="1370"/>
      <c r="AJ92" s="1370"/>
      <c r="AK92" s="1370"/>
      <c r="AL92" s="1370"/>
      <c r="AM92" s="1370"/>
      <c r="AN92" s="1370"/>
      <c r="AO92" s="1370"/>
      <c r="AP92" s="1370"/>
      <c r="AQ92" s="1370"/>
      <c r="AR92" s="1370"/>
      <c r="AS92" s="1370"/>
      <c r="AT92" s="1370"/>
      <c r="AU92" s="1370"/>
      <c r="AV92" s="1370"/>
      <c r="AW92" s="1370"/>
      <c r="AX92" s="1370"/>
      <c r="AY92" s="1370"/>
      <c r="AZ92" s="1370"/>
      <c r="BA92" s="1370"/>
      <c r="BB92" s="1370"/>
      <c r="BC92" s="1370"/>
      <c r="BD92" s="1370"/>
      <c r="BE92" s="1370"/>
      <c r="BF92" s="1370"/>
      <c r="BG92" s="1370"/>
      <c r="BH92" s="1370"/>
      <c r="BI92" s="1370"/>
      <c r="BJ92" s="1370"/>
      <c r="BK92" s="1370"/>
      <c r="BL92" s="1370"/>
      <c r="BM92" s="1370"/>
      <c r="BN92" s="1370"/>
      <c r="BO92" s="1370"/>
      <c r="BP92" s="1370"/>
      <c r="BQ92" s="1370"/>
      <c r="BR92" s="1370"/>
      <c r="BS92" s="1370"/>
      <c r="BT92" s="1370"/>
      <c r="BU92" s="1370"/>
      <c r="BV92" s="1370"/>
      <c r="BW92" s="1370"/>
      <c r="BX92" s="1370"/>
      <c r="BY92" s="1370"/>
      <c r="BZ92" s="1370"/>
      <c r="CA92" s="1370"/>
      <c r="CB92" s="1370"/>
      <c r="CC92" s="1370"/>
      <c r="CD92" s="1370"/>
      <c r="CE92" s="1370"/>
      <c r="CF92" s="1370"/>
      <c r="CG92" s="1370"/>
      <c r="CH92" s="1370"/>
      <c r="CI92" s="1370"/>
      <c r="CJ92" s="1370"/>
      <c r="CK92" s="1370"/>
      <c r="CL92" s="1370"/>
      <c r="CM92" s="1370"/>
      <c r="CN92" s="1370"/>
      <c r="CO92" s="1370"/>
      <c r="CP92" s="1370"/>
      <c r="CQ92" s="1370"/>
      <c r="CR92" s="1370"/>
      <c r="CS92" s="1370"/>
      <c r="CT92" s="1370"/>
      <c r="CU92" s="1370"/>
      <c r="CV92" s="1370"/>
      <c r="CW92" s="1370"/>
      <c r="CX92" s="1370"/>
      <c r="CY92" s="1370"/>
      <c r="CZ92" s="1370"/>
      <c r="DA92" s="1370"/>
      <c r="DB92" s="1370"/>
      <c r="DC92" s="1370"/>
      <c r="DD92" s="1370"/>
      <c r="DE92" s="1370"/>
      <c r="DF92" s="1370"/>
      <c r="DG92" s="1370"/>
      <c r="DH92" s="1370"/>
      <c r="DI92" s="1370"/>
      <c r="DJ92" s="1370"/>
      <c r="DK92" s="1370"/>
      <c r="DL92" s="1370"/>
      <c r="DM92" s="1370"/>
      <c r="DN92" s="1370"/>
      <c r="DO92" s="1370"/>
      <c r="DP92" s="1370"/>
      <c r="DQ92" s="1370"/>
      <c r="DR92" s="1370"/>
      <c r="DS92" s="1370"/>
      <c r="DT92" s="1370"/>
      <c r="DU92" s="1370"/>
      <c r="DV92" s="1370"/>
      <c r="DW92" s="1370"/>
      <c r="DX92" s="1370"/>
      <c r="DY92" s="1370"/>
      <c r="DZ92" s="1370"/>
      <c r="EA92" s="1370"/>
      <c r="EB92" s="1370"/>
      <c r="EC92" s="1370"/>
      <c r="ED92" s="1370"/>
      <c r="EE92" s="1370"/>
      <c r="EF92" s="1370"/>
      <c r="EG92" s="1370"/>
      <c r="EH92" s="1370"/>
      <c r="EI92" s="1370"/>
      <c r="EJ92" s="1370"/>
      <c r="EK92" s="1370"/>
      <c r="EL92" s="1370"/>
      <c r="EM92" s="1370"/>
      <c r="EN92" s="1370"/>
      <c r="EO92" s="1370"/>
      <c r="EP92" s="1370"/>
      <c r="EQ92" s="1370"/>
      <c r="ER92" s="1370"/>
      <c r="ES92" s="1370"/>
      <c r="ET92" s="1370"/>
      <c r="EU92" s="1370"/>
      <c r="EV92" s="1370"/>
      <c r="EW92" s="1370"/>
      <c r="EX92" s="1370"/>
      <c r="EY92" s="1370"/>
      <c r="EZ92" s="1370"/>
      <c r="FA92" s="1370"/>
      <c r="FB92" s="1370"/>
      <c r="FC92" s="1370"/>
      <c r="FD92" s="1370"/>
      <c r="FE92" s="1370"/>
      <c r="FF92" s="1370"/>
      <c r="FG92" s="1370"/>
      <c r="FH92" s="1370"/>
      <c r="FI92" s="1370"/>
      <c r="FJ92" s="1370"/>
      <c r="FK92" s="1370"/>
      <c r="FL92" s="1370"/>
      <c r="FM92" s="1370"/>
      <c r="FN92" s="1370"/>
      <c r="FO92" s="1370"/>
      <c r="FP92" s="1370"/>
      <c r="FQ92" s="1370"/>
      <c r="FR92" s="1370"/>
      <c r="FS92" s="1370"/>
      <c r="FT92" s="1370"/>
      <c r="FU92" s="1370"/>
      <c r="FV92" s="1370"/>
      <c r="FW92" s="1370"/>
      <c r="FX92" s="1370"/>
      <c r="FY92" s="1370"/>
      <c r="FZ92" s="1370"/>
      <c r="GA92" s="1370"/>
      <c r="GB92" s="1370"/>
      <c r="GC92" s="1370"/>
      <c r="GD92" s="1370"/>
      <c r="GE92" s="1370"/>
      <c r="GF92" s="1370"/>
      <c r="GG92" s="1370"/>
      <c r="GH92" s="1370"/>
      <c r="GI92" s="1370"/>
      <c r="GJ92" s="1370"/>
      <c r="GK92" s="1370"/>
      <c r="GL92" s="1370"/>
      <c r="GM92" s="1370"/>
      <c r="GN92" s="1370"/>
      <c r="GO92" s="1370"/>
      <c r="GP92" s="1370"/>
      <c r="GQ92" s="1370"/>
      <c r="GR92" s="1370"/>
      <c r="GS92" s="1370"/>
      <c r="GT92" s="1370"/>
      <c r="GU92" s="1370"/>
      <c r="GV92" s="1370"/>
      <c r="GW92" s="1370"/>
      <c r="GX92" s="1370"/>
      <c r="GY92" s="1370"/>
      <c r="GZ92" s="1370"/>
      <c r="HA92" s="1370"/>
      <c r="HB92" s="1370"/>
      <c r="HC92" s="1370"/>
      <c r="HD92" s="1370"/>
      <c r="HE92" s="1370"/>
      <c r="HF92" s="1370"/>
      <c r="HG92" s="1370"/>
      <c r="HH92" s="1370"/>
      <c r="HI92" s="1370"/>
      <c r="HJ92" s="1370"/>
      <c r="HK92" s="1370"/>
      <c r="HL92" s="1370"/>
      <c r="HM92" s="1370"/>
      <c r="HN92" s="1370"/>
      <c r="HO92" s="1370"/>
      <c r="HP92" s="1370"/>
      <c r="HQ92" s="1370"/>
    </row>
    <row r="93" spans="1:225" s="2237" customFormat="1" ht="20.25" customHeight="1" x14ac:dyDescent="0.25">
      <c r="A93" s="1421" t="s">
        <v>1867</v>
      </c>
      <c r="B93" s="2255" t="s">
        <v>1868</v>
      </c>
      <c r="C93" s="592"/>
      <c r="D93" s="5878">
        <v>163</v>
      </c>
      <c r="E93" s="5879"/>
      <c r="F93" s="5870">
        <v>136</v>
      </c>
      <c r="G93" s="5871"/>
      <c r="H93" s="5882">
        <f>'[42]1. Додаток + економ'!$J$93</f>
        <v>149</v>
      </c>
      <c r="I93" s="5883"/>
      <c r="J93" s="2252"/>
      <c r="K93" s="2253"/>
      <c r="L93" s="2253"/>
      <c r="M93" s="2253"/>
      <c r="N93" s="2253"/>
      <c r="O93" s="2253"/>
      <c r="P93" s="5876"/>
      <c r="Q93" s="5876"/>
      <c r="R93" s="5876"/>
      <c r="S93" s="5876"/>
      <c r="T93" s="5876"/>
      <c r="U93" s="5876"/>
      <c r="V93" s="5876"/>
      <c r="W93" s="5876"/>
      <c r="X93" s="2254"/>
      <c r="Y93" s="2254"/>
      <c r="Z93" s="2254"/>
      <c r="AA93" s="2254"/>
      <c r="AB93" s="2254"/>
      <c r="AC93" s="2254"/>
      <c r="AD93" s="2254"/>
      <c r="AE93" s="2254"/>
      <c r="AF93" s="2254"/>
      <c r="AG93" s="2254"/>
      <c r="AH93" s="2254"/>
      <c r="AI93" s="2254"/>
      <c r="AJ93" s="2254"/>
      <c r="AK93" s="2254"/>
      <c r="AL93" s="2254"/>
      <c r="AM93" s="2254"/>
      <c r="AN93" s="2254"/>
      <c r="AO93" s="2254"/>
      <c r="AP93" s="2254"/>
      <c r="AQ93" s="2254"/>
      <c r="AR93" s="2254"/>
      <c r="AS93" s="2254"/>
      <c r="AT93" s="2254"/>
      <c r="AU93" s="2254"/>
      <c r="AV93" s="2254"/>
      <c r="AW93" s="2254"/>
      <c r="AX93" s="2254"/>
      <c r="AY93" s="2254"/>
      <c r="AZ93" s="2254"/>
      <c r="BA93" s="2254"/>
      <c r="BB93" s="2254"/>
      <c r="BC93" s="2254"/>
      <c r="BD93" s="2254"/>
      <c r="BE93" s="2254"/>
      <c r="BF93" s="2254"/>
      <c r="BG93" s="2254"/>
      <c r="BH93" s="2254"/>
      <c r="BI93" s="2254"/>
      <c r="BJ93" s="2254"/>
      <c r="BK93" s="2254"/>
      <c r="BL93" s="2254"/>
      <c r="BM93" s="2254"/>
      <c r="BN93" s="2254"/>
      <c r="BO93" s="2254"/>
      <c r="BP93" s="2254"/>
      <c r="BQ93" s="2254"/>
      <c r="BR93" s="2254"/>
      <c r="BS93" s="2254"/>
      <c r="BT93" s="2254"/>
      <c r="BU93" s="2254"/>
      <c r="BV93" s="2254"/>
      <c r="BW93" s="2254"/>
      <c r="BX93" s="2254"/>
      <c r="BY93" s="2254"/>
      <c r="BZ93" s="2254"/>
      <c r="CA93" s="2254"/>
      <c r="CB93" s="2254"/>
      <c r="CC93" s="2254"/>
      <c r="CD93" s="2254"/>
      <c r="CE93" s="2254"/>
      <c r="CF93" s="2254"/>
      <c r="CG93" s="2254"/>
      <c r="CH93" s="2254"/>
      <c r="CI93" s="2254"/>
      <c r="CJ93" s="2254"/>
      <c r="CK93" s="2254"/>
      <c r="CL93" s="2254"/>
      <c r="CM93" s="2254"/>
      <c r="CN93" s="2254"/>
      <c r="CO93" s="2254"/>
      <c r="CP93" s="2254"/>
      <c r="CQ93" s="2254"/>
      <c r="CR93" s="2254"/>
      <c r="CS93" s="2254"/>
      <c r="CT93" s="2254"/>
      <c r="CU93" s="2254"/>
      <c r="CV93" s="2254"/>
      <c r="CW93" s="2254"/>
      <c r="CX93" s="2254"/>
      <c r="CY93" s="2254"/>
      <c r="CZ93" s="2254"/>
      <c r="DA93" s="2254"/>
      <c r="DB93" s="2254"/>
      <c r="DC93" s="2254"/>
      <c r="DD93" s="2254"/>
      <c r="DE93" s="2254"/>
      <c r="DF93" s="2254"/>
      <c r="DG93" s="2254"/>
      <c r="DH93" s="2254"/>
      <c r="DI93" s="2254"/>
      <c r="DJ93" s="2254"/>
      <c r="DK93" s="2254"/>
      <c r="DL93" s="2254"/>
      <c r="DM93" s="2254"/>
      <c r="DN93" s="2254"/>
      <c r="DO93" s="2254"/>
      <c r="DP93" s="2254"/>
      <c r="DQ93" s="2254"/>
      <c r="DR93" s="2254"/>
      <c r="DS93" s="2254"/>
      <c r="DT93" s="2254"/>
      <c r="DU93" s="2254"/>
      <c r="DV93" s="2254"/>
      <c r="DW93" s="2254"/>
      <c r="DX93" s="2254"/>
      <c r="DY93" s="2254"/>
      <c r="DZ93" s="2254"/>
      <c r="EA93" s="2254"/>
      <c r="EB93" s="2254"/>
      <c r="EC93" s="2254"/>
      <c r="ED93" s="2254"/>
      <c r="EE93" s="2254"/>
      <c r="EF93" s="2254"/>
      <c r="EG93" s="2254"/>
      <c r="EH93" s="2254"/>
      <c r="EI93" s="2254"/>
      <c r="EJ93" s="2254"/>
      <c r="EK93" s="2254"/>
      <c r="EL93" s="2254"/>
      <c r="EM93" s="2254"/>
      <c r="EN93" s="2254"/>
      <c r="EO93" s="2254"/>
      <c r="EP93" s="2254"/>
      <c r="EQ93" s="2254"/>
      <c r="ER93" s="2254"/>
      <c r="ES93" s="2254"/>
      <c r="ET93" s="2254"/>
      <c r="EU93" s="2254"/>
      <c r="EV93" s="2254"/>
      <c r="EW93" s="2254"/>
      <c r="EX93" s="2254"/>
      <c r="EY93" s="2254"/>
      <c r="EZ93" s="2254"/>
      <c r="FA93" s="2254"/>
      <c r="FB93" s="2254"/>
      <c r="FC93" s="2254"/>
      <c r="FD93" s="2254"/>
      <c r="FE93" s="2254"/>
      <c r="FF93" s="2254"/>
      <c r="FG93" s="2254"/>
      <c r="FH93" s="2254"/>
      <c r="FI93" s="2254"/>
      <c r="FJ93" s="2254"/>
      <c r="FK93" s="2254"/>
      <c r="FL93" s="2254"/>
      <c r="FM93" s="2254"/>
      <c r="FN93" s="2254"/>
      <c r="FO93" s="2254"/>
      <c r="FP93" s="2254"/>
      <c r="FQ93" s="2254"/>
      <c r="FR93" s="2254"/>
      <c r="FS93" s="2254"/>
      <c r="FT93" s="2254"/>
      <c r="FU93" s="2254"/>
      <c r="FV93" s="2254"/>
      <c r="FW93" s="2254"/>
      <c r="FX93" s="2254"/>
      <c r="FY93" s="2254"/>
      <c r="FZ93" s="2254"/>
      <c r="GA93" s="2254"/>
      <c r="GB93" s="2254"/>
      <c r="GC93" s="2254"/>
      <c r="GD93" s="2254"/>
      <c r="GE93" s="2254"/>
      <c r="GF93" s="2254"/>
      <c r="GG93" s="2254"/>
      <c r="GH93" s="2254"/>
      <c r="GI93" s="2254"/>
      <c r="GJ93" s="2254"/>
      <c r="GK93" s="2254"/>
      <c r="GL93" s="2254"/>
      <c r="GM93" s="2254"/>
      <c r="GN93" s="2254"/>
      <c r="GO93" s="2254"/>
      <c r="GP93" s="2254"/>
      <c r="GQ93" s="2254"/>
      <c r="GR93" s="2254"/>
      <c r="GS93" s="2254"/>
      <c r="GT93" s="2254"/>
      <c r="GU93" s="2254"/>
      <c r="GV93" s="2254"/>
      <c r="GW93" s="2254"/>
      <c r="GX93" s="2254"/>
      <c r="GY93" s="2254"/>
      <c r="GZ93" s="2254"/>
      <c r="HA93" s="2254"/>
      <c r="HB93" s="2254"/>
      <c r="HC93" s="2254"/>
      <c r="HD93" s="2254"/>
      <c r="HE93" s="2254"/>
      <c r="HF93" s="2254"/>
      <c r="HG93" s="2254"/>
      <c r="HH93" s="2254"/>
      <c r="HI93" s="2254"/>
      <c r="HJ93" s="2254"/>
      <c r="HK93" s="2254"/>
      <c r="HL93" s="2254"/>
      <c r="HM93" s="2254"/>
      <c r="HN93" s="2254"/>
      <c r="HO93" s="2254"/>
      <c r="HP93" s="2254"/>
      <c r="HQ93" s="2254"/>
    </row>
    <row r="94" spans="1:225" ht="48" x14ac:dyDescent="0.25">
      <c r="A94" s="1421" t="s">
        <v>1869</v>
      </c>
      <c r="B94" s="589" t="s">
        <v>1870</v>
      </c>
      <c r="C94" s="592" t="s">
        <v>1746</v>
      </c>
      <c r="D94" s="5884">
        <v>4185.2330000000002</v>
      </c>
      <c r="E94" s="5885"/>
      <c r="F94" s="5870">
        <v>4138.8829999999998</v>
      </c>
      <c r="G94" s="5871"/>
      <c r="H94" s="5877">
        <f>'[42]1. Додаток + економ'!$J$94</f>
        <v>4138.8999999999996</v>
      </c>
      <c r="I94" s="5871"/>
      <c r="J94" s="1356"/>
      <c r="K94" s="1357"/>
      <c r="L94" s="1357"/>
      <c r="M94" s="1357"/>
      <c r="N94" s="1357"/>
      <c r="O94" s="1357"/>
      <c r="P94" s="5876"/>
      <c r="Q94" s="5876"/>
      <c r="R94" s="5876"/>
      <c r="S94" s="5876"/>
      <c r="T94" s="5876"/>
      <c r="U94" s="5876"/>
      <c r="V94" s="5876"/>
      <c r="W94" s="5876"/>
      <c r="X94" s="1370"/>
      <c r="Y94" s="1370"/>
      <c r="Z94" s="1370"/>
      <c r="AA94" s="1370"/>
      <c r="AB94" s="1370"/>
      <c r="AC94" s="1370"/>
      <c r="AD94" s="1370"/>
      <c r="AE94" s="1370"/>
      <c r="AF94" s="1370"/>
      <c r="AG94" s="1370"/>
      <c r="AH94" s="1370"/>
      <c r="AI94" s="1370"/>
      <c r="AJ94" s="1370"/>
      <c r="AK94" s="1370"/>
      <c r="AL94" s="1370"/>
      <c r="AM94" s="1370"/>
      <c r="AN94" s="1370"/>
      <c r="AO94" s="1370"/>
      <c r="AP94" s="1370"/>
      <c r="AQ94" s="1370"/>
      <c r="AR94" s="1370"/>
      <c r="AS94" s="1370"/>
      <c r="AT94" s="1370"/>
      <c r="AU94" s="1370"/>
      <c r="AV94" s="1370"/>
      <c r="AW94" s="1370"/>
      <c r="AX94" s="1370"/>
      <c r="AY94" s="1370"/>
      <c r="AZ94" s="1370"/>
      <c r="BA94" s="1370"/>
      <c r="BB94" s="1370"/>
      <c r="BC94" s="1370"/>
      <c r="BD94" s="1370"/>
      <c r="BE94" s="1370"/>
      <c r="BF94" s="1370"/>
      <c r="BG94" s="1370"/>
      <c r="BH94" s="1370"/>
      <c r="BI94" s="1370"/>
      <c r="BJ94" s="1370"/>
      <c r="BK94" s="1370"/>
      <c r="BL94" s="1370"/>
      <c r="BM94" s="1370"/>
      <c r="BN94" s="1370"/>
      <c r="BO94" s="1370"/>
      <c r="BP94" s="1370"/>
      <c r="BQ94" s="1370"/>
      <c r="BR94" s="1370"/>
      <c r="BS94" s="1370"/>
      <c r="BT94" s="1370"/>
      <c r="BU94" s="1370"/>
      <c r="BV94" s="1370"/>
      <c r="BW94" s="1370"/>
      <c r="BX94" s="1370"/>
      <c r="BY94" s="1370"/>
      <c r="BZ94" s="1370"/>
      <c r="CA94" s="1370"/>
      <c r="CB94" s="1370"/>
      <c r="CC94" s="1370"/>
      <c r="CD94" s="1370"/>
      <c r="CE94" s="1370"/>
      <c r="CF94" s="1370"/>
      <c r="CG94" s="1370"/>
      <c r="CH94" s="1370"/>
      <c r="CI94" s="1370"/>
      <c r="CJ94" s="1370"/>
      <c r="CK94" s="1370"/>
      <c r="CL94" s="1370"/>
      <c r="CM94" s="1370"/>
      <c r="CN94" s="1370"/>
      <c r="CO94" s="1370"/>
      <c r="CP94" s="1370"/>
      <c r="CQ94" s="1370"/>
      <c r="CR94" s="1370"/>
      <c r="CS94" s="1370"/>
      <c r="CT94" s="1370"/>
      <c r="CU94" s="1370"/>
      <c r="CV94" s="1370"/>
      <c r="CW94" s="1370"/>
      <c r="CX94" s="1370"/>
      <c r="CY94" s="1370"/>
      <c r="CZ94" s="1370"/>
      <c r="DA94" s="1370"/>
      <c r="DB94" s="1370"/>
      <c r="DC94" s="1370"/>
      <c r="DD94" s="1370"/>
      <c r="DE94" s="1370"/>
      <c r="DF94" s="1370"/>
      <c r="DG94" s="1370"/>
      <c r="DH94" s="1370"/>
      <c r="DI94" s="1370"/>
      <c r="DJ94" s="1370"/>
      <c r="DK94" s="1370"/>
      <c r="DL94" s="1370"/>
      <c r="DM94" s="1370"/>
      <c r="DN94" s="1370"/>
      <c r="DO94" s="1370"/>
      <c r="DP94" s="1370"/>
      <c r="DQ94" s="1370"/>
      <c r="DR94" s="1370"/>
      <c r="DS94" s="1370"/>
      <c r="DT94" s="1370"/>
      <c r="DU94" s="1370"/>
      <c r="DV94" s="1370"/>
      <c r="DW94" s="1370"/>
      <c r="DX94" s="1370"/>
      <c r="DY94" s="1370"/>
      <c r="DZ94" s="1370"/>
      <c r="EA94" s="1370"/>
      <c r="EB94" s="1370"/>
      <c r="EC94" s="1370"/>
      <c r="ED94" s="1370"/>
      <c r="EE94" s="1370"/>
      <c r="EF94" s="1370"/>
      <c r="EG94" s="1370"/>
      <c r="EH94" s="1370"/>
      <c r="EI94" s="1370"/>
      <c r="EJ94" s="1370"/>
      <c r="EK94" s="1370"/>
      <c r="EL94" s="1370"/>
      <c r="EM94" s="1370"/>
      <c r="EN94" s="1370"/>
      <c r="EO94" s="1370"/>
      <c r="EP94" s="1370"/>
      <c r="EQ94" s="1370"/>
      <c r="ER94" s="1370"/>
      <c r="ES94" s="1370"/>
      <c r="ET94" s="1370"/>
      <c r="EU94" s="1370"/>
      <c r="EV94" s="1370"/>
      <c r="EW94" s="1370"/>
      <c r="EX94" s="1370"/>
      <c r="EY94" s="1370"/>
      <c r="EZ94" s="1370"/>
      <c r="FA94" s="1370"/>
      <c r="FB94" s="1370"/>
      <c r="FC94" s="1370"/>
      <c r="FD94" s="1370"/>
      <c r="FE94" s="1370"/>
      <c r="FF94" s="1370"/>
      <c r="FG94" s="1370"/>
      <c r="FH94" s="1370"/>
      <c r="FI94" s="1370"/>
      <c r="FJ94" s="1370"/>
      <c r="FK94" s="1370"/>
      <c r="FL94" s="1370"/>
      <c r="FM94" s="1370"/>
      <c r="FN94" s="1370"/>
      <c r="FO94" s="1370"/>
      <c r="FP94" s="1370"/>
      <c r="FQ94" s="1370"/>
      <c r="FR94" s="1370"/>
      <c r="FS94" s="1370"/>
      <c r="FT94" s="1370"/>
      <c r="FU94" s="1370"/>
      <c r="FV94" s="1370"/>
      <c r="FW94" s="1370"/>
      <c r="FX94" s="1370"/>
      <c r="FY94" s="1370"/>
      <c r="FZ94" s="1370"/>
      <c r="GA94" s="1370"/>
      <c r="GB94" s="1370"/>
      <c r="GC94" s="1370"/>
      <c r="GD94" s="1370"/>
      <c r="GE94" s="1370"/>
      <c r="GF94" s="1370"/>
      <c r="GG94" s="1370"/>
      <c r="GH94" s="1370"/>
      <c r="GI94" s="1370"/>
      <c r="GJ94" s="1370"/>
      <c r="GK94" s="1370"/>
      <c r="GL94" s="1370"/>
      <c r="GM94" s="1370"/>
      <c r="GN94" s="1370"/>
      <c r="GO94" s="1370"/>
      <c r="GP94" s="1370"/>
      <c r="GQ94" s="1370"/>
      <c r="GR94" s="1370"/>
      <c r="GS94" s="1370"/>
      <c r="GT94" s="1370"/>
      <c r="GU94" s="1370"/>
      <c r="GV94" s="1370"/>
      <c r="GW94" s="1370"/>
      <c r="GX94" s="1370"/>
      <c r="GY94" s="1370"/>
      <c r="GZ94" s="1370"/>
      <c r="HA94" s="1370"/>
      <c r="HB94" s="1370"/>
      <c r="HC94" s="1370"/>
      <c r="HD94" s="1370"/>
      <c r="HE94" s="1370"/>
      <c r="HF94" s="1370"/>
      <c r="HG94" s="1370"/>
      <c r="HH94" s="1370"/>
      <c r="HI94" s="1370"/>
      <c r="HJ94" s="1370"/>
      <c r="HK94" s="1370"/>
      <c r="HL94" s="1370"/>
      <c r="HM94" s="1370"/>
      <c r="HN94" s="1370"/>
      <c r="HO94" s="1370"/>
      <c r="HP94" s="1370"/>
      <c r="HQ94" s="1370"/>
    </row>
    <row r="95" spans="1:225" ht="24" customHeight="1" x14ac:dyDescent="0.25">
      <c r="A95" s="1421" t="s">
        <v>1871</v>
      </c>
      <c r="B95" s="589" t="s">
        <v>1872</v>
      </c>
      <c r="C95" s="592"/>
      <c r="D95" s="5878">
        <f>D93</f>
        <v>163</v>
      </c>
      <c r="E95" s="5879"/>
      <c r="F95" s="5870">
        <v>136</v>
      </c>
      <c r="G95" s="5871"/>
      <c r="H95" s="5882">
        <f>'[42]1. Додаток + економ'!$J$95</f>
        <v>149</v>
      </c>
      <c r="I95" s="5883"/>
      <c r="J95" s="1355"/>
      <c r="K95" s="1354"/>
      <c r="L95" s="1354"/>
      <c r="M95" s="1354"/>
      <c r="N95" s="1354"/>
      <c r="O95" s="1354"/>
      <c r="P95" s="1370"/>
      <c r="Q95" s="1370"/>
      <c r="R95" s="1370"/>
      <c r="S95" s="1370"/>
      <c r="T95" s="1370"/>
      <c r="U95" s="1370"/>
      <c r="V95" s="1370"/>
      <c r="W95" s="1370"/>
      <c r="X95" s="1370"/>
      <c r="Y95" s="1370"/>
      <c r="Z95" s="1370"/>
      <c r="AA95" s="1370"/>
      <c r="AB95" s="1370"/>
      <c r="AC95" s="1370"/>
      <c r="AD95" s="1370"/>
      <c r="AE95" s="1370"/>
      <c r="AF95" s="1370"/>
      <c r="AG95" s="1370"/>
      <c r="AH95" s="1370"/>
      <c r="AI95" s="1370"/>
      <c r="AJ95" s="1370"/>
      <c r="AK95" s="1370"/>
      <c r="AL95" s="1370"/>
      <c r="AM95" s="1370"/>
      <c r="AN95" s="1370"/>
      <c r="AO95" s="1370"/>
      <c r="AP95" s="1370"/>
      <c r="AQ95" s="1370"/>
      <c r="AR95" s="1370"/>
      <c r="AS95" s="1370"/>
      <c r="AT95" s="1370"/>
      <c r="AU95" s="1370"/>
      <c r="AV95" s="1370"/>
      <c r="AW95" s="1370"/>
      <c r="AX95" s="1370"/>
      <c r="AY95" s="1370"/>
      <c r="AZ95" s="1370"/>
      <c r="BA95" s="1370"/>
      <c r="BB95" s="1370"/>
      <c r="BC95" s="1370"/>
      <c r="BD95" s="1370"/>
      <c r="BE95" s="1370"/>
      <c r="BF95" s="1370"/>
      <c r="BG95" s="1370"/>
      <c r="BH95" s="1370"/>
      <c r="BI95" s="1370"/>
      <c r="BJ95" s="1370"/>
      <c r="BK95" s="1370"/>
      <c r="BL95" s="1370"/>
      <c r="BM95" s="1370"/>
      <c r="BN95" s="1370"/>
      <c r="BO95" s="1370"/>
      <c r="BP95" s="1370"/>
      <c r="BQ95" s="1370"/>
      <c r="BR95" s="1370"/>
      <c r="BS95" s="1370"/>
      <c r="BT95" s="1370"/>
      <c r="BU95" s="1370"/>
      <c r="BV95" s="1370"/>
      <c r="BW95" s="1370"/>
      <c r="BX95" s="1370"/>
      <c r="BY95" s="1370"/>
      <c r="BZ95" s="1370"/>
      <c r="CA95" s="1370"/>
      <c r="CB95" s="1370"/>
      <c r="CC95" s="1370"/>
      <c r="CD95" s="1370"/>
      <c r="CE95" s="1370"/>
      <c r="CF95" s="1370"/>
      <c r="CG95" s="1370"/>
      <c r="CH95" s="1370"/>
      <c r="CI95" s="1370"/>
      <c r="CJ95" s="1370"/>
      <c r="CK95" s="1370"/>
      <c r="CL95" s="1370"/>
      <c r="CM95" s="1370"/>
      <c r="CN95" s="1370"/>
      <c r="CO95" s="1370"/>
      <c r="CP95" s="1370"/>
      <c r="CQ95" s="1370"/>
      <c r="CR95" s="1370"/>
      <c r="CS95" s="1370"/>
      <c r="CT95" s="1370"/>
      <c r="CU95" s="1370"/>
      <c r="CV95" s="1370"/>
      <c r="CW95" s="1370"/>
      <c r="CX95" s="1370"/>
      <c r="CY95" s="1370"/>
      <c r="CZ95" s="1370"/>
      <c r="DA95" s="1370"/>
      <c r="DB95" s="1370"/>
      <c r="DC95" s="1370"/>
      <c r="DD95" s="1370"/>
      <c r="DE95" s="1370"/>
      <c r="DF95" s="1370"/>
      <c r="DG95" s="1370"/>
      <c r="DH95" s="1370"/>
      <c r="DI95" s="1370"/>
      <c r="DJ95" s="1370"/>
      <c r="DK95" s="1370"/>
      <c r="DL95" s="1370"/>
      <c r="DM95" s="1370"/>
      <c r="DN95" s="1370"/>
      <c r="DO95" s="1370"/>
      <c r="DP95" s="1370"/>
      <c r="DQ95" s="1370"/>
      <c r="DR95" s="1370"/>
      <c r="DS95" s="1370"/>
      <c r="DT95" s="1370"/>
      <c r="DU95" s="1370"/>
      <c r="DV95" s="1370"/>
      <c r="DW95" s="1370"/>
      <c r="DX95" s="1370"/>
      <c r="DY95" s="1370"/>
      <c r="DZ95" s="1370"/>
      <c r="EA95" s="1370"/>
      <c r="EB95" s="1370"/>
      <c r="EC95" s="1370"/>
      <c r="ED95" s="1370"/>
      <c r="EE95" s="1370"/>
      <c r="EF95" s="1370"/>
      <c r="EG95" s="1370"/>
      <c r="EH95" s="1370"/>
      <c r="EI95" s="1370"/>
      <c r="EJ95" s="1370"/>
      <c r="EK95" s="1370"/>
      <c r="EL95" s="1370"/>
      <c r="EM95" s="1370"/>
      <c r="EN95" s="1370"/>
      <c r="EO95" s="1370"/>
      <c r="EP95" s="1370"/>
      <c r="EQ95" s="1370"/>
      <c r="ER95" s="1370"/>
      <c r="ES95" s="1370"/>
      <c r="ET95" s="1370"/>
      <c r="EU95" s="1370"/>
      <c r="EV95" s="1370"/>
      <c r="EW95" s="1370"/>
      <c r="EX95" s="1370"/>
      <c r="EY95" s="1370"/>
      <c r="EZ95" s="1370"/>
      <c r="FA95" s="1370"/>
      <c r="FB95" s="1370"/>
      <c r="FC95" s="1370"/>
      <c r="FD95" s="1370"/>
      <c r="FE95" s="1370"/>
      <c r="FF95" s="1370"/>
      <c r="FG95" s="1370"/>
      <c r="FH95" s="1370"/>
      <c r="FI95" s="1370"/>
      <c r="FJ95" s="1370"/>
      <c r="FK95" s="1370"/>
      <c r="FL95" s="1370"/>
      <c r="FM95" s="1370"/>
      <c r="FN95" s="1370"/>
      <c r="FO95" s="1370"/>
      <c r="FP95" s="1370"/>
      <c r="FQ95" s="1370"/>
      <c r="FR95" s="1370"/>
      <c r="FS95" s="1370"/>
      <c r="FT95" s="1370"/>
      <c r="FU95" s="1370"/>
      <c r="FV95" s="1370"/>
      <c r="FW95" s="1370"/>
      <c r="FX95" s="1370"/>
      <c r="FY95" s="1370"/>
      <c r="FZ95" s="1370"/>
      <c r="GA95" s="1370"/>
      <c r="GB95" s="1370"/>
      <c r="GC95" s="1370"/>
      <c r="GD95" s="1370"/>
      <c r="GE95" s="1370"/>
      <c r="GF95" s="1370"/>
      <c r="GG95" s="1370"/>
      <c r="GH95" s="1370"/>
      <c r="GI95" s="1370"/>
      <c r="GJ95" s="1370"/>
      <c r="GK95" s="1370"/>
      <c r="GL95" s="1370"/>
      <c r="GM95" s="1370"/>
      <c r="GN95" s="1370"/>
      <c r="GO95" s="1370"/>
      <c r="GP95" s="1370"/>
      <c r="GQ95" s="1370"/>
      <c r="GR95" s="1370"/>
      <c r="GS95" s="1370"/>
      <c r="GT95" s="1370"/>
      <c r="GU95" s="1370"/>
      <c r="GV95" s="1370"/>
      <c r="GW95" s="1370"/>
      <c r="GX95" s="1370"/>
      <c r="GY95" s="1370"/>
      <c r="GZ95" s="1370"/>
      <c r="HA95" s="1370"/>
      <c r="HB95" s="1370"/>
      <c r="HC95" s="1370"/>
      <c r="HD95" s="1370"/>
      <c r="HE95" s="1370"/>
      <c r="HF95" s="1370"/>
      <c r="HG95" s="1370"/>
      <c r="HH95" s="1370"/>
      <c r="HI95" s="1370"/>
      <c r="HJ95" s="1370"/>
      <c r="HK95" s="1370"/>
      <c r="HL95" s="1370"/>
      <c r="HM95" s="1370"/>
      <c r="HN95" s="1370"/>
      <c r="HO95" s="1370"/>
      <c r="HP95" s="1370"/>
      <c r="HQ95" s="1370"/>
    </row>
    <row r="96" spans="1:225" ht="36.6" thickBot="1" x14ac:dyDescent="0.3">
      <c r="A96" s="1422" t="s">
        <v>1873</v>
      </c>
      <c r="B96" s="593" t="s">
        <v>1874</v>
      </c>
      <c r="C96" s="594" t="s">
        <v>1746</v>
      </c>
      <c r="D96" s="5880">
        <v>0</v>
      </c>
      <c r="E96" s="5881"/>
      <c r="F96" s="5880"/>
      <c r="G96" s="5881"/>
      <c r="H96" s="5880"/>
      <c r="I96" s="5881"/>
      <c r="J96" s="1355"/>
      <c r="K96" s="1354"/>
      <c r="L96" s="1354"/>
      <c r="M96" s="1354"/>
      <c r="N96" s="1354"/>
      <c r="O96" s="1354"/>
      <c r="P96" s="1370"/>
      <c r="Q96" s="1370"/>
      <c r="R96" s="1370"/>
      <c r="S96" s="1370"/>
      <c r="T96" s="1370"/>
      <c r="U96" s="1370"/>
      <c r="V96" s="1370"/>
      <c r="W96" s="1370"/>
      <c r="X96" s="1370"/>
      <c r="Y96" s="1370"/>
      <c r="Z96" s="1370"/>
      <c r="AA96" s="1370"/>
      <c r="AB96" s="1370"/>
      <c r="AC96" s="1370"/>
      <c r="AD96" s="1370"/>
      <c r="AE96" s="1370"/>
      <c r="AF96" s="1370"/>
      <c r="AG96" s="1370"/>
      <c r="AH96" s="1370"/>
      <c r="AI96" s="1370"/>
      <c r="AJ96" s="1370"/>
      <c r="AK96" s="1370"/>
      <c r="AL96" s="1370"/>
      <c r="AM96" s="1370"/>
      <c r="AN96" s="1370"/>
      <c r="AO96" s="1370"/>
      <c r="AP96" s="1370"/>
      <c r="AQ96" s="1370"/>
      <c r="AR96" s="1370"/>
      <c r="AS96" s="1370"/>
      <c r="AT96" s="1370"/>
      <c r="AU96" s="1370"/>
      <c r="AV96" s="1370"/>
      <c r="AW96" s="1370"/>
      <c r="AX96" s="1370"/>
      <c r="AY96" s="1370"/>
      <c r="AZ96" s="1370"/>
      <c r="BA96" s="1370"/>
      <c r="BB96" s="1370"/>
      <c r="BC96" s="1370"/>
      <c r="BD96" s="1370"/>
      <c r="BE96" s="1370"/>
      <c r="BF96" s="1370"/>
      <c r="BG96" s="1370"/>
      <c r="BH96" s="1370"/>
      <c r="BI96" s="1370"/>
      <c r="BJ96" s="1370"/>
      <c r="BK96" s="1370"/>
      <c r="BL96" s="1370"/>
      <c r="BM96" s="1370"/>
      <c r="BN96" s="1370"/>
      <c r="BO96" s="1370"/>
      <c r="BP96" s="1370"/>
      <c r="BQ96" s="1370"/>
      <c r="BR96" s="1370"/>
      <c r="BS96" s="1370"/>
      <c r="BT96" s="1370"/>
      <c r="BU96" s="1370"/>
      <c r="BV96" s="1370"/>
      <c r="BW96" s="1370"/>
      <c r="BX96" s="1370"/>
      <c r="BY96" s="1370"/>
      <c r="BZ96" s="1370"/>
      <c r="CA96" s="1370"/>
      <c r="CB96" s="1370"/>
      <c r="CC96" s="1370"/>
      <c r="CD96" s="1370"/>
      <c r="CE96" s="1370"/>
      <c r="CF96" s="1370"/>
      <c r="CG96" s="1370"/>
      <c r="CH96" s="1370"/>
      <c r="CI96" s="1370"/>
      <c r="CJ96" s="1370"/>
      <c r="CK96" s="1370"/>
      <c r="CL96" s="1370"/>
      <c r="CM96" s="1370"/>
      <c r="CN96" s="1370"/>
      <c r="CO96" s="1370"/>
      <c r="CP96" s="1370"/>
      <c r="CQ96" s="1370"/>
      <c r="CR96" s="1370"/>
      <c r="CS96" s="1370"/>
      <c r="CT96" s="1370"/>
      <c r="CU96" s="1370"/>
      <c r="CV96" s="1370"/>
      <c r="CW96" s="1370"/>
      <c r="CX96" s="1370"/>
      <c r="CY96" s="1370"/>
      <c r="CZ96" s="1370"/>
      <c r="DA96" s="1370"/>
      <c r="DB96" s="1370"/>
      <c r="DC96" s="1370"/>
      <c r="DD96" s="1370"/>
      <c r="DE96" s="1370"/>
      <c r="DF96" s="1370"/>
      <c r="DG96" s="1370"/>
      <c r="DH96" s="1370"/>
      <c r="DI96" s="1370"/>
      <c r="DJ96" s="1370"/>
      <c r="DK96" s="1370"/>
      <c r="DL96" s="1370"/>
      <c r="DM96" s="1370"/>
      <c r="DN96" s="1370"/>
      <c r="DO96" s="1370"/>
      <c r="DP96" s="1370"/>
      <c r="DQ96" s="1370"/>
      <c r="DR96" s="1370"/>
      <c r="DS96" s="1370"/>
      <c r="DT96" s="1370"/>
      <c r="DU96" s="1370"/>
      <c r="DV96" s="1370"/>
      <c r="DW96" s="1370"/>
      <c r="DX96" s="1370"/>
      <c r="DY96" s="1370"/>
      <c r="DZ96" s="1370"/>
      <c r="EA96" s="1370"/>
      <c r="EB96" s="1370"/>
      <c r="EC96" s="1370"/>
      <c r="ED96" s="1370"/>
      <c r="EE96" s="1370"/>
      <c r="EF96" s="1370"/>
      <c r="EG96" s="1370"/>
      <c r="EH96" s="1370"/>
      <c r="EI96" s="1370"/>
      <c r="EJ96" s="1370"/>
      <c r="EK96" s="1370"/>
      <c r="EL96" s="1370"/>
      <c r="EM96" s="1370"/>
      <c r="EN96" s="1370"/>
      <c r="EO96" s="1370"/>
      <c r="EP96" s="1370"/>
      <c r="EQ96" s="1370"/>
      <c r="ER96" s="1370"/>
      <c r="ES96" s="1370"/>
      <c r="ET96" s="1370"/>
      <c r="EU96" s="1370"/>
      <c r="EV96" s="1370"/>
      <c r="EW96" s="1370"/>
      <c r="EX96" s="1370"/>
      <c r="EY96" s="1370"/>
      <c r="EZ96" s="1370"/>
      <c r="FA96" s="1370"/>
      <c r="FB96" s="1370"/>
      <c r="FC96" s="1370"/>
      <c r="FD96" s="1370"/>
      <c r="FE96" s="1370"/>
      <c r="FF96" s="1370"/>
      <c r="FG96" s="1370"/>
      <c r="FH96" s="1370"/>
      <c r="FI96" s="1370"/>
      <c r="FJ96" s="1370"/>
      <c r="FK96" s="1370"/>
      <c r="FL96" s="1370"/>
      <c r="FM96" s="1370"/>
      <c r="FN96" s="1370"/>
      <c r="FO96" s="1370"/>
      <c r="FP96" s="1370"/>
      <c r="FQ96" s="1370"/>
      <c r="FR96" s="1370"/>
      <c r="FS96" s="1370"/>
      <c r="FT96" s="1370"/>
      <c r="FU96" s="1370"/>
      <c r="FV96" s="1370"/>
      <c r="FW96" s="1370"/>
      <c r="FX96" s="1370"/>
      <c r="FY96" s="1370"/>
      <c r="FZ96" s="1370"/>
      <c r="GA96" s="1370"/>
      <c r="GB96" s="1370"/>
      <c r="GC96" s="1370"/>
      <c r="GD96" s="1370"/>
      <c r="GE96" s="1370"/>
      <c r="GF96" s="1370"/>
      <c r="GG96" s="1370"/>
      <c r="GH96" s="1370"/>
      <c r="GI96" s="1370"/>
      <c r="GJ96" s="1370"/>
      <c r="GK96" s="1370"/>
      <c r="GL96" s="1370"/>
      <c r="GM96" s="1370"/>
      <c r="GN96" s="1370"/>
      <c r="GO96" s="1370"/>
      <c r="GP96" s="1370"/>
      <c r="GQ96" s="1370"/>
      <c r="GR96" s="1370"/>
      <c r="GS96" s="1370"/>
      <c r="GT96" s="1370"/>
      <c r="GU96" s="1370"/>
      <c r="GV96" s="1370"/>
      <c r="GW96" s="1370"/>
      <c r="GX96" s="1370"/>
      <c r="GY96" s="1370"/>
      <c r="GZ96" s="1370"/>
      <c r="HA96" s="1370"/>
      <c r="HB96" s="1370"/>
      <c r="HC96" s="1370"/>
      <c r="HD96" s="1370"/>
      <c r="HE96" s="1370"/>
      <c r="HF96" s="1370"/>
      <c r="HG96" s="1370"/>
      <c r="HH96" s="1370"/>
      <c r="HI96" s="1370"/>
      <c r="HJ96" s="1370"/>
      <c r="HK96" s="1370"/>
      <c r="HL96" s="1370"/>
      <c r="HM96" s="1370"/>
      <c r="HN96" s="1370"/>
      <c r="HO96" s="1370"/>
      <c r="HP96" s="1370"/>
      <c r="HQ96" s="1370"/>
    </row>
    <row r="97" spans="1:225" x14ac:dyDescent="0.25">
      <c r="A97" s="1423"/>
      <c r="B97" s="1370"/>
      <c r="C97" s="1374"/>
      <c r="D97" s="1370"/>
      <c r="E97" s="1370"/>
      <c r="F97" s="1370"/>
      <c r="G97" s="1370"/>
      <c r="H97" s="1370"/>
      <c r="I97" s="1370"/>
      <c r="P97" s="1370"/>
      <c r="Q97" s="1370"/>
      <c r="R97" s="1370"/>
      <c r="S97" s="1370"/>
      <c r="T97" s="1370"/>
      <c r="U97" s="1370"/>
      <c r="V97" s="1370"/>
      <c r="W97" s="1370"/>
      <c r="X97" s="1370"/>
      <c r="Y97" s="1370"/>
      <c r="Z97" s="1370"/>
      <c r="AA97" s="1370"/>
      <c r="AB97" s="1370"/>
      <c r="AC97" s="1370"/>
      <c r="AD97" s="1370"/>
      <c r="AE97" s="1370"/>
      <c r="AF97" s="1370"/>
      <c r="AG97" s="1370"/>
      <c r="AH97" s="1370"/>
      <c r="AI97" s="1370"/>
      <c r="AJ97" s="1370"/>
      <c r="AK97" s="1370"/>
      <c r="AL97" s="1370"/>
      <c r="AM97" s="1370"/>
      <c r="AN97" s="1370"/>
      <c r="AO97" s="1370"/>
      <c r="AP97" s="1370"/>
      <c r="AQ97" s="1370"/>
      <c r="AR97" s="1370"/>
      <c r="AS97" s="1370"/>
      <c r="AT97" s="1370"/>
      <c r="AU97" s="1370"/>
      <c r="AV97" s="1370"/>
      <c r="AW97" s="1370"/>
      <c r="AX97" s="1370"/>
      <c r="AY97" s="1370"/>
      <c r="AZ97" s="1370"/>
      <c r="BA97" s="1370"/>
      <c r="BB97" s="1370"/>
      <c r="BC97" s="1370"/>
      <c r="BD97" s="1370"/>
      <c r="BE97" s="1370"/>
      <c r="BF97" s="1370"/>
      <c r="BG97" s="1370"/>
      <c r="BH97" s="1370"/>
      <c r="BI97" s="1370"/>
      <c r="BJ97" s="1370"/>
      <c r="BK97" s="1370"/>
      <c r="BL97" s="1370"/>
      <c r="BM97" s="1370"/>
      <c r="BN97" s="1370"/>
      <c r="BO97" s="1370"/>
      <c r="BP97" s="1370"/>
      <c r="BQ97" s="1370"/>
      <c r="BR97" s="1370"/>
      <c r="BS97" s="1370"/>
      <c r="BT97" s="1370"/>
      <c r="BU97" s="1370"/>
      <c r="BV97" s="1370"/>
      <c r="BW97" s="1370"/>
      <c r="BX97" s="1370"/>
      <c r="BY97" s="1370"/>
      <c r="BZ97" s="1370"/>
      <c r="CA97" s="1370"/>
      <c r="CB97" s="1370"/>
      <c r="CC97" s="1370"/>
      <c r="CD97" s="1370"/>
      <c r="CE97" s="1370"/>
      <c r="CF97" s="1370"/>
      <c r="CG97" s="1370"/>
      <c r="CH97" s="1370"/>
      <c r="CI97" s="1370"/>
      <c r="CJ97" s="1370"/>
      <c r="CK97" s="1370"/>
      <c r="CL97" s="1370"/>
      <c r="CM97" s="1370"/>
      <c r="CN97" s="1370"/>
      <c r="CO97" s="1370"/>
      <c r="CP97" s="1370"/>
      <c r="CQ97" s="1370"/>
      <c r="CR97" s="1370"/>
      <c r="CS97" s="1370"/>
      <c r="CT97" s="1370"/>
      <c r="CU97" s="1370"/>
      <c r="CV97" s="1370"/>
      <c r="CW97" s="1370"/>
      <c r="CX97" s="1370"/>
      <c r="CY97" s="1370"/>
      <c r="CZ97" s="1370"/>
      <c r="DA97" s="1370"/>
      <c r="DB97" s="1370"/>
      <c r="DC97" s="1370"/>
      <c r="DD97" s="1370"/>
      <c r="DE97" s="1370"/>
      <c r="DF97" s="1370"/>
      <c r="DG97" s="1370"/>
      <c r="DH97" s="1370"/>
      <c r="DI97" s="1370"/>
      <c r="DJ97" s="1370"/>
      <c r="DK97" s="1370"/>
      <c r="DL97" s="1370"/>
      <c r="DM97" s="1370"/>
      <c r="DN97" s="1370"/>
      <c r="DO97" s="1370"/>
      <c r="DP97" s="1370"/>
      <c r="DQ97" s="1370"/>
      <c r="DR97" s="1370"/>
      <c r="DS97" s="1370"/>
      <c r="DT97" s="1370"/>
      <c r="DU97" s="1370"/>
      <c r="DV97" s="1370"/>
      <c r="DW97" s="1370"/>
      <c r="DX97" s="1370"/>
      <c r="DY97" s="1370"/>
      <c r="DZ97" s="1370"/>
      <c r="EA97" s="1370"/>
      <c r="EB97" s="1370"/>
      <c r="EC97" s="1370"/>
      <c r="ED97" s="1370"/>
      <c r="EE97" s="1370"/>
      <c r="EF97" s="1370"/>
      <c r="EG97" s="1370"/>
      <c r="EH97" s="1370"/>
      <c r="EI97" s="1370"/>
      <c r="EJ97" s="1370"/>
      <c r="EK97" s="1370"/>
      <c r="EL97" s="1370"/>
      <c r="EM97" s="1370"/>
      <c r="EN97" s="1370"/>
      <c r="EO97" s="1370"/>
      <c r="EP97" s="1370"/>
      <c r="EQ97" s="1370"/>
      <c r="ER97" s="1370"/>
      <c r="ES97" s="1370"/>
      <c r="ET97" s="1370"/>
      <c r="EU97" s="1370"/>
      <c r="EV97" s="1370"/>
      <c r="EW97" s="1370"/>
      <c r="EX97" s="1370"/>
      <c r="EY97" s="1370"/>
      <c r="EZ97" s="1370"/>
      <c r="FA97" s="1370"/>
      <c r="FB97" s="1370"/>
      <c r="FC97" s="1370"/>
      <c r="FD97" s="1370"/>
      <c r="FE97" s="1370"/>
      <c r="FF97" s="1370"/>
      <c r="FG97" s="1370"/>
      <c r="FH97" s="1370"/>
      <c r="FI97" s="1370"/>
      <c r="FJ97" s="1370"/>
      <c r="FK97" s="1370"/>
      <c r="FL97" s="1370"/>
      <c r="FM97" s="1370"/>
      <c r="FN97" s="1370"/>
      <c r="FO97" s="1370"/>
      <c r="FP97" s="1370"/>
      <c r="FQ97" s="1370"/>
      <c r="FR97" s="1370"/>
      <c r="FS97" s="1370"/>
      <c r="FT97" s="1370"/>
      <c r="FU97" s="1370"/>
      <c r="FV97" s="1370"/>
      <c r="FW97" s="1370"/>
      <c r="FX97" s="1370"/>
      <c r="FY97" s="1370"/>
      <c r="FZ97" s="1370"/>
      <c r="GA97" s="1370"/>
      <c r="GB97" s="1370"/>
      <c r="GC97" s="1370"/>
      <c r="GD97" s="1370"/>
      <c r="GE97" s="1370"/>
      <c r="GF97" s="1370"/>
      <c r="GG97" s="1370"/>
      <c r="GH97" s="1370"/>
      <c r="GI97" s="1370"/>
      <c r="GJ97" s="1370"/>
      <c r="GK97" s="1370"/>
      <c r="GL97" s="1370"/>
      <c r="GM97" s="1370"/>
      <c r="GN97" s="1370"/>
      <c r="GO97" s="1370"/>
      <c r="GP97" s="1370"/>
      <c r="GQ97" s="1370"/>
      <c r="GR97" s="1370"/>
      <c r="GS97" s="1370"/>
      <c r="GT97" s="1370"/>
      <c r="GU97" s="1370"/>
      <c r="GV97" s="1370"/>
      <c r="GW97" s="1370"/>
      <c r="GX97" s="1370"/>
      <c r="GY97" s="1370"/>
      <c r="GZ97" s="1370"/>
      <c r="HA97" s="1370"/>
      <c r="HB97" s="1370"/>
      <c r="HC97" s="1370"/>
      <c r="HD97" s="1370"/>
      <c r="HE97" s="1370"/>
      <c r="HF97" s="1370"/>
      <c r="HG97" s="1370"/>
      <c r="HH97" s="1370"/>
      <c r="HI97" s="1370"/>
      <c r="HJ97" s="1370"/>
      <c r="HK97" s="1370"/>
      <c r="HL97" s="1370"/>
      <c r="HM97" s="1370"/>
      <c r="HN97" s="1370"/>
      <c r="HO97" s="1370"/>
      <c r="HP97" s="1370"/>
      <c r="HQ97" s="1370"/>
    </row>
    <row r="101" spans="1:225" x14ac:dyDescent="0.25">
      <c r="D101" s="5841" t="s">
        <v>1875</v>
      </c>
      <c r="E101" s="5841"/>
      <c r="F101" s="5841"/>
      <c r="G101" s="5841"/>
      <c r="H101" s="5841"/>
      <c r="I101" s="5841"/>
      <c r="P101" s="5841" t="s">
        <v>638</v>
      </c>
      <c r="Q101" s="5841"/>
      <c r="R101" s="5841"/>
      <c r="S101" s="5841"/>
      <c r="T101" s="5841"/>
    </row>
    <row r="102" spans="1:225" ht="15.6" x14ac:dyDescent="0.3">
      <c r="D102" s="1375"/>
      <c r="E102" s="1376"/>
      <c r="F102" s="1376"/>
      <c r="G102" s="1376"/>
      <c r="H102" s="1376"/>
      <c r="I102" s="1376"/>
      <c r="J102" s="1376"/>
      <c r="K102" s="1376"/>
      <c r="L102" s="1376"/>
      <c r="M102" s="1376"/>
      <c r="N102" s="1376"/>
      <c r="O102" s="1376"/>
      <c r="P102" s="1376"/>
      <c r="Q102" s="1376"/>
      <c r="R102" s="1376"/>
      <c r="S102" s="1376"/>
      <c r="T102" s="1376"/>
    </row>
    <row r="103" spans="1:225" ht="15.6" x14ac:dyDescent="0.3">
      <c r="B103" s="1377" t="s">
        <v>639</v>
      </c>
      <c r="C103" s="1378"/>
      <c r="D103" s="1377"/>
      <c r="E103" s="1376"/>
      <c r="F103" s="1376"/>
      <c r="G103" s="1376"/>
      <c r="H103" s="1376"/>
      <c r="I103" s="1376"/>
      <c r="J103" s="1376"/>
      <c r="K103" s="1376"/>
      <c r="L103" s="1376"/>
      <c r="M103" s="1376"/>
      <c r="N103" s="1376"/>
      <c r="O103" s="1376"/>
      <c r="P103" s="1376"/>
      <c r="Q103" s="1376"/>
      <c r="R103" s="1376"/>
      <c r="S103" s="1376"/>
      <c r="T103" s="1376"/>
    </row>
    <row r="104" spans="1:225" ht="15.6" x14ac:dyDescent="0.3">
      <c r="D104" s="1376"/>
      <c r="E104" s="1376"/>
      <c r="F104" s="1376"/>
      <c r="G104" s="1376"/>
      <c r="H104" s="1376"/>
      <c r="I104" s="1376"/>
      <c r="J104" s="1376"/>
      <c r="K104" s="1376"/>
      <c r="L104" s="1376"/>
      <c r="M104" s="1376"/>
      <c r="N104" s="1376"/>
      <c r="O104" s="1376"/>
      <c r="P104" s="1376"/>
      <c r="Q104" s="1376"/>
      <c r="R104" s="1376"/>
      <c r="S104" s="1376"/>
      <c r="T104" s="1376"/>
    </row>
    <row r="105" spans="1:225" ht="15.6" x14ac:dyDescent="0.3">
      <c r="D105" s="1376"/>
      <c r="E105" s="1376"/>
      <c r="F105" s="1376"/>
      <c r="G105" s="1376"/>
      <c r="H105" s="1376"/>
      <c r="I105" s="1376"/>
      <c r="J105" s="1376"/>
      <c r="K105" s="1376"/>
      <c r="L105" s="1376"/>
      <c r="M105" s="1376"/>
      <c r="N105" s="1376"/>
      <c r="O105" s="1376"/>
      <c r="P105" s="1376"/>
      <c r="Q105" s="1376"/>
      <c r="R105" s="1376"/>
      <c r="S105" s="1376"/>
      <c r="T105" s="1376"/>
    </row>
    <row r="106" spans="1:225" ht="15.6" x14ac:dyDescent="0.3">
      <c r="D106" s="1376"/>
      <c r="E106" s="1376"/>
      <c r="F106" s="1376"/>
      <c r="G106" s="1376"/>
      <c r="H106" s="1376"/>
      <c r="I106" s="1376"/>
      <c r="J106" s="1376"/>
      <c r="K106" s="1376"/>
      <c r="L106" s="1376"/>
      <c r="M106" s="1376"/>
      <c r="N106" s="1376"/>
      <c r="O106" s="1376"/>
      <c r="P106" s="1376"/>
      <c r="Q106" s="1376"/>
      <c r="R106" s="1376"/>
      <c r="S106" s="1376"/>
      <c r="T106" s="1376"/>
    </row>
    <row r="107" spans="1:225" x14ac:dyDescent="0.25">
      <c r="G107" s="1358" t="s">
        <v>1438</v>
      </c>
      <c r="H107" s="1358" t="s">
        <v>2436</v>
      </c>
      <c r="I107" s="1358" t="s">
        <v>2647</v>
      </c>
      <c r="J107" s="1365">
        <f>J108+K108</f>
        <v>44.102875788086209</v>
      </c>
      <c r="L107" s="1365">
        <f>L108+M108</f>
        <v>667.47769514430354</v>
      </c>
      <c r="N107" s="1365">
        <f>N108+O108</f>
        <v>0.24865050000000002</v>
      </c>
      <c r="P107" s="1365">
        <f>P108+Q108</f>
        <v>3.2901789374999995</v>
      </c>
      <c r="R107" s="1365">
        <f>R108+S108</f>
        <v>1.7405535000000001</v>
      </c>
      <c r="T107" s="1365">
        <f>T108+U108</f>
        <v>2.9858954999999998</v>
      </c>
      <c r="V107" s="1365">
        <f>V108+W108</f>
        <v>7.6727674379280819E-7</v>
      </c>
    </row>
    <row r="108" spans="1:225" x14ac:dyDescent="0.25">
      <c r="B108" s="1358" t="s">
        <v>2646</v>
      </c>
      <c r="G108" s="1598">
        <f>H108+I108</f>
        <v>720.6131261136826</v>
      </c>
      <c r="H108" s="1598">
        <f>SUM(H109:H110)</f>
        <v>566.26135593215611</v>
      </c>
      <c r="I108" s="1598">
        <f>SUM(I109:I110)</f>
        <v>154.35177018152652</v>
      </c>
      <c r="J108" s="1598">
        <f t="shared" ref="J108:W108" si="30">SUM(J109:J110)</f>
        <v>35.050341460155416</v>
      </c>
      <c r="K108" s="1598">
        <f t="shared" si="30"/>
        <v>9.0525343279307897</v>
      </c>
      <c r="L108" s="1598">
        <f t="shared" si="30"/>
        <v>526.42564065736019</v>
      </c>
      <c r="M108" s="1598">
        <f t="shared" si="30"/>
        <v>141.05205448694332</v>
      </c>
      <c r="N108" s="1598">
        <f t="shared" si="30"/>
        <v>0.13173300000000002</v>
      </c>
      <c r="O108" s="1598">
        <f t="shared" si="30"/>
        <v>0.11691750000000001</v>
      </c>
      <c r="P108" s="1598">
        <f t="shared" si="30"/>
        <v>1.7431098749999998</v>
      </c>
      <c r="Q108" s="1598">
        <f t="shared" si="30"/>
        <v>1.5470690624999999</v>
      </c>
      <c r="R108" s="1598">
        <f t="shared" si="30"/>
        <v>0.92213100000000003</v>
      </c>
      <c r="S108" s="1598">
        <f t="shared" si="30"/>
        <v>0.81842250000000005</v>
      </c>
      <c r="T108" s="1598">
        <f t="shared" si="30"/>
        <v>1.5819030000000001</v>
      </c>
      <c r="U108" s="1598">
        <f t="shared" si="30"/>
        <v>1.4039925</v>
      </c>
      <c r="V108" s="1598">
        <f t="shared" si="30"/>
        <v>4.0649693964041091E-7</v>
      </c>
      <c r="W108" s="1598">
        <f t="shared" si="30"/>
        <v>3.6077980415239728E-7</v>
      </c>
    </row>
    <row r="109" spans="1:225" x14ac:dyDescent="0.25">
      <c r="B109" s="1358" t="s">
        <v>2644</v>
      </c>
      <c r="G109" s="1365">
        <f>H109+I109</f>
        <v>685.5210559793602</v>
      </c>
      <c r="H109" s="1365">
        <f>H17*H32/1000</f>
        <v>544.81134531126565</v>
      </c>
      <c r="I109" s="1365">
        <f>I17*I32/1000</f>
        <v>140.7097106680946</v>
      </c>
      <c r="J109" s="1365">
        <f t="shared" ref="J109:W109" si="31">J17*J32/1000</f>
        <v>26.475923053905419</v>
      </c>
      <c r="K109" s="1365">
        <f t="shared" si="31"/>
        <v>6.8379990700401656</v>
      </c>
      <c r="L109" s="1365">
        <f t="shared" si="31"/>
        <v>518.33542225736016</v>
      </c>
      <c r="M109" s="1365">
        <f t="shared" si="31"/>
        <v>133.87171159805442</v>
      </c>
      <c r="N109" s="1365">
        <f t="shared" si="31"/>
        <v>0</v>
      </c>
      <c r="O109" s="1365">
        <f t="shared" si="31"/>
        <v>0</v>
      </c>
      <c r="P109" s="1365">
        <f t="shared" si="31"/>
        <v>0</v>
      </c>
      <c r="Q109" s="1365">
        <f t="shared" si="31"/>
        <v>0</v>
      </c>
      <c r="R109" s="1365">
        <f t="shared" si="31"/>
        <v>0</v>
      </c>
      <c r="S109" s="1365">
        <f t="shared" si="31"/>
        <v>0</v>
      </c>
      <c r="T109" s="1365">
        <f t="shared" si="31"/>
        <v>0</v>
      </c>
      <c r="U109" s="1365">
        <f t="shared" si="31"/>
        <v>0</v>
      </c>
      <c r="V109" s="1365">
        <f t="shared" si="31"/>
        <v>0</v>
      </c>
      <c r="W109" s="1365">
        <f t="shared" si="31"/>
        <v>0</v>
      </c>
    </row>
    <row r="110" spans="1:225" x14ac:dyDescent="0.25">
      <c r="B110" s="1358" t="s">
        <v>2645</v>
      </c>
      <c r="G110" s="1365">
        <f>H110+I110</f>
        <v>35.09207013432232</v>
      </c>
      <c r="H110" s="1365">
        <f>H28*H32/1000</f>
        <v>21.450010620890406</v>
      </c>
      <c r="I110" s="1365">
        <f>I28*I32/1000</f>
        <v>13.642059513431912</v>
      </c>
      <c r="J110" s="1365">
        <f t="shared" ref="J110:W110" si="32">J28*J32/1000</f>
        <v>8.5744184062499986</v>
      </c>
      <c r="K110" s="1365">
        <f t="shared" si="32"/>
        <v>2.2145352578906246</v>
      </c>
      <c r="L110" s="1365">
        <f t="shared" si="32"/>
        <v>8.0902183999999977</v>
      </c>
      <c r="M110" s="1365">
        <f t="shared" si="32"/>
        <v>7.1803428888888883</v>
      </c>
      <c r="N110" s="1365">
        <f t="shared" si="32"/>
        <v>0.13173300000000002</v>
      </c>
      <c r="O110" s="1365">
        <f t="shared" si="32"/>
        <v>0.11691750000000001</v>
      </c>
      <c r="P110" s="1365">
        <f t="shared" si="32"/>
        <v>1.7431098749999998</v>
      </c>
      <c r="Q110" s="1365">
        <f t="shared" si="32"/>
        <v>1.5470690624999999</v>
      </c>
      <c r="R110" s="1365">
        <f t="shared" si="32"/>
        <v>0.92213100000000003</v>
      </c>
      <c r="S110" s="1365">
        <f t="shared" si="32"/>
        <v>0.81842250000000005</v>
      </c>
      <c r="T110" s="1365">
        <f t="shared" si="32"/>
        <v>1.5819030000000001</v>
      </c>
      <c r="U110" s="1365">
        <f t="shared" si="32"/>
        <v>1.4039925</v>
      </c>
      <c r="V110" s="1365">
        <f t="shared" si="32"/>
        <v>4.0649693964041091E-7</v>
      </c>
      <c r="W110" s="1365">
        <f t="shared" si="32"/>
        <v>3.6077980415239728E-7</v>
      </c>
    </row>
  </sheetData>
  <sheetProtection password="E93B" sheet="1" objects="1" scenarios="1"/>
  <mergeCells count="59">
    <mergeCell ref="P93:W94"/>
    <mergeCell ref="H94:I94"/>
    <mergeCell ref="D101:I101"/>
    <mergeCell ref="P101:T101"/>
    <mergeCell ref="D95:E95"/>
    <mergeCell ref="F95:G95"/>
    <mergeCell ref="D96:E96"/>
    <mergeCell ref="F96:G96"/>
    <mergeCell ref="H95:I95"/>
    <mergeCell ref="H96:I96"/>
    <mergeCell ref="D93:E93"/>
    <mergeCell ref="F93:G93"/>
    <mergeCell ref="D94:E94"/>
    <mergeCell ref="F94:G94"/>
    <mergeCell ref="H93:I93"/>
    <mergeCell ref="A73:A75"/>
    <mergeCell ref="A76:A78"/>
    <mergeCell ref="A79:A81"/>
    <mergeCell ref="D92:E92"/>
    <mergeCell ref="F92:G92"/>
    <mergeCell ref="A91:U91"/>
    <mergeCell ref="H92:I92"/>
    <mergeCell ref="A70:A72"/>
    <mergeCell ref="A37:A39"/>
    <mergeCell ref="A40:A42"/>
    <mergeCell ref="A43:A45"/>
    <mergeCell ref="A46:A48"/>
    <mergeCell ref="A49:A51"/>
    <mergeCell ref="A52:A54"/>
    <mergeCell ref="A55:A57"/>
    <mergeCell ref="A58:A60"/>
    <mergeCell ref="A61:A63"/>
    <mergeCell ref="A64:A66"/>
    <mergeCell ref="A67:A69"/>
    <mergeCell ref="A34:A36"/>
    <mergeCell ref="J12:K12"/>
    <mergeCell ref="L12:M12"/>
    <mergeCell ref="N12:O12"/>
    <mergeCell ref="P12:Q12"/>
    <mergeCell ref="A11:A13"/>
    <mergeCell ref="B11:B13"/>
    <mergeCell ref="C11:C13"/>
    <mergeCell ref="D11:E11"/>
    <mergeCell ref="F11:G11"/>
    <mergeCell ref="H11:W11"/>
    <mergeCell ref="D12:E12"/>
    <mergeCell ref="F12:G12"/>
    <mergeCell ref="H12:I12"/>
    <mergeCell ref="V12:W12"/>
    <mergeCell ref="A30:W30"/>
    <mergeCell ref="A15:W15"/>
    <mergeCell ref="R12:S12"/>
    <mergeCell ref="T12:U12"/>
    <mergeCell ref="U6:W6"/>
    <mergeCell ref="U3:W3"/>
    <mergeCell ref="U4:W4"/>
    <mergeCell ref="F5:G5"/>
    <mergeCell ref="M5:N5"/>
    <mergeCell ref="U5:W5"/>
  </mergeCells>
  <conditionalFormatting sqref="F1:G4 M1:N4 H1:L33 O1:W33 A1:E81 X1:HQ96 M6:N33 D16:W90 A16:C93 A82:W86 O87:W91 A87:E93 G87:P93 F87:F95 H93:I95 A94:D95 J94:J95 N95:W96 A96:J96 G97:W107 A97:F65541 X97:XFD65541 G108 G109:W65541">
    <cfRule type="cellIs" dxfId="2" priority="22" operator="equal">
      <formula>0</formula>
    </cfRule>
  </conditionalFormatting>
  <conditionalFormatting sqref="F6:G90">
    <cfRule type="cellIs" dxfId="1" priority="1" operator="equal">
      <formula>0</formula>
    </cfRule>
  </conditionalFormatting>
  <conditionalFormatting sqref="N28">
    <cfRule type="cellIs" dxfId="0" priority="3" operator="equal">
      <formula>0</formula>
    </cfRule>
  </conditionalFormatting>
  <pageMargins left="0.39370078740157483" right="0.19685039370078741" top="0.19685039370078741" bottom="0.19685039370078741" header="0" footer="0"/>
  <pageSetup paperSize="9" scale="62" fitToHeight="0" orientation="landscape" r:id="rId1"/>
  <headerFooter alignWithMargins="0"/>
</worksheet>
</file>

<file path=xl/worksheets/sheet10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800-000000000000}">
  <sheetPr codeName="Лист101">
    <tabColor rgb="FF92D050"/>
    <pageSetUpPr fitToPage="1"/>
  </sheetPr>
  <dimension ref="B1:L43"/>
  <sheetViews>
    <sheetView topLeftCell="A19" workbookViewId="0">
      <selection activeCell="I31" sqref="I31:I32"/>
    </sheetView>
  </sheetViews>
  <sheetFormatPr defaultColWidth="8.88671875" defaultRowHeight="15.6" x14ac:dyDescent="0.3"/>
  <cols>
    <col min="1" max="1" width="3.6640625" style="478" customWidth="1"/>
    <col min="2" max="2" width="4.6640625" style="478" customWidth="1"/>
    <col min="3" max="3" width="8.109375" style="478" customWidth="1"/>
    <col min="4" max="4" width="23.33203125" style="478" customWidth="1"/>
    <col min="5" max="5" width="9.6640625" style="478" customWidth="1"/>
    <col min="6" max="6" width="9.33203125" style="478" customWidth="1"/>
    <col min="7" max="7" width="17.33203125" style="478" customWidth="1"/>
    <col min="8" max="8" width="11.6640625" style="478" customWidth="1"/>
    <col min="9" max="9" width="11.33203125" style="478" customWidth="1"/>
    <col min="10" max="10" width="47.5546875" style="3945" customWidth="1"/>
    <col min="11" max="11" width="19.33203125" style="1477" customWidth="1"/>
    <col min="12" max="16384" width="8.88671875" style="478"/>
  </cols>
  <sheetData>
    <row r="1" spans="2:12" ht="19.2" customHeight="1" x14ac:dyDescent="0.3">
      <c r="G1" s="5903" t="s">
        <v>3738</v>
      </c>
      <c r="H1" s="5903"/>
      <c r="I1" s="5903"/>
    </row>
    <row r="2" spans="2:12" ht="19.2" customHeight="1" x14ac:dyDescent="0.3">
      <c r="G2" s="5904" t="s">
        <v>3739</v>
      </c>
      <c r="H2" s="5904"/>
      <c r="I2" s="5904"/>
    </row>
    <row r="3" spans="2:12" ht="19.2" customHeight="1" x14ac:dyDescent="0.3">
      <c r="G3" s="5904" t="s">
        <v>3740</v>
      </c>
      <c r="H3" s="5904"/>
      <c r="I3" s="5904"/>
    </row>
    <row r="4" spans="2:12" ht="19.2" customHeight="1" x14ac:dyDescent="0.3">
      <c r="B4" s="3949"/>
      <c r="C4" s="3949"/>
      <c r="D4" s="3949"/>
      <c r="E4" s="3949"/>
      <c r="F4" s="3949"/>
      <c r="G4" s="5905" t="str">
        <f>'Вхідні дані'!F1</f>
        <v>станом на 01.09.2023 року</v>
      </c>
      <c r="H4" s="5903"/>
      <c r="I4" s="5903"/>
    </row>
    <row r="5" spans="2:12" x14ac:dyDescent="0.3">
      <c r="B5" s="5903" t="s">
        <v>3737</v>
      </c>
      <c r="C5" s="5903"/>
      <c r="D5" s="5903"/>
      <c r="E5" s="5903"/>
      <c r="F5" s="5903"/>
      <c r="G5" s="5903"/>
      <c r="H5" s="5903"/>
      <c r="I5" s="5903"/>
    </row>
    <row r="6" spans="2:12" x14ac:dyDescent="0.3">
      <c r="B6" s="532"/>
      <c r="C6" s="532"/>
      <c r="D6" s="5902" t="str">
        <f>'Вхідні дані'!$F$5</f>
        <v>КП «КТЕ"</v>
      </c>
      <c r="E6" s="5902"/>
      <c r="F6" s="5902"/>
      <c r="G6" s="532" t="s">
        <v>461</v>
      </c>
      <c r="H6" s="3896" t="str">
        <f>'Вхідні дані'!$F$6</f>
        <v>2023-2024</v>
      </c>
      <c r="I6" s="532" t="s">
        <v>661</v>
      </c>
    </row>
    <row r="7" spans="2:12" ht="16.2" thickBot="1" x14ac:dyDescent="0.35"/>
    <row r="8" spans="2:12" ht="15.75" customHeight="1" x14ac:dyDescent="0.3">
      <c r="B8" s="5887" t="s">
        <v>968</v>
      </c>
      <c r="C8" s="5890" t="s">
        <v>1602</v>
      </c>
      <c r="D8" s="5893" t="s">
        <v>1603</v>
      </c>
      <c r="E8" s="5896" t="s">
        <v>1604</v>
      </c>
      <c r="F8" s="5896" t="s">
        <v>1605</v>
      </c>
      <c r="G8" s="5890" t="s">
        <v>1606</v>
      </c>
      <c r="H8" s="5890" t="s">
        <v>1893</v>
      </c>
      <c r="I8" s="5906" t="s">
        <v>1607</v>
      </c>
      <c r="J8" s="5899" t="s">
        <v>3736</v>
      </c>
    </row>
    <row r="9" spans="2:12" x14ac:dyDescent="0.3">
      <c r="B9" s="5888"/>
      <c r="C9" s="5891"/>
      <c r="D9" s="5894"/>
      <c r="E9" s="5897"/>
      <c r="F9" s="5897"/>
      <c r="G9" s="5891"/>
      <c r="H9" s="5891"/>
      <c r="I9" s="5907"/>
      <c r="J9" s="5900"/>
    </row>
    <row r="10" spans="2:12" x14ac:dyDescent="0.3">
      <c r="B10" s="5888"/>
      <c r="C10" s="5891"/>
      <c r="D10" s="5894"/>
      <c r="E10" s="5897"/>
      <c r="F10" s="5897"/>
      <c r="G10" s="5891"/>
      <c r="H10" s="5891"/>
      <c r="I10" s="5907"/>
      <c r="J10" s="5900"/>
    </row>
    <row r="11" spans="2:12" ht="16.2" thickBot="1" x14ac:dyDescent="0.35">
      <c r="B11" s="5889"/>
      <c r="C11" s="5892"/>
      <c r="D11" s="5895"/>
      <c r="E11" s="5898"/>
      <c r="F11" s="5898"/>
      <c r="G11" s="5892"/>
      <c r="H11" s="5892"/>
      <c r="I11" s="5908"/>
      <c r="J11" s="5901"/>
    </row>
    <row r="12" spans="2:12" ht="16.2" thickBot="1" x14ac:dyDescent="0.35">
      <c r="B12" s="677">
        <v>1</v>
      </c>
      <c r="C12" s="703">
        <v>2</v>
      </c>
      <c r="D12" s="703">
        <v>3</v>
      </c>
      <c r="E12" s="703">
        <v>4</v>
      </c>
      <c r="F12" s="703">
        <v>5</v>
      </c>
      <c r="G12" s="703">
        <v>6</v>
      </c>
      <c r="H12" s="703">
        <v>7</v>
      </c>
      <c r="I12" s="1267">
        <v>8</v>
      </c>
      <c r="J12" s="3946"/>
    </row>
    <row r="13" spans="2:12" ht="20.399999999999999" x14ac:dyDescent="0.3">
      <c r="B13" s="676">
        <v>1</v>
      </c>
      <c r="C13" s="488">
        <v>1045</v>
      </c>
      <c r="D13" s="489" t="s">
        <v>1608</v>
      </c>
      <c r="E13" s="490" t="s">
        <v>1609</v>
      </c>
      <c r="F13" s="490">
        <v>2005</v>
      </c>
      <c r="G13" s="490" t="s">
        <v>961</v>
      </c>
      <c r="H13" s="678"/>
      <c r="I13" s="1268">
        <v>30000</v>
      </c>
      <c r="J13" s="3946" t="s">
        <v>3734</v>
      </c>
      <c r="L13" s="1485"/>
    </row>
    <row r="14" spans="2:12" ht="20.399999999999999" x14ac:dyDescent="0.3">
      <c r="B14" s="669">
        <f>B13+1</f>
        <v>2</v>
      </c>
      <c r="C14" s="480">
        <v>3</v>
      </c>
      <c r="D14" s="481" t="s">
        <v>1610</v>
      </c>
      <c r="E14" s="482" t="s">
        <v>1611</v>
      </c>
      <c r="F14" s="482">
        <v>2004</v>
      </c>
      <c r="G14" s="482" t="s">
        <v>960</v>
      </c>
      <c r="H14" s="679"/>
      <c r="I14" s="1269">
        <v>35000</v>
      </c>
      <c r="J14" s="3946" t="s">
        <v>3733</v>
      </c>
    </row>
    <row r="15" spans="2:12" ht="20.399999999999999" x14ac:dyDescent="0.3">
      <c r="B15" s="669">
        <f t="shared" ref="B15:B36" si="0">B14+1</f>
        <v>3</v>
      </c>
      <c r="C15" s="480"/>
      <c r="D15" s="481" t="s">
        <v>2489</v>
      </c>
      <c r="E15" s="482"/>
      <c r="F15" s="482"/>
      <c r="G15" s="490" t="s">
        <v>961</v>
      </c>
      <c r="H15" s="679"/>
      <c r="I15" s="1269">
        <v>16000</v>
      </c>
      <c r="J15" s="3946"/>
    </row>
    <row r="16" spans="2:12" ht="20.399999999999999" x14ac:dyDescent="0.3">
      <c r="B16" s="669">
        <f t="shared" si="0"/>
        <v>4</v>
      </c>
      <c r="C16" s="480">
        <v>10358</v>
      </c>
      <c r="D16" s="481" t="s">
        <v>1612</v>
      </c>
      <c r="E16" s="482" t="s">
        <v>1613</v>
      </c>
      <c r="F16" s="482">
        <v>1994</v>
      </c>
      <c r="G16" s="482" t="s">
        <v>960</v>
      </c>
      <c r="H16" s="679"/>
      <c r="I16" s="1269">
        <v>20000</v>
      </c>
      <c r="J16" s="3946" t="s">
        <v>3732</v>
      </c>
    </row>
    <row r="17" spans="2:10" x14ac:dyDescent="0.3">
      <c r="B17" s="669">
        <f t="shared" si="0"/>
        <v>5</v>
      </c>
      <c r="C17" s="480">
        <v>1038</v>
      </c>
      <c r="D17" s="481" t="s">
        <v>1614</v>
      </c>
      <c r="E17" s="482" t="s">
        <v>1615</v>
      </c>
      <c r="F17" s="482">
        <v>1994</v>
      </c>
      <c r="G17" s="482" t="s">
        <v>956</v>
      </c>
      <c r="H17" s="679"/>
      <c r="I17" s="1269"/>
      <c r="J17" s="3946"/>
    </row>
    <row r="18" spans="2:10" x14ac:dyDescent="0.3">
      <c r="B18" s="669">
        <f t="shared" si="0"/>
        <v>6</v>
      </c>
      <c r="C18" s="480">
        <v>1042</v>
      </c>
      <c r="D18" s="481" t="s">
        <v>1616</v>
      </c>
      <c r="E18" s="482" t="s">
        <v>1617</v>
      </c>
      <c r="F18" s="482">
        <v>1996</v>
      </c>
      <c r="G18" s="482" t="s">
        <v>956</v>
      </c>
      <c r="H18" s="679"/>
      <c r="I18" s="1269">
        <v>5000</v>
      </c>
      <c r="J18" s="3946"/>
    </row>
    <row r="19" spans="2:10" x14ac:dyDescent="0.3">
      <c r="B19" s="669">
        <f t="shared" si="0"/>
        <v>7</v>
      </c>
      <c r="C19" s="480">
        <v>5</v>
      </c>
      <c r="D19" s="481" t="s">
        <v>1618</v>
      </c>
      <c r="E19" s="482" t="s">
        <v>1619</v>
      </c>
      <c r="F19" s="482">
        <v>2008</v>
      </c>
      <c r="G19" s="482" t="s">
        <v>956</v>
      </c>
      <c r="H19" s="679"/>
      <c r="I19" s="1269">
        <v>10000</v>
      </c>
      <c r="J19" s="3946"/>
    </row>
    <row r="20" spans="2:10" ht="26.4" x14ac:dyDescent="0.3">
      <c r="B20" s="669">
        <f t="shared" si="0"/>
        <v>8</v>
      </c>
      <c r="C20" s="480">
        <v>2197</v>
      </c>
      <c r="D20" s="481" t="s">
        <v>2517</v>
      </c>
      <c r="E20" s="482" t="s">
        <v>1620</v>
      </c>
      <c r="F20" s="482">
        <v>1991</v>
      </c>
      <c r="G20" s="482" t="s">
        <v>956</v>
      </c>
      <c r="H20" s="679"/>
      <c r="I20" s="1269"/>
      <c r="J20" s="3946"/>
    </row>
    <row r="21" spans="2:10" ht="26.4" x14ac:dyDescent="0.3">
      <c r="B21" s="669">
        <f t="shared" si="0"/>
        <v>9</v>
      </c>
      <c r="C21" s="480">
        <v>3441</v>
      </c>
      <c r="D21" s="481" t="s">
        <v>1621</v>
      </c>
      <c r="E21" s="482" t="s">
        <v>1622</v>
      </c>
      <c r="F21" s="482">
        <v>2019</v>
      </c>
      <c r="G21" s="482" t="s">
        <v>956</v>
      </c>
      <c r="H21" s="679"/>
      <c r="I21" s="1269">
        <v>20000</v>
      </c>
      <c r="J21" s="3948" t="s">
        <v>3735</v>
      </c>
    </row>
    <row r="22" spans="2:10" x14ac:dyDescent="0.3">
      <c r="B22" s="669">
        <f t="shared" si="0"/>
        <v>10</v>
      </c>
      <c r="C22" s="480">
        <v>3005</v>
      </c>
      <c r="D22" s="481" t="s">
        <v>1623</v>
      </c>
      <c r="E22" s="482"/>
      <c r="F22" s="482">
        <v>2010</v>
      </c>
      <c r="G22" s="482" t="s">
        <v>956</v>
      </c>
      <c r="H22" s="679"/>
      <c r="I22" s="1269">
        <v>2000</v>
      </c>
      <c r="J22" s="3946"/>
    </row>
    <row r="23" spans="2:10" x14ac:dyDescent="0.3">
      <c r="B23" s="669">
        <f t="shared" si="0"/>
        <v>11</v>
      </c>
      <c r="C23" s="480" t="s">
        <v>1624</v>
      </c>
      <c r="D23" s="481" t="s">
        <v>1625</v>
      </c>
      <c r="E23" s="482"/>
      <c r="F23" s="482"/>
      <c r="G23" s="482" t="s">
        <v>956</v>
      </c>
      <c r="H23" s="679"/>
      <c r="I23" s="1269">
        <v>2000</v>
      </c>
      <c r="J23" s="3946"/>
    </row>
    <row r="24" spans="2:10" x14ac:dyDescent="0.3">
      <c r="B24" s="669">
        <f t="shared" si="0"/>
        <v>12</v>
      </c>
      <c r="C24" s="480">
        <v>2</v>
      </c>
      <c r="D24" s="481" t="s">
        <v>1626</v>
      </c>
      <c r="E24" s="482" t="s">
        <v>1627</v>
      </c>
      <c r="F24" s="482">
        <v>2004</v>
      </c>
      <c r="G24" s="482" t="s">
        <v>956</v>
      </c>
      <c r="H24" s="679"/>
      <c r="I24" s="679">
        <v>25000</v>
      </c>
      <c r="J24" s="3946"/>
    </row>
    <row r="25" spans="2:10" x14ac:dyDescent="0.3">
      <c r="B25" s="669">
        <f t="shared" si="0"/>
        <v>13</v>
      </c>
      <c r="C25" s="480">
        <v>1036</v>
      </c>
      <c r="D25" s="485" t="s">
        <v>1628</v>
      </c>
      <c r="E25" s="486">
        <v>641700</v>
      </c>
      <c r="F25" s="482">
        <v>1994</v>
      </c>
      <c r="G25" s="482" t="s">
        <v>956</v>
      </c>
      <c r="H25" s="679"/>
      <c r="I25" s="679">
        <v>15000</v>
      </c>
      <c r="J25" s="3946"/>
    </row>
    <row r="26" spans="2:10" x14ac:dyDescent="0.3">
      <c r="B26" s="669">
        <f t="shared" si="0"/>
        <v>14</v>
      </c>
      <c r="C26" s="480">
        <v>1044</v>
      </c>
      <c r="D26" s="485" t="s">
        <v>1630</v>
      </c>
      <c r="E26" s="486"/>
      <c r="F26" s="482">
        <v>2003</v>
      </c>
      <c r="G26" s="482" t="s">
        <v>956</v>
      </c>
      <c r="H26" s="679"/>
      <c r="I26" s="1269"/>
      <c r="J26" s="3946"/>
    </row>
    <row r="27" spans="2:10" ht="13.5" customHeight="1" x14ac:dyDescent="0.3">
      <c r="B27" s="669">
        <f t="shared" si="0"/>
        <v>15</v>
      </c>
      <c r="C27" s="480">
        <v>1043</v>
      </c>
      <c r="D27" s="481" t="s">
        <v>1631</v>
      </c>
      <c r="E27" s="482" t="s">
        <v>1632</v>
      </c>
      <c r="F27" s="482">
        <v>2002</v>
      </c>
      <c r="G27" s="482" t="s">
        <v>956</v>
      </c>
      <c r="H27" s="679"/>
      <c r="I27" s="1269">
        <v>20000</v>
      </c>
      <c r="J27" s="3946"/>
    </row>
    <row r="28" spans="2:10" ht="26.4" x14ac:dyDescent="0.3">
      <c r="B28" s="669">
        <f t="shared" si="0"/>
        <v>16</v>
      </c>
      <c r="C28" s="480">
        <v>1039</v>
      </c>
      <c r="D28" s="481" t="s">
        <v>1633</v>
      </c>
      <c r="E28" s="482"/>
      <c r="F28" s="482">
        <v>1989</v>
      </c>
      <c r="G28" s="482" t="s">
        <v>960</v>
      </c>
      <c r="H28" s="679"/>
      <c r="I28" s="1269">
        <v>12000</v>
      </c>
      <c r="J28" s="3946"/>
    </row>
    <row r="29" spans="2:10" ht="26.4" x14ac:dyDescent="0.3">
      <c r="B29" s="669">
        <f t="shared" si="0"/>
        <v>17</v>
      </c>
      <c r="C29" s="480">
        <v>4</v>
      </c>
      <c r="D29" s="481" t="s">
        <v>1634</v>
      </c>
      <c r="E29" s="482"/>
      <c r="F29" s="482">
        <v>2007</v>
      </c>
      <c r="G29" s="482" t="s">
        <v>956</v>
      </c>
      <c r="H29" s="679"/>
      <c r="I29" s="1269">
        <v>5000</v>
      </c>
      <c r="J29" s="3946"/>
    </row>
    <row r="30" spans="2:10" ht="26.4" x14ac:dyDescent="0.3">
      <c r="B30" s="669">
        <f t="shared" si="0"/>
        <v>18</v>
      </c>
      <c r="C30" s="480" t="s">
        <v>1635</v>
      </c>
      <c r="D30" s="481" t="s">
        <v>1636</v>
      </c>
      <c r="E30" s="482"/>
      <c r="F30" s="482">
        <v>2010</v>
      </c>
      <c r="G30" s="482" t="s">
        <v>956</v>
      </c>
      <c r="H30" s="679"/>
      <c r="I30" s="1269">
        <v>8000</v>
      </c>
      <c r="J30" s="3946"/>
    </row>
    <row r="31" spans="2:10" ht="26.4" x14ac:dyDescent="0.3">
      <c r="B31" s="669">
        <f t="shared" si="0"/>
        <v>19</v>
      </c>
      <c r="C31" s="480" t="s">
        <v>1637</v>
      </c>
      <c r="D31" s="481" t="s">
        <v>1638</v>
      </c>
      <c r="E31" s="482"/>
      <c r="F31" s="482"/>
      <c r="G31" s="704" t="s">
        <v>955</v>
      </c>
      <c r="H31" s="679"/>
      <c r="I31" s="1269">
        <v>1000</v>
      </c>
      <c r="J31" s="3946"/>
    </row>
    <row r="32" spans="2:10" x14ac:dyDescent="0.3">
      <c r="B32" s="669">
        <f t="shared" si="0"/>
        <v>20</v>
      </c>
      <c r="C32" s="480">
        <v>3123</v>
      </c>
      <c r="D32" s="481" t="s">
        <v>1639</v>
      </c>
      <c r="E32" s="482"/>
      <c r="F32" s="482">
        <v>2013</v>
      </c>
      <c r="G32" s="704" t="s">
        <v>955</v>
      </c>
      <c r="H32" s="679"/>
      <c r="I32" s="1269">
        <v>1000</v>
      </c>
      <c r="J32" s="3946"/>
    </row>
    <row r="33" spans="2:11" x14ac:dyDescent="0.3">
      <c r="B33" s="669">
        <f t="shared" si="0"/>
        <v>21</v>
      </c>
      <c r="C33" s="480">
        <v>1037</v>
      </c>
      <c r="D33" s="481" t="s">
        <v>1640</v>
      </c>
      <c r="E33" s="482"/>
      <c r="F33" s="482">
        <v>1994</v>
      </c>
      <c r="G33" s="482" t="s">
        <v>956</v>
      </c>
      <c r="H33" s="679"/>
      <c r="I33" s="1269"/>
      <c r="J33" s="3946"/>
    </row>
    <row r="34" spans="2:11" ht="26.4" x14ac:dyDescent="0.3">
      <c r="B34" s="669">
        <f t="shared" si="0"/>
        <v>22</v>
      </c>
      <c r="C34" s="480">
        <v>2065</v>
      </c>
      <c r="D34" s="481" t="s">
        <v>2515</v>
      </c>
      <c r="E34" s="482"/>
      <c r="F34" s="482">
        <v>1983</v>
      </c>
      <c r="G34" s="482" t="s">
        <v>956</v>
      </c>
      <c r="H34" s="679"/>
      <c r="I34" s="1269"/>
      <c r="J34" s="3946"/>
    </row>
    <row r="35" spans="2:11" ht="26.4" x14ac:dyDescent="0.3">
      <c r="B35" s="669">
        <f t="shared" si="0"/>
        <v>23</v>
      </c>
      <c r="C35" s="480">
        <v>3127</v>
      </c>
      <c r="D35" s="481" t="s">
        <v>1643</v>
      </c>
      <c r="E35" s="482"/>
      <c r="F35" s="482">
        <v>2013</v>
      </c>
      <c r="G35" s="482" t="s">
        <v>956</v>
      </c>
      <c r="H35" s="679"/>
      <c r="I35" s="1269">
        <v>1000</v>
      </c>
      <c r="J35" s="3946"/>
    </row>
    <row r="36" spans="2:11" ht="16.2" thickBot="1" x14ac:dyDescent="0.35">
      <c r="B36" s="669">
        <f t="shared" si="0"/>
        <v>24</v>
      </c>
      <c r="C36" s="818">
        <v>3128</v>
      </c>
      <c r="D36" s="819" t="s">
        <v>1644</v>
      </c>
      <c r="E36" s="820"/>
      <c r="F36" s="820">
        <v>2013</v>
      </c>
      <c r="G36" s="869" t="s">
        <v>956</v>
      </c>
      <c r="H36" s="870"/>
      <c r="I36" s="1270">
        <v>7000</v>
      </c>
      <c r="J36" s="3946"/>
    </row>
    <row r="37" spans="2:11" ht="16.2" thickBot="1" x14ac:dyDescent="0.35">
      <c r="B37" s="871"/>
      <c r="C37" s="827"/>
      <c r="D37" s="827" t="s">
        <v>503</v>
      </c>
      <c r="E37" s="828"/>
      <c r="F37" s="828"/>
      <c r="G37" s="872"/>
      <c r="H37" s="873"/>
      <c r="I37" s="2612">
        <f>SUM(I13:I36)</f>
        <v>235000</v>
      </c>
      <c r="J37" s="3946"/>
    </row>
    <row r="38" spans="2:11" x14ac:dyDescent="0.3">
      <c r="B38" s="821"/>
      <c r="C38" s="822"/>
      <c r="D38" s="822" t="s">
        <v>1894</v>
      </c>
      <c r="E38" s="823"/>
      <c r="F38" s="823"/>
      <c r="G38" s="823"/>
      <c r="H38" s="678"/>
      <c r="I38" s="1268">
        <f>I31+I32</f>
        <v>2000</v>
      </c>
      <c r="J38" s="3946"/>
    </row>
    <row r="39" spans="2:11" x14ac:dyDescent="0.3">
      <c r="B39" s="670"/>
      <c r="C39" s="484"/>
      <c r="D39" s="484" t="s">
        <v>1895</v>
      </c>
      <c r="E39" s="479"/>
      <c r="F39" s="479"/>
      <c r="G39" s="479"/>
      <c r="H39" s="679"/>
      <c r="I39" s="1269">
        <f>I17+I18+I19+I20+I21+I22+I23+I24+I25+I26+I27+I29+I30+I33+I34+I35+I36</f>
        <v>120000</v>
      </c>
      <c r="J39" s="3946"/>
    </row>
    <row r="40" spans="2:11" x14ac:dyDescent="0.3">
      <c r="B40" s="670"/>
      <c r="C40" s="484"/>
      <c r="D40" s="484" t="s">
        <v>1896</v>
      </c>
      <c r="E40" s="479"/>
      <c r="F40" s="479"/>
      <c r="G40" s="479"/>
      <c r="H40" s="679"/>
      <c r="I40" s="1269">
        <f>I14+I16+I28</f>
        <v>67000</v>
      </c>
      <c r="J40" s="3946"/>
    </row>
    <row r="41" spans="2:11" ht="16.2" thickBot="1" x14ac:dyDescent="0.35">
      <c r="B41" s="671"/>
      <c r="C41" s="672"/>
      <c r="D41" s="672" t="s">
        <v>1897</v>
      </c>
      <c r="E41" s="673"/>
      <c r="F41" s="673"/>
      <c r="G41" s="673"/>
      <c r="H41" s="680"/>
      <c r="I41" s="1269">
        <f>I13+I15</f>
        <v>46000</v>
      </c>
      <c r="J41" s="3946"/>
    </row>
    <row r="43" spans="2:11" s="492" customFormat="1" ht="13.2" customHeight="1" x14ac:dyDescent="0.25">
      <c r="C43" s="5886" t="s">
        <v>2488</v>
      </c>
      <c r="D43" s="5886"/>
      <c r="E43" s="5886"/>
      <c r="F43" s="5886"/>
      <c r="H43" s="492" t="s">
        <v>1646</v>
      </c>
      <c r="J43" s="3947"/>
      <c r="K43" s="1477"/>
    </row>
  </sheetData>
  <mergeCells count="16">
    <mergeCell ref="J8:J11"/>
    <mergeCell ref="D6:F6"/>
    <mergeCell ref="B5:I5"/>
    <mergeCell ref="G1:I1"/>
    <mergeCell ref="G2:I2"/>
    <mergeCell ref="G3:I3"/>
    <mergeCell ref="G4:I4"/>
    <mergeCell ref="G8:G11"/>
    <mergeCell ref="H8:H11"/>
    <mergeCell ref="I8:I11"/>
    <mergeCell ref="C43:F43"/>
    <mergeCell ref="B8:B11"/>
    <mergeCell ref="C8:C11"/>
    <mergeCell ref="D8:D11"/>
    <mergeCell ref="E8:E11"/>
    <mergeCell ref="F8:F11"/>
  </mergeCells>
  <dataValidations count="1">
    <dataValidation type="list" allowBlank="1" showInputMessage="1" showErrorMessage="1" sqref="G13:G37" xr:uid="{00000000-0002-0000-6800-000000000000}">
      <formula1>$G$21:$G$26</formula1>
    </dataValidation>
  </dataValidations>
  <pageMargins left="0.53" right="0.15748031496062992" top="0.35433070866141736" bottom="0.35433070866141736" header="0.31496062992125984" footer="0.31496062992125984"/>
  <pageSetup paperSize="9" scale="99" orientation="portrait" horizontalDpi="0" verticalDpi="0" r:id="rId1"/>
</worksheet>
</file>

<file path=xl/worksheets/sheet10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900-000000000000}">
  <sheetPr codeName="Лист102">
    <tabColor rgb="FF92D050"/>
  </sheetPr>
  <dimension ref="B1:N49"/>
  <sheetViews>
    <sheetView zoomScaleNormal="100" workbookViewId="0">
      <selection activeCell="I11" sqref="I11"/>
    </sheetView>
  </sheetViews>
  <sheetFormatPr defaultColWidth="8.88671875" defaultRowHeight="15.6" x14ac:dyDescent="0.3"/>
  <cols>
    <col min="1" max="1" width="3.88671875" style="478" customWidth="1"/>
    <col min="2" max="2" width="4.6640625" style="478" customWidth="1"/>
    <col min="3" max="3" width="8.109375" style="478" customWidth="1"/>
    <col min="4" max="4" width="22.44140625" style="478" customWidth="1"/>
    <col min="5" max="5" width="9.6640625" style="478" customWidth="1"/>
    <col min="6" max="6" width="9.33203125" style="478" customWidth="1"/>
    <col min="7" max="7" width="16.109375" style="478" customWidth="1"/>
    <col min="8" max="8" width="11.6640625" style="478" customWidth="1"/>
    <col min="9" max="13" width="8.88671875" style="478"/>
    <col min="14" max="14" width="18.44140625" style="478" customWidth="1"/>
    <col min="15" max="16384" width="8.88671875" style="478"/>
  </cols>
  <sheetData>
    <row r="1" spans="2:14" x14ac:dyDescent="0.3">
      <c r="H1" s="478" t="s">
        <v>925</v>
      </c>
    </row>
    <row r="2" spans="2:14" ht="20.399999999999999" x14ac:dyDescent="0.3">
      <c r="N2" s="483" t="s">
        <v>961</v>
      </c>
    </row>
    <row r="3" spans="2:14" ht="20.399999999999999" x14ac:dyDescent="0.3">
      <c r="B3" s="5903" t="s">
        <v>1979</v>
      </c>
      <c r="C3" s="5903"/>
      <c r="D3" s="5903"/>
      <c r="E3" s="5903"/>
      <c r="F3" s="5903"/>
      <c r="G3" s="5903"/>
      <c r="H3" s="5903"/>
      <c r="I3" s="5903"/>
      <c r="N3" s="483" t="s">
        <v>960</v>
      </c>
    </row>
    <row r="4" spans="2:14" x14ac:dyDescent="0.3">
      <c r="B4" s="532"/>
      <c r="C4" s="867" t="str">
        <f>'Вхідні дані'!$F$5</f>
        <v>КП «КТЕ"</v>
      </c>
      <c r="D4" s="867"/>
      <c r="E4" s="867"/>
      <c r="F4" s="794"/>
      <c r="G4" s="708" t="s">
        <v>461</v>
      </c>
      <c r="H4" s="868" t="str">
        <f>'Вхідні дані'!$F$6</f>
        <v>2023-2024</v>
      </c>
      <c r="I4" s="478" t="s">
        <v>661</v>
      </c>
      <c r="J4" s="793"/>
      <c r="N4" s="483" t="s">
        <v>956</v>
      </c>
    </row>
    <row r="5" spans="2:14" ht="16.2" thickBot="1" x14ac:dyDescent="0.35">
      <c r="N5" s="487" t="s">
        <v>955</v>
      </c>
    </row>
    <row r="6" spans="2:14" x14ac:dyDescent="0.3">
      <c r="B6" s="5887" t="s">
        <v>968</v>
      </c>
      <c r="C6" s="5890" t="s">
        <v>1602</v>
      </c>
      <c r="D6" s="5893" t="s">
        <v>1603</v>
      </c>
      <c r="E6" s="5896" t="s">
        <v>1604</v>
      </c>
      <c r="F6" s="5896" t="s">
        <v>1605</v>
      </c>
      <c r="G6" s="5906" t="s">
        <v>1606</v>
      </c>
      <c r="H6" s="5909" t="s">
        <v>1647</v>
      </c>
      <c r="I6" s="5912" t="s">
        <v>1607</v>
      </c>
    </row>
    <row r="7" spans="2:14" x14ac:dyDescent="0.3">
      <c r="B7" s="5888"/>
      <c r="C7" s="5891"/>
      <c r="D7" s="5894"/>
      <c r="E7" s="5897"/>
      <c r="F7" s="5897"/>
      <c r="G7" s="5907"/>
      <c r="H7" s="5910"/>
      <c r="I7" s="5913"/>
    </row>
    <row r="8" spans="2:14" x14ac:dyDescent="0.3">
      <c r="B8" s="5888"/>
      <c r="C8" s="5891"/>
      <c r="D8" s="5894"/>
      <c r="E8" s="5897"/>
      <c r="F8" s="5897"/>
      <c r="G8" s="5907"/>
      <c r="H8" s="5910"/>
      <c r="I8" s="5913"/>
    </row>
    <row r="9" spans="2:14" ht="16.2" thickBot="1" x14ac:dyDescent="0.35">
      <c r="B9" s="5889"/>
      <c r="C9" s="5892"/>
      <c r="D9" s="5895"/>
      <c r="E9" s="5898"/>
      <c r="F9" s="5898"/>
      <c r="G9" s="5908"/>
      <c r="H9" s="5911"/>
      <c r="I9" s="5914"/>
    </row>
    <row r="10" spans="2:14" ht="16.2" thickBot="1" x14ac:dyDescent="0.35">
      <c r="B10" s="674">
        <v>1</v>
      </c>
      <c r="C10" s="675">
        <v>2</v>
      </c>
      <c r="D10" s="675">
        <v>3</v>
      </c>
      <c r="E10" s="675">
        <v>4</v>
      </c>
      <c r="F10" s="675">
        <v>5</v>
      </c>
      <c r="G10" s="675">
        <v>6</v>
      </c>
      <c r="H10" s="812">
        <v>7</v>
      </c>
      <c r="I10" s="815">
        <v>8</v>
      </c>
    </row>
    <row r="11" spans="2:14" ht="16.2" thickBot="1" x14ac:dyDescent="0.35">
      <c r="B11" s="825"/>
      <c r="C11" s="826"/>
      <c r="D11" s="827" t="s">
        <v>503</v>
      </c>
      <c r="E11" s="828"/>
      <c r="F11" s="828"/>
      <c r="G11" s="829"/>
      <c r="H11" s="830"/>
      <c r="I11" s="2613">
        <f>SUM(I16:I42)</f>
        <v>0</v>
      </c>
      <c r="J11" s="478">
        <v>11700</v>
      </c>
      <c r="K11" s="1485" t="s">
        <v>2501</v>
      </c>
    </row>
    <row r="12" spans="2:14" ht="16.2" thickBot="1" x14ac:dyDescent="0.35">
      <c r="B12" s="821"/>
      <c r="C12" s="822"/>
      <c r="D12" s="822" t="s">
        <v>1894</v>
      </c>
      <c r="E12" s="823"/>
      <c r="F12" s="823"/>
      <c r="G12" s="823"/>
      <c r="H12" s="824"/>
      <c r="I12" s="817">
        <f>SUMIF(G$16:G$42,N5,I$16:I$42)</f>
        <v>0</v>
      </c>
    </row>
    <row r="13" spans="2:14" ht="16.2" thickBot="1" x14ac:dyDescent="0.35">
      <c r="B13" s="670"/>
      <c r="C13" s="484"/>
      <c r="D13" s="484" t="s">
        <v>1895</v>
      </c>
      <c r="E13" s="479"/>
      <c r="F13" s="479"/>
      <c r="G13" s="479"/>
      <c r="H13" s="813"/>
      <c r="I13" s="817">
        <f>SUMIF(G$16:G$42,N4,I$16:I$42)</f>
        <v>0</v>
      </c>
    </row>
    <row r="14" spans="2:14" ht="16.2" thickBot="1" x14ac:dyDescent="0.35">
      <c r="B14" s="670"/>
      <c r="C14" s="484"/>
      <c r="D14" s="484" t="s">
        <v>1896</v>
      </c>
      <c r="E14" s="479"/>
      <c r="F14" s="479"/>
      <c r="G14" s="479"/>
      <c r="H14" s="813"/>
      <c r="I14" s="817">
        <f>SUMIF(G$16:G$42,N3,I$16:I$42)</f>
        <v>0</v>
      </c>
    </row>
    <row r="15" spans="2:14" ht="16.2" thickBot="1" x14ac:dyDescent="0.35">
      <c r="B15" s="671"/>
      <c r="C15" s="672"/>
      <c r="D15" s="672" t="s">
        <v>1897</v>
      </c>
      <c r="E15" s="673"/>
      <c r="F15" s="673"/>
      <c r="G15" s="673"/>
      <c r="H15" s="814"/>
      <c r="I15" s="817">
        <f>SUMIF(G$16:G$42,N2,I$16:I$42)</f>
        <v>0</v>
      </c>
    </row>
    <row r="16" spans="2:14" ht="20.399999999999999" x14ac:dyDescent="0.3">
      <c r="B16" s="669">
        <v>1</v>
      </c>
      <c r="C16" s="480">
        <v>1045</v>
      </c>
      <c r="D16" s="481" t="s">
        <v>1608</v>
      </c>
      <c r="E16" s="482" t="s">
        <v>1609</v>
      </c>
      <c r="F16" s="482">
        <v>2005</v>
      </c>
      <c r="G16" s="483" t="s">
        <v>961</v>
      </c>
      <c r="H16" s="1274"/>
      <c r="I16" s="816"/>
      <c r="J16" s="493" t="s">
        <v>1648</v>
      </c>
      <c r="K16" s="493"/>
      <c r="L16" s="493" t="s">
        <v>1649</v>
      </c>
      <c r="M16" s="493"/>
    </row>
    <row r="17" spans="2:13" ht="20.399999999999999" x14ac:dyDescent="0.3">
      <c r="B17" s="669">
        <f>B16+1</f>
        <v>2</v>
      </c>
      <c r="C17" s="480"/>
      <c r="D17" s="481" t="s">
        <v>2516</v>
      </c>
      <c r="E17" s="482"/>
      <c r="F17" s="482"/>
      <c r="G17" s="483" t="s">
        <v>961</v>
      </c>
      <c r="H17" s="1274">
        <v>2023</v>
      </c>
      <c r="I17" s="816"/>
      <c r="J17" s="493"/>
      <c r="K17" s="493"/>
      <c r="L17" s="493"/>
      <c r="M17" s="493"/>
    </row>
    <row r="18" spans="2:13" ht="20.399999999999999" x14ac:dyDescent="0.3">
      <c r="B18" s="669">
        <f t="shared" ref="B18:B42" si="0">B17+1</f>
        <v>3</v>
      </c>
      <c r="C18" s="480">
        <v>3</v>
      </c>
      <c r="D18" s="481" t="s">
        <v>1610</v>
      </c>
      <c r="E18" s="482" t="s">
        <v>1611</v>
      </c>
      <c r="F18" s="482">
        <v>2004</v>
      </c>
      <c r="G18" s="483" t="s">
        <v>960</v>
      </c>
      <c r="H18" s="1274"/>
      <c r="I18" s="816"/>
    </row>
    <row r="19" spans="2:13" ht="20.399999999999999" x14ac:dyDescent="0.3">
      <c r="B19" s="669">
        <f t="shared" si="0"/>
        <v>4</v>
      </c>
      <c r="C19" s="480">
        <v>10358</v>
      </c>
      <c r="D19" s="481" t="s">
        <v>1612</v>
      </c>
      <c r="E19" s="482" t="s">
        <v>1613</v>
      </c>
      <c r="F19" s="482">
        <v>1994</v>
      </c>
      <c r="G19" s="483" t="s">
        <v>960</v>
      </c>
      <c r="H19" s="1274">
        <v>2023</v>
      </c>
      <c r="I19" s="816"/>
    </row>
    <row r="20" spans="2:13" x14ac:dyDescent="0.3">
      <c r="B20" s="669">
        <f t="shared" si="0"/>
        <v>5</v>
      </c>
      <c r="C20" s="480">
        <v>1038</v>
      </c>
      <c r="D20" s="481" t="s">
        <v>1614</v>
      </c>
      <c r="E20" s="482" t="s">
        <v>1615</v>
      </c>
      <c r="F20" s="482">
        <v>1994</v>
      </c>
      <c r="G20" s="483" t="s">
        <v>956</v>
      </c>
      <c r="H20" s="1274">
        <v>2023</v>
      </c>
      <c r="I20" s="816"/>
    </row>
    <row r="21" spans="2:13" x14ac:dyDescent="0.3">
      <c r="B21" s="669">
        <f t="shared" si="0"/>
        <v>6</v>
      </c>
      <c r="C21" s="480">
        <v>1042</v>
      </c>
      <c r="D21" s="481" t="s">
        <v>1616</v>
      </c>
      <c r="E21" s="482" t="s">
        <v>1617</v>
      </c>
      <c r="F21" s="482">
        <v>1996</v>
      </c>
      <c r="G21" s="483" t="s">
        <v>956</v>
      </c>
      <c r="H21" s="1274">
        <v>2023</v>
      </c>
      <c r="I21" s="816"/>
    </row>
    <row r="22" spans="2:13" x14ac:dyDescent="0.3">
      <c r="B22" s="669">
        <f t="shared" si="0"/>
        <v>7</v>
      </c>
      <c r="C22" s="480">
        <v>5</v>
      </c>
      <c r="D22" s="481" t="s">
        <v>1618</v>
      </c>
      <c r="E22" s="482" t="s">
        <v>1619</v>
      </c>
      <c r="F22" s="482">
        <v>2008</v>
      </c>
      <c r="G22" s="483" t="s">
        <v>956</v>
      </c>
      <c r="H22" s="1274">
        <v>2023</v>
      </c>
      <c r="I22" s="816"/>
    </row>
    <row r="23" spans="2:13" ht="26.4" x14ac:dyDescent="0.3">
      <c r="B23" s="669">
        <f t="shared" si="0"/>
        <v>8</v>
      </c>
      <c r="C23" s="480">
        <v>2197</v>
      </c>
      <c r="D23" s="481" t="s">
        <v>2517</v>
      </c>
      <c r="E23" s="482" t="s">
        <v>1620</v>
      </c>
      <c r="F23" s="482">
        <v>1991</v>
      </c>
      <c r="G23" s="483" t="s">
        <v>956</v>
      </c>
      <c r="H23" s="1274">
        <v>2023</v>
      </c>
      <c r="I23" s="816"/>
    </row>
    <row r="24" spans="2:13" ht="26.4" x14ac:dyDescent="0.3">
      <c r="B24" s="669">
        <f t="shared" si="0"/>
        <v>9</v>
      </c>
      <c r="C24" s="480">
        <v>3441</v>
      </c>
      <c r="D24" s="481" t="s">
        <v>1621</v>
      </c>
      <c r="E24" s="482" t="s">
        <v>1622</v>
      </c>
      <c r="F24" s="482">
        <v>2019</v>
      </c>
      <c r="G24" s="483" t="s">
        <v>956</v>
      </c>
      <c r="H24" s="1274"/>
      <c r="I24" s="816"/>
    </row>
    <row r="25" spans="2:13" x14ac:dyDescent="0.3">
      <c r="B25" s="669">
        <f t="shared" si="0"/>
        <v>10</v>
      </c>
      <c r="C25" s="480">
        <v>3005</v>
      </c>
      <c r="D25" s="481" t="s">
        <v>1623</v>
      </c>
      <c r="E25" s="482"/>
      <c r="F25" s="482">
        <v>2010</v>
      </c>
      <c r="G25" s="483" t="s">
        <v>956</v>
      </c>
      <c r="H25" s="1274"/>
      <c r="I25" s="816"/>
    </row>
    <row r="26" spans="2:13" x14ac:dyDescent="0.3">
      <c r="B26" s="669">
        <f t="shared" si="0"/>
        <v>11</v>
      </c>
      <c r="C26" s="480" t="s">
        <v>1624</v>
      </c>
      <c r="D26" s="481" t="s">
        <v>1625</v>
      </c>
      <c r="E26" s="482"/>
      <c r="F26" s="482"/>
      <c r="G26" s="483" t="s">
        <v>956</v>
      </c>
      <c r="H26" s="1274"/>
      <c r="I26" s="816"/>
    </row>
    <row r="27" spans="2:13" ht="13.2" customHeight="1" x14ac:dyDescent="0.3">
      <c r="B27" s="669">
        <f t="shared" si="0"/>
        <v>12</v>
      </c>
      <c r="C27" s="480">
        <v>2</v>
      </c>
      <c r="D27" s="481" t="s">
        <v>1626</v>
      </c>
      <c r="E27" s="482" t="s">
        <v>1627</v>
      </c>
      <c r="F27" s="482">
        <v>2004</v>
      </c>
      <c r="G27" s="483" t="s">
        <v>956</v>
      </c>
      <c r="H27" s="1274">
        <v>2023</v>
      </c>
      <c r="I27" s="816"/>
      <c r="J27" s="478" t="s">
        <v>1650</v>
      </c>
    </row>
    <row r="28" spans="2:13" x14ac:dyDescent="0.3">
      <c r="B28" s="669">
        <f t="shared" si="0"/>
        <v>13</v>
      </c>
      <c r="C28" s="480">
        <v>1036</v>
      </c>
      <c r="D28" s="485" t="s">
        <v>1628</v>
      </c>
      <c r="E28" s="486">
        <v>641700</v>
      </c>
      <c r="F28" s="482">
        <v>1994</v>
      </c>
      <c r="G28" s="483" t="s">
        <v>956</v>
      </c>
      <c r="H28" s="1274">
        <v>2023</v>
      </c>
      <c r="I28" s="816"/>
    </row>
    <row r="29" spans="2:13" ht="14.4" customHeight="1" x14ac:dyDescent="0.3">
      <c r="B29" s="669">
        <f t="shared" si="0"/>
        <v>14</v>
      </c>
      <c r="C29" s="480">
        <v>2959</v>
      </c>
      <c r="D29" s="485" t="s">
        <v>1629</v>
      </c>
      <c r="E29" s="486"/>
      <c r="F29" s="482">
        <v>1989</v>
      </c>
      <c r="G29" s="483" t="s">
        <v>956</v>
      </c>
      <c r="H29" s="1274"/>
      <c r="I29" s="816"/>
    </row>
    <row r="30" spans="2:13" ht="12.6" customHeight="1" x14ac:dyDescent="0.3">
      <c r="B30" s="669">
        <f t="shared" si="0"/>
        <v>15</v>
      </c>
      <c r="C30" s="480">
        <v>1044</v>
      </c>
      <c r="D30" s="485" t="s">
        <v>1630</v>
      </c>
      <c r="E30" s="486"/>
      <c r="F30" s="482">
        <v>2003</v>
      </c>
      <c r="G30" s="483" t="s">
        <v>956</v>
      </c>
      <c r="H30" s="1274"/>
      <c r="I30" s="816"/>
    </row>
    <row r="31" spans="2:13" ht="26.4" x14ac:dyDescent="0.3">
      <c r="B31" s="669">
        <f t="shared" si="0"/>
        <v>16</v>
      </c>
      <c r="C31" s="480">
        <v>1043</v>
      </c>
      <c r="D31" s="481" t="s">
        <v>1631</v>
      </c>
      <c r="E31" s="482" t="s">
        <v>1632</v>
      </c>
      <c r="F31" s="482">
        <v>2002</v>
      </c>
      <c r="G31" s="483" t="s">
        <v>956</v>
      </c>
      <c r="H31" s="1274">
        <v>2023</v>
      </c>
      <c r="I31" s="816"/>
    </row>
    <row r="32" spans="2:13" ht="26.4" x14ac:dyDescent="0.3">
      <c r="B32" s="669">
        <f t="shared" si="0"/>
        <v>17</v>
      </c>
      <c r="C32" s="480">
        <v>1039</v>
      </c>
      <c r="D32" s="481" t="s">
        <v>1633</v>
      </c>
      <c r="E32" s="482"/>
      <c r="F32" s="482">
        <v>1989</v>
      </c>
      <c r="G32" s="483" t="s">
        <v>960</v>
      </c>
      <c r="H32" s="1275"/>
      <c r="I32" s="816"/>
    </row>
    <row r="33" spans="2:11" ht="26.4" x14ac:dyDescent="0.3">
      <c r="B33" s="669">
        <f t="shared" si="0"/>
        <v>18</v>
      </c>
      <c r="C33" s="480">
        <v>4</v>
      </c>
      <c r="D33" s="481" t="s">
        <v>1634</v>
      </c>
      <c r="E33" s="482"/>
      <c r="F33" s="482">
        <v>2007</v>
      </c>
      <c r="G33" s="483" t="s">
        <v>956</v>
      </c>
      <c r="H33" s="1275"/>
      <c r="I33" s="816"/>
    </row>
    <row r="34" spans="2:11" ht="26.4" x14ac:dyDescent="0.3">
      <c r="B34" s="669">
        <f t="shared" si="0"/>
        <v>19</v>
      </c>
      <c r="C34" s="480" t="s">
        <v>1635</v>
      </c>
      <c r="D34" s="481" t="s">
        <v>1636</v>
      </c>
      <c r="E34" s="482"/>
      <c r="F34" s="482">
        <v>2010</v>
      </c>
      <c r="G34" s="483" t="s">
        <v>956</v>
      </c>
      <c r="H34" s="1275"/>
      <c r="I34" s="816"/>
    </row>
    <row r="35" spans="2:11" ht="26.4" x14ac:dyDescent="0.3">
      <c r="B35" s="669">
        <f t="shared" si="0"/>
        <v>20</v>
      </c>
      <c r="C35" s="480" t="s">
        <v>1637</v>
      </c>
      <c r="D35" s="481" t="s">
        <v>1638</v>
      </c>
      <c r="E35" s="482"/>
      <c r="F35" s="482"/>
      <c r="G35" s="487" t="s">
        <v>955</v>
      </c>
      <c r="H35" s="1275"/>
      <c r="I35" s="816"/>
    </row>
    <row r="36" spans="2:11" x14ac:dyDescent="0.3">
      <c r="B36" s="669">
        <f t="shared" si="0"/>
        <v>21</v>
      </c>
      <c r="C36" s="480">
        <v>3123</v>
      </c>
      <c r="D36" s="481" t="s">
        <v>1639</v>
      </c>
      <c r="E36" s="482"/>
      <c r="F36" s="482">
        <v>2013</v>
      </c>
      <c r="G36" s="487" t="s">
        <v>955</v>
      </c>
      <c r="H36" s="813"/>
      <c r="I36" s="816"/>
    </row>
    <row r="37" spans="2:11" x14ac:dyDescent="0.3">
      <c r="B37" s="669">
        <f t="shared" si="0"/>
        <v>22</v>
      </c>
      <c r="C37" s="480">
        <v>1037</v>
      </c>
      <c r="D37" s="481" t="s">
        <v>1640</v>
      </c>
      <c r="E37" s="482"/>
      <c r="F37" s="482">
        <v>1994</v>
      </c>
      <c r="G37" s="483" t="s">
        <v>956</v>
      </c>
      <c r="H37" s="813"/>
      <c r="I37" s="816"/>
    </row>
    <row r="38" spans="2:11" x14ac:dyDescent="0.3">
      <c r="B38" s="669">
        <f t="shared" si="0"/>
        <v>23</v>
      </c>
      <c r="C38" s="480">
        <v>23</v>
      </c>
      <c r="D38" s="481" t="s">
        <v>1641</v>
      </c>
      <c r="E38" s="482"/>
      <c r="F38" s="482">
        <v>1997</v>
      </c>
      <c r="G38" s="483" t="s">
        <v>956</v>
      </c>
      <c r="H38" s="813"/>
      <c r="I38" s="816"/>
    </row>
    <row r="39" spans="2:11" x14ac:dyDescent="0.3">
      <c r="B39" s="669">
        <f t="shared" si="0"/>
        <v>24</v>
      </c>
      <c r="C39" s="488">
        <v>22215</v>
      </c>
      <c r="D39" s="489" t="s">
        <v>1641</v>
      </c>
      <c r="E39" s="490"/>
      <c r="F39" s="490">
        <v>1997</v>
      </c>
      <c r="G39" s="491" t="s">
        <v>956</v>
      </c>
      <c r="H39" s="813"/>
      <c r="I39" s="816"/>
    </row>
    <row r="40" spans="2:11" ht="26.4" x14ac:dyDescent="0.3">
      <c r="B40" s="669">
        <f t="shared" si="0"/>
        <v>25</v>
      </c>
      <c r="C40" s="480">
        <v>2065</v>
      </c>
      <c r="D40" s="481" t="s">
        <v>1642</v>
      </c>
      <c r="E40" s="482"/>
      <c r="F40" s="482">
        <v>1983</v>
      </c>
      <c r="G40" s="483" t="s">
        <v>956</v>
      </c>
      <c r="H40" s="813"/>
      <c r="I40" s="816"/>
      <c r="K40" s="478" t="s">
        <v>3699</v>
      </c>
    </row>
    <row r="41" spans="2:11" ht="26.4" x14ac:dyDescent="0.3">
      <c r="B41" s="669">
        <f t="shared" si="0"/>
        <v>26</v>
      </c>
      <c r="C41" s="480">
        <v>3127</v>
      </c>
      <c r="D41" s="481" t="s">
        <v>1643</v>
      </c>
      <c r="E41" s="482"/>
      <c r="F41" s="482">
        <v>2013</v>
      </c>
      <c r="G41" s="483" t="s">
        <v>956</v>
      </c>
      <c r="H41" s="813"/>
      <c r="I41" s="816"/>
    </row>
    <row r="42" spans="2:11" ht="16.2" thickBot="1" x14ac:dyDescent="0.35">
      <c r="B42" s="669">
        <f t="shared" si="0"/>
        <v>27</v>
      </c>
      <c r="C42" s="1481">
        <v>3128</v>
      </c>
      <c r="D42" s="1482" t="s">
        <v>1644</v>
      </c>
      <c r="E42" s="1483"/>
      <c r="F42" s="1483">
        <v>2013</v>
      </c>
      <c r="G42" s="1484" t="s">
        <v>956</v>
      </c>
      <c r="H42" s="814"/>
      <c r="I42" s="817"/>
    </row>
    <row r="43" spans="2:11" hidden="1" x14ac:dyDescent="0.3"/>
    <row r="44" spans="2:11" hidden="1" x14ac:dyDescent="0.3"/>
    <row r="45" spans="2:11" hidden="1" x14ac:dyDescent="0.3"/>
    <row r="46" spans="2:11" hidden="1" x14ac:dyDescent="0.3"/>
    <row r="47" spans="2:11" hidden="1" x14ac:dyDescent="0.3"/>
    <row r="49" spans="3:8" s="492" customFormat="1" ht="13.2" x14ac:dyDescent="0.25">
      <c r="C49" s="5886" t="s">
        <v>1645</v>
      </c>
      <c r="D49" s="5886"/>
      <c r="E49" s="5886"/>
      <c r="F49" s="5886"/>
      <c r="G49" s="5886"/>
      <c r="H49" s="492" t="s">
        <v>1646</v>
      </c>
    </row>
  </sheetData>
  <mergeCells count="10">
    <mergeCell ref="C49:G49"/>
    <mergeCell ref="B3:I3"/>
    <mergeCell ref="B6:B9"/>
    <mergeCell ref="C6:C9"/>
    <mergeCell ref="D6:D9"/>
    <mergeCell ref="E6:E9"/>
    <mergeCell ref="F6:F9"/>
    <mergeCell ref="G6:G9"/>
    <mergeCell ref="H6:H9"/>
    <mergeCell ref="I6:I9"/>
  </mergeCells>
  <dataValidations count="1">
    <dataValidation type="list" allowBlank="1" showInputMessage="1" showErrorMessage="1" sqref="G11 G16:G42 N2:N5" xr:uid="{00000000-0002-0000-6900-000000000000}">
      <formula1>$G$24:$G$30</formula1>
    </dataValidation>
  </dataValidations>
  <pageMargins left="0.7" right="0.23" top="0.39" bottom="0.28999999999999998" header="0.3" footer="0.3"/>
  <pageSetup paperSize="9" orientation="portrait" horizontalDpi="0" verticalDpi="0" r:id="rId1"/>
</worksheet>
</file>

<file path=xl/worksheets/sheet10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A00-000000000000}">
  <sheetPr codeName="Лист103"/>
  <dimension ref="A1:F30"/>
  <sheetViews>
    <sheetView workbookViewId="0">
      <selection activeCell="C12" sqref="C12"/>
    </sheetView>
  </sheetViews>
  <sheetFormatPr defaultColWidth="8.88671875" defaultRowHeight="18" x14ac:dyDescent="0.35"/>
  <cols>
    <col min="1" max="1" width="21" style="3074" customWidth="1"/>
    <col min="2" max="2" width="11.5546875" style="3074" customWidth="1"/>
    <col min="3" max="3" width="11.109375" style="3074" customWidth="1"/>
    <col min="4" max="4" width="12.33203125" style="3074" customWidth="1"/>
    <col min="5" max="6" width="14.44140625" style="3074" customWidth="1"/>
    <col min="7" max="16384" width="8.88671875" style="3074"/>
  </cols>
  <sheetData>
    <row r="1" spans="1:6" ht="21.6" thickBot="1" x14ac:dyDescent="0.45">
      <c r="A1" s="5921" t="str">
        <f>'Вхідні дані'!F6</f>
        <v>2023-2024</v>
      </c>
      <c r="B1" s="5921"/>
      <c r="C1" s="5921"/>
      <c r="D1" s="5921"/>
      <c r="E1" s="5921"/>
      <c r="F1" s="5921"/>
    </row>
    <row r="2" spans="1:6" x14ac:dyDescent="0.35">
      <c r="A2" s="5918" t="s">
        <v>2350</v>
      </c>
      <c r="B2" s="5919"/>
      <c r="C2" s="5919"/>
      <c r="D2" s="5919"/>
      <c r="E2" s="5919"/>
      <c r="F2" s="5920"/>
    </row>
    <row r="3" spans="1:6" x14ac:dyDescent="0.35">
      <c r="A3" s="4666"/>
      <c r="B3" s="4677"/>
      <c r="C3" s="4667" t="s">
        <v>2368</v>
      </c>
      <c r="D3" s="4667" t="s">
        <v>3187</v>
      </c>
      <c r="E3" s="4667" t="s">
        <v>3188</v>
      </c>
      <c r="F3" s="4668" t="s">
        <v>2300</v>
      </c>
    </row>
    <row r="4" spans="1:6" x14ac:dyDescent="0.35">
      <c r="A4" s="4666" t="s">
        <v>2727</v>
      </c>
      <c r="B4" s="4677"/>
      <c r="C4" s="4669">
        <f>'Д 5 Т на ТЕ з ЦТП'!E11+'Д 5 Т на ТЕ з ЦТП'!E15+'Д 5 Т на ТЕ з ЦТП'!E19</f>
        <v>2190.12</v>
      </c>
      <c r="D4" s="4669">
        <f>'Д 5 Т на ТЕ з ЦТП'!F11+'Д 5 Т на ТЕ з ЦТП'!F15+'Д 5 Т на ТЕ з ЦТП'!F19</f>
        <v>0</v>
      </c>
      <c r="E4" s="4669">
        <f>'Д 5 Т на ТЕ з ЦТП'!G11+'Д 5 Т на ТЕ з ЦТП'!G15+'Д 5 Т на ТЕ з ЦТП'!G19</f>
        <v>3284.5000000000005</v>
      </c>
      <c r="F4" s="4670">
        <f>'Д 5 Т на ТЕ з ЦТП'!H11+'Д 5 Т на ТЕ з ЦТП'!H15+'Д 5 Т на ТЕ з ЦТП'!H19</f>
        <v>3284.5000000000005</v>
      </c>
    </row>
    <row r="5" spans="1:6" x14ac:dyDescent="0.35">
      <c r="A5" s="4666" t="s">
        <v>2995</v>
      </c>
      <c r="B5" s="4669">
        <f>'Д 2_Т на В'!H14/'Д 2_Т на В'!H$58*1000</f>
        <v>1093.2024703992736</v>
      </c>
      <c r="C5" s="4669">
        <f>'Д 2_Т на В'!L14/'Д 2_Т на В'!L$58*1000</f>
        <v>926.04983933612777</v>
      </c>
      <c r="D5" s="4669">
        <v>0</v>
      </c>
      <c r="E5" s="4669">
        <f>'Д 2_Т на В'!T14/'Д 2_Т на В'!T$58*1000</f>
        <v>1913.059848706562</v>
      </c>
      <c r="F5" s="4670">
        <f>'Д 2_Т на В'!X14/'Д 2_Т на В'!X$58*1000</f>
        <v>1913.0598487065627</v>
      </c>
    </row>
    <row r="6" spans="1:6" x14ac:dyDescent="0.35">
      <c r="A6" s="4666" t="s">
        <v>3185</v>
      </c>
      <c r="B6" s="4669">
        <f>'D1_2023-2024'!C13/'D1_2023-2024'!C41+'D1_2023-2024'!C46/'D1_2023-2024'!C75</f>
        <v>308.76037646835402</v>
      </c>
      <c r="C6" s="4669">
        <f>'D1_2023-2024'!D13+'D1_2023-2024'!D46</f>
        <v>308.76037646835397</v>
      </c>
      <c r="D6" s="4669">
        <v>0</v>
      </c>
      <c r="E6" s="4669">
        <f>'D1_2023-2024'!F13+'D1_2023-2024'!F46</f>
        <v>308.76037646835397</v>
      </c>
      <c r="F6" s="4670">
        <f>'D1_2023-2024'!G13+'D1_2023-2024'!G46</f>
        <v>308.76037646835397</v>
      </c>
    </row>
    <row r="7" spans="1:6" x14ac:dyDescent="0.35">
      <c r="A7" s="4666" t="s">
        <v>226</v>
      </c>
      <c r="B7" s="4679">
        <f>B5+B6</f>
        <v>1401.9628468676276</v>
      </c>
      <c r="C7" s="4669">
        <f>C5+C6</f>
        <v>1234.8102158044817</v>
      </c>
      <c r="D7" s="4669">
        <f>D5+D6</f>
        <v>0</v>
      </c>
      <c r="E7" s="4669">
        <f>E5+E6</f>
        <v>2221.8202251749158</v>
      </c>
      <c r="F7" s="4670">
        <f>F5+F6</f>
        <v>2221.8202251749167</v>
      </c>
    </row>
    <row r="8" spans="1:6" x14ac:dyDescent="0.35">
      <c r="A8" s="4666" t="s">
        <v>3186</v>
      </c>
      <c r="B8" s="4677"/>
      <c r="C8" s="4671">
        <f>C7/C4</f>
        <v>0.5638093875241913</v>
      </c>
      <c r="D8" s="4671">
        <f>IF(D4=0,0,D7/D4)</f>
        <v>0</v>
      </c>
      <c r="E8" s="4671">
        <f>E7/E4</f>
        <v>0.67645615015220439</v>
      </c>
      <c r="F8" s="4672">
        <f>F7/F4</f>
        <v>0.67645615015220473</v>
      </c>
    </row>
    <row r="9" spans="1:6" x14ac:dyDescent="0.35">
      <c r="A9" s="4666"/>
      <c r="B9" s="4677"/>
      <c r="C9" s="4667"/>
      <c r="D9" s="4667"/>
      <c r="E9" s="4667"/>
      <c r="F9" s="4668"/>
    </row>
    <row r="10" spans="1:6" x14ac:dyDescent="0.35">
      <c r="A10" s="5915" t="s">
        <v>2351</v>
      </c>
      <c r="B10" s="5916"/>
      <c r="C10" s="5916"/>
      <c r="D10" s="5916"/>
      <c r="E10" s="5916"/>
      <c r="F10" s="5917"/>
    </row>
    <row r="11" spans="1:6" x14ac:dyDescent="0.35">
      <c r="A11" s="4666"/>
      <c r="B11" s="4677"/>
      <c r="C11" s="4667" t="s">
        <v>2368</v>
      </c>
      <c r="D11" s="4667" t="s">
        <v>3187</v>
      </c>
      <c r="E11" s="4667" t="s">
        <v>3188</v>
      </c>
      <c r="F11" s="4668" t="s">
        <v>2300</v>
      </c>
    </row>
    <row r="12" spans="1:6" x14ac:dyDescent="0.35">
      <c r="A12" s="4666" t="s">
        <v>2727</v>
      </c>
      <c r="B12" s="4677"/>
      <c r="C12" s="4669">
        <f>'Д 5.1 Т на ТЕ без ЦТП'!E11+'Д 5.1 Т на ТЕ без ЦТП'!E15+'Д 5.1 Т на ТЕ без ЦТП'!E19</f>
        <v>1809.61</v>
      </c>
      <c r="D12" s="4669">
        <f>'Д 5.1 Т на ТЕ без ЦТП'!F11+'Д 5.1 Т на ТЕ без ЦТП'!F15+'Д 5.1 Т на ТЕ без ЦТП'!F19</f>
        <v>2890.6200000000003</v>
      </c>
      <c r="E12" s="4669">
        <f>'Д 5.1 Т на ТЕ без ЦТП'!G11+'Д 5.1 Т на ТЕ без ЦТП'!G15+'Д 5.1 Т на ТЕ без ЦТП'!G19</f>
        <v>2890.6200000000003</v>
      </c>
      <c r="F12" s="4670">
        <f>'Д 5.1 Т на ТЕ без ЦТП'!H11+'Д 5.1 Т на ТЕ без ЦТП'!H15+'Д 5.1 Т на ТЕ без ЦТП'!H19</f>
        <v>2890.6200000000003</v>
      </c>
    </row>
    <row r="13" spans="1:6" x14ac:dyDescent="0.35">
      <c r="A13" s="4666" t="s">
        <v>2995</v>
      </c>
      <c r="B13" s="4677"/>
      <c r="C13" s="4669">
        <f>C5</f>
        <v>926.04983933612777</v>
      </c>
      <c r="D13" s="4669">
        <f>'Додаток 2 до рішення'!E15</f>
        <v>1913.0598487065622</v>
      </c>
      <c r="E13" s="4669">
        <f>'Додаток 2 до рішення'!F15</f>
        <v>1913.059848706562</v>
      </c>
      <c r="F13" s="4670">
        <f>'Додаток 2 до рішення'!G15</f>
        <v>1913.0598487065627</v>
      </c>
    </row>
    <row r="14" spans="1:6" x14ac:dyDescent="0.35">
      <c r="A14" s="4666" t="s">
        <v>3185</v>
      </c>
      <c r="B14" s="4677"/>
      <c r="C14" s="4669">
        <f>'D2_2023-2024'!D13+'D2_2023-2024'!D46</f>
        <v>188.4183665494206</v>
      </c>
      <c r="D14" s="4669">
        <f>'D2_2023-2024'!E13+'D2_2023-2024'!E46</f>
        <v>188.4183665494206</v>
      </c>
      <c r="E14" s="4669">
        <f>'D2_2023-2024'!F13+'D2_2023-2024'!F46</f>
        <v>188.4183665494206</v>
      </c>
      <c r="F14" s="4670">
        <f>'D2_2023-2024'!G13+'D2_2023-2024'!G46</f>
        <v>188.4183665494206</v>
      </c>
    </row>
    <row r="15" spans="1:6" x14ac:dyDescent="0.35">
      <c r="A15" s="4666" t="s">
        <v>226</v>
      </c>
      <c r="B15" s="4677"/>
      <c r="C15" s="4669">
        <f>C13+C14</f>
        <v>1114.4682058855483</v>
      </c>
      <c r="D15" s="4669">
        <f>D13+D14</f>
        <v>2101.4782152559828</v>
      </c>
      <c r="E15" s="4669">
        <f>E13+E14</f>
        <v>2101.4782152559824</v>
      </c>
      <c r="F15" s="4670">
        <f>F13+F14</f>
        <v>2101.4782152559833</v>
      </c>
    </row>
    <row r="16" spans="1:6" ht="18.600000000000001" thickBot="1" x14ac:dyDescent="0.4">
      <c r="A16" s="4673" t="s">
        <v>3186</v>
      </c>
      <c r="B16" s="4678"/>
      <c r="C16" s="4674">
        <f>C15/C12</f>
        <v>0.61586098987381166</v>
      </c>
      <c r="D16" s="4674">
        <f>D15/D12</f>
        <v>0.72699912657353183</v>
      </c>
      <c r="E16" s="4674">
        <f>E15/E12</f>
        <v>0.72699912657353172</v>
      </c>
      <c r="F16" s="4675">
        <f>F15/F12</f>
        <v>0.72699912657353194</v>
      </c>
    </row>
    <row r="17" spans="1:6" ht="18.600000000000001" thickBot="1" x14ac:dyDescent="0.4"/>
    <row r="18" spans="1:6" x14ac:dyDescent="0.35">
      <c r="A18" s="5918" t="s">
        <v>2350</v>
      </c>
      <c r="B18" s="5919"/>
      <c r="C18" s="5919"/>
      <c r="D18" s="5919"/>
      <c r="E18" s="5919"/>
      <c r="F18" s="5920"/>
    </row>
    <row r="19" spans="1:6" ht="18.600000000000001" thickBot="1" x14ac:dyDescent="0.4">
      <c r="A19" s="4680"/>
      <c r="B19" s="4681"/>
      <c r="C19" s="4682" t="s">
        <v>2368</v>
      </c>
      <c r="D19" s="4682" t="s">
        <v>3187</v>
      </c>
      <c r="E19" s="4682" t="s">
        <v>3188</v>
      </c>
      <c r="F19" s="4683" t="s">
        <v>2300</v>
      </c>
    </row>
    <row r="20" spans="1:6" x14ac:dyDescent="0.35">
      <c r="A20" s="4665" t="s">
        <v>4161</v>
      </c>
      <c r="B20" s="4676"/>
      <c r="C20" s="4684">
        <f>'D1_2023-2024'!D7</f>
        <v>2291.6105284132491</v>
      </c>
      <c r="D20" s="4684">
        <f>'D1_2023-2024'!E7</f>
        <v>0</v>
      </c>
      <c r="E20" s="4691">
        <f>'D1_2023-2024'!F7</f>
        <v>3436.7070083408057</v>
      </c>
      <c r="F20" s="4694">
        <f>'D1_2023-2024'!G7</f>
        <v>3436.7070083408057</v>
      </c>
    </row>
    <row r="21" spans="1:6" x14ac:dyDescent="0.35">
      <c r="A21" s="4666" t="s">
        <v>2727</v>
      </c>
      <c r="B21" s="4669"/>
      <c r="C21" s="4669">
        <f>C4</f>
        <v>2190.12</v>
      </c>
      <c r="D21" s="4669">
        <f t="shared" ref="D21:F21" si="0">D4</f>
        <v>0</v>
      </c>
      <c r="E21" s="4692">
        <f t="shared" si="0"/>
        <v>3284.5000000000005</v>
      </c>
      <c r="F21" s="4695">
        <f t="shared" si="0"/>
        <v>3284.5000000000005</v>
      </c>
    </row>
    <row r="22" spans="1:6" x14ac:dyDescent="0.35">
      <c r="A22" s="4666" t="s">
        <v>2224</v>
      </c>
      <c r="B22" s="4669"/>
      <c r="C22" s="4669">
        <f>C20-C21</f>
        <v>101.49052841324919</v>
      </c>
      <c r="D22" s="4669">
        <f t="shared" ref="D22:F22" si="1">D20-D21</f>
        <v>0</v>
      </c>
      <c r="E22" s="4692">
        <f t="shared" si="1"/>
        <v>152.20700834080526</v>
      </c>
      <c r="F22" s="4695">
        <f t="shared" si="1"/>
        <v>152.20700834080526</v>
      </c>
    </row>
    <row r="23" spans="1:6" ht="18.600000000000001" thickBot="1" x14ac:dyDescent="0.4">
      <c r="A23" s="4673" t="s">
        <v>4162</v>
      </c>
      <c r="B23" s="4678"/>
      <c r="C23" s="4685">
        <f>C22/C21</f>
        <v>4.6340167850733839E-2</v>
      </c>
      <c r="D23" s="4685">
        <v>0</v>
      </c>
      <c r="E23" s="4693">
        <f t="shared" ref="E23:F23" si="2">E22/E21</f>
        <v>4.6340998124769446E-2</v>
      </c>
      <c r="F23" s="4696">
        <f t="shared" si="2"/>
        <v>4.6340998124769446E-2</v>
      </c>
    </row>
    <row r="24" spans="1:6" x14ac:dyDescent="0.35">
      <c r="A24" s="4686"/>
      <c r="B24" s="4687"/>
      <c r="C24" s="4688"/>
      <c r="D24" s="4688"/>
      <c r="E24" s="4688"/>
      <c r="F24" s="4689"/>
    </row>
    <row r="25" spans="1:6" x14ac:dyDescent="0.35">
      <c r="A25" s="5915" t="s">
        <v>2351</v>
      </c>
      <c r="B25" s="5916"/>
      <c r="C25" s="5916"/>
      <c r="D25" s="5916"/>
      <c r="E25" s="5916"/>
      <c r="F25" s="5917"/>
    </row>
    <row r="26" spans="1:6" ht="18.600000000000001" thickBot="1" x14ac:dyDescent="0.4">
      <c r="A26" s="4680"/>
      <c r="B26" s="4681"/>
      <c r="C26" s="4682" t="s">
        <v>2368</v>
      </c>
      <c r="D26" s="4682" t="s">
        <v>3187</v>
      </c>
      <c r="E26" s="4682" t="s">
        <v>3188</v>
      </c>
      <c r="F26" s="4683" t="s">
        <v>2300</v>
      </c>
    </row>
    <row r="27" spans="1:6" x14ac:dyDescent="0.35">
      <c r="A27" s="4665" t="s">
        <v>4161</v>
      </c>
      <c r="B27" s="4676"/>
      <c r="C27" s="4684">
        <f>'D2_2023-2024'!D7</f>
        <v>1893.4666574782534</v>
      </c>
      <c r="D27" s="4684">
        <f>'D2_2023-2024'!E7</f>
        <v>3024.5693351330997</v>
      </c>
      <c r="E27" s="4691">
        <f>'D2_2023-2024'!F7</f>
        <v>3024.569335133101</v>
      </c>
      <c r="F27" s="4694">
        <f>'D2_2023-2024'!G7</f>
        <v>3024.569335133101</v>
      </c>
    </row>
    <row r="28" spans="1:6" x14ac:dyDescent="0.35">
      <c r="A28" s="4666" t="s">
        <v>2727</v>
      </c>
      <c r="B28" s="4677"/>
      <c r="C28" s="4669">
        <f>C12</f>
        <v>1809.61</v>
      </c>
      <c r="D28" s="4669">
        <f t="shared" ref="D28:F28" si="3">D12</f>
        <v>2890.6200000000003</v>
      </c>
      <c r="E28" s="4692">
        <f t="shared" si="3"/>
        <v>2890.6200000000003</v>
      </c>
      <c r="F28" s="4695">
        <f t="shared" si="3"/>
        <v>2890.6200000000003</v>
      </c>
    </row>
    <row r="29" spans="1:6" x14ac:dyDescent="0.35">
      <c r="A29" s="4666" t="s">
        <v>2224</v>
      </c>
      <c r="B29" s="4669"/>
      <c r="C29" s="4669">
        <f>C27-C28</f>
        <v>83.85665747825351</v>
      </c>
      <c r="D29" s="4669">
        <f t="shared" ref="D29" si="4">D27-D28</f>
        <v>133.94933513309934</v>
      </c>
      <c r="E29" s="4692">
        <f t="shared" ref="E29" si="5">E27-E28</f>
        <v>133.9493351331007</v>
      </c>
      <c r="F29" s="4695">
        <f t="shared" ref="F29" si="6">F27-F28</f>
        <v>133.9493351331007</v>
      </c>
    </row>
    <row r="30" spans="1:6" ht="18.600000000000001" thickBot="1" x14ac:dyDescent="0.4">
      <c r="A30" s="4673" t="s">
        <v>4162</v>
      </c>
      <c r="B30" s="4678"/>
      <c r="C30" s="4685">
        <f>C29/C28</f>
        <v>4.6339629797720785E-2</v>
      </c>
      <c r="D30" s="4685">
        <f t="shared" ref="D30:F30" si="7">D29/D28</f>
        <v>4.6339309605932057E-2</v>
      </c>
      <c r="E30" s="4693">
        <f t="shared" si="7"/>
        <v>4.6339309605932529E-2</v>
      </c>
      <c r="F30" s="4696">
        <f t="shared" si="7"/>
        <v>4.6339309605932529E-2</v>
      </c>
    </row>
  </sheetData>
  <mergeCells count="5">
    <mergeCell ref="A25:F25"/>
    <mergeCell ref="A18:F18"/>
    <mergeCell ref="A2:F2"/>
    <mergeCell ref="A10:F10"/>
    <mergeCell ref="A1:F1"/>
  </mergeCells>
  <pageMargins left="0.7" right="0.34" top="0.75" bottom="0.75" header="0.3" footer="0.3"/>
  <pageSetup paperSize="9" orientation="portrait" horizontalDpi="0" verticalDpi="0" r:id="rId1"/>
</worksheet>
</file>

<file path=xl/worksheets/sheet10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B00-000000000000}">
  <sheetPr codeName="Лист104">
    <tabColor rgb="FFEC20C5"/>
    <pageSetUpPr fitToPage="1"/>
  </sheetPr>
  <dimension ref="A1:L50"/>
  <sheetViews>
    <sheetView workbookViewId="0">
      <selection activeCell="C17" sqref="C17"/>
    </sheetView>
  </sheetViews>
  <sheetFormatPr defaultColWidth="9.109375" defaultRowHeight="13.8" x14ac:dyDescent="0.25"/>
  <cols>
    <col min="1" max="1" width="7.88671875" style="1445" customWidth="1"/>
    <col min="2" max="2" width="56.44140625" style="10" customWidth="1"/>
    <col min="3" max="3" width="14.6640625" style="10" customWidth="1"/>
    <col min="4" max="4" width="14.44140625" style="1445" customWidth="1"/>
    <col min="5" max="7" width="14.44140625" style="10" customWidth="1"/>
    <col min="8" max="8" width="7.6640625" style="10" customWidth="1"/>
    <col min="9" max="16384" width="9.109375" style="10"/>
  </cols>
  <sheetData>
    <row r="1" spans="1:12" ht="85.95" customHeight="1" x14ac:dyDescent="0.25">
      <c r="A1" s="2083"/>
      <c r="F1" s="5465" t="s">
        <v>2732</v>
      </c>
      <c r="G1" s="5465"/>
    </row>
    <row r="2" spans="1:12" ht="45.75" customHeight="1" x14ac:dyDescent="0.25">
      <c r="A2" s="10"/>
      <c r="B2" s="4898" t="s">
        <v>2733</v>
      </c>
      <c r="C2" s="4898"/>
      <c r="D2" s="4898"/>
      <c r="E2" s="4898"/>
      <c r="F2" s="4898"/>
      <c r="G2" s="1490"/>
    </row>
    <row r="3" spans="1:12" ht="14.4" thickBot="1" x14ac:dyDescent="0.3">
      <c r="G3" s="10" t="s">
        <v>1734</v>
      </c>
    </row>
    <row r="4" spans="1:12" ht="30" customHeight="1" thickBot="1" x14ac:dyDescent="0.3">
      <c r="A4" s="4876" t="s">
        <v>7</v>
      </c>
      <c r="B4" s="4876" t="s">
        <v>631</v>
      </c>
      <c r="C4" s="4876" t="s">
        <v>2734</v>
      </c>
      <c r="D4" s="4879" t="s">
        <v>2735</v>
      </c>
      <c r="E4" s="4880"/>
      <c r="F4" s="4880"/>
      <c r="G4" s="4882"/>
      <c r="H4" s="100"/>
      <c r="I4" s="100"/>
    </row>
    <row r="5" spans="1:12" ht="75" customHeight="1" thickBot="1" x14ac:dyDescent="0.3">
      <c r="A5" s="4877"/>
      <c r="B5" s="4878"/>
      <c r="C5" s="4878"/>
      <c r="D5" s="1682" t="s">
        <v>2736</v>
      </c>
      <c r="E5" s="1682" t="s">
        <v>2737</v>
      </c>
      <c r="F5" s="1682" t="s">
        <v>2738</v>
      </c>
      <c r="G5" s="1682" t="s">
        <v>2739</v>
      </c>
      <c r="H5" s="100"/>
      <c r="I5" s="100"/>
    </row>
    <row r="6" spans="1:12" ht="14.4" thickBot="1" x14ac:dyDescent="0.3">
      <c r="A6" s="1683">
        <v>1</v>
      </c>
      <c r="B6" s="1684">
        <v>2</v>
      </c>
      <c r="C6" s="1676">
        <v>3</v>
      </c>
      <c r="D6" s="1683">
        <v>4</v>
      </c>
      <c r="E6" s="1676">
        <v>5</v>
      </c>
      <c r="F6" s="1684">
        <v>6</v>
      </c>
      <c r="G6" s="1677">
        <v>7</v>
      </c>
    </row>
    <row r="7" spans="1:12" ht="14.4" thickBot="1" x14ac:dyDescent="0.3">
      <c r="A7" s="1711" t="s">
        <v>3055</v>
      </c>
      <c r="B7" s="4892" t="s">
        <v>2740</v>
      </c>
      <c r="C7" s="5466"/>
      <c r="D7" s="5466"/>
      <c r="E7" s="5466"/>
      <c r="F7" s="5466"/>
      <c r="G7" s="5467"/>
    </row>
    <row r="8" spans="1:12" ht="16.95" customHeight="1" x14ac:dyDescent="0.25">
      <c r="A8" s="1686" t="s">
        <v>2741</v>
      </c>
      <c r="B8" s="1687" t="s">
        <v>2742</v>
      </c>
      <c r="C8" s="1686" t="s">
        <v>224</v>
      </c>
      <c r="D8" s="1686">
        <f>SUM(D9:D11)</f>
        <v>2291.6205284132493</v>
      </c>
      <c r="E8" s="1688">
        <f>SUM(E9:E11)</f>
        <v>0</v>
      </c>
      <c r="F8" s="1686">
        <f>SUM(F9:F11)</f>
        <v>3436.7070083408057</v>
      </c>
      <c r="G8" s="1689">
        <f>SUM(G9:G11)</f>
        <v>3436.7070083408057</v>
      </c>
      <c r="H8" s="729"/>
      <c r="I8" s="729"/>
      <c r="J8" s="729"/>
      <c r="K8" s="729"/>
      <c r="L8" s="729"/>
    </row>
    <row r="9" spans="1:12" ht="16.95" customHeight="1" x14ac:dyDescent="0.25">
      <c r="A9" s="1690" t="s">
        <v>1749</v>
      </c>
      <c r="B9" s="1691" t="s">
        <v>2743</v>
      </c>
      <c r="C9" s="1690" t="s">
        <v>224</v>
      </c>
      <c r="D9" s="1690">
        <f>'Додаток 3 до рішення'!D7</f>
        <v>1321.3719506169798</v>
      </c>
      <c r="E9" s="1690">
        <f>IF(E10=0,0,'Додаток 3 до рішення'!E7)</f>
        <v>0</v>
      </c>
      <c r="F9" s="1690">
        <f>'Додаток 3 до рішення'!F7</f>
        <v>2354.1214482265323</v>
      </c>
      <c r="G9" s="1690">
        <f>'Додаток 3 до рішення'!G7</f>
        <v>2354.1214482265323</v>
      </c>
      <c r="H9" s="729"/>
      <c r="I9" s="729"/>
      <c r="J9" s="729"/>
      <c r="K9" s="729"/>
      <c r="L9" s="729"/>
    </row>
    <row r="10" spans="1:12" ht="32.4" customHeight="1" x14ac:dyDescent="0.25">
      <c r="A10" s="1690" t="s">
        <v>1751</v>
      </c>
      <c r="B10" s="1692" t="s">
        <v>2744</v>
      </c>
      <c r="C10" s="1690" t="s">
        <v>224</v>
      </c>
      <c r="D10" s="1690">
        <f>'Додаток 4 до рішення'!D7</f>
        <v>949.4644192612908</v>
      </c>
      <c r="E10" s="1690">
        <f>'Додаток 4 до рішення'!E7</f>
        <v>0</v>
      </c>
      <c r="F10" s="1690">
        <f>'Додаток 4 до рішення'!F7</f>
        <v>1061.8014015792946</v>
      </c>
      <c r="G10" s="1690">
        <f>'Додаток 4 до рішення'!G7</f>
        <v>1061.8014015792946</v>
      </c>
      <c r="H10" s="729"/>
      <c r="I10" s="729"/>
      <c r="J10" s="729"/>
      <c r="K10" s="729"/>
      <c r="L10" s="729"/>
    </row>
    <row r="11" spans="1:12" ht="16.95" customHeight="1" thickBot="1" x14ac:dyDescent="0.3">
      <c r="A11" s="1693" t="s">
        <v>1753</v>
      </c>
      <c r="B11" s="1694" t="s">
        <v>2745</v>
      </c>
      <c r="C11" s="1693" t="s">
        <v>224</v>
      </c>
      <c r="D11" s="1693">
        <f>'Додаток 6 до рішення'!D7</f>
        <v>20.784158534978818</v>
      </c>
      <c r="E11" s="1693">
        <f>IF(E10=0,0,'Додаток 6 до рішення'!E7)</f>
        <v>0</v>
      </c>
      <c r="F11" s="1693">
        <f>'Додаток 6 до рішення'!F7</f>
        <v>20.784158534978818</v>
      </c>
      <c r="G11" s="1693">
        <f>'Додаток 6 до рішення'!G7</f>
        <v>20.784158534978818</v>
      </c>
      <c r="H11" s="729"/>
      <c r="I11" s="729"/>
      <c r="J11" s="729"/>
      <c r="K11" s="729"/>
      <c r="L11" s="729"/>
    </row>
    <row r="12" spans="1:12" ht="18.75" customHeight="1" thickBot="1" x14ac:dyDescent="0.3">
      <c r="A12" s="1695" t="s">
        <v>2746</v>
      </c>
      <c r="B12" s="4892" t="s">
        <v>3057</v>
      </c>
      <c r="C12" s="5468"/>
      <c r="D12" s="5468"/>
      <c r="E12" s="5468"/>
      <c r="F12" s="5468"/>
      <c r="G12" s="5469"/>
      <c r="H12" s="1622"/>
    </row>
    <row r="13" spans="1:12" s="15" customFormat="1" x14ac:dyDescent="0.25">
      <c r="A13" s="1696" t="s">
        <v>1747</v>
      </c>
      <c r="B13" s="1697" t="s">
        <v>2748</v>
      </c>
      <c r="C13" s="1690" t="e">
        <f>C14+C19+C20+C24</f>
        <v>#REF!</v>
      </c>
      <c r="D13" s="1690" t="e">
        <f>D14+D19+D20+D24</f>
        <v>#REF!</v>
      </c>
      <c r="E13" s="1690">
        <f>E14+E19+E20+E24</f>
        <v>0</v>
      </c>
      <c r="F13" s="1690" t="e">
        <f>F14+F19+F20+F24</f>
        <v>#REF!</v>
      </c>
      <c r="G13" s="1690" t="e">
        <f>G14+G19+G20+G24</f>
        <v>#REF!</v>
      </c>
      <c r="H13" s="1622"/>
    </row>
    <row r="14" spans="1:12" x14ac:dyDescent="0.25">
      <c r="A14" s="1698" t="s">
        <v>1749</v>
      </c>
      <c r="B14" s="78" t="s">
        <v>2749</v>
      </c>
      <c r="C14" s="1699">
        <f>SUM(C15:C18)</f>
        <v>25477.563662663229</v>
      </c>
      <c r="D14" s="1699">
        <f>SUM(D15:D18)</f>
        <v>1256.6780593466444</v>
      </c>
      <c r="E14" s="1699">
        <f>SUM(E15:E18)</f>
        <v>0</v>
      </c>
      <c r="F14" s="1699">
        <f>SUM(F15:F18)</f>
        <v>2243.6880687170792</v>
      </c>
      <c r="G14" s="1699">
        <f>SUM(G15:G18)</f>
        <v>2243.6880687170792</v>
      </c>
      <c r="H14" s="1622"/>
      <c r="I14" s="729"/>
    </row>
    <row r="15" spans="1:12" x14ac:dyDescent="0.25">
      <c r="A15" s="1698" t="s">
        <v>2750</v>
      </c>
      <c r="B15" s="78" t="s">
        <v>2751</v>
      </c>
      <c r="C15" s="1699">
        <f>'Додаток 3 до рішення'!I11</f>
        <v>19930.767095522824</v>
      </c>
      <c r="D15" s="1699">
        <f>'Додаток 3 до рішення'!D11</f>
        <v>926.04983933612777</v>
      </c>
      <c r="E15" s="1699">
        <f>IF(E10=0,0,'Додаток 3 до рішення'!E11)</f>
        <v>0</v>
      </c>
      <c r="F15" s="1699">
        <f>'Додаток 3 до рішення'!F11</f>
        <v>1913.059848706562</v>
      </c>
      <c r="G15" s="1699">
        <f>'Додаток 3 до рішення'!G11</f>
        <v>1913.0598487065627</v>
      </c>
      <c r="H15" s="1622"/>
    </row>
    <row r="16" spans="1:12" x14ac:dyDescent="0.25">
      <c r="A16" s="1698" t="s">
        <v>2752</v>
      </c>
      <c r="B16" s="78" t="s">
        <v>2753</v>
      </c>
      <c r="C16" s="1699">
        <f>'Додаток 3 до рішення'!I12+'Додаток 4 до рішення'!C11</f>
        <v>5176.3044602063164</v>
      </c>
      <c r="D16" s="1699">
        <f>'Додаток 3 до рішення'!D12+'Додаток 4 до рішення'!D11</f>
        <v>308.76037646835397</v>
      </c>
      <c r="E16" s="1699">
        <f>IF(E10=0,0,'Додаток 3 до рішення'!E12+'Додаток 4 до рішення'!E11)</f>
        <v>0</v>
      </c>
      <c r="F16" s="1699">
        <f>'Додаток 3 до рішення'!F12+'Додаток 4 до рішення'!F11</f>
        <v>308.76037646835397</v>
      </c>
      <c r="G16" s="1699">
        <f>'Додаток 3 до рішення'!G12+'Додаток 4 до рішення'!G11</f>
        <v>308.76037646835397</v>
      </c>
      <c r="H16" s="1622"/>
    </row>
    <row r="17" spans="1:8" x14ac:dyDescent="0.25">
      <c r="A17" s="1698" t="s">
        <v>2754</v>
      </c>
      <c r="B17" s="78" t="s">
        <v>2755</v>
      </c>
      <c r="C17" s="1699">
        <f>'Додаток 3 до рішення'!I13+'Додаток 4 до рішення'!C12</f>
        <v>114.1745514505651</v>
      </c>
      <c r="D17" s="1699">
        <f>'Додаток 3 до рішення'!D13+'Додаток 4 до рішення'!D12</f>
        <v>6.9081117909729919</v>
      </c>
      <c r="E17" s="1699">
        <f>IF(E10=0,0,'Додаток 3 до рішення'!E13+'Додаток 4 до рішення'!E12)</f>
        <v>0</v>
      </c>
      <c r="F17" s="1699">
        <f>'Додаток 3 до рішення'!F13+'Додаток 4 до рішення'!F12</f>
        <v>6.9081117909729928</v>
      </c>
      <c r="G17" s="1699">
        <f>'Додаток 3 до рішення'!G13+'Додаток 4 до рішення'!G12</f>
        <v>6.9081117909729919</v>
      </c>
      <c r="H17" s="1622"/>
    </row>
    <row r="18" spans="1:8" x14ac:dyDescent="0.25">
      <c r="A18" s="1698" t="s">
        <v>2756</v>
      </c>
      <c r="B18" s="78" t="s">
        <v>2273</v>
      </c>
      <c r="C18" s="1699">
        <f>'Додаток 3 до рішення'!I14+'Додаток 4 до рішення'!C13+'Додаток 6 до рішення'!I10</f>
        <v>256.31755548352629</v>
      </c>
      <c r="D18" s="1699">
        <f>'Додаток 3 до рішення'!D14+'Додаток 4 до рішення'!D13+'Додаток 6 до рішення'!D10</f>
        <v>14.959731751189739</v>
      </c>
      <c r="E18" s="1699">
        <f>IF(E10=0,0,'Додаток 3 до рішення'!E14+'Додаток 4 до рішення'!E13+'Додаток 6 до рішення'!E10)</f>
        <v>0</v>
      </c>
      <c r="F18" s="1699">
        <f>'Додаток 3 до рішення'!F14+'Додаток 4 до рішення'!F13+'Додаток 6 до рішення'!F10</f>
        <v>14.959731751190246</v>
      </c>
      <c r="G18" s="1699">
        <f>'Додаток 3 до рішення'!G14+'Додаток 4 до рішення'!G13+'Додаток 6 до рішення'!G10</f>
        <v>14.959731751189445</v>
      </c>
      <c r="H18" s="1622"/>
    </row>
    <row r="19" spans="1:8" x14ac:dyDescent="0.25">
      <c r="A19" s="1700" t="s">
        <v>1751</v>
      </c>
      <c r="B19" s="255" t="s">
        <v>2757</v>
      </c>
      <c r="C19" s="1690">
        <f>'Додаток 3 до рішення'!I15+'Додаток 4 до рішення'!C15+'Додаток 6 до рішення'!I11</f>
        <v>5476.1571571798113</v>
      </c>
      <c r="D19" s="1690">
        <f>'Додаток 3 до рішення'!D15+'Додаток 4 до рішення'!D15+'Додаток 6 до рішення'!D11</f>
        <v>321.69406788174211</v>
      </c>
      <c r="E19" s="1690">
        <f>IF(E10=0,0,'Додаток 3 до рішення'!E15+'Додаток 4 до рішення'!E15+'Додаток 6 до рішення'!E11)</f>
        <v>0</v>
      </c>
      <c r="F19" s="1690">
        <f>'Додаток 3 до рішення'!F15+'Додаток 4 до рішення'!F15+'Додаток 6 до рішення'!F11</f>
        <v>321.69406788174211</v>
      </c>
      <c r="G19" s="1690">
        <f>'Додаток 3 до рішення'!G15+'Додаток 4 до рішення'!G15+'Додаток 6 до рішення'!G11</f>
        <v>321.69406788174211</v>
      </c>
      <c r="H19" s="1622"/>
    </row>
    <row r="20" spans="1:8" x14ac:dyDescent="0.25">
      <c r="A20" s="1700" t="s">
        <v>1753</v>
      </c>
      <c r="B20" s="255" t="s">
        <v>2758</v>
      </c>
      <c r="C20" s="1690">
        <f>C21+C22+C23</f>
        <v>5209.2192575895633</v>
      </c>
      <c r="D20" s="1690">
        <f>D21+D22+D23</f>
        <v>309.46401388650031</v>
      </c>
      <c r="E20" s="1690">
        <f>E21+E22+E23</f>
        <v>0</v>
      </c>
      <c r="F20" s="1690">
        <f>F21+F22+F23</f>
        <v>309.46401388650025</v>
      </c>
      <c r="G20" s="1690">
        <f>G21+G22+G23</f>
        <v>309.4640138865002</v>
      </c>
      <c r="H20" s="1622"/>
    </row>
    <row r="21" spans="1:8" x14ac:dyDescent="0.25">
      <c r="A21" s="1698" t="s">
        <v>2759</v>
      </c>
      <c r="B21" s="78" t="s">
        <v>2760</v>
      </c>
      <c r="C21" s="1699">
        <f>'Додаток 3 до рішення'!I17+'Додаток 4 до рішення'!C17+'Додаток 6 до рішення'!I13</f>
        <v>1201.4700889848193</v>
      </c>
      <c r="D21" s="1699">
        <f>'Додаток 3 до рішення'!D17+'Додаток 4 до рішення'!D17+'Додаток 6 до рішення'!D13</f>
        <v>70.573008468968112</v>
      </c>
      <c r="E21" s="1699">
        <f>IF(E10=0,0,'Додаток 3 до рішення'!E17+'Додаток 4 до рішення'!E17+'Додаток 6 до рішення'!E13)</f>
        <v>0</v>
      </c>
      <c r="F21" s="1699">
        <f>'Додаток 3 до рішення'!F17+'Додаток 4 до рішення'!F17+'Додаток 6 до рішення'!F13</f>
        <v>70.573008468968126</v>
      </c>
      <c r="G21" s="1699">
        <f>'Додаток 3 до рішення'!G17+'Додаток 4 до рішення'!G17+'Додаток 6 до рішення'!G13</f>
        <v>70.573008468968112</v>
      </c>
      <c r="H21" s="1622"/>
    </row>
    <row r="22" spans="1:8" x14ac:dyDescent="0.25">
      <c r="A22" s="1698" t="s">
        <v>2761</v>
      </c>
      <c r="B22" s="78" t="s">
        <v>2762</v>
      </c>
      <c r="C22" s="1699">
        <f>'Додаток 3 до рішення'!I18+'Додаток 4 до рішення'!C18+'Додаток 6 до рішення'!I14</f>
        <v>3006.5369085417569</v>
      </c>
      <c r="D22" s="1699">
        <f>'Додаток 3 до рішення'!D18+'Додаток 4 до рішення'!D18+'Додаток 6 до рішення'!D14</f>
        <v>180.66315364234359</v>
      </c>
      <c r="E22" s="1699">
        <f>IF(E10=0,0,'Додаток 3 до рішення'!E18+'Додаток 4 до рішення'!E18+'Додаток 6 до рішення'!E14)</f>
        <v>0</v>
      </c>
      <c r="F22" s="1699">
        <f>'Додаток 3 до рішення'!F18+'Додаток 4 до рішення'!F18+'Додаток 6 до рішення'!F14</f>
        <v>180.66315364234356</v>
      </c>
      <c r="G22" s="1699">
        <f>'Додаток 3 до рішення'!G18+'Додаток 4 до рішення'!G18+'Додаток 6 до рішення'!G14</f>
        <v>180.66315364234356</v>
      </c>
      <c r="H22" s="1622"/>
    </row>
    <row r="23" spans="1:8" x14ac:dyDescent="0.25">
      <c r="A23" s="1698" t="s">
        <v>2763</v>
      </c>
      <c r="B23" s="78" t="s">
        <v>81</v>
      </c>
      <c r="C23" s="1699">
        <f>'Додаток 3 до рішення'!I19+'Додаток 4 до рішення'!C19+'Додаток 6 до рішення'!I15</f>
        <v>1001.2122600629871</v>
      </c>
      <c r="D23" s="1699">
        <f>'Додаток 3 до рішення'!D19+'Додаток 4 до рішення'!D19+'Додаток 6 до рішення'!D15</f>
        <v>58.227851775188583</v>
      </c>
      <c r="E23" s="1699">
        <f>IF(E10=0,0,'Додаток 3 до рішення'!E19+'Додаток 4 до рішення'!E19+'Додаток 6 до рішення'!E15)</f>
        <v>0</v>
      </c>
      <c r="F23" s="1699">
        <f>'Додаток 3 до рішення'!F19+'Додаток 4 до рішення'!F19+'Додаток 6 до рішення'!F15</f>
        <v>58.227851775188562</v>
      </c>
      <c r="G23" s="1699">
        <f>'Додаток 3 до рішення'!G19+'Додаток 4 до рішення'!G19+'Додаток 6 до рішення'!G15</f>
        <v>58.227851775188554</v>
      </c>
      <c r="H23" s="1622"/>
    </row>
    <row r="24" spans="1:8" s="15" customFormat="1" x14ac:dyDescent="0.25">
      <c r="A24" s="1700" t="s">
        <v>1755</v>
      </c>
      <c r="B24" s="255" t="s">
        <v>2764</v>
      </c>
      <c r="C24" s="1690" t="e">
        <f>C25+C26+C27+C28</f>
        <v>#REF!</v>
      </c>
      <c r="D24" s="1690" t="e">
        <f>D25+D26+D27+D28</f>
        <v>#REF!</v>
      </c>
      <c r="E24" s="1690">
        <f>E25+E26+E27+E28</f>
        <v>0</v>
      </c>
      <c r="F24" s="1690" t="e">
        <f>F25+F26+F27+F28</f>
        <v>#REF!</v>
      </c>
      <c r="G24" s="1690" t="e">
        <f>G25+G26+G27+G28</f>
        <v>#REF!</v>
      </c>
      <c r="H24" s="1622"/>
    </row>
    <row r="25" spans="1:8" x14ac:dyDescent="0.25">
      <c r="A25" s="1701" t="s">
        <v>2765</v>
      </c>
      <c r="B25" s="78" t="s">
        <v>2766</v>
      </c>
      <c r="C25" s="1699">
        <f>'Додаток 3 до рішення'!I21+'Додаток 4 до рішення'!C21+'Додаток 6 до рішення'!I17</f>
        <v>1001.0678472626273</v>
      </c>
      <c r="D25" s="1699">
        <f>'Додаток 3 до рішення'!D21+'Додаток 4 до рішення'!D21+'Додаток 6 до рішення'!D17</f>
        <v>56.876495825084092</v>
      </c>
      <c r="E25" s="1699">
        <f>IF(E10=0,0,'Додаток 3 до рішення'!E21+'Додаток 4 до рішення'!E21+'Додаток 6 до рішення'!E17)</f>
        <v>0</v>
      </c>
      <c r="F25" s="1699">
        <f>'Додаток 3 до рішення'!F21+'Додаток 4 до рішення'!F21+'Додаток 6 до рішення'!F17</f>
        <v>56.876495825084078</v>
      </c>
      <c r="G25" s="1699">
        <f>'Додаток 3 до рішення'!G21+'Додаток 4 до рішення'!G21+'Додаток 6 до рішення'!G17</f>
        <v>56.876495825084078</v>
      </c>
      <c r="H25" s="1622"/>
    </row>
    <row r="26" spans="1:8" x14ac:dyDescent="0.25">
      <c r="A26" s="1701" t="s">
        <v>2767</v>
      </c>
      <c r="B26" s="78" t="s">
        <v>2275</v>
      </c>
      <c r="C26" s="1699">
        <f>'Додаток 3 до рішення'!I22+'Додаток 4 до рішення'!C22+'Додаток 6 до рішення'!I18</f>
        <v>213.68046809039518</v>
      </c>
      <c r="D26" s="1699">
        <f>'Додаток 3 до рішення'!D22+'Додаток 4 до рішення'!D22+'Додаток 6 до рішення'!D18</f>
        <v>12.140432124034614</v>
      </c>
      <c r="E26" s="1699">
        <f>IF(E10=0,0,'Додаток 3 до рішення'!E22+'Додаток 4 до рішення'!E22+'Додаток 6 до рішення'!E18)</f>
        <v>0</v>
      </c>
      <c r="F26" s="1699">
        <f>'Додаток 3 до рішення'!F22+'Додаток 4 до рішення'!F22+'Додаток 6 до рішення'!F18</f>
        <v>12.140432124034614</v>
      </c>
      <c r="G26" s="1699">
        <f>'Додаток 3 до рішення'!G22+'Додаток 4 до рішення'!G22+'Додаток 6 до рішення'!G18</f>
        <v>12.140432124034614</v>
      </c>
      <c r="H26" s="1622"/>
    </row>
    <row r="27" spans="1:8" x14ac:dyDescent="0.25">
      <c r="A27" s="1701" t="s">
        <v>2768</v>
      </c>
      <c r="B27" s="78" t="s">
        <v>2762</v>
      </c>
      <c r="C27" s="1699">
        <f>'Додаток 3 до рішення'!I23+'Додаток 4 до рішення'!C24+'Додаток 6 до рішення'!I19</f>
        <v>33.070361767087178</v>
      </c>
      <c r="D27" s="1699">
        <f>'Додаток 3 до рішення'!D23+'Додаток 4 до рішення'!D24+'Додаток 6 до рішення'!D19</f>
        <v>1.9860541247771322</v>
      </c>
      <c r="E27" s="1699">
        <f>IF(E10=0,0,'Додаток 3 до рішення'!E23+'Додаток 4 до рішення'!E24+'Додаток 6 до рішення'!E19)</f>
        <v>0</v>
      </c>
      <c r="F27" s="1699">
        <f>'Додаток 3 до рішення'!F23+'Додаток 4 до рішення'!F24+'Додаток 6 до рішення'!F19</f>
        <v>1.9860541247771322</v>
      </c>
      <c r="G27" s="1699">
        <f>'Додаток 3 до рішення'!G23+'Додаток 4 до рішення'!G24+'Додаток 6 до рішення'!G19</f>
        <v>1.9860541247771319</v>
      </c>
      <c r="H27" s="1622"/>
    </row>
    <row r="28" spans="1:8" x14ac:dyDescent="0.25">
      <c r="A28" s="1701" t="s">
        <v>2769</v>
      </c>
      <c r="B28" s="78" t="s">
        <v>58</v>
      </c>
      <c r="C28" s="1699" t="e">
        <f>'Додаток 3 до рішення'!I24+'Додаток 4 до рішення'!#REF!+'Додаток 6 до рішення'!I20</f>
        <v>#REF!</v>
      </c>
      <c r="D28" s="1699" t="e">
        <f>'Додаток 3 до рішення'!D24+'Додаток 4 до рішення'!#REF!+'Додаток 6 до рішення'!D20</f>
        <v>#REF!</v>
      </c>
      <c r="E28" s="1699">
        <f>IF(E10=0,0,'Додаток 3 до рішення'!E24+'Додаток 4 до рішення'!#REF!+'Додаток 6 до рішення'!E20)</f>
        <v>0</v>
      </c>
      <c r="F28" s="1699" t="e">
        <f>'Додаток 3 до рішення'!F24+'Додаток 4 до рішення'!#REF!+'Додаток 6 до рішення'!F20</f>
        <v>#REF!</v>
      </c>
      <c r="G28" s="1699" t="e">
        <f>'Додаток 3 до рішення'!G24+'Додаток 4 до рішення'!#REF!+'Додаток 6 до рішення'!G20</f>
        <v>#REF!</v>
      </c>
      <c r="H28" s="1622"/>
    </row>
    <row r="29" spans="1:8" s="15" customFormat="1" x14ac:dyDescent="0.25">
      <c r="A29" s="1696" t="s">
        <v>1768</v>
      </c>
      <c r="B29" s="255" t="s">
        <v>2770</v>
      </c>
      <c r="C29" s="1690" t="e">
        <f>C30+C31+C32+C33</f>
        <v>#REF!</v>
      </c>
      <c r="D29" s="1690" t="e">
        <f>D30+D31+D32+D33</f>
        <v>#REF!</v>
      </c>
      <c r="E29" s="1690">
        <f>E30+E31+E32+E33</f>
        <v>0</v>
      </c>
      <c r="F29" s="1690" t="e">
        <f>F30+F31+F32+F33</f>
        <v>#REF!</v>
      </c>
      <c r="G29" s="1690" t="e">
        <f>G30+G31+G32+G33</f>
        <v>#REF!</v>
      </c>
      <c r="H29" s="1622"/>
    </row>
    <row r="30" spans="1:8" x14ac:dyDescent="0.25">
      <c r="A30" s="1701" t="s">
        <v>2771</v>
      </c>
      <c r="B30" s="78" t="s">
        <v>55</v>
      </c>
      <c r="C30" s="1699">
        <f>'Додаток 3 до рішення'!I26+'Додаток 4 до рішення'!C26+'Додаток 6 до рішення'!I22</f>
        <v>1192.7245319209128</v>
      </c>
      <c r="D30" s="1699">
        <f>'Додаток 3 до рішення'!D26+'Додаток 4 до рішення'!D26+'Додаток 6 до рішення'!D22</f>
        <v>67.765628519360547</v>
      </c>
      <c r="E30" s="1699">
        <f>IF(E10=0,0,'Додаток 3 до рішення'!E26+'Додаток 4 до рішення'!E26+'Додаток 6 до рішення'!E22)</f>
        <v>0</v>
      </c>
      <c r="F30" s="1699">
        <f>'Додаток 3 до рішення'!F26+'Додаток 4 до рішення'!F26+'Додаток 6 до рішення'!F22</f>
        <v>67.765628519360547</v>
      </c>
      <c r="G30" s="1699">
        <f>'Додаток 3 до рішення'!G26+'Додаток 4 до рішення'!G26+'Додаток 6 до рішення'!G22</f>
        <v>67.765628519360547</v>
      </c>
      <c r="H30" s="1622"/>
    </row>
    <row r="31" spans="1:8" x14ac:dyDescent="0.25">
      <c r="A31" s="1701" t="s">
        <v>2772</v>
      </c>
      <c r="B31" s="78" t="s">
        <v>2773</v>
      </c>
      <c r="C31" s="1699">
        <f>'Додаток 3 до рішення'!I27+'Додаток 4 до рішення'!C27+'Додаток 6 до рішення'!I23</f>
        <v>262.39939702260079</v>
      </c>
      <c r="D31" s="1699">
        <f>'Додаток 3 до рішення'!D27+'Додаток 4 до рішення'!D27+'Додаток 6 до рішення'!D23</f>
        <v>14.908438274259323</v>
      </c>
      <c r="E31" s="1699">
        <f>IF(E10=0,0,'Додаток 3 до рішення'!E27+'Додаток 4 до рішення'!E27+'Додаток 6 до рішення'!E23)</f>
        <v>0</v>
      </c>
      <c r="F31" s="1699">
        <f>'Додаток 3 до рішення'!F27+'Додаток 4 до рішення'!F27+'Додаток 6 до рішення'!F23</f>
        <v>14.908438274259323</v>
      </c>
      <c r="G31" s="1699">
        <f>'Додаток 3 до рішення'!G27+'Додаток 4 до рішення'!G27+'Додаток 6 до рішення'!G23</f>
        <v>14.908438274259323</v>
      </c>
      <c r="H31" s="1622"/>
    </row>
    <row r="32" spans="1:8" x14ac:dyDescent="0.25">
      <c r="A32" s="1701" t="s">
        <v>2774</v>
      </c>
      <c r="B32" s="78" t="s">
        <v>2762</v>
      </c>
      <c r="C32" s="1699">
        <f>'Додаток 3 до рішення'!I28+'Додаток 4 до рішення'!C29+'Додаток 6 до рішення'!I24</f>
        <v>54.769199312629702</v>
      </c>
      <c r="D32" s="1699">
        <f>'Додаток 3 до рішення'!D28+'Додаток 4 до рішення'!D29+'Додаток 6 до рішення'!D24</f>
        <v>3.2699021041023415</v>
      </c>
      <c r="E32" s="1699">
        <f>IF(E10=0,0,'Додаток 3 до рішення'!E28+'Додаток 4 до рішення'!E29+'Додаток 6 до рішення'!E24)</f>
        <v>0</v>
      </c>
      <c r="F32" s="1699">
        <f>'Додаток 3 до рішення'!F28+'Додаток 4 до рішення'!F29+'Додаток 6 до рішення'!F24</f>
        <v>3.2699021041023415</v>
      </c>
      <c r="G32" s="1699">
        <f>'Додаток 3 до рішення'!G28+'Додаток 4 до рішення'!G29+'Додаток 6 до рішення'!G24</f>
        <v>3.2699021041023406</v>
      </c>
      <c r="H32" s="1622"/>
    </row>
    <row r="33" spans="1:9" x14ac:dyDescent="0.25">
      <c r="A33" s="1701" t="s">
        <v>2775</v>
      </c>
      <c r="B33" s="78" t="s">
        <v>2776</v>
      </c>
      <c r="C33" s="1699" t="e">
        <f>'Додаток 3 до рішення'!I29+'Додаток 4 до рішення'!#REF!+'Додаток 6 до рішення'!I25</f>
        <v>#REF!</v>
      </c>
      <c r="D33" s="1699" t="e">
        <f>'Додаток 3 до рішення'!D29+'Додаток 4 до рішення'!#REF!+'Додаток 6 до рішення'!D25</f>
        <v>#REF!</v>
      </c>
      <c r="E33" s="1699">
        <f>IF(E10=0,0,'Додаток 3 до рішення'!E29+'Додаток 4 до рішення'!#REF!+'Додаток 6 до рішення'!E25)</f>
        <v>0</v>
      </c>
      <c r="F33" s="1699" t="e">
        <f>'Додаток 3 до рішення'!F29+'Додаток 4 до рішення'!#REF!+'Додаток 6 до рішення'!F25</f>
        <v>#REF!</v>
      </c>
      <c r="G33" s="1699" t="e">
        <f>'Додаток 3 до рішення'!G29+'Додаток 4 до рішення'!#REF!+'Додаток 6 до рішення'!G25</f>
        <v>#REF!</v>
      </c>
      <c r="H33" s="1622"/>
    </row>
    <row r="34" spans="1:9" s="15" customFormat="1" x14ac:dyDescent="0.25">
      <c r="A34" s="1696" t="s">
        <v>1770</v>
      </c>
      <c r="B34" s="255" t="s">
        <v>2777</v>
      </c>
      <c r="C34" s="1696">
        <v>0</v>
      </c>
      <c r="D34" s="1696">
        <v>0</v>
      </c>
      <c r="E34" s="1696">
        <v>0</v>
      </c>
      <c r="F34" s="1696">
        <v>0</v>
      </c>
      <c r="G34" s="1696">
        <v>0</v>
      </c>
      <c r="H34" s="1622"/>
    </row>
    <row r="35" spans="1:9" s="15" customFormat="1" ht="27.6" x14ac:dyDescent="0.25">
      <c r="A35" s="1696" t="s">
        <v>1773</v>
      </c>
      <c r="B35" s="1702" t="s">
        <v>2778</v>
      </c>
      <c r="C35" s="1690" t="e">
        <f>'Додаток 4 до рішення'!#REF!</f>
        <v>#REF!</v>
      </c>
      <c r="D35" s="1690" t="e">
        <f>'Додаток 4 до рішення'!#REF!</f>
        <v>#REF!</v>
      </c>
      <c r="E35" s="1690">
        <f>IF(E10=0,0,'Додаток 4 до рішення'!#REF!)</f>
        <v>0</v>
      </c>
      <c r="F35" s="1690" t="e">
        <f>'Додаток 4 до рішення'!#REF!</f>
        <v>#REF!</v>
      </c>
      <c r="G35" s="1690" t="e">
        <f>'Додаток 4 до рішення'!#REF!</f>
        <v>#REF!</v>
      </c>
      <c r="H35" s="1622"/>
      <c r="I35" s="1205" t="e">
        <f>G35*G46+F35*F46+E35*E46+D35*D46-C35</f>
        <v>#REF!</v>
      </c>
    </row>
    <row r="36" spans="1:9" s="15" customFormat="1" x14ac:dyDescent="0.25">
      <c r="A36" s="1696" t="s">
        <v>1845</v>
      </c>
      <c r="B36" s="255" t="s">
        <v>2779</v>
      </c>
      <c r="C36" s="1690">
        <f>'Додаток 3 до рішення'!I31+'Додаток 4 до рішення'!C32+'Додаток 6 до рішення'!I27</f>
        <v>15223.768464307332</v>
      </c>
      <c r="D36" s="1690">
        <f>'Додаток 3 до рішення'!D31+'Додаток 4 до рішення'!D32+'Додаток 6 до рішення'!D27</f>
        <v>907.41354754575582</v>
      </c>
      <c r="E36" s="1690">
        <f>IF(E10=0,0,'Додаток 3 до рішення'!E31+'Додаток 4 до рішення'!E32+'Додаток 6 до рішення'!E27)</f>
        <v>0</v>
      </c>
      <c r="F36" s="1690">
        <f>'Додаток 3 до рішення'!F31+'Додаток 4 до рішення'!F32+'Додаток 6 до рішення'!F27</f>
        <v>1014.7752322785799</v>
      </c>
      <c r="G36" s="1690">
        <f>'Додаток 3 до рішення'!G31+'Додаток 4 до рішення'!G32+'Додаток 6 до рішення'!G27</f>
        <v>1014.7752322785799</v>
      </c>
      <c r="H36" s="1622"/>
    </row>
    <row r="37" spans="1:9" s="15" customFormat="1" x14ac:dyDescent="0.25">
      <c r="A37" s="1696" t="s">
        <v>1851</v>
      </c>
      <c r="B37" s="255" t="s">
        <v>2780</v>
      </c>
      <c r="C37" s="1696">
        <v>0</v>
      </c>
      <c r="D37" s="1696">
        <v>0</v>
      </c>
      <c r="E37" s="1696">
        <v>0</v>
      </c>
      <c r="F37" s="1696">
        <v>0</v>
      </c>
      <c r="G37" s="1696">
        <v>0</v>
      </c>
      <c r="H37" s="1622"/>
    </row>
    <row r="38" spans="1:9" s="1731" customFormat="1" x14ac:dyDescent="0.25">
      <c r="A38" s="1727" t="s">
        <v>1857</v>
      </c>
      <c r="B38" s="1728" t="s">
        <v>2781</v>
      </c>
      <c r="C38" s="1729">
        <f>'Додаток 3 до рішення'!I33</f>
        <v>0</v>
      </c>
      <c r="D38" s="1729">
        <f>'Додаток 3 до рішення'!D33</f>
        <v>0</v>
      </c>
      <c r="E38" s="1729">
        <f>IF(E10=0,0,'Додаток 3 до рішення'!E33)</f>
        <v>0</v>
      </c>
      <c r="F38" s="1729">
        <f>'Додаток 3 до рішення'!F33</f>
        <v>0</v>
      </c>
      <c r="G38" s="1729">
        <f>'Додаток 3 до рішення'!G33</f>
        <v>0</v>
      </c>
      <c r="H38" s="1730"/>
    </row>
    <row r="39" spans="1:9" s="15" customFormat="1" x14ac:dyDescent="0.25">
      <c r="A39" s="1696" t="s">
        <v>1859</v>
      </c>
      <c r="B39" s="255" t="s">
        <v>2782</v>
      </c>
      <c r="C39" s="1690">
        <f>SUM(C40:C43)</f>
        <v>1928.8984099198253</v>
      </c>
      <c r="D39" s="1690">
        <f>SUM(D40:D43)</f>
        <v>101.49368307657748</v>
      </c>
      <c r="E39" s="1690">
        <f>SUM(E40:E43)</f>
        <v>0</v>
      </c>
      <c r="F39" s="1690">
        <f>SUM(F40:F43)</f>
        <v>152.20846890087486</v>
      </c>
      <c r="G39" s="1690">
        <f>SUM(G40:G43)</f>
        <v>152.20846890087483</v>
      </c>
      <c r="H39" s="1622"/>
    </row>
    <row r="40" spans="1:9" x14ac:dyDescent="0.25">
      <c r="A40" s="1701" t="s">
        <v>1030</v>
      </c>
      <c r="B40" s="78" t="s">
        <v>65</v>
      </c>
      <c r="C40" s="1699">
        <f>'Додаток 3 до рішення'!I35+'Додаток 4 до рішення'!C36+'Додаток 6 до рішення'!I31</f>
        <v>347.20171378556842</v>
      </c>
      <c r="D40" s="1699">
        <f>'Додаток 3 до рішення'!D35+'Додаток 4 до рішення'!D36+'Додаток 6 до рішення'!D31</f>
        <v>18.268862953783941</v>
      </c>
      <c r="E40" s="1699">
        <f>IF(E10=0,0,'Додаток 3 до рішення'!E35+'Додаток 4 до рішення'!E36+'Додаток 6 до рішення'!E31)</f>
        <v>0</v>
      </c>
      <c r="F40" s="1699">
        <f>'Додаток 3 до рішення'!F35+'Додаток 4 до рішення'!F36+'Додаток 6 до рішення'!F31</f>
        <v>27.397524402157462</v>
      </c>
      <c r="G40" s="1699">
        <f>'Додаток 3 до рішення'!G35+'Додаток 4 до рішення'!G36+'Додаток 6 до рішення'!G31</f>
        <v>27.397524402157458</v>
      </c>
      <c r="H40" s="1622"/>
    </row>
    <row r="41" spans="1:9" x14ac:dyDescent="0.25">
      <c r="A41" s="1701" t="s">
        <v>2783</v>
      </c>
      <c r="B41" s="78" t="s">
        <v>84</v>
      </c>
      <c r="C41" s="1699">
        <f>'Додаток 3 до рішення'!I36+'Додаток 4 до рішення'!C37+'Додаток 6 до рішення'!I32</f>
        <v>0</v>
      </c>
      <c r="D41" s="1699">
        <f>'Додаток 3 до рішення'!D36+'Додаток 4 до рішення'!D37+'Додаток 6 до рішення'!D32</f>
        <v>0</v>
      </c>
      <c r="E41" s="1699">
        <f>IF(E10=0,0,'Додаток 3 до рішення'!E36+'Додаток 4 до рішення'!E37+'Додаток 6 до рішення'!E32)</f>
        <v>0</v>
      </c>
      <c r="F41" s="1699">
        <f>'Додаток 3 до рішення'!F36+'Додаток 4 до рішення'!F37+'Додаток 6 до рішення'!F32</f>
        <v>0</v>
      </c>
      <c r="G41" s="1699">
        <f>'Додаток 3 до рішення'!G36+'Додаток 4 до рішення'!G37+'Додаток 6 до рішення'!G32</f>
        <v>0</v>
      </c>
      <c r="H41" s="1622"/>
    </row>
    <row r="42" spans="1:9" x14ac:dyDescent="0.25">
      <c r="A42" s="1701" t="s">
        <v>2784</v>
      </c>
      <c r="B42" s="78" t="s">
        <v>71</v>
      </c>
      <c r="C42" s="1699">
        <f>'Додаток 3 до рішення'!I37+'Додаток 4 до рішення'!C38+'Додаток 6 до рішення'!I33</f>
        <v>0</v>
      </c>
      <c r="D42" s="1699">
        <f>'Додаток 3 до рішення'!D37+'Додаток 4 до рішення'!D38+'Додаток 6 до рішення'!D33</f>
        <v>0</v>
      </c>
      <c r="E42" s="1699">
        <f>IF(E10=0,0,'Додаток 3 до рішення'!E37+'Додаток 4 до рішення'!E38+'Додаток 6 до рішення'!E33)</f>
        <v>0</v>
      </c>
      <c r="F42" s="1699">
        <f>'Додаток 3 до рішення'!F37+'Додаток 4 до рішення'!F38+'Додаток 6 до рішення'!F33</f>
        <v>0</v>
      </c>
      <c r="G42" s="1699">
        <f>'Додаток 3 до рішення'!G37+'Додаток 4 до рішення'!G38+'Додаток 6 до рішення'!G33</f>
        <v>0</v>
      </c>
      <c r="H42" s="1622"/>
    </row>
    <row r="43" spans="1:9" ht="14.4" thickBot="1" x14ac:dyDescent="0.3">
      <c r="A43" s="1703" t="s">
        <v>2785</v>
      </c>
      <c r="B43" s="1704" t="s">
        <v>2446</v>
      </c>
      <c r="C43" s="1705">
        <f>'Додаток 3 до рішення'!I38+'Додаток 4 до рішення'!C39+'Додаток 6 до рішення'!I34</f>
        <v>1581.6966961342569</v>
      </c>
      <c r="D43" s="1705">
        <f>'Додаток 3 до рішення'!D38+'Додаток 4 до рішення'!D39+'Додаток 6 до рішення'!D34</f>
        <v>83.224820122793545</v>
      </c>
      <c r="E43" s="1705">
        <f>IF(E10=0,0,'Додаток 3 до рішення'!E38+'Додаток 4 до рішення'!E39+'Додаток 6 до рішення'!E34)</f>
        <v>0</v>
      </c>
      <c r="F43" s="1705">
        <f>'Додаток 3 до рішення'!F38+'Додаток 4 до рішення'!F39+'Додаток 6 до рішення'!F34</f>
        <v>124.81094449871739</v>
      </c>
      <c r="G43" s="1705">
        <f>'Додаток 3 до рішення'!G38+'Додаток 4 до рішення'!G39+'Додаток 6 до рішення'!G34</f>
        <v>124.81094449871738</v>
      </c>
      <c r="H43" s="1622"/>
    </row>
    <row r="44" spans="1:9" ht="14.4" thickBot="1" x14ac:dyDescent="0.3">
      <c r="A44" s="1695" t="s">
        <v>1861</v>
      </c>
      <c r="B44" s="1706" t="s">
        <v>2786</v>
      </c>
      <c r="C44" s="1707" t="e">
        <f>C13+C29+C34+C35+C36+C37+C38+C39</f>
        <v>#REF!</v>
      </c>
      <c r="D44" s="1707" t="e">
        <f>D13+D29+D34+D35+D36+D37+D38+D39</f>
        <v>#REF!</v>
      </c>
      <c r="E44" s="1707">
        <f>E13+E29+E34+E35+E36+E37+E38+E39</f>
        <v>0</v>
      </c>
      <c r="F44" s="1707" t="e">
        <f>F13+F29+F34+F35+F36+F37+F38+F39</f>
        <v>#REF!</v>
      </c>
      <c r="G44" s="1707" t="e">
        <f>G13+G29+G34+G35+G36+G37+G38+G39</f>
        <v>#REF!</v>
      </c>
      <c r="H44" s="1622"/>
    </row>
    <row r="45" spans="1:9" s="15" customFormat="1" ht="31.8" thickBot="1" x14ac:dyDescent="0.3">
      <c r="A45" s="1695" t="s">
        <v>1865</v>
      </c>
      <c r="B45" s="1074" t="s">
        <v>2787</v>
      </c>
      <c r="C45" s="1707">
        <f>'Додаток 3 до рішення'!I7</f>
        <v>18.237362357436083</v>
      </c>
      <c r="D45" s="1707">
        <f>'Додаток 3 до рішення'!J7</f>
        <v>15.155265331444637</v>
      </c>
      <c r="E45" s="1707">
        <f>'Додаток 3 до рішення'!K7</f>
        <v>0</v>
      </c>
      <c r="F45" s="1707">
        <f>'Додаток 3 до рішення'!L7</f>
        <v>2.2291652834520463</v>
      </c>
      <c r="G45" s="1707">
        <f>'Додаток 3 до рішення'!M7</f>
        <v>0.85293174253939519</v>
      </c>
      <c r="H45" s="1622"/>
    </row>
    <row r="46" spans="1:9" s="15" customFormat="1" ht="15.6" customHeight="1" thickBot="1" x14ac:dyDescent="0.3">
      <c r="A46" s="1695" t="s">
        <v>1867</v>
      </c>
      <c r="B46" s="79" t="s">
        <v>2788</v>
      </c>
      <c r="C46" s="1707">
        <f>'Додаток 6 до рішення'!I7</f>
        <v>16.448213425432204</v>
      </c>
      <c r="D46" s="1707">
        <f>'Додаток 6 до рішення'!J7</f>
        <v>13.668480880354855</v>
      </c>
      <c r="E46" s="1707">
        <f>'Додаток 6 до рішення'!K7</f>
        <v>0</v>
      </c>
      <c r="F46" s="1707">
        <f>'Додаток 6 до рішення'!L7</f>
        <v>2.0104763849135998</v>
      </c>
      <c r="G46" s="1707">
        <f>'Додаток 6 до рішення'!M7</f>
        <v>0.76925616016375076</v>
      </c>
      <c r="H46" s="1622"/>
    </row>
    <row r="47" spans="1:9" x14ac:dyDescent="0.25">
      <c r="B47" s="729"/>
      <c r="C47" s="2084" t="e">
        <f>C13+C29+C35+C36+C38+C39</f>
        <v>#REF!</v>
      </c>
      <c r="D47" s="1708"/>
      <c r="E47" s="1708"/>
      <c r="F47" s="1708"/>
      <c r="G47" s="1708"/>
    </row>
    <row r="48" spans="1:9" x14ac:dyDescent="0.25">
      <c r="C48" s="2085">
        <f>'Додаток 3 до рішення'!I39+'Додаток 4 до рішення'!C43+'Додаток 6 до рішення'!I37</f>
        <v>42852.851079477492</v>
      </c>
      <c r="D48" s="1710"/>
      <c r="E48" s="1708"/>
      <c r="F48" s="1708"/>
      <c r="G48" s="1708"/>
    </row>
    <row r="49" spans="2:7" x14ac:dyDescent="0.25">
      <c r="B49" s="10" t="s">
        <v>2821</v>
      </c>
      <c r="C49" s="2084" t="e">
        <f>C47-C48</f>
        <v>#REF!</v>
      </c>
      <c r="D49" s="1708"/>
      <c r="E49" s="1708"/>
      <c r="F49" s="2045" t="s">
        <v>2822</v>
      </c>
      <c r="G49" s="1708"/>
    </row>
    <row r="50" spans="2:7" x14ac:dyDescent="0.25">
      <c r="B50" s="1121"/>
    </row>
  </sheetData>
  <mergeCells count="8">
    <mergeCell ref="B12:G12"/>
    <mergeCell ref="F1:G1"/>
    <mergeCell ref="B2:F2"/>
    <mergeCell ref="A4:A5"/>
    <mergeCell ref="B4:B5"/>
    <mergeCell ref="C4:C5"/>
    <mergeCell ref="D4:G4"/>
    <mergeCell ref="B7:G7"/>
  </mergeCells>
  <pageMargins left="0.70866141732283472" right="0.23" top="0.74803149606299213" bottom="0.74803149606299213" header="0.31496062992125984" footer="0.31496062992125984"/>
  <pageSetup paperSize="9" scale="68" fitToHeight="2" orientation="portrait" horizontalDpi="0" verticalDpi="0" r:id="rId1"/>
</worksheet>
</file>

<file path=xl/worksheets/sheet10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C00-000000000000}">
  <sheetPr codeName="Лист105">
    <tabColor rgb="FFEC20C5"/>
    <pageSetUpPr fitToPage="1"/>
  </sheetPr>
  <dimension ref="A1:L53"/>
  <sheetViews>
    <sheetView topLeftCell="A28" workbookViewId="0">
      <selection activeCell="D10" sqref="D10"/>
    </sheetView>
  </sheetViews>
  <sheetFormatPr defaultColWidth="9.109375" defaultRowHeight="13.8" x14ac:dyDescent="0.25"/>
  <cols>
    <col min="1" max="1" width="7.88671875" style="1445" customWidth="1"/>
    <col min="2" max="2" width="56.44140625" style="10" customWidth="1"/>
    <col min="3" max="3" width="14.6640625" style="10" customWidth="1"/>
    <col min="4" max="4" width="14.44140625" style="1445" customWidth="1"/>
    <col min="5" max="8" width="14.44140625" style="10" customWidth="1"/>
    <col min="9" max="16384" width="9.109375" style="10"/>
  </cols>
  <sheetData>
    <row r="1" spans="1:12" ht="96.75" customHeight="1" x14ac:dyDescent="0.25">
      <c r="A1" s="2083"/>
      <c r="F1" s="5470" t="s">
        <v>2789</v>
      </c>
      <c r="G1" s="5470"/>
    </row>
    <row r="2" spans="1:12" ht="45.75" customHeight="1" x14ac:dyDescent="0.25">
      <c r="A2" s="10"/>
      <c r="B2" s="4898" t="s">
        <v>2790</v>
      </c>
      <c r="C2" s="4898"/>
      <c r="D2" s="4898"/>
      <c r="E2" s="4898"/>
      <c r="F2" s="4898"/>
      <c r="G2" s="1490"/>
    </row>
    <row r="3" spans="1:12" ht="14.4" thickBot="1" x14ac:dyDescent="0.3">
      <c r="G3" s="10" t="s">
        <v>1734</v>
      </c>
    </row>
    <row r="4" spans="1:12" ht="30" customHeight="1" thickBot="1" x14ac:dyDescent="0.3">
      <c r="A4" s="4876" t="s">
        <v>7</v>
      </c>
      <c r="B4" s="4876" t="s">
        <v>631</v>
      </c>
      <c r="C4" s="4876" t="s">
        <v>2734</v>
      </c>
      <c r="D4" s="4879" t="s">
        <v>2735</v>
      </c>
      <c r="E4" s="4880"/>
      <c r="F4" s="4880"/>
      <c r="G4" s="4882"/>
      <c r="H4" s="100"/>
      <c r="I4" s="100"/>
    </row>
    <row r="5" spans="1:12" ht="75" customHeight="1" thickBot="1" x14ac:dyDescent="0.3">
      <c r="A5" s="4877"/>
      <c r="B5" s="4878"/>
      <c r="C5" s="4878"/>
      <c r="D5" s="1682" t="s">
        <v>2736</v>
      </c>
      <c r="E5" s="1682" t="s">
        <v>2737</v>
      </c>
      <c r="F5" s="1682" t="s">
        <v>2738</v>
      </c>
      <c r="G5" s="1682" t="s">
        <v>2739</v>
      </c>
      <c r="H5" s="100"/>
      <c r="I5" s="100"/>
    </row>
    <row r="6" spans="1:12" ht="14.4" thickBot="1" x14ac:dyDescent="0.3">
      <c r="A6" s="1683">
        <v>1</v>
      </c>
      <c r="B6" s="1684">
        <v>2</v>
      </c>
      <c r="C6" s="1676">
        <v>3</v>
      </c>
      <c r="D6" s="1683">
        <v>4</v>
      </c>
      <c r="E6" s="1676">
        <v>5</v>
      </c>
      <c r="F6" s="1684">
        <v>6</v>
      </c>
      <c r="G6" s="1677">
        <v>7</v>
      </c>
    </row>
    <row r="7" spans="1:12" ht="14.4" thickBot="1" x14ac:dyDescent="0.3">
      <c r="A7" s="1685"/>
      <c r="B7" s="4892" t="s">
        <v>2740</v>
      </c>
      <c r="C7" s="5466"/>
      <c r="D7" s="5466"/>
      <c r="E7" s="5466"/>
      <c r="F7" s="5466"/>
      <c r="G7" s="5467"/>
    </row>
    <row r="8" spans="1:12" ht="35.25" customHeight="1" x14ac:dyDescent="0.25">
      <c r="A8" s="1686" t="s">
        <v>2741</v>
      </c>
      <c r="B8" s="1686" t="s">
        <v>2742</v>
      </c>
      <c r="C8" s="1686" t="s">
        <v>224</v>
      </c>
      <c r="D8" s="1686">
        <f>SUM(D9:D11)</f>
        <v>1856.6674808084899</v>
      </c>
      <c r="E8" s="1688">
        <f>SUM(E9:E11)</f>
        <v>2988.304182330492</v>
      </c>
      <c r="F8" s="1686">
        <f>SUM(F9:F11)</f>
        <v>2988.3041823304934</v>
      </c>
      <c r="G8" s="1689">
        <f>SUM(G9:G11)</f>
        <v>2988.3041823304929</v>
      </c>
      <c r="H8" s="729"/>
      <c r="I8" s="729"/>
      <c r="J8" s="729"/>
      <c r="K8" s="729"/>
      <c r="L8" s="729"/>
    </row>
    <row r="9" spans="1:12" ht="35.25" customHeight="1" x14ac:dyDescent="0.25">
      <c r="A9" s="1690" t="s">
        <v>1749</v>
      </c>
      <c r="B9" s="1691" t="s">
        <v>2743</v>
      </c>
      <c r="C9" s="1690" t="s">
        <v>224</v>
      </c>
      <c r="D9" s="1690">
        <f>'Додаток 3 до рішення'!D7</f>
        <v>1321.3719506169798</v>
      </c>
      <c r="E9" s="1690">
        <f>'Додаток 3 до рішення'!E7</f>
        <v>2354.1214482265309</v>
      </c>
      <c r="F9" s="1690">
        <f>'Додаток 3 до рішення'!F7</f>
        <v>2354.1214482265323</v>
      </c>
      <c r="G9" s="1690">
        <f>'Додаток 3 до рішення'!G7</f>
        <v>2354.1214482265323</v>
      </c>
      <c r="H9" s="729"/>
      <c r="I9" s="729"/>
      <c r="J9" s="729"/>
      <c r="K9" s="729"/>
      <c r="L9" s="729"/>
    </row>
    <row r="10" spans="1:12" ht="50.25" customHeight="1" x14ac:dyDescent="0.25">
      <c r="A10" s="1690" t="s">
        <v>1751</v>
      </c>
      <c r="B10" s="1692" t="s">
        <v>2791</v>
      </c>
      <c r="C10" s="1690" t="s">
        <v>224</v>
      </c>
      <c r="D10" s="1690">
        <f>'Додаток 5 до рішення'!D7</f>
        <v>514.51137165653131</v>
      </c>
      <c r="E10" s="1690">
        <f>'Додаток 5 до рішення'!E7</f>
        <v>613.39857556898221</v>
      </c>
      <c r="F10" s="1690">
        <f>'Додаток 5 до рішення'!F7</f>
        <v>613.39857556898221</v>
      </c>
      <c r="G10" s="1690">
        <f>'Додаток 5 до рішення'!G7</f>
        <v>613.3985755689821</v>
      </c>
      <c r="H10" s="729"/>
      <c r="I10" s="729"/>
      <c r="J10" s="729"/>
      <c r="K10" s="729"/>
      <c r="L10" s="729"/>
    </row>
    <row r="11" spans="1:12" ht="35.25" customHeight="1" thickBot="1" x14ac:dyDescent="0.3">
      <c r="A11" s="1693" t="s">
        <v>1753</v>
      </c>
      <c r="B11" s="1694" t="s">
        <v>2745</v>
      </c>
      <c r="C11" s="1693" t="s">
        <v>224</v>
      </c>
      <c r="D11" s="1693">
        <f>'Додаток 6 до рішення'!D7</f>
        <v>20.784158534978818</v>
      </c>
      <c r="E11" s="1693">
        <f>'Додаток 6 до рішення'!E7</f>
        <v>20.784158534978818</v>
      </c>
      <c r="F11" s="1693">
        <f>'Додаток 6 до рішення'!F7</f>
        <v>20.784158534978818</v>
      </c>
      <c r="G11" s="1693">
        <f>'Додаток 6 до рішення'!G7</f>
        <v>20.784158534978818</v>
      </c>
      <c r="H11" s="729"/>
      <c r="I11" s="729"/>
      <c r="J11" s="729"/>
      <c r="K11" s="729"/>
      <c r="L11" s="729"/>
    </row>
    <row r="12" spans="1:12" ht="18.75" customHeight="1" thickBot="1" x14ac:dyDescent="0.3">
      <c r="A12" s="1695" t="s">
        <v>2746</v>
      </c>
      <c r="B12" s="4892" t="s">
        <v>3121</v>
      </c>
      <c r="C12" s="5468"/>
      <c r="D12" s="5468"/>
      <c r="E12" s="5468"/>
      <c r="F12" s="5468"/>
      <c r="G12" s="5469"/>
      <c r="H12" s="1622"/>
    </row>
    <row r="13" spans="1:12" s="15" customFormat="1" x14ac:dyDescent="0.25">
      <c r="A13" s="1696" t="s">
        <v>1747</v>
      </c>
      <c r="B13" s="1697" t="s">
        <v>2748</v>
      </c>
      <c r="C13" s="1690">
        <f>C14+C19+C20+C24</f>
        <v>157426.03756963721</v>
      </c>
      <c r="D13" s="1690">
        <f>D14+D19+D20+D24</f>
        <v>1609.7268086064457</v>
      </c>
      <c r="E13" s="1690">
        <f>E14+E19+E20+E24</f>
        <v>2596.73681797688</v>
      </c>
      <c r="F13" s="1690">
        <f>F14+F19+F20+F24</f>
        <v>2596.736817976881</v>
      </c>
      <c r="G13" s="1690">
        <f>G14+G19+G20+G24</f>
        <v>2596.736817976881</v>
      </c>
      <c r="H13" s="1622"/>
    </row>
    <row r="14" spans="1:12" x14ac:dyDescent="0.25">
      <c r="A14" s="1698" t="s">
        <v>1749</v>
      </c>
      <c r="B14" s="78" t="s">
        <v>2749</v>
      </c>
      <c r="C14" s="1699">
        <f>SUM(C15:C18)</f>
        <v>116681.03660848754</v>
      </c>
      <c r="D14" s="1699">
        <f>SUM(D15:D18)</f>
        <v>1136.336049427711</v>
      </c>
      <c r="E14" s="1699">
        <f>SUM(E15:E18)</f>
        <v>2123.3460587981449</v>
      </c>
      <c r="F14" s="1699">
        <f>SUM(F15:F18)</f>
        <v>2123.3460587981458</v>
      </c>
      <c r="G14" s="1699">
        <f>SUM(G15:G18)</f>
        <v>2123.3460587981458</v>
      </c>
      <c r="H14" s="1622"/>
      <c r="I14" s="729"/>
    </row>
    <row r="15" spans="1:12" x14ac:dyDescent="0.25">
      <c r="A15" s="1698" t="s">
        <v>2750</v>
      </c>
      <c r="B15" s="78" t="s">
        <v>2751</v>
      </c>
      <c r="C15" s="1699">
        <f>'Додаток 3 до рішення'!N11</f>
        <v>98873.593698106473</v>
      </c>
      <c r="D15" s="1699">
        <f>'Додаток 3 до рішення'!D11</f>
        <v>926.04983933612777</v>
      </c>
      <c r="E15" s="1699">
        <f>'Додаток 3 до рішення'!E11</f>
        <v>1913.0598487065622</v>
      </c>
      <c r="F15" s="1699">
        <f>'Додаток 3 до рішення'!F11</f>
        <v>1913.059848706562</v>
      </c>
      <c r="G15" s="1699">
        <f>'Додаток 3 до рішення'!G11</f>
        <v>1913.0598487065627</v>
      </c>
      <c r="H15" s="1622"/>
    </row>
    <row r="16" spans="1:12" x14ac:dyDescent="0.25">
      <c r="A16" s="1698" t="s">
        <v>2752</v>
      </c>
      <c r="B16" s="78" t="s">
        <v>2753</v>
      </c>
      <c r="C16" s="1699">
        <f>'Додаток 3 до рішення'!N12+'Додаток 5 до рішення'!C11</f>
        <v>15957.817464795779</v>
      </c>
      <c r="D16" s="1699">
        <f>'Додаток 3 до рішення'!D12+'Додаток 5 до рішення'!D11</f>
        <v>188.4183665494206</v>
      </c>
      <c r="E16" s="1699">
        <f>'Додаток 3 до рішення'!E12+'Додаток 5 до рішення'!E11</f>
        <v>188.4183665494206</v>
      </c>
      <c r="F16" s="1699">
        <f>'Додаток 3 до рішення'!F12+'Додаток 5 до рішення'!F11</f>
        <v>188.4183665494206</v>
      </c>
      <c r="G16" s="1699">
        <f>'Додаток 3 до рішення'!G12+'Додаток 5 до рішення'!G11</f>
        <v>188.4183665494206</v>
      </c>
      <c r="H16" s="1622"/>
    </row>
    <row r="17" spans="1:8" x14ac:dyDescent="0.25">
      <c r="A17" s="1698" t="s">
        <v>2754</v>
      </c>
      <c r="B17" s="78" t="s">
        <v>2755</v>
      </c>
      <c r="C17" s="1699">
        <f>'Додаток 3 до рішення'!N13+'Додаток 5 до рішення'!C12</f>
        <v>571.34650452879509</v>
      </c>
      <c r="D17" s="1699">
        <f>'Додаток 3 до рішення'!D13+'Додаток 5 до рішення'!D12</f>
        <v>6.9081117909729928</v>
      </c>
      <c r="E17" s="1699">
        <f>'Додаток 3 до рішення'!E13+'Додаток 5 до рішення'!E12</f>
        <v>6.9081117909729928</v>
      </c>
      <c r="F17" s="1699">
        <f>'Додаток 3 до рішення'!F13+'Додаток 5 до рішення'!F12</f>
        <v>6.9081117909729928</v>
      </c>
      <c r="G17" s="1699">
        <f>'Додаток 3 до рішення'!G13+'Додаток 5 до рішення'!G12</f>
        <v>6.9081117909729928</v>
      </c>
      <c r="H17" s="1622"/>
    </row>
    <row r="18" spans="1:8" x14ac:dyDescent="0.25">
      <c r="A18" s="1698" t="s">
        <v>2756</v>
      </c>
      <c r="B18" s="78" t="s">
        <v>2273</v>
      </c>
      <c r="C18" s="1699">
        <f>'Додаток 3 до рішення'!N14+'Додаток 5 до рішення'!C13+'Додаток 6 до рішення'!N10</f>
        <v>1278.2789410565085</v>
      </c>
      <c r="D18" s="1699">
        <f>'Додаток 3 до рішення'!D14+'Додаток 5 до рішення'!D13+'Додаток 6 до рішення'!D10</f>
        <v>14.95973175118983</v>
      </c>
      <c r="E18" s="1699">
        <f>'Додаток 3 до рішення'!E14+'Додаток 5 до рішення'!E13+'Додаток 6 до рішення'!E10</f>
        <v>14.959731751188805</v>
      </c>
      <c r="F18" s="1699">
        <f>'Додаток 3 до рішення'!F14+'Додаток 5 до рішення'!F13+'Додаток 6 до рішення'!F10</f>
        <v>14.959731751190336</v>
      </c>
      <c r="G18" s="1699">
        <f>'Додаток 3 до рішення'!G14+'Додаток 5 до рішення'!G13+'Додаток 6 до рішення'!G10</f>
        <v>14.959731751189505</v>
      </c>
      <c r="H18" s="1622"/>
    </row>
    <row r="19" spans="1:8" x14ac:dyDescent="0.25">
      <c r="A19" s="1700" t="s">
        <v>1751</v>
      </c>
      <c r="B19" s="255" t="s">
        <v>2757</v>
      </c>
      <c r="C19" s="1690">
        <f>'Додаток 3 до рішення'!N15+'Додаток 5 до рішення'!C14+'Додаток 6 до рішення'!N11</f>
        <v>21028.247389080658</v>
      </c>
      <c r="D19" s="1690">
        <f>'Додаток 3 до рішення'!D15+'Додаток 5 до рішення'!D14+'Додаток 6 до рішення'!D11</f>
        <v>245.20796225635229</v>
      </c>
      <c r="E19" s="1690">
        <f>'Додаток 3 до рішення'!E15+'Додаток 5 до рішення'!E14+'Додаток 6 до рішення'!E11</f>
        <v>245.20796225635229</v>
      </c>
      <c r="F19" s="1690">
        <f>'Додаток 3 до рішення'!F15+'Додаток 5 до рішення'!F14+'Додаток 6 до рішення'!F11</f>
        <v>245.20796225635229</v>
      </c>
      <c r="G19" s="1690">
        <f>'Додаток 3 до рішення'!G15+'Додаток 5 до рішення'!G14+'Додаток 6 до рішення'!G11</f>
        <v>245.20796225635229</v>
      </c>
      <c r="H19" s="1622"/>
    </row>
    <row r="20" spans="1:8" x14ac:dyDescent="0.25">
      <c r="A20" s="1700" t="s">
        <v>1753</v>
      </c>
      <c r="B20" s="255" t="s">
        <v>2758</v>
      </c>
      <c r="C20" s="1690">
        <f>C21+C22+C23</f>
        <v>14214.18712890692</v>
      </c>
      <c r="D20" s="1690">
        <f>D21+D22+D23</f>
        <v>166.07240841376762</v>
      </c>
      <c r="E20" s="1690">
        <f>E21+E22+E23</f>
        <v>166.07240841376759</v>
      </c>
      <c r="F20" s="1690">
        <f>F21+F22+F23</f>
        <v>166.07240841376759</v>
      </c>
      <c r="G20" s="1690">
        <f>G21+G22+G23</f>
        <v>166.07240841376759</v>
      </c>
      <c r="H20" s="1622"/>
    </row>
    <row r="21" spans="1:8" x14ac:dyDescent="0.25">
      <c r="A21" s="1698" t="s">
        <v>2759</v>
      </c>
      <c r="B21" s="78" t="s">
        <v>2760</v>
      </c>
      <c r="C21" s="1699">
        <f>'Додаток 3 до рішення'!N17+'Додаток 5 до рішення'!C16+'Додаток 6 до рішення'!N13</f>
        <v>4593.3270259938836</v>
      </c>
      <c r="D21" s="1699">
        <f>'Додаток 3 до рішення'!D17+'Додаток 5 до рішення'!D16+'Додаток 6 до рішення'!D13</f>
        <v>53.546378766367198</v>
      </c>
      <c r="E21" s="1699">
        <f>'Додаток 3 до рішення'!E17+'Додаток 5 до рішення'!E16+'Додаток 6 до рішення'!E13</f>
        <v>53.546378766367198</v>
      </c>
      <c r="F21" s="1699">
        <f>'Додаток 3 до рішення'!F17+'Додаток 5 до рішення'!F16+'Додаток 6 до рішення'!F13</f>
        <v>53.546378766367198</v>
      </c>
      <c r="G21" s="1699">
        <f>'Додаток 3 до рішення'!G17+'Додаток 5 до рішення'!G16+'Додаток 6 до рішення'!G13</f>
        <v>53.546378766367198</v>
      </c>
      <c r="H21" s="1622"/>
    </row>
    <row r="22" spans="1:8" x14ac:dyDescent="0.25">
      <c r="A22" s="1698" t="s">
        <v>2761</v>
      </c>
      <c r="B22" s="78" t="s">
        <v>2762</v>
      </c>
      <c r="C22" s="1699">
        <f>'Додаток 3 до рішення'!N18+'Додаток 5 до рішення'!C17+'Додаток 6 до рішення'!N14</f>
        <v>4853.5487414582385</v>
      </c>
      <c r="D22" s="1699">
        <f>'Додаток 3 до рішення'!D18+'Додаток 5 до рішення'!D17+'Додаток 6 до рішення'!D14</f>
        <v>57.020492648667151</v>
      </c>
      <c r="E22" s="1699">
        <f>'Додаток 3 до рішення'!E18+'Додаток 5 до рішення'!E17+'Додаток 6 до рішення'!E14</f>
        <v>57.020492648667151</v>
      </c>
      <c r="F22" s="1699">
        <f>'Додаток 3 до рішення'!F18+'Додаток 5 до рішення'!F17+'Додаток 6 до рішення'!F14</f>
        <v>57.020492648667151</v>
      </c>
      <c r="G22" s="1699">
        <f>'Додаток 3 до рішення'!G18+'Додаток 5 до рішення'!G17+'Додаток 6 до рішення'!G14</f>
        <v>57.020492648667144</v>
      </c>
      <c r="H22" s="1622"/>
    </row>
    <row r="23" spans="1:8" x14ac:dyDescent="0.25">
      <c r="A23" s="1698" t="s">
        <v>2763</v>
      </c>
      <c r="B23" s="78" t="s">
        <v>81</v>
      </c>
      <c r="C23" s="1699">
        <f>'Додаток 3 до рішення'!N19+'Додаток 5 до рішення'!C18+'Додаток 6 до рішення'!N15</f>
        <v>4767.3113614547974</v>
      </c>
      <c r="D23" s="1699">
        <f>'Додаток 3 до рішення'!D19+'Додаток 5 до рішення'!D18+'Додаток 6 до рішення'!D15</f>
        <v>55.50553699873327</v>
      </c>
      <c r="E23" s="1699">
        <f>'Додаток 3 до рішення'!E19+'Додаток 5 до рішення'!E18+'Додаток 6 до рішення'!E15</f>
        <v>55.505536998733255</v>
      </c>
      <c r="F23" s="1699">
        <f>'Додаток 3 до рішення'!F19+'Додаток 5 до рішення'!F18+'Додаток 6 до рішення'!F15</f>
        <v>55.505536998733255</v>
      </c>
      <c r="G23" s="1699">
        <f>'Додаток 3 до рішення'!G19+'Додаток 5 до рішення'!G18+'Додаток 6 до рішення'!G15</f>
        <v>55.505536998733255</v>
      </c>
      <c r="H23" s="1622"/>
    </row>
    <row r="24" spans="1:8" s="15" customFormat="1" x14ac:dyDescent="0.25">
      <c r="A24" s="1700" t="s">
        <v>1755</v>
      </c>
      <c r="B24" s="255" t="s">
        <v>2764</v>
      </c>
      <c r="C24" s="1690">
        <f>C25+C26+C27+C28</f>
        <v>5502.5664431620862</v>
      </c>
      <c r="D24" s="300">
        <f>D25+D26+D27+D28</f>
        <v>62.110388508614967</v>
      </c>
      <c r="E24" s="300">
        <f>E25+E26+E27+E28</f>
        <v>62.110388508614953</v>
      </c>
      <c r="F24" s="300">
        <f>F25+F26+F27+F28</f>
        <v>62.110388508614953</v>
      </c>
      <c r="G24" s="300">
        <f>G25+G26+G27+G28</f>
        <v>62.110388508614953</v>
      </c>
      <c r="H24" s="1622"/>
    </row>
    <row r="25" spans="1:8" x14ac:dyDescent="0.25">
      <c r="A25" s="1701" t="s">
        <v>2765</v>
      </c>
      <c r="B25" s="78" t="s">
        <v>2766</v>
      </c>
      <c r="C25" s="1699">
        <f>'Додаток 3 до рішення'!N21+'Додаток 5 до рішення'!C20+'Додаток 6 до рішення'!N17</f>
        <v>4204.6520702510252</v>
      </c>
      <c r="D25" s="1699">
        <f>'Додаток 3 до рішення'!D21+'Додаток 5 до рішення'!D20+'Додаток 6 до рішення'!D17</f>
        <v>47.460139977295825</v>
      </c>
      <c r="E25" s="1699">
        <f>'Додаток 3 до рішення'!E21+'Додаток 5 до рішення'!E20+'Додаток 6 до рішення'!E17</f>
        <v>47.460139977295817</v>
      </c>
      <c r="F25" s="1699">
        <f>'Додаток 3 до рішення'!F21+'Додаток 5 до рішення'!F20+'Додаток 6 до рішення'!F17</f>
        <v>47.460139977295817</v>
      </c>
      <c r="G25" s="1699">
        <f>'Додаток 3 до рішення'!G21+'Додаток 5 до рішення'!G20+'Додаток 6 до рішення'!G17</f>
        <v>47.460139977295817</v>
      </c>
      <c r="H25" s="1622"/>
    </row>
    <row r="26" spans="1:8" x14ac:dyDescent="0.25">
      <c r="A26" s="1701" t="s">
        <v>2767</v>
      </c>
      <c r="B26" s="78" t="s">
        <v>2275</v>
      </c>
      <c r="C26" s="1699">
        <f>'Додаток 3 до рішення'!N22+'Додаток 5 до рішення'!C21+'Додаток 6 до рішення'!N18</f>
        <v>897.49363640562706</v>
      </c>
      <c r="D26" s="1699">
        <f>'Додаток 3 до рішення'!D22+'Додаток 5 до рішення'!D21+'Додаток 6 до рішення'!D18</f>
        <v>10.130487113051498</v>
      </c>
      <c r="E26" s="1699">
        <f>'Додаток 3 до рішення'!E22+'Додаток 5 до рішення'!E21+'Додаток 6 до рішення'!E18</f>
        <v>10.130487113051496</v>
      </c>
      <c r="F26" s="1699">
        <f>'Додаток 3 до рішення'!F22+'Додаток 5 до рішення'!F21+'Додаток 6 до рішення'!F18</f>
        <v>10.130487113051496</v>
      </c>
      <c r="G26" s="1699">
        <f>'Додаток 3 до рішення'!G22+'Додаток 5 до рішення'!G21+'Додаток 6 до рішення'!G18</f>
        <v>10.130487113051498</v>
      </c>
      <c r="H26" s="1622"/>
    </row>
    <row r="27" spans="1:8" x14ac:dyDescent="0.25">
      <c r="A27" s="1701" t="s">
        <v>2768</v>
      </c>
      <c r="B27" s="78" t="s">
        <v>2762</v>
      </c>
      <c r="C27" s="1699">
        <f>'Додаток 3 до рішення'!N23+'Додаток 5 до рішення'!C22+'Додаток 6 до рішення'!N19</f>
        <v>25.870178589800016</v>
      </c>
      <c r="D27" s="1699">
        <f>'Додаток 3 до рішення'!D23+'Додаток 5 до рішення'!D22+'Додаток 6 до рішення'!D19</f>
        <v>0.29201043905548374</v>
      </c>
      <c r="E27" s="1699">
        <f>'Додаток 3 до рішення'!E23+'Додаток 5 до рішення'!E22+'Додаток 6 до рішення'!E19</f>
        <v>0.29201043905548374</v>
      </c>
      <c r="F27" s="1699">
        <f>'Додаток 3 до рішення'!F23+'Додаток 5 до рішення'!F22+'Додаток 6 до рішення'!F19</f>
        <v>0.29201043905548374</v>
      </c>
      <c r="G27" s="1699">
        <f>'Додаток 3 до рішення'!G23+'Додаток 5 до рішення'!G22+'Додаток 6 до рішення'!G19</f>
        <v>0.29201043905548374</v>
      </c>
      <c r="H27" s="1622"/>
    </row>
    <row r="28" spans="1:8" x14ac:dyDescent="0.25">
      <c r="A28" s="1701" t="s">
        <v>2769</v>
      </c>
      <c r="B28" s="78" t="s">
        <v>58</v>
      </c>
      <c r="C28" s="1699">
        <f>'Додаток 3 до рішення'!N24+'Додаток 5 до рішення'!C23+'Додаток 6 до рішення'!N20</f>
        <v>374.55055791563336</v>
      </c>
      <c r="D28" s="1699">
        <f>'Додаток 3 до рішення'!D24+'Додаток 5 до рішення'!D23+'Додаток 6 до рішення'!D20</f>
        <v>4.2277509792121606</v>
      </c>
      <c r="E28" s="1699">
        <f>'Додаток 3 до рішення'!E24+'Додаток 5 до рішення'!E23+'Додаток 6 до рішення'!E20</f>
        <v>4.2277509792121606</v>
      </c>
      <c r="F28" s="1699">
        <f>'Додаток 3 до рішення'!F24+'Додаток 5 до рішення'!F23+'Додаток 6 до рішення'!F20</f>
        <v>4.2277509792121606</v>
      </c>
      <c r="G28" s="1699">
        <f>'Додаток 3 до рішення'!G24+'Додаток 5 до рішення'!G23+'Додаток 6 до рішення'!G20</f>
        <v>4.2277509792121606</v>
      </c>
      <c r="H28" s="1622"/>
    </row>
    <row r="29" spans="1:8" s="15" customFormat="1" x14ac:dyDescent="0.25">
      <c r="A29" s="1696" t="s">
        <v>1768</v>
      </c>
      <c r="B29" s="255" t="s">
        <v>2770</v>
      </c>
      <c r="C29" s="1690">
        <f>C30+C31+C32+C33</f>
        <v>6689.6542657837654</v>
      </c>
      <c r="D29" s="300">
        <f>D30+D31+D32+D33</f>
        <v>75.509678933994877</v>
      </c>
      <c r="E29" s="300">
        <f>E30+E31+E32+E33</f>
        <v>75.509678933994863</v>
      </c>
      <c r="F29" s="300">
        <f>F30+F31+F32+F33</f>
        <v>75.509678933994877</v>
      </c>
      <c r="G29" s="300">
        <f>G30+G31+G32+G33</f>
        <v>75.509678933994877</v>
      </c>
      <c r="H29" s="1622"/>
    </row>
    <row r="30" spans="1:8" x14ac:dyDescent="0.25">
      <c r="A30" s="1701" t="s">
        <v>2771</v>
      </c>
      <c r="B30" s="78" t="s">
        <v>55</v>
      </c>
      <c r="C30" s="1699">
        <f>'Додаток 3 до рішення'!N26+'Додаток 5 до рішення'!C25+'Додаток 6 до рішення'!N22</f>
        <v>5009.6421397347904</v>
      </c>
      <c r="D30" s="1699">
        <f>'Додаток 3 до рішення'!D26+'Додаток 5 до рішення'!D25+'Додаток 6 до рішення'!D22</f>
        <v>56.546490224523723</v>
      </c>
      <c r="E30" s="1699">
        <f>'Додаток 3 до рішення'!E26+'Додаток 5 до рішення'!E25+'Додаток 6 до рішення'!E22</f>
        <v>56.546490224523723</v>
      </c>
      <c r="F30" s="1699">
        <f>'Додаток 3 до рішення'!F26+'Додаток 5 до рішення'!F25+'Додаток 6 до рішення'!F22</f>
        <v>56.546490224523723</v>
      </c>
      <c r="G30" s="1699">
        <f>'Додаток 3 до рішення'!G26+'Додаток 5 до рішення'!G25+'Додаток 6 до рішення'!G22</f>
        <v>56.54649022452373</v>
      </c>
      <c r="H30" s="1622"/>
    </row>
    <row r="31" spans="1:8" x14ac:dyDescent="0.25">
      <c r="A31" s="1701" t="s">
        <v>2772</v>
      </c>
      <c r="B31" s="78" t="s">
        <v>2773</v>
      </c>
      <c r="C31" s="1699">
        <f>'Додаток 3 до рішення'!N27+'Додаток 5 до рішення'!C26+'Додаток 6 до рішення'!N23</f>
        <v>1102.1212707416544</v>
      </c>
      <c r="D31" s="1699">
        <f>'Додаток 3 до рішення'!D27+'Додаток 5 до рішення'!D26+'Додаток 6 до рішення'!D23</f>
        <v>12.440227849395221</v>
      </c>
      <c r="E31" s="1699">
        <f>'Додаток 3 до рішення'!E27+'Додаток 5 до рішення'!E26+'Додаток 6 до рішення'!E23</f>
        <v>12.440227849395219</v>
      </c>
      <c r="F31" s="1699">
        <f>'Додаток 3 до рішення'!F27+'Додаток 5 до рішення'!F26+'Додаток 6 до рішення'!F23</f>
        <v>12.440227849395221</v>
      </c>
      <c r="G31" s="1699">
        <f>'Додаток 3 до рішення'!G27+'Додаток 5 до рішення'!G26+'Додаток 6 до рішення'!G23</f>
        <v>12.440227849395221</v>
      </c>
      <c r="H31" s="1622"/>
    </row>
    <row r="32" spans="1:8" x14ac:dyDescent="0.25">
      <c r="A32" s="1701" t="s">
        <v>2774</v>
      </c>
      <c r="B32" s="78" t="s">
        <v>2762</v>
      </c>
      <c r="C32" s="1699">
        <f>'Додаток 3 до рішення'!N28+'Додаток 5 до рішення'!C27+'Додаток 6 до рішення'!N24</f>
        <v>63.190693934621805</v>
      </c>
      <c r="D32" s="1699">
        <f>'Додаток 3 до рішення'!D28+'Додаток 5 до рішення'!D27+'Додаток 6 до рішення'!D24</f>
        <v>0.7132669075328657</v>
      </c>
      <c r="E32" s="1699">
        <f>'Додаток 3 до рішення'!E28+'Додаток 5 до рішення'!E27+'Додаток 6 до рішення'!E24</f>
        <v>0.7132669075328657</v>
      </c>
      <c r="F32" s="1699">
        <f>'Додаток 3 до рішення'!F28+'Додаток 5 до рішення'!F27+'Додаток 6 до рішення'!F24</f>
        <v>0.7132669075328657</v>
      </c>
      <c r="G32" s="1699">
        <f>'Додаток 3 до рішення'!G28+'Додаток 5 до рішення'!G27+'Додаток 6 до рішення'!G24</f>
        <v>0.7132669075328657</v>
      </c>
      <c r="H32" s="1622"/>
    </row>
    <row r="33" spans="1:8" x14ac:dyDescent="0.25">
      <c r="A33" s="1701" t="s">
        <v>2775</v>
      </c>
      <c r="B33" s="78" t="s">
        <v>2776</v>
      </c>
      <c r="C33" s="1699">
        <f>'Додаток 3 до рішення'!N29+'Додаток 5 до рішення'!C28+'Додаток 6 до рішення'!N25</f>
        <v>514.70016137269897</v>
      </c>
      <c r="D33" s="1699">
        <f>'Додаток 3 до рішення'!D29+'Додаток 5 до рішення'!D28+'Додаток 6 до рішення'!D25</f>
        <v>5.8096939525430633</v>
      </c>
      <c r="E33" s="1699">
        <f>'Додаток 3 до рішення'!E29+'Додаток 5 до рішення'!E28+'Додаток 6 до рішення'!E25</f>
        <v>5.8096939525430633</v>
      </c>
      <c r="F33" s="1699">
        <f>'Додаток 3 до рішення'!F29+'Додаток 5 до рішення'!F28+'Додаток 6 до рішення'!F25</f>
        <v>5.8096939525430633</v>
      </c>
      <c r="G33" s="1699">
        <f>'Додаток 3 до рішення'!G29+'Додаток 5 до рішення'!G28+'Додаток 6 до рішення'!G25</f>
        <v>5.8096939525430633</v>
      </c>
      <c r="H33" s="1622"/>
    </row>
    <row r="34" spans="1:8" s="15" customFormat="1" x14ac:dyDescent="0.25">
      <c r="A34" s="1696" t="s">
        <v>1770</v>
      </c>
      <c r="B34" s="255" t="s">
        <v>2777</v>
      </c>
      <c r="C34" s="1696">
        <v>0</v>
      </c>
      <c r="D34" s="1696">
        <v>0</v>
      </c>
      <c r="E34" s="1696">
        <v>0</v>
      </c>
      <c r="F34" s="1696">
        <v>0</v>
      </c>
      <c r="G34" s="1696">
        <v>0</v>
      </c>
      <c r="H34" s="1622"/>
    </row>
    <row r="35" spans="1:8" s="15" customFormat="1" ht="27.6" x14ac:dyDescent="0.25">
      <c r="A35" s="1696" t="s">
        <v>1773</v>
      </c>
      <c r="B35" s="1702" t="s">
        <v>2778</v>
      </c>
      <c r="C35" s="1690">
        <f>'Додаток 5 до рішення'!C31</f>
        <v>11555.219110774409</v>
      </c>
      <c r="D35" s="1690">
        <f>'Додаток 5 до рішення'!D31</f>
        <v>87.570721724723057</v>
      </c>
      <c r="E35" s="1690">
        <f>'Додаток 5 до рішення'!E31</f>
        <v>182.10195729017954</v>
      </c>
      <c r="F35" s="1690">
        <f>'Додаток 5 до рішення'!F31</f>
        <v>182.10195729017957</v>
      </c>
      <c r="G35" s="1690">
        <f>'Додаток 5 до рішення'!G31</f>
        <v>182.10195729017948</v>
      </c>
      <c r="H35" s="1622"/>
    </row>
    <row r="36" spans="1:8" s="15" customFormat="1" x14ac:dyDescent="0.25">
      <c r="A36" s="1696" t="s">
        <v>1845</v>
      </c>
      <c r="B36" s="255" t="s">
        <v>2779</v>
      </c>
      <c r="C36" s="1690">
        <f>'Додаток 3 до рішення'!N31+'Додаток 5 до рішення'!C32+'Додаток 6 до рішення'!N27</f>
        <v>0</v>
      </c>
      <c r="D36" s="1690">
        <f>'Додаток 3 до рішення'!D31+'Додаток 5 до рішення'!D32+'Додаток 6 до рішення'!D27</f>
        <v>0</v>
      </c>
      <c r="E36" s="1690">
        <f>'Додаток 3 до рішення'!E31+'Додаток 5 до рішення'!E32+'Додаток 6 до рішення'!E27</f>
        <v>0</v>
      </c>
      <c r="F36" s="1690">
        <f>'Додаток 3 до рішення'!F31+'Додаток 5 до рішення'!F32+'Додаток 6 до рішення'!F27</f>
        <v>0</v>
      </c>
      <c r="G36" s="1690">
        <f>'Додаток 3 до рішення'!G31+'Додаток 5 до рішення'!G32+'Додаток 6 до рішення'!G27</f>
        <v>0</v>
      </c>
      <c r="H36" s="1622"/>
    </row>
    <row r="37" spans="1:8" s="15" customFormat="1" x14ac:dyDescent="0.25">
      <c r="A37" s="1696" t="s">
        <v>1851</v>
      </c>
      <c r="B37" s="255" t="s">
        <v>2780</v>
      </c>
      <c r="C37" s="1696">
        <v>0</v>
      </c>
      <c r="D37" s="1696">
        <v>0</v>
      </c>
      <c r="E37" s="1696">
        <v>0</v>
      </c>
      <c r="F37" s="1696">
        <v>0</v>
      </c>
      <c r="G37" s="1696">
        <v>0</v>
      </c>
      <c r="H37" s="1622"/>
    </row>
    <row r="38" spans="1:8" s="1731" customFormat="1" x14ac:dyDescent="0.25">
      <c r="A38" s="1727" t="s">
        <v>1857</v>
      </c>
      <c r="B38" s="1728" t="s">
        <v>2781</v>
      </c>
      <c r="C38" s="1729">
        <f>'Додаток 3 до рішення'!N33</f>
        <v>0</v>
      </c>
      <c r="D38" s="1729">
        <f>'Додаток 3 до рішення'!D33</f>
        <v>0</v>
      </c>
      <c r="E38" s="1729">
        <f>'Додаток 3 до рішення'!E33</f>
        <v>0</v>
      </c>
      <c r="F38" s="1729">
        <f>'Додаток 3 до рішення'!F33</f>
        <v>0</v>
      </c>
      <c r="G38" s="1729">
        <f>'Додаток 3 до рішення'!G33</f>
        <v>0</v>
      </c>
      <c r="H38" s="1730"/>
    </row>
    <row r="39" spans="1:8" s="15" customFormat="1" x14ac:dyDescent="0.25">
      <c r="A39" s="1696" t="s">
        <v>1859</v>
      </c>
      <c r="B39" s="255" t="s">
        <v>2782</v>
      </c>
      <c r="C39" s="1690">
        <f>SUM(C40:C43)</f>
        <v>8000.7249407350055</v>
      </c>
      <c r="D39" s="1690">
        <f>SUM(D40:D43)</f>
        <v>83.860271543325894</v>
      </c>
      <c r="E39" s="1690">
        <f>SUM(E40:E43)</f>
        <v>133.955728129438</v>
      </c>
      <c r="F39" s="1690">
        <f>SUM(F40:F43)</f>
        <v>133.95572812943806</v>
      </c>
      <c r="G39" s="1690">
        <f>SUM(G40:G43)</f>
        <v>133.95572812943806</v>
      </c>
      <c r="H39" s="1622"/>
    </row>
    <row r="40" spans="1:8" x14ac:dyDescent="0.25">
      <c r="A40" s="1701" t="s">
        <v>1030</v>
      </c>
      <c r="B40" s="78" t="s">
        <v>65</v>
      </c>
      <c r="C40" s="1699">
        <f>'Додаток 3 до рішення'!N35+'Додаток 5 до рішення'!C36+'Додаток 6 до рішення'!N31</f>
        <v>1440.1304893323004</v>
      </c>
      <c r="D40" s="1699">
        <f>'Додаток 3 до рішення'!D35+'Додаток 5 до рішення'!D36+'Додаток 6 до рішення'!D31</f>
        <v>15.094848877798658</v>
      </c>
      <c r="E40" s="1699">
        <f>'Додаток 3 до рішення'!E35+'Додаток 5 до рішення'!E36+'Додаток 6 до рішення'!E31</f>
        <v>24.112031063298833</v>
      </c>
      <c r="F40" s="1699">
        <f>'Додаток 3 до рішення'!F35+'Додаток 5 до рішення'!F36+'Додаток 6 до рішення'!F31</f>
        <v>24.11203106329884</v>
      </c>
      <c r="G40" s="1699">
        <f>'Додаток 3 до рішення'!G35+'Додаток 5 до рішення'!G36+'Додаток 6 до рішення'!G31</f>
        <v>24.112031063298843</v>
      </c>
      <c r="H40" s="1622"/>
    </row>
    <row r="41" spans="1:8" x14ac:dyDescent="0.25">
      <c r="A41" s="1701" t="s">
        <v>2783</v>
      </c>
      <c r="B41" s="78" t="s">
        <v>84</v>
      </c>
      <c r="C41" s="1699">
        <f>'Додаток 3 до рішення'!N36+'Додаток 5 до рішення'!C37+'Додаток 6 до рішення'!N32</f>
        <v>0</v>
      </c>
      <c r="D41" s="1699">
        <f>'Додаток 3 до рішення'!D36+'Додаток 5 до рішення'!D37+'Додаток 6 до рішення'!D32</f>
        <v>0</v>
      </c>
      <c r="E41" s="1699">
        <f>'Додаток 3 до рішення'!E36+'Додаток 5 до рішення'!E37+'Додаток 6 до рішення'!E32</f>
        <v>0</v>
      </c>
      <c r="F41" s="1699">
        <f>'Додаток 3 до рішення'!F36+'Додаток 5 до рішення'!F37+'Додаток 6 до рішення'!F32</f>
        <v>0</v>
      </c>
      <c r="G41" s="1699">
        <f>'Додаток 3 до рішення'!G36+'Додаток 5 до рішення'!G37+'Додаток 6 до рішення'!G32</f>
        <v>0</v>
      </c>
      <c r="H41" s="1622"/>
    </row>
    <row r="42" spans="1:8" x14ac:dyDescent="0.25">
      <c r="A42" s="1701" t="s">
        <v>2784</v>
      </c>
      <c r="B42" s="78" t="s">
        <v>71</v>
      </c>
      <c r="C42" s="1699">
        <f>'Додаток 3 до рішення'!N37+'Додаток 5 до рішення'!C38+'Додаток 6 до рішення'!N33</f>
        <v>0</v>
      </c>
      <c r="D42" s="1699">
        <f>'Додаток 3 до рішення'!D37+'Додаток 5 до рішення'!D38+'Додаток 6 до рішення'!D33</f>
        <v>0</v>
      </c>
      <c r="E42" s="1699">
        <f>'Додаток 3 до рішення'!E37+'Додаток 5 до рішення'!E38+'Додаток 6 до рішення'!E33</f>
        <v>0</v>
      </c>
      <c r="F42" s="1699">
        <f>'Додаток 3 до рішення'!F37+'Додаток 5 до рішення'!F38+'Додаток 6 до рішення'!F33</f>
        <v>0</v>
      </c>
      <c r="G42" s="1699">
        <f>'Додаток 3 до рішення'!G37+'Додаток 5 до рішення'!G38+'Додаток 6 до рішення'!G33</f>
        <v>0</v>
      </c>
      <c r="H42" s="1622"/>
    </row>
    <row r="43" spans="1:8" ht="14.4" thickBot="1" x14ac:dyDescent="0.3">
      <c r="A43" s="1703" t="s">
        <v>2785</v>
      </c>
      <c r="B43" s="1704" t="s">
        <v>2446</v>
      </c>
      <c r="C43" s="1705">
        <f>'Додаток 3 до рішення'!N38+'Додаток 5 до рішення'!C39+'Додаток 6 до рішення'!N34</f>
        <v>6560.5944514027051</v>
      </c>
      <c r="D43" s="1705">
        <f>'Додаток 3 до рішення'!D38+'Додаток 5 до рішення'!D39+'Додаток 6 до рішення'!D34</f>
        <v>68.76542266552724</v>
      </c>
      <c r="E43" s="1705">
        <f>'Додаток 3 до рішення'!E38+'Додаток 5 до рішення'!E39+'Додаток 6 до рішення'!E34</f>
        <v>109.84369706613916</v>
      </c>
      <c r="F43" s="1705">
        <f>'Додаток 3 до рішення'!F38+'Додаток 5 до рішення'!F39+'Додаток 6 до рішення'!F34</f>
        <v>109.84369706613921</v>
      </c>
      <c r="G43" s="1705">
        <f>'Додаток 3 до рішення'!G38+'Додаток 5 до рішення'!G39+'Додаток 6 до рішення'!G34</f>
        <v>109.84369706613921</v>
      </c>
      <c r="H43" s="1622"/>
    </row>
    <row r="44" spans="1:8" ht="14.4" thickBot="1" x14ac:dyDescent="0.3">
      <c r="A44" s="1695" t="s">
        <v>1861</v>
      </c>
      <c r="B44" s="1706" t="s">
        <v>2786</v>
      </c>
      <c r="C44" s="1707">
        <f>C13+C29+C34+C35+C36+C37+C38+C39</f>
        <v>183671.63588693037</v>
      </c>
      <c r="D44" s="1707">
        <f>D13+D29+D34+D35+D36+D37+D38+D39</f>
        <v>1856.6674808084895</v>
      </c>
      <c r="E44" s="1707">
        <f>E13+E29+E34+E35+E36+E37+E38+E39</f>
        <v>2988.3041823304925</v>
      </c>
      <c r="F44" s="1707">
        <f>F13+F29+F34+F35+F36+F37+F38+F39</f>
        <v>2988.3041823304939</v>
      </c>
      <c r="G44" s="1707">
        <f>G13+G29+G34+G35+G36+G37+G38+G39</f>
        <v>2988.3041823304939</v>
      </c>
      <c r="H44" s="1622"/>
    </row>
    <row r="45" spans="1:8" ht="31.8" thickBot="1" x14ac:dyDescent="0.3">
      <c r="A45" s="1695" t="s">
        <v>1865</v>
      </c>
      <c r="B45" s="1074" t="s">
        <v>2787</v>
      </c>
      <c r="C45" s="1707">
        <f>'Додаток 3 до рішення'!N7</f>
        <v>90.438170318810094</v>
      </c>
      <c r="D45" s="1707">
        <f>'Додаток 3 до рішення'!O7</f>
        <v>75.115792165658988</v>
      </c>
      <c r="E45" s="1707">
        <f>'Додаток 3 до рішення'!P7</f>
        <v>1.4602989074179139E-2</v>
      </c>
      <c r="F45" s="1707">
        <f>'Додаток 3 до рішення'!Q7</f>
        <v>11.523602679723238</v>
      </c>
      <c r="G45" s="1707">
        <f>'Додаток 3 до рішення'!R7</f>
        <v>3.7841724843536966</v>
      </c>
      <c r="H45" s="1622"/>
    </row>
    <row r="46" spans="1:8" s="15" customFormat="1" ht="28.2" thickBot="1" x14ac:dyDescent="0.3">
      <c r="A46" s="1695" t="s">
        <v>1867</v>
      </c>
      <c r="B46" s="1706" t="s">
        <v>2788</v>
      </c>
      <c r="C46" s="1707">
        <f>'Додаток 6 до рішення'!N7</f>
        <v>82.347593266686673</v>
      </c>
      <c r="D46" s="1707">
        <f>'Додаток 6 до рішення'!O7</f>
        <v>68.380861663549609</v>
      </c>
      <c r="E46" s="1707">
        <f>'Додаток 6 до рішення'!P7</f>
        <v>1.3291675959893333E-2</v>
      </c>
      <c r="F46" s="1707">
        <f>'Додаток 6 до рішення'!Q7</f>
        <v>10.509076983202204</v>
      </c>
      <c r="G46" s="1707">
        <f>'Додаток 6 до рішення'!R7</f>
        <v>3.4443629439749621</v>
      </c>
      <c r="H46" s="1622"/>
    </row>
    <row r="47" spans="1:8" x14ac:dyDescent="0.25">
      <c r="C47" s="2086"/>
    </row>
    <row r="48" spans="1:8" x14ac:dyDescent="0.25">
      <c r="B48" s="729"/>
      <c r="C48" s="2084">
        <f>C13+C29+C35+C36+C38+C39</f>
        <v>183671.63588693037</v>
      </c>
      <c r="D48" s="1708"/>
      <c r="E48" s="1708"/>
      <c r="F48" s="1708"/>
      <c r="G48" s="1708"/>
    </row>
    <row r="49" spans="2:7" x14ac:dyDescent="0.25">
      <c r="B49" s="10" t="s">
        <v>2821</v>
      </c>
      <c r="C49" s="2085">
        <f>'Додаток 6 до рішення'!N37+'Додаток 5 до рішення'!C43+'Додаток 3 до рішення'!N39</f>
        <v>180647.94734606933</v>
      </c>
      <c r="D49" s="1710"/>
      <c r="E49" s="1708"/>
      <c r="F49" s="2045" t="s">
        <v>2822</v>
      </c>
      <c r="G49" s="1708"/>
    </row>
    <row r="50" spans="2:7" x14ac:dyDescent="0.25">
      <c r="C50" s="2004">
        <f>C48-C49</f>
        <v>3023.6885408610397</v>
      </c>
      <c r="D50" s="1708"/>
      <c r="E50" s="1708"/>
      <c r="F50" s="1708"/>
      <c r="G50" s="1708"/>
    </row>
    <row r="51" spans="2:7" x14ac:dyDescent="0.25">
      <c r="C51" s="2087">
        <f>C49+'Додаток 1 до рішення'!C48</f>
        <v>223500.79842554682</v>
      </c>
    </row>
    <row r="52" spans="2:7" x14ac:dyDescent="0.25">
      <c r="C52" s="2087">
        <f>'КОНТРОЛЬ 1'!Q35</f>
        <v>0</v>
      </c>
    </row>
    <row r="53" spans="2:7" x14ac:dyDescent="0.25">
      <c r="C53" s="2088">
        <f>'сведено-економ'!G16</f>
        <v>227193.14497299213</v>
      </c>
    </row>
  </sheetData>
  <mergeCells count="8">
    <mergeCell ref="B7:G7"/>
    <mergeCell ref="B12:G12"/>
    <mergeCell ref="F1:G1"/>
    <mergeCell ref="B2:F2"/>
    <mergeCell ref="A4:A5"/>
    <mergeCell ref="B4:B5"/>
    <mergeCell ref="C4:C5"/>
    <mergeCell ref="D4:G4"/>
  </mergeCells>
  <pageMargins left="0.70866141732283472" right="0.35433070866141736" top="0.51181102362204722" bottom="0.47244094488188981" header="0.31496062992125984" footer="0.31496062992125984"/>
  <pageSetup paperSize="9" scale="67" fitToHeight="2" orientation="portrait" horizontalDpi="0"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Лист3">
    <tabColor rgb="FFFF0000"/>
  </sheetPr>
  <dimension ref="A1:AB123"/>
  <sheetViews>
    <sheetView topLeftCell="A52" zoomScaleNormal="100" workbookViewId="0">
      <pane xSplit="1" topLeftCell="B1" activePane="topRight" state="frozen"/>
      <selection pane="topRight" activeCell="C63" sqref="C63"/>
    </sheetView>
  </sheetViews>
  <sheetFormatPr defaultColWidth="8.88671875" defaultRowHeight="13.2" x14ac:dyDescent="0.25"/>
  <cols>
    <col min="1" max="1" width="19.33203125" style="1098" customWidth="1"/>
    <col min="2" max="4" width="9.88671875" style="1098" customWidth="1"/>
    <col min="5" max="5" width="12" style="1098" customWidth="1"/>
    <col min="6" max="6" width="11.33203125" style="1098" customWidth="1"/>
    <col min="7" max="7" width="10.88671875" style="1098" customWidth="1"/>
    <col min="8" max="8" width="11.109375" style="1098" customWidth="1"/>
    <col min="9" max="9" width="9.88671875" style="1098" customWidth="1"/>
    <col min="10" max="10" width="9.88671875" style="2762" customWidth="1"/>
    <col min="11" max="11" width="9.33203125" style="1098" customWidth="1"/>
    <col min="12" max="12" width="9.44140625" style="1098" bestFit="1" customWidth="1"/>
    <col min="13" max="13" width="8.88671875" style="1098"/>
    <col min="14" max="14" width="10.6640625" style="1098" customWidth="1"/>
    <col min="15" max="15" width="10.33203125" style="1098" customWidth="1"/>
    <col min="16" max="16" width="12" style="1098" customWidth="1"/>
    <col min="17" max="18" width="10.33203125" style="1098" customWidth="1"/>
    <col min="19" max="19" width="9.88671875" style="1098" customWidth="1"/>
    <col min="20" max="20" width="8.88671875" style="1098"/>
    <col min="21" max="21" width="10.44140625" style="1098" bestFit="1" customWidth="1"/>
    <col min="22" max="16384" width="8.88671875" style="1098"/>
  </cols>
  <sheetData>
    <row r="1" spans="1:20" ht="13.8" thickBot="1" x14ac:dyDescent="0.3">
      <c r="G1" s="1098" t="str">
        <f>'Вхідні дані'!F1</f>
        <v>станом на 01.09.2023 року</v>
      </c>
    </row>
    <row r="2" spans="1:20" ht="28.2" customHeight="1" x14ac:dyDescent="0.25">
      <c r="A2" s="5000" t="s">
        <v>3381</v>
      </c>
      <c r="B2" s="5002">
        <f>'Вхідні дані'!F8</f>
        <v>2021</v>
      </c>
      <c r="C2" s="5002"/>
      <c r="D2" s="5002">
        <f>'Вхідні дані'!F7</f>
        <v>2022</v>
      </c>
      <c r="E2" s="5002"/>
      <c r="F2" s="5003" t="str">
        <f>'Вхідні дані'!F9</f>
        <v>Ріш. №296 від 25.10.2022</v>
      </c>
      <c r="G2" s="5003"/>
      <c r="H2" s="4975" t="str">
        <f>'Вхідні дані'!F6</f>
        <v>2023-2024</v>
      </c>
      <c r="I2" s="4971"/>
      <c r="J2" s="4976"/>
      <c r="K2" s="4972" t="s">
        <v>3369</v>
      </c>
      <c r="L2" s="4973"/>
      <c r="M2" s="4974"/>
      <c r="N2" s="4977" t="s">
        <v>4114</v>
      </c>
      <c r="O2" s="4968"/>
      <c r="P2" s="4978"/>
      <c r="Q2" s="4977" t="s">
        <v>4114</v>
      </c>
      <c r="R2" s="4968"/>
      <c r="S2" s="4978"/>
    </row>
    <row r="3" spans="1:20" ht="27.6" customHeight="1" thickBot="1" x14ac:dyDescent="0.3">
      <c r="A3" s="5001"/>
      <c r="B3" s="2763" t="s">
        <v>2391</v>
      </c>
      <c r="C3" s="2764" t="s">
        <v>2390</v>
      </c>
      <c r="D3" s="2763" t="s">
        <v>2391</v>
      </c>
      <c r="E3" s="2764" t="s">
        <v>2390</v>
      </c>
      <c r="F3" s="2763" t="s">
        <v>2391</v>
      </c>
      <c r="G3" s="2764" t="s">
        <v>2390</v>
      </c>
      <c r="H3" s="2763" t="s">
        <v>2391</v>
      </c>
      <c r="I3" s="2875" t="s">
        <v>2390</v>
      </c>
      <c r="J3" s="2881" t="s">
        <v>2643</v>
      </c>
      <c r="K3" s="2896" t="s">
        <v>2391</v>
      </c>
      <c r="L3" s="2897" t="s">
        <v>2390</v>
      </c>
      <c r="M3" s="2898" t="s">
        <v>2643</v>
      </c>
      <c r="N3" s="2821" t="s">
        <v>2391</v>
      </c>
      <c r="O3" s="2875" t="s">
        <v>2390</v>
      </c>
      <c r="P3" s="2881" t="s">
        <v>2643</v>
      </c>
      <c r="Q3" s="2821" t="s">
        <v>2391</v>
      </c>
      <c r="R3" s="2875" t="s">
        <v>2390</v>
      </c>
      <c r="S3" s="2881" t="s">
        <v>2643</v>
      </c>
    </row>
    <row r="4" spans="1:20" x14ac:dyDescent="0.25">
      <c r="A4" s="2765" t="s">
        <v>1894</v>
      </c>
      <c r="B4" s="1803">
        <f>Виробництво_1ст!C10</f>
        <v>113102.30962550636</v>
      </c>
      <c r="C4" s="1803">
        <f>Виробництво_2ст!C10</f>
        <v>113102.30962550636</v>
      </c>
      <c r="D4" s="1803">
        <f>Виробництво_1ст!D10</f>
        <v>99460.556329999992</v>
      </c>
      <c r="E4" s="1803">
        <f>Виробництво_2ст!D10</f>
        <v>99460.556329999992</v>
      </c>
      <c r="F4" s="1803">
        <f>Виробництво_1ст!E10</f>
        <v>264453.01604563743</v>
      </c>
      <c r="G4" s="1803">
        <f>Виробництво_2ст!E10</f>
        <v>264453.01604563743</v>
      </c>
      <c r="H4" s="2766">
        <f>Виробництво_1ст!F10</f>
        <v>143860.61850577858</v>
      </c>
      <c r="I4" s="2876">
        <f>Виробництво_2ст!F10</f>
        <v>143860.61850577858</v>
      </c>
      <c r="J4" s="2885">
        <f t="shared" ref="J4:J12" si="0">H4-I4</f>
        <v>0</v>
      </c>
      <c r="K4" s="2888"/>
      <c r="L4" s="2889"/>
      <c r="M4" s="2890"/>
      <c r="N4" s="2891">
        <f>H4</f>
        <v>143860.61850577858</v>
      </c>
      <c r="O4" s="2876">
        <f>I4</f>
        <v>143860.61850577858</v>
      </c>
      <c r="P4" s="2882">
        <f t="shared" ref="P4:P10" si="1">N4-O4</f>
        <v>0</v>
      </c>
      <c r="Q4" s="2891">
        <f>'Д 2_Т на В'!H43</f>
        <v>155406.25959820245</v>
      </c>
      <c r="R4" s="2877">
        <f>'ТЕ_2ст_тариф_з ЦТП'!E68</f>
        <v>155406.25959820251</v>
      </c>
      <c r="S4" s="2883">
        <f t="shared" ref="S4:S10" si="2">Q4-R4</f>
        <v>0</v>
      </c>
      <c r="T4" s="2784"/>
    </row>
    <row r="5" spans="1:20" x14ac:dyDescent="0.25">
      <c r="A5" s="2765" t="s">
        <v>1895</v>
      </c>
      <c r="B5" s="1803">
        <f>Транспортування_1ст!C12</f>
        <v>24399.499690000001</v>
      </c>
      <c r="C5" s="1803">
        <f>Транспортування_2ст!C12</f>
        <v>24399.499690000001</v>
      </c>
      <c r="D5" s="1803">
        <f>Транспортування_1ст!D12</f>
        <v>27266.815179999998</v>
      </c>
      <c r="E5" s="1803">
        <f>Транспортування_2ст!D12</f>
        <v>27266.815179999998</v>
      </c>
      <c r="F5" s="1803">
        <f>Транспортування_1ст!E12</f>
        <v>59961.43801399009</v>
      </c>
      <c r="G5" s="1803">
        <f>Транспортування_2ст!E12</f>
        <v>59961.43801399009</v>
      </c>
      <c r="H5" s="2135">
        <f>Транспортування_1ст!F12-'Покриття втрат в мережах'!C12</f>
        <v>42409.144058157552</v>
      </c>
      <c r="I5" s="2877">
        <f>Транспортування_2ст!F12-'Покриття втрат в мережах'!C19</f>
        <v>42409.144058157552</v>
      </c>
      <c r="J5" s="2886">
        <f t="shared" si="0"/>
        <v>0</v>
      </c>
      <c r="K5" s="2891">
        <f>'Покриття втрат в мережах'!C12</f>
        <v>14113.081982088981</v>
      </c>
      <c r="L5" s="2135">
        <f>'Покриття втрат в мережах'!C19</f>
        <v>10420.735434643655</v>
      </c>
      <c r="M5" s="3071">
        <f>K5-L5</f>
        <v>3692.346547445326</v>
      </c>
      <c r="N5" s="2891">
        <f>SUM(N6:N7)</f>
        <v>56522.226040246533</v>
      </c>
      <c r="O5" s="2891">
        <f>SUM(O6:O7)</f>
        <v>52829.879492801199</v>
      </c>
      <c r="P5" s="2883">
        <f t="shared" si="1"/>
        <v>3692.3465474453333</v>
      </c>
      <c r="Q5" s="2891">
        <f>Q6+Q7</f>
        <v>59925.803484984943</v>
      </c>
      <c r="R5" s="2891">
        <f>R6+R7</f>
        <v>56233.456937539624</v>
      </c>
      <c r="S5" s="2883">
        <f t="shared" si="2"/>
        <v>3692.3465474453187</v>
      </c>
    </row>
    <row r="6" spans="1:20" x14ac:dyDescent="0.25">
      <c r="A6" s="2838" t="s">
        <v>644</v>
      </c>
      <c r="B6" s="1803"/>
      <c r="C6" s="1803"/>
      <c r="D6" s="1803"/>
      <c r="E6" s="1803"/>
      <c r="F6" s="1803">
        <v>11065.231534091628</v>
      </c>
      <c r="G6" s="1803">
        <v>11065.231534091628</v>
      </c>
      <c r="H6" s="2135">
        <f>Транспортування_1ст!G12-'Покриття втрат в мережах'!C13</f>
        <v>11724.913895069481</v>
      </c>
      <c r="I6" s="2877">
        <f>Транспортування_2ст!G12-'Покриття втрат в мережах'!C20</f>
        <v>11724.913895069483</v>
      </c>
      <c r="J6" s="2886">
        <f t="shared" si="0"/>
        <v>0</v>
      </c>
      <c r="K6" s="2891"/>
      <c r="L6" s="2135"/>
      <c r="M6" s="2767"/>
      <c r="N6" s="2891">
        <f>Транспортування_1ст!G12</f>
        <v>14282.776766384053</v>
      </c>
      <c r="O6" s="2877">
        <f>Транспортування_2ст!G12</f>
        <v>13614.118759799785</v>
      </c>
      <c r="P6" s="2883">
        <f t="shared" si="1"/>
        <v>668.65800658426815</v>
      </c>
      <c r="Q6" s="2891">
        <f>'Д 3_Т на Т з ЦТП'!G37</f>
        <v>15223.768464307332</v>
      </c>
      <c r="R6" s="2877">
        <f>'ТЕ_2ст_тариф_з ЦТП'!E112</f>
        <v>14555.110457723064</v>
      </c>
      <c r="S6" s="2883">
        <f t="shared" si="2"/>
        <v>668.65800658426815</v>
      </c>
    </row>
    <row r="7" spans="1:20" x14ac:dyDescent="0.25">
      <c r="A7" s="2838" t="s">
        <v>643</v>
      </c>
      <c r="B7" s="1803"/>
      <c r="C7" s="1803"/>
      <c r="D7" s="1803"/>
      <c r="E7" s="1803"/>
      <c r="F7" s="1803">
        <v>34016.284558731168</v>
      </c>
      <c r="G7" s="1803">
        <v>34016.284558731168</v>
      </c>
      <c r="H7" s="2135">
        <f>Транспортування_1ст!H12-'Покриття втрат в мережах'!C14</f>
        <v>30684.230163088068</v>
      </c>
      <c r="I7" s="2877">
        <f>Транспортування_2ст!H12-'Покриття втрат в мережах'!C21</f>
        <v>30684.230163088061</v>
      </c>
      <c r="J7" s="2886">
        <f t="shared" si="0"/>
        <v>0</v>
      </c>
      <c r="K7" s="2891"/>
      <c r="L7" s="2135"/>
      <c r="M7" s="2767"/>
      <c r="N7" s="2891">
        <f>Транспортування_1ст!H12</f>
        <v>42239.449273862476</v>
      </c>
      <c r="O7" s="2877">
        <f>Транспортування_2ст!H12</f>
        <v>39215.760733001414</v>
      </c>
      <c r="P7" s="2883">
        <f t="shared" si="1"/>
        <v>3023.6885408610615</v>
      </c>
      <c r="Q7" s="2891">
        <f>'Д 3.1_Т на Т без ЦТП'!G37</f>
        <v>44702.035020677613</v>
      </c>
      <c r="R7" s="2877">
        <f>'ТЕ_2ст_тариф_без ЦТП'!E112</f>
        <v>41678.346479816559</v>
      </c>
      <c r="S7" s="2883">
        <f t="shared" si="2"/>
        <v>3023.6885408610542</v>
      </c>
    </row>
    <row r="8" spans="1:20" x14ac:dyDescent="0.25">
      <c r="A8" s="2765" t="s">
        <v>2233</v>
      </c>
      <c r="B8" s="1803">
        <f>Постачання_1ст!C9</f>
        <v>780.90219000000002</v>
      </c>
      <c r="C8" s="1803">
        <f>Постачання_2ст!C9</f>
        <v>780.90219000000002</v>
      </c>
      <c r="D8" s="1803">
        <f>Постачання_1ст!D9</f>
        <v>1604.34898</v>
      </c>
      <c r="E8" s="1803">
        <f>Постачання_2ст!D9</f>
        <v>1604.34898</v>
      </c>
      <c r="F8" s="1803">
        <f>Постачання_1ст!E9</f>
        <v>1702.8224901170295</v>
      </c>
      <c r="G8" s="1803">
        <f>Постачання_2ст!E9</f>
        <v>1702.8224901170295</v>
      </c>
      <c r="H8" s="2766">
        <f>Постачання_1ст!F9</f>
        <v>1816.6486399715736</v>
      </c>
      <c r="I8" s="2876">
        <f>Постачання_2ст!F9</f>
        <v>1816.6486399715736</v>
      </c>
      <c r="J8" s="2886">
        <f t="shared" si="0"/>
        <v>0</v>
      </c>
      <c r="K8" s="2765"/>
      <c r="L8" s="1814"/>
      <c r="M8" s="2892"/>
      <c r="N8" s="2891">
        <f>H8</f>
        <v>1816.6486399715736</v>
      </c>
      <c r="O8" s="2877">
        <f>I8</f>
        <v>1816.6486399715736</v>
      </c>
      <c r="P8" s="2883">
        <f t="shared" si="1"/>
        <v>0</v>
      </c>
      <c r="Q8" s="2891">
        <f>'Д 4_Т на П'!G32</f>
        <v>1962.4451296989496</v>
      </c>
      <c r="R8" s="2877">
        <f>'ТЕ_2ст_тариф_з ЦТП'!E151</f>
        <v>1962.4451296989496</v>
      </c>
      <c r="S8" s="2883">
        <f t="shared" si="2"/>
        <v>0</v>
      </c>
    </row>
    <row r="9" spans="1:20" x14ac:dyDescent="0.25">
      <c r="A9" s="2765" t="s">
        <v>1896</v>
      </c>
      <c r="B9" s="1803">
        <f>ЗВВ_1ст!C8</f>
        <v>5006.7667899999988</v>
      </c>
      <c r="C9" s="1803">
        <f>ЗВВ_2ст!C8</f>
        <v>4945.956619999999</v>
      </c>
      <c r="D9" s="1803">
        <f>ЗВВ_1ст!D8</f>
        <v>5296.5961199999992</v>
      </c>
      <c r="E9" s="1803">
        <f>ЗВВ_2ст!D8</f>
        <v>5313.0774899999988</v>
      </c>
      <c r="F9" s="1803">
        <f>ЗВВ_1ст!E8</f>
        <v>6463.157697595102</v>
      </c>
      <c r="G9" s="1803">
        <f>ЗВВ_2ст!E8</f>
        <v>6463.1626975951021</v>
      </c>
      <c r="H9" s="2769">
        <f>ЗВВ_1ст!F8</f>
        <v>7841.4263543791521</v>
      </c>
      <c r="I9" s="2878">
        <f>ЗВВ_2ст!F8</f>
        <v>7841.4263543791521</v>
      </c>
      <c r="J9" s="2886">
        <f t="shared" si="0"/>
        <v>0</v>
      </c>
      <c r="K9" s="2765"/>
      <c r="L9" s="1814"/>
      <c r="M9" s="2892"/>
      <c r="N9" s="2900">
        <f>H9*'БАЗИ РОЗПОДІЛУ'!E15</f>
        <v>6812.6492399407889</v>
      </c>
      <c r="O9" s="2901">
        <f>I9*'БАЗИ РОЗПОДІЛУ_2ст'!E15</f>
        <v>6812.6492399407889</v>
      </c>
      <c r="P9" s="2883">
        <f t="shared" si="1"/>
        <v>0</v>
      </c>
      <c r="Q9" s="2900">
        <f>K9*'БАЗИ РОЗПОДІЛУ'!H15</f>
        <v>0</v>
      </c>
      <c r="R9" s="2901">
        <f>L9*'БАЗИ РОЗПОДІЛУ_2ст'!H15</f>
        <v>0</v>
      </c>
      <c r="S9" s="2883">
        <f t="shared" si="2"/>
        <v>0</v>
      </c>
    </row>
    <row r="10" spans="1:20" x14ac:dyDescent="0.25">
      <c r="A10" s="2765" t="s">
        <v>1897</v>
      </c>
      <c r="B10" s="1803">
        <f>Адміністративні_1ст!C8</f>
        <v>8055.7756800000006</v>
      </c>
      <c r="C10" s="1803">
        <f>Адміністративні_2ст!C8</f>
        <v>8025.5941500000008</v>
      </c>
      <c r="D10" s="1803">
        <f>Адміністративні_1ст!D8</f>
        <v>8172.600809999999</v>
      </c>
      <c r="E10" s="1803">
        <f>Адміністративні_2ст!D8</f>
        <v>8157.627379999999</v>
      </c>
      <c r="F10" s="1803">
        <f>Адміністративні_1ст!E8</f>
        <v>7630.5366603321218</v>
      </c>
      <c r="G10" s="1803">
        <f>Адміністративні_2ст!E8</f>
        <v>7630.5366603321218</v>
      </c>
      <c r="H10" s="2769">
        <f>Адміністративні_1ст!F8</f>
        <v>9533.0845712164319</v>
      </c>
      <c r="I10" s="2878">
        <f>Адміністративні_2ст!F8</f>
        <v>9533.0845712164319</v>
      </c>
      <c r="J10" s="2886">
        <f t="shared" si="0"/>
        <v>0</v>
      </c>
      <c r="K10" s="2765"/>
      <c r="L10" s="1814"/>
      <c r="M10" s="2892"/>
      <c r="N10" s="2900">
        <f>H10*'БАЗИ РОЗПОДІЛУ'!E22</f>
        <v>8282.3657869488434</v>
      </c>
      <c r="O10" s="2901">
        <f>I10*'БАЗИ РОЗПОДІЛУ_2ст'!E22</f>
        <v>8282.3657869488434</v>
      </c>
      <c r="P10" s="2883">
        <f t="shared" si="1"/>
        <v>0</v>
      </c>
      <c r="Q10" s="2900">
        <f>K10*'БАЗИ РОЗПОДІЛУ'!H22</f>
        <v>0</v>
      </c>
      <c r="R10" s="2901">
        <f>L10*'БАЗИ РОЗПОДІЛУ_2ст'!H22</f>
        <v>0</v>
      </c>
      <c r="S10" s="2883">
        <f t="shared" si="2"/>
        <v>0</v>
      </c>
    </row>
    <row r="11" spans="1:20" x14ac:dyDescent="0.25">
      <c r="A11" s="2770" t="s">
        <v>1427</v>
      </c>
      <c r="B11" s="2771"/>
      <c r="C11" s="2771"/>
      <c r="D11" s="2771"/>
      <c r="E11" s="2771"/>
      <c r="F11" s="2771"/>
      <c r="G11" s="2771"/>
      <c r="H11" s="2772">
        <f>'АО-прямые'!F5</f>
        <v>5562.1155732964808</v>
      </c>
      <c r="I11" s="2879">
        <f>H11</f>
        <v>5562.1155732964808</v>
      </c>
      <c r="J11" s="2886"/>
      <c r="K11" s="2765"/>
      <c r="L11" s="1814"/>
      <c r="M11" s="2892"/>
      <c r="N11" s="2902"/>
      <c r="O11" s="2903"/>
      <c r="P11" s="2883"/>
      <c r="Q11" s="2902"/>
      <c r="R11" s="2903"/>
      <c r="S11" s="2883"/>
    </row>
    <row r="12" spans="1:20" ht="13.8" thickBot="1" x14ac:dyDescent="0.3">
      <c r="A12" s="2773" t="s">
        <v>973</v>
      </c>
      <c r="B12" s="2774">
        <f t="shared" ref="B12:G12" si="3">SUM(B4:B10)</f>
        <v>151345.25397550635</v>
      </c>
      <c r="C12" s="2774">
        <f t="shared" si="3"/>
        <v>151254.26227550636</v>
      </c>
      <c r="D12" s="2774">
        <f t="shared" si="3"/>
        <v>141800.91741999998</v>
      </c>
      <c r="E12" s="2774">
        <f t="shared" si="3"/>
        <v>141802.42535999999</v>
      </c>
      <c r="F12" s="2774">
        <f t="shared" si="3"/>
        <v>385292.48700049456</v>
      </c>
      <c r="G12" s="2774">
        <f t="shared" si="3"/>
        <v>385292.49200049456</v>
      </c>
      <c r="H12" s="2775">
        <f>SUM(H4:H11)-H5</f>
        <v>211023.03770279975</v>
      </c>
      <c r="I12" s="2880">
        <f>SUM(I4:I11)-I5</f>
        <v>211023.03770279975</v>
      </c>
      <c r="J12" s="2887">
        <f t="shared" si="0"/>
        <v>0</v>
      </c>
      <c r="K12" s="2893"/>
      <c r="L12" s="2894"/>
      <c r="M12" s="2895"/>
      <c r="N12" s="2899">
        <f>SUM(N4:N11)-N5</f>
        <v>217294.50821288623</v>
      </c>
      <c r="O12" s="2880">
        <f>SUM(O4:O11)-O5</f>
        <v>213602.16166544094</v>
      </c>
      <c r="P12" s="2884">
        <f>N12-O12</f>
        <v>3692.3465474452823</v>
      </c>
      <c r="Q12" s="2899">
        <f>'Д 2_Т на В'!H43+'Д 3_Т на Т з ЦТП'!G37+'Д 3.1_Т на Т без ЦТП'!G37+'Д 4_Т на П'!G32</f>
        <v>217294.50821288634</v>
      </c>
      <c r="R12" s="2880">
        <f>'ТЕ_2ст_тариф_з ЦТП'!E68+'ТЕ_2ст_тариф_з ЦТП'!E112+'ТЕ_2ст_тариф_з ЦТП'!E151+'ТЕ_2ст_тариф_без ЦТП'!E112</f>
        <v>213602.16166544109</v>
      </c>
      <c r="S12" s="2884">
        <f>Q12-R12</f>
        <v>3692.3465474452532</v>
      </c>
      <c r="T12" s="2784">
        <f>'Покриття втрат в мережах'!C22</f>
        <v>3692.346547445326</v>
      </c>
    </row>
    <row r="13" spans="1:20" ht="13.8" thickBot="1" x14ac:dyDescent="0.3">
      <c r="H13" s="2777"/>
      <c r="I13" s="2777"/>
      <c r="P13" s="42"/>
    </row>
    <row r="14" spans="1:20" x14ac:dyDescent="0.25">
      <c r="A14" s="5008" t="s">
        <v>2436</v>
      </c>
      <c r="B14" s="4902" t="s">
        <v>4130</v>
      </c>
      <c r="C14" s="4902"/>
      <c r="D14" s="5010" t="s">
        <v>2309</v>
      </c>
      <c r="F14" s="5011" t="s">
        <v>3362</v>
      </c>
      <c r="G14" s="4902" t="s">
        <v>4130</v>
      </c>
      <c r="H14" s="4902"/>
      <c r="I14" s="5010" t="s">
        <v>2309</v>
      </c>
      <c r="N14" s="2784"/>
      <c r="O14" s="2784"/>
    </row>
    <row r="15" spans="1:20" ht="13.8" thickBot="1" x14ac:dyDescent="0.3">
      <c r="A15" s="5009"/>
      <c r="B15" s="1611" t="s">
        <v>2437</v>
      </c>
      <c r="C15" s="1611" t="s">
        <v>2436</v>
      </c>
      <c r="D15" s="5010"/>
      <c r="F15" s="5012"/>
      <c r="G15" s="1611" t="s">
        <v>2437</v>
      </c>
      <c r="H15" s="1611" t="s">
        <v>3362</v>
      </c>
      <c r="I15" s="5010"/>
      <c r="N15" s="2784"/>
      <c r="O15" s="2784"/>
    </row>
    <row r="16" spans="1:20" x14ac:dyDescent="0.25">
      <c r="A16" s="2778" t="s">
        <v>1894</v>
      </c>
      <c r="B16" s="1803">
        <f>Виробництво_1ст!F17+Виробництво_1ст!F37</f>
        <v>44.102875788086209</v>
      </c>
      <c r="C16" s="2135">
        <f>ВОДА!J88+ВОДА!K88</f>
        <v>44.102875788086209</v>
      </c>
      <c r="D16" s="2779">
        <f>B16-C16</f>
        <v>0</v>
      </c>
      <c r="F16" s="2778" t="s">
        <v>1894</v>
      </c>
      <c r="G16" s="1803">
        <f>Виробництво_1ст!F16+Виробництво_1ст!F38</f>
        <v>5937.3503814675587</v>
      </c>
      <c r="H16" s="2135">
        <f>'Д 9_ЕЕ'!D235</f>
        <v>5937.3503814675587</v>
      </c>
      <c r="I16" s="2779">
        <f>G16-H16</f>
        <v>0</v>
      </c>
    </row>
    <row r="17" spans="1:28" x14ac:dyDescent="0.25">
      <c r="A17" s="2780" t="s">
        <v>1895</v>
      </c>
      <c r="B17" s="1803">
        <f>Транспортування_1ст!F15+Транспортування_1ст!F36</f>
        <v>667.47769514430342</v>
      </c>
      <c r="C17" s="2135">
        <f>ВОДА!L107</f>
        <v>667.47769514430354</v>
      </c>
      <c r="D17" s="2779">
        <f t="shared" ref="D17:D23" si="4">B17-C17</f>
        <v>0</v>
      </c>
      <c r="F17" s="2780" t="s">
        <v>1895</v>
      </c>
      <c r="G17" s="1803">
        <f>Транспортування_1ст!F14+Транспортування_1ст!F37</f>
        <v>15259.167589392104</v>
      </c>
      <c r="H17" s="2135">
        <f>'Д 9_ЕЕ'!D240</f>
        <v>15259.167589392107</v>
      </c>
      <c r="I17" s="2779">
        <f t="shared" ref="I17:I23" si="5">G17-H17</f>
        <v>0</v>
      </c>
      <c r="R17" s="2777"/>
    </row>
    <row r="18" spans="1:28" x14ac:dyDescent="0.25">
      <c r="A18" s="2780" t="s">
        <v>2233</v>
      </c>
      <c r="B18" s="1803">
        <f>Постачання_1ст!F29</f>
        <v>0.24865050000000002</v>
      </c>
      <c r="C18" s="2135">
        <f>ВОДА!N88+ВОДА!O88</f>
        <v>0.24865050000000002</v>
      </c>
      <c r="D18" s="2779">
        <f t="shared" si="4"/>
        <v>0</v>
      </c>
      <c r="F18" s="2780" t="s">
        <v>2233</v>
      </c>
      <c r="G18" s="1803">
        <f>Постачання_1ст!F30</f>
        <v>24.449068362624004</v>
      </c>
      <c r="H18" s="2135">
        <f>'Д 9_ЕЕ'!D255</f>
        <v>24.449068362624004</v>
      </c>
      <c r="I18" s="2779">
        <f t="shared" si="5"/>
        <v>0</v>
      </c>
      <c r="N18" s="2777"/>
      <c r="O18" s="2777"/>
      <c r="P18" s="2777"/>
      <c r="Q18" s="2777"/>
      <c r="S18" s="2777"/>
      <c r="T18" s="2777"/>
      <c r="U18" s="2777"/>
      <c r="V18" s="2777"/>
      <c r="W18" s="2777"/>
    </row>
    <row r="19" spans="1:28" x14ac:dyDescent="0.25">
      <c r="A19" s="2780" t="s">
        <v>1427</v>
      </c>
      <c r="B19" s="2135">
        <f>'АО-прямые'!F23</f>
        <v>3.7531722437928079</v>
      </c>
      <c r="C19" s="2135">
        <f>ВОДА!T88+ВОДА!U88+ВОДА!V88+ВОДА!W88</f>
        <v>3.7531722437928079</v>
      </c>
      <c r="D19" s="2779">
        <f t="shared" si="4"/>
        <v>0</v>
      </c>
      <c r="F19" s="2780" t="s">
        <v>1427</v>
      </c>
      <c r="G19" s="2135">
        <f>'АО-прямые'!F22</f>
        <v>39.083402008416009</v>
      </c>
      <c r="H19" s="2135">
        <f>'Д 9_ЕЕ'!D275</f>
        <v>39.083402008416009</v>
      </c>
      <c r="I19" s="2779">
        <f t="shared" si="5"/>
        <v>0</v>
      </c>
      <c r="N19" s="2777"/>
      <c r="O19" s="2777"/>
      <c r="P19" s="2777"/>
      <c r="Q19" s="2777"/>
      <c r="R19" s="2777"/>
      <c r="S19" s="2777"/>
      <c r="T19" s="2777"/>
      <c r="U19" s="2777"/>
      <c r="V19" s="2777"/>
      <c r="W19" s="2777"/>
    </row>
    <row r="20" spans="1:28" x14ac:dyDescent="0.25">
      <c r="A20" s="2780" t="s">
        <v>930</v>
      </c>
      <c r="B20" s="1814"/>
      <c r="C20" s="2135"/>
      <c r="D20" s="2779">
        <f t="shared" si="4"/>
        <v>0</v>
      </c>
      <c r="F20" s="2780" t="s">
        <v>1390</v>
      </c>
      <c r="G20" s="1803">
        <f>ЗВВ_1ст!F25</f>
        <v>13.589859731039159</v>
      </c>
      <c r="H20" s="2135">
        <f>'Д 9_ЕЕ'!D270</f>
        <v>13.589859731039159</v>
      </c>
      <c r="I20" s="2779">
        <f t="shared" si="5"/>
        <v>0</v>
      </c>
      <c r="N20" s="2777"/>
      <c r="O20" s="2777"/>
      <c r="P20" s="2777"/>
      <c r="Q20" s="2777"/>
      <c r="R20" s="2777"/>
      <c r="S20" s="2777"/>
      <c r="T20" s="2777"/>
      <c r="U20" s="2777"/>
      <c r="V20" s="2777"/>
      <c r="W20" s="2777"/>
    </row>
    <row r="21" spans="1:28" x14ac:dyDescent="0.25">
      <c r="A21" s="2780" t="s">
        <v>1896</v>
      </c>
      <c r="B21" s="1803">
        <f>ЗВВ_1ст!F27</f>
        <v>3.2901789374999995</v>
      </c>
      <c r="C21" s="2135">
        <f>ВОДА!P88+ВОДА!Q88</f>
        <v>3.2901789374999995</v>
      </c>
      <c r="D21" s="2779">
        <f t="shared" si="4"/>
        <v>0</v>
      </c>
      <c r="F21" s="2780" t="s">
        <v>1896</v>
      </c>
      <c r="G21" s="1803">
        <f>ЗВВ_1ст!F28</f>
        <v>126.661201851312</v>
      </c>
      <c r="H21" s="2135">
        <f>'Д 9_ЕЕ'!D260</f>
        <v>126.661201851312</v>
      </c>
      <c r="I21" s="2779">
        <f t="shared" si="5"/>
        <v>0</v>
      </c>
      <c r="N21" s="2777"/>
      <c r="O21" s="2777"/>
      <c r="P21" s="2777"/>
      <c r="Q21" s="2777"/>
      <c r="R21" s="2777"/>
      <c r="S21" s="2777"/>
      <c r="T21" s="2777"/>
      <c r="U21" s="2777"/>
      <c r="V21" s="2777"/>
      <c r="W21" s="2777"/>
    </row>
    <row r="22" spans="1:28" x14ac:dyDescent="0.25">
      <c r="A22" s="2780" t="s">
        <v>1897</v>
      </c>
      <c r="B22" s="1803">
        <f>Адміністративні_1ст!F27</f>
        <v>1.7405535000000001</v>
      </c>
      <c r="C22" s="2135">
        <f>ВОДА!R88+ВОДА!S88</f>
        <v>1.7405535000000001</v>
      </c>
      <c r="D22" s="2779">
        <f t="shared" si="4"/>
        <v>0</v>
      </c>
      <c r="F22" s="2780" t="s">
        <v>1897</v>
      </c>
      <c r="G22" s="1803">
        <f>Адміністративні_1ст!F28</f>
        <v>101.15507484556801</v>
      </c>
      <c r="H22" s="2135">
        <f>'Д 9_ЕЕ'!D265</f>
        <v>101.15507484556801</v>
      </c>
      <c r="I22" s="2779">
        <f t="shared" si="5"/>
        <v>0</v>
      </c>
    </row>
    <row r="23" spans="1:28" ht="13.8" thickBot="1" x14ac:dyDescent="0.3">
      <c r="A23" s="2781" t="s">
        <v>973</v>
      </c>
      <c r="B23" s="1803">
        <f>SUM(B16:B22)</f>
        <v>720.61312611368248</v>
      </c>
      <c r="C23" s="1803">
        <f>SUM(C16:C22)</f>
        <v>720.6131261136826</v>
      </c>
      <c r="D23" s="2779">
        <f t="shared" si="4"/>
        <v>0</v>
      </c>
      <c r="F23" s="2781" t="s">
        <v>973</v>
      </c>
      <c r="G23" s="2782">
        <f>SUM(G16:G22)</f>
        <v>21501.456577658621</v>
      </c>
      <c r="H23" s="2782">
        <f>SUM(H16:H22)</f>
        <v>21501.456577658624</v>
      </c>
      <c r="I23" s="2783">
        <f t="shared" si="5"/>
        <v>0</v>
      </c>
      <c r="J23" s="2768">
        <f>'Д 9_ЕЕ'!D230</f>
        <v>21529.357426278482</v>
      </c>
      <c r="K23" s="2784">
        <f>J23-G23</f>
        <v>27.90084861986179</v>
      </c>
      <c r="L23" s="1098" t="s">
        <v>2300</v>
      </c>
      <c r="M23" s="2762">
        <f>'Д 9_ЕЕ'!D285</f>
        <v>27.900848619856902</v>
      </c>
    </row>
    <row r="24" spans="1:28" ht="13.8" thickBot="1" x14ac:dyDescent="0.3"/>
    <row r="25" spans="1:28" s="1113" customFormat="1" ht="33" customHeight="1" thickBot="1" x14ac:dyDescent="0.35">
      <c r="A25" s="5006" t="s">
        <v>2253</v>
      </c>
      <c r="B25" s="4990" t="s">
        <v>3352</v>
      </c>
      <c r="C25" s="4990"/>
      <c r="D25" s="4990"/>
      <c r="E25" s="4990" t="s">
        <v>3353</v>
      </c>
      <c r="F25" s="4990"/>
      <c r="G25" s="4991"/>
      <c r="H25" s="4986" t="s">
        <v>1894</v>
      </c>
      <c r="I25" s="4987"/>
      <c r="J25" s="4987"/>
      <c r="K25" s="4988"/>
      <c r="L25" s="4979" t="s">
        <v>2648</v>
      </c>
      <c r="M25" s="4980"/>
      <c r="N25" s="4999"/>
      <c r="O25" s="4998" t="s">
        <v>2257</v>
      </c>
      <c r="P25" s="4980"/>
      <c r="Q25" s="4999"/>
      <c r="R25" s="4982" t="s">
        <v>2233</v>
      </c>
      <c r="S25" s="4983"/>
      <c r="T25" s="2785"/>
    </row>
    <row r="26" spans="1:28" ht="40.200000000000003" thickBot="1" x14ac:dyDescent="0.3">
      <c r="A26" s="5007"/>
      <c r="B26" s="2786" t="s">
        <v>2391</v>
      </c>
      <c r="C26" s="2764" t="s">
        <v>2390</v>
      </c>
      <c r="D26" s="2787" t="s">
        <v>2643</v>
      </c>
      <c r="E26" s="2786" t="s">
        <v>2391</v>
      </c>
      <c r="F26" s="2764" t="s">
        <v>2390</v>
      </c>
      <c r="G26" s="2787" t="s">
        <v>2643</v>
      </c>
      <c r="H26" s="2788" t="s">
        <v>2391</v>
      </c>
      <c r="I26" s="2789" t="s">
        <v>3355</v>
      </c>
      <c r="J26" s="2789" t="s">
        <v>3356</v>
      </c>
      <c r="K26" s="2790" t="s">
        <v>2643</v>
      </c>
      <c r="L26" s="2763" t="s">
        <v>2391</v>
      </c>
      <c r="M26" s="2764" t="s">
        <v>2390</v>
      </c>
      <c r="N26" s="2787" t="s">
        <v>2643</v>
      </c>
      <c r="O26" s="2763" t="s">
        <v>2391</v>
      </c>
      <c r="P26" s="2764" t="s">
        <v>2390</v>
      </c>
      <c r="Q26" s="2787" t="s">
        <v>2643</v>
      </c>
      <c r="R26" s="2763" t="s">
        <v>2391</v>
      </c>
      <c r="S26" s="2791" t="s">
        <v>2390</v>
      </c>
      <c r="T26" s="2762"/>
    </row>
    <row r="27" spans="1:28" x14ac:dyDescent="0.25">
      <c r="A27" s="2792" t="s">
        <v>2254</v>
      </c>
      <c r="B27" s="2793">
        <f>H27+L27+R27</f>
        <v>2485.504101001588</v>
      </c>
      <c r="C27" s="2793">
        <f>I27+M27+S27</f>
        <v>2485.5041585349791</v>
      </c>
      <c r="D27" s="2836">
        <f>B27-C27</f>
        <v>-5.7533391100150766E-5</v>
      </c>
      <c r="E27" s="2793">
        <f>H27+O27+R27</f>
        <v>2085.0567778898749</v>
      </c>
      <c r="F27" s="2793">
        <f>I27+P27+S27</f>
        <v>2085.0560986726764</v>
      </c>
      <c r="G27" s="2836">
        <f>E27-F27</f>
        <v>6.7921719846708584E-4</v>
      </c>
      <c r="H27" s="1803">
        <f>'Д 2_Т на В'!H52</f>
        <v>1496.2706792171982</v>
      </c>
      <c r="I27" s="1803">
        <f>'ТЕ_2ст_тариф_з ЦТП'!E77</f>
        <v>1496.27</v>
      </c>
      <c r="J27" s="1803">
        <f>'ТЕ_2ст_тариф_без ЦТП'!E77</f>
        <v>1496.27</v>
      </c>
      <c r="K27" s="2779">
        <f>H27-I27</f>
        <v>6.7921719823971216E-4</v>
      </c>
      <c r="L27" s="1803">
        <f>'Д 3_Т на Т з ЦТП'!G46</f>
        <v>968.44926324941105</v>
      </c>
      <c r="M27" s="1803">
        <f>'ТЕ_2ст_тариф_з ЦТП'!E121</f>
        <v>968.45</v>
      </c>
      <c r="N27" s="2836">
        <f>L27-M27</f>
        <v>-7.3675058899880241E-4</v>
      </c>
      <c r="O27" s="1803">
        <f>'Д 3.1_Т на Т без ЦТП'!G46</f>
        <v>568.00194013769772</v>
      </c>
      <c r="P27" s="1803">
        <f>'ТЕ_2ст_тариф_без ЦТП'!E121</f>
        <v>568.00194013769772</v>
      </c>
      <c r="Q27" s="2836">
        <f>O27-P27</f>
        <v>0</v>
      </c>
      <c r="R27" s="1803">
        <f>'Д 4_Т на П'!G41</f>
        <v>20.784158534978822</v>
      </c>
      <c r="S27" s="2794">
        <f>'ТЕ_2ст_тариф_без ЦТП'!E160</f>
        <v>20.784158534978818</v>
      </c>
      <c r="T27" s="2784"/>
      <c r="W27" s="2784"/>
    </row>
    <row r="28" spans="1:28" x14ac:dyDescent="0.25">
      <c r="A28" s="2765" t="s">
        <v>3</v>
      </c>
      <c r="B28" s="2793">
        <f>H28+L28+R28</f>
        <v>2291.6205284132493</v>
      </c>
      <c r="C28" s="2793">
        <f>I28+M28+S28</f>
        <v>2291.6141585349787</v>
      </c>
      <c r="D28" s="2836">
        <f>B28-C28</f>
        <v>6.3698782705614576E-3</v>
      </c>
      <c r="E28" s="2793">
        <f>H28+O28+R28</f>
        <v>1893.4766574782534</v>
      </c>
      <c r="F28" s="2793">
        <f>I28+P28+S28</f>
        <v>1893.4747068612733</v>
      </c>
      <c r="G28" s="2836">
        <f>E28-F28</f>
        <v>1.9506169801388751E-3</v>
      </c>
      <c r="H28" s="1803">
        <f>'Д 2_Т на В'!L52</f>
        <v>1321.3719506169798</v>
      </c>
      <c r="I28" s="1803">
        <f>'ТЕ_2ст_тариф_з ЦТП'!H77</f>
        <v>1321.37</v>
      </c>
      <c r="J28" s="1803">
        <f>'ТЕ_2ст_тариф_без ЦТП'!H77</f>
        <v>1321.37</v>
      </c>
      <c r="K28" s="2779">
        <f>H28-I28</f>
        <v>1.9506169799115014E-3</v>
      </c>
      <c r="L28" s="1803">
        <f>'Д 3_Т на Т з ЦТП'!H46</f>
        <v>949.4644192612908</v>
      </c>
      <c r="M28" s="1803">
        <f>'ТЕ_2ст_тариф_з ЦТП'!H121</f>
        <v>949.46</v>
      </c>
      <c r="N28" s="2836">
        <f>L28-M28</f>
        <v>4.419261290763643E-3</v>
      </c>
      <c r="O28" s="1803">
        <f>'Д 3.1_Т на Т без ЦТП'!H46</f>
        <v>551.32054832629467</v>
      </c>
      <c r="P28" s="1803">
        <f>'ТЕ_2ст_тариф_без ЦТП'!H121</f>
        <v>551.32054832629467</v>
      </c>
      <c r="Q28" s="2836">
        <f>O28-P28</f>
        <v>0</v>
      </c>
      <c r="R28" s="1803">
        <f>'Д 4_Т на П'!G41</f>
        <v>20.784158534978822</v>
      </c>
      <c r="S28" s="2794">
        <f>'ТЕ_2ст_тариф_без ЦТП'!E160</f>
        <v>20.784158534978818</v>
      </c>
      <c r="T28" s="2784"/>
      <c r="V28" s="2784"/>
      <c r="W28" s="2784"/>
      <c r="X28" s="2784"/>
      <c r="Y28" s="2784"/>
      <c r="Z28" s="2784"/>
      <c r="AA28" s="2784"/>
      <c r="AB28" s="2784"/>
    </row>
    <row r="29" spans="1:28" x14ac:dyDescent="0.25">
      <c r="A29" s="2765" t="s">
        <v>2649</v>
      </c>
      <c r="B29" s="2793"/>
      <c r="C29" s="2793"/>
      <c r="D29" s="2836"/>
      <c r="E29" s="2793">
        <f>H29+O29+R29</f>
        <v>3024.5793351330999</v>
      </c>
      <c r="F29" s="2793">
        <f>J29+P29+S29</f>
        <v>3024.5778869065693</v>
      </c>
      <c r="G29" s="2836">
        <f>E29-F29</f>
        <v>1.4482265305559849E-3</v>
      </c>
      <c r="H29" s="1803">
        <f>'Д 2_Т на В'!P52</f>
        <v>2354.1214482265309</v>
      </c>
      <c r="I29" s="1803">
        <f>'ТЕ_2ст_тариф_з ЦТП'!K77</f>
        <v>0</v>
      </c>
      <c r="J29" s="1803">
        <f>'ТЕ_2ст_тариф_без ЦТП'!K77</f>
        <v>2354.1200000000003</v>
      </c>
      <c r="K29" s="2779">
        <f>H29-J29</f>
        <v>1.4482265305559849E-3</v>
      </c>
      <c r="L29" s="1803">
        <f>'Д 3_Т на Т з ЦТП'!I46</f>
        <v>0</v>
      </c>
      <c r="M29" s="1803">
        <f>'ТЕ_2ст_тариф_з ЦТП'!K121</f>
        <v>0</v>
      </c>
      <c r="N29" s="2836">
        <f>L29-M29</f>
        <v>0</v>
      </c>
      <c r="O29" s="1803">
        <f>'Д 3.1_Т на Т без ЦТП'!I46</f>
        <v>649.6737283715903</v>
      </c>
      <c r="P29" s="1803">
        <f>'ТЕ_2ст_тариф_без ЦТП'!K121</f>
        <v>649.6737283715903</v>
      </c>
      <c r="Q29" s="2836">
        <f>O29-P29</f>
        <v>0</v>
      </c>
      <c r="R29" s="1803">
        <f>'Д 4_Т на П'!G41</f>
        <v>20.784158534978822</v>
      </c>
      <c r="S29" s="2794">
        <f>'ТЕ_2ст_тариф_без ЦТП'!E160</f>
        <v>20.784158534978818</v>
      </c>
      <c r="T29" s="2784"/>
      <c r="V29" s="2784"/>
      <c r="W29" s="2784"/>
      <c r="X29" s="2784"/>
      <c r="Y29" s="2784"/>
      <c r="Z29" s="2784"/>
      <c r="AA29" s="2784"/>
      <c r="AB29" s="2784"/>
    </row>
    <row r="30" spans="1:28" x14ac:dyDescent="0.25">
      <c r="A30" s="2765" t="s">
        <v>1027</v>
      </c>
      <c r="B30" s="2793">
        <f>H30+L30+R30</f>
        <v>3436.7070083408057</v>
      </c>
      <c r="C30" s="2793">
        <f>I30+M30+S30</f>
        <v>3436.7055601142733</v>
      </c>
      <c r="D30" s="2836">
        <f>B30-C30</f>
        <v>1.4482265323749743E-3</v>
      </c>
      <c r="E30" s="2793">
        <f>H30+O30+R30</f>
        <v>3024.5793351331013</v>
      </c>
      <c r="F30" s="2793">
        <f>I30+P30+S30</f>
        <v>3024.5778869065689</v>
      </c>
      <c r="G30" s="2836">
        <f>E30-F30</f>
        <v>1.4482265323749743E-3</v>
      </c>
      <c r="H30" s="1803">
        <f>'Д 2_Т на В'!T52</f>
        <v>2354.1214482265323</v>
      </c>
      <c r="I30" s="1803">
        <f>'ТЕ_2ст_тариф_з ЦТП'!N77</f>
        <v>2354.12</v>
      </c>
      <c r="J30" s="1803">
        <f>'ТЕ_2ст_тариф_з ЦТП'!N77</f>
        <v>2354.12</v>
      </c>
      <c r="K30" s="2779">
        <f>H30-I30</f>
        <v>1.4482265323749743E-3</v>
      </c>
      <c r="L30" s="1803">
        <f>'Д 3_Т на Т з ЦТП'!J46</f>
        <v>1061.8014015792946</v>
      </c>
      <c r="M30" s="1803">
        <f>'ТЕ_2ст_тариф_з ЦТП'!N121</f>
        <v>1061.8014015792946</v>
      </c>
      <c r="N30" s="2836">
        <f>L30-M30</f>
        <v>0</v>
      </c>
      <c r="O30" s="1803">
        <f>'Д 3.1_Т на Т без ЦТП'!J46</f>
        <v>649.67372837159041</v>
      </c>
      <c r="P30" s="1803">
        <f>'ТЕ_2ст_тариф_без ЦТП'!N121</f>
        <v>649.67372837159041</v>
      </c>
      <c r="Q30" s="2836">
        <f>O30-P30</f>
        <v>0</v>
      </c>
      <c r="R30" s="1803">
        <f>'Д 4_Т на П'!G41</f>
        <v>20.784158534978822</v>
      </c>
      <c r="S30" s="2794">
        <f>'ТЕ_2ст_тариф_без ЦТП'!E160</f>
        <v>20.784158534978818</v>
      </c>
      <c r="T30" s="2784"/>
      <c r="V30" s="2784"/>
      <c r="W30" s="2784"/>
      <c r="X30" s="2784"/>
      <c r="Y30" s="2784"/>
      <c r="Z30" s="2784"/>
      <c r="AA30" s="2784"/>
      <c r="AB30" s="2784"/>
    </row>
    <row r="31" spans="1:28" x14ac:dyDescent="0.25">
      <c r="A31" s="2765" t="s">
        <v>2300</v>
      </c>
      <c r="B31" s="2793">
        <f>H31+L31+R31</f>
        <v>3436.7070083408053</v>
      </c>
      <c r="C31" s="2793">
        <f>I31+M31+S31</f>
        <v>3436.7055601142733</v>
      </c>
      <c r="D31" s="2836">
        <f>B31-C31</f>
        <v>1.448226531920227E-3</v>
      </c>
      <c r="E31" s="2793">
        <f>H31+O31+R31</f>
        <v>3024.5793351331008</v>
      </c>
      <c r="F31" s="2793">
        <f>I31+P31+S31</f>
        <v>3024.5778869065689</v>
      </c>
      <c r="G31" s="2836">
        <f>E31-F31</f>
        <v>1.448226531920227E-3</v>
      </c>
      <c r="H31" s="1803">
        <f>'Д 2_Т на В'!X52</f>
        <v>2354.1214482265318</v>
      </c>
      <c r="I31" s="1803">
        <f>'ТЕ_2ст_тариф_з ЦТП'!Q77</f>
        <v>2354.12</v>
      </c>
      <c r="J31" s="1803">
        <f>'ТЕ_2ст_тариф_з ЦТП'!Q77</f>
        <v>2354.12</v>
      </c>
      <c r="K31" s="2779">
        <f>H31-I31</f>
        <v>1.448226531920227E-3</v>
      </c>
      <c r="L31" s="1803">
        <f>'Д 3_Т на Т з ЦТП'!K46</f>
        <v>1061.8014015792946</v>
      </c>
      <c r="M31" s="1803">
        <f>'ТЕ_2ст_тариф_з ЦТП'!Q121</f>
        <v>1061.8014015792946</v>
      </c>
      <c r="N31" s="2836">
        <f>L31-M31</f>
        <v>0</v>
      </c>
      <c r="O31" s="1803">
        <f>'Д 3.1_Т на Т без ЦТП'!K46</f>
        <v>649.67372837159019</v>
      </c>
      <c r="P31" s="1803">
        <f>'ТЕ_2ст_тариф_без ЦТП'!Q121</f>
        <v>649.67372837159019</v>
      </c>
      <c r="Q31" s="2836">
        <f>O31-P31</f>
        <v>0</v>
      </c>
      <c r="R31" s="1803">
        <f>'Д 4_Т на П'!G41</f>
        <v>20.784158534978822</v>
      </c>
      <c r="S31" s="2794">
        <f>'ТЕ_2ст_тариф_без ЦТП'!E160</f>
        <v>20.784158534978818</v>
      </c>
      <c r="T31" s="2784"/>
      <c r="V31" s="2784"/>
      <c r="W31" s="2784"/>
      <c r="X31" s="2784"/>
      <c r="Y31" s="2784"/>
      <c r="Z31" s="2784"/>
      <c r="AA31" s="2784"/>
      <c r="AB31" s="2784"/>
    </row>
    <row r="32" spans="1:28" ht="13.8" thickBot="1" x14ac:dyDescent="0.3">
      <c r="A32" s="2795"/>
      <c r="B32" s="2796"/>
      <c r="C32" s="2796"/>
      <c r="D32" s="2796"/>
      <c r="E32" s="2796"/>
      <c r="F32" s="2796"/>
      <c r="G32" s="2796"/>
      <c r="H32" s="2774"/>
      <c r="I32" s="2774"/>
      <c r="J32" s="2774"/>
      <c r="K32" s="2774"/>
      <c r="L32" s="2774"/>
      <c r="M32" s="2774"/>
      <c r="N32" s="2774"/>
      <c r="O32" s="2774"/>
      <c r="P32" s="2797"/>
      <c r="Q32" s="2762"/>
    </row>
    <row r="33" spans="1:21" ht="13.8" thickBot="1" x14ac:dyDescent="0.3"/>
    <row r="34" spans="1:21" ht="31.2" customHeight="1" x14ac:dyDescent="0.25">
      <c r="A34" s="5017" t="s">
        <v>3360</v>
      </c>
      <c r="B34" s="4968" t="s">
        <v>1894</v>
      </c>
      <c r="C34" s="4968"/>
      <c r="D34" s="4969"/>
      <c r="E34" s="4970" t="s">
        <v>2648</v>
      </c>
      <c r="F34" s="4968"/>
      <c r="G34" s="4969"/>
      <c r="H34" s="4998" t="s">
        <v>2257</v>
      </c>
      <c r="I34" s="4980"/>
      <c r="J34" s="4999"/>
      <c r="K34" s="4998" t="s">
        <v>2233</v>
      </c>
      <c r="L34" s="4980"/>
      <c r="M34" s="4999"/>
      <c r="N34" s="4979" t="s">
        <v>2829</v>
      </c>
      <c r="O34" s="4980"/>
      <c r="P34" s="4981"/>
      <c r="Q34" s="2784"/>
      <c r="R34" s="2784"/>
      <c r="S34" s="2784"/>
      <c r="T34" s="2784"/>
      <c r="U34" s="2784"/>
    </row>
    <row r="35" spans="1:21" ht="27" thickBot="1" x14ac:dyDescent="0.3">
      <c r="A35" s="5018"/>
      <c r="B35" s="2786" t="s">
        <v>2391</v>
      </c>
      <c r="C35" s="2764" t="s">
        <v>2390</v>
      </c>
      <c r="D35" s="2787" t="s">
        <v>2643</v>
      </c>
      <c r="E35" s="2763" t="s">
        <v>2391</v>
      </c>
      <c r="F35" s="2764" t="s">
        <v>2390</v>
      </c>
      <c r="G35" s="2790" t="s">
        <v>2643</v>
      </c>
      <c r="H35" s="2763" t="s">
        <v>2391</v>
      </c>
      <c r="I35" s="2764" t="s">
        <v>2390</v>
      </c>
      <c r="J35" s="2790" t="s">
        <v>2643</v>
      </c>
      <c r="K35" s="2763" t="s">
        <v>2391</v>
      </c>
      <c r="L35" s="2764" t="s">
        <v>2390</v>
      </c>
      <c r="M35" s="2790" t="s">
        <v>2643</v>
      </c>
      <c r="N35" s="2821" t="s">
        <v>2391</v>
      </c>
      <c r="O35" s="2764" t="s">
        <v>2390</v>
      </c>
      <c r="P35" s="2908" t="s">
        <v>2643</v>
      </c>
      <c r="Q35" s="2784"/>
      <c r="R35" s="2784"/>
    </row>
    <row r="36" spans="1:21" x14ac:dyDescent="0.25">
      <c r="A36" s="2792" t="s">
        <v>1890</v>
      </c>
      <c r="B36" s="1803">
        <f>'Д 2_Т на В'!H43</f>
        <v>155406.25959820245</v>
      </c>
      <c r="C36" s="1803">
        <f>'ТЕ_2ст_тариф_з ЦТП'!E68</f>
        <v>155406.25959820251</v>
      </c>
      <c r="D36" s="2798">
        <f>B36-C36</f>
        <v>0</v>
      </c>
      <c r="E36" s="1803">
        <f>'Д 3_Т на Т з ЦТП'!G37-'Д 3_Т на Т з ЦТП'!G17</f>
        <v>12665.90559299276</v>
      </c>
      <c r="F36" s="1803">
        <f>'ТЕ_2ст_тариф_з ЦТП'!E112-'ТЕ_2ст_тариф_з ЦТП'!E92</f>
        <v>12665.90559299276</v>
      </c>
      <c r="G36" s="2798">
        <f>E36-F36</f>
        <v>0</v>
      </c>
      <c r="H36" s="1803">
        <f>'Д 3.1_Т на Т без ЦТП'!G37-'Д 3.1_Т на Т без ЦТП'!G17</f>
        <v>33146.815909903205</v>
      </c>
      <c r="I36" s="1803">
        <f>'ТЕ_2ст_тариф_без ЦТП'!E112-'ТЕ_2ст_тариф_без ЦТП'!E92</f>
        <v>33146.815909903205</v>
      </c>
      <c r="J36" s="2798">
        <f>H36-I36</f>
        <v>0</v>
      </c>
      <c r="K36" s="1803">
        <f>'Д 4_Т на П'!G32</f>
        <v>1962.4451296989496</v>
      </c>
      <c r="L36" s="2794">
        <f>'ТЕ_2ст_тариф_без ЦТП'!E151</f>
        <v>1962.4451296989496</v>
      </c>
      <c r="M36" s="2798">
        <f>H36+K36-I36-L36</f>
        <v>0</v>
      </c>
      <c r="N36" s="2805">
        <f>B36+E36+H36+K36</f>
        <v>203181.42623079737</v>
      </c>
      <c r="O36" s="2805">
        <f>C36+F36+I36+L36</f>
        <v>203181.42623079743</v>
      </c>
      <c r="P36" s="4474">
        <f>N36-O36</f>
        <v>0</v>
      </c>
    </row>
    <row r="37" spans="1:21" x14ac:dyDescent="0.25">
      <c r="A37" s="2765" t="s">
        <v>3</v>
      </c>
      <c r="B37" s="1803">
        <f>'Д 2_Т на В'!L43</f>
        <v>113998.7733449282</v>
      </c>
      <c r="C37" s="1803">
        <f>'ТЕ_2ст_тариф_з ЦТП'!H68</f>
        <v>113992.57640125134</v>
      </c>
      <c r="D37" s="2798">
        <f>B37-C37</f>
        <v>6.1969436768558808</v>
      </c>
      <c r="E37" s="1803">
        <f>'Д 3_Т на Т з ЦТП'!H37-'Д 3_Т на Т з ЦТП'!H17</f>
        <v>10525.379501856263</v>
      </c>
      <c r="F37" s="1803">
        <f>'ТЕ_2ст_тариф_з ЦТП'!H112-'ТЕ_2ст_тариф_з ЦТП'!H92</f>
        <v>10525.397414540603</v>
      </c>
      <c r="G37" s="2798">
        <f t="shared" ref="G37:G40" si="6">E37-F37</f>
        <v>-1.791268433953519E-2</v>
      </c>
      <c r="H37" s="1803">
        <f>'Д 3.1_Т на Т без ЦТП'!H37-'Д 3.1_Т на Т без ЦТП'!H17</f>
        <v>27524.882554632983</v>
      </c>
      <c r="I37" s="1803">
        <f>'ТЕ_2ст_тариф_без ЦТП'!H112-'ТЕ_2ст_тариф_без ЦТП'!H92</f>
        <v>27524.892382280334</v>
      </c>
      <c r="J37" s="2798">
        <f t="shared" ref="J37:J40" si="7">H37-I37</f>
        <v>-9.8276473509031348E-3</v>
      </c>
      <c r="K37" s="1803">
        <f>'Д 4_Т на П'!H32</f>
        <v>1629.7992603276227</v>
      </c>
      <c r="L37" s="2794">
        <f>'ТЕ_2ст_тариф_з ЦТП'!H151</f>
        <v>1629.8006780334308</v>
      </c>
      <c r="M37" s="2798">
        <f>H37+K37-I37-L37</f>
        <v>-1.124535316012043E-2</v>
      </c>
      <c r="N37" s="2805">
        <f t="shared" ref="N37:N40" si="8">B37+E37+H37+K37</f>
        <v>153678.83466174506</v>
      </c>
      <c r="O37" s="2805">
        <f t="shared" ref="O37:O40" si="9">C37+F37+I37+L37</f>
        <v>153672.66687610571</v>
      </c>
      <c r="P37" s="4474">
        <f>N37-O37</f>
        <v>6.1677856393507682</v>
      </c>
    </row>
    <row r="38" spans="1:21" x14ac:dyDescent="0.25">
      <c r="A38" s="2765" t="s">
        <v>2649</v>
      </c>
      <c r="B38" s="1803">
        <f>'Д 2_Т на В'!P43</f>
        <v>32.85467602091969</v>
      </c>
      <c r="C38" s="1803">
        <f>'ТЕ_2ст_тариф_з ЦТП'!K68</f>
        <v>32.861332727337462</v>
      </c>
      <c r="D38" s="2798">
        <f>B38-C38</f>
        <v>-6.6567064177718294E-3</v>
      </c>
      <c r="E38" s="1803">
        <f>'Д 3_Т на Т з ЦТП'!I37</f>
        <v>0</v>
      </c>
      <c r="F38" s="1803">
        <f>'ТЕ_2ст_тариф_з ЦТП'!K112-'ТЕ_2ст_тариф_з ЦТП'!K92</f>
        <v>0</v>
      </c>
      <c r="G38" s="2798">
        <f t="shared" si="6"/>
        <v>0</v>
      </c>
      <c r="H38" s="1803">
        <f>'Д 3.1_Т на Т без ЦТП'!I37-'Д 3.1_Т на Т без ЦТП'!I17</f>
        <v>5.3502078044933388</v>
      </c>
      <c r="I38" s="1803">
        <f>'ТЕ_2ст_тариф_без ЦТП'!K112-'ТЕ_2ст_тариф_без ЦТП'!K92</f>
        <v>5.3501984518468024</v>
      </c>
      <c r="J38" s="2798">
        <f t="shared" si="7"/>
        <v>9.3526465363424904E-6</v>
      </c>
      <c r="K38" s="1803">
        <f>'Д 4_Т на П'!I32</f>
        <v>0.26402117282483878</v>
      </c>
      <c r="L38" s="2794">
        <f>'ТЕ_2ст_тариф_з ЦТП'!K151</f>
        <v>0.26402004759111519</v>
      </c>
      <c r="M38" s="2798">
        <f>H38+K38-I38-L38</f>
        <v>1.0477880259651684E-5</v>
      </c>
      <c r="N38" s="2805">
        <f t="shared" si="8"/>
        <v>38.468904998237868</v>
      </c>
      <c r="O38" s="2805">
        <f t="shared" si="9"/>
        <v>38.47555122677538</v>
      </c>
      <c r="P38" s="4474">
        <f>N38-O38</f>
        <v>-6.6462285375123997E-3</v>
      </c>
    </row>
    <row r="39" spans="1:21" x14ac:dyDescent="0.25">
      <c r="A39" s="1814" t="s">
        <v>1027</v>
      </c>
      <c r="B39" s="1803">
        <f>'Д 2_Т на В'!T43</f>
        <v>30941.79784191935</v>
      </c>
      <c r="C39" s="1803">
        <f>'ТЕ_2ст_тариф_з ЦТП'!N68</f>
        <v>30948.786695328279</v>
      </c>
      <c r="D39" s="2798">
        <f>B39-C39</f>
        <v>-6.9888534089295717</v>
      </c>
      <c r="E39" s="1803">
        <f>'Д 3_Т на Т з ЦТП'!J37-'Д 3_Т на Т з ЦТП'!J17</f>
        <v>1548.1623097669592</v>
      </c>
      <c r="F39" s="1803">
        <f>'ТЕ_2ст_тариф_з ЦТП'!N112-'ТЕ_2ст_тариф_з ЦТП'!N92</f>
        <v>1548.1493541936197</v>
      </c>
      <c r="G39" s="2798">
        <f t="shared" si="6"/>
        <v>1.2955573339468174E-2</v>
      </c>
      <c r="H39" s="1803">
        <f>'Д 3.1_Т на Т без ЦТП'!J37-'Д 3.1_Т на Т без ЦТП'!J17</f>
        <v>4230.1471886018662</v>
      </c>
      <c r="I39" s="1803">
        <f>'ТЕ_2ст_тариф_без ЦТП'!N112-'ТЕ_2ст_тариф_без ЦТП'!N92</f>
        <v>4230.1397939224598</v>
      </c>
      <c r="J39" s="2798">
        <f t="shared" si="7"/>
        <v>7.3946794063886045E-3</v>
      </c>
      <c r="K39" s="1803">
        <f>'Д 4_Т на П'!J32</f>
        <v>248.68400143570923</v>
      </c>
      <c r="L39" s="2794">
        <f>'ТЕ_2ст_тариф_з ЦТП'!N151</f>
        <v>248.682941567586</v>
      </c>
      <c r="M39" s="2798">
        <f>H39+K39-I39-L39</f>
        <v>8.4545475298227757E-3</v>
      </c>
      <c r="N39" s="2805">
        <f t="shared" si="8"/>
        <v>36968.791341723881</v>
      </c>
      <c r="O39" s="2805">
        <f t="shared" si="9"/>
        <v>36975.758785011953</v>
      </c>
      <c r="P39" s="4474">
        <f>N39-O39</f>
        <v>-6.967443288071081</v>
      </c>
    </row>
    <row r="40" spans="1:21" x14ac:dyDescent="0.25">
      <c r="A40" s="1814" t="s">
        <v>2300</v>
      </c>
      <c r="B40" s="1803">
        <f>'Д 2_Т на В'!X43</f>
        <v>10432.833735333999</v>
      </c>
      <c r="C40" s="1803">
        <f>'ТЕ_2ст_тариф_з ЦТП'!Q68</f>
        <v>10432.035168895502</v>
      </c>
      <c r="D40" s="2798">
        <f>B40-C40</f>
        <v>0.79856643849780085</v>
      </c>
      <c r="E40" s="1803">
        <f>'Д 3_Т на Т з ЦТП'!K37-'Д 3_Т на Т з ЦТП'!K17</f>
        <v>592.36378136953579</v>
      </c>
      <c r="F40" s="1803">
        <f>'ТЕ_2ст_тариф_з ЦТП'!Q112-'ТЕ_2ст_тариф_з ЦТП'!Q92</f>
        <v>592.3588242585372</v>
      </c>
      <c r="G40" s="2798">
        <f t="shared" si="6"/>
        <v>4.9571109985890871E-3</v>
      </c>
      <c r="H40" s="1803">
        <f>'Д 3.1_Т на Т без ЦТП'!K37-'Д 3.1_Т на Т без ЦТП'!K17</f>
        <v>1386.4359588638654</v>
      </c>
      <c r="I40" s="1803">
        <f>'ТЕ_2ст_тариф_без ЦТП'!Q112-'ТЕ_2ст_тариф_без ЦТП'!Q92</f>
        <v>1386.4335352485691</v>
      </c>
      <c r="J40" s="2798">
        <f t="shared" si="7"/>
        <v>2.4236152962657798E-3</v>
      </c>
      <c r="K40" s="1803">
        <f>'Д 4_Т на П'!K32</f>
        <v>83.697846762792807</v>
      </c>
      <c r="L40" s="2794">
        <f>'ТЕ_2ст_тариф_з ЦТП'!Q151</f>
        <v>83.697490050341457</v>
      </c>
      <c r="M40" s="2798">
        <f>H40+K40-I40-L40</f>
        <v>2.7803277475868526E-3</v>
      </c>
      <c r="N40" s="2805">
        <f t="shared" si="8"/>
        <v>12495.331322330192</v>
      </c>
      <c r="O40" s="2805">
        <f t="shared" si="9"/>
        <v>12494.525018452949</v>
      </c>
      <c r="P40" s="4474">
        <f>N40-O40</f>
        <v>0.80630387724340835</v>
      </c>
    </row>
    <row r="41" spans="1:21" s="2762" customFormat="1" ht="13.8" thickBot="1" x14ac:dyDescent="0.3">
      <c r="B41" s="2799">
        <f>B36-B37-B38-B39-B40</f>
        <v>-1.4551915228366852E-11</v>
      </c>
      <c r="C41" s="2799">
        <f t="shared" ref="C41:L41" si="10">C36-C37-C38-C39-C40</f>
        <v>5.4569682106375694E-11</v>
      </c>
      <c r="D41" s="2799">
        <f t="shared" si="10"/>
        <v>-6.3380412029800937E-12</v>
      </c>
      <c r="E41" s="2799">
        <f t="shared" si="10"/>
        <v>1.7053025658242404E-12</v>
      </c>
      <c r="F41" s="2799">
        <f t="shared" si="10"/>
        <v>0</v>
      </c>
      <c r="G41" s="4473">
        <f t="shared" ref="G41" si="11">G36-G37-G38-G39-G40</f>
        <v>1.4779288903810084E-12</v>
      </c>
      <c r="H41" s="2799">
        <f t="shared" si="10"/>
        <v>-1.8189894035458565E-12</v>
      </c>
      <c r="I41" s="2799">
        <f t="shared" si="10"/>
        <v>-4.0927261579781771E-12</v>
      </c>
      <c r="J41" s="4473">
        <f t="shared" si="10"/>
        <v>1.7124079931818414E-12</v>
      </c>
      <c r="K41" s="2799">
        <f t="shared" si="10"/>
        <v>0</v>
      </c>
      <c r="L41" s="2799">
        <f t="shared" si="10"/>
        <v>2.2737367544323206E-13</v>
      </c>
      <c r="M41" s="4473">
        <f t="shared" ref="M41" si="12">M36-M37-M38-M39-M40</f>
        <v>2.4511503937674206E-12</v>
      </c>
      <c r="N41" s="2823">
        <f>N36-N37-N38-N39-N40</f>
        <v>0</v>
      </c>
      <c r="O41" s="2799">
        <f>O36-O37-O38-O39-O40</f>
        <v>4.5474735088646412E-11</v>
      </c>
      <c r="P41" s="4475">
        <f>P36-P37-P38-P39-P40</f>
        <v>1.4416912108572433E-11</v>
      </c>
    </row>
    <row r="42" spans="1:21" ht="13.8" thickBot="1" x14ac:dyDescent="0.3">
      <c r="B42" s="5004">
        <f>B36-C36</f>
        <v>0</v>
      </c>
      <c r="C42" s="5005"/>
      <c r="E42" s="4984">
        <f>E36-F36</f>
        <v>0</v>
      </c>
      <c r="F42" s="4985"/>
      <c r="G42" s="4984"/>
      <c r="H42" s="4985"/>
      <c r="I42" s="4984"/>
      <c r="J42" s="4985"/>
      <c r="K42" s="2776"/>
    </row>
    <row r="43" spans="1:21" ht="13.2" customHeight="1" x14ac:dyDescent="0.25">
      <c r="A43" s="5015" t="s">
        <v>22</v>
      </c>
      <c r="B43" s="4968" t="s">
        <v>3354</v>
      </c>
      <c r="C43" s="4968"/>
      <c r="D43" s="4969"/>
      <c r="E43" s="4970" t="s">
        <v>2648</v>
      </c>
      <c r="F43" s="4968"/>
      <c r="G43" s="4969"/>
      <c r="H43" s="4998" t="s">
        <v>2257</v>
      </c>
      <c r="I43" s="4980"/>
      <c r="J43" s="4980"/>
      <c r="K43" s="4989" t="s">
        <v>2233</v>
      </c>
      <c r="L43" s="4982"/>
      <c r="M43" s="4983"/>
      <c r="N43" s="2888"/>
      <c r="O43" s="2889"/>
      <c r="P43" s="2890"/>
    </row>
    <row r="44" spans="1:21" ht="27" thickBot="1" x14ac:dyDescent="0.3">
      <c r="A44" s="5016"/>
      <c r="B44" s="2786" t="s">
        <v>2391</v>
      </c>
      <c r="C44" s="2764" t="s">
        <v>2390</v>
      </c>
      <c r="D44" s="2787" t="s">
        <v>2643</v>
      </c>
      <c r="E44" s="2763" t="s">
        <v>2391</v>
      </c>
      <c r="F44" s="2764" t="s">
        <v>2390</v>
      </c>
      <c r="G44" s="2787" t="s">
        <v>2643</v>
      </c>
      <c r="H44" s="2763" t="s">
        <v>2391</v>
      </c>
      <c r="I44" s="2764" t="s">
        <v>2390</v>
      </c>
      <c r="J44" s="4476" t="s">
        <v>2643</v>
      </c>
      <c r="K44" s="2821" t="s">
        <v>2391</v>
      </c>
      <c r="L44" s="2764" t="s">
        <v>2390</v>
      </c>
      <c r="M44" s="2804" t="s">
        <v>2643</v>
      </c>
      <c r="N44" s="2821" t="s">
        <v>2730</v>
      </c>
      <c r="O44" s="2763" t="s">
        <v>2828</v>
      </c>
      <c r="P44" s="4478" t="s">
        <v>2828</v>
      </c>
    </row>
    <row r="45" spans="1:21" x14ac:dyDescent="0.25">
      <c r="A45" s="2792" t="s">
        <v>2223</v>
      </c>
      <c r="B45" s="1803">
        <f>'Д 2_Т на В'!H58</f>
        <v>108675.53267624618</v>
      </c>
      <c r="C45" s="1803">
        <f>'ТЕ_2ст_тариф_з ЦТП'!E30*1000</f>
        <v>108675.53267624618</v>
      </c>
      <c r="D45" s="2837">
        <f>B45-C45</f>
        <v>0</v>
      </c>
      <c r="E45" s="2798">
        <f>'Д 3_Т на Т з ЦТП'!G56</f>
        <v>16448.213425432205</v>
      </c>
      <c r="F45" s="2798">
        <f>'ТЕ_2ст_тариф_з ЦТП'!E15*1000</f>
        <v>16448.213425432205</v>
      </c>
      <c r="G45" s="2798">
        <f>E45-F45</f>
        <v>0</v>
      </c>
      <c r="H45" s="1803">
        <f>'Д 3.1_Т на Т без ЦТП'!G56</f>
        <v>82347.593266686672</v>
      </c>
      <c r="I45" s="1803">
        <f>'ТЕ_2ст_тариф_без ЦТП'!E16*1000</f>
        <v>82347.593266686672</v>
      </c>
      <c r="J45" s="4477">
        <f>H45-I45</f>
        <v>0</v>
      </c>
      <c r="K45" s="2805">
        <f>'Д 4_Т на П'!G42</f>
        <v>98795.806692118887</v>
      </c>
      <c r="L45" s="1803">
        <f>'ТЕ_2ст_тариф_з ЦТП'!E14*1000</f>
        <v>98795.806692118902</v>
      </c>
      <c r="M45" s="2816">
        <f>K45-L45</f>
        <v>0</v>
      </c>
      <c r="N45" s="4479">
        <f>SUM(N46:N49)</f>
        <v>1</v>
      </c>
      <c r="O45" s="3211">
        <f>SUM(O46:O49)</f>
        <v>1</v>
      </c>
      <c r="P45" s="2806">
        <f>SUM(P46:P49)</f>
        <v>1</v>
      </c>
    </row>
    <row r="46" spans="1:21" x14ac:dyDescent="0.25">
      <c r="A46" s="2765" t="s">
        <v>3</v>
      </c>
      <c r="B46" s="1803">
        <f>'Д 2_Т на В'!L58</f>
        <v>90271.057497103626</v>
      </c>
      <c r="C46" s="1803">
        <f>'ТЕ_2ст_тариф_без ЦТП'!H30*1000</f>
        <v>90271.057497103626</v>
      </c>
      <c r="D46" s="2837">
        <f>B46-C46</f>
        <v>0</v>
      </c>
      <c r="E46" s="2798">
        <f>'Д 3_Т на Т з ЦТП'!G57</f>
        <v>13668.480880354855</v>
      </c>
      <c r="F46" s="2798">
        <f>'ТЕ_2ст_тариф_з ЦТП'!H15*1000</f>
        <v>13668.480880354855</v>
      </c>
      <c r="G46" s="2798">
        <f>E46-F46</f>
        <v>0</v>
      </c>
      <c r="H46" s="1803">
        <f>'Д 3.1_Т на Т без ЦТП'!G57</f>
        <v>68380.861663549615</v>
      </c>
      <c r="I46" s="1803">
        <f>'ТЕ_2ст_тариф_без ЦТП'!H16*1000</f>
        <v>68380.861663549615</v>
      </c>
      <c r="J46" s="4477">
        <f>H46-I46</f>
        <v>0</v>
      </c>
      <c r="K46" s="2805">
        <f>'Д 4_Т на П'!G43</f>
        <v>82049.34254390448</v>
      </c>
      <c r="L46" s="1803">
        <f>'ТЕ_2ст_тариф_з ЦТП'!H14*1000</f>
        <v>82049.34254390448</v>
      </c>
      <c r="M46" s="2816">
        <f>K46-L46</f>
        <v>0</v>
      </c>
      <c r="N46" s="4479">
        <f>C46/C45</f>
        <v>0.83064748130592492</v>
      </c>
      <c r="O46" s="3211">
        <f>E46/E$45</f>
        <v>0.83100094379980927</v>
      </c>
      <c r="P46" s="2806">
        <f>H46/H$45</f>
        <v>0.83039295929505652</v>
      </c>
    </row>
    <row r="47" spans="1:21" x14ac:dyDescent="0.25">
      <c r="A47" s="2765" t="s">
        <v>2649</v>
      </c>
      <c r="B47" s="1803">
        <f>'Д 2_Т на В'!P58</f>
        <v>14.602989074179138</v>
      </c>
      <c r="C47" s="1803">
        <f>'ТЕ_2ст_тариф_без ЦТП'!K30*1000</f>
        <v>14.602989074179138</v>
      </c>
      <c r="D47" s="2837">
        <f>B47-C47</f>
        <v>0</v>
      </c>
      <c r="E47" s="2798">
        <f>'Д 3_Т на Т з ЦТП'!G58</f>
        <v>0</v>
      </c>
      <c r="F47" s="2798">
        <f>'ТЕ_2ст_тариф_з ЦТП'!K15*1000</f>
        <v>0</v>
      </c>
      <c r="G47" s="2798">
        <f>E47-F47</f>
        <v>0</v>
      </c>
      <c r="H47" s="1803">
        <f>'Д 3.1_Т на Т без ЦТП'!G58</f>
        <v>13.291675959893333</v>
      </c>
      <c r="I47" s="1803">
        <f>'ТЕ_2ст_тариф_без ЦТП'!K16*1000</f>
        <v>13.291675959893333</v>
      </c>
      <c r="J47" s="4477">
        <f>H47-I47</f>
        <v>0</v>
      </c>
      <c r="K47" s="2805">
        <f>'Д 4_Т на П'!G44</f>
        <v>13.291675959893333</v>
      </c>
      <c r="L47" s="1803">
        <f>'ТЕ_2ст_тариф_з ЦТП'!K14*1000</f>
        <v>13.291675959893333</v>
      </c>
      <c r="M47" s="2816">
        <f>K47-L47</f>
        <v>0</v>
      </c>
      <c r="N47" s="4479">
        <f>C47/C45</f>
        <v>1.3437237172494665E-4</v>
      </c>
      <c r="O47" s="3211">
        <f>E47/E$45</f>
        <v>0</v>
      </c>
      <c r="P47" s="2806">
        <f>H47/H$45</f>
        <v>1.6140940412001593E-4</v>
      </c>
    </row>
    <row r="48" spans="1:21" x14ac:dyDescent="0.25">
      <c r="A48" s="1814" t="s">
        <v>1027</v>
      </c>
      <c r="B48" s="1803">
        <f>'Д 2_Т на В'!T58</f>
        <v>13752.767963175285</v>
      </c>
      <c r="C48" s="1803">
        <f>'ТЕ_2ст_тариф_без ЦТП'!N30*1000</f>
        <v>13752.767963175285</v>
      </c>
      <c r="D48" s="2837">
        <f>B48-C48</f>
        <v>0</v>
      </c>
      <c r="E48" s="2798">
        <f>'Д 3_Т на Т з ЦТП'!G59</f>
        <v>2010.4763849135998</v>
      </c>
      <c r="F48" s="2798">
        <f>'ТЕ_2ст_тариф_з ЦТП'!N15*1000</f>
        <v>2010.4763849135998</v>
      </c>
      <c r="G48" s="2798">
        <f>E48-F48</f>
        <v>0</v>
      </c>
      <c r="H48" s="1803">
        <f>'Д 3.1_Т на Т без ЦТП'!G59</f>
        <v>10509.076983202205</v>
      </c>
      <c r="I48" s="1803">
        <f>'ТЕ_2ст_тариф_без ЦТП'!N16*1000</f>
        <v>10509.076983202205</v>
      </c>
      <c r="J48" s="4477">
        <f>H48-I48</f>
        <v>0</v>
      </c>
      <c r="K48" s="2805">
        <f>'Д 4_Т на П'!G45</f>
        <v>12519.553368115807</v>
      </c>
      <c r="L48" s="1803">
        <f>'ТЕ_2ст_тариф_з ЦТП'!N14*1000</f>
        <v>12519.553368115807</v>
      </c>
      <c r="M48" s="2816">
        <f>K48-L48</f>
        <v>0</v>
      </c>
      <c r="N48" s="4479">
        <f>C48/C45</f>
        <v>0.12654888938199155</v>
      </c>
      <c r="O48" s="3211">
        <f>E48/E$45</f>
        <v>0.1222306844465554</v>
      </c>
      <c r="P48" s="2806">
        <f>H48/H$45</f>
        <v>0.12761850791641294</v>
      </c>
    </row>
    <row r="49" spans="1:18" x14ac:dyDescent="0.25">
      <c r="A49" s="1814" t="s">
        <v>2300</v>
      </c>
      <c r="B49" s="1803">
        <f>'Д 2_Т на В'!X58</f>
        <v>4637.1042268930923</v>
      </c>
      <c r="C49" s="1803">
        <f>'ТЕ_2ст_тариф_без ЦТП'!Q30*1000</f>
        <v>4637.1042268930923</v>
      </c>
      <c r="D49" s="2837">
        <f>B49-C49</f>
        <v>0</v>
      </c>
      <c r="E49" s="2798">
        <f>'Д 3_Т на Т з ЦТП'!G60</f>
        <v>769.25616016375079</v>
      </c>
      <c r="F49" s="2798">
        <f>'ТЕ_2ст_тариф_з ЦТП'!Q15*1000</f>
        <v>769.25616016375079</v>
      </c>
      <c r="G49" s="2798">
        <f>E49-F49</f>
        <v>0</v>
      </c>
      <c r="H49" s="1803">
        <f>'Д 3.1_Т на Т без ЦТП'!G60</f>
        <v>3444.362943974962</v>
      </c>
      <c r="I49" s="1803">
        <f>'ТЕ_2ст_тариф_без ЦТП'!Q16*1000</f>
        <v>3444.362943974962</v>
      </c>
      <c r="J49" s="4477">
        <f>H49-I49</f>
        <v>0</v>
      </c>
      <c r="K49" s="2805">
        <f>'Д 4_Т на П'!G46</f>
        <v>4213.6191041387128</v>
      </c>
      <c r="L49" s="1803">
        <f>'ТЕ_2ст_тариф_з ЦТП'!Q14*1000</f>
        <v>4213.6191041387128</v>
      </c>
      <c r="M49" s="2816">
        <f>K49-L49</f>
        <v>0</v>
      </c>
      <c r="N49" s="4479">
        <f>C49/C45</f>
        <v>4.2669256940358669E-2</v>
      </c>
      <c r="O49" s="3211">
        <f>E49/E$45</f>
        <v>4.6768371753635442E-2</v>
      </c>
      <c r="P49" s="2806">
        <f>H49/H$45</f>
        <v>4.1827123384410587E-2</v>
      </c>
    </row>
    <row r="50" spans="1:18" ht="13.8" thickBot="1" x14ac:dyDescent="0.3">
      <c r="A50" s="2762"/>
      <c r="B50" s="2799">
        <f t="shared" ref="B50:M50" si="13">B45-B46-B47-B48-B49</f>
        <v>0</v>
      </c>
      <c r="C50" s="2799">
        <f t="shared" si="13"/>
        <v>0</v>
      </c>
      <c r="D50" s="2799">
        <f t="shared" si="13"/>
        <v>0</v>
      </c>
      <c r="E50" s="2799">
        <f t="shared" si="13"/>
        <v>-9.0949470177292824E-13</v>
      </c>
      <c r="F50" s="2799">
        <f t="shared" si="13"/>
        <v>-9.0949470177292824E-13</v>
      </c>
      <c r="G50" s="2799">
        <f t="shared" si="13"/>
        <v>0</v>
      </c>
      <c r="H50" s="2799">
        <f t="shared" si="13"/>
        <v>-3.637978807091713E-12</v>
      </c>
      <c r="I50" s="2799">
        <f t="shared" si="13"/>
        <v>-3.637978807091713E-12</v>
      </c>
      <c r="J50" s="2906">
        <f t="shared" si="13"/>
        <v>0</v>
      </c>
      <c r="K50" s="2823">
        <f t="shared" si="13"/>
        <v>0</v>
      </c>
      <c r="L50" s="2799">
        <f t="shared" si="13"/>
        <v>1.0004441719502211E-11</v>
      </c>
      <c r="M50" s="2812">
        <f t="shared" si="13"/>
        <v>0</v>
      </c>
      <c r="N50" s="2893"/>
      <c r="O50" s="2894"/>
      <c r="P50" s="2895"/>
    </row>
    <row r="51" spans="1:18" ht="13.8" thickBot="1" x14ac:dyDescent="0.3"/>
    <row r="52" spans="1:18" x14ac:dyDescent="0.25">
      <c r="A52" s="5013" t="s">
        <v>2729</v>
      </c>
      <c r="B52" s="4968" t="s">
        <v>1894</v>
      </c>
      <c r="C52" s="4968"/>
      <c r="D52" s="4969"/>
      <c r="E52" s="4995" t="s">
        <v>2648</v>
      </c>
      <c r="F52" s="4995"/>
      <c r="G52" s="4982" t="s">
        <v>2257</v>
      </c>
      <c r="H52" s="4982"/>
      <c r="I52" s="4982" t="s">
        <v>2233</v>
      </c>
      <c r="J52" s="4998"/>
      <c r="K52" s="2888"/>
      <c r="L52" s="2889"/>
      <c r="M52" s="2890"/>
    </row>
    <row r="53" spans="1:18" ht="27" thickBot="1" x14ac:dyDescent="0.3">
      <c r="A53" s="5014"/>
      <c r="B53" s="2786" t="s">
        <v>2391</v>
      </c>
      <c r="C53" s="2764" t="s">
        <v>2390</v>
      </c>
      <c r="D53" s="2800" t="s">
        <v>2643</v>
      </c>
      <c r="E53" s="2763" t="s">
        <v>2391</v>
      </c>
      <c r="F53" s="2764" t="s">
        <v>2390</v>
      </c>
      <c r="G53" s="2763" t="s">
        <v>2391</v>
      </c>
      <c r="H53" s="2764" t="s">
        <v>2390</v>
      </c>
      <c r="I53" s="2763" t="s">
        <v>2391</v>
      </c>
      <c r="J53" s="2875" t="s">
        <v>2390</v>
      </c>
      <c r="K53" s="2821" t="s">
        <v>2730</v>
      </c>
      <c r="L53" s="2763" t="s">
        <v>2828</v>
      </c>
      <c r="M53" s="4478" t="s">
        <v>2828</v>
      </c>
    </row>
    <row r="54" spans="1:18" x14ac:dyDescent="0.25">
      <c r="A54" s="2792" t="s">
        <v>1890</v>
      </c>
      <c r="B54" s="1803">
        <f>'Д 7_РП'!G95-'Д 7_РП'!G112</f>
        <v>71.594076517062135</v>
      </c>
      <c r="C54" s="1803">
        <f>'ТЕ_2ст_тариф_з ЦТП'!E17</f>
        <v>71.594076517000005</v>
      </c>
      <c r="D54" s="2798">
        <f>B54-C54</f>
        <v>6.212985681486316E-11</v>
      </c>
      <c r="E54" s="1803">
        <f>SUM(E55:E58)</f>
        <v>11.919578167000001</v>
      </c>
      <c r="F54" s="1803">
        <f>'ТЕ_2ст_тариф_з ЦТП'!E18</f>
        <v>11.919578167000001</v>
      </c>
      <c r="G54" s="1803">
        <f>SUM(G55:G58)</f>
        <v>59.674498350062137</v>
      </c>
      <c r="H54" s="1803">
        <f>'ТЕ_2ст_тариф_з ЦТП'!G19</f>
        <v>59.674498350062137</v>
      </c>
      <c r="I54" s="1803">
        <f>B54</f>
        <v>71.594076517062135</v>
      </c>
      <c r="J54" s="2905">
        <f>'ТЕ_2ст_тариф_з ЦТП'!E17</f>
        <v>71.594076517000005</v>
      </c>
      <c r="K54" s="4479">
        <f>SUM(K55:K58)</f>
        <v>0.99999999999999989</v>
      </c>
      <c r="L54" s="3211">
        <f>SUM(L55:L58)</f>
        <v>1</v>
      </c>
      <c r="M54" s="2806">
        <f>SUM(M55:M58)</f>
        <v>1</v>
      </c>
      <c r="O54" s="2784">
        <f>G54+E54-B54</f>
        <v>0</v>
      </c>
    </row>
    <row r="55" spans="1:18" x14ac:dyDescent="0.25">
      <c r="A55" s="2765" t="s">
        <v>3</v>
      </c>
      <c r="B55" s="1803">
        <f>'Д 7_РП'!G96</f>
        <v>59.458515647062136</v>
      </c>
      <c r="C55" s="1803">
        <f>'ТЕ_2ст_тариф_з ЦТП'!H17</f>
        <v>59.458515646999999</v>
      </c>
      <c r="D55" s="2798">
        <f>B55-C55</f>
        <v>6.2136962242220761E-11</v>
      </c>
      <c r="E55" s="1803">
        <f>'Д 7_РП'!G97</f>
        <v>9.9052058670000012</v>
      </c>
      <c r="F55" s="1803">
        <f>'ТЕ_2ст_тариф_з ЦТП'!H18</f>
        <v>9.9052058670000012</v>
      </c>
      <c r="G55" s="1803">
        <f>'Д 7_РП'!G100</f>
        <v>49.553309780062136</v>
      </c>
      <c r="H55" s="1803">
        <f>'ТЕ_2ст_тариф_з ЦТП'!J19</f>
        <v>49.553309780062136</v>
      </c>
      <c r="I55" s="1803">
        <f>B55</f>
        <v>59.458515647062136</v>
      </c>
      <c r="J55" s="2905">
        <f>'ТЕ_2ст_тариф_з ЦТП'!H17</f>
        <v>59.458515646999999</v>
      </c>
      <c r="K55" s="4479">
        <f>C55/C54</f>
        <v>0.83049490320447927</v>
      </c>
      <c r="L55" s="3211">
        <f>E55/E$54</f>
        <v>0.83100305465700974</v>
      </c>
      <c r="M55" s="2806">
        <f>G55/G$54</f>
        <v>0.83039340338267864</v>
      </c>
    </row>
    <row r="56" spans="1:18" x14ac:dyDescent="0.25">
      <c r="A56" s="2765" t="s">
        <v>2649</v>
      </c>
      <c r="B56" s="1803">
        <f>'Д 7_РП'!G103</f>
        <v>9.6319999999999999E-3</v>
      </c>
      <c r="C56" s="1803">
        <f>'ТЕ_2ст_тариф_з ЦТП'!K17</f>
        <v>9.6319999999999999E-3</v>
      </c>
      <c r="D56" s="2798">
        <f>B56-C56</f>
        <v>0</v>
      </c>
      <c r="E56" s="1803">
        <f>'Д 7_РП'!G104</f>
        <v>0</v>
      </c>
      <c r="F56" s="1803">
        <f>'ТЕ_2ст_тариф_з ЦТП'!K18</f>
        <v>0</v>
      </c>
      <c r="G56" s="1803">
        <f>'Д 7_РП'!G105</f>
        <v>9.6319999999999999E-3</v>
      </c>
      <c r="H56" s="1803">
        <f>'ТЕ_2ст_тариф_з ЦТП'!M19</f>
        <v>9.6319999999999999E-3</v>
      </c>
      <c r="I56" s="1803">
        <f>B56</f>
        <v>9.6319999999999999E-3</v>
      </c>
      <c r="J56" s="2905">
        <f>'ТЕ_2ст_тариф_з ЦТП'!K17</f>
        <v>9.6319999999999999E-3</v>
      </c>
      <c r="K56" s="4479">
        <f>C56/C54</f>
        <v>1.3453626987859648E-4</v>
      </c>
      <c r="L56" s="3211">
        <f>E56/E$54</f>
        <v>0</v>
      </c>
      <c r="M56" s="2806">
        <f>G56/G$54</f>
        <v>1.6140898149653185E-4</v>
      </c>
    </row>
    <row r="57" spans="1:18" x14ac:dyDescent="0.25">
      <c r="A57" s="1814" t="s">
        <v>1027</v>
      </c>
      <c r="B57" s="1803">
        <f>'Д 7_РП'!G106</f>
        <v>9.0724704999999997</v>
      </c>
      <c r="C57" s="1803">
        <f>'ТЕ_2ст_тариф_з ЦТП'!N17</f>
        <v>9.0724704999999997</v>
      </c>
      <c r="D57" s="2798">
        <f>B57-C57</f>
        <v>0</v>
      </c>
      <c r="E57" s="1803">
        <f>'Д 7_РП'!G107</f>
        <v>1.45692</v>
      </c>
      <c r="F57" s="1803">
        <f>'ТЕ_2ст_тариф_з ЦТП'!N18</f>
        <v>1.45692</v>
      </c>
      <c r="G57" s="1803">
        <f>'Д 7_РП'!G108</f>
        <v>7.6155505000000003</v>
      </c>
      <c r="H57" s="1803">
        <f>'ТЕ_2ст_тариф_з ЦТП'!P19</f>
        <v>7.6155505000000003</v>
      </c>
      <c r="I57" s="1803">
        <f>B57</f>
        <v>9.0724704999999997</v>
      </c>
      <c r="J57" s="2905">
        <f>'ТЕ_2ст_тариф_з ЦТП'!N17</f>
        <v>9.0724704999999997</v>
      </c>
      <c r="K57" s="4479">
        <f>C57/C54</f>
        <v>0.12672096549559855</v>
      </c>
      <c r="L57" s="3211">
        <f>E57/E$54</f>
        <v>0.12222915774264244</v>
      </c>
      <c r="M57" s="2806">
        <f>G57/G$54</f>
        <v>0.12761817376872964</v>
      </c>
    </row>
    <row r="58" spans="1:18" x14ac:dyDescent="0.25">
      <c r="A58" s="1814" t="s">
        <v>2300</v>
      </c>
      <c r="B58" s="1803">
        <f>'Д 7_РП'!G109</f>
        <v>3.0534583699999995</v>
      </c>
      <c r="C58" s="1803">
        <f>'ТЕ_2ст_тариф_з ЦТП'!Q17</f>
        <v>3.05345837</v>
      </c>
      <c r="D58" s="2798">
        <f>B58-C58</f>
        <v>0</v>
      </c>
      <c r="E58" s="1803">
        <f>'Д 7_РП'!G110</f>
        <v>0.5574522999999999</v>
      </c>
      <c r="F58" s="1803">
        <f>'ТЕ_2ст_тариф_з ЦТП'!Q18</f>
        <v>0.5574522999999999</v>
      </c>
      <c r="G58" s="1803">
        <f>'Д 7_РП'!G111</f>
        <v>2.4960060699999995</v>
      </c>
      <c r="H58" s="1803">
        <f>'ТЕ_2ст_тариф_з ЦТП'!S19</f>
        <v>2.4960060699999995</v>
      </c>
      <c r="I58" s="1803">
        <f>B58</f>
        <v>3.0534583699999995</v>
      </c>
      <c r="J58" s="2905">
        <f>'ТЕ_2ст_тариф_з ЦТП'!Q17</f>
        <v>3.05345837</v>
      </c>
      <c r="K58" s="4479">
        <f>C58/C54</f>
        <v>4.2649595030043536E-2</v>
      </c>
      <c r="L58" s="3211">
        <f>E58/E$54</f>
        <v>4.6767787600347874E-2</v>
      </c>
      <c r="M58" s="2806">
        <f>G58/G$54</f>
        <v>4.1827013867095211E-2</v>
      </c>
    </row>
    <row r="59" spans="1:18" ht="13.8" thickBot="1" x14ac:dyDescent="0.3">
      <c r="A59" s="2762"/>
      <c r="B59" s="2799">
        <f t="shared" ref="B59:J59" si="14">B54-B55-B56-B57-B58</f>
        <v>0</v>
      </c>
      <c r="C59" s="2799">
        <f t="shared" si="14"/>
        <v>6.6613381477509392E-15</v>
      </c>
      <c r="D59" s="2799">
        <f t="shared" si="14"/>
        <v>-7.1054273576010019E-15</v>
      </c>
      <c r="E59" s="2799">
        <f t="shared" si="14"/>
        <v>0</v>
      </c>
      <c r="F59" s="2799">
        <f t="shared" si="14"/>
        <v>0</v>
      </c>
      <c r="G59" s="2799">
        <f t="shared" si="14"/>
        <v>0</v>
      </c>
      <c r="H59" s="2799">
        <f t="shared" si="14"/>
        <v>0</v>
      </c>
      <c r="I59" s="2799">
        <f t="shared" si="14"/>
        <v>0</v>
      </c>
      <c r="J59" s="2906">
        <f t="shared" si="14"/>
        <v>6.6613381477509392E-15</v>
      </c>
      <c r="K59" s="2893"/>
      <c r="L59" s="2894"/>
      <c r="M59" s="2895"/>
    </row>
    <row r="60" spans="1:18" ht="13.8" thickBot="1" x14ac:dyDescent="0.3"/>
    <row r="61" spans="1:18" ht="13.2" customHeight="1" x14ac:dyDescent="0.25">
      <c r="A61" s="4966" t="s">
        <v>2304</v>
      </c>
      <c r="B61" s="4968" t="s">
        <v>1894</v>
      </c>
      <c r="C61" s="4968"/>
      <c r="D61" s="4969"/>
      <c r="E61" s="4970" t="s">
        <v>2648</v>
      </c>
      <c r="F61" s="4968"/>
      <c r="G61" s="4969"/>
      <c r="H61" s="4998" t="s">
        <v>2257</v>
      </c>
      <c r="I61" s="4980"/>
      <c r="J61" s="4999"/>
      <c r="K61" s="4998" t="s">
        <v>3361</v>
      </c>
      <c r="L61" s="4980"/>
      <c r="M61" s="4999"/>
      <c r="N61" s="4982" t="s">
        <v>2233</v>
      </c>
      <c r="O61" s="4998"/>
      <c r="P61" s="4979" t="s">
        <v>2829</v>
      </c>
      <c r="Q61" s="4980"/>
      <c r="R61" s="4981"/>
    </row>
    <row r="62" spans="1:18" ht="27" thickBot="1" x14ac:dyDescent="0.3">
      <c r="A62" s="4967"/>
      <c r="B62" s="2786" t="s">
        <v>2391</v>
      </c>
      <c r="C62" s="2764" t="s">
        <v>2390</v>
      </c>
      <c r="D62" s="2787" t="s">
        <v>2643</v>
      </c>
      <c r="E62" s="2763" t="s">
        <v>2391</v>
      </c>
      <c r="F62" s="2764" t="s">
        <v>2390</v>
      </c>
      <c r="G62" s="2787" t="s">
        <v>2643</v>
      </c>
      <c r="H62" s="2763" t="s">
        <v>2391</v>
      </c>
      <c r="I62" s="2764" t="s">
        <v>2390</v>
      </c>
      <c r="J62" s="2787" t="s">
        <v>2643</v>
      </c>
      <c r="K62" s="2763" t="s">
        <v>2391</v>
      </c>
      <c r="L62" s="2764" t="s">
        <v>2390</v>
      </c>
      <c r="M62" s="2787" t="s">
        <v>2643</v>
      </c>
      <c r="N62" s="2763" t="s">
        <v>2391</v>
      </c>
      <c r="O62" s="2875" t="s">
        <v>2390</v>
      </c>
      <c r="P62" s="2821" t="s">
        <v>2391</v>
      </c>
      <c r="Q62" s="2764" t="s">
        <v>2390</v>
      </c>
      <c r="R62" s="2908" t="s">
        <v>2643</v>
      </c>
    </row>
    <row r="63" spans="1:18" x14ac:dyDescent="0.25">
      <c r="A63" s="2792" t="s">
        <v>1890</v>
      </c>
      <c r="B63" s="1803">
        <f>'Д 2_Т на В'!H45</f>
        <v>7201.7534935752356</v>
      </c>
      <c r="C63" s="1803">
        <f>'ТЕ_2ст_тариф_з ЦТП'!E70</f>
        <v>7201.7534935752356</v>
      </c>
      <c r="D63" s="2802">
        <f>B63-C63</f>
        <v>0</v>
      </c>
      <c r="E63" s="1803">
        <f>'Д 3_Т на Т з ЦТП'!G39</f>
        <v>705.49170932155926</v>
      </c>
      <c r="F63" s="1803">
        <f>'ТЕ_2ст_тариф_з ЦТП'!E114</f>
        <v>674.50511877253211</v>
      </c>
      <c r="G63" s="2779">
        <f>E63-F63</f>
        <v>30.986590549027142</v>
      </c>
      <c r="H63" s="1803">
        <f>'Д 3.1_Т на Т без ЦТП'!G39</f>
        <v>2071.5577204704259</v>
      </c>
      <c r="I63" s="1803">
        <f>'ТЕ_2ст_тариф_без ЦТП'!G114</f>
        <v>1931.4355685768649</v>
      </c>
      <c r="J63" s="2779">
        <f>H63-I63</f>
        <v>140.12215189356107</v>
      </c>
      <c r="K63" s="1803">
        <f t="shared" ref="K63:L67" si="15">E63+H63</f>
        <v>2777.0494297919849</v>
      </c>
      <c r="L63" s="1803">
        <f t="shared" si="15"/>
        <v>2605.9406873493972</v>
      </c>
      <c r="M63" s="2779">
        <f>K63-L63</f>
        <v>171.10874244258775</v>
      </c>
      <c r="N63" s="2801">
        <f>'Д 4_Т на П'!G34</f>
        <v>90.942579181170828</v>
      </c>
      <c r="O63" s="2904">
        <f>'ТЕ_2ст_тариф_з ЦТП'!E153</f>
        <v>90.942579181170828</v>
      </c>
      <c r="P63" s="2907">
        <f t="shared" ref="P63:Q67" si="16">B63+K63+N63</f>
        <v>10069.745502548391</v>
      </c>
      <c r="Q63" s="2801">
        <f t="shared" si="16"/>
        <v>9898.6367601058028</v>
      </c>
      <c r="R63" s="2909">
        <f>P63-Q63</f>
        <v>171.10874244258775</v>
      </c>
    </row>
    <row r="64" spans="1:18" x14ac:dyDescent="0.25">
      <c r="A64" s="2765" t="s">
        <v>3</v>
      </c>
      <c r="B64" s="1803">
        <f>'Д 2_Т на В'!L45</f>
        <v>5282.8699842771603</v>
      </c>
      <c r="C64" s="1803">
        <f>'ТЕ_2ст_тариф_з ЦТП'!J70</f>
        <v>5282.582808838476</v>
      </c>
      <c r="D64" s="2802">
        <f>B64-C64</f>
        <v>0.287175438684244</v>
      </c>
      <c r="E64" s="1803">
        <f>'Д 3_Т на Т з ЦТП'!H39</f>
        <v>574.77153604604518</v>
      </c>
      <c r="F64" s="1803">
        <f>'ТЕ_2ст_тариф_з ЦТП'!H114</f>
        <v>549.02248026384746</v>
      </c>
      <c r="G64" s="2779">
        <f>E64-F64</f>
        <v>25.749055782197729</v>
      </c>
      <c r="H64" s="1803">
        <f>'Д 3.1_Т на Т без ЦТП'!H39</f>
        <v>1669.686966899955</v>
      </c>
      <c r="I64" s="1803">
        <f>'ТЕ_2ст_тариф_без ЦТП'!J114</f>
        <v>1553.0439561365865</v>
      </c>
      <c r="J64" s="2779">
        <f>H64-I64</f>
        <v>116.64301076336847</v>
      </c>
      <c r="K64" s="1803">
        <f t="shared" si="15"/>
        <v>2244.4585029460004</v>
      </c>
      <c r="L64" s="1803">
        <f t="shared" si="15"/>
        <v>2102.0664364004342</v>
      </c>
      <c r="M64" s="2779">
        <f>K64-L64</f>
        <v>142.39206654556619</v>
      </c>
      <c r="N64" s="1803">
        <f>N63/K45*K46</f>
        <v>75.527282795670317</v>
      </c>
      <c r="O64" s="2905">
        <f>O63/L45*L46</f>
        <v>75.527282795670303</v>
      </c>
      <c r="P64" s="2907">
        <f t="shared" si="16"/>
        <v>7602.8557700188312</v>
      </c>
      <c r="Q64" s="2801">
        <f t="shared" si="16"/>
        <v>7460.1765280345808</v>
      </c>
      <c r="R64" s="2909">
        <f>P64-Q64</f>
        <v>142.67924198425044</v>
      </c>
    </row>
    <row r="65" spans="1:25" x14ac:dyDescent="0.25">
      <c r="A65" s="2765" t="s">
        <v>2649</v>
      </c>
      <c r="B65" s="1803">
        <f>'Д 2_Т на В'!P45</f>
        <v>1.5225337668231076</v>
      </c>
      <c r="C65" s="1803">
        <f>'ТЕ_2ст_тариф_з ЦТП'!K70</f>
        <v>1.5232466165681611</v>
      </c>
      <c r="D65" s="2802">
        <f>B65-C65</f>
        <v>-7.1284974505347876E-4</v>
      </c>
      <c r="E65" s="1803">
        <f>'Д 3_Т на Т з ЦТП'!I39</f>
        <v>0</v>
      </c>
      <c r="F65" s="1803">
        <f>'ТЕ_2ст_тариф_з ЦТП'!K114</f>
        <v>0</v>
      </c>
      <c r="G65" s="2779">
        <f>E65-F65</f>
        <v>0</v>
      </c>
      <c r="H65" s="1803">
        <f>'Д 3.1_Т на Т без ЦТП'!I39</f>
        <v>0.38244708826631185</v>
      </c>
      <c r="I65" s="1803">
        <f>'ТЕ_2ст_тариф_без ЦТП'!M114</f>
        <v>0.36010276716193629</v>
      </c>
      <c r="J65" s="2779">
        <f>H65-I65</f>
        <v>2.2344321104375564E-2</v>
      </c>
      <c r="K65" s="1803">
        <f t="shared" si="15"/>
        <v>0.38244708826631185</v>
      </c>
      <c r="L65" s="1803">
        <f t="shared" si="15"/>
        <v>0.36010276716193629</v>
      </c>
      <c r="M65" s="2779">
        <f>K65-L65</f>
        <v>2.2344321104375564E-2</v>
      </c>
      <c r="N65" s="1803">
        <f>N63/K45*K47</f>
        <v>1.2235127521151062E-2</v>
      </c>
      <c r="O65" s="2905">
        <f>O63/L45*L47</f>
        <v>1.2235127521151062E-2</v>
      </c>
      <c r="P65" s="2891">
        <f>B65+K65+N65</f>
        <v>1.9172159826105704</v>
      </c>
      <c r="Q65" s="2801">
        <f t="shared" si="16"/>
        <v>1.8955845112512484</v>
      </c>
      <c r="R65" s="2909">
        <f>P65-Q65</f>
        <v>2.1631471359321974E-2</v>
      </c>
    </row>
    <row r="66" spans="1:25" x14ac:dyDescent="0.25">
      <c r="A66" s="1814" t="s">
        <v>1027</v>
      </c>
      <c r="B66" s="1803">
        <f>'Д 2_Т на В'!T45</f>
        <v>1433.8881926743111</v>
      </c>
      <c r="C66" s="1803">
        <f>'ТЕ_2ст_тариф_з ЦТП'!N70</f>
        <v>1434.7601736959562</v>
      </c>
      <c r="D66" s="2802">
        <f>B66-C66</f>
        <v>-0.87198102164506963</v>
      </c>
      <c r="E66" s="1803">
        <f>'Д 3_Т на Т з ЦТП'!J39</f>
        <v>94.545002852035765</v>
      </c>
      <c r="F66" s="1803">
        <f>'ТЕ_2ст_тариф_з ЦТП'!N114</f>
        <v>90.756890221372188</v>
      </c>
      <c r="G66" s="2779">
        <f>E66-F66</f>
        <v>3.7881126306635764</v>
      </c>
      <c r="H66" s="1803">
        <f>'Д 3.1_Т на Т без ЦТП'!J39</f>
        <v>302.38217548484789</v>
      </c>
      <c r="I66" s="1803">
        <f>'ТЕ_2ст_тариф_без ЦТП'!P114</f>
        <v>284.71561550160584</v>
      </c>
      <c r="J66" s="2779">
        <f>H66-I66</f>
        <v>17.666559983242053</v>
      </c>
      <c r="K66" s="1803">
        <f t="shared" si="15"/>
        <v>396.92717833688369</v>
      </c>
      <c r="L66" s="1803">
        <f t="shared" si="15"/>
        <v>375.47250572297804</v>
      </c>
      <c r="M66" s="2779">
        <f>K66-L66</f>
        <v>21.454672613905643</v>
      </c>
      <c r="N66" s="1803">
        <f>N63/K45*K48</f>
        <v>11.524380554337744</v>
      </c>
      <c r="O66" s="2905">
        <f>O63/L45*L48</f>
        <v>11.524380554337743</v>
      </c>
      <c r="P66" s="2907">
        <f t="shared" si="16"/>
        <v>1842.3397515655324</v>
      </c>
      <c r="Q66" s="2801">
        <f t="shared" si="16"/>
        <v>1821.7570599732719</v>
      </c>
      <c r="R66" s="2909">
        <f>P66-Q66</f>
        <v>20.582691592260517</v>
      </c>
    </row>
    <row r="67" spans="1:25" x14ac:dyDescent="0.25">
      <c r="A67" s="1814" t="s">
        <v>2300</v>
      </c>
      <c r="B67" s="1803">
        <f>'Д 2_Т на В'!X45</f>
        <v>483.47278285694142</v>
      </c>
      <c r="C67" s="1803">
        <f>'ТЕ_2ст_тариф_з ЦТП'!Q70</f>
        <v>482.88726442423501</v>
      </c>
      <c r="D67" s="2802">
        <f>B67-C67</f>
        <v>0.58551843270640802</v>
      </c>
      <c r="E67" s="1803">
        <f>'Д 3_Т на Т з ЦТП'!K39</f>
        <v>36.175170423478228</v>
      </c>
      <c r="F67" s="1803">
        <f>'ТЕ_2ст_тариф_з ЦТП'!Q114</f>
        <v>34.725748287312562</v>
      </c>
      <c r="G67" s="2779">
        <f>E67-F67</f>
        <v>1.4494221361656656</v>
      </c>
      <c r="H67" s="1803">
        <f>'Д 3.1_Т на Т без ЦТП'!K39</f>
        <v>99.106130997356729</v>
      </c>
      <c r="I67" s="1803">
        <f>'ТЕ_2ст_тариф_без ЦТП'!S114</f>
        <v>93.315894171510536</v>
      </c>
      <c r="J67" s="2779">
        <f>H67-I67</f>
        <v>5.7902368258461934</v>
      </c>
      <c r="K67" s="1803">
        <f t="shared" si="15"/>
        <v>135.28130142083495</v>
      </c>
      <c r="L67" s="1803">
        <f t="shared" si="15"/>
        <v>128.04164245882311</v>
      </c>
      <c r="M67" s="2779">
        <f>K67-L67</f>
        <v>7.2396589620118448</v>
      </c>
      <c r="N67" s="1803">
        <f>N63/K45*K49</f>
        <v>3.878680703641618</v>
      </c>
      <c r="O67" s="2905">
        <f>O63/L45*L49</f>
        <v>3.8786807036416175</v>
      </c>
      <c r="P67" s="2907">
        <f t="shared" si="16"/>
        <v>622.63276498141806</v>
      </c>
      <c r="Q67" s="2801">
        <f t="shared" si="16"/>
        <v>614.8075875866997</v>
      </c>
      <c r="R67" s="2909">
        <f>P67-Q67</f>
        <v>7.8251773947183665</v>
      </c>
    </row>
    <row r="68" spans="1:25" ht="13.8" thickBot="1" x14ac:dyDescent="0.3">
      <c r="A68" s="2762"/>
      <c r="B68" s="2799">
        <f>B63-B64-B65-B66-B67</f>
        <v>0</v>
      </c>
      <c r="C68" s="2799">
        <f t="shared" ref="C68:O68" si="17">C63-C64-C65-C66-C67</f>
        <v>0</v>
      </c>
      <c r="D68" s="2799">
        <f t="shared" si="17"/>
        <v>-5.2891024893142458E-13</v>
      </c>
      <c r="E68" s="2799">
        <f>E63-E64-E65-E66-E67</f>
        <v>7.815970093361102E-14</v>
      </c>
      <c r="F68" s="2799">
        <f t="shared" si="17"/>
        <v>-9.2370555648813024E-14</v>
      </c>
      <c r="G68" s="2799">
        <f>G63-G64-G65-G66-G67</f>
        <v>1.7053025658242404E-13</v>
      </c>
      <c r="H68" s="2799">
        <f t="shared" si="17"/>
        <v>0</v>
      </c>
      <c r="I68" s="2799">
        <f t="shared" si="17"/>
        <v>0</v>
      </c>
      <c r="J68" s="2799">
        <f>J63-J64-J65-J66-J67</f>
        <v>-2.1316282072803006E-14</v>
      </c>
      <c r="K68" s="2799">
        <f t="shared" si="17"/>
        <v>-3.979039320256561E-13</v>
      </c>
      <c r="L68" s="2799">
        <f t="shared" si="17"/>
        <v>0</v>
      </c>
      <c r="M68" s="2799">
        <f t="shared" si="17"/>
        <v>-3.0553337637684308E-13</v>
      </c>
      <c r="N68" s="2799">
        <f t="shared" si="17"/>
        <v>0</v>
      </c>
      <c r="O68" s="2906">
        <f t="shared" si="17"/>
        <v>1.3766765505351941E-14</v>
      </c>
      <c r="P68" s="2823">
        <f>P63-P64-P65-P66-P67</f>
        <v>-1.9326762412674725E-12</v>
      </c>
      <c r="Q68" s="2799">
        <f>Q63-Q64-Q65-Q66-Q67</f>
        <v>-1.0231815394945443E-12</v>
      </c>
      <c r="R68" s="2812">
        <f>R63-R64-R65-R66-R67</f>
        <v>-8.8817841970012523E-13</v>
      </c>
    </row>
    <row r="69" spans="1:25" x14ac:dyDescent="0.25">
      <c r="K69" s="2803"/>
    </row>
    <row r="70" spans="1:25" hidden="1" x14ac:dyDescent="0.25">
      <c r="A70" s="4992" t="s">
        <v>4143</v>
      </c>
      <c r="B70" s="4994" t="s">
        <v>3363</v>
      </c>
      <c r="C70" s="4995"/>
      <c r="D70" s="4995"/>
      <c r="E70" s="4995"/>
      <c r="F70" s="4995"/>
      <c r="G70" s="4996"/>
      <c r="H70" s="4994" t="s">
        <v>1894</v>
      </c>
      <c r="I70" s="4995"/>
      <c r="J70" s="4995"/>
      <c r="K70" s="4995"/>
      <c r="L70" s="4995"/>
      <c r="M70" s="4996"/>
      <c r="N70" s="4969" t="s">
        <v>1895</v>
      </c>
      <c r="O70" s="4995"/>
      <c r="P70" s="4995"/>
      <c r="Q70" s="4995"/>
      <c r="R70" s="4995"/>
      <c r="S70" s="4995"/>
      <c r="T70" s="4970" t="s">
        <v>2233</v>
      </c>
      <c r="U70" s="4968"/>
      <c r="V70" s="4978"/>
      <c r="W70" s="39"/>
      <c r="X70" s="39"/>
      <c r="Y70" s="39"/>
    </row>
    <row r="71" spans="1:25" ht="26.4" hidden="1" x14ac:dyDescent="0.25">
      <c r="A71" s="4993"/>
      <c r="B71" s="2821" t="s">
        <v>2860</v>
      </c>
      <c r="C71" s="2764" t="s">
        <v>2861</v>
      </c>
      <c r="D71" s="2787" t="s">
        <v>3364</v>
      </c>
      <c r="E71" s="2763" t="s">
        <v>2862</v>
      </c>
      <c r="F71" s="2764" t="s">
        <v>2863</v>
      </c>
      <c r="G71" s="2804" t="s">
        <v>3365</v>
      </c>
      <c r="H71" s="2821" t="s">
        <v>2860</v>
      </c>
      <c r="I71" s="2764" t="s">
        <v>2861</v>
      </c>
      <c r="J71" s="2787" t="s">
        <v>3364</v>
      </c>
      <c r="K71" s="2763" t="s">
        <v>2862</v>
      </c>
      <c r="L71" s="2764" t="s">
        <v>2863</v>
      </c>
      <c r="M71" s="2804" t="s">
        <v>3364</v>
      </c>
      <c r="N71" s="2786" t="s">
        <v>2860</v>
      </c>
      <c r="O71" s="2764" t="s">
        <v>2861</v>
      </c>
      <c r="P71" s="2787" t="s">
        <v>3364</v>
      </c>
      <c r="Q71" s="2763" t="s">
        <v>2862</v>
      </c>
      <c r="R71" s="2764" t="s">
        <v>2863</v>
      </c>
      <c r="S71" s="2787" t="s">
        <v>3364</v>
      </c>
      <c r="T71" s="2763" t="s">
        <v>2862</v>
      </c>
      <c r="U71" s="2764" t="s">
        <v>2863</v>
      </c>
      <c r="V71" s="2804" t="s">
        <v>3364</v>
      </c>
    </row>
    <row r="72" spans="1:25" hidden="1" x14ac:dyDescent="0.25">
      <c r="A72" s="2818" t="s">
        <v>2254</v>
      </c>
      <c r="B72" s="2805">
        <f t="shared" ref="B72:C76" si="18">H72+N72</f>
        <v>1310.4099999999999</v>
      </c>
      <c r="C72" s="1803">
        <f t="shared" si="18"/>
        <v>1190.06</v>
      </c>
      <c r="D72" s="2798">
        <f>B72-C72</f>
        <v>120.34999999999991</v>
      </c>
      <c r="E72" s="1803">
        <f t="shared" ref="E72:F77" si="19">K72+Q72+T72</f>
        <v>135298.87</v>
      </c>
      <c r="F72" s="1803">
        <f t="shared" si="19"/>
        <v>103562.09999999999</v>
      </c>
      <c r="G72" s="2806">
        <f>E72/F72-1</f>
        <v>0.30645158798440741</v>
      </c>
      <c r="H72" s="2822">
        <f>'ТЕ_2ст_тариф_з ЦТП'!E80</f>
        <v>1056.28</v>
      </c>
      <c r="I72" s="2807">
        <f>'ТЕ_2ст_тариф_без ЦТП'!E80</f>
        <v>1056.28</v>
      </c>
      <c r="J72" s="2808">
        <f>H72-I72</f>
        <v>0</v>
      </c>
      <c r="K72" s="2807">
        <f>'ТЕ_2ст_тариф_з ЦТП'!E81</f>
        <v>55657.13</v>
      </c>
      <c r="L72" s="2807">
        <f>'ТЕ_2ст_тариф_без ЦТП'!E81</f>
        <v>55657.13</v>
      </c>
      <c r="M72" s="2815">
        <f>K72-L72</f>
        <v>0</v>
      </c>
      <c r="N72" s="2793">
        <f>'ТЕ_2ст_тариф_з ЦТП'!E124</f>
        <v>254.13</v>
      </c>
      <c r="O72" s="2807">
        <f>'ТЕ_2ст_тариф_без ЦТП'!E124</f>
        <v>133.78</v>
      </c>
      <c r="P72" s="2808">
        <f>N72-O72</f>
        <v>120.35</v>
      </c>
      <c r="Q72" s="2807">
        <f>'ТЕ_2ст_тариф_з ЦТП'!G125</f>
        <v>77251.66</v>
      </c>
      <c r="R72" s="2807">
        <f>'ТЕ_2ст_тариф_без ЦТП'!G125</f>
        <v>45514.89</v>
      </c>
      <c r="S72" s="2808">
        <f>Q72-R72</f>
        <v>31736.770000000004</v>
      </c>
      <c r="T72" s="2807">
        <f>'ТЕ_2ст_тариф_з ЦТП'!G164</f>
        <v>2390.08</v>
      </c>
      <c r="U72" s="2807">
        <f>'ТЕ_2ст_тариф_без ЦТП'!G164</f>
        <v>2390.08</v>
      </c>
      <c r="V72" s="2815">
        <f>T72-U72</f>
        <v>0</v>
      </c>
    </row>
    <row r="73" spans="1:25" hidden="1" x14ac:dyDescent="0.25">
      <c r="A73" s="2819" t="s">
        <v>3</v>
      </c>
      <c r="B73" s="2805">
        <f t="shared" si="18"/>
        <v>1143.25</v>
      </c>
      <c r="C73" s="1803">
        <f t="shared" si="18"/>
        <v>1022.9</v>
      </c>
      <c r="D73" s="2798">
        <f>B73-C73</f>
        <v>120.35000000000002</v>
      </c>
      <c r="E73" s="1803">
        <f t="shared" si="19"/>
        <v>132136.79999999999</v>
      </c>
      <c r="F73" s="1803">
        <f t="shared" si="19"/>
        <v>100654.02</v>
      </c>
      <c r="G73" s="2806">
        <f>E73/F73-1</f>
        <v>0.3127821422333652</v>
      </c>
      <c r="H73" s="2805">
        <f>'ТЕ_2ст_тариф_з ЦТП'!H80</f>
        <v>889.12</v>
      </c>
      <c r="I73" s="1803">
        <f>'ТЕ_2ст_тариф_без ЦТП'!H80</f>
        <v>889.12</v>
      </c>
      <c r="J73" s="2798">
        <f>H73-I73</f>
        <v>0</v>
      </c>
      <c r="K73" s="1803">
        <f>'ТЕ_2ст_тариф_з ЦТП'!H81</f>
        <v>54678.239999999998</v>
      </c>
      <c r="L73" s="1803">
        <f>'ТЕ_2ст_тариф_без ЦТП'!H81</f>
        <v>54678.239999999998</v>
      </c>
      <c r="M73" s="2816">
        <f>K73-L73</f>
        <v>0</v>
      </c>
      <c r="N73" s="2809">
        <f>'ТЕ_2ст_тариф_з ЦТП'!H124</f>
        <v>254.13</v>
      </c>
      <c r="O73" s="1803">
        <f>'ТЕ_2ст_тариф_без ЦТП'!H124</f>
        <v>133.78</v>
      </c>
      <c r="P73" s="2798">
        <f>N73-O73</f>
        <v>120.35</v>
      </c>
      <c r="Q73" s="1803">
        <f>'ТЕ_2ст_тариф_з ЦТП'!J125</f>
        <v>75068.479999999996</v>
      </c>
      <c r="R73" s="1803">
        <f>'ТЕ_2ст_тариф_без ЦТП'!J125</f>
        <v>43585.7</v>
      </c>
      <c r="S73" s="2798">
        <f>Q73-R73</f>
        <v>31482.78</v>
      </c>
      <c r="T73" s="1803">
        <f>'ТЕ_2ст_тариф_з ЦТП'!J164</f>
        <v>2390.08</v>
      </c>
      <c r="U73" s="1803">
        <f>'ТЕ_2ст_тариф_без ЦТП'!J164</f>
        <v>2390.08</v>
      </c>
      <c r="V73" s="2816">
        <f>T73-U73</f>
        <v>0</v>
      </c>
    </row>
    <row r="74" spans="1:25" hidden="1" x14ac:dyDescent="0.25">
      <c r="A74" s="2819" t="s">
        <v>2649</v>
      </c>
      <c r="B74" s="2805">
        <f t="shared" si="18"/>
        <v>0</v>
      </c>
      <c r="C74" s="1803">
        <f t="shared" si="18"/>
        <v>2009.91</v>
      </c>
      <c r="D74" s="2798"/>
      <c r="E74" s="1803">
        <f t="shared" si="19"/>
        <v>0</v>
      </c>
      <c r="F74" s="1803">
        <f t="shared" si="19"/>
        <v>117803.48</v>
      </c>
      <c r="G74" s="2806"/>
      <c r="H74" s="2805">
        <f>'ТЕ_2ст_тариф_з ЦТП'!K80</f>
        <v>0</v>
      </c>
      <c r="I74" s="4401">
        <f>'ТЕ_2ст_тариф_без ЦТП'!K80</f>
        <v>1876.13</v>
      </c>
      <c r="J74" s="2798"/>
      <c r="K74" s="1803">
        <f>'ТЕ_2ст_тариф_з ЦТП'!K81</f>
        <v>0</v>
      </c>
      <c r="L74" s="1803">
        <f>'ТЕ_2ст_тариф_без ЦТП'!K81</f>
        <v>60453.2</v>
      </c>
      <c r="M74" s="2816"/>
      <c r="N74" s="2809">
        <f>'ТЕ_2ст_тариф_з ЦТП'!K124</f>
        <v>0</v>
      </c>
      <c r="O74" s="1803">
        <f>'ТЕ_2ст_тариф_без ЦТП'!K124</f>
        <v>133.78</v>
      </c>
      <c r="P74" s="2798"/>
      <c r="Q74" s="1803">
        <f>'ТЕ_2ст_тариф_з ЦТП'!M125</f>
        <v>0</v>
      </c>
      <c r="R74" s="1803">
        <f>'ТЕ_2ст_тариф_без ЦТП'!M125</f>
        <v>54960.2</v>
      </c>
      <c r="S74" s="2798"/>
      <c r="T74" s="1803">
        <f>'ТЕ_2ст_тариф_з ЦТП'!M164</f>
        <v>0</v>
      </c>
      <c r="U74" s="1803">
        <f>'ТЕ_2ст_тариф_без ЦТП'!M164</f>
        <v>2390.08</v>
      </c>
      <c r="V74" s="2816"/>
    </row>
    <row r="75" spans="1:25" hidden="1" x14ac:dyDescent="0.25">
      <c r="A75" s="2819" t="s">
        <v>1027</v>
      </c>
      <c r="B75" s="2805">
        <f t="shared" si="18"/>
        <v>2130.2600000000002</v>
      </c>
      <c r="C75" s="1803">
        <f t="shared" si="18"/>
        <v>2009.91</v>
      </c>
      <c r="D75" s="2798">
        <f>B75-C75</f>
        <v>120.35000000000014</v>
      </c>
      <c r="E75" s="1803">
        <f t="shared" si="19"/>
        <v>150830.22999999998</v>
      </c>
      <c r="F75" s="1803">
        <f t="shared" si="19"/>
        <v>117803.48</v>
      </c>
      <c r="G75" s="2806">
        <f>E75/F75-1</f>
        <v>0.28035462110287401</v>
      </c>
      <c r="H75" s="4421">
        <f>'ТЕ_2ст_тариф_з ЦТП'!N80</f>
        <v>1876.13</v>
      </c>
      <c r="I75" s="4401">
        <f>'ТЕ_2ст_тариф_без ЦТП'!N80</f>
        <v>1876.13</v>
      </c>
      <c r="J75" s="2798">
        <f>H75-I75</f>
        <v>0</v>
      </c>
      <c r="K75" s="1803">
        <f>'ТЕ_2ст_тариф_з ЦТП'!N81</f>
        <v>60453.2</v>
      </c>
      <c r="L75" s="1803">
        <f>'ТЕ_2ст_тариф_без ЦТП'!N81</f>
        <v>60453.2</v>
      </c>
      <c r="M75" s="2816">
        <f>K75-L75</f>
        <v>0</v>
      </c>
      <c r="N75" s="2809">
        <f>'ТЕ_2ст_тариф_з ЦТП'!N124</f>
        <v>254.13</v>
      </c>
      <c r="O75" s="1803">
        <f>'ТЕ_2ст_тариф_без ЦТП'!N124</f>
        <v>133.78</v>
      </c>
      <c r="P75" s="2798">
        <f>N75-O75</f>
        <v>120.35</v>
      </c>
      <c r="Q75" s="1803">
        <f>'ТЕ_2ст_тариф_з ЦТП'!P125</f>
        <v>87986.95</v>
      </c>
      <c r="R75" s="1803">
        <f>'ТЕ_2ст_тариф_без ЦТП'!P125</f>
        <v>54960.2</v>
      </c>
      <c r="S75" s="2798">
        <f>Q75-R75</f>
        <v>33026.75</v>
      </c>
      <c r="T75" s="1803">
        <f>'ТЕ_2ст_тариф_з ЦТП'!P164</f>
        <v>2390.08</v>
      </c>
      <c r="U75" s="1803">
        <f>'ТЕ_2ст_тариф_без ЦТП'!P164</f>
        <v>2390.08</v>
      </c>
      <c r="V75" s="2816">
        <f>T75-U75</f>
        <v>0</v>
      </c>
    </row>
    <row r="76" spans="1:25" hidden="1" x14ac:dyDescent="0.25">
      <c r="A76" s="2819" t="s">
        <v>2300</v>
      </c>
      <c r="B76" s="2805">
        <f t="shared" si="18"/>
        <v>2130.2600000000002</v>
      </c>
      <c r="C76" s="1803">
        <f t="shared" si="18"/>
        <v>2009.91</v>
      </c>
      <c r="D76" s="2798">
        <f>B76-C76</f>
        <v>120.35000000000014</v>
      </c>
      <c r="E76" s="1803">
        <f t="shared" si="19"/>
        <v>150830.22999999998</v>
      </c>
      <c r="F76" s="1803">
        <f t="shared" si="19"/>
        <v>117803.48</v>
      </c>
      <c r="G76" s="2806">
        <f>E76/F76-1</f>
        <v>0.28035462110287401</v>
      </c>
      <c r="H76" s="4421">
        <f>'ТЕ_2ст_тариф_з ЦТП'!Q80</f>
        <v>1876.13</v>
      </c>
      <c r="I76" s="4401">
        <f>'ТЕ_2ст_тариф_без ЦТП'!Q80</f>
        <v>1876.13</v>
      </c>
      <c r="J76" s="2798">
        <f>H76-I76</f>
        <v>0</v>
      </c>
      <c r="K76" s="1803">
        <f>'ТЕ_2ст_тариф_з ЦТП'!Q81</f>
        <v>60453.2</v>
      </c>
      <c r="L76" s="1803">
        <f>'ТЕ_2ст_тариф_без ЦТП'!Q81</f>
        <v>60453.2</v>
      </c>
      <c r="M76" s="2816">
        <f>K76-L76</f>
        <v>0</v>
      </c>
      <c r="N76" s="2809">
        <f>'ТЕ_2ст_тариф_з ЦТП'!Q124</f>
        <v>254.13</v>
      </c>
      <c r="O76" s="1803">
        <f>'ТЕ_2ст_тариф_без ЦТП'!Q124</f>
        <v>133.78</v>
      </c>
      <c r="P76" s="2798">
        <f>N76-O76</f>
        <v>120.35</v>
      </c>
      <c r="Q76" s="1803">
        <f>'ТЕ_2ст_тариф_з ЦТП'!S125</f>
        <v>87986.95</v>
      </c>
      <c r="R76" s="1803">
        <f>'ТЕ_2ст_тариф_без ЦТП'!S125</f>
        <v>54960.2</v>
      </c>
      <c r="S76" s="2798">
        <f>Q76-R76</f>
        <v>33026.75</v>
      </c>
      <c r="T76" s="1803">
        <f>'ТЕ_2ст_тариф_з ЦТП'!S164</f>
        <v>2390.08</v>
      </c>
      <c r="U76" s="1803">
        <f>'ТЕ_2ст_тариф_без ЦТП'!S164</f>
        <v>2390.08</v>
      </c>
      <c r="V76" s="2816">
        <f>T76-U76</f>
        <v>0</v>
      </c>
    </row>
    <row r="77" spans="1:25" ht="13.8" hidden="1" thickBot="1" x14ac:dyDescent="0.3">
      <c r="A77" s="2820"/>
      <c r="B77" s="2810"/>
      <c r="C77" s="2811"/>
      <c r="D77" s="2799"/>
      <c r="E77" s="2817">
        <f t="shared" si="19"/>
        <v>0</v>
      </c>
      <c r="F77" s="2817">
        <f t="shared" si="19"/>
        <v>0</v>
      </c>
      <c r="G77" s="2812"/>
      <c r="H77" s="2823"/>
      <c r="I77" s="2799"/>
      <c r="J77" s="2799"/>
      <c r="K77" s="2799"/>
      <c r="L77" s="2799"/>
      <c r="M77" s="2812"/>
      <c r="N77" s="2813"/>
      <c r="O77" s="2799"/>
      <c r="P77" s="2799"/>
      <c r="Q77" s="2799"/>
      <c r="R77" s="2799"/>
      <c r="S77" s="2799"/>
      <c r="T77" s="2799"/>
      <c r="U77" s="2799"/>
      <c r="V77" s="2812"/>
    </row>
    <row r="78" spans="1:25" ht="13.8" hidden="1" thickBot="1" x14ac:dyDescent="0.3"/>
    <row r="79" spans="1:25" hidden="1" x14ac:dyDescent="0.25">
      <c r="A79" s="4992" t="s">
        <v>3366</v>
      </c>
      <c r="B79" s="4994" t="s">
        <v>3363</v>
      </c>
      <c r="C79" s="4995"/>
      <c r="D79" s="4995"/>
      <c r="E79" s="4995"/>
      <c r="F79" s="4995"/>
      <c r="G79" s="4996"/>
      <c r="H79" s="4994" t="s">
        <v>1894</v>
      </c>
      <c r="I79" s="4995"/>
      <c r="J79" s="4995"/>
      <c r="K79" s="4995"/>
      <c r="L79" s="4995"/>
      <c r="M79" s="4996"/>
      <c r="N79" s="4919" t="s">
        <v>1895</v>
      </c>
      <c r="O79" s="4997"/>
      <c r="P79" s="4997"/>
      <c r="Q79" s="4997"/>
      <c r="R79" s="4997"/>
      <c r="S79" s="4997"/>
      <c r="T79" s="4917" t="s">
        <v>2233</v>
      </c>
      <c r="U79" s="4918"/>
      <c r="V79" s="4919"/>
      <c r="W79" s="39"/>
      <c r="X79" s="39"/>
      <c r="Y79" s="39"/>
    </row>
    <row r="80" spans="1:25" ht="26.4" hidden="1" x14ac:dyDescent="0.25">
      <c r="A80" s="4993"/>
      <c r="B80" s="2821" t="s">
        <v>2860</v>
      </c>
      <c r="C80" s="2764" t="s">
        <v>2861</v>
      </c>
      <c r="D80" s="2787" t="s">
        <v>3364</v>
      </c>
      <c r="E80" s="2763" t="s">
        <v>2862</v>
      </c>
      <c r="F80" s="2764" t="s">
        <v>2863</v>
      </c>
      <c r="G80" s="2804" t="s">
        <v>3365</v>
      </c>
      <c r="H80" s="2821" t="s">
        <v>2860</v>
      </c>
      <c r="I80" s="2764" t="s">
        <v>2861</v>
      </c>
      <c r="J80" s="2787" t="s">
        <v>3364</v>
      </c>
      <c r="K80" s="2763" t="s">
        <v>2862</v>
      </c>
      <c r="L80" s="2764" t="s">
        <v>2863</v>
      </c>
      <c r="M80" s="2804" t="s">
        <v>3364</v>
      </c>
      <c r="N80" s="2786" t="s">
        <v>2860</v>
      </c>
      <c r="O80" s="2764" t="s">
        <v>2861</v>
      </c>
      <c r="P80" s="2787" t="s">
        <v>3364</v>
      </c>
      <c r="Q80" s="2763" t="s">
        <v>2862</v>
      </c>
      <c r="R80" s="2764" t="s">
        <v>2863</v>
      </c>
      <c r="S80" s="2787" t="s">
        <v>3364</v>
      </c>
      <c r="T80" s="2763" t="s">
        <v>2862</v>
      </c>
      <c r="U80" s="2764" t="s">
        <v>2863</v>
      </c>
      <c r="V80" s="2787" t="s">
        <v>3364</v>
      </c>
    </row>
    <row r="81" spans="1:22" hidden="1" x14ac:dyDescent="0.25">
      <c r="A81" s="2818" t="s">
        <v>2254</v>
      </c>
      <c r="B81" s="2805">
        <f>H81+N81</f>
        <v>1247.6199858251725</v>
      </c>
      <c r="C81" s="1803">
        <f>I81+O81</f>
        <v>1193.222945058307</v>
      </c>
      <c r="D81" s="2798">
        <f>B81-C81</f>
        <v>54.39704076686553</v>
      </c>
      <c r="E81" s="1803">
        <f t="shared" ref="E81:F86" si="20">K81+Q81+T81</f>
        <v>126881.1080053146</v>
      </c>
      <c r="F81" s="1803">
        <f t="shared" si="20"/>
        <v>98977.697690253452</v>
      </c>
      <c r="G81" s="2806">
        <f>E81/F81-1</f>
        <v>0.28191613834445506</v>
      </c>
      <c r="H81" s="2822">
        <v>1135.9267324624757</v>
      </c>
      <c r="I81" s="2807">
        <v>1135.9267324624757</v>
      </c>
      <c r="J81" s="2808">
        <f>H81-I81</f>
        <v>0</v>
      </c>
      <c r="K81" s="2807">
        <v>53058.235545214906</v>
      </c>
      <c r="L81" s="2807">
        <v>53058.235545214906</v>
      </c>
      <c r="M81" s="2815">
        <f>K81-L81</f>
        <v>0</v>
      </c>
      <c r="N81" s="2793">
        <v>111.69325336269685</v>
      </c>
      <c r="O81" s="2807">
        <v>57.296212595831371</v>
      </c>
      <c r="P81" s="2808">
        <f>N81-O81</f>
        <v>54.39704076686548</v>
      </c>
      <c r="Q81" s="2807">
        <v>71704.390016468693</v>
      </c>
      <c r="R81" s="2807">
        <v>43800.979701407545</v>
      </c>
      <c r="S81" s="2808">
        <f>Q81-R81</f>
        <v>27903.410315061148</v>
      </c>
      <c r="T81" s="2807">
        <v>2118.482443631005</v>
      </c>
      <c r="U81" s="2807">
        <v>2118.482443631005</v>
      </c>
      <c r="V81" s="2808">
        <f>T81-U81</f>
        <v>0</v>
      </c>
    </row>
    <row r="82" spans="1:22" hidden="1" x14ac:dyDescent="0.25">
      <c r="A82" s="2819" t="s">
        <v>3</v>
      </c>
      <c r="B82" s="2805">
        <f t="shared" ref="B82:C85" si="21">H82+N82</f>
        <v>983.75076741003511</v>
      </c>
      <c r="C82" s="1803">
        <f t="shared" si="21"/>
        <v>929.35372664316958</v>
      </c>
      <c r="D82" s="2798">
        <f>B82-C82</f>
        <v>54.39704076686553</v>
      </c>
      <c r="E82" s="1803">
        <f t="shared" si="20"/>
        <v>121530.25577476832</v>
      </c>
      <c r="F82" s="1803">
        <f t="shared" si="20"/>
        <v>93387.431757732949</v>
      </c>
      <c r="G82" s="2806">
        <f>E82/F82-1</f>
        <v>0.30135558380108263</v>
      </c>
      <c r="H82" s="2805">
        <v>872.05751404733826</v>
      </c>
      <c r="I82" s="1803">
        <v>872.05751404733826</v>
      </c>
      <c r="J82" s="2798">
        <f>H82-I82</f>
        <v>0</v>
      </c>
      <c r="K82" s="1803">
        <v>51008.540788769438</v>
      </c>
      <c r="L82" s="1803">
        <v>51008.540788769438</v>
      </c>
      <c r="M82" s="2816">
        <f>K82-L82</f>
        <v>0</v>
      </c>
      <c r="N82" s="2809">
        <v>111.69325336269685</v>
      </c>
      <c r="O82" s="1803">
        <v>57.296212595831371</v>
      </c>
      <c r="P82" s="2798">
        <f>N82-O82</f>
        <v>54.39704076686548</v>
      </c>
      <c r="Q82" s="1803">
        <v>68403.23254236787</v>
      </c>
      <c r="R82" s="1803">
        <v>40260.40852533251</v>
      </c>
      <c r="S82" s="2798">
        <f>Q82-R82</f>
        <v>28142.82401703536</v>
      </c>
      <c r="T82" s="1803">
        <v>2118.482443631005</v>
      </c>
      <c r="U82" s="1803">
        <v>2118.482443631005</v>
      </c>
      <c r="V82" s="2798">
        <f>T82-U82</f>
        <v>0</v>
      </c>
    </row>
    <row r="83" spans="1:22" hidden="1" x14ac:dyDescent="0.25">
      <c r="A83" s="2819" t="s">
        <v>2649</v>
      </c>
      <c r="B83" s="2805">
        <f t="shared" si="21"/>
        <v>0</v>
      </c>
      <c r="C83" s="1803">
        <f t="shared" si="21"/>
        <v>1928.6109357995845</v>
      </c>
      <c r="D83" s="2798"/>
      <c r="E83" s="1803">
        <f t="shared" si="20"/>
        <v>0</v>
      </c>
      <c r="F83" s="1803">
        <f t="shared" si="20"/>
        <v>114550.20357229681</v>
      </c>
      <c r="G83" s="2806"/>
      <c r="H83" s="2805">
        <v>0</v>
      </c>
      <c r="I83" s="1803">
        <v>1871.3147232037531</v>
      </c>
      <c r="J83" s="2798"/>
      <c r="K83" s="1803">
        <v>0</v>
      </c>
      <c r="L83" s="1803">
        <v>58842.104882484571</v>
      </c>
      <c r="M83" s="2816"/>
      <c r="N83" s="2809">
        <v>0</v>
      </c>
      <c r="O83" s="1803">
        <v>57.296212595831371</v>
      </c>
      <c r="P83" s="2798"/>
      <c r="Q83" s="1803">
        <v>0</v>
      </c>
      <c r="R83" s="1803">
        <v>53589.616246181242</v>
      </c>
      <c r="S83" s="2798"/>
      <c r="T83" s="1803"/>
      <c r="U83" s="1803">
        <v>2118.482443631005</v>
      </c>
      <c r="V83" s="2798"/>
    </row>
    <row r="84" spans="1:22" hidden="1" x14ac:dyDescent="0.25">
      <c r="A84" s="2819" t="s">
        <v>1027</v>
      </c>
      <c r="B84" s="2805">
        <f t="shared" si="21"/>
        <v>1983.0079765664502</v>
      </c>
      <c r="C84" s="1803">
        <f t="shared" si="21"/>
        <v>1928.6109357995847</v>
      </c>
      <c r="D84" s="2798">
        <f>B84-C84</f>
        <v>54.39704076686553</v>
      </c>
      <c r="E84" s="1803">
        <f t="shared" si="20"/>
        <v>144072.49903783671</v>
      </c>
      <c r="F84" s="1803">
        <f t="shared" si="20"/>
        <v>113598.9977398976</v>
      </c>
      <c r="G84" s="2806">
        <f>E84/F84-1</f>
        <v>0.26825501900741133</v>
      </c>
      <c r="H84" s="2805">
        <v>1871.3147232037534</v>
      </c>
      <c r="I84" s="1803">
        <v>1871.3147232037534</v>
      </c>
      <c r="J84" s="2798">
        <f>H84-I84</f>
        <v>0</v>
      </c>
      <c r="K84" s="1803">
        <v>58737.151168351273</v>
      </c>
      <c r="L84" s="1803">
        <v>58737.151168351273</v>
      </c>
      <c r="M84" s="2816">
        <f>K84-L84</f>
        <v>0</v>
      </c>
      <c r="N84" s="2809">
        <v>111.69325336269685</v>
      </c>
      <c r="O84" s="1803">
        <v>57.296212595831378</v>
      </c>
      <c r="P84" s="2798">
        <f>N84-O84</f>
        <v>54.397040766865473</v>
      </c>
      <c r="Q84" s="1803">
        <v>83216.865425854412</v>
      </c>
      <c r="R84" s="1803">
        <v>52743.364127915331</v>
      </c>
      <c r="S84" s="2798">
        <f>Q84-R84</f>
        <v>30473.501297939081</v>
      </c>
      <c r="T84" s="1803">
        <v>2118.4824436310055</v>
      </c>
      <c r="U84" s="1803">
        <v>2118.4824436310055</v>
      </c>
      <c r="V84" s="2798">
        <f>T84-U84</f>
        <v>0</v>
      </c>
    </row>
    <row r="85" spans="1:22" hidden="1" x14ac:dyDescent="0.25">
      <c r="A85" s="2819" t="s">
        <v>2300</v>
      </c>
      <c r="B85" s="2805">
        <f t="shared" si="21"/>
        <v>2916.4938472820072</v>
      </c>
      <c r="C85" s="1803">
        <f t="shared" si="21"/>
        <v>2862.0968065151419</v>
      </c>
      <c r="D85" s="2798">
        <f>B85-C85</f>
        <v>54.397040766865302</v>
      </c>
      <c r="E85" s="1803">
        <f t="shared" si="20"/>
        <v>165219.19052658157</v>
      </c>
      <c r="F85" s="1803">
        <f t="shared" si="20"/>
        <v>134177.79795409623</v>
      </c>
      <c r="G85" s="2806">
        <f>E85/F85-1</f>
        <v>0.23134522287439063</v>
      </c>
      <c r="H85" s="2805">
        <v>2804.8005939193104</v>
      </c>
      <c r="I85" s="1803">
        <v>2804.8005939193104</v>
      </c>
      <c r="J85" s="2798">
        <f>H85-I85</f>
        <v>0</v>
      </c>
      <c r="K85" s="1803">
        <v>66045.532900549122</v>
      </c>
      <c r="L85" s="1803">
        <v>66045.532900549122</v>
      </c>
      <c r="M85" s="2816">
        <f>K85-L85</f>
        <v>0</v>
      </c>
      <c r="N85" s="2809">
        <v>111.69325336269685</v>
      </c>
      <c r="O85" s="1803">
        <v>57.296212595831371</v>
      </c>
      <c r="P85" s="2798">
        <f>N85-O85</f>
        <v>54.39704076686548</v>
      </c>
      <c r="Q85" s="1803">
        <v>97055.17518240145</v>
      </c>
      <c r="R85" s="1803">
        <v>66013.782609916088</v>
      </c>
      <c r="S85" s="2798">
        <f>Q85-R85</f>
        <v>31041.392572485362</v>
      </c>
      <c r="T85" s="1803">
        <v>2118.482443631005</v>
      </c>
      <c r="U85" s="1803">
        <v>2118.482443631005</v>
      </c>
      <c r="V85" s="2798">
        <f>T85-U85</f>
        <v>0</v>
      </c>
    </row>
    <row r="86" spans="1:22" ht="13.8" hidden="1" thickBot="1" x14ac:dyDescent="0.3">
      <c r="A86" s="2820"/>
      <c r="B86" s="2810"/>
      <c r="C86" s="2811"/>
      <c r="D86" s="2799"/>
      <c r="E86" s="2817">
        <f t="shared" si="20"/>
        <v>0</v>
      </c>
      <c r="F86" s="2817">
        <f t="shared" si="20"/>
        <v>0</v>
      </c>
      <c r="G86" s="2812"/>
      <c r="H86" s="2823"/>
      <c r="I86" s="2799"/>
      <c r="J86" s="2799"/>
      <c r="K86" s="2799"/>
      <c r="L86" s="2799"/>
      <c r="M86" s="2812"/>
      <c r="N86" s="2813"/>
      <c r="O86" s="2799"/>
      <c r="P86" s="2799"/>
      <c r="Q86" s="2799"/>
      <c r="R86" s="2799"/>
      <c r="S86" s="2799"/>
      <c r="T86" s="2783"/>
      <c r="U86" s="2783"/>
      <c r="V86" s="2783"/>
    </row>
    <row r="87" spans="1:22" ht="30.6" hidden="1" customHeight="1" thickBot="1" x14ac:dyDescent="0.3">
      <c r="A87" s="2825" t="s">
        <v>3367</v>
      </c>
    </row>
    <row r="88" spans="1:22" hidden="1" x14ac:dyDescent="0.25">
      <c r="A88" s="2826" t="s">
        <v>2254</v>
      </c>
      <c r="B88" s="2828">
        <f>B72/B81-1</f>
        <v>5.0327836110527047E-2</v>
      </c>
      <c r="C88" s="2829">
        <f>C72/C81-1</f>
        <v>-2.6507578247688679E-3</v>
      </c>
      <c r="D88" s="2829"/>
      <c r="E88" s="2829">
        <f>E72/E81-1</f>
        <v>6.6343698656326389E-2</v>
      </c>
      <c r="F88" s="2829">
        <f>F72/F81-1</f>
        <v>4.6317528258671414E-2</v>
      </c>
      <c r="G88" s="2830"/>
      <c r="H88" s="2828">
        <f>H72/H81-1</f>
        <v>-7.0116082478151154E-2</v>
      </c>
      <c r="I88" s="2829">
        <f>I72/I81-1</f>
        <v>-7.0116082478151154E-2</v>
      </c>
      <c r="J88" s="2829"/>
      <c r="K88" s="2829">
        <f>K72/K81-1</f>
        <v>4.8981923881927347E-2</v>
      </c>
      <c r="L88" s="2829">
        <f>L72/L81-1</f>
        <v>4.8981923881927347E-2</v>
      </c>
      <c r="M88" s="2830"/>
      <c r="N88" s="2824">
        <f>N72/N81-1</f>
        <v>1.2752493310833577</v>
      </c>
      <c r="O88" s="2814">
        <f>O72/O81-1</f>
        <v>1.3348838245851744</v>
      </c>
      <c r="P88" s="2814"/>
      <c r="Q88" s="2814">
        <f>Q72/Q81-1</f>
        <v>7.7363045446132928E-2</v>
      </c>
      <c r="R88" s="2814">
        <f>R72/R81-1</f>
        <v>3.9129496880577319E-2</v>
      </c>
      <c r="S88" s="2814"/>
      <c r="T88" s="2814">
        <f>T72/T81-1</f>
        <v>0.12820382684101284</v>
      </c>
      <c r="U88" s="2814">
        <f>U72/U81-1</f>
        <v>0.12820382684101284</v>
      </c>
      <c r="V88" s="2814"/>
    </row>
    <row r="89" spans="1:22" hidden="1" x14ac:dyDescent="0.25">
      <c r="A89" s="2819" t="s">
        <v>3</v>
      </c>
      <c r="B89" s="2831">
        <f t="shared" ref="B89:Q92" si="22">B73/B82-1</f>
        <v>0.16213378212642793</v>
      </c>
      <c r="C89" s="2814">
        <f t="shared" si="22"/>
        <v>0.10065733926168252</v>
      </c>
      <c r="D89" s="2814"/>
      <c r="E89" s="2814">
        <f t="shared" si="22"/>
        <v>8.7274927199106234E-2</v>
      </c>
      <c r="F89" s="2814">
        <f t="shared" si="22"/>
        <v>7.7811201202300451E-2</v>
      </c>
      <c r="G89" s="2832"/>
      <c r="H89" s="2831">
        <f t="shared" si="22"/>
        <v>1.9565780556688672E-2</v>
      </c>
      <c r="I89" s="2814">
        <f t="shared" si="22"/>
        <v>1.9565780556688672E-2</v>
      </c>
      <c r="J89" s="2814"/>
      <c r="K89" s="2814">
        <f t="shared" si="22"/>
        <v>7.1942838483207927E-2</v>
      </c>
      <c r="L89" s="2814">
        <f t="shared" si="22"/>
        <v>7.1942838483207927E-2</v>
      </c>
      <c r="M89" s="2832"/>
      <c r="N89" s="2824">
        <f t="shared" si="22"/>
        <v>1.2752493310833577</v>
      </c>
      <c r="O89" s="2814">
        <f t="shared" si="22"/>
        <v>1.3348838245851744</v>
      </c>
      <c r="P89" s="2814"/>
      <c r="Q89" s="2814">
        <f t="shared" si="22"/>
        <v>9.744053328918012E-2</v>
      </c>
      <c r="R89" s="2814">
        <f>R73/R82-1</f>
        <v>8.2594578556627329E-2</v>
      </c>
      <c r="S89" s="2814"/>
      <c r="T89" s="2814">
        <f>T73/T82-1</f>
        <v>0.12820382684101284</v>
      </c>
      <c r="U89" s="2814">
        <f>U73/U82-1</f>
        <v>0.12820382684101284</v>
      </c>
      <c r="V89" s="2814"/>
    </row>
    <row r="90" spans="1:22" hidden="1" x14ac:dyDescent="0.25">
      <c r="A90" s="2819" t="s">
        <v>2649</v>
      </c>
      <c r="B90" s="2831"/>
      <c r="C90" s="2814">
        <f t="shared" si="22"/>
        <v>4.2154206787544668E-2</v>
      </c>
      <c r="D90" s="2814"/>
      <c r="E90" s="2814"/>
      <c r="F90" s="2814">
        <f t="shared" si="22"/>
        <v>2.8400442131470527E-2</v>
      </c>
      <c r="G90" s="2832"/>
      <c r="H90" s="2831"/>
      <c r="I90" s="2814">
        <f t="shared" si="22"/>
        <v>2.5732052105074121E-3</v>
      </c>
      <c r="J90" s="2814"/>
      <c r="K90" s="2814"/>
      <c r="L90" s="2814">
        <f t="shared" si="22"/>
        <v>2.7379970868360193E-2</v>
      </c>
      <c r="M90" s="2832"/>
      <c r="N90" s="2824"/>
      <c r="O90" s="2814">
        <f t="shared" si="22"/>
        <v>1.3348838245851744</v>
      </c>
      <c r="P90" s="2814"/>
      <c r="Q90" s="2814"/>
      <c r="R90" s="2814">
        <f>R74/R83-1</f>
        <v>2.5575547089617734E-2</v>
      </c>
      <c r="S90" s="2814"/>
      <c r="T90" s="2814"/>
      <c r="U90" s="2814">
        <f>U74/U83-1</f>
        <v>0.12820382684101284</v>
      </c>
      <c r="V90" s="2814"/>
    </row>
    <row r="91" spans="1:22" hidden="1" x14ac:dyDescent="0.25">
      <c r="A91" s="2819" t="s">
        <v>1027</v>
      </c>
      <c r="B91" s="2831">
        <f t="shared" si="22"/>
        <v>7.4256899202450377E-2</v>
      </c>
      <c r="C91" s="2814">
        <f t="shared" si="22"/>
        <v>4.2154206787544446E-2</v>
      </c>
      <c r="D91" s="2814"/>
      <c r="E91" s="2814">
        <f t="shared" si="22"/>
        <v>4.6905072149741267E-2</v>
      </c>
      <c r="F91" s="2814">
        <f t="shared" si="22"/>
        <v>3.7011614043718888E-2</v>
      </c>
      <c r="G91" s="2832"/>
      <c r="H91" s="2831">
        <f t="shared" si="22"/>
        <v>2.5732052105071901E-3</v>
      </c>
      <c r="I91" s="2814">
        <f t="shared" si="22"/>
        <v>2.5732052105071901E-3</v>
      </c>
      <c r="J91" s="2814"/>
      <c r="K91" s="2814">
        <f t="shared" si="22"/>
        <v>2.9215731398518408E-2</v>
      </c>
      <c r="L91" s="2814">
        <f t="shared" si="22"/>
        <v>2.9215731398518408E-2</v>
      </c>
      <c r="M91" s="2832"/>
      <c r="N91" s="2824">
        <f t="shared" si="22"/>
        <v>1.2752493310833577</v>
      </c>
      <c r="O91" s="2814">
        <f t="shared" si="22"/>
        <v>1.3348838245851744</v>
      </c>
      <c r="P91" s="2814"/>
      <c r="Q91" s="2814">
        <f t="shared" si="22"/>
        <v>5.7321127751389422E-2</v>
      </c>
      <c r="R91" s="2814">
        <f>R75/R84-1</f>
        <v>4.2030611978187471E-2</v>
      </c>
      <c r="S91" s="2814"/>
      <c r="T91" s="2814">
        <f>T75/T84-1</f>
        <v>0.12820382684101239</v>
      </c>
      <c r="U91" s="2814">
        <f>U75/U84-1</f>
        <v>0.12820382684101239</v>
      </c>
      <c r="V91" s="2814"/>
    </row>
    <row r="92" spans="1:22" ht="13.8" hidden="1" thickBot="1" x14ac:dyDescent="0.3">
      <c r="A92" s="2827" t="s">
        <v>2300</v>
      </c>
      <c r="B92" s="2833">
        <f t="shared" si="22"/>
        <v>-0.2695818638584575</v>
      </c>
      <c r="C92" s="2834">
        <f t="shared" si="22"/>
        <v>-0.29774912035653867</v>
      </c>
      <c r="D92" s="2834"/>
      <c r="E92" s="2834">
        <f t="shared" si="22"/>
        <v>-8.7090128457363414E-2</v>
      </c>
      <c r="F92" s="2834">
        <f t="shared" si="22"/>
        <v>-0.12203448114194027</v>
      </c>
      <c r="G92" s="2835"/>
      <c r="H92" s="2833">
        <f t="shared" si="22"/>
        <v>-0.33110039834297988</v>
      </c>
      <c r="I92" s="2834">
        <f t="shared" si="22"/>
        <v>-0.33110039834297988</v>
      </c>
      <c r="J92" s="2834"/>
      <c r="K92" s="2834">
        <f t="shared" si="22"/>
        <v>-8.4673900791595091E-2</v>
      </c>
      <c r="L92" s="2834">
        <f t="shared" si="22"/>
        <v>-8.4673900791595091E-2</v>
      </c>
      <c r="M92" s="2835"/>
      <c r="N92" s="2824">
        <f t="shared" si="22"/>
        <v>1.2752493310833577</v>
      </c>
      <c r="O92" s="2814">
        <f t="shared" si="22"/>
        <v>1.3348838245851744</v>
      </c>
      <c r="P92" s="2814"/>
      <c r="Q92" s="2814">
        <f t="shared" si="22"/>
        <v>-9.3433710931529523E-2</v>
      </c>
      <c r="R92" s="2814">
        <f>R76/R85-1</f>
        <v>-0.16744355758604423</v>
      </c>
      <c r="S92" s="2814"/>
      <c r="T92" s="2814">
        <f>T76/T85-1</f>
        <v>0.12820382684101284</v>
      </c>
      <c r="U92" s="2814">
        <f>U76/U85-1</f>
        <v>0.12820382684101284</v>
      </c>
      <c r="V92" s="2814"/>
    </row>
    <row r="93" spans="1:22" hidden="1" x14ac:dyDescent="0.25">
      <c r="B93" s="4971" t="s">
        <v>644</v>
      </c>
      <c r="C93" s="4971"/>
      <c r="D93" s="4971"/>
      <c r="E93" s="4971" t="s">
        <v>643</v>
      </c>
      <c r="F93" s="4971"/>
      <c r="G93" s="4971"/>
    </row>
    <row r="94" spans="1:22" s="3776" customFormat="1" hidden="1" x14ac:dyDescent="0.25">
      <c r="A94" s="1611" t="s">
        <v>3367</v>
      </c>
      <c r="B94" s="4107" t="str">
        <f>'Вхідні дані'!F6</f>
        <v>2023-2024</v>
      </c>
      <c r="C94" s="4107" t="s">
        <v>2380</v>
      </c>
      <c r="D94" s="4107" t="s">
        <v>2372</v>
      </c>
      <c r="E94" s="4107" t="str">
        <f>B94</f>
        <v>2023-2024</v>
      </c>
      <c r="F94" s="4107" t="s">
        <v>2380</v>
      </c>
      <c r="G94" s="4107" t="s">
        <v>2372</v>
      </c>
      <c r="J94" s="4109"/>
    </row>
    <row r="95" spans="1:22" hidden="1" x14ac:dyDescent="0.25">
      <c r="A95" s="1814" t="s">
        <v>2254</v>
      </c>
      <c r="B95" s="2135">
        <f>'Д 5 Т на ТЕ з ЦТП'!D22*1.2</f>
        <v>2982.6000000000004</v>
      </c>
      <c r="C95" s="2135">
        <v>2682.2635471250146</v>
      </c>
      <c r="D95" s="2993">
        <f>B95/C95-1</f>
        <v>0.11197126889223896</v>
      </c>
      <c r="E95" s="2135">
        <f>'Д 5.1 Т на ТЕ без ЦТП'!D22*1.2</f>
        <v>2502.072612621439</v>
      </c>
      <c r="F95" s="2135">
        <v>2346.2809521606996</v>
      </c>
      <c r="G95" s="2993">
        <f>E95/F95-1</f>
        <v>6.6399405543172696E-2</v>
      </c>
    </row>
    <row r="96" spans="1:22" hidden="1" x14ac:dyDescent="0.25">
      <c r="A96" s="1814" t="s">
        <v>3</v>
      </c>
      <c r="B96" s="2135">
        <f>'Д 5 Т на ТЕ з ЦТП'!E22*1.2</f>
        <v>2749.9320000000002</v>
      </c>
      <c r="C96" s="2135">
        <v>2315.4369957292879</v>
      </c>
      <c r="D96" s="2993">
        <f>B96/C96-1</f>
        <v>0.18765140449604867</v>
      </c>
      <c r="E96" s="2135">
        <f>'Д 5.1 Т на ТЕ без ЦТП'!E22*1.2</f>
        <v>2272.1646126214391</v>
      </c>
      <c r="F96" s="2135">
        <v>1977.1316777403304</v>
      </c>
      <c r="G96" s="2993">
        <f>E96/F96-1</f>
        <v>0.14922270388095882</v>
      </c>
    </row>
    <row r="97" spans="1:18" hidden="1" x14ac:dyDescent="0.25">
      <c r="A97" s="1814" t="s">
        <v>2649</v>
      </c>
      <c r="B97" s="2135">
        <f>'Д 5 Т на ТЕ з ЦТП'!F22*1.2</f>
        <v>0</v>
      </c>
      <c r="C97" s="2135">
        <v>0</v>
      </c>
      <c r="D97" s="2993">
        <v>0</v>
      </c>
      <c r="E97" s="2135">
        <f>'Д 5.1 Т на ТЕ без ЦТП'!F22*1.2</f>
        <v>3629.4846126214402</v>
      </c>
      <c r="F97" s="2135">
        <v>3374.3140723179072</v>
      </c>
      <c r="G97" s="2993">
        <f>E97/F97-1</f>
        <v>7.5621455156440032E-2</v>
      </c>
    </row>
    <row r="98" spans="1:18" hidden="1" x14ac:dyDescent="0.25">
      <c r="A98" s="1814" t="s">
        <v>1027</v>
      </c>
      <c r="B98" s="2135">
        <f>'Д 5 Т на ТЕ з ЦТП'!G22*1.2</f>
        <v>4124.0519999999997</v>
      </c>
      <c r="C98" s="2135">
        <v>3727.0178061257243</v>
      </c>
      <c r="D98" s="2993">
        <f>B98/C98-1</f>
        <v>0.10652865495348851</v>
      </c>
      <c r="E98" s="2135">
        <f>'Д 5.1 Т на ТЕ без ЦТП'!G22*1.2</f>
        <v>3629.4846126214402</v>
      </c>
      <c r="F98" s="2135">
        <v>3366.1043421441254</v>
      </c>
      <c r="G98" s="2993">
        <f>E98/F98-1</f>
        <v>7.8244832514475116E-2</v>
      </c>
    </row>
    <row r="99" spans="1:18" hidden="1" x14ac:dyDescent="0.25">
      <c r="A99" s="1814" t="s">
        <v>2300</v>
      </c>
      <c r="B99" s="2135">
        <f>'Д 5 Т на ТЕ з ЦТП'!H22*1.2</f>
        <v>4124.0519999999997</v>
      </c>
      <c r="C99" s="2135">
        <v>5045.6879484757874</v>
      </c>
      <c r="D99" s="2993">
        <f>B99/C99-1</f>
        <v>-0.18265813460663927</v>
      </c>
      <c r="E99" s="2135">
        <f>'Д 5.1 Т на ТЕ без ЦТП'!H22*1.2</f>
        <v>3629.4846126214402</v>
      </c>
      <c r="F99" s="2135">
        <v>4679.2652112747337</v>
      </c>
      <c r="G99" s="2993">
        <f>E99/F99-1</f>
        <v>-0.22434731763522131</v>
      </c>
    </row>
    <row r="100" spans="1:18" ht="13.8" thickBot="1" x14ac:dyDescent="0.3"/>
    <row r="101" spans="1:18" x14ac:dyDescent="0.25">
      <c r="A101" s="4966" t="s">
        <v>4129</v>
      </c>
      <c r="B101" s="4968" t="s">
        <v>1894</v>
      </c>
      <c r="C101" s="4968"/>
      <c r="D101" s="4969"/>
      <c r="E101" s="4995" t="s">
        <v>2648</v>
      </c>
      <c r="F101" s="4995"/>
      <c r="G101" s="4379"/>
      <c r="H101" s="4982" t="s">
        <v>2257</v>
      </c>
      <c r="I101" s="4982"/>
      <c r="J101" s="4380"/>
      <c r="K101" s="4998" t="s">
        <v>3361</v>
      </c>
      <c r="L101" s="4980"/>
      <c r="M101" s="4999"/>
      <c r="N101" s="4982" t="s">
        <v>2233</v>
      </c>
      <c r="O101" s="4998"/>
      <c r="P101" s="4979" t="s">
        <v>2829</v>
      </c>
      <c r="Q101" s="4980"/>
      <c r="R101" s="4981"/>
    </row>
    <row r="102" spans="1:18" ht="27" thickBot="1" x14ac:dyDescent="0.3">
      <c r="A102" s="4967"/>
      <c r="B102" s="2786" t="s">
        <v>2391</v>
      </c>
      <c r="C102" s="2764" t="s">
        <v>2390</v>
      </c>
      <c r="D102" s="2787" t="s">
        <v>2643</v>
      </c>
      <c r="E102" s="2763" t="s">
        <v>2391</v>
      </c>
      <c r="F102" s="2764" t="s">
        <v>2390</v>
      </c>
      <c r="G102" s="2787" t="s">
        <v>2643</v>
      </c>
      <c r="H102" s="2763" t="s">
        <v>2391</v>
      </c>
      <c r="I102" s="2764" t="s">
        <v>2390</v>
      </c>
      <c r="J102" s="2787" t="s">
        <v>2643</v>
      </c>
      <c r="K102" s="2763" t="s">
        <v>2391</v>
      </c>
      <c r="L102" s="2764" t="s">
        <v>2390</v>
      </c>
      <c r="M102" s="2787" t="s">
        <v>2643</v>
      </c>
      <c r="N102" s="2763" t="s">
        <v>2391</v>
      </c>
      <c r="O102" s="2875" t="s">
        <v>2390</v>
      </c>
      <c r="P102" s="2821" t="s">
        <v>2391</v>
      </c>
      <c r="Q102" s="2764" t="s">
        <v>2390</v>
      </c>
      <c r="R102" s="2908" t="s">
        <v>2643</v>
      </c>
    </row>
    <row r="103" spans="1:18" x14ac:dyDescent="0.25">
      <c r="A103" s="2792" t="s">
        <v>1890</v>
      </c>
      <c r="B103" s="3211">
        <f>B63/B36</f>
        <v>4.6341463414634146E-2</v>
      </c>
      <c r="C103" s="3211">
        <f>C63/C36</f>
        <v>4.6341463414634132E-2</v>
      </c>
      <c r="D103" s="2802">
        <f>B103-C103</f>
        <v>0</v>
      </c>
      <c r="E103" s="3211">
        <f>E63/'Д 3_Т на Т з ЦТП'!G37</f>
        <v>4.6341463414634146E-2</v>
      </c>
      <c r="F103" s="3211">
        <f>F63/'ТЕ_2ст_тариф_з ЦТП'!E112</f>
        <v>4.6341463414634139E-2</v>
      </c>
      <c r="G103" s="2779">
        <f>E103-F103</f>
        <v>0</v>
      </c>
      <c r="H103" s="3211">
        <f>H63/'Д 3.1_Т на Т без ЦТП'!G37</f>
        <v>4.6341463414634146E-2</v>
      </c>
      <c r="I103" s="3211">
        <f>I63/'ТЕ_2ст_тариф_без ЦТП'!E112</f>
        <v>4.6341463414634146E-2</v>
      </c>
      <c r="J103" s="2779">
        <f>H103-I103</f>
        <v>0</v>
      </c>
      <c r="K103" s="3211"/>
      <c r="L103" s="3211"/>
      <c r="M103" s="2779">
        <f>K103-L103</f>
        <v>0</v>
      </c>
      <c r="N103" s="3211">
        <f>N63/K36</f>
        <v>4.6341463414634146E-2</v>
      </c>
      <c r="O103" s="3211">
        <f>O63/L36</f>
        <v>4.6341463414634146E-2</v>
      </c>
      <c r="P103" s="4402">
        <f>P63/N36</f>
        <v>4.9560364297817204E-2</v>
      </c>
      <c r="Q103" s="4402">
        <f>Q63/O36</f>
        <v>4.8718216737300403E-2</v>
      </c>
      <c r="R103" s="2909">
        <f>P103-Q103</f>
        <v>8.4214756051680106E-4</v>
      </c>
    </row>
    <row r="104" spans="1:18" x14ac:dyDescent="0.25">
      <c r="A104" s="2765" t="s">
        <v>3</v>
      </c>
      <c r="B104" s="3211">
        <f t="shared" ref="B104:C107" si="23">B64/B37</f>
        <v>4.6341463414634146E-2</v>
      </c>
      <c r="C104" s="3211">
        <f t="shared" si="23"/>
        <v>4.6341463414634139E-2</v>
      </c>
      <c r="D104" s="2802">
        <f>B104-C104</f>
        <v>0</v>
      </c>
      <c r="E104" s="3211">
        <f>E64/'Д 3_Т на Т з ЦТП'!H37</f>
        <v>4.6341463414634139E-2</v>
      </c>
      <c r="F104" s="3211">
        <f>F64/'ТЕ_2ст_тариф_з ЦТП'!H112</f>
        <v>4.6341463414634146E-2</v>
      </c>
      <c r="G104" s="2779">
        <f>E104-F104</f>
        <v>0</v>
      </c>
      <c r="H104" s="3211">
        <f>H64/'Д 3.1_Т на Т без ЦТП'!H37</f>
        <v>4.6341463414634146E-2</v>
      </c>
      <c r="I104" s="3211">
        <f>I64/'ТЕ_2ст_тариф_без ЦТП'!H112</f>
        <v>4.6341463414634139E-2</v>
      </c>
      <c r="J104" s="2779">
        <f>H104-I104</f>
        <v>0</v>
      </c>
      <c r="K104" s="3211"/>
      <c r="L104" s="3211"/>
      <c r="M104" s="2779">
        <f>K104-L104</f>
        <v>0</v>
      </c>
      <c r="N104" s="3211">
        <f t="shared" ref="N104:N107" si="24">N64/K37</f>
        <v>4.6341463414634146E-2</v>
      </c>
      <c r="O104" s="3211">
        <f t="shared" ref="O104:O107" si="25">O64/L37</f>
        <v>4.6341423103838632E-2</v>
      </c>
      <c r="P104" s="4402">
        <f t="shared" ref="P104:P107" si="26">P64/N37</f>
        <v>4.9472367400189517E-2</v>
      </c>
      <c r="Q104" s="4402">
        <f t="shared" ref="Q104:Q107" si="27">Q64/O37</f>
        <v>4.8545890949163652E-2</v>
      </c>
      <c r="R104" s="2909">
        <f>P104-Q104</f>
        <v>9.2647645102586496E-4</v>
      </c>
    </row>
    <row r="105" spans="1:18" x14ac:dyDescent="0.25">
      <c r="A105" s="2765" t="s">
        <v>2649</v>
      </c>
      <c r="B105" s="3211">
        <f t="shared" si="23"/>
        <v>4.6341463414634146E-2</v>
      </c>
      <c r="C105" s="3211">
        <f t="shared" si="23"/>
        <v>4.6353768704607855E-2</v>
      </c>
      <c r="D105" s="2802">
        <f>B105-C105</f>
        <v>-1.2305289973708888E-5</v>
      </c>
      <c r="E105" s="3211">
        <v>0</v>
      </c>
      <c r="F105" s="3211">
        <v>0</v>
      </c>
      <c r="G105" s="2779">
        <f>E105-F105</f>
        <v>0</v>
      </c>
      <c r="H105" s="3211">
        <f>H65/'Д 3.1_Т на Т без ЦТП'!I37</f>
        <v>4.6341463414634139E-2</v>
      </c>
      <c r="I105" s="3211">
        <f>I65/'ТЕ_2ст_тариф_без ЦТП'!K112</f>
        <v>4.6341463414634146E-2</v>
      </c>
      <c r="J105" s="2779">
        <f>H105-I105</f>
        <v>0</v>
      </c>
      <c r="K105" s="3211"/>
      <c r="L105" s="3211"/>
      <c r="M105" s="2779">
        <f>K105-L105</f>
        <v>0</v>
      </c>
      <c r="N105" s="3211">
        <f t="shared" si="24"/>
        <v>4.6341463414634132E-2</v>
      </c>
      <c r="O105" s="3211">
        <f t="shared" si="25"/>
        <v>4.6341660918490034E-2</v>
      </c>
      <c r="P105" s="4402">
        <f t="shared" si="26"/>
        <v>4.9838070064598707E-2</v>
      </c>
      <c r="Q105" s="4402">
        <f t="shared" si="27"/>
        <v>4.9267247662772899E-2</v>
      </c>
      <c r="R105" s="2909">
        <f>P105-Q105</f>
        <v>5.7082240182580735E-4</v>
      </c>
    </row>
    <row r="106" spans="1:18" x14ac:dyDescent="0.25">
      <c r="A106" s="1814" t="s">
        <v>1027</v>
      </c>
      <c r="B106" s="3211">
        <f t="shared" si="23"/>
        <v>4.6341463414634139E-2</v>
      </c>
      <c r="C106" s="3211">
        <f t="shared" si="23"/>
        <v>4.6359173554048672E-2</v>
      </c>
      <c r="D106" s="2802">
        <f>B106-C106</f>
        <v>-1.7710139414532644E-5</v>
      </c>
      <c r="E106" s="3211">
        <f>E66/'Д 3_Т на Т з ЦТП'!J37</f>
        <v>4.6341463414634146E-2</v>
      </c>
      <c r="F106" s="3211">
        <f>F66/'ТЕ_2ст_тариф_з ЦТП'!N112</f>
        <v>4.6341463414634188E-2</v>
      </c>
      <c r="G106" s="2779">
        <f>E106-F106</f>
        <v>0</v>
      </c>
      <c r="H106" s="3211">
        <f>H66/'Д 3.1_Т на Т без ЦТП'!J37</f>
        <v>4.6341463414634118E-2</v>
      </c>
      <c r="I106" s="3211">
        <f>I66/'ТЕ_2ст_тариф_без ЦТП'!N112</f>
        <v>4.6341463414634153E-2</v>
      </c>
      <c r="J106" s="2779">
        <f>H106-I106</f>
        <v>0</v>
      </c>
      <c r="K106" s="3211"/>
      <c r="L106" s="3211"/>
      <c r="M106" s="2779">
        <f>K106-L106</f>
        <v>0</v>
      </c>
      <c r="N106" s="3211">
        <f t="shared" si="24"/>
        <v>4.6341463414634146E-2</v>
      </c>
      <c r="O106" s="3211">
        <f t="shared" si="25"/>
        <v>4.6341660918490041E-2</v>
      </c>
      <c r="P106" s="4402">
        <f t="shared" si="26"/>
        <v>4.9835000948116548E-2</v>
      </c>
      <c r="Q106" s="4402">
        <f t="shared" si="27"/>
        <v>4.9268956739076233E-2</v>
      </c>
      <c r="R106" s="2909">
        <f>P106-Q106</f>
        <v>5.6604420904031449E-4</v>
      </c>
    </row>
    <row r="107" spans="1:18" x14ac:dyDescent="0.25">
      <c r="A107" s="1814" t="s">
        <v>2300</v>
      </c>
      <c r="B107" s="3211">
        <f t="shared" si="23"/>
        <v>4.6341463414634146E-2</v>
      </c>
      <c r="C107" s="3211">
        <f t="shared" si="23"/>
        <v>4.6288883866498792E-2</v>
      </c>
      <c r="D107" s="2802">
        <f>B107-C107</f>
        <v>5.2579548135353593E-5</v>
      </c>
      <c r="E107" s="3211">
        <f>E67/'Д 3_Т на Т з ЦТП'!K37</f>
        <v>4.6341463414634139E-2</v>
      </c>
      <c r="F107" s="3211">
        <f>F67/'ТЕ_2ст_тариф_з ЦТП'!Q112</f>
        <v>4.634146341463416E-2</v>
      </c>
      <c r="G107" s="2779">
        <f>E107-F107</f>
        <v>0</v>
      </c>
      <c r="H107" s="3211">
        <f>H67/'Д 3.1_Т на Т без ЦТП'!K37</f>
        <v>4.6341463414634132E-2</v>
      </c>
      <c r="I107" s="3211">
        <f>I67/'ТЕ_2ст_тариф_без ЦТП'!Q112</f>
        <v>4.6341463414634146E-2</v>
      </c>
      <c r="J107" s="2779">
        <f>H107-I107</f>
        <v>0</v>
      </c>
      <c r="K107" s="3211"/>
      <c r="L107" s="3211"/>
      <c r="M107" s="2779">
        <f>K107-L107</f>
        <v>0</v>
      </c>
      <c r="N107" s="3211">
        <f t="shared" si="24"/>
        <v>4.6341463414634146E-2</v>
      </c>
      <c r="O107" s="3211">
        <f t="shared" si="25"/>
        <v>4.6341660918490041E-2</v>
      </c>
      <c r="P107" s="4402">
        <f t="shared" si="26"/>
        <v>4.9829232128380758E-2</v>
      </c>
      <c r="Q107" s="4402">
        <f t="shared" si="27"/>
        <v>4.9206159232039713E-2</v>
      </c>
      <c r="R107" s="2909">
        <f>P107-Q107</f>
        <v>6.2307289634104535E-4</v>
      </c>
    </row>
    <row r="108" spans="1:18" ht="13.8" thickBot="1" x14ac:dyDescent="0.3"/>
    <row r="109" spans="1:18" ht="14.4" customHeight="1" x14ac:dyDescent="0.25">
      <c r="A109" s="4966" t="s">
        <v>4133</v>
      </c>
      <c r="B109" s="4968" t="s">
        <v>786</v>
      </c>
      <c r="C109" s="4968"/>
      <c r="D109" s="4969"/>
      <c r="E109" s="4968" t="s">
        <v>4136</v>
      </c>
      <c r="F109" s="4968"/>
      <c r="G109" s="4969"/>
      <c r="H109" s="4970" t="s">
        <v>4134</v>
      </c>
      <c r="I109" s="4968"/>
      <c r="J109" s="4969"/>
      <c r="K109" s="4968" t="s">
        <v>4135</v>
      </c>
      <c r="L109" s="4968"/>
      <c r="M109" s="4969"/>
    </row>
    <row r="110" spans="1:18" ht="27" thickBot="1" x14ac:dyDescent="0.3">
      <c r="A110" s="4967"/>
      <c r="B110" s="2786" t="s">
        <v>2391</v>
      </c>
      <c r="C110" s="2764" t="s">
        <v>2390</v>
      </c>
      <c r="D110" s="2787" t="s">
        <v>2643</v>
      </c>
      <c r="E110" s="2786" t="s">
        <v>2391</v>
      </c>
      <c r="F110" s="2764" t="s">
        <v>2390</v>
      </c>
      <c r="G110" s="2787" t="s">
        <v>2643</v>
      </c>
      <c r="H110" s="2786" t="s">
        <v>2391</v>
      </c>
      <c r="I110" s="2764" t="s">
        <v>2390</v>
      </c>
      <c r="J110" s="2787" t="s">
        <v>2643</v>
      </c>
      <c r="K110" s="2786" t="s">
        <v>2391</v>
      </c>
      <c r="L110" s="2764" t="s">
        <v>2390</v>
      </c>
      <c r="M110" s="2787" t="s">
        <v>2643</v>
      </c>
    </row>
    <row r="111" spans="1:18" x14ac:dyDescent="0.25">
      <c r="A111" s="2792" t="s">
        <v>1890</v>
      </c>
      <c r="B111" s="4404">
        <f>SUM(B112:B115)</f>
        <v>118804.3607936293</v>
      </c>
      <c r="C111" s="4404">
        <f t="shared" ref="C111:D111" si="28">SUM(C112:C115)</f>
        <v>118804.3607936293</v>
      </c>
      <c r="D111" s="4404">
        <f t="shared" si="28"/>
        <v>-7.4251715886930469E-13</v>
      </c>
      <c r="E111" s="4404">
        <f>SUM(E112:E115)</f>
        <v>106894.19194377559</v>
      </c>
      <c r="F111" s="4404">
        <f t="shared" ref="F111:M111" si="29">SUM(F112:F115)</f>
        <v>106894.19194377559</v>
      </c>
      <c r="G111" s="4404">
        <f t="shared" si="29"/>
        <v>0</v>
      </c>
      <c r="H111" s="4404">
        <f t="shared" si="29"/>
        <v>1959.8215398537277</v>
      </c>
      <c r="I111" s="4404">
        <f t="shared" si="29"/>
        <v>1959.8215398537277</v>
      </c>
      <c r="J111" s="4404">
        <f t="shared" si="29"/>
        <v>0</v>
      </c>
      <c r="K111" s="4404">
        <f t="shared" si="29"/>
        <v>9950.3473099999992</v>
      </c>
      <c r="L111" s="4404">
        <f t="shared" si="29"/>
        <v>9950.3473099999992</v>
      </c>
      <c r="M111" s="4404">
        <f t="shared" si="29"/>
        <v>-6.3504757008558954E-14</v>
      </c>
    </row>
    <row r="112" spans="1:18" x14ac:dyDescent="0.25">
      <c r="A112" s="2765" t="s">
        <v>3</v>
      </c>
      <c r="B112" s="4404">
        <f>'Д 8_Паливо'!I48</f>
        <v>83595.498291895157</v>
      </c>
      <c r="C112" s="4404">
        <f>'ТЕ_2ст_тариф_з ЦТП'!H39</f>
        <v>83593.980086793876</v>
      </c>
      <c r="D112" s="4405">
        <f>B112-C112</f>
        <v>1.5182051012816373</v>
      </c>
      <c r="E112" s="4404">
        <f>'Д 2_Т на В'!L15</f>
        <v>73702.346534835888</v>
      </c>
      <c r="F112" s="4404">
        <f>'ТЕ_2ст_тариф_з ЦТП'!H40</f>
        <v>73702.346534835888</v>
      </c>
      <c r="G112" s="4405">
        <f>E112-F112</f>
        <v>0</v>
      </c>
      <c r="H112" s="4404">
        <f>'Д 2_Т на В'!L16</f>
        <v>1627.9208258885981</v>
      </c>
      <c r="I112" s="4404">
        <f>'ТЕ_2ст_тариф_з ЦТП'!H41</f>
        <v>1627.9208258885981</v>
      </c>
      <c r="J112" s="4405">
        <f>H112-I112</f>
        <v>0</v>
      </c>
      <c r="K112" s="4404">
        <f>'Д 2_Т на В'!L17</f>
        <v>8265.2309311706831</v>
      </c>
      <c r="L112" s="4404">
        <f>'ТЕ_2ст_тариф_з ЦТП'!H42</f>
        <v>8263.7127260693997</v>
      </c>
      <c r="M112" s="4405">
        <f>K112-L112</f>
        <v>1.5182051012834563</v>
      </c>
    </row>
    <row r="113" spans="1:13" x14ac:dyDescent="0.25">
      <c r="A113" s="2765" t="s">
        <v>2649</v>
      </c>
      <c r="B113" s="4404">
        <f>'Д 8_Паливо'!I49</f>
        <v>27.936392068912724</v>
      </c>
      <c r="C113" s="4404">
        <f>'ТЕ_2ст_тариф_з ЦТП'!K39</f>
        <v>27.938022912465005</v>
      </c>
      <c r="D113" s="4405">
        <f>B113-C113</f>
        <v>-1.6308435522809361E-3</v>
      </c>
      <c r="E113" s="4404">
        <f>'Д 2_Т на В'!P15</f>
        <v>26.335994432913296</v>
      </c>
      <c r="F113" s="4404">
        <f>'ТЕ_2ст_тариф_з ЦТП'!K40</f>
        <v>26.335994432913296</v>
      </c>
      <c r="G113" s="4405">
        <f>E113-F113</f>
        <v>0</v>
      </c>
      <c r="H113" s="4404">
        <f>'Д 2_Т на В'!P16</f>
        <v>0.26334586846778241</v>
      </c>
      <c r="I113" s="4404">
        <f>'ТЕ_2ст_тариф_з ЦТП'!K41</f>
        <v>0.26334586846778241</v>
      </c>
      <c r="J113" s="4405">
        <f>H113-I113</f>
        <v>0</v>
      </c>
      <c r="K113" s="4404">
        <f>'Д 2_Т на В'!P17</f>
        <v>1.3370517675316425</v>
      </c>
      <c r="L113" s="4404">
        <f>'ТЕ_2ст_тариф_з ЦТП'!K42</f>
        <v>1.3386826110839265</v>
      </c>
      <c r="M113" s="4405">
        <f>K113-L113</f>
        <v>-1.6308435522840448E-3</v>
      </c>
    </row>
    <row r="114" spans="1:13" x14ac:dyDescent="0.25">
      <c r="A114" s="1814" t="s">
        <v>1027</v>
      </c>
      <c r="B114" s="4404">
        <f>'Д 8_Паливо'!I50</f>
        <v>26309.868198928565</v>
      </c>
      <c r="C114" s="4404">
        <f>'ТЕ_2ст_тариф_з ЦТП'!N39</f>
        <v>26311.580416022709</v>
      </c>
      <c r="D114" s="4405">
        <f>B114-C114</f>
        <v>-1.7122170941438526</v>
      </c>
      <c r="E114" s="4404">
        <f>'Д 2_Т на В'!T15</f>
        <v>24802.649558627585</v>
      </c>
      <c r="F114" s="4404">
        <f>'ТЕ_2ст_тариф_з ЦТП'!N40</f>
        <v>24802.649558627585</v>
      </c>
      <c r="G114" s="4405">
        <f>E114-F114</f>
        <v>0</v>
      </c>
      <c r="H114" s="4404">
        <f>'Д 2_Т на В'!T16</f>
        <v>248.01323925539364</v>
      </c>
      <c r="I114" s="4404">
        <f>'ТЕ_2ст_тариф_з ЦТП'!N41</f>
        <v>248.01323925539364</v>
      </c>
      <c r="J114" s="4405">
        <f>H114-I114</f>
        <v>0</v>
      </c>
      <c r="K114" s="4404">
        <f>'Д 2_Т на В'!T17</f>
        <v>1259.205401045587</v>
      </c>
      <c r="L114" s="4404">
        <f>'ТЕ_2ст_тариф_з ЦТП'!N42</f>
        <v>1260.9176181397318</v>
      </c>
      <c r="M114" s="4405">
        <f>K114-L114</f>
        <v>-1.7122170941447621</v>
      </c>
    </row>
    <row r="115" spans="1:13" x14ac:dyDescent="0.25">
      <c r="A115" s="1814" t="s">
        <v>2300</v>
      </c>
      <c r="B115" s="4404">
        <f>'Д 8_Паливо'!I51</f>
        <v>8871.0579107366611</v>
      </c>
      <c r="C115" s="4404">
        <f>'ТЕ_2ст_тариф_з ЦТП'!Q39</f>
        <v>8870.8622679002474</v>
      </c>
      <c r="D115" s="4405">
        <f>B115-C115</f>
        <v>0.19564283641375368</v>
      </c>
      <c r="E115" s="4404">
        <f>'Д 2_Т на В'!X15</f>
        <v>8362.8598558791964</v>
      </c>
      <c r="F115" s="4404">
        <f>'ТЕ_2ст_тариф_з ЦТП'!Q40</f>
        <v>8362.8598558791964</v>
      </c>
      <c r="G115" s="4405">
        <f>E115-F115</f>
        <v>0</v>
      </c>
      <c r="H115" s="4404">
        <f>'Д 2_Т на В'!X16</f>
        <v>83.624128841268089</v>
      </c>
      <c r="I115" s="4404">
        <f>'ТЕ_2ст_тариф_з ЦТП'!Q41</f>
        <v>83.624128841268089</v>
      </c>
      <c r="J115" s="4405">
        <f>H115-I115</f>
        <v>0</v>
      </c>
      <c r="K115" s="4404">
        <f>'Д 2_Т на В'!X17</f>
        <v>424.57392601619659</v>
      </c>
      <c r="L115" s="4404">
        <f>'ТЕ_2ст_тариф_з ЦТП'!Q42</f>
        <v>424.37828317978307</v>
      </c>
      <c r="M115" s="4405">
        <f>K115-L115</f>
        <v>0.19564283641352631</v>
      </c>
    </row>
    <row r="116" spans="1:13" ht="13.8" thickBot="1" x14ac:dyDescent="0.3"/>
    <row r="117" spans="1:13" x14ac:dyDescent="0.25">
      <c r="A117" s="4966" t="s">
        <v>4140</v>
      </c>
      <c r="B117" s="4968" t="s">
        <v>786</v>
      </c>
      <c r="C117" s="4968"/>
      <c r="D117" s="4969"/>
      <c r="E117" s="4968" t="s">
        <v>4137</v>
      </c>
      <c r="F117" s="4968"/>
      <c r="G117" s="4969"/>
      <c r="H117" s="4970" t="s">
        <v>4138</v>
      </c>
      <c r="I117" s="4968"/>
      <c r="J117" s="4969"/>
      <c r="K117" s="4968" t="s">
        <v>4139</v>
      </c>
      <c r="L117" s="4968"/>
      <c r="M117" s="4969"/>
    </row>
    <row r="118" spans="1:13" ht="27" thickBot="1" x14ac:dyDescent="0.3">
      <c r="A118" s="4967"/>
      <c r="B118" s="2786" t="s">
        <v>2391</v>
      </c>
      <c r="C118" s="2764" t="s">
        <v>2390</v>
      </c>
      <c r="D118" s="2787" t="s">
        <v>2643</v>
      </c>
      <c r="E118" s="2786" t="s">
        <v>2391</v>
      </c>
      <c r="F118" s="2764" t="s">
        <v>2390</v>
      </c>
      <c r="G118" s="2787" t="s">
        <v>2643</v>
      </c>
      <c r="H118" s="2786" t="s">
        <v>2391</v>
      </c>
      <c r="I118" s="2764" t="s">
        <v>2390</v>
      </c>
      <c r="J118" s="2787" t="s">
        <v>2643</v>
      </c>
      <c r="K118" s="2786" t="s">
        <v>2391</v>
      </c>
      <c r="L118" s="2764" t="s">
        <v>2390</v>
      </c>
      <c r="M118" s="2787" t="s">
        <v>2643</v>
      </c>
    </row>
    <row r="119" spans="1:13" x14ac:dyDescent="0.25">
      <c r="A119" s="2792" t="s">
        <v>1890</v>
      </c>
      <c r="B119" s="4404">
        <f>B111/$B45*1000</f>
        <v>1093.2024703992736</v>
      </c>
      <c r="C119" s="4404">
        <f>C111/$C45*1000</f>
        <v>1093.2024703992736</v>
      </c>
      <c r="D119" s="4404">
        <f t="shared" ref="D119" si="30">SUM(D120:D123)</f>
        <v>-0.17716953776744049</v>
      </c>
      <c r="E119" s="4404">
        <f>E111/$B45*1000</f>
        <v>983.60863122909768</v>
      </c>
      <c r="F119" s="4404">
        <f>F111/$C45*1000</f>
        <v>983.60863122909768</v>
      </c>
      <c r="G119" s="4404">
        <f t="shared" ref="G119" si="31">SUM(G120:G123)</f>
        <v>0</v>
      </c>
      <c r="H119" s="4404">
        <f>H111/$B45*1000</f>
        <v>18.03369619261224</v>
      </c>
      <c r="I119" s="4404">
        <f>I111/$C45*1000</f>
        <v>18.03369619261224</v>
      </c>
      <c r="J119" s="4404">
        <f t="shared" ref="J119" si="32">SUM(J120:J123)</f>
        <v>0</v>
      </c>
      <c r="K119" s="4404">
        <f>K111/$B45*1000</f>
        <v>91.560142977563729</v>
      </c>
      <c r="L119" s="4404">
        <f>L111/B54/12*1000</f>
        <v>11581.902435309081</v>
      </c>
      <c r="M119" s="4404"/>
    </row>
    <row r="120" spans="1:13" x14ac:dyDescent="0.25">
      <c r="A120" s="2765" t="s">
        <v>3</v>
      </c>
      <c r="B120" s="4404">
        <f t="shared" ref="B120:B123" si="33">B112/$B46*1000</f>
        <v>926.04983933612777</v>
      </c>
      <c r="C120" s="4404">
        <f t="shared" ref="C120:C123" si="34">C112/$C46*1000</f>
        <v>926.03302104305146</v>
      </c>
      <c r="D120" s="4405">
        <f>B120-C120</f>
        <v>1.681829307631233E-2</v>
      </c>
      <c r="E120" s="4404">
        <f t="shared" ref="E120:E123" si="35">E112/$B46*1000</f>
        <v>816.45600016595188</v>
      </c>
      <c r="F120" s="4404">
        <f t="shared" ref="F120:F123" si="36">F112/$C46*1000</f>
        <v>816.45600016595188</v>
      </c>
      <c r="G120" s="4405">
        <f>E120-F120</f>
        <v>0</v>
      </c>
      <c r="H120" s="4404">
        <f t="shared" ref="H120:H123" si="37">H112/$B46*1000</f>
        <v>18.033696192612236</v>
      </c>
      <c r="I120" s="4404">
        <f t="shared" ref="I120:I123" si="38">I112/$C46*1000</f>
        <v>18.033696192612236</v>
      </c>
      <c r="J120" s="4405">
        <f>H120-I120</f>
        <v>0</v>
      </c>
      <c r="K120" s="4404">
        <f t="shared" ref="K120:K123" si="39">K112/$B46*1000</f>
        <v>91.560142977563729</v>
      </c>
      <c r="L120" s="4404">
        <f t="shared" ref="L120:L123" si="40">L112/B55/12*1000</f>
        <v>11581.902435307029</v>
      </c>
      <c r="M120" s="4405"/>
    </row>
    <row r="121" spans="1:13" x14ac:dyDescent="0.25">
      <c r="A121" s="2765" t="s">
        <v>2649</v>
      </c>
      <c r="B121" s="4404">
        <f t="shared" si="33"/>
        <v>1913.0598487065622</v>
      </c>
      <c r="C121" s="4404">
        <f t="shared" si="34"/>
        <v>1913.1715274556179</v>
      </c>
      <c r="D121" s="4405">
        <f>B121-C121</f>
        <v>-0.11167874905572717</v>
      </c>
      <c r="E121" s="4404">
        <f t="shared" si="35"/>
        <v>1803.4660095363861</v>
      </c>
      <c r="F121" s="4404">
        <f t="shared" si="36"/>
        <v>1803.4660095363861</v>
      </c>
      <c r="G121" s="4405">
        <f>E121-F121</f>
        <v>0</v>
      </c>
      <c r="H121" s="4404">
        <f t="shared" si="37"/>
        <v>18.033696192612236</v>
      </c>
      <c r="I121" s="4404">
        <f t="shared" si="38"/>
        <v>18.033696192612236</v>
      </c>
      <c r="J121" s="4405">
        <f>H121-I121</f>
        <v>0</v>
      </c>
      <c r="K121" s="4404">
        <f t="shared" si="39"/>
        <v>91.5601429775637</v>
      </c>
      <c r="L121" s="4404">
        <f t="shared" si="40"/>
        <v>11581.902435319131</v>
      </c>
      <c r="M121" s="4405"/>
    </row>
    <row r="122" spans="1:13" x14ac:dyDescent="0.25">
      <c r="A122" s="1814" t="s">
        <v>1027</v>
      </c>
      <c r="B122" s="4404">
        <f t="shared" si="33"/>
        <v>1913.059848706562</v>
      </c>
      <c r="C122" s="4404">
        <f t="shared" si="34"/>
        <v>1913.1843485235247</v>
      </c>
      <c r="D122" s="4405">
        <f>B122-C122</f>
        <v>-0.12449981696272516</v>
      </c>
      <c r="E122" s="4404">
        <f t="shared" si="35"/>
        <v>1803.4660095363861</v>
      </c>
      <c r="F122" s="4404">
        <f t="shared" si="36"/>
        <v>1803.4660095363861</v>
      </c>
      <c r="G122" s="4405">
        <f>E122-F122</f>
        <v>0</v>
      </c>
      <c r="H122" s="4404">
        <f t="shared" si="37"/>
        <v>18.033696192612233</v>
      </c>
      <c r="I122" s="4404">
        <f t="shared" si="38"/>
        <v>18.033696192612233</v>
      </c>
      <c r="J122" s="4405">
        <f>H122-I122</f>
        <v>0</v>
      </c>
      <c r="K122" s="4404">
        <f t="shared" si="39"/>
        <v>91.560142977563729</v>
      </c>
      <c r="L122" s="4404">
        <f t="shared" si="40"/>
        <v>11581.902435319131</v>
      </c>
      <c r="M122" s="4405"/>
    </row>
    <row r="123" spans="1:13" x14ac:dyDescent="0.25">
      <c r="A123" s="1814" t="s">
        <v>2300</v>
      </c>
      <c r="B123" s="4404">
        <f t="shared" si="33"/>
        <v>1913.0598487065627</v>
      </c>
      <c r="C123" s="4404">
        <f t="shared" si="34"/>
        <v>1913.017657971388</v>
      </c>
      <c r="D123" s="4405">
        <f>B123-C123</f>
        <v>4.2190735174699512E-2</v>
      </c>
      <c r="E123" s="4404">
        <f t="shared" si="35"/>
        <v>1803.4660095363865</v>
      </c>
      <c r="F123" s="4404">
        <f t="shared" si="36"/>
        <v>1803.4660095363865</v>
      </c>
      <c r="G123" s="4405">
        <f>E123-F123</f>
        <v>0</v>
      </c>
      <c r="H123" s="4404">
        <f t="shared" si="37"/>
        <v>18.03369619261224</v>
      </c>
      <c r="I123" s="4404">
        <f t="shared" si="38"/>
        <v>18.03369619261224</v>
      </c>
      <c r="J123" s="4405">
        <f>H123-I123</f>
        <v>0</v>
      </c>
      <c r="K123" s="4404">
        <f t="shared" si="39"/>
        <v>91.560142977563729</v>
      </c>
      <c r="L123" s="4404">
        <f t="shared" si="40"/>
        <v>11581.902435319134</v>
      </c>
      <c r="M123" s="4405"/>
    </row>
  </sheetData>
  <mergeCells count="77">
    <mergeCell ref="L25:N25"/>
    <mergeCell ref="O25:Q25"/>
    <mergeCell ref="Q2:S2"/>
    <mergeCell ref="H101:I101"/>
    <mergeCell ref="K101:M101"/>
    <mergeCell ref="N101:O101"/>
    <mergeCell ref="P101:R101"/>
    <mergeCell ref="K34:M34"/>
    <mergeCell ref="H34:J34"/>
    <mergeCell ref="N34:P34"/>
    <mergeCell ref="I14:I15"/>
    <mergeCell ref="I52:J52"/>
    <mergeCell ref="A101:A102"/>
    <mergeCell ref="B101:D101"/>
    <mergeCell ref="E101:F101"/>
    <mergeCell ref="E34:G34"/>
    <mergeCell ref="A14:A15"/>
    <mergeCell ref="D14:D15"/>
    <mergeCell ref="F14:F15"/>
    <mergeCell ref="G14:H14"/>
    <mergeCell ref="A52:A53"/>
    <mergeCell ref="B52:D52"/>
    <mergeCell ref="E52:F52"/>
    <mergeCell ref="B25:D25"/>
    <mergeCell ref="A43:A44"/>
    <mergeCell ref="A34:A35"/>
    <mergeCell ref="H43:J43"/>
    <mergeCell ref="E43:G43"/>
    <mergeCell ref="A2:A3"/>
    <mergeCell ref="B2:C2"/>
    <mergeCell ref="D2:E2"/>
    <mergeCell ref="F2:G2"/>
    <mergeCell ref="E42:F42"/>
    <mergeCell ref="B42:C42"/>
    <mergeCell ref="A25:A26"/>
    <mergeCell ref="B34:D34"/>
    <mergeCell ref="A61:A62"/>
    <mergeCell ref="B61:D61"/>
    <mergeCell ref="N70:S70"/>
    <mergeCell ref="B70:G70"/>
    <mergeCell ref="N61:O61"/>
    <mergeCell ref="K61:M61"/>
    <mergeCell ref="H61:J61"/>
    <mergeCell ref="T70:V70"/>
    <mergeCell ref="A79:A80"/>
    <mergeCell ref="B79:G79"/>
    <mergeCell ref="H79:M79"/>
    <mergeCell ref="N79:S79"/>
    <mergeCell ref="T79:V79"/>
    <mergeCell ref="A70:A71"/>
    <mergeCell ref="H70:M70"/>
    <mergeCell ref="B93:D93"/>
    <mergeCell ref="E93:G93"/>
    <mergeCell ref="K2:M2"/>
    <mergeCell ref="H2:J2"/>
    <mergeCell ref="N2:P2"/>
    <mergeCell ref="P61:R61"/>
    <mergeCell ref="R25:S25"/>
    <mergeCell ref="G42:H42"/>
    <mergeCell ref="I42:J42"/>
    <mergeCell ref="H25:K25"/>
    <mergeCell ref="K43:M43"/>
    <mergeCell ref="B14:C14"/>
    <mergeCell ref="B43:D43"/>
    <mergeCell ref="E61:G61"/>
    <mergeCell ref="E25:G25"/>
    <mergeCell ref="G52:H52"/>
    <mergeCell ref="A109:A110"/>
    <mergeCell ref="B109:D109"/>
    <mergeCell ref="E109:G109"/>
    <mergeCell ref="H109:J109"/>
    <mergeCell ref="K109:M109"/>
    <mergeCell ref="A117:A118"/>
    <mergeCell ref="B117:D117"/>
    <mergeCell ref="E117:G117"/>
    <mergeCell ref="H117:J117"/>
    <mergeCell ref="K117:M117"/>
  </mergeCells>
  <pageMargins left="0.70866141732283472" right="0.70866141732283472" top="0.74803149606299213" bottom="0.74803149606299213" header="0.31496062992125984" footer="0.31496062992125984"/>
  <pageSetup paperSize="9" orientation="landscape" horizontalDpi="0" verticalDpi="0" r:id="rId1"/>
  <ignoredErrors>
    <ignoredError sqref="K29" formula="1"/>
  </ignoredErrors>
</worksheet>
</file>

<file path=xl/worksheets/sheet1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D00-000000000000}">
  <sheetPr codeName="Лист106">
    <tabColor rgb="FFEC20C5"/>
    <pageSetUpPr fitToPage="1"/>
  </sheetPr>
  <dimension ref="A1:R46"/>
  <sheetViews>
    <sheetView workbookViewId="0">
      <selection activeCell="A7" sqref="A7:XFD40"/>
    </sheetView>
  </sheetViews>
  <sheetFormatPr defaultColWidth="9.109375" defaultRowHeight="13.8" x14ac:dyDescent="0.25"/>
  <cols>
    <col min="1" max="1" width="7.88671875" style="1445" customWidth="1"/>
    <col min="2" max="2" width="45.5546875" style="10" customWidth="1"/>
    <col min="3" max="3" width="11.88671875" style="10" customWidth="1"/>
    <col min="4" max="4" width="11.5546875" style="1445" customWidth="1"/>
    <col min="5" max="5" width="13.6640625" style="10" customWidth="1"/>
    <col min="6" max="6" width="14.44140625" style="10" customWidth="1"/>
    <col min="7" max="7" width="14.6640625" style="10" customWidth="1"/>
    <col min="8" max="8" width="13.33203125" style="1121" customWidth="1"/>
    <col min="9" max="13" width="12" style="10" customWidth="1"/>
    <col min="14" max="14" width="11.6640625" style="10" customWidth="1"/>
    <col min="15" max="18" width="12" style="10" customWidth="1"/>
    <col min="19" max="16384" width="9.109375" style="10"/>
  </cols>
  <sheetData>
    <row r="1" spans="1:18" ht="81.599999999999994" customHeight="1" x14ac:dyDescent="0.25">
      <c r="A1" s="2083"/>
      <c r="E1" s="5064" t="s">
        <v>3053</v>
      </c>
      <c r="F1" s="5064"/>
      <c r="G1" s="5064"/>
    </row>
    <row r="2" spans="1:18" ht="31.2" customHeight="1" x14ac:dyDescent="0.25">
      <c r="A2" s="10"/>
      <c r="B2" s="4898" t="s">
        <v>2797</v>
      </c>
      <c r="C2" s="4898"/>
      <c r="D2" s="4898"/>
      <c r="E2" s="4898"/>
      <c r="F2" s="4898"/>
      <c r="G2" s="1490"/>
    </row>
    <row r="3" spans="1:18" ht="14.4" thickBot="1" x14ac:dyDescent="0.3">
      <c r="G3" s="10" t="s">
        <v>1734</v>
      </c>
      <c r="I3" s="693" t="s">
        <v>2350</v>
      </c>
      <c r="J3" s="693"/>
      <c r="K3" s="693"/>
      <c r="L3" s="693"/>
      <c r="M3" s="693"/>
      <c r="N3" s="693" t="s">
        <v>2351</v>
      </c>
      <c r="O3" s="693"/>
      <c r="P3" s="693"/>
      <c r="Q3" s="693"/>
      <c r="R3" s="693"/>
    </row>
    <row r="4" spans="1:18" ht="14.4" thickBot="1" x14ac:dyDescent="0.3">
      <c r="A4" s="4876" t="s">
        <v>7</v>
      </c>
      <c r="B4" s="4876" t="s">
        <v>631</v>
      </c>
      <c r="C4" s="4876" t="s">
        <v>2734</v>
      </c>
      <c r="D4" s="4879" t="s">
        <v>2735</v>
      </c>
      <c r="E4" s="4880"/>
      <c r="F4" s="4880"/>
      <c r="G4" s="4882"/>
      <c r="H4" s="1122"/>
      <c r="I4" s="4876" t="s">
        <v>2734</v>
      </c>
      <c r="J4" s="1721"/>
      <c r="K4" s="1721"/>
      <c r="L4" s="1721"/>
      <c r="M4" s="1721"/>
      <c r="N4" s="4876" t="s">
        <v>2734</v>
      </c>
      <c r="O4" s="1721"/>
      <c r="P4" s="1721"/>
      <c r="Q4" s="1721"/>
      <c r="R4" s="1721"/>
    </row>
    <row r="5" spans="1:18" ht="57.6" customHeight="1" thickBot="1" x14ac:dyDescent="0.3">
      <c r="A5" s="4877"/>
      <c r="B5" s="4878"/>
      <c r="C5" s="4878"/>
      <c r="D5" s="1682" t="s">
        <v>2736</v>
      </c>
      <c r="E5" s="1682" t="s">
        <v>2737</v>
      </c>
      <c r="F5" s="1682" t="s">
        <v>3052</v>
      </c>
      <c r="G5" s="1682" t="s">
        <v>2810</v>
      </c>
      <c r="I5" s="4878"/>
      <c r="J5" s="1682" t="s">
        <v>2736</v>
      </c>
      <c r="K5" s="1682" t="s">
        <v>2737</v>
      </c>
      <c r="L5" s="1682" t="s">
        <v>2738</v>
      </c>
      <c r="M5" s="1682" t="s">
        <v>2810</v>
      </c>
      <c r="N5" s="4878"/>
      <c r="O5" s="1682" t="s">
        <v>2736</v>
      </c>
      <c r="P5" s="1682" t="s">
        <v>2737</v>
      </c>
      <c r="Q5" s="1682" t="s">
        <v>2738</v>
      </c>
      <c r="R5" s="1682" t="s">
        <v>2810</v>
      </c>
    </row>
    <row r="6" spans="1:18" ht="14.4" thickBot="1" x14ac:dyDescent="0.3">
      <c r="A6" s="1683">
        <v>1</v>
      </c>
      <c r="B6" s="1684">
        <v>2</v>
      </c>
      <c r="C6" s="1676">
        <v>3</v>
      </c>
      <c r="D6" s="1683">
        <v>4</v>
      </c>
      <c r="E6" s="1676">
        <v>5</v>
      </c>
      <c r="F6" s="1684">
        <v>6</v>
      </c>
      <c r="G6" s="1677">
        <v>7</v>
      </c>
    </row>
    <row r="7" spans="1:18" ht="14.4" thickBot="1" x14ac:dyDescent="0.3">
      <c r="A7" s="1711" t="s">
        <v>2741</v>
      </c>
      <c r="B7" s="1712" t="s">
        <v>3412</v>
      </c>
      <c r="C7" s="1707" t="s">
        <v>317</v>
      </c>
      <c r="D7" s="1707">
        <f>D39</f>
        <v>1321.3719506169798</v>
      </c>
      <c r="E7" s="1707">
        <f>E39</f>
        <v>2354.1214482265309</v>
      </c>
      <c r="F7" s="1707">
        <f>F39</f>
        <v>2354.1214482265323</v>
      </c>
      <c r="G7" s="1707">
        <f>G39</f>
        <v>2354.1214482265323</v>
      </c>
      <c r="H7" s="1223">
        <f>I7+N7</f>
        <v>108.67553267624618</v>
      </c>
      <c r="I7" s="1722">
        <f>'Д 7_РП'!D157/1000</f>
        <v>18.237362357436083</v>
      </c>
      <c r="J7" s="1722">
        <f>'Д 7_РП'!D158/1000</f>
        <v>15.155265331444637</v>
      </c>
      <c r="K7" s="1722">
        <f>'Д 7_РП'!D159/1000</f>
        <v>0</v>
      </c>
      <c r="L7" s="1722">
        <f>'Д 7_РП'!D160/1000</f>
        <v>2.2291652834520463</v>
      </c>
      <c r="M7" s="1722">
        <f>'Д 7_РП'!D161/1000</f>
        <v>0.85293174253939519</v>
      </c>
      <c r="N7" s="1722">
        <f>'Д 7_РП'!D162/1000</f>
        <v>90.438170318810094</v>
      </c>
      <c r="O7" s="1722">
        <f>'Д 7_РП'!D163/1000</f>
        <v>75.115792165658988</v>
      </c>
      <c r="P7" s="1722">
        <f>'Д 7_РП'!D164/1000</f>
        <v>1.4602989074179139E-2</v>
      </c>
      <c r="Q7" s="1722">
        <f>'Д 7_РП'!D165/1000</f>
        <v>11.523602679723238</v>
      </c>
      <c r="R7" s="1722">
        <f>'Д 7_РП'!D166/1000</f>
        <v>3.7841724843536966</v>
      </c>
    </row>
    <row r="8" spans="1:18" ht="14.4" thickBot="1" x14ac:dyDescent="0.3">
      <c r="A8" s="1695"/>
      <c r="B8" s="4892" t="s">
        <v>3051</v>
      </c>
      <c r="C8" s="4893"/>
      <c r="D8" s="4893"/>
      <c r="E8" s="4893"/>
      <c r="F8" s="4893"/>
      <c r="G8" s="4894"/>
    </row>
    <row r="9" spans="1:18" s="15" customFormat="1" ht="41.4" x14ac:dyDescent="0.25">
      <c r="A9" s="1696" t="s">
        <v>1747</v>
      </c>
      <c r="B9" s="1697" t="s">
        <v>2792</v>
      </c>
      <c r="C9" s="1690">
        <f>C10+C15+C16+C20</f>
        <v>149071.37204744879</v>
      </c>
      <c r="D9" s="1690">
        <f>D10+D15+D16+D20</f>
        <v>1204.5578945392026</v>
      </c>
      <c r="E9" s="1690">
        <f>E10+E15+E16+E20</f>
        <v>2191.5679039096362</v>
      </c>
      <c r="F9" s="1690">
        <f>F10+F15+F16+F20</f>
        <v>2191.5679039096376</v>
      </c>
      <c r="G9" s="1690">
        <f>G10+G15+G16+G20</f>
        <v>2191.5679039096376</v>
      </c>
      <c r="H9" s="1724">
        <f>I9+N9-C9</f>
        <v>0</v>
      </c>
      <c r="I9" s="1690">
        <f>I10+I15+I16+I20</f>
        <v>25010.019417726111</v>
      </c>
      <c r="J9" s="1690">
        <f t="shared" ref="J9:R9" si="0">J10+J15+J16+J20</f>
        <v>18255.394498827929</v>
      </c>
      <c r="K9" s="1690">
        <f t="shared" si="0"/>
        <v>0</v>
      </c>
      <c r="L9" s="1690">
        <f t="shared" si="0"/>
        <v>4885.3670877231343</v>
      </c>
      <c r="M9" s="1690">
        <f t="shared" si="0"/>
        <v>1869.2578311750567</v>
      </c>
      <c r="N9" s="1690">
        <f t="shared" si="0"/>
        <v>124061.35262972272</v>
      </c>
      <c r="O9" s="1690">
        <f t="shared" si="0"/>
        <v>90481.32045771055</v>
      </c>
      <c r="P9" s="1690">
        <f t="shared" si="0"/>
        <v>32.00344215611409</v>
      </c>
      <c r="Q9" s="1690">
        <f t="shared" si="0"/>
        <v>25254.757770288539</v>
      </c>
      <c r="R9" s="1690">
        <f t="shared" si="0"/>
        <v>8293.2709595675551</v>
      </c>
    </row>
    <row r="10" spans="1:18" x14ac:dyDescent="0.25">
      <c r="A10" s="1698" t="s">
        <v>1749</v>
      </c>
      <c r="B10" s="2003" t="s">
        <v>2749</v>
      </c>
      <c r="C10" s="1699">
        <f>SUM(C11:C14)</f>
        <v>125398.03179983831</v>
      </c>
      <c r="D10" s="1699">
        <f>SUM(D11:D14)</f>
        <v>986.72284312854674</v>
      </c>
      <c r="E10" s="1699">
        <f>SUM(E11:E14)</f>
        <v>1973.73285249898</v>
      </c>
      <c r="F10" s="1699">
        <f>SUM(F11:F14)</f>
        <v>1973.7328524989814</v>
      </c>
      <c r="G10" s="1699">
        <f>SUM(G11:G14)</f>
        <v>1973.7328524989814</v>
      </c>
      <c r="H10" s="1724">
        <f t="shared" ref="H10:H39" si="1">I10+N10-C10</f>
        <v>0</v>
      </c>
      <c r="I10" s="1699">
        <f>SUM(I11:I14)</f>
        <v>21037.282650999263</v>
      </c>
      <c r="J10" s="1699">
        <f t="shared" ref="J10:R10" si="2">SUM(J11:J14)</f>
        <v>14954.046496210551</v>
      </c>
      <c r="K10" s="1699">
        <f t="shared" si="2"/>
        <v>0</v>
      </c>
      <c r="L10" s="1699">
        <f t="shared" si="2"/>
        <v>4399.7767535995081</v>
      </c>
      <c r="M10" s="1699">
        <f t="shared" si="2"/>
        <v>1683.4594011892073</v>
      </c>
      <c r="N10" s="1699">
        <f t="shared" si="2"/>
        <v>104360.74914883907</v>
      </c>
      <c r="O10" s="1699">
        <f t="shared" si="2"/>
        <v>74118.468009552074</v>
      </c>
      <c r="P10" s="1699">
        <f t="shared" si="2"/>
        <v>28.822399280391032</v>
      </c>
      <c r="Q10" s="1699">
        <f t="shared" si="2"/>
        <v>22744.513188115056</v>
      </c>
      <c r="R10" s="1699">
        <f t="shared" si="2"/>
        <v>7468.9455518915784</v>
      </c>
    </row>
    <row r="11" spans="1:18" ht="27.6" x14ac:dyDescent="0.25">
      <c r="A11" s="1698" t="s">
        <v>2750</v>
      </c>
      <c r="B11" s="2003" t="s">
        <v>2751</v>
      </c>
      <c r="C11" s="1699">
        <f>Виробництво_1ст!F12</f>
        <v>118804.3607936293</v>
      </c>
      <c r="D11" s="1699">
        <f>'Д 2_Т на В'!L14/'Д 2_Т на В'!L$58*1000</f>
        <v>926.04983933612777</v>
      </c>
      <c r="E11" s="1699">
        <f>'Д 2_Т на В'!P14/'Д 2_Т на В'!P$58*1000</f>
        <v>1913.0598487065622</v>
      </c>
      <c r="F11" s="1699">
        <f>'Д 2_Т на В'!T14/'Д 2_Т на В'!T$58*1000</f>
        <v>1913.059848706562</v>
      </c>
      <c r="G11" s="1699">
        <f>'Д 2_Т на В'!X14/'Д 2_Т на В'!X$58*1000</f>
        <v>1913.0598487065627</v>
      </c>
      <c r="H11" s="1724">
        <f t="shared" si="1"/>
        <v>0</v>
      </c>
      <c r="I11" s="1725">
        <f>SUM(J11:M11)</f>
        <v>19930.767095522824</v>
      </c>
      <c r="J11" s="73">
        <f>J$7*D11</f>
        <v>14034.531025280694</v>
      </c>
      <c r="K11" s="73">
        <f t="shared" ref="K11:M26" si="3">K$7*E11</f>
        <v>0</v>
      </c>
      <c r="L11" s="73">
        <f t="shared" si="3"/>
        <v>4264.5265999026924</v>
      </c>
      <c r="M11" s="73">
        <f t="shared" si="3"/>
        <v>1631.7094703394403</v>
      </c>
      <c r="N11" s="1725">
        <f>SUM(O11:R11)</f>
        <v>98873.593698106473</v>
      </c>
      <c r="O11" s="73">
        <f>O$7*D11</f>
        <v>69560.967266614476</v>
      </c>
      <c r="P11" s="73">
        <f t="shared" ref="P11:R26" si="4">P$7*E11</f>
        <v>27.936392068912724</v>
      </c>
      <c r="Q11" s="73">
        <f t="shared" si="4"/>
        <v>22045.341599025869</v>
      </c>
      <c r="R11" s="73">
        <f t="shared" si="4"/>
        <v>7239.3484403972197</v>
      </c>
    </row>
    <row r="12" spans="1:18" ht="27.6" x14ac:dyDescent="0.25">
      <c r="A12" s="1698" t="s">
        <v>2752</v>
      </c>
      <c r="B12" s="2003" t="s">
        <v>2753</v>
      </c>
      <c r="C12" s="1699">
        <f>Виробництво_1ст!F16</f>
        <v>5937.3503814675587</v>
      </c>
      <c r="D12" s="1699">
        <f>'Д 2_Т на В'!L18/'Д 2_Т на В'!L$58*1000</f>
        <v>54.633736180115534</v>
      </c>
      <c r="E12" s="1699">
        <f>'Д 2_Т на В'!P18/'Д 2_Т на В'!P$58*1000</f>
        <v>54.633736180115527</v>
      </c>
      <c r="F12" s="1699">
        <f>'Д 2_Т на В'!T18/'Д 2_Т на В'!T$58*1000</f>
        <v>54.633736180115527</v>
      </c>
      <c r="G12" s="1699">
        <f>'Д 2_Т на В'!X18/'Д 2_Т на В'!X$58*1000</f>
        <v>54.633736180115534</v>
      </c>
      <c r="H12" s="1724">
        <f t="shared" si="1"/>
        <v>0</v>
      </c>
      <c r="I12" s="1725">
        <f t="shared" ref="I12:I39" si="5">SUM(J12:M12)</f>
        <v>996.37524365733259</v>
      </c>
      <c r="J12" s="73">
        <f t="shared" ref="J12:M39" si="6">J$7*D12</f>
        <v>827.98876785779748</v>
      </c>
      <c r="K12" s="73">
        <f t="shared" si="3"/>
        <v>0</v>
      </c>
      <c r="L12" s="73">
        <f t="shared" si="3"/>
        <v>121.78762799799155</v>
      </c>
      <c r="M12" s="73">
        <f t="shared" si="3"/>
        <v>46.598847801543542</v>
      </c>
      <c r="N12" s="1725">
        <f t="shared" ref="N12:N39" si="7">SUM(O12:R12)</f>
        <v>4940.9751378102274</v>
      </c>
      <c r="O12" s="73">
        <f t="shared" ref="O12:R39" si="8">O$7*D12</f>
        <v>4103.8563721390028</v>
      </c>
      <c r="P12" s="73">
        <f t="shared" si="4"/>
        <v>0.79781585251981257</v>
      </c>
      <c r="Q12" s="73">
        <f t="shared" si="4"/>
        <v>629.57746864847172</v>
      </c>
      <c r="R12" s="73">
        <f t="shared" si="4"/>
        <v>206.74348117023223</v>
      </c>
    </row>
    <row r="13" spans="1:18" ht="27.6" x14ac:dyDescent="0.25">
      <c r="A13" s="1698" t="s">
        <v>2754</v>
      </c>
      <c r="B13" s="2003" t="s">
        <v>2755</v>
      </c>
      <c r="C13" s="1699">
        <f>Виробництво_1ст!F17</f>
        <v>33.313922123945588</v>
      </c>
      <c r="D13" s="1699">
        <f>'Д 2_Т на В'!L22/'Д 2_Т на В'!L$58*1000</f>
        <v>0.30654482479686251</v>
      </c>
      <c r="E13" s="1699">
        <f>'Д 2_Т на В'!P22/'Д 2_Т на В'!P$58*1000</f>
        <v>0.30654482479686246</v>
      </c>
      <c r="F13" s="1699">
        <f>'Д 2_Т на В'!T22/'Д 2_Т на В'!T$58*1000</f>
        <v>0.30654482479686246</v>
      </c>
      <c r="G13" s="1699">
        <f>'Д 2_Т на В'!X22/'Д 2_Т на В'!X$58*1000</f>
        <v>0.30654482479686251</v>
      </c>
      <c r="H13" s="1724">
        <f t="shared" si="1"/>
        <v>0</v>
      </c>
      <c r="I13" s="1725">
        <f t="shared" si="5"/>
        <v>5.5905690486171373</v>
      </c>
      <c r="J13" s="73">
        <f t="shared" si="6"/>
        <v>4.6457681557776604</v>
      </c>
      <c r="K13" s="73">
        <f t="shared" si="3"/>
        <v>0</v>
      </c>
      <c r="L13" s="73">
        <f t="shared" si="3"/>
        <v>0.68333908125905574</v>
      </c>
      <c r="M13" s="73">
        <f t="shared" si="3"/>
        <v>0.26146181158042153</v>
      </c>
      <c r="N13" s="1725">
        <f t="shared" si="7"/>
        <v>27.723353075328454</v>
      </c>
      <c r="O13" s="73">
        <f t="shared" si="8"/>
        <v>23.026357348899474</v>
      </c>
      <c r="P13" s="73">
        <f t="shared" si="4"/>
        <v>4.4764707272547406E-3</v>
      </c>
      <c r="Q13" s="73">
        <f t="shared" si="4"/>
        <v>3.5325007644844146</v>
      </c>
      <c r="R13" s="73">
        <f t="shared" si="4"/>
        <v>1.1600184912173119</v>
      </c>
    </row>
    <row r="14" spans="1:18" ht="27.6" x14ac:dyDescent="0.25">
      <c r="A14" s="1698" t="s">
        <v>2756</v>
      </c>
      <c r="B14" s="2003" t="s">
        <v>2273</v>
      </c>
      <c r="C14" s="1699">
        <f>Виробництво_1ст!F11-Виробництво_1ст!F12-Виробництво_1ст!F17-Виробництво_1ст!F16</f>
        <v>623.00670261750929</v>
      </c>
      <c r="D14" s="1699">
        <f>'Д 2_Т на В'!L23/'Д 2_Т на В'!L$58*1000</f>
        <v>5.7327227875065283</v>
      </c>
      <c r="E14" s="1699">
        <f>'Д 2_Т на В'!P23/'Д 2_Т на В'!P$58*1000</f>
        <v>5.7327227875055042</v>
      </c>
      <c r="F14" s="1699">
        <f>'Д 2_Т на В'!T23/'Д 2_Т на В'!T$58*1000</f>
        <v>5.7327227875070346</v>
      </c>
      <c r="G14" s="1699">
        <f>'Д 2_Т на В'!X23/'Д 2_Т на В'!X$58*1000</f>
        <v>5.7327227875062041</v>
      </c>
      <c r="H14" s="1724">
        <f t="shared" si="1"/>
        <v>2.2964741219766438E-11</v>
      </c>
      <c r="I14" s="1725">
        <f t="shared" si="5"/>
        <v>104.54974277048845</v>
      </c>
      <c r="J14" s="73">
        <f t="shared" si="6"/>
        <v>86.880934916280353</v>
      </c>
      <c r="K14" s="73">
        <f t="shared" si="3"/>
        <v>0</v>
      </c>
      <c r="L14" s="73">
        <f t="shared" si="3"/>
        <v>12.779186617565124</v>
      </c>
      <c r="M14" s="73">
        <f t="shared" si="3"/>
        <v>4.8896212366429657</v>
      </c>
      <c r="N14" s="1725">
        <f t="shared" si="7"/>
        <v>518.45695984704378</v>
      </c>
      <c r="O14" s="73">
        <f t="shared" si="8"/>
        <v>430.61801344967762</v>
      </c>
      <c r="P14" s="73">
        <f t="shared" si="4"/>
        <v>8.3714888231240653E-2</v>
      </c>
      <c r="Q14" s="73">
        <f t="shared" si="4"/>
        <v>66.061619676226528</v>
      </c>
      <c r="R14" s="73">
        <f t="shared" si="4"/>
        <v>21.693611832908402</v>
      </c>
    </row>
    <row r="15" spans="1:18" x14ac:dyDescent="0.25">
      <c r="A15" s="1698" t="s">
        <v>1751</v>
      </c>
      <c r="B15" s="2003" t="s">
        <v>2757</v>
      </c>
      <c r="C15" s="1699">
        <f>Виробництво_1ст!F29</f>
        <v>11228.939355305936</v>
      </c>
      <c r="D15" s="1699">
        <f>'Д 2_Т на В'!L24/'Д 2_Т на В'!L$58*1000</f>
        <v>103.32536753013136</v>
      </c>
      <c r="E15" s="1699">
        <f>'Д 2_Т на В'!P24/'Д 2_Т на В'!P$58*1000</f>
        <v>103.32536753013136</v>
      </c>
      <c r="F15" s="1699">
        <f>'Д 2_Т на В'!T24/'Д 2_Т на В'!T$58*1000</f>
        <v>103.32536753013136</v>
      </c>
      <c r="G15" s="1699">
        <f>'Д 2_Т на В'!X24/'Д 2_Т на В'!X$58*1000</f>
        <v>103.32536753013136</v>
      </c>
      <c r="H15" s="1724">
        <f t="shared" si="1"/>
        <v>0</v>
      </c>
      <c r="I15" s="1725">
        <f t="shared" si="5"/>
        <v>1884.3821683622655</v>
      </c>
      <c r="J15" s="73">
        <f t="shared" si="6"/>
        <v>1565.9233603881751</v>
      </c>
      <c r="K15" s="73">
        <f t="shared" si="3"/>
        <v>0</v>
      </c>
      <c r="L15" s="73">
        <f t="shared" si="3"/>
        <v>230.32932219809214</v>
      </c>
      <c r="M15" s="73">
        <f t="shared" si="3"/>
        <v>88.12948577599839</v>
      </c>
      <c r="N15" s="1725">
        <f t="shared" si="7"/>
        <v>9344.5571869436717</v>
      </c>
      <c r="O15" s="73">
        <f t="shared" si="8"/>
        <v>7761.3668328336771</v>
      </c>
      <c r="P15" s="73">
        <f t="shared" si="4"/>
        <v>1.5088592131280523</v>
      </c>
      <c r="Q15" s="73">
        <f t="shared" si="4"/>
        <v>1190.6804821536102</v>
      </c>
      <c r="R15" s="73">
        <f t="shared" si="4"/>
        <v>391.00101274325596</v>
      </c>
    </row>
    <row r="16" spans="1:18" x14ac:dyDescent="0.25">
      <c r="A16" s="1698" t="s">
        <v>1753</v>
      </c>
      <c r="B16" s="2003" t="s">
        <v>2758</v>
      </c>
      <c r="C16" s="1699">
        <f>C17+C18+C19</f>
        <v>7233.6473506343445</v>
      </c>
      <c r="D16" s="1699">
        <f>'Д 2_Т на В'!L25/'Д 2_Т на В'!L$58*1000</f>
        <v>66.561876187752475</v>
      </c>
      <c r="E16" s="1699">
        <f>'Д 2_Т на В'!P25/'Д 2_Т на В'!P$58*1000</f>
        <v>66.561876187752446</v>
      </c>
      <c r="F16" s="1699">
        <f>'Д 2_Т на В'!T25/'Д 2_Т на В'!T$58*1000</f>
        <v>66.561876187752446</v>
      </c>
      <c r="G16" s="1699">
        <f>'Д 2_Т на В'!X25/'Д 2_Т на В'!X$58*1000</f>
        <v>66.561876187752446</v>
      </c>
      <c r="H16" s="1724">
        <f t="shared" si="1"/>
        <v>0</v>
      </c>
      <c r="I16" s="1725">
        <f t="shared" si="5"/>
        <v>1213.9130552268377</v>
      </c>
      <c r="J16" s="73">
        <f t="shared" si="6"/>
        <v>1008.7628945841554</v>
      </c>
      <c r="K16" s="73">
        <f t="shared" si="3"/>
        <v>0</v>
      </c>
      <c r="L16" s="73">
        <f t="shared" si="3"/>
        <v>148.37742359917121</v>
      </c>
      <c r="M16" s="73">
        <f t="shared" si="3"/>
        <v>56.772737043511171</v>
      </c>
      <c r="N16" s="1725">
        <f t="shared" si="7"/>
        <v>6019.7342954075084</v>
      </c>
      <c r="O16" s="73">
        <f t="shared" si="8"/>
        <v>4999.8480578755407</v>
      </c>
      <c r="P16" s="73">
        <f t="shared" si="4"/>
        <v>0.97200235072661356</v>
      </c>
      <c r="Q16" s="73">
        <f t="shared" si="4"/>
        <v>767.03261480459048</v>
      </c>
      <c r="R16" s="73">
        <f t="shared" si="4"/>
        <v>251.88162037665035</v>
      </c>
    </row>
    <row r="17" spans="1:18" x14ac:dyDescent="0.25">
      <c r="A17" s="1698" t="s">
        <v>2759</v>
      </c>
      <c r="B17" s="2003" t="s">
        <v>2773</v>
      </c>
      <c r="C17" s="1699">
        <f>Виробництво_1ст!F32</f>
        <v>2470.366658167306</v>
      </c>
      <c r="D17" s="1699">
        <f>'Д 2_Т на В'!L26/'Д 2_Т на В'!L$58*1000</f>
        <v>22.731580856628899</v>
      </c>
      <c r="E17" s="1699">
        <f>'Д 2_Т на В'!P26/'Д 2_Т на В'!P$58*1000</f>
        <v>22.731580856628899</v>
      </c>
      <c r="F17" s="1699">
        <f>'Д 2_Т на В'!T26/'Д 2_Т на В'!T$58*1000</f>
        <v>22.731580856628902</v>
      </c>
      <c r="G17" s="1699">
        <f>'Д 2_Т на В'!X26/'Д 2_Т на В'!X$58*1000</f>
        <v>22.731580856628902</v>
      </c>
      <c r="H17" s="1724">
        <f t="shared" si="1"/>
        <v>0</v>
      </c>
      <c r="I17" s="1725">
        <f t="shared" si="5"/>
        <v>414.56407703969842</v>
      </c>
      <c r="J17" s="73">
        <f t="shared" si="6"/>
        <v>344.5031392853985</v>
      </c>
      <c r="K17" s="73">
        <f t="shared" si="3"/>
        <v>0</v>
      </c>
      <c r="L17" s="73">
        <f t="shared" si="3"/>
        <v>50.672450883580275</v>
      </c>
      <c r="M17" s="73">
        <f t="shared" si="3"/>
        <v>19.388486870719646</v>
      </c>
      <c r="N17" s="1725">
        <f t="shared" si="7"/>
        <v>2055.8025811276075</v>
      </c>
      <c r="O17" s="73">
        <f t="shared" si="8"/>
        <v>1707.5007032234089</v>
      </c>
      <c r="P17" s="73">
        <f t="shared" si="4"/>
        <v>0.33194902688817146</v>
      </c>
      <c r="Q17" s="73">
        <f t="shared" si="4"/>
        <v>261.94970607379429</v>
      </c>
      <c r="R17" s="73">
        <f t="shared" si="4"/>
        <v>86.020222803516319</v>
      </c>
    </row>
    <row r="18" spans="1:18" x14ac:dyDescent="0.25">
      <c r="A18" s="1698" t="s">
        <v>2761</v>
      </c>
      <c r="B18" s="2003" t="s">
        <v>2762</v>
      </c>
      <c r="C18" s="1699">
        <f>Виробництво_1ст!F33+Виробництво_1ст!F34</f>
        <v>2122.9628600000001</v>
      </c>
      <c r="D18" s="1699">
        <f>'Д 2_Т на В'!L27/'Д 2_Т на В'!L$58*1000</f>
        <v>19.534874205075123</v>
      </c>
      <c r="E18" s="1699">
        <f>'Д 2_Т на В'!P27/'Д 2_Т на В'!P$58*1000</f>
        <v>19.534874205075123</v>
      </c>
      <c r="F18" s="1699">
        <f>'Д 2_Т на В'!T27/'Д 2_Т на В'!T$58*1000</f>
        <v>19.534874205075123</v>
      </c>
      <c r="G18" s="1699">
        <f>'Д 2_Т на В'!X27/'Д 2_Т на В'!X$58*1000</f>
        <v>19.53487420507512</v>
      </c>
      <c r="H18" s="1724">
        <f t="shared" si="1"/>
        <v>0</v>
      </c>
      <c r="I18" s="1725">
        <f t="shared" si="5"/>
        <v>356.2645794848861</v>
      </c>
      <c r="J18" s="73">
        <f t="shared" si="6"/>
        <v>296.05620179430713</v>
      </c>
      <c r="K18" s="73">
        <f t="shared" si="3"/>
        <v>0</v>
      </c>
      <c r="L18" s="73">
        <f t="shared" si="3"/>
        <v>43.546463394556355</v>
      </c>
      <c r="M18" s="73">
        <f t="shared" si="3"/>
        <v>16.661914296022605</v>
      </c>
      <c r="N18" s="1725">
        <f t="shared" si="7"/>
        <v>1766.698280515114</v>
      </c>
      <c r="O18" s="73">
        <f t="shared" si="8"/>
        <v>1467.3775507707157</v>
      </c>
      <c r="P18" s="73">
        <f t="shared" si="4"/>
        <v>0.2852675545821759</v>
      </c>
      <c r="Q18" s="73">
        <f t="shared" si="4"/>
        <v>225.11212873766004</v>
      </c>
      <c r="R18" s="73">
        <f t="shared" si="4"/>
        <v>73.923333452156058</v>
      </c>
    </row>
    <row r="19" spans="1:18" x14ac:dyDescent="0.25">
      <c r="A19" s="1698" t="s">
        <v>2763</v>
      </c>
      <c r="B19" s="2003" t="s">
        <v>81</v>
      </c>
      <c r="C19" s="1699">
        <f>Виробництво_1ст!F31-Виробництво_1ст!F32-Виробництво_1ст!F33-Виробництво_1ст!F34</f>
        <v>2640.3178324670384</v>
      </c>
      <c r="D19" s="1699">
        <f>'Д 2_Т на В'!L28/'Д 2_Т на В'!L$58*1000</f>
        <v>24.295421126048446</v>
      </c>
      <c r="E19" s="1699">
        <f>'Д 2_Т на В'!P28/'Д 2_Т на В'!P$58*1000</f>
        <v>24.295421126048424</v>
      </c>
      <c r="F19" s="1699">
        <f>'Д 2_Т на В'!T28/'Д 2_Т на В'!T$58*1000</f>
        <v>24.295421126048428</v>
      </c>
      <c r="G19" s="1699">
        <f>'Д 2_Т на В'!X28/'Д 2_Т на В'!X$58*1000</f>
        <v>24.295421126048424</v>
      </c>
      <c r="H19" s="1724">
        <f t="shared" si="1"/>
        <v>0</v>
      </c>
      <c r="I19" s="1725">
        <f t="shared" si="5"/>
        <v>443.08439870225311</v>
      </c>
      <c r="J19" s="73">
        <f t="shared" si="6"/>
        <v>368.20355350444964</v>
      </c>
      <c r="K19" s="73">
        <f t="shared" si="3"/>
        <v>0</v>
      </c>
      <c r="L19" s="73">
        <f t="shared" si="3"/>
        <v>54.158509321034579</v>
      </c>
      <c r="M19" s="73">
        <f t="shared" si="3"/>
        <v>20.722335876768916</v>
      </c>
      <c r="N19" s="1725">
        <f t="shared" si="7"/>
        <v>2197.2334337647858</v>
      </c>
      <c r="O19" s="73">
        <f t="shared" si="8"/>
        <v>1824.9698038814156</v>
      </c>
      <c r="P19" s="73">
        <f t="shared" si="4"/>
        <v>0.35478576925626615</v>
      </c>
      <c r="Q19" s="73">
        <f t="shared" si="4"/>
        <v>279.9707799931362</v>
      </c>
      <c r="R19" s="73">
        <f t="shared" si="4"/>
        <v>91.938064120977955</v>
      </c>
    </row>
    <row r="20" spans="1:18" s="15" customFormat="1" x14ac:dyDescent="0.25">
      <c r="A20" s="1700" t="s">
        <v>1755</v>
      </c>
      <c r="B20" s="1697" t="s">
        <v>2764</v>
      </c>
      <c r="C20" s="1690">
        <f>C21+C22+C23+C24</f>
        <v>5210.7535416702249</v>
      </c>
      <c r="D20" s="300">
        <f>D21+D22+D23+D24</f>
        <v>47.94780769277213</v>
      </c>
      <c r="E20" s="300">
        <f>E21+E22+E23+E24</f>
        <v>47.947807692772123</v>
      </c>
      <c r="F20" s="300">
        <f>F21+F22+F23+F24</f>
        <v>47.947807692772123</v>
      </c>
      <c r="G20" s="300">
        <f>G21+G22+G23+G24</f>
        <v>47.947807692772123</v>
      </c>
      <c r="H20" s="1724">
        <f t="shared" si="1"/>
        <v>0</v>
      </c>
      <c r="I20" s="1725">
        <f t="shared" si="5"/>
        <v>874.44154313774652</v>
      </c>
      <c r="J20" s="73">
        <f t="shared" si="6"/>
        <v>726.66174764504399</v>
      </c>
      <c r="K20" s="73">
        <f t="shared" si="3"/>
        <v>0</v>
      </c>
      <c r="L20" s="73">
        <f t="shared" si="3"/>
        <v>106.88358832636258</v>
      </c>
      <c r="M20" s="73">
        <f t="shared" si="3"/>
        <v>40.896207166339941</v>
      </c>
      <c r="N20" s="1725">
        <f t="shared" si="7"/>
        <v>4336.3119985324793</v>
      </c>
      <c r="O20" s="73">
        <f t="shared" si="8"/>
        <v>3601.6375574492567</v>
      </c>
      <c r="P20" s="73">
        <f t="shared" si="4"/>
        <v>0.70018131186839383</v>
      </c>
      <c r="Q20" s="73">
        <f t="shared" si="4"/>
        <v>552.53148521528328</v>
      </c>
      <c r="R20" s="73">
        <f t="shared" si="4"/>
        <v>181.44277455607076</v>
      </c>
    </row>
    <row r="21" spans="1:18" x14ac:dyDescent="0.25">
      <c r="A21" s="1701" t="s">
        <v>2765</v>
      </c>
      <c r="B21" s="2003" t="s">
        <v>2766</v>
      </c>
      <c r="C21" s="1699">
        <f>ЗВВ_1ст!G21</f>
        <v>3981.6703519823727</v>
      </c>
      <c r="D21" s="1699">
        <f>'Д 2_Т на В'!L30/'Д 2_Т на В'!L$58*1000</f>
        <v>36.638148936836721</v>
      </c>
      <c r="E21" s="1699">
        <f>'Д 2_Т на В'!P30/'Д 2_Т на В'!P$58*1000</f>
        <v>36.638148936836714</v>
      </c>
      <c r="F21" s="1699">
        <f>'Д 2_Т на В'!T30/'Д 2_Т на В'!T$58*1000</f>
        <v>36.638148936836714</v>
      </c>
      <c r="G21" s="1699">
        <f>'Д 2_Т на В'!X30/'Д 2_Т на В'!X$58*1000</f>
        <v>36.638148936836714</v>
      </c>
      <c r="H21" s="1724">
        <f t="shared" si="1"/>
        <v>0</v>
      </c>
      <c r="I21" s="1725">
        <f t="shared" si="5"/>
        <v>668.18319826680272</v>
      </c>
      <c r="J21" s="73">
        <f t="shared" si="6"/>
        <v>555.26086839074674</v>
      </c>
      <c r="K21" s="73">
        <f t="shared" si="3"/>
        <v>0</v>
      </c>
      <c r="L21" s="73">
        <f t="shared" si="3"/>
        <v>81.672489659941903</v>
      </c>
      <c r="M21" s="73">
        <f t="shared" si="3"/>
        <v>31.249840216114027</v>
      </c>
      <c r="N21" s="1725">
        <f t="shared" si="7"/>
        <v>3313.4871537155709</v>
      </c>
      <c r="O21" s="73">
        <f t="shared" si="8"/>
        <v>2752.103580873887</v>
      </c>
      <c r="P21" s="73">
        <f t="shared" si="4"/>
        <v>0.53502648862277458</v>
      </c>
      <c r="Q21" s="73">
        <f t="shared" si="4"/>
        <v>422.20347126863066</v>
      </c>
      <c r="R21" s="73">
        <f t="shared" si="4"/>
        <v>138.64507508443015</v>
      </c>
    </row>
    <row r="22" spans="1:18" x14ac:dyDescent="0.25">
      <c r="A22" s="1701" t="s">
        <v>2767</v>
      </c>
      <c r="B22" s="2003" t="s">
        <v>2275</v>
      </c>
      <c r="C22" s="1699">
        <f>ЗВВ_1ст!G23</f>
        <v>849.8976237422155</v>
      </c>
      <c r="D22" s="1699">
        <f>'Д 2_Т на В'!L31/'Д 2_Т на В'!L$58*1000</f>
        <v>7.8205057091749826</v>
      </c>
      <c r="E22" s="1699">
        <f>'Д 2_Т на В'!P31/'Д 2_Т на В'!P$58*1000</f>
        <v>7.8205057091749808</v>
      </c>
      <c r="F22" s="1699">
        <f>'Д 2_Т на В'!T31/'Д 2_Т на В'!T$58*1000</f>
        <v>7.8205057091749808</v>
      </c>
      <c r="G22" s="1699">
        <f>'Д 2_Т на В'!X31/'Д 2_Т на В'!X$58*1000</f>
        <v>7.8205057091749826</v>
      </c>
      <c r="H22" s="1724">
        <f t="shared" si="1"/>
        <v>0</v>
      </c>
      <c r="I22" s="1725">
        <f t="shared" si="5"/>
        <v>142.62539643662177</v>
      </c>
      <c r="J22" s="73">
        <f t="shared" si="6"/>
        <v>118.52183904862447</v>
      </c>
      <c r="K22" s="73">
        <f t="shared" si="3"/>
        <v>0</v>
      </c>
      <c r="L22" s="73">
        <f t="shared" si="3"/>
        <v>17.433199825931393</v>
      </c>
      <c r="M22" s="73">
        <f t="shared" si="3"/>
        <v>6.6703575620659068</v>
      </c>
      <c r="N22" s="1725">
        <f t="shared" si="7"/>
        <v>707.2722273055939</v>
      </c>
      <c r="O22" s="73">
        <f t="shared" si="8"/>
        <v>587.44348148073755</v>
      </c>
      <c r="P22" s="73">
        <f t="shared" si="4"/>
        <v>0.11420275942563782</v>
      </c>
      <c r="Q22" s="73">
        <f t="shared" si="4"/>
        <v>90.120400547039694</v>
      </c>
      <c r="R22" s="73">
        <f t="shared" si="4"/>
        <v>29.59414251839096</v>
      </c>
    </row>
    <row r="23" spans="1:18" x14ac:dyDescent="0.25">
      <c r="A23" s="1701" t="s">
        <v>2768</v>
      </c>
      <c r="B23" s="2003" t="s">
        <v>2762</v>
      </c>
      <c r="C23" s="1699">
        <f>ЗВВ_1ст!G37+ЗВВ_1ст!G39</f>
        <v>24.498227527621857</v>
      </c>
      <c r="D23" s="1699">
        <f t="shared" ref="D23:D33" si="9">C23/$C$40</f>
        <v>0.2254254193591505</v>
      </c>
      <c r="E23" s="1699">
        <f>C23/$C$40</f>
        <v>0.2254254193591505</v>
      </c>
      <c r="F23" s="1699">
        <f>C23/$C$40</f>
        <v>0.2254254193591505</v>
      </c>
      <c r="G23" s="1699">
        <f>C23/$C$40</f>
        <v>0.2254254193591505</v>
      </c>
      <c r="H23" s="1724">
        <f t="shared" si="1"/>
        <v>0</v>
      </c>
      <c r="I23" s="1725">
        <f t="shared" si="5"/>
        <v>4.1111650574298135</v>
      </c>
      <c r="J23" s="73">
        <f t="shared" si="6"/>
        <v>3.4163820428401022</v>
      </c>
      <c r="K23" s="73">
        <f t="shared" si="3"/>
        <v>0</v>
      </c>
      <c r="L23" s="73">
        <f t="shared" si="3"/>
        <v>0.5025105188430371</v>
      </c>
      <c r="M23" s="73">
        <f t="shared" si="3"/>
        <v>0.19227249574667415</v>
      </c>
      <c r="N23" s="1725">
        <f t="shared" si="7"/>
        <v>20.387062470192046</v>
      </c>
      <c r="O23" s="73">
        <f t="shared" si="8"/>
        <v>16.93300894943847</v>
      </c>
      <c r="P23" s="73">
        <f t="shared" si="4"/>
        <v>3.2918849359439254E-3</v>
      </c>
      <c r="Q23" s="73">
        <f t="shared" si="4"/>
        <v>2.5977129666048415</v>
      </c>
      <c r="R23" s="73">
        <f t="shared" si="4"/>
        <v>0.85304866921279043</v>
      </c>
    </row>
    <row r="24" spans="1:18" x14ac:dyDescent="0.25">
      <c r="A24" s="1701" t="s">
        <v>2769</v>
      </c>
      <c r="B24" s="2003" t="s">
        <v>58</v>
      </c>
      <c r="C24" s="1699">
        <f>ЗВВ_1ст!G9+ЗВВ_1ст!G24+ЗВВ_1ст!G40</f>
        <v>354.68733841801537</v>
      </c>
      <c r="D24" s="1699">
        <f t="shared" si="9"/>
        <v>3.2637276274012814</v>
      </c>
      <c r="E24" s="1699">
        <f>C24/$C$40</f>
        <v>3.2637276274012814</v>
      </c>
      <c r="F24" s="1699">
        <f>C24/$C$40</f>
        <v>3.2637276274012814</v>
      </c>
      <c r="G24" s="1699">
        <f>C24/$C$40</f>
        <v>3.2637276274012814</v>
      </c>
      <c r="H24" s="1724">
        <f t="shared" si="1"/>
        <v>0</v>
      </c>
      <c r="I24" s="1725">
        <f t="shared" si="5"/>
        <v>59.521783376892301</v>
      </c>
      <c r="J24" s="73">
        <f t="shared" si="6"/>
        <v>49.462658162832703</v>
      </c>
      <c r="K24" s="73">
        <f t="shared" si="3"/>
        <v>0</v>
      </c>
      <c r="L24" s="73">
        <f t="shared" si="3"/>
        <v>7.2753883216462523</v>
      </c>
      <c r="M24" s="73">
        <f t="shared" si="3"/>
        <v>2.7837368924133408</v>
      </c>
      <c r="N24" s="1725">
        <f t="shared" si="7"/>
        <v>295.16555504112307</v>
      </c>
      <c r="O24" s="73">
        <f t="shared" si="8"/>
        <v>245.15748614519396</v>
      </c>
      <c r="P24" s="73">
        <f t="shared" si="4"/>
        <v>4.7660178884037514E-2</v>
      </c>
      <c r="Q24" s="73">
        <f t="shared" si="4"/>
        <v>37.609900433008171</v>
      </c>
      <c r="R24" s="73">
        <f t="shared" si="4"/>
        <v>12.350508284036902</v>
      </c>
    </row>
    <row r="25" spans="1:18" s="15" customFormat="1" x14ac:dyDescent="0.25">
      <c r="A25" s="1696" t="s">
        <v>1768</v>
      </c>
      <c r="B25" s="1697" t="s">
        <v>2770</v>
      </c>
      <c r="C25" s="1690">
        <f>C26+C27+C28+C29</f>
        <v>6334.8875507536159</v>
      </c>
      <c r="D25" s="300">
        <f>D26+D27+D28+D29</f>
        <v>58.29175523460092</v>
      </c>
      <c r="E25" s="300">
        <f>E26+E27+E28+E29</f>
        <v>58.291755234600913</v>
      </c>
      <c r="F25" s="300">
        <f>F26+F27+F28+F29</f>
        <v>58.29175523460092</v>
      </c>
      <c r="G25" s="300">
        <f>G26+G27+G28+G29</f>
        <v>58.29175523460092</v>
      </c>
      <c r="H25" s="1724">
        <f t="shared" si="1"/>
        <v>0</v>
      </c>
      <c r="I25" s="1725">
        <f t="shared" si="5"/>
        <v>1063.0878626643882</v>
      </c>
      <c r="J25" s="73">
        <f t="shared" si="6"/>
        <v>883.42701721600372</v>
      </c>
      <c r="K25" s="73">
        <f t="shared" si="3"/>
        <v>0</v>
      </c>
      <c r="L25" s="73">
        <f t="shared" si="3"/>
        <v>129.94195708045646</v>
      </c>
      <c r="M25" s="73">
        <f t="shared" si="3"/>
        <v>49.718888367928074</v>
      </c>
      <c r="N25" s="1725">
        <f t="shared" si="7"/>
        <v>5271.7996880892288</v>
      </c>
      <c r="O25" s="73">
        <f t="shared" si="8"/>
        <v>4378.6313711737475</v>
      </c>
      <c r="P25" s="73">
        <f t="shared" si="4"/>
        <v>0.8512338648056017</v>
      </c>
      <c r="Q25" s="73">
        <f t="shared" si="4"/>
        <v>671.73102682721822</v>
      </c>
      <c r="R25" s="73">
        <f t="shared" si="4"/>
        <v>220.58605622345735</v>
      </c>
    </row>
    <row r="26" spans="1:18" x14ac:dyDescent="0.25">
      <c r="A26" s="1701" t="s">
        <v>2771</v>
      </c>
      <c r="B26" s="2003" t="s">
        <v>55</v>
      </c>
      <c r="C26" s="1699">
        <f>Адміністративні_1ст!G21</f>
        <v>4743.9700713768461</v>
      </c>
      <c r="D26" s="1699">
        <f>'Д 2_Т на В'!L34/'Д 2_Т на В'!L$58*1000</f>
        <v>43.652604726673331</v>
      </c>
      <c r="E26" s="1699">
        <f>'Д 2_Т на В'!P34/'Д 2_Т на В'!P$58*1000</f>
        <v>43.652604726673331</v>
      </c>
      <c r="F26" s="1699">
        <f>'Д 2_Т на В'!T34/'Д 2_Т на В'!T$58*1000</f>
        <v>43.652604726673331</v>
      </c>
      <c r="G26" s="1699">
        <f>'Д 2_Т на В'!X34/'Д 2_Т на В'!X$58*1000</f>
        <v>43.652604726673339</v>
      </c>
      <c r="H26" s="1724">
        <f t="shared" si="1"/>
        <v>0</v>
      </c>
      <c r="I26" s="1725">
        <f t="shared" si="5"/>
        <v>796.10837024626846</v>
      </c>
      <c r="J26" s="73">
        <f t="shared" si="6"/>
        <v>661.56680704140865</v>
      </c>
      <c r="K26" s="73">
        <f t="shared" si="3"/>
        <v>0</v>
      </c>
      <c r="L26" s="73">
        <f t="shared" si="3"/>
        <v>97.308870988954894</v>
      </c>
      <c r="M26" s="73">
        <f t="shared" si="3"/>
        <v>37.232692215904926</v>
      </c>
      <c r="N26" s="1725">
        <f t="shared" si="7"/>
        <v>3947.8617011305773</v>
      </c>
      <c r="O26" s="73">
        <f t="shared" si="8"/>
        <v>3278.999984138457</v>
      </c>
      <c r="P26" s="73">
        <f t="shared" si="4"/>
        <v>0.63745850988307129</v>
      </c>
      <c r="Q26" s="73">
        <f t="shared" si="4"/>
        <v>503.03527280519211</v>
      </c>
      <c r="R26" s="73">
        <f t="shared" si="4"/>
        <v>165.18898567704537</v>
      </c>
    </row>
    <row r="27" spans="1:18" x14ac:dyDescent="0.25">
      <c r="A27" s="1701" t="s">
        <v>2772</v>
      </c>
      <c r="B27" s="2003" t="s">
        <v>2773</v>
      </c>
      <c r="C27" s="1699">
        <f>Адміністративні_1ст!G23</f>
        <v>1043.6734157029061</v>
      </c>
      <c r="D27" s="1699">
        <f>'Д 2_Т на В'!L35/'Д 2_Т на В'!L$58*1000</f>
        <v>9.6035730398681345</v>
      </c>
      <c r="E27" s="1699">
        <f>'Д 2_Т на В'!P35/'Д 2_Т на В'!P$58*1000</f>
        <v>9.6035730398681327</v>
      </c>
      <c r="F27" s="1699">
        <f>'Д 2_Т на В'!T35/'Д 2_Т на В'!T$58*1000</f>
        <v>9.6035730398681345</v>
      </c>
      <c r="G27" s="1699">
        <f>'Д 2_Т на В'!X35/'Д 2_Т на В'!X$58*1000</f>
        <v>9.6035730398681345</v>
      </c>
      <c r="H27" s="1724">
        <f t="shared" si="1"/>
        <v>0</v>
      </c>
      <c r="I27" s="1725">
        <f t="shared" si="5"/>
        <v>175.1438414541791</v>
      </c>
      <c r="J27" s="73">
        <f t="shared" si="6"/>
        <v>145.54469754910991</v>
      </c>
      <c r="K27" s="73">
        <f t="shared" si="6"/>
        <v>0</v>
      </c>
      <c r="L27" s="73">
        <f t="shared" si="6"/>
        <v>21.407951617570081</v>
      </c>
      <c r="M27" s="73">
        <f t="shared" si="6"/>
        <v>8.191192287499085</v>
      </c>
      <c r="N27" s="1725">
        <f t="shared" si="7"/>
        <v>868.52957424872739</v>
      </c>
      <c r="O27" s="73">
        <f t="shared" si="8"/>
        <v>721.37999651046073</v>
      </c>
      <c r="P27" s="73">
        <f t="shared" si="8"/>
        <v>0.14024087217427569</v>
      </c>
      <c r="Q27" s="73">
        <f t="shared" si="8"/>
        <v>110.66776001714227</v>
      </c>
      <c r="R27" s="73">
        <f t="shared" si="8"/>
        <v>36.341576848949977</v>
      </c>
    </row>
    <row r="28" spans="1:18" x14ac:dyDescent="0.25">
      <c r="A28" s="1701" t="s">
        <v>2774</v>
      </c>
      <c r="B28" s="2003" t="s">
        <v>2762</v>
      </c>
      <c r="C28" s="1699">
        <f>Адміністративні_1ст!G36+Адміністративні_1ст!G38</f>
        <v>59.839555891161972</v>
      </c>
      <c r="D28" s="1699">
        <f t="shared" si="9"/>
        <v>0.55062583469849824</v>
      </c>
      <c r="E28" s="1699">
        <f>C28/$C$40</f>
        <v>0.55062583469849824</v>
      </c>
      <c r="F28" s="1699">
        <f>C28/$C$40</f>
        <v>0.55062583469849824</v>
      </c>
      <c r="G28" s="1699">
        <f>C28/$C$40</f>
        <v>0.55062583469849824</v>
      </c>
      <c r="H28" s="1724">
        <f t="shared" si="1"/>
        <v>0</v>
      </c>
      <c r="I28" s="1725">
        <f t="shared" si="5"/>
        <v>10.041962870762211</v>
      </c>
      <c r="J28" s="73">
        <f t="shared" si="6"/>
        <v>8.344880623203915</v>
      </c>
      <c r="K28" s="73">
        <f t="shared" si="6"/>
        <v>0</v>
      </c>
      <c r="L28" s="73">
        <f t="shared" si="6"/>
        <v>1.2274359948816975</v>
      </c>
      <c r="M28" s="73">
        <f t="shared" si="6"/>
        <v>0.4696462526765991</v>
      </c>
      <c r="N28" s="1725">
        <f t="shared" si="7"/>
        <v>49.797593020399752</v>
      </c>
      <c r="O28" s="73">
        <f t="shared" si="8"/>
        <v>41.360695760254892</v>
      </c>
      <c r="P28" s="73">
        <f t="shared" si="8"/>
        <v>8.0407830480629383E-3</v>
      </c>
      <c r="Q28" s="73">
        <f t="shared" si="8"/>
        <v>6.345193344256459</v>
      </c>
      <c r="R28" s="73">
        <f t="shared" si="8"/>
        <v>2.0836631328403441</v>
      </c>
    </row>
    <row r="29" spans="1:18" x14ac:dyDescent="0.25">
      <c r="A29" s="1701" t="s">
        <v>2775</v>
      </c>
      <c r="B29" s="2003" t="s">
        <v>2776</v>
      </c>
      <c r="C29" s="1699">
        <f>Адміністративні_1ст!G9+Адміністративні_1ст!G24+Адміністративні_1ст!G39</f>
        <v>487.40450778270178</v>
      </c>
      <c r="D29" s="1699">
        <f t="shared" si="9"/>
        <v>4.4849516333609518</v>
      </c>
      <c r="E29" s="1699">
        <f>C29/$C$40</f>
        <v>4.4849516333609518</v>
      </c>
      <c r="F29" s="1699">
        <f>C29/$C$40</f>
        <v>4.4849516333609518</v>
      </c>
      <c r="G29" s="1699">
        <f>C29/$C$40</f>
        <v>4.4849516333609518</v>
      </c>
      <c r="H29" s="1724">
        <f t="shared" si="1"/>
        <v>0</v>
      </c>
      <c r="I29" s="1725">
        <f t="shared" si="5"/>
        <v>81.793688093178488</v>
      </c>
      <c r="J29" s="73">
        <f t="shared" si="6"/>
        <v>67.970632002281235</v>
      </c>
      <c r="K29" s="73">
        <f t="shared" si="6"/>
        <v>0</v>
      </c>
      <c r="L29" s="73">
        <f t="shared" si="6"/>
        <v>9.9976984790497845</v>
      </c>
      <c r="M29" s="73">
        <f t="shared" si="6"/>
        <v>3.8253576118474633</v>
      </c>
      <c r="N29" s="1725">
        <f t="shared" si="7"/>
        <v>405.61081968952328</v>
      </c>
      <c r="O29" s="73">
        <f t="shared" si="8"/>
        <v>336.89069476457405</v>
      </c>
      <c r="P29" s="73">
        <f t="shared" si="8"/>
        <v>6.5493699700191865E-2</v>
      </c>
      <c r="Q29" s="73">
        <f t="shared" si="8"/>
        <v>51.682800660627379</v>
      </c>
      <c r="R29" s="73">
        <f t="shared" si="8"/>
        <v>16.971830564621683</v>
      </c>
    </row>
    <row r="30" spans="1:18" s="15" customFormat="1" x14ac:dyDescent="0.25">
      <c r="A30" s="1696" t="s">
        <v>1770</v>
      </c>
      <c r="B30" s="1697" t="s">
        <v>2777</v>
      </c>
      <c r="C30" s="1690">
        <v>0</v>
      </c>
      <c r="D30" s="1690">
        <v>0</v>
      </c>
      <c r="E30" s="1690">
        <v>0</v>
      </c>
      <c r="F30" s="1690">
        <v>0</v>
      </c>
      <c r="G30" s="1690">
        <v>0</v>
      </c>
      <c r="H30" s="1724">
        <f t="shared" si="1"/>
        <v>0</v>
      </c>
      <c r="I30" s="1725">
        <f t="shared" si="5"/>
        <v>0</v>
      </c>
      <c r="J30" s="73">
        <f t="shared" si="6"/>
        <v>0</v>
      </c>
      <c r="K30" s="73">
        <f t="shared" si="6"/>
        <v>0</v>
      </c>
      <c r="L30" s="73">
        <f t="shared" si="6"/>
        <v>0</v>
      </c>
      <c r="M30" s="73">
        <f t="shared" si="6"/>
        <v>0</v>
      </c>
      <c r="N30" s="1725">
        <f t="shared" si="7"/>
        <v>0</v>
      </c>
      <c r="O30" s="73">
        <f t="shared" si="8"/>
        <v>0</v>
      </c>
      <c r="P30" s="73">
        <f t="shared" si="8"/>
        <v>0</v>
      </c>
      <c r="Q30" s="73">
        <f t="shared" si="8"/>
        <v>0</v>
      </c>
      <c r="R30" s="73">
        <f t="shared" si="8"/>
        <v>0</v>
      </c>
    </row>
    <row r="31" spans="1:18" s="15" customFormat="1" x14ac:dyDescent="0.25">
      <c r="A31" s="1696" t="s">
        <v>1773</v>
      </c>
      <c r="B31" s="1697" t="s">
        <v>2779</v>
      </c>
      <c r="C31" s="1690">
        <f>'ТЕ_2ст_тариф_з ЦТП'!E67</f>
        <v>0</v>
      </c>
      <c r="D31" s="1690">
        <f t="shared" si="9"/>
        <v>0</v>
      </c>
      <c r="E31" s="1690">
        <f>C31/$C$40</f>
        <v>0</v>
      </c>
      <c r="F31" s="1690">
        <f>C31/$C$40</f>
        <v>0</v>
      </c>
      <c r="G31" s="1690">
        <f>C31/$C$40</f>
        <v>0</v>
      </c>
      <c r="H31" s="1724">
        <f t="shared" si="1"/>
        <v>0</v>
      </c>
      <c r="I31" s="1725">
        <f t="shared" si="5"/>
        <v>0</v>
      </c>
      <c r="J31" s="73">
        <f t="shared" si="6"/>
        <v>0</v>
      </c>
      <c r="K31" s="73">
        <f t="shared" si="6"/>
        <v>0</v>
      </c>
      <c r="L31" s="73">
        <f t="shared" si="6"/>
        <v>0</v>
      </c>
      <c r="M31" s="73">
        <f t="shared" si="6"/>
        <v>0</v>
      </c>
      <c r="N31" s="1725">
        <f t="shared" si="7"/>
        <v>0</v>
      </c>
      <c r="O31" s="73">
        <f t="shared" si="8"/>
        <v>0</v>
      </c>
      <c r="P31" s="73">
        <f t="shared" si="8"/>
        <v>0</v>
      </c>
      <c r="Q31" s="73">
        <f t="shared" si="8"/>
        <v>0</v>
      </c>
      <c r="R31" s="73">
        <f t="shared" si="8"/>
        <v>0</v>
      </c>
    </row>
    <row r="32" spans="1:18" s="15" customFormat="1" x14ac:dyDescent="0.25">
      <c r="A32" s="1696" t="s">
        <v>1845</v>
      </c>
      <c r="B32" s="1697" t="s">
        <v>2780</v>
      </c>
      <c r="C32" s="1690">
        <v>0</v>
      </c>
      <c r="D32" s="1690">
        <f t="shared" si="9"/>
        <v>0</v>
      </c>
      <c r="E32" s="1690">
        <f>C32/$C$40</f>
        <v>0</v>
      </c>
      <c r="F32" s="1690">
        <f>C32/$C$40</f>
        <v>0</v>
      </c>
      <c r="G32" s="1690">
        <f>C32/$C$40</f>
        <v>0</v>
      </c>
      <c r="H32" s="1724">
        <f t="shared" si="1"/>
        <v>0</v>
      </c>
      <c r="I32" s="1725">
        <f t="shared" si="5"/>
        <v>0</v>
      </c>
      <c r="J32" s="73">
        <f t="shared" si="6"/>
        <v>0</v>
      </c>
      <c r="K32" s="73">
        <f t="shared" si="6"/>
        <v>0</v>
      </c>
      <c r="L32" s="73">
        <f t="shared" si="6"/>
        <v>0</v>
      </c>
      <c r="M32" s="73">
        <f t="shared" si="6"/>
        <v>0</v>
      </c>
      <c r="N32" s="1725">
        <f t="shared" si="7"/>
        <v>0</v>
      </c>
      <c r="O32" s="73">
        <f t="shared" si="8"/>
        <v>0</v>
      </c>
      <c r="P32" s="73">
        <f t="shared" si="8"/>
        <v>0</v>
      </c>
      <c r="Q32" s="73">
        <f t="shared" si="8"/>
        <v>0</v>
      </c>
      <c r="R32" s="73">
        <f t="shared" si="8"/>
        <v>0</v>
      </c>
    </row>
    <row r="33" spans="1:18" s="15" customFormat="1" x14ac:dyDescent="0.25">
      <c r="A33" s="1696" t="s">
        <v>1851</v>
      </c>
      <c r="B33" s="1697" t="s">
        <v>2781</v>
      </c>
      <c r="C33" s="1713">
        <f>'ТЕ_2ст_тариф_з ЦТП'!E69</f>
        <v>0</v>
      </c>
      <c r="D33" s="1714">
        <f t="shared" si="9"/>
        <v>0</v>
      </c>
      <c r="E33" s="1714">
        <f>C33/$C$40</f>
        <v>0</v>
      </c>
      <c r="F33" s="1714">
        <f>C33/$C$40</f>
        <v>0</v>
      </c>
      <c r="G33" s="1714">
        <f>C33/$C$40</f>
        <v>0</v>
      </c>
      <c r="H33" s="1724">
        <f t="shared" si="1"/>
        <v>0</v>
      </c>
      <c r="I33" s="1725">
        <f t="shared" si="5"/>
        <v>0</v>
      </c>
      <c r="J33" s="73">
        <f t="shared" si="6"/>
        <v>0</v>
      </c>
      <c r="K33" s="73">
        <f t="shared" si="6"/>
        <v>0</v>
      </c>
      <c r="L33" s="73">
        <f t="shared" si="6"/>
        <v>0</v>
      </c>
      <c r="M33" s="73">
        <f t="shared" si="6"/>
        <v>0</v>
      </c>
      <c r="N33" s="1725">
        <f t="shared" si="7"/>
        <v>0</v>
      </c>
      <c r="O33" s="73">
        <f t="shared" si="8"/>
        <v>0</v>
      </c>
      <c r="P33" s="73">
        <f t="shared" si="8"/>
        <v>0</v>
      </c>
      <c r="Q33" s="73">
        <f t="shared" si="8"/>
        <v>0</v>
      </c>
      <c r="R33" s="73">
        <f t="shared" si="8"/>
        <v>0</v>
      </c>
    </row>
    <row r="34" spans="1:18" s="15" customFormat="1" x14ac:dyDescent="0.25">
      <c r="A34" s="1696" t="s">
        <v>1857</v>
      </c>
      <c r="B34" s="1697" t="s">
        <v>2782</v>
      </c>
      <c r="C34" s="1690">
        <f>SUM(C35:C38)</f>
        <v>7201.7534935752356</v>
      </c>
      <c r="D34" s="1690">
        <f>'Д 2_Т на В'!L45/'Д 2_Т на В'!L$58*1000</f>
        <v>58.522300843176261</v>
      </c>
      <c r="E34" s="1690">
        <f>'Д 2_Т на В'!P45/'Д 2_Т на В'!P$58*1000</f>
        <v>104.2617890822939</v>
      </c>
      <c r="F34" s="1690">
        <f>'Д 2_Т на В'!T45/'Д 2_Т на В'!T$58*1000</f>
        <v>104.26178908229396</v>
      </c>
      <c r="G34" s="1690">
        <f>'Д 2_Т на В'!X45/'Д 2_Т на В'!X$58*1000</f>
        <v>104.26178908229397</v>
      </c>
      <c r="H34" s="1724">
        <f t="shared" si="1"/>
        <v>0</v>
      </c>
      <c r="I34" s="1725">
        <f t="shared" si="5"/>
        <v>1208.2659471400475</v>
      </c>
      <c r="J34" s="73">
        <f t="shared" si="6"/>
        <v>886.92099708496244</v>
      </c>
      <c r="K34" s="73">
        <f t="shared" si="6"/>
        <v>0</v>
      </c>
      <c r="L34" s="73">
        <f t="shared" si="6"/>
        <v>232.41676061284929</v>
      </c>
      <c r="M34" s="73">
        <f t="shared" si="6"/>
        <v>88.92818944223589</v>
      </c>
      <c r="N34" s="1725">
        <f t="shared" si="7"/>
        <v>5993.487546435189</v>
      </c>
      <c r="O34" s="73">
        <f t="shared" si="8"/>
        <v>4395.9489871921978</v>
      </c>
      <c r="P34" s="73">
        <f t="shared" si="8"/>
        <v>1.5225337668231076</v>
      </c>
      <c r="Q34" s="73">
        <f t="shared" si="8"/>
        <v>1201.4714320614617</v>
      </c>
      <c r="R34" s="73">
        <f t="shared" si="8"/>
        <v>394.5445934147055</v>
      </c>
    </row>
    <row r="35" spans="1:18" x14ac:dyDescent="0.25">
      <c r="A35" s="1701" t="s">
        <v>1029</v>
      </c>
      <c r="B35" s="2003" t="s">
        <v>65</v>
      </c>
      <c r="C35" s="1699">
        <f>'ТЕ_2ст_тариф_з ЦТП'!E71</f>
        <v>1296.3156288435421</v>
      </c>
      <c r="D35" s="1699">
        <f>'Д 2_Т на В'!L46/'Д 2_Т на В'!L$58*1000</f>
        <v>10.534014151771723</v>
      </c>
      <c r="E35" s="1699">
        <f>'Д 2_Т на В'!P46/'Д 2_Т на В'!P$58*1000</f>
        <v>18.7671220348129</v>
      </c>
      <c r="F35" s="1699">
        <f>'Д 2_Т на В'!T46/'Д 2_Т на В'!T$58*1000</f>
        <v>18.767122034812907</v>
      </c>
      <c r="G35" s="1699">
        <f>'Д 2_Т на В'!X46/'Д 2_Т на В'!X$58*1000</f>
        <v>18.76712203481291</v>
      </c>
      <c r="H35" s="1724">
        <f t="shared" si="1"/>
        <v>0</v>
      </c>
      <c r="I35" s="1725">
        <f t="shared" si="5"/>
        <v>217.48787048520848</v>
      </c>
      <c r="J35" s="73">
        <f t="shared" si="6"/>
        <v>159.64577947529318</v>
      </c>
      <c r="K35" s="73">
        <f t="shared" si="6"/>
        <v>0</v>
      </c>
      <c r="L35" s="73">
        <f t="shared" si="6"/>
        <v>41.835016910312859</v>
      </c>
      <c r="M35" s="73">
        <f t="shared" si="6"/>
        <v>16.007074099602455</v>
      </c>
      <c r="N35" s="1725">
        <f t="shared" si="7"/>
        <v>1078.8277583583333</v>
      </c>
      <c r="O35" s="73">
        <f t="shared" si="8"/>
        <v>791.27081769459528</v>
      </c>
      <c r="P35" s="73">
        <f t="shared" si="8"/>
        <v>0.27405607802815934</v>
      </c>
      <c r="Q35" s="73">
        <f t="shared" si="8"/>
        <v>216.26485777106305</v>
      </c>
      <c r="R35" s="73">
        <f t="shared" si="8"/>
        <v>71.018026814646973</v>
      </c>
    </row>
    <row r="36" spans="1:18" x14ac:dyDescent="0.25">
      <c r="A36" s="1701" t="s">
        <v>2793</v>
      </c>
      <c r="B36" s="2003" t="s">
        <v>84</v>
      </c>
      <c r="C36" s="1699">
        <f>'ТЕ_2ст_тариф_з ЦТП'!E72</f>
        <v>0</v>
      </c>
      <c r="D36" s="1699">
        <f>'Д 2_Т на В'!L47/'Д 2_Т на В'!L$58*1000</f>
        <v>0</v>
      </c>
      <c r="E36" s="1699">
        <f>'Д 2_Т на В'!P47/'Д 2_Т на В'!P$58*1000</f>
        <v>0</v>
      </c>
      <c r="F36" s="1699">
        <f>'Д 2_Т на В'!T47/'Д 2_Т на В'!T$58*1000</f>
        <v>0</v>
      </c>
      <c r="G36" s="1699">
        <f>'Д 2_Т на В'!X47/'Д 2_Т на В'!X$58*1000</f>
        <v>0</v>
      </c>
      <c r="H36" s="1724">
        <f t="shared" si="1"/>
        <v>0</v>
      </c>
      <c r="I36" s="1725">
        <f t="shared" si="5"/>
        <v>0</v>
      </c>
      <c r="J36" s="73">
        <f t="shared" si="6"/>
        <v>0</v>
      </c>
      <c r="K36" s="73">
        <f t="shared" si="6"/>
        <v>0</v>
      </c>
      <c r="L36" s="73">
        <f t="shared" si="6"/>
        <v>0</v>
      </c>
      <c r="M36" s="73">
        <f t="shared" si="6"/>
        <v>0</v>
      </c>
      <c r="N36" s="1725">
        <f t="shared" si="7"/>
        <v>0</v>
      </c>
      <c r="O36" s="73">
        <f t="shared" si="8"/>
        <v>0</v>
      </c>
      <c r="P36" s="73">
        <f t="shared" si="8"/>
        <v>0</v>
      </c>
      <c r="Q36" s="73">
        <f t="shared" si="8"/>
        <v>0</v>
      </c>
      <c r="R36" s="73">
        <f t="shared" si="8"/>
        <v>0</v>
      </c>
    </row>
    <row r="37" spans="1:18" x14ac:dyDescent="0.25">
      <c r="A37" s="1701" t="s">
        <v>2794</v>
      </c>
      <c r="B37" s="2003" t="s">
        <v>71</v>
      </c>
      <c r="C37" s="1699">
        <f>'ТЕ_2ст_тариф_з ЦТП'!E74</f>
        <v>0</v>
      </c>
      <c r="D37" s="1699">
        <f>'Д 2_Т на В'!L48/'Д 2_Т на В'!L$58*1000</f>
        <v>0</v>
      </c>
      <c r="E37" s="1699">
        <f>'Д 2_Т на В'!P48/'Д 2_Т на В'!P$58*1000</f>
        <v>0</v>
      </c>
      <c r="F37" s="1699">
        <f>'Д 2_Т на В'!T48/'Д 2_Т на В'!T$58*1000</f>
        <v>0</v>
      </c>
      <c r="G37" s="1699">
        <f>'Д 2_Т на В'!X48/'Д 2_Т на В'!X$58*1000</f>
        <v>0</v>
      </c>
      <c r="H37" s="1724">
        <f t="shared" si="1"/>
        <v>0</v>
      </c>
      <c r="I37" s="1725">
        <f t="shared" si="5"/>
        <v>0</v>
      </c>
      <c r="J37" s="73">
        <f t="shared" si="6"/>
        <v>0</v>
      </c>
      <c r="K37" s="73">
        <f t="shared" si="6"/>
        <v>0</v>
      </c>
      <c r="L37" s="73">
        <f t="shared" si="6"/>
        <v>0</v>
      </c>
      <c r="M37" s="73">
        <f t="shared" si="6"/>
        <v>0</v>
      </c>
      <c r="N37" s="1725">
        <f t="shared" si="7"/>
        <v>0</v>
      </c>
      <c r="O37" s="73">
        <f t="shared" si="8"/>
        <v>0</v>
      </c>
      <c r="P37" s="73">
        <f t="shared" si="8"/>
        <v>0</v>
      </c>
      <c r="Q37" s="73">
        <f t="shared" si="8"/>
        <v>0</v>
      </c>
      <c r="R37" s="73">
        <f t="shared" si="8"/>
        <v>0</v>
      </c>
    </row>
    <row r="38" spans="1:18" x14ac:dyDescent="0.25">
      <c r="A38" s="1701" t="s">
        <v>2795</v>
      </c>
      <c r="B38" s="2003" t="s">
        <v>2446</v>
      </c>
      <c r="C38" s="1699">
        <f>'ТЕ_2ст_тариф_з ЦТП'!E75</f>
        <v>5905.4378647316935</v>
      </c>
      <c r="D38" s="1699">
        <f>'Д 2_Т на В'!L50/'Д 2_Т на В'!L$58*1000</f>
        <v>47.988286691404539</v>
      </c>
      <c r="E38" s="1699">
        <f>'Д 2_Т на В'!P50/'Д 2_Т на В'!P$58*1000</f>
        <v>85.494667047481002</v>
      </c>
      <c r="F38" s="1699">
        <f>'Д 2_Т на В'!T50/'Д 2_Т на В'!T$58*1000</f>
        <v>85.494667047481059</v>
      </c>
      <c r="G38" s="1699">
        <f>'Д 2_Т на В'!X50/'Д 2_Т на В'!X$58*1000</f>
        <v>85.494667047481059</v>
      </c>
      <c r="H38" s="1724">
        <f t="shared" si="1"/>
        <v>0</v>
      </c>
      <c r="I38" s="1725">
        <f t="shared" si="5"/>
        <v>990.7780766548392</v>
      </c>
      <c r="J38" s="73">
        <f t="shared" si="6"/>
        <v>727.27521760966931</v>
      </c>
      <c r="K38" s="73">
        <f t="shared" si="6"/>
        <v>0</v>
      </c>
      <c r="L38" s="73">
        <f t="shared" si="6"/>
        <v>190.58174370253644</v>
      </c>
      <c r="M38" s="73">
        <f t="shared" si="6"/>
        <v>72.921115342633428</v>
      </c>
      <c r="N38" s="1725">
        <f t="shared" si="7"/>
        <v>4914.659788076855</v>
      </c>
      <c r="O38" s="73">
        <f t="shared" si="8"/>
        <v>3604.6781694976025</v>
      </c>
      <c r="P38" s="73">
        <f t="shared" si="8"/>
        <v>1.2484776887949482</v>
      </c>
      <c r="Q38" s="73">
        <f t="shared" si="8"/>
        <v>985.20657429039875</v>
      </c>
      <c r="R38" s="73">
        <f t="shared" si="8"/>
        <v>323.52656660005852</v>
      </c>
    </row>
    <row r="39" spans="1:18" ht="28.95" customHeight="1" x14ac:dyDescent="0.25">
      <c r="A39" s="1715" t="s">
        <v>1859</v>
      </c>
      <c r="B39" s="1716" t="s">
        <v>2796</v>
      </c>
      <c r="C39" s="1713">
        <f>C9+C25+C30+C31+C32+C33+C34</f>
        <v>162608.01309177766</v>
      </c>
      <c r="D39" s="1690">
        <f>D9+D25+D30+D31+D32+D33+D34</f>
        <v>1321.3719506169798</v>
      </c>
      <c r="E39" s="1690">
        <f>E9+E25+E30+E31+E32+E33+E34</f>
        <v>2354.1214482265309</v>
      </c>
      <c r="F39" s="1690">
        <f>F9+F25+F30+F31+F32+F33+F34</f>
        <v>2354.1214482265323</v>
      </c>
      <c r="G39" s="1690">
        <f>G9+G25+G30+G31+G32+G33+G34</f>
        <v>2354.1214482265323</v>
      </c>
      <c r="H39" s="1724">
        <f t="shared" si="1"/>
        <v>0</v>
      </c>
      <c r="I39" s="1725">
        <f t="shared" si="5"/>
        <v>27281.373227530545</v>
      </c>
      <c r="J39" s="73">
        <f t="shared" si="6"/>
        <v>20025.742513128887</v>
      </c>
      <c r="K39" s="73">
        <f t="shared" si="6"/>
        <v>0</v>
      </c>
      <c r="L39" s="73">
        <f t="shared" si="6"/>
        <v>5247.7258054164395</v>
      </c>
      <c r="M39" s="73">
        <f t="shared" si="6"/>
        <v>2007.9049089852208</v>
      </c>
      <c r="N39" s="1725">
        <f t="shared" si="7"/>
        <v>135326.63986424715</v>
      </c>
      <c r="O39" s="73">
        <f t="shared" si="8"/>
        <v>99255.900816076464</v>
      </c>
      <c r="P39" s="73">
        <f t="shared" si="8"/>
        <v>34.3772097877428</v>
      </c>
      <c r="Q39" s="73">
        <f t="shared" si="8"/>
        <v>27127.960229177217</v>
      </c>
      <c r="R39" s="73">
        <f t="shared" si="8"/>
        <v>8908.4016092057191</v>
      </c>
    </row>
    <row r="40" spans="1:18" s="15" customFormat="1" ht="33.75" customHeight="1" thickBot="1" x14ac:dyDescent="0.3">
      <c r="A40" s="1717" t="s">
        <v>1861</v>
      </c>
      <c r="B40" s="1074" t="s">
        <v>2787</v>
      </c>
      <c r="C40" s="1718">
        <f>'ТЕ_2ст_тариф_з ЦТП'!E30</f>
        <v>108.67553267624618</v>
      </c>
      <c r="D40" s="1693">
        <f>'ТЕ_2ст_тариф_з ЦТП'!H30</f>
        <v>90.271057497103627</v>
      </c>
      <c r="E40" s="1693">
        <f>'ТЕ_2ст_тариф_з ЦТП'!K30</f>
        <v>1.4602989074179139E-2</v>
      </c>
      <c r="F40" s="1693">
        <f>'ТЕ_2ст_тариф_з ЦТП'!N30</f>
        <v>13.752767963175286</v>
      </c>
      <c r="G40" s="1693">
        <f>'ТЕ_2ст_тариф_з ЦТП'!Q30</f>
        <v>4.6371042268930927</v>
      </c>
      <c r="H40" s="1205"/>
    </row>
    <row r="41" spans="1:18" s="45" customFormat="1" ht="41.4" customHeight="1" x14ac:dyDescent="0.3">
      <c r="A41" s="40"/>
      <c r="B41" s="45" t="s">
        <v>2821</v>
      </c>
      <c r="D41" s="40"/>
      <c r="F41" s="45" t="s">
        <v>2822</v>
      </c>
      <c r="H41" s="1499"/>
    </row>
    <row r="42" spans="1:18" x14ac:dyDescent="0.25">
      <c r="C42" s="1708">
        <f>C9+C25+C31+C34+C33</f>
        <v>162608.01309177766</v>
      </c>
      <c r="D42" s="1708">
        <f>'Д 2_Т на В'!L52</f>
        <v>1321.3719506169798</v>
      </c>
      <c r="E42" s="1708">
        <f>'Д 2_Т на В'!P52</f>
        <v>2354.1214482265309</v>
      </c>
      <c r="F42" s="1708">
        <f>'Д 2_Т на В'!T52</f>
        <v>2354.1214482265323</v>
      </c>
      <c r="G42" s="1708">
        <f>'Д 2_Т на В'!X52</f>
        <v>2354.1214482265318</v>
      </c>
    </row>
    <row r="43" spans="1:18" x14ac:dyDescent="0.25">
      <c r="C43" s="1709">
        <f>'ТЕ_2ст_тариф_з ЦТП'!E76</f>
        <v>162608.01309177774</v>
      </c>
      <c r="D43" s="1710">
        <f>D9+D25+D30+D31+D32+D33+D34</f>
        <v>1321.3719506169798</v>
      </c>
      <c r="E43" s="1710">
        <f>E9+E25+E30+E31+E32+E33+E34</f>
        <v>2354.1214482265309</v>
      </c>
      <c r="F43" s="1710">
        <f>F9+F25+F30+F31+F32+F33+F34</f>
        <v>2354.1214482265323</v>
      </c>
      <c r="G43" s="1710">
        <f>G9+G25+G30+G31+G32+G33+G34</f>
        <v>2354.1214482265323</v>
      </c>
    </row>
    <row r="44" spans="1:18" x14ac:dyDescent="0.25">
      <c r="C44" s="1708">
        <f>C42-C43</f>
        <v>0</v>
      </c>
      <c r="D44" s="1708"/>
      <c r="E44" s="1708"/>
      <c r="F44" s="1708"/>
      <c r="G44" s="1708"/>
    </row>
    <row r="45" spans="1:18" x14ac:dyDescent="0.25">
      <c r="D45" s="1723">
        <f>D39-D42</f>
        <v>0</v>
      </c>
      <c r="E45" s="1723">
        <f>E39-E42</f>
        <v>0</v>
      </c>
      <c r="F45" s="1723">
        <f>F39-F42</f>
        <v>0</v>
      </c>
      <c r="G45" s="1723">
        <f>G39-G42</f>
        <v>0</v>
      </c>
    </row>
    <row r="46" spans="1:18" x14ac:dyDescent="0.25">
      <c r="C46" s="2082">
        <f>C39-C34</f>
        <v>155406.25959820242</v>
      </c>
    </row>
  </sheetData>
  <mergeCells count="9">
    <mergeCell ref="B8:G8"/>
    <mergeCell ref="E1:G1"/>
    <mergeCell ref="I4:I5"/>
    <mergeCell ref="N4:N5"/>
    <mergeCell ref="B2:F2"/>
    <mergeCell ref="A4:A5"/>
    <mergeCell ref="B4:B5"/>
    <mergeCell ref="C4:C5"/>
    <mergeCell ref="D4:G4"/>
  </mergeCells>
  <pageMargins left="0.87" right="0.43" top="0.74803149606299213" bottom="0.74803149606299213" header="0.31496062992125984" footer="0.31496062992125984"/>
  <pageSetup paperSize="9" scale="74" fitToHeight="2" orientation="portrait" horizontalDpi="0" verticalDpi="0" r:id="rId1"/>
</worksheet>
</file>

<file path=xl/worksheets/sheet1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E00-000000000000}">
  <sheetPr codeName="Лист107">
    <tabColor rgb="FFEC20C5"/>
    <pageSetUpPr fitToPage="1"/>
  </sheetPr>
  <dimension ref="A1:I46"/>
  <sheetViews>
    <sheetView workbookViewId="0">
      <selection activeCell="D12" sqref="D12"/>
    </sheetView>
  </sheetViews>
  <sheetFormatPr defaultColWidth="9.109375" defaultRowHeight="13.8" x14ac:dyDescent="0.25"/>
  <cols>
    <col min="1" max="1" width="7.88671875" style="1445" customWidth="1"/>
    <col min="2" max="2" width="45.6640625" style="100" customWidth="1"/>
    <col min="3" max="3" width="12.6640625" style="10" customWidth="1"/>
    <col min="4" max="4" width="11.109375" style="1445" customWidth="1"/>
    <col min="5" max="7" width="11.6640625" style="10" customWidth="1"/>
    <col min="8" max="8" width="8.33203125" style="10" customWidth="1"/>
    <col min="9" max="16384" width="9.109375" style="10"/>
  </cols>
  <sheetData>
    <row r="1" spans="1:8" ht="85.2" customHeight="1" x14ac:dyDescent="0.25">
      <c r="A1" s="2083"/>
      <c r="F1" s="5470" t="s">
        <v>2798</v>
      </c>
      <c r="G1" s="5470"/>
    </row>
    <row r="2" spans="1:8" ht="45.75" customHeight="1" x14ac:dyDescent="0.25">
      <c r="A2" s="4898" t="s">
        <v>2805</v>
      </c>
      <c r="B2" s="4898"/>
      <c r="C2" s="4898"/>
      <c r="D2" s="4898"/>
      <c r="E2" s="4898"/>
      <c r="F2" s="4898"/>
      <c r="G2" s="4898"/>
    </row>
    <row r="3" spans="1:8" ht="14.4" thickBot="1" x14ac:dyDescent="0.3">
      <c r="G3" s="10" t="s">
        <v>1734</v>
      </c>
    </row>
    <row r="4" spans="1:8" ht="30" customHeight="1" thickBot="1" x14ac:dyDescent="0.3">
      <c r="A4" s="4876" t="s">
        <v>7</v>
      </c>
      <c r="B4" s="4876" t="s">
        <v>631</v>
      </c>
      <c r="C4" s="4876" t="s">
        <v>2734</v>
      </c>
      <c r="D4" s="4879" t="s">
        <v>2735</v>
      </c>
      <c r="E4" s="4880"/>
      <c r="F4" s="4880"/>
      <c r="G4" s="4882"/>
      <c r="H4" s="100"/>
    </row>
    <row r="5" spans="1:8" ht="48.6" customHeight="1" thickBot="1" x14ac:dyDescent="0.3">
      <c r="A5" s="4877"/>
      <c r="B5" s="4878"/>
      <c r="C5" s="4878"/>
      <c r="D5" s="1682" t="s">
        <v>2736</v>
      </c>
      <c r="E5" s="1682" t="s">
        <v>2737</v>
      </c>
      <c r="F5" s="1682" t="s">
        <v>2738</v>
      </c>
      <c r="G5" s="1682" t="s">
        <v>2810</v>
      </c>
    </row>
    <row r="6" spans="1:8" ht="14.4" thickBot="1" x14ac:dyDescent="0.3">
      <c r="A6" s="1683">
        <v>1</v>
      </c>
      <c r="B6" s="2033">
        <v>2</v>
      </c>
      <c r="C6" s="1676">
        <v>3</v>
      </c>
      <c r="D6" s="1683">
        <v>4</v>
      </c>
      <c r="E6" s="1676">
        <v>5</v>
      </c>
      <c r="F6" s="1684">
        <v>6</v>
      </c>
      <c r="G6" s="1677">
        <v>7</v>
      </c>
    </row>
    <row r="7" spans="1:8" ht="44.4" customHeight="1" thickBot="1" x14ac:dyDescent="0.3">
      <c r="A7" s="1711" t="s">
        <v>2741</v>
      </c>
      <c r="B7" s="2034" t="s">
        <v>3411</v>
      </c>
      <c r="C7" s="1707">
        <f>'Д 3_Т на Т з ЦТП'!G45</f>
        <v>15929.260173628891</v>
      </c>
      <c r="D7" s="1707">
        <f>'Д 3_Т на Т з ЦТП'!H46</f>
        <v>949.4644192612908</v>
      </c>
      <c r="E7" s="1707">
        <f>'Д 3_Т на Т з ЦТП'!I46</f>
        <v>0</v>
      </c>
      <c r="F7" s="1707">
        <f>'Д 3_Т на Т з ЦТП'!J46</f>
        <v>1061.8014015792946</v>
      </c>
      <c r="G7" s="1707">
        <f>'Д 3_Т на Т з ЦТП'!K46</f>
        <v>1061.8014015792946</v>
      </c>
    </row>
    <row r="8" spans="1:8" ht="34.5" customHeight="1" thickBot="1" x14ac:dyDescent="0.3">
      <c r="A8" s="1695" t="s">
        <v>2746</v>
      </c>
      <c r="B8" s="4888" t="s">
        <v>2806</v>
      </c>
      <c r="C8" s="4889"/>
      <c r="D8" s="4889"/>
      <c r="E8" s="4889"/>
      <c r="F8" s="4889"/>
      <c r="G8" s="4890"/>
    </row>
    <row r="9" spans="1:8" s="15" customFormat="1" x14ac:dyDescent="0.25">
      <c r="A9" s="1696" t="s">
        <v>1747</v>
      </c>
      <c r="B9" s="1697" t="s">
        <v>2748</v>
      </c>
      <c r="C9" s="1690">
        <f>C10+C15+C16+C20</f>
        <v>14707.463085955644</v>
      </c>
      <c r="D9" s="1690">
        <f>D10+D15+D16+D20</f>
        <v>876.02379323034938</v>
      </c>
      <c r="E9" s="1690">
        <f>E10+E15+E16+E20</f>
        <v>0</v>
      </c>
      <c r="F9" s="1690">
        <f>F10+F15+F16+F20</f>
        <v>983.38547796317346</v>
      </c>
      <c r="G9" s="1690">
        <f>G10+G15+G16+G20</f>
        <v>983.38547796317346</v>
      </c>
    </row>
    <row r="10" spans="1:8" x14ac:dyDescent="0.25">
      <c r="A10" s="1698" t="s">
        <v>1749</v>
      </c>
      <c r="B10" s="2003" t="s">
        <v>2801</v>
      </c>
      <c r="C10" s="1699">
        <f>SUM(C11:C14)</f>
        <v>6995.4459242393823</v>
      </c>
      <c r="D10" s="1699">
        <f>SUM(D11:D14)</f>
        <v>407.15723841096997</v>
      </c>
      <c r="E10" s="1699">
        <f>SUM(E11:E14)</f>
        <v>0</v>
      </c>
      <c r="F10" s="1699">
        <f>SUM(F11:F14)</f>
        <v>514.51892314379404</v>
      </c>
      <c r="G10" s="1699">
        <f>SUM(G11:G14)</f>
        <v>514.51892314379404</v>
      </c>
    </row>
    <row r="11" spans="1:8" ht="27.6" x14ac:dyDescent="0.25">
      <c r="A11" s="1698" t="s">
        <v>2750</v>
      </c>
      <c r="B11" s="2003" t="s">
        <v>2753</v>
      </c>
      <c r="C11" s="1699">
        <f>'Д 3_Т на Т з ЦТП'!G13</f>
        <v>4179.9292165489842</v>
      </c>
      <c r="D11" s="1699">
        <f>'Д 3_Т на Т з ЦТП'!N13</f>
        <v>254.12664028823843</v>
      </c>
      <c r="E11" s="1699">
        <f>'Д 3_Т на Т з ЦТП'!O13</f>
        <v>0</v>
      </c>
      <c r="F11" s="1699">
        <f>'Д 3_Т на Т з ЦТП'!P13</f>
        <v>254.12664028823843</v>
      </c>
      <c r="G11" s="1699">
        <f>'Д 3_Т на Т з ЦТП'!Q13</f>
        <v>254.12664028823843</v>
      </c>
    </row>
    <row r="12" spans="1:8" ht="27.6" x14ac:dyDescent="0.25">
      <c r="A12" s="1698" t="s">
        <v>2752</v>
      </c>
      <c r="B12" s="2003" t="s">
        <v>2755</v>
      </c>
      <c r="C12" s="1699">
        <f>'Д 3_Т на Т з ЦТП'!G15</f>
        <v>108.58398240194796</v>
      </c>
      <c r="D12" s="1699">
        <f>'Д 3_Т на Т з ЦТП'!N15</f>
        <v>6.6015669661761294</v>
      </c>
      <c r="E12" s="1699">
        <f>'Д 3_Т на Т з ЦТП'!O15</f>
        <v>0</v>
      </c>
      <c r="F12" s="1699">
        <f>'Д 3_Т на Т з ЦТП'!P15</f>
        <v>6.6015669661761303</v>
      </c>
      <c r="G12" s="1699">
        <f>'Д 3_Т на Т з ЦТП'!Q15</f>
        <v>6.6015669661761294</v>
      </c>
    </row>
    <row r="13" spans="1:8" x14ac:dyDescent="0.25">
      <c r="A13" s="1698" t="s">
        <v>2754</v>
      </c>
      <c r="B13" s="11" t="s">
        <v>610</v>
      </c>
      <c r="C13" s="1699">
        <f>'Д 3_Т на Т з ЦТП'!G16-'Д 3_Т на Т з ЦТП'!G17</f>
        <v>149.0698539738778</v>
      </c>
      <c r="D13" s="1699">
        <f>'Д 3_Т на Т з ЦТП'!N16-'Д 3_Т на Т з ЦТП'!N17</f>
        <v>9.0629814994609603</v>
      </c>
      <c r="E13" s="1699">
        <f>'Д 3_Т на Т з ЦТП'!O16-'Д 3_Т на Т з ЦТП'!O17</f>
        <v>0</v>
      </c>
      <c r="F13" s="1699">
        <f>'Д 3_Т на Т з ЦТП'!P16-'Д 3_Т на Т з ЦТП'!P17</f>
        <v>9.0629814994609603</v>
      </c>
      <c r="G13" s="1699">
        <f>'Д 3_Т на Т з ЦТП'!Q16-'Д 3_Т на Т з ЦТП'!Q17</f>
        <v>9.0629814994609887</v>
      </c>
    </row>
    <row r="14" spans="1:8" ht="27.6" x14ac:dyDescent="0.25">
      <c r="A14" s="1698" t="s">
        <v>2756</v>
      </c>
      <c r="B14" s="11" t="s">
        <v>2392</v>
      </c>
      <c r="C14" s="1699">
        <f>'Д 3_Т на Т з ЦТП'!G17</f>
        <v>2557.8628713145722</v>
      </c>
      <c r="D14" s="1699">
        <f>'Д 3_Т на Т з ЦТП'!N17</f>
        <v>137.36604965709441</v>
      </c>
      <c r="E14" s="1699">
        <f>'Д 3_Т на Т з ЦТП'!O17</f>
        <v>0</v>
      </c>
      <c r="F14" s="1699">
        <f>'Д 3_Т на Т з ЦТП'!P17</f>
        <v>244.72773438991851</v>
      </c>
      <c r="G14" s="1699">
        <f>'Д 3_Т на Т з ЦТП'!Q17</f>
        <v>244.72773438991848</v>
      </c>
    </row>
    <row r="15" spans="1:8" x14ac:dyDescent="0.25">
      <c r="A15" s="1698" t="s">
        <v>1751</v>
      </c>
      <c r="B15" s="2003" t="s">
        <v>2757</v>
      </c>
      <c r="C15" s="1699">
        <f>'Д 3_Т на Т з ЦТП'!G18</f>
        <v>3466.1638017167252</v>
      </c>
      <c r="D15" s="1699">
        <f>'Д 3_Т на Т з ЦТП'!N18</f>
        <v>210.73193252449823</v>
      </c>
      <c r="E15" s="1699">
        <f>'Д 3_Т на Т з ЦТП'!O18</f>
        <v>0</v>
      </c>
      <c r="F15" s="1699">
        <f>'Д 3_Т на Т з ЦТП'!P18</f>
        <v>210.73193252449823</v>
      </c>
      <c r="G15" s="1699">
        <f>'Д 3_Т на Т з ЦТП'!Q18</f>
        <v>210.73193252449823</v>
      </c>
    </row>
    <row r="16" spans="1:8" ht="14.4" customHeight="1" x14ac:dyDescent="0.25">
      <c r="A16" s="1698" t="s">
        <v>1753</v>
      </c>
      <c r="B16" s="2003" t="s">
        <v>2758</v>
      </c>
      <c r="C16" s="1699">
        <f>'Д 3_Т на Т з ЦТП'!G19</f>
        <v>3821.1670404279466</v>
      </c>
      <c r="D16" s="1699">
        <f>'Д 3_Т на Т з ЦТП'!N19</f>
        <v>232.31502057966148</v>
      </c>
      <c r="E16" s="1699">
        <f>'Д 3_Т на Т з ЦТП'!O19</f>
        <v>0</v>
      </c>
      <c r="F16" s="1699">
        <f>'Д 3_Т на Т з ЦТП'!P19</f>
        <v>232.31502057966148</v>
      </c>
      <c r="G16" s="1699">
        <f>'Д 3_Т на Т з ЦТП'!Q19</f>
        <v>232.31502057966145</v>
      </c>
    </row>
    <row r="17" spans="1:9" x14ac:dyDescent="0.25">
      <c r="A17" s="1698" t="s">
        <v>2759</v>
      </c>
      <c r="B17" s="2003" t="s">
        <v>2773</v>
      </c>
      <c r="C17" s="1699">
        <f>'Д 3_Т на Т з ЦТП'!G20</f>
        <v>759.27155078294027</v>
      </c>
      <c r="D17" s="1699">
        <f>'Д 3_Т на Т з ЦТП'!N20</f>
        <v>46.161338690374464</v>
      </c>
      <c r="E17" s="1699">
        <f>'Д 3_Т на Т з ЦТП'!O20</f>
        <v>0</v>
      </c>
      <c r="F17" s="1699">
        <f>'Д 3_Т на Т з ЦТП'!P20</f>
        <v>46.161338690374464</v>
      </c>
      <c r="G17" s="1699">
        <f>'Д 3_Т на Т з ЦТП'!Q20</f>
        <v>46.161338690374457</v>
      </c>
    </row>
    <row r="18" spans="1:9" x14ac:dyDescent="0.25">
      <c r="A18" s="1698" t="s">
        <v>2761</v>
      </c>
      <c r="B18" s="2003" t="s">
        <v>2762</v>
      </c>
      <c r="C18" s="1699">
        <f>'Д 3_Т на Т з ЦТП'!G21</f>
        <v>2509.7584427367042</v>
      </c>
      <c r="D18" s="1699">
        <f>'Д 3_Т на Т з ЦТП'!N21</f>
        <v>152.58547404644688</v>
      </c>
      <c r="E18" s="1699">
        <f>'Д 3_Т на Т з ЦТП'!O21</f>
        <v>0</v>
      </c>
      <c r="F18" s="1699">
        <f>'Д 3_Т на Т з ЦТП'!P21</f>
        <v>152.58547404644685</v>
      </c>
      <c r="G18" s="1699">
        <f>'Д 3_Т на Т з ЦТП'!Q21</f>
        <v>152.58547404644685</v>
      </c>
    </row>
    <row r="19" spans="1:9" ht="15.6" customHeight="1" x14ac:dyDescent="0.25">
      <c r="A19" s="1698" t="s">
        <v>2763</v>
      </c>
      <c r="B19" s="2003" t="s">
        <v>81</v>
      </c>
      <c r="C19" s="1699">
        <f>'Д 3_Т на Т з ЦТП'!G22</f>
        <v>552.13704690830218</v>
      </c>
      <c r="D19" s="1699">
        <f>'Д 3_Т на Т з ЦТП'!N22</f>
        <v>33.568207842840167</v>
      </c>
      <c r="E19" s="1699">
        <f>'Д 3_Т на Т з ЦТП'!O22</f>
        <v>0</v>
      </c>
      <c r="F19" s="1699">
        <f>'Д 3_Т на Т з ЦТП'!P22</f>
        <v>33.56820784284016</v>
      </c>
      <c r="G19" s="1699">
        <f>'Д 3_Т на Т з ЦТП'!Q22</f>
        <v>33.56820784284016</v>
      </c>
    </row>
    <row r="20" spans="1:9" s="15" customFormat="1" x14ac:dyDescent="0.25">
      <c r="A20" s="1700" t="s">
        <v>1755</v>
      </c>
      <c r="B20" s="1697" t="s">
        <v>2764</v>
      </c>
      <c r="C20" s="1690">
        <f>SUM(C21:C24)</f>
        <v>424.6863195715905</v>
      </c>
      <c r="D20" s="1690">
        <f>'Д 3_Т на Т з ЦТП'!N23</f>
        <v>25.81960171521979</v>
      </c>
      <c r="E20" s="1690">
        <f>'Д 3_Т на Т з ЦТП'!O23</f>
        <v>0</v>
      </c>
      <c r="F20" s="1690">
        <f>'Д 3_Т на Т з ЦТП'!P23</f>
        <v>25.819601715219783</v>
      </c>
      <c r="G20" s="1690">
        <f>'Д 3_Т на Т з ЦТП'!Q23</f>
        <v>25.819601715219786</v>
      </c>
    </row>
    <row r="21" spans="1:9" x14ac:dyDescent="0.25">
      <c r="A21" s="1701" t="s">
        <v>2765</v>
      </c>
      <c r="B21" s="2003" t="s">
        <v>2766</v>
      </c>
      <c r="C21" s="1699">
        <f>'Д 3_Т на Т з ЦТП'!G24</f>
        <v>324.51370305813811</v>
      </c>
      <c r="D21" s="1699">
        <f>'Д 3_Т на Т з ЦТП'!N24</f>
        <v>19.729419522023925</v>
      </c>
      <c r="E21" s="1699">
        <f>'Д 3_Т на Т з ЦТП'!O24</f>
        <v>0</v>
      </c>
      <c r="F21" s="1699">
        <f>'Д 3_Т на Т з ЦТП'!P24</f>
        <v>19.729419522023921</v>
      </c>
      <c r="G21" s="1699">
        <f>'Д 3_Т на Т з ЦТП'!Q24</f>
        <v>19.729419522023921</v>
      </c>
    </row>
    <row r="22" spans="1:9" x14ac:dyDescent="0.25">
      <c r="A22" s="1701" t="s">
        <v>2767</v>
      </c>
      <c r="B22" s="2003" t="s">
        <v>2275</v>
      </c>
      <c r="C22" s="1699">
        <f>'Д 3_Т на Т з ЦТП'!G25</f>
        <v>69.268272036529339</v>
      </c>
      <c r="D22" s="1699">
        <f>'Д 3_Т на Т з ЦТП'!N25</f>
        <v>4.2112945792293059</v>
      </c>
      <c r="E22" s="1699">
        <f>'Д 3_Т на Т з ЦТП'!O25</f>
        <v>0</v>
      </c>
      <c r="F22" s="1699">
        <f>'Д 3_Т на Т з ЦТП'!P25</f>
        <v>4.2112945792293059</v>
      </c>
      <c r="G22" s="1699">
        <f>'Д 3_Т на Т з ЦТП'!Q25</f>
        <v>4.2112945792293059</v>
      </c>
    </row>
    <row r="23" spans="1:9" x14ac:dyDescent="0.25">
      <c r="A23" s="1701" t="s">
        <v>2768</v>
      </c>
      <c r="B23" s="2003" t="s">
        <v>2762</v>
      </c>
      <c r="C23" s="1699">
        <f>'Д 3_Т на Т з ЦТП'!M47</f>
        <v>1.9966521159621551</v>
      </c>
      <c r="D23" s="1699">
        <f>'Д 3_Т на Т з ЦТП'!N47</f>
        <v>0.12139021207463993</v>
      </c>
      <c r="E23" s="1699">
        <f>'Д 3_Т на Т з ЦТП'!O47</f>
        <v>0</v>
      </c>
      <c r="F23" s="1699">
        <f>'Д 3_Т на Т з ЦТП'!P47</f>
        <v>0.12139021207463994</v>
      </c>
      <c r="G23" s="1699">
        <f>'Д 3_Т на Т з ЦТП'!Q47</f>
        <v>0.12139021207463993</v>
      </c>
    </row>
    <row r="24" spans="1:9" x14ac:dyDescent="0.25">
      <c r="A24" s="1701" t="s">
        <v>2769</v>
      </c>
      <c r="B24" s="2003" t="s">
        <v>58</v>
      </c>
      <c r="C24" s="1699">
        <f>'Д 3_Т на Т з ЦТП'!G26-C23</f>
        <v>28.907692360960901</v>
      </c>
      <c r="D24" s="1699">
        <f>'Д 3_Т на Т з ЦТП'!N26-D23</f>
        <v>1.7574974018919205</v>
      </c>
      <c r="E24" s="1699">
        <f>'Д 3_Т на Т з ЦТП'!O26-E23</f>
        <v>0</v>
      </c>
      <c r="F24" s="1699">
        <f>'Д 3_Т на Т з ЦТП'!P26-F23</f>
        <v>1.7574974018919205</v>
      </c>
      <c r="G24" s="1699">
        <f>'Д 3_Т на Т з ЦТП'!Q26-G23</f>
        <v>1.7574974018919203</v>
      </c>
    </row>
    <row r="25" spans="1:9" s="15" customFormat="1" x14ac:dyDescent="0.25">
      <c r="A25" s="1696" t="s">
        <v>1768</v>
      </c>
      <c r="B25" s="1697" t="s">
        <v>2770</v>
      </c>
      <c r="C25" s="1690">
        <f>C26+C27+C29</f>
        <v>516.3053783516873</v>
      </c>
      <c r="D25" s="1690">
        <f>'Д 3_Т на Т з ЦТП'!N27</f>
        <v>31.389754315406478</v>
      </c>
      <c r="E25" s="1690">
        <f>'Д 3_Т на Т з ЦТП'!O27</f>
        <v>0</v>
      </c>
      <c r="F25" s="1690">
        <f>'Д 3_Т на Т з ЦТП'!P27</f>
        <v>31.389754315406478</v>
      </c>
      <c r="G25" s="1690">
        <f>'Д 3_Т на Т з ЦТП'!Q27</f>
        <v>31.389754315406478</v>
      </c>
      <c r="I25" s="2114"/>
    </row>
    <row r="26" spans="1:9" x14ac:dyDescent="0.25">
      <c r="A26" s="1701" t="s">
        <v>2771</v>
      </c>
      <c r="B26" s="2003" t="s">
        <v>55</v>
      </c>
      <c r="C26" s="1699">
        <f>'Д 3_Т на Т з ЦТП'!G28</f>
        <v>386.64257936195304</v>
      </c>
      <c r="D26" s="1699">
        <f>'Д 3_Т на Т з ЦТП'!N28</f>
        <v>23.506661140724674</v>
      </c>
      <c r="E26" s="1699">
        <f>'Д 3_Т на Т з ЦТП'!O28</f>
        <v>0</v>
      </c>
      <c r="F26" s="1699">
        <f>'Д 3_Т на Т з ЦТП'!P28</f>
        <v>23.506661140724674</v>
      </c>
      <c r="G26" s="1699">
        <f>'Д 3_Т на Т з ЦТП'!Q28</f>
        <v>23.50666114072467</v>
      </c>
    </row>
    <row r="27" spans="1:9" x14ac:dyDescent="0.25">
      <c r="A27" s="1701" t="s">
        <v>2772</v>
      </c>
      <c r="B27" s="2003" t="s">
        <v>2773</v>
      </c>
      <c r="C27" s="1699">
        <f>'Д 3_Т на Т з ЦТП'!G29</f>
        <v>85.061367459629665</v>
      </c>
      <c r="D27" s="1699">
        <f>'Д 3_Т на Т з ЦТП'!N29</f>
        <v>5.1714654509594276</v>
      </c>
      <c r="E27" s="1699">
        <f>'Д 3_Т на Т з ЦТП'!O29</f>
        <v>0</v>
      </c>
      <c r="F27" s="1699">
        <f>'Д 3_Т на Т з ЦТП'!P29</f>
        <v>5.1714654509594276</v>
      </c>
      <c r="G27" s="1699">
        <f>'Д 3_Т на Т з ЦТП'!Q29</f>
        <v>5.1714654509594267</v>
      </c>
    </row>
    <row r="28" spans="1:9" x14ac:dyDescent="0.25">
      <c r="A28" s="1701" t="s">
        <v>2774</v>
      </c>
      <c r="B28" s="2003" t="s">
        <v>2762</v>
      </c>
      <c r="C28" s="1699">
        <f>'Д 3_Т на Т з ЦТП'!M48</f>
        <v>4.8770375633752021</v>
      </c>
      <c r="D28" s="1699">
        <f>'Д 3_Т на Т з ЦТП'!N48</f>
        <v>0.2965086503458384</v>
      </c>
      <c r="E28" s="1699">
        <f>'Д 3_Т на Т з ЦТП'!O48</f>
        <v>0</v>
      </c>
      <c r="F28" s="1699">
        <f>'Д 3_Т на Т з ЦТП'!P48</f>
        <v>0.2965086503458384</v>
      </c>
      <c r="G28" s="1699">
        <f>'Д 3_Т на Т з ЦТП'!Q48</f>
        <v>0.2965086503458384</v>
      </c>
    </row>
    <row r="29" spans="1:9" x14ac:dyDescent="0.25">
      <c r="A29" s="1701" t="s">
        <v>2775</v>
      </c>
      <c r="B29" s="2003" t="s">
        <v>2776</v>
      </c>
      <c r="C29" s="1699">
        <f>'Д 3_Т на Т з ЦТП'!G30</f>
        <v>44.601431530104591</v>
      </c>
      <c r="D29" s="1699">
        <f>'Д 3_Т на Т з ЦТП'!N30</f>
        <v>2.7116277237223785</v>
      </c>
      <c r="E29" s="1699">
        <f>'Д 3_Т на Т з ЦТП'!O30</f>
        <v>0</v>
      </c>
      <c r="F29" s="1699">
        <f>'Д 3_Т на Т з ЦТП'!P30</f>
        <v>2.7116277237223785</v>
      </c>
      <c r="G29" s="1699">
        <f>'Д 3_Т на Т з ЦТП'!Q30</f>
        <v>2.711627723722378</v>
      </c>
    </row>
    <row r="30" spans="1:9" s="15" customFormat="1" x14ac:dyDescent="0.25">
      <c r="A30" s="1696" t="s">
        <v>1770</v>
      </c>
      <c r="B30" s="1697" t="s">
        <v>2777</v>
      </c>
      <c r="C30" s="1690">
        <v>0</v>
      </c>
      <c r="D30" s="1690">
        <f>'Д 3_Т на Т з ЦТП'!N31</f>
        <v>0</v>
      </c>
      <c r="E30" s="1690">
        <f>'Д 3_Т на Т з ЦТП'!O31</f>
        <v>0</v>
      </c>
      <c r="F30" s="1690">
        <f>'Д 3_Т на Т з ЦТП'!P31</f>
        <v>0</v>
      </c>
      <c r="G30" s="1690">
        <f>'Д 3_Т на Т з ЦТП'!Q31</f>
        <v>0</v>
      </c>
    </row>
    <row r="31" spans="1:9" s="15" customFormat="1" x14ac:dyDescent="0.25">
      <c r="A31" s="1696" t="s">
        <v>1773</v>
      </c>
      <c r="B31" s="1697" t="s">
        <v>2779</v>
      </c>
      <c r="C31" s="1690">
        <v>0</v>
      </c>
      <c r="D31" s="1690">
        <v>0</v>
      </c>
      <c r="E31" s="1690">
        <v>0</v>
      </c>
      <c r="F31" s="1690">
        <v>0</v>
      </c>
      <c r="G31" s="1690">
        <v>0</v>
      </c>
      <c r="I31" s="1622"/>
    </row>
    <row r="32" spans="1:9" s="15" customFormat="1" x14ac:dyDescent="0.25">
      <c r="A32" s="1696">
        <v>5</v>
      </c>
      <c r="B32" s="1697" t="s">
        <v>2442</v>
      </c>
      <c r="C32" s="1690">
        <f>C9+C25+C30</f>
        <v>15223.768464307332</v>
      </c>
      <c r="D32" s="1690">
        <f>D9+D25+D30</f>
        <v>907.41354754575582</v>
      </c>
      <c r="E32" s="1690">
        <f>E9+E25+E30</f>
        <v>0</v>
      </c>
      <c r="F32" s="1690">
        <f>F9+F25+F30</f>
        <v>1014.7752322785799</v>
      </c>
      <c r="G32" s="1690">
        <f>G9+G25+G30</f>
        <v>1014.7752322785799</v>
      </c>
    </row>
    <row r="33" spans="1:9" s="15" customFormat="1" x14ac:dyDescent="0.25">
      <c r="A33" s="1696">
        <v>6</v>
      </c>
      <c r="B33" s="1697" t="s">
        <v>2780</v>
      </c>
      <c r="C33" s="1690">
        <v>0</v>
      </c>
      <c r="D33" s="1690">
        <v>0</v>
      </c>
      <c r="E33" s="1690">
        <v>0</v>
      </c>
      <c r="F33" s="1690">
        <v>0</v>
      </c>
      <c r="G33" s="1690">
        <v>0</v>
      </c>
    </row>
    <row r="34" spans="1:9" s="15" customFormat="1" x14ac:dyDescent="0.25">
      <c r="A34" s="1696">
        <v>7</v>
      </c>
      <c r="B34" s="1697" t="s">
        <v>2781</v>
      </c>
      <c r="C34" s="1690">
        <f>'Д 3_Т на Т з ЦТП'!G38</f>
        <v>0</v>
      </c>
      <c r="D34" s="1690">
        <f>'Д 3_Т на Т з ЦТП'!N38</f>
        <v>0</v>
      </c>
      <c r="E34" s="1690">
        <f>'Д 3_Т на Т з ЦТП'!O38</f>
        <v>0</v>
      </c>
      <c r="F34" s="1690">
        <f>'Д 3_Т на Т з ЦТП'!P38</f>
        <v>0</v>
      </c>
      <c r="G34" s="1690">
        <f>'Д 3_Т на Т з ЦТП'!Q38</f>
        <v>0</v>
      </c>
    </row>
    <row r="35" spans="1:9" s="15" customFormat="1" x14ac:dyDescent="0.25">
      <c r="A35" s="1696">
        <v>8</v>
      </c>
      <c r="B35" s="1697" t="s">
        <v>2782</v>
      </c>
      <c r="C35" s="1690">
        <f>SUM(C36:C39)</f>
        <v>705.49170932155926</v>
      </c>
      <c r="D35" s="1690">
        <f>'Д 3_Т на Т з ЦТП'!N39</f>
        <v>42.050871715535024</v>
      </c>
      <c r="E35" s="1690">
        <f>'Д 3_Т на Т з ЦТП'!O39</f>
        <v>0</v>
      </c>
      <c r="F35" s="1690">
        <f>'Д 3_Т на Т з ЦТП'!P39</f>
        <v>47.026169300714685</v>
      </c>
      <c r="G35" s="1690">
        <f>'Д 3_Т на Т з ЦТП'!Q39</f>
        <v>47.026169300714677</v>
      </c>
      <c r="I35" s="2114"/>
    </row>
    <row r="36" spans="1:9" x14ac:dyDescent="0.25">
      <c r="A36" s="1701" t="s">
        <v>1030</v>
      </c>
      <c r="B36" s="2003" t="s">
        <v>65</v>
      </c>
      <c r="C36" s="1699">
        <f>'Д 3_Т на Т з ЦТП'!G40</f>
        <v>126.98850767788065</v>
      </c>
      <c r="D36" s="1699">
        <f>'Д 3_Т на Т з ЦТП'!N40</f>
        <v>7.5691569087963035</v>
      </c>
      <c r="E36" s="1699">
        <f>'Д 3_Т на Т з ЦТП'!O40</f>
        <v>0</v>
      </c>
      <c r="F36" s="1699">
        <f>'Д 3_Т на Т з ЦТП'!P40</f>
        <v>8.4647104741286405</v>
      </c>
      <c r="G36" s="1699">
        <f>'Д 3_Т на Т з ЦТП'!Q40</f>
        <v>8.4647104741286352</v>
      </c>
    </row>
    <row r="37" spans="1:9" x14ac:dyDescent="0.25">
      <c r="A37" s="1701" t="s">
        <v>2783</v>
      </c>
      <c r="B37" s="2003" t="s">
        <v>84</v>
      </c>
      <c r="C37" s="1699">
        <f>'Д 3_Т на Т з ЦТП'!G41</f>
        <v>0</v>
      </c>
      <c r="D37" s="1699">
        <f>'Д 3_Т на Т з ЦТП'!N41</f>
        <v>0</v>
      </c>
      <c r="E37" s="1699">
        <f>'Д 3_Т на Т з ЦТП'!O41</f>
        <v>0</v>
      </c>
      <c r="F37" s="1699">
        <f>'Д 3_Т на Т з ЦТП'!P41</f>
        <v>0</v>
      </c>
      <c r="G37" s="1699">
        <f>'Д 3_Т на Т з ЦТП'!Q41</f>
        <v>0</v>
      </c>
    </row>
    <row r="38" spans="1:9" x14ac:dyDescent="0.25">
      <c r="A38" s="1701" t="s">
        <v>2784</v>
      </c>
      <c r="B38" s="2003" t="s">
        <v>71</v>
      </c>
      <c r="C38" s="1699">
        <f>'Д 3_Т на Т з ЦТП'!G42</f>
        <v>0</v>
      </c>
      <c r="D38" s="1699">
        <f>'Д 3_Т на Т з ЦТП'!N42</f>
        <v>0</v>
      </c>
      <c r="E38" s="1699">
        <f>'Д 3_Т на Т з ЦТП'!O42</f>
        <v>0</v>
      </c>
      <c r="F38" s="1699">
        <f>'Д 3_Т на Т з ЦТП'!P42</f>
        <v>0</v>
      </c>
      <c r="G38" s="1699">
        <f>'Д 3_Т на Т з ЦТП'!Q42</f>
        <v>0</v>
      </c>
    </row>
    <row r="39" spans="1:9" x14ac:dyDescent="0.25">
      <c r="A39" s="1701" t="s">
        <v>2785</v>
      </c>
      <c r="B39" s="2003" t="s">
        <v>2446</v>
      </c>
      <c r="C39" s="1699">
        <f>'Д 3_Т на Т з ЦТП'!G44</f>
        <v>578.50320164367861</v>
      </c>
      <c r="D39" s="1699">
        <f>'Д 3_Т на Т з ЦТП'!N44</f>
        <v>34.481714806738715</v>
      </c>
      <c r="E39" s="1699">
        <f>'Д 3_Т на Т з ЦТП'!O44</f>
        <v>0</v>
      </c>
      <c r="F39" s="1699">
        <f>'Д 3_Т на Т з ЦТП'!P44</f>
        <v>38.561458826586041</v>
      </c>
      <c r="G39" s="1699">
        <f>'Д 3_Т на Т з ЦТП'!Q44</f>
        <v>38.561458826586033</v>
      </c>
    </row>
    <row r="40" spans="1:9" s="15" customFormat="1" ht="28.2" thickBot="1" x14ac:dyDescent="0.3">
      <c r="A40" s="1717" t="s">
        <v>1861</v>
      </c>
      <c r="B40" s="1719" t="s">
        <v>2803</v>
      </c>
      <c r="C40" s="1718">
        <f>'Д 3_Т на Т з ЦТП'!G56/1000</f>
        <v>16.448213425432204</v>
      </c>
      <c r="D40" s="1693">
        <f>'Д 3_Т на Т з ЦТП'!G57/1000</f>
        <v>13.668480880354855</v>
      </c>
      <c r="E40" s="1693">
        <f>'Д 3_Т на Т з ЦТП'!G58</f>
        <v>0</v>
      </c>
      <c r="F40" s="1693">
        <f>'Д 3_Т на Т з ЦТП'!G59/1000</f>
        <v>2.0104763849135998</v>
      </c>
      <c r="G40" s="1693">
        <f>'Д 3_Т на Т з ЦТП'!G60/1000</f>
        <v>0.76925616016375076</v>
      </c>
    </row>
    <row r="42" spans="1:9" x14ac:dyDescent="0.25">
      <c r="C42" s="2044"/>
      <c r="D42" s="1708"/>
      <c r="E42" s="1708"/>
      <c r="F42" s="1708"/>
      <c r="G42" s="1708"/>
    </row>
    <row r="43" spans="1:9" x14ac:dyDescent="0.25">
      <c r="B43" s="100" t="s">
        <v>2821</v>
      </c>
      <c r="C43" s="2044">
        <f>'ТЕ_2ст_тариф_з ЦТП'!E120</f>
        <v>15229.615576495595</v>
      </c>
      <c r="D43" s="1710"/>
      <c r="E43" s="1708"/>
      <c r="F43" s="4891" t="s">
        <v>2822</v>
      </c>
      <c r="G43" s="4891"/>
    </row>
    <row r="45" spans="1:9" x14ac:dyDescent="0.25">
      <c r="C45" s="1223">
        <f>C7-C32-C33-C34-C35</f>
        <v>0</v>
      </c>
      <c r="D45" s="1223">
        <f>D7-D32-D33-D34-D35</f>
        <v>0</v>
      </c>
      <c r="E45" s="1223">
        <f>E7-E32-E33-E34-E35</f>
        <v>0</v>
      </c>
      <c r="F45" s="1223">
        <f>F7-F32-F33-F34-F35</f>
        <v>5.6843418860808015E-14</v>
      </c>
      <c r="G45" s="1223">
        <f>G7-G32-G33-G34-G35</f>
        <v>6.3948846218409017E-14</v>
      </c>
    </row>
    <row r="46" spans="1:9" x14ac:dyDescent="0.25">
      <c r="D46" s="10"/>
    </row>
  </sheetData>
  <mergeCells count="8">
    <mergeCell ref="F43:G43"/>
    <mergeCell ref="B8:G8"/>
    <mergeCell ref="F1:G1"/>
    <mergeCell ref="A4:A5"/>
    <mergeCell ref="B4:B5"/>
    <mergeCell ref="C4:C5"/>
    <mergeCell ref="D4:G4"/>
    <mergeCell ref="A2:G2"/>
  </mergeCells>
  <pageMargins left="0.70866141732283472" right="0.33" top="0.3" bottom="0.32" header="0.31496062992125984" footer="0.31496062992125984"/>
  <pageSetup paperSize="9" scale="81" fitToHeight="2" orientation="portrait" horizontalDpi="0" verticalDpi="0" r:id="rId1"/>
</worksheet>
</file>

<file path=xl/worksheets/sheet1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F00-000000000000}">
  <sheetPr codeName="Лист108">
    <tabColor rgb="FFEC20C5"/>
    <pageSetUpPr fitToPage="1"/>
  </sheetPr>
  <dimension ref="A1:J47"/>
  <sheetViews>
    <sheetView topLeftCell="A19" workbookViewId="0">
      <selection activeCell="A14" sqref="A14:XFD14"/>
    </sheetView>
  </sheetViews>
  <sheetFormatPr defaultColWidth="9.109375" defaultRowHeight="13.8" x14ac:dyDescent="0.25"/>
  <cols>
    <col min="1" max="1" width="6.33203125" style="1445" customWidth="1"/>
    <col min="2" max="2" width="47.88671875" style="10" customWidth="1"/>
    <col min="3" max="3" width="12.6640625" style="10" customWidth="1"/>
    <col min="4" max="4" width="12.6640625" style="1445" customWidth="1"/>
    <col min="5" max="7" width="12.6640625" style="10" customWidth="1"/>
    <col min="8" max="8" width="17.5546875" style="10" customWidth="1"/>
    <col min="9" max="16384" width="9.109375" style="10"/>
  </cols>
  <sheetData>
    <row r="1" spans="1:10" ht="96.75" customHeight="1" x14ac:dyDescent="0.25">
      <c r="A1" s="2083"/>
      <c r="F1" s="5470" t="s">
        <v>2804</v>
      </c>
      <c r="G1" s="5470"/>
    </row>
    <row r="2" spans="1:10" ht="45.75" customHeight="1" x14ac:dyDescent="0.25">
      <c r="A2" s="10"/>
      <c r="B2" s="4898" t="s">
        <v>2799</v>
      </c>
      <c r="C2" s="4898"/>
      <c r="D2" s="4898"/>
      <c r="E2" s="4898"/>
      <c r="F2" s="4898"/>
      <c r="G2" s="1490"/>
    </row>
    <row r="3" spans="1:10" ht="14.4" thickBot="1" x14ac:dyDescent="0.3">
      <c r="G3" s="10" t="s">
        <v>1734</v>
      </c>
    </row>
    <row r="4" spans="1:10" ht="30" customHeight="1" thickBot="1" x14ac:dyDescent="0.3">
      <c r="A4" s="4876" t="s">
        <v>7</v>
      </c>
      <c r="B4" s="4876" t="s">
        <v>631</v>
      </c>
      <c r="C4" s="4876" t="s">
        <v>2734</v>
      </c>
      <c r="D4" s="4879" t="s">
        <v>2735</v>
      </c>
      <c r="E4" s="4880"/>
      <c r="F4" s="4880"/>
      <c r="G4" s="4882"/>
      <c r="H4" s="100"/>
      <c r="I4" s="100"/>
      <c r="J4" s="100"/>
    </row>
    <row r="5" spans="1:10" ht="75" customHeight="1" thickBot="1" x14ac:dyDescent="0.3">
      <c r="A5" s="4877"/>
      <c r="B5" s="4878"/>
      <c r="C5" s="4878"/>
      <c r="D5" s="1682" t="s">
        <v>2736</v>
      </c>
      <c r="E5" s="1682" t="s">
        <v>2737</v>
      </c>
      <c r="F5" s="1682" t="s">
        <v>2738</v>
      </c>
      <c r="G5" s="1682" t="s">
        <v>2739</v>
      </c>
      <c r="I5" s="100"/>
      <c r="J5" s="100"/>
    </row>
    <row r="6" spans="1:10" ht="14.4" thickBot="1" x14ac:dyDescent="0.3">
      <c r="A6" s="1683">
        <v>1</v>
      </c>
      <c r="B6" s="1684">
        <v>2</v>
      </c>
      <c r="C6" s="1676">
        <v>3</v>
      </c>
      <c r="D6" s="1683">
        <v>4</v>
      </c>
      <c r="E6" s="1676">
        <v>5</v>
      </c>
      <c r="F6" s="1684">
        <v>6</v>
      </c>
      <c r="G6" s="1677">
        <v>7</v>
      </c>
    </row>
    <row r="7" spans="1:10" ht="58.2" customHeight="1" thickBot="1" x14ac:dyDescent="0.3">
      <c r="A7" s="1711" t="s">
        <v>2741</v>
      </c>
      <c r="B7" s="1712" t="s">
        <v>2800</v>
      </c>
      <c r="C7" s="1707">
        <f>(C30+C31+C32+C33+C34+C35)</f>
        <v>46633.470589254481</v>
      </c>
      <c r="D7" s="1707">
        <f>(D30+D31+D32+D33+D34+D35)</f>
        <v>514.51137165653131</v>
      </c>
      <c r="E7" s="1707">
        <f>(E30+E31+E32+E33+E34+E35)</f>
        <v>613.39857556898221</v>
      </c>
      <c r="F7" s="1707">
        <f>(F30+F31+F32+F33+F34+F35)</f>
        <v>613.39857556898221</v>
      </c>
      <c r="G7" s="1707">
        <f>(G30+G31+G32+G33+G34+G35)</f>
        <v>613.3985755689821</v>
      </c>
      <c r="H7" s="729"/>
    </row>
    <row r="8" spans="1:10" ht="29.4" customHeight="1" thickBot="1" x14ac:dyDescent="0.3">
      <c r="A8" s="1695" t="s">
        <v>2746</v>
      </c>
      <c r="B8" s="4888" t="s">
        <v>3054</v>
      </c>
      <c r="C8" s="4889"/>
      <c r="D8" s="4889"/>
      <c r="E8" s="4889"/>
      <c r="F8" s="4889"/>
      <c r="G8" s="4890"/>
    </row>
    <row r="9" spans="1:10" s="15" customFormat="1" x14ac:dyDescent="0.25">
      <c r="A9" s="1696" t="s">
        <v>1747</v>
      </c>
      <c r="B9" s="255" t="s">
        <v>2748</v>
      </c>
      <c r="C9" s="1690">
        <f>C10+C14+C15+C19</f>
        <v>31795.638988216349</v>
      </c>
      <c r="D9" s="300">
        <f>D10+D14+D15+D19</f>
        <v>386.11497588332219</v>
      </c>
      <c r="E9" s="300">
        <f>E10+E14+E15+E19</f>
        <v>386.11497588332219</v>
      </c>
      <c r="F9" s="300">
        <f>F10+F14+F15+F19</f>
        <v>386.11497588332219</v>
      </c>
      <c r="G9" s="300">
        <f>G10+G14+G15+G19</f>
        <v>386.11497588332219</v>
      </c>
      <c r="J9" s="1622"/>
    </row>
    <row r="10" spans="1:10" x14ac:dyDescent="0.25">
      <c r="A10" s="1698" t="s">
        <v>1749</v>
      </c>
      <c r="B10" s="78" t="s">
        <v>2801</v>
      </c>
      <c r="C10" s="1699">
        <f>SUM(C11:C13)</f>
        <v>12306.780192740143</v>
      </c>
      <c r="D10" s="1699">
        <f>SUM(D11:D13)</f>
        <v>149.44917883494224</v>
      </c>
      <c r="E10" s="1699">
        <f>SUM(E11:E13)</f>
        <v>149.44917883494224</v>
      </c>
      <c r="F10" s="1699">
        <f>SUM(F11:F13)</f>
        <v>149.44917883494224</v>
      </c>
      <c r="G10" s="1699">
        <f>SUM(G11:G13)</f>
        <v>149.44917883494224</v>
      </c>
    </row>
    <row r="11" spans="1:10" x14ac:dyDescent="0.25">
      <c r="A11" s="1698" t="s">
        <v>2750</v>
      </c>
      <c r="B11" s="78" t="s">
        <v>2753</v>
      </c>
      <c r="C11" s="1699">
        <f>'Д 3.1_Т на Т без ЦТП'!G13</f>
        <v>11016.842326985552</v>
      </c>
      <c r="D11" s="1699">
        <f>C11/$C$40</f>
        <v>133.78463036930506</v>
      </c>
      <c r="E11" s="1699">
        <f>C11/$C$40</f>
        <v>133.78463036930506</v>
      </c>
      <c r="F11" s="1699">
        <f>C11/$C$40</f>
        <v>133.78463036930506</v>
      </c>
      <c r="G11" s="1699">
        <f>C11/$C$40</f>
        <v>133.78463036930506</v>
      </c>
    </row>
    <row r="12" spans="1:10" x14ac:dyDescent="0.25">
      <c r="A12" s="1698" t="s">
        <v>2752</v>
      </c>
      <c r="B12" s="78" t="s">
        <v>2755</v>
      </c>
      <c r="C12" s="1699">
        <f>'Д 3.1_Т на Т без ЦТП'!G15</f>
        <v>543.62315145346668</v>
      </c>
      <c r="D12" s="1699">
        <f t="shared" ref="D12:D23" si="0">C12/$C$40</f>
        <v>6.6015669661761303</v>
      </c>
      <c r="E12" s="1699">
        <f t="shared" ref="E12:E18" si="1">C12/$C$40</f>
        <v>6.6015669661761303</v>
      </c>
      <c r="F12" s="1699">
        <f t="shared" ref="F12:F18" si="2">C12/$C$40</f>
        <v>6.6015669661761303</v>
      </c>
      <c r="G12" s="1699">
        <f t="shared" ref="G12:G18" si="3">C12/$C$40</f>
        <v>6.6015669661761303</v>
      </c>
    </row>
    <row r="13" spans="1:10" x14ac:dyDescent="0.25">
      <c r="A13" s="1698" t="s">
        <v>2754</v>
      </c>
      <c r="B13" s="78" t="s">
        <v>2273</v>
      </c>
      <c r="C13" s="1699">
        <f>'Д 3.1_Т на Т без ЦТП'!G16-'Д 3.1_Т на Т без ЦТП'!G17</f>
        <v>746.3147143011247</v>
      </c>
      <c r="D13" s="1699">
        <f t="shared" si="0"/>
        <v>9.0629814994610509</v>
      </c>
      <c r="E13" s="1699">
        <f t="shared" si="1"/>
        <v>9.0629814994610509</v>
      </c>
      <c r="F13" s="1699">
        <f t="shared" si="2"/>
        <v>9.0629814994610509</v>
      </c>
      <c r="G13" s="1699">
        <f t="shared" si="3"/>
        <v>9.0629814994610509</v>
      </c>
    </row>
    <row r="14" spans="1:10" x14ac:dyDescent="0.25">
      <c r="A14" s="1698" t="s">
        <v>1751</v>
      </c>
      <c r="B14" s="78" t="s">
        <v>2757</v>
      </c>
      <c r="C14" s="1699">
        <f>'Д 3.1_Т на Т без ЦТП'!G18</f>
        <v>11054.820751237807</v>
      </c>
      <c r="D14" s="1699">
        <f t="shared" si="0"/>
        <v>134.24582689910844</v>
      </c>
      <c r="E14" s="1699">
        <f t="shared" si="1"/>
        <v>134.24582689910844</v>
      </c>
      <c r="F14" s="1699">
        <f t="shared" si="2"/>
        <v>134.24582689910844</v>
      </c>
      <c r="G14" s="1699">
        <f t="shared" si="3"/>
        <v>134.24582689910844</v>
      </c>
    </row>
    <row r="15" spans="1:10" x14ac:dyDescent="0.25">
      <c r="A15" s="1698" t="s">
        <v>1753</v>
      </c>
      <c r="B15" s="78" t="s">
        <v>2758</v>
      </c>
      <c r="C15" s="1699">
        <f>'Д 3.1_Т на Т без ЦТП'!G19</f>
        <v>7322.6292191101174</v>
      </c>
      <c r="D15" s="1699">
        <f t="shared" si="0"/>
        <v>88.923415106928843</v>
      </c>
      <c r="E15" s="1699">
        <f t="shared" si="1"/>
        <v>88.923415106928843</v>
      </c>
      <c r="F15" s="1699">
        <f t="shared" si="2"/>
        <v>88.923415106928843</v>
      </c>
      <c r="G15" s="1699">
        <f t="shared" si="3"/>
        <v>88.923415106928843</v>
      </c>
    </row>
    <row r="16" spans="1:10" x14ac:dyDescent="0.25">
      <c r="A16" s="1698" t="s">
        <v>2759</v>
      </c>
      <c r="B16" s="78" t="s">
        <v>2760</v>
      </c>
      <c r="C16" s="1699">
        <f>'Д 3.1_Т на Т без ЦТП'!G20</f>
        <v>2399.1731656684565</v>
      </c>
      <c r="D16" s="1699">
        <f t="shared" si="0"/>
        <v>29.134708987773546</v>
      </c>
      <c r="E16" s="1699">
        <f t="shared" si="1"/>
        <v>29.134708987773546</v>
      </c>
      <c r="F16" s="1699">
        <f t="shared" si="2"/>
        <v>29.134708987773546</v>
      </c>
      <c r="G16" s="1699">
        <f t="shared" si="3"/>
        <v>29.134708987773546</v>
      </c>
    </row>
    <row r="17" spans="1:9" x14ac:dyDescent="0.25">
      <c r="A17" s="1698" t="s">
        <v>2761</v>
      </c>
      <c r="B17" s="78" t="s">
        <v>2762</v>
      </c>
      <c r="C17" s="1699">
        <f>'Д 3.1_Т на Т без ЦТП'!G21</f>
        <v>2383.3709972632905</v>
      </c>
      <c r="D17" s="1699">
        <f t="shared" si="0"/>
        <v>28.942813052770443</v>
      </c>
      <c r="E17" s="1699">
        <f t="shared" si="1"/>
        <v>28.942813052770443</v>
      </c>
      <c r="F17" s="1699">
        <f t="shared" si="2"/>
        <v>28.942813052770443</v>
      </c>
      <c r="G17" s="1699">
        <f t="shared" si="3"/>
        <v>28.942813052770443</v>
      </c>
    </row>
    <row r="18" spans="1:9" x14ac:dyDescent="0.25">
      <c r="A18" s="1698" t="s">
        <v>2763</v>
      </c>
      <c r="B18" s="78" t="s">
        <v>81</v>
      </c>
      <c r="C18" s="1699">
        <f>'Д 3.1_Т на Т без ЦТП'!G22</f>
        <v>2540.0850561783709</v>
      </c>
      <c r="D18" s="1699">
        <f t="shared" si="0"/>
        <v>30.845893066384857</v>
      </c>
      <c r="E18" s="1699">
        <f t="shared" si="1"/>
        <v>30.845893066384857</v>
      </c>
      <c r="F18" s="1699">
        <f t="shared" si="2"/>
        <v>30.845893066384857</v>
      </c>
      <c r="G18" s="1699">
        <f t="shared" si="3"/>
        <v>30.845893066384857</v>
      </c>
    </row>
    <row r="19" spans="1:9" s="15" customFormat="1" x14ac:dyDescent="0.25">
      <c r="A19" s="1700" t="s">
        <v>1755</v>
      </c>
      <c r="B19" s="255" t="s">
        <v>2764</v>
      </c>
      <c r="C19" s="1690">
        <f>C20+C21+C22+C23</f>
        <v>1111.4088251282828</v>
      </c>
      <c r="D19" s="300">
        <f>D20+D21+D22+D23</f>
        <v>13.496555042342665</v>
      </c>
      <c r="E19" s="300">
        <f>E20+E21+E22+E23</f>
        <v>13.496555042342665</v>
      </c>
      <c r="F19" s="300">
        <f>F20+F21+F22+F23</f>
        <v>13.496555042342665</v>
      </c>
      <c r="G19" s="300">
        <f>G20+G21+G22+G23</f>
        <v>13.496555042342665</v>
      </c>
    </row>
    <row r="20" spans="1:9" x14ac:dyDescent="0.25">
      <c r="A20" s="1701" t="s">
        <v>2765</v>
      </c>
      <c r="B20" s="78" t="s">
        <v>2766</v>
      </c>
      <c r="C20" s="1699">
        <f>'Д 3.1_Т на Т без ЦТП'!G24</f>
        <v>849.25597277939903</v>
      </c>
      <c r="D20" s="1699">
        <f t="shared" si="0"/>
        <v>10.313063674235655</v>
      </c>
      <c r="E20" s="1699">
        <f>C20/$C$40</f>
        <v>10.313063674235655</v>
      </c>
      <c r="F20" s="1699">
        <f>C20/$C$40</f>
        <v>10.313063674235655</v>
      </c>
      <c r="G20" s="1699">
        <f>C20/$C$40</f>
        <v>10.313063674235655</v>
      </c>
    </row>
    <row r="21" spans="1:9" x14ac:dyDescent="0.25">
      <c r="A21" s="1701" t="s">
        <v>2767</v>
      </c>
      <c r="B21" s="78" t="s">
        <v>2275</v>
      </c>
      <c r="C21" s="1699">
        <f>'Д 3.1_Т на Т без ЦТП'!G25</f>
        <v>181.27583888373348</v>
      </c>
      <c r="D21" s="1699">
        <f t="shared" si="0"/>
        <v>2.2013495682461888</v>
      </c>
      <c r="E21" s="1699">
        <f>C21/$C$40</f>
        <v>2.2013495682461888</v>
      </c>
      <c r="F21" s="1699">
        <f>C21/$C$40</f>
        <v>2.2013495682461888</v>
      </c>
      <c r="G21" s="1699">
        <f>C21/$C$40</f>
        <v>2.2013495682461888</v>
      </c>
    </row>
    <row r="22" spans="1:9" x14ac:dyDescent="0.25">
      <c r="A22" s="1701" t="s">
        <v>2768</v>
      </c>
      <c r="B22" s="78" t="s">
        <v>2762</v>
      </c>
      <c r="C22" s="1699">
        <f>ЗВВ_1ст!J37+ЗВВ_1ст!J39</f>
        <v>5.2252608104493481</v>
      </c>
      <c r="D22" s="1699">
        <f t="shared" si="0"/>
        <v>6.3453716170272123E-2</v>
      </c>
      <c r="E22" s="1699">
        <f>C22/$C$40</f>
        <v>6.3453716170272123E-2</v>
      </c>
      <c r="F22" s="1699">
        <f>C22/$C$40</f>
        <v>6.3453716170272123E-2</v>
      </c>
      <c r="G22" s="1699">
        <f>C22/$C$40</f>
        <v>6.3453716170272123E-2</v>
      </c>
    </row>
    <row r="23" spans="1:9" x14ac:dyDescent="0.25">
      <c r="A23" s="1701" t="s">
        <v>2769</v>
      </c>
      <c r="B23" s="78" t="s">
        <v>58</v>
      </c>
      <c r="C23" s="1699">
        <f>'Д 3.1_Т на Т без ЦТП'!G26-C22</f>
        <v>75.651752654701212</v>
      </c>
      <c r="D23" s="1699">
        <f t="shared" si="0"/>
        <v>0.91868808369054988</v>
      </c>
      <c r="E23" s="1699">
        <f>C23/$C$40</f>
        <v>0.91868808369054988</v>
      </c>
      <c r="F23" s="1699">
        <f>C23/$C$40</f>
        <v>0.91868808369054988</v>
      </c>
      <c r="G23" s="1699">
        <f>C23/$C$40</f>
        <v>0.91868808369054988</v>
      </c>
    </row>
    <row r="24" spans="1:9" s="15" customFormat="1" x14ac:dyDescent="0.25">
      <c r="A24" s="1696" t="s">
        <v>1768</v>
      </c>
      <c r="B24" s="255" t="s">
        <v>2770</v>
      </c>
      <c r="C24" s="1690">
        <f>C25+C26+C27+C28</f>
        <v>1351.176921686857</v>
      </c>
      <c r="D24" s="300">
        <f>D25+D26+D27+D28</f>
        <v>16.408213866202566</v>
      </c>
      <c r="E24" s="300">
        <f>E25+E26+E27+E28</f>
        <v>16.408213866202566</v>
      </c>
      <c r="F24" s="300">
        <f>F25+F26+F27+F28</f>
        <v>16.408213866202566</v>
      </c>
      <c r="G24" s="300">
        <f>G25+G26+G27+G28</f>
        <v>16.408213866202566</v>
      </c>
    </row>
    <row r="25" spans="1:9" x14ac:dyDescent="0.25">
      <c r="A25" s="1701" t="s">
        <v>2771</v>
      </c>
      <c r="B25" s="78" t="s">
        <v>55</v>
      </c>
      <c r="C25" s="1699">
        <f>'Д 3.1_Т на Т без ЦТП'!G28</f>
        <v>1011.8479335682923</v>
      </c>
      <c r="D25" s="1699">
        <f t="shared" ref="D25:D34" si="4">C25/$C$40</f>
        <v>12.287522845887842</v>
      </c>
      <c r="E25" s="1699">
        <f>C25/$C$40</f>
        <v>12.287522845887842</v>
      </c>
      <c r="F25" s="1699">
        <f>C25/$C$40</f>
        <v>12.287522845887842</v>
      </c>
      <c r="G25" s="1699">
        <f>C25/$C$40</f>
        <v>12.287522845887842</v>
      </c>
    </row>
    <row r="26" spans="1:9" x14ac:dyDescent="0.25">
      <c r="A26" s="1701" t="s">
        <v>2772</v>
      </c>
      <c r="B26" s="78" t="s">
        <v>2773</v>
      </c>
      <c r="C26" s="1699">
        <f>'Д 3.1_Т на Т без ЦТП'!G29</f>
        <v>222.6065453850243</v>
      </c>
      <c r="D26" s="1699">
        <f t="shared" si="4"/>
        <v>2.703255026095325</v>
      </c>
      <c r="E26" s="1699">
        <f>C26/$C$40</f>
        <v>2.703255026095325</v>
      </c>
      <c r="F26" s="1699">
        <f>C26/$C$40</f>
        <v>2.703255026095325</v>
      </c>
      <c r="G26" s="1699">
        <f>C26/$C$40</f>
        <v>2.703255026095325</v>
      </c>
    </row>
    <row r="27" spans="1:9" x14ac:dyDescent="0.25">
      <c r="A27" s="1701" t="s">
        <v>2774</v>
      </c>
      <c r="B27" s="78" t="s">
        <v>2762</v>
      </c>
      <c r="C27" s="1699">
        <f>Адміністративні_1ст!J36+Адміністративні_1ст!J38</f>
        <v>12.76326158536315</v>
      </c>
      <c r="D27" s="1699">
        <f t="shared" si="4"/>
        <v>0.15499252715290304</v>
      </c>
      <c r="E27" s="1699">
        <f>C27/$C$40</f>
        <v>0.15499252715290304</v>
      </c>
      <c r="F27" s="1699">
        <f>C27/$C$40</f>
        <v>0.15499252715290304</v>
      </c>
      <c r="G27" s="1699">
        <f>C27/$C$40</f>
        <v>0.15499252715290304</v>
      </c>
    </row>
    <row r="28" spans="1:9" x14ac:dyDescent="0.25">
      <c r="A28" s="1701" t="s">
        <v>2775</v>
      </c>
      <c r="B28" s="78" t="s">
        <v>2776</v>
      </c>
      <c r="C28" s="1699">
        <f>'Д 3.1_Т на Т без ЦТП'!G30-C27</f>
        <v>103.95918114817744</v>
      </c>
      <c r="D28" s="1699">
        <f t="shared" si="4"/>
        <v>1.2624434670664944</v>
      </c>
      <c r="E28" s="1699">
        <f>C28/$C$40</f>
        <v>1.2624434670664944</v>
      </c>
      <c r="F28" s="1699">
        <f>C28/$C$40</f>
        <v>1.2624434670664944</v>
      </c>
      <c r="G28" s="1699">
        <f>C28/$C$40</f>
        <v>1.2624434670664944</v>
      </c>
    </row>
    <row r="29" spans="1:9" s="15" customFormat="1" x14ac:dyDescent="0.25">
      <c r="A29" s="1696" t="s">
        <v>1770</v>
      </c>
      <c r="B29" s="255" t="s">
        <v>2777</v>
      </c>
      <c r="C29" s="1690">
        <v>0</v>
      </c>
      <c r="D29" s="1690">
        <v>0</v>
      </c>
      <c r="E29" s="1690">
        <v>0</v>
      </c>
      <c r="F29" s="1690">
        <v>0</v>
      </c>
      <c r="G29" s="1690">
        <v>0</v>
      </c>
    </row>
    <row r="30" spans="1:9" s="15" customFormat="1" ht="27.6" x14ac:dyDescent="0.25">
      <c r="A30" s="1696" t="s">
        <v>1773</v>
      </c>
      <c r="B30" s="1697" t="s">
        <v>2802</v>
      </c>
      <c r="C30" s="1690">
        <f>C9+C24+C29</f>
        <v>33146.815909903205</v>
      </c>
      <c r="D30" s="1690">
        <f>D9+D24+D29</f>
        <v>402.52318974952476</v>
      </c>
      <c r="E30" s="1690">
        <f>E9+E24+E29</f>
        <v>402.52318974952476</v>
      </c>
      <c r="F30" s="1690">
        <f>F9+F24+F29</f>
        <v>402.52318974952476</v>
      </c>
      <c r="G30" s="1690">
        <f>G9+G24+G29</f>
        <v>402.52318974952476</v>
      </c>
    </row>
    <row r="31" spans="1:9" s="15" customFormat="1" ht="44.4" customHeight="1" x14ac:dyDescent="0.25">
      <c r="A31" s="1696">
        <v>5</v>
      </c>
      <c r="B31" s="1702" t="s">
        <v>2778</v>
      </c>
      <c r="C31" s="1690">
        <f>'Д 3.1_Т на Т без ЦТП'!G17</f>
        <v>11555.219110774409</v>
      </c>
      <c r="D31" s="1690">
        <f>'ТЕ_2ст_тариф_без ЦТП'!H92/D40</f>
        <v>87.570721724723057</v>
      </c>
      <c r="E31" s="1690">
        <f>'ТЕ_2ст_тариф_без ЦТП'!K92/E40</f>
        <v>182.10195729017954</v>
      </c>
      <c r="F31" s="1690">
        <f>'ТЕ_2ст_тариф_без ЦТП'!N92/F40</f>
        <v>182.10195729017957</v>
      </c>
      <c r="G31" s="1690">
        <f>'ТЕ_2ст_тариф_без ЦТП'!Q92/G40</f>
        <v>182.10195729017948</v>
      </c>
      <c r="I31" s="15">
        <f>G31*G40+F31*F40+E31*E40+D31*D40</f>
        <v>8531.5305699133514</v>
      </c>
    </row>
    <row r="32" spans="1:9" s="15" customFormat="1" x14ac:dyDescent="0.25">
      <c r="A32" s="1696">
        <v>6</v>
      </c>
      <c r="B32" s="255" t="s">
        <v>2779</v>
      </c>
      <c r="C32" s="1690">
        <v>0</v>
      </c>
      <c r="D32" s="1690">
        <f t="shared" si="4"/>
        <v>0</v>
      </c>
      <c r="E32" s="1690">
        <f>C32/$C$40</f>
        <v>0</v>
      </c>
      <c r="F32" s="1690">
        <f>C32/$C$40</f>
        <v>0</v>
      </c>
      <c r="G32" s="1690">
        <f>C32/$C$40</f>
        <v>0</v>
      </c>
    </row>
    <row r="33" spans="1:9" s="15" customFormat="1" x14ac:dyDescent="0.25">
      <c r="A33" s="1696">
        <v>7</v>
      </c>
      <c r="B33" s="255" t="s">
        <v>2780</v>
      </c>
      <c r="C33" s="1690">
        <v>0</v>
      </c>
      <c r="D33" s="1690">
        <f t="shared" si="4"/>
        <v>0</v>
      </c>
      <c r="E33" s="1690">
        <f>C33/$C$40</f>
        <v>0</v>
      </c>
      <c r="F33" s="1690">
        <f>C33/$C$40</f>
        <v>0</v>
      </c>
      <c r="G33" s="1690">
        <f>C33/$C$40</f>
        <v>0</v>
      </c>
    </row>
    <row r="34" spans="1:9" s="15" customFormat="1" x14ac:dyDescent="0.25">
      <c r="A34" s="1696">
        <v>8</v>
      </c>
      <c r="B34" s="255" t="s">
        <v>2781</v>
      </c>
      <c r="C34" s="1690">
        <v>0</v>
      </c>
      <c r="D34" s="1690">
        <f t="shared" si="4"/>
        <v>0</v>
      </c>
      <c r="E34" s="1690">
        <f>C34/$C$40</f>
        <v>0</v>
      </c>
      <c r="F34" s="1690">
        <f>C34/$C$40</f>
        <v>0</v>
      </c>
      <c r="G34" s="1690">
        <f>C34/$C$40</f>
        <v>0</v>
      </c>
    </row>
    <row r="35" spans="1:9" s="15" customFormat="1" x14ac:dyDescent="0.25">
      <c r="A35" s="1696">
        <v>9</v>
      </c>
      <c r="B35" s="255" t="s">
        <v>2782</v>
      </c>
      <c r="C35" s="1690">
        <f>SUM(C36:C39)</f>
        <v>1931.4355685768649</v>
      </c>
      <c r="D35" s="1729">
        <f>SUM(D36:D39)</f>
        <v>24.417460182283442</v>
      </c>
      <c r="E35" s="1729">
        <f>SUM(E36:E39)</f>
        <v>28.773428529277886</v>
      </c>
      <c r="F35" s="1729">
        <f>SUM(F36:F39)</f>
        <v>28.773428529277886</v>
      </c>
      <c r="G35" s="1729">
        <f>SUM(G36:G39)</f>
        <v>28.773428529277879</v>
      </c>
      <c r="I35" s="15">
        <f>(C30+C31)*0.04</f>
        <v>1788.0814008271045</v>
      </c>
    </row>
    <row r="36" spans="1:9" x14ac:dyDescent="0.25">
      <c r="A36" s="1701" t="s">
        <v>1031</v>
      </c>
      <c r="B36" s="78" t="s">
        <v>65</v>
      </c>
      <c r="C36" s="1699">
        <f>'ТЕ_2ст_тариф_без ЦТП'!E115</f>
        <v>347.65840234383563</v>
      </c>
      <c r="D36" s="3073">
        <f>'Д 3.1_Т на Т без ЦТП'!H40/'Додаток 5 до рішення'!D$40</f>
        <v>4.39514283281102</v>
      </c>
      <c r="E36" s="3073">
        <f>'Д 3.1_Т на Т без ЦТП'!I40/'Додаток 5 до рішення'!E$40</f>
        <v>5.1792171352700187</v>
      </c>
      <c r="F36" s="3073">
        <f>'Д 3.1_Т на Т без ЦТП'!J40/'Додаток 5 до рішення'!F$40</f>
        <v>5.1792171352700178</v>
      </c>
      <c r="G36" s="3073">
        <f>'Д 3.1_Т на Т без ЦТП'!K40/'Додаток 5 до рішення'!G$40</f>
        <v>5.1792171352700169</v>
      </c>
    </row>
    <row r="37" spans="1:9" x14ac:dyDescent="0.25">
      <c r="A37" s="1701" t="s">
        <v>1032</v>
      </c>
      <c r="B37" s="78" t="s">
        <v>84</v>
      </c>
      <c r="C37" s="1699">
        <f>'ТЕ_2ст_тариф_без ЦТП'!E116</f>
        <v>0</v>
      </c>
      <c r="D37" s="3073">
        <f>'Д 3.1_Т на Т без ЦТП'!H41/'Додаток 5 до рішення'!D$40</f>
        <v>0</v>
      </c>
      <c r="E37" s="3073">
        <f>'Д 3.1_Т на Т без ЦТП'!I41/'Додаток 5 до рішення'!E$40</f>
        <v>0</v>
      </c>
      <c r="F37" s="3073">
        <f>'Д 3.1_Т на Т без ЦТП'!J41/'Додаток 5 до рішення'!F$40</f>
        <v>0</v>
      </c>
      <c r="G37" s="3073">
        <f>'Д 3.1_Т на Т без ЦТП'!K41/'Додаток 5 до рішення'!G$40</f>
        <v>0</v>
      </c>
    </row>
    <row r="38" spans="1:9" x14ac:dyDescent="0.25">
      <c r="A38" s="1701" t="s">
        <v>1033</v>
      </c>
      <c r="B38" s="78" t="s">
        <v>71</v>
      </c>
      <c r="C38" s="1699">
        <f>'ТЕ_2ст_тариф_без ЦТП'!E118</f>
        <v>0</v>
      </c>
      <c r="D38" s="3073">
        <f>'Д 3.1_Т на Т без ЦТП'!H43/'Додаток 5 до рішення'!D$40</f>
        <v>0</v>
      </c>
      <c r="E38" s="3073">
        <f>'Д 3.1_Т на Т без ЦТП'!I43/'Додаток 5 до рішення'!E$40</f>
        <v>0</v>
      </c>
      <c r="F38" s="3073">
        <f>'Д 3.1_Т на Т без ЦТП'!J43/'Додаток 5 до рішення'!F$40</f>
        <v>0</v>
      </c>
      <c r="G38" s="3073">
        <f>'Д 3.1_Т на Т без ЦТП'!K43/'Додаток 5 до рішення'!G$40</f>
        <v>0</v>
      </c>
    </row>
    <row r="39" spans="1:9" x14ac:dyDescent="0.25">
      <c r="A39" s="1701" t="s">
        <v>2015</v>
      </c>
      <c r="B39" s="78" t="s">
        <v>2446</v>
      </c>
      <c r="C39" s="1699">
        <f>'ТЕ_2ст_тариф_без ЦТП'!E119</f>
        <v>1583.7771662330292</v>
      </c>
      <c r="D39" s="3073">
        <f>'Д 3.1_Т на Т без ЦТП'!H44/'Додаток 5 до рішення'!D$40</f>
        <v>20.022317349472424</v>
      </c>
      <c r="E39" s="3073">
        <f>'Д 3.1_Т на Т без ЦТП'!I44/'Додаток 5 до рішення'!E$40</f>
        <v>23.594211394007868</v>
      </c>
      <c r="F39" s="3073">
        <f>'Д 3.1_Т на Т без ЦТП'!J44/'Додаток 5 до рішення'!F$40</f>
        <v>23.594211394007868</v>
      </c>
      <c r="G39" s="3073">
        <f>'Д 3.1_Т на Т без ЦТП'!K44/'Додаток 5 до рішення'!G$40</f>
        <v>23.594211394007864</v>
      </c>
    </row>
    <row r="40" spans="1:9" s="15" customFormat="1" ht="28.2" thickBot="1" x14ac:dyDescent="0.3">
      <c r="A40" s="1717" t="s">
        <v>1865</v>
      </c>
      <c r="B40" s="1719" t="s">
        <v>2803</v>
      </c>
      <c r="C40" s="1718">
        <f>'Д 3.1_Т на Т без ЦТП'!G56/1000</f>
        <v>82.347593266686673</v>
      </c>
      <c r="D40" s="1693">
        <f>'Д 3.1_Т на Т без ЦТП'!G57/1000</f>
        <v>68.380861663549609</v>
      </c>
      <c r="E40" s="1693">
        <f>'Д 3.1_Т на Т без ЦТП'!G58/1000</f>
        <v>1.3291675959893333E-2</v>
      </c>
      <c r="F40" s="1693">
        <f>'Д 3.1_Т на Т без ЦТП'!G59/1000</f>
        <v>10.509076983202204</v>
      </c>
      <c r="G40" s="1693">
        <f>'Д 3.1_Т на Т без ЦТП'!G60/1000</f>
        <v>3.4443629439749621</v>
      </c>
    </row>
    <row r="42" spans="1:9" x14ac:dyDescent="0.25">
      <c r="C42" s="2044">
        <f>C9+C24+C31+C35</f>
        <v>46633.470589254481</v>
      </c>
      <c r="D42" s="1708"/>
      <c r="E42" s="1708"/>
      <c r="F42" s="1708"/>
      <c r="G42" s="1708"/>
    </row>
    <row r="43" spans="1:9" x14ac:dyDescent="0.25">
      <c r="B43" s="10" t="s">
        <v>2821</v>
      </c>
      <c r="C43" s="2044">
        <f>'ТЕ_2ст_тариф_без ЦТП'!E120</f>
        <v>43609.782048393427</v>
      </c>
      <c r="D43" s="1710"/>
      <c r="E43" s="1708"/>
      <c r="F43" s="2045" t="s">
        <v>2822</v>
      </c>
      <c r="G43" s="1708"/>
    </row>
    <row r="47" spans="1:9" x14ac:dyDescent="0.25">
      <c r="C47" s="10">
        <v>90789.558318280222</v>
      </c>
      <c r="D47" s="1445">
        <v>73480.442469241578</v>
      </c>
      <c r="E47" s="10">
        <v>14.297162430506665</v>
      </c>
      <c r="F47" s="10">
        <v>9354.8548418015489</v>
      </c>
      <c r="G47" s="10">
        <v>7939.9638448065843</v>
      </c>
    </row>
  </sheetData>
  <mergeCells count="7">
    <mergeCell ref="B8:G8"/>
    <mergeCell ref="F1:G1"/>
    <mergeCell ref="B2:F2"/>
    <mergeCell ref="A4:A5"/>
    <mergeCell ref="B4:B5"/>
    <mergeCell ref="C4:C5"/>
    <mergeCell ref="D4:G4"/>
  </mergeCells>
  <pageMargins left="0.70866141732283472" right="0.19685039370078741" top="0.27559055118110237" bottom="0.31496062992125984" header="0.31496062992125984" footer="0.31496062992125984"/>
  <pageSetup paperSize="9" scale="79" fitToHeight="2" orientation="portrait" horizontalDpi="0" verticalDpi="0" r:id="rId1"/>
</worksheet>
</file>

<file path=xl/worksheets/sheet1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000-000000000000}">
  <sheetPr codeName="Лист109">
    <tabColor rgb="FFEC20C5"/>
    <pageSetUpPr fitToPage="1"/>
  </sheetPr>
  <dimension ref="A1:R38"/>
  <sheetViews>
    <sheetView topLeftCell="D1" workbookViewId="0">
      <selection activeCell="O7" sqref="O7"/>
    </sheetView>
  </sheetViews>
  <sheetFormatPr defaultColWidth="9.109375" defaultRowHeight="13.8" x14ac:dyDescent="0.25"/>
  <cols>
    <col min="1" max="1" width="7.88671875" style="1445" customWidth="1"/>
    <col min="2" max="2" width="40.44140625" style="10" customWidth="1"/>
    <col min="3" max="3" width="12.6640625" style="10" customWidth="1"/>
    <col min="4" max="4" width="11.6640625" style="1445" customWidth="1"/>
    <col min="5" max="7" width="11.6640625" style="10" customWidth="1"/>
    <col min="8" max="8" width="13.33203125" style="1121" customWidth="1"/>
    <col min="9" max="13" width="12" style="10" customWidth="1"/>
    <col min="14" max="14" width="11.6640625" style="10" customWidth="1"/>
    <col min="15" max="18" width="12" style="10" customWidth="1"/>
    <col min="19" max="16384" width="9.109375" style="10"/>
  </cols>
  <sheetData>
    <row r="1" spans="1:18" ht="85.2" customHeight="1" x14ac:dyDescent="0.25">
      <c r="A1" s="2083"/>
      <c r="E1" s="5470" t="s">
        <v>3097</v>
      </c>
      <c r="F1" s="5470"/>
      <c r="G1" s="5470"/>
    </row>
    <row r="2" spans="1:18" ht="35.25" customHeight="1" x14ac:dyDescent="0.25">
      <c r="A2" s="10"/>
      <c r="B2" s="4898" t="s">
        <v>2807</v>
      </c>
      <c r="C2" s="4898"/>
      <c r="D2" s="4898"/>
      <c r="E2" s="4898"/>
      <c r="F2" s="4898"/>
      <c r="G2" s="1490"/>
    </row>
    <row r="3" spans="1:18" ht="14.4" thickBot="1" x14ac:dyDescent="0.3">
      <c r="G3" s="10" t="s">
        <v>1734</v>
      </c>
      <c r="I3" s="693" t="s">
        <v>2350</v>
      </c>
      <c r="J3" s="693"/>
      <c r="K3" s="693"/>
      <c r="L3" s="693"/>
      <c r="M3" s="693"/>
      <c r="N3" s="693" t="s">
        <v>2351</v>
      </c>
      <c r="O3" s="693"/>
      <c r="P3" s="693"/>
      <c r="Q3" s="693"/>
      <c r="R3" s="693"/>
    </row>
    <row r="4" spans="1:18" ht="30" customHeight="1" thickBot="1" x14ac:dyDescent="0.3">
      <c r="A4" s="4876" t="s">
        <v>7</v>
      </c>
      <c r="B4" s="4876" t="s">
        <v>631</v>
      </c>
      <c r="C4" s="4876" t="s">
        <v>3098</v>
      </c>
      <c r="D4" s="4879" t="s">
        <v>2735</v>
      </c>
      <c r="E4" s="4880"/>
      <c r="F4" s="4880"/>
      <c r="G4" s="4882"/>
      <c r="H4" s="1122"/>
      <c r="I4" s="4876" t="s">
        <v>2734</v>
      </c>
      <c r="J4" s="1721"/>
      <c r="K4" s="1721"/>
      <c r="L4" s="1721"/>
      <c r="M4" s="1721"/>
      <c r="N4" s="4876" t="s">
        <v>2734</v>
      </c>
      <c r="O4" s="1721"/>
      <c r="P4" s="1721"/>
      <c r="Q4" s="1721"/>
      <c r="R4" s="1721"/>
    </row>
    <row r="5" spans="1:18" ht="47.4" customHeight="1" thickBot="1" x14ac:dyDescent="0.3">
      <c r="A5" s="4877"/>
      <c r="B5" s="4878"/>
      <c r="C5" s="4878"/>
      <c r="D5" s="1682" t="s">
        <v>2736</v>
      </c>
      <c r="E5" s="1682" t="s">
        <v>2737</v>
      </c>
      <c r="F5" s="1682" t="s">
        <v>2738</v>
      </c>
      <c r="G5" s="1682" t="s">
        <v>2810</v>
      </c>
      <c r="I5" s="4878"/>
      <c r="J5" s="1682" t="s">
        <v>2736</v>
      </c>
      <c r="K5" s="1682" t="s">
        <v>2737</v>
      </c>
      <c r="L5" s="1682" t="s">
        <v>2738</v>
      </c>
      <c r="M5" s="1682" t="s">
        <v>2810</v>
      </c>
      <c r="N5" s="4878"/>
      <c r="O5" s="1682" t="s">
        <v>2736</v>
      </c>
      <c r="P5" s="1682" t="s">
        <v>2737</v>
      </c>
      <c r="Q5" s="1682" t="s">
        <v>2738</v>
      </c>
      <c r="R5" s="1682" t="s">
        <v>2810</v>
      </c>
    </row>
    <row r="6" spans="1:18" ht="14.4" thickBot="1" x14ac:dyDescent="0.3">
      <c r="A6" s="1683">
        <v>1</v>
      </c>
      <c r="B6" s="1684">
        <v>2</v>
      </c>
      <c r="C6" s="1676">
        <v>3</v>
      </c>
      <c r="D6" s="1683">
        <v>4</v>
      </c>
      <c r="E6" s="1676">
        <v>5</v>
      </c>
      <c r="F6" s="1684">
        <v>6</v>
      </c>
      <c r="G6" s="1677">
        <v>7</v>
      </c>
    </row>
    <row r="7" spans="1:18" ht="31.95" customHeight="1" thickBot="1" x14ac:dyDescent="0.3">
      <c r="A7" s="1711" t="s">
        <v>2741</v>
      </c>
      <c r="B7" s="1712" t="s">
        <v>2808</v>
      </c>
      <c r="C7" s="1707">
        <f>(C9+C21+C30)</f>
        <v>2053.3877088801205</v>
      </c>
      <c r="D7" s="1707">
        <f>(D9+D21+D30)</f>
        <v>20.784158534978818</v>
      </c>
      <c r="E7" s="1707">
        <f>(E9+E21+E30)</f>
        <v>20.784158534978818</v>
      </c>
      <c r="F7" s="1707">
        <f>(F9+F21+F30)</f>
        <v>20.784158534978818</v>
      </c>
      <c r="G7" s="1707">
        <f>(G9+G21+G30)</f>
        <v>20.784158534978818</v>
      </c>
      <c r="H7" s="1223">
        <f>I7+N7</f>
        <v>98.795806692118873</v>
      </c>
      <c r="I7" s="1722">
        <f>'Додаток 4 до рішення'!C40</f>
        <v>16.448213425432204</v>
      </c>
      <c r="J7" s="1722">
        <f>'Додаток 4 до рішення'!D40</f>
        <v>13.668480880354855</v>
      </c>
      <c r="K7" s="1722">
        <f>'Додаток 4 до рішення'!E40</f>
        <v>0</v>
      </c>
      <c r="L7" s="1722">
        <f>'Додаток 4 до рішення'!F40</f>
        <v>2.0104763849135998</v>
      </c>
      <c r="M7" s="1722">
        <f>'Додаток 4 до рішення'!G40</f>
        <v>0.76925616016375076</v>
      </c>
      <c r="N7" s="1722">
        <f>'Додаток 5 до рішення'!C40</f>
        <v>82.347593266686673</v>
      </c>
      <c r="O7" s="1722">
        <f>'Додаток 5 до рішення'!D40</f>
        <v>68.380861663549609</v>
      </c>
      <c r="P7" s="1722">
        <f>'Додаток 5 до рішення'!E40</f>
        <v>1.3291675959893333E-2</v>
      </c>
      <c r="Q7" s="1722">
        <f>'Додаток 5 до рішення'!F40</f>
        <v>10.509076983202204</v>
      </c>
      <c r="R7" s="1722">
        <f>'Додаток 5 до рішення'!G40</f>
        <v>3.4443629439749621</v>
      </c>
    </row>
    <row r="8" spans="1:18" ht="18.75" customHeight="1" thickBot="1" x14ac:dyDescent="0.3">
      <c r="A8" s="1695" t="s">
        <v>2746</v>
      </c>
      <c r="B8" s="4892" t="s">
        <v>2809</v>
      </c>
      <c r="C8" s="4893"/>
      <c r="D8" s="4893"/>
      <c r="E8" s="4893"/>
      <c r="F8" s="4893"/>
      <c r="G8" s="4894"/>
    </row>
    <row r="9" spans="1:18" s="15" customFormat="1" x14ac:dyDescent="0.25">
      <c r="A9" s="1696" t="s">
        <v>1747</v>
      </c>
      <c r="B9" s="255" t="s">
        <v>2748</v>
      </c>
      <c r="C9" s="1690">
        <f>C10+C11+C12+C16</f>
        <v>1882.449193542265</v>
      </c>
      <c r="D9" s="300">
        <f>D10+D11+D12+D16</f>
        <v>19.053938183921233</v>
      </c>
      <c r="E9" s="300">
        <f>E10+E11+E12+E16</f>
        <v>19.053938183921233</v>
      </c>
      <c r="F9" s="300">
        <f>F10+F11+F12+F16</f>
        <v>19.053938183921233</v>
      </c>
      <c r="G9" s="300">
        <f>G10+G11+G12+G16</f>
        <v>19.053938183921233</v>
      </c>
      <c r="H9" s="1724">
        <f>I9+N9-C9</f>
        <v>0</v>
      </c>
      <c r="I9" s="300">
        <f t="shared" ref="I9:R9" si="0">I10+I11+I12+I16</f>
        <v>313.4032418441285</v>
      </c>
      <c r="J9" s="300">
        <f t="shared" si="0"/>
        <v>260.43838976239061</v>
      </c>
      <c r="K9" s="300">
        <f t="shared" si="0"/>
        <v>0</v>
      </c>
      <c r="L9" s="300">
        <f t="shared" si="0"/>
        <v>38.307492758377151</v>
      </c>
      <c r="M9" s="300">
        <f t="shared" si="0"/>
        <v>14.657359323360716</v>
      </c>
      <c r="N9" s="300">
        <f t="shared" si="0"/>
        <v>1569.0459516981359</v>
      </c>
      <c r="O9" s="300">
        <f t="shared" si="0"/>
        <v>1302.9247111005434</v>
      </c>
      <c r="P9" s="300">
        <f t="shared" si="0"/>
        <v>0.25325877210051945</v>
      </c>
      <c r="Q9" s="300">
        <f t="shared" si="0"/>
        <v>200.23930320800423</v>
      </c>
      <c r="R9" s="300">
        <f t="shared" si="0"/>
        <v>65.628678617487864</v>
      </c>
    </row>
    <row r="10" spans="1:18" x14ac:dyDescent="0.25">
      <c r="A10" s="1698" t="s">
        <v>1749</v>
      </c>
      <c r="B10" s="78" t="s">
        <v>2801</v>
      </c>
      <c r="C10" s="1699">
        <f>Постачання_1ст!F10</f>
        <v>16.205225647500001</v>
      </c>
      <c r="D10" s="1699">
        <f t="shared" ref="D10:D15" si="1">C10/$C$35</f>
        <v>0.16402746422225142</v>
      </c>
      <c r="E10" s="1699">
        <f t="shared" ref="E10:E15" si="2">C10/$C$35</f>
        <v>0.16402746422225142</v>
      </c>
      <c r="F10" s="1699">
        <f t="shared" ref="F10:F15" si="3">C10/$C$35</f>
        <v>0.16402746422225142</v>
      </c>
      <c r="G10" s="1699">
        <f t="shared" ref="G10:G15" si="4">C10/$C$35</f>
        <v>0.16402746422225142</v>
      </c>
      <c r="H10" s="1724">
        <f t="shared" ref="H10:H34" si="5">I10+N10-C10</f>
        <v>0</v>
      </c>
      <c r="I10" s="1725">
        <f>SUM(J10:M10)</f>
        <v>2.6979587391600361</v>
      </c>
      <c r="J10" s="73">
        <f>J$7*D10</f>
        <v>2.2420062585749334</v>
      </c>
      <c r="K10" s="73">
        <f>K$7*E10</f>
        <v>0</v>
      </c>
      <c r="L10" s="73">
        <f>L$7*F10</f>
        <v>0.32977334329609687</v>
      </c>
      <c r="M10" s="73">
        <f>M$7*G10</f>
        <v>0.12617913728900615</v>
      </c>
      <c r="N10" s="1725">
        <f>SUM(O10:R10)</f>
        <v>13.507266908339959</v>
      </c>
      <c r="O10" s="73">
        <f>O$7*D10</f>
        <v>11.216339340004607</v>
      </c>
      <c r="P10" s="73">
        <f>P$7*E10</f>
        <v>2.180199902965163E-3</v>
      </c>
      <c r="Q10" s="73">
        <f>Q$7*F10</f>
        <v>1.7237772488710854</v>
      </c>
      <c r="R10" s="73">
        <f>R$7*G10</f>
        <v>0.56497011956130172</v>
      </c>
    </row>
    <row r="11" spans="1:18" x14ac:dyDescent="0.25">
      <c r="A11" s="1698" t="s">
        <v>1751</v>
      </c>
      <c r="B11" s="78" t="s">
        <v>2757</v>
      </c>
      <c r="C11" s="1699">
        <f>Постачання_1ст!F21</f>
        <v>754.48063799999989</v>
      </c>
      <c r="D11" s="1699">
        <f t="shared" si="1"/>
        <v>7.6367678271125046</v>
      </c>
      <c r="E11" s="1699">
        <f t="shared" si="2"/>
        <v>7.6367678271125046</v>
      </c>
      <c r="F11" s="1699">
        <f t="shared" si="3"/>
        <v>7.6367678271125046</v>
      </c>
      <c r="G11" s="1699">
        <f t="shared" si="4"/>
        <v>7.6367678271125046</v>
      </c>
      <c r="H11" s="1724">
        <f t="shared" si="5"/>
        <v>0</v>
      </c>
      <c r="I11" s="1725">
        <f>SUM(J11:M11)</f>
        <v>125.61118710082064</v>
      </c>
      <c r="J11" s="73">
        <f>J$7*D11</f>
        <v>104.38301503259636</v>
      </c>
      <c r="K11" s="73">
        <f t="shared" ref="K11:M26" si="6">K$7*E11</f>
        <v>0</v>
      </c>
      <c r="L11" s="73">
        <f t="shared" si="6"/>
        <v>15.353541373477634</v>
      </c>
      <c r="M11" s="73">
        <f t="shared" si="6"/>
        <v>5.874630694746636</v>
      </c>
      <c r="N11" s="1725">
        <f>SUM(O11:R11)</f>
        <v>628.86945089917913</v>
      </c>
      <c r="O11" s="73">
        <f>O$7*D11</f>
        <v>522.20876434242655</v>
      </c>
      <c r="P11" s="73">
        <f t="shared" ref="P11:R26" si="7">P$7*E11</f>
        <v>0.10150544333891812</v>
      </c>
      <c r="Q11" s="73">
        <f t="shared" si="7"/>
        <v>80.255380997967137</v>
      </c>
      <c r="R11" s="73">
        <f t="shared" si="7"/>
        <v>26.303800115446499</v>
      </c>
    </row>
    <row r="12" spans="1:18" x14ac:dyDescent="0.25">
      <c r="A12" s="1698" t="s">
        <v>1753</v>
      </c>
      <c r="B12" s="78" t="s">
        <v>2758</v>
      </c>
      <c r="C12" s="1699">
        <f>C13+C14+C15</f>
        <v>1045.9627763240737</v>
      </c>
      <c r="D12" s="1699">
        <f t="shared" si="1"/>
        <v>10.587117119086308</v>
      </c>
      <c r="E12" s="1699">
        <f t="shared" si="2"/>
        <v>10.587117119086308</v>
      </c>
      <c r="F12" s="1699">
        <f t="shared" si="3"/>
        <v>10.587117119086308</v>
      </c>
      <c r="G12" s="1699">
        <f t="shared" si="4"/>
        <v>10.587117119086308</v>
      </c>
      <c r="H12" s="1724">
        <f t="shared" si="5"/>
        <v>0</v>
      </c>
      <c r="I12" s="1725">
        <f t="shared" ref="I12:I34" si="8">SUM(J12:M12)</f>
        <v>174.13916193477854</v>
      </c>
      <c r="J12" s="73">
        <f t="shared" ref="J12:M34" si="9">J$7*D12</f>
        <v>144.70980792030878</v>
      </c>
      <c r="K12" s="73">
        <f t="shared" si="6"/>
        <v>0</v>
      </c>
      <c r="L12" s="73">
        <f t="shared" si="6"/>
        <v>21.285148952237527</v>
      </c>
      <c r="M12" s="73">
        <f t="shared" si="6"/>
        <v>8.1442050622322437</v>
      </c>
      <c r="N12" s="1725">
        <f t="shared" ref="N12:N34" si="10">SUM(O12:R12)</f>
        <v>871.82361438929479</v>
      </c>
      <c r="O12" s="73">
        <f t="shared" ref="O12:R34" si="11">O$7*D12</f>
        <v>723.95619113603868</v>
      </c>
      <c r="P12" s="73">
        <f t="shared" si="7"/>
        <v>0.14072053009633465</v>
      </c>
      <c r="Q12" s="73">
        <f t="shared" si="7"/>
        <v>111.26082883465595</v>
      </c>
      <c r="R12" s="73">
        <f t="shared" si="7"/>
        <v>36.465873888503836</v>
      </c>
    </row>
    <row r="13" spans="1:18" x14ac:dyDescent="0.25">
      <c r="A13" s="1698" t="s">
        <v>2759</v>
      </c>
      <c r="B13" s="78" t="s">
        <v>2760</v>
      </c>
      <c r="C13" s="1699">
        <f>Постачання_1ст!F24</f>
        <v>165.98574035999997</v>
      </c>
      <c r="D13" s="1699">
        <f t="shared" si="1"/>
        <v>1.6800889219647508</v>
      </c>
      <c r="E13" s="1699">
        <f t="shared" si="2"/>
        <v>1.6800889219647508</v>
      </c>
      <c r="F13" s="1699">
        <f t="shared" si="3"/>
        <v>1.6800889219647508</v>
      </c>
      <c r="G13" s="1699">
        <f t="shared" si="4"/>
        <v>1.6800889219647508</v>
      </c>
      <c r="H13" s="1724">
        <f t="shared" si="5"/>
        <v>0</v>
      </c>
      <c r="I13" s="1725">
        <f t="shared" si="8"/>
        <v>27.634461162180532</v>
      </c>
      <c r="J13" s="73">
        <f t="shared" si="9"/>
        <v>22.964263307171194</v>
      </c>
      <c r="K13" s="73">
        <f t="shared" si="6"/>
        <v>0</v>
      </c>
      <c r="L13" s="73">
        <f t="shared" si="6"/>
        <v>3.3777791021650794</v>
      </c>
      <c r="M13" s="73">
        <f t="shared" si="6"/>
        <v>1.2924187528442597</v>
      </c>
      <c r="N13" s="1725">
        <f t="shared" si="10"/>
        <v>138.35127919781937</v>
      </c>
      <c r="O13" s="73">
        <f t="shared" si="11"/>
        <v>114.88592815533381</v>
      </c>
      <c r="P13" s="73">
        <f t="shared" si="7"/>
        <v>2.2331197534561982E-2</v>
      </c>
      <c r="Q13" s="73">
        <f t="shared" si="7"/>
        <v>17.656183819552766</v>
      </c>
      <c r="R13" s="73">
        <f t="shared" si="7"/>
        <v>5.7868360253982294</v>
      </c>
    </row>
    <row r="14" spans="1:18" x14ac:dyDescent="0.25">
      <c r="A14" s="1698" t="s">
        <v>2761</v>
      </c>
      <c r="B14" s="78" t="s">
        <v>2762</v>
      </c>
      <c r="C14" s="1699">
        <f>Постачання_1ст!F26+Постачання_1ст!F25</f>
        <v>843.99335000000065</v>
      </c>
      <c r="D14" s="1699">
        <f t="shared" si="1"/>
        <v>8.5428053908215862</v>
      </c>
      <c r="E14" s="1699">
        <f t="shared" si="2"/>
        <v>8.5428053908215862</v>
      </c>
      <c r="F14" s="1699">
        <f t="shared" si="3"/>
        <v>8.5428053908215862</v>
      </c>
      <c r="G14" s="1699">
        <f t="shared" si="4"/>
        <v>8.5428053908215862</v>
      </c>
      <c r="H14" s="1724">
        <f t="shared" si="5"/>
        <v>0</v>
      </c>
      <c r="I14" s="1725">
        <f t="shared" si="8"/>
        <v>140.51388632016622</v>
      </c>
      <c r="J14" s="73">
        <f t="shared" si="9"/>
        <v>116.76717214903724</v>
      </c>
      <c r="K14" s="73">
        <f t="shared" si="6"/>
        <v>0</v>
      </c>
      <c r="L14" s="73">
        <f t="shared" si="6"/>
        <v>17.175108499159396</v>
      </c>
      <c r="M14" s="73">
        <f t="shared" si="6"/>
        <v>6.5716056719696034</v>
      </c>
      <c r="N14" s="1725">
        <f t="shared" si="10"/>
        <v>703.47946367983434</v>
      </c>
      <c r="O14" s="73">
        <f t="shared" si="11"/>
        <v>584.16439364839675</v>
      </c>
      <c r="P14" s="73">
        <f t="shared" si="7"/>
        <v>0.11354820104323045</v>
      </c>
      <c r="Q14" s="73">
        <f t="shared" si="7"/>
        <v>89.776999504658846</v>
      </c>
      <c r="R14" s="73">
        <f t="shared" si="7"/>
        <v>29.424522325735417</v>
      </c>
    </row>
    <row r="15" spans="1:18" x14ac:dyDescent="0.25">
      <c r="A15" s="1698" t="s">
        <v>2763</v>
      </c>
      <c r="B15" s="78" t="s">
        <v>81</v>
      </c>
      <c r="C15" s="1699">
        <f>Постачання_1ст!F23-Постачання_1ст!F24-Постачання_1ст!F25-Постачання_1ст!F26</f>
        <v>35.983685964073175</v>
      </c>
      <c r="D15" s="1699">
        <f t="shared" si="1"/>
        <v>0.36422280629997278</v>
      </c>
      <c r="E15" s="1699">
        <f t="shared" si="2"/>
        <v>0.36422280629997278</v>
      </c>
      <c r="F15" s="1699">
        <f t="shared" si="3"/>
        <v>0.36422280629997278</v>
      </c>
      <c r="G15" s="1699">
        <f t="shared" si="4"/>
        <v>0.36422280629997278</v>
      </c>
      <c r="H15" s="1724">
        <f t="shared" si="5"/>
        <v>0</v>
      </c>
      <c r="I15" s="1725">
        <f t="shared" si="8"/>
        <v>5.9908144524318052</v>
      </c>
      <c r="J15" s="73">
        <f t="shared" si="9"/>
        <v>4.9783724641003673</v>
      </c>
      <c r="K15" s="73">
        <f t="shared" si="6"/>
        <v>0</v>
      </c>
      <c r="L15" s="73">
        <f t="shared" si="6"/>
        <v>0.73226135091305555</v>
      </c>
      <c r="M15" s="73">
        <f t="shared" si="6"/>
        <v>0.28018063741838262</v>
      </c>
      <c r="N15" s="1725">
        <f t="shared" si="10"/>
        <v>29.992871511641361</v>
      </c>
      <c r="O15" s="73">
        <f t="shared" si="11"/>
        <v>24.905869332308264</v>
      </c>
      <c r="P15" s="73">
        <f t="shared" si="7"/>
        <v>4.8411315185422337E-3</v>
      </c>
      <c r="Q15" s="73">
        <f t="shared" si="7"/>
        <v>3.8276455104443587</v>
      </c>
      <c r="R15" s="73">
        <f t="shared" si="7"/>
        <v>1.2545155373701966</v>
      </c>
    </row>
    <row r="16" spans="1:18" s="15" customFormat="1" x14ac:dyDescent="0.25">
      <c r="A16" s="1700" t="s">
        <v>1755</v>
      </c>
      <c r="B16" s="255" t="s">
        <v>2764</v>
      </c>
      <c r="C16" s="1690">
        <f>C17+C18+C19+C20</f>
        <v>65.800553570691349</v>
      </c>
      <c r="D16" s="300">
        <f>D17+D18+D19+D20</f>
        <v>0.6660257735001659</v>
      </c>
      <c r="E16" s="300">
        <f>E17+E18+E19+E20</f>
        <v>0.6660257735001659</v>
      </c>
      <c r="F16" s="300">
        <f>F17+F18+F19+F20</f>
        <v>0.6660257735001659</v>
      </c>
      <c r="G16" s="300">
        <f>G17+G18+G19+G20</f>
        <v>0.6660257735001659</v>
      </c>
      <c r="H16" s="1724">
        <f t="shared" si="5"/>
        <v>0</v>
      </c>
      <c r="I16" s="1725">
        <f t="shared" si="8"/>
        <v>10.954934069369298</v>
      </c>
      <c r="J16" s="73">
        <f t="shared" si="9"/>
        <v>9.1035605509105704</v>
      </c>
      <c r="K16" s="73">
        <f t="shared" si="6"/>
        <v>0</v>
      </c>
      <c r="L16" s="73">
        <f t="shared" si="6"/>
        <v>1.3390290893658976</v>
      </c>
      <c r="M16" s="73">
        <f t="shared" si="6"/>
        <v>0.51234442909282962</v>
      </c>
      <c r="N16" s="1725">
        <f t="shared" si="10"/>
        <v>54.845619501322048</v>
      </c>
      <c r="O16" s="73">
        <f t="shared" si="11"/>
        <v>45.543416282073473</v>
      </c>
      <c r="P16" s="73">
        <f t="shared" si="7"/>
        <v>8.8525987623015168E-3</v>
      </c>
      <c r="Q16" s="73">
        <f t="shared" si="7"/>
        <v>6.9993161265100383</v>
      </c>
      <c r="R16" s="73">
        <f t="shared" si="7"/>
        <v>2.2940344939762327</v>
      </c>
    </row>
    <row r="17" spans="1:18" x14ac:dyDescent="0.25">
      <c r="A17" s="1701" t="s">
        <v>2765</v>
      </c>
      <c r="B17" s="78" t="s">
        <v>2766</v>
      </c>
      <c r="C17" s="1699">
        <f>ЗВВ_1ст!K21</f>
        <v>50.279889693741083</v>
      </c>
      <c r="D17" s="1699">
        <f>C17/$C$35</f>
        <v>0.50892736622344914</v>
      </c>
      <c r="E17" s="1699">
        <f>C17/$C$35</f>
        <v>0.50892736622344914</v>
      </c>
      <c r="F17" s="1699">
        <f>C17/$C$35</f>
        <v>0.50892736622344914</v>
      </c>
      <c r="G17" s="1699">
        <f>C17/$C$35</f>
        <v>0.50892736622344914</v>
      </c>
      <c r="H17" s="1724">
        <f t="shared" si="5"/>
        <v>0</v>
      </c>
      <c r="I17" s="1725">
        <f t="shared" si="8"/>
        <v>8.3709459376863879</v>
      </c>
      <c r="J17" s="73">
        <f t="shared" si="9"/>
        <v>6.9562639747145676</v>
      </c>
      <c r="K17" s="73">
        <f t="shared" si="6"/>
        <v>0</v>
      </c>
      <c r="L17" s="73">
        <f t="shared" si="6"/>
        <v>1.0231864514285196</v>
      </c>
      <c r="M17" s="73">
        <f t="shared" si="6"/>
        <v>0.39149551154330142</v>
      </c>
      <c r="N17" s="1725">
        <f t="shared" si="10"/>
        <v>41.908943756054676</v>
      </c>
      <c r="O17" s="73">
        <f t="shared" si="11"/>
        <v>34.800891826520328</v>
      </c>
      <c r="P17" s="73">
        <f t="shared" si="7"/>
        <v>6.7644976389640487E-3</v>
      </c>
      <c r="Q17" s="73">
        <f t="shared" si="7"/>
        <v>5.3483568705005684</v>
      </c>
      <c r="R17" s="73">
        <f t="shared" si="7"/>
        <v>1.752930561394823</v>
      </c>
    </row>
    <row r="18" spans="1:18" x14ac:dyDescent="0.25">
      <c r="A18" s="1701" t="s">
        <v>2767</v>
      </c>
      <c r="B18" s="78" t="s">
        <v>2275</v>
      </c>
      <c r="C18" s="1699">
        <f>ЗВВ_1ст!K23</f>
        <v>10.73236983354378</v>
      </c>
      <c r="D18" s="1699">
        <f>C18/$C$35</f>
        <v>0.10863183563032659</v>
      </c>
      <c r="E18" s="1699">
        <f>C18/$C$35</f>
        <v>0.10863183563032659</v>
      </c>
      <c r="F18" s="1699">
        <f>C18/$C$35</f>
        <v>0.10863183563032659</v>
      </c>
      <c r="G18" s="1699">
        <f>C18/$C$35</f>
        <v>0.10863183563032659</v>
      </c>
      <c r="H18" s="1724">
        <f t="shared" si="5"/>
        <v>0</v>
      </c>
      <c r="I18" s="1725">
        <f t="shared" si="8"/>
        <v>1.7867996172440823</v>
      </c>
      <c r="J18" s="73">
        <f t="shared" si="9"/>
        <v>1.4848321683109702</v>
      </c>
      <c r="K18" s="73">
        <f t="shared" si="6"/>
        <v>0</v>
      </c>
      <c r="L18" s="73">
        <f t="shared" si="6"/>
        <v>0.21840174018458738</v>
      </c>
      <c r="M18" s="73">
        <f t="shared" si="6"/>
        <v>8.3565708748524758E-2</v>
      </c>
      <c r="N18" s="1725">
        <f t="shared" si="10"/>
        <v>8.9455702162996946</v>
      </c>
      <c r="O18" s="73">
        <f t="shared" si="11"/>
        <v>7.4283385244948219</v>
      </c>
      <c r="P18" s="73">
        <f t="shared" si="7"/>
        <v>1.443899158126696E-3</v>
      </c>
      <c r="Q18" s="73">
        <f t="shared" si="7"/>
        <v>1.1416203234656703</v>
      </c>
      <c r="R18" s="73">
        <f t="shared" si="7"/>
        <v>0.37416746918107591</v>
      </c>
    </row>
    <row r="19" spans="1:18" x14ac:dyDescent="0.25">
      <c r="A19" s="1701" t="s">
        <v>2768</v>
      </c>
      <c r="B19" s="78" t="s">
        <v>2762</v>
      </c>
      <c r="C19" s="1699">
        <f>ЗВВ_1ст!K37+ЗВВ_1ст!K39</f>
        <v>0.3093596578550839</v>
      </c>
      <c r="D19" s="1699">
        <f>C19/$C$35</f>
        <v>3.131303526061112E-3</v>
      </c>
      <c r="E19" s="1699">
        <f>C19/$C$35</f>
        <v>3.131303526061112E-3</v>
      </c>
      <c r="F19" s="1699">
        <f>C19/$C$35</f>
        <v>3.131303526061112E-3</v>
      </c>
      <c r="G19" s="1699">
        <f>C19/$C$35</f>
        <v>3.131303526061112E-3</v>
      </c>
      <c r="H19" s="1724">
        <f t="shared" si="5"/>
        <v>0</v>
      </c>
      <c r="I19" s="1725">
        <f t="shared" si="8"/>
        <v>5.1504348696461581E-2</v>
      </c>
      <c r="J19" s="73">
        <f t="shared" si="9"/>
        <v>4.2800162376554048E-2</v>
      </c>
      <c r="K19" s="73">
        <f t="shared" si="6"/>
        <v>0</v>
      </c>
      <c r="L19" s="73">
        <f t="shared" si="6"/>
        <v>6.2954117931425524E-3</v>
      </c>
      <c r="M19" s="73">
        <f t="shared" si="6"/>
        <v>2.4087745267649843E-3</v>
      </c>
      <c r="N19" s="1725">
        <f t="shared" si="10"/>
        <v>0.2578553091586222</v>
      </c>
      <c r="O19" s="73">
        <f t="shared" si="11"/>
        <v>0.21412123324217</v>
      </c>
      <c r="P19" s="73">
        <f t="shared" si="7"/>
        <v>4.1620271800475706E-5</v>
      </c>
      <c r="Q19" s="73">
        <f t="shared" si="7"/>
        <v>3.2907109813148733E-2</v>
      </c>
      <c r="R19" s="73">
        <f t="shared" si="7"/>
        <v>1.0785345831503031E-2</v>
      </c>
    </row>
    <row r="20" spans="1:18" x14ac:dyDescent="0.25">
      <c r="A20" s="1701" t="s">
        <v>2769</v>
      </c>
      <c r="B20" s="78" t="s">
        <v>58</v>
      </c>
      <c r="C20" s="1699">
        <f>ЗВВ_1ст!K24+ЗВВ_1ст!K40+ЗВВ_1ст!K9</f>
        <v>4.4789343855514083</v>
      </c>
      <c r="D20" s="1699">
        <f>C20/$C$35</f>
        <v>4.5335268120329036E-2</v>
      </c>
      <c r="E20" s="1699">
        <f>C20/$C$35</f>
        <v>4.5335268120329036E-2</v>
      </c>
      <c r="F20" s="1699">
        <f>C20/$C$35</f>
        <v>4.5335268120329036E-2</v>
      </c>
      <c r="G20" s="1699">
        <f>C20/$C$35</f>
        <v>4.5335268120329036E-2</v>
      </c>
      <c r="H20" s="1724">
        <f t="shared" si="5"/>
        <v>0</v>
      </c>
      <c r="I20" s="1725">
        <f t="shared" si="8"/>
        <v>0.74568416574236474</v>
      </c>
      <c r="J20" s="73">
        <f t="shared" si="9"/>
        <v>0.61966424550847843</v>
      </c>
      <c r="K20" s="73">
        <f t="shared" si="6"/>
        <v>0</v>
      </c>
      <c r="L20" s="73">
        <f t="shared" si="6"/>
        <v>9.1145485959647887E-2</v>
      </c>
      <c r="M20" s="73">
        <f t="shared" si="6"/>
        <v>3.4874434274238419E-2</v>
      </c>
      <c r="N20" s="1725">
        <f t="shared" si="10"/>
        <v>3.7332502198090416</v>
      </c>
      <c r="O20" s="73">
        <f t="shared" si="11"/>
        <v>3.1000646978161503</v>
      </c>
      <c r="P20" s="73">
        <f t="shared" si="7"/>
        <v>6.0258169341029602E-4</v>
      </c>
      <c r="Q20" s="73">
        <f t="shared" si="7"/>
        <v>0.47643182273065054</v>
      </c>
      <c r="R20" s="73">
        <f t="shared" si="7"/>
        <v>0.15615111756883077</v>
      </c>
    </row>
    <row r="21" spans="1:18" s="15" customFormat="1" x14ac:dyDescent="0.25">
      <c r="A21" s="1696" t="s">
        <v>1768</v>
      </c>
      <c r="B21" s="255" t="s">
        <v>2770</v>
      </c>
      <c r="C21" s="1690">
        <f>C22+C23+C24+C25</f>
        <v>79.995936156684508</v>
      </c>
      <c r="D21" s="300">
        <f>D22+D23+D24+D25</f>
        <v>0.809709833191391</v>
      </c>
      <c r="E21" s="300">
        <f>E22+E23+E24+E25</f>
        <v>0.809709833191391</v>
      </c>
      <c r="F21" s="300">
        <f>F22+F23+F24+F25</f>
        <v>0.809709833191391</v>
      </c>
      <c r="G21" s="300">
        <f>G22+G23+G24+G25</f>
        <v>0.809709833191391</v>
      </c>
      <c r="H21" s="1724">
        <f t="shared" si="5"/>
        <v>0</v>
      </c>
      <c r="I21" s="1725">
        <f t="shared" si="8"/>
        <v>13.318280149003108</v>
      </c>
      <c r="J21" s="73">
        <f t="shared" si="9"/>
        <v>11.067503373611846</v>
      </c>
      <c r="K21" s="73">
        <f t="shared" si="6"/>
        <v>0</v>
      </c>
      <c r="L21" s="73">
        <f t="shared" si="6"/>
        <v>1.6279024982636217</v>
      </c>
      <c r="M21" s="73">
        <f t="shared" si="6"/>
        <v>0.62287427712764054</v>
      </c>
      <c r="N21" s="1725">
        <f t="shared" si="10"/>
        <v>66.677656007681378</v>
      </c>
      <c r="O21" s="73">
        <f t="shared" si="11"/>
        <v>55.368656091076339</v>
      </c>
      <c r="P21" s="73">
        <f t="shared" si="7"/>
        <v>1.0762400724319252E-2</v>
      </c>
      <c r="Q21" s="73">
        <f t="shared" si="7"/>
        <v>8.5093029710641428</v>
      </c>
      <c r="R21" s="73">
        <f t="shared" si="7"/>
        <v>2.7889345448165752</v>
      </c>
    </row>
    <row r="22" spans="1:18" x14ac:dyDescent="0.25">
      <c r="A22" s="1701" t="s">
        <v>2771</v>
      </c>
      <c r="B22" s="78" t="s">
        <v>55</v>
      </c>
      <c r="C22" s="1699">
        <f>Адміністративні_1ст!K21</f>
        <v>59.90608734861253</v>
      </c>
      <c r="D22" s="1699">
        <f>C22/$C$35</f>
        <v>0.60636265196254868</v>
      </c>
      <c r="E22" s="1699">
        <f>C22/$C$35</f>
        <v>0.60636265196254868</v>
      </c>
      <c r="F22" s="1699">
        <f>C22/$C$35</f>
        <v>0.60636265196254868</v>
      </c>
      <c r="G22" s="1699">
        <f>C22/$C$35</f>
        <v>0.60636265196254868</v>
      </c>
      <c r="H22" s="1724">
        <f t="shared" si="5"/>
        <v>0</v>
      </c>
      <c r="I22" s="1725">
        <f t="shared" si="8"/>
        <v>9.9735823126910699</v>
      </c>
      <c r="J22" s="73">
        <f t="shared" si="9"/>
        <v>8.288056314911362</v>
      </c>
      <c r="K22" s="73">
        <f t="shared" si="6"/>
        <v>0</v>
      </c>
      <c r="L22" s="73">
        <f t="shared" si="6"/>
        <v>1.2190777924642882</v>
      </c>
      <c r="M22" s="73">
        <f t="shared" si="6"/>
        <v>0.46644820531541903</v>
      </c>
      <c r="N22" s="1725">
        <f t="shared" si="10"/>
        <v>49.932505035921452</v>
      </c>
      <c r="O22" s="73">
        <f t="shared" si="11"/>
        <v>41.463600621794122</v>
      </c>
      <c r="P22" s="73">
        <f t="shared" si="7"/>
        <v>8.0595758840677767E-3</v>
      </c>
      <c r="Q22" s="73">
        <f t="shared" si="7"/>
        <v>6.372311789213069</v>
      </c>
      <c r="R22" s="73">
        <f t="shared" si="7"/>
        <v>2.0885330490301897</v>
      </c>
    </row>
    <row r="23" spans="1:18" x14ac:dyDescent="0.25">
      <c r="A23" s="1701" t="s">
        <v>2772</v>
      </c>
      <c r="B23" s="78" t="s">
        <v>2773</v>
      </c>
      <c r="C23" s="1699">
        <f>Адміністративні_1ст!K23</f>
        <v>13.179339216694757</v>
      </c>
      <c r="D23" s="1699">
        <f>C23/$C$35</f>
        <v>0.1333997834317607</v>
      </c>
      <c r="E23" s="1699">
        <f>C23/$C$35</f>
        <v>0.1333997834317607</v>
      </c>
      <c r="F23" s="1699">
        <f>C23/$C$35</f>
        <v>0.1333997834317607</v>
      </c>
      <c r="G23" s="1699">
        <f>C23/$C$35</f>
        <v>0.1333997834317607</v>
      </c>
      <c r="H23" s="1724">
        <f t="shared" si="5"/>
        <v>0</v>
      </c>
      <c r="I23" s="1725">
        <f t="shared" si="8"/>
        <v>2.194188108792035</v>
      </c>
      <c r="J23" s="73">
        <f t="shared" si="9"/>
        <v>1.8233723892804994</v>
      </c>
      <c r="K23" s="73">
        <f t="shared" si="6"/>
        <v>0</v>
      </c>
      <c r="L23" s="73">
        <f t="shared" si="6"/>
        <v>0.26819711434214338</v>
      </c>
      <c r="M23" s="73">
        <f t="shared" si="6"/>
        <v>0.10261860516939218</v>
      </c>
      <c r="N23" s="1725">
        <f t="shared" si="10"/>
        <v>10.985151107902716</v>
      </c>
      <c r="O23" s="73">
        <f t="shared" si="11"/>
        <v>9.1219921367947059</v>
      </c>
      <c r="P23" s="73">
        <f t="shared" si="7"/>
        <v>1.7731066944949106E-3</v>
      </c>
      <c r="Q23" s="73">
        <f t="shared" si="7"/>
        <v>1.4019085936268751</v>
      </c>
      <c r="R23" s="73">
        <f t="shared" si="7"/>
        <v>0.45947727078664169</v>
      </c>
    </row>
    <row r="24" spans="1:18" x14ac:dyDescent="0.25">
      <c r="A24" s="1701" t="s">
        <v>2774</v>
      </c>
      <c r="B24" s="78" t="s">
        <v>2762</v>
      </c>
      <c r="C24" s="1699">
        <f>Адміністративні_1ст!K36+Адміністративні_1ст!K38</f>
        <v>0.75564424062180591</v>
      </c>
      <c r="D24" s="1699">
        <f>C24/$C$35</f>
        <v>7.6485456814644835E-3</v>
      </c>
      <c r="E24" s="1699">
        <f>C24/$C$35</f>
        <v>7.6485456814644835E-3</v>
      </c>
      <c r="F24" s="1699">
        <f>C24/$C$35</f>
        <v>7.6485456814644835E-3</v>
      </c>
      <c r="G24" s="1699">
        <f>C24/$C$35</f>
        <v>7.6485456814644835E-3</v>
      </c>
      <c r="H24" s="1724">
        <f t="shared" si="5"/>
        <v>0</v>
      </c>
      <c r="I24" s="1725">
        <f t="shared" si="8"/>
        <v>0.12580491176289563</v>
      </c>
      <c r="J24" s="73">
        <f t="shared" si="9"/>
        <v>0.10454400040961799</v>
      </c>
      <c r="K24" s="73">
        <f t="shared" si="6"/>
        <v>0</v>
      </c>
      <c r="L24" s="73">
        <f t="shared" si="6"/>
        <v>1.5377220471517241E-2</v>
      </c>
      <c r="M24" s="73">
        <f t="shared" si="6"/>
        <v>5.8836908817604065E-3</v>
      </c>
      <c r="N24" s="1725">
        <f t="shared" si="10"/>
        <v>0.62983932885891014</v>
      </c>
      <c r="O24" s="73">
        <f t="shared" si="11"/>
        <v>0.52301414417156267</v>
      </c>
      <c r="P24" s="73">
        <f t="shared" si="7"/>
        <v>1.0166199076246744E-4</v>
      </c>
      <c r="Q24" s="73">
        <f t="shared" si="7"/>
        <v>8.0379155376049019E-2</v>
      </c>
      <c r="R24" s="73">
        <f t="shared" si="7"/>
        <v>2.6344367320535991E-2</v>
      </c>
    </row>
    <row r="25" spans="1:18" x14ac:dyDescent="0.25">
      <c r="A25" s="1701" t="s">
        <v>2775</v>
      </c>
      <c r="B25" s="78" t="s">
        <v>2776</v>
      </c>
      <c r="C25" s="1699">
        <f>Адміністративні_1ст!K9+Адміністративні_1ст!K24+Адміністративні_1ст!K39</f>
        <v>6.1548653507554132</v>
      </c>
      <c r="D25" s="1699">
        <f>C25/$C$35</f>
        <v>6.2298852115617136E-2</v>
      </c>
      <c r="E25" s="1699">
        <f>C25/$C$35</f>
        <v>6.2298852115617136E-2</v>
      </c>
      <c r="F25" s="1699">
        <f>C25/$C$35</f>
        <v>6.2298852115617136E-2</v>
      </c>
      <c r="G25" s="1699">
        <f>C25/$C$35</f>
        <v>6.2298852115617136E-2</v>
      </c>
      <c r="H25" s="1724">
        <f t="shared" si="5"/>
        <v>0</v>
      </c>
      <c r="I25" s="1725">
        <f t="shared" si="8"/>
        <v>1.0247048157571095</v>
      </c>
      <c r="J25" s="73">
        <f t="shared" si="9"/>
        <v>0.85153066901036745</v>
      </c>
      <c r="K25" s="73">
        <f t="shared" si="6"/>
        <v>0</v>
      </c>
      <c r="L25" s="73">
        <f t="shared" si="6"/>
        <v>0.1252503709856729</v>
      </c>
      <c r="M25" s="73">
        <f t="shared" si="6"/>
        <v>4.7923775761069001E-2</v>
      </c>
      <c r="N25" s="1725">
        <f t="shared" si="10"/>
        <v>5.1301605349983017</v>
      </c>
      <c r="O25" s="73">
        <f t="shared" si="11"/>
        <v>4.2600491883159499</v>
      </c>
      <c r="P25" s="73">
        <f t="shared" si="7"/>
        <v>8.2805615499409815E-4</v>
      </c>
      <c r="Q25" s="73">
        <f t="shared" si="7"/>
        <v>0.65470343284815002</v>
      </c>
      <c r="R25" s="73">
        <f t="shared" si="7"/>
        <v>0.21457985767920784</v>
      </c>
    </row>
    <row r="26" spans="1:18" s="15" customFormat="1" x14ac:dyDescent="0.25">
      <c r="A26" s="1696" t="s">
        <v>1770</v>
      </c>
      <c r="B26" s="255" t="s">
        <v>2777</v>
      </c>
      <c r="C26" s="1690">
        <v>0</v>
      </c>
      <c r="D26" s="1690">
        <v>0</v>
      </c>
      <c r="E26" s="1690">
        <v>0</v>
      </c>
      <c r="F26" s="1690">
        <v>0</v>
      </c>
      <c r="G26" s="1690">
        <v>0</v>
      </c>
      <c r="H26" s="1724">
        <f t="shared" si="5"/>
        <v>0</v>
      </c>
      <c r="I26" s="1725">
        <f t="shared" si="8"/>
        <v>0</v>
      </c>
      <c r="J26" s="73">
        <f t="shared" si="9"/>
        <v>0</v>
      </c>
      <c r="K26" s="73">
        <f t="shared" si="6"/>
        <v>0</v>
      </c>
      <c r="L26" s="73">
        <f t="shared" si="6"/>
        <v>0</v>
      </c>
      <c r="M26" s="73">
        <f t="shared" si="6"/>
        <v>0</v>
      </c>
      <c r="N26" s="1725">
        <f t="shared" si="10"/>
        <v>0</v>
      </c>
      <c r="O26" s="73">
        <f t="shared" si="11"/>
        <v>0</v>
      </c>
      <c r="P26" s="73">
        <f t="shared" si="7"/>
        <v>0</v>
      </c>
      <c r="Q26" s="73">
        <f t="shared" si="7"/>
        <v>0</v>
      </c>
      <c r="R26" s="73">
        <f t="shared" si="7"/>
        <v>0</v>
      </c>
    </row>
    <row r="27" spans="1:18" s="15" customFormat="1" x14ac:dyDescent="0.25">
      <c r="A27" s="1696" t="s">
        <v>1773</v>
      </c>
      <c r="B27" s="255" t="s">
        <v>2779</v>
      </c>
      <c r="C27" s="1690">
        <v>0</v>
      </c>
      <c r="D27" s="1690">
        <v>0</v>
      </c>
      <c r="E27" s="1690">
        <v>0</v>
      </c>
      <c r="F27" s="1690">
        <v>0</v>
      </c>
      <c r="G27" s="1690">
        <v>0</v>
      </c>
      <c r="H27" s="1724">
        <f t="shared" si="5"/>
        <v>0</v>
      </c>
      <c r="I27" s="1725">
        <f t="shared" si="8"/>
        <v>0</v>
      </c>
      <c r="J27" s="73">
        <f t="shared" si="9"/>
        <v>0</v>
      </c>
      <c r="K27" s="73">
        <f t="shared" si="9"/>
        <v>0</v>
      </c>
      <c r="L27" s="73">
        <f t="shared" si="9"/>
        <v>0</v>
      </c>
      <c r="M27" s="73">
        <f t="shared" si="9"/>
        <v>0</v>
      </c>
      <c r="N27" s="1725">
        <f t="shared" si="10"/>
        <v>0</v>
      </c>
      <c r="O27" s="73">
        <f t="shared" si="11"/>
        <v>0</v>
      </c>
      <c r="P27" s="73">
        <f t="shared" si="11"/>
        <v>0</v>
      </c>
      <c r="Q27" s="73">
        <f t="shared" si="11"/>
        <v>0</v>
      </c>
      <c r="R27" s="73">
        <f t="shared" si="11"/>
        <v>0</v>
      </c>
    </row>
    <row r="28" spans="1:18" s="15" customFormat="1" x14ac:dyDescent="0.25">
      <c r="A28" s="1696" t="s">
        <v>1845</v>
      </c>
      <c r="B28" s="255" t="s">
        <v>2780</v>
      </c>
      <c r="C28" s="1690">
        <v>0</v>
      </c>
      <c r="D28" s="1690">
        <v>0</v>
      </c>
      <c r="E28" s="1690">
        <v>0</v>
      </c>
      <c r="F28" s="1690">
        <v>0</v>
      </c>
      <c r="G28" s="1690">
        <v>0</v>
      </c>
      <c r="H28" s="1724">
        <f t="shared" si="5"/>
        <v>0</v>
      </c>
      <c r="I28" s="1725">
        <f t="shared" si="8"/>
        <v>0</v>
      </c>
      <c r="J28" s="73">
        <f t="shared" si="9"/>
        <v>0</v>
      </c>
      <c r="K28" s="73">
        <f t="shared" si="9"/>
        <v>0</v>
      </c>
      <c r="L28" s="73">
        <f t="shared" si="9"/>
        <v>0</v>
      </c>
      <c r="M28" s="73">
        <f t="shared" si="9"/>
        <v>0</v>
      </c>
      <c r="N28" s="1725">
        <f t="shared" si="10"/>
        <v>0</v>
      </c>
      <c r="O28" s="73">
        <f t="shared" si="11"/>
        <v>0</v>
      </c>
      <c r="P28" s="73">
        <f t="shared" si="11"/>
        <v>0</v>
      </c>
      <c r="Q28" s="73">
        <f t="shared" si="11"/>
        <v>0</v>
      </c>
      <c r="R28" s="73">
        <f t="shared" si="11"/>
        <v>0</v>
      </c>
    </row>
    <row r="29" spans="1:18" s="15" customFormat="1" x14ac:dyDescent="0.25">
      <c r="A29" s="1696" t="s">
        <v>1851</v>
      </c>
      <c r="B29" s="255" t="s">
        <v>2781</v>
      </c>
      <c r="C29" s="1690">
        <v>0</v>
      </c>
      <c r="D29" s="1690">
        <v>0</v>
      </c>
      <c r="E29" s="1690">
        <v>0</v>
      </c>
      <c r="F29" s="1690">
        <v>0</v>
      </c>
      <c r="G29" s="1690">
        <v>0</v>
      </c>
      <c r="H29" s="1724">
        <f t="shared" si="5"/>
        <v>0</v>
      </c>
      <c r="I29" s="1725">
        <f t="shared" si="8"/>
        <v>0</v>
      </c>
      <c r="J29" s="73">
        <f t="shared" si="9"/>
        <v>0</v>
      </c>
      <c r="K29" s="73">
        <f t="shared" si="9"/>
        <v>0</v>
      </c>
      <c r="L29" s="73">
        <f t="shared" si="9"/>
        <v>0</v>
      </c>
      <c r="M29" s="73">
        <f t="shared" si="9"/>
        <v>0</v>
      </c>
      <c r="N29" s="1725">
        <f t="shared" si="10"/>
        <v>0</v>
      </c>
      <c r="O29" s="73">
        <f t="shared" si="11"/>
        <v>0</v>
      </c>
      <c r="P29" s="73">
        <f t="shared" si="11"/>
        <v>0</v>
      </c>
      <c r="Q29" s="73">
        <f t="shared" si="11"/>
        <v>0</v>
      </c>
      <c r="R29" s="73">
        <f t="shared" si="11"/>
        <v>0</v>
      </c>
    </row>
    <row r="30" spans="1:18" s="15" customFormat="1" x14ac:dyDescent="0.25">
      <c r="A30" s="1696" t="s">
        <v>1857</v>
      </c>
      <c r="B30" s="255" t="s">
        <v>2782</v>
      </c>
      <c r="C30" s="1690">
        <f>SUM(C31:C34)</f>
        <v>90.942579181170828</v>
      </c>
      <c r="D30" s="1690">
        <f>SUM(D31:D34)</f>
        <v>0.92051051786619464</v>
      </c>
      <c r="E30" s="1690">
        <f>SUM(E31:E34)</f>
        <v>0.92051051786619464</v>
      </c>
      <c r="F30" s="1690">
        <f>SUM(F31:F34)</f>
        <v>0.92051051786619464</v>
      </c>
      <c r="G30" s="1690">
        <f>SUM(G31:G34)</f>
        <v>0.92051051786619464</v>
      </c>
      <c r="H30" s="1724">
        <f t="shared" si="5"/>
        <v>0</v>
      </c>
      <c r="I30" s="1725">
        <f t="shared" si="8"/>
        <v>15.140753458218294</v>
      </c>
      <c r="J30" s="73">
        <f t="shared" si="9"/>
        <v>12.581980413619627</v>
      </c>
      <c r="K30" s="73">
        <f t="shared" si="9"/>
        <v>0</v>
      </c>
      <c r="L30" s="73">
        <f t="shared" si="9"/>
        <v>1.8506646582345727</v>
      </c>
      <c r="M30" s="73">
        <f t="shared" si="9"/>
        <v>0.70810838636409457</v>
      </c>
      <c r="N30" s="1725">
        <f t="shared" si="10"/>
        <v>75.801825722952501</v>
      </c>
      <c r="O30" s="73">
        <f t="shared" si="11"/>
        <v>62.94530238205067</v>
      </c>
      <c r="P30" s="73">
        <f t="shared" si="11"/>
        <v>1.2235127521151062E-2</v>
      </c>
      <c r="Q30" s="73">
        <f t="shared" si="11"/>
        <v>9.6737158961031682</v>
      </c>
      <c r="R30" s="73">
        <f t="shared" si="11"/>
        <v>3.1705723172775233</v>
      </c>
    </row>
    <row r="31" spans="1:18" x14ac:dyDescent="0.25">
      <c r="A31" s="1701" t="s">
        <v>1029</v>
      </c>
      <c r="B31" s="78" t="s">
        <v>65</v>
      </c>
      <c r="C31" s="1699">
        <f>'ТЕ_2ст_тариф_з ЦТП'!E154</f>
        <v>16.369664252610747</v>
      </c>
      <c r="D31" s="1699">
        <f>C31/$C$35</f>
        <v>0.16569189321591501</v>
      </c>
      <c r="E31" s="1699">
        <f>C31/$C$35</f>
        <v>0.16569189321591501</v>
      </c>
      <c r="F31" s="1699">
        <f>C31/$C$35</f>
        <v>0.16569189321591501</v>
      </c>
      <c r="G31" s="1699">
        <f>C31/$C$35</f>
        <v>0.16569189321591501</v>
      </c>
      <c r="H31" s="1724">
        <f t="shared" si="5"/>
        <v>0</v>
      </c>
      <c r="I31" s="1725">
        <f t="shared" si="8"/>
        <v>2.7253356224792924</v>
      </c>
      <c r="J31" s="73">
        <f t="shared" si="9"/>
        <v>2.2647564744515325</v>
      </c>
      <c r="K31" s="73">
        <f t="shared" si="9"/>
        <v>0</v>
      </c>
      <c r="L31" s="73">
        <f t="shared" si="9"/>
        <v>0.33311963848222303</v>
      </c>
      <c r="M31" s="73">
        <f t="shared" si="9"/>
        <v>0.127459509545537</v>
      </c>
      <c r="N31" s="1725">
        <f t="shared" si="10"/>
        <v>13.644328630131449</v>
      </c>
      <c r="O31" s="73">
        <f t="shared" si="11"/>
        <v>11.330154428769118</v>
      </c>
      <c r="P31" s="73">
        <f t="shared" si="11"/>
        <v>2.2023229538071908E-3</v>
      </c>
      <c r="Q31" s="73">
        <f t="shared" si="11"/>
        <v>1.7412688612985701</v>
      </c>
      <c r="R31" s="73">
        <f t="shared" si="11"/>
        <v>0.57070301710995408</v>
      </c>
    </row>
    <row r="32" spans="1:18" x14ac:dyDescent="0.25">
      <c r="A32" s="1701" t="s">
        <v>2793</v>
      </c>
      <c r="B32" s="78" t="s">
        <v>84</v>
      </c>
      <c r="C32" s="1699">
        <f>'ТЕ_2ст_тариф_з ЦТП'!E155</f>
        <v>0</v>
      </c>
      <c r="D32" s="1699">
        <f>C32/$C$35</f>
        <v>0</v>
      </c>
      <c r="E32" s="1699">
        <f>C32/$C$35</f>
        <v>0</v>
      </c>
      <c r="F32" s="1699">
        <f>C32/$C$35</f>
        <v>0</v>
      </c>
      <c r="G32" s="1699">
        <f>C32/$C$35</f>
        <v>0</v>
      </c>
      <c r="H32" s="1724">
        <f t="shared" si="5"/>
        <v>0</v>
      </c>
      <c r="I32" s="1725">
        <f t="shared" si="8"/>
        <v>0</v>
      </c>
      <c r="J32" s="73">
        <f t="shared" si="9"/>
        <v>0</v>
      </c>
      <c r="K32" s="73">
        <f t="shared" si="9"/>
        <v>0</v>
      </c>
      <c r="L32" s="73">
        <f t="shared" si="9"/>
        <v>0</v>
      </c>
      <c r="M32" s="73">
        <f t="shared" si="9"/>
        <v>0</v>
      </c>
      <c r="N32" s="1725">
        <f t="shared" si="10"/>
        <v>0</v>
      </c>
      <c r="O32" s="73">
        <f t="shared" si="11"/>
        <v>0</v>
      </c>
      <c r="P32" s="73">
        <f t="shared" si="11"/>
        <v>0</v>
      </c>
      <c r="Q32" s="73">
        <f t="shared" si="11"/>
        <v>0</v>
      </c>
      <c r="R32" s="73">
        <f t="shared" si="11"/>
        <v>0</v>
      </c>
    </row>
    <row r="33" spans="1:18" x14ac:dyDescent="0.25">
      <c r="A33" s="1701" t="s">
        <v>2794</v>
      </c>
      <c r="B33" s="78" t="s">
        <v>71</v>
      </c>
      <c r="C33" s="1699">
        <f>'ТЕ_2ст_тариф_з ЦТП'!E157</f>
        <v>0</v>
      </c>
      <c r="D33" s="1699">
        <f>C33/$C$35</f>
        <v>0</v>
      </c>
      <c r="E33" s="1699">
        <f>C33/$C$35</f>
        <v>0</v>
      </c>
      <c r="F33" s="1699">
        <f>C33/$C$35</f>
        <v>0</v>
      </c>
      <c r="G33" s="1699">
        <f>C33/$C$35</f>
        <v>0</v>
      </c>
      <c r="H33" s="1724">
        <f t="shared" si="5"/>
        <v>0</v>
      </c>
      <c r="I33" s="1725">
        <f t="shared" si="8"/>
        <v>0</v>
      </c>
      <c r="J33" s="73">
        <f t="shared" si="9"/>
        <v>0</v>
      </c>
      <c r="K33" s="73">
        <f t="shared" si="9"/>
        <v>0</v>
      </c>
      <c r="L33" s="73">
        <f t="shared" si="9"/>
        <v>0</v>
      </c>
      <c r="M33" s="73">
        <f t="shared" si="9"/>
        <v>0</v>
      </c>
      <c r="N33" s="1725">
        <f t="shared" si="10"/>
        <v>0</v>
      </c>
      <c r="O33" s="73">
        <f t="shared" si="11"/>
        <v>0</v>
      </c>
      <c r="P33" s="73">
        <f t="shared" si="11"/>
        <v>0</v>
      </c>
      <c r="Q33" s="73">
        <f t="shared" si="11"/>
        <v>0</v>
      </c>
      <c r="R33" s="73">
        <f t="shared" si="11"/>
        <v>0</v>
      </c>
    </row>
    <row r="34" spans="1:18" x14ac:dyDescent="0.25">
      <c r="A34" s="1701" t="s">
        <v>2795</v>
      </c>
      <c r="B34" s="78" t="s">
        <v>2446</v>
      </c>
      <c r="C34" s="1699">
        <f>'ТЕ_2ст_тариф_з ЦТП'!E158</f>
        <v>74.572914928560081</v>
      </c>
      <c r="D34" s="1699">
        <f>C34/$C$35</f>
        <v>0.7548186246502796</v>
      </c>
      <c r="E34" s="1699">
        <f>C34/$C$35</f>
        <v>0.7548186246502796</v>
      </c>
      <c r="F34" s="1699">
        <f>C34/$C$35</f>
        <v>0.7548186246502796</v>
      </c>
      <c r="G34" s="1699">
        <f>C34/$C$35</f>
        <v>0.7548186246502796</v>
      </c>
      <c r="H34" s="1724">
        <f t="shared" si="5"/>
        <v>0</v>
      </c>
      <c r="I34" s="1725">
        <f t="shared" si="8"/>
        <v>12.415417835739001</v>
      </c>
      <c r="J34" s="73">
        <f t="shared" si="9"/>
        <v>10.317223939168095</v>
      </c>
      <c r="K34" s="73">
        <f t="shared" si="9"/>
        <v>0</v>
      </c>
      <c r="L34" s="73">
        <f t="shared" si="9"/>
        <v>1.5175450197523495</v>
      </c>
      <c r="M34" s="73">
        <f t="shared" si="9"/>
        <v>0.58064887681855759</v>
      </c>
      <c r="N34" s="1725">
        <f t="shared" si="10"/>
        <v>62.15749709282106</v>
      </c>
      <c r="O34" s="73">
        <f t="shared" si="11"/>
        <v>51.61514795328155</v>
      </c>
      <c r="P34" s="73">
        <f t="shared" si="11"/>
        <v>1.0032804567343871E-2</v>
      </c>
      <c r="Q34" s="73">
        <f t="shared" si="11"/>
        <v>7.9324470348045972</v>
      </c>
      <c r="R34" s="73">
        <f t="shared" si="11"/>
        <v>2.599869300167569</v>
      </c>
    </row>
    <row r="35" spans="1:18" s="15" customFormat="1" ht="28.2" thickBot="1" x14ac:dyDescent="0.3">
      <c r="A35" s="1717" t="s">
        <v>1859</v>
      </c>
      <c r="B35" s="1719" t="s">
        <v>2803</v>
      </c>
      <c r="C35" s="1718">
        <f>'ТЕ_2ст_тариф_з ЦТП'!E14</f>
        <v>98.795806692118902</v>
      </c>
      <c r="D35" s="1693">
        <f>'ТЕ_2ст_тариф_з ЦТП'!H14</f>
        <v>82.049342543904487</v>
      </c>
      <c r="E35" s="1693">
        <f>'ТЕ_2ст_тариф_з ЦТП'!K14</f>
        <v>1.3291675959893333E-2</v>
      </c>
      <c r="F35" s="1693">
        <f>'ТЕ_2ст_тариф_з ЦТП'!N14</f>
        <v>12.519553368115806</v>
      </c>
      <c r="G35" s="1693">
        <f>'ТЕ_2ст_тариф_з ЦТП'!Q14</f>
        <v>4.2136191041387132</v>
      </c>
      <c r="H35" s="1724"/>
      <c r="I35" s="1725"/>
      <c r="J35" s="73"/>
      <c r="K35" s="73"/>
      <c r="L35" s="73"/>
      <c r="M35" s="73"/>
      <c r="N35" s="1725"/>
      <c r="O35" s="73"/>
      <c r="P35" s="73"/>
      <c r="Q35" s="73"/>
      <c r="R35" s="73"/>
    </row>
    <row r="37" spans="1:18" x14ac:dyDescent="0.25">
      <c r="C37" s="2043">
        <f>C9+C21+C30</f>
        <v>2053.3877088801205</v>
      </c>
      <c r="D37" s="1708"/>
      <c r="E37" s="1708"/>
      <c r="F37" s="1708"/>
      <c r="G37" s="1708"/>
      <c r="H37" s="1726">
        <f>C37-I37-N37</f>
        <v>0</v>
      </c>
      <c r="I37" s="729">
        <f>I9+I21+I30</f>
        <v>341.86227545134989</v>
      </c>
      <c r="N37" s="729">
        <f>N9+N21+N30</f>
        <v>1711.5254334287699</v>
      </c>
    </row>
    <row r="38" spans="1:18" x14ac:dyDescent="0.25">
      <c r="B38" s="10" t="s">
        <v>2821</v>
      </c>
      <c r="C38" s="2043">
        <f>'ТЕ_2ст_тариф_з ЦТП'!E159</f>
        <v>2053.3877088801205</v>
      </c>
      <c r="D38" s="1720"/>
      <c r="E38" s="1708"/>
      <c r="F38" s="4891" t="s">
        <v>2822</v>
      </c>
      <c r="G38" s="4891"/>
    </row>
  </sheetData>
  <mergeCells count="10">
    <mergeCell ref="E1:G1"/>
    <mergeCell ref="A4:A5"/>
    <mergeCell ref="B4:B5"/>
    <mergeCell ref="C4:C5"/>
    <mergeCell ref="D4:G4"/>
    <mergeCell ref="F38:G38"/>
    <mergeCell ref="B8:G8"/>
    <mergeCell ref="I4:I5"/>
    <mergeCell ref="N4:N5"/>
    <mergeCell ref="B2:F2"/>
  </mergeCells>
  <pageMargins left="0.70866141732283472" right="0.34" top="0.74803149606299213" bottom="0.74803149606299213" header="0.31496062992125984" footer="0.31496062992125984"/>
  <pageSetup paperSize="9" scale="85" orientation="portrait" horizontalDpi="0" verticalDpi="0" r:id="rId1"/>
</worksheet>
</file>

<file path=xl/worksheets/sheet1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100-000000000000}">
  <sheetPr codeName="Лист110">
    <tabColor rgb="FFEC20C5"/>
    <pageSetUpPr fitToPage="1"/>
  </sheetPr>
  <dimension ref="A1:N141"/>
  <sheetViews>
    <sheetView workbookViewId="0">
      <selection sqref="A1:XFD1048576"/>
    </sheetView>
  </sheetViews>
  <sheetFormatPr defaultColWidth="8.88671875" defaultRowHeight="13.8" x14ac:dyDescent="0.25"/>
  <cols>
    <col min="1" max="1" width="5.33203125" style="1816" customWidth="1"/>
    <col min="2" max="2" width="42.88671875" style="1788" customWidth="1"/>
    <col min="3" max="3" width="9.109375" style="1788" customWidth="1"/>
    <col min="4" max="4" width="13.33203125" style="10" customWidth="1"/>
    <col min="5" max="5" width="12.33203125" style="10" hidden="1" customWidth="1"/>
    <col min="6" max="6" width="11.88671875" style="10" customWidth="1"/>
    <col min="7" max="7" width="12" style="10" customWidth="1"/>
    <col min="8" max="8" width="8.88671875" style="10"/>
    <col min="9" max="9" width="12" style="1121" customWidth="1"/>
    <col min="10" max="12" width="12" style="10" customWidth="1"/>
    <col min="13" max="16384" width="8.88671875" style="10"/>
  </cols>
  <sheetData>
    <row r="1" spans="1:14" s="45" customFormat="1" ht="15.6" x14ac:dyDescent="0.3">
      <c r="A1" s="2090"/>
      <c r="B1" s="1796"/>
      <c r="C1" s="1796"/>
      <c r="D1" s="4910" t="s">
        <v>3084</v>
      </c>
      <c r="E1" s="4910"/>
      <c r="F1" s="4910"/>
      <c r="G1" s="4910"/>
      <c r="I1" s="1499"/>
      <c r="L1" s="4910"/>
      <c r="M1" s="4910"/>
      <c r="N1" s="4910"/>
    </row>
    <row r="2" spans="1:14" s="45" customFormat="1" ht="12.6" customHeight="1" x14ac:dyDescent="0.3">
      <c r="A2" s="1815"/>
      <c r="B2" s="1796"/>
      <c r="C2" s="1796"/>
      <c r="D2" s="5471" t="s">
        <v>2812</v>
      </c>
      <c r="E2" s="5471"/>
      <c r="F2" s="5471"/>
      <c r="G2" s="5471"/>
      <c r="I2" s="1499"/>
      <c r="L2" s="5471"/>
      <c r="M2" s="5471"/>
      <c r="N2" s="5471"/>
    </row>
    <row r="3" spans="1:14" s="45" customFormat="1" ht="27" customHeight="1" x14ac:dyDescent="0.3">
      <c r="A3" s="1815"/>
      <c r="B3" s="1796"/>
      <c r="C3" s="1796"/>
      <c r="D3" s="5472" t="s">
        <v>2827</v>
      </c>
      <c r="E3" s="5472"/>
      <c r="F3" s="5472"/>
      <c r="G3" s="5472"/>
      <c r="I3" s="1499"/>
      <c r="L3" s="5472"/>
      <c r="M3" s="5472"/>
      <c r="N3" s="5472"/>
    </row>
    <row r="4" spans="1:14" s="45" customFormat="1" ht="15.6" x14ac:dyDescent="0.3">
      <c r="A4" s="1815"/>
      <c r="B4" s="1796"/>
      <c r="C4" s="1796"/>
      <c r="D4" s="5471" t="s">
        <v>2823</v>
      </c>
      <c r="E4" s="5471"/>
      <c r="F4" s="5471"/>
      <c r="G4" s="5471"/>
      <c r="I4" s="1499"/>
      <c r="L4" s="5471"/>
      <c r="M4" s="5471"/>
      <c r="N4" s="5471"/>
    </row>
    <row r="5" spans="1:14" s="45" customFormat="1" ht="6" customHeight="1" x14ac:dyDescent="0.3">
      <c r="A5" s="1816"/>
      <c r="B5" s="1795"/>
      <c r="C5" s="1795"/>
      <c r="I5" s="1499"/>
    </row>
    <row r="6" spans="1:14" s="45" customFormat="1" ht="15.6" x14ac:dyDescent="0.3">
      <c r="A6" s="4911" t="s">
        <v>2967</v>
      </c>
      <c r="B6" s="4911"/>
      <c r="C6" s="4911"/>
      <c r="D6" s="4911"/>
      <c r="E6" s="4911"/>
      <c r="F6" s="4911"/>
      <c r="G6" s="4911"/>
      <c r="I6" s="1499"/>
    </row>
    <row r="7" spans="1:14" s="45" customFormat="1" ht="63.6" customHeight="1" x14ac:dyDescent="0.3">
      <c r="A7" s="4912" t="s">
        <v>2908</v>
      </c>
      <c r="B7" s="4912"/>
      <c r="C7" s="4912"/>
      <c r="D7" s="4912"/>
      <c r="E7" s="4912"/>
      <c r="F7" s="4912"/>
      <c r="G7" s="4912"/>
      <c r="I7" s="1499"/>
    </row>
    <row r="8" spans="1:14" s="45" customFormat="1" ht="14.4" customHeight="1" x14ac:dyDescent="0.3">
      <c r="A8" s="1817"/>
      <c r="B8" s="1811"/>
      <c r="C8" s="1811"/>
      <c r="D8" s="1793"/>
      <c r="E8" s="1793"/>
      <c r="F8" s="1793"/>
      <c r="G8" s="1812" t="s">
        <v>1734</v>
      </c>
      <c r="I8" s="1499"/>
    </row>
    <row r="9" spans="1:14" s="40" customFormat="1" ht="15.6" x14ac:dyDescent="0.3">
      <c r="A9" s="4913" t="s">
        <v>2864</v>
      </c>
      <c r="B9" s="4915" t="s">
        <v>110</v>
      </c>
      <c r="C9" s="4915" t="s">
        <v>2255</v>
      </c>
      <c r="D9" s="4917" t="s">
        <v>2865</v>
      </c>
      <c r="E9" s="4918"/>
      <c r="F9" s="4918"/>
      <c r="G9" s="4919"/>
      <c r="I9" s="1806"/>
    </row>
    <row r="10" spans="1:14" s="40" customFormat="1" ht="39.6" x14ac:dyDescent="0.3">
      <c r="A10" s="4914"/>
      <c r="B10" s="4916"/>
      <c r="C10" s="4916"/>
      <c r="D10" s="1475" t="s">
        <v>2736</v>
      </c>
      <c r="E10" s="1475" t="s">
        <v>2737</v>
      </c>
      <c r="F10" s="1475" t="s">
        <v>2866</v>
      </c>
      <c r="G10" s="1475" t="s">
        <v>2810</v>
      </c>
      <c r="I10" s="1806"/>
    </row>
    <row r="11" spans="1:14" s="40" customFormat="1" ht="15.6" x14ac:dyDescent="0.3">
      <c r="A11" s="1798" t="s">
        <v>2691</v>
      </c>
      <c r="B11" s="1810">
        <v>1</v>
      </c>
      <c r="C11" s="1810">
        <v>2</v>
      </c>
      <c r="D11" s="1611">
        <v>3</v>
      </c>
      <c r="E11" s="1611">
        <v>4</v>
      </c>
      <c r="F11" s="1611">
        <v>4</v>
      </c>
      <c r="G11" s="1611">
        <v>5</v>
      </c>
      <c r="I11" s="1806"/>
    </row>
    <row r="12" spans="1:14" s="45" customFormat="1" ht="15.6" x14ac:dyDescent="0.3">
      <c r="A12" s="4902" t="s">
        <v>2867</v>
      </c>
      <c r="B12" s="4902"/>
      <c r="C12" s="4902"/>
      <c r="D12" s="4902"/>
      <c r="E12" s="4902"/>
      <c r="F12" s="4902"/>
      <c r="G12" s="4902"/>
      <c r="I12" s="1499"/>
    </row>
    <row r="13" spans="1:14" s="45" customFormat="1" ht="39.6" x14ac:dyDescent="0.3">
      <c r="A13" s="1798">
        <v>1</v>
      </c>
      <c r="B13" s="1800" t="s">
        <v>2868</v>
      </c>
      <c r="C13" s="2010" t="s">
        <v>2286</v>
      </c>
      <c r="D13" s="1804">
        <f>'ТЕ_2ст_тариф_з ЦТП'!I214</f>
        <v>1143.25</v>
      </c>
      <c r="E13" s="1804">
        <f>'ТЕ_2ст_тариф_з ЦТП'!L214</f>
        <v>0</v>
      </c>
      <c r="F13" s="1804">
        <f>'ТЕ_2ст_тариф_з ЦТП'!O214</f>
        <v>2130.2600000000002</v>
      </c>
      <c r="G13" s="1804">
        <f>'ТЕ_2ст_тариф_з ЦТП'!R214</f>
        <v>2130.2600000000002</v>
      </c>
      <c r="I13" s="2089">
        <f t="shared" ref="I13:L14" si="0">D13*1.2</f>
        <v>1371.8999999999999</v>
      </c>
      <c r="J13" s="2089">
        <f t="shared" si="0"/>
        <v>0</v>
      </c>
      <c r="K13" s="2089">
        <f t="shared" si="0"/>
        <v>2556.3120000000004</v>
      </c>
      <c r="L13" s="2089">
        <f t="shared" si="0"/>
        <v>2556.3120000000004</v>
      </c>
    </row>
    <row r="14" spans="1:14" s="45" customFormat="1" ht="42" customHeight="1" x14ac:dyDescent="0.3">
      <c r="A14" s="1798">
        <v>2</v>
      </c>
      <c r="B14" s="1800" t="s">
        <v>2869</v>
      </c>
      <c r="C14" s="2010" t="s">
        <v>3058</v>
      </c>
      <c r="D14" s="1804">
        <f>'ТЕ_2ст_тариф_з ЦТП'!J224/12</f>
        <v>11011.4</v>
      </c>
      <c r="E14" s="1804">
        <f>'ТЕ_2ст_тариф_з ЦТП'!M224/12</f>
        <v>0</v>
      </c>
      <c r="F14" s="1804">
        <f>'ТЕ_2ст_тариф_з ЦТП'!P224/12</f>
        <v>12569.185833333335</v>
      </c>
      <c r="G14" s="1804">
        <f>'ТЕ_2ст_тариф_з ЦТП'!S224/12</f>
        <v>12569.185833333335</v>
      </c>
      <c r="I14" s="2089">
        <f t="shared" si="0"/>
        <v>13213.679999999998</v>
      </c>
      <c r="J14" s="2089">
        <f t="shared" si="0"/>
        <v>0</v>
      </c>
      <c r="K14" s="2089">
        <f t="shared" si="0"/>
        <v>15083.023000000001</v>
      </c>
      <c r="L14" s="2089">
        <f t="shared" si="0"/>
        <v>15083.023000000001</v>
      </c>
    </row>
    <row r="15" spans="1:14" s="45" customFormat="1" ht="15.6" x14ac:dyDescent="0.3">
      <c r="A15" s="4903" t="s">
        <v>2870</v>
      </c>
      <c r="B15" s="4904"/>
      <c r="C15" s="4904"/>
      <c r="D15" s="4904"/>
      <c r="E15" s="4904"/>
      <c r="F15" s="4904"/>
      <c r="G15" s="4905"/>
      <c r="I15" s="1499"/>
    </row>
    <row r="16" spans="1:14" s="45" customFormat="1" ht="27" customHeight="1" x14ac:dyDescent="0.3">
      <c r="A16" s="1798">
        <v>3</v>
      </c>
      <c r="B16" s="1800" t="s">
        <v>2872</v>
      </c>
      <c r="C16" s="1475" t="s">
        <v>2160</v>
      </c>
      <c r="D16" s="1805">
        <f>'ТЕ_2ст_тариф_з ЦТП'!I30</f>
        <v>90.271057497103627</v>
      </c>
      <c r="E16" s="1805">
        <f>'ТЕ_2ст_тариф_з ЦТП'!L30</f>
        <v>1.4602989074179139E-2</v>
      </c>
      <c r="F16" s="1805">
        <f>'ТЕ_2ст_тариф_з ЦТП'!O30</f>
        <v>13.752767963175286</v>
      </c>
      <c r="G16" s="1805">
        <f>'ТЕ_2ст_тариф_з ЦТП'!R30</f>
        <v>4.6371042268930927</v>
      </c>
      <c r="I16" s="1807">
        <f>'ТЕ_2ст_тариф_з ЦТП'!E30-'Рішення 3Д'!D16-'Рішення 3Д'!E16-'Рішення 3Д'!F16-'Рішення 3Д'!G16</f>
        <v>-7.9936057773011271E-15</v>
      </c>
    </row>
    <row r="17" spans="1:9" s="45" customFormat="1" ht="26.4" x14ac:dyDescent="0.3">
      <c r="A17" s="1799" t="s">
        <v>2873</v>
      </c>
      <c r="B17" s="1802" t="s">
        <v>2876</v>
      </c>
      <c r="C17" s="1006" t="s">
        <v>2160</v>
      </c>
      <c r="D17" s="1805">
        <f>'ТЕ_2ст_тариф_з ЦТП'!I14</f>
        <v>82.049342543904487</v>
      </c>
      <c r="E17" s="1805">
        <f>'ТЕ_2ст_тариф_з ЦТП'!L14</f>
        <v>1.3291675959893333E-2</v>
      </c>
      <c r="F17" s="1805">
        <f>'ТЕ_2ст_тариф_з ЦТП'!O14</f>
        <v>12.519553368115806</v>
      </c>
      <c r="G17" s="1805">
        <f>'ТЕ_2ст_тариф_з ЦТП'!R14</f>
        <v>4.2136191041387132</v>
      </c>
      <c r="I17" s="1499"/>
    </row>
    <row r="18" spans="1:9" s="45" customFormat="1" ht="15.6" x14ac:dyDescent="0.3">
      <c r="A18" s="1798" t="s">
        <v>2874</v>
      </c>
      <c r="B18" s="1802" t="s">
        <v>644</v>
      </c>
      <c r="C18" s="1006" t="s">
        <v>2160</v>
      </c>
      <c r="D18" s="1805">
        <f>'ТЕ_2ст_тариф_з ЦТП'!I15</f>
        <v>13.668480880354855</v>
      </c>
      <c r="E18" s="1805">
        <f>'ТЕ_2ст_тариф_з ЦТП'!L15</f>
        <v>0</v>
      </c>
      <c r="F18" s="1805">
        <f>'ТЕ_2ст_тариф_з ЦТП'!O15</f>
        <v>2.0104763849135998</v>
      </c>
      <c r="G18" s="1805">
        <f>'ТЕ_2ст_тариф_з ЦТП'!R15</f>
        <v>0.76925616016375076</v>
      </c>
      <c r="I18" s="1499"/>
    </row>
    <row r="19" spans="1:9" s="45" customFormat="1" ht="15.6" x14ac:dyDescent="0.3">
      <c r="A19" s="1798" t="s">
        <v>2875</v>
      </c>
      <c r="B19" s="1802" t="s">
        <v>643</v>
      </c>
      <c r="C19" s="1006" t="s">
        <v>2160</v>
      </c>
      <c r="D19" s="1805">
        <f>'ТЕ_2ст_тариф_з ЦТП'!I16</f>
        <v>68.380861663549609</v>
      </c>
      <c r="E19" s="1805">
        <f>'ТЕ_2ст_тариф_з ЦТП'!L16</f>
        <v>1.3291675959893333E-2</v>
      </c>
      <c r="F19" s="1805">
        <f>'ТЕ_2ст_тариф_з ЦТП'!O16</f>
        <v>10.509076983202204</v>
      </c>
      <c r="G19" s="1805">
        <f>'ТЕ_2ст_тариф_з ЦТП'!R16</f>
        <v>3.4443629439749621</v>
      </c>
      <c r="I19" s="1499"/>
    </row>
    <row r="20" spans="1:9" s="45" customFormat="1" ht="15.6" x14ac:dyDescent="0.3">
      <c r="A20" s="1798">
        <v>4</v>
      </c>
      <c r="B20" s="1802" t="s">
        <v>2189</v>
      </c>
      <c r="C20" s="2010" t="s">
        <v>31</v>
      </c>
      <c r="D20" s="1805">
        <f>'ТЕ_2ст_тариф_з ЦТП'!J17</f>
        <v>59.458515646999999</v>
      </c>
      <c r="E20" s="1805">
        <f>'ТЕ_2ст_тариф_з ЦТП'!M17</f>
        <v>9.6319999999999999E-3</v>
      </c>
      <c r="F20" s="1805">
        <f>'ТЕ_2ст_тариф_з ЦТП'!P17</f>
        <v>9.0724704999999997</v>
      </c>
      <c r="G20" s="1805">
        <f>'ТЕ_2ст_тариф_з ЦТП'!S17</f>
        <v>3.05345837</v>
      </c>
      <c r="I20" s="1499"/>
    </row>
    <row r="21" spans="1:9" s="45" customFormat="1" ht="15.6" x14ac:dyDescent="0.3">
      <c r="A21" s="1798" t="s">
        <v>1775</v>
      </c>
      <c r="B21" s="1802" t="s">
        <v>644</v>
      </c>
      <c r="C21" s="2010" t="s">
        <v>31</v>
      </c>
      <c r="D21" s="1805">
        <f>'ТЕ_2ст_тариф_з ЦТП'!J18</f>
        <v>9.9052058670000012</v>
      </c>
      <c r="E21" s="1805">
        <f>'ТЕ_2ст_тариф_з ЦТП'!M18</f>
        <v>0</v>
      </c>
      <c r="F21" s="1805">
        <f>'ТЕ_2ст_тариф_з ЦТП'!P18</f>
        <v>1.45692</v>
      </c>
      <c r="G21" s="1805">
        <f>'ТЕ_2ст_тариф_з ЦТП'!S18</f>
        <v>0.5574522999999999</v>
      </c>
      <c r="I21" s="1499"/>
    </row>
    <row r="22" spans="1:9" s="45" customFormat="1" ht="15.6" x14ac:dyDescent="0.3">
      <c r="A22" s="1798" t="s">
        <v>1778</v>
      </c>
      <c r="B22" s="1802" t="s">
        <v>643</v>
      </c>
      <c r="C22" s="2010" t="s">
        <v>31</v>
      </c>
      <c r="D22" s="1805">
        <f>'ТЕ_2ст_тариф_з ЦТП'!J19</f>
        <v>49.553309780062136</v>
      </c>
      <c r="E22" s="1805">
        <f>'ТЕ_2ст_тариф_з ЦТП'!M19</f>
        <v>9.6319999999999999E-3</v>
      </c>
      <c r="F22" s="1805">
        <f>'ТЕ_2ст_тариф_з ЦТП'!P19</f>
        <v>7.6155505000000003</v>
      </c>
      <c r="G22" s="1805">
        <f>'ТЕ_2ст_тариф_з ЦТП'!S19</f>
        <v>2.4960060699999995</v>
      </c>
      <c r="I22" s="1499"/>
    </row>
    <row r="23" spans="1:9" s="45" customFormat="1" ht="15.6" x14ac:dyDescent="0.3">
      <c r="A23" s="4906" t="s">
        <v>3092</v>
      </c>
      <c r="B23" s="4906"/>
      <c r="C23" s="4906"/>
      <c r="D23" s="4906"/>
      <c r="E23" s="4906"/>
      <c r="F23" s="4906"/>
      <c r="G23" s="4906"/>
      <c r="I23" s="1499"/>
    </row>
    <row r="24" spans="1:9" s="45" customFormat="1" ht="15.6" x14ac:dyDescent="0.3">
      <c r="A24" s="1798">
        <v>5</v>
      </c>
      <c r="B24" s="337" t="s">
        <v>2963</v>
      </c>
      <c r="C24" s="2010" t="s">
        <v>2286</v>
      </c>
      <c r="D24" s="1803">
        <f>'ТЕ_2ст_тариф_з ЦТП'!I37/D$16</f>
        <v>889.12343253867959</v>
      </c>
      <c r="E24" s="1803">
        <f>'ТЕ_2ст_тариф_з ЦТП'!L37/E$16</f>
        <v>1876.1334419091138</v>
      </c>
      <c r="F24" s="1803">
        <f>'ТЕ_2ст_тариф_з ЦТП'!O37/F$16</f>
        <v>1876.1334419091138</v>
      </c>
      <c r="G24" s="1803">
        <f>'ТЕ_2ст_тариф_з ЦТП'!R37/G$16</f>
        <v>1876.133441909114</v>
      </c>
      <c r="I24" s="1499"/>
    </row>
    <row r="25" spans="1:9" s="45" customFormat="1" ht="15.6" x14ac:dyDescent="0.3">
      <c r="A25" s="1798" t="s">
        <v>1847</v>
      </c>
      <c r="B25" s="337" t="s">
        <v>216</v>
      </c>
      <c r="C25" s="2010" t="s">
        <v>2286</v>
      </c>
      <c r="D25" s="1803">
        <f>'ТЕ_2ст_тариф_з ЦТП'!I38/D$16</f>
        <v>889.12343253867959</v>
      </c>
      <c r="E25" s="1803">
        <f>'ТЕ_2ст_тариф_з ЦТП'!L38/E$16</f>
        <v>1876.1334419091138</v>
      </c>
      <c r="F25" s="1803">
        <f>'ТЕ_2ст_тариф_з ЦТП'!O38/F$16</f>
        <v>1876.1334419091138</v>
      </c>
      <c r="G25" s="1803">
        <f>'ТЕ_2ст_тариф_з ЦТП'!R38/G$16</f>
        <v>1876.133441909114</v>
      </c>
      <c r="I25" s="1499"/>
    </row>
    <row r="26" spans="1:9" s="45" customFormat="1" ht="15.6" x14ac:dyDescent="0.3">
      <c r="A26" s="1813" t="s">
        <v>2880</v>
      </c>
      <c r="B26" s="147" t="s">
        <v>454</v>
      </c>
      <c r="C26" s="2010" t="s">
        <v>2286</v>
      </c>
      <c r="D26" s="1803">
        <f>'ТЕ_2ст_тариф_з ЦТП'!I39/D$16</f>
        <v>834.48969635856406</v>
      </c>
      <c r="E26" s="1803">
        <f>'ТЕ_2ст_тариф_з ЦТП'!L39/E$16</f>
        <v>1821.4997057289984</v>
      </c>
      <c r="F26" s="1803">
        <f>'ТЕ_2ст_тариф_з ЦТП'!O39/F$16</f>
        <v>1821.4997057289984</v>
      </c>
      <c r="G26" s="1803">
        <f>'ТЕ_2ст_тариф_з ЦТП'!R39/G$16</f>
        <v>1821.4997057289986</v>
      </c>
      <c r="I26" s="1499"/>
    </row>
    <row r="27" spans="1:9" s="45" customFormat="1" ht="15.6" x14ac:dyDescent="0.3">
      <c r="A27" s="1798"/>
      <c r="B27" s="1797" t="s">
        <v>440</v>
      </c>
      <c r="C27" s="2010" t="s">
        <v>2286</v>
      </c>
      <c r="D27" s="1803">
        <f>'ТЕ_2ст_тариф_з ЦТП'!I40/D$16</f>
        <v>816.45600016595188</v>
      </c>
      <c r="E27" s="1803">
        <f>'ТЕ_2ст_тариф_з ЦТП'!L40/E$16</f>
        <v>1803.4660095363861</v>
      </c>
      <c r="F27" s="1803">
        <f>'ТЕ_2ст_тариф_з ЦТП'!O40/F$16</f>
        <v>1803.4660095363861</v>
      </c>
      <c r="G27" s="1803">
        <f>'ТЕ_2ст_тариф_з ЦТП'!R40/G$16</f>
        <v>1803.4660095363865</v>
      </c>
      <c r="I27" s="1499"/>
    </row>
    <row r="28" spans="1:9" s="45" customFormat="1" ht="15.6" x14ac:dyDescent="0.3">
      <c r="A28" s="1798"/>
      <c r="B28" s="1797" t="s">
        <v>1904</v>
      </c>
      <c r="C28" s="2010" t="s">
        <v>2286</v>
      </c>
      <c r="D28" s="1803">
        <f>'ТЕ_2ст_тариф_з ЦТП'!I41/D$16</f>
        <v>18.033696192612236</v>
      </c>
      <c r="E28" s="1803">
        <f>'ТЕ_2ст_тариф_з ЦТП'!L41/E$16</f>
        <v>18.033696192612236</v>
      </c>
      <c r="F28" s="1803">
        <f>'ТЕ_2ст_тариф_з ЦТП'!O41/F$16</f>
        <v>18.033696192612233</v>
      </c>
      <c r="G28" s="1803">
        <f>'ТЕ_2ст_тариф_з ЦТП'!R41/G$16</f>
        <v>18.03369619261224</v>
      </c>
      <c r="I28" s="1499"/>
    </row>
    <row r="29" spans="1:9" s="45" customFormat="1" ht="15.6" x14ac:dyDescent="0.3">
      <c r="A29" s="1798" t="s">
        <v>1849</v>
      </c>
      <c r="B29" s="147" t="s">
        <v>43</v>
      </c>
      <c r="C29" s="2010" t="s">
        <v>2286</v>
      </c>
      <c r="D29" s="1803">
        <f>'ТЕ_2ст_тариф_з ЦТП'!I43/D$16</f>
        <v>54.633736180115534</v>
      </c>
      <c r="E29" s="1803">
        <f>'ТЕ_2ст_тариф_з ЦТП'!L43/E$16</f>
        <v>54.633736180115527</v>
      </c>
      <c r="F29" s="1803">
        <f>'ТЕ_2ст_тариф_з ЦТП'!O43/F$16</f>
        <v>54.633736180115527</v>
      </c>
      <c r="G29" s="1803">
        <f>'ТЕ_2ст_тариф_з ЦТП'!R43/G$16</f>
        <v>54.633736180115534</v>
      </c>
      <c r="I29" s="1499"/>
    </row>
    <row r="30" spans="1:9" s="45" customFormat="1" ht="15.6" x14ac:dyDescent="0.3">
      <c r="A30" s="4906" t="s">
        <v>3091</v>
      </c>
      <c r="B30" s="4906"/>
      <c r="C30" s="4906"/>
      <c r="D30" s="4906"/>
      <c r="E30" s="4906"/>
      <c r="F30" s="4906"/>
      <c r="G30" s="4906"/>
      <c r="I30" s="1499"/>
    </row>
    <row r="31" spans="1:9" s="45" customFormat="1" ht="26.4" x14ac:dyDescent="0.3">
      <c r="A31" s="1798">
        <v>6</v>
      </c>
      <c r="B31" s="147" t="s">
        <v>2964</v>
      </c>
      <c r="C31" s="2010" t="s">
        <v>3058</v>
      </c>
      <c r="D31" s="1808">
        <f>'ТЕ_2ст_тариф_без ЦТП'!J76/D$20*1000/12</f>
        <v>54678.243989172748</v>
      </c>
      <c r="E31" s="1808">
        <f>'ТЕ_2ст_тариф_без ЦТП'!M76/E$20*1000/12</f>
        <v>60453.204509315598</v>
      </c>
      <c r="F31" s="1808">
        <f>'ТЕ_2ст_тариф_без ЦТП'!P76/F$20*1000/12</f>
        <v>60453.204509315598</v>
      </c>
      <c r="G31" s="1808">
        <f>'ТЕ_2ст_тариф_без ЦТП'!S76/G$20*1000/12</f>
        <v>60453.204509315576</v>
      </c>
      <c r="I31" s="1499"/>
    </row>
    <row r="32" spans="1:9" s="45" customFormat="1" ht="15.6" x14ac:dyDescent="0.3">
      <c r="A32" s="1798">
        <v>7</v>
      </c>
      <c r="B32" s="337" t="s">
        <v>215</v>
      </c>
      <c r="C32" s="2009" t="s">
        <v>3060</v>
      </c>
      <c r="D32" s="1808">
        <f>'ТЕ_2ст_тариф_без ЦТП'!J37/D$20*1000/12</f>
        <v>39900.889675577782</v>
      </c>
      <c r="E32" s="1808">
        <f>'ТЕ_2ст_тариф_без ЦТП'!M37/E$20*1000/12</f>
        <v>39900.889675548191</v>
      </c>
      <c r="F32" s="1808">
        <f>'ТЕ_2ст_тариф_без ЦТП'!P37/F$20*1000/12</f>
        <v>39900.889675548191</v>
      </c>
      <c r="G32" s="1808">
        <f>'ТЕ_2ст_тариф_без ЦТП'!S37/G$20*1000/12</f>
        <v>39900.889675548176</v>
      </c>
      <c r="I32" s="1499"/>
    </row>
    <row r="33" spans="1:9" s="45" customFormat="1" ht="15.6" x14ac:dyDescent="0.3">
      <c r="A33" s="1798" t="s">
        <v>1029</v>
      </c>
      <c r="B33" s="337" t="s">
        <v>216</v>
      </c>
      <c r="C33" s="2009" t="s">
        <v>3060</v>
      </c>
      <c r="D33" s="1808">
        <f>'ТЕ_2ст_тариф_без ЦТП'!J38/D$20*1000/12</f>
        <v>12345.839733709254</v>
      </c>
      <c r="E33" s="1808">
        <f>'ТЕ_2ст_тариф_без ЦТП'!M38/E$20*1000/12</f>
        <v>12345.839733708459</v>
      </c>
      <c r="F33" s="1808">
        <f>'ТЕ_2ст_тариф_без ЦТП'!P38/F$20*1000/12</f>
        <v>12345.839733708459</v>
      </c>
      <c r="G33" s="1808">
        <f>'ТЕ_2ст_тариф_без ЦТП'!S38/G$20*1000/12</f>
        <v>12345.839733708459</v>
      </c>
      <c r="I33" s="1499"/>
    </row>
    <row r="34" spans="1:9" s="45" customFormat="1" ht="15.6" x14ac:dyDescent="0.3">
      <c r="A34" s="1798" t="s">
        <v>3136</v>
      </c>
      <c r="B34" s="147" t="s">
        <v>454</v>
      </c>
      <c r="C34" s="2009" t="s">
        <v>3060</v>
      </c>
      <c r="D34" s="1808">
        <f>'ТЕ_2ст_тариф_без ЦТП'!J39/D$20*1000/12</f>
        <v>11581.902435319133</v>
      </c>
      <c r="E34" s="1808">
        <f>'ТЕ_2ст_тариф_без ЦТП'!M39/E$20*1000/12</f>
        <v>11581.902435319133</v>
      </c>
      <c r="F34" s="1808">
        <f>'ТЕ_2ст_тариф_без ЦТП'!P39/F$20*1000/12</f>
        <v>11581.902435319133</v>
      </c>
      <c r="G34" s="1808">
        <f>'ТЕ_2ст_тариф_без ЦТП'!S39/G$20*1000/12</f>
        <v>11581.902435319133</v>
      </c>
      <c r="I34" s="1499"/>
    </row>
    <row r="35" spans="1:9" s="45" customFormat="1" ht="15.6" x14ac:dyDescent="0.3">
      <c r="A35" s="1798" t="s">
        <v>3184</v>
      </c>
      <c r="B35" s="147" t="s">
        <v>1905</v>
      </c>
      <c r="C35" s="2009" t="s">
        <v>3060</v>
      </c>
      <c r="D35" s="1808">
        <f>'ТЕ_2ст_тариф_без ЦТП'!J42/D$20*1000/12</f>
        <v>11581.902435319133</v>
      </c>
      <c r="E35" s="1808">
        <f>'ТЕ_2ст_тариф_без ЦТП'!M42/E$20*1000/12</f>
        <v>11581.902435319133</v>
      </c>
      <c r="F35" s="1808">
        <f>'ТЕ_2ст_тариф_без ЦТП'!P42/F$20*1000/12</f>
        <v>11581.902435319133</v>
      </c>
      <c r="G35" s="1808">
        <f>'ТЕ_2ст_тариф_без ЦТП'!S42/G$20*1000/12</f>
        <v>11581.902435319133</v>
      </c>
      <c r="I35" s="1499"/>
    </row>
    <row r="36" spans="1:9" s="45" customFormat="1" ht="26.4" x14ac:dyDescent="0.3">
      <c r="A36" s="1798" t="s">
        <v>3137</v>
      </c>
      <c r="B36" s="337" t="s">
        <v>1689</v>
      </c>
      <c r="C36" s="2009" t="s">
        <v>3060</v>
      </c>
      <c r="D36" s="1808">
        <f>'ТЕ_2ст_тариф_без ЦТП'!J47/D$20*1000/12</f>
        <v>38.776394808818559</v>
      </c>
      <c r="E36" s="1808">
        <f>'ТЕ_2ст_тариф_без ЦТП'!M47/E$20*1000/12</f>
        <v>38.776394808778043</v>
      </c>
      <c r="F36" s="1808">
        <f>'ТЕ_2ст_тариф_без ЦТП'!P47/F$20*1000/12</f>
        <v>38.776394808778036</v>
      </c>
      <c r="G36" s="1808">
        <f>'ТЕ_2ст_тариф_без ЦТП'!S47/G$20*1000/12</f>
        <v>38.776394808778029</v>
      </c>
      <c r="I36" s="1499"/>
    </row>
    <row r="37" spans="1:9" s="45" customFormat="1" ht="15.6" x14ac:dyDescent="0.3">
      <c r="A37" s="1798" t="s">
        <v>3138</v>
      </c>
      <c r="B37" s="337" t="s">
        <v>610</v>
      </c>
      <c r="C37" s="2009" t="s">
        <v>3060</v>
      </c>
      <c r="D37" s="1808">
        <f>'ТЕ_2ст_тариф_без ЦТП'!J48/D$20*1000/12</f>
        <v>725.16090358130612</v>
      </c>
      <c r="E37" s="1808">
        <f>'ТЕ_2ст_тариф_без ЦТП'!M48/E$20*1000/12</f>
        <v>725.16090358054828</v>
      </c>
      <c r="F37" s="1808">
        <f>'ТЕ_2ст_тариф_без ЦТП'!P48/F$20*1000/12</f>
        <v>725.16090358054851</v>
      </c>
      <c r="G37" s="1808">
        <f>'ТЕ_2ст_тариф_без ЦТП'!S48/G$20*1000/12</f>
        <v>725.16090358054817</v>
      </c>
      <c r="I37" s="1499"/>
    </row>
    <row r="38" spans="1:9" s="45" customFormat="1" ht="15.6" x14ac:dyDescent="0.3">
      <c r="A38" s="1798" t="s">
        <v>2793</v>
      </c>
      <c r="B38" s="337" t="s">
        <v>47</v>
      </c>
      <c r="C38" s="2009" t="s">
        <v>3060</v>
      </c>
      <c r="D38" s="1808">
        <f>'ТЕ_2ст_тариф_без ЦТП'!J49/D$20*1000/12</f>
        <v>13070.144791286863</v>
      </c>
      <c r="E38" s="1808">
        <f>'ТЕ_2ст_тариф_без ЦТП'!M49/E$20*1000/12</f>
        <v>13070.144791273206</v>
      </c>
      <c r="F38" s="1808">
        <f>'ТЕ_2ст_тариф_без ЦТП'!P49/F$20*1000/12</f>
        <v>13070.144791273204</v>
      </c>
      <c r="G38" s="1808">
        <f>'ТЕ_2ст_тариф_без ЦТП'!S49/G$20*1000/12</f>
        <v>13070.144791273204</v>
      </c>
      <c r="I38" s="1499"/>
    </row>
    <row r="39" spans="1:9" s="45" customFormat="1" ht="15.6" x14ac:dyDescent="0.3">
      <c r="A39" s="1798" t="s">
        <v>2794</v>
      </c>
      <c r="B39" s="337" t="s">
        <v>217</v>
      </c>
      <c r="C39" s="2009" t="s">
        <v>3060</v>
      </c>
      <c r="D39" s="1808">
        <f>'ТЕ_2ст_тариф_без ЦТП'!J50/D$20*1000/12</f>
        <v>8419.746090909719</v>
      </c>
      <c r="E39" s="1808">
        <f>'ТЕ_2ст_тариф_без ЦТП'!M50/E$20*1000/12</f>
        <v>8419.7460909009205</v>
      </c>
      <c r="F39" s="1808">
        <f>'ТЕ_2ст_тариф_без ЦТП'!P50/F$20*1000/12</f>
        <v>8419.7460909009224</v>
      </c>
      <c r="G39" s="1808">
        <f>'ТЕ_2ст_тариф_без ЦТП'!S50/G$20*1000/12</f>
        <v>8419.7460909009187</v>
      </c>
      <c r="I39" s="1499"/>
    </row>
    <row r="40" spans="1:9" s="45" customFormat="1" ht="26.4" x14ac:dyDescent="0.3">
      <c r="A40" s="1798" t="s">
        <v>3139</v>
      </c>
      <c r="B40" s="147" t="s">
        <v>452</v>
      </c>
      <c r="C40" s="2009" t="s">
        <v>3060</v>
      </c>
      <c r="D40" s="1808">
        <f>'ТЕ_2ст_тариф_без ЦТП'!J51/D$20*1000/12</f>
        <v>2875.4318540831096</v>
      </c>
      <c r="E40" s="1808">
        <f>'ТЕ_2ст_тариф_без ЦТП'!M51/E$20*1000/12</f>
        <v>2875.4318540801046</v>
      </c>
      <c r="F40" s="1808">
        <f>'ТЕ_2ст_тариф_без ЦТП'!P51/F$20*1000/12</f>
        <v>2875.4318540801046</v>
      </c>
      <c r="G40" s="1808">
        <f>'ТЕ_2ст_тариф_без ЦТП'!S51/G$20*1000/12</f>
        <v>2875.4318540801037</v>
      </c>
      <c r="I40" s="1499"/>
    </row>
    <row r="41" spans="1:9" s="45" customFormat="1" ht="15.6" x14ac:dyDescent="0.3">
      <c r="A41" s="1798" t="s">
        <v>3140</v>
      </c>
      <c r="B41" s="147" t="s">
        <v>453</v>
      </c>
      <c r="C41" s="2009" t="s">
        <v>3060</v>
      </c>
      <c r="D41" s="1808">
        <f>'ТЕ_2ст_тариф_без ЦТП'!J52/D$20*1000/12</f>
        <v>2471.0643711521288</v>
      </c>
      <c r="E41" s="1808">
        <f>'ТЕ_2ст_тариф_без ЦТП'!M52/E$20*1000/12</f>
        <v>2471.0643711495463</v>
      </c>
      <c r="F41" s="1808">
        <f>'ТЕ_2ст_тариф_без ЦТП'!P52/F$20*1000/12</f>
        <v>2471.0643711495468</v>
      </c>
      <c r="G41" s="1808">
        <f>'ТЕ_2ст_тариф_без ЦТП'!S52/G$20*1000/12</f>
        <v>2471.0643711495463</v>
      </c>
      <c r="I41" s="1499"/>
    </row>
    <row r="42" spans="1:9" s="45" customFormat="1" ht="15.6" x14ac:dyDescent="0.3">
      <c r="A42" s="1798" t="s">
        <v>3141</v>
      </c>
      <c r="B42" s="147" t="s">
        <v>52</v>
      </c>
      <c r="C42" s="2009" t="s">
        <v>3060</v>
      </c>
      <c r="D42" s="1808">
        <f>'ТЕ_2ст_тариф_без ЦТП'!J53/D$20*1000/12</f>
        <v>3073.2498656744833</v>
      </c>
      <c r="E42" s="1808">
        <f>'ТЕ_2ст_тариф_без ЦТП'!M53/E$20*1000/12</f>
        <v>3073.2498656712719</v>
      </c>
      <c r="F42" s="1808">
        <f>'ТЕ_2ст_тариф_без ЦТП'!P53/F$20*1000/12</f>
        <v>3073.2498656712719</v>
      </c>
      <c r="G42" s="1808">
        <f>'ТЕ_2ст_тариф_без ЦТП'!S53/G$20*1000/12</f>
        <v>3073.249865671271</v>
      </c>
      <c r="I42" s="1499"/>
    </row>
    <row r="43" spans="1:9" s="45" customFormat="1" ht="15.6" x14ac:dyDescent="0.3">
      <c r="A43" s="1798" t="s">
        <v>2795</v>
      </c>
      <c r="B43" s="147" t="s">
        <v>218</v>
      </c>
      <c r="C43" s="2009" t="s">
        <v>3060</v>
      </c>
      <c r="D43" s="1808">
        <f>'ТЕ_2ст_тариф_без ЦТП'!J54/D$20*1000/12</f>
        <v>6065.1590596719434</v>
      </c>
      <c r="E43" s="1808">
        <f>'ТЕ_2ст_тариф_без ЦТП'!M54/E$20*1000/12</f>
        <v>6065.1590596656069</v>
      </c>
      <c r="F43" s="1808">
        <f>'ТЕ_2ст_тариф_без ЦТП'!P54/F$20*1000/12</f>
        <v>6065.1590596656069</v>
      </c>
      <c r="G43" s="1808">
        <f>'ТЕ_2ст_тариф_без ЦТП'!S54/G$20*1000/12</f>
        <v>6065.159059665606</v>
      </c>
      <c r="I43" s="1499"/>
    </row>
    <row r="44" spans="1:9" s="45" customFormat="1" ht="15.6" x14ac:dyDescent="0.3">
      <c r="A44" s="1798" t="s">
        <v>3142</v>
      </c>
      <c r="B44" s="147" t="s">
        <v>55</v>
      </c>
      <c r="C44" s="2009" t="s">
        <v>3060</v>
      </c>
      <c r="D44" s="1808">
        <f>'ТЕ_2ст_тариф_без ЦТП'!J55/D$20*1000/12</f>
        <v>4634.5435098456674</v>
      </c>
      <c r="E44" s="1808">
        <f>'ТЕ_2ст_тариф_без ЦТП'!M55/E$20*1000/12</f>
        <v>4634.5435098408252</v>
      </c>
      <c r="F44" s="1808">
        <f>'ТЕ_2ст_тариф_без ЦТП'!P55/F$20*1000/12</f>
        <v>4634.5435098408252</v>
      </c>
      <c r="G44" s="1808">
        <f>'ТЕ_2ст_тариф_без ЦТП'!S55/G$20*1000/12</f>
        <v>4634.5435098408243</v>
      </c>
      <c r="I44" s="1499"/>
    </row>
    <row r="45" spans="1:9" s="45" customFormat="1" ht="26.4" x14ac:dyDescent="0.3">
      <c r="A45" s="1798" t="s">
        <v>3143</v>
      </c>
      <c r="B45" s="147" t="s">
        <v>452</v>
      </c>
      <c r="C45" s="2009" t="s">
        <v>3060</v>
      </c>
      <c r="D45" s="1808">
        <f>'ТЕ_2ст_тариф_без ЦТП'!J56/D$20*1000/12</f>
        <v>989.25505326845257</v>
      </c>
      <c r="E45" s="1808">
        <f>'ТЕ_2ст_тариф_без ЦТП'!M56/E$20*1000/12</f>
        <v>989.2550532674187</v>
      </c>
      <c r="F45" s="1808">
        <f>'ТЕ_2ст_тариф_без ЦТП'!P56/F$20*1000/12</f>
        <v>989.25505326741893</v>
      </c>
      <c r="G45" s="1808">
        <f>'ТЕ_2ст_тариф_без ЦТП'!S56/G$20*1000/12</f>
        <v>989.25505326741859</v>
      </c>
      <c r="I45" s="1499"/>
    </row>
    <row r="46" spans="1:9" s="45" customFormat="1" ht="15.6" x14ac:dyDescent="0.3">
      <c r="A46" s="1798" t="s">
        <v>3144</v>
      </c>
      <c r="B46" s="147" t="s">
        <v>58</v>
      </c>
      <c r="C46" s="2009" t="s">
        <v>3060</v>
      </c>
      <c r="D46" s="1808">
        <f>'ТЕ_2ст_тариф_без ЦТП'!J57/D$20*1000/12</f>
        <v>441.36049655782426</v>
      </c>
      <c r="E46" s="1808">
        <f>'ТЕ_2ст_тариф_без ЦТП'!M57/E$20*1000/12</f>
        <v>441.36049655736309</v>
      </c>
      <c r="F46" s="1808">
        <f>'ТЕ_2ст_тариф_без ЦТП'!P57/F$20*1000/12</f>
        <v>441.36049655736309</v>
      </c>
      <c r="G46" s="1808">
        <f>'ТЕ_2ст_тариф_без ЦТП'!S57/G$20*1000/12</f>
        <v>441.36049655736298</v>
      </c>
      <c r="I46" s="1499"/>
    </row>
    <row r="47" spans="1:9" s="45" customFormat="1" ht="15.6" x14ac:dyDescent="0.3">
      <c r="A47" s="1798">
        <v>8</v>
      </c>
      <c r="B47" s="147" t="s">
        <v>219</v>
      </c>
      <c r="C47" s="2009" t="s">
        <v>3060</v>
      </c>
      <c r="D47" s="1808">
        <f>'ТЕ_2ст_тариф_без ЦТП'!J58/D$20*1000/12</f>
        <v>7373.6169467997343</v>
      </c>
      <c r="E47" s="1808">
        <f>'ТЕ_2ст_тариф_без ЦТП'!M58/E$20*1000/12</f>
        <v>7373.6169467920299</v>
      </c>
      <c r="F47" s="1808">
        <f>'ТЕ_2ст_тариф_без ЦТП'!P58/F$20*1000/12</f>
        <v>7373.6169467920308</v>
      </c>
      <c r="G47" s="1808">
        <f>'ТЕ_2ст_тариф_без ЦТП'!S58/G$20*1000/12</f>
        <v>7373.616946792029</v>
      </c>
      <c r="I47" s="1499"/>
    </row>
    <row r="48" spans="1:9" s="45" customFormat="1" ht="15.6" x14ac:dyDescent="0.3">
      <c r="A48" s="1798" t="s">
        <v>1030</v>
      </c>
      <c r="B48" s="147" t="s">
        <v>55</v>
      </c>
      <c r="C48" s="2009" t="s">
        <v>3060</v>
      </c>
      <c r="D48" s="1808">
        <f>'ТЕ_2ст_тариф_без ЦТП'!J59/D$20*1000/12</f>
        <v>5521.8372596453919</v>
      </c>
      <c r="E48" s="1808">
        <f>'ТЕ_2ст_тариф_без ЦТП'!M59/E$20*1000/12</f>
        <v>5521.8372596396221</v>
      </c>
      <c r="F48" s="1808">
        <f>'ТЕ_2ст_тариф_без ЦТП'!P59/F$20*1000/12</f>
        <v>5521.8372596396221</v>
      </c>
      <c r="G48" s="1808">
        <f>'ТЕ_2ст_тариф_без ЦТП'!S59/G$20*1000/12</f>
        <v>5521.8372596396221</v>
      </c>
      <c r="I48" s="1499"/>
    </row>
    <row r="49" spans="1:9" s="45" customFormat="1" ht="26.4" x14ac:dyDescent="0.3">
      <c r="A49" s="1798" t="s">
        <v>2783</v>
      </c>
      <c r="B49" s="147" t="s">
        <v>452</v>
      </c>
      <c r="C49" s="2009" t="s">
        <v>3060</v>
      </c>
      <c r="D49" s="1808">
        <f>'ТЕ_2ст_тариф_без ЦТП'!J60/D$20*1000/12</f>
        <v>1214.8041971219864</v>
      </c>
      <c r="E49" s="1808">
        <f>'ТЕ_2ст_тариф_без ЦТП'!M60/E$20*1000/12</f>
        <v>1214.8041971207169</v>
      </c>
      <c r="F49" s="1808">
        <f>'ТЕ_2ст_тариф_без ЦТП'!P60/F$20*1000/12</f>
        <v>1214.8041971207172</v>
      </c>
      <c r="G49" s="1808">
        <f>'ТЕ_2ст_тариф_без ЦТП'!S60/G$20*1000/12</f>
        <v>1214.8041971207167</v>
      </c>
      <c r="I49" s="1499"/>
    </row>
    <row r="50" spans="1:9" s="45" customFormat="1" ht="15.6" x14ac:dyDescent="0.3">
      <c r="A50" s="1798" t="s">
        <v>2784</v>
      </c>
      <c r="B50" s="147" t="s">
        <v>58</v>
      </c>
      <c r="C50" s="2009" t="s">
        <v>3060</v>
      </c>
      <c r="D50" s="1808">
        <f>'ТЕ_2ст_тариф_без ЦТП'!J61/D$20*1000/12</f>
        <v>636.97549003235565</v>
      </c>
      <c r="E50" s="1808">
        <f>'ТЕ_2ст_тариф_без ЦТП'!M61/E$20*1000/12</f>
        <v>636.97549003169013</v>
      </c>
      <c r="F50" s="1808">
        <f>'ТЕ_2ст_тариф_без ЦТП'!P61/F$20*1000/12</f>
        <v>636.97549003169013</v>
      </c>
      <c r="G50" s="1808">
        <f>'ТЕ_2ст_тариф_без ЦТП'!S61/G$20*1000/12</f>
        <v>636.9754900316899</v>
      </c>
      <c r="I50" s="1499"/>
    </row>
    <row r="51" spans="1:9" s="45" customFormat="1" ht="15.6" x14ac:dyDescent="0.3">
      <c r="A51" s="1798">
        <v>9</v>
      </c>
      <c r="B51" s="147" t="s">
        <v>5</v>
      </c>
      <c r="C51" s="2009" t="s">
        <v>3060</v>
      </c>
      <c r="D51" s="1808">
        <f>'ТЕ_2ст_тариф_без ЦТП'!J67/D$20*1000/12</f>
        <v>0</v>
      </c>
      <c r="E51" s="1808">
        <f>'ТЕ_2ст_тариф_без ЦТП'!M67/E$20*1000/12</f>
        <v>0</v>
      </c>
      <c r="F51" s="1808">
        <f>'ТЕ_2ст_тариф_без ЦТП'!P67/F$20*1000/12</f>
        <v>0</v>
      </c>
      <c r="G51" s="1808">
        <f>'ТЕ_2ст_тариф_без ЦТП'!S67/G$20*1000/12</f>
        <v>0</v>
      </c>
      <c r="I51" s="1499"/>
    </row>
    <row r="52" spans="1:9" s="45" customFormat="1" ht="15.6" x14ac:dyDescent="0.3">
      <c r="A52" s="1798">
        <v>10</v>
      </c>
      <c r="B52" s="147" t="s">
        <v>176</v>
      </c>
      <c r="C52" s="2009" t="s">
        <v>3060</v>
      </c>
      <c r="D52" s="1808">
        <f>'ТЕ_2ст_тариф_без ЦТП'!J68/D$20*1000/12</f>
        <v>47274.506622377514</v>
      </c>
      <c r="E52" s="1808">
        <f>'ТЕ_2ст_тариф_без ЦТП'!M68/E$20*1000/12</f>
        <v>47274.506622340232</v>
      </c>
      <c r="F52" s="1808">
        <f>'ТЕ_2ст_тариф_без ЦТП'!P68/F$20*1000/12</f>
        <v>47274.506622340232</v>
      </c>
      <c r="G52" s="1808">
        <f>'ТЕ_2ст_тариф_без ЦТП'!S68/G$20*1000/12</f>
        <v>47274.50662234021</v>
      </c>
      <c r="I52" s="1499"/>
    </row>
    <row r="53" spans="1:9" s="45" customFormat="1" ht="15.6" x14ac:dyDescent="0.3">
      <c r="A53" s="1798">
        <v>11</v>
      </c>
      <c r="B53" s="147" t="s">
        <v>221</v>
      </c>
      <c r="C53" s="2009" t="s">
        <v>3060</v>
      </c>
      <c r="D53" s="1808">
        <v>0</v>
      </c>
      <c r="E53" s="1808">
        <v>0</v>
      </c>
      <c r="F53" s="1808">
        <v>0</v>
      </c>
      <c r="G53" s="1808">
        <v>0</v>
      </c>
      <c r="I53" s="1499"/>
    </row>
    <row r="54" spans="1:9" s="45" customFormat="1" ht="15.6" x14ac:dyDescent="0.3">
      <c r="A54" s="1798">
        <v>12</v>
      </c>
      <c r="B54" s="147" t="s">
        <v>2879</v>
      </c>
      <c r="C54" s="2009" t="s">
        <v>3060</v>
      </c>
      <c r="D54" s="1808">
        <f>'ТЕ_2ст_тариф_без ЦТП'!J69/D$20*1000/12</f>
        <v>0</v>
      </c>
      <c r="E54" s="1808">
        <f>'ТЕ_2ст_тариф_без ЦТП'!M69/E$20*1000/12</f>
        <v>0</v>
      </c>
      <c r="F54" s="1808">
        <f>'ТЕ_2ст_тариф_без ЦТП'!P69/F$20*1000/12</f>
        <v>0</v>
      </c>
      <c r="G54" s="1808">
        <f>'ТЕ_2ст_тариф_без ЦТП'!S69/G$20*1000/12</f>
        <v>0</v>
      </c>
      <c r="I54" s="1499"/>
    </row>
    <row r="55" spans="1:9" s="45" customFormat="1" ht="15.6" x14ac:dyDescent="0.3">
      <c r="A55" s="1798">
        <v>13</v>
      </c>
      <c r="B55" s="1506" t="s">
        <v>222</v>
      </c>
      <c r="C55" s="2009" t="s">
        <v>3060</v>
      </c>
      <c r="D55" s="1808">
        <f>'ТЕ_2ст_тариф_без ЦТП'!J70/D$20*1000/12</f>
        <v>7403.7373667952343</v>
      </c>
      <c r="E55" s="1808">
        <f>'ТЕ_2ст_тариф_без ЦТП'!M70/E$20*1000/12</f>
        <v>13178.697886975368</v>
      </c>
      <c r="F55" s="1808">
        <f>'ТЕ_2ст_тариф_без ЦТП'!P70/F$20*1000/12</f>
        <v>13178.697886975366</v>
      </c>
      <c r="G55" s="1808">
        <f>'ТЕ_2ст_тариф_без ЦТП'!S70/G$20*1000/12</f>
        <v>13178.697886975368</v>
      </c>
      <c r="I55" s="1499"/>
    </row>
    <row r="56" spans="1:9" s="45" customFormat="1" ht="15.6" x14ac:dyDescent="0.3">
      <c r="A56" s="1798" t="s">
        <v>2901</v>
      </c>
      <c r="B56" s="147" t="s">
        <v>2897</v>
      </c>
      <c r="C56" s="2009" t="s">
        <v>3060</v>
      </c>
      <c r="D56" s="1808">
        <f>'ТЕ_2ст_тариф_без ЦТП'!J71/D$20*1000/12</f>
        <v>1332.6727260231419</v>
      </c>
      <c r="E56" s="1808">
        <f>'ТЕ_2ст_тариф_без ЦТП'!M71/E$20*1000/12</f>
        <v>2372.1656196555664</v>
      </c>
      <c r="F56" s="1808">
        <f>'ТЕ_2ст_тариф_без ЦТП'!P71/F$20*1000/12</f>
        <v>2372.1656196555655</v>
      </c>
      <c r="G56" s="1808">
        <f>'ТЕ_2ст_тариф_без ЦТП'!S71/G$20*1000/12</f>
        <v>2372.1656196555659</v>
      </c>
      <c r="I56" s="1499"/>
    </row>
    <row r="57" spans="1:9" s="45" customFormat="1" ht="15.6" x14ac:dyDescent="0.3">
      <c r="A57" s="1798" t="s">
        <v>3145</v>
      </c>
      <c r="B57" s="147" t="s">
        <v>67</v>
      </c>
      <c r="C57" s="2009" t="s">
        <v>3060</v>
      </c>
      <c r="D57" s="1808">
        <f>'ТЕ_2ст_тариф_без ЦТП'!J72/D$20*1000/12</f>
        <v>0</v>
      </c>
      <c r="E57" s="1808">
        <f>'ТЕ_2ст_тариф_без ЦТП'!M72/E$20*1000/12</f>
        <v>0</v>
      </c>
      <c r="F57" s="1808">
        <f>'ТЕ_2ст_тариф_без ЦТП'!P72/F$20*1000/12</f>
        <v>0</v>
      </c>
      <c r="G57" s="1808">
        <f>'ТЕ_2ст_тариф_без ЦТП'!S72/G$20*1000/12</f>
        <v>0</v>
      </c>
      <c r="I57" s="1499"/>
    </row>
    <row r="58" spans="1:9" s="45" customFormat="1" ht="15.6" x14ac:dyDescent="0.3">
      <c r="A58" s="1798" t="s">
        <v>3146</v>
      </c>
      <c r="B58" s="147" t="s">
        <v>69</v>
      </c>
      <c r="C58" s="2009" t="s">
        <v>3060</v>
      </c>
      <c r="D58" s="1808">
        <f>'ТЕ_2ст_тариф_без ЦТП'!J73/D$20*1000/12</f>
        <v>0</v>
      </c>
      <c r="E58" s="1808">
        <f>'ТЕ_2ст_тариф_без ЦТП'!M73/E$20*1000/12</f>
        <v>0</v>
      </c>
      <c r="F58" s="1808">
        <f>'ТЕ_2ст_тариф_без ЦТП'!P73/F$20*1000/12</f>
        <v>0</v>
      </c>
      <c r="G58" s="1808">
        <f>'ТЕ_2ст_тариф_без ЦТП'!S73/G$20*1000/12</f>
        <v>0</v>
      </c>
      <c r="I58" s="1499"/>
    </row>
    <row r="59" spans="1:9" s="45" customFormat="1" ht="15.6" x14ac:dyDescent="0.3">
      <c r="A59" s="1798" t="s">
        <v>3147</v>
      </c>
      <c r="B59" s="147" t="s">
        <v>2898</v>
      </c>
      <c r="C59" s="2009" t="s">
        <v>3060</v>
      </c>
      <c r="D59" s="1808">
        <f>'ТЕ_2ст_тариф_без ЦТП'!J74/D$20*1000/12</f>
        <v>0</v>
      </c>
      <c r="E59" s="1808">
        <f>'ТЕ_2ст_тариф_без ЦТП'!M74/E$20*1000/12</f>
        <v>0</v>
      </c>
      <c r="F59" s="1808">
        <f>'ТЕ_2ст_тариф_без ЦТП'!P74/F$20*1000/12</f>
        <v>0</v>
      </c>
      <c r="G59" s="1808">
        <f>'ТЕ_2ст_тариф_без ЦТП'!S74/G$20*1000/12</f>
        <v>0</v>
      </c>
      <c r="I59" s="1499"/>
    </row>
    <row r="60" spans="1:9" s="45" customFormat="1" ht="15.6" x14ac:dyDescent="0.3">
      <c r="A60" s="1798" t="s">
        <v>3148</v>
      </c>
      <c r="B60" s="147" t="s">
        <v>2899</v>
      </c>
      <c r="C60" s="2009" t="s">
        <v>3060</v>
      </c>
      <c r="D60" s="1808">
        <f>'ТЕ_2ст_тариф_без ЦТП'!J75/D$20*1000/12</f>
        <v>6071.0646407720924</v>
      </c>
      <c r="E60" s="1808">
        <f>'ТЕ_2ст_тариф_без ЦТП'!M75/E$20*1000/12</f>
        <v>10806.532267319802</v>
      </c>
      <c r="F60" s="1808">
        <f>'ТЕ_2ст_тариф_без ЦТП'!P75/F$20*1000/12</f>
        <v>10806.532267319802</v>
      </c>
      <c r="G60" s="1808">
        <f>'ТЕ_2ст_тариф_без ЦТП'!S75/G$20*1000/12</f>
        <v>10806.532267319802</v>
      </c>
      <c r="I60" s="1499"/>
    </row>
    <row r="61" spans="1:9" s="45" customFormat="1" ht="15.6" x14ac:dyDescent="0.3">
      <c r="A61" s="5473" t="s">
        <v>3090</v>
      </c>
      <c r="B61" s="5473"/>
      <c r="C61" s="5473"/>
      <c r="D61" s="5473"/>
      <c r="E61" s="5473"/>
      <c r="F61" s="5473"/>
      <c r="G61" s="5473"/>
      <c r="I61" s="1499"/>
    </row>
    <row r="62" spans="1:9" s="45" customFormat="1" ht="15.6" x14ac:dyDescent="0.3">
      <c r="A62" s="1798" t="s">
        <v>1873</v>
      </c>
      <c r="B62" s="337" t="s">
        <v>2963</v>
      </c>
      <c r="C62" s="2010" t="s">
        <v>2286</v>
      </c>
      <c r="D62" s="1803">
        <f>'ТЕ_2ст_тариф_з ЦТП'!I86/D$18</f>
        <v>254.12664028823843</v>
      </c>
      <c r="E62" s="1803" t="e">
        <f>'ТЕ_2ст_тариф_з ЦТП'!L86/E$18</f>
        <v>#DIV/0!</v>
      </c>
      <c r="F62" s="1803">
        <f>'ТЕ_2ст_тариф_з ЦТП'!O86/F$18</f>
        <v>254.12664028823846</v>
      </c>
      <c r="G62" s="1803">
        <f>'ТЕ_2ст_тариф_з ЦТП'!R86/G$18</f>
        <v>254.12664028823843</v>
      </c>
      <c r="I62" s="1499"/>
    </row>
    <row r="63" spans="1:9" s="45" customFormat="1" ht="15.6" x14ac:dyDescent="0.3">
      <c r="A63" s="1798" t="s">
        <v>3149</v>
      </c>
      <c r="B63" s="337" t="s">
        <v>216</v>
      </c>
      <c r="C63" s="2010" t="s">
        <v>2286</v>
      </c>
      <c r="D63" s="1803">
        <f>'ТЕ_2ст_тариф_з ЦТП'!I87/D$18</f>
        <v>254.12664028823843</v>
      </c>
      <c r="E63" s="1803" t="e">
        <f>'ТЕ_2ст_тариф_з ЦТП'!L87/E$18</f>
        <v>#DIV/0!</v>
      </c>
      <c r="F63" s="1803">
        <f>'ТЕ_2ст_тариф_з ЦТП'!O87/F$18</f>
        <v>254.12664028823846</v>
      </c>
      <c r="G63" s="1803">
        <f>'ТЕ_2ст_тариф_з ЦТП'!R87/G$18</f>
        <v>254.12664028823843</v>
      </c>
      <c r="I63" s="1499"/>
    </row>
    <row r="64" spans="1:9" s="45" customFormat="1" ht="15.6" x14ac:dyDescent="0.3">
      <c r="A64" s="1798" t="s">
        <v>3150</v>
      </c>
      <c r="B64" s="337" t="s">
        <v>43</v>
      </c>
      <c r="C64" s="2010" t="s">
        <v>2286</v>
      </c>
      <c r="D64" s="1803">
        <f>'ТЕ_2ст_тариф_з ЦТП'!I88/D$18</f>
        <v>254.12664028823843</v>
      </c>
      <c r="E64" s="1803" t="e">
        <f>'ТЕ_2ст_тариф_з ЦТП'!L88/E$18</f>
        <v>#DIV/0!</v>
      </c>
      <c r="F64" s="1803">
        <f>'ТЕ_2ст_тариф_з ЦТП'!O88/F$18</f>
        <v>254.12664028823846</v>
      </c>
      <c r="G64" s="1803">
        <f>'ТЕ_2ст_тариф_з ЦТП'!R88/G$18</f>
        <v>254.12664028823843</v>
      </c>
      <c r="I64" s="1499"/>
    </row>
    <row r="65" spans="1:9" s="45" customFormat="1" ht="15.6" x14ac:dyDescent="0.3">
      <c r="A65" s="4906" t="s">
        <v>3089</v>
      </c>
      <c r="B65" s="4906"/>
      <c r="C65" s="4906"/>
      <c r="D65" s="4906"/>
      <c r="E65" s="4906"/>
      <c r="F65" s="4906"/>
      <c r="G65" s="4906"/>
      <c r="I65" s="1499"/>
    </row>
    <row r="66" spans="1:9" s="45" customFormat="1" ht="26.4" x14ac:dyDescent="0.3">
      <c r="A66" s="1798">
        <v>15</v>
      </c>
      <c r="B66" s="147" t="s">
        <v>2965</v>
      </c>
      <c r="C66" s="2010" t="s">
        <v>3058</v>
      </c>
      <c r="D66" s="1808">
        <f>'ТЕ_2ст_тариф_з ЦТП'!J120/D$21*1000/12</f>
        <v>75068.476464111271</v>
      </c>
      <c r="E66" s="1808" t="e">
        <f>'ТЕ_2ст_тариф_з ЦТП'!M120/E$21*1000/12</f>
        <v>#DIV/0!</v>
      </c>
      <c r="F66" s="1808">
        <f>'ТЕ_2ст_тариф_з ЦТП'!P120/F$21*1000/12</f>
        <v>87986.954131146078</v>
      </c>
      <c r="G66" s="1808">
        <f>'ТЕ_2ст_тариф_з ЦТП'!S120/G$21*1000/12</f>
        <v>87986.954131146078</v>
      </c>
      <c r="I66" s="1499"/>
    </row>
    <row r="67" spans="1:9" s="45" customFormat="1" ht="15.6" x14ac:dyDescent="0.3">
      <c r="A67" s="1820" t="s">
        <v>688</v>
      </c>
      <c r="B67" s="337" t="s">
        <v>215</v>
      </c>
      <c r="C67" s="2009" t="s">
        <v>3060</v>
      </c>
      <c r="D67" s="1808">
        <f>'ТЕ_2ст_тариф_з ЦТП'!J86/D$21*1000/12</f>
        <v>66839.858772710591</v>
      </c>
      <c r="E67" s="1808" t="e">
        <f>'ТЕ_2ст_тариф_з ЦТП'!M86/E$21*1000/12</f>
        <v>#DIV/0!</v>
      </c>
      <c r="F67" s="1808">
        <f>'ТЕ_2ст_тариф_з ЦТП'!P86/F$21*1000/12</f>
        <v>79186.169956580576</v>
      </c>
      <c r="G67" s="1808">
        <f>'ТЕ_2ст_тариф_з ЦТП'!S86/G$21*1000/12</f>
        <v>79186.169956580605</v>
      </c>
      <c r="I67" s="1499"/>
    </row>
    <row r="68" spans="1:9" s="45" customFormat="1" ht="15.6" x14ac:dyDescent="0.3">
      <c r="A68" s="1820" t="s">
        <v>194</v>
      </c>
      <c r="B68" s="337" t="s">
        <v>216</v>
      </c>
      <c r="C68" s="2009" t="s">
        <v>3060</v>
      </c>
      <c r="D68" s="1808">
        <f>'ТЕ_2ст_тариф_з ЦТП'!J87/D$21*1000/12</f>
        <v>12922.841928192551</v>
      </c>
      <c r="E68" s="1808" t="e">
        <f>'ТЕ_2ст_тариф_з ЦТП'!M87/E$21*1000/12</f>
        <v>#DIV/0!</v>
      </c>
      <c r="F68" s="1808">
        <f>'ТЕ_2ст_тариф_з ЦТП'!P87/F$21*1000/12</f>
        <v>25269.153112062555</v>
      </c>
      <c r="G68" s="1808">
        <f>'ТЕ_2ст_тариф_з ЦТП'!S87/G$21*1000/12</f>
        <v>25269.153112062562</v>
      </c>
      <c r="I68" s="1499"/>
    </row>
    <row r="69" spans="1:9" s="45" customFormat="1" ht="15.6" x14ac:dyDescent="0.3">
      <c r="A69" s="1820" t="s">
        <v>3151</v>
      </c>
      <c r="B69" s="337" t="s">
        <v>43</v>
      </c>
      <c r="C69" s="2009" t="s">
        <v>3060</v>
      </c>
      <c r="D69" s="1808">
        <f>'ТЕ_2ст_тариф_з ЦТП'!J88/D$21*1000/12</f>
        <v>0</v>
      </c>
      <c r="E69" s="1808" t="e">
        <f>'ТЕ_2ст_тариф_з ЦТП'!M88/E$21*1000/12</f>
        <v>#DIV/0!</v>
      </c>
      <c r="F69" s="1808">
        <f>'ТЕ_2ст_тариф_з ЦТП'!P88/F$21*1000/12</f>
        <v>0</v>
      </c>
      <c r="G69" s="1808">
        <f>'ТЕ_2ст_тариф_з ЦТП'!S88/G$21*1000/12</f>
        <v>0</v>
      </c>
      <c r="I69" s="1499"/>
    </row>
    <row r="70" spans="1:9" s="45" customFormat="1" ht="26.4" x14ac:dyDescent="0.3">
      <c r="A70" s="1824" t="s">
        <v>3152</v>
      </c>
      <c r="B70" s="337" t="s">
        <v>608</v>
      </c>
      <c r="C70" s="2009" t="s">
        <v>3060</v>
      </c>
      <c r="D70" s="1808">
        <f>'ТЕ_2ст_тариф_з ЦТП'!J89/D$21*1000/12</f>
        <v>0</v>
      </c>
      <c r="E70" s="1808" t="e">
        <f>'ТЕ_2ст_тариф_з ЦТП'!M89/E$21*1000/12</f>
        <v>#DIV/0!</v>
      </c>
      <c r="F70" s="1808">
        <f>'ТЕ_2ст_тариф_з ЦТП'!P89/F$21*1000/12</f>
        <v>0</v>
      </c>
      <c r="G70" s="1808">
        <f>'ТЕ_2ст_тариф_з ЦТП'!S89/G$21*1000/12</f>
        <v>0</v>
      </c>
      <c r="I70" s="1499"/>
    </row>
    <row r="71" spans="1:9" s="45" customFormat="1" ht="26.4" x14ac:dyDescent="0.3">
      <c r="A71" s="1824" t="s">
        <v>3153</v>
      </c>
      <c r="B71" s="337" t="s">
        <v>609</v>
      </c>
      <c r="C71" s="2009" t="s">
        <v>3060</v>
      </c>
      <c r="D71" s="1808">
        <f>'ТЕ_2ст_тариф_з ЦТП'!J90/D$21*1000/12</f>
        <v>759.14307313442112</v>
      </c>
      <c r="E71" s="1808" t="e">
        <f>'ТЕ_2ст_тариф_з ЦТП'!M90/E$21*1000/12</f>
        <v>#DIV/0!</v>
      </c>
      <c r="F71" s="1808">
        <f>'ТЕ_2ст_тариф_з ЦТП'!P90/F$21*1000/12</f>
        <v>759.14307313442112</v>
      </c>
      <c r="G71" s="1808">
        <f>'ТЕ_2ст_тариф_з ЦТП'!S90/G$21*1000/12</f>
        <v>759.14307313442112</v>
      </c>
      <c r="I71" s="1499"/>
    </row>
    <row r="72" spans="1:9" s="45" customFormat="1" ht="15.6" x14ac:dyDescent="0.3">
      <c r="A72" s="1824" t="s">
        <v>3154</v>
      </c>
      <c r="B72" s="337" t="s">
        <v>610</v>
      </c>
      <c r="C72" s="2009" t="s">
        <v>3060</v>
      </c>
      <c r="D72" s="1808">
        <f>'ТЕ_2ст_тариф_з ЦТП'!J91/D$21*1000/12</f>
        <v>12163.698855058128</v>
      </c>
      <c r="E72" s="1808" t="e">
        <f>'ТЕ_2ст_тариф_з ЦТП'!M91/E$21*1000/12</f>
        <v>#DIV/0!</v>
      </c>
      <c r="F72" s="1808">
        <f>'ТЕ_2ст_тариф_з ЦТП'!P91/F$21*1000/12</f>
        <v>24510.010038928132</v>
      </c>
      <c r="G72" s="1808">
        <f>'ТЕ_2ст_тариф_з ЦТП'!S91/G$21*1000/12</f>
        <v>24510.010038928143</v>
      </c>
      <c r="I72" s="1499"/>
    </row>
    <row r="73" spans="1:9" ht="26.4" x14ac:dyDescent="0.25">
      <c r="A73" s="1824" t="s">
        <v>3155</v>
      </c>
      <c r="B73" s="337" t="s">
        <v>2731</v>
      </c>
      <c r="C73" s="2009" t="s">
        <v>3060</v>
      </c>
      <c r="D73" s="1808">
        <f>'ТЕ_2ст_тариф_з ЦТП'!J92/D$21*1000/12</f>
        <v>11121.506953875853</v>
      </c>
      <c r="E73" s="1808" t="e">
        <f>'ТЕ_2ст_тариф_з ЦТП'!M92/E$21*1000/12</f>
        <v>#DIV/0!</v>
      </c>
      <c r="F73" s="1808">
        <f>'ТЕ_2ст_тариф_з ЦТП'!P92/F$21*1000/12</f>
        <v>23467.818137745857</v>
      </c>
      <c r="G73" s="1808">
        <f>'ТЕ_2ст_тариф_з ЦТП'!S92/G$21*1000/12</f>
        <v>23467.818137745871</v>
      </c>
    </row>
    <row r="74" spans="1:9" x14ac:dyDescent="0.25">
      <c r="A74" s="1824" t="s">
        <v>195</v>
      </c>
      <c r="B74" s="147" t="s">
        <v>47</v>
      </c>
      <c r="C74" s="2009" t="s">
        <v>3060</v>
      </c>
      <c r="D74" s="1808">
        <f>'ТЕ_2ст_тариф_з ЦТП'!J93/D$21*1000/12</f>
        <v>24232.987059565774</v>
      </c>
      <c r="E74" s="1808" t="e">
        <f>'ТЕ_2ст_тариф_з ЦТП'!M93/E$21*1000/12</f>
        <v>#DIV/0!</v>
      </c>
      <c r="F74" s="1808">
        <f>'ТЕ_2ст_тариф_з ЦТП'!P93/F$21*1000/12</f>
        <v>24232.98705956577</v>
      </c>
      <c r="G74" s="1808">
        <f>'ТЕ_2ст_тариф_з ЦТП'!S93/G$21*1000/12</f>
        <v>24232.98705956577</v>
      </c>
    </row>
    <row r="75" spans="1:9" x14ac:dyDescent="0.25">
      <c r="A75" s="1824" t="s">
        <v>2924</v>
      </c>
      <c r="B75" s="337" t="s">
        <v>217</v>
      </c>
      <c r="C75" s="2009" t="s">
        <v>3060</v>
      </c>
      <c r="D75" s="1808">
        <f>'ТЕ_2ст_тариф_з ЦТП'!J94/D$21*1000/12</f>
        <v>26714.920800127074</v>
      </c>
      <c r="E75" s="1808" t="e">
        <f>'ТЕ_2ст_тариф_з ЦТП'!M94/E$21*1000/12</f>
        <v>#DIV/0!</v>
      </c>
      <c r="F75" s="1808">
        <f>'ТЕ_2ст_тариф_з ЦТП'!P94/F$21*1000/12</f>
        <v>26714.920800127074</v>
      </c>
      <c r="G75" s="1808">
        <f>'ТЕ_2ст_тариф_з ЦТП'!S94/G$21*1000/12</f>
        <v>26714.920800127074</v>
      </c>
    </row>
    <row r="76" spans="1:9" ht="26.4" x14ac:dyDescent="0.25">
      <c r="A76" s="1824" t="s">
        <v>3156</v>
      </c>
      <c r="B76" s="337" t="s">
        <v>452</v>
      </c>
      <c r="C76" s="2009" t="s">
        <v>3060</v>
      </c>
      <c r="D76" s="1808">
        <f>'ТЕ_2ст_тариф_з ЦТП'!J95/D$21*1000/12</f>
        <v>5308.2943326874938</v>
      </c>
      <c r="E76" s="1808" t="e">
        <f>'ТЕ_2ст_тариф_з ЦТП'!M95/E$21*1000/12</f>
        <v>#DIV/0!</v>
      </c>
      <c r="F76" s="1808">
        <f>'ТЕ_2ст_тариф_з ЦТП'!P95/F$21*1000/12</f>
        <v>5308.2943326874938</v>
      </c>
      <c r="G76" s="1808">
        <f>'ТЕ_2ст_тариф_з ЦТП'!S95/G$21*1000/12</f>
        <v>5308.2943326874929</v>
      </c>
    </row>
    <row r="77" spans="1:9" x14ac:dyDescent="0.25">
      <c r="A77" s="1824" t="s">
        <v>3157</v>
      </c>
      <c r="B77" s="337" t="s">
        <v>460</v>
      </c>
      <c r="C77" s="2009" t="s">
        <v>3060</v>
      </c>
      <c r="D77" s="1808">
        <f>'ТЕ_2ст_тариф_з ЦТП'!J96/D$21*1000/12</f>
        <v>17546.471356994738</v>
      </c>
      <c r="E77" s="1808" t="e">
        <f>'ТЕ_2ст_тариф_з ЦТП'!M96/E$21*1000/12</f>
        <v>#DIV/0!</v>
      </c>
      <c r="F77" s="1808">
        <f>'ТЕ_2ст_тариф_з ЦТП'!P96/F$21*1000/12</f>
        <v>17546.471356994738</v>
      </c>
      <c r="G77" s="1808">
        <f>'ТЕ_2ст_тариф_з ЦТП'!S96/G$21*1000/12</f>
        <v>17546.471356994738</v>
      </c>
    </row>
    <row r="78" spans="1:9" x14ac:dyDescent="0.25">
      <c r="A78" s="1824" t="s">
        <v>3158</v>
      </c>
      <c r="B78" s="337" t="s">
        <v>81</v>
      </c>
      <c r="C78" s="2009" t="s">
        <v>3060</v>
      </c>
      <c r="D78" s="1808">
        <f>'ТЕ_2ст_тариф_з ЦТП'!J97/D$21*1000/12</f>
        <v>3860.1551104448449</v>
      </c>
      <c r="E78" s="1808" t="e">
        <f>'ТЕ_2ст_тариф_з ЦТП'!M97/E$21*1000/12</f>
        <v>#DIV/0!</v>
      </c>
      <c r="F78" s="1808">
        <f>'ТЕ_2ст_тариф_з ЦТП'!P97/F$21*1000/12</f>
        <v>3860.1551104448445</v>
      </c>
      <c r="G78" s="1808">
        <f>'ТЕ_2ст_тариф_з ЦТП'!S97/G$21*1000/12</f>
        <v>3860.1551104448445</v>
      </c>
    </row>
    <row r="79" spans="1:9" x14ac:dyDescent="0.25">
      <c r="A79" s="1824" t="s">
        <v>3159</v>
      </c>
      <c r="B79" s="337" t="s">
        <v>218</v>
      </c>
      <c r="C79" s="2009" t="s">
        <v>3060</v>
      </c>
      <c r="D79" s="1808">
        <f>'ТЕ_2ст_тариф_з ЦТП'!J98/D$21*1000/12</f>
        <v>2969.1089848251904</v>
      </c>
      <c r="E79" s="1808" t="e">
        <f>'ТЕ_2ст_тариф_з ЦТП'!M98/E$21*1000/12</f>
        <v>#DIV/0!</v>
      </c>
      <c r="F79" s="1808">
        <f>'ТЕ_2ст_тариф_з ЦТП'!P98/F$21*1000/12</f>
        <v>2969.1089848251904</v>
      </c>
      <c r="G79" s="1808">
        <f>'ТЕ_2ст_тариф_з ЦТП'!S98/G$21*1000/12</f>
        <v>2969.1089848251904</v>
      </c>
    </row>
    <row r="80" spans="1:9" x14ac:dyDescent="0.25">
      <c r="A80" s="1824" t="s">
        <v>3160</v>
      </c>
      <c r="B80" s="337" t="s">
        <v>55</v>
      </c>
      <c r="C80" s="2009" t="s">
        <v>3060</v>
      </c>
      <c r="D80" s="1808">
        <f>'ТЕ_2ст_тариф_з ЦТП'!J99/D$21*1000/12</f>
        <v>2268.7722844964146</v>
      </c>
      <c r="E80" s="1808" t="e">
        <f>'ТЕ_2ст_тариф_з ЦТП'!M99/E$21*1000/12</f>
        <v>#DIV/0!</v>
      </c>
      <c r="F80" s="1808">
        <f>'ТЕ_2ст_тариф_з ЦТП'!P99/F$21*1000/12</f>
        <v>2268.7722844964142</v>
      </c>
      <c r="G80" s="1808">
        <f>'ТЕ_2ст_тариф_з ЦТП'!S99/G$21*1000/12</f>
        <v>2268.7722844964142</v>
      </c>
    </row>
    <row r="81" spans="1:7" ht="26.4" x14ac:dyDescent="0.25">
      <c r="A81" s="1824" t="s">
        <v>3161</v>
      </c>
      <c r="B81" s="337" t="s">
        <v>452</v>
      </c>
      <c r="C81" s="2009" t="s">
        <v>3060</v>
      </c>
      <c r="D81" s="1808">
        <f>'ТЕ_2ст_тариф_з ЦТП'!J100/D$21*1000/12</f>
        <v>484.27519180378323</v>
      </c>
      <c r="E81" s="1808" t="e">
        <f>'ТЕ_2ст_тариф_з ЦТП'!M100/E$21*1000/12</f>
        <v>#DIV/0!</v>
      </c>
      <c r="F81" s="1808">
        <f>'ТЕ_2ст_тариф_з ЦТП'!P100/F$21*1000/12</f>
        <v>484.27519180378317</v>
      </c>
      <c r="G81" s="1808">
        <f>'ТЕ_2ст_тариф_з ЦТП'!S100/G$21*1000/12</f>
        <v>484.27519180378317</v>
      </c>
    </row>
    <row r="82" spans="1:7" x14ac:dyDescent="0.25">
      <c r="A82" s="1824" t="s">
        <v>3162</v>
      </c>
      <c r="B82" s="337" t="s">
        <v>58</v>
      </c>
      <c r="C82" s="2009" t="s">
        <v>3060</v>
      </c>
      <c r="D82" s="1808">
        <f>'ТЕ_2ст_тариф_з ЦТП'!J101/D$21*1000/12</f>
        <v>216.06150852499277</v>
      </c>
      <c r="E82" s="1808" t="e">
        <f>'ТЕ_2ст_тариф_з ЦТП'!M101/E$21*1000/12</f>
        <v>#DIV/0!</v>
      </c>
      <c r="F82" s="1808">
        <f>'ТЕ_2ст_тариф_з ЦТП'!P101/F$21*1000/12</f>
        <v>216.06150852499275</v>
      </c>
      <c r="G82" s="1808">
        <f>'ТЕ_2ст_тариф_з ЦТП'!S101/G$21*1000/12</f>
        <v>216.06150852499275</v>
      </c>
    </row>
    <row r="83" spans="1:7" x14ac:dyDescent="0.25">
      <c r="A83" s="1824" t="s">
        <v>689</v>
      </c>
      <c r="B83" s="147" t="s">
        <v>219</v>
      </c>
      <c r="C83" s="2009" t="s">
        <v>3060</v>
      </c>
      <c r="D83" s="1808">
        <f>'ТЕ_2ст_тариф_з ЦТП'!J102/D$21*1000/12</f>
        <v>3609.6452066644633</v>
      </c>
      <c r="E83" s="1808" t="e">
        <f>'ТЕ_2ст_тариф_з ЦТП'!M102/E$21*1000/12</f>
        <v>#DIV/0!</v>
      </c>
      <c r="F83" s="1808">
        <f>'ТЕ_2ст_тариф_з ЦТП'!P102/F$21*1000/12</f>
        <v>3609.6452066644633</v>
      </c>
      <c r="G83" s="1808">
        <f>'ТЕ_2ст_тариф_з ЦТП'!S102/G$21*1000/12</f>
        <v>3609.6452066644633</v>
      </c>
    </row>
    <row r="84" spans="1:7" x14ac:dyDescent="0.25">
      <c r="A84" s="1824" t="s">
        <v>2227</v>
      </c>
      <c r="B84" s="147" t="s">
        <v>55</v>
      </c>
      <c r="C84" s="2009" t="s">
        <v>3060</v>
      </c>
      <c r="D84" s="1808">
        <f>'ТЕ_2ст_тариф_з ЦТП'!J103/D$21*1000/12</f>
        <v>2703.1338270034453</v>
      </c>
      <c r="E84" s="1808" t="e">
        <f>'ТЕ_2ст_тариф_з ЦТП'!M103/E$21*1000/12</f>
        <v>#DIV/0!</v>
      </c>
      <c r="F84" s="1808">
        <f>'ТЕ_2ст_тариф_з ЦТП'!P103/F$21*1000/12</f>
        <v>2703.1338270034444</v>
      </c>
      <c r="G84" s="1808">
        <f>'ТЕ_2ст_тариф_з ЦТП'!S103/G$21*1000/12</f>
        <v>2703.1338270034444</v>
      </c>
    </row>
    <row r="85" spans="1:7" ht="26.4" x14ac:dyDescent="0.25">
      <c r="A85" s="1824" t="s">
        <v>2228</v>
      </c>
      <c r="B85" s="147" t="s">
        <v>452</v>
      </c>
      <c r="C85" s="2009" t="s">
        <v>3060</v>
      </c>
      <c r="D85" s="1808">
        <f>'ТЕ_2ст_тариф_з ЦТП'!J104/D$21*1000/12</f>
        <v>594.68944194075789</v>
      </c>
      <c r="E85" s="1808" t="e">
        <f>'ТЕ_2ст_тариф_з ЦТП'!M104/E$21*1000/12</f>
        <v>#DIV/0!</v>
      </c>
      <c r="F85" s="1808">
        <f>'ТЕ_2ст_тариф_з ЦТП'!P104/F$21*1000/12</f>
        <v>594.68944194075789</v>
      </c>
      <c r="G85" s="1808">
        <f>'ТЕ_2ст_тариф_з ЦТП'!S104/G$21*1000/12</f>
        <v>594.68944194075777</v>
      </c>
    </row>
    <row r="86" spans="1:7" x14ac:dyDescent="0.25">
      <c r="A86" s="1824" t="s">
        <v>2925</v>
      </c>
      <c r="B86" s="147" t="s">
        <v>58</v>
      </c>
      <c r="C86" s="2009" t="s">
        <v>3060</v>
      </c>
      <c r="D86" s="1808">
        <f>'ТЕ_2ст_тариф_з ЦТП'!J105/D$21*1000/12</f>
        <v>311.82193772026039</v>
      </c>
      <c r="E86" s="1808" t="e">
        <f>'ТЕ_2ст_тариф_з ЦТП'!M105/E$21*1000/12</f>
        <v>#DIV/0!</v>
      </c>
      <c r="F86" s="1808">
        <f>'ТЕ_2ст_тариф_з ЦТП'!P105/F$21*1000/12</f>
        <v>311.82193772026034</v>
      </c>
      <c r="G86" s="1808">
        <f>'ТЕ_2ст_тариф_з ЦТП'!S105/G$21*1000/12</f>
        <v>311.82193772026034</v>
      </c>
    </row>
    <row r="87" spans="1:7" x14ac:dyDescent="0.25">
      <c r="A87" s="1824" t="s">
        <v>690</v>
      </c>
      <c r="B87" s="337" t="s">
        <v>220</v>
      </c>
      <c r="C87" s="2009" t="s">
        <v>3060</v>
      </c>
      <c r="D87" s="1808">
        <f>'ТЕ_2ст_тариф_з ЦТП'!J106/D$21*1000/12</f>
        <v>0</v>
      </c>
      <c r="E87" s="1808" t="e">
        <f>'ТЕ_2ст_тариф_з ЦТП'!M106/E$21*1000/12</f>
        <v>#DIV/0!</v>
      </c>
      <c r="F87" s="1808">
        <f>'ТЕ_2ст_тариф_з ЦТП'!P106/F$21*1000/12</f>
        <v>0</v>
      </c>
      <c r="G87" s="1808">
        <f>'ТЕ_2ст_тариф_з ЦТП'!S106/G$21*1000/12</f>
        <v>0</v>
      </c>
    </row>
    <row r="88" spans="1:7" x14ac:dyDescent="0.25">
      <c r="A88" s="1824" t="s">
        <v>3163</v>
      </c>
      <c r="B88" s="337" t="s">
        <v>55</v>
      </c>
      <c r="C88" s="2009" t="s">
        <v>3060</v>
      </c>
      <c r="D88" s="1808">
        <f>'ТЕ_2ст_тариф_з ЦТП'!J107/D$21*1000/12</f>
        <v>0</v>
      </c>
      <c r="E88" s="1808" t="e">
        <f>'ТЕ_2ст_тариф_з ЦТП'!M107/E$21*1000/12</f>
        <v>#DIV/0!</v>
      </c>
      <c r="F88" s="1808">
        <f>'ТЕ_2ст_тариф_з ЦТП'!P107/F$21*1000/12</f>
        <v>0</v>
      </c>
      <c r="G88" s="1808">
        <f>'ТЕ_2ст_тариф_з ЦТП'!S107/G$21*1000/12</f>
        <v>0</v>
      </c>
    </row>
    <row r="89" spans="1:7" ht="26.4" x14ac:dyDescent="0.25">
      <c r="A89" s="1824" t="s">
        <v>3164</v>
      </c>
      <c r="B89" s="147" t="s">
        <v>452</v>
      </c>
      <c r="C89" s="2009" t="s">
        <v>3060</v>
      </c>
      <c r="D89" s="1808">
        <f>'ТЕ_2ст_тариф_з ЦТП'!J108/D$21*1000/12</f>
        <v>0</v>
      </c>
      <c r="E89" s="1808" t="e">
        <f>'ТЕ_2ст_тариф_з ЦТП'!M108/E$21*1000/12</f>
        <v>#DIV/0!</v>
      </c>
      <c r="F89" s="1808">
        <f>'ТЕ_2ст_тариф_з ЦТП'!P108/F$21*1000/12</f>
        <v>0</v>
      </c>
      <c r="G89" s="1808">
        <f>'ТЕ_2ст_тариф_з ЦТП'!S108/G$21*1000/12</f>
        <v>0</v>
      </c>
    </row>
    <row r="90" spans="1:7" x14ac:dyDescent="0.25">
      <c r="A90" s="1824" t="s">
        <v>3165</v>
      </c>
      <c r="B90" s="1814" t="s">
        <v>233</v>
      </c>
      <c r="C90" s="2009" t="s">
        <v>3060</v>
      </c>
      <c r="D90" s="1808">
        <f>'ТЕ_2ст_тариф_з ЦТП'!J109/D$21*1000/12</f>
        <v>0</v>
      </c>
      <c r="E90" s="1808" t="e">
        <f>'ТЕ_2ст_тариф_з ЦТП'!M109/E$21*1000/12</f>
        <v>#DIV/0!</v>
      </c>
      <c r="F90" s="1808">
        <f>'ТЕ_2ст_тариф_з ЦТП'!P109/F$21*1000/12</f>
        <v>0</v>
      </c>
      <c r="G90" s="1808">
        <f>'ТЕ_2ст_тариф_з ЦТП'!S109/G$21*1000/12</f>
        <v>0</v>
      </c>
    </row>
    <row r="91" spans="1:7" x14ac:dyDescent="0.25">
      <c r="A91" s="1824" t="s">
        <v>2926</v>
      </c>
      <c r="B91" s="147" t="s">
        <v>82</v>
      </c>
      <c r="C91" s="2009" t="s">
        <v>3060</v>
      </c>
      <c r="D91" s="1808">
        <f>'ТЕ_2ст_тариф_з ЦТП'!J110/D$21*1000/12</f>
        <v>0</v>
      </c>
      <c r="E91" s="1808" t="e">
        <f>'ТЕ_2ст_тариф_з ЦТП'!M110/E$21*1000/12</f>
        <v>#DIV/0!</v>
      </c>
      <c r="F91" s="1808">
        <f>'ТЕ_2ст_тариф_з ЦТП'!P110/F$21*1000/12</f>
        <v>0</v>
      </c>
      <c r="G91" s="1808">
        <f>'ТЕ_2ст_тариф_з ЦТП'!S110/G$21*1000/12</f>
        <v>0</v>
      </c>
    </row>
    <row r="92" spans="1:7" x14ac:dyDescent="0.25">
      <c r="A92" s="1824" t="s">
        <v>2927</v>
      </c>
      <c r="B92" s="147" t="s">
        <v>5</v>
      </c>
      <c r="C92" s="2009" t="s">
        <v>3060</v>
      </c>
      <c r="D92" s="1808">
        <f>'ТЕ_2ст_тариф_з ЦТП'!J111/D$21*1000/12</f>
        <v>0</v>
      </c>
      <c r="E92" s="1808" t="e">
        <f>'ТЕ_2ст_тариф_з ЦТП'!M111/E$21*1000/12</f>
        <v>#DIV/0!</v>
      </c>
      <c r="F92" s="1808">
        <f>'ТЕ_2ст_тариф_з ЦТП'!P111/F$21*1000/12</f>
        <v>0</v>
      </c>
      <c r="G92" s="1808">
        <f>'ТЕ_2ст_тариф_з ЦТП'!S111/G$21*1000/12</f>
        <v>0</v>
      </c>
    </row>
    <row r="93" spans="1:7" x14ac:dyDescent="0.25">
      <c r="A93" s="1824" t="s">
        <v>2928</v>
      </c>
      <c r="B93" s="147" t="s">
        <v>63</v>
      </c>
      <c r="C93" s="2009" t="s">
        <v>3060</v>
      </c>
      <c r="D93" s="1808">
        <f>'ТЕ_2ст_тариф_з ЦТП'!J112/D$21*1000/12</f>
        <v>70449.503979375047</v>
      </c>
      <c r="E93" s="1808" t="e">
        <f>'ТЕ_2ст_тариф_з ЦТП'!M112/E$21*1000/12</f>
        <v>#DIV/0!</v>
      </c>
      <c r="F93" s="1808">
        <f>'ТЕ_2ст_тариф_з ЦТП'!P112/F$21*1000/12</f>
        <v>82795.815163245061</v>
      </c>
      <c r="G93" s="1808">
        <f>'ТЕ_2ст_тариф_з ЦТП'!S112/G$21*1000/12</f>
        <v>82795.815163245061</v>
      </c>
    </row>
    <row r="94" spans="1:7" x14ac:dyDescent="0.25">
      <c r="A94" s="1824" t="s">
        <v>2929</v>
      </c>
      <c r="B94" s="147" t="s">
        <v>234</v>
      </c>
      <c r="C94" s="2009" t="s">
        <v>3060</v>
      </c>
      <c r="D94" s="1808">
        <f>'ТЕ_2ст_тариф_з ЦТП'!J113/D$21*1000/12</f>
        <v>0</v>
      </c>
      <c r="E94" s="1808" t="e">
        <f>'ТЕ_2ст_тариф_з ЦТП'!M113/E$21*1000/12</f>
        <v>#DIV/0!</v>
      </c>
      <c r="F94" s="1808">
        <f>'ТЕ_2ст_тариф_з ЦТП'!P113/F$21*1000/12</f>
        <v>0</v>
      </c>
      <c r="G94" s="1808">
        <f>'ТЕ_2ст_тариф_з ЦТП'!S113/G$21*1000/12</f>
        <v>0</v>
      </c>
    </row>
    <row r="95" spans="1:7" x14ac:dyDescent="0.25">
      <c r="A95" s="1824" t="s">
        <v>2935</v>
      </c>
      <c r="B95" s="147" t="s">
        <v>235</v>
      </c>
      <c r="C95" s="2009" t="s">
        <v>3060</v>
      </c>
      <c r="D95" s="1808">
        <f>'ТЕ_2ст_тариф_з ЦТП'!J114/D$21*1000/12</f>
        <v>4618.972484736204</v>
      </c>
      <c r="E95" s="1808" t="e">
        <f>'ТЕ_2ст_тариф_з ЦТП'!M114/E$21*1000/12</f>
        <v>#DIV/0!</v>
      </c>
      <c r="F95" s="1808">
        <f>'ТЕ_2ст_тариф_з ЦТП'!P114/F$21*1000/12</f>
        <v>5191.1389679010163</v>
      </c>
      <c r="G95" s="1808">
        <f>'ТЕ_2ст_тариф_з ЦТП'!S114/G$21*1000/12</f>
        <v>5191.1389679010153</v>
      </c>
    </row>
    <row r="96" spans="1:7" x14ac:dyDescent="0.25">
      <c r="A96" s="1824" t="s">
        <v>2096</v>
      </c>
      <c r="B96" s="147" t="s">
        <v>65</v>
      </c>
      <c r="C96" s="2009" t="s">
        <v>3060</v>
      </c>
      <c r="D96" s="1808">
        <f>'ТЕ_2ст_тариф_з ЦТП'!J115/D$21*1000/12</f>
        <v>831.41504725251673</v>
      </c>
      <c r="E96" s="1808" t="e">
        <f>'ТЕ_2ст_тариф_з ЦТП'!M115/E$21*1000/12</f>
        <v>#DIV/0!</v>
      </c>
      <c r="F96" s="1808">
        <f>'ТЕ_2ст_тариф_з ЦТП'!P115/F$21*1000/12</f>
        <v>934.40501422218267</v>
      </c>
      <c r="G96" s="1808">
        <f>'ТЕ_2ст_тариф_з ЦТП'!S115/G$21*1000/12</f>
        <v>934.40501422218233</v>
      </c>
    </row>
    <row r="97" spans="1:9" x14ac:dyDescent="0.25">
      <c r="A97" s="1824" t="s">
        <v>2099</v>
      </c>
      <c r="B97" s="147" t="s">
        <v>84</v>
      </c>
      <c r="C97" s="2009" t="s">
        <v>3060</v>
      </c>
      <c r="D97" s="1808">
        <f>'ТЕ_2ст_тариф_з ЦТП'!J116/D$21*1000/12</f>
        <v>0</v>
      </c>
      <c r="E97" s="1808" t="e">
        <f>'ТЕ_2ст_тариф_з ЦТП'!M116/E$21*1000/12</f>
        <v>#DIV/0!</v>
      </c>
      <c r="F97" s="1808">
        <f>'ТЕ_2ст_тариф_з ЦТП'!P116/F$21*1000/12</f>
        <v>0</v>
      </c>
      <c r="G97" s="1808">
        <f>'ТЕ_2ст_тариф_з ЦТП'!S116/G$21*1000/12</f>
        <v>0</v>
      </c>
    </row>
    <row r="98" spans="1:9" x14ac:dyDescent="0.25">
      <c r="A98" s="1824" t="s">
        <v>2101</v>
      </c>
      <c r="B98" s="147" t="s">
        <v>85</v>
      </c>
      <c r="C98" s="2009" t="s">
        <v>3060</v>
      </c>
      <c r="D98" s="1808">
        <f>'ТЕ_2ст_тариф_з ЦТП'!J117/D$21*1000/12</f>
        <v>0</v>
      </c>
      <c r="E98" s="1808" t="e">
        <f>'ТЕ_2ст_тариф_з ЦТП'!M117/E$21*1000/12</f>
        <v>#DIV/0!</v>
      </c>
      <c r="F98" s="1808">
        <f>'ТЕ_2ст_тариф_з ЦТП'!P117/F$21*1000/12</f>
        <v>0</v>
      </c>
      <c r="G98" s="1808">
        <f>'ТЕ_2ст_тариф_з ЦТП'!S117/G$21*1000/12</f>
        <v>0</v>
      </c>
    </row>
    <row r="99" spans="1:9" x14ac:dyDescent="0.25">
      <c r="A99" s="1824" t="s">
        <v>3166</v>
      </c>
      <c r="B99" s="147" t="s">
        <v>71</v>
      </c>
      <c r="C99" s="2009" t="s">
        <v>3060</v>
      </c>
      <c r="D99" s="1808">
        <f>'ТЕ_2ст_тариф_з ЦТП'!J118/D$21*1000/12</f>
        <v>0</v>
      </c>
      <c r="E99" s="1808" t="e">
        <f>'ТЕ_2ст_тариф_з ЦТП'!M118/E$21*1000/12</f>
        <v>#DIV/0!</v>
      </c>
      <c r="F99" s="1808">
        <f>'ТЕ_2ст_тариф_з ЦТП'!P118/F$21*1000/12</f>
        <v>0</v>
      </c>
      <c r="G99" s="1808">
        <f>'ТЕ_2ст_тариф_з ЦТП'!S118/G$21*1000/12</f>
        <v>0</v>
      </c>
    </row>
    <row r="100" spans="1:9" x14ac:dyDescent="0.25">
      <c r="A100" s="1824" t="s">
        <v>3167</v>
      </c>
      <c r="B100" s="147" t="s">
        <v>86</v>
      </c>
      <c r="C100" s="2009" t="s">
        <v>3060</v>
      </c>
      <c r="D100" s="1808">
        <f>'ТЕ_2ст_тариф_з ЦТП'!J119/D$21*1000/12</f>
        <v>3787.5574374836874</v>
      </c>
      <c r="E100" s="1808" t="e">
        <f>'ТЕ_2ст_тариф_з ЦТП'!M119/E$21*1000/12</f>
        <v>#DIV/0!</v>
      </c>
      <c r="F100" s="1808">
        <f>'ТЕ_2ст_тариф_з ЦТП'!P119/F$21*1000/12</f>
        <v>4256.733953678834</v>
      </c>
      <c r="G100" s="1808">
        <f>'ТЕ_2ст_тариф_з ЦТП'!S119/G$21*1000/12</f>
        <v>4256.733953678834</v>
      </c>
    </row>
    <row r="101" spans="1:9" x14ac:dyDescent="0.25">
      <c r="A101" s="4899" t="s">
        <v>3088</v>
      </c>
      <c r="B101" s="4899"/>
      <c r="C101" s="4899"/>
      <c r="D101" s="4899"/>
      <c r="E101" s="4899"/>
      <c r="F101" s="4899"/>
      <c r="G101" s="4899"/>
    </row>
    <row r="102" spans="1:9" ht="26.4" x14ac:dyDescent="0.25">
      <c r="A102" s="1820" t="s">
        <v>2936</v>
      </c>
      <c r="B102" s="147" t="s">
        <v>2966</v>
      </c>
      <c r="C102" s="2007" t="s">
        <v>3058</v>
      </c>
      <c r="D102" s="1808">
        <f>'ТЕ_2ст_тариф_з ЦТП'!J159/D$20*1000/12</f>
        <v>2390.0810057385866</v>
      </c>
      <c r="E102" s="1808">
        <f>'ТЕ_2ст_тариф_з ЦТП'!M159/E$20*1000/12</f>
        <v>2390.0810057385866</v>
      </c>
      <c r="F102" s="1808">
        <f>'ТЕ_2ст_тариф_з ЦТП'!P159/F$20*1000/12</f>
        <v>2390.0810057385866</v>
      </c>
      <c r="G102" s="1808">
        <f>'ТЕ_2ст_тариф_з ЦТП'!S159/G$20*1000/12</f>
        <v>2390.0810057385866</v>
      </c>
      <c r="I102" s="1223"/>
    </row>
    <row r="103" spans="1:9" x14ac:dyDescent="0.25">
      <c r="A103" s="1822" t="s">
        <v>2947</v>
      </c>
      <c r="B103" s="147" t="s">
        <v>215</v>
      </c>
      <c r="C103" s="2009" t="s">
        <v>3060</v>
      </c>
      <c r="D103" s="1808">
        <f>'ТЕ_2ст_тариф_з ЦТП'!J130/D$20*1000/12</f>
        <v>2191.1137591288457</v>
      </c>
      <c r="E103" s="1808">
        <f>'ТЕ_2ст_тариф_з ЦТП'!M130/E$20*1000/12</f>
        <v>2191.1137591288452</v>
      </c>
      <c r="F103" s="1808">
        <f>'ТЕ_2ст_тариф_з ЦТП'!P130/F$20*1000/12</f>
        <v>2191.1137591288452</v>
      </c>
      <c r="G103" s="1808">
        <f>'ТЕ_2ст_тариф_з ЦТП'!S130/G$20*1000/12</f>
        <v>2191.1137591288448</v>
      </c>
    </row>
    <row r="104" spans="1:9" x14ac:dyDescent="0.25">
      <c r="A104" s="1822" t="s">
        <v>2948</v>
      </c>
      <c r="B104" s="147" t="s">
        <v>102</v>
      </c>
      <c r="C104" s="2009" t="s">
        <v>3060</v>
      </c>
      <c r="D104" s="1808">
        <f>'ТЕ_2ст_тариф_з ЦТП'!J131/D$20*1000/12</f>
        <v>18.862391084887296</v>
      </c>
      <c r="E104" s="1808">
        <f>'ТЕ_2ст_тариф_з ЦТП'!M131/E$20*1000/12</f>
        <v>18.862391084887296</v>
      </c>
      <c r="F104" s="1808">
        <f>'ТЕ_2ст_тариф_з ЦТП'!P131/F$20*1000/12</f>
        <v>18.862391084887296</v>
      </c>
      <c r="G104" s="1808">
        <f>'ТЕ_2ст_тариф_з ЦТП'!S131/G$20*1000/12</f>
        <v>18.8623910848873</v>
      </c>
    </row>
    <row r="105" spans="1:9" x14ac:dyDescent="0.25">
      <c r="A105" s="1822" t="s">
        <v>2949</v>
      </c>
      <c r="B105" s="147" t="s">
        <v>47</v>
      </c>
      <c r="C105" s="2009" t="s">
        <v>3060</v>
      </c>
      <c r="D105" s="1808">
        <f>'ТЕ_2ст_тариф_з ЦТП'!J132/D$20*1000/12</f>
        <v>878.19257624016871</v>
      </c>
      <c r="E105" s="1808">
        <f>'ТЕ_2ст_тариф_з ЦТП'!M132/E$20*1000/12</f>
        <v>878.19257624016871</v>
      </c>
      <c r="F105" s="1808">
        <f>'ТЕ_2ст_тариф_з ЦТП'!P132/F$20*1000/12</f>
        <v>878.19257624016848</v>
      </c>
      <c r="G105" s="1808">
        <f>'ТЕ_2ст_тариф_з ЦТП'!S132/G$20*1000/12</f>
        <v>878.19257624016848</v>
      </c>
    </row>
    <row r="106" spans="1:9" x14ac:dyDescent="0.25">
      <c r="A106" s="1822" t="s">
        <v>2950</v>
      </c>
      <c r="B106" s="147" t="s">
        <v>217</v>
      </c>
      <c r="C106" s="2009" t="s">
        <v>3060</v>
      </c>
      <c r="D106" s="1808">
        <f>'ТЕ_2ст_тариф_з ЦТП'!J133/D$20*1000/12</f>
        <v>1217.4689434394177</v>
      </c>
      <c r="E106" s="1808">
        <f>'ТЕ_2ст_тариф_з ЦТП'!M133/E$20*1000/12</f>
        <v>1217.4689434394177</v>
      </c>
      <c r="F106" s="1808">
        <f>'ТЕ_2ст_тариф_з ЦТП'!P133/F$20*1000/12</f>
        <v>1217.4689434394177</v>
      </c>
      <c r="G106" s="1808">
        <f>'ТЕ_2ст_тариф_з ЦТП'!S133/G$20*1000/12</f>
        <v>1217.4689434394174</v>
      </c>
    </row>
    <row r="107" spans="1:9" ht="26.4" x14ac:dyDescent="0.25">
      <c r="A107" s="1822" t="s">
        <v>3168</v>
      </c>
      <c r="B107" s="147" t="s">
        <v>452</v>
      </c>
      <c r="C107" s="2009" t="s">
        <v>3060</v>
      </c>
      <c r="D107" s="1808">
        <f>'ТЕ_2ст_тариф_з ЦТП'!J134/D$20*1000/12</f>
        <v>193.20236677283708</v>
      </c>
      <c r="E107" s="1808">
        <f>'ТЕ_2ст_тариф_з ЦТП'!M134/E$20*1000/12</f>
        <v>193.20236677283708</v>
      </c>
      <c r="F107" s="1808">
        <f>'ТЕ_2ст_тариф_з ЦТП'!P134/F$20*1000/12</f>
        <v>193.20236677283708</v>
      </c>
      <c r="G107" s="1808">
        <f>'ТЕ_2ст_тариф_з ЦТП'!S134/G$20*1000/12</f>
        <v>193.20236677283705</v>
      </c>
    </row>
    <row r="108" spans="1:9" x14ac:dyDescent="0.25">
      <c r="A108" s="1822" t="s">
        <v>3169</v>
      </c>
      <c r="B108" s="147" t="s">
        <v>460</v>
      </c>
      <c r="C108" s="2009" t="s">
        <v>3060</v>
      </c>
      <c r="D108" s="1808">
        <f>'ТЕ_2ст_тариф_з ЦТП'!J135/D$20*1000/12</f>
        <v>982.3826577323922</v>
      </c>
      <c r="E108" s="1808">
        <f>'ТЕ_2ст_тариф_з ЦТП'!M135/E$20*1000/12</f>
        <v>982.3826577323922</v>
      </c>
      <c r="F108" s="1808">
        <f>'ТЕ_2ст_тариф_з ЦТП'!P135/F$20*1000/12</f>
        <v>982.3826577323922</v>
      </c>
      <c r="G108" s="1808">
        <f>'ТЕ_2ст_тариф_з ЦТП'!S135/G$20*1000/12</f>
        <v>982.38265773239209</v>
      </c>
    </row>
    <row r="109" spans="1:9" x14ac:dyDescent="0.25">
      <c r="A109" s="1822" t="s">
        <v>3170</v>
      </c>
      <c r="B109" s="147" t="s">
        <v>52</v>
      </c>
      <c r="C109" s="2009" t="s">
        <v>3060</v>
      </c>
      <c r="D109" s="1808">
        <f>'ТЕ_2ст_тариф_з ЦТП'!J136/D$20*1000/12</f>
        <v>41.883918934188237</v>
      </c>
      <c r="E109" s="1808">
        <f>'ТЕ_2ст_тариф_з ЦТП'!M136/E$20*1000/12</f>
        <v>41.883918934188237</v>
      </c>
      <c r="F109" s="1808">
        <f>'ТЕ_2ст_тариф_з ЦТП'!P136/F$20*1000/12</f>
        <v>41.883918934188237</v>
      </c>
      <c r="G109" s="1808">
        <f>'ТЕ_2ст_тариф_з ЦТП'!S136/G$20*1000/12</f>
        <v>41.883918934188237</v>
      </c>
    </row>
    <row r="110" spans="1:9" x14ac:dyDescent="0.25">
      <c r="A110" s="1822" t="s">
        <v>3171</v>
      </c>
      <c r="B110" s="147" t="s">
        <v>218</v>
      </c>
      <c r="C110" s="2009" t="s">
        <v>3060</v>
      </c>
      <c r="D110" s="1808">
        <f>'ТЕ_2ст_тариф_з ЦТП'!J137/D$20*1000/12</f>
        <v>76.589848364372031</v>
      </c>
      <c r="E110" s="1808">
        <f>'ТЕ_2ст_тариф_з ЦТП'!M137/E$20*1000/12</f>
        <v>76.589848364372031</v>
      </c>
      <c r="F110" s="1808">
        <f>'ТЕ_2ст_тариф_з ЦТП'!P137/F$20*1000/12</f>
        <v>76.589848364372031</v>
      </c>
      <c r="G110" s="1808">
        <f>'ТЕ_2ст_тариф_з ЦТП'!S137/G$20*1000/12</f>
        <v>76.589848364372031</v>
      </c>
    </row>
    <row r="111" spans="1:9" x14ac:dyDescent="0.25">
      <c r="A111" s="1822" t="s">
        <v>3172</v>
      </c>
      <c r="B111" s="147" t="s">
        <v>55</v>
      </c>
      <c r="C111" s="2009" t="s">
        <v>3060</v>
      </c>
      <c r="D111" s="1808">
        <f>'ТЕ_2ст_тариф_з ЦТП'!J138/D$20*1000/12</f>
        <v>58.524266414929514</v>
      </c>
      <c r="E111" s="1808">
        <f>'ТЕ_2ст_тариф_з ЦТП'!M138/E$20*1000/12</f>
        <v>58.524266414929507</v>
      </c>
      <c r="F111" s="1808">
        <f>'ТЕ_2ст_тариф_з ЦТП'!P138/F$20*1000/12</f>
        <v>58.524266414929507</v>
      </c>
      <c r="G111" s="1808">
        <f>'ТЕ_2ст_тариф_з ЦТП'!S138/G$20*1000/12</f>
        <v>58.524266414929514</v>
      </c>
    </row>
    <row r="112" spans="1:9" ht="26.4" x14ac:dyDescent="0.25">
      <c r="A112" s="1822" t="s">
        <v>3173</v>
      </c>
      <c r="B112" s="147" t="s">
        <v>452</v>
      </c>
      <c r="C112" s="2009" t="s">
        <v>3060</v>
      </c>
      <c r="D112" s="1808">
        <f>'ТЕ_2ст_тариф_з ЦТП'!J139/D$20*1000/12</f>
        <v>12.492152930877575</v>
      </c>
      <c r="E112" s="1808">
        <f>'ТЕ_2ст_тариф_з ЦТП'!M139/E$20*1000/12</f>
        <v>12.492152930877575</v>
      </c>
      <c r="F112" s="1808">
        <f>'ТЕ_2ст_тариф_з ЦТП'!P139/F$20*1000/12</f>
        <v>12.492152930877575</v>
      </c>
      <c r="G112" s="1808">
        <f>'ТЕ_2ст_тариф_з ЦТП'!S139/G$20*1000/12</f>
        <v>12.492152930877573</v>
      </c>
    </row>
    <row r="113" spans="1:7" x14ac:dyDescent="0.25">
      <c r="A113" s="1822" t="s">
        <v>3174</v>
      </c>
      <c r="B113" s="147" t="s">
        <v>58</v>
      </c>
      <c r="C113" s="2009" t="s">
        <v>3060</v>
      </c>
      <c r="D113" s="1808">
        <f>'ТЕ_2ст_тариф_з ЦТП'!J140/D$20*1000/12</f>
        <v>5.5734290185649478</v>
      </c>
      <c r="E113" s="1808">
        <f>'ТЕ_2ст_тариф_з ЦТП'!M140/E$20*1000/12</f>
        <v>5.5734290185649478</v>
      </c>
      <c r="F113" s="1808">
        <f>'ТЕ_2ст_тариф_з ЦТП'!P140/F$20*1000/12</f>
        <v>5.5734290185649487</v>
      </c>
      <c r="G113" s="1808">
        <f>'ТЕ_2ст_тариф_з ЦТП'!S140/G$20*1000/12</f>
        <v>5.5734290185649478</v>
      </c>
    </row>
    <row r="114" spans="1:7" x14ac:dyDescent="0.25">
      <c r="A114" s="1822" t="s">
        <v>2951</v>
      </c>
      <c r="B114" s="147" t="s">
        <v>219</v>
      </c>
      <c r="C114" s="2009" t="s">
        <v>3060</v>
      </c>
      <c r="D114" s="1808">
        <f>'ТЕ_2ст_тариф_з ЦТП'!J141/D$20*1000/12</f>
        <v>93.112843092181308</v>
      </c>
      <c r="E114" s="1808">
        <f>'ТЕ_2ст_тариф_з ЦТП'!M141/E$20*1000/12</f>
        <v>93.112843092181279</v>
      </c>
      <c r="F114" s="1808">
        <f>'ТЕ_2ст_тариф_з ЦТП'!P141/F$20*1000/12</f>
        <v>93.112843092181279</v>
      </c>
      <c r="G114" s="1808">
        <f>'ТЕ_2ст_тариф_з ЦТП'!S141/G$20*1000/12</f>
        <v>93.112843092181279</v>
      </c>
    </row>
    <row r="115" spans="1:7" x14ac:dyDescent="0.25">
      <c r="A115" s="1822" t="s">
        <v>2112</v>
      </c>
      <c r="B115" s="147" t="s">
        <v>55</v>
      </c>
      <c r="C115" s="2009" t="s">
        <v>3060</v>
      </c>
      <c r="D115" s="1808">
        <f>'ТЕ_2ст_тариф_з ЦТП'!J142/D$20*1000/12</f>
        <v>69.72886848442441</v>
      </c>
      <c r="E115" s="1808">
        <f>'ТЕ_2ст_тариф_з ЦТП'!M142/E$20*1000/12</f>
        <v>69.728868484424396</v>
      </c>
      <c r="F115" s="1808">
        <f>'ТЕ_2ст_тариф_з ЦТП'!P142/F$20*1000/12</f>
        <v>69.72886848442441</v>
      </c>
      <c r="G115" s="1808">
        <f>'ТЕ_2ст_тариф_з ЦТП'!S142/G$20*1000/12</f>
        <v>69.728868484424396</v>
      </c>
    </row>
    <row r="116" spans="1:7" ht="26.4" x14ac:dyDescent="0.25">
      <c r="A116" s="1822" t="s">
        <v>2114</v>
      </c>
      <c r="B116" s="147" t="s">
        <v>452</v>
      </c>
      <c r="C116" s="2009" t="s">
        <v>3060</v>
      </c>
      <c r="D116" s="1808">
        <f>'ТЕ_2ст_тариф_з ЦТП'!J143/D$20*1000/12</f>
        <v>15.340351066573369</v>
      </c>
      <c r="E116" s="1808">
        <f>'ТЕ_2ст_тариф_з ЦТП'!M143/E$20*1000/12</f>
        <v>15.340351066573371</v>
      </c>
      <c r="F116" s="1808">
        <f>'ТЕ_2ст_тариф_з ЦТП'!P143/F$20*1000/12</f>
        <v>15.340351066573369</v>
      </c>
      <c r="G116" s="1808">
        <f>'ТЕ_2ст_тариф_з ЦТП'!S143/G$20*1000/12</f>
        <v>15.340351066573369</v>
      </c>
    </row>
    <row r="117" spans="1:7" x14ac:dyDescent="0.25">
      <c r="A117" s="1822" t="s">
        <v>2952</v>
      </c>
      <c r="B117" s="147" t="s">
        <v>58</v>
      </c>
      <c r="C117" s="2009" t="s">
        <v>3060</v>
      </c>
      <c r="D117" s="1808">
        <f>'ТЕ_2ст_тариф_з ЦТП'!J144/D$20*1000/12</f>
        <v>8.0436235411835124</v>
      </c>
      <c r="E117" s="1808">
        <f>'ТЕ_2ст_тариф_з ЦТП'!M144/E$20*1000/12</f>
        <v>8.0436235411835142</v>
      </c>
      <c r="F117" s="1808">
        <f>'ТЕ_2ст_тариф_з ЦТП'!P144/F$20*1000/12</f>
        <v>8.0436235411835124</v>
      </c>
      <c r="G117" s="1808">
        <f>'ТЕ_2ст_тариф_з ЦТП'!S144/G$20*1000/12</f>
        <v>8.0436235411835142</v>
      </c>
    </row>
    <row r="118" spans="1:7" x14ac:dyDescent="0.25">
      <c r="A118" s="1822" t="s">
        <v>2953</v>
      </c>
      <c r="B118" s="337" t="s">
        <v>220</v>
      </c>
      <c r="C118" s="2009" t="s">
        <v>3060</v>
      </c>
      <c r="D118" s="1808">
        <f>'ТЕ_2ст_тариф_з ЦТП'!J145/D$20*1000/12</f>
        <v>0</v>
      </c>
      <c r="E118" s="1808">
        <f>'ТЕ_2ст_тариф_з ЦТП'!M145/E$20*1000/12</f>
        <v>0</v>
      </c>
      <c r="F118" s="1808">
        <f>'ТЕ_2ст_тариф_з ЦТП'!P145/F$20*1000/12</f>
        <v>0</v>
      </c>
      <c r="G118" s="1808">
        <f>'ТЕ_2ст_тариф_з ЦТП'!S145/G$20*1000/12</f>
        <v>0</v>
      </c>
    </row>
    <row r="119" spans="1:7" x14ac:dyDescent="0.25">
      <c r="A119" s="1822" t="s">
        <v>3175</v>
      </c>
      <c r="B119" s="337" t="s">
        <v>55</v>
      </c>
      <c r="C119" s="2009" t="s">
        <v>3060</v>
      </c>
      <c r="D119" s="1808">
        <f>'ТЕ_2ст_тариф_з ЦТП'!J146/D$20*1000/12</f>
        <v>0</v>
      </c>
      <c r="E119" s="1808">
        <f>'ТЕ_2ст_тариф_з ЦТП'!M146/E$20*1000/12</f>
        <v>0</v>
      </c>
      <c r="F119" s="1808">
        <f>'ТЕ_2ст_тариф_з ЦТП'!P146/F$20*1000/12</f>
        <v>0</v>
      </c>
      <c r="G119" s="1808">
        <f>'ТЕ_2ст_тариф_з ЦТП'!S146/G$20*1000/12</f>
        <v>0</v>
      </c>
    </row>
    <row r="120" spans="1:7" ht="26.4" x14ac:dyDescent="0.25">
      <c r="A120" s="1822" t="s">
        <v>3176</v>
      </c>
      <c r="B120" s="337" t="s">
        <v>452</v>
      </c>
      <c r="C120" s="2009" t="s">
        <v>3060</v>
      </c>
      <c r="D120" s="1808">
        <f>'ТЕ_2ст_тариф_з ЦТП'!J147/D$20*1000/12</f>
        <v>0</v>
      </c>
      <c r="E120" s="1808">
        <f>'ТЕ_2ст_тариф_з ЦТП'!M147/E$20*1000/12</f>
        <v>0</v>
      </c>
      <c r="F120" s="1808">
        <f>'ТЕ_2ст_тариф_з ЦТП'!P147/F$20*1000/12</f>
        <v>0</v>
      </c>
      <c r="G120" s="1808">
        <f>'ТЕ_2ст_тариф_з ЦТП'!S147/G$20*1000/12</f>
        <v>0</v>
      </c>
    </row>
    <row r="121" spans="1:7" x14ac:dyDescent="0.25">
      <c r="A121" s="1822" t="s">
        <v>3177</v>
      </c>
      <c r="B121" s="1814" t="s">
        <v>233</v>
      </c>
      <c r="C121" s="2009" t="s">
        <v>3060</v>
      </c>
      <c r="D121" s="1808">
        <f>'ТЕ_2ст_тариф_з ЦТП'!J148/D$20*1000/12</f>
        <v>0</v>
      </c>
      <c r="E121" s="1808">
        <f>'ТЕ_2ст_тариф_з ЦТП'!M148/E$20*1000/12</f>
        <v>0</v>
      </c>
      <c r="F121" s="1808">
        <f>'ТЕ_2ст_тариф_з ЦТП'!P148/F$20*1000/12</f>
        <v>0</v>
      </c>
      <c r="G121" s="1808">
        <f>'ТЕ_2ст_тариф_з ЦТП'!S148/G$20*1000/12</f>
        <v>0</v>
      </c>
    </row>
    <row r="122" spans="1:7" x14ac:dyDescent="0.25">
      <c r="A122" s="1822" t="s">
        <v>2954</v>
      </c>
      <c r="B122" s="147" t="s">
        <v>105</v>
      </c>
      <c r="C122" s="2009" t="s">
        <v>3060</v>
      </c>
      <c r="D122" s="1808">
        <f>'ТЕ_2ст_тариф_з ЦТП'!J149/D$20*1000/12</f>
        <v>0</v>
      </c>
      <c r="E122" s="1808">
        <f>'ТЕ_2ст_тариф_з ЦТП'!M149/E$20*1000/12</f>
        <v>0</v>
      </c>
      <c r="F122" s="1808">
        <f>'ТЕ_2ст_тариф_з ЦТП'!P149/F$20*1000/12</f>
        <v>0</v>
      </c>
      <c r="G122" s="1808">
        <f>'ТЕ_2ст_тариф_з ЦТП'!S149/G$20*1000/12</f>
        <v>0</v>
      </c>
    </row>
    <row r="123" spans="1:7" x14ac:dyDescent="0.25">
      <c r="A123" s="1822" t="s">
        <v>2955</v>
      </c>
      <c r="B123" s="147" t="s">
        <v>5</v>
      </c>
      <c r="C123" s="2009" t="s">
        <v>3060</v>
      </c>
      <c r="D123" s="1808">
        <f>'ТЕ_2ст_тариф_з ЦТП'!J150/D$20*1000/12</f>
        <v>0</v>
      </c>
      <c r="E123" s="1808">
        <f>'ТЕ_2ст_тариф_з ЦТП'!M150/E$20*1000/12</f>
        <v>0</v>
      </c>
      <c r="F123" s="1808">
        <f>'ТЕ_2ст_тариф_з ЦТП'!P150/F$20*1000/12</f>
        <v>0</v>
      </c>
      <c r="G123" s="1808">
        <f>'ТЕ_2ст_тариф_з ЦТП'!S150/G$20*1000/12</f>
        <v>0</v>
      </c>
    </row>
    <row r="124" spans="1:7" x14ac:dyDescent="0.25">
      <c r="A124" s="1822" t="s">
        <v>2956</v>
      </c>
      <c r="B124" s="147" t="s">
        <v>63</v>
      </c>
      <c r="C124" s="2009" t="s">
        <v>3060</v>
      </c>
      <c r="D124" s="1808">
        <f>'ТЕ_2ст_тариф_з ЦТП'!J151/D$20*1000/12</f>
        <v>2284.226602221027</v>
      </c>
      <c r="E124" s="1808">
        <f>'ТЕ_2ст_тариф_з ЦТП'!M151/E$20*1000/12</f>
        <v>2284.2266022210274</v>
      </c>
      <c r="F124" s="1808">
        <f>'ТЕ_2ст_тариф_з ЦТП'!P151/F$20*1000/12</f>
        <v>2284.226602221027</v>
      </c>
      <c r="G124" s="1808">
        <f>'ТЕ_2ст_тариф_з ЦТП'!S151/G$20*1000/12</f>
        <v>2284.226602221027</v>
      </c>
    </row>
    <row r="125" spans="1:7" x14ac:dyDescent="0.25">
      <c r="A125" s="1822" t="s">
        <v>2957</v>
      </c>
      <c r="B125" s="147" t="s">
        <v>221</v>
      </c>
      <c r="C125" s="2009" t="s">
        <v>3060</v>
      </c>
      <c r="D125" s="1808">
        <f>'ТЕ_2ст_тариф_з ЦТП'!J152/D$20*1000/12</f>
        <v>0</v>
      </c>
      <c r="E125" s="1808">
        <f>'ТЕ_2ст_тариф_з ЦТП'!M152/E$20*1000/12</f>
        <v>0</v>
      </c>
      <c r="F125" s="1808">
        <f>'ТЕ_2ст_тариф_з ЦТП'!P152/F$20*1000/12</f>
        <v>0</v>
      </c>
      <c r="G125" s="1808">
        <f>'ТЕ_2ст_тариф_з ЦТП'!S152/G$20*1000/12</f>
        <v>0</v>
      </c>
    </row>
    <row r="126" spans="1:7" x14ac:dyDescent="0.25">
      <c r="A126" s="1822" t="s">
        <v>3178</v>
      </c>
      <c r="B126" s="147" t="s">
        <v>242</v>
      </c>
      <c r="C126" s="2009" t="s">
        <v>3060</v>
      </c>
      <c r="D126" s="1808">
        <f>'ТЕ_2ст_тариф_з ЦТП'!J153/D$20*1000/12</f>
        <v>105.85440351755976</v>
      </c>
      <c r="E126" s="1808">
        <f>'ТЕ_2ст_тариф_з ЦТП'!M153/E$20*1000/12</f>
        <v>105.85440351755977</v>
      </c>
      <c r="F126" s="1808">
        <f>'ТЕ_2ст_тариф_з ЦТП'!P153/F$20*1000/12</f>
        <v>105.85440351755977</v>
      </c>
      <c r="G126" s="1808">
        <f>'ТЕ_2ст_тариф_з ЦТП'!S153/G$20*1000/12</f>
        <v>105.85440351755976</v>
      </c>
    </row>
    <row r="127" spans="1:7" x14ac:dyDescent="0.25">
      <c r="A127" s="1822" t="s">
        <v>3179</v>
      </c>
      <c r="B127" s="147" t="s">
        <v>65</v>
      </c>
      <c r="C127" s="2009" t="s">
        <v>3060</v>
      </c>
      <c r="D127" s="1808">
        <f>'ТЕ_2ст_тариф_з ЦТП'!J154/D$20*1000/12</f>
        <v>19.053792633160743</v>
      </c>
      <c r="E127" s="1808">
        <f>'ТЕ_2ст_тариф_з ЦТП'!M154/E$20*1000/12</f>
        <v>19.05379263316075</v>
      </c>
      <c r="F127" s="1808">
        <f>'ТЕ_2ст_тариф_з ЦТП'!P154/F$20*1000/12</f>
        <v>19.053792633160754</v>
      </c>
      <c r="G127" s="1808">
        <f>'ТЕ_2ст_тариф_з ЦТП'!S154/G$20*1000/12</f>
        <v>19.05379263316075</v>
      </c>
    </row>
    <row r="128" spans="1:7" x14ac:dyDescent="0.25">
      <c r="A128" s="1822" t="s">
        <v>3180</v>
      </c>
      <c r="B128" s="147" t="s">
        <v>84</v>
      </c>
      <c r="C128" s="2009" t="s">
        <v>3060</v>
      </c>
      <c r="D128" s="1808">
        <f>'ТЕ_2ст_тариф_з ЦТП'!J155/D$20*1000/12</f>
        <v>0</v>
      </c>
      <c r="E128" s="1808">
        <f>'ТЕ_2ст_тариф_з ЦТП'!M155/E$20*1000/12</f>
        <v>0</v>
      </c>
      <c r="F128" s="1808">
        <f>'ТЕ_2ст_тариф_з ЦТП'!P155/F$20*1000/12</f>
        <v>0</v>
      </c>
      <c r="G128" s="1808">
        <f>'ТЕ_2ст_тариф_з ЦТП'!S155/G$20*1000/12</f>
        <v>0</v>
      </c>
    </row>
    <row r="129" spans="1:7" x14ac:dyDescent="0.25">
      <c r="A129" s="1822" t="s">
        <v>3181</v>
      </c>
      <c r="B129" s="147" t="s">
        <v>85</v>
      </c>
      <c r="C129" s="2009" t="s">
        <v>3060</v>
      </c>
      <c r="D129" s="1808">
        <f>'ТЕ_2ст_тариф_з ЦТП'!J156/D$20*1000/12</f>
        <v>0</v>
      </c>
      <c r="E129" s="1808">
        <f>'ТЕ_2ст_тариф_з ЦТП'!M156/E$20*1000/12</f>
        <v>0</v>
      </c>
      <c r="F129" s="1808">
        <f>'ТЕ_2ст_тариф_з ЦТП'!P156/F$20*1000/12</f>
        <v>0</v>
      </c>
      <c r="G129" s="1808">
        <f>'ТЕ_2ст_тариф_з ЦТП'!S156/G$20*1000/12</f>
        <v>0</v>
      </c>
    </row>
    <row r="130" spans="1:7" x14ac:dyDescent="0.25">
      <c r="A130" s="1822" t="s">
        <v>3182</v>
      </c>
      <c r="B130" s="147" t="s">
        <v>71</v>
      </c>
      <c r="C130" s="2009" t="s">
        <v>3060</v>
      </c>
      <c r="D130" s="1808">
        <f>'ТЕ_2ст_тариф_з ЦТП'!J157/D$20*1000/12</f>
        <v>0</v>
      </c>
      <c r="E130" s="1808">
        <f>'ТЕ_2ст_тариф_з ЦТП'!M157/E$20*1000/12</f>
        <v>0</v>
      </c>
      <c r="F130" s="1808">
        <f>'ТЕ_2ст_тариф_з ЦТП'!P157/F$20*1000/12</f>
        <v>0</v>
      </c>
      <c r="G130" s="1808">
        <f>'ТЕ_2ст_тариф_з ЦТП'!S157/G$20*1000/12</f>
        <v>0</v>
      </c>
    </row>
    <row r="131" spans="1:7" x14ac:dyDescent="0.25">
      <c r="A131" s="1822" t="s">
        <v>3183</v>
      </c>
      <c r="B131" s="147" t="s">
        <v>86</v>
      </c>
      <c r="C131" s="2009" t="s">
        <v>3060</v>
      </c>
      <c r="D131" s="1808">
        <f>'ТЕ_2ст_тариф_з ЦТП'!J158/D$20*1000/12</f>
        <v>86.800610884399021</v>
      </c>
      <c r="E131" s="1808">
        <f>'ТЕ_2ст_тариф_з ЦТП'!M158/E$20*1000/12</f>
        <v>86.800610884399021</v>
      </c>
      <c r="F131" s="1808">
        <f>'ТЕ_2ст_тариф_з ЦТП'!P158/F$20*1000/12</f>
        <v>86.800610884399021</v>
      </c>
      <c r="G131" s="1808">
        <f>'ТЕ_2ст_тариф_з ЦТП'!S158/G$20*1000/12</f>
        <v>86.800610884399021</v>
      </c>
    </row>
    <row r="135" spans="1:7" ht="15.6" x14ac:dyDescent="0.3">
      <c r="B135" s="1587" t="s">
        <v>2821</v>
      </c>
      <c r="C135" s="1587"/>
      <c r="D135" s="4901" t="s">
        <v>2822</v>
      </c>
      <c r="E135" s="4901"/>
      <c r="F135" s="4901"/>
      <c r="G135" s="4901"/>
    </row>
    <row r="141" spans="1:7" x14ac:dyDescent="0.25">
      <c r="D141" s="1789"/>
    </row>
  </sheetData>
  <mergeCells count="22">
    <mergeCell ref="A101:G101"/>
    <mergeCell ref="D135:G135"/>
    <mergeCell ref="A12:G12"/>
    <mergeCell ref="A15:G15"/>
    <mergeCell ref="A23:G23"/>
    <mergeCell ref="A30:G30"/>
    <mergeCell ref="A61:G61"/>
    <mergeCell ref="A65:G65"/>
    <mergeCell ref="D4:G4"/>
    <mergeCell ref="L4:N4"/>
    <mergeCell ref="A6:G6"/>
    <mergeCell ref="A7:G7"/>
    <mergeCell ref="A9:A10"/>
    <mergeCell ref="B9:B10"/>
    <mergeCell ref="C9:C10"/>
    <mergeCell ref="D9:G9"/>
    <mergeCell ref="D1:G1"/>
    <mergeCell ref="L1:N1"/>
    <mergeCell ref="D2:G2"/>
    <mergeCell ref="L2:N2"/>
    <mergeCell ref="D3:G3"/>
    <mergeCell ref="L3:N3"/>
  </mergeCells>
  <pageMargins left="0.70866141732283472" right="0.31496062992125984" top="0.43307086614173229" bottom="0.35433070866141736" header="0.31496062992125984" footer="0.31496062992125984"/>
  <pageSetup paperSize="9" scale="96" fitToHeight="3" orientation="portrait" horizontalDpi="0" verticalDpi="0" r:id="rId1"/>
</worksheet>
</file>

<file path=xl/worksheets/sheet1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200-000000000000}">
  <sheetPr codeName="Лист111">
    <tabColor rgb="FFEC20C5"/>
    <pageSetUpPr fitToPage="1"/>
  </sheetPr>
  <dimension ref="A1:L143"/>
  <sheetViews>
    <sheetView topLeftCell="A31" workbookViewId="0">
      <selection activeCell="A31" sqref="A1:XFD1048576"/>
    </sheetView>
  </sheetViews>
  <sheetFormatPr defaultColWidth="8.88671875" defaultRowHeight="13.8" x14ac:dyDescent="0.25"/>
  <cols>
    <col min="1" max="1" width="5.33203125" style="1445" customWidth="1"/>
    <col min="2" max="2" width="40.88671875" style="1788" customWidth="1"/>
    <col min="3" max="3" width="8" style="1788" customWidth="1"/>
    <col min="4" max="4" width="13.33203125" style="10" customWidth="1"/>
    <col min="5" max="5" width="12.33203125" style="10" customWidth="1"/>
    <col min="6" max="6" width="11.88671875" style="10" customWidth="1"/>
    <col min="7" max="7" width="12" style="10" customWidth="1"/>
    <col min="8" max="8" width="8.88671875" style="10"/>
    <col min="9" max="9" width="11.33203125" style="1121" customWidth="1"/>
    <col min="10" max="12" width="11.33203125" style="10" customWidth="1"/>
    <col min="13" max="16384" width="8.88671875" style="10"/>
  </cols>
  <sheetData>
    <row r="1" spans="1:12" s="45" customFormat="1" ht="15.6" x14ac:dyDescent="0.3">
      <c r="A1" s="2091"/>
      <c r="B1" s="1796"/>
      <c r="C1" s="1796"/>
      <c r="D1" s="4910" t="s">
        <v>3087</v>
      </c>
      <c r="E1" s="4910"/>
      <c r="F1" s="4910"/>
      <c r="I1" s="1499"/>
    </row>
    <row r="2" spans="1:12" s="45" customFormat="1" ht="15.6" x14ac:dyDescent="0.3">
      <c r="A2" s="1794"/>
      <c r="B2" s="1796"/>
      <c r="C2" s="1796"/>
      <c r="D2" s="5471" t="s">
        <v>2812</v>
      </c>
      <c r="E2" s="5471"/>
      <c r="F2" s="5471"/>
      <c r="I2" s="1499"/>
    </row>
    <row r="3" spans="1:12" s="45" customFormat="1" ht="27.6" customHeight="1" x14ac:dyDescent="0.3">
      <c r="A3" s="1794"/>
      <c r="B3" s="1796"/>
      <c r="C3" s="1796"/>
      <c r="D3" s="5472" t="s">
        <v>2827</v>
      </c>
      <c r="E3" s="5472"/>
      <c r="F3" s="5472"/>
      <c r="I3" s="1499"/>
    </row>
    <row r="4" spans="1:12" s="45" customFormat="1" ht="15.6" x14ac:dyDescent="0.3">
      <c r="A4" s="1794"/>
      <c r="B4" s="1796"/>
      <c r="C4" s="1796"/>
      <c r="D4" s="5471" t="s">
        <v>2823</v>
      </c>
      <c r="E4" s="5471"/>
      <c r="F4" s="5471"/>
      <c r="I4" s="1499"/>
    </row>
    <row r="5" spans="1:12" s="45" customFormat="1" ht="15.6" x14ac:dyDescent="0.3">
      <c r="A5" s="1445"/>
      <c r="B5" s="1795"/>
      <c r="C5" s="1795"/>
      <c r="I5" s="1499"/>
    </row>
    <row r="6" spans="1:12" s="45" customFormat="1" ht="15.6" x14ac:dyDescent="0.3">
      <c r="A6" s="4911" t="s">
        <v>2967</v>
      </c>
      <c r="B6" s="4911"/>
      <c r="C6" s="4911"/>
      <c r="D6" s="4911"/>
      <c r="E6" s="4911"/>
      <c r="F6" s="4911"/>
      <c r="G6" s="4911"/>
      <c r="I6" s="1499"/>
    </row>
    <row r="7" spans="1:12" s="45" customFormat="1" ht="67.2" customHeight="1" x14ac:dyDescent="0.3">
      <c r="A7" s="4912" t="s">
        <v>3190</v>
      </c>
      <c r="B7" s="4912"/>
      <c r="C7" s="4912"/>
      <c r="D7" s="4912"/>
      <c r="E7" s="4912"/>
      <c r="F7" s="4912"/>
      <c r="G7" s="4912"/>
      <c r="I7" s="1499"/>
    </row>
    <row r="8" spans="1:12" s="45" customFormat="1" ht="14.4" customHeight="1" x14ac:dyDescent="0.3">
      <c r="A8" s="1811"/>
      <c r="B8" s="1811"/>
      <c r="C8" s="1811"/>
      <c r="D8" s="1793"/>
      <c r="E8" s="1793"/>
      <c r="F8" s="1793"/>
      <c r="G8" s="1812" t="s">
        <v>1734</v>
      </c>
      <c r="I8" s="1499"/>
    </row>
    <row r="9" spans="1:12" s="40" customFormat="1" ht="15.6" x14ac:dyDescent="0.3">
      <c r="A9" s="4925" t="s">
        <v>2864</v>
      </c>
      <c r="B9" s="4915" t="s">
        <v>110</v>
      </c>
      <c r="C9" s="4915" t="s">
        <v>2255</v>
      </c>
      <c r="D9" s="4917" t="s">
        <v>2865</v>
      </c>
      <c r="E9" s="4918"/>
      <c r="F9" s="4918"/>
      <c r="G9" s="4919"/>
      <c r="I9" s="1806"/>
    </row>
    <row r="10" spans="1:12" s="40" customFormat="1" ht="39.6" x14ac:dyDescent="0.3">
      <c r="A10" s="4926"/>
      <c r="B10" s="4916"/>
      <c r="C10" s="4916"/>
      <c r="D10" s="1475" t="s">
        <v>2736</v>
      </c>
      <c r="E10" s="1475" t="s">
        <v>2737</v>
      </c>
      <c r="F10" s="1475" t="s">
        <v>2866</v>
      </c>
      <c r="G10" s="1475" t="s">
        <v>2810</v>
      </c>
      <c r="I10" s="1806"/>
    </row>
    <row r="11" spans="1:12" s="40" customFormat="1" ht="15.6" x14ac:dyDescent="0.3">
      <c r="A11" s="1611" t="s">
        <v>2691</v>
      </c>
      <c r="B11" s="1810">
        <v>1</v>
      </c>
      <c r="C11" s="1810">
        <v>2</v>
      </c>
      <c r="D11" s="1611">
        <v>3</v>
      </c>
      <c r="E11" s="1611">
        <v>4</v>
      </c>
      <c r="F11" s="1611">
        <v>5</v>
      </c>
      <c r="G11" s="1611">
        <v>6</v>
      </c>
      <c r="I11" s="1806"/>
    </row>
    <row r="12" spans="1:12" s="45" customFormat="1" ht="15.6" x14ac:dyDescent="0.3">
      <c r="A12" s="4902" t="s">
        <v>2867</v>
      </c>
      <c r="B12" s="4902"/>
      <c r="C12" s="4902"/>
      <c r="D12" s="4902"/>
      <c r="E12" s="4902"/>
      <c r="F12" s="4902"/>
      <c r="G12" s="4902"/>
      <c r="I12" s="1499"/>
    </row>
    <row r="13" spans="1:12" s="45" customFormat="1" ht="39.6" x14ac:dyDescent="0.3">
      <c r="A13" s="1611">
        <v>1</v>
      </c>
      <c r="B13" s="1800" t="s">
        <v>2868</v>
      </c>
      <c r="C13" s="1475" t="s">
        <v>2286</v>
      </c>
      <c r="D13" s="1804">
        <f>'ТЕ_2ст_тариф_без ЦТП'!I214</f>
        <v>1022.9</v>
      </c>
      <c r="E13" s="1804">
        <f>'ТЕ_2ст_тариф_без ЦТП'!L214</f>
        <v>2009.91</v>
      </c>
      <c r="F13" s="1804">
        <f>'ТЕ_2ст_тариф_без ЦТП'!O214</f>
        <v>2009.91</v>
      </c>
      <c r="G13" s="1804">
        <f>'ТЕ_2ст_тариф_без ЦТП'!R214</f>
        <v>2009.91</v>
      </c>
      <c r="I13" s="3078">
        <f>D13*1.2</f>
        <v>1227.48</v>
      </c>
      <c r="J13" s="3078">
        <f t="shared" ref="J13:L14" si="0">E13*1.2</f>
        <v>2411.8919999999998</v>
      </c>
      <c r="K13" s="3078">
        <f t="shared" si="0"/>
        <v>2411.8919999999998</v>
      </c>
      <c r="L13" s="3078">
        <f>G13*1.2</f>
        <v>2411.8919999999998</v>
      </c>
    </row>
    <row r="14" spans="1:12" s="45" customFormat="1" ht="40.200000000000003" customHeight="1" x14ac:dyDescent="0.3">
      <c r="A14" s="1611">
        <v>2</v>
      </c>
      <c r="B14" s="1800" t="s">
        <v>2869</v>
      </c>
      <c r="C14" s="1475" t="s">
        <v>3058</v>
      </c>
      <c r="D14" s="1804">
        <f>'ТЕ_2ст_тариф_без ЦТП'!J224/12</f>
        <v>8387.8350000000009</v>
      </c>
      <c r="E14" s="1804">
        <f>'ТЕ_2ст_тариф_без ЦТП'!M224/12</f>
        <v>9816.9566666666669</v>
      </c>
      <c r="F14" s="1804">
        <f>'ТЕ_2ст_тариф_без ЦТП'!P224/12</f>
        <v>9816.9566666666669</v>
      </c>
      <c r="G14" s="1804">
        <f>'ТЕ_2ст_тариф_без ЦТП'!S224/12</f>
        <v>9816.9566666666669</v>
      </c>
      <c r="I14" s="3078">
        <f>D14*1.2</f>
        <v>10065.402</v>
      </c>
      <c r="J14" s="3078">
        <f t="shared" si="0"/>
        <v>11780.348</v>
      </c>
      <c r="K14" s="3078">
        <f t="shared" si="0"/>
        <v>11780.348</v>
      </c>
      <c r="L14" s="3078">
        <f t="shared" si="0"/>
        <v>11780.348</v>
      </c>
    </row>
    <row r="15" spans="1:12" s="45" customFormat="1" ht="15.6" x14ac:dyDescent="0.3">
      <c r="A15" s="4903" t="s">
        <v>2870</v>
      </c>
      <c r="B15" s="4904"/>
      <c r="C15" s="4904"/>
      <c r="D15" s="4904"/>
      <c r="E15" s="4904"/>
      <c r="F15" s="4904"/>
      <c r="G15" s="4905"/>
      <c r="I15" s="1499"/>
    </row>
    <row r="16" spans="1:12" s="45" customFormat="1" ht="26.4" x14ac:dyDescent="0.3">
      <c r="A16" s="1611">
        <v>3</v>
      </c>
      <c r="B16" s="1800" t="s">
        <v>3059</v>
      </c>
      <c r="C16" s="1475" t="s">
        <v>2160</v>
      </c>
      <c r="D16" s="1805">
        <f>'ТЕ_2ст_тариф_без ЦТП'!I30</f>
        <v>90.271057497103627</v>
      </c>
      <c r="E16" s="1805">
        <f>'ТЕ_2ст_тариф_без ЦТП'!L30</f>
        <v>1.4602989074179139E-2</v>
      </c>
      <c r="F16" s="1805">
        <f>'ТЕ_2ст_тариф_без ЦТП'!O30</f>
        <v>13.752767963175286</v>
      </c>
      <c r="G16" s="1805">
        <f>'ТЕ_2ст_тариф_без ЦТП'!R30</f>
        <v>4.6371042268930927</v>
      </c>
      <c r="I16" s="1807">
        <f>'ТЕ_2ст_тариф_без ЦТП'!E30-'Рішення 3Д'!D16-'Рішення 3Д'!E16-'Рішення 3Д'!F16-'Рішення 3Д'!G16</f>
        <v>-7.9936057773011271E-15</v>
      </c>
    </row>
    <row r="17" spans="1:9" s="45" customFormat="1" ht="27" customHeight="1" x14ac:dyDescent="0.3">
      <c r="A17" s="1801" t="s">
        <v>2873</v>
      </c>
      <c r="B17" s="1802" t="s">
        <v>2876</v>
      </c>
      <c r="C17" s="1006" t="s">
        <v>2160</v>
      </c>
      <c r="D17" s="1805">
        <f>'ТЕ_2ст_тариф_без ЦТП'!I14</f>
        <v>82.049342543904487</v>
      </c>
      <c r="E17" s="1805">
        <f>'ТЕ_2ст_тариф_без ЦТП'!L14</f>
        <v>1.3291675959893333E-2</v>
      </c>
      <c r="F17" s="1805">
        <f>'ТЕ_2ст_тариф_без ЦТП'!O14</f>
        <v>12.519553368115806</v>
      </c>
      <c r="G17" s="1805">
        <f>'ТЕ_2ст_тариф_без ЦТП'!R14</f>
        <v>4.2136191041387132</v>
      </c>
      <c r="I17" s="1499"/>
    </row>
    <row r="18" spans="1:9" s="45" customFormat="1" ht="14.4" customHeight="1" x14ac:dyDescent="0.3">
      <c r="A18" s="1611" t="s">
        <v>2874</v>
      </c>
      <c r="B18" s="2023" t="s">
        <v>644</v>
      </c>
      <c r="C18" s="1006" t="s">
        <v>2160</v>
      </c>
      <c r="D18" s="1805">
        <f>'ТЕ_2ст_тариф_без ЦТП'!I15</f>
        <v>13.668480880354855</v>
      </c>
      <c r="E18" s="1805">
        <f>'ТЕ_2ст_тариф_без ЦТП'!L15</f>
        <v>0</v>
      </c>
      <c r="F18" s="1805">
        <f>'ТЕ_2ст_тариф_без ЦТП'!O15</f>
        <v>2.0104763849135998</v>
      </c>
      <c r="G18" s="1805">
        <f>'ТЕ_2ст_тариф_без ЦТП'!R15</f>
        <v>0.76925616016375076</v>
      </c>
      <c r="I18" s="1499"/>
    </row>
    <row r="19" spans="1:9" s="45" customFormat="1" ht="15.6" customHeight="1" x14ac:dyDescent="0.3">
      <c r="A19" s="1611" t="s">
        <v>2875</v>
      </c>
      <c r="B19" s="2023" t="s">
        <v>643</v>
      </c>
      <c r="C19" s="1006" t="s">
        <v>2160</v>
      </c>
      <c r="D19" s="1805">
        <f>'ТЕ_2ст_тариф_без ЦТП'!I16</f>
        <v>68.380861663549609</v>
      </c>
      <c r="E19" s="1805">
        <f>'ТЕ_2ст_тариф_без ЦТП'!L16</f>
        <v>1.3291675959893333E-2</v>
      </c>
      <c r="F19" s="1805">
        <f>'ТЕ_2ст_тариф_без ЦТП'!O16</f>
        <v>10.509076983202204</v>
      </c>
      <c r="G19" s="1805">
        <f>'ТЕ_2ст_тариф_без ЦТП'!R16</f>
        <v>3.4443629439749621</v>
      </c>
      <c r="I19" s="1499"/>
    </row>
    <row r="20" spans="1:9" s="45" customFormat="1" ht="15.6" x14ac:dyDescent="0.3">
      <c r="A20" s="1611">
        <v>4</v>
      </c>
      <c r="B20" s="2023" t="s">
        <v>2189</v>
      </c>
      <c r="C20" s="1823" t="s">
        <v>31</v>
      </c>
      <c r="D20" s="1805">
        <f>'ТЕ_2ст_тариф_без ЦТП'!J17</f>
        <v>59.458515646999999</v>
      </c>
      <c r="E20" s="1805">
        <f>'ТЕ_2ст_тариф_без ЦТП'!M17</f>
        <v>9.6319999999999999E-3</v>
      </c>
      <c r="F20" s="1805">
        <f>'ТЕ_2ст_тариф_без ЦТП'!P17</f>
        <v>9.0724704999999997</v>
      </c>
      <c r="G20" s="1805">
        <f>'ТЕ_2ст_тариф_без ЦТП'!S17</f>
        <v>3.05345837</v>
      </c>
      <c r="I20" s="1499"/>
    </row>
    <row r="21" spans="1:9" s="45" customFormat="1" ht="15.6" x14ac:dyDescent="0.3">
      <c r="A21" s="1611" t="s">
        <v>1775</v>
      </c>
      <c r="B21" s="2023" t="s">
        <v>644</v>
      </c>
      <c r="C21" s="1823" t="s">
        <v>31</v>
      </c>
      <c r="D21" s="1805">
        <f>'ТЕ_2ст_тариф_без ЦТП'!J18</f>
        <v>9.9052058670000012</v>
      </c>
      <c r="E21" s="1805">
        <f>'ТЕ_2ст_тариф_без ЦТП'!M18</f>
        <v>0</v>
      </c>
      <c r="F21" s="1805">
        <f>'ТЕ_2ст_тариф_без ЦТП'!P18</f>
        <v>1.45692</v>
      </c>
      <c r="G21" s="1805">
        <f>'ТЕ_2ст_тариф_без ЦТП'!S18</f>
        <v>0.5574522999999999</v>
      </c>
      <c r="I21" s="1499"/>
    </row>
    <row r="22" spans="1:9" s="45" customFormat="1" ht="15.6" x14ac:dyDescent="0.3">
      <c r="A22" s="1611" t="s">
        <v>1778</v>
      </c>
      <c r="B22" s="2023" t="s">
        <v>643</v>
      </c>
      <c r="C22" s="1823" t="s">
        <v>31</v>
      </c>
      <c r="D22" s="1805">
        <f>'ТЕ_2ст_тариф_без ЦТП'!J19</f>
        <v>49.553309780062136</v>
      </c>
      <c r="E22" s="1805">
        <f>'ТЕ_2ст_тариф_без ЦТП'!M19</f>
        <v>9.6319999999999999E-3</v>
      </c>
      <c r="F22" s="1805">
        <f>'ТЕ_2ст_тариф_без ЦТП'!P19</f>
        <v>7.6155505000000003</v>
      </c>
      <c r="G22" s="1805">
        <f>'ТЕ_2ст_тариф_без ЦТП'!S19</f>
        <v>2.4960060699999995</v>
      </c>
      <c r="I22" s="1499"/>
    </row>
    <row r="23" spans="1:9" s="45" customFormat="1" ht="15.6" x14ac:dyDescent="0.3">
      <c r="A23" s="4906" t="s">
        <v>3095</v>
      </c>
      <c r="B23" s="4906"/>
      <c r="C23" s="4906"/>
      <c r="D23" s="4906"/>
      <c r="E23" s="4906"/>
      <c r="F23" s="4906"/>
      <c r="G23" s="4906"/>
      <c r="I23" s="1499"/>
    </row>
    <row r="24" spans="1:9" s="45" customFormat="1" ht="26.4" x14ac:dyDescent="0.3">
      <c r="A24" s="1491">
        <v>5</v>
      </c>
      <c r="B24" s="1823" t="s">
        <v>2963</v>
      </c>
      <c r="C24" s="2010" t="s">
        <v>2286</v>
      </c>
      <c r="D24" s="1803">
        <f>'ТЕ_2ст_тариф_без ЦТП'!I37/D$16</f>
        <v>889.12343253867959</v>
      </c>
      <c r="E24" s="1803">
        <f>'ТЕ_2ст_тариф_без ЦТП'!L37/E$16</f>
        <v>1876.1334419091138</v>
      </c>
      <c r="F24" s="1803">
        <f>'ТЕ_2ст_тариф_без ЦТП'!O37/F$16</f>
        <v>1876.1334419091138</v>
      </c>
      <c r="G24" s="1803">
        <f>'ТЕ_2ст_тариф_без ЦТП'!R37/G$16</f>
        <v>1876.133441909114</v>
      </c>
      <c r="I24" s="1499"/>
    </row>
    <row r="25" spans="1:9" s="45" customFormat="1" ht="16.2" customHeight="1" x14ac:dyDescent="0.3">
      <c r="A25" s="1491" t="s">
        <v>1847</v>
      </c>
      <c r="B25" s="337" t="s">
        <v>216</v>
      </c>
      <c r="C25" s="2010" t="s">
        <v>2286</v>
      </c>
      <c r="D25" s="1803">
        <f>'ТЕ_2ст_тариф_без ЦТП'!I38/D$16</f>
        <v>889.12343253867959</v>
      </c>
      <c r="E25" s="1803">
        <f>'ТЕ_2ст_тариф_без ЦТП'!L38/E$16</f>
        <v>1876.1334419091138</v>
      </c>
      <c r="F25" s="1803">
        <f>'ТЕ_2ст_тариф_без ЦТП'!O38/F$16</f>
        <v>1876.1334419091138</v>
      </c>
      <c r="G25" s="1803">
        <f>'ТЕ_2ст_тариф_без ЦТП'!R38/G$16</f>
        <v>1876.133441909114</v>
      </c>
      <c r="I25" s="1499"/>
    </row>
    <row r="26" spans="1:9" s="45" customFormat="1" ht="16.95" customHeight="1" x14ac:dyDescent="0.3">
      <c r="A26" s="1809" t="s">
        <v>2880</v>
      </c>
      <c r="B26" s="147" t="s">
        <v>454</v>
      </c>
      <c r="C26" s="2010" t="s">
        <v>2286</v>
      </c>
      <c r="D26" s="1803">
        <f>'ТЕ_2ст_тариф_без ЦТП'!I39/D$16</f>
        <v>834.48969635856406</v>
      </c>
      <c r="E26" s="1803">
        <f>'ТЕ_2ст_тариф_без ЦТП'!L39/E$16</f>
        <v>1821.4997057289984</v>
      </c>
      <c r="F26" s="1803">
        <f>'ТЕ_2ст_тариф_без ЦТП'!O39/F$16</f>
        <v>1821.4997057289984</v>
      </c>
      <c r="G26" s="1803">
        <f>'ТЕ_2ст_тариф_без ЦТП'!R39/G$16</f>
        <v>1821.4997057289986</v>
      </c>
      <c r="I26" s="1499"/>
    </row>
    <row r="27" spans="1:9" s="45" customFormat="1" ht="17.399999999999999" customHeight="1" x14ac:dyDescent="0.3">
      <c r="A27" s="1813" t="s">
        <v>2905</v>
      </c>
      <c r="B27" s="1797" t="s">
        <v>440</v>
      </c>
      <c r="C27" s="2010" t="s">
        <v>2286</v>
      </c>
      <c r="D27" s="1803">
        <f>'ТЕ_2ст_тариф_без ЦТП'!I40/D$16</f>
        <v>816.45600016595188</v>
      </c>
      <c r="E27" s="1803">
        <f>'ТЕ_2ст_тариф_без ЦТП'!L40/E$16</f>
        <v>1803.4660095363861</v>
      </c>
      <c r="F27" s="1803">
        <f>'ТЕ_2ст_тариф_без ЦТП'!O40/F$16</f>
        <v>1803.4660095363861</v>
      </c>
      <c r="G27" s="1803">
        <f>'ТЕ_2ст_тариф_без ЦТП'!R40/G$16</f>
        <v>1803.4660095363865</v>
      </c>
      <c r="I27" s="1499"/>
    </row>
    <row r="28" spans="1:9" s="45" customFormat="1" ht="17.399999999999999" customHeight="1" x14ac:dyDescent="0.3">
      <c r="A28" s="1813" t="s">
        <v>2906</v>
      </c>
      <c r="B28" s="1797" t="s">
        <v>1904</v>
      </c>
      <c r="C28" s="2010" t="s">
        <v>2286</v>
      </c>
      <c r="D28" s="1803">
        <f>'ТЕ_2ст_тариф_без ЦТП'!I41/D$16</f>
        <v>18.033696192612236</v>
      </c>
      <c r="E28" s="1803">
        <f>'ТЕ_2ст_тариф_без ЦТП'!L41/E$16</f>
        <v>18.033696192612236</v>
      </c>
      <c r="F28" s="1803">
        <f>'ТЕ_2ст_тариф_без ЦТП'!O41/F$16</f>
        <v>18.033696192612233</v>
      </c>
      <c r="G28" s="1803">
        <f>'ТЕ_2ст_тариф_без ЦТП'!R41/G$16</f>
        <v>18.03369619261224</v>
      </c>
      <c r="I28" s="1499"/>
    </row>
    <row r="29" spans="1:9" s="45" customFormat="1" ht="17.399999999999999" customHeight="1" x14ac:dyDescent="0.3">
      <c r="A29" s="1491" t="s">
        <v>1849</v>
      </c>
      <c r="B29" s="147" t="s">
        <v>43</v>
      </c>
      <c r="C29" s="2010" t="s">
        <v>2286</v>
      </c>
      <c r="D29" s="1803">
        <f>'ТЕ_2ст_тариф_без ЦТП'!I43/D$16</f>
        <v>54.633736180115534</v>
      </c>
      <c r="E29" s="1803">
        <f>'ТЕ_2ст_тариф_без ЦТП'!L43/E$16</f>
        <v>54.633736180115527</v>
      </c>
      <c r="F29" s="1803">
        <f>'ТЕ_2ст_тариф_без ЦТП'!O43/F$16</f>
        <v>54.633736180115527</v>
      </c>
      <c r="G29" s="1803">
        <f>'ТЕ_2ст_тариф_без ЦТП'!R43/G$16</f>
        <v>54.633736180115534</v>
      </c>
      <c r="I29" s="1499"/>
    </row>
    <row r="30" spans="1:9" s="45" customFormat="1" ht="15.6" x14ac:dyDescent="0.3">
      <c r="A30" s="4906" t="s">
        <v>3091</v>
      </c>
      <c r="B30" s="4906"/>
      <c r="C30" s="4906"/>
      <c r="D30" s="4906"/>
      <c r="E30" s="4906"/>
      <c r="F30" s="4906"/>
      <c r="G30" s="4906"/>
      <c r="I30" s="1499"/>
    </row>
    <row r="31" spans="1:9" s="45" customFormat="1" ht="26.4" x14ac:dyDescent="0.3">
      <c r="A31" s="1798">
        <v>6</v>
      </c>
      <c r="B31" s="1823" t="s">
        <v>2964</v>
      </c>
      <c r="C31" s="2010" t="s">
        <v>3058</v>
      </c>
      <c r="D31" s="1808">
        <f>'ТЕ_2ст_тариф_без ЦТП'!J76/D$20*1000/12</f>
        <v>54678.243989172748</v>
      </c>
      <c r="E31" s="1808">
        <f>'ТЕ_2ст_тариф_без ЦТП'!M76/E$20*1000/12</f>
        <v>60453.204509315598</v>
      </c>
      <c r="F31" s="1808">
        <f>'ТЕ_2ст_тариф_без ЦТП'!P76/F$20*1000/12</f>
        <v>60453.204509315598</v>
      </c>
      <c r="G31" s="1808">
        <f>'ТЕ_2ст_тариф_без ЦТП'!S76/G$20*1000/12</f>
        <v>60453.204509315576</v>
      </c>
      <c r="I31" s="1499"/>
    </row>
    <row r="32" spans="1:9" s="45" customFormat="1" ht="15.6" x14ac:dyDescent="0.3">
      <c r="A32" s="1798">
        <v>7</v>
      </c>
      <c r="B32" s="337" t="s">
        <v>215</v>
      </c>
      <c r="C32" s="2008" t="s">
        <v>3060</v>
      </c>
      <c r="D32" s="1808">
        <f>'ТЕ_2ст_тариф_без ЦТП'!J37/D$20*1000/12</f>
        <v>39900.889675577782</v>
      </c>
      <c r="E32" s="1808">
        <f>'ТЕ_2ст_тариф_без ЦТП'!M37/E$20*1000/12</f>
        <v>39900.889675548191</v>
      </c>
      <c r="F32" s="1808">
        <f>'ТЕ_2ст_тариф_без ЦТП'!P37/F$20*1000/12</f>
        <v>39900.889675548191</v>
      </c>
      <c r="G32" s="1808">
        <f>'ТЕ_2ст_тариф_без ЦТП'!S37/G$20*1000/12</f>
        <v>39900.889675548176</v>
      </c>
      <c r="I32" s="1499"/>
    </row>
    <row r="33" spans="1:9" s="45" customFormat="1" ht="15.6" x14ac:dyDescent="0.3">
      <c r="A33" s="1798" t="s">
        <v>1029</v>
      </c>
      <c r="B33" s="337" t="s">
        <v>216</v>
      </c>
      <c r="C33" s="2008" t="s">
        <v>3060</v>
      </c>
      <c r="D33" s="1808">
        <f>'ТЕ_2ст_тариф_без ЦТП'!J38/D$20*1000/12</f>
        <v>12345.839733709254</v>
      </c>
      <c r="E33" s="1808">
        <f>'ТЕ_2ст_тариф_без ЦТП'!M38/E$20*1000/12</f>
        <v>12345.839733708459</v>
      </c>
      <c r="F33" s="1808">
        <f>'ТЕ_2ст_тариф_без ЦТП'!P38/F$20*1000/12</f>
        <v>12345.839733708459</v>
      </c>
      <c r="G33" s="1808">
        <f>'ТЕ_2ст_тариф_без ЦТП'!S38/G$20*1000/12</f>
        <v>12345.839733708459</v>
      </c>
      <c r="I33" s="1499"/>
    </row>
    <row r="34" spans="1:9" s="45" customFormat="1" ht="15.6" x14ac:dyDescent="0.3">
      <c r="A34" s="1798" t="s">
        <v>3136</v>
      </c>
      <c r="B34" s="147" t="s">
        <v>454</v>
      </c>
      <c r="C34" s="2008" t="s">
        <v>3060</v>
      </c>
      <c r="D34" s="1808">
        <f>'ТЕ_2ст_тариф_без ЦТП'!J39/D$20*1000/12</f>
        <v>11581.902435319133</v>
      </c>
      <c r="E34" s="1808">
        <f>'ТЕ_2ст_тариф_без ЦТП'!M39/E$20*1000/12</f>
        <v>11581.902435319133</v>
      </c>
      <c r="F34" s="1808">
        <f>'ТЕ_2ст_тариф_без ЦТП'!P39/F$20*1000/12</f>
        <v>11581.902435319133</v>
      </c>
      <c r="G34" s="1808">
        <f>'ТЕ_2ст_тариф_без ЦТП'!S39/G$20*1000/12</f>
        <v>11581.902435319133</v>
      </c>
      <c r="I34" s="1499"/>
    </row>
    <row r="35" spans="1:9" s="45" customFormat="1" ht="15.6" x14ac:dyDescent="0.3">
      <c r="A35" s="1798"/>
      <c r="B35" s="147" t="s">
        <v>1905</v>
      </c>
      <c r="C35" s="2008" t="s">
        <v>3060</v>
      </c>
      <c r="D35" s="1808">
        <f>'ТЕ_2ст_тариф_без ЦТП'!J42/D$20*1000/12</f>
        <v>11581.902435319133</v>
      </c>
      <c r="E35" s="1808">
        <f>'ТЕ_2ст_тариф_без ЦТП'!M42/E$20*1000/12</f>
        <v>11581.902435319133</v>
      </c>
      <c r="F35" s="1808">
        <f>'ТЕ_2ст_тариф_без ЦТП'!P42/F$20*1000/12</f>
        <v>11581.902435319133</v>
      </c>
      <c r="G35" s="1808">
        <f>'ТЕ_2ст_тариф_без ЦТП'!S42/G$20*1000/12</f>
        <v>11581.902435319133</v>
      </c>
      <c r="I35" s="1499"/>
    </row>
    <row r="36" spans="1:9" s="45" customFormat="1" ht="26.4" x14ac:dyDescent="0.3">
      <c r="A36" s="1798" t="s">
        <v>3137</v>
      </c>
      <c r="B36" s="337" t="s">
        <v>1689</v>
      </c>
      <c r="C36" s="2008" t="s">
        <v>3060</v>
      </c>
      <c r="D36" s="1808">
        <f>'ТЕ_2ст_тариф_без ЦТП'!J47/D$20*1000/12</f>
        <v>38.776394808818559</v>
      </c>
      <c r="E36" s="1808">
        <f>'ТЕ_2ст_тариф_без ЦТП'!M47/E$20*1000/12</f>
        <v>38.776394808778043</v>
      </c>
      <c r="F36" s="1808">
        <f>'ТЕ_2ст_тариф_без ЦТП'!P47/F$20*1000/12</f>
        <v>38.776394808778036</v>
      </c>
      <c r="G36" s="1808">
        <f>'ТЕ_2ст_тариф_без ЦТП'!S47/G$20*1000/12</f>
        <v>38.776394808778029</v>
      </c>
      <c r="I36" s="1499"/>
    </row>
    <row r="37" spans="1:9" s="45" customFormat="1" ht="15.6" x14ac:dyDescent="0.3">
      <c r="A37" s="1798" t="s">
        <v>3138</v>
      </c>
      <c r="B37" s="337" t="s">
        <v>610</v>
      </c>
      <c r="C37" s="2008" t="s">
        <v>3060</v>
      </c>
      <c r="D37" s="1808">
        <f>'ТЕ_2ст_тариф_без ЦТП'!J48/D$20*1000/12</f>
        <v>725.16090358130612</v>
      </c>
      <c r="E37" s="1808">
        <f>'ТЕ_2ст_тариф_без ЦТП'!M48/E$20*1000/12</f>
        <v>725.16090358054828</v>
      </c>
      <c r="F37" s="1808">
        <f>'ТЕ_2ст_тариф_без ЦТП'!P48/F$20*1000/12</f>
        <v>725.16090358054851</v>
      </c>
      <c r="G37" s="1808">
        <f>'ТЕ_2ст_тариф_без ЦТП'!S48/G$20*1000/12</f>
        <v>725.16090358054817</v>
      </c>
      <c r="I37" s="1499"/>
    </row>
    <row r="38" spans="1:9" s="45" customFormat="1" ht="15.6" x14ac:dyDescent="0.3">
      <c r="A38" s="1798" t="s">
        <v>2793</v>
      </c>
      <c r="B38" s="337" t="s">
        <v>47</v>
      </c>
      <c r="C38" s="2008" t="s">
        <v>3060</v>
      </c>
      <c r="D38" s="1808">
        <f>'ТЕ_2ст_тариф_без ЦТП'!J49/D$20*1000/12</f>
        <v>13070.144791286863</v>
      </c>
      <c r="E38" s="1808">
        <f>'ТЕ_2ст_тариф_без ЦТП'!M49/E$20*1000/12</f>
        <v>13070.144791273206</v>
      </c>
      <c r="F38" s="1808">
        <f>'ТЕ_2ст_тариф_без ЦТП'!P49/F$20*1000/12</f>
        <v>13070.144791273204</v>
      </c>
      <c r="G38" s="1808">
        <f>'ТЕ_2ст_тариф_без ЦТП'!S49/G$20*1000/12</f>
        <v>13070.144791273204</v>
      </c>
      <c r="I38" s="1499"/>
    </row>
    <row r="39" spans="1:9" s="45" customFormat="1" ht="15.6" x14ac:dyDescent="0.3">
      <c r="A39" s="1798" t="s">
        <v>2794</v>
      </c>
      <c r="B39" s="337" t="s">
        <v>217</v>
      </c>
      <c r="C39" s="2008" t="s">
        <v>3060</v>
      </c>
      <c r="D39" s="1808">
        <f>'ТЕ_2ст_тариф_без ЦТП'!J50/D$20*1000/12</f>
        <v>8419.746090909719</v>
      </c>
      <c r="E39" s="1808">
        <f>'ТЕ_2ст_тариф_без ЦТП'!M50/E$20*1000/12</f>
        <v>8419.7460909009205</v>
      </c>
      <c r="F39" s="1808">
        <f>'ТЕ_2ст_тариф_без ЦТП'!P50/F$20*1000/12</f>
        <v>8419.7460909009224</v>
      </c>
      <c r="G39" s="1808">
        <f>'ТЕ_2ст_тариф_без ЦТП'!S50/G$20*1000/12</f>
        <v>8419.7460909009187</v>
      </c>
      <c r="I39" s="1499"/>
    </row>
    <row r="40" spans="1:9" s="45" customFormat="1" ht="27" customHeight="1" x14ac:dyDescent="0.3">
      <c r="A40" s="1798" t="s">
        <v>3139</v>
      </c>
      <c r="B40" s="147" t="s">
        <v>452</v>
      </c>
      <c r="C40" s="2008" t="s">
        <v>3060</v>
      </c>
      <c r="D40" s="1808">
        <f>'ТЕ_2ст_тариф_без ЦТП'!J51/D$20*1000/12</f>
        <v>2875.4318540831096</v>
      </c>
      <c r="E40" s="1808">
        <f>'ТЕ_2ст_тариф_без ЦТП'!M51/E$20*1000/12</f>
        <v>2875.4318540801046</v>
      </c>
      <c r="F40" s="1808">
        <f>'ТЕ_2ст_тариф_без ЦТП'!P51/F$20*1000/12</f>
        <v>2875.4318540801046</v>
      </c>
      <c r="G40" s="1808">
        <f>'ТЕ_2ст_тариф_без ЦТП'!S51/G$20*1000/12</f>
        <v>2875.4318540801037</v>
      </c>
      <c r="I40" s="1499"/>
    </row>
    <row r="41" spans="1:9" s="45" customFormat="1" ht="15.6" x14ac:dyDescent="0.3">
      <c r="A41" s="1798" t="s">
        <v>3140</v>
      </c>
      <c r="B41" s="147" t="s">
        <v>453</v>
      </c>
      <c r="C41" s="2008" t="s">
        <v>3060</v>
      </c>
      <c r="D41" s="1808">
        <f>'ТЕ_2ст_тариф_без ЦТП'!J52/D$20*1000/12</f>
        <v>2471.0643711521288</v>
      </c>
      <c r="E41" s="1808">
        <f>'ТЕ_2ст_тариф_без ЦТП'!M52/E$20*1000/12</f>
        <v>2471.0643711495463</v>
      </c>
      <c r="F41" s="1808">
        <f>'ТЕ_2ст_тариф_без ЦТП'!P52/F$20*1000/12</f>
        <v>2471.0643711495468</v>
      </c>
      <c r="G41" s="1808">
        <f>'ТЕ_2ст_тариф_без ЦТП'!S52/G$20*1000/12</f>
        <v>2471.0643711495463</v>
      </c>
      <c r="I41" s="1499"/>
    </row>
    <row r="42" spans="1:9" s="45" customFormat="1" ht="15.6" x14ac:dyDescent="0.3">
      <c r="A42" s="1798" t="s">
        <v>3141</v>
      </c>
      <c r="B42" s="147" t="s">
        <v>52</v>
      </c>
      <c r="C42" s="2008" t="s">
        <v>3060</v>
      </c>
      <c r="D42" s="1808">
        <f>'ТЕ_2ст_тариф_без ЦТП'!J53/D$20*1000/12</f>
        <v>3073.2498656744833</v>
      </c>
      <c r="E42" s="1808">
        <f>'ТЕ_2ст_тариф_без ЦТП'!M53/E$20*1000/12</f>
        <v>3073.2498656712719</v>
      </c>
      <c r="F42" s="1808">
        <f>'ТЕ_2ст_тариф_без ЦТП'!P53/F$20*1000/12</f>
        <v>3073.2498656712719</v>
      </c>
      <c r="G42" s="1808">
        <f>'ТЕ_2ст_тариф_без ЦТП'!S53/G$20*1000/12</f>
        <v>3073.249865671271</v>
      </c>
      <c r="I42" s="1499"/>
    </row>
    <row r="43" spans="1:9" s="45" customFormat="1" ht="15.6" x14ac:dyDescent="0.3">
      <c r="A43" s="1798" t="s">
        <v>2795</v>
      </c>
      <c r="B43" s="147" t="s">
        <v>218</v>
      </c>
      <c r="C43" s="2008" t="s">
        <v>3060</v>
      </c>
      <c r="D43" s="1808">
        <f>'ТЕ_2ст_тариф_без ЦТП'!J54/D$20*1000/12</f>
        <v>6065.1590596719434</v>
      </c>
      <c r="E43" s="1808">
        <f>'ТЕ_2ст_тариф_без ЦТП'!M54/E$20*1000/12</f>
        <v>6065.1590596656069</v>
      </c>
      <c r="F43" s="1808">
        <f>'ТЕ_2ст_тариф_без ЦТП'!P54/F$20*1000/12</f>
        <v>6065.1590596656069</v>
      </c>
      <c r="G43" s="1808">
        <f>'ТЕ_2ст_тариф_без ЦТП'!S54/G$20*1000/12</f>
        <v>6065.159059665606</v>
      </c>
      <c r="I43" s="1499"/>
    </row>
    <row r="44" spans="1:9" s="45" customFormat="1" ht="15.6" x14ac:dyDescent="0.3">
      <c r="A44" s="1798" t="s">
        <v>3142</v>
      </c>
      <c r="B44" s="147" t="s">
        <v>55</v>
      </c>
      <c r="C44" s="2008" t="s">
        <v>3060</v>
      </c>
      <c r="D44" s="1808">
        <f>'ТЕ_2ст_тариф_без ЦТП'!J55/D$20*1000/12</f>
        <v>4634.5435098456674</v>
      </c>
      <c r="E44" s="1808">
        <f>'ТЕ_2ст_тариф_без ЦТП'!M55/E$20*1000/12</f>
        <v>4634.5435098408252</v>
      </c>
      <c r="F44" s="1808">
        <f>'ТЕ_2ст_тариф_без ЦТП'!P55/F$20*1000/12</f>
        <v>4634.5435098408252</v>
      </c>
      <c r="G44" s="1808">
        <f>'ТЕ_2ст_тариф_без ЦТП'!S55/G$20*1000/12</f>
        <v>4634.5435098408243</v>
      </c>
      <c r="I44" s="1499"/>
    </row>
    <row r="45" spans="1:9" s="45" customFormat="1" ht="29.4" customHeight="1" x14ac:dyDescent="0.3">
      <c r="A45" s="1798" t="s">
        <v>3143</v>
      </c>
      <c r="B45" s="147" t="s">
        <v>452</v>
      </c>
      <c r="C45" s="2008" t="s">
        <v>3060</v>
      </c>
      <c r="D45" s="1808">
        <f>'ТЕ_2ст_тариф_без ЦТП'!J56/D$20*1000/12</f>
        <v>989.25505326845257</v>
      </c>
      <c r="E45" s="1808">
        <f>'ТЕ_2ст_тариф_без ЦТП'!M56/E$20*1000/12</f>
        <v>989.2550532674187</v>
      </c>
      <c r="F45" s="1808">
        <f>'ТЕ_2ст_тариф_без ЦТП'!P56/F$20*1000/12</f>
        <v>989.25505326741893</v>
      </c>
      <c r="G45" s="1808">
        <f>'ТЕ_2ст_тариф_без ЦТП'!S56/G$20*1000/12</f>
        <v>989.25505326741859</v>
      </c>
      <c r="I45" s="1499"/>
    </row>
    <row r="46" spans="1:9" s="45" customFormat="1" ht="15.6" x14ac:dyDescent="0.3">
      <c r="A46" s="1798" t="s">
        <v>3144</v>
      </c>
      <c r="B46" s="147" t="s">
        <v>58</v>
      </c>
      <c r="C46" s="2008" t="s">
        <v>3060</v>
      </c>
      <c r="D46" s="1808">
        <f>'ТЕ_2ст_тариф_без ЦТП'!J57/D$20*1000/12</f>
        <v>441.36049655782426</v>
      </c>
      <c r="E46" s="1808">
        <f>'ТЕ_2ст_тариф_без ЦТП'!M57/E$20*1000/12</f>
        <v>441.36049655736309</v>
      </c>
      <c r="F46" s="1808">
        <f>'ТЕ_2ст_тариф_без ЦТП'!P57/F$20*1000/12</f>
        <v>441.36049655736309</v>
      </c>
      <c r="G46" s="1808">
        <f>'ТЕ_2ст_тариф_без ЦТП'!S57/G$20*1000/12</f>
        <v>441.36049655736298</v>
      </c>
      <c r="I46" s="1499"/>
    </row>
    <row r="47" spans="1:9" s="45" customFormat="1" ht="15.6" x14ac:dyDescent="0.3">
      <c r="A47" s="1798">
        <v>8</v>
      </c>
      <c r="B47" s="147" t="s">
        <v>219</v>
      </c>
      <c r="C47" s="2008" t="s">
        <v>3060</v>
      </c>
      <c r="D47" s="1808">
        <f>'ТЕ_2ст_тариф_без ЦТП'!J58/D$20*1000/12</f>
        <v>7373.6169467997343</v>
      </c>
      <c r="E47" s="1808">
        <f>'ТЕ_2ст_тариф_без ЦТП'!M58/E$20*1000/12</f>
        <v>7373.6169467920299</v>
      </c>
      <c r="F47" s="1808">
        <f>'ТЕ_2ст_тариф_без ЦТП'!P58/F$20*1000/12</f>
        <v>7373.6169467920308</v>
      </c>
      <c r="G47" s="1808">
        <f>'ТЕ_2ст_тариф_без ЦТП'!S58/G$20*1000/12</f>
        <v>7373.616946792029</v>
      </c>
      <c r="I47" s="1499"/>
    </row>
    <row r="48" spans="1:9" s="45" customFormat="1" ht="15.6" x14ac:dyDescent="0.3">
      <c r="A48" s="1798" t="s">
        <v>1030</v>
      </c>
      <c r="B48" s="147" t="s">
        <v>55</v>
      </c>
      <c r="C48" s="2008" t="s">
        <v>3060</v>
      </c>
      <c r="D48" s="1808">
        <f>'ТЕ_2ст_тариф_без ЦТП'!J59/D$20*1000/12</f>
        <v>5521.8372596453919</v>
      </c>
      <c r="E48" s="1808">
        <f>'ТЕ_2ст_тариф_без ЦТП'!M59/E$20*1000/12</f>
        <v>5521.8372596396221</v>
      </c>
      <c r="F48" s="1808">
        <f>'ТЕ_2ст_тариф_без ЦТП'!P59/F$20*1000/12</f>
        <v>5521.8372596396221</v>
      </c>
      <c r="G48" s="1808">
        <f>'ТЕ_2ст_тариф_без ЦТП'!S59/G$20*1000/12</f>
        <v>5521.8372596396221</v>
      </c>
      <c r="I48" s="1499"/>
    </row>
    <row r="49" spans="1:9" s="45" customFormat="1" ht="27.6" customHeight="1" x14ac:dyDescent="0.3">
      <c r="A49" s="1798" t="s">
        <v>2783</v>
      </c>
      <c r="B49" s="147" t="s">
        <v>452</v>
      </c>
      <c r="C49" s="2008" t="s">
        <v>3060</v>
      </c>
      <c r="D49" s="1808">
        <f>'ТЕ_2ст_тариф_без ЦТП'!J60/D$20*1000/12</f>
        <v>1214.8041971219864</v>
      </c>
      <c r="E49" s="1808">
        <f>'ТЕ_2ст_тариф_без ЦТП'!M60/E$20*1000/12</f>
        <v>1214.8041971207169</v>
      </c>
      <c r="F49" s="1808">
        <f>'ТЕ_2ст_тариф_без ЦТП'!P60/F$20*1000/12</f>
        <v>1214.8041971207172</v>
      </c>
      <c r="G49" s="1808">
        <f>'ТЕ_2ст_тариф_без ЦТП'!S60/G$20*1000/12</f>
        <v>1214.8041971207167</v>
      </c>
      <c r="I49" s="1499"/>
    </row>
    <row r="50" spans="1:9" s="45" customFormat="1" ht="15.6" x14ac:dyDescent="0.3">
      <c r="A50" s="1798" t="s">
        <v>2784</v>
      </c>
      <c r="B50" s="147" t="s">
        <v>58</v>
      </c>
      <c r="C50" s="2008" t="s">
        <v>3060</v>
      </c>
      <c r="D50" s="1808">
        <f>'ТЕ_2ст_тариф_без ЦТП'!J61/D$20*1000/12</f>
        <v>636.97549003235565</v>
      </c>
      <c r="E50" s="1808">
        <f>'ТЕ_2ст_тариф_без ЦТП'!M61/E$20*1000/12</f>
        <v>636.97549003169013</v>
      </c>
      <c r="F50" s="1808">
        <f>'ТЕ_2ст_тариф_без ЦТП'!P61/F$20*1000/12</f>
        <v>636.97549003169013</v>
      </c>
      <c r="G50" s="1808">
        <f>'ТЕ_2ст_тариф_без ЦТП'!S61/G$20*1000/12</f>
        <v>636.9754900316899</v>
      </c>
      <c r="I50" s="1499"/>
    </row>
    <row r="51" spans="1:9" s="45" customFormat="1" ht="15.6" x14ac:dyDescent="0.3">
      <c r="A51" s="1798">
        <v>9</v>
      </c>
      <c r="B51" s="147" t="s">
        <v>5</v>
      </c>
      <c r="C51" s="2008" t="s">
        <v>3060</v>
      </c>
      <c r="D51" s="1808">
        <f>'ТЕ_2ст_тариф_без ЦТП'!J67/D$20*1000/12</f>
        <v>0</v>
      </c>
      <c r="E51" s="1808">
        <f>'ТЕ_2ст_тариф_без ЦТП'!M67/E$20*1000/12</f>
        <v>0</v>
      </c>
      <c r="F51" s="1808">
        <f>'ТЕ_2ст_тариф_без ЦТП'!P67/F$20*1000/12</f>
        <v>0</v>
      </c>
      <c r="G51" s="1808">
        <f>'ТЕ_2ст_тариф_без ЦТП'!S67/G$20*1000/12</f>
        <v>0</v>
      </c>
      <c r="I51" s="1499"/>
    </row>
    <row r="52" spans="1:9" s="45" customFormat="1" ht="15.6" x14ac:dyDescent="0.3">
      <c r="A52" s="1798">
        <v>10</v>
      </c>
      <c r="B52" s="147" t="s">
        <v>176</v>
      </c>
      <c r="C52" s="2008" t="s">
        <v>3060</v>
      </c>
      <c r="D52" s="1808">
        <f>'ТЕ_2ст_тариф_без ЦТП'!J68/D$20*1000/12</f>
        <v>47274.506622377514</v>
      </c>
      <c r="E52" s="1808">
        <f>'ТЕ_2ст_тариф_без ЦТП'!M68/E$20*1000/12</f>
        <v>47274.506622340232</v>
      </c>
      <c r="F52" s="1808">
        <f>'ТЕ_2ст_тариф_без ЦТП'!P68/F$20*1000/12</f>
        <v>47274.506622340232</v>
      </c>
      <c r="G52" s="1808">
        <f>'ТЕ_2ст_тариф_без ЦТП'!S68/G$20*1000/12</f>
        <v>47274.50662234021</v>
      </c>
      <c r="I52" s="1499"/>
    </row>
    <row r="53" spans="1:9" s="45" customFormat="1" ht="15.6" x14ac:dyDescent="0.3">
      <c r="A53" s="1798">
        <v>11</v>
      </c>
      <c r="B53" s="147" t="s">
        <v>221</v>
      </c>
      <c r="C53" s="2008" t="s">
        <v>3060</v>
      </c>
      <c r="D53" s="1808">
        <v>0</v>
      </c>
      <c r="E53" s="1808">
        <v>0</v>
      </c>
      <c r="F53" s="1808">
        <v>0</v>
      </c>
      <c r="G53" s="1808">
        <v>0</v>
      </c>
      <c r="I53" s="1499"/>
    </row>
    <row r="54" spans="1:9" s="45" customFormat="1" ht="15.6" x14ac:dyDescent="0.3">
      <c r="A54" s="1798">
        <v>12</v>
      </c>
      <c r="B54" s="147" t="s">
        <v>2879</v>
      </c>
      <c r="C54" s="2008" t="s">
        <v>3060</v>
      </c>
      <c r="D54" s="1808">
        <f>'ТЕ_2ст_тариф_без ЦТП'!J69/D$20*1000/12</f>
        <v>0</v>
      </c>
      <c r="E54" s="1808">
        <f>'ТЕ_2ст_тариф_без ЦТП'!M69/E$20*1000/12</f>
        <v>0</v>
      </c>
      <c r="F54" s="1808">
        <f>'ТЕ_2ст_тариф_без ЦТП'!P69/F$20*1000/12</f>
        <v>0</v>
      </c>
      <c r="G54" s="1808">
        <f>'ТЕ_2ст_тариф_без ЦТП'!S69/G$20*1000/12</f>
        <v>0</v>
      </c>
      <c r="I54" s="1499"/>
    </row>
    <row r="55" spans="1:9" s="45" customFormat="1" ht="15.6" customHeight="1" x14ac:dyDescent="0.3">
      <c r="A55" s="1798">
        <v>13</v>
      </c>
      <c r="B55" s="1506" t="s">
        <v>222</v>
      </c>
      <c r="C55" s="2008" t="s">
        <v>3060</v>
      </c>
      <c r="D55" s="1808">
        <f>'ТЕ_2ст_тариф_без ЦТП'!J70/D$20*1000/12</f>
        <v>7403.7373667952343</v>
      </c>
      <c r="E55" s="1808">
        <f>'ТЕ_2ст_тариф_без ЦТП'!M70/E$20*1000/12</f>
        <v>13178.697886975368</v>
      </c>
      <c r="F55" s="1808">
        <f>'ТЕ_2ст_тариф_без ЦТП'!P70/F$20*1000/12</f>
        <v>13178.697886975366</v>
      </c>
      <c r="G55" s="1808">
        <f>'ТЕ_2ст_тариф_без ЦТП'!S70/G$20*1000/12</f>
        <v>13178.697886975368</v>
      </c>
      <c r="I55" s="1499"/>
    </row>
    <row r="56" spans="1:9" s="45" customFormat="1" ht="15.6" x14ac:dyDescent="0.3">
      <c r="A56" s="1798" t="s">
        <v>2901</v>
      </c>
      <c r="B56" s="147" t="s">
        <v>2897</v>
      </c>
      <c r="C56" s="2008" t="s">
        <v>3060</v>
      </c>
      <c r="D56" s="1808">
        <f>'ТЕ_2ст_тариф_без ЦТП'!J71/D$20*1000/12</f>
        <v>1332.6727260231419</v>
      </c>
      <c r="E56" s="1808">
        <f>'ТЕ_2ст_тариф_без ЦТП'!M71/E$20*1000/12</f>
        <v>2372.1656196555664</v>
      </c>
      <c r="F56" s="1808">
        <f>'ТЕ_2ст_тариф_без ЦТП'!P71/F$20*1000/12</f>
        <v>2372.1656196555655</v>
      </c>
      <c r="G56" s="1808">
        <f>'ТЕ_2ст_тариф_без ЦТП'!S71/G$20*1000/12</f>
        <v>2372.1656196555659</v>
      </c>
      <c r="I56" s="1499"/>
    </row>
    <row r="57" spans="1:9" s="45" customFormat="1" ht="15.6" x14ac:dyDescent="0.3">
      <c r="A57" s="1798" t="s">
        <v>3145</v>
      </c>
      <c r="B57" s="147" t="s">
        <v>67</v>
      </c>
      <c r="C57" s="2008" t="s">
        <v>3060</v>
      </c>
      <c r="D57" s="1808">
        <f>'ТЕ_2ст_тариф_без ЦТП'!J72/D$20*1000/12</f>
        <v>0</v>
      </c>
      <c r="E57" s="1808">
        <f>'ТЕ_2ст_тариф_без ЦТП'!M72/E$20*1000/12</f>
        <v>0</v>
      </c>
      <c r="F57" s="1808">
        <f>'ТЕ_2ст_тариф_без ЦТП'!P72/F$20*1000/12</f>
        <v>0</v>
      </c>
      <c r="G57" s="1808">
        <f>'ТЕ_2ст_тариф_без ЦТП'!S72/G$20*1000/12</f>
        <v>0</v>
      </c>
      <c r="I57" s="1499"/>
    </row>
    <row r="58" spans="1:9" s="45" customFormat="1" ht="15.6" x14ac:dyDescent="0.3">
      <c r="A58" s="1798" t="s">
        <v>3146</v>
      </c>
      <c r="B58" s="147" t="s">
        <v>69</v>
      </c>
      <c r="C58" s="2008" t="s">
        <v>3060</v>
      </c>
      <c r="D58" s="1808">
        <f>'ТЕ_2ст_тариф_без ЦТП'!J73/D$20*1000/12</f>
        <v>0</v>
      </c>
      <c r="E58" s="1808">
        <f>'ТЕ_2ст_тариф_без ЦТП'!M73/E$20*1000/12</f>
        <v>0</v>
      </c>
      <c r="F58" s="1808">
        <f>'ТЕ_2ст_тариф_без ЦТП'!P73/F$20*1000/12</f>
        <v>0</v>
      </c>
      <c r="G58" s="1808">
        <f>'ТЕ_2ст_тариф_без ЦТП'!S73/G$20*1000/12</f>
        <v>0</v>
      </c>
      <c r="I58" s="1499"/>
    </row>
    <row r="59" spans="1:9" s="45" customFormat="1" ht="15.6" x14ac:dyDescent="0.3">
      <c r="A59" s="1798" t="s">
        <v>3147</v>
      </c>
      <c r="B59" s="147" t="s">
        <v>2898</v>
      </c>
      <c r="C59" s="2008" t="s">
        <v>3060</v>
      </c>
      <c r="D59" s="1808">
        <f>'ТЕ_2ст_тариф_без ЦТП'!J74/D$20*1000/12</f>
        <v>0</v>
      </c>
      <c r="E59" s="1808">
        <f>'ТЕ_2ст_тариф_без ЦТП'!M74/E$20*1000/12</f>
        <v>0</v>
      </c>
      <c r="F59" s="1808">
        <f>'ТЕ_2ст_тариф_без ЦТП'!P74/F$20*1000/12</f>
        <v>0</v>
      </c>
      <c r="G59" s="1808">
        <f>'ТЕ_2ст_тариф_без ЦТП'!S74/G$20*1000/12</f>
        <v>0</v>
      </c>
      <c r="I59" s="1499"/>
    </row>
    <row r="60" spans="1:9" s="45" customFormat="1" ht="15.6" x14ac:dyDescent="0.3">
      <c r="A60" s="1798" t="s">
        <v>3148</v>
      </c>
      <c r="B60" s="147" t="s">
        <v>2899</v>
      </c>
      <c r="C60" s="2008" t="s">
        <v>3060</v>
      </c>
      <c r="D60" s="1808">
        <f>'ТЕ_2ст_тариф_без ЦТП'!J75/D$20*1000/12</f>
        <v>6071.0646407720924</v>
      </c>
      <c r="E60" s="1808">
        <f>'ТЕ_2ст_тариф_без ЦТП'!M75/E$20*1000/12</f>
        <v>10806.532267319802</v>
      </c>
      <c r="F60" s="1808">
        <f>'ТЕ_2ст_тариф_без ЦТП'!P75/F$20*1000/12</f>
        <v>10806.532267319802</v>
      </c>
      <c r="G60" s="1808">
        <f>'ТЕ_2ст_тариф_без ЦТП'!S75/G$20*1000/12</f>
        <v>10806.532267319802</v>
      </c>
      <c r="I60" s="1499"/>
    </row>
    <row r="61" spans="1:9" s="45" customFormat="1" ht="15.6" x14ac:dyDescent="0.3">
      <c r="A61" s="4906" t="s">
        <v>3094</v>
      </c>
      <c r="B61" s="4906"/>
      <c r="C61" s="4906"/>
      <c r="D61" s="4906"/>
      <c r="E61" s="4906"/>
      <c r="F61" s="4906"/>
      <c r="G61" s="4906"/>
      <c r="I61" s="1499"/>
    </row>
    <row r="62" spans="1:9" s="45" customFormat="1" ht="22.2" customHeight="1" x14ac:dyDescent="0.3">
      <c r="A62" s="1798" t="s">
        <v>1873</v>
      </c>
      <c r="B62" s="1823" t="s">
        <v>2963</v>
      </c>
      <c r="C62" s="2010" t="s">
        <v>2286</v>
      </c>
      <c r="D62" s="1803">
        <f>'ТЕ_2ст_тариф_без ЦТП'!I86/D$19</f>
        <v>133.78463036930509</v>
      </c>
      <c r="E62" s="1803">
        <f>'ТЕ_2ст_тариф_без ЦТП'!L86/E$19</f>
        <v>133.78463036930506</v>
      </c>
      <c r="F62" s="1803">
        <f>'ТЕ_2ст_тариф_без ЦТП'!O86/F$19</f>
        <v>133.78463036930509</v>
      </c>
      <c r="G62" s="1803">
        <f>'ТЕ_2ст_тариф_без ЦТП'!R86/G$19</f>
        <v>133.78463036930506</v>
      </c>
      <c r="I62" s="1499"/>
    </row>
    <row r="63" spans="1:9" s="45" customFormat="1" ht="16.95" customHeight="1" x14ac:dyDescent="0.3">
      <c r="A63" s="1798" t="s">
        <v>3149</v>
      </c>
      <c r="B63" s="1083" t="s">
        <v>216</v>
      </c>
      <c r="C63" s="2010" t="s">
        <v>2286</v>
      </c>
      <c r="D63" s="1803">
        <f>'ТЕ_2ст_тариф_без ЦТП'!I87/D$19</f>
        <v>133.78463036930509</v>
      </c>
      <c r="E63" s="1803">
        <f>'ТЕ_2ст_тариф_без ЦТП'!L87/E$19</f>
        <v>133.78463036930506</v>
      </c>
      <c r="F63" s="1803">
        <f>'ТЕ_2ст_тариф_без ЦТП'!O87/F$19</f>
        <v>133.78463036930509</v>
      </c>
      <c r="G63" s="1803">
        <f>'ТЕ_2ст_тариф_без ЦТП'!R87/G$19</f>
        <v>133.78463036930506</v>
      </c>
      <c r="I63" s="1499"/>
    </row>
    <row r="64" spans="1:9" s="45" customFormat="1" ht="16.95" customHeight="1" x14ac:dyDescent="0.3">
      <c r="A64" s="1798" t="s">
        <v>3150</v>
      </c>
      <c r="B64" s="1083" t="s">
        <v>43</v>
      </c>
      <c r="C64" s="2010" t="s">
        <v>2286</v>
      </c>
      <c r="D64" s="1803">
        <f>'ТЕ_2ст_тариф_без ЦТП'!I88/D$19</f>
        <v>133.78463036930509</v>
      </c>
      <c r="E64" s="1803">
        <f>'ТЕ_2ст_тариф_без ЦТП'!L88/E$19</f>
        <v>133.78463036930506</v>
      </c>
      <c r="F64" s="1803">
        <f>'ТЕ_2ст_тариф_без ЦТП'!O88/F$19</f>
        <v>133.78463036930509</v>
      </c>
      <c r="G64" s="1803">
        <f>'ТЕ_2ст_тариф_без ЦТП'!R88/G$19</f>
        <v>133.78463036930506</v>
      </c>
      <c r="I64" s="1499"/>
    </row>
    <row r="65" spans="1:9" s="45" customFormat="1" ht="15.6" x14ac:dyDescent="0.3">
      <c r="A65" s="4906" t="s">
        <v>3093</v>
      </c>
      <c r="B65" s="4906"/>
      <c r="C65" s="4906"/>
      <c r="D65" s="4906"/>
      <c r="E65" s="4906"/>
      <c r="F65" s="4906"/>
      <c r="G65" s="4906"/>
      <c r="I65" s="1499"/>
    </row>
    <row r="66" spans="1:9" s="45" customFormat="1" ht="26.4" x14ac:dyDescent="0.3">
      <c r="A66" s="1798">
        <v>15</v>
      </c>
      <c r="B66" s="1823" t="s">
        <v>2965</v>
      </c>
      <c r="C66" s="2010" t="s">
        <v>3058</v>
      </c>
      <c r="D66" s="1808">
        <f>'ТЕ_2ст_тариф_без ЦТП'!J120/D$22*1000/12</f>
        <v>43585.701875908293</v>
      </c>
      <c r="E66" s="1808">
        <f>'ТЕ_2ст_тариф_без ЦТП'!M120/E$22*1000/12</f>
        <v>54960.197533302467</v>
      </c>
      <c r="F66" s="1808">
        <f>'ТЕ_2ст_тариф_без ЦТП'!P120/F$22*1000/12</f>
        <v>54960.197533302446</v>
      </c>
      <c r="G66" s="1808">
        <f>'ТЕ_2ст_тариф_без ЦТП'!S120/G$22*1000/12</f>
        <v>54960.197533302467</v>
      </c>
      <c r="I66" s="1499"/>
    </row>
    <row r="67" spans="1:9" s="45" customFormat="1" ht="15.6" x14ac:dyDescent="0.3">
      <c r="A67" s="1820" t="s">
        <v>688</v>
      </c>
      <c r="B67" s="337" t="s">
        <v>215</v>
      </c>
      <c r="C67" s="2008" t="s">
        <v>3060</v>
      </c>
      <c r="D67" s="1808">
        <f>'ТЕ_2ст_тариф_без ЦТП'!J86/D$22*1000/12</f>
        <v>39087.09157355372</v>
      </c>
      <c r="E67" s="1808">
        <f>'ТЕ_2ст_тариф_без ЦТП'!M86/E$22*1000/12</f>
        <v>49957.819540560995</v>
      </c>
      <c r="F67" s="1808">
        <f>'ТЕ_2ст_тариф_без ЦТП'!P86/F$22*1000/12</f>
        <v>49957.81954056098</v>
      </c>
      <c r="G67" s="1808">
        <f>'ТЕ_2ст_тариф_без ЦТП'!S86/G$22*1000/12</f>
        <v>49957.81954056098</v>
      </c>
      <c r="I67" s="1499"/>
    </row>
    <row r="68" spans="1:9" s="45" customFormat="1" ht="15.6" x14ac:dyDescent="0.3">
      <c r="A68" s="1820" t="s">
        <v>194</v>
      </c>
      <c r="B68" s="337" t="s">
        <v>216</v>
      </c>
      <c r="C68" s="2008" t="s">
        <v>3060</v>
      </c>
      <c r="D68" s="1808">
        <f>'ТЕ_2ст_тариф_без ЦТП'!J87/D$22*1000/12</f>
        <v>11871.587276180891</v>
      </c>
      <c r="E68" s="1808">
        <f>'ТЕ_2ст_тариф_без ЦТП'!M87/E$22*1000/12</f>
        <v>22742.315243188161</v>
      </c>
      <c r="F68" s="1808">
        <f>'ТЕ_2ст_тариф_без ЦТП'!P87/F$22*1000/12</f>
        <v>22742.315243188161</v>
      </c>
      <c r="G68" s="1808">
        <f>'ТЕ_2ст_тариф_без ЦТП'!S87/G$22*1000/12</f>
        <v>22742.315243188161</v>
      </c>
      <c r="I68" s="1499"/>
    </row>
    <row r="69" spans="1:9" s="45" customFormat="1" ht="15.6" x14ac:dyDescent="0.3">
      <c r="A69" s="1820" t="s">
        <v>3151</v>
      </c>
      <c r="B69" s="337" t="s">
        <v>43</v>
      </c>
      <c r="C69" s="2008" t="s">
        <v>3060</v>
      </c>
      <c r="D69" s="1808">
        <f>'ТЕ_2ст_тариф_без ЦТП'!J88/D$22*1000/12</f>
        <v>0</v>
      </c>
      <c r="E69" s="1808">
        <f>'ТЕ_2ст_тариф_без ЦТП'!M88/E$22*1000/12</f>
        <v>0</v>
      </c>
      <c r="F69" s="1808">
        <f>'ТЕ_2ст_тариф_без ЦТП'!P88/F$22*1000/12</f>
        <v>0</v>
      </c>
      <c r="G69" s="1808">
        <f>'ТЕ_2ст_тариф_без ЦТП'!S88/G$22*1000/12</f>
        <v>0</v>
      </c>
      <c r="I69" s="1499"/>
    </row>
    <row r="70" spans="1:9" s="45" customFormat="1" ht="26.4" x14ac:dyDescent="0.3">
      <c r="A70" s="1824" t="s">
        <v>3152</v>
      </c>
      <c r="B70" s="337" t="s">
        <v>608</v>
      </c>
      <c r="C70" s="2008" t="s">
        <v>3060</v>
      </c>
      <c r="D70" s="1808">
        <f>'ТЕ_2ст_тариф_без ЦТП'!J89/D$22*1000/12</f>
        <v>0</v>
      </c>
      <c r="E70" s="1808">
        <f>'ТЕ_2ст_тариф_без ЦТП'!M89/E$22*1000/12</f>
        <v>0</v>
      </c>
      <c r="F70" s="1808">
        <f>'ТЕ_2ст_тариф_без ЦТП'!P89/F$22*1000/12</f>
        <v>0</v>
      </c>
      <c r="G70" s="1808">
        <f>'ТЕ_2ст_тариф_без ЦТП'!S89/G$22*1000/12</f>
        <v>0</v>
      </c>
      <c r="I70" s="1499"/>
    </row>
    <row r="71" spans="1:9" s="45" customFormat="1" ht="26.4" x14ac:dyDescent="0.3">
      <c r="A71" s="1824" t="s">
        <v>3153</v>
      </c>
      <c r="B71" s="337" t="s">
        <v>609</v>
      </c>
      <c r="C71" s="2008" t="s">
        <v>3060</v>
      </c>
      <c r="D71" s="1808">
        <f>'ТЕ_2ст_тариф_без ЦТП'!J90/D$22*1000/12</f>
        <v>759.15056750102906</v>
      </c>
      <c r="E71" s="1808">
        <f>'ТЕ_2ст_тариф_без ЦТП'!M90/E$22*1000/12</f>
        <v>759.15056750102895</v>
      </c>
      <c r="F71" s="1808">
        <f>'ТЕ_2ст_тариф_без ЦТП'!P90/F$22*1000/12</f>
        <v>759.15056750102895</v>
      </c>
      <c r="G71" s="1808">
        <f>'ТЕ_2ст_тариф_без ЦТП'!S90/G$22*1000/12</f>
        <v>759.15056750102895</v>
      </c>
      <c r="I71" s="1499"/>
    </row>
    <row r="72" spans="1:9" s="45" customFormat="1" ht="15.6" x14ac:dyDescent="0.3">
      <c r="A72" s="1824" t="s">
        <v>3154</v>
      </c>
      <c r="B72" s="337" t="s">
        <v>610</v>
      </c>
      <c r="C72" s="2008" t="s">
        <v>3060</v>
      </c>
      <c r="D72" s="1808">
        <f>'ТЕ_2ст_тариф_без ЦТП'!J91/D$22*1000/12</f>
        <v>11112.436708679865</v>
      </c>
      <c r="E72" s="1808">
        <f>'ТЕ_2ст_тариф_без ЦТП'!M91/E$22*1000/12</f>
        <v>21983.164675687131</v>
      </c>
      <c r="F72" s="1808">
        <f>'ТЕ_2ст_тариф_без ЦТП'!P91/F$22*1000/12</f>
        <v>21983.164675687131</v>
      </c>
      <c r="G72" s="1808">
        <f>'ТЕ_2ст_тариф_без ЦТП'!S91/G$22*1000/12</f>
        <v>21983.164675687131</v>
      </c>
      <c r="I72" s="1499"/>
    </row>
    <row r="73" spans="1:9" ht="26.4" x14ac:dyDescent="0.25">
      <c r="A73" s="1824" t="s">
        <v>3155</v>
      </c>
      <c r="B73" s="337" t="s">
        <v>2731</v>
      </c>
      <c r="C73" s="2008" t="s">
        <v>3060</v>
      </c>
      <c r="D73" s="1808">
        <f>'ТЕ_2ст_тариф_без ЦТП'!J92/D$22*1000/12</f>
        <v>10070.234518833347</v>
      </c>
      <c r="E73" s="1808">
        <f>'ТЕ_2ст_тариф_без ЦТП'!M92/E$22*1000/12</f>
        <v>20940.962485840617</v>
      </c>
      <c r="F73" s="1808">
        <f>'ТЕ_2ст_тариф_без ЦТП'!P92/F$22*1000/12</f>
        <v>20940.962485840613</v>
      </c>
      <c r="G73" s="1808">
        <f>'ТЕ_2ст_тариф_без ЦТП'!S92/G$22*1000/12</f>
        <v>20940.962485840613</v>
      </c>
    </row>
    <row r="74" spans="1:9" x14ac:dyDescent="0.25">
      <c r="A74" s="1824" t="s">
        <v>195</v>
      </c>
      <c r="B74" s="147" t="s">
        <v>47</v>
      </c>
      <c r="C74" s="2008" t="s">
        <v>3060</v>
      </c>
      <c r="D74" s="1808">
        <f>'ТЕ_2ст_тариф_без ЦТП'!J93/D$22*1000/12</f>
        <v>15437.667480654933</v>
      </c>
      <c r="E74" s="1808">
        <f>'ТЕ_2ст_тариф_без ЦТП'!M93/E$22*1000/12</f>
        <v>15437.667480654929</v>
      </c>
      <c r="F74" s="1808">
        <f>'ТЕ_2ст_тариф_без ЦТП'!P93/F$22*1000/12</f>
        <v>15437.667480654929</v>
      </c>
      <c r="G74" s="1808">
        <f>'ТЕ_2ст_тариф_без ЦТП'!S93/G$22*1000/12</f>
        <v>15437.667480654929</v>
      </c>
    </row>
    <row r="75" spans="1:9" x14ac:dyDescent="0.25">
      <c r="A75" s="1824" t="s">
        <v>2924</v>
      </c>
      <c r="B75" s="337" t="s">
        <v>217</v>
      </c>
      <c r="C75" s="2008" t="s">
        <v>3060</v>
      </c>
      <c r="D75" s="1808">
        <f>'ТЕ_2ст_тариф_без ЦТП'!J94/D$22*1000/12</f>
        <v>10225.793571197644</v>
      </c>
      <c r="E75" s="1808">
        <f>'ТЕ_2ст_тариф_без ЦТП'!M94/E$22*1000/12</f>
        <v>10225.793571197644</v>
      </c>
      <c r="F75" s="1808">
        <f>'ТЕ_2ст_тариф_без ЦТП'!P94/F$22*1000/12</f>
        <v>10225.793571197642</v>
      </c>
      <c r="G75" s="1808">
        <f>'ТЕ_2ст_тариф_без ЦТП'!S94/G$22*1000/12</f>
        <v>10225.793571197642</v>
      </c>
    </row>
    <row r="76" spans="1:9" ht="27" customHeight="1" x14ac:dyDescent="0.25">
      <c r="A76" s="1824" t="s">
        <v>3156</v>
      </c>
      <c r="B76" s="337" t="s">
        <v>452</v>
      </c>
      <c r="C76" s="2008" t="s">
        <v>3060</v>
      </c>
      <c r="D76" s="1808">
        <f>'ТЕ_2ст_тариф_без ЦТП'!J95/D$22*1000/12</f>
        <v>3350.3607515257791</v>
      </c>
      <c r="E76" s="1808">
        <f>'ТЕ_2ст_тариф_без ЦТП'!M95/E$22*1000/12</f>
        <v>3350.3607515257791</v>
      </c>
      <c r="F76" s="1808">
        <f>'ТЕ_2ст_тариф_без ЦТП'!P95/F$22*1000/12</f>
        <v>3350.3607515257786</v>
      </c>
      <c r="G76" s="1808">
        <f>'ТЕ_2ст_тариф_без ЦТП'!S95/G$22*1000/12</f>
        <v>3350.3607515257786</v>
      </c>
    </row>
    <row r="77" spans="1:9" x14ac:dyDescent="0.25">
      <c r="A77" s="1824" t="s">
        <v>3157</v>
      </c>
      <c r="B77" s="337" t="s">
        <v>460</v>
      </c>
      <c r="C77" s="2008" t="s">
        <v>3060</v>
      </c>
      <c r="D77" s="1808">
        <f>'ТЕ_2ст_тариф_без ЦТП'!J96/D$22*1000/12</f>
        <v>3328.2935803972964</v>
      </c>
      <c r="E77" s="1808">
        <f>'ТЕ_2ст_тариф_без ЦТП'!M96/E$22*1000/12</f>
        <v>3328.293580397296</v>
      </c>
      <c r="F77" s="1808">
        <f>'ТЕ_2ст_тариф_без ЦТП'!P96/F$22*1000/12</f>
        <v>3328.293580397296</v>
      </c>
      <c r="G77" s="1808">
        <f>'ТЕ_2ст_тариф_без ЦТП'!S96/G$22*1000/12</f>
        <v>3328.293580397296</v>
      </c>
    </row>
    <row r="78" spans="1:9" x14ac:dyDescent="0.25">
      <c r="A78" s="1824" t="s">
        <v>3158</v>
      </c>
      <c r="B78" s="337" t="s">
        <v>81</v>
      </c>
      <c r="C78" s="2008" t="s">
        <v>3060</v>
      </c>
      <c r="D78" s="1808">
        <f>'ТЕ_2ст_тариф_без ЦТП'!J97/D$22*1000/12</f>
        <v>3547.1392392745688</v>
      </c>
      <c r="E78" s="1808">
        <f>'ТЕ_2ст_тариф_без ЦТП'!M97/E$22*1000/12</f>
        <v>3547.1392392745679</v>
      </c>
      <c r="F78" s="1808">
        <f>'ТЕ_2ст_тариф_без ЦТП'!P97/F$22*1000/12</f>
        <v>3547.1392392745679</v>
      </c>
      <c r="G78" s="1808">
        <f>'ТЕ_2ст_тариф_без ЦТП'!S97/G$22*1000/12</f>
        <v>3547.1392392745679</v>
      </c>
    </row>
    <row r="79" spans="1:9" x14ac:dyDescent="0.25">
      <c r="A79" s="1824" t="s">
        <v>3159</v>
      </c>
      <c r="B79" s="337" t="s">
        <v>218</v>
      </c>
      <c r="C79" s="2008" t="s">
        <v>3060</v>
      </c>
      <c r="D79" s="1808">
        <f>'ТЕ_2ст_тариф_без ЦТП'!J98/D$22*1000/12</f>
        <v>1552.0432455202561</v>
      </c>
      <c r="E79" s="1808">
        <f>'ТЕ_2ст_тариф_без ЦТП'!M98/E$22*1000/12</f>
        <v>1552.0432455202556</v>
      </c>
      <c r="F79" s="1808">
        <f>'ТЕ_2ст_тариф_без ЦТП'!P98/F$22*1000/12</f>
        <v>1552.0432455202561</v>
      </c>
      <c r="G79" s="1808">
        <f>'ТЕ_2ст_тариф_без ЦТП'!S98/G$22*1000/12</f>
        <v>1552.0432455202561</v>
      </c>
    </row>
    <row r="80" spans="1:9" x14ac:dyDescent="0.25">
      <c r="A80" s="1824" t="s">
        <v>3160</v>
      </c>
      <c r="B80" s="337" t="s">
        <v>55</v>
      </c>
      <c r="C80" s="2008" t="s">
        <v>3060</v>
      </c>
      <c r="D80" s="1808">
        <f>'ТЕ_2ст_тариф_без ЦТП'!J99/D$22*1000/12</f>
        <v>1185.9560284829145</v>
      </c>
      <c r="E80" s="1808">
        <f>'ТЕ_2ст_тариф_без ЦТП'!M99/E$22*1000/12</f>
        <v>1185.9560284829142</v>
      </c>
      <c r="F80" s="1808">
        <f>'ТЕ_2ст_тариф_без ЦТП'!P99/F$22*1000/12</f>
        <v>1185.9560284829145</v>
      </c>
      <c r="G80" s="1808">
        <f>'ТЕ_2ст_тариф_без ЦТП'!S99/G$22*1000/12</f>
        <v>1185.9560284829145</v>
      </c>
    </row>
    <row r="81" spans="1:9" ht="28.2" customHeight="1" x14ac:dyDescent="0.25">
      <c r="A81" s="1824" t="s">
        <v>3161</v>
      </c>
      <c r="B81" s="337" t="s">
        <v>452</v>
      </c>
      <c r="C81" s="2008" t="s">
        <v>3060</v>
      </c>
      <c r="D81" s="1808">
        <f>'ТЕ_2ст_тариф_без ЦТП'!J100/D$22*1000/12</f>
        <v>253.14531876516494</v>
      </c>
      <c r="E81" s="1808">
        <f>'ТЕ_2ст_тариф_без ЦТП'!M100/E$22*1000/12</f>
        <v>253.14531876516494</v>
      </c>
      <c r="F81" s="1808">
        <f>'ТЕ_2ст_тариф_без ЦТП'!P100/F$22*1000/12</f>
        <v>253.14531876516492</v>
      </c>
      <c r="G81" s="1808">
        <f>'ТЕ_2ст_тариф_без ЦТП'!S100/G$22*1000/12</f>
        <v>253.14531876516494</v>
      </c>
    </row>
    <row r="82" spans="1:9" x14ac:dyDescent="0.25">
      <c r="A82" s="1824" t="s">
        <v>3162</v>
      </c>
      <c r="B82" s="337" t="s">
        <v>58</v>
      </c>
      <c r="C82" s="2008" t="s">
        <v>3060</v>
      </c>
      <c r="D82" s="1808">
        <f>'ТЕ_2ст_тариф_без ЦТП'!J101/D$22*1000/12</f>
        <v>112.94189827217646</v>
      </c>
      <c r="E82" s="1808">
        <f>'ТЕ_2ст_тариф_без ЦТП'!M101/E$22*1000/12</f>
        <v>112.94189827217645</v>
      </c>
      <c r="F82" s="1808">
        <f>'ТЕ_2ст_тариф_без ЦТП'!P101/F$22*1000/12</f>
        <v>112.94189827217643</v>
      </c>
      <c r="G82" s="1808">
        <f>'ТЕ_2ст_тариф_без ЦТП'!S101/G$22*1000/12</f>
        <v>112.94189827217645</v>
      </c>
    </row>
    <row r="83" spans="1:9" x14ac:dyDescent="0.25">
      <c r="A83" s="1824" t="s">
        <v>689</v>
      </c>
      <c r="B83" s="147" t="s">
        <v>219</v>
      </c>
      <c r="C83" s="2008" t="s">
        <v>3060</v>
      </c>
      <c r="D83" s="1808">
        <f>'ТЕ_2ст_тариф_без ЦТП'!J102/D$22*1000/12</f>
        <v>1886.8709401915039</v>
      </c>
      <c r="E83" s="1808">
        <f>'ТЕ_2ст_тариф_без ЦТП'!M102/E$22*1000/12</f>
        <v>1886.8709401915039</v>
      </c>
      <c r="F83" s="1808">
        <f>'ТЕ_2ст_тариф_без ЦТП'!P102/F$22*1000/12</f>
        <v>1886.8709401915037</v>
      </c>
      <c r="G83" s="1808">
        <f>'ТЕ_2ст_тариф_без ЦТП'!S102/G$22*1000/12</f>
        <v>1886.8709401915039</v>
      </c>
    </row>
    <row r="84" spans="1:9" x14ac:dyDescent="0.25">
      <c r="A84" s="1824" t="s">
        <v>2227</v>
      </c>
      <c r="B84" s="147" t="s">
        <v>55</v>
      </c>
      <c r="C84" s="2008" t="s">
        <v>3060</v>
      </c>
      <c r="D84" s="1808">
        <f>'ТЕ_2ст_тариф_без ЦТП'!J103/D$22*1000/12</f>
        <v>1413.009970122409</v>
      </c>
      <c r="E84" s="1808">
        <f>'ТЕ_2ст_тариф_без ЦТП'!M103/E$22*1000/12</f>
        <v>1413.009970122409</v>
      </c>
      <c r="F84" s="1808">
        <f>'ТЕ_2ст_тариф_без ЦТП'!P103/F$22*1000/12</f>
        <v>1413.0099701224087</v>
      </c>
      <c r="G84" s="1808">
        <f>'ТЕ_2ст_тариф_без ЦТП'!S103/G$22*1000/12</f>
        <v>1413.0099701224087</v>
      </c>
    </row>
    <row r="85" spans="1:9" ht="26.4" customHeight="1" x14ac:dyDescent="0.25">
      <c r="A85" s="1824" t="s">
        <v>2228</v>
      </c>
      <c r="B85" s="147" t="s">
        <v>452</v>
      </c>
      <c r="C85" s="2008" t="s">
        <v>3060</v>
      </c>
      <c r="D85" s="1808">
        <f>'ТЕ_2ст_тариф_без ЦТП'!J104/D$22*1000/12</f>
        <v>310.86219342692993</v>
      </c>
      <c r="E85" s="1808">
        <f>'ТЕ_2ст_тариф_без ЦТП'!M104/E$22*1000/12</f>
        <v>310.86219342692988</v>
      </c>
      <c r="F85" s="1808">
        <f>'ТЕ_2ст_тариф_без ЦТП'!P104/F$22*1000/12</f>
        <v>310.86219342692988</v>
      </c>
      <c r="G85" s="1808">
        <f>'ТЕ_2ст_тариф_без ЦТП'!S104/G$22*1000/12</f>
        <v>310.86219342692988</v>
      </c>
    </row>
    <row r="86" spans="1:9" x14ac:dyDescent="0.25">
      <c r="A86" s="1824" t="s">
        <v>2925</v>
      </c>
      <c r="B86" s="147" t="s">
        <v>58</v>
      </c>
      <c r="C86" s="2008" t="s">
        <v>3060</v>
      </c>
      <c r="D86" s="1808">
        <f>'ТЕ_2ст_тариф_без ЦТП'!J105/D$22*1000/12</f>
        <v>162.9987766421655</v>
      </c>
      <c r="E86" s="1808">
        <f>'ТЕ_2ст_тариф_без ЦТП'!M105/E$22*1000/12</f>
        <v>162.99877664216544</v>
      </c>
      <c r="F86" s="1808">
        <f>'ТЕ_2ст_тариф_без ЦТП'!P105/F$22*1000/12</f>
        <v>162.99877664216544</v>
      </c>
      <c r="G86" s="1808">
        <f>'ТЕ_2ст_тариф_без ЦТП'!S105/G$22*1000/12</f>
        <v>162.99877664216544</v>
      </c>
    </row>
    <row r="87" spans="1:9" x14ac:dyDescent="0.25">
      <c r="A87" s="1824" t="s">
        <v>690</v>
      </c>
      <c r="B87" s="337" t="s">
        <v>220</v>
      </c>
      <c r="C87" s="2008" t="s">
        <v>3060</v>
      </c>
      <c r="D87" s="1808">
        <f>'ТЕ_2ст_тариф_без ЦТП'!J106/D$22*1000/12</f>
        <v>0</v>
      </c>
      <c r="E87" s="1808">
        <f>'ТЕ_2ст_тариф_без ЦТП'!M106/E$22*1000/12</f>
        <v>0</v>
      </c>
      <c r="F87" s="1808">
        <f>'ТЕ_2ст_тариф_без ЦТП'!P106/F$22*1000/12</f>
        <v>0</v>
      </c>
      <c r="G87" s="1808">
        <f>'ТЕ_2ст_тариф_без ЦТП'!S106/G$22*1000/12</f>
        <v>0</v>
      </c>
    </row>
    <row r="88" spans="1:9" x14ac:dyDescent="0.25">
      <c r="A88" s="1824" t="s">
        <v>3163</v>
      </c>
      <c r="B88" s="337" t="s">
        <v>55</v>
      </c>
      <c r="C88" s="2008" t="s">
        <v>3060</v>
      </c>
      <c r="D88" s="1808">
        <f>'ТЕ_2ст_тариф_без ЦТП'!J107/D$22*1000/12</f>
        <v>0</v>
      </c>
      <c r="E88" s="1808">
        <f>'ТЕ_2ст_тариф_без ЦТП'!M107/E$22*1000/12</f>
        <v>0</v>
      </c>
      <c r="F88" s="1808">
        <f>'ТЕ_2ст_тариф_без ЦТП'!P107/F$22*1000/12</f>
        <v>0</v>
      </c>
      <c r="G88" s="1808">
        <f>'ТЕ_2ст_тариф_без ЦТП'!S107/G$22*1000/12</f>
        <v>0</v>
      </c>
    </row>
    <row r="89" spans="1:9" ht="26.4" customHeight="1" x14ac:dyDescent="0.25">
      <c r="A89" s="1824" t="s">
        <v>3164</v>
      </c>
      <c r="B89" s="147" t="s">
        <v>452</v>
      </c>
      <c r="C89" s="2008" t="s">
        <v>3060</v>
      </c>
      <c r="D89" s="1808">
        <f>'ТЕ_2ст_тариф_без ЦТП'!J108/D$22*1000/12</f>
        <v>0</v>
      </c>
      <c r="E89" s="1808">
        <f>'ТЕ_2ст_тариф_без ЦТП'!M108/E$22*1000/12</f>
        <v>0</v>
      </c>
      <c r="F89" s="1808">
        <f>'ТЕ_2ст_тариф_без ЦТП'!P108/F$22*1000/12</f>
        <v>0</v>
      </c>
      <c r="G89" s="1808">
        <f>'ТЕ_2ст_тариф_без ЦТП'!S108/G$22*1000/12</f>
        <v>0</v>
      </c>
    </row>
    <row r="90" spans="1:9" x14ac:dyDescent="0.25">
      <c r="A90" s="1824" t="s">
        <v>3165</v>
      </c>
      <c r="B90" s="1814" t="s">
        <v>233</v>
      </c>
      <c r="C90" s="2008" t="s">
        <v>3060</v>
      </c>
      <c r="D90" s="1808">
        <f>'ТЕ_2ст_тариф_без ЦТП'!J109/D$22*1000/12</f>
        <v>0</v>
      </c>
      <c r="E90" s="1808">
        <f>'ТЕ_2ст_тариф_без ЦТП'!M109/E$22*1000/12</f>
        <v>0</v>
      </c>
      <c r="F90" s="1808">
        <f>'ТЕ_2ст_тариф_без ЦТП'!P109/F$22*1000/12</f>
        <v>0</v>
      </c>
      <c r="G90" s="1808">
        <f>'ТЕ_2ст_тариф_без ЦТП'!S109/G$22*1000/12</f>
        <v>0</v>
      </c>
    </row>
    <row r="91" spans="1:9" x14ac:dyDescent="0.25">
      <c r="A91" s="1824" t="s">
        <v>2926</v>
      </c>
      <c r="B91" s="147" t="s">
        <v>82</v>
      </c>
      <c r="C91" s="2008" t="s">
        <v>3060</v>
      </c>
      <c r="D91" s="1808">
        <f>'ТЕ_2ст_тариф_без ЦТП'!J110/D$22*1000/12</f>
        <v>0</v>
      </c>
      <c r="E91" s="1808">
        <f>'ТЕ_2ст_тариф_без ЦТП'!M110/E$22*1000/12</f>
        <v>0</v>
      </c>
      <c r="F91" s="1808">
        <f>'ТЕ_2ст_тариф_без ЦТП'!P110/F$22*1000/12</f>
        <v>0</v>
      </c>
      <c r="G91" s="1808">
        <f>'ТЕ_2ст_тариф_без ЦТП'!S110/G$22*1000/12</f>
        <v>0</v>
      </c>
    </row>
    <row r="92" spans="1:9" x14ac:dyDescent="0.25">
      <c r="A92" s="1824" t="s">
        <v>2927</v>
      </c>
      <c r="B92" s="147" t="s">
        <v>5</v>
      </c>
      <c r="C92" s="2008" t="s">
        <v>3060</v>
      </c>
      <c r="D92" s="1808">
        <f>'ТЕ_2ст_тариф_без ЦТП'!J111/D$22*1000/12</f>
        <v>0</v>
      </c>
      <c r="E92" s="1808">
        <f>'ТЕ_2ст_тариф_без ЦТП'!M111/E$22*1000/12</f>
        <v>0</v>
      </c>
      <c r="F92" s="1808">
        <f>'ТЕ_2ст_тариф_без ЦТП'!P111/F$22*1000/12</f>
        <v>0</v>
      </c>
      <c r="G92" s="1808">
        <f>'ТЕ_2ст_тариф_без ЦТП'!S111/G$22*1000/12</f>
        <v>0</v>
      </c>
    </row>
    <row r="93" spans="1:9" x14ac:dyDescent="0.25">
      <c r="A93" s="1824" t="s">
        <v>2928</v>
      </c>
      <c r="B93" s="147" t="s">
        <v>63</v>
      </c>
      <c r="C93" s="2008" t="s">
        <v>3060</v>
      </c>
      <c r="D93" s="1808">
        <f>'ТЕ_2ст_тариф_без ЦТП'!J112/D$22*1000/12</f>
        <v>40973.962513745217</v>
      </c>
      <c r="E93" s="1808">
        <f>'ТЕ_2ст_тариф_без ЦТП'!M112/E$22*1000/12</f>
        <v>51844.690480752499</v>
      </c>
      <c r="F93" s="1808">
        <f>'ТЕ_2ст_тариф_без ЦТП'!P112/F$22*1000/12</f>
        <v>51844.690480752477</v>
      </c>
      <c r="G93" s="1808">
        <f>'ТЕ_2ст_тариф_без ЦТП'!S112/G$22*1000/12</f>
        <v>51844.690480752492</v>
      </c>
    </row>
    <row r="94" spans="1:9" x14ac:dyDescent="0.25">
      <c r="A94" s="1824" t="s">
        <v>2929</v>
      </c>
      <c r="B94" s="147" t="s">
        <v>234</v>
      </c>
      <c r="C94" s="2008" t="s">
        <v>3060</v>
      </c>
      <c r="D94" s="1808">
        <f>'ТЕ_2ст_тариф_без ЦТП'!J113/D$22*1000/12</f>
        <v>0</v>
      </c>
      <c r="E94" s="1808">
        <f>'ТЕ_2ст_тариф_без ЦТП'!M113/E$22*1000/12</f>
        <v>0</v>
      </c>
      <c r="F94" s="1808">
        <f>'ТЕ_2ст_тариф_без ЦТП'!P113/F$22*1000/12</f>
        <v>0</v>
      </c>
      <c r="G94" s="1808">
        <f>'ТЕ_2ст_тариф_без ЦТП'!S113/G$22*1000/12</f>
        <v>0</v>
      </c>
    </row>
    <row r="95" spans="1:9" ht="16.2" customHeight="1" x14ac:dyDescent="0.25">
      <c r="A95" s="1824" t="s">
        <v>2935</v>
      </c>
      <c r="B95" s="147" t="s">
        <v>235</v>
      </c>
      <c r="C95" s="2008" t="s">
        <v>3060</v>
      </c>
      <c r="D95" s="1808">
        <f>'ТЕ_2ст_тариф_без ЦТП'!J114/D$22*1000/12</f>
        <v>2611.7393621630777</v>
      </c>
      <c r="E95" s="1808">
        <f>'ТЕ_2ст_тариф_без ЦТП'!M114/E$22*1000/12</f>
        <v>3115.5070525499746</v>
      </c>
      <c r="F95" s="1808">
        <f>'ТЕ_2ст_тариф_без ЦТП'!P114/F$22*1000/12</f>
        <v>3115.5070525499746</v>
      </c>
      <c r="G95" s="1808">
        <f>'ТЕ_2ст_тариф_без ЦТП'!S114/G$22*1000/12</f>
        <v>3115.5070525499746</v>
      </c>
      <c r="I95" s="2011"/>
    </row>
    <row r="96" spans="1:9" x14ac:dyDescent="0.25">
      <c r="A96" s="1824" t="s">
        <v>2096</v>
      </c>
      <c r="B96" s="147" t="s">
        <v>65</v>
      </c>
      <c r="C96" s="2008" t="s">
        <v>3060</v>
      </c>
      <c r="D96" s="1808">
        <f>'ТЕ_2ст_тариф_без ЦТП'!J115/D$22*1000/12</f>
        <v>470.11308518935385</v>
      </c>
      <c r="E96" s="1808">
        <f>'ТЕ_2ст_тариф_без ЦТП'!M115/E$22*1000/12</f>
        <v>560.79126945899532</v>
      </c>
      <c r="F96" s="1808">
        <f>'ТЕ_2ст_тариф_без ЦТП'!P115/F$22*1000/12</f>
        <v>560.79126945899498</v>
      </c>
      <c r="G96" s="1808">
        <f>'ТЕ_2ст_тариф_без ЦТП'!S115/G$22*1000/12</f>
        <v>560.7912694589952</v>
      </c>
    </row>
    <row r="97" spans="1:12" x14ac:dyDescent="0.25">
      <c r="A97" s="1824" t="s">
        <v>2099</v>
      </c>
      <c r="B97" s="147" t="s">
        <v>84</v>
      </c>
      <c r="C97" s="2008" t="s">
        <v>3060</v>
      </c>
      <c r="D97" s="1808">
        <f>'ТЕ_2ст_тариф_без ЦТП'!J116/D$22*1000/12</f>
        <v>0</v>
      </c>
      <c r="E97" s="1808">
        <f>'ТЕ_2ст_тариф_без ЦТП'!M116/E$22*1000/12</f>
        <v>0</v>
      </c>
      <c r="F97" s="1808">
        <f>'ТЕ_2ст_тариф_без ЦТП'!P116/F$22*1000/12</f>
        <v>0</v>
      </c>
      <c r="G97" s="1808">
        <f>'ТЕ_2ст_тариф_без ЦТП'!S116/G$22*1000/12</f>
        <v>0</v>
      </c>
    </row>
    <row r="98" spans="1:12" x14ac:dyDescent="0.25">
      <c r="A98" s="1824" t="s">
        <v>2101</v>
      </c>
      <c r="B98" s="147" t="s">
        <v>85</v>
      </c>
      <c r="C98" s="2008" t="s">
        <v>3060</v>
      </c>
      <c r="D98" s="1808">
        <f>'ТЕ_2ст_тариф_без ЦТП'!J117/D$22*1000/12</f>
        <v>0</v>
      </c>
      <c r="E98" s="1808">
        <f>'ТЕ_2ст_тариф_без ЦТП'!M117/E$22*1000/12</f>
        <v>0</v>
      </c>
      <c r="F98" s="1808">
        <f>'ТЕ_2ст_тариф_без ЦТП'!P117/F$22*1000/12</f>
        <v>0</v>
      </c>
      <c r="G98" s="1808">
        <f>'ТЕ_2ст_тариф_без ЦТП'!S117/G$22*1000/12</f>
        <v>0</v>
      </c>
    </row>
    <row r="99" spans="1:12" x14ac:dyDescent="0.25">
      <c r="A99" s="1824" t="s">
        <v>3166</v>
      </c>
      <c r="B99" s="147" t="s">
        <v>71</v>
      </c>
      <c r="C99" s="2008" t="s">
        <v>3060</v>
      </c>
      <c r="D99" s="1808">
        <f>'ТЕ_2ст_тариф_без ЦТП'!J118/D$22*1000/12</f>
        <v>0</v>
      </c>
      <c r="E99" s="1808">
        <f>'ТЕ_2ст_тариф_без ЦТП'!M118/E$22*1000/12</f>
        <v>0</v>
      </c>
      <c r="F99" s="1808">
        <f>'ТЕ_2ст_тариф_без ЦТП'!P118/F$22*1000/12</f>
        <v>0</v>
      </c>
      <c r="G99" s="1808">
        <f>'ТЕ_2ст_тариф_без ЦТП'!S118/G$22*1000/12</f>
        <v>0</v>
      </c>
    </row>
    <row r="100" spans="1:12" x14ac:dyDescent="0.25">
      <c r="A100" s="1824" t="s">
        <v>3167</v>
      </c>
      <c r="B100" s="147" t="s">
        <v>86</v>
      </c>
      <c r="C100" s="2008" t="s">
        <v>3060</v>
      </c>
      <c r="D100" s="1808">
        <f>'ТЕ_2ст_тариф_без ЦТП'!J119/D$22*1000/12</f>
        <v>2141.6262769737236</v>
      </c>
      <c r="E100" s="1808">
        <f>'ТЕ_2ст_тариф_без ЦТП'!M119/E$22*1000/12</f>
        <v>2554.7157830909796</v>
      </c>
      <c r="F100" s="1808">
        <f>'ТЕ_2ст_тариф_без ЦТП'!P119/F$22*1000/12</f>
        <v>2554.7157830909796</v>
      </c>
      <c r="G100" s="1808">
        <f>'ТЕ_2ст_тариф_без ЦТП'!S119/G$22*1000/12</f>
        <v>2554.7157830909796</v>
      </c>
      <c r="I100" s="1121">
        <f>D100/D93</f>
        <v>5.2267980580479344E-2</v>
      </c>
      <c r="J100" s="1121">
        <f>E100/E93</f>
        <v>4.9276324333336036E-2</v>
      </c>
      <c r="K100" s="1121">
        <f>F100/F93</f>
        <v>4.9276324333336056E-2</v>
      </c>
      <c r="L100" s="1121">
        <f>G100/G93</f>
        <v>4.9276324333336043E-2</v>
      </c>
    </row>
    <row r="101" spans="1:12" x14ac:dyDescent="0.25">
      <c r="A101" s="4922" t="s">
        <v>2903</v>
      </c>
      <c r="B101" s="4923"/>
      <c r="C101" s="4923"/>
      <c r="D101" s="4923"/>
      <c r="E101" s="4923"/>
      <c r="F101" s="4923"/>
      <c r="G101" s="4924"/>
    </row>
    <row r="102" spans="1:12" ht="26.4" x14ac:dyDescent="0.25">
      <c r="A102" s="1820" t="s">
        <v>2936</v>
      </c>
      <c r="B102" s="1823" t="s">
        <v>2966</v>
      </c>
      <c r="C102" s="2010" t="s">
        <v>3058</v>
      </c>
      <c r="D102" s="1808">
        <f>'ТЕ_2ст_тариф_без ЦТП'!J159/D$20*1000/12</f>
        <v>2390.0810057385866</v>
      </c>
      <c r="E102" s="1808">
        <f>'ТЕ_2ст_тариф_без ЦТП'!M159/E$20*1000/12</f>
        <v>2390.0810057385866</v>
      </c>
      <c r="F102" s="1808">
        <f>'ТЕ_2ст_тариф_без ЦТП'!P159/F$20*1000/12</f>
        <v>2390.0810057385866</v>
      </c>
      <c r="G102" s="1808">
        <f>'ТЕ_2ст_тариф_без ЦТП'!S159/G$20*1000/12</f>
        <v>2390.0810057385866</v>
      </c>
    </row>
    <row r="103" spans="1:12" x14ac:dyDescent="0.25">
      <c r="A103" s="1822" t="s">
        <v>2947</v>
      </c>
      <c r="B103" s="147" t="s">
        <v>215</v>
      </c>
      <c r="C103" s="2009" t="s">
        <v>3060</v>
      </c>
      <c r="D103" s="1808">
        <f>'ТЕ_2ст_тариф_без ЦТП'!J130/D$20*1000/12</f>
        <v>2191.1137591288457</v>
      </c>
      <c r="E103" s="1808">
        <f>'ТЕ_2ст_тариф_без ЦТП'!M130/E$20*1000/12</f>
        <v>2191.1137591288452</v>
      </c>
      <c r="F103" s="1808">
        <f>'ТЕ_2ст_тариф_без ЦТП'!P130/F$20*1000/12</f>
        <v>2191.1137591288452</v>
      </c>
      <c r="G103" s="1808">
        <f>'ТЕ_2ст_тариф_без ЦТП'!S130/G$20*1000/12</f>
        <v>2191.1137591288448</v>
      </c>
    </row>
    <row r="104" spans="1:12" x14ac:dyDescent="0.25">
      <c r="A104" s="1822" t="s">
        <v>2948</v>
      </c>
      <c r="B104" s="147" t="s">
        <v>102</v>
      </c>
      <c r="C104" s="2009" t="s">
        <v>3060</v>
      </c>
      <c r="D104" s="1808">
        <f>'ТЕ_2ст_тариф_без ЦТП'!J131/D$20*1000/12</f>
        <v>18.862391084887296</v>
      </c>
      <c r="E104" s="1808">
        <f>'ТЕ_2ст_тариф_без ЦТП'!M131/E$20*1000/12</f>
        <v>18.862391084887296</v>
      </c>
      <c r="F104" s="1808">
        <f>'ТЕ_2ст_тариф_без ЦТП'!P131/F$20*1000/12</f>
        <v>18.862391084887296</v>
      </c>
      <c r="G104" s="1808">
        <f>'ТЕ_2ст_тариф_без ЦТП'!S131/G$20*1000/12</f>
        <v>18.8623910848873</v>
      </c>
    </row>
    <row r="105" spans="1:12" x14ac:dyDescent="0.25">
      <c r="A105" s="1822" t="s">
        <v>2949</v>
      </c>
      <c r="B105" s="147" t="s">
        <v>47</v>
      </c>
      <c r="C105" s="2009" t="s">
        <v>3060</v>
      </c>
      <c r="D105" s="1808">
        <f>'ТЕ_2ст_тариф_без ЦТП'!J132/D$20*1000/12</f>
        <v>878.19257624016871</v>
      </c>
      <c r="E105" s="1808">
        <f>'ТЕ_2ст_тариф_без ЦТП'!M132/E$20*1000/12</f>
        <v>878.19257624016871</v>
      </c>
      <c r="F105" s="1808">
        <f>'ТЕ_2ст_тариф_без ЦТП'!P132/F$20*1000/12</f>
        <v>878.19257624016848</v>
      </c>
      <c r="G105" s="1808">
        <f>'ТЕ_2ст_тариф_без ЦТП'!S132/G$20*1000/12</f>
        <v>878.19257624016848</v>
      </c>
    </row>
    <row r="106" spans="1:12" x14ac:dyDescent="0.25">
      <c r="A106" s="1822" t="s">
        <v>2950</v>
      </c>
      <c r="B106" s="147" t="s">
        <v>217</v>
      </c>
      <c r="C106" s="2009" t="s">
        <v>3060</v>
      </c>
      <c r="D106" s="1808">
        <f>'ТЕ_2ст_тариф_без ЦТП'!J133/D$20*1000/12</f>
        <v>1217.4689434394177</v>
      </c>
      <c r="E106" s="1808">
        <f>'ТЕ_2ст_тариф_без ЦТП'!M133/E$20*1000/12</f>
        <v>1217.4689434394177</v>
      </c>
      <c r="F106" s="1808">
        <f>'ТЕ_2ст_тариф_без ЦТП'!P133/F$20*1000/12</f>
        <v>1217.4689434394177</v>
      </c>
      <c r="G106" s="1808">
        <f>'ТЕ_2ст_тариф_без ЦТП'!S133/G$20*1000/12</f>
        <v>1217.4689434394174</v>
      </c>
    </row>
    <row r="107" spans="1:12" ht="28.95" customHeight="1" x14ac:dyDescent="0.25">
      <c r="A107" s="1822" t="s">
        <v>3168</v>
      </c>
      <c r="B107" s="147" t="s">
        <v>452</v>
      </c>
      <c r="C107" s="2009" t="s">
        <v>3060</v>
      </c>
      <c r="D107" s="1808">
        <f>'ТЕ_2ст_тариф_без ЦТП'!J134/D$20*1000/12</f>
        <v>193.20236677283708</v>
      </c>
      <c r="E107" s="1808">
        <f>'ТЕ_2ст_тариф_без ЦТП'!M134/E$20*1000/12</f>
        <v>193.20236677283708</v>
      </c>
      <c r="F107" s="1808">
        <f>'ТЕ_2ст_тариф_без ЦТП'!P134/F$20*1000/12</f>
        <v>193.20236677283708</v>
      </c>
      <c r="G107" s="1808">
        <f>'ТЕ_2ст_тариф_без ЦТП'!S134/G$20*1000/12</f>
        <v>193.20236677283705</v>
      </c>
    </row>
    <row r="108" spans="1:12" x14ac:dyDescent="0.25">
      <c r="A108" s="1822" t="s">
        <v>3169</v>
      </c>
      <c r="B108" s="147" t="s">
        <v>460</v>
      </c>
      <c r="C108" s="2009" t="s">
        <v>3060</v>
      </c>
      <c r="D108" s="1808">
        <f>'ТЕ_2ст_тариф_без ЦТП'!J135/D$20*1000/12</f>
        <v>982.3826577323922</v>
      </c>
      <c r="E108" s="1808">
        <f>'ТЕ_2ст_тариф_без ЦТП'!M135/E$20*1000/12</f>
        <v>982.3826577323922</v>
      </c>
      <c r="F108" s="1808">
        <f>'ТЕ_2ст_тариф_без ЦТП'!P135/F$20*1000/12</f>
        <v>982.3826577323922</v>
      </c>
      <c r="G108" s="1808">
        <f>'ТЕ_2ст_тариф_без ЦТП'!S135/G$20*1000/12</f>
        <v>982.38265773239209</v>
      </c>
    </row>
    <row r="109" spans="1:12" x14ac:dyDescent="0.25">
      <c r="A109" s="1822" t="s">
        <v>3170</v>
      </c>
      <c r="B109" s="147" t="s">
        <v>52</v>
      </c>
      <c r="C109" s="2009" t="s">
        <v>3060</v>
      </c>
      <c r="D109" s="1808">
        <f>'ТЕ_2ст_тариф_без ЦТП'!J136/D$20*1000/12</f>
        <v>41.883918934188237</v>
      </c>
      <c r="E109" s="1808">
        <f>'ТЕ_2ст_тариф_без ЦТП'!M136/E$20*1000/12</f>
        <v>41.883918934188237</v>
      </c>
      <c r="F109" s="1808">
        <f>'ТЕ_2ст_тариф_без ЦТП'!P136/F$20*1000/12</f>
        <v>41.883918934188237</v>
      </c>
      <c r="G109" s="1808">
        <f>'ТЕ_2ст_тариф_без ЦТП'!S136/G$20*1000/12</f>
        <v>41.883918934188237</v>
      </c>
    </row>
    <row r="110" spans="1:12" x14ac:dyDescent="0.25">
      <c r="A110" s="1822" t="s">
        <v>3171</v>
      </c>
      <c r="B110" s="147" t="s">
        <v>218</v>
      </c>
      <c r="C110" s="2009" t="s">
        <v>3060</v>
      </c>
      <c r="D110" s="1808">
        <f>'ТЕ_2ст_тариф_без ЦТП'!J137/D$20*1000/12</f>
        <v>76.589848364372031</v>
      </c>
      <c r="E110" s="1808">
        <f>'ТЕ_2ст_тариф_без ЦТП'!M137/E$20*1000/12</f>
        <v>76.589848364372031</v>
      </c>
      <c r="F110" s="1808">
        <f>'ТЕ_2ст_тариф_без ЦТП'!P137/F$20*1000/12</f>
        <v>76.589848364372031</v>
      </c>
      <c r="G110" s="1808">
        <f>'ТЕ_2ст_тариф_без ЦТП'!S137/G$20*1000/12</f>
        <v>76.589848364372031</v>
      </c>
    </row>
    <row r="111" spans="1:12" x14ac:dyDescent="0.25">
      <c r="A111" s="1822" t="s">
        <v>3172</v>
      </c>
      <c r="B111" s="147" t="s">
        <v>55</v>
      </c>
      <c r="C111" s="2009" t="s">
        <v>3060</v>
      </c>
      <c r="D111" s="1808">
        <f>'ТЕ_2ст_тариф_без ЦТП'!J138/D$20*1000/12</f>
        <v>58.524266414929514</v>
      </c>
      <c r="E111" s="1808">
        <f>'ТЕ_2ст_тариф_без ЦТП'!M138/E$20*1000/12</f>
        <v>58.524266414929507</v>
      </c>
      <c r="F111" s="1808">
        <f>'ТЕ_2ст_тариф_без ЦТП'!P138/F$20*1000/12</f>
        <v>58.524266414929507</v>
      </c>
      <c r="G111" s="1808">
        <f>'ТЕ_2ст_тариф_без ЦТП'!S138/G$20*1000/12</f>
        <v>58.524266414929514</v>
      </c>
    </row>
    <row r="112" spans="1:12" ht="27.6" customHeight="1" x14ac:dyDescent="0.25">
      <c r="A112" s="1822" t="s">
        <v>3173</v>
      </c>
      <c r="B112" s="147" t="s">
        <v>452</v>
      </c>
      <c r="C112" s="2009" t="s">
        <v>3060</v>
      </c>
      <c r="D112" s="1808">
        <f>'ТЕ_2ст_тариф_без ЦТП'!J139/D$20*1000/12</f>
        <v>12.492152930877575</v>
      </c>
      <c r="E112" s="1808">
        <f>'ТЕ_2ст_тариф_без ЦТП'!M139/E$20*1000/12</f>
        <v>12.492152930877575</v>
      </c>
      <c r="F112" s="1808">
        <f>'ТЕ_2ст_тариф_без ЦТП'!P139/F$20*1000/12</f>
        <v>12.492152930877575</v>
      </c>
      <c r="G112" s="1808">
        <f>'ТЕ_2ст_тариф_без ЦТП'!S139/G$20*1000/12</f>
        <v>12.492152930877573</v>
      </c>
    </row>
    <row r="113" spans="1:7" x14ac:dyDescent="0.25">
      <c r="A113" s="1822" t="s">
        <v>3174</v>
      </c>
      <c r="B113" s="147" t="s">
        <v>58</v>
      </c>
      <c r="C113" s="2009" t="s">
        <v>3060</v>
      </c>
      <c r="D113" s="1808">
        <f>'ТЕ_2ст_тариф_без ЦТП'!J140/D$20*1000/12</f>
        <v>5.5734290185649478</v>
      </c>
      <c r="E113" s="1808">
        <f>'ТЕ_2ст_тариф_без ЦТП'!M140/E$20*1000/12</f>
        <v>5.5734290185649478</v>
      </c>
      <c r="F113" s="1808">
        <f>'ТЕ_2ст_тариф_без ЦТП'!P140/F$20*1000/12</f>
        <v>5.5734290185649487</v>
      </c>
      <c r="G113" s="1808">
        <f>'ТЕ_2ст_тариф_без ЦТП'!S140/G$20*1000/12</f>
        <v>5.5734290185649478</v>
      </c>
    </row>
    <row r="114" spans="1:7" x14ac:dyDescent="0.25">
      <c r="A114" s="1822" t="s">
        <v>2951</v>
      </c>
      <c r="B114" s="147" t="s">
        <v>219</v>
      </c>
      <c r="C114" s="2009" t="s">
        <v>3060</v>
      </c>
      <c r="D114" s="1808">
        <f>'ТЕ_2ст_тариф_без ЦТП'!J141/D$20*1000/12</f>
        <v>93.112843092181308</v>
      </c>
      <c r="E114" s="1808">
        <f>'ТЕ_2ст_тариф_без ЦТП'!M141/E$20*1000/12</f>
        <v>93.112843092181279</v>
      </c>
      <c r="F114" s="1808">
        <f>'ТЕ_2ст_тариф_без ЦТП'!P141/F$20*1000/12</f>
        <v>93.112843092181279</v>
      </c>
      <c r="G114" s="1808">
        <f>'ТЕ_2ст_тариф_без ЦТП'!S141/G$20*1000/12</f>
        <v>93.112843092181279</v>
      </c>
    </row>
    <row r="115" spans="1:7" x14ac:dyDescent="0.25">
      <c r="A115" s="1822" t="s">
        <v>2112</v>
      </c>
      <c r="B115" s="147" t="s">
        <v>55</v>
      </c>
      <c r="C115" s="2009" t="s">
        <v>3060</v>
      </c>
      <c r="D115" s="1808">
        <f>'ТЕ_2ст_тариф_без ЦТП'!J142/D$20*1000/12</f>
        <v>69.72886848442441</v>
      </c>
      <c r="E115" s="1808">
        <f>'ТЕ_2ст_тариф_без ЦТП'!M142/E$20*1000/12</f>
        <v>69.728868484424396</v>
      </c>
      <c r="F115" s="1808">
        <f>'ТЕ_2ст_тариф_без ЦТП'!P142/F$20*1000/12</f>
        <v>69.72886848442441</v>
      </c>
      <c r="G115" s="1808">
        <f>'ТЕ_2ст_тариф_без ЦТП'!S142/G$20*1000/12</f>
        <v>69.728868484424396</v>
      </c>
    </row>
    <row r="116" spans="1:7" ht="25.95" customHeight="1" x14ac:dyDescent="0.25">
      <c r="A116" s="1822" t="s">
        <v>2114</v>
      </c>
      <c r="B116" s="147" t="s">
        <v>452</v>
      </c>
      <c r="C116" s="2009" t="s">
        <v>3060</v>
      </c>
      <c r="D116" s="1808">
        <f>'ТЕ_2ст_тариф_без ЦТП'!J143/D$20*1000/12</f>
        <v>15.340351066573369</v>
      </c>
      <c r="E116" s="1808">
        <f>'ТЕ_2ст_тариф_без ЦТП'!M143/E$20*1000/12</f>
        <v>15.340351066573371</v>
      </c>
      <c r="F116" s="1808">
        <f>'ТЕ_2ст_тариф_без ЦТП'!P143/F$20*1000/12</f>
        <v>15.340351066573369</v>
      </c>
      <c r="G116" s="1808">
        <f>'ТЕ_2ст_тариф_без ЦТП'!S143/G$20*1000/12</f>
        <v>15.340351066573369</v>
      </c>
    </row>
    <row r="117" spans="1:7" x14ac:dyDescent="0.25">
      <c r="A117" s="1822" t="s">
        <v>2952</v>
      </c>
      <c r="B117" s="147" t="s">
        <v>58</v>
      </c>
      <c r="C117" s="2009" t="s">
        <v>3060</v>
      </c>
      <c r="D117" s="1808">
        <f>'ТЕ_2ст_тариф_без ЦТП'!J144/D$20*1000/12</f>
        <v>8.0436235411835124</v>
      </c>
      <c r="E117" s="1808">
        <f>'ТЕ_2ст_тариф_без ЦТП'!M144/E$20*1000/12</f>
        <v>8.0436235411835142</v>
      </c>
      <c r="F117" s="1808">
        <f>'ТЕ_2ст_тариф_без ЦТП'!P144/F$20*1000/12</f>
        <v>8.0436235411835124</v>
      </c>
      <c r="G117" s="1808">
        <f>'ТЕ_2ст_тариф_без ЦТП'!S144/G$20*1000/12</f>
        <v>8.0436235411835142</v>
      </c>
    </row>
    <row r="118" spans="1:7" x14ac:dyDescent="0.25">
      <c r="A118" s="1822" t="s">
        <v>2953</v>
      </c>
      <c r="B118" s="337" t="s">
        <v>220</v>
      </c>
      <c r="C118" s="2009" t="s">
        <v>3060</v>
      </c>
      <c r="D118" s="1808">
        <f>'ТЕ_2ст_тариф_без ЦТП'!J145/D$20*1000/12</f>
        <v>0</v>
      </c>
      <c r="E118" s="1808">
        <f>'ТЕ_2ст_тариф_без ЦТП'!M145/E$20*1000/12</f>
        <v>0</v>
      </c>
      <c r="F118" s="1808">
        <f>'ТЕ_2ст_тариф_без ЦТП'!P145/F$20*1000/12</f>
        <v>0</v>
      </c>
      <c r="G118" s="1808">
        <f>'ТЕ_2ст_тариф_без ЦТП'!S145/G$20*1000/12</f>
        <v>0</v>
      </c>
    </row>
    <row r="119" spans="1:7" x14ac:dyDescent="0.25">
      <c r="A119" s="1822" t="s">
        <v>3175</v>
      </c>
      <c r="B119" s="337" t="s">
        <v>55</v>
      </c>
      <c r="C119" s="2009" t="s">
        <v>3060</v>
      </c>
      <c r="D119" s="1808">
        <f>'ТЕ_2ст_тариф_без ЦТП'!J146/D$20*1000/12</f>
        <v>0</v>
      </c>
      <c r="E119" s="1808">
        <f>'ТЕ_2ст_тариф_без ЦТП'!M146/E$20*1000/12</f>
        <v>0</v>
      </c>
      <c r="F119" s="1808">
        <f>'ТЕ_2ст_тариф_без ЦТП'!P146/F$20*1000/12</f>
        <v>0</v>
      </c>
      <c r="G119" s="1808">
        <f>'ТЕ_2ст_тариф_без ЦТП'!S146/G$20*1000/12</f>
        <v>0</v>
      </c>
    </row>
    <row r="120" spans="1:7" ht="28.2" customHeight="1" x14ac:dyDescent="0.25">
      <c r="A120" s="1822" t="s">
        <v>3176</v>
      </c>
      <c r="B120" s="337" t="s">
        <v>452</v>
      </c>
      <c r="C120" s="2009" t="s">
        <v>3060</v>
      </c>
      <c r="D120" s="1808">
        <f>'ТЕ_2ст_тариф_без ЦТП'!J147/D$20*1000/12</f>
        <v>0</v>
      </c>
      <c r="E120" s="1808">
        <f>'ТЕ_2ст_тариф_без ЦТП'!M147/E$20*1000/12</f>
        <v>0</v>
      </c>
      <c r="F120" s="1808">
        <f>'ТЕ_2ст_тариф_без ЦТП'!P147/F$20*1000/12</f>
        <v>0</v>
      </c>
      <c r="G120" s="1808">
        <f>'ТЕ_2ст_тариф_без ЦТП'!S147/G$20*1000/12</f>
        <v>0</v>
      </c>
    </row>
    <row r="121" spans="1:7" x14ac:dyDescent="0.25">
      <c r="A121" s="1822" t="s">
        <v>3177</v>
      </c>
      <c r="B121" s="1814" t="s">
        <v>233</v>
      </c>
      <c r="C121" s="2009" t="s">
        <v>3060</v>
      </c>
      <c r="D121" s="1808">
        <f>'ТЕ_2ст_тариф_без ЦТП'!J148/D$20*1000/12</f>
        <v>0</v>
      </c>
      <c r="E121" s="1808">
        <f>'ТЕ_2ст_тариф_без ЦТП'!M148/E$20*1000/12</f>
        <v>0</v>
      </c>
      <c r="F121" s="1808">
        <f>'ТЕ_2ст_тариф_без ЦТП'!P148/F$20*1000/12</f>
        <v>0</v>
      </c>
      <c r="G121" s="1808">
        <f>'ТЕ_2ст_тариф_без ЦТП'!S148/G$20*1000/12</f>
        <v>0</v>
      </c>
    </row>
    <row r="122" spans="1:7" x14ac:dyDescent="0.25">
      <c r="A122" s="1822" t="s">
        <v>2954</v>
      </c>
      <c r="B122" s="147" t="s">
        <v>105</v>
      </c>
      <c r="C122" s="2009" t="s">
        <v>3060</v>
      </c>
      <c r="D122" s="1808">
        <f>'ТЕ_2ст_тариф_без ЦТП'!J149/D$20*1000/12</f>
        <v>0</v>
      </c>
      <c r="E122" s="1808">
        <f>'ТЕ_2ст_тариф_без ЦТП'!M149/E$20*1000/12</f>
        <v>0</v>
      </c>
      <c r="F122" s="1808">
        <f>'ТЕ_2ст_тариф_без ЦТП'!P149/F$20*1000/12</f>
        <v>0</v>
      </c>
      <c r="G122" s="1808">
        <f>'ТЕ_2ст_тариф_без ЦТП'!S149/G$20*1000/12</f>
        <v>0</v>
      </c>
    </row>
    <row r="123" spans="1:7" x14ac:dyDescent="0.25">
      <c r="A123" s="1822" t="s">
        <v>2955</v>
      </c>
      <c r="B123" s="147" t="s">
        <v>5</v>
      </c>
      <c r="C123" s="2009" t="s">
        <v>3060</v>
      </c>
      <c r="D123" s="1808">
        <f>'ТЕ_2ст_тариф_без ЦТП'!J150/D$20*1000/12</f>
        <v>0</v>
      </c>
      <c r="E123" s="1808">
        <f>'ТЕ_2ст_тариф_без ЦТП'!M150/E$20*1000/12</f>
        <v>0</v>
      </c>
      <c r="F123" s="1808">
        <f>'ТЕ_2ст_тариф_без ЦТП'!P150/F$20*1000/12</f>
        <v>0</v>
      </c>
      <c r="G123" s="1808">
        <f>'ТЕ_2ст_тариф_без ЦТП'!S150/G$20*1000/12</f>
        <v>0</v>
      </c>
    </row>
    <row r="124" spans="1:7" x14ac:dyDescent="0.25">
      <c r="A124" s="1822" t="s">
        <v>2956</v>
      </c>
      <c r="B124" s="147" t="s">
        <v>63</v>
      </c>
      <c r="C124" s="2009" t="s">
        <v>3060</v>
      </c>
      <c r="D124" s="1808">
        <f>'ТЕ_2ст_тариф_без ЦТП'!J151/D$20*1000/12</f>
        <v>2284.226602221027</v>
      </c>
      <c r="E124" s="1808">
        <f>'ТЕ_2ст_тариф_без ЦТП'!M151/E$20*1000/12</f>
        <v>2284.2266022210274</v>
      </c>
      <c r="F124" s="1808">
        <f>'ТЕ_2ст_тариф_без ЦТП'!P151/F$20*1000/12</f>
        <v>2284.226602221027</v>
      </c>
      <c r="G124" s="1808">
        <f>'ТЕ_2ст_тариф_без ЦТП'!S151/G$20*1000/12</f>
        <v>2284.226602221027</v>
      </c>
    </row>
    <row r="125" spans="1:7" x14ac:dyDescent="0.25">
      <c r="A125" s="1822" t="s">
        <v>2957</v>
      </c>
      <c r="B125" s="147" t="s">
        <v>221</v>
      </c>
      <c r="C125" s="2009" t="s">
        <v>3060</v>
      </c>
      <c r="D125" s="1808">
        <f>'ТЕ_2ст_тариф_без ЦТП'!J152/D$20*1000/12</f>
        <v>0</v>
      </c>
      <c r="E125" s="1808">
        <f>'ТЕ_2ст_тариф_без ЦТП'!M152/E$20*1000/12</f>
        <v>0</v>
      </c>
      <c r="F125" s="1808">
        <f>'ТЕ_2ст_тариф_без ЦТП'!P152/F$20*1000/12</f>
        <v>0</v>
      </c>
      <c r="G125" s="1808">
        <f>'ТЕ_2ст_тариф_без ЦТП'!S152/G$20*1000/12</f>
        <v>0</v>
      </c>
    </row>
    <row r="126" spans="1:7" x14ac:dyDescent="0.25">
      <c r="A126" s="1822" t="s">
        <v>3178</v>
      </c>
      <c r="B126" s="147" t="s">
        <v>242</v>
      </c>
      <c r="C126" s="2009" t="s">
        <v>3060</v>
      </c>
      <c r="D126" s="1808">
        <f>'ТЕ_2ст_тариф_без ЦТП'!J153/D$20*1000/12</f>
        <v>105.85440351755976</v>
      </c>
      <c r="E126" s="1808">
        <f>'ТЕ_2ст_тариф_без ЦТП'!M153/E$20*1000/12</f>
        <v>105.85440351755977</v>
      </c>
      <c r="F126" s="1808">
        <f>'ТЕ_2ст_тариф_без ЦТП'!P153/F$20*1000/12</f>
        <v>105.85440351755977</v>
      </c>
      <c r="G126" s="1808">
        <f>'ТЕ_2ст_тариф_без ЦТП'!S153/G$20*1000/12</f>
        <v>105.85440351755976</v>
      </c>
    </row>
    <row r="127" spans="1:7" x14ac:dyDescent="0.25">
      <c r="A127" s="1822" t="s">
        <v>3179</v>
      </c>
      <c r="B127" s="147" t="s">
        <v>65</v>
      </c>
      <c r="C127" s="2009" t="s">
        <v>3060</v>
      </c>
      <c r="D127" s="1808">
        <f>'ТЕ_2ст_тариф_без ЦТП'!J154/D$20*1000/12</f>
        <v>19.053792633160743</v>
      </c>
      <c r="E127" s="1808">
        <f>'ТЕ_2ст_тариф_без ЦТП'!M154/E$20*1000/12</f>
        <v>19.05379263316075</v>
      </c>
      <c r="F127" s="1808">
        <f>'ТЕ_2ст_тариф_без ЦТП'!P154/F$20*1000/12</f>
        <v>19.053792633160754</v>
      </c>
      <c r="G127" s="1808">
        <f>'ТЕ_2ст_тариф_без ЦТП'!S154/G$20*1000/12</f>
        <v>19.05379263316075</v>
      </c>
    </row>
    <row r="128" spans="1:7" x14ac:dyDescent="0.25">
      <c r="A128" s="1822" t="s">
        <v>3180</v>
      </c>
      <c r="B128" s="147" t="s">
        <v>84</v>
      </c>
      <c r="C128" s="2009" t="s">
        <v>3060</v>
      </c>
      <c r="D128" s="1808">
        <f>'ТЕ_2ст_тариф_без ЦТП'!J155/D$20*1000/12</f>
        <v>0</v>
      </c>
      <c r="E128" s="1808">
        <f>'ТЕ_2ст_тариф_без ЦТП'!M155/E$20*1000/12</f>
        <v>0</v>
      </c>
      <c r="F128" s="1808">
        <f>'ТЕ_2ст_тариф_без ЦТП'!P155/F$20*1000/12</f>
        <v>0</v>
      </c>
      <c r="G128" s="1808">
        <f>'ТЕ_2ст_тариф_без ЦТП'!S155/G$20*1000/12</f>
        <v>0</v>
      </c>
    </row>
    <row r="129" spans="1:7" x14ac:dyDescent="0.25">
      <c r="A129" s="1822" t="s">
        <v>3181</v>
      </c>
      <c r="B129" s="147" t="s">
        <v>85</v>
      </c>
      <c r="C129" s="2009" t="s">
        <v>3060</v>
      </c>
      <c r="D129" s="1808">
        <f>'ТЕ_2ст_тариф_без ЦТП'!J156/D$20*1000/12</f>
        <v>0</v>
      </c>
      <c r="E129" s="1808">
        <f>'ТЕ_2ст_тариф_без ЦТП'!M156/E$20*1000/12</f>
        <v>0</v>
      </c>
      <c r="F129" s="1808">
        <f>'ТЕ_2ст_тариф_без ЦТП'!P156/F$20*1000/12</f>
        <v>0</v>
      </c>
      <c r="G129" s="1808">
        <f>'ТЕ_2ст_тариф_без ЦТП'!S156/G$20*1000/12</f>
        <v>0</v>
      </c>
    </row>
    <row r="130" spans="1:7" x14ac:dyDescent="0.25">
      <c r="A130" s="1822" t="s">
        <v>3182</v>
      </c>
      <c r="B130" s="147" t="s">
        <v>71</v>
      </c>
      <c r="C130" s="2009" t="s">
        <v>3060</v>
      </c>
      <c r="D130" s="1808">
        <f>'ТЕ_2ст_тариф_без ЦТП'!J157/D$20*1000/12</f>
        <v>0</v>
      </c>
      <c r="E130" s="1808">
        <f>'ТЕ_2ст_тариф_без ЦТП'!M157/E$20*1000/12</f>
        <v>0</v>
      </c>
      <c r="F130" s="1808">
        <f>'ТЕ_2ст_тариф_без ЦТП'!P157/F$20*1000/12</f>
        <v>0</v>
      </c>
      <c r="G130" s="1808">
        <f>'ТЕ_2ст_тариф_без ЦТП'!S157/G$20*1000/12</f>
        <v>0</v>
      </c>
    </row>
    <row r="131" spans="1:7" x14ac:dyDescent="0.25">
      <c r="A131" s="1822" t="s">
        <v>3183</v>
      </c>
      <c r="B131" s="1094" t="s">
        <v>86</v>
      </c>
      <c r="C131" s="2009" t="s">
        <v>3060</v>
      </c>
      <c r="D131" s="1808">
        <f>'ТЕ_2ст_тариф_без ЦТП'!J158/D$20*1000/12</f>
        <v>86.800610884399021</v>
      </c>
      <c r="E131" s="1808">
        <f>'ТЕ_2ст_тариф_без ЦТП'!M158/E$20*1000/12</f>
        <v>86.800610884399021</v>
      </c>
      <c r="F131" s="1808">
        <f>'ТЕ_2ст_тариф_без ЦТП'!P158/F$20*1000/12</f>
        <v>86.800610884399021</v>
      </c>
      <c r="G131" s="1808">
        <f>'ТЕ_2ст_тариф_без ЦТП'!S158/G$20*1000/12</f>
        <v>86.800610884399021</v>
      </c>
    </row>
    <row r="135" spans="1:7" ht="15.6" x14ac:dyDescent="0.3">
      <c r="B135" s="887" t="s">
        <v>2821</v>
      </c>
      <c r="C135" s="887"/>
      <c r="D135" s="45"/>
      <c r="E135" s="887" t="s">
        <v>2822</v>
      </c>
      <c r="F135" s="887"/>
      <c r="G135" s="887"/>
    </row>
    <row r="139" spans="1:7" x14ac:dyDescent="0.25">
      <c r="D139" s="1223">
        <f>D24+D62</f>
        <v>1022.9080629079847</v>
      </c>
      <c r="E139" s="1223">
        <f>E24+E62</f>
        <v>2009.9180722784188</v>
      </c>
      <c r="F139" s="1223">
        <f>F24+F62</f>
        <v>2009.918072278419</v>
      </c>
      <c r="G139" s="1223">
        <f>G24+G62</f>
        <v>2009.918072278419</v>
      </c>
    </row>
    <row r="140" spans="1:7" x14ac:dyDescent="0.25">
      <c r="D140" s="1223">
        <f>D102+D66+D31</f>
        <v>100654.02687081962</v>
      </c>
      <c r="E140" s="1223">
        <f>E102+E66+E31</f>
        <v>117803.48304835666</v>
      </c>
      <c r="F140" s="1223">
        <f>F102+F66+F31</f>
        <v>117803.48304835663</v>
      </c>
      <c r="G140" s="1223">
        <f>G102+G66+G31</f>
        <v>117803.48304835663</v>
      </c>
    </row>
    <row r="141" spans="1:7" x14ac:dyDescent="0.25">
      <c r="D141" s="1121"/>
      <c r="E141" s="1121"/>
      <c r="F141" s="1121"/>
      <c r="G141" s="1121"/>
    </row>
    <row r="142" spans="1:7" x14ac:dyDescent="0.25">
      <c r="D142" s="1223">
        <f t="shared" ref="D142:G143" si="1">D139-D13</f>
        <v>8.062907984708545E-3</v>
      </c>
      <c r="E142" s="1223">
        <f t="shared" si="1"/>
        <v>8.0722784186946228E-3</v>
      </c>
      <c r="F142" s="1223">
        <f t="shared" si="1"/>
        <v>8.0722784189219965E-3</v>
      </c>
      <c r="G142" s="1223">
        <f t="shared" si="1"/>
        <v>8.0722784189219965E-3</v>
      </c>
    </row>
    <row r="143" spans="1:7" x14ac:dyDescent="0.25">
      <c r="D143" s="1223">
        <f t="shared" si="1"/>
        <v>92266.191870819617</v>
      </c>
      <c r="E143" s="1223">
        <f t="shared" si="1"/>
        <v>107986.52638169</v>
      </c>
      <c r="F143" s="1223">
        <f t="shared" si="1"/>
        <v>107986.52638168997</v>
      </c>
      <c r="G143" s="1223">
        <f t="shared" si="1"/>
        <v>107986.52638168997</v>
      </c>
    </row>
  </sheetData>
  <mergeCells count="17">
    <mergeCell ref="A30:G30"/>
    <mergeCell ref="A61:G61"/>
    <mergeCell ref="A65:G65"/>
    <mergeCell ref="A101:G101"/>
    <mergeCell ref="A9:A10"/>
    <mergeCell ref="B9:B10"/>
    <mergeCell ref="D9:G9"/>
    <mergeCell ref="A12:G12"/>
    <mergeCell ref="A15:G15"/>
    <mergeCell ref="A23:G23"/>
    <mergeCell ref="C9:C10"/>
    <mergeCell ref="A7:G7"/>
    <mergeCell ref="D1:F1"/>
    <mergeCell ref="D2:F2"/>
    <mergeCell ref="D3:F3"/>
    <mergeCell ref="D4:F4"/>
    <mergeCell ref="A6:G6"/>
  </mergeCells>
  <pageMargins left="0.70866141732283472" right="0.39370078740157483" top="0.4" bottom="0.4" header="0.31496062992125984" footer="0.31496062992125984"/>
  <pageSetup paperSize="9" scale="85" fitToHeight="3" orientation="portrait" horizontalDpi="0" verticalDpi="0" r:id="rId1"/>
</worksheet>
</file>

<file path=xl/worksheets/sheet1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300-000000000000}">
  <sheetPr codeName="Лист112">
    <tabColor rgb="FFEC20C5"/>
    <pageSetUpPr fitToPage="1"/>
  </sheetPr>
  <dimension ref="A1:K35"/>
  <sheetViews>
    <sheetView workbookViewId="0">
      <selection sqref="A1:XFD1048576"/>
    </sheetView>
  </sheetViews>
  <sheetFormatPr defaultColWidth="8.88671875" defaultRowHeight="15.6" x14ac:dyDescent="0.3"/>
  <cols>
    <col min="1" max="1" width="8.88671875" style="45"/>
    <col min="2" max="2" width="31.6640625" style="45" customWidth="1"/>
    <col min="3" max="3" width="19.88671875" style="45" customWidth="1"/>
    <col min="4" max="4" width="23.33203125" style="45" customWidth="1"/>
    <col min="5" max="5" width="12.5546875" style="45" customWidth="1"/>
    <col min="6" max="6" width="12.88671875" style="45" customWidth="1"/>
    <col min="7" max="9" width="8.88671875" style="45"/>
    <col min="10" max="11" width="11.5546875" style="45" customWidth="1"/>
    <col min="12" max="16384" width="8.88671875" style="45"/>
  </cols>
  <sheetData>
    <row r="1" spans="1:8" ht="80.400000000000006" customHeight="1" x14ac:dyDescent="0.3">
      <c r="A1" s="2093"/>
      <c r="B1" s="1732"/>
      <c r="C1" s="1732"/>
      <c r="D1" s="2059"/>
      <c r="E1" s="4895" t="s">
        <v>3100</v>
      </c>
      <c r="F1" s="4895"/>
    </row>
    <row r="3" spans="1:8" x14ac:dyDescent="0.3">
      <c r="B3" s="4911" t="s">
        <v>2219</v>
      </c>
      <c r="C3" s="4911"/>
      <c r="D3" s="4911"/>
      <c r="E3" s="4911"/>
      <c r="F3" s="4911"/>
    </row>
    <row r="4" spans="1:8" ht="66" customHeight="1" x14ac:dyDescent="0.3">
      <c r="B4" s="4938" t="s">
        <v>2909</v>
      </c>
      <c r="C4" s="4938"/>
      <c r="D4" s="4938"/>
      <c r="E4" s="4938"/>
      <c r="F4" s="4938"/>
    </row>
    <row r="5" spans="1:8" ht="7.95" customHeight="1" thickBot="1" x14ac:dyDescent="0.35"/>
    <row r="6" spans="1:8" ht="31.8" thickBot="1" x14ac:dyDescent="0.35">
      <c r="B6" s="2056" t="s">
        <v>1544</v>
      </c>
      <c r="C6" s="2057" t="s">
        <v>259</v>
      </c>
      <c r="D6" s="2057" t="s">
        <v>2813</v>
      </c>
      <c r="E6" s="2057" t="s">
        <v>2824</v>
      </c>
      <c r="F6" s="2094" t="s">
        <v>2825</v>
      </c>
    </row>
    <row r="7" spans="1:8" ht="16.2" thickBot="1" x14ac:dyDescent="0.35">
      <c r="B7" s="5922" t="s">
        <v>2736</v>
      </c>
      <c r="C7" s="5923"/>
      <c r="D7" s="5923"/>
      <c r="E7" s="5923"/>
      <c r="F7" s="5924"/>
    </row>
    <row r="8" spans="1:8" x14ac:dyDescent="0.3">
      <c r="B8" s="4936" t="s">
        <v>2826</v>
      </c>
      <c r="C8" s="2050" t="s">
        <v>2814</v>
      </c>
      <c r="D8" s="2050" t="s">
        <v>2815</v>
      </c>
      <c r="E8" s="2051">
        <f>E10+E12+E14</f>
        <v>1143.25</v>
      </c>
      <c r="F8" s="2095">
        <f>F10+F12+F14</f>
        <v>1371.8999999999999</v>
      </c>
      <c r="H8" s="45">
        <f>E8*1.2-F8</f>
        <v>0</v>
      </c>
    </row>
    <row r="9" spans="1:8" ht="31.8" thickBot="1" x14ac:dyDescent="0.35">
      <c r="B9" s="4937"/>
      <c r="C9" s="2052" t="s">
        <v>2816</v>
      </c>
      <c r="D9" s="2052" t="s">
        <v>2817</v>
      </c>
      <c r="E9" s="2053">
        <f>E11+E13+E15</f>
        <v>11011.4</v>
      </c>
      <c r="F9" s="2096">
        <f>F11+F13+F15</f>
        <v>13213.679999999998</v>
      </c>
      <c r="H9" s="45">
        <f t="shared" ref="H9:H33" si="0">E9*1.2-F9</f>
        <v>0</v>
      </c>
    </row>
    <row r="10" spans="1:8" x14ac:dyDescent="0.3">
      <c r="B10" s="5925" t="s">
        <v>2818</v>
      </c>
      <c r="C10" s="2046" t="s">
        <v>2814</v>
      </c>
      <c r="D10" s="2046" t="s">
        <v>2815</v>
      </c>
      <c r="E10" s="2047">
        <f>'ТЕ_2ст_тариф_з ЦТП'!H80</f>
        <v>889.12</v>
      </c>
      <c r="F10" s="2097">
        <f>'ТЕ_2ст_тариф_з ЦТП'!H83</f>
        <v>1066.944</v>
      </c>
      <c r="H10" s="45">
        <f t="shared" si="0"/>
        <v>0</v>
      </c>
    </row>
    <row r="11" spans="1:8" ht="18" customHeight="1" thickBot="1" x14ac:dyDescent="0.35">
      <c r="B11" s="5926"/>
      <c r="C11" s="2048" t="s">
        <v>2816</v>
      </c>
      <c r="D11" s="2048" t="s">
        <v>2817</v>
      </c>
      <c r="E11" s="2049">
        <f>'ТЕ_2ст_тариф_з ЦТП'!H81/12</f>
        <v>4556.5199999999995</v>
      </c>
      <c r="F11" s="2098">
        <f>'ТЕ_2ст_тариф_з ЦТП'!H84/12</f>
        <v>5467.8239999999996</v>
      </c>
      <c r="H11" s="45">
        <f t="shared" si="0"/>
        <v>0</v>
      </c>
    </row>
    <row r="12" spans="1:8" x14ac:dyDescent="0.3">
      <c r="B12" s="5925" t="s">
        <v>2819</v>
      </c>
      <c r="C12" s="2046" t="s">
        <v>2814</v>
      </c>
      <c r="D12" s="2046" t="s">
        <v>2815</v>
      </c>
      <c r="E12" s="2047">
        <f>'ТЕ_2ст_тариф_з ЦТП'!H124</f>
        <v>254.13</v>
      </c>
      <c r="F12" s="2097">
        <f>'ТЕ_2ст_тариф_з ЦТП'!H127</f>
        <v>304.95599999999996</v>
      </c>
      <c r="H12" s="45">
        <f t="shared" si="0"/>
        <v>0</v>
      </c>
    </row>
    <row r="13" spans="1:8" ht="17.399999999999999" customHeight="1" thickBot="1" x14ac:dyDescent="0.35">
      <c r="B13" s="5926"/>
      <c r="C13" s="2048" t="s">
        <v>2816</v>
      </c>
      <c r="D13" s="2048" t="s">
        <v>2817</v>
      </c>
      <c r="E13" s="2049">
        <f>'ТЕ_2ст_тариф_з ЦТП'!H125/12</f>
        <v>6255.706666666666</v>
      </c>
      <c r="F13" s="2098">
        <f>'ТЕ_2ст_тариф_з ЦТП'!H128/12</f>
        <v>7506.847999999999</v>
      </c>
      <c r="H13" s="45">
        <f t="shared" si="0"/>
        <v>0</v>
      </c>
    </row>
    <row r="14" spans="1:8" x14ac:dyDescent="0.3">
      <c r="B14" s="5925" t="s">
        <v>2820</v>
      </c>
      <c r="C14" s="2046" t="s">
        <v>2814</v>
      </c>
      <c r="D14" s="2046" t="s">
        <v>2815</v>
      </c>
      <c r="E14" s="2047">
        <v>0</v>
      </c>
      <c r="F14" s="2097">
        <v>0</v>
      </c>
      <c r="H14" s="45">
        <f t="shared" si="0"/>
        <v>0</v>
      </c>
    </row>
    <row r="15" spans="1:8" ht="18.600000000000001" customHeight="1" thickBot="1" x14ac:dyDescent="0.35">
      <c r="B15" s="5926"/>
      <c r="C15" s="2048" t="s">
        <v>2816</v>
      </c>
      <c r="D15" s="2048" t="s">
        <v>2817</v>
      </c>
      <c r="E15" s="2049">
        <f>'ТЕ_2ст_тариф_з ЦТП'!H164/12</f>
        <v>199.17333333333332</v>
      </c>
      <c r="F15" s="2098">
        <f>'ТЕ_2ст_тариф_з ЦТП'!H167/12</f>
        <v>239.00800000000001</v>
      </c>
      <c r="H15" s="45">
        <f t="shared" si="0"/>
        <v>0</v>
      </c>
    </row>
    <row r="16" spans="1:8" ht="15.6" customHeight="1" thickBot="1" x14ac:dyDescent="0.35">
      <c r="B16" s="5922" t="s">
        <v>2859</v>
      </c>
      <c r="C16" s="5923"/>
      <c r="D16" s="5923"/>
      <c r="E16" s="5923"/>
      <c r="F16" s="5924"/>
      <c r="H16" s="45">
        <f t="shared" si="0"/>
        <v>0</v>
      </c>
    </row>
    <row r="17" spans="2:11" ht="15.6" customHeight="1" x14ac:dyDescent="0.3">
      <c r="B17" s="4936" t="s">
        <v>2826</v>
      </c>
      <c r="C17" s="2050" t="s">
        <v>2814</v>
      </c>
      <c r="D17" s="2050" t="s">
        <v>2815</v>
      </c>
      <c r="E17" s="2051">
        <f>E19+E21+E23</f>
        <v>2130.2600000000002</v>
      </c>
      <c r="F17" s="2095">
        <f>F19+F21+F23</f>
        <v>2556.3120000000004</v>
      </c>
      <c r="H17" s="45">
        <f t="shared" si="0"/>
        <v>0</v>
      </c>
    </row>
    <row r="18" spans="2:11" ht="31.8" thickBot="1" x14ac:dyDescent="0.35">
      <c r="B18" s="4937"/>
      <c r="C18" s="2052" t="s">
        <v>2816</v>
      </c>
      <c r="D18" s="2052" t="s">
        <v>2817</v>
      </c>
      <c r="E18" s="2053">
        <f>E20+E22+E24</f>
        <v>12569.185833333335</v>
      </c>
      <c r="F18" s="2096">
        <f>F20+F22+F24</f>
        <v>15083.022999999999</v>
      </c>
      <c r="H18" s="45">
        <f t="shared" si="0"/>
        <v>0</v>
      </c>
    </row>
    <row r="19" spans="2:11" x14ac:dyDescent="0.3">
      <c r="B19" s="5925" t="s">
        <v>2818</v>
      </c>
      <c r="C19" s="2046" t="s">
        <v>2814</v>
      </c>
      <c r="D19" s="2046" t="s">
        <v>2286</v>
      </c>
      <c r="E19" s="2047">
        <f>'ТЕ_2ст_тариф_з ЦТП'!N80</f>
        <v>1876.13</v>
      </c>
      <c r="F19" s="2097">
        <f>'ТЕ_2ст_тариф_з ЦТП'!N83</f>
        <v>2251.3560000000002</v>
      </c>
      <c r="H19" s="45">
        <f t="shared" si="0"/>
        <v>0</v>
      </c>
    </row>
    <row r="20" spans="2:11" ht="15.6" customHeight="1" thickBot="1" x14ac:dyDescent="0.35">
      <c r="B20" s="5926"/>
      <c r="C20" s="2048" t="s">
        <v>2816</v>
      </c>
      <c r="D20" s="2048" t="s">
        <v>2817</v>
      </c>
      <c r="E20" s="2049">
        <f>'ТЕ_2ст_тариф_з ЦТП'!N81/12</f>
        <v>5037.7666666666664</v>
      </c>
      <c r="F20" s="2098">
        <f>'ТЕ_2ст_тариф_з ЦТП'!N84/12</f>
        <v>6045.32</v>
      </c>
      <c r="H20" s="45">
        <f t="shared" si="0"/>
        <v>0</v>
      </c>
    </row>
    <row r="21" spans="2:11" x14ac:dyDescent="0.3">
      <c r="B21" s="5925" t="s">
        <v>2819</v>
      </c>
      <c r="C21" s="2046" t="s">
        <v>2814</v>
      </c>
      <c r="D21" s="2046" t="s">
        <v>2286</v>
      </c>
      <c r="E21" s="2047">
        <f>'ТЕ_2ст_тариф_з ЦТП'!N124</f>
        <v>254.13</v>
      </c>
      <c r="F21" s="2097">
        <f>'ТЕ_2ст_тариф_з ЦТП'!N127</f>
        <v>304.95599999999996</v>
      </c>
      <c r="H21" s="45">
        <f t="shared" si="0"/>
        <v>0</v>
      </c>
    </row>
    <row r="22" spans="2:11" ht="18" customHeight="1" thickBot="1" x14ac:dyDescent="0.35">
      <c r="B22" s="5926"/>
      <c r="C22" s="2048" t="s">
        <v>2816</v>
      </c>
      <c r="D22" s="2048" t="s">
        <v>2817</v>
      </c>
      <c r="E22" s="2049">
        <f>'ТЕ_2ст_тариф_з ЦТП'!N125/12</f>
        <v>7332.2458333333334</v>
      </c>
      <c r="F22" s="2098">
        <f>'ТЕ_2ст_тариф_з ЦТП'!N128/12</f>
        <v>8798.6949999999997</v>
      </c>
      <c r="H22" s="45">
        <f t="shared" si="0"/>
        <v>0</v>
      </c>
    </row>
    <row r="23" spans="2:11" x14ac:dyDescent="0.3">
      <c r="B23" s="5925" t="s">
        <v>2820</v>
      </c>
      <c r="C23" s="2046" t="s">
        <v>2814</v>
      </c>
      <c r="D23" s="2046" t="s">
        <v>2286</v>
      </c>
      <c r="E23" s="2047">
        <v>0</v>
      </c>
      <c r="F23" s="2099">
        <v>0</v>
      </c>
      <c r="H23" s="45">
        <f t="shared" si="0"/>
        <v>0</v>
      </c>
    </row>
    <row r="24" spans="2:11" ht="16.95" customHeight="1" thickBot="1" x14ac:dyDescent="0.35">
      <c r="B24" s="5926"/>
      <c r="C24" s="2048" t="s">
        <v>2816</v>
      </c>
      <c r="D24" s="2048" t="s">
        <v>2817</v>
      </c>
      <c r="E24" s="2049">
        <f>'ТЕ_2ст_тариф_з ЦТП'!N164/12</f>
        <v>199.17333333333332</v>
      </c>
      <c r="F24" s="2098">
        <f>'ТЕ_2ст_тариф_з ЦТП'!N167/12</f>
        <v>239.00800000000001</v>
      </c>
      <c r="H24" s="45">
        <f t="shared" si="0"/>
        <v>0</v>
      </c>
    </row>
    <row r="25" spans="2:11" ht="15.6" customHeight="1" thickBot="1" x14ac:dyDescent="0.35">
      <c r="B25" s="5922" t="s">
        <v>2739</v>
      </c>
      <c r="C25" s="5923"/>
      <c r="D25" s="5923"/>
      <c r="E25" s="5923"/>
      <c r="F25" s="5924"/>
      <c r="H25" s="45">
        <f t="shared" si="0"/>
        <v>0</v>
      </c>
    </row>
    <row r="26" spans="2:11" ht="15.6" customHeight="1" x14ac:dyDescent="0.3">
      <c r="B26" s="4936" t="s">
        <v>2826</v>
      </c>
      <c r="C26" s="2050" t="s">
        <v>2814</v>
      </c>
      <c r="D26" s="2050" t="s">
        <v>2286</v>
      </c>
      <c r="E26" s="2051">
        <f>E28+E30+E32</f>
        <v>2130.2600000000002</v>
      </c>
      <c r="F26" s="2095">
        <f>F28+F30+F32</f>
        <v>2556.3120000000004</v>
      </c>
      <c r="H26" s="45">
        <f t="shared" si="0"/>
        <v>0</v>
      </c>
      <c r="J26" s="1762">
        <f>'сведено-економ'!G40</f>
        <v>2130.2600000000002</v>
      </c>
      <c r="K26" s="1762">
        <f>'сведено-економ'!G69</f>
        <v>2556.3120000000004</v>
      </c>
    </row>
    <row r="27" spans="2:11" ht="31.95" customHeight="1" thickBot="1" x14ac:dyDescent="0.35">
      <c r="B27" s="4937"/>
      <c r="C27" s="2052" t="s">
        <v>2816</v>
      </c>
      <c r="D27" s="2052" t="s">
        <v>2817</v>
      </c>
      <c r="E27" s="2053">
        <f>E29+E31+E33</f>
        <v>12569.185833333335</v>
      </c>
      <c r="F27" s="2096">
        <f>F29+F31+F33</f>
        <v>15083.022999999999</v>
      </c>
      <c r="H27" s="45">
        <f t="shared" si="0"/>
        <v>0</v>
      </c>
      <c r="J27" s="1762">
        <f>'сведено-економ'!G41</f>
        <v>150830.22999999998</v>
      </c>
      <c r="K27" s="1762">
        <f>'сведено-економ'!G70</f>
        <v>180996.27599999998</v>
      </c>
    </row>
    <row r="28" spans="2:11" x14ac:dyDescent="0.3">
      <c r="B28" s="5925" t="s">
        <v>2818</v>
      </c>
      <c r="C28" s="2046" t="s">
        <v>2814</v>
      </c>
      <c r="D28" s="2046" t="s">
        <v>2286</v>
      </c>
      <c r="E28" s="2047">
        <f>'ТЕ_2ст_тариф_з ЦТП'!Q80</f>
        <v>1876.13</v>
      </c>
      <c r="F28" s="2097">
        <f>'ТЕ_2ст_тариф_з ЦТП'!Q83</f>
        <v>2251.3560000000002</v>
      </c>
      <c r="H28" s="45">
        <f t="shared" si="0"/>
        <v>0</v>
      </c>
    </row>
    <row r="29" spans="2:11" ht="19.95" customHeight="1" thickBot="1" x14ac:dyDescent="0.35">
      <c r="B29" s="5926"/>
      <c r="C29" s="2048" t="s">
        <v>2816</v>
      </c>
      <c r="D29" s="2048" t="s">
        <v>2817</v>
      </c>
      <c r="E29" s="2049">
        <f>'ТЕ_2ст_тариф_з ЦТП'!Q81/12</f>
        <v>5037.7666666666664</v>
      </c>
      <c r="F29" s="2098">
        <f>'ТЕ_2ст_тариф_з ЦТП'!Q84/12</f>
        <v>6045.32</v>
      </c>
      <c r="H29" s="45">
        <f t="shared" si="0"/>
        <v>0</v>
      </c>
    </row>
    <row r="30" spans="2:11" x14ac:dyDescent="0.3">
      <c r="B30" s="5925" t="s">
        <v>2819</v>
      </c>
      <c r="C30" s="2046" t="s">
        <v>2814</v>
      </c>
      <c r="D30" s="2046" t="s">
        <v>2286</v>
      </c>
      <c r="E30" s="2047">
        <f>'ТЕ_2ст_тариф_з ЦТП'!Q124</f>
        <v>254.13</v>
      </c>
      <c r="F30" s="2097">
        <f>'ТЕ_2ст_тариф_з ЦТП'!Q127</f>
        <v>304.95599999999996</v>
      </c>
      <c r="H30" s="45">
        <f t="shared" si="0"/>
        <v>0</v>
      </c>
    </row>
    <row r="31" spans="2:11" ht="19.2" customHeight="1" thickBot="1" x14ac:dyDescent="0.35">
      <c r="B31" s="5926"/>
      <c r="C31" s="2048" t="s">
        <v>2816</v>
      </c>
      <c r="D31" s="2048" t="s">
        <v>2817</v>
      </c>
      <c r="E31" s="2049">
        <f>'ТЕ_2ст_тариф_з ЦТП'!Q125/12</f>
        <v>7332.2458333333334</v>
      </c>
      <c r="F31" s="2098">
        <f>'ТЕ_2ст_тариф_з ЦТП'!Q128/12</f>
        <v>8798.6949999999997</v>
      </c>
      <c r="H31" s="45">
        <f t="shared" si="0"/>
        <v>0</v>
      </c>
    </row>
    <row r="32" spans="2:11" x14ac:dyDescent="0.3">
      <c r="B32" s="5925" t="s">
        <v>2820</v>
      </c>
      <c r="C32" s="2046" t="s">
        <v>2814</v>
      </c>
      <c r="D32" s="2046" t="s">
        <v>2286</v>
      </c>
      <c r="E32" s="2047">
        <v>0</v>
      </c>
      <c r="F32" s="2099">
        <v>0</v>
      </c>
      <c r="H32" s="45">
        <f t="shared" si="0"/>
        <v>0</v>
      </c>
    </row>
    <row r="33" spans="2:8" ht="18.600000000000001" customHeight="1" thickBot="1" x14ac:dyDescent="0.35">
      <c r="B33" s="5926"/>
      <c r="C33" s="2048" t="s">
        <v>2816</v>
      </c>
      <c r="D33" s="2048" t="s">
        <v>2817</v>
      </c>
      <c r="E33" s="2049">
        <f>'ТЕ_2ст_тариф_з ЦТП'!Q164/12</f>
        <v>199.17333333333332</v>
      </c>
      <c r="F33" s="2098">
        <f>'ТЕ_2ст_тариф_з ЦТП'!Q167/12</f>
        <v>239.00800000000001</v>
      </c>
      <c r="H33" s="45">
        <f t="shared" si="0"/>
        <v>0</v>
      </c>
    </row>
    <row r="34" spans="2:8" x14ac:dyDescent="0.3">
      <c r="B34" s="887"/>
    </row>
    <row r="35" spans="2:8" x14ac:dyDescent="0.3">
      <c r="B35" s="887" t="s">
        <v>2821</v>
      </c>
      <c r="D35" s="887"/>
      <c r="E35" s="1587" t="s">
        <v>2822</v>
      </c>
      <c r="F35" s="887"/>
      <c r="G35" s="887"/>
      <c r="H35" s="887"/>
    </row>
  </sheetData>
  <mergeCells count="18">
    <mergeCell ref="B28:B29"/>
    <mergeCell ref="B30:B31"/>
    <mergeCell ref="B32:B33"/>
    <mergeCell ref="B17:B18"/>
    <mergeCell ref="B19:B20"/>
    <mergeCell ref="B21:B22"/>
    <mergeCell ref="B23:B24"/>
    <mergeCell ref="B25:F25"/>
    <mergeCell ref="B26:B27"/>
    <mergeCell ref="B16:F16"/>
    <mergeCell ref="B3:F3"/>
    <mergeCell ref="B4:F4"/>
    <mergeCell ref="E1:F1"/>
    <mergeCell ref="B7:F7"/>
    <mergeCell ref="B8:B9"/>
    <mergeCell ref="B10:B11"/>
    <mergeCell ref="B12:B13"/>
    <mergeCell ref="B14:B15"/>
  </mergeCells>
  <pageMargins left="0.95" right="0.31496062992125984" top="0.31496062992125984" bottom="0.27559055118110237" header="0.31496062992125984" footer="0.31496062992125984"/>
  <pageSetup paperSize="9" scale="88" orientation="portrait" horizontalDpi="0" verticalDpi="0" r:id="rId1"/>
</worksheet>
</file>

<file path=xl/worksheets/sheet1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400-000000000000}">
  <sheetPr codeName="Лист113">
    <tabColor rgb="FFEC20C5"/>
    <pageSetUpPr fitToPage="1"/>
  </sheetPr>
  <dimension ref="A1:H42"/>
  <sheetViews>
    <sheetView topLeftCell="A19" workbookViewId="0">
      <selection activeCell="J44" sqref="J44"/>
    </sheetView>
  </sheetViews>
  <sheetFormatPr defaultColWidth="8.88671875" defaultRowHeight="15.6" x14ac:dyDescent="0.3"/>
  <cols>
    <col min="1" max="1" width="8.88671875" style="45"/>
    <col min="2" max="2" width="22.5546875" style="45" customWidth="1"/>
    <col min="3" max="3" width="20.6640625" style="45" customWidth="1"/>
    <col min="4" max="4" width="24.6640625" style="45" customWidth="1"/>
    <col min="5" max="6" width="13.33203125" style="45" customWidth="1"/>
    <col min="7" max="16384" width="8.88671875" style="45"/>
  </cols>
  <sheetData>
    <row r="1" spans="1:8" ht="80.400000000000006" customHeight="1" x14ac:dyDescent="0.3">
      <c r="A1" s="2092"/>
      <c r="B1" s="1732"/>
      <c r="C1" s="2059"/>
      <c r="D1" s="2060"/>
      <c r="E1" s="4895" t="s">
        <v>3101</v>
      </c>
      <c r="F1" s="4895"/>
    </row>
    <row r="2" spans="1:8" x14ac:dyDescent="0.3">
      <c r="B2" s="4911" t="s">
        <v>2219</v>
      </c>
      <c r="C2" s="4911"/>
      <c r="D2" s="4911"/>
      <c r="E2" s="4911"/>
      <c r="F2" s="4911"/>
    </row>
    <row r="3" spans="1:8" ht="70.2" customHeight="1" x14ac:dyDescent="0.3">
      <c r="B3" s="4938" t="s">
        <v>3096</v>
      </c>
      <c r="C3" s="4938"/>
      <c r="D3" s="4938"/>
      <c r="E3" s="4938"/>
      <c r="F3" s="4938"/>
    </row>
    <row r="4" spans="1:8" ht="31.2" x14ac:dyDescent="0.3">
      <c r="B4" s="1733" t="s">
        <v>1544</v>
      </c>
      <c r="C4" s="1733" t="s">
        <v>259</v>
      </c>
      <c r="D4" s="1733" t="s">
        <v>2813</v>
      </c>
      <c r="E4" s="1733" t="s">
        <v>2824</v>
      </c>
      <c r="F4" s="1733" t="s">
        <v>2825</v>
      </c>
    </row>
    <row r="5" spans="1:8" ht="16.2" thickBot="1" x14ac:dyDescent="0.35">
      <c r="B5" s="5927" t="s">
        <v>2736</v>
      </c>
      <c r="C5" s="5927"/>
      <c r="D5" s="5927"/>
      <c r="E5" s="5927"/>
      <c r="F5" s="5927"/>
    </row>
    <row r="6" spans="1:8" x14ac:dyDescent="0.3">
      <c r="B6" s="4936" t="s">
        <v>2826</v>
      </c>
      <c r="C6" s="2050" t="s">
        <v>2814</v>
      </c>
      <c r="D6" s="2050" t="s">
        <v>2815</v>
      </c>
      <c r="E6" s="2051">
        <f>E8+E10+E12</f>
        <v>1022.9</v>
      </c>
      <c r="F6" s="2095">
        <f>F8+F10+F12</f>
        <v>1227.48</v>
      </c>
      <c r="H6" s="45">
        <f>E6*1.2-F6</f>
        <v>0</v>
      </c>
    </row>
    <row r="7" spans="1:8" ht="16.2" customHeight="1" thickBot="1" x14ac:dyDescent="0.35">
      <c r="B7" s="4937"/>
      <c r="C7" s="2052" t="s">
        <v>2816</v>
      </c>
      <c r="D7" s="2052" t="s">
        <v>2817</v>
      </c>
      <c r="E7" s="2053">
        <f>E9+E11+E13</f>
        <v>8387.8349999999991</v>
      </c>
      <c r="F7" s="2096">
        <f>F9+F11+F13</f>
        <v>10065.402</v>
      </c>
      <c r="H7" s="45">
        <f t="shared" ref="H7:H40" si="0">E7*1.2-F7</f>
        <v>0</v>
      </c>
    </row>
    <row r="8" spans="1:8" x14ac:dyDescent="0.3">
      <c r="B8" s="5925" t="s">
        <v>2818</v>
      </c>
      <c r="C8" s="2046" t="s">
        <v>2814</v>
      </c>
      <c r="D8" s="2046" t="s">
        <v>2815</v>
      </c>
      <c r="E8" s="2047">
        <f>'ТЕ_2ст_тариф_без ЦТП'!H80</f>
        <v>889.12</v>
      </c>
      <c r="F8" s="2097">
        <f>'ТЕ_2ст_тариф_без ЦТП'!H83</f>
        <v>1066.944</v>
      </c>
      <c r="H8" s="45">
        <f t="shared" si="0"/>
        <v>0</v>
      </c>
    </row>
    <row r="9" spans="1:8" ht="15.6" customHeight="1" thickBot="1" x14ac:dyDescent="0.35">
      <c r="B9" s="5926"/>
      <c r="C9" s="2048" t="s">
        <v>2816</v>
      </c>
      <c r="D9" s="2048" t="s">
        <v>2817</v>
      </c>
      <c r="E9" s="2049">
        <f>'ТЕ_2ст_тариф_без ЦТП'!H81/12</f>
        <v>4556.5199999999995</v>
      </c>
      <c r="F9" s="2098">
        <f>'ТЕ_2ст_тариф_без ЦТП'!H84/12</f>
        <v>5467.8239999999996</v>
      </c>
      <c r="H9" s="45">
        <f t="shared" si="0"/>
        <v>0</v>
      </c>
    </row>
    <row r="10" spans="1:8" x14ac:dyDescent="0.3">
      <c r="B10" s="5925" t="s">
        <v>2819</v>
      </c>
      <c r="C10" s="2046" t="s">
        <v>2814</v>
      </c>
      <c r="D10" s="2046" t="s">
        <v>2815</v>
      </c>
      <c r="E10" s="2047">
        <f>'ТЕ_2ст_тариф_без ЦТП'!H124</f>
        <v>133.78</v>
      </c>
      <c r="F10" s="2097">
        <f>'ТЕ_2ст_тариф_без ЦТП'!H127</f>
        <v>160.536</v>
      </c>
      <c r="H10" s="45">
        <f t="shared" si="0"/>
        <v>0</v>
      </c>
    </row>
    <row r="11" spans="1:8" ht="16.95" customHeight="1" thickBot="1" x14ac:dyDescent="0.35">
      <c r="B11" s="5926"/>
      <c r="C11" s="2048" t="s">
        <v>2816</v>
      </c>
      <c r="D11" s="2048" t="s">
        <v>2817</v>
      </c>
      <c r="E11" s="2049">
        <f>'ТЕ_2ст_тариф_без ЦТП'!H125/12</f>
        <v>3632.1416666666664</v>
      </c>
      <c r="F11" s="2098">
        <f>'ТЕ_2ст_тариф_без ЦТП'!H128/12</f>
        <v>4358.57</v>
      </c>
      <c r="H11" s="45">
        <f t="shared" si="0"/>
        <v>0</v>
      </c>
    </row>
    <row r="12" spans="1:8" x14ac:dyDescent="0.3">
      <c r="B12" s="5928" t="s">
        <v>2820</v>
      </c>
      <c r="C12" s="2054" t="s">
        <v>2814</v>
      </c>
      <c r="D12" s="2054" t="s">
        <v>2815</v>
      </c>
      <c r="E12" s="2055">
        <v>0</v>
      </c>
      <c r="F12" s="2100">
        <v>0</v>
      </c>
      <c r="H12" s="45">
        <f t="shared" si="0"/>
        <v>0</v>
      </c>
    </row>
    <row r="13" spans="1:8" ht="18" customHeight="1" thickBot="1" x14ac:dyDescent="0.35">
      <c r="B13" s="5926"/>
      <c r="C13" s="2048" t="s">
        <v>2816</v>
      </c>
      <c r="D13" s="2048" t="s">
        <v>2817</v>
      </c>
      <c r="E13" s="2049">
        <f>'ТЕ_2ст_тариф_без ЦТП'!H164/12</f>
        <v>199.17333333333332</v>
      </c>
      <c r="F13" s="2098">
        <f>'ТЕ_2ст_тариф_без ЦТП'!H167/12</f>
        <v>239.00800000000001</v>
      </c>
      <c r="H13" s="45">
        <f t="shared" si="0"/>
        <v>0</v>
      </c>
    </row>
    <row r="14" spans="1:8" ht="16.2" thickBot="1" x14ac:dyDescent="0.35">
      <c r="B14" s="5929" t="s">
        <v>2737</v>
      </c>
      <c r="C14" s="5929"/>
      <c r="D14" s="5929"/>
      <c r="E14" s="5929"/>
      <c r="F14" s="5929"/>
      <c r="H14" s="45">
        <f t="shared" si="0"/>
        <v>0</v>
      </c>
    </row>
    <row r="15" spans="1:8" x14ac:dyDescent="0.3">
      <c r="B15" s="4936" t="s">
        <v>2826</v>
      </c>
      <c r="C15" s="2050" t="s">
        <v>2814</v>
      </c>
      <c r="D15" s="2050" t="s">
        <v>2815</v>
      </c>
      <c r="E15" s="2051">
        <f>E17+E19+E21</f>
        <v>2009.91</v>
      </c>
      <c r="F15" s="2095">
        <f>F17+F19+F21</f>
        <v>2411.8920000000003</v>
      </c>
      <c r="H15" s="45">
        <f t="shared" si="0"/>
        <v>0</v>
      </c>
    </row>
    <row r="16" spans="1:8" ht="16.95" customHeight="1" thickBot="1" x14ac:dyDescent="0.35">
      <c r="B16" s="4937"/>
      <c r="C16" s="2052" t="s">
        <v>2816</v>
      </c>
      <c r="D16" s="2052" t="s">
        <v>2817</v>
      </c>
      <c r="E16" s="2053">
        <f>E18+E20+E22</f>
        <v>9816.9566666666669</v>
      </c>
      <c r="F16" s="2096">
        <f>F18+F20+F22</f>
        <v>11780.348</v>
      </c>
      <c r="H16" s="45">
        <f t="shared" si="0"/>
        <v>0</v>
      </c>
    </row>
    <row r="17" spans="2:8" x14ac:dyDescent="0.3">
      <c r="B17" s="5925" t="s">
        <v>2818</v>
      </c>
      <c r="C17" s="2046" t="s">
        <v>2814</v>
      </c>
      <c r="D17" s="2046" t="s">
        <v>2286</v>
      </c>
      <c r="E17" s="2047">
        <f>'ТЕ_2ст_тариф_без ЦТП'!K80</f>
        <v>1876.13</v>
      </c>
      <c r="F17" s="2097">
        <f>'ТЕ_2ст_тариф_без ЦТП'!K83</f>
        <v>2251.3560000000002</v>
      </c>
      <c r="H17" s="45">
        <f t="shared" si="0"/>
        <v>0</v>
      </c>
    </row>
    <row r="18" spans="2:8" ht="16.2" customHeight="1" thickBot="1" x14ac:dyDescent="0.35">
      <c r="B18" s="5926"/>
      <c r="C18" s="2048" t="s">
        <v>2816</v>
      </c>
      <c r="D18" s="2048" t="s">
        <v>2817</v>
      </c>
      <c r="E18" s="2049">
        <f>'ТЕ_2ст_тариф_без ЦТП'!K81/12</f>
        <v>5037.7666666666664</v>
      </c>
      <c r="F18" s="2098">
        <f>'ТЕ_2ст_тариф_без ЦТП'!K84/12</f>
        <v>6045.32</v>
      </c>
      <c r="H18" s="45">
        <f t="shared" si="0"/>
        <v>0</v>
      </c>
    </row>
    <row r="19" spans="2:8" x14ac:dyDescent="0.3">
      <c r="B19" s="5925" t="s">
        <v>2819</v>
      </c>
      <c r="C19" s="2046" t="s">
        <v>2814</v>
      </c>
      <c r="D19" s="2046" t="s">
        <v>2286</v>
      </c>
      <c r="E19" s="2047">
        <f>'ТЕ_2ст_тариф_без ЦТП'!K124</f>
        <v>133.78</v>
      </c>
      <c r="F19" s="2097">
        <f>'ТЕ_2ст_тариф_без ЦТП'!K127</f>
        <v>160.536</v>
      </c>
      <c r="H19" s="45">
        <f t="shared" si="0"/>
        <v>0</v>
      </c>
    </row>
    <row r="20" spans="2:8" ht="18" customHeight="1" thickBot="1" x14ac:dyDescent="0.35">
      <c r="B20" s="5926"/>
      <c r="C20" s="2048" t="s">
        <v>2816</v>
      </c>
      <c r="D20" s="2048" t="s">
        <v>2817</v>
      </c>
      <c r="E20" s="2049">
        <f>'ТЕ_2ст_тариф_без ЦТП'!K125/12</f>
        <v>4580.0166666666664</v>
      </c>
      <c r="F20" s="2098">
        <f>'ТЕ_2ст_тариф_без ЦТП'!K128/12</f>
        <v>5496.0199999999995</v>
      </c>
      <c r="H20" s="45">
        <f t="shared" si="0"/>
        <v>0</v>
      </c>
    </row>
    <row r="21" spans="2:8" x14ac:dyDescent="0.3">
      <c r="B21" s="5925" t="s">
        <v>2820</v>
      </c>
      <c r="C21" s="2046" t="s">
        <v>2814</v>
      </c>
      <c r="D21" s="2046" t="s">
        <v>2286</v>
      </c>
      <c r="E21" s="2047">
        <v>0</v>
      </c>
      <c r="F21" s="2099">
        <v>0</v>
      </c>
      <c r="H21" s="45">
        <f t="shared" si="0"/>
        <v>0</v>
      </c>
    </row>
    <row r="22" spans="2:8" ht="17.399999999999999" customHeight="1" thickBot="1" x14ac:dyDescent="0.35">
      <c r="B22" s="5926"/>
      <c r="C22" s="2048" t="s">
        <v>2816</v>
      </c>
      <c r="D22" s="2048" t="s">
        <v>2817</v>
      </c>
      <c r="E22" s="2049">
        <f>'ТЕ_2ст_тариф_без ЦТП'!K164/12</f>
        <v>199.17333333333332</v>
      </c>
      <c r="F22" s="2098">
        <f>'ТЕ_2ст_тариф_без ЦТП'!K167/12</f>
        <v>239.00800000000001</v>
      </c>
      <c r="H22" s="45">
        <f t="shared" si="0"/>
        <v>0</v>
      </c>
    </row>
    <row r="23" spans="2:8" ht="16.2" thickBot="1" x14ac:dyDescent="0.35">
      <c r="B23" s="5929" t="s">
        <v>2859</v>
      </c>
      <c r="C23" s="5929"/>
      <c r="D23" s="5929"/>
      <c r="E23" s="5929"/>
      <c r="F23" s="5929"/>
      <c r="H23" s="45">
        <f t="shared" si="0"/>
        <v>0</v>
      </c>
    </row>
    <row r="24" spans="2:8" x14ac:dyDescent="0.3">
      <c r="B24" s="4936" t="s">
        <v>2826</v>
      </c>
      <c r="C24" s="2050" t="s">
        <v>2814</v>
      </c>
      <c r="D24" s="2050" t="s">
        <v>2815</v>
      </c>
      <c r="E24" s="2051">
        <f>E26+E28+E30</f>
        <v>2009.91</v>
      </c>
      <c r="F24" s="2095">
        <f>F26+F28+F30</f>
        <v>2411.8920000000003</v>
      </c>
      <c r="H24" s="45">
        <f t="shared" si="0"/>
        <v>0</v>
      </c>
    </row>
    <row r="25" spans="2:8" ht="18.600000000000001" customHeight="1" thickBot="1" x14ac:dyDescent="0.35">
      <c r="B25" s="4937"/>
      <c r="C25" s="2052" t="s">
        <v>2816</v>
      </c>
      <c r="D25" s="2052" t="s">
        <v>2817</v>
      </c>
      <c r="E25" s="2053">
        <f>E27+E29+E31</f>
        <v>9816.9566666666669</v>
      </c>
      <c r="F25" s="2096">
        <f>F27+F29+F31</f>
        <v>11780.348</v>
      </c>
      <c r="H25" s="45">
        <f t="shared" si="0"/>
        <v>0</v>
      </c>
    </row>
    <row r="26" spans="2:8" x14ac:dyDescent="0.3">
      <c r="B26" s="5925" t="s">
        <v>2818</v>
      </c>
      <c r="C26" s="2046" t="s">
        <v>2814</v>
      </c>
      <c r="D26" s="2046" t="s">
        <v>2286</v>
      </c>
      <c r="E26" s="2047">
        <f>'ТЕ_2ст_тариф_без ЦТП'!N80</f>
        <v>1876.13</v>
      </c>
      <c r="F26" s="2097">
        <f>'ТЕ_2ст_тариф_без ЦТП'!N83</f>
        <v>2251.3560000000002</v>
      </c>
      <c r="H26" s="45">
        <f t="shared" si="0"/>
        <v>0</v>
      </c>
    </row>
    <row r="27" spans="2:8" ht="16.95" customHeight="1" thickBot="1" x14ac:dyDescent="0.35">
      <c r="B27" s="5926"/>
      <c r="C27" s="2048" t="s">
        <v>2816</v>
      </c>
      <c r="D27" s="2048" t="s">
        <v>2817</v>
      </c>
      <c r="E27" s="2049">
        <f>'ТЕ_2ст_тариф_без ЦТП'!N81/12</f>
        <v>5037.7666666666664</v>
      </c>
      <c r="F27" s="2098">
        <f>'ТЕ_2ст_тариф_без ЦТП'!N84/12</f>
        <v>6045.32</v>
      </c>
      <c r="H27" s="45">
        <f t="shared" si="0"/>
        <v>0</v>
      </c>
    </row>
    <row r="28" spans="2:8" x14ac:dyDescent="0.3">
      <c r="B28" s="5925" t="s">
        <v>2819</v>
      </c>
      <c r="C28" s="2046" t="s">
        <v>2814</v>
      </c>
      <c r="D28" s="2046" t="s">
        <v>2286</v>
      </c>
      <c r="E28" s="2047">
        <f>'ТЕ_2ст_тариф_без ЦТП'!N124</f>
        <v>133.78</v>
      </c>
      <c r="F28" s="2097">
        <f>'ТЕ_2ст_тариф_без ЦТП'!N127</f>
        <v>160.536</v>
      </c>
      <c r="H28" s="45">
        <f t="shared" si="0"/>
        <v>0</v>
      </c>
    </row>
    <row r="29" spans="2:8" ht="16.2" customHeight="1" thickBot="1" x14ac:dyDescent="0.35">
      <c r="B29" s="5926"/>
      <c r="C29" s="2048" t="s">
        <v>2816</v>
      </c>
      <c r="D29" s="2048" t="s">
        <v>2817</v>
      </c>
      <c r="E29" s="2049">
        <f>'ТЕ_2ст_тариф_без ЦТП'!N125/12</f>
        <v>4580.0166666666664</v>
      </c>
      <c r="F29" s="2098">
        <f>'ТЕ_2ст_тариф_без ЦТП'!N128/12</f>
        <v>5496.0199999999995</v>
      </c>
      <c r="H29" s="45">
        <f t="shared" si="0"/>
        <v>0</v>
      </c>
    </row>
    <row r="30" spans="2:8" x14ac:dyDescent="0.3">
      <c r="B30" s="5925" t="s">
        <v>2820</v>
      </c>
      <c r="C30" s="2046" t="s">
        <v>2814</v>
      </c>
      <c r="D30" s="2046" t="s">
        <v>2286</v>
      </c>
      <c r="E30" s="2047">
        <v>0</v>
      </c>
      <c r="F30" s="2099">
        <v>0</v>
      </c>
      <c r="H30" s="45">
        <f t="shared" si="0"/>
        <v>0</v>
      </c>
    </row>
    <row r="31" spans="2:8" ht="15" customHeight="1" thickBot="1" x14ac:dyDescent="0.35">
      <c r="B31" s="5926"/>
      <c r="C31" s="2048" t="s">
        <v>2816</v>
      </c>
      <c r="D31" s="2048" t="s">
        <v>2817</v>
      </c>
      <c r="E31" s="2049">
        <f>'ТЕ_2ст_тариф_без ЦТП'!N164/12</f>
        <v>199.17333333333332</v>
      </c>
      <c r="F31" s="2098">
        <f>'ТЕ_2ст_тариф_без ЦТП'!N167/12</f>
        <v>239.00800000000001</v>
      </c>
      <c r="H31" s="45">
        <f t="shared" si="0"/>
        <v>0</v>
      </c>
    </row>
    <row r="32" spans="2:8" ht="16.2" thickBot="1" x14ac:dyDescent="0.35">
      <c r="B32" s="5929" t="s">
        <v>2739</v>
      </c>
      <c r="C32" s="5929"/>
      <c r="D32" s="5929"/>
      <c r="E32" s="5929"/>
      <c r="F32" s="5929"/>
      <c r="H32" s="45">
        <f t="shared" si="0"/>
        <v>0</v>
      </c>
    </row>
    <row r="33" spans="2:8" x14ac:dyDescent="0.3">
      <c r="B33" s="4936" t="s">
        <v>2826</v>
      </c>
      <c r="C33" s="2050" t="s">
        <v>2814</v>
      </c>
      <c r="D33" s="2050" t="s">
        <v>2286</v>
      </c>
      <c r="E33" s="2051">
        <f>E35+E37+E39</f>
        <v>2009.91</v>
      </c>
      <c r="F33" s="2095">
        <f>F35+F37+F39</f>
        <v>2411.8920000000003</v>
      </c>
      <c r="H33" s="45">
        <f t="shared" si="0"/>
        <v>0</v>
      </c>
    </row>
    <row r="34" spans="2:8" ht="18" customHeight="1" thickBot="1" x14ac:dyDescent="0.35">
      <c r="B34" s="4937"/>
      <c r="C34" s="2052" t="s">
        <v>2816</v>
      </c>
      <c r="D34" s="2052" t="s">
        <v>2817</v>
      </c>
      <c r="E34" s="2053">
        <f>E36+E38+E40</f>
        <v>9816.9566666666669</v>
      </c>
      <c r="F34" s="2096">
        <f>F36+F38+F40</f>
        <v>11780.348</v>
      </c>
      <c r="H34" s="45">
        <f t="shared" si="0"/>
        <v>0</v>
      </c>
    </row>
    <row r="35" spans="2:8" x14ac:dyDescent="0.3">
      <c r="B35" s="5925" t="s">
        <v>2818</v>
      </c>
      <c r="C35" s="2046" t="s">
        <v>2814</v>
      </c>
      <c r="D35" s="2046" t="s">
        <v>2286</v>
      </c>
      <c r="E35" s="2047">
        <f>'ТЕ_2ст_тариф_без ЦТП'!Q80</f>
        <v>1876.13</v>
      </c>
      <c r="F35" s="2097">
        <f>'ТЕ_2ст_тариф_без ЦТП'!Q83</f>
        <v>2251.3560000000002</v>
      </c>
      <c r="H35" s="45">
        <f t="shared" si="0"/>
        <v>0</v>
      </c>
    </row>
    <row r="36" spans="2:8" ht="16.95" customHeight="1" thickBot="1" x14ac:dyDescent="0.35">
      <c r="B36" s="5926"/>
      <c r="C36" s="2048" t="s">
        <v>2816</v>
      </c>
      <c r="D36" s="2048" t="s">
        <v>2817</v>
      </c>
      <c r="E36" s="2049">
        <f>'ТЕ_2ст_тариф_без ЦТП'!Q81/12</f>
        <v>5037.7666666666664</v>
      </c>
      <c r="F36" s="2098">
        <f>'ТЕ_2ст_тариф_без ЦТП'!Q84/12</f>
        <v>6045.32</v>
      </c>
      <c r="H36" s="45">
        <f t="shared" si="0"/>
        <v>0</v>
      </c>
    </row>
    <row r="37" spans="2:8" x14ac:dyDescent="0.3">
      <c r="B37" s="5925" t="s">
        <v>2819</v>
      </c>
      <c r="C37" s="2046" t="s">
        <v>2814</v>
      </c>
      <c r="D37" s="2046" t="s">
        <v>2286</v>
      </c>
      <c r="E37" s="2047">
        <f>'ТЕ_2ст_тариф_без ЦТП'!Q124</f>
        <v>133.78</v>
      </c>
      <c r="F37" s="2097">
        <f>'ТЕ_2ст_тариф_без ЦТП'!Q127</f>
        <v>160.536</v>
      </c>
      <c r="H37" s="45">
        <f t="shared" si="0"/>
        <v>0</v>
      </c>
    </row>
    <row r="38" spans="2:8" ht="16.95" customHeight="1" thickBot="1" x14ac:dyDescent="0.35">
      <c r="B38" s="5926"/>
      <c r="C38" s="2048" t="s">
        <v>2816</v>
      </c>
      <c r="D38" s="2048" t="s">
        <v>2817</v>
      </c>
      <c r="E38" s="2049">
        <f>'ТЕ_2ст_тариф_без ЦТП'!Q125/12</f>
        <v>4580.0166666666664</v>
      </c>
      <c r="F38" s="2098">
        <f>'ТЕ_2ст_тариф_без ЦТП'!Q128/12</f>
        <v>5496.0199999999995</v>
      </c>
      <c r="H38" s="45">
        <f t="shared" si="0"/>
        <v>0</v>
      </c>
    </row>
    <row r="39" spans="2:8" x14ac:dyDescent="0.3">
      <c r="B39" s="5925" t="s">
        <v>2820</v>
      </c>
      <c r="C39" s="2046" t="s">
        <v>2814</v>
      </c>
      <c r="D39" s="2046" t="s">
        <v>2286</v>
      </c>
      <c r="E39" s="2047">
        <v>0</v>
      </c>
      <c r="F39" s="2099">
        <v>0</v>
      </c>
      <c r="H39" s="45">
        <f t="shared" si="0"/>
        <v>0</v>
      </c>
    </row>
    <row r="40" spans="2:8" ht="16.2" customHeight="1" thickBot="1" x14ac:dyDescent="0.35">
      <c r="B40" s="5926"/>
      <c r="C40" s="2048" t="s">
        <v>2816</v>
      </c>
      <c r="D40" s="2048" t="s">
        <v>2817</v>
      </c>
      <c r="E40" s="2049">
        <f>'ТЕ_2ст_тариф_без ЦТП'!Q164/12</f>
        <v>199.17333333333332</v>
      </c>
      <c r="F40" s="2098">
        <f>'ТЕ_2ст_тариф_без ЦТП'!Q167/12</f>
        <v>239.00800000000001</v>
      </c>
      <c r="H40" s="45">
        <f t="shared" si="0"/>
        <v>0</v>
      </c>
    </row>
    <row r="41" spans="2:8" x14ac:dyDescent="0.3">
      <c r="B41" s="887"/>
    </row>
    <row r="42" spans="2:8" x14ac:dyDescent="0.3">
      <c r="B42" s="887" t="s">
        <v>2821</v>
      </c>
      <c r="D42" s="887"/>
      <c r="E42" s="1587" t="s">
        <v>2822</v>
      </c>
      <c r="F42" s="887"/>
      <c r="G42" s="887"/>
      <c r="H42" s="887"/>
    </row>
  </sheetData>
  <mergeCells count="23">
    <mergeCell ref="B37:B38"/>
    <mergeCell ref="B39:B40"/>
    <mergeCell ref="B26:B27"/>
    <mergeCell ref="B28:B29"/>
    <mergeCell ref="B30:B31"/>
    <mergeCell ref="B32:F32"/>
    <mergeCell ref="B33:B34"/>
    <mergeCell ref="B35:B36"/>
    <mergeCell ref="B3:F3"/>
    <mergeCell ref="E1:F1"/>
    <mergeCell ref="B2:F2"/>
    <mergeCell ref="B24:B25"/>
    <mergeCell ref="B5:F5"/>
    <mergeCell ref="B6:B7"/>
    <mergeCell ref="B8:B9"/>
    <mergeCell ref="B10:B11"/>
    <mergeCell ref="B12:B13"/>
    <mergeCell ref="B14:F14"/>
    <mergeCell ref="B15:B16"/>
    <mergeCell ref="B17:B18"/>
    <mergeCell ref="B19:B20"/>
    <mergeCell ref="B21:B22"/>
    <mergeCell ref="B23:F23"/>
  </mergeCells>
  <pageMargins left="0.70866141732283472" right="0.46" top="0.47" bottom="0.46" header="0.31496062992125984" footer="0.31496062992125984"/>
  <pageSetup paperSize="9" scale="94" orientation="portrait" horizontalDpi="0" verticalDpi="0" r:id="rId1"/>
</worksheet>
</file>

<file path=xl/worksheets/sheet1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500-000000000000}">
  <sheetPr codeName="Лист114">
    <tabColor rgb="FFEC20C5"/>
  </sheetPr>
  <dimension ref="A1:E245"/>
  <sheetViews>
    <sheetView workbookViewId="0">
      <selection sqref="A1:XFD1048576"/>
    </sheetView>
  </sheetViews>
  <sheetFormatPr defaultColWidth="8.88671875" defaultRowHeight="15.6" x14ac:dyDescent="0.3"/>
  <cols>
    <col min="1" max="2" width="8.88671875" style="45"/>
    <col min="3" max="3" width="31.33203125" style="45" customWidth="1"/>
    <col min="4" max="4" width="24.6640625" style="45" customWidth="1"/>
    <col min="5" max="5" width="22.44140625" style="45" customWidth="1"/>
    <col min="6" max="16384" width="8.88671875" style="45"/>
  </cols>
  <sheetData>
    <row r="1" spans="1:5" ht="80.400000000000006" customHeight="1" x14ac:dyDescent="0.3">
      <c r="A1" s="1732"/>
      <c r="B1" s="1732"/>
      <c r="C1" s="2059"/>
      <c r="D1" s="2060"/>
      <c r="E1" s="2060" t="s">
        <v>3102</v>
      </c>
    </row>
    <row r="2" spans="1:5" ht="21" x14ac:dyDescent="0.4">
      <c r="B2" s="4940" t="s">
        <v>472</v>
      </c>
      <c r="C2" s="4940"/>
      <c r="D2" s="4940"/>
      <c r="E2" s="4940"/>
    </row>
    <row r="3" spans="1:5" x14ac:dyDescent="0.3">
      <c r="B3" s="4941" t="s">
        <v>3103</v>
      </c>
      <c r="C3" s="4941"/>
      <c r="D3" s="4941"/>
      <c r="E3" s="4941"/>
    </row>
    <row r="4" spans="1:5" ht="28.95" customHeight="1" x14ac:dyDescent="0.3">
      <c r="B4" s="4942" t="s">
        <v>3104</v>
      </c>
      <c r="C4" s="4942"/>
      <c r="D4" s="4942"/>
      <c r="E4" s="4942"/>
    </row>
    <row r="5" spans="1:5" x14ac:dyDescent="0.3">
      <c r="B5" s="4939" t="s">
        <v>369</v>
      </c>
      <c r="C5" s="4939"/>
      <c r="D5" s="4939"/>
      <c r="E5" s="4939"/>
    </row>
    <row r="6" spans="1:5" x14ac:dyDescent="0.3">
      <c r="B6" s="4943" t="s">
        <v>3105</v>
      </c>
      <c r="C6" s="4943"/>
      <c r="D6" s="4943"/>
      <c r="E6" s="4943"/>
    </row>
    <row r="7" spans="1:5" ht="16.2" thickBot="1" x14ac:dyDescent="0.35">
      <c r="B7" s="4939" t="s">
        <v>1024</v>
      </c>
      <c r="C7" s="4939"/>
      <c r="D7" s="4939"/>
      <c r="E7" s="4939"/>
    </row>
    <row r="8" spans="1:5" ht="0.6" customHeight="1" thickBot="1" x14ac:dyDescent="0.35"/>
    <row r="9" spans="1:5" ht="80.400000000000006" customHeight="1" thickBot="1" x14ac:dyDescent="0.35">
      <c r="B9" s="2014" t="s">
        <v>7</v>
      </c>
      <c r="C9" s="1508" t="s">
        <v>353</v>
      </c>
      <c r="D9" s="1508" t="s">
        <v>354</v>
      </c>
      <c r="E9" s="1508" t="s">
        <v>3068</v>
      </c>
    </row>
    <row r="10" spans="1:5" s="4" customFormat="1" ht="12.6" thickBot="1" x14ac:dyDescent="0.3">
      <c r="B10" s="2061">
        <v>1</v>
      </c>
      <c r="C10" s="2062">
        <v>2</v>
      </c>
      <c r="D10" s="2062">
        <v>3</v>
      </c>
      <c r="E10" s="2061">
        <v>4</v>
      </c>
    </row>
    <row r="11" spans="1:5" ht="15.6" customHeight="1" thickBot="1" x14ac:dyDescent="0.35">
      <c r="B11" s="2017">
        <v>1</v>
      </c>
      <c r="C11" s="2018" t="s">
        <v>1034</v>
      </c>
      <c r="D11" s="2019" t="s">
        <v>1036</v>
      </c>
      <c r="E11" s="2017" t="s">
        <v>3069</v>
      </c>
    </row>
    <row r="12" spans="1:5" ht="15.6" customHeight="1" thickBot="1" x14ac:dyDescent="0.35">
      <c r="B12" s="2020">
        <v>2</v>
      </c>
      <c r="C12" s="2018" t="s">
        <v>1037</v>
      </c>
      <c r="D12" s="2019" t="s">
        <v>1036</v>
      </c>
      <c r="E12" s="2017" t="s">
        <v>3069</v>
      </c>
    </row>
    <row r="13" spans="1:5" ht="15.6" customHeight="1" thickBot="1" x14ac:dyDescent="0.35">
      <c r="B13" s="2020">
        <v>3</v>
      </c>
      <c r="C13" s="2018" t="s">
        <v>1039</v>
      </c>
      <c r="D13" s="2019" t="s">
        <v>1036</v>
      </c>
      <c r="E13" s="2017" t="s">
        <v>3069</v>
      </c>
    </row>
    <row r="14" spans="1:5" ht="15.6" customHeight="1" thickBot="1" x14ac:dyDescent="0.35">
      <c r="B14" s="2020">
        <v>4</v>
      </c>
      <c r="C14" s="2018" t="s">
        <v>1041</v>
      </c>
      <c r="D14" s="2019" t="s">
        <v>1036</v>
      </c>
      <c r="E14" s="2017" t="s">
        <v>3069</v>
      </c>
    </row>
    <row r="15" spans="1:5" ht="15.6" customHeight="1" thickBot="1" x14ac:dyDescent="0.35">
      <c r="B15" s="2020">
        <v>5</v>
      </c>
      <c r="C15" s="2018" t="s">
        <v>1043</v>
      </c>
      <c r="D15" s="2019" t="s">
        <v>1036</v>
      </c>
      <c r="E15" s="2017" t="s">
        <v>3069</v>
      </c>
    </row>
    <row r="16" spans="1:5" ht="15.6" customHeight="1" thickBot="1" x14ac:dyDescent="0.35">
      <c r="B16" s="2020">
        <v>6</v>
      </c>
      <c r="C16" s="2018" t="s">
        <v>1045</v>
      </c>
      <c r="D16" s="2019" t="s">
        <v>1036</v>
      </c>
      <c r="E16" s="2017" t="s">
        <v>3069</v>
      </c>
    </row>
    <row r="17" spans="2:5" ht="15.6" customHeight="1" thickBot="1" x14ac:dyDescent="0.35">
      <c r="B17" s="2020">
        <v>7</v>
      </c>
      <c r="C17" s="2018" t="s">
        <v>1047</v>
      </c>
      <c r="D17" s="2019" t="s">
        <v>1036</v>
      </c>
      <c r="E17" s="2017" t="s">
        <v>3069</v>
      </c>
    </row>
    <row r="18" spans="2:5" ht="15.6" customHeight="1" thickBot="1" x14ac:dyDescent="0.35">
      <c r="B18" s="2020">
        <v>8</v>
      </c>
      <c r="C18" s="2018" t="s">
        <v>1049</v>
      </c>
      <c r="D18" s="2019" t="s">
        <v>1036</v>
      </c>
      <c r="E18" s="2017" t="s">
        <v>3069</v>
      </c>
    </row>
    <row r="19" spans="2:5" ht="15.6" customHeight="1" thickBot="1" x14ac:dyDescent="0.35">
      <c r="B19" s="2020">
        <v>10</v>
      </c>
      <c r="C19" s="2018" t="s">
        <v>1052</v>
      </c>
      <c r="D19" s="2019" t="s">
        <v>1036</v>
      </c>
      <c r="E19" s="2017" t="s">
        <v>3069</v>
      </c>
    </row>
    <row r="20" spans="2:5" ht="15.6" customHeight="1" thickBot="1" x14ac:dyDescent="0.35">
      <c r="B20" s="2020">
        <v>11</v>
      </c>
      <c r="C20" s="2018" t="s">
        <v>1053</v>
      </c>
      <c r="D20" s="2019" t="s">
        <v>1036</v>
      </c>
      <c r="E20" s="2017" t="s">
        <v>3069</v>
      </c>
    </row>
    <row r="21" spans="2:5" ht="15.6" customHeight="1" thickBot="1" x14ac:dyDescent="0.35">
      <c r="B21" s="2020">
        <v>13</v>
      </c>
      <c r="C21" s="2018" t="s">
        <v>1056</v>
      </c>
      <c r="D21" s="2019" t="s">
        <v>1036</v>
      </c>
      <c r="E21" s="2017" t="s">
        <v>3069</v>
      </c>
    </row>
    <row r="22" spans="2:5" ht="15.6" customHeight="1" thickBot="1" x14ac:dyDescent="0.35">
      <c r="B22" s="2020">
        <v>14</v>
      </c>
      <c r="C22" s="2018" t="s">
        <v>1057</v>
      </c>
      <c r="D22" s="2019" t="s">
        <v>1036</v>
      </c>
      <c r="E22" s="2017" t="s">
        <v>3069</v>
      </c>
    </row>
    <row r="23" spans="2:5" ht="15.6" customHeight="1" thickBot="1" x14ac:dyDescent="0.35">
      <c r="B23" s="2020">
        <v>15</v>
      </c>
      <c r="C23" s="2018" t="s">
        <v>1058</v>
      </c>
      <c r="D23" s="2019" t="s">
        <v>1036</v>
      </c>
      <c r="E23" s="2017" t="s">
        <v>3069</v>
      </c>
    </row>
    <row r="24" spans="2:5" ht="15.6" customHeight="1" thickBot="1" x14ac:dyDescent="0.35">
      <c r="B24" s="2020">
        <v>16</v>
      </c>
      <c r="C24" s="2018" t="s">
        <v>1060</v>
      </c>
      <c r="D24" s="2019" t="s">
        <v>1036</v>
      </c>
      <c r="E24" s="2017" t="s">
        <v>3069</v>
      </c>
    </row>
    <row r="25" spans="2:5" ht="15.6" customHeight="1" thickBot="1" x14ac:dyDescent="0.35">
      <c r="B25" s="2020">
        <v>17</v>
      </c>
      <c r="C25" s="2018" t="s">
        <v>1062</v>
      </c>
      <c r="D25" s="2019" t="s">
        <v>1036</v>
      </c>
      <c r="E25" s="2017" t="s">
        <v>3069</v>
      </c>
    </row>
    <row r="26" spans="2:5" ht="15.6" customHeight="1" thickBot="1" x14ac:dyDescent="0.35">
      <c r="B26" s="2020">
        <v>18</v>
      </c>
      <c r="C26" s="2018" t="s">
        <v>1064</v>
      </c>
      <c r="D26" s="2019" t="s">
        <v>1036</v>
      </c>
      <c r="E26" s="2017" t="s">
        <v>3069</v>
      </c>
    </row>
    <row r="27" spans="2:5" ht="15.6" customHeight="1" thickBot="1" x14ac:dyDescent="0.35">
      <c r="B27" s="2020">
        <v>19</v>
      </c>
      <c r="C27" s="2018" t="s">
        <v>1066</v>
      </c>
      <c r="D27" s="2019" t="s">
        <v>1036</v>
      </c>
      <c r="E27" s="2017" t="s">
        <v>3069</v>
      </c>
    </row>
    <row r="28" spans="2:5" ht="15.6" customHeight="1" thickBot="1" x14ac:dyDescent="0.35">
      <c r="B28" s="2020">
        <v>20</v>
      </c>
      <c r="C28" s="2018" t="s">
        <v>1068</v>
      </c>
      <c r="D28" s="2019" t="s">
        <v>1036</v>
      </c>
      <c r="E28" s="2017" t="s">
        <v>3070</v>
      </c>
    </row>
    <row r="29" spans="2:5" ht="15.6" customHeight="1" thickBot="1" x14ac:dyDescent="0.35">
      <c r="B29" s="2020">
        <v>21</v>
      </c>
      <c r="C29" s="2018" t="s">
        <v>1070</v>
      </c>
      <c r="D29" s="2019" t="s">
        <v>1036</v>
      </c>
      <c r="E29" s="2017" t="s">
        <v>3069</v>
      </c>
    </row>
    <row r="30" spans="2:5" ht="15.6" customHeight="1" thickBot="1" x14ac:dyDescent="0.35">
      <c r="B30" s="2020">
        <v>22</v>
      </c>
      <c r="C30" s="2018" t="s">
        <v>1071</v>
      </c>
      <c r="D30" s="2019" t="s">
        <v>1036</v>
      </c>
      <c r="E30" s="2017" t="s">
        <v>3070</v>
      </c>
    </row>
    <row r="31" spans="2:5" ht="15.6" customHeight="1" thickBot="1" x14ac:dyDescent="0.35">
      <c r="B31" s="2020">
        <v>23</v>
      </c>
      <c r="C31" s="2018" t="s">
        <v>1073</v>
      </c>
      <c r="D31" s="2019" t="s">
        <v>1036</v>
      </c>
      <c r="E31" s="2017" t="s">
        <v>3069</v>
      </c>
    </row>
    <row r="32" spans="2:5" ht="15.6" customHeight="1" thickBot="1" x14ac:dyDescent="0.35">
      <c r="B32" s="2020">
        <v>24</v>
      </c>
      <c r="C32" s="2018" t="s">
        <v>1075</v>
      </c>
      <c r="D32" s="2019" t="s">
        <v>1036</v>
      </c>
      <c r="E32" s="2017" t="s">
        <v>3069</v>
      </c>
    </row>
    <row r="33" spans="2:5" ht="15.6" customHeight="1" thickBot="1" x14ac:dyDescent="0.35">
      <c r="B33" s="2020">
        <v>25</v>
      </c>
      <c r="C33" s="2018" t="s">
        <v>1076</v>
      </c>
      <c r="D33" s="2019" t="s">
        <v>1036</v>
      </c>
      <c r="E33" s="2017" t="s">
        <v>3069</v>
      </c>
    </row>
    <row r="34" spans="2:5" ht="15.6" customHeight="1" thickBot="1" x14ac:dyDescent="0.35">
      <c r="B34" s="2020">
        <v>26</v>
      </c>
      <c r="C34" s="2018" t="s">
        <v>1077</v>
      </c>
      <c r="D34" s="2019" t="s">
        <v>1036</v>
      </c>
      <c r="E34" s="2017" t="s">
        <v>3069</v>
      </c>
    </row>
    <row r="35" spans="2:5" ht="15.6" customHeight="1" thickBot="1" x14ac:dyDescent="0.35">
      <c r="B35" s="2020">
        <v>27</v>
      </c>
      <c r="C35" s="2018" t="s">
        <v>1079</v>
      </c>
      <c r="D35" s="2019" t="s">
        <v>1036</v>
      </c>
      <c r="E35" s="2017" t="s">
        <v>3070</v>
      </c>
    </row>
    <row r="36" spans="2:5" ht="15.6" customHeight="1" thickBot="1" x14ac:dyDescent="0.35">
      <c r="B36" s="2020">
        <v>28</v>
      </c>
      <c r="C36" s="2018" t="s">
        <v>1081</v>
      </c>
      <c r="D36" s="2019" t="s">
        <v>1036</v>
      </c>
      <c r="E36" s="2017" t="s">
        <v>3069</v>
      </c>
    </row>
    <row r="37" spans="2:5" ht="15.6" customHeight="1" thickBot="1" x14ac:dyDescent="0.35">
      <c r="B37" s="2020">
        <v>29</v>
      </c>
      <c r="C37" s="2018" t="s">
        <v>1082</v>
      </c>
      <c r="D37" s="2019" t="s">
        <v>1036</v>
      </c>
      <c r="E37" s="2017" t="s">
        <v>3070</v>
      </c>
    </row>
    <row r="38" spans="2:5" ht="15.6" customHeight="1" thickBot="1" x14ac:dyDescent="0.35">
      <c r="B38" s="2020">
        <v>30</v>
      </c>
      <c r="C38" s="2018" t="s">
        <v>1083</v>
      </c>
      <c r="D38" s="2019" t="s">
        <v>1036</v>
      </c>
      <c r="E38" s="2017" t="s">
        <v>3070</v>
      </c>
    </row>
    <row r="39" spans="2:5" ht="15.6" customHeight="1" thickBot="1" x14ac:dyDescent="0.35">
      <c r="B39" s="2020">
        <v>31</v>
      </c>
      <c r="C39" s="2018" t="s">
        <v>1084</v>
      </c>
      <c r="D39" s="2019" t="s">
        <v>1036</v>
      </c>
      <c r="E39" s="2017" t="s">
        <v>3070</v>
      </c>
    </row>
    <row r="40" spans="2:5" ht="15.6" customHeight="1" thickBot="1" x14ac:dyDescent="0.35">
      <c r="B40" s="2020">
        <v>32</v>
      </c>
      <c r="C40" s="2018" t="s">
        <v>1085</v>
      </c>
      <c r="D40" s="2019" t="s">
        <v>1036</v>
      </c>
      <c r="E40" s="2017" t="s">
        <v>3069</v>
      </c>
    </row>
    <row r="41" spans="2:5" ht="15.6" customHeight="1" thickBot="1" x14ac:dyDescent="0.35">
      <c r="B41" s="2020">
        <v>33</v>
      </c>
      <c r="C41" s="2018" t="s">
        <v>1087</v>
      </c>
      <c r="D41" s="2019" t="s">
        <v>1036</v>
      </c>
      <c r="E41" s="2017" t="s">
        <v>3069</v>
      </c>
    </row>
    <row r="42" spans="2:5" ht="15.6" customHeight="1" thickBot="1" x14ac:dyDescent="0.35">
      <c r="B42" s="2020">
        <v>34</v>
      </c>
      <c r="C42" s="2018" t="s">
        <v>1089</v>
      </c>
      <c r="D42" s="2019" t="s">
        <v>1036</v>
      </c>
      <c r="E42" s="2017" t="s">
        <v>3069</v>
      </c>
    </row>
    <row r="43" spans="2:5" ht="15.6" customHeight="1" thickBot="1" x14ac:dyDescent="0.35">
      <c r="B43" s="2020">
        <v>35</v>
      </c>
      <c r="C43" s="2018" t="s">
        <v>1091</v>
      </c>
      <c r="D43" s="2019" t="s">
        <v>1036</v>
      </c>
      <c r="E43" s="2017" t="s">
        <v>3069</v>
      </c>
    </row>
    <row r="44" spans="2:5" ht="15.6" customHeight="1" thickBot="1" x14ac:dyDescent="0.35">
      <c r="B44" s="2020">
        <v>36</v>
      </c>
      <c r="C44" s="2018" t="s">
        <v>1092</v>
      </c>
      <c r="D44" s="2019" t="s">
        <v>1036</v>
      </c>
      <c r="E44" s="2017" t="s">
        <v>3070</v>
      </c>
    </row>
    <row r="45" spans="2:5" ht="15.6" customHeight="1" thickBot="1" x14ac:dyDescent="0.35">
      <c r="B45" s="2020">
        <v>37</v>
      </c>
      <c r="C45" s="2018" t="s">
        <v>1093</v>
      </c>
      <c r="D45" s="2019" t="s">
        <v>1036</v>
      </c>
      <c r="E45" s="2017" t="s">
        <v>3069</v>
      </c>
    </row>
    <row r="46" spans="2:5" ht="15.6" customHeight="1" thickBot="1" x14ac:dyDescent="0.35">
      <c r="B46" s="2020">
        <v>38</v>
      </c>
      <c r="C46" s="2018" t="s">
        <v>1094</v>
      </c>
      <c r="D46" s="2019" t="s">
        <v>1036</v>
      </c>
      <c r="E46" s="2017" t="s">
        <v>3069</v>
      </c>
    </row>
    <row r="47" spans="2:5" ht="15.6" customHeight="1" thickBot="1" x14ac:dyDescent="0.35">
      <c r="B47" s="2020">
        <v>39</v>
      </c>
      <c r="C47" s="2018" t="s">
        <v>1987</v>
      </c>
      <c r="D47" s="2019" t="s">
        <v>1036</v>
      </c>
      <c r="E47" s="2017" t="s">
        <v>3070</v>
      </c>
    </row>
    <row r="48" spans="2:5" ht="15.6" customHeight="1" thickBot="1" x14ac:dyDescent="0.35">
      <c r="B48" s="2020">
        <v>40</v>
      </c>
      <c r="C48" s="2018" t="s">
        <v>1095</v>
      </c>
      <c r="D48" s="2019" t="s">
        <v>1036</v>
      </c>
      <c r="E48" s="2017" t="s">
        <v>3069</v>
      </c>
    </row>
    <row r="49" spans="2:5" ht="15.6" customHeight="1" thickBot="1" x14ac:dyDescent="0.35">
      <c r="B49" s="2020">
        <v>41</v>
      </c>
      <c r="C49" s="2018" t="s">
        <v>1096</v>
      </c>
      <c r="D49" s="2019" t="s">
        <v>1036</v>
      </c>
      <c r="E49" s="2017" t="s">
        <v>3070</v>
      </c>
    </row>
    <row r="50" spans="2:5" ht="15.6" customHeight="1" thickBot="1" x14ac:dyDescent="0.35">
      <c r="B50" s="2020">
        <v>42</v>
      </c>
      <c r="C50" s="2018" t="s">
        <v>1097</v>
      </c>
      <c r="D50" s="2019" t="s">
        <v>1036</v>
      </c>
      <c r="E50" s="2017" t="s">
        <v>3069</v>
      </c>
    </row>
    <row r="51" spans="2:5" ht="15.6" customHeight="1" thickBot="1" x14ac:dyDescent="0.35">
      <c r="B51" s="2020">
        <v>44</v>
      </c>
      <c r="C51" s="2018" t="s">
        <v>1099</v>
      </c>
      <c r="D51" s="2019" t="s">
        <v>1036</v>
      </c>
      <c r="E51" s="2017" t="s">
        <v>3069</v>
      </c>
    </row>
    <row r="52" spans="2:5" ht="15.6" customHeight="1" thickBot="1" x14ac:dyDescent="0.35">
      <c r="B52" s="2020">
        <v>47</v>
      </c>
      <c r="C52" s="2018" t="s">
        <v>1104</v>
      </c>
      <c r="D52" s="2019" t="s">
        <v>1036</v>
      </c>
      <c r="E52" s="2017" t="s">
        <v>3070</v>
      </c>
    </row>
    <row r="53" spans="2:5" ht="15.6" customHeight="1" thickBot="1" x14ac:dyDescent="0.35">
      <c r="B53" s="2020">
        <v>48</v>
      </c>
      <c r="C53" s="2018" t="s">
        <v>1106</v>
      </c>
      <c r="D53" s="2019" t="s">
        <v>1036</v>
      </c>
      <c r="E53" s="2021" t="s">
        <v>3070</v>
      </c>
    </row>
    <row r="54" spans="2:5" ht="15.6" customHeight="1" thickBot="1" x14ac:dyDescent="0.35">
      <c r="B54" s="2020">
        <v>49</v>
      </c>
      <c r="C54" s="2018" t="s">
        <v>1107</v>
      </c>
      <c r="D54" s="2019" t="s">
        <v>1036</v>
      </c>
      <c r="E54" s="2017" t="s">
        <v>3070</v>
      </c>
    </row>
    <row r="55" spans="2:5" ht="15.6" customHeight="1" thickBot="1" x14ac:dyDescent="0.35">
      <c r="B55" s="2020">
        <v>50</v>
      </c>
      <c r="C55" s="2018" t="s">
        <v>1108</v>
      </c>
      <c r="D55" s="2019" t="s">
        <v>1036</v>
      </c>
      <c r="E55" s="2021" t="s">
        <v>3070</v>
      </c>
    </row>
    <row r="56" spans="2:5" ht="15.6" customHeight="1" thickBot="1" x14ac:dyDescent="0.35">
      <c r="B56" s="2020">
        <v>51</v>
      </c>
      <c r="C56" s="2018" t="s">
        <v>1109</v>
      </c>
      <c r="D56" s="2019" t="s">
        <v>1036</v>
      </c>
      <c r="E56" s="2021" t="s">
        <v>3070</v>
      </c>
    </row>
    <row r="57" spans="2:5" ht="15.6" customHeight="1" thickBot="1" x14ac:dyDescent="0.35">
      <c r="B57" s="2020">
        <v>52</v>
      </c>
      <c r="C57" s="2018" t="s">
        <v>1110</v>
      </c>
      <c r="D57" s="2019" t="s">
        <v>1036</v>
      </c>
      <c r="E57" s="2021" t="s">
        <v>3070</v>
      </c>
    </row>
    <row r="58" spans="2:5" ht="15.6" customHeight="1" thickBot="1" x14ac:dyDescent="0.35">
      <c r="B58" s="2020">
        <v>53</v>
      </c>
      <c r="C58" s="2018" t="s">
        <v>1112</v>
      </c>
      <c r="D58" s="2019" t="s">
        <v>1036</v>
      </c>
      <c r="E58" s="2021" t="s">
        <v>3070</v>
      </c>
    </row>
    <row r="59" spans="2:5" ht="15.6" customHeight="1" thickBot="1" x14ac:dyDescent="0.35">
      <c r="B59" s="2020">
        <v>54</v>
      </c>
      <c r="C59" s="2018" t="s">
        <v>1113</v>
      </c>
      <c r="D59" s="2019" t="s">
        <v>1036</v>
      </c>
      <c r="E59" s="2021" t="s">
        <v>3070</v>
      </c>
    </row>
    <row r="60" spans="2:5" ht="15.6" customHeight="1" thickBot="1" x14ac:dyDescent="0.35">
      <c r="B60" s="2020">
        <v>55</v>
      </c>
      <c r="C60" s="2018" t="s">
        <v>1115</v>
      </c>
      <c r="D60" s="2019" t="s">
        <v>1036</v>
      </c>
      <c r="E60" s="2021" t="s">
        <v>3070</v>
      </c>
    </row>
    <row r="61" spans="2:5" ht="15.6" customHeight="1" thickBot="1" x14ac:dyDescent="0.35">
      <c r="B61" s="2020">
        <v>56</v>
      </c>
      <c r="C61" s="2018" t="s">
        <v>1116</v>
      </c>
      <c r="D61" s="2019" t="s">
        <v>1036</v>
      </c>
      <c r="E61" s="2021" t="s">
        <v>3070</v>
      </c>
    </row>
    <row r="62" spans="2:5" ht="15.6" customHeight="1" thickBot="1" x14ac:dyDescent="0.35">
      <c r="B62" s="2020">
        <v>57</v>
      </c>
      <c r="C62" s="2018" t="s">
        <v>1117</v>
      </c>
      <c r="D62" s="2019" t="s">
        <v>1036</v>
      </c>
      <c r="E62" s="2021" t="s">
        <v>3070</v>
      </c>
    </row>
    <row r="63" spans="2:5" ht="15.6" customHeight="1" thickBot="1" x14ac:dyDescent="0.35">
      <c r="B63" s="2020">
        <v>58</v>
      </c>
      <c r="C63" s="2018" t="s">
        <v>1118</v>
      </c>
      <c r="D63" s="2019" t="s">
        <v>1036</v>
      </c>
      <c r="E63" s="2021" t="s">
        <v>3070</v>
      </c>
    </row>
    <row r="64" spans="2:5" ht="15.6" customHeight="1" thickBot="1" x14ac:dyDescent="0.35">
      <c r="B64" s="2020">
        <v>59</v>
      </c>
      <c r="C64" s="2018" t="s">
        <v>1119</v>
      </c>
      <c r="D64" s="2019" t="s">
        <v>1036</v>
      </c>
      <c r="E64" s="2021" t="s">
        <v>3070</v>
      </c>
    </row>
    <row r="65" spans="2:5" ht="15.6" customHeight="1" thickBot="1" x14ac:dyDescent="0.35">
      <c r="B65" s="2020">
        <v>60</v>
      </c>
      <c r="C65" s="2018" t="s">
        <v>1120</v>
      </c>
      <c r="D65" s="2019" t="s">
        <v>1036</v>
      </c>
      <c r="E65" s="2021" t="s">
        <v>3070</v>
      </c>
    </row>
    <row r="66" spans="2:5" ht="15.6" customHeight="1" thickBot="1" x14ac:dyDescent="0.35">
      <c r="B66" s="2020">
        <v>61</v>
      </c>
      <c r="C66" s="2018" t="s">
        <v>1121</v>
      </c>
      <c r="D66" s="2019" t="s">
        <v>1036</v>
      </c>
      <c r="E66" s="2017" t="s">
        <v>3069</v>
      </c>
    </row>
    <row r="67" spans="2:5" ht="15.6" customHeight="1" thickBot="1" x14ac:dyDescent="0.35">
      <c r="B67" s="2020">
        <v>62</v>
      </c>
      <c r="C67" s="2018" t="s">
        <v>1122</v>
      </c>
      <c r="D67" s="2019" t="s">
        <v>1036</v>
      </c>
      <c r="E67" s="2017" t="s">
        <v>3069</v>
      </c>
    </row>
    <row r="68" spans="2:5" ht="15.6" customHeight="1" thickBot="1" x14ac:dyDescent="0.35">
      <c r="B68" s="2020">
        <v>63</v>
      </c>
      <c r="C68" s="2018" t="s">
        <v>1123</v>
      </c>
      <c r="D68" s="2019" t="s">
        <v>1036</v>
      </c>
      <c r="E68" s="2017" t="s">
        <v>3069</v>
      </c>
    </row>
    <row r="69" spans="2:5" ht="15.6" customHeight="1" thickBot="1" x14ac:dyDescent="0.35">
      <c r="B69" s="2020">
        <v>64</v>
      </c>
      <c r="C69" s="2018" t="s">
        <v>1125</v>
      </c>
      <c r="D69" s="2019" t="s">
        <v>1036</v>
      </c>
      <c r="E69" s="2017" t="s">
        <v>3069</v>
      </c>
    </row>
    <row r="70" spans="2:5" ht="15.6" customHeight="1" thickBot="1" x14ac:dyDescent="0.35">
      <c r="B70" s="2020">
        <v>65</v>
      </c>
      <c r="C70" s="2018" t="s">
        <v>1127</v>
      </c>
      <c r="D70" s="2019" t="s">
        <v>1036</v>
      </c>
      <c r="E70" s="2017" t="s">
        <v>3069</v>
      </c>
    </row>
    <row r="71" spans="2:5" ht="15.6" customHeight="1" thickBot="1" x14ac:dyDescent="0.35">
      <c r="B71" s="2020">
        <v>66</v>
      </c>
      <c r="C71" s="2018" t="s">
        <v>1128</v>
      </c>
      <c r="D71" s="2019" t="s">
        <v>1036</v>
      </c>
      <c r="E71" s="2017" t="s">
        <v>3069</v>
      </c>
    </row>
    <row r="72" spans="2:5" ht="15.6" customHeight="1" thickBot="1" x14ac:dyDescent="0.35">
      <c r="B72" s="2020">
        <v>67</v>
      </c>
      <c r="C72" s="2018" t="s">
        <v>1129</v>
      </c>
      <c r="D72" s="2019" t="s">
        <v>1036</v>
      </c>
      <c r="E72" s="2017" t="s">
        <v>3069</v>
      </c>
    </row>
    <row r="73" spans="2:5" ht="15.6" customHeight="1" thickBot="1" x14ac:dyDescent="0.35">
      <c r="B73" s="2020">
        <v>68</v>
      </c>
      <c r="C73" s="2018" t="s">
        <v>1131</v>
      </c>
      <c r="D73" s="2019" t="s">
        <v>1036</v>
      </c>
      <c r="E73" s="2017" t="s">
        <v>3069</v>
      </c>
    </row>
    <row r="74" spans="2:5" ht="15.6" customHeight="1" thickBot="1" x14ac:dyDescent="0.35">
      <c r="B74" s="2020">
        <v>70</v>
      </c>
      <c r="C74" s="2018" t="s">
        <v>1134</v>
      </c>
      <c r="D74" s="2019" t="s">
        <v>1036</v>
      </c>
      <c r="E74" s="2017" t="s">
        <v>3069</v>
      </c>
    </row>
    <row r="75" spans="2:5" ht="15.6" customHeight="1" thickBot="1" x14ac:dyDescent="0.35">
      <c r="B75" s="2020">
        <v>72</v>
      </c>
      <c r="C75" s="2018" t="s">
        <v>1138</v>
      </c>
      <c r="D75" s="2019" t="s">
        <v>1036</v>
      </c>
      <c r="E75" s="2017" t="s">
        <v>3069</v>
      </c>
    </row>
    <row r="76" spans="2:5" ht="15.6" customHeight="1" thickBot="1" x14ac:dyDescent="0.35">
      <c r="B76" s="2020">
        <v>73</v>
      </c>
      <c r="C76" s="2018" t="s">
        <v>1139</v>
      </c>
      <c r="D76" s="2019" t="s">
        <v>1036</v>
      </c>
      <c r="E76" s="2017" t="s">
        <v>3069</v>
      </c>
    </row>
    <row r="77" spans="2:5" ht="15.6" customHeight="1" thickBot="1" x14ac:dyDescent="0.35">
      <c r="B77" s="2020">
        <v>74</v>
      </c>
      <c r="C77" s="2018" t="s">
        <v>1141</v>
      </c>
      <c r="D77" s="2019" t="s">
        <v>1036</v>
      </c>
      <c r="E77" s="2017" t="s">
        <v>3069</v>
      </c>
    </row>
    <row r="78" spans="2:5" ht="15.6" customHeight="1" thickBot="1" x14ac:dyDescent="0.35">
      <c r="B78" s="2020">
        <v>76</v>
      </c>
      <c r="C78" s="2018" t="s">
        <v>1142</v>
      </c>
      <c r="D78" s="2019" t="s">
        <v>1036</v>
      </c>
      <c r="E78" s="2017" t="s">
        <v>3069</v>
      </c>
    </row>
    <row r="79" spans="2:5" ht="15.6" customHeight="1" thickBot="1" x14ac:dyDescent="0.35">
      <c r="B79" s="2020">
        <v>77</v>
      </c>
      <c r="C79" s="2018" t="s">
        <v>1143</v>
      </c>
      <c r="D79" s="2019" t="s">
        <v>1036</v>
      </c>
      <c r="E79" s="2017" t="s">
        <v>3069</v>
      </c>
    </row>
    <row r="80" spans="2:5" ht="15.6" customHeight="1" thickBot="1" x14ac:dyDescent="0.35">
      <c r="B80" s="2020">
        <v>78</v>
      </c>
      <c r="C80" s="2018" t="s">
        <v>1144</v>
      </c>
      <c r="D80" s="2019" t="s">
        <v>1036</v>
      </c>
      <c r="E80" s="2017" t="s">
        <v>3069</v>
      </c>
    </row>
    <row r="81" spans="2:5" ht="15.6" customHeight="1" thickBot="1" x14ac:dyDescent="0.35">
      <c r="B81" s="2020">
        <v>80</v>
      </c>
      <c r="C81" s="2018" t="s">
        <v>1146</v>
      </c>
      <c r="D81" s="2019" t="s">
        <v>1036</v>
      </c>
      <c r="E81" s="2017" t="s">
        <v>3069</v>
      </c>
    </row>
    <row r="82" spans="2:5" ht="15.6" customHeight="1" thickBot="1" x14ac:dyDescent="0.35">
      <c r="B82" s="2020">
        <v>81</v>
      </c>
      <c r="C82" s="2018" t="s">
        <v>1148</v>
      </c>
      <c r="D82" s="2019" t="s">
        <v>1036</v>
      </c>
      <c r="E82" s="2017" t="s">
        <v>3069</v>
      </c>
    </row>
    <row r="83" spans="2:5" ht="15.6" customHeight="1" thickBot="1" x14ac:dyDescent="0.35">
      <c r="B83" s="2020">
        <v>82</v>
      </c>
      <c r="C83" s="2018" t="s">
        <v>1150</v>
      </c>
      <c r="D83" s="2019" t="s">
        <v>1036</v>
      </c>
      <c r="E83" s="2017" t="s">
        <v>3069</v>
      </c>
    </row>
    <row r="84" spans="2:5" ht="15.6" customHeight="1" thickBot="1" x14ac:dyDescent="0.35">
      <c r="B84" s="2020">
        <v>83</v>
      </c>
      <c r="C84" s="2018" t="s">
        <v>1151</v>
      </c>
      <c r="D84" s="2019" t="s">
        <v>1036</v>
      </c>
      <c r="E84" s="2017" t="s">
        <v>3069</v>
      </c>
    </row>
    <row r="85" spans="2:5" ht="15.6" customHeight="1" thickBot="1" x14ac:dyDescent="0.35">
      <c r="B85" s="2020">
        <v>84</v>
      </c>
      <c r="C85" s="2018" t="s">
        <v>1153</v>
      </c>
      <c r="D85" s="2019" t="s">
        <v>1036</v>
      </c>
      <c r="E85" s="2017" t="s">
        <v>3069</v>
      </c>
    </row>
    <row r="86" spans="2:5" ht="15.6" customHeight="1" thickBot="1" x14ac:dyDescent="0.35">
      <c r="B86" s="2020">
        <v>85</v>
      </c>
      <c r="C86" s="2018" t="s">
        <v>1155</v>
      </c>
      <c r="D86" s="2019" t="s">
        <v>1036</v>
      </c>
      <c r="E86" s="2017" t="s">
        <v>3069</v>
      </c>
    </row>
    <row r="87" spans="2:5" ht="15.6" customHeight="1" thickBot="1" x14ac:dyDescent="0.35">
      <c r="B87" s="2020">
        <v>86</v>
      </c>
      <c r="C87" s="2018" t="s">
        <v>1156</v>
      </c>
      <c r="D87" s="2019" t="s">
        <v>1036</v>
      </c>
      <c r="E87" s="2017" t="s">
        <v>3069</v>
      </c>
    </row>
    <row r="88" spans="2:5" ht="15.6" customHeight="1" thickBot="1" x14ac:dyDescent="0.35">
      <c r="B88" s="2020">
        <v>87</v>
      </c>
      <c r="C88" s="2018" t="s">
        <v>1157</v>
      </c>
      <c r="D88" s="2019" t="s">
        <v>1036</v>
      </c>
      <c r="E88" s="2017" t="s">
        <v>3069</v>
      </c>
    </row>
    <row r="89" spans="2:5" ht="15.6" customHeight="1" thickBot="1" x14ac:dyDescent="0.35">
      <c r="B89" s="2020">
        <v>89</v>
      </c>
      <c r="C89" s="2018" t="s">
        <v>1159</v>
      </c>
      <c r="D89" s="2019" t="s">
        <v>1036</v>
      </c>
      <c r="E89" s="2017" t="s">
        <v>3069</v>
      </c>
    </row>
    <row r="90" spans="2:5" ht="15.6" customHeight="1" thickBot="1" x14ac:dyDescent="0.35">
      <c r="B90" s="2020">
        <v>90</v>
      </c>
      <c r="C90" s="2018" t="s">
        <v>1160</v>
      </c>
      <c r="D90" s="2019" t="s">
        <v>1036</v>
      </c>
      <c r="E90" s="2017" t="s">
        <v>3069</v>
      </c>
    </row>
    <row r="91" spans="2:5" ht="15.6" customHeight="1" thickBot="1" x14ac:dyDescent="0.35">
      <c r="B91" s="2020">
        <v>91</v>
      </c>
      <c r="C91" s="2018" t="s">
        <v>1161</v>
      </c>
      <c r="D91" s="2019" t="s">
        <v>1036</v>
      </c>
      <c r="E91" s="2021" t="s">
        <v>3070</v>
      </c>
    </row>
    <row r="92" spans="2:5" ht="15.6" customHeight="1" thickBot="1" x14ac:dyDescent="0.35">
      <c r="B92" s="2020">
        <v>92</v>
      </c>
      <c r="C92" s="2018" t="s">
        <v>1163</v>
      </c>
      <c r="D92" s="2019" t="s">
        <v>1036</v>
      </c>
      <c r="E92" s="2017" t="s">
        <v>3069</v>
      </c>
    </row>
    <row r="93" spans="2:5" ht="15.6" customHeight="1" thickBot="1" x14ac:dyDescent="0.35">
      <c r="B93" s="2020">
        <v>94</v>
      </c>
      <c r="C93" s="2018" t="s">
        <v>1165</v>
      </c>
      <c r="D93" s="2019" t="s">
        <v>1036</v>
      </c>
      <c r="E93" s="2017" t="s">
        <v>3069</v>
      </c>
    </row>
    <row r="94" spans="2:5" ht="15.6" customHeight="1" thickBot="1" x14ac:dyDescent="0.35">
      <c r="B94" s="2020">
        <v>95</v>
      </c>
      <c r="C94" s="2018" t="s">
        <v>1166</v>
      </c>
      <c r="D94" s="2019" t="s">
        <v>1036</v>
      </c>
      <c r="E94" s="2017" t="s">
        <v>3069</v>
      </c>
    </row>
    <row r="95" spans="2:5" ht="15.6" customHeight="1" thickBot="1" x14ac:dyDescent="0.35">
      <c r="B95" s="2020">
        <v>96</v>
      </c>
      <c r="C95" s="2018" t="s">
        <v>1167</v>
      </c>
      <c r="D95" s="2019" t="s">
        <v>1036</v>
      </c>
      <c r="E95" s="2017" t="s">
        <v>3069</v>
      </c>
    </row>
    <row r="96" spans="2:5" ht="15.6" customHeight="1" thickBot="1" x14ac:dyDescent="0.35">
      <c r="B96" s="2020">
        <v>98</v>
      </c>
      <c r="C96" s="2018" t="s">
        <v>1169</v>
      </c>
      <c r="D96" s="2019" t="s">
        <v>1036</v>
      </c>
      <c r="E96" s="2017" t="s">
        <v>3069</v>
      </c>
    </row>
    <row r="97" spans="2:5" ht="15.6" customHeight="1" thickBot="1" x14ac:dyDescent="0.35">
      <c r="B97" s="2020">
        <v>99</v>
      </c>
      <c r="C97" s="2018" t="s">
        <v>1170</v>
      </c>
      <c r="D97" s="2019" t="s">
        <v>1036</v>
      </c>
      <c r="E97" s="2017" t="s">
        <v>3069</v>
      </c>
    </row>
    <row r="98" spans="2:5" ht="15.6" customHeight="1" thickBot="1" x14ac:dyDescent="0.35">
      <c r="B98" s="2020">
        <v>100</v>
      </c>
      <c r="C98" s="2018" t="s">
        <v>1171</v>
      </c>
      <c r="D98" s="2019" t="s">
        <v>1036</v>
      </c>
      <c r="E98" s="2017" t="s">
        <v>3069</v>
      </c>
    </row>
    <row r="99" spans="2:5" ht="15.6" customHeight="1" thickBot="1" x14ac:dyDescent="0.35">
      <c r="B99" s="2020">
        <v>101</v>
      </c>
      <c r="C99" s="2018" t="s">
        <v>1172</v>
      </c>
      <c r="D99" s="2019" t="s">
        <v>1036</v>
      </c>
      <c r="E99" s="2017" t="s">
        <v>3069</v>
      </c>
    </row>
    <row r="100" spans="2:5" ht="15.6" customHeight="1" thickBot="1" x14ac:dyDescent="0.35">
      <c r="B100" s="2020">
        <v>102</v>
      </c>
      <c r="C100" s="2018" t="s">
        <v>1173</v>
      </c>
      <c r="D100" s="2019" t="s">
        <v>1036</v>
      </c>
      <c r="E100" s="2017" t="s">
        <v>3069</v>
      </c>
    </row>
    <row r="101" spans="2:5" ht="15.6" customHeight="1" thickBot="1" x14ac:dyDescent="0.35">
      <c r="B101" s="2020">
        <v>104</v>
      </c>
      <c r="C101" s="2018" t="s">
        <v>1175</v>
      </c>
      <c r="D101" s="2019" t="s">
        <v>1036</v>
      </c>
      <c r="E101" s="2017" t="s">
        <v>3069</v>
      </c>
    </row>
    <row r="102" spans="2:5" ht="15.6" customHeight="1" thickBot="1" x14ac:dyDescent="0.35">
      <c r="B102" s="2020">
        <v>105</v>
      </c>
      <c r="C102" s="2018" t="s">
        <v>1177</v>
      </c>
      <c r="D102" s="2019" t="s">
        <v>1036</v>
      </c>
      <c r="E102" s="2017" t="s">
        <v>3069</v>
      </c>
    </row>
    <row r="103" spans="2:5" ht="15.6" customHeight="1" thickBot="1" x14ac:dyDescent="0.35">
      <c r="B103" s="2020">
        <v>106</v>
      </c>
      <c r="C103" s="2018" t="s">
        <v>1179</v>
      </c>
      <c r="D103" s="2019" t="s">
        <v>1036</v>
      </c>
      <c r="E103" s="2017" t="s">
        <v>3069</v>
      </c>
    </row>
    <row r="104" spans="2:5" ht="15.6" customHeight="1" thickBot="1" x14ac:dyDescent="0.35">
      <c r="B104" s="2020">
        <v>107</v>
      </c>
      <c r="C104" s="2018" t="s">
        <v>1180</v>
      </c>
      <c r="D104" s="2019" t="s">
        <v>1036</v>
      </c>
      <c r="E104" s="2017" t="s">
        <v>3069</v>
      </c>
    </row>
    <row r="105" spans="2:5" ht="15.6" customHeight="1" thickBot="1" x14ac:dyDescent="0.35">
      <c r="B105" s="2020">
        <v>108</v>
      </c>
      <c r="C105" s="2018" t="s">
        <v>1181</v>
      </c>
      <c r="D105" s="2019" t="s">
        <v>1036</v>
      </c>
      <c r="E105" s="2017" t="s">
        <v>3069</v>
      </c>
    </row>
    <row r="106" spans="2:5" ht="15.6" customHeight="1" thickBot="1" x14ac:dyDescent="0.35">
      <c r="B106" s="2020">
        <v>109</v>
      </c>
      <c r="C106" s="2018" t="s">
        <v>1182</v>
      </c>
      <c r="D106" s="2019" t="s">
        <v>1036</v>
      </c>
      <c r="E106" s="2017" t="s">
        <v>3069</v>
      </c>
    </row>
    <row r="107" spans="2:5" ht="15.6" customHeight="1" thickBot="1" x14ac:dyDescent="0.35">
      <c r="B107" s="2020">
        <v>110</v>
      </c>
      <c r="C107" s="2018" t="s">
        <v>1183</v>
      </c>
      <c r="D107" s="2019" t="s">
        <v>1036</v>
      </c>
      <c r="E107" s="2017" t="s">
        <v>3069</v>
      </c>
    </row>
    <row r="108" spans="2:5" ht="15.6" customHeight="1" thickBot="1" x14ac:dyDescent="0.35">
      <c r="B108" s="2020">
        <v>111</v>
      </c>
      <c r="C108" s="2018" t="s">
        <v>1184</v>
      </c>
      <c r="D108" s="2019" t="s">
        <v>1036</v>
      </c>
      <c r="E108" s="2017" t="s">
        <v>3069</v>
      </c>
    </row>
    <row r="109" spans="2:5" ht="15.6" customHeight="1" thickBot="1" x14ac:dyDescent="0.35">
      <c r="B109" s="2020">
        <v>113</v>
      </c>
      <c r="C109" s="2018" t="s">
        <v>1186</v>
      </c>
      <c r="D109" s="2019" t="s">
        <v>1036</v>
      </c>
      <c r="E109" s="2017" t="s">
        <v>3069</v>
      </c>
    </row>
    <row r="110" spans="2:5" ht="15.6" customHeight="1" thickBot="1" x14ac:dyDescent="0.35">
      <c r="B110" s="2020">
        <v>114</v>
      </c>
      <c r="C110" s="2018" t="s">
        <v>1188</v>
      </c>
      <c r="D110" s="2019" t="s">
        <v>1036</v>
      </c>
      <c r="E110" s="2017" t="s">
        <v>3069</v>
      </c>
    </row>
    <row r="111" spans="2:5" ht="15.6" customHeight="1" thickBot="1" x14ac:dyDescent="0.35">
      <c r="B111" s="2020">
        <v>115</v>
      </c>
      <c r="C111" s="2018" t="s">
        <v>1189</v>
      </c>
      <c r="D111" s="2019" t="s">
        <v>1036</v>
      </c>
      <c r="E111" s="2017" t="s">
        <v>3069</v>
      </c>
    </row>
    <row r="112" spans="2:5" ht="15.6" customHeight="1" thickBot="1" x14ac:dyDescent="0.35">
      <c r="B112" s="2020">
        <v>116</v>
      </c>
      <c r="C112" s="2018" t="s">
        <v>1190</v>
      </c>
      <c r="D112" s="2019" t="s">
        <v>1036</v>
      </c>
      <c r="E112" s="2021" t="s">
        <v>3070</v>
      </c>
    </row>
    <row r="113" spans="2:5" ht="15.6" customHeight="1" thickBot="1" x14ac:dyDescent="0.35">
      <c r="B113" s="2020">
        <v>117</v>
      </c>
      <c r="C113" s="2018" t="s">
        <v>1192</v>
      </c>
      <c r="D113" s="2019" t="s">
        <v>1036</v>
      </c>
      <c r="E113" s="2021" t="s">
        <v>3070</v>
      </c>
    </row>
    <row r="114" spans="2:5" ht="15.6" customHeight="1" thickBot="1" x14ac:dyDescent="0.35">
      <c r="B114" s="2020">
        <v>118</v>
      </c>
      <c r="C114" s="2018" t="s">
        <v>1194</v>
      </c>
      <c r="D114" s="2019" t="s">
        <v>1036</v>
      </c>
      <c r="E114" s="2021" t="s">
        <v>3070</v>
      </c>
    </row>
    <row r="115" spans="2:5" ht="15.6" customHeight="1" thickBot="1" x14ac:dyDescent="0.35">
      <c r="B115" s="2020">
        <v>119</v>
      </c>
      <c r="C115" s="2018" t="s">
        <v>1195</v>
      </c>
      <c r="D115" s="2019" t="s">
        <v>1036</v>
      </c>
      <c r="E115" s="2017" t="s">
        <v>3069</v>
      </c>
    </row>
    <row r="116" spans="2:5" ht="15.6" customHeight="1" thickBot="1" x14ac:dyDescent="0.35">
      <c r="B116" s="2020">
        <v>121</v>
      </c>
      <c r="C116" s="2018" t="s">
        <v>1197</v>
      </c>
      <c r="D116" s="2019" t="s">
        <v>1036</v>
      </c>
      <c r="E116" s="2017" t="s">
        <v>3069</v>
      </c>
    </row>
    <row r="117" spans="2:5" ht="15.6" customHeight="1" thickBot="1" x14ac:dyDescent="0.35">
      <c r="B117" s="2020">
        <v>122</v>
      </c>
      <c r="C117" s="2018" t="s">
        <v>1198</v>
      </c>
      <c r="D117" s="2019" t="s">
        <v>1036</v>
      </c>
      <c r="E117" s="2017" t="s">
        <v>3069</v>
      </c>
    </row>
    <row r="118" spans="2:5" ht="15.6" customHeight="1" thickBot="1" x14ac:dyDescent="0.35">
      <c r="B118" s="2020">
        <v>123</v>
      </c>
      <c r="C118" s="2018" t="s">
        <v>1199</v>
      </c>
      <c r="D118" s="2019" t="s">
        <v>1036</v>
      </c>
      <c r="E118" s="2017" t="s">
        <v>3069</v>
      </c>
    </row>
    <row r="119" spans="2:5" ht="15.6" customHeight="1" thickBot="1" x14ac:dyDescent="0.35">
      <c r="B119" s="2020">
        <v>125</v>
      </c>
      <c r="C119" s="2018" t="s">
        <v>1201</v>
      </c>
      <c r="D119" s="2019" t="s">
        <v>1036</v>
      </c>
      <c r="E119" s="2021" t="s">
        <v>3070</v>
      </c>
    </row>
    <row r="120" spans="2:5" ht="15.6" customHeight="1" thickBot="1" x14ac:dyDescent="0.35">
      <c r="B120" s="2020">
        <v>126</v>
      </c>
      <c r="C120" s="2018" t="s">
        <v>1203</v>
      </c>
      <c r="D120" s="2019" t="s">
        <v>1036</v>
      </c>
      <c r="E120" s="2017" t="s">
        <v>3069</v>
      </c>
    </row>
    <row r="121" spans="2:5" ht="15.6" customHeight="1" thickBot="1" x14ac:dyDescent="0.35">
      <c r="B121" s="2020">
        <v>127</v>
      </c>
      <c r="C121" s="2018" t="s">
        <v>1204</v>
      </c>
      <c r="D121" s="2019" t="s">
        <v>1036</v>
      </c>
      <c r="E121" s="2021" t="s">
        <v>3070</v>
      </c>
    </row>
    <row r="122" spans="2:5" ht="15.6" customHeight="1" thickBot="1" x14ac:dyDescent="0.35">
      <c r="B122" s="2020">
        <v>128</v>
      </c>
      <c r="C122" s="2018" t="s">
        <v>1205</v>
      </c>
      <c r="D122" s="2019" t="s">
        <v>1036</v>
      </c>
      <c r="E122" s="2021" t="s">
        <v>3070</v>
      </c>
    </row>
    <row r="123" spans="2:5" ht="15.6" customHeight="1" thickBot="1" x14ac:dyDescent="0.35">
      <c r="B123" s="2020">
        <v>129</v>
      </c>
      <c r="C123" s="2018" t="s">
        <v>1206</v>
      </c>
      <c r="D123" s="2019" t="s">
        <v>1036</v>
      </c>
      <c r="E123" s="2017" t="s">
        <v>3069</v>
      </c>
    </row>
    <row r="124" spans="2:5" ht="15.6" customHeight="1" thickBot="1" x14ac:dyDescent="0.35">
      <c r="B124" s="2020">
        <v>130</v>
      </c>
      <c r="C124" s="2018" t="s">
        <v>1207</v>
      </c>
      <c r="D124" s="2019" t="s">
        <v>1036</v>
      </c>
      <c r="E124" s="2017" t="s">
        <v>3069</v>
      </c>
    </row>
    <row r="125" spans="2:5" ht="15.6" customHeight="1" thickBot="1" x14ac:dyDescent="0.35">
      <c r="B125" s="2020">
        <v>131</v>
      </c>
      <c r="C125" s="2018" t="s">
        <v>1208</v>
      </c>
      <c r="D125" s="2019" t="s">
        <v>1036</v>
      </c>
      <c r="E125" s="2017" t="s">
        <v>3069</v>
      </c>
    </row>
    <row r="126" spans="2:5" ht="15.6" customHeight="1" thickBot="1" x14ac:dyDescent="0.35">
      <c r="B126" s="2020">
        <v>132</v>
      </c>
      <c r="C126" s="2018" t="s">
        <v>1209</v>
      </c>
      <c r="D126" s="2019" t="s">
        <v>1036</v>
      </c>
      <c r="E126" s="2017" t="s">
        <v>3069</v>
      </c>
    </row>
    <row r="127" spans="2:5" ht="15.6" customHeight="1" thickBot="1" x14ac:dyDescent="0.35">
      <c r="B127" s="2020">
        <v>135</v>
      </c>
      <c r="C127" s="2018" t="s">
        <v>1212</v>
      </c>
      <c r="D127" s="2019" t="s">
        <v>1036</v>
      </c>
      <c r="E127" s="2017" t="s">
        <v>3069</v>
      </c>
    </row>
    <row r="128" spans="2:5" ht="15.6" customHeight="1" thickBot="1" x14ac:dyDescent="0.35">
      <c r="B128" s="2020">
        <v>136</v>
      </c>
      <c r="C128" s="2018" t="s">
        <v>1213</v>
      </c>
      <c r="D128" s="2019" t="s">
        <v>1036</v>
      </c>
      <c r="E128" s="2017" t="s">
        <v>3069</v>
      </c>
    </row>
    <row r="129" spans="2:5" ht="15.6" customHeight="1" thickBot="1" x14ac:dyDescent="0.35">
      <c r="B129" s="2020">
        <v>137</v>
      </c>
      <c r="C129" s="2018" t="s">
        <v>1214</v>
      </c>
      <c r="D129" s="2019" t="s">
        <v>1036</v>
      </c>
      <c r="E129" s="2017" t="s">
        <v>3069</v>
      </c>
    </row>
    <row r="130" spans="2:5" ht="15.6" customHeight="1" thickBot="1" x14ac:dyDescent="0.35">
      <c r="B130" s="2020">
        <v>138</v>
      </c>
      <c r="C130" s="2018" t="s">
        <v>1215</v>
      </c>
      <c r="D130" s="2019" t="s">
        <v>1036</v>
      </c>
      <c r="E130" s="2021" t="s">
        <v>3070</v>
      </c>
    </row>
    <row r="131" spans="2:5" ht="15.6" customHeight="1" thickBot="1" x14ac:dyDescent="0.35">
      <c r="B131" s="2020">
        <v>139</v>
      </c>
      <c r="C131" s="2018" t="s">
        <v>1216</v>
      </c>
      <c r="D131" s="2019" t="s">
        <v>1036</v>
      </c>
      <c r="E131" s="2017" t="s">
        <v>3069</v>
      </c>
    </row>
    <row r="132" spans="2:5" ht="15.6" customHeight="1" thickBot="1" x14ac:dyDescent="0.35">
      <c r="B132" s="2020">
        <v>140</v>
      </c>
      <c r="C132" s="2018" t="s">
        <v>1217</v>
      </c>
      <c r="D132" s="2019" t="s">
        <v>1036</v>
      </c>
      <c r="E132" s="2021" t="s">
        <v>3070</v>
      </c>
    </row>
    <row r="133" spans="2:5" ht="15.6" customHeight="1" thickBot="1" x14ac:dyDescent="0.35">
      <c r="B133" s="2020">
        <v>141</v>
      </c>
      <c r="C133" s="2018" t="s">
        <v>1218</v>
      </c>
      <c r="D133" s="2019" t="s">
        <v>1036</v>
      </c>
      <c r="E133" s="2017" t="s">
        <v>3069</v>
      </c>
    </row>
    <row r="134" spans="2:5" ht="15.6" customHeight="1" thickBot="1" x14ac:dyDescent="0.35">
      <c r="B134" s="2020">
        <v>142</v>
      </c>
      <c r="C134" s="2018" t="s">
        <v>1219</v>
      </c>
      <c r="D134" s="2019" t="s">
        <v>1036</v>
      </c>
      <c r="E134" s="2021" t="s">
        <v>3070</v>
      </c>
    </row>
    <row r="135" spans="2:5" ht="15.6" customHeight="1" thickBot="1" x14ac:dyDescent="0.35">
      <c r="B135" s="2020">
        <v>146</v>
      </c>
      <c r="C135" s="2018" t="s">
        <v>3071</v>
      </c>
      <c r="D135" s="2019" t="s">
        <v>1036</v>
      </c>
      <c r="E135" s="2017" t="s">
        <v>3069</v>
      </c>
    </row>
    <row r="136" spans="2:5" ht="15.6" customHeight="1" thickBot="1" x14ac:dyDescent="0.35">
      <c r="B136" s="2020">
        <v>148</v>
      </c>
      <c r="C136" s="2018" t="s">
        <v>1226</v>
      </c>
      <c r="D136" s="2019" t="s">
        <v>1036</v>
      </c>
      <c r="E136" s="2021" t="s">
        <v>3070</v>
      </c>
    </row>
    <row r="137" spans="2:5" ht="15.6" customHeight="1" thickBot="1" x14ac:dyDescent="0.35">
      <c r="B137" s="2020">
        <v>149</v>
      </c>
      <c r="C137" s="2018" t="s">
        <v>1227</v>
      </c>
      <c r="D137" s="2019" t="s">
        <v>1036</v>
      </c>
      <c r="E137" s="2021" t="s">
        <v>3070</v>
      </c>
    </row>
    <row r="138" spans="2:5" ht="15.6" customHeight="1" thickBot="1" x14ac:dyDescent="0.35">
      <c r="B138" s="2020">
        <v>150</v>
      </c>
      <c r="C138" s="2022" t="s">
        <v>1228</v>
      </c>
      <c r="D138" s="2019" t="s">
        <v>1036</v>
      </c>
      <c r="E138" s="2017" t="s">
        <v>3069</v>
      </c>
    </row>
    <row r="139" spans="2:5" ht="15.6" customHeight="1" thickBot="1" x14ac:dyDescent="0.35">
      <c r="B139" s="2020">
        <v>152</v>
      </c>
      <c r="C139" s="2018" t="s">
        <v>1230</v>
      </c>
      <c r="D139" s="2019" t="s">
        <v>1036</v>
      </c>
      <c r="E139" s="2017" t="s">
        <v>3069</v>
      </c>
    </row>
    <row r="140" spans="2:5" ht="15.6" customHeight="1" thickBot="1" x14ac:dyDescent="0.35">
      <c r="B140" s="2020">
        <v>153</v>
      </c>
      <c r="C140" s="2018" t="s">
        <v>1232</v>
      </c>
      <c r="D140" s="2019" t="s">
        <v>1036</v>
      </c>
      <c r="E140" s="2017" t="s">
        <v>3069</v>
      </c>
    </row>
    <row r="141" spans="2:5" ht="15.6" customHeight="1" thickBot="1" x14ac:dyDescent="0.35">
      <c r="B141" s="2020">
        <v>155</v>
      </c>
      <c r="C141" s="2018" t="s">
        <v>1235</v>
      </c>
      <c r="D141" s="2019" t="s">
        <v>1036</v>
      </c>
      <c r="E141" s="2017" t="s">
        <v>3069</v>
      </c>
    </row>
    <row r="142" spans="2:5" ht="15.6" customHeight="1" thickBot="1" x14ac:dyDescent="0.35">
      <c r="B142" s="2020">
        <v>156</v>
      </c>
      <c r="C142" s="2018" t="s">
        <v>1236</v>
      </c>
      <c r="D142" s="2019" t="s">
        <v>1036</v>
      </c>
      <c r="E142" s="2017" t="s">
        <v>3069</v>
      </c>
    </row>
    <row r="143" spans="2:5" ht="15.6" customHeight="1" thickBot="1" x14ac:dyDescent="0.35">
      <c r="B143" s="2020">
        <v>157</v>
      </c>
      <c r="C143" s="2018" t="s">
        <v>1237</v>
      </c>
      <c r="D143" s="2019" t="s">
        <v>1036</v>
      </c>
      <c r="E143" s="2017" t="s">
        <v>3069</v>
      </c>
    </row>
    <row r="144" spans="2:5" ht="15.6" customHeight="1" thickBot="1" x14ac:dyDescent="0.35">
      <c r="B144" s="2020">
        <v>159</v>
      </c>
      <c r="C144" s="2018" t="s">
        <v>1239</v>
      </c>
      <c r="D144" s="2019" t="s">
        <v>1036</v>
      </c>
      <c r="E144" s="2017" t="s">
        <v>3069</v>
      </c>
    </row>
    <row r="145" spans="2:5" ht="15.6" customHeight="1" thickBot="1" x14ac:dyDescent="0.35">
      <c r="B145" s="2020">
        <v>160</v>
      </c>
      <c r="C145" s="2018" t="s">
        <v>3072</v>
      </c>
      <c r="D145" s="2019" t="s">
        <v>1036</v>
      </c>
      <c r="E145" s="2017" t="s">
        <v>3069</v>
      </c>
    </row>
    <row r="146" spans="2:5" ht="15.6" customHeight="1" thickBot="1" x14ac:dyDescent="0.35">
      <c r="B146" s="2020">
        <v>161</v>
      </c>
      <c r="C146" s="2018" t="s">
        <v>3073</v>
      </c>
      <c r="D146" s="2019" t="s">
        <v>1036</v>
      </c>
      <c r="E146" s="2017" t="s">
        <v>3069</v>
      </c>
    </row>
    <row r="147" spans="2:5" ht="15.6" customHeight="1" thickBot="1" x14ac:dyDescent="0.35">
      <c r="B147" s="2020">
        <v>162</v>
      </c>
      <c r="C147" s="2018" t="s">
        <v>3074</v>
      </c>
      <c r="D147" s="2019" t="s">
        <v>1036</v>
      </c>
      <c r="E147" s="2017" t="s">
        <v>3069</v>
      </c>
    </row>
    <row r="148" spans="2:5" ht="15.6" customHeight="1" thickBot="1" x14ac:dyDescent="0.35">
      <c r="B148" s="2020">
        <v>163</v>
      </c>
      <c r="C148" s="2018" t="s">
        <v>3075</v>
      </c>
      <c r="D148" s="2019" t="s">
        <v>1036</v>
      </c>
      <c r="E148" s="2017" t="s">
        <v>3069</v>
      </c>
    </row>
    <row r="149" spans="2:5" ht="15.6" customHeight="1" thickBot="1" x14ac:dyDescent="0.35">
      <c r="B149" s="2020">
        <v>164</v>
      </c>
      <c r="C149" s="2018" t="s">
        <v>1242</v>
      </c>
      <c r="D149" s="2019" t="s">
        <v>1036</v>
      </c>
      <c r="E149" s="2017" t="s">
        <v>3069</v>
      </c>
    </row>
    <row r="150" spans="2:5" ht="15.6" customHeight="1" thickBot="1" x14ac:dyDescent="0.35">
      <c r="B150" s="2020">
        <v>166</v>
      </c>
      <c r="C150" s="2018" t="s">
        <v>1244</v>
      </c>
      <c r="D150" s="2019" t="s">
        <v>1036</v>
      </c>
      <c r="E150" s="2017" t="s">
        <v>3069</v>
      </c>
    </row>
    <row r="151" spans="2:5" ht="15.6" customHeight="1" thickBot="1" x14ac:dyDescent="0.35">
      <c r="B151" s="2020">
        <v>167</v>
      </c>
      <c r="C151" s="2018" t="s">
        <v>1245</v>
      </c>
      <c r="D151" s="2019" t="s">
        <v>1036</v>
      </c>
      <c r="E151" s="2017" t="s">
        <v>3069</v>
      </c>
    </row>
    <row r="152" spans="2:5" ht="15.6" customHeight="1" thickBot="1" x14ac:dyDescent="0.35">
      <c r="B152" s="2020">
        <v>168</v>
      </c>
      <c r="C152" s="2018" t="s">
        <v>1247</v>
      </c>
      <c r="D152" s="2019" t="s">
        <v>1036</v>
      </c>
      <c r="E152" s="2017" t="s">
        <v>3069</v>
      </c>
    </row>
    <row r="153" spans="2:5" ht="15.6" customHeight="1" thickBot="1" x14ac:dyDescent="0.35">
      <c r="B153" s="2020">
        <v>169</v>
      </c>
      <c r="C153" s="2022" t="s">
        <v>1249</v>
      </c>
      <c r="D153" s="2019" t="s">
        <v>1036</v>
      </c>
      <c r="E153" s="2017" t="s">
        <v>3069</v>
      </c>
    </row>
    <row r="154" spans="2:5" ht="15.6" customHeight="1" thickBot="1" x14ac:dyDescent="0.35">
      <c r="B154" s="2020">
        <v>170</v>
      </c>
      <c r="C154" s="2018" t="s">
        <v>1250</v>
      </c>
      <c r="D154" s="2019" t="s">
        <v>1036</v>
      </c>
      <c r="E154" s="2017" t="s">
        <v>3069</v>
      </c>
    </row>
    <row r="155" spans="2:5" ht="15.6" customHeight="1" thickBot="1" x14ac:dyDescent="0.35">
      <c r="B155" s="2020">
        <v>171</v>
      </c>
      <c r="C155" s="2018" t="s">
        <v>1251</v>
      </c>
      <c r="D155" s="2019" t="s">
        <v>1036</v>
      </c>
      <c r="E155" s="2021" t="s">
        <v>3070</v>
      </c>
    </row>
    <row r="156" spans="2:5" ht="15.6" customHeight="1" thickBot="1" x14ac:dyDescent="0.35">
      <c r="B156" s="2020">
        <v>172</v>
      </c>
      <c r="C156" s="2018" t="s">
        <v>1252</v>
      </c>
      <c r="D156" s="2019" t="s">
        <v>1036</v>
      </c>
      <c r="E156" s="2021" t="s">
        <v>3070</v>
      </c>
    </row>
    <row r="157" spans="2:5" ht="15.6" customHeight="1" thickBot="1" x14ac:dyDescent="0.35">
      <c r="B157" s="2020">
        <v>175</v>
      </c>
      <c r="C157" s="2018" t="s">
        <v>1255</v>
      </c>
      <c r="D157" s="2019" t="s">
        <v>1036</v>
      </c>
      <c r="E157" s="2017" t="s">
        <v>3069</v>
      </c>
    </row>
    <row r="158" spans="2:5" ht="15.6" customHeight="1" thickBot="1" x14ac:dyDescent="0.35">
      <c r="B158" s="2020">
        <v>179</v>
      </c>
      <c r="C158" s="2018" t="s">
        <v>1259</v>
      </c>
      <c r="D158" s="2019" t="s">
        <v>1036</v>
      </c>
      <c r="E158" s="2021" t="s">
        <v>3070</v>
      </c>
    </row>
    <row r="159" spans="2:5" ht="15.6" customHeight="1" thickBot="1" x14ac:dyDescent="0.35">
      <c r="B159" s="2020">
        <v>180</v>
      </c>
      <c r="C159" s="2018" t="s">
        <v>1260</v>
      </c>
      <c r="D159" s="2019" t="s">
        <v>1036</v>
      </c>
      <c r="E159" s="2021" t="s">
        <v>3070</v>
      </c>
    </row>
    <row r="160" spans="2:5" ht="15.6" customHeight="1" thickBot="1" x14ac:dyDescent="0.35">
      <c r="B160" s="2020">
        <v>183</v>
      </c>
      <c r="C160" s="2018" t="s">
        <v>1263</v>
      </c>
      <c r="D160" s="2019" t="s">
        <v>1036</v>
      </c>
      <c r="E160" s="2021" t="s">
        <v>3070</v>
      </c>
    </row>
    <row r="161" spans="2:5" ht="15.6" customHeight="1" thickBot="1" x14ac:dyDescent="0.35">
      <c r="B161" s="2020">
        <v>184</v>
      </c>
      <c r="C161" s="2018" t="s">
        <v>1264</v>
      </c>
      <c r="D161" s="2019" t="s">
        <v>1036</v>
      </c>
      <c r="E161" s="2021" t="s">
        <v>3070</v>
      </c>
    </row>
    <row r="162" spans="2:5" ht="15.6" customHeight="1" thickBot="1" x14ac:dyDescent="0.35">
      <c r="B162" s="2020">
        <v>186</v>
      </c>
      <c r="C162" s="2018" t="s">
        <v>1266</v>
      </c>
      <c r="D162" s="2019" t="s">
        <v>1036</v>
      </c>
      <c r="E162" s="2021" t="s">
        <v>3070</v>
      </c>
    </row>
    <row r="163" spans="2:5" ht="15.6" customHeight="1" thickBot="1" x14ac:dyDescent="0.35">
      <c r="B163" s="2020">
        <v>187</v>
      </c>
      <c r="C163" s="2018" t="s">
        <v>1268</v>
      </c>
      <c r="D163" s="2019" t="s">
        <v>1036</v>
      </c>
      <c r="E163" s="2021" t="s">
        <v>3070</v>
      </c>
    </row>
    <row r="164" spans="2:5" ht="15.6" customHeight="1" thickBot="1" x14ac:dyDescent="0.35">
      <c r="B164" s="2020">
        <v>188</v>
      </c>
      <c r="C164" s="2018" t="s">
        <v>1270</v>
      </c>
      <c r="D164" s="2019" t="s">
        <v>1036</v>
      </c>
      <c r="E164" s="2017" t="s">
        <v>3069</v>
      </c>
    </row>
    <row r="165" spans="2:5" ht="15.6" customHeight="1" thickBot="1" x14ac:dyDescent="0.35">
      <c r="B165" s="2020">
        <v>189</v>
      </c>
      <c r="C165" s="2018" t="s">
        <v>1272</v>
      </c>
      <c r="D165" s="2019" t="s">
        <v>1036</v>
      </c>
      <c r="E165" s="2021" t="s">
        <v>3070</v>
      </c>
    </row>
    <row r="166" spans="2:5" ht="15.6" customHeight="1" thickBot="1" x14ac:dyDescent="0.35">
      <c r="B166" s="2020">
        <v>190</v>
      </c>
      <c r="C166" s="2018" t="s">
        <v>1273</v>
      </c>
      <c r="D166" s="2019" t="s">
        <v>1036</v>
      </c>
      <c r="E166" s="2017" t="s">
        <v>3069</v>
      </c>
    </row>
    <row r="167" spans="2:5" ht="15.6" customHeight="1" thickBot="1" x14ac:dyDescent="0.35">
      <c r="B167" s="2020">
        <v>191</v>
      </c>
      <c r="C167" s="2018" t="s">
        <v>1274</v>
      </c>
      <c r="D167" s="2019" t="s">
        <v>1036</v>
      </c>
      <c r="E167" s="2017" t="s">
        <v>3069</v>
      </c>
    </row>
    <row r="168" spans="2:5" ht="15.6" customHeight="1" thickBot="1" x14ac:dyDescent="0.35">
      <c r="B168" s="2020">
        <v>192</v>
      </c>
      <c r="C168" s="2018" t="s">
        <v>1275</v>
      </c>
      <c r="D168" s="2019" t="s">
        <v>1036</v>
      </c>
      <c r="E168" s="2017" t="s">
        <v>3069</v>
      </c>
    </row>
    <row r="169" spans="2:5" ht="15.6" customHeight="1" thickBot="1" x14ac:dyDescent="0.35">
      <c r="B169" s="2020">
        <v>193</v>
      </c>
      <c r="C169" s="2018" t="s">
        <v>1276</v>
      </c>
      <c r="D169" s="2019" t="s">
        <v>1036</v>
      </c>
      <c r="E169" s="2017" t="s">
        <v>3069</v>
      </c>
    </row>
    <row r="170" spans="2:5" ht="15.6" customHeight="1" thickBot="1" x14ac:dyDescent="0.35">
      <c r="B170" s="2020">
        <v>194</v>
      </c>
      <c r="C170" s="2018" t="s">
        <v>1277</v>
      </c>
      <c r="D170" s="2019" t="s">
        <v>1036</v>
      </c>
      <c r="E170" s="2017" t="s">
        <v>3069</v>
      </c>
    </row>
    <row r="171" spans="2:5" ht="15.6" customHeight="1" thickBot="1" x14ac:dyDescent="0.35">
      <c r="B171" s="2020">
        <v>195</v>
      </c>
      <c r="C171" s="2018" t="s">
        <v>1278</v>
      </c>
      <c r="D171" s="2019" t="s">
        <v>1036</v>
      </c>
      <c r="E171" s="2017" t="s">
        <v>3069</v>
      </c>
    </row>
    <row r="172" spans="2:5" ht="15.6" customHeight="1" thickBot="1" x14ac:dyDescent="0.35">
      <c r="B172" s="2020">
        <v>196</v>
      </c>
      <c r="C172" s="2018" t="s">
        <v>1279</v>
      </c>
      <c r="D172" s="2019" t="s">
        <v>1036</v>
      </c>
      <c r="E172" s="2017" t="s">
        <v>3069</v>
      </c>
    </row>
    <row r="173" spans="2:5" ht="15.6" customHeight="1" thickBot="1" x14ac:dyDescent="0.35">
      <c r="B173" s="2020">
        <v>197</v>
      </c>
      <c r="C173" s="2018" t="s">
        <v>1280</v>
      </c>
      <c r="D173" s="2019" t="s">
        <v>1036</v>
      </c>
      <c r="E173" s="2017" t="s">
        <v>3069</v>
      </c>
    </row>
    <row r="174" spans="2:5" ht="15.6" customHeight="1" thickBot="1" x14ac:dyDescent="0.35">
      <c r="B174" s="2020">
        <v>198</v>
      </c>
      <c r="C174" s="2018" t="s">
        <v>1282</v>
      </c>
      <c r="D174" s="2019" t="s">
        <v>1036</v>
      </c>
      <c r="E174" s="2017" t="s">
        <v>3069</v>
      </c>
    </row>
    <row r="175" spans="2:5" ht="15.6" customHeight="1" thickBot="1" x14ac:dyDescent="0.35">
      <c r="B175" s="2020">
        <v>199</v>
      </c>
      <c r="C175" s="2018" t="s">
        <v>1283</v>
      </c>
      <c r="D175" s="2019" t="s">
        <v>1036</v>
      </c>
      <c r="E175" s="2017" t="s">
        <v>3069</v>
      </c>
    </row>
    <row r="176" spans="2:5" ht="15.6" customHeight="1" thickBot="1" x14ac:dyDescent="0.35">
      <c r="B176" s="2020">
        <v>201</v>
      </c>
      <c r="C176" s="2018" t="s">
        <v>1285</v>
      </c>
      <c r="D176" s="2019" t="s">
        <v>1036</v>
      </c>
      <c r="E176" s="2017" t="s">
        <v>3069</v>
      </c>
    </row>
    <row r="177" spans="2:5" ht="15.6" customHeight="1" thickBot="1" x14ac:dyDescent="0.35">
      <c r="B177" s="2020">
        <v>202</v>
      </c>
      <c r="C177" s="2018" t="s">
        <v>1286</v>
      </c>
      <c r="D177" s="2019" t="s">
        <v>1036</v>
      </c>
      <c r="E177" s="2017" t="s">
        <v>3069</v>
      </c>
    </row>
    <row r="178" spans="2:5" ht="15.6" customHeight="1" thickBot="1" x14ac:dyDescent="0.35">
      <c r="B178" s="2020">
        <v>204</v>
      </c>
      <c r="C178" s="2018" t="s">
        <v>1289</v>
      </c>
      <c r="D178" s="2019" t="s">
        <v>1036</v>
      </c>
      <c r="E178" s="2017" t="s">
        <v>3069</v>
      </c>
    </row>
    <row r="179" spans="2:5" ht="15.6" customHeight="1" thickBot="1" x14ac:dyDescent="0.35">
      <c r="B179" s="2020">
        <v>205</v>
      </c>
      <c r="C179" s="2018" t="s">
        <v>1290</v>
      </c>
      <c r="D179" s="2019" t="s">
        <v>1036</v>
      </c>
      <c r="E179" s="2021" t="s">
        <v>3070</v>
      </c>
    </row>
    <row r="180" spans="2:5" ht="15.6" customHeight="1" thickBot="1" x14ac:dyDescent="0.35">
      <c r="B180" s="2020">
        <v>206</v>
      </c>
      <c r="C180" s="2018" t="s">
        <v>1292</v>
      </c>
      <c r="D180" s="2019" t="s">
        <v>1036</v>
      </c>
      <c r="E180" s="2017" t="s">
        <v>3069</v>
      </c>
    </row>
    <row r="181" spans="2:5" ht="15.6" customHeight="1" thickBot="1" x14ac:dyDescent="0.35">
      <c r="B181" s="2020">
        <v>207</v>
      </c>
      <c r="C181" s="2018" t="s">
        <v>1293</v>
      </c>
      <c r="D181" s="2019" t="s">
        <v>1036</v>
      </c>
      <c r="E181" s="2017" t="s">
        <v>3069</v>
      </c>
    </row>
    <row r="182" spans="2:5" ht="15.6" customHeight="1" thickBot="1" x14ac:dyDescent="0.35">
      <c r="B182" s="2020">
        <v>208</v>
      </c>
      <c r="C182" s="2018" t="s">
        <v>1294</v>
      </c>
      <c r="D182" s="2019" t="s">
        <v>1036</v>
      </c>
      <c r="E182" s="2017" t="s">
        <v>3069</v>
      </c>
    </row>
    <row r="183" spans="2:5" ht="15.6" customHeight="1" thickBot="1" x14ac:dyDescent="0.35">
      <c r="B183" s="2020">
        <v>209</v>
      </c>
      <c r="C183" s="2018" t="s">
        <v>1295</v>
      </c>
      <c r="D183" s="2019" t="s">
        <v>1036</v>
      </c>
      <c r="E183" s="2017" t="s">
        <v>3069</v>
      </c>
    </row>
    <row r="184" spans="2:5" ht="15.6" customHeight="1" thickBot="1" x14ac:dyDescent="0.35">
      <c r="B184" s="2020">
        <v>210</v>
      </c>
      <c r="C184" s="2018" t="s">
        <v>1296</v>
      </c>
      <c r="D184" s="2019" t="s">
        <v>1036</v>
      </c>
      <c r="E184" s="2017" t="s">
        <v>3069</v>
      </c>
    </row>
    <row r="185" spans="2:5" ht="15.6" customHeight="1" thickBot="1" x14ac:dyDescent="0.35">
      <c r="B185" s="2020">
        <v>212</v>
      </c>
      <c r="C185" s="2018" t="s">
        <v>1298</v>
      </c>
      <c r="D185" s="2019" t="s">
        <v>1036</v>
      </c>
      <c r="E185" s="2017" t="s">
        <v>3069</v>
      </c>
    </row>
    <row r="186" spans="2:5" ht="15.6" customHeight="1" thickBot="1" x14ac:dyDescent="0.35">
      <c r="B186" s="2020">
        <v>213</v>
      </c>
      <c r="C186" s="2018" t="s">
        <v>1299</v>
      </c>
      <c r="D186" s="2019" t="s">
        <v>1036</v>
      </c>
      <c r="E186" s="2017" t="s">
        <v>3069</v>
      </c>
    </row>
    <row r="187" spans="2:5" ht="15.6" customHeight="1" thickBot="1" x14ac:dyDescent="0.35">
      <c r="B187" s="2020">
        <v>214</v>
      </c>
      <c r="C187" s="2018" t="s">
        <v>1300</v>
      </c>
      <c r="D187" s="2019" t="s">
        <v>1036</v>
      </c>
      <c r="E187" s="2021" t="s">
        <v>3070</v>
      </c>
    </row>
    <row r="188" spans="2:5" ht="15.6" customHeight="1" thickBot="1" x14ac:dyDescent="0.35">
      <c r="B188" s="2020">
        <v>215</v>
      </c>
      <c r="C188" s="2018" t="s">
        <v>1301</v>
      </c>
      <c r="D188" s="2019" t="s">
        <v>1036</v>
      </c>
      <c r="E188" s="2017" t="s">
        <v>3069</v>
      </c>
    </row>
    <row r="189" spans="2:5" ht="15.6" customHeight="1" thickBot="1" x14ac:dyDescent="0.35">
      <c r="B189" s="2020">
        <v>216</v>
      </c>
      <c r="C189" s="2018" t="s">
        <v>1302</v>
      </c>
      <c r="D189" s="2019" t="s">
        <v>1036</v>
      </c>
      <c r="E189" s="2021" t="s">
        <v>3070</v>
      </c>
    </row>
    <row r="190" spans="2:5" ht="15.6" customHeight="1" thickBot="1" x14ac:dyDescent="0.35">
      <c r="B190" s="2020">
        <v>217</v>
      </c>
      <c r="C190" s="2018" t="s">
        <v>1303</v>
      </c>
      <c r="D190" s="2019" t="s">
        <v>1036</v>
      </c>
      <c r="E190" s="2021" t="s">
        <v>3070</v>
      </c>
    </row>
    <row r="191" spans="2:5" ht="15.6" customHeight="1" thickBot="1" x14ac:dyDescent="0.35">
      <c r="B191" s="2020">
        <v>218</v>
      </c>
      <c r="C191" s="2018" t="s">
        <v>1304</v>
      </c>
      <c r="D191" s="2019" t="s">
        <v>1036</v>
      </c>
      <c r="E191" s="2017" t="s">
        <v>3069</v>
      </c>
    </row>
    <row r="192" spans="2:5" ht="15.6" customHeight="1" thickBot="1" x14ac:dyDescent="0.35">
      <c r="B192" s="2020">
        <v>219</v>
      </c>
      <c r="C192" s="2018" t="s">
        <v>1305</v>
      </c>
      <c r="D192" s="2019" t="s">
        <v>1036</v>
      </c>
      <c r="E192" s="2017" t="s">
        <v>3069</v>
      </c>
    </row>
    <row r="193" spans="2:5" ht="15.6" customHeight="1" thickBot="1" x14ac:dyDescent="0.35">
      <c r="B193" s="2020">
        <v>221</v>
      </c>
      <c r="C193" s="2018" t="s">
        <v>1307</v>
      </c>
      <c r="D193" s="2019" t="s">
        <v>1036</v>
      </c>
      <c r="E193" s="2017" t="s">
        <v>3070</v>
      </c>
    </row>
    <row r="194" spans="2:5" ht="15.6" customHeight="1" thickBot="1" x14ac:dyDescent="0.35">
      <c r="B194" s="2020">
        <v>222</v>
      </c>
      <c r="C194" s="2018" t="s">
        <v>1309</v>
      </c>
      <c r="D194" s="2019" t="s">
        <v>1036</v>
      </c>
      <c r="E194" s="2017" t="s">
        <v>3070</v>
      </c>
    </row>
    <row r="195" spans="2:5" ht="15.6" customHeight="1" thickBot="1" x14ac:dyDescent="0.35">
      <c r="B195" s="2020">
        <v>223</v>
      </c>
      <c r="C195" s="2018" t="s">
        <v>1311</v>
      </c>
      <c r="D195" s="2019" t="s">
        <v>1036</v>
      </c>
      <c r="E195" s="2017" t="s">
        <v>3070</v>
      </c>
    </row>
    <row r="196" spans="2:5" ht="15.6" customHeight="1" thickBot="1" x14ac:dyDescent="0.35">
      <c r="B196" s="2020">
        <v>224</v>
      </c>
      <c r="C196" s="2018" t="s">
        <v>1312</v>
      </c>
      <c r="D196" s="2019" t="s">
        <v>1036</v>
      </c>
      <c r="E196" s="2017" t="s">
        <v>3069</v>
      </c>
    </row>
    <row r="197" spans="2:5" ht="15.6" customHeight="1" thickBot="1" x14ac:dyDescent="0.35">
      <c r="B197" s="2020">
        <v>225</v>
      </c>
      <c r="C197" s="2018" t="s">
        <v>1313</v>
      </c>
      <c r="D197" s="2019" t="s">
        <v>1036</v>
      </c>
      <c r="E197" s="2021" t="s">
        <v>3070</v>
      </c>
    </row>
    <row r="198" spans="2:5" ht="15.6" customHeight="1" thickBot="1" x14ac:dyDescent="0.35">
      <c r="B198" s="2020">
        <v>226</v>
      </c>
      <c r="C198" s="2018" t="s">
        <v>1314</v>
      </c>
      <c r="D198" s="2019" t="s">
        <v>1036</v>
      </c>
      <c r="E198" s="2021" t="s">
        <v>3070</v>
      </c>
    </row>
    <row r="199" spans="2:5" ht="15.6" customHeight="1" thickBot="1" x14ac:dyDescent="0.35">
      <c r="B199" s="2020">
        <v>227</v>
      </c>
      <c r="C199" s="2018" t="s">
        <v>1315</v>
      </c>
      <c r="D199" s="2019" t="s">
        <v>1036</v>
      </c>
      <c r="E199" s="2017" t="s">
        <v>3069</v>
      </c>
    </row>
    <row r="200" spans="2:5" ht="15.6" customHeight="1" thickBot="1" x14ac:dyDescent="0.35">
      <c r="B200" s="2020">
        <v>229</v>
      </c>
      <c r="C200" s="2018" t="s">
        <v>1317</v>
      </c>
      <c r="D200" s="2019" t="s">
        <v>1036</v>
      </c>
      <c r="E200" s="2017" t="s">
        <v>3069</v>
      </c>
    </row>
    <row r="201" spans="2:5" ht="15.6" customHeight="1" thickBot="1" x14ac:dyDescent="0.35">
      <c r="B201" s="2020">
        <v>231</v>
      </c>
      <c r="C201" s="2018" t="s">
        <v>1319</v>
      </c>
      <c r="D201" s="2019" t="s">
        <v>1036</v>
      </c>
      <c r="E201" s="2021" t="s">
        <v>3070</v>
      </c>
    </row>
    <row r="202" spans="2:5" ht="15.6" customHeight="1" thickBot="1" x14ac:dyDescent="0.35">
      <c r="B202" s="2020">
        <v>232</v>
      </c>
      <c r="C202" s="2018" t="s">
        <v>1320</v>
      </c>
      <c r="D202" s="2019" t="s">
        <v>1036</v>
      </c>
      <c r="E202" s="2021" t="s">
        <v>3070</v>
      </c>
    </row>
    <row r="203" spans="2:5" ht="15.6" customHeight="1" thickBot="1" x14ac:dyDescent="0.35">
      <c r="B203" s="2020">
        <v>233</v>
      </c>
      <c r="C203" s="2018" t="s">
        <v>1321</v>
      </c>
      <c r="D203" s="2019" t="s">
        <v>1036</v>
      </c>
      <c r="E203" s="2021" t="s">
        <v>3070</v>
      </c>
    </row>
    <row r="204" spans="2:5" ht="15.6" customHeight="1" thickBot="1" x14ac:dyDescent="0.35">
      <c r="B204" s="2020">
        <v>234</v>
      </c>
      <c r="C204" s="2018" t="s">
        <v>1322</v>
      </c>
      <c r="D204" s="2019" t="s">
        <v>1036</v>
      </c>
      <c r="E204" s="2021" t="s">
        <v>3070</v>
      </c>
    </row>
    <row r="205" spans="2:5" ht="15.6" customHeight="1" thickBot="1" x14ac:dyDescent="0.35">
      <c r="B205" s="2020">
        <v>235</v>
      </c>
      <c r="C205" s="2018" t="s">
        <v>1323</v>
      </c>
      <c r="D205" s="2019" t="s">
        <v>1036</v>
      </c>
      <c r="E205" s="2021" t="s">
        <v>3070</v>
      </c>
    </row>
    <row r="206" spans="2:5" ht="15.6" customHeight="1" thickBot="1" x14ac:dyDescent="0.35">
      <c r="B206" s="2020">
        <v>236</v>
      </c>
      <c r="C206" s="2018" t="s">
        <v>1324</v>
      </c>
      <c r="D206" s="2019" t="s">
        <v>1036</v>
      </c>
      <c r="E206" s="2021" t="s">
        <v>3070</v>
      </c>
    </row>
    <row r="207" spans="2:5" ht="15.6" customHeight="1" thickBot="1" x14ac:dyDescent="0.35">
      <c r="B207" s="2020">
        <v>237</v>
      </c>
      <c r="C207" s="2018" t="s">
        <v>1325</v>
      </c>
      <c r="D207" s="2019" t="s">
        <v>1036</v>
      </c>
      <c r="E207" s="2021" t="s">
        <v>3070</v>
      </c>
    </row>
    <row r="208" spans="2:5" ht="15.6" customHeight="1" thickBot="1" x14ac:dyDescent="0.35">
      <c r="B208" s="2020">
        <v>238</v>
      </c>
      <c r="C208" s="2018" t="s">
        <v>1326</v>
      </c>
      <c r="D208" s="2019" t="s">
        <v>1036</v>
      </c>
      <c r="E208" s="2021" t="s">
        <v>3070</v>
      </c>
    </row>
    <row r="209" spans="2:5" ht="15.6" customHeight="1" thickBot="1" x14ac:dyDescent="0.35">
      <c r="B209" s="2020">
        <v>239</v>
      </c>
      <c r="C209" s="2018" t="s">
        <v>1327</v>
      </c>
      <c r="D209" s="2019" t="s">
        <v>1036</v>
      </c>
      <c r="E209" s="2017" t="s">
        <v>3069</v>
      </c>
    </row>
    <row r="210" spans="2:5" ht="15.6" customHeight="1" thickBot="1" x14ac:dyDescent="0.35">
      <c r="B210" s="2020">
        <v>241</v>
      </c>
      <c r="C210" s="2018" t="s">
        <v>1330</v>
      </c>
      <c r="D210" s="2019" t="s">
        <v>1036</v>
      </c>
      <c r="E210" s="2017" t="s">
        <v>3069</v>
      </c>
    </row>
    <row r="211" spans="2:5" ht="15.6" customHeight="1" thickBot="1" x14ac:dyDescent="0.35">
      <c r="B211" s="2020">
        <v>242</v>
      </c>
      <c r="C211" s="2018" t="s">
        <v>1331</v>
      </c>
      <c r="D211" s="2019" t="s">
        <v>1036</v>
      </c>
      <c r="E211" s="2017" t="s">
        <v>3069</v>
      </c>
    </row>
    <row r="212" spans="2:5" ht="15.6" customHeight="1" thickBot="1" x14ac:dyDescent="0.35">
      <c r="B212" s="2020">
        <v>243</v>
      </c>
      <c r="C212" s="2018" t="s">
        <v>1332</v>
      </c>
      <c r="D212" s="2019" t="s">
        <v>1036</v>
      </c>
      <c r="E212" s="2017" t="s">
        <v>3069</v>
      </c>
    </row>
    <row r="213" spans="2:5" ht="15.6" customHeight="1" thickBot="1" x14ac:dyDescent="0.35">
      <c r="B213" s="2020">
        <v>244</v>
      </c>
      <c r="C213" s="2018" t="s">
        <v>1333</v>
      </c>
      <c r="D213" s="2019" t="s">
        <v>1036</v>
      </c>
      <c r="E213" s="2017" t="s">
        <v>3069</v>
      </c>
    </row>
    <row r="214" spans="2:5" ht="15.6" customHeight="1" thickBot="1" x14ac:dyDescent="0.35">
      <c r="B214" s="2020">
        <v>245</v>
      </c>
      <c r="C214" s="2018" t="s">
        <v>1334</v>
      </c>
      <c r="D214" s="2019" t="s">
        <v>1036</v>
      </c>
      <c r="E214" s="2017" t="s">
        <v>3069</v>
      </c>
    </row>
    <row r="215" spans="2:5" ht="15.6" customHeight="1" thickBot="1" x14ac:dyDescent="0.35">
      <c r="B215" s="2020">
        <v>247</v>
      </c>
      <c r="C215" s="2018" t="s">
        <v>1336</v>
      </c>
      <c r="D215" s="2019" t="s">
        <v>1036</v>
      </c>
      <c r="E215" s="2017" t="s">
        <v>3069</v>
      </c>
    </row>
    <row r="216" spans="2:5" ht="15.6" customHeight="1" thickBot="1" x14ac:dyDescent="0.35">
      <c r="B216" s="2020">
        <v>248</v>
      </c>
      <c r="C216" s="2018" t="s">
        <v>1337</v>
      </c>
      <c r="D216" s="2019" t="s">
        <v>1036</v>
      </c>
      <c r="E216" s="2017" t="s">
        <v>3069</v>
      </c>
    </row>
    <row r="217" spans="2:5" ht="15.6" customHeight="1" thickBot="1" x14ac:dyDescent="0.35">
      <c r="B217" s="2020">
        <v>250</v>
      </c>
      <c r="C217" s="2018" t="s">
        <v>1339</v>
      </c>
      <c r="D217" s="2019" t="s">
        <v>1036</v>
      </c>
      <c r="E217" s="2017" t="s">
        <v>3069</v>
      </c>
    </row>
    <row r="218" spans="2:5" ht="15.6" customHeight="1" thickBot="1" x14ac:dyDescent="0.35">
      <c r="B218" s="2020">
        <v>251</v>
      </c>
      <c r="C218" s="2018" t="s">
        <v>1340</v>
      </c>
      <c r="D218" s="2019" t="s">
        <v>1036</v>
      </c>
      <c r="E218" s="2017" t="s">
        <v>3069</v>
      </c>
    </row>
    <row r="219" spans="2:5" ht="15.6" customHeight="1" thickBot="1" x14ac:dyDescent="0.35">
      <c r="B219" s="2020">
        <v>252</v>
      </c>
      <c r="C219" s="2018" t="s">
        <v>1341</v>
      </c>
      <c r="D219" s="2019" t="s">
        <v>1036</v>
      </c>
      <c r="E219" s="2017" t="s">
        <v>3069</v>
      </c>
    </row>
    <row r="220" spans="2:5" ht="15.6" customHeight="1" thickBot="1" x14ac:dyDescent="0.35">
      <c r="B220" s="2020">
        <v>253</v>
      </c>
      <c r="C220" s="2018" t="s">
        <v>1342</v>
      </c>
      <c r="D220" s="2019" t="s">
        <v>1036</v>
      </c>
      <c r="E220" s="2021" t="s">
        <v>3070</v>
      </c>
    </row>
    <row r="221" spans="2:5" ht="15.6" customHeight="1" thickBot="1" x14ac:dyDescent="0.35">
      <c r="B221" s="2020">
        <v>254</v>
      </c>
      <c r="C221" s="2018" t="s">
        <v>1344</v>
      </c>
      <c r="D221" s="2019" t="s">
        <v>1036</v>
      </c>
      <c r="E221" s="2021" t="s">
        <v>3070</v>
      </c>
    </row>
    <row r="222" spans="2:5" ht="15.6" customHeight="1" thickBot="1" x14ac:dyDescent="0.35">
      <c r="B222" s="2020">
        <v>257</v>
      </c>
      <c r="C222" s="2018" t="s">
        <v>1347</v>
      </c>
      <c r="D222" s="2019" t="s">
        <v>1036</v>
      </c>
      <c r="E222" s="2021" t="s">
        <v>3070</v>
      </c>
    </row>
    <row r="223" spans="2:5" ht="15.6" customHeight="1" thickBot="1" x14ac:dyDescent="0.35">
      <c r="B223" s="2020">
        <v>258</v>
      </c>
      <c r="C223" s="2018" t="s">
        <v>1348</v>
      </c>
      <c r="D223" s="2019" t="s">
        <v>1036</v>
      </c>
      <c r="E223" s="2021" t="s">
        <v>3070</v>
      </c>
    </row>
    <row r="224" spans="2:5" ht="15.6" customHeight="1" thickBot="1" x14ac:dyDescent="0.35">
      <c r="B224" s="2020">
        <v>259</v>
      </c>
      <c r="C224" s="2018" t="s">
        <v>1349</v>
      </c>
      <c r="D224" s="2019" t="s">
        <v>1036</v>
      </c>
      <c r="E224" s="2021" t="s">
        <v>3070</v>
      </c>
    </row>
    <row r="225" spans="2:5" ht="15.6" customHeight="1" thickBot="1" x14ac:dyDescent="0.35">
      <c r="B225" s="2020">
        <v>261</v>
      </c>
      <c r="C225" s="2018" t="s">
        <v>1351</v>
      </c>
      <c r="D225" s="2019" t="s">
        <v>1036</v>
      </c>
      <c r="E225" s="2021" t="s">
        <v>3070</v>
      </c>
    </row>
    <row r="226" spans="2:5" ht="15.6" customHeight="1" thickBot="1" x14ac:dyDescent="0.35">
      <c r="B226" s="2020">
        <v>263</v>
      </c>
      <c r="C226" s="2018" t="s">
        <v>1354</v>
      </c>
      <c r="D226" s="2019" t="s">
        <v>1036</v>
      </c>
      <c r="E226" s="2017" t="s">
        <v>3069</v>
      </c>
    </row>
    <row r="227" spans="2:5" ht="15.6" customHeight="1" thickBot="1" x14ac:dyDescent="0.35">
      <c r="B227" s="2020">
        <v>265</v>
      </c>
      <c r="C227" s="2018" t="s">
        <v>1357</v>
      </c>
      <c r="D227" s="2019" t="s">
        <v>1036</v>
      </c>
      <c r="E227" s="2021" t="s">
        <v>3070</v>
      </c>
    </row>
    <row r="228" spans="2:5" ht="15.6" customHeight="1" thickBot="1" x14ac:dyDescent="0.35">
      <c r="B228" s="2020">
        <v>266</v>
      </c>
      <c r="C228" s="2018" t="s">
        <v>1358</v>
      </c>
      <c r="D228" s="2019" t="s">
        <v>1036</v>
      </c>
      <c r="E228" s="2021" t="s">
        <v>3070</v>
      </c>
    </row>
    <row r="229" spans="2:5" ht="15.6" customHeight="1" thickBot="1" x14ac:dyDescent="0.35">
      <c r="B229" s="2020">
        <v>267</v>
      </c>
      <c r="C229" s="2018" t="s">
        <v>1360</v>
      </c>
      <c r="D229" s="2019" t="s">
        <v>1036</v>
      </c>
      <c r="E229" s="2021" t="s">
        <v>3070</v>
      </c>
    </row>
    <row r="230" spans="2:5" ht="15.6" customHeight="1" thickBot="1" x14ac:dyDescent="0.35">
      <c r="B230" s="2020">
        <v>270</v>
      </c>
      <c r="C230" s="2018" t="s">
        <v>1363</v>
      </c>
      <c r="D230" s="2019" t="s">
        <v>1036</v>
      </c>
      <c r="E230" s="2021" t="s">
        <v>3070</v>
      </c>
    </row>
    <row r="231" spans="2:5" ht="15.6" customHeight="1" thickBot="1" x14ac:dyDescent="0.35">
      <c r="B231" s="2020">
        <v>271</v>
      </c>
      <c r="C231" s="2018" t="s">
        <v>1364</v>
      </c>
      <c r="D231" s="2019" t="s">
        <v>1036</v>
      </c>
      <c r="E231" s="2021" t="s">
        <v>3070</v>
      </c>
    </row>
    <row r="232" spans="2:5" ht="15.6" customHeight="1" thickBot="1" x14ac:dyDescent="0.35">
      <c r="B232" s="2020">
        <v>272</v>
      </c>
      <c r="C232" s="2018" t="s">
        <v>1365</v>
      </c>
      <c r="D232" s="2019" t="s">
        <v>1036</v>
      </c>
      <c r="E232" s="2021" t="s">
        <v>3070</v>
      </c>
    </row>
    <row r="233" spans="2:5" ht="15.6" customHeight="1" thickBot="1" x14ac:dyDescent="0.35">
      <c r="B233" s="2020">
        <v>274</v>
      </c>
      <c r="C233" s="2018" t="s">
        <v>1367</v>
      </c>
      <c r="D233" s="2019" t="s">
        <v>1036</v>
      </c>
      <c r="E233" s="2021" t="s">
        <v>3070</v>
      </c>
    </row>
    <row r="234" spans="2:5" ht="15.6" customHeight="1" thickBot="1" x14ac:dyDescent="0.35">
      <c r="B234" s="2020">
        <v>275</v>
      </c>
      <c r="C234" s="2018" t="s">
        <v>1368</v>
      </c>
      <c r="D234" s="2019" t="s">
        <v>1036</v>
      </c>
      <c r="E234" s="2021" t="s">
        <v>3070</v>
      </c>
    </row>
    <row r="235" spans="2:5" ht="15.6" customHeight="1" thickBot="1" x14ac:dyDescent="0.35">
      <c r="B235" s="2020">
        <v>276</v>
      </c>
      <c r="C235" s="2018" t="s">
        <v>1369</v>
      </c>
      <c r="D235" s="2019" t="s">
        <v>1036</v>
      </c>
      <c r="E235" s="2021" t="s">
        <v>3070</v>
      </c>
    </row>
    <row r="236" spans="2:5" ht="15.6" customHeight="1" thickBot="1" x14ac:dyDescent="0.35">
      <c r="B236" s="2020">
        <v>277</v>
      </c>
      <c r="C236" s="2018" t="s">
        <v>1370</v>
      </c>
      <c r="D236" s="2019" t="s">
        <v>1036</v>
      </c>
      <c r="E236" s="2021" t="s">
        <v>3070</v>
      </c>
    </row>
    <row r="237" spans="2:5" ht="15.6" customHeight="1" thickBot="1" x14ac:dyDescent="0.35">
      <c r="B237" s="2020">
        <v>279</v>
      </c>
      <c r="C237" s="2018" t="s">
        <v>1372</v>
      </c>
      <c r="D237" s="2019" t="s">
        <v>1036</v>
      </c>
      <c r="E237" s="2019" t="s">
        <v>3069</v>
      </c>
    </row>
    <row r="238" spans="2:5" ht="15.6" customHeight="1" thickBot="1" x14ac:dyDescent="0.35">
      <c r="B238" s="2020">
        <v>280</v>
      </c>
      <c r="C238" s="2018" t="s">
        <v>1373</v>
      </c>
      <c r="D238" s="2019" t="s">
        <v>1036</v>
      </c>
      <c r="E238" s="2019" t="s">
        <v>3069</v>
      </c>
    </row>
    <row r="239" spans="2:5" ht="15.6" customHeight="1" thickBot="1" x14ac:dyDescent="0.35">
      <c r="B239" s="2020">
        <v>281</v>
      </c>
      <c r="C239" s="2018" t="s">
        <v>1374</v>
      </c>
      <c r="D239" s="2019" t="s">
        <v>1036</v>
      </c>
      <c r="E239" s="2019" t="s">
        <v>3069</v>
      </c>
    </row>
    <row r="240" spans="2:5" ht="15.6" customHeight="1" thickBot="1" x14ac:dyDescent="0.35">
      <c r="B240" s="2020">
        <v>282</v>
      </c>
      <c r="C240" s="2018" t="s">
        <v>1375</v>
      </c>
      <c r="D240" s="2019" t="s">
        <v>1036</v>
      </c>
      <c r="E240" s="2019" t="s">
        <v>3069</v>
      </c>
    </row>
    <row r="241" spans="2:5" ht="15.6" customHeight="1" thickBot="1" x14ac:dyDescent="0.35">
      <c r="B241" s="2020">
        <v>283</v>
      </c>
      <c r="C241" s="2018" t="s">
        <v>1376</v>
      </c>
      <c r="D241" s="2019" t="s">
        <v>1036</v>
      </c>
      <c r="E241" s="2019" t="s">
        <v>3069</v>
      </c>
    </row>
    <row r="242" spans="2:5" ht="15.6" customHeight="1" thickBot="1" x14ac:dyDescent="0.35">
      <c r="B242" s="2020">
        <v>284</v>
      </c>
      <c r="C242" s="2018" t="s">
        <v>3076</v>
      </c>
      <c r="D242" s="2019" t="s">
        <v>1036</v>
      </c>
      <c r="E242" s="2019" t="s">
        <v>3069</v>
      </c>
    </row>
    <row r="243" spans="2:5" ht="15.6" customHeight="1" thickBot="1" x14ac:dyDescent="0.35">
      <c r="B243" s="2020">
        <v>284</v>
      </c>
      <c r="C243" s="2018" t="s">
        <v>3077</v>
      </c>
      <c r="D243" s="2019" t="s">
        <v>1036</v>
      </c>
      <c r="E243" s="2019" t="s">
        <v>3069</v>
      </c>
    </row>
    <row r="245" spans="2:5" x14ac:dyDescent="0.3">
      <c r="B245" s="5244" t="s">
        <v>3106</v>
      </c>
      <c r="C245" s="5244"/>
      <c r="D245" s="5244"/>
      <c r="E245" s="5244"/>
    </row>
  </sheetData>
  <mergeCells count="7">
    <mergeCell ref="B6:E6"/>
    <mergeCell ref="B7:E7"/>
    <mergeCell ref="B245:E245"/>
    <mergeCell ref="B2:E2"/>
    <mergeCell ref="B3:E3"/>
    <mergeCell ref="B4:E4"/>
    <mergeCell ref="B5:E5"/>
  </mergeCells>
  <pageMargins left="0.7" right="0.7" top="0.75" bottom="0.75" header="0.3" footer="0.3"/>
  <pageSetup paperSize="9" orientation="portrait" horizontalDpi="0" verticalDpi="0" r:id="rId1"/>
</worksheet>
</file>

<file path=xl/worksheets/sheet1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600-000000000000}">
  <sheetPr codeName="Лист115">
    <tabColor rgb="FF00B0F0"/>
  </sheetPr>
  <dimension ref="A1:W53"/>
  <sheetViews>
    <sheetView workbookViewId="0">
      <selection activeCell="I8" sqref="I8"/>
    </sheetView>
  </sheetViews>
  <sheetFormatPr defaultColWidth="8.88671875" defaultRowHeight="13.8" x14ac:dyDescent="0.25"/>
  <cols>
    <col min="1" max="1" width="12.33203125" style="10" customWidth="1"/>
    <col min="2" max="2" width="10" style="10" hidden="1" customWidth="1"/>
    <col min="3" max="3" width="8.88671875" style="10" hidden="1" customWidth="1"/>
    <col min="4" max="4" width="8.88671875" style="10" customWidth="1"/>
    <col min="5" max="5" width="9.33203125" style="1971" customWidth="1"/>
    <col min="6" max="6" width="9.6640625" style="1971" customWidth="1"/>
    <col min="7" max="7" width="10.88671875" style="1971" customWidth="1"/>
    <col min="8" max="10" width="10.5546875" style="10" customWidth="1"/>
    <col min="11" max="11" width="6.33203125" style="10" customWidth="1"/>
    <col min="12" max="12" width="0.33203125" style="10" hidden="1" customWidth="1"/>
    <col min="13" max="13" width="12.33203125" style="10" customWidth="1"/>
    <col min="14" max="14" width="8.88671875" style="10" customWidth="1"/>
    <col min="15" max="16" width="8.88671875" style="10" hidden="1" customWidth="1"/>
    <col min="17" max="17" width="9.5546875" style="1971" customWidth="1"/>
    <col min="18" max="18" width="11" style="1971" customWidth="1"/>
    <col min="19" max="19" width="11.6640625" style="1971" customWidth="1"/>
    <col min="20" max="20" width="9.6640625" style="10" customWidth="1"/>
    <col min="21" max="21" width="11.33203125" style="10" customWidth="1"/>
    <col min="22" max="22" width="11.44140625" style="10" customWidth="1"/>
    <col min="23" max="23" width="5.5546875" style="10" customWidth="1"/>
    <col min="24" max="16384" width="8.88671875" style="10"/>
  </cols>
  <sheetData>
    <row r="1" spans="1:23" x14ac:dyDescent="0.25">
      <c r="A1" s="15" t="s">
        <v>3024</v>
      </c>
      <c r="I1" s="157" t="str">
        <f>'Вхідні дані'!F1</f>
        <v>станом на 01.09.2023 року</v>
      </c>
      <c r="M1" s="15" t="s">
        <v>3024</v>
      </c>
      <c r="U1" s="157" t="str">
        <f>I1</f>
        <v>станом на 01.09.2023 року</v>
      </c>
    </row>
    <row r="2" spans="1:23" ht="30.6" customHeight="1" thickBot="1" x14ac:dyDescent="0.3">
      <c r="A2" s="5940" t="s">
        <v>3025</v>
      </c>
      <c r="B2" s="5940"/>
      <c r="C2" s="5940"/>
      <c r="D2" s="5940"/>
      <c r="E2" s="5940"/>
      <c r="F2" s="5940"/>
      <c r="G2" s="5940"/>
      <c r="H2" s="5940"/>
      <c r="I2" s="5940"/>
      <c r="J2" s="5940"/>
      <c r="K2" s="20"/>
      <c r="M2" s="5940" t="s">
        <v>3025</v>
      </c>
      <c r="N2" s="5940"/>
      <c r="O2" s="5940"/>
      <c r="P2" s="5940"/>
      <c r="Q2" s="5940"/>
      <c r="R2" s="5940"/>
      <c r="S2" s="5940"/>
      <c r="T2" s="5940"/>
      <c r="U2" s="5940"/>
      <c r="V2" s="5940"/>
    </row>
    <row r="3" spans="1:23" ht="16.95" customHeight="1" x14ac:dyDescent="0.25">
      <c r="A3" s="5938" t="s">
        <v>3026</v>
      </c>
      <c r="B3" s="1904"/>
      <c r="C3" s="1904"/>
      <c r="D3" s="5938" t="s">
        <v>3027</v>
      </c>
      <c r="E3" s="5935" t="s">
        <v>3044</v>
      </c>
      <c r="F3" s="5936"/>
      <c r="G3" s="5937"/>
      <c r="H3" s="4885" t="s">
        <v>3048</v>
      </c>
      <c r="I3" s="4869"/>
      <c r="J3" s="4869"/>
      <c r="K3" s="5930" t="s">
        <v>2309</v>
      </c>
      <c r="L3" s="1905"/>
      <c r="M3" s="5938" t="s">
        <v>3026</v>
      </c>
      <c r="N3" s="5938" t="s">
        <v>3027</v>
      </c>
      <c r="O3" s="1904"/>
      <c r="P3" s="1904"/>
      <c r="Q3" s="5935" t="s">
        <v>3049</v>
      </c>
      <c r="R3" s="5936"/>
      <c r="S3" s="5937"/>
      <c r="T3" s="4885" t="s">
        <v>3050</v>
      </c>
      <c r="U3" s="4869"/>
      <c r="V3" s="4870"/>
      <c r="W3" s="5930" t="s">
        <v>2309</v>
      </c>
    </row>
    <row r="4" spans="1:23" ht="18.600000000000001" customHeight="1" thickBot="1" x14ac:dyDescent="0.3">
      <c r="A4" s="4949"/>
      <c r="B4" s="1906"/>
      <c r="C4" s="1906"/>
      <c r="D4" s="4949"/>
      <c r="E4" s="1996" t="s">
        <v>3043</v>
      </c>
      <c r="F4" s="1997">
        <f>СВЕДЕНО_И!G11</f>
        <v>110460.10000000002</v>
      </c>
      <c r="G4" s="1998" t="s">
        <v>3046</v>
      </c>
      <c r="H4" s="1898" t="s">
        <v>3043</v>
      </c>
      <c r="I4" s="1969">
        <f>СВЕДЕНО_И!D11</f>
        <v>158564.15999999997</v>
      </c>
      <c r="J4" s="42" t="s">
        <v>3046</v>
      </c>
      <c r="K4" s="5931"/>
      <c r="M4" s="4949"/>
      <c r="N4" s="4949"/>
      <c r="O4" s="1906"/>
      <c r="P4" s="1906"/>
      <c r="Q4" s="1996" t="s">
        <v>3043</v>
      </c>
      <c r="R4" s="2002">
        <f>СВЕДЕНО_И!G13</f>
        <v>85317.310000000012</v>
      </c>
      <c r="S4" s="1998" t="s">
        <v>3046</v>
      </c>
      <c r="T4" s="1898" t="s">
        <v>3043</v>
      </c>
      <c r="U4" s="1969">
        <f>СВЕДЕНО_И!D13</f>
        <v>120784.82</v>
      </c>
      <c r="V4" s="1970" t="s">
        <v>3046</v>
      </c>
      <c r="W4" s="5931"/>
    </row>
    <row r="5" spans="1:23" ht="19.2" customHeight="1" thickBot="1" x14ac:dyDescent="0.3">
      <c r="A5" s="4949"/>
      <c r="B5" s="1870"/>
      <c r="C5" s="1870"/>
      <c r="D5" s="4949"/>
      <c r="E5" s="1999" t="s">
        <v>3045</v>
      </c>
      <c r="F5" s="2000">
        <f>E8</f>
        <v>806.59</v>
      </c>
      <c r="G5" s="2001" t="s">
        <v>3047</v>
      </c>
      <c r="H5" s="1899" t="s">
        <v>3045</v>
      </c>
      <c r="I5" s="1901">
        <f>СВЕДЕНО_И!C11</f>
        <v>1371.9</v>
      </c>
      <c r="J5" s="1902" t="s">
        <v>3047</v>
      </c>
      <c r="K5" s="5931"/>
      <c r="M5" s="4949"/>
      <c r="N5" s="4949"/>
      <c r="O5" s="1903" t="s">
        <v>3028</v>
      </c>
      <c r="P5" s="1871" t="s">
        <v>3028</v>
      </c>
      <c r="Q5" s="1999" t="s">
        <v>3045</v>
      </c>
      <c r="R5" s="2000">
        <f>СВЕДЕНО_И!F13</f>
        <v>751.56000000000006</v>
      </c>
      <c r="S5" s="2001" t="s">
        <v>3047</v>
      </c>
      <c r="T5" s="1899" t="s">
        <v>3045</v>
      </c>
      <c r="U5" s="1901">
        <f>СВЕДЕНО_И!C13</f>
        <v>1227.48</v>
      </c>
      <c r="V5" s="1900" t="s">
        <v>3047</v>
      </c>
      <c r="W5" s="5931"/>
    </row>
    <row r="6" spans="1:23" ht="42" thickBot="1" x14ac:dyDescent="0.3">
      <c r="A6" s="5939"/>
      <c r="B6" s="1907" t="s">
        <v>3027</v>
      </c>
      <c r="C6" s="1908" t="s">
        <v>3029</v>
      </c>
      <c r="D6" s="5939"/>
      <c r="E6" s="1972" t="s">
        <v>3030</v>
      </c>
      <c r="F6" s="1973" t="s">
        <v>3031</v>
      </c>
      <c r="G6" s="1974" t="s">
        <v>3032</v>
      </c>
      <c r="H6" s="1907" t="s">
        <v>3030</v>
      </c>
      <c r="I6" s="1909" t="s">
        <v>3031</v>
      </c>
      <c r="J6" s="1910" t="s">
        <v>3032</v>
      </c>
      <c r="K6" s="5932"/>
      <c r="L6" s="426"/>
      <c r="M6" s="5939"/>
      <c r="N6" s="5939"/>
      <c r="O6" s="1869" t="s">
        <v>3029</v>
      </c>
      <c r="P6" s="1911" t="s">
        <v>3027</v>
      </c>
      <c r="Q6" s="1992" t="s">
        <v>3030</v>
      </c>
      <c r="R6" s="1992" t="s">
        <v>3031</v>
      </c>
      <c r="S6" s="1993" t="s">
        <v>3032</v>
      </c>
      <c r="T6" s="1911" t="s">
        <v>3030</v>
      </c>
      <c r="U6" s="1909" t="s">
        <v>3031</v>
      </c>
      <c r="V6" s="1910" t="s">
        <v>3032</v>
      </c>
      <c r="W6" s="5932"/>
    </row>
    <row r="7" spans="1:23" ht="14.4" thickBot="1" x14ac:dyDescent="0.3">
      <c r="A7" s="5933" t="s">
        <v>3033</v>
      </c>
      <c r="B7" s="5066"/>
      <c r="C7" s="5066"/>
      <c r="D7" s="5066"/>
      <c r="E7" s="5066"/>
      <c r="F7" s="5066"/>
      <c r="G7" s="5066"/>
      <c r="H7" s="5066"/>
      <c r="I7" s="5066"/>
      <c r="J7" s="5066"/>
      <c r="K7" s="5934"/>
      <c r="M7" s="5933" t="s">
        <v>3033</v>
      </c>
      <c r="N7" s="5066"/>
      <c r="O7" s="5066"/>
      <c r="P7" s="5066"/>
      <c r="Q7" s="5066"/>
      <c r="R7" s="5066"/>
      <c r="S7" s="5066"/>
      <c r="T7" s="5066"/>
      <c r="U7" s="5066"/>
      <c r="V7" s="5066"/>
      <c r="W7" s="5066"/>
    </row>
    <row r="8" spans="1:23" s="1872" customFormat="1" ht="14.4" x14ac:dyDescent="0.3">
      <c r="A8" s="1912">
        <v>38.4</v>
      </c>
      <c r="B8" s="1913"/>
      <c r="C8" s="1914">
        <v>1626.66</v>
      </c>
      <c r="D8" s="1965"/>
      <c r="E8" s="1975">
        <v>806.59</v>
      </c>
      <c r="F8" s="1976">
        <v>6.6977850466666657</v>
      </c>
      <c r="G8" s="1977"/>
      <c r="H8" s="1915">
        <f>I5</f>
        <v>1371.9</v>
      </c>
      <c r="I8" s="1916">
        <f>F8*(СВЕДЕНО_И!D11/СВЕДЕНО_И!G11)*1.04</f>
        <v>9.9991744184250297</v>
      </c>
      <c r="J8" s="1918"/>
      <c r="K8" s="1919"/>
      <c r="L8" s="1920"/>
      <c r="M8" s="1912">
        <v>38.4</v>
      </c>
      <c r="N8" s="1965"/>
      <c r="O8" s="1966">
        <v>1377.58</v>
      </c>
      <c r="P8" s="1913"/>
      <c r="Q8" s="1994">
        <f>R5</f>
        <v>751.56000000000006</v>
      </c>
      <c r="R8" s="1976">
        <v>5.1129140133333317</v>
      </c>
      <c r="S8" s="1977"/>
      <c r="T8" s="1915">
        <f>U5</f>
        <v>1227.48</v>
      </c>
      <c r="U8" s="1916">
        <f>R8*(СВЕДЕНО_И!D13/СВЕДЕНО_И!G13)*1.05</f>
        <v>7.6003394705569276</v>
      </c>
      <c r="V8" s="1917"/>
      <c r="W8" s="1921"/>
    </row>
    <row r="9" spans="1:23" x14ac:dyDescent="0.25">
      <c r="A9" s="1873" t="s">
        <v>3034</v>
      </c>
      <c r="B9" s="1874">
        <v>4.5620000000000001E-3</v>
      </c>
      <c r="C9" s="1875">
        <f t="shared" ref="C9:C14" si="0">B9*$A$8*$C$8</f>
        <v>284.95960012800003</v>
      </c>
      <c r="D9" s="1046">
        <f t="shared" ref="D9:D14" si="1">B9</f>
        <v>4.5620000000000001E-3</v>
      </c>
      <c r="E9" s="1978">
        <f t="shared" ref="E9:E14" si="2">$A$8*D9*$E$8</f>
        <v>141.29908147200001</v>
      </c>
      <c r="F9" s="1979">
        <f>$F$8*$A$8</f>
        <v>257.19494579199994</v>
      </c>
      <c r="G9" s="1980">
        <f>E9+F9</f>
        <v>398.49402726399995</v>
      </c>
      <c r="H9" s="1876">
        <f t="shared" ref="H9:H14" si="3">$A$8*D9*$H$8</f>
        <v>240.33053952</v>
      </c>
      <c r="I9" s="1876">
        <f>$A$8*$I$8</f>
        <v>383.96829766752114</v>
      </c>
      <c r="J9" s="1877">
        <f>H9+I9</f>
        <v>624.29883718752114</v>
      </c>
      <c r="K9" s="1878"/>
      <c r="M9" s="1873" t="s">
        <v>3034</v>
      </c>
      <c r="N9" s="1046">
        <v>4.5620000000000001E-3</v>
      </c>
      <c r="O9" s="1890">
        <f t="shared" ref="O9:O14" si="4">N9*$A$8*$O$8</f>
        <v>241.32556646399999</v>
      </c>
      <c r="P9" s="1874">
        <f t="shared" ref="P9:P14" si="5">N9</f>
        <v>4.5620000000000001E-3</v>
      </c>
      <c r="Q9" s="1981">
        <f t="shared" ref="Q9:Q14" si="6">$A$8*P9*$Q$8</f>
        <v>131.65888204800001</v>
      </c>
      <c r="R9" s="1981">
        <f t="shared" ref="R9:R20" si="7">$R$8*$A$8</f>
        <v>196.33589811199994</v>
      </c>
      <c r="S9" s="1980">
        <f>Q9+R9</f>
        <v>327.99478015999995</v>
      </c>
      <c r="T9" s="1876">
        <f t="shared" ref="T9:T14" si="8">$M$8*N9*$T$8</f>
        <v>215.03092838399999</v>
      </c>
      <c r="U9" s="1876">
        <f>$U$8*$A$8</f>
        <v>291.85303566938603</v>
      </c>
      <c r="V9" s="1877">
        <f>T9+U9</f>
        <v>506.88396405338602</v>
      </c>
      <c r="W9" s="1922"/>
    </row>
    <row r="10" spans="1:23" x14ac:dyDescent="0.25">
      <c r="A10" s="1873" t="s">
        <v>3035</v>
      </c>
      <c r="B10" s="1874">
        <v>1.5029000000000001E-2</v>
      </c>
      <c r="C10" s="1875">
        <f t="shared" si="0"/>
        <v>938.76760857600004</v>
      </c>
      <c r="D10" s="1046">
        <f t="shared" si="1"/>
        <v>1.5029000000000001E-2</v>
      </c>
      <c r="E10" s="1978">
        <f t="shared" si="2"/>
        <v>465.49405862400005</v>
      </c>
      <c r="F10" s="1981">
        <f t="shared" ref="F10:F20" si="9">$F$8*$A$8</f>
        <v>257.19494579199994</v>
      </c>
      <c r="G10" s="1980">
        <f t="shared" ref="G10:G20" si="10">E10+F10</f>
        <v>722.68900441599999</v>
      </c>
      <c r="H10" s="1876">
        <f t="shared" si="3"/>
        <v>791.74214784000003</v>
      </c>
      <c r="I10" s="1876">
        <f t="shared" ref="I10:I20" si="11">$A$8*$I$8</f>
        <v>383.96829766752114</v>
      </c>
      <c r="J10" s="1877">
        <f t="shared" ref="J10:J20" si="12">H10+I10</f>
        <v>1175.7104455075212</v>
      </c>
      <c r="K10" s="1878"/>
      <c r="M10" s="1873" t="s">
        <v>3035</v>
      </c>
      <c r="N10" s="1046">
        <v>1.5029000000000001E-2</v>
      </c>
      <c r="O10" s="1890">
        <f t="shared" si="4"/>
        <v>795.02015308799992</v>
      </c>
      <c r="P10" s="1874">
        <f t="shared" si="5"/>
        <v>1.5029000000000001E-2</v>
      </c>
      <c r="Q10" s="1981">
        <f t="shared" si="6"/>
        <v>433.73549721600006</v>
      </c>
      <c r="R10" s="1981">
        <f t="shared" si="7"/>
        <v>196.33589811199994</v>
      </c>
      <c r="S10" s="1980">
        <f t="shared" ref="S10:S20" si="13">Q10+R10</f>
        <v>630.07139532799999</v>
      </c>
      <c r="T10" s="1876">
        <f t="shared" si="8"/>
        <v>708.39540172800002</v>
      </c>
      <c r="U10" s="1876">
        <f t="shared" ref="U10:U20" si="14">$U$8*$A$8</f>
        <v>291.85303566938603</v>
      </c>
      <c r="V10" s="1877">
        <f t="shared" ref="V10:V20" si="15">T10+U10</f>
        <v>1000.2484373973861</v>
      </c>
      <c r="W10" s="1923"/>
    </row>
    <row r="11" spans="1:23" x14ac:dyDescent="0.25">
      <c r="A11" s="1873" t="s">
        <v>3036</v>
      </c>
      <c r="B11" s="1874">
        <v>2.1038999999999999E-2</v>
      </c>
      <c r="C11" s="1875">
        <f t="shared" si="0"/>
        <v>1314.1747100159998</v>
      </c>
      <c r="D11" s="1046">
        <f t="shared" si="1"/>
        <v>2.1038999999999999E-2</v>
      </c>
      <c r="E11" s="1978">
        <f t="shared" si="2"/>
        <v>651.64212518399995</v>
      </c>
      <c r="F11" s="1981">
        <f t="shared" si="9"/>
        <v>257.19494579199994</v>
      </c>
      <c r="G11" s="1980">
        <f t="shared" si="10"/>
        <v>908.83707097599995</v>
      </c>
      <c r="H11" s="1876">
        <f t="shared" si="3"/>
        <v>1108.3547174399998</v>
      </c>
      <c r="I11" s="1876">
        <f t="shared" si="11"/>
        <v>383.96829766752114</v>
      </c>
      <c r="J11" s="1877">
        <f t="shared" si="12"/>
        <v>1492.3230151075209</v>
      </c>
      <c r="K11" s="1878"/>
      <c r="M11" s="1873" t="s">
        <v>3036</v>
      </c>
      <c r="N11" s="1046">
        <v>2.1038999999999999E-2</v>
      </c>
      <c r="O11" s="1890">
        <f t="shared" si="4"/>
        <v>1112.9435758079999</v>
      </c>
      <c r="P11" s="1874">
        <f t="shared" si="5"/>
        <v>2.1038999999999999E-2</v>
      </c>
      <c r="Q11" s="1981">
        <f t="shared" si="6"/>
        <v>607.18352025599995</v>
      </c>
      <c r="R11" s="1981">
        <f t="shared" si="7"/>
        <v>196.33589811199994</v>
      </c>
      <c r="S11" s="1980">
        <f t="shared" si="13"/>
        <v>803.51941836799983</v>
      </c>
      <c r="T11" s="1876">
        <f t="shared" si="8"/>
        <v>991.67814604799992</v>
      </c>
      <c r="U11" s="1876">
        <f t="shared" si="14"/>
        <v>291.85303566938603</v>
      </c>
      <c r="V11" s="1877">
        <f t="shared" si="15"/>
        <v>1283.5311817173861</v>
      </c>
      <c r="W11" s="1923"/>
    </row>
    <row r="12" spans="1:23" x14ac:dyDescent="0.25">
      <c r="A12" s="1873" t="s">
        <v>3037</v>
      </c>
      <c r="B12" s="1874">
        <v>2.2124999999999999E-2</v>
      </c>
      <c r="C12" s="1875">
        <f t="shared" si="0"/>
        <v>1382.0103359999998</v>
      </c>
      <c r="D12" s="1046">
        <f t="shared" si="1"/>
        <v>2.2124999999999999E-2</v>
      </c>
      <c r="E12" s="1978">
        <f t="shared" si="2"/>
        <v>685.278864</v>
      </c>
      <c r="F12" s="1981">
        <f t="shared" si="9"/>
        <v>257.19494579199994</v>
      </c>
      <c r="G12" s="1980">
        <f t="shared" si="10"/>
        <v>942.47380979199988</v>
      </c>
      <c r="H12" s="1876">
        <f t="shared" si="3"/>
        <v>1165.5662399999999</v>
      </c>
      <c r="I12" s="1876">
        <f t="shared" si="11"/>
        <v>383.96829766752114</v>
      </c>
      <c r="J12" s="1877">
        <f t="shared" si="12"/>
        <v>1549.5345376675209</v>
      </c>
      <c r="K12" s="1878"/>
      <c r="M12" s="1873" t="s">
        <v>3037</v>
      </c>
      <c r="N12" s="1046">
        <v>2.2124999999999999E-2</v>
      </c>
      <c r="O12" s="1890">
        <f t="shared" si="4"/>
        <v>1170.3919679999999</v>
      </c>
      <c r="P12" s="1874">
        <f t="shared" si="5"/>
        <v>2.2124999999999999E-2</v>
      </c>
      <c r="Q12" s="1981">
        <f t="shared" si="6"/>
        <v>638.52537599999994</v>
      </c>
      <c r="R12" s="1981">
        <f t="shared" si="7"/>
        <v>196.33589811199994</v>
      </c>
      <c r="S12" s="1980">
        <f t="shared" si="13"/>
        <v>834.86127411199982</v>
      </c>
      <c r="T12" s="1876">
        <f t="shared" si="8"/>
        <v>1042.8670079999999</v>
      </c>
      <c r="U12" s="1876">
        <f t="shared" si="14"/>
        <v>291.85303566938603</v>
      </c>
      <c r="V12" s="1877">
        <f t="shared" si="15"/>
        <v>1334.7200436693861</v>
      </c>
      <c r="W12" s="1923"/>
    </row>
    <row r="13" spans="1:23" x14ac:dyDescent="0.25">
      <c r="A13" s="1873" t="s">
        <v>3038</v>
      </c>
      <c r="B13" s="1874">
        <v>2.0251000000000002E-2</v>
      </c>
      <c r="C13" s="1875">
        <f t="shared" si="0"/>
        <v>1264.9532797440002</v>
      </c>
      <c r="D13" s="1046">
        <f t="shared" si="1"/>
        <v>2.0251000000000002E-2</v>
      </c>
      <c r="E13" s="1978">
        <f t="shared" si="2"/>
        <v>627.23535705600011</v>
      </c>
      <c r="F13" s="1981">
        <f t="shared" si="9"/>
        <v>257.19494579199994</v>
      </c>
      <c r="G13" s="1980">
        <f t="shared" si="10"/>
        <v>884.43030284800011</v>
      </c>
      <c r="H13" s="1876">
        <f t="shared" si="3"/>
        <v>1066.8421209600001</v>
      </c>
      <c r="I13" s="1876">
        <f t="shared" si="11"/>
        <v>383.96829766752114</v>
      </c>
      <c r="J13" s="1877">
        <f t="shared" si="12"/>
        <v>1450.8104186275214</v>
      </c>
      <c r="K13" s="1878"/>
      <c r="M13" s="1873" t="s">
        <v>3038</v>
      </c>
      <c r="N13" s="1046">
        <v>2.0251000000000002E-2</v>
      </c>
      <c r="O13" s="1890">
        <f t="shared" si="4"/>
        <v>1071.259107072</v>
      </c>
      <c r="P13" s="1874">
        <f t="shared" si="5"/>
        <v>2.0251000000000002E-2</v>
      </c>
      <c r="Q13" s="1981">
        <f t="shared" si="6"/>
        <v>584.4419159040001</v>
      </c>
      <c r="R13" s="1981">
        <f t="shared" si="7"/>
        <v>196.33589811199994</v>
      </c>
      <c r="S13" s="1980">
        <f t="shared" si="13"/>
        <v>780.77781401600009</v>
      </c>
      <c r="T13" s="1876">
        <f t="shared" si="8"/>
        <v>954.53558323200014</v>
      </c>
      <c r="U13" s="1876">
        <f t="shared" si="14"/>
        <v>291.85303566938603</v>
      </c>
      <c r="V13" s="1877">
        <f t="shared" si="15"/>
        <v>1246.3886189013861</v>
      </c>
      <c r="W13" s="1923"/>
    </row>
    <row r="14" spans="1:23" x14ac:dyDescent="0.25">
      <c r="A14" s="1873" t="s">
        <v>3039</v>
      </c>
      <c r="B14" s="1874">
        <v>1.5002E-2</v>
      </c>
      <c r="C14" s="1875">
        <f t="shared" si="0"/>
        <v>937.08108748799998</v>
      </c>
      <c r="D14" s="1046">
        <f t="shared" si="1"/>
        <v>1.5002E-2</v>
      </c>
      <c r="E14" s="1978">
        <f t="shared" si="2"/>
        <v>464.657786112</v>
      </c>
      <c r="F14" s="1981">
        <f t="shared" si="9"/>
        <v>257.19494579199994</v>
      </c>
      <c r="G14" s="1980">
        <f t="shared" si="10"/>
        <v>721.85273190399994</v>
      </c>
      <c r="H14" s="1876">
        <f t="shared" si="3"/>
        <v>790.31976192000002</v>
      </c>
      <c r="I14" s="1876">
        <f t="shared" si="11"/>
        <v>383.96829766752114</v>
      </c>
      <c r="J14" s="1877">
        <f t="shared" si="12"/>
        <v>1174.2880595875213</v>
      </c>
      <c r="K14" s="1878"/>
      <c r="M14" s="1873" t="s">
        <v>3039</v>
      </c>
      <c r="N14" s="1046">
        <v>1.5002E-2</v>
      </c>
      <c r="O14" s="1890">
        <f t="shared" si="4"/>
        <v>793.59187814399991</v>
      </c>
      <c r="P14" s="1874">
        <f t="shared" si="5"/>
        <v>1.5002E-2</v>
      </c>
      <c r="Q14" s="1981">
        <f t="shared" si="6"/>
        <v>432.95627980799998</v>
      </c>
      <c r="R14" s="1981">
        <f t="shared" si="7"/>
        <v>196.33589811199994</v>
      </c>
      <c r="S14" s="1980">
        <f t="shared" si="13"/>
        <v>629.29217791999986</v>
      </c>
      <c r="T14" s="1876">
        <f t="shared" si="8"/>
        <v>707.12275046399998</v>
      </c>
      <c r="U14" s="1876">
        <f t="shared" si="14"/>
        <v>291.85303566938603</v>
      </c>
      <c r="V14" s="1877">
        <f t="shared" si="15"/>
        <v>998.97578613338601</v>
      </c>
      <c r="W14" s="1923"/>
    </row>
    <row r="15" spans="1:23" x14ac:dyDescent="0.25">
      <c r="A15" s="1873" t="s">
        <v>13</v>
      </c>
      <c r="B15" s="1874"/>
      <c r="C15" s="1875"/>
      <c r="D15" s="1046"/>
      <c r="E15" s="1978"/>
      <c r="F15" s="1981">
        <f t="shared" si="9"/>
        <v>257.19494579199994</v>
      </c>
      <c r="G15" s="1980">
        <f t="shared" si="10"/>
        <v>257.19494579199994</v>
      </c>
      <c r="H15" s="1876"/>
      <c r="I15" s="1876">
        <f t="shared" si="11"/>
        <v>383.96829766752114</v>
      </c>
      <c r="J15" s="1877">
        <f t="shared" si="12"/>
        <v>383.96829766752114</v>
      </c>
      <c r="K15" s="1878"/>
      <c r="M15" s="1873" t="s">
        <v>13</v>
      </c>
      <c r="N15" s="1046"/>
      <c r="O15" s="1890"/>
      <c r="P15" s="1874"/>
      <c r="Q15" s="1981"/>
      <c r="R15" s="1981">
        <f t="shared" si="7"/>
        <v>196.33589811199994</v>
      </c>
      <c r="S15" s="1980">
        <f t="shared" si="13"/>
        <v>196.33589811199994</v>
      </c>
      <c r="T15" s="1876"/>
      <c r="U15" s="1876">
        <f t="shared" si="14"/>
        <v>291.85303566938603</v>
      </c>
      <c r="V15" s="1877">
        <f t="shared" si="15"/>
        <v>291.85303566938603</v>
      </c>
      <c r="W15" s="1923"/>
    </row>
    <row r="16" spans="1:23" x14ac:dyDescent="0.25">
      <c r="A16" s="1873" t="s">
        <v>133</v>
      </c>
      <c r="B16" s="1874"/>
      <c r="C16" s="1875"/>
      <c r="D16" s="1046"/>
      <c r="E16" s="1978"/>
      <c r="F16" s="1981">
        <f t="shared" si="9"/>
        <v>257.19494579199994</v>
      </c>
      <c r="G16" s="1980">
        <f t="shared" si="10"/>
        <v>257.19494579199994</v>
      </c>
      <c r="H16" s="1876"/>
      <c r="I16" s="1876">
        <f t="shared" si="11"/>
        <v>383.96829766752114</v>
      </c>
      <c r="J16" s="1877">
        <f t="shared" si="12"/>
        <v>383.96829766752114</v>
      </c>
      <c r="K16" s="1878"/>
      <c r="M16" s="1873" t="s">
        <v>133</v>
      </c>
      <c r="N16" s="1046"/>
      <c r="O16" s="1890"/>
      <c r="P16" s="1874"/>
      <c r="Q16" s="1981"/>
      <c r="R16" s="1981">
        <f t="shared" si="7"/>
        <v>196.33589811199994</v>
      </c>
      <c r="S16" s="1980">
        <f t="shared" si="13"/>
        <v>196.33589811199994</v>
      </c>
      <c r="T16" s="1876"/>
      <c r="U16" s="1876">
        <f t="shared" si="14"/>
        <v>291.85303566938603</v>
      </c>
      <c r="V16" s="1877">
        <f t="shared" si="15"/>
        <v>291.85303566938603</v>
      </c>
      <c r="W16" s="1923"/>
    </row>
    <row r="17" spans="1:23" x14ac:dyDescent="0.25">
      <c r="A17" s="1873" t="s">
        <v>15</v>
      </c>
      <c r="B17" s="1874"/>
      <c r="C17" s="1875"/>
      <c r="D17" s="1046"/>
      <c r="E17" s="1978"/>
      <c r="F17" s="1981">
        <f t="shared" si="9"/>
        <v>257.19494579199994</v>
      </c>
      <c r="G17" s="1980">
        <f t="shared" si="10"/>
        <v>257.19494579199994</v>
      </c>
      <c r="H17" s="1876"/>
      <c r="I17" s="1876">
        <f t="shared" si="11"/>
        <v>383.96829766752114</v>
      </c>
      <c r="J17" s="1877">
        <f t="shared" si="12"/>
        <v>383.96829766752114</v>
      </c>
      <c r="K17" s="1878"/>
      <c r="M17" s="1873" t="s">
        <v>15</v>
      </c>
      <c r="N17" s="1046"/>
      <c r="O17" s="1890"/>
      <c r="P17" s="1874"/>
      <c r="Q17" s="1981"/>
      <c r="R17" s="1981">
        <f t="shared" si="7"/>
        <v>196.33589811199994</v>
      </c>
      <c r="S17" s="1980">
        <f t="shared" si="13"/>
        <v>196.33589811199994</v>
      </c>
      <c r="T17" s="1876"/>
      <c r="U17" s="1876">
        <f t="shared" si="14"/>
        <v>291.85303566938603</v>
      </c>
      <c r="V17" s="1877">
        <f t="shared" si="15"/>
        <v>291.85303566938603</v>
      </c>
      <c r="W17" s="1923"/>
    </row>
    <row r="18" spans="1:23" x14ac:dyDescent="0.25">
      <c r="A18" s="1873" t="s">
        <v>16</v>
      </c>
      <c r="B18" s="1874"/>
      <c r="C18" s="1875"/>
      <c r="D18" s="1046"/>
      <c r="E18" s="1978"/>
      <c r="F18" s="1981">
        <f t="shared" si="9"/>
        <v>257.19494579199994</v>
      </c>
      <c r="G18" s="1980">
        <f t="shared" si="10"/>
        <v>257.19494579199994</v>
      </c>
      <c r="H18" s="1876"/>
      <c r="I18" s="1876">
        <f t="shared" si="11"/>
        <v>383.96829766752114</v>
      </c>
      <c r="J18" s="1877">
        <f t="shared" si="12"/>
        <v>383.96829766752114</v>
      </c>
      <c r="K18" s="1878"/>
      <c r="M18" s="1873" t="s">
        <v>16</v>
      </c>
      <c r="N18" s="1046"/>
      <c r="O18" s="1890"/>
      <c r="P18" s="1874"/>
      <c r="Q18" s="1981"/>
      <c r="R18" s="1981">
        <f t="shared" si="7"/>
        <v>196.33589811199994</v>
      </c>
      <c r="S18" s="1980">
        <f t="shared" si="13"/>
        <v>196.33589811199994</v>
      </c>
      <c r="T18" s="1876"/>
      <c r="U18" s="1876">
        <f t="shared" si="14"/>
        <v>291.85303566938603</v>
      </c>
      <c r="V18" s="1877">
        <f t="shared" si="15"/>
        <v>291.85303566938603</v>
      </c>
      <c r="W18" s="1923"/>
    </row>
    <row r="19" spans="1:23" x14ac:dyDescent="0.25">
      <c r="A19" s="1873" t="s">
        <v>17</v>
      </c>
      <c r="B19" s="1874"/>
      <c r="C19" s="1875"/>
      <c r="D19" s="1046"/>
      <c r="E19" s="1978"/>
      <c r="F19" s="1981">
        <f t="shared" si="9"/>
        <v>257.19494579199994</v>
      </c>
      <c r="G19" s="1980">
        <f t="shared" si="10"/>
        <v>257.19494579199994</v>
      </c>
      <c r="H19" s="1876"/>
      <c r="I19" s="1876">
        <f t="shared" si="11"/>
        <v>383.96829766752114</v>
      </c>
      <c r="J19" s="1877">
        <f t="shared" si="12"/>
        <v>383.96829766752114</v>
      </c>
      <c r="K19" s="1878"/>
      <c r="M19" s="1873" t="s">
        <v>17</v>
      </c>
      <c r="N19" s="1046"/>
      <c r="O19" s="1890"/>
      <c r="P19" s="1874"/>
      <c r="Q19" s="1981"/>
      <c r="R19" s="1981">
        <f t="shared" si="7"/>
        <v>196.33589811199994</v>
      </c>
      <c r="S19" s="1980">
        <f t="shared" si="13"/>
        <v>196.33589811199994</v>
      </c>
      <c r="T19" s="1876"/>
      <c r="U19" s="1876">
        <f t="shared" si="14"/>
        <v>291.85303566938603</v>
      </c>
      <c r="V19" s="1877">
        <f t="shared" si="15"/>
        <v>291.85303566938603</v>
      </c>
      <c r="W19" s="1923"/>
    </row>
    <row r="20" spans="1:23" x14ac:dyDescent="0.25">
      <c r="A20" s="1873" t="s">
        <v>18</v>
      </c>
      <c r="B20" s="1874"/>
      <c r="C20" s="1875"/>
      <c r="D20" s="1046"/>
      <c r="E20" s="1978"/>
      <c r="F20" s="1981">
        <f t="shared" si="9"/>
        <v>257.19494579199994</v>
      </c>
      <c r="G20" s="1982">
        <f t="shared" si="10"/>
        <v>257.19494579199994</v>
      </c>
      <c r="H20" s="1876"/>
      <c r="I20" s="1876">
        <f t="shared" si="11"/>
        <v>383.96829766752114</v>
      </c>
      <c r="J20" s="1879">
        <f t="shared" si="12"/>
        <v>383.96829766752114</v>
      </c>
      <c r="K20" s="1878"/>
      <c r="M20" s="1873" t="s">
        <v>18</v>
      </c>
      <c r="N20" s="1046"/>
      <c r="O20" s="1890"/>
      <c r="P20" s="1874"/>
      <c r="Q20" s="1981"/>
      <c r="R20" s="1981">
        <f t="shared" si="7"/>
        <v>196.33589811199994</v>
      </c>
      <c r="S20" s="1982">
        <f t="shared" si="13"/>
        <v>196.33589811199994</v>
      </c>
      <c r="T20" s="1876"/>
      <c r="U20" s="1876">
        <f t="shared" si="14"/>
        <v>291.85303566938603</v>
      </c>
      <c r="V20" s="1879">
        <f t="shared" si="15"/>
        <v>291.85303566938603</v>
      </c>
      <c r="W20" s="1924"/>
    </row>
    <row r="21" spans="1:23" ht="15" thickBot="1" x14ac:dyDescent="0.35">
      <c r="A21" s="1880" t="s">
        <v>873</v>
      </c>
      <c r="B21" s="1881">
        <f>SUM(B9:B14)</f>
        <v>9.8008000000000012E-2</v>
      </c>
      <c r="C21" s="1882">
        <f>SUM(C9:C14)</f>
        <v>6121.946621952</v>
      </c>
      <c r="D21" s="883"/>
      <c r="E21" s="1983">
        <f>E9+E10+E11+E12+E13+E14</f>
        <v>3035.6072724480005</v>
      </c>
      <c r="F21" s="1984">
        <f>F9+F10+F11+F12+F13+F14+F15+F16+F17+F18+F19+F20</f>
        <v>3086.3393495039995</v>
      </c>
      <c r="G21" s="1985">
        <f>SUM(E21:F21)</f>
        <v>6121.946621952</v>
      </c>
      <c r="H21" s="1883">
        <f>H9+H10+H11+H12+H13+H14</f>
        <v>5163.15552768</v>
      </c>
      <c r="I21" s="1883">
        <f>I9+I10+I11+I12+I13+I14+I15+I16+I17+I18+I19+I20</f>
        <v>4607.6195720102542</v>
      </c>
      <c r="J21" s="1884">
        <f>SUM(H21:I21)</f>
        <v>9770.7750996902541</v>
      </c>
      <c r="K21" s="1885">
        <f>J21/G21-1</f>
        <v>0.59602422285982204</v>
      </c>
      <c r="L21" s="426"/>
      <c r="M21" s="1880" t="s">
        <v>873</v>
      </c>
      <c r="N21" s="883"/>
      <c r="O21" s="1967">
        <f>SUM(O9:O14)</f>
        <v>5184.5322485759989</v>
      </c>
      <c r="P21" s="1881">
        <f>SUM(P9:P14)</f>
        <v>9.8008000000000012E-2</v>
      </c>
      <c r="Q21" s="1984">
        <f>Q9+Q10+Q11+Q12+Q13+Q14</f>
        <v>2828.5014712320003</v>
      </c>
      <c r="R21" s="1984">
        <f>R9+R10+R11+R12+R13+R14+R15+R16+R17+R18+R19+R20</f>
        <v>2356.0307773439995</v>
      </c>
      <c r="S21" s="1985">
        <f>SUM(Q21:R21)</f>
        <v>5184.5322485759998</v>
      </c>
      <c r="T21" s="1883">
        <f>T9+T10+T11+T12+T13+T14</f>
        <v>4619.629817856</v>
      </c>
      <c r="U21" s="1883">
        <f>U9+U10+U11+U12+U13+U14+U15+U16+U17+U18+U19+U20</f>
        <v>3502.2364280326315</v>
      </c>
      <c r="V21" s="1884">
        <f>SUM(T21:U21)</f>
        <v>8121.866245888632</v>
      </c>
      <c r="W21" s="1885">
        <f>V21/S21-1</f>
        <v>0.56655718519629428</v>
      </c>
    </row>
    <row r="22" spans="1:23" ht="14.4" customHeight="1" thickBot="1" x14ac:dyDescent="0.3">
      <c r="A22" s="5066" t="s">
        <v>3040</v>
      </c>
      <c r="B22" s="5066"/>
      <c r="C22" s="5066"/>
      <c r="D22" s="5066"/>
      <c r="E22" s="5066"/>
      <c r="F22" s="5066"/>
      <c r="G22" s="5066"/>
      <c r="H22" s="5066"/>
      <c r="I22" s="5066"/>
      <c r="J22" s="5066"/>
      <c r="K22" s="5066"/>
      <c r="M22" s="5066" t="s">
        <v>3040</v>
      </c>
      <c r="N22" s="5066"/>
      <c r="O22" s="5066"/>
      <c r="P22" s="5066"/>
      <c r="Q22" s="5066"/>
      <c r="R22" s="5066"/>
      <c r="S22" s="5066"/>
      <c r="T22" s="5066"/>
      <c r="U22" s="5066"/>
      <c r="V22" s="5066"/>
      <c r="W22" s="5066"/>
    </row>
    <row r="23" spans="1:23" s="1872" customFormat="1" ht="41.4" hidden="1" x14ac:dyDescent="0.3">
      <c r="A23" s="1866" t="s">
        <v>2422</v>
      </c>
      <c r="B23" s="1866" t="s">
        <v>3027</v>
      </c>
      <c r="C23" s="1925" t="s">
        <v>3029</v>
      </c>
      <c r="D23" s="1866" t="s">
        <v>3027</v>
      </c>
      <c r="E23" s="1986" t="s">
        <v>3030</v>
      </c>
      <c r="F23" s="1986" t="s">
        <v>3031</v>
      </c>
      <c r="G23" s="1987" t="s">
        <v>3032</v>
      </c>
      <c r="H23" s="1868" t="s">
        <v>3030</v>
      </c>
      <c r="I23" s="1868" t="s">
        <v>3031</v>
      </c>
      <c r="J23" s="1926" t="s">
        <v>3032</v>
      </c>
      <c r="K23" s="1927"/>
      <c r="M23" s="1866" t="s">
        <v>2422</v>
      </c>
      <c r="N23" s="1866" t="s">
        <v>3027</v>
      </c>
      <c r="O23" s="1925" t="s">
        <v>3029</v>
      </c>
      <c r="P23" s="1866" t="s">
        <v>3027</v>
      </c>
      <c r="Q23" s="1986" t="s">
        <v>3030</v>
      </c>
      <c r="R23" s="1986" t="s">
        <v>3031</v>
      </c>
      <c r="S23" s="1987" t="s">
        <v>3032</v>
      </c>
    </row>
    <row r="24" spans="1:23" s="1445" customFormat="1" ht="14.4" x14ac:dyDescent="0.3">
      <c r="A24" s="1928">
        <v>50.33</v>
      </c>
      <c r="B24" s="1929"/>
      <c r="C24" s="1938">
        <f>C8</f>
        <v>1626.66</v>
      </c>
      <c r="D24" s="1958"/>
      <c r="E24" s="1988">
        <f>E8</f>
        <v>806.59</v>
      </c>
      <c r="F24" s="1976">
        <f>F8</f>
        <v>6.6977850466666657</v>
      </c>
      <c r="G24" s="1989"/>
      <c r="H24" s="1949">
        <f>H8</f>
        <v>1371.9</v>
      </c>
      <c r="I24" s="1916">
        <f>I8</f>
        <v>9.9991744184250297</v>
      </c>
      <c r="J24" s="1943"/>
      <c r="K24" s="1952"/>
      <c r="L24" s="1931"/>
      <c r="M24" s="1958">
        <v>50.33</v>
      </c>
      <c r="N24" s="1958"/>
      <c r="O24" s="1957">
        <f>O8</f>
        <v>1377.58</v>
      </c>
      <c r="P24" s="1929"/>
      <c r="Q24" s="1995">
        <f>Q8</f>
        <v>751.56000000000006</v>
      </c>
      <c r="R24" s="1976">
        <f>R8</f>
        <v>5.1129140133333317</v>
      </c>
      <c r="S24" s="1989"/>
      <c r="T24" s="1949">
        <f>T8</f>
        <v>1227.48</v>
      </c>
      <c r="U24" s="1916">
        <f>U8</f>
        <v>7.6003394705569276</v>
      </c>
      <c r="V24" s="1943"/>
      <c r="W24" s="1959"/>
    </row>
    <row r="25" spans="1:23" x14ac:dyDescent="0.25">
      <c r="A25" s="1873" t="s">
        <v>3034</v>
      </c>
      <c r="B25" s="1886">
        <f t="shared" ref="B25:B30" si="16">B9</f>
        <v>4.5620000000000001E-3</v>
      </c>
      <c r="C25" s="1622">
        <f t="shared" ref="C25:C30" si="17">B25*$A$24*$C$24</f>
        <v>373.49001756360002</v>
      </c>
      <c r="D25" s="1046">
        <f t="shared" ref="D25:D30" si="18">B25</f>
        <v>4.5620000000000001E-3</v>
      </c>
      <c r="E25" s="1978">
        <f t="shared" ref="E25:E30" si="19">$A$24*B25*$E$24</f>
        <v>185.1974679814</v>
      </c>
      <c r="F25" s="1981">
        <f>$F$24*$A$24</f>
        <v>337.09952139873326</v>
      </c>
      <c r="G25" s="1980">
        <f>E25+F25</f>
        <v>522.29698938013325</v>
      </c>
      <c r="H25" s="1950">
        <f t="shared" ref="H25:H30" si="20">$A$24*D25*$H$24</f>
        <v>314.99573057399999</v>
      </c>
      <c r="I25" s="1876">
        <f>$I$24*$A$24</f>
        <v>503.25844847933172</v>
      </c>
      <c r="J25" s="1877">
        <f>H25+I25</f>
        <v>818.25417905333165</v>
      </c>
      <c r="K25" s="1953"/>
      <c r="M25" s="1046" t="s">
        <v>3034</v>
      </c>
      <c r="N25" s="1704">
        <f t="shared" ref="N25:N30" si="21">N9</f>
        <v>4.5620000000000001E-3</v>
      </c>
      <c r="O25" s="1887">
        <f t="shared" ref="O25:O30" si="22">N25*$A$24*$O$24</f>
        <v>316.29988958679996</v>
      </c>
      <c r="P25" s="1888">
        <f t="shared" ref="P25:P30" si="23">N25</f>
        <v>4.5620000000000001E-3</v>
      </c>
      <c r="Q25" s="1981">
        <f t="shared" ref="Q25:Q30" si="24">$A$24*N25*$Q$24</f>
        <v>172.56227951759999</v>
      </c>
      <c r="R25" s="1981">
        <f t="shared" ref="R25:R36" si="25">$R$24*$A$24</f>
        <v>257.33296229106656</v>
      </c>
      <c r="S25" s="1980">
        <f>Q25+R25</f>
        <v>429.89524180866658</v>
      </c>
      <c r="T25" s="1950">
        <f t="shared" ref="T25:T30" si="26">$M$24*N25*$T$24</f>
        <v>281.83611004080001</v>
      </c>
      <c r="U25" s="1876">
        <f>$U$24*$A$24</f>
        <v>382.52508555313017</v>
      </c>
      <c r="V25" s="1877">
        <f>T25+U25</f>
        <v>664.36119559393023</v>
      </c>
      <c r="W25" s="1960"/>
    </row>
    <row r="26" spans="1:23" x14ac:dyDescent="0.25">
      <c r="A26" s="1873" t="s">
        <v>3035</v>
      </c>
      <c r="B26" s="1888">
        <f t="shared" si="16"/>
        <v>1.5029000000000001E-2</v>
      </c>
      <c r="C26" s="1622">
        <f t="shared" si="17"/>
        <v>1230.4211911361999</v>
      </c>
      <c r="D26" s="1046">
        <f t="shared" si="18"/>
        <v>1.5029000000000001E-2</v>
      </c>
      <c r="E26" s="1978">
        <f t="shared" si="19"/>
        <v>610.1123950663</v>
      </c>
      <c r="F26" s="1981">
        <f t="shared" ref="F26:F36" si="27">$F$24*$A$24</f>
        <v>337.09952139873326</v>
      </c>
      <c r="G26" s="1980">
        <f>SUM(E26:F26)</f>
        <v>947.21191646503326</v>
      </c>
      <c r="H26" s="1950">
        <f t="shared" si="20"/>
        <v>1037.7182890829999</v>
      </c>
      <c r="I26" s="1876">
        <f t="shared" ref="I26:I36" si="28">$I$24*$A$24</f>
        <v>503.25844847933172</v>
      </c>
      <c r="J26" s="1877">
        <f>SUM(H26:I26)</f>
        <v>1540.9767375623317</v>
      </c>
      <c r="K26" s="1954"/>
      <c r="M26" s="1046" t="s">
        <v>3035</v>
      </c>
      <c r="N26" s="1046">
        <f t="shared" si="21"/>
        <v>1.5029000000000001E-2</v>
      </c>
      <c r="O26" s="1887">
        <f t="shared" si="22"/>
        <v>1042.0146954406</v>
      </c>
      <c r="P26" s="1888">
        <f t="shared" si="23"/>
        <v>1.5029000000000001E-2</v>
      </c>
      <c r="Q26" s="1981">
        <f t="shared" si="24"/>
        <v>568.48717642920008</v>
      </c>
      <c r="R26" s="1981">
        <f t="shared" si="25"/>
        <v>257.33296229106656</v>
      </c>
      <c r="S26" s="1980">
        <f>SUM(Q26:R26)</f>
        <v>825.82013872026664</v>
      </c>
      <c r="T26" s="1950">
        <f t="shared" si="26"/>
        <v>928.4776189836</v>
      </c>
      <c r="U26" s="1876">
        <f t="shared" ref="U26:U36" si="29">$U$24*$A$24</f>
        <v>382.52508555313017</v>
      </c>
      <c r="V26" s="1877">
        <f>SUM(T26:U26)</f>
        <v>1311.0027045367301</v>
      </c>
      <c r="W26" s="1878"/>
    </row>
    <row r="27" spans="1:23" x14ac:dyDescent="0.25">
      <c r="A27" s="1873" t="s">
        <v>3036</v>
      </c>
      <c r="B27" s="1888">
        <f t="shared" si="16"/>
        <v>2.1038999999999999E-2</v>
      </c>
      <c r="C27" s="1622">
        <f t="shared" si="17"/>
        <v>1722.4586759142001</v>
      </c>
      <c r="D27" s="1046">
        <f t="shared" si="18"/>
        <v>2.1038999999999999E-2</v>
      </c>
      <c r="E27" s="1978">
        <f t="shared" si="19"/>
        <v>854.09240001329999</v>
      </c>
      <c r="F27" s="1981">
        <f t="shared" si="27"/>
        <v>337.09952139873326</v>
      </c>
      <c r="G27" s="1980">
        <f>SUM(E27:F27)</f>
        <v>1191.1919214120333</v>
      </c>
      <c r="H27" s="1950">
        <f t="shared" si="20"/>
        <v>1452.695128353</v>
      </c>
      <c r="I27" s="1876">
        <f t="shared" si="28"/>
        <v>503.25844847933172</v>
      </c>
      <c r="J27" s="1877">
        <f>SUM(H27:I27)</f>
        <v>1955.9535768323317</v>
      </c>
      <c r="K27" s="1954"/>
      <c r="M27" s="1046" t="s">
        <v>3036</v>
      </c>
      <c r="N27" s="1046">
        <f t="shared" si="21"/>
        <v>2.1038999999999999E-2</v>
      </c>
      <c r="O27" s="1887">
        <f t="shared" si="22"/>
        <v>1458.7096398545998</v>
      </c>
      <c r="P27" s="1888">
        <f t="shared" si="23"/>
        <v>2.1038999999999999E-2</v>
      </c>
      <c r="Q27" s="1981">
        <f t="shared" si="24"/>
        <v>795.82152537720003</v>
      </c>
      <c r="R27" s="1981">
        <f t="shared" si="25"/>
        <v>257.33296229106656</v>
      </c>
      <c r="S27" s="1980">
        <f>SUM(Q27:R27)</f>
        <v>1053.1544876682665</v>
      </c>
      <c r="T27" s="1950">
        <f t="shared" si="26"/>
        <v>1299.7698200676</v>
      </c>
      <c r="U27" s="1876">
        <f t="shared" si="29"/>
        <v>382.52508555313017</v>
      </c>
      <c r="V27" s="1877">
        <f>SUM(T27:U27)</f>
        <v>1682.2949056207301</v>
      </c>
      <c r="W27" s="1878"/>
    </row>
    <row r="28" spans="1:23" x14ac:dyDescent="0.25">
      <c r="A28" s="1873" t="s">
        <v>3037</v>
      </c>
      <c r="B28" s="1888">
        <f t="shared" si="16"/>
        <v>2.2124999999999999E-2</v>
      </c>
      <c r="C28" s="1622">
        <f t="shared" si="17"/>
        <v>1811.3692763250001</v>
      </c>
      <c r="D28" s="1046">
        <f t="shared" si="18"/>
        <v>2.2124999999999999E-2</v>
      </c>
      <c r="E28" s="1978">
        <f t="shared" si="19"/>
        <v>898.17930273750005</v>
      </c>
      <c r="F28" s="1981">
        <f t="shared" si="27"/>
        <v>337.09952139873326</v>
      </c>
      <c r="G28" s="1980">
        <f>SUM(E28:F28)</f>
        <v>1235.2788241362332</v>
      </c>
      <c r="H28" s="1950">
        <f t="shared" si="20"/>
        <v>1527.6809598750001</v>
      </c>
      <c r="I28" s="1876">
        <f t="shared" si="28"/>
        <v>503.25844847933172</v>
      </c>
      <c r="J28" s="1877">
        <f>SUM(H28:I28)</f>
        <v>2030.9394083543318</v>
      </c>
      <c r="K28" s="1954"/>
      <c r="M28" s="1046" t="s">
        <v>3037</v>
      </c>
      <c r="N28" s="1046">
        <f t="shared" si="21"/>
        <v>2.2124999999999999E-2</v>
      </c>
      <c r="O28" s="1887">
        <f t="shared" si="22"/>
        <v>1534.005930975</v>
      </c>
      <c r="P28" s="1888">
        <f t="shared" si="23"/>
        <v>2.2124999999999999E-2</v>
      </c>
      <c r="Q28" s="1981">
        <f t="shared" si="24"/>
        <v>836.90057745000001</v>
      </c>
      <c r="R28" s="1981">
        <f t="shared" si="25"/>
        <v>257.33296229106656</v>
      </c>
      <c r="S28" s="1980">
        <f>SUM(Q28:R28)</f>
        <v>1094.2335397410666</v>
      </c>
      <c r="T28" s="1950">
        <f t="shared" si="26"/>
        <v>1366.8618883500001</v>
      </c>
      <c r="U28" s="1876">
        <f t="shared" si="29"/>
        <v>382.52508555313017</v>
      </c>
      <c r="V28" s="1877">
        <f>SUM(T28:U28)</f>
        <v>1749.3869739031302</v>
      </c>
      <c r="W28" s="1878"/>
    </row>
    <row r="29" spans="1:23" x14ac:dyDescent="0.25">
      <c r="A29" s="1873" t="s">
        <v>3038</v>
      </c>
      <c r="B29" s="1888">
        <f t="shared" si="16"/>
        <v>2.0251000000000002E-2</v>
      </c>
      <c r="C29" s="1622">
        <f t="shared" si="17"/>
        <v>1657.9452752478001</v>
      </c>
      <c r="D29" s="1046">
        <f t="shared" si="18"/>
        <v>2.0251000000000002E-2</v>
      </c>
      <c r="E29" s="1978">
        <f t="shared" si="19"/>
        <v>822.10300834969996</v>
      </c>
      <c r="F29" s="1981">
        <f t="shared" si="27"/>
        <v>337.09952139873326</v>
      </c>
      <c r="G29" s="1980">
        <f>SUM(E29:F29)</f>
        <v>1159.2025297484333</v>
      </c>
      <c r="H29" s="1950">
        <f t="shared" si="20"/>
        <v>1398.285519477</v>
      </c>
      <c r="I29" s="1876">
        <f t="shared" si="28"/>
        <v>503.25844847933172</v>
      </c>
      <c r="J29" s="1877">
        <f>SUM(H29:I29)</f>
        <v>1901.5439679563317</v>
      </c>
      <c r="K29" s="1954"/>
      <c r="M29" s="1046" t="s">
        <v>3038</v>
      </c>
      <c r="N29" s="1046">
        <f t="shared" si="21"/>
        <v>2.0251000000000002E-2</v>
      </c>
      <c r="O29" s="1887">
        <f t="shared" si="22"/>
        <v>1404.0747619514</v>
      </c>
      <c r="P29" s="1888">
        <f t="shared" si="23"/>
        <v>2.0251000000000002E-2</v>
      </c>
      <c r="Q29" s="1981">
        <f t="shared" si="24"/>
        <v>766.01462571479999</v>
      </c>
      <c r="R29" s="1981">
        <f t="shared" si="25"/>
        <v>257.33296229106656</v>
      </c>
      <c r="S29" s="1980">
        <f>SUM(Q29:R29)</f>
        <v>1023.3475880058666</v>
      </c>
      <c r="T29" s="1950">
        <f t="shared" si="26"/>
        <v>1251.0879141683999</v>
      </c>
      <c r="U29" s="1876">
        <f t="shared" si="29"/>
        <v>382.52508555313017</v>
      </c>
      <c r="V29" s="1877">
        <f>SUM(T29:U29)</f>
        <v>1633.6129997215301</v>
      </c>
      <c r="W29" s="1878"/>
    </row>
    <row r="30" spans="1:23" x14ac:dyDescent="0.25">
      <c r="A30" s="1873" t="s">
        <v>3039</v>
      </c>
      <c r="B30" s="1888">
        <f t="shared" si="16"/>
        <v>1.5002E-2</v>
      </c>
      <c r="C30" s="1622">
        <f t="shared" si="17"/>
        <v>1228.2107065956</v>
      </c>
      <c r="D30" s="1046">
        <f t="shared" si="18"/>
        <v>1.5002E-2</v>
      </c>
      <c r="E30" s="1978">
        <f t="shared" si="19"/>
        <v>609.01631184940004</v>
      </c>
      <c r="F30" s="1981">
        <f t="shared" si="27"/>
        <v>337.09952139873326</v>
      </c>
      <c r="G30" s="1980">
        <f>SUM(E30:F30)</f>
        <v>946.1158332481333</v>
      </c>
      <c r="H30" s="1950">
        <f t="shared" si="20"/>
        <v>1035.854000454</v>
      </c>
      <c r="I30" s="1876">
        <f t="shared" si="28"/>
        <v>503.25844847933172</v>
      </c>
      <c r="J30" s="1877">
        <f>SUM(H30:I30)</f>
        <v>1539.1124489333317</v>
      </c>
      <c r="K30" s="1954"/>
      <c r="M30" s="1046" t="s">
        <v>3039</v>
      </c>
      <c r="N30" s="1046">
        <f t="shared" si="21"/>
        <v>1.5002E-2</v>
      </c>
      <c r="O30" s="1887">
        <f t="shared" si="22"/>
        <v>1040.1426882027999</v>
      </c>
      <c r="P30" s="1888">
        <f t="shared" si="23"/>
        <v>1.5002E-2</v>
      </c>
      <c r="Q30" s="1981">
        <f t="shared" si="24"/>
        <v>567.46587402960006</v>
      </c>
      <c r="R30" s="1981">
        <f t="shared" si="25"/>
        <v>257.33296229106656</v>
      </c>
      <c r="S30" s="1980">
        <f>SUM(Q30:R30)</f>
        <v>824.79883632066662</v>
      </c>
      <c r="T30" s="1950">
        <f t="shared" si="26"/>
        <v>926.80958413680003</v>
      </c>
      <c r="U30" s="1876">
        <f t="shared" si="29"/>
        <v>382.52508555313017</v>
      </c>
      <c r="V30" s="1877">
        <f>SUM(T30:U30)</f>
        <v>1309.3346696899303</v>
      </c>
      <c r="W30" s="1878"/>
    </row>
    <row r="31" spans="1:23" x14ac:dyDescent="0.25">
      <c r="A31" s="1873" t="s">
        <v>13</v>
      </c>
      <c r="B31" s="1888"/>
      <c r="C31" s="1622"/>
      <c r="D31" s="1046"/>
      <c r="E31" s="1978"/>
      <c r="F31" s="1981">
        <f t="shared" si="27"/>
        <v>337.09952139873326</v>
      </c>
      <c r="G31" s="1980">
        <f t="shared" ref="G31:G36" si="30">E31+F31</f>
        <v>337.09952139873326</v>
      </c>
      <c r="H31" s="1950"/>
      <c r="I31" s="1876">
        <f t="shared" si="28"/>
        <v>503.25844847933172</v>
      </c>
      <c r="J31" s="1877">
        <f t="shared" ref="J31:J36" si="31">H31+I31</f>
        <v>503.25844847933172</v>
      </c>
      <c r="K31" s="1954"/>
      <c r="M31" s="1046" t="s">
        <v>13</v>
      </c>
      <c r="N31" s="1046"/>
      <c r="O31" s="1890"/>
      <c r="P31" s="1874"/>
      <c r="Q31" s="1981"/>
      <c r="R31" s="1981">
        <f t="shared" si="25"/>
        <v>257.33296229106656</v>
      </c>
      <c r="S31" s="1980">
        <f t="shared" ref="S31:S36" si="32">Q31+R31</f>
        <v>257.33296229106656</v>
      </c>
      <c r="T31" s="1950"/>
      <c r="U31" s="1876">
        <f t="shared" si="29"/>
        <v>382.52508555313017</v>
      </c>
      <c r="V31" s="1877">
        <f t="shared" ref="V31:V36" si="33">T31+U31</f>
        <v>382.52508555313017</v>
      </c>
      <c r="W31" s="1878"/>
    </row>
    <row r="32" spans="1:23" x14ac:dyDescent="0.25">
      <c r="A32" s="1873" t="s">
        <v>133</v>
      </c>
      <c r="B32" s="1888"/>
      <c r="C32" s="1622"/>
      <c r="D32" s="1046"/>
      <c r="E32" s="1978"/>
      <c r="F32" s="1981">
        <f t="shared" si="27"/>
        <v>337.09952139873326</v>
      </c>
      <c r="G32" s="1980">
        <f t="shared" si="30"/>
        <v>337.09952139873326</v>
      </c>
      <c r="H32" s="1950"/>
      <c r="I32" s="1876">
        <f t="shared" si="28"/>
        <v>503.25844847933172</v>
      </c>
      <c r="J32" s="1877">
        <f t="shared" si="31"/>
        <v>503.25844847933172</v>
      </c>
      <c r="K32" s="1954"/>
      <c r="M32" s="1046" t="s">
        <v>133</v>
      </c>
      <c r="N32" s="1046"/>
      <c r="O32" s="1890"/>
      <c r="P32" s="1874"/>
      <c r="Q32" s="1981"/>
      <c r="R32" s="1981">
        <f t="shared" si="25"/>
        <v>257.33296229106656</v>
      </c>
      <c r="S32" s="1980">
        <f t="shared" si="32"/>
        <v>257.33296229106656</v>
      </c>
      <c r="T32" s="1950"/>
      <c r="U32" s="1876">
        <f t="shared" si="29"/>
        <v>382.52508555313017</v>
      </c>
      <c r="V32" s="1877">
        <f t="shared" si="33"/>
        <v>382.52508555313017</v>
      </c>
      <c r="W32" s="1878"/>
    </row>
    <row r="33" spans="1:23" x14ac:dyDescent="0.25">
      <c r="A33" s="1873" t="s">
        <v>15</v>
      </c>
      <c r="B33" s="1888"/>
      <c r="C33" s="1622"/>
      <c r="D33" s="1046"/>
      <c r="E33" s="1978"/>
      <c r="F33" s="1981">
        <f t="shared" si="27"/>
        <v>337.09952139873326</v>
      </c>
      <c r="G33" s="1980">
        <f t="shared" si="30"/>
        <v>337.09952139873326</v>
      </c>
      <c r="H33" s="1950"/>
      <c r="I33" s="1876">
        <f t="shared" si="28"/>
        <v>503.25844847933172</v>
      </c>
      <c r="J33" s="1877">
        <f t="shared" si="31"/>
        <v>503.25844847933172</v>
      </c>
      <c r="K33" s="1954"/>
      <c r="M33" s="1046" t="s">
        <v>15</v>
      </c>
      <c r="N33" s="1046"/>
      <c r="O33" s="1890"/>
      <c r="P33" s="1874"/>
      <c r="Q33" s="1981"/>
      <c r="R33" s="1981">
        <f t="shared" si="25"/>
        <v>257.33296229106656</v>
      </c>
      <c r="S33" s="1980">
        <f t="shared" si="32"/>
        <v>257.33296229106656</v>
      </c>
      <c r="T33" s="1950"/>
      <c r="U33" s="1876">
        <f t="shared" si="29"/>
        <v>382.52508555313017</v>
      </c>
      <c r="V33" s="1877">
        <f t="shared" si="33"/>
        <v>382.52508555313017</v>
      </c>
      <c r="W33" s="1878"/>
    </row>
    <row r="34" spans="1:23" x14ac:dyDescent="0.25">
      <c r="A34" s="1873" t="s">
        <v>16</v>
      </c>
      <c r="B34" s="1888"/>
      <c r="C34" s="1622"/>
      <c r="D34" s="1046"/>
      <c r="E34" s="1978"/>
      <c r="F34" s="1981">
        <f t="shared" si="27"/>
        <v>337.09952139873326</v>
      </c>
      <c r="G34" s="1980">
        <f t="shared" si="30"/>
        <v>337.09952139873326</v>
      </c>
      <c r="H34" s="1950"/>
      <c r="I34" s="1876">
        <f t="shared" si="28"/>
        <v>503.25844847933172</v>
      </c>
      <c r="J34" s="1877">
        <f t="shared" si="31"/>
        <v>503.25844847933172</v>
      </c>
      <c r="K34" s="1954"/>
      <c r="M34" s="1046" t="s">
        <v>16</v>
      </c>
      <c r="N34" s="1046"/>
      <c r="O34" s="1890"/>
      <c r="P34" s="1874"/>
      <c r="Q34" s="1981"/>
      <c r="R34" s="1981">
        <f t="shared" si="25"/>
        <v>257.33296229106656</v>
      </c>
      <c r="S34" s="1980">
        <f t="shared" si="32"/>
        <v>257.33296229106656</v>
      </c>
      <c r="T34" s="1950"/>
      <c r="U34" s="1876">
        <f t="shared" si="29"/>
        <v>382.52508555313017</v>
      </c>
      <c r="V34" s="1877">
        <f t="shared" si="33"/>
        <v>382.52508555313017</v>
      </c>
      <c r="W34" s="1878"/>
    </row>
    <row r="35" spans="1:23" x14ac:dyDescent="0.25">
      <c r="A35" s="1873" t="s">
        <v>17</v>
      </c>
      <c r="B35" s="1888"/>
      <c r="C35" s="1622"/>
      <c r="D35" s="1046"/>
      <c r="E35" s="1978"/>
      <c r="F35" s="1981">
        <f t="shared" si="27"/>
        <v>337.09952139873326</v>
      </c>
      <c r="G35" s="1980">
        <f t="shared" si="30"/>
        <v>337.09952139873326</v>
      </c>
      <c r="H35" s="1950"/>
      <c r="I35" s="1876">
        <f t="shared" si="28"/>
        <v>503.25844847933172</v>
      </c>
      <c r="J35" s="1877">
        <f t="shared" si="31"/>
        <v>503.25844847933172</v>
      </c>
      <c r="K35" s="1954"/>
      <c r="M35" s="1046" t="s">
        <v>17</v>
      </c>
      <c r="N35" s="1046"/>
      <c r="O35" s="1890"/>
      <c r="P35" s="1874"/>
      <c r="Q35" s="1981"/>
      <c r="R35" s="1981">
        <f t="shared" si="25"/>
        <v>257.33296229106656</v>
      </c>
      <c r="S35" s="1980">
        <f t="shared" si="32"/>
        <v>257.33296229106656</v>
      </c>
      <c r="T35" s="1950"/>
      <c r="U35" s="1876">
        <f t="shared" si="29"/>
        <v>382.52508555313017</v>
      </c>
      <c r="V35" s="1877">
        <f t="shared" si="33"/>
        <v>382.52508555313017</v>
      </c>
      <c r="W35" s="1878"/>
    </row>
    <row r="36" spans="1:23" x14ac:dyDescent="0.25">
      <c r="A36" s="1873" t="s">
        <v>18</v>
      </c>
      <c r="B36" s="1891"/>
      <c r="C36" s="1622"/>
      <c r="D36" s="1046"/>
      <c r="E36" s="1978"/>
      <c r="F36" s="1981">
        <f t="shared" si="27"/>
        <v>337.09952139873326</v>
      </c>
      <c r="G36" s="1980">
        <f t="shared" si="30"/>
        <v>337.09952139873326</v>
      </c>
      <c r="H36" s="1950"/>
      <c r="I36" s="1876">
        <f t="shared" si="28"/>
        <v>503.25844847933172</v>
      </c>
      <c r="J36" s="1877">
        <f t="shared" si="31"/>
        <v>503.25844847933172</v>
      </c>
      <c r="K36" s="1955"/>
      <c r="M36" s="1046" t="s">
        <v>18</v>
      </c>
      <c r="N36" s="1968"/>
      <c r="O36" s="1890"/>
      <c r="P36" s="1874"/>
      <c r="Q36" s="1981"/>
      <c r="R36" s="1981">
        <f t="shared" si="25"/>
        <v>257.33296229106656</v>
      </c>
      <c r="S36" s="1980">
        <f t="shared" si="32"/>
        <v>257.33296229106656</v>
      </c>
      <c r="T36" s="1950"/>
      <c r="U36" s="1876">
        <f t="shared" si="29"/>
        <v>382.52508555313017</v>
      </c>
      <c r="V36" s="1877">
        <f t="shared" si="33"/>
        <v>382.52508555313017</v>
      </c>
      <c r="W36" s="1961"/>
    </row>
    <row r="37" spans="1:23" s="15" customFormat="1" ht="15" thickBot="1" x14ac:dyDescent="0.35">
      <c r="A37" s="1881" t="s">
        <v>873</v>
      </c>
      <c r="B37" s="1932">
        <f>SUM(B25:B30)</f>
        <v>9.8008000000000012E-2</v>
      </c>
      <c r="C37" s="1939">
        <f>SUM(C25:C30)</f>
        <v>8023.8951427823995</v>
      </c>
      <c r="D37" s="883"/>
      <c r="E37" s="1983">
        <f>SUM(E25:E30)</f>
        <v>3978.7008859975999</v>
      </c>
      <c r="F37" s="1984">
        <f>SUM(F25:F36)</f>
        <v>4045.1942567848</v>
      </c>
      <c r="G37" s="1990">
        <f>SUM(G25:G36)</f>
        <v>8023.8951427824013</v>
      </c>
      <c r="H37" s="1951">
        <f>SUM(H25:H30)</f>
        <v>6767.2296278160002</v>
      </c>
      <c r="I37" s="1883">
        <f>SUM(I25:I36)</f>
        <v>6039.1013817519788</v>
      </c>
      <c r="J37" s="1944">
        <f>SUM(J25:J36)</f>
        <v>12806.331009567981</v>
      </c>
      <c r="K37" s="1956">
        <f>J37/G37-1</f>
        <v>0.59602422285982182</v>
      </c>
      <c r="L37" s="1935"/>
      <c r="M37" s="883" t="s">
        <v>873</v>
      </c>
      <c r="N37" s="883"/>
      <c r="O37" s="1942">
        <f>SUM(O25:O30)</f>
        <v>6795.2476060111994</v>
      </c>
      <c r="P37" s="1933">
        <f>SUM(P25:P30)</f>
        <v>9.8008000000000012E-2</v>
      </c>
      <c r="Q37" s="1984">
        <f>SUM(Q25:Q30)</f>
        <v>3707.2520585184002</v>
      </c>
      <c r="R37" s="1984">
        <f>SUM(R25:R36)</f>
        <v>3087.9955474927979</v>
      </c>
      <c r="S37" s="1990">
        <f>SUM(S25:S36)</f>
        <v>6795.2476060112012</v>
      </c>
      <c r="T37" s="1951">
        <f>SUM(T25:T30)</f>
        <v>6054.8429357472005</v>
      </c>
      <c r="U37" s="1883">
        <f>SUM(U25:U36)</f>
        <v>4590.3010266375632</v>
      </c>
      <c r="V37" s="1944">
        <f>SUM(V25:V36)</f>
        <v>10645.143962384764</v>
      </c>
      <c r="W37" s="1885">
        <f>V37/S37-1</f>
        <v>0.56655718519629406</v>
      </c>
    </row>
    <row r="38" spans="1:23" ht="14.4" thickBot="1" x14ac:dyDescent="0.3">
      <c r="A38" s="5066" t="s">
        <v>3041</v>
      </c>
      <c r="B38" s="5066"/>
      <c r="C38" s="5066"/>
      <c r="D38" s="5066"/>
      <c r="E38" s="5066"/>
      <c r="F38" s="5066"/>
      <c r="G38" s="5066"/>
      <c r="H38" s="5066"/>
      <c r="I38" s="5066"/>
      <c r="J38" s="5066"/>
      <c r="K38" s="5066"/>
      <c r="M38" s="5066" t="s">
        <v>3041</v>
      </c>
      <c r="N38" s="5066"/>
      <c r="O38" s="5066"/>
      <c r="P38" s="5066"/>
      <c r="Q38" s="5066"/>
      <c r="R38" s="5066"/>
      <c r="S38" s="5066"/>
      <c r="T38" s="5066"/>
      <c r="U38" s="5066"/>
      <c r="V38" s="5066"/>
      <c r="W38" s="5066"/>
    </row>
    <row r="39" spans="1:23" s="1872" customFormat="1" ht="41.4" hidden="1" x14ac:dyDescent="0.3">
      <c r="A39" s="1866" t="s">
        <v>2422</v>
      </c>
      <c r="B39" s="1866" t="s">
        <v>3027</v>
      </c>
      <c r="C39" s="1925" t="s">
        <v>3029</v>
      </c>
      <c r="D39" s="1866" t="s">
        <v>3027</v>
      </c>
      <c r="E39" s="1986" t="s">
        <v>3030</v>
      </c>
      <c r="F39" s="1986" t="s">
        <v>3031</v>
      </c>
      <c r="G39" s="1987" t="s">
        <v>3032</v>
      </c>
      <c r="H39" s="1868" t="s">
        <v>3030</v>
      </c>
      <c r="I39" s="1868" t="s">
        <v>3031</v>
      </c>
      <c r="J39" s="1936" t="s">
        <v>3032</v>
      </c>
      <c r="K39" s="1927"/>
      <c r="M39" s="1866" t="s">
        <v>2422</v>
      </c>
      <c r="N39" s="1866" t="s">
        <v>3027</v>
      </c>
      <c r="O39" s="1925" t="s">
        <v>3029</v>
      </c>
      <c r="P39" s="1866" t="s">
        <v>3027</v>
      </c>
      <c r="Q39" s="1986" t="s">
        <v>3030</v>
      </c>
      <c r="R39" s="1986" t="s">
        <v>3031</v>
      </c>
      <c r="S39" s="1987" t="s">
        <v>3032</v>
      </c>
    </row>
    <row r="40" spans="1:23" s="1445" customFormat="1" ht="12.6" customHeight="1" x14ac:dyDescent="0.3">
      <c r="A40" s="1928">
        <v>64.34</v>
      </c>
      <c r="B40" s="1929"/>
      <c r="C40" s="1938">
        <f>C8</f>
        <v>1626.66</v>
      </c>
      <c r="D40" s="1958"/>
      <c r="E40" s="1988">
        <f>E8</f>
        <v>806.59</v>
      </c>
      <c r="F40" s="1991">
        <f>F8</f>
        <v>6.6977850466666657</v>
      </c>
      <c r="G40" s="1989"/>
      <c r="H40" s="1949">
        <f>H8</f>
        <v>1371.9</v>
      </c>
      <c r="I40" s="1937">
        <f>I8</f>
        <v>9.9991744184250297</v>
      </c>
      <c r="J40" s="1943"/>
      <c r="K40" s="1945"/>
      <c r="L40" s="1931"/>
      <c r="M40" s="1912">
        <v>64.34</v>
      </c>
      <c r="N40" s="1958"/>
      <c r="O40" s="1957">
        <f>O8</f>
        <v>1377.58</v>
      </c>
      <c r="P40" s="1929"/>
      <c r="Q40" s="1995">
        <f>Q8</f>
        <v>751.56000000000006</v>
      </c>
      <c r="R40" s="1976">
        <f>R8</f>
        <v>5.1129140133333317</v>
      </c>
      <c r="S40" s="1989"/>
      <c r="T40" s="1940">
        <f>T8</f>
        <v>1227.48</v>
      </c>
      <c r="U40" s="1916">
        <f>U8</f>
        <v>7.6003394705569276</v>
      </c>
      <c r="V40" s="1930"/>
      <c r="W40" s="1921"/>
    </row>
    <row r="41" spans="1:23" x14ac:dyDescent="0.25">
      <c r="A41" s="1873" t="s">
        <v>3034</v>
      </c>
      <c r="B41" s="1886">
        <f t="shared" ref="B41:B46" si="34">B25</f>
        <v>4.5620000000000001E-3</v>
      </c>
      <c r="C41" s="1962">
        <f t="shared" ref="C41:C46" si="35">B41*$A$40*$C$40</f>
        <v>477.4557466728001</v>
      </c>
      <c r="D41" s="1046">
        <f t="shared" ref="D41:D46" si="36">B41</f>
        <v>4.5620000000000001E-3</v>
      </c>
      <c r="E41" s="1978">
        <f t="shared" ref="E41:E46" si="37">$A$40*B41*$E$40</f>
        <v>236.74955473720004</v>
      </c>
      <c r="F41" s="1981">
        <f>$F$40*$A$40</f>
        <v>430.93548990253328</v>
      </c>
      <c r="G41" s="1980">
        <f t="shared" ref="G41:G46" si="38">SUM(E41:F41)</f>
        <v>667.68504463973329</v>
      </c>
      <c r="H41" s="1950">
        <f t="shared" ref="H41:H46" si="39">$A$40*D41*$H$40</f>
        <v>402.6788258520001</v>
      </c>
      <c r="I41" s="1876">
        <f>$I$40*$A$40</f>
        <v>643.34688208146645</v>
      </c>
      <c r="J41" s="1877">
        <f t="shared" ref="J41:J46" si="40">SUM(H41:I41)</f>
        <v>1046.0257079334665</v>
      </c>
      <c r="K41" s="1946"/>
      <c r="M41" s="1963" t="s">
        <v>3034</v>
      </c>
      <c r="N41" s="1046">
        <f t="shared" ref="N41:N46" si="41">N25</f>
        <v>4.5620000000000001E-3</v>
      </c>
      <c r="O41" s="1887">
        <f t="shared" ref="O41:O46" si="42">N41*$A$40*$O$40</f>
        <v>404.34601422640003</v>
      </c>
      <c r="P41" s="1888">
        <f t="shared" ref="P41:P46" si="43">N41</f>
        <v>4.5620000000000001E-3</v>
      </c>
      <c r="Q41" s="1981">
        <f t="shared" ref="Q41:Q46" si="44">$A$40*N41*$Q$40</f>
        <v>220.59719976480005</v>
      </c>
      <c r="R41" s="1981">
        <f t="shared" ref="R41:R52" si="45">$R$40*$A$40</f>
        <v>328.96488761786657</v>
      </c>
      <c r="S41" s="1980">
        <f t="shared" ref="S41:S46" si="46">SUM(Q41:R41)</f>
        <v>549.56208738266662</v>
      </c>
      <c r="T41" s="1941">
        <f t="shared" ref="T41:T46" si="47">$M$40*N41*$T$40</f>
        <v>360.28880031840004</v>
      </c>
      <c r="U41" s="1876">
        <f>$U$40*$A$40</f>
        <v>489.00584153563273</v>
      </c>
      <c r="V41" s="1892">
        <f t="shared" ref="V41:V46" si="48">SUM(T41:U41)</f>
        <v>849.29464185403276</v>
      </c>
      <c r="W41" s="1922"/>
    </row>
    <row r="42" spans="1:23" x14ac:dyDescent="0.25">
      <c r="A42" s="1873" t="s">
        <v>3035</v>
      </c>
      <c r="B42" s="1888">
        <f t="shared" si="34"/>
        <v>1.5029000000000001E-2</v>
      </c>
      <c r="C42" s="1962">
        <f t="shared" si="35"/>
        <v>1572.9246858276001</v>
      </c>
      <c r="D42" s="1046">
        <f t="shared" si="36"/>
        <v>1.5029000000000001E-2</v>
      </c>
      <c r="E42" s="1978">
        <f t="shared" si="37"/>
        <v>779.94499301740007</v>
      </c>
      <c r="F42" s="1981">
        <f t="shared" ref="F42:F52" si="49">$F$40*$A$40</f>
        <v>430.93548990253328</v>
      </c>
      <c r="G42" s="1980">
        <f t="shared" si="38"/>
        <v>1210.8804829199335</v>
      </c>
      <c r="H42" s="1950">
        <f t="shared" si="39"/>
        <v>1326.5804633340001</v>
      </c>
      <c r="I42" s="1876">
        <f t="shared" ref="I42:I52" si="50">$I$40*$A$40</f>
        <v>643.34688208146645</v>
      </c>
      <c r="J42" s="1877">
        <f t="shared" si="40"/>
        <v>1969.9273454154666</v>
      </c>
      <c r="K42" s="1947"/>
      <c r="M42" s="1873" t="s">
        <v>3035</v>
      </c>
      <c r="N42" s="1046">
        <f t="shared" si="41"/>
        <v>1.5029000000000001E-2</v>
      </c>
      <c r="O42" s="1887">
        <f t="shared" si="42"/>
        <v>1332.0728294188</v>
      </c>
      <c r="P42" s="1888">
        <f t="shared" si="43"/>
        <v>1.5029000000000001E-2</v>
      </c>
      <c r="Q42" s="1981">
        <f t="shared" si="44"/>
        <v>726.73286174160012</v>
      </c>
      <c r="R42" s="1981">
        <f t="shared" si="45"/>
        <v>328.96488761786657</v>
      </c>
      <c r="S42" s="1980">
        <f t="shared" si="46"/>
        <v>1055.6977493594668</v>
      </c>
      <c r="T42" s="1941">
        <f t="shared" si="47"/>
        <v>1186.9312538328002</v>
      </c>
      <c r="U42" s="1876">
        <f t="shared" ref="U42:U52" si="51">$U$40*$A$40</f>
        <v>489.00584153563273</v>
      </c>
      <c r="V42" s="1889">
        <f t="shared" si="48"/>
        <v>1675.9370953684329</v>
      </c>
      <c r="W42" s="1923"/>
    </row>
    <row r="43" spans="1:23" x14ac:dyDescent="0.25">
      <c r="A43" s="1873" t="s">
        <v>3036</v>
      </c>
      <c r="B43" s="1888">
        <f t="shared" si="34"/>
        <v>2.1038999999999999E-2</v>
      </c>
      <c r="C43" s="1962">
        <f t="shared" si="35"/>
        <v>2201.9271052716003</v>
      </c>
      <c r="D43" s="1046">
        <f t="shared" si="36"/>
        <v>2.1038999999999999E-2</v>
      </c>
      <c r="E43" s="1978">
        <f t="shared" si="37"/>
        <v>1091.8399566234002</v>
      </c>
      <c r="F43" s="1981">
        <f t="shared" si="49"/>
        <v>430.93548990253328</v>
      </c>
      <c r="G43" s="1980">
        <f t="shared" si="38"/>
        <v>1522.7754465259336</v>
      </c>
      <c r="H43" s="1950">
        <f t="shared" si="39"/>
        <v>1857.0714197940001</v>
      </c>
      <c r="I43" s="1876">
        <f t="shared" si="50"/>
        <v>643.34688208146645</v>
      </c>
      <c r="J43" s="1877">
        <f t="shared" si="40"/>
        <v>2500.4183018754666</v>
      </c>
      <c r="K43" s="1947"/>
      <c r="M43" s="1873" t="s">
        <v>3036</v>
      </c>
      <c r="N43" s="1046">
        <f t="shared" si="41"/>
        <v>2.1038999999999999E-2</v>
      </c>
      <c r="O43" s="1887">
        <f t="shared" si="42"/>
        <v>1864.7601475908</v>
      </c>
      <c r="P43" s="1888">
        <f t="shared" si="43"/>
        <v>2.1038999999999999E-2</v>
      </c>
      <c r="Q43" s="1981">
        <f t="shared" si="44"/>
        <v>1017.3486378456001</v>
      </c>
      <c r="R43" s="1981">
        <f t="shared" si="45"/>
        <v>328.96488761786657</v>
      </c>
      <c r="S43" s="1980">
        <f t="shared" si="46"/>
        <v>1346.3135254634667</v>
      </c>
      <c r="T43" s="1941">
        <f t="shared" si="47"/>
        <v>1661.5773936648002</v>
      </c>
      <c r="U43" s="1876">
        <f t="shared" si="51"/>
        <v>489.00584153563273</v>
      </c>
      <c r="V43" s="1889">
        <f t="shared" si="48"/>
        <v>2150.5832352004327</v>
      </c>
      <c r="W43" s="1923"/>
    </row>
    <row r="44" spans="1:23" x14ac:dyDescent="0.25">
      <c r="A44" s="1873" t="s">
        <v>3037</v>
      </c>
      <c r="B44" s="1888">
        <f t="shared" si="34"/>
        <v>2.2124999999999999E-2</v>
      </c>
      <c r="C44" s="1962">
        <f t="shared" si="35"/>
        <v>2315.5871098500002</v>
      </c>
      <c r="D44" s="1046">
        <f t="shared" si="36"/>
        <v>2.2124999999999999E-2</v>
      </c>
      <c r="E44" s="1978">
        <f t="shared" si="37"/>
        <v>1148.199013275</v>
      </c>
      <c r="F44" s="1981">
        <f t="shared" si="49"/>
        <v>430.93548990253328</v>
      </c>
      <c r="G44" s="1980">
        <f t="shared" si="38"/>
        <v>1579.1345031775331</v>
      </c>
      <c r="H44" s="1950">
        <f t="shared" si="39"/>
        <v>1952.9305177500003</v>
      </c>
      <c r="I44" s="1876">
        <f t="shared" si="50"/>
        <v>643.34688208146645</v>
      </c>
      <c r="J44" s="1877">
        <f t="shared" si="40"/>
        <v>2596.2773998314669</v>
      </c>
      <c r="K44" s="1947"/>
      <c r="M44" s="1873" t="s">
        <v>3037</v>
      </c>
      <c r="N44" s="1046">
        <f t="shared" si="41"/>
        <v>2.2124999999999999E-2</v>
      </c>
      <c r="O44" s="1887">
        <f t="shared" si="42"/>
        <v>1961.01612555</v>
      </c>
      <c r="P44" s="1888">
        <f t="shared" si="43"/>
        <v>2.2124999999999999E-2</v>
      </c>
      <c r="Q44" s="1981">
        <f t="shared" si="44"/>
        <v>1069.8625701000001</v>
      </c>
      <c r="R44" s="1981">
        <f t="shared" si="45"/>
        <v>328.96488761786657</v>
      </c>
      <c r="S44" s="1980">
        <f t="shared" si="46"/>
        <v>1398.8274577178668</v>
      </c>
      <c r="T44" s="1941">
        <f t="shared" si="47"/>
        <v>1747.3453982999999</v>
      </c>
      <c r="U44" s="1876">
        <f t="shared" si="51"/>
        <v>489.00584153563273</v>
      </c>
      <c r="V44" s="1889">
        <f t="shared" si="48"/>
        <v>2236.3512398356324</v>
      </c>
      <c r="W44" s="1923"/>
    </row>
    <row r="45" spans="1:23" x14ac:dyDescent="0.25">
      <c r="A45" s="1873" t="s">
        <v>3038</v>
      </c>
      <c r="B45" s="1888">
        <f t="shared" si="34"/>
        <v>2.0251000000000002E-2</v>
      </c>
      <c r="C45" s="1962">
        <f t="shared" si="35"/>
        <v>2119.4555734044002</v>
      </c>
      <c r="D45" s="1046">
        <f t="shared" si="36"/>
        <v>2.0251000000000002E-2</v>
      </c>
      <c r="E45" s="1978">
        <f t="shared" si="37"/>
        <v>1050.9459081506002</v>
      </c>
      <c r="F45" s="1981">
        <f t="shared" si="49"/>
        <v>430.93548990253328</v>
      </c>
      <c r="G45" s="1980">
        <f t="shared" si="38"/>
        <v>1481.8813980531336</v>
      </c>
      <c r="H45" s="1950">
        <f t="shared" si="39"/>
        <v>1787.5161995460003</v>
      </c>
      <c r="I45" s="1876">
        <f t="shared" si="50"/>
        <v>643.34688208146645</v>
      </c>
      <c r="J45" s="1877">
        <f t="shared" si="40"/>
        <v>2430.8630816274667</v>
      </c>
      <c r="K45" s="1947"/>
      <c r="M45" s="1873" t="s">
        <v>3038</v>
      </c>
      <c r="N45" s="1046">
        <f t="shared" si="41"/>
        <v>2.0251000000000002E-2</v>
      </c>
      <c r="O45" s="1887">
        <f t="shared" si="42"/>
        <v>1794.9169517972</v>
      </c>
      <c r="P45" s="1888">
        <f t="shared" si="43"/>
        <v>2.0251000000000002E-2</v>
      </c>
      <c r="Q45" s="1981">
        <f t="shared" si="44"/>
        <v>979.24460597040013</v>
      </c>
      <c r="R45" s="1981">
        <f t="shared" si="45"/>
        <v>328.96488761786657</v>
      </c>
      <c r="S45" s="1980">
        <f t="shared" si="46"/>
        <v>1308.2094935882667</v>
      </c>
      <c r="T45" s="1941">
        <f t="shared" si="47"/>
        <v>1599.3442558632</v>
      </c>
      <c r="U45" s="1876">
        <f t="shared" si="51"/>
        <v>489.00584153563273</v>
      </c>
      <c r="V45" s="1889">
        <f t="shared" si="48"/>
        <v>2088.350097398833</v>
      </c>
      <c r="W45" s="1923"/>
    </row>
    <row r="46" spans="1:23" x14ac:dyDescent="0.25">
      <c r="A46" s="1873" t="s">
        <v>3039</v>
      </c>
      <c r="B46" s="1888">
        <f t="shared" si="34"/>
        <v>1.5002E-2</v>
      </c>
      <c r="C46" s="1962">
        <f t="shared" si="35"/>
        <v>1570.0988846088003</v>
      </c>
      <c r="D46" s="1046">
        <f t="shared" si="36"/>
        <v>1.5002E-2</v>
      </c>
      <c r="E46" s="1978">
        <f t="shared" si="37"/>
        <v>778.54380100120011</v>
      </c>
      <c r="F46" s="1981">
        <f t="shared" si="49"/>
        <v>430.93548990253328</v>
      </c>
      <c r="G46" s="1980">
        <f t="shared" si="38"/>
        <v>1209.4792909037333</v>
      </c>
      <c r="H46" s="1950">
        <f t="shared" si="39"/>
        <v>1324.1972260920002</v>
      </c>
      <c r="I46" s="1876">
        <f t="shared" si="50"/>
        <v>643.34688208146645</v>
      </c>
      <c r="J46" s="1877">
        <f t="shared" si="40"/>
        <v>1967.5441081734666</v>
      </c>
      <c r="K46" s="1947"/>
      <c r="M46" s="1873" t="s">
        <v>3039</v>
      </c>
      <c r="N46" s="1046">
        <f t="shared" si="41"/>
        <v>1.5002E-2</v>
      </c>
      <c r="O46" s="1887">
        <f t="shared" si="42"/>
        <v>1329.6797249944</v>
      </c>
      <c r="P46" s="1888">
        <f t="shared" si="43"/>
        <v>1.5002E-2</v>
      </c>
      <c r="Q46" s="1981">
        <f t="shared" si="44"/>
        <v>725.42726674080006</v>
      </c>
      <c r="R46" s="1981">
        <f t="shared" si="45"/>
        <v>328.96488761786657</v>
      </c>
      <c r="S46" s="1980">
        <f t="shared" si="46"/>
        <v>1054.3921543586666</v>
      </c>
      <c r="T46" s="1941">
        <f t="shared" si="47"/>
        <v>1184.7989001264</v>
      </c>
      <c r="U46" s="1876">
        <f t="shared" si="51"/>
        <v>489.00584153563273</v>
      </c>
      <c r="V46" s="1889">
        <f t="shared" si="48"/>
        <v>1673.8047416620327</v>
      </c>
      <c r="W46" s="1923"/>
    </row>
    <row r="47" spans="1:23" x14ac:dyDescent="0.25">
      <c r="A47" s="1873" t="s">
        <v>13</v>
      </c>
      <c r="B47" s="1888"/>
      <c r="C47" s="1962"/>
      <c r="D47" s="1046"/>
      <c r="E47" s="1978"/>
      <c r="F47" s="1981">
        <f t="shared" si="49"/>
        <v>430.93548990253328</v>
      </c>
      <c r="G47" s="1980">
        <f t="shared" ref="G47:G52" si="52">E47+F47</f>
        <v>430.93548990253328</v>
      </c>
      <c r="H47" s="1950"/>
      <c r="I47" s="1876">
        <f t="shared" si="50"/>
        <v>643.34688208146645</v>
      </c>
      <c r="J47" s="1877">
        <f t="shared" ref="J47:J52" si="53">H47+I47</f>
        <v>643.34688208146645</v>
      </c>
      <c r="K47" s="1947"/>
      <c r="M47" s="1873" t="s">
        <v>13</v>
      </c>
      <c r="N47" s="1046"/>
      <c r="O47" s="1890"/>
      <c r="P47" s="1874"/>
      <c r="Q47" s="1981"/>
      <c r="R47" s="1981">
        <f t="shared" si="45"/>
        <v>328.96488761786657</v>
      </c>
      <c r="S47" s="1980">
        <f t="shared" ref="S47:S52" si="54">Q47+R47</f>
        <v>328.96488761786657</v>
      </c>
      <c r="T47" s="1941"/>
      <c r="U47" s="1876">
        <f t="shared" si="51"/>
        <v>489.00584153563273</v>
      </c>
      <c r="V47" s="1889">
        <f t="shared" ref="V47:V52" si="55">T47+U47</f>
        <v>489.00584153563273</v>
      </c>
      <c r="W47" s="1923"/>
    </row>
    <row r="48" spans="1:23" x14ac:dyDescent="0.25">
      <c r="A48" s="1873" t="s">
        <v>133</v>
      </c>
      <c r="B48" s="1888"/>
      <c r="C48" s="1962"/>
      <c r="D48" s="1046"/>
      <c r="E48" s="1978"/>
      <c r="F48" s="1981">
        <f t="shared" si="49"/>
        <v>430.93548990253328</v>
      </c>
      <c r="G48" s="1980">
        <f t="shared" si="52"/>
        <v>430.93548990253328</v>
      </c>
      <c r="H48" s="1950"/>
      <c r="I48" s="1876">
        <f t="shared" si="50"/>
        <v>643.34688208146645</v>
      </c>
      <c r="J48" s="1877">
        <f t="shared" si="53"/>
        <v>643.34688208146645</v>
      </c>
      <c r="K48" s="1947"/>
      <c r="M48" s="1873" t="s">
        <v>133</v>
      </c>
      <c r="N48" s="1046"/>
      <c r="O48" s="1890"/>
      <c r="P48" s="1874"/>
      <c r="Q48" s="1981"/>
      <c r="R48" s="1981">
        <f t="shared" si="45"/>
        <v>328.96488761786657</v>
      </c>
      <c r="S48" s="1980">
        <f t="shared" si="54"/>
        <v>328.96488761786657</v>
      </c>
      <c r="T48" s="1941"/>
      <c r="U48" s="1876">
        <f t="shared" si="51"/>
        <v>489.00584153563273</v>
      </c>
      <c r="V48" s="1889">
        <f t="shared" si="55"/>
        <v>489.00584153563273</v>
      </c>
      <c r="W48" s="1923"/>
    </row>
    <row r="49" spans="1:23" x14ac:dyDescent="0.25">
      <c r="A49" s="1873" t="s">
        <v>15</v>
      </c>
      <c r="B49" s="1888"/>
      <c r="C49" s="1962"/>
      <c r="D49" s="1046"/>
      <c r="E49" s="1978"/>
      <c r="F49" s="1981">
        <f t="shared" si="49"/>
        <v>430.93548990253328</v>
      </c>
      <c r="G49" s="1980">
        <f t="shared" si="52"/>
        <v>430.93548990253328</v>
      </c>
      <c r="H49" s="1950"/>
      <c r="I49" s="1876">
        <f t="shared" si="50"/>
        <v>643.34688208146645</v>
      </c>
      <c r="J49" s="1877">
        <f t="shared" si="53"/>
        <v>643.34688208146645</v>
      </c>
      <c r="K49" s="1947"/>
      <c r="M49" s="1873" t="s">
        <v>15</v>
      </c>
      <c r="N49" s="1046"/>
      <c r="O49" s="1890"/>
      <c r="P49" s="1874"/>
      <c r="Q49" s="1981"/>
      <c r="R49" s="1981">
        <f t="shared" si="45"/>
        <v>328.96488761786657</v>
      </c>
      <c r="S49" s="1980">
        <f t="shared" si="54"/>
        <v>328.96488761786657</v>
      </c>
      <c r="T49" s="1941"/>
      <c r="U49" s="1876">
        <f t="shared" si="51"/>
        <v>489.00584153563273</v>
      </c>
      <c r="V49" s="1889">
        <f t="shared" si="55"/>
        <v>489.00584153563273</v>
      </c>
      <c r="W49" s="1923"/>
    </row>
    <row r="50" spans="1:23" x14ac:dyDescent="0.25">
      <c r="A50" s="1873" t="s">
        <v>16</v>
      </c>
      <c r="B50" s="1888"/>
      <c r="C50" s="1962"/>
      <c r="D50" s="1046"/>
      <c r="E50" s="1978"/>
      <c r="F50" s="1981">
        <f t="shared" si="49"/>
        <v>430.93548990253328</v>
      </c>
      <c r="G50" s="1980">
        <f t="shared" si="52"/>
        <v>430.93548990253328</v>
      </c>
      <c r="H50" s="1950"/>
      <c r="I50" s="1876">
        <f t="shared" si="50"/>
        <v>643.34688208146645</v>
      </c>
      <c r="J50" s="1877">
        <f t="shared" si="53"/>
        <v>643.34688208146645</v>
      </c>
      <c r="K50" s="1947"/>
      <c r="M50" s="1873" t="s">
        <v>16</v>
      </c>
      <c r="N50" s="1046"/>
      <c r="O50" s="1890"/>
      <c r="P50" s="1874"/>
      <c r="Q50" s="1981"/>
      <c r="R50" s="1981">
        <f t="shared" si="45"/>
        <v>328.96488761786657</v>
      </c>
      <c r="S50" s="1980">
        <f t="shared" si="54"/>
        <v>328.96488761786657</v>
      </c>
      <c r="T50" s="1941"/>
      <c r="U50" s="1876">
        <f t="shared" si="51"/>
        <v>489.00584153563273</v>
      </c>
      <c r="V50" s="1889">
        <f t="shared" si="55"/>
        <v>489.00584153563273</v>
      </c>
      <c r="W50" s="1923"/>
    </row>
    <row r="51" spans="1:23" x14ac:dyDescent="0.25">
      <c r="A51" s="1873" t="s">
        <v>17</v>
      </c>
      <c r="B51" s="1888"/>
      <c r="C51" s="1962"/>
      <c r="D51" s="1046"/>
      <c r="E51" s="1978"/>
      <c r="F51" s="1981">
        <f t="shared" si="49"/>
        <v>430.93548990253328</v>
      </c>
      <c r="G51" s="1980">
        <f t="shared" si="52"/>
        <v>430.93548990253328</v>
      </c>
      <c r="H51" s="1950"/>
      <c r="I51" s="1876">
        <f t="shared" si="50"/>
        <v>643.34688208146645</v>
      </c>
      <c r="J51" s="1877">
        <f t="shared" si="53"/>
        <v>643.34688208146645</v>
      </c>
      <c r="K51" s="1947"/>
      <c r="M51" s="1873" t="s">
        <v>17</v>
      </c>
      <c r="N51" s="1046"/>
      <c r="O51" s="1890"/>
      <c r="P51" s="1874"/>
      <c r="Q51" s="1981"/>
      <c r="R51" s="1981">
        <f t="shared" si="45"/>
        <v>328.96488761786657</v>
      </c>
      <c r="S51" s="1980">
        <f t="shared" si="54"/>
        <v>328.96488761786657</v>
      </c>
      <c r="T51" s="1941"/>
      <c r="U51" s="1876">
        <f t="shared" si="51"/>
        <v>489.00584153563273</v>
      </c>
      <c r="V51" s="1889">
        <f t="shared" si="55"/>
        <v>489.00584153563273</v>
      </c>
      <c r="W51" s="1923"/>
    </row>
    <row r="52" spans="1:23" x14ac:dyDescent="0.25">
      <c r="A52" s="1873" t="s">
        <v>18</v>
      </c>
      <c r="B52" s="1891"/>
      <c r="C52" s="1962"/>
      <c r="D52" s="1046"/>
      <c r="E52" s="1978"/>
      <c r="F52" s="1981">
        <f t="shared" si="49"/>
        <v>430.93548990253328</v>
      </c>
      <c r="G52" s="1980">
        <f t="shared" si="52"/>
        <v>430.93548990253328</v>
      </c>
      <c r="H52" s="1950"/>
      <c r="I52" s="1876">
        <f t="shared" si="50"/>
        <v>643.34688208146645</v>
      </c>
      <c r="J52" s="1877">
        <f t="shared" si="53"/>
        <v>643.34688208146645</v>
      </c>
      <c r="K52" s="1948"/>
      <c r="M52" s="1964" t="s">
        <v>18</v>
      </c>
      <c r="N52" s="1046"/>
      <c r="O52" s="1890"/>
      <c r="P52" s="1874"/>
      <c r="Q52" s="1981"/>
      <c r="R52" s="1981">
        <f t="shared" si="45"/>
        <v>328.96488761786657</v>
      </c>
      <c r="S52" s="1980">
        <f t="shared" si="54"/>
        <v>328.96488761786657</v>
      </c>
      <c r="T52" s="1941"/>
      <c r="U52" s="1876">
        <f t="shared" si="51"/>
        <v>489.00584153563273</v>
      </c>
      <c r="V52" s="1893">
        <f t="shared" si="55"/>
        <v>489.00584153563273</v>
      </c>
      <c r="W52" s="1924"/>
    </row>
    <row r="53" spans="1:23" s="15" customFormat="1" ht="15" thickBot="1" x14ac:dyDescent="0.35">
      <c r="A53" s="1881" t="s">
        <v>873</v>
      </c>
      <c r="B53" s="1933">
        <f>SUM(B41:B46)</f>
        <v>9.8008000000000012E-2</v>
      </c>
      <c r="C53" s="1939">
        <f>SUM(C41:C46)</f>
        <v>10257.449105635202</v>
      </c>
      <c r="D53" s="883"/>
      <c r="E53" s="1983">
        <f>SUM(E41:E46)</f>
        <v>5086.223226804801</v>
      </c>
      <c r="F53" s="1984">
        <f>SUM(F41:F52)</f>
        <v>5171.2258788303989</v>
      </c>
      <c r="G53" s="1990">
        <f>SUM(G41:G52)</f>
        <v>10257.449105635198</v>
      </c>
      <c r="H53" s="1951">
        <f>SUM(H41:H46)</f>
        <v>8650.9746523680005</v>
      </c>
      <c r="I53" s="1883">
        <f>SUM(I41:I52)</f>
        <v>7720.1625849775992</v>
      </c>
      <c r="J53" s="1944">
        <f>SUM(J41:J52)</f>
        <v>16371.137237345602</v>
      </c>
      <c r="K53" s="1885">
        <f>J53/G53-1</f>
        <v>0.59602422285982271</v>
      </c>
      <c r="L53" s="1935"/>
      <c r="M53" s="1880" t="s">
        <v>873</v>
      </c>
      <c r="N53" s="883"/>
      <c r="O53" s="1942">
        <f>SUM(O41:O46)</f>
        <v>8686.7917935775986</v>
      </c>
      <c r="P53" s="1933">
        <f>SUM(P41:P46)</f>
        <v>9.8008000000000012E-2</v>
      </c>
      <c r="Q53" s="1984">
        <f>SUM(Q41:Q46)</f>
        <v>4739.2131421632012</v>
      </c>
      <c r="R53" s="1984">
        <f>SUM(R41:R52)</f>
        <v>3947.5786514143997</v>
      </c>
      <c r="S53" s="1990">
        <f>SUM(S41:S52)</f>
        <v>8686.7917935775986</v>
      </c>
      <c r="T53" s="1942">
        <f>SUM(T41:T46)</f>
        <v>7740.2860021056003</v>
      </c>
      <c r="U53" s="1883">
        <f>SUM(U41:U52)</f>
        <v>5868.0700984275909</v>
      </c>
      <c r="V53" s="1934">
        <f>SUM(V41:V52)</f>
        <v>13608.35610053319</v>
      </c>
      <c r="W53" s="1885">
        <f>V53/S53-1</f>
        <v>0.56655718519629406</v>
      </c>
    </row>
  </sheetData>
  <mergeCells count="18">
    <mergeCell ref="A2:J2"/>
    <mergeCell ref="M2:V2"/>
    <mergeCell ref="T3:V3"/>
    <mergeCell ref="W3:W6"/>
    <mergeCell ref="A38:K38"/>
    <mergeCell ref="M38:W38"/>
    <mergeCell ref="A7:K7"/>
    <mergeCell ref="M7:W7"/>
    <mergeCell ref="A22:K22"/>
    <mergeCell ref="M22:W22"/>
    <mergeCell ref="H3:J3"/>
    <mergeCell ref="E3:G3"/>
    <mergeCell ref="D3:D6"/>
    <mergeCell ref="A3:A6"/>
    <mergeCell ref="Q3:S3"/>
    <mergeCell ref="N3:N6"/>
    <mergeCell ref="M3:M6"/>
    <mergeCell ref="K3:K6"/>
  </mergeCells>
  <pageMargins left="0.7" right="0.3" top="0.34" bottom="0.27" header="0.3" footer="0.3"/>
  <pageSetup paperSize="9" orientation="portrait" horizontalDpi="0" verticalDpi="0"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Лист4">
    <tabColor rgb="FF92D050"/>
    <pageSetUpPr fitToPage="1"/>
  </sheetPr>
  <dimension ref="A1:AR84"/>
  <sheetViews>
    <sheetView topLeftCell="B7" zoomScale="110" zoomScaleNormal="110" zoomScaleSheetLayoutView="100" workbookViewId="0">
      <pane xSplit="3" ySplit="5" topLeftCell="E12" activePane="bottomRight" state="frozen"/>
      <selection activeCell="B7" sqref="B7"/>
      <selection pane="topRight" activeCell="E7" sqref="E7"/>
      <selection pane="bottomLeft" activeCell="B12" sqref="B12"/>
      <selection pane="bottomRight" activeCell="L53" sqref="L53"/>
    </sheetView>
  </sheetViews>
  <sheetFormatPr defaultColWidth="9.109375" defaultRowHeight="14.4" x14ac:dyDescent="0.3"/>
  <cols>
    <col min="1" max="1" width="5" style="4359" hidden="1" customWidth="1"/>
    <col min="2" max="2" width="6.33203125" style="4359" customWidth="1"/>
    <col min="3" max="3" width="39.6640625" style="144" customWidth="1"/>
    <col min="4" max="4" width="8.33203125" style="144" customWidth="1"/>
    <col min="5" max="5" width="9" style="144" customWidth="1"/>
    <col min="6" max="6" width="8" style="144" customWidth="1"/>
    <col min="7" max="7" width="9" style="144" customWidth="1"/>
    <col min="8" max="8" width="8.6640625" style="144" bestFit="1" customWidth="1"/>
    <col min="9" max="9" width="7.33203125" style="144" customWidth="1"/>
    <col min="10" max="10" width="8" style="144" customWidth="1"/>
    <col min="11" max="11" width="9.109375" style="144" customWidth="1"/>
    <col min="12" max="12" width="8" style="144" bestFit="1" customWidth="1"/>
    <col min="13" max="13" width="6.33203125" style="144" customWidth="1"/>
    <col min="14" max="14" width="6" style="144" bestFit="1" customWidth="1"/>
    <col min="15" max="15" width="7.33203125" style="144" bestFit="1" customWidth="1"/>
    <col min="16" max="16" width="6.33203125" style="144" customWidth="1"/>
    <col min="17" max="17" width="7.33203125" style="144" customWidth="1"/>
    <col min="18" max="18" width="6.33203125" style="144" customWidth="1"/>
    <col min="19" max="19" width="8" style="144" customWidth="1"/>
    <col min="20" max="20" width="7.44140625" style="144" customWidth="1"/>
    <col min="21" max="21" width="7.33203125" style="144" customWidth="1"/>
    <col min="22" max="22" width="7" style="144" customWidth="1"/>
    <col min="23" max="23" width="7.33203125" style="144" customWidth="1"/>
    <col min="24" max="24" width="7.88671875" style="144" customWidth="1"/>
    <col min="25" max="25" width="13.6640625" style="154" customWidth="1"/>
    <col min="26" max="26" width="10.109375" style="144" customWidth="1"/>
    <col min="27" max="27" width="9.109375" style="144"/>
    <col min="28" max="28" width="12" style="4327" bestFit="1" customWidth="1"/>
    <col min="29" max="29" width="9.88671875" style="4327" customWidth="1"/>
    <col min="30" max="30" width="10.109375" style="4327" customWidth="1"/>
    <col min="31" max="32" width="10.33203125" style="4327" customWidth="1"/>
    <col min="33" max="33" width="9.109375" style="144"/>
    <col min="34" max="34" width="10" style="4328" bestFit="1" customWidth="1"/>
    <col min="35" max="38" width="9.109375" style="4328"/>
    <col min="39" max="39" width="5.6640625" style="4328" customWidth="1"/>
    <col min="40" max="16384" width="9.109375" style="144"/>
  </cols>
  <sheetData>
    <row r="1" spans="1:44" s="104" customFormat="1" ht="32.4" customHeight="1" x14ac:dyDescent="0.25">
      <c r="A1" s="102"/>
      <c r="B1" s="102"/>
      <c r="C1" s="103"/>
      <c r="P1" s="145"/>
      <c r="Q1" s="145"/>
      <c r="R1" s="145"/>
      <c r="S1" s="5019" t="s">
        <v>3125</v>
      </c>
      <c r="T1" s="5019"/>
      <c r="U1" s="5019"/>
      <c r="V1" s="5019"/>
      <c r="W1" s="5019"/>
      <c r="X1" s="5019"/>
      <c r="Y1" s="4320" t="s">
        <v>657</v>
      </c>
      <c r="AB1" s="4321"/>
      <c r="AC1" s="4321"/>
      <c r="AD1" s="4321"/>
      <c r="AE1" s="4321"/>
      <c r="AF1" s="4321"/>
      <c r="AH1" s="4322"/>
      <c r="AI1" s="4322"/>
      <c r="AJ1" s="4322"/>
      <c r="AK1" s="4322"/>
      <c r="AL1" s="4322"/>
      <c r="AM1" s="4322"/>
    </row>
    <row r="2" spans="1:44" s="104" customFormat="1" ht="13.95" customHeight="1" x14ac:dyDescent="0.25">
      <c r="A2" s="102"/>
      <c r="B2" s="102"/>
      <c r="C2" s="103"/>
      <c r="P2" s="145"/>
      <c r="Q2" s="145"/>
      <c r="R2" s="145"/>
      <c r="S2" s="5039" t="str">
        <f>'Вхідні дані'!F1</f>
        <v>станом на 01.09.2023 року</v>
      </c>
      <c r="T2" s="5039"/>
      <c r="U2" s="5039"/>
      <c r="V2" s="5039"/>
      <c r="W2" s="5039"/>
      <c r="X2" s="5039"/>
      <c r="Y2" s="4320"/>
      <c r="AB2" s="4321"/>
      <c r="AC2" s="4321"/>
      <c r="AD2" s="4321"/>
      <c r="AE2" s="4321"/>
      <c r="AF2" s="4321"/>
      <c r="AH2" s="4322"/>
      <c r="AI2" s="4322"/>
      <c r="AJ2" s="4322"/>
      <c r="AK2" s="4322"/>
      <c r="AL2" s="4322"/>
      <c r="AM2" s="4322"/>
    </row>
    <row r="3" spans="1:44" s="104" customFormat="1" ht="13.8" x14ac:dyDescent="0.25">
      <c r="A3" s="102"/>
      <c r="B3" s="102"/>
      <c r="C3" s="5020" t="s">
        <v>451</v>
      </c>
      <c r="D3" s="5020"/>
      <c r="E3" s="5020"/>
      <c r="F3" s="5020"/>
      <c r="G3" s="5020"/>
      <c r="H3" s="5020"/>
      <c r="I3" s="5020"/>
      <c r="J3" s="5020"/>
      <c r="K3" s="5020"/>
      <c r="L3" s="5020"/>
      <c r="M3" s="5020"/>
      <c r="N3" s="5020"/>
      <c r="O3" s="5020"/>
      <c r="P3" s="5020"/>
      <c r="Q3" s="5020"/>
      <c r="R3" s="5020"/>
      <c r="S3" s="5020"/>
      <c r="T3" s="5020"/>
      <c r="U3" s="5020"/>
      <c r="V3" s="5020"/>
      <c r="W3" s="5020"/>
      <c r="X3" s="5020"/>
      <c r="Y3" s="4320"/>
      <c r="AB3" s="4321"/>
      <c r="AC3" s="4321"/>
      <c r="AD3" s="4321"/>
      <c r="AE3" s="4321"/>
      <c r="AF3" s="4321"/>
      <c r="AH3" s="4322"/>
      <c r="AI3" s="4322"/>
      <c r="AJ3" s="4322"/>
      <c r="AK3" s="4322"/>
      <c r="AL3" s="4322"/>
      <c r="AM3" s="4322"/>
    </row>
    <row r="4" spans="1:44" s="104" customFormat="1" ht="13.8" x14ac:dyDescent="0.25">
      <c r="A4" s="102"/>
      <c r="B4" s="102"/>
      <c r="C4" s="5021" t="s">
        <v>1971</v>
      </c>
      <c r="D4" s="5021"/>
      <c r="E4" s="5021"/>
      <c r="F4" s="5021"/>
      <c r="G4" s="5021"/>
      <c r="H4" s="5021"/>
      <c r="I4" s="5021"/>
      <c r="J4" s="5021"/>
      <c r="K4" s="5021"/>
      <c r="L4" s="5021"/>
      <c r="M4" s="5021"/>
      <c r="N4" s="5021"/>
      <c r="O4" s="5021"/>
      <c r="P4" s="5021"/>
      <c r="Q4" s="5021"/>
      <c r="R4" s="5021"/>
      <c r="S4" s="5021"/>
      <c r="T4" s="5021"/>
      <c r="U4" s="5021"/>
      <c r="V4" s="5021"/>
      <c r="W4" s="5021"/>
      <c r="X4" s="5021"/>
      <c r="Y4" s="4320"/>
      <c r="AB4" s="4321"/>
      <c r="AC4" s="4321"/>
      <c r="AD4" s="4321"/>
      <c r="AE4" s="4321"/>
      <c r="AF4" s="4321"/>
      <c r="AH4" s="4322"/>
      <c r="AI4" s="4322"/>
      <c r="AJ4" s="4322"/>
      <c r="AK4" s="4322"/>
      <c r="AL4" s="4322"/>
      <c r="AM4" s="4322"/>
    </row>
    <row r="5" spans="1:44" s="104" customFormat="1" ht="13.8" x14ac:dyDescent="0.25">
      <c r="A5" s="102"/>
      <c r="B5" s="102"/>
      <c r="D5" s="105"/>
      <c r="E5" s="105"/>
      <c r="F5" s="105"/>
      <c r="G5" s="105"/>
      <c r="H5" s="105"/>
      <c r="I5" s="105"/>
      <c r="J5" s="105"/>
      <c r="K5" s="105"/>
      <c r="L5" s="105"/>
      <c r="M5" s="105"/>
      <c r="N5" s="105"/>
      <c r="O5" s="105"/>
      <c r="P5" s="105"/>
      <c r="Q5" s="105"/>
      <c r="R5" s="105"/>
      <c r="S5" s="105"/>
      <c r="T5" s="105"/>
      <c r="U5" s="105"/>
      <c r="V5" s="105"/>
      <c r="W5" s="105"/>
      <c r="X5" s="105"/>
      <c r="Y5" s="4320"/>
      <c r="AB5" s="4321"/>
      <c r="AC5" s="4321"/>
      <c r="AD5" s="4321"/>
      <c r="AE5" s="4321"/>
      <c r="AF5" s="4321"/>
      <c r="AH5" s="4322"/>
      <c r="AI5" s="4322"/>
      <c r="AJ5" s="4322"/>
      <c r="AK5" s="4322"/>
      <c r="AL5" s="4322"/>
      <c r="AM5" s="4322"/>
    </row>
    <row r="6" spans="1:44" s="4324" customFormat="1" thickBot="1" x14ac:dyDescent="0.3">
      <c r="A6" s="4323"/>
      <c r="B6" s="4323"/>
      <c r="D6" s="5022" t="s">
        <v>211</v>
      </c>
      <c r="E6" s="5022"/>
      <c r="F6" s="5022"/>
      <c r="G6" s="5022"/>
      <c r="H6" s="5022"/>
      <c r="I6" s="5022"/>
      <c r="J6" s="5022"/>
      <c r="K6" s="5022"/>
      <c r="L6" s="5022"/>
      <c r="M6" s="5022"/>
      <c r="N6" s="5022"/>
      <c r="O6" s="5022"/>
      <c r="P6" s="5022"/>
      <c r="Q6" s="5022"/>
      <c r="R6" s="5022"/>
      <c r="S6" s="5022"/>
      <c r="T6" s="5022"/>
      <c r="U6" s="5022"/>
      <c r="V6" s="5022"/>
      <c r="W6" s="5022"/>
      <c r="X6" s="5022"/>
      <c r="Y6" s="4320"/>
      <c r="Z6" s="104"/>
      <c r="AA6" s="104"/>
      <c r="AB6" s="4321"/>
      <c r="AC6" s="4321"/>
      <c r="AD6" s="4325"/>
      <c r="AE6" s="4325"/>
      <c r="AF6" s="4325"/>
      <c r="AH6" s="4326"/>
      <c r="AI6" s="4326"/>
      <c r="AJ6" s="4326"/>
      <c r="AK6" s="4326"/>
      <c r="AL6" s="4326"/>
      <c r="AM6" s="4326"/>
    </row>
    <row r="7" spans="1:44" ht="16.5" customHeight="1" x14ac:dyDescent="0.3">
      <c r="A7" s="5023" t="s">
        <v>7</v>
      </c>
      <c r="B7" s="5024" t="s">
        <v>7</v>
      </c>
      <c r="C7" s="5027" t="s">
        <v>8</v>
      </c>
      <c r="D7" s="5030" t="s">
        <v>35</v>
      </c>
      <c r="E7" s="5033" t="s">
        <v>36</v>
      </c>
      <c r="F7" s="5034"/>
      <c r="G7" s="5034"/>
      <c r="H7" s="5035"/>
      <c r="I7" s="5033" t="s">
        <v>37</v>
      </c>
      <c r="J7" s="5034"/>
      <c r="K7" s="5034"/>
      <c r="L7" s="5035"/>
      <c r="M7" s="5033" t="s">
        <v>164</v>
      </c>
      <c r="N7" s="5034"/>
      <c r="O7" s="5034"/>
      <c r="P7" s="5035"/>
      <c r="Q7" s="5033" t="s">
        <v>38</v>
      </c>
      <c r="R7" s="5034"/>
      <c r="S7" s="5034"/>
      <c r="T7" s="5035"/>
      <c r="U7" s="5033" t="s">
        <v>39</v>
      </c>
      <c r="V7" s="5034"/>
      <c r="W7" s="5034"/>
      <c r="X7" s="5035"/>
      <c r="Y7" s="4320"/>
      <c r="Z7" s="104"/>
      <c r="AA7" s="104"/>
      <c r="AB7" s="4321"/>
      <c r="AC7" s="4321"/>
    </row>
    <row r="8" spans="1:44" ht="24.6" customHeight="1" x14ac:dyDescent="0.3">
      <c r="A8" s="5023"/>
      <c r="B8" s="5025"/>
      <c r="C8" s="5028"/>
      <c r="D8" s="5031"/>
      <c r="E8" s="5036"/>
      <c r="F8" s="5037"/>
      <c r="G8" s="5037"/>
      <c r="H8" s="5038"/>
      <c r="I8" s="5036"/>
      <c r="J8" s="5037"/>
      <c r="K8" s="5037"/>
      <c r="L8" s="5038"/>
      <c r="M8" s="5036"/>
      <c r="N8" s="5037"/>
      <c r="O8" s="5037"/>
      <c r="P8" s="5038"/>
      <c r="Q8" s="5036"/>
      <c r="R8" s="5037"/>
      <c r="S8" s="5037"/>
      <c r="T8" s="5038"/>
      <c r="U8" s="5036"/>
      <c r="V8" s="5037"/>
      <c r="W8" s="5037"/>
      <c r="X8" s="5038"/>
    </row>
    <row r="9" spans="1:44" ht="69.599999999999994" x14ac:dyDescent="0.3">
      <c r="A9" s="5023"/>
      <c r="B9" s="5025"/>
      <c r="C9" s="5028"/>
      <c r="D9" s="5031"/>
      <c r="E9" s="106" t="s">
        <v>212</v>
      </c>
      <c r="F9" s="107" t="s">
        <v>213</v>
      </c>
      <c r="G9" s="107" t="s">
        <v>214</v>
      </c>
      <c r="H9" s="108" t="s">
        <v>458</v>
      </c>
      <c r="I9" s="106" t="s">
        <v>212</v>
      </c>
      <c r="J9" s="107" t="s">
        <v>213</v>
      </c>
      <c r="K9" s="107" t="s">
        <v>214</v>
      </c>
      <c r="L9" s="108" t="s">
        <v>458</v>
      </c>
      <c r="M9" s="106" t="s">
        <v>212</v>
      </c>
      <c r="N9" s="107" t="s">
        <v>213</v>
      </c>
      <c r="O9" s="107" t="s">
        <v>214</v>
      </c>
      <c r="P9" s="108" t="s">
        <v>458</v>
      </c>
      <c r="Q9" s="106" t="s">
        <v>212</v>
      </c>
      <c r="R9" s="107" t="s">
        <v>213</v>
      </c>
      <c r="S9" s="107" t="s">
        <v>214</v>
      </c>
      <c r="T9" s="108" t="s">
        <v>458</v>
      </c>
      <c r="U9" s="106" t="s">
        <v>212</v>
      </c>
      <c r="V9" s="107" t="s">
        <v>213</v>
      </c>
      <c r="W9" s="107" t="s">
        <v>214</v>
      </c>
      <c r="X9" s="108" t="s">
        <v>458</v>
      </c>
    </row>
    <row r="10" spans="1:44" ht="37.200000000000003" customHeight="1" x14ac:dyDescent="0.3">
      <c r="A10" s="4329"/>
      <c r="B10" s="5026"/>
      <c r="C10" s="5029"/>
      <c r="D10" s="5032"/>
      <c r="E10" s="4330">
        <f>'Вхідні дані'!$F$8</f>
        <v>2021</v>
      </c>
      <c r="F10" s="121">
        <f>'Вхідні дані'!$F$7</f>
        <v>2022</v>
      </c>
      <c r="G10" s="3467" t="str">
        <f>'Вхідні дані'!$F$9</f>
        <v>Ріш. №296 від 25.10.2022</v>
      </c>
      <c r="H10" s="4331" t="str">
        <f>'Вхідні дані'!$F$6</f>
        <v>2023-2024</v>
      </c>
      <c r="I10" s="4330">
        <f>'Вхідні дані'!$F$8</f>
        <v>2021</v>
      </c>
      <c r="J10" s="121">
        <f>'Вхідні дані'!$F$7</f>
        <v>2022</v>
      </c>
      <c r="K10" s="3467" t="str">
        <f>'Вхідні дані'!$F$9</f>
        <v>Ріш. №296 від 25.10.2022</v>
      </c>
      <c r="L10" s="4331" t="str">
        <f>'Вхідні дані'!$F$6</f>
        <v>2023-2024</v>
      </c>
      <c r="M10" s="4330">
        <f>'Вхідні дані'!$F$8</f>
        <v>2021</v>
      </c>
      <c r="N10" s="121">
        <f>'Вхідні дані'!$F$7</f>
        <v>2022</v>
      </c>
      <c r="O10" s="3467" t="str">
        <f>'Вхідні дані'!$F$9</f>
        <v>Ріш. №296 від 25.10.2022</v>
      </c>
      <c r="P10" s="4331" t="str">
        <f>'Вхідні дані'!$F$6</f>
        <v>2023-2024</v>
      </c>
      <c r="Q10" s="4330">
        <f>'Вхідні дані'!$F$8</f>
        <v>2021</v>
      </c>
      <c r="R10" s="121">
        <f>'Вхідні дані'!$F$7</f>
        <v>2022</v>
      </c>
      <c r="S10" s="3467" t="str">
        <f>'Вхідні дані'!$F$9</f>
        <v>Ріш. №296 від 25.10.2022</v>
      </c>
      <c r="T10" s="4331" t="str">
        <f>'Вхідні дані'!$F$6</f>
        <v>2023-2024</v>
      </c>
      <c r="U10" s="4330">
        <f>'Вхідні дані'!$F$8</f>
        <v>2021</v>
      </c>
      <c r="V10" s="121">
        <f>'Вхідні дані'!$F$7</f>
        <v>2022</v>
      </c>
      <c r="W10" s="3467" t="str">
        <f>'Вхідні дані'!$F$9</f>
        <v>Ріш. №296 від 25.10.2022</v>
      </c>
      <c r="X10" s="4331" t="str">
        <f>'Вхідні дані'!$F$6</f>
        <v>2023-2024</v>
      </c>
    </row>
    <row r="11" spans="1:44" x14ac:dyDescent="0.3">
      <c r="A11" s="4332">
        <v>1</v>
      </c>
      <c r="B11" s="4333">
        <v>1</v>
      </c>
      <c r="C11" s="3467">
        <v>2</v>
      </c>
      <c r="D11" s="4332">
        <v>3</v>
      </c>
      <c r="E11" s="4330">
        <v>4</v>
      </c>
      <c r="F11" s="3466">
        <v>5</v>
      </c>
      <c r="G11" s="3467">
        <v>6</v>
      </c>
      <c r="H11" s="4334">
        <v>7</v>
      </c>
      <c r="I11" s="4330">
        <v>8</v>
      </c>
      <c r="J11" s="3466">
        <v>9</v>
      </c>
      <c r="K11" s="3467">
        <v>10</v>
      </c>
      <c r="L11" s="4334">
        <v>11</v>
      </c>
      <c r="M11" s="4330">
        <v>12</v>
      </c>
      <c r="N11" s="3466">
        <v>13</v>
      </c>
      <c r="O11" s="3467">
        <v>14</v>
      </c>
      <c r="P11" s="4334">
        <v>15</v>
      </c>
      <c r="Q11" s="4330">
        <v>16</v>
      </c>
      <c r="R11" s="3466">
        <v>17</v>
      </c>
      <c r="S11" s="3467">
        <v>18</v>
      </c>
      <c r="T11" s="4334">
        <v>19</v>
      </c>
      <c r="U11" s="4330">
        <v>20</v>
      </c>
      <c r="V11" s="3466">
        <v>21</v>
      </c>
      <c r="W11" s="3467">
        <v>22</v>
      </c>
      <c r="X11" s="4334">
        <v>23</v>
      </c>
      <c r="Y11" s="4320"/>
    </row>
    <row r="12" spans="1:44" s="155" customFormat="1" x14ac:dyDescent="0.3">
      <c r="A12" s="912">
        <v>1</v>
      </c>
      <c r="B12" s="109">
        <v>1</v>
      </c>
      <c r="C12" s="5" t="s">
        <v>215</v>
      </c>
      <c r="D12" s="4335" t="s">
        <v>40</v>
      </c>
      <c r="E12" s="111">
        <f>E13+E24+E25+E29</f>
        <v>81509.466130000059</v>
      </c>
      <c r="F12" s="110">
        <f t="shared" ref="F12:X12" si="0">F13+F24+F25+F29</f>
        <v>84218.660990000004</v>
      </c>
      <c r="G12" s="110">
        <f t="shared" si="0"/>
        <v>269690.11206915433</v>
      </c>
      <c r="H12" s="112">
        <f t="shared" si="0"/>
        <v>149071.37204744882</v>
      </c>
      <c r="I12" s="111">
        <f t="shared" si="0"/>
        <v>71299.582860166993</v>
      </c>
      <c r="J12" s="110">
        <f t="shared" si="0"/>
        <v>71657.731646503671</v>
      </c>
      <c r="K12" s="110">
        <f>K13+K24+K25+K29</f>
        <v>197569.11686376852</v>
      </c>
      <c r="L12" s="112">
        <f t="shared" si="0"/>
        <v>108736.71495653845</v>
      </c>
      <c r="M12" s="111">
        <f t="shared" si="0"/>
        <v>11.310664367857543</v>
      </c>
      <c r="N12" s="110">
        <f t="shared" si="0"/>
        <v>11.364377204855669</v>
      </c>
      <c r="O12" s="110">
        <f t="shared" si="0"/>
        <v>49.701010156557011</v>
      </c>
      <c r="P12" s="4460">
        <f t="shared" si="0"/>
        <v>32.00344215611409</v>
      </c>
      <c r="Q12" s="111">
        <f t="shared" si="0"/>
        <v>7483.0101917272241</v>
      </c>
      <c r="R12" s="110">
        <f t="shared" si="0"/>
        <v>7791.4053942589971</v>
      </c>
      <c r="S12" s="110">
        <f t="shared" si="0"/>
        <v>46324.043929718144</v>
      </c>
      <c r="T12" s="112">
        <f t="shared" si="0"/>
        <v>30140.124858011673</v>
      </c>
      <c r="U12" s="111">
        <f t="shared" si="0"/>
        <v>5284.0108237379754</v>
      </c>
      <c r="V12" s="110">
        <f t="shared" si="0"/>
        <v>4758.1595720324776</v>
      </c>
      <c r="W12" s="110">
        <f t="shared" si="0"/>
        <v>25747.250265511178</v>
      </c>
      <c r="X12" s="112">
        <f t="shared" si="0"/>
        <v>10162.528790742614</v>
      </c>
      <c r="Y12" s="759"/>
      <c r="AB12" s="1612">
        <f>H12/H$58*1000</f>
        <v>1371.7105256023483</v>
      </c>
      <c r="AC12" s="1612">
        <f>L12/L$58*1000</f>
        <v>1204.5578945392026</v>
      </c>
      <c r="AD12" s="1612">
        <f>P12/P$58*1000</f>
        <v>2191.5679039096362</v>
      </c>
      <c r="AE12" s="1612">
        <f>T12/T$58*1000</f>
        <v>2191.5679039096376</v>
      </c>
      <c r="AF12" s="1612">
        <f>X12/X$58*1000</f>
        <v>2191.5679039096376</v>
      </c>
      <c r="AG12" s="4470">
        <f>AE12-AD12</f>
        <v>0</v>
      </c>
      <c r="AH12" s="4336">
        <f>'ТЕ_2ст_тариф_з ЦТП'!E37/'ТЕ_2ст_тариф_з ЦТП'!E$30</f>
        <v>1371.7105256023488</v>
      </c>
      <c r="AI12" s="2079">
        <f>'ТЕ_2ст_тариф_з ЦТП'!H37/'ТЕ_2ст_тариф_з ЦТП'!H$30</f>
        <v>1204.4999537250874</v>
      </c>
      <c r="AJ12" s="2079">
        <f>'ТЕ_2ст_тариф_з ЦТП'!K37/'ТЕ_2ст_тариф_з ЦТП'!K$30</f>
        <v>2191.9526491160332</v>
      </c>
      <c r="AK12" s="2079">
        <f>'ТЕ_2ст_тариф_з ЦТП'!N37/'ТЕ_2ст_тариф_з ЦТП'!N$30</f>
        <v>2191.9968190629761</v>
      </c>
      <c r="AL12" s="2079">
        <f>'ТЕ_2ст_тариф_з ЦТП'!Q37/'ТЕ_2ст_тариф_з ЦТП'!Q$30</f>
        <v>2191.4225523250266</v>
      </c>
      <c r="AM12" s="2079"/>
      <c r="AN12" s="1612">
        <f>AB12-AH12</f>
        <v>0</v>
      </c>
      <c r="AO12" s="1612">
        <f t="shared" ref="AO12:AR27" si="1">AC12-AI12</f>
        <v>5.7940814115227113E-2</v>
      </c>
      <c r="AP12" s="1612">
        <f t="shared" si="1"/>
        <v>-0.38474520639692855</v>
      </c>
      <c r="AQ12" s="1612">
        <f t="shared" si="1"/>
        <v>-0.42891515333849384</v>
      </c>
      <c r="AR12" s="1612">
        <f t="shared" si="1"/>
        <v>0.14535158461103492</v>
      </c>
    </row>
    <row r="13" spans="1:44" x14ac:dyDescent="0.3">
      <c r="A13" s="4337" t="s">
        <v>23</v>
      </c>
      <c r="B13" s="113" t="s">
        <v>23</v>
      </c>
      <c r="C13" s="5" t="s">
        <v>216</v>
      </c>
      <c r="D13" s="4280" t="s">
        <v>40</v>
      </c>
      <c r="E13" s="115">
        <f>E14+E18+E19+E22+E23</f>
        <v>68657.44921000005</v>
      </c>
      <c r="F13" s="114">
        <f t="shared" ref="F13:X13" si="2">F14+F18+F19+F22+F23</f>
        <v>68811.123789999998</v>
      </c>
      <c r="G13" s="114">
        <f t="shared" si="2"/>
        <v>247349.40255608203</v>
      </c>
      <c r="H13" s="116">
        <f t="shared" si="2"/>
        <v>125398.03179983834</v>
      </c>
      <c r="I13" s="115">
        <f t="shared" si="2"/>
        <v>60366.286298011648</v>
      </c>
      <c r="J13" s="114">
        <f t="shared" si="2"/>
        <v>58353.402942268454</v>
      </c>
      <c r="K13" s="114">
        <f t="shared" si="2"/>
        <v>179117.24319432778</v>
      </c>
      <c r="L13" s="116">
        <f t="shared" si="2"/>
        <v>89072.514505762592</v>
      </c>
      <c r="M13" s="115">
        <f t="shared" si="2"/>
        <v>9.5941986466753306</v>
      </c>
      <c r="N13" s="114">
        <f t="shared" si="2"/>
        <v>9.2777509120724897</v>
      </c>
      <c r="O13" s="114">
        <f t="shared" si="2"/>
        <v>46.715657849286018</v>
      </c>
      <c r="P13" s="4461">
        <f t="shared" si="2"/>
        <v>28.822399280391032</v>
      </c>
      <c r="Q13" s="115">
        <f t="shared" si="2"/>
        <v>6385.9062529663734</v>
      </c>
      <c r="R13" s="114">
        <f t="shared" si="2"/>
        <v>6231.2124343482947</v>
      </c>
      <c r="S13" s="114">
        <f t="shared" si="2"/>
        <v>43541.533252528978</v>
      </c>
      <c r="T13" s="116">
        <f t="shared" si="2"/>
        <v>27144.289941714564</v>
      </c>
      <c r="U13" s="115">
        <f t="shared" si="2"/>
        <v>4464.1108703753598</v>
      </c>
      <c r="V13" s="114">
        <f>V14+V18+V19+V22+V23</f>
        <v>4217.2306624711791</v>
      </c>
      <c r="W13" s="114">
        <f t="shared" si="2"/>
        <v>24643.910451376029</v>
      </c>
      <c r="X13" s="116">
        <f t="shared" si="2"/>
        <v>9152.4049530807861</v>
      </c>
      <c r="AB13" s="1612">
        <f t="shared" ref="AB13:AB51" si="3">H13/H$58*1000</f>
        <v>1153.8754741916925</v>
      </c>
      <c r="AC13" s="1612">
        <f t="shared" ref="AC13:AC51" si="4">L13/L$58*1000</f>
        <v>986.72284312854663</v>
      </c>
      <c r="AD13" s="1612">
        <f t="shared" ref="AD13:AD51" si="5">P13/P$58*1000</f>
        <v>1973.73285249898</v>
      </c>
      <c r="AE13" s="1612">
        <f t="shared" ref="AE13:AE51" si="6">T13/T$58*1000</f>
        <v>1973.7328524989814</v>
      </c>
      <c r="AF13" s="1612">
        <f t="shared" ref="AF13:AF51" si="7">X13/X$58*1000</f>
        <v>1973.7328524989812</v>
      </c>
      <c r="AG13" s="4470">
        <f t="shared" ref="AG13:AG47" si="8">AE13-AD13</f>
        <v>0</v>
      </c>
      <c r="AH13" s="4336">
        <f>'ТЕ_2ст_тариф_з ЦТП'!E38/'ТЕ_2ст_тариф_з ЦТП'!E$30</f>
        <v>1153.8754741916928</v>
      </c>
      <c r="AI13" s="2079">
        <f>'ТЕ_2ст_тариф_з ЦТП'!H38/'ТЕ_2ст_тариф_з ЦТП'!H$30</f>
        <v>986.70491550810095</v>
      </c>
      <c r="AJ13" s="2079">
        <f>'ТЕ_2ст_тариф_з ЦТП'!K38/'ТЕ_2ст_тариф_з ЦТП'!K$30</f>
        <v>1973.8518975302393</v>
      </c>
      <c r="AK13" s="2079">
        <f>'ТЕ_2ст_тариф_з ЦТП'!N38/'ТЕ_2ст_тариф_з ЦТП'!N$30</f>
        <v>1973.8655642702654</v>
      </c>
      <c r="AL13" s="2079">
        <f>'ТЕ_2ст_тариф_з ЦТП'!Q38/'ТЕ_2ст_тариф_з ЦТП'!Q$30</f>
        <v>1973.6878788810732</v>
      </c>
      <c r="AN13" s="1612">
        <f t="shared" ref="AN13:AR51" si="9">AB13-AH13</f>
        <v>0</v>
      </c>
      <c r="AO13" s="1612">
        <f t="shared" si="1"/>
        <v>1.7927620445675529E-2</v>
      </c>
      <c r="AP13" s="1612">
        <f t="shared" si="1"/>
        <v>-0.11904503125924748</v>
      </c>
      <c r="AQ13" s="1612">
        <f t="shared" si="1"/>
        <v>-0.13271177128399358</v>
      </c>
      <c r="AR13" s="1612">
        <f t="shared" si="1"/>
        <v>4.4973617907999142E-2</v>
      </c>
    </row>
    <row r="14" spans="1:44" x14ac:dyDescent="0.3">
      <c r="A14" s="4337" t="s">
        <v>41</v>
      </c>
      <c r="B14" s="4338" t="s">
        <v>41</v>
      </c>
      <c r="C14" s="4339" t="s">
        <v>454</v>
      </c>
      <c r="D14" s="128" t="s">
        <v>40</v>
      </c>
      <c r="E14" s="115">
        <f t="shared" ref="E14:H17" si="10">I14+M14+Q14+U14</f>
        <v>65575.250119999997</v>
      </c>
      <c r="F14" s="114">
        <f t="shared" si="10"/>
        <v>65575.250119999997</v>
      </c>
      <c r="G14" s="114">
        <f t="shared" si="10"/>
        <v>243029.48255653607</v>
      </c>
      <c r="H14" s="116">
        <f t="shared" si="10"/>
        <v>118804.3607936293</v>
      </c>
      <c r="I14" s="118">
        <v>55559.242760000001</v>
      </c>
      <c r="J14" s="118">
        <f>55559242.76/1000</f>
        <v>55559.242760000001</v>
      </c>
      <c r="K14" s="118">
        <f>K15+K16+K17</f>
        <v>175549.28945288228</v>
      </c>
      <c r="L14" s="119">
        <f>L15+L16+L17</f>
        <v>83595.498291895157</v>
      </c>
      <c r="M14" s="118">
        <v>8.8395200000000003</v>
      </c>
      <c r="N14" s="118">
        <f>8839.52/1000</f>
        <v>8.8395200000000003</v>
      </c>
      <c r="O14" s="118">
        <f>SUM(O15:O17)</f>
        <v>46.138394037215761</v>
      </c>
      <c r="P14" s="4462">
        <f>P15+P16+P17</f>
        <v>27.936392068912724</v>
      </c>
      <c r="Q14" s="118">
        <v>5903.5424599999997</v>
      </c>
      <c r="R14" s="118">
        <f>5903542.46/1000</f>
        <v>5903.5424599999997</v>
      </c>
      <c r="S14" s="118">
        <f>S15+S16+S17</f>
        <v>43003.491991292125</v>
      </c>
      <c r="T14" s="119">
        <f>T15+T16+T17</f>
        <v>26309.868198928565</v>
      </c>
      <c r="U14" s="118">
        <v>4103.6253799999995</v>
      </c>
      <c r="V14" s="118">
        <f>4103625.38/1000</f>
        <v>4103.6253799999995</v>
      </c>
      <c r="W14" s="118">
        <f>W15+W16+W17</f>
        <v>24430.562718324451</v>
      </c>
      <c r="X14" s="119">
        <f>X15+X16+X17</f>
        <v>8871.0579107366611</v>
      </c>
      <c r="Y14" s="4340"/>
      <c r="AB14" s="1612">
        <f t="shared" si="3"/>
        <v>1093.2024703992736</v>
      </c>
      <c r="AC14" s="1612">
        <f t="shared" si="4"/>
        <v>926.04983933612777</v>
      </c>
      <c r="AD14" s="1612">
        <f t="shared" si="5"/>
        <v>1913.0598487065622</v>
      </c>
      <c r="AE14" s="1612">
        <f t="shared" si="6"/>
        <v>1913.059848706562</v>
      </c>
      <c r="AF14" s="1612">
        <f t="shared" si="7"/>
        <v>1913.0598487065627</v>
      </c>
      <c r="AG14" s="4470">
        <f t="shared" si="8"/>
        <v>0</v>
      </c>
      <c r="AH14" s="4336">
        <f>'ТЕ_2ст_тариф_з ЦТП'!E39/'ТЕ_2ст_тариф_з ЦТП'!E$30</f>
        <v>1093.2024703992736</v>
      </c>
      <c r="AI14" s="2079">
        <f>'ТЕ_2ст_тариф_з ЦТП'!H39/'ТЕ_2ст_тариф_з ЦТП'!H$30</f>
        <v>926.03302104305146</v>
      </c>
      <c r="AJ14" s="2079">
        <f>'ТЕ_2ст_тариф_з ЦТП'!K39/'ТЕ_2ст_тариф_з ЦТП'!K$30</f>
        <v>1913.1715274556182</v>
      </c>
      <c r="AK14" s="2079">
        <f>'ТЕ_2ст_тариф_з ЦТП'!N39/'ТЕ_2ст_тариф_з ЦТП'!N$30</f>
        <v>1913.1843485235245</v>
      </c>
      <c r="AL14" s="2079">
        <f>'ТЕ_2ст_тариф_з ЦТП'!Q39/'ТЕ_2ст_тариф_з ЦТП'!Q$30</f>
        <v>1913.017657971388</v>
      </c>
      <c r="AN14" s="1612">
        <f t="shared" si="9"/>
        <v>0</v>
      </c>
      <c r="AO14" s="1612">
        <f t="shared" si="1"/>
        <v>1.681829307631233E-2</v>
      </c>
      <c r="AP14" s="1612">
        <f t="shared" si="1"/>
        <v>-0.11167874905595454</v>
      </c>
      <c r="AQ14" s="1612">
        <f t="shared" si="1"/>
        <v>-0.12449981696249779</v>
      </c>
      <c r="AR14" s="1612">
        <f t="shared" si="1"/>
        <v>4.2190735174699512E-2</v>
      </c>
    </row>
    <row r="15" spans="1:44" x14ac:dyDescent="0.3">
      <c r="A15" s="4337"/>
      <c r="B15" s="4338" t="s">
        <v>455</v>
      </c>
      <c r="C15" s="4341" t="s">
        <v>440</v>
      </c>
      <c r="D15" s="128" t="s">
        <v>40</v>
      </c>
      <c r="E15" s="115">
        <f t="shared" si="10"/>
        <v>0</v>
      </c>
      <c r="F15" s="114">
        <f t="shared" si="10"/>
        <v>0</v>
      </c>
      <c r="G15" s="114">
        <f t="shared" si="10"/>
        <v>228734.5094662818</v>
      </c>
      <c r="H15" s="116">
        <f t="shared" si="10"/>
        <v>106894.19194377559</v>
      </c>
      <c r="I15" s="117"/>
      <c r="J15" s="118"/>
      <c r="K15" s="118">
        <v>163742.6349947915</v>
      </c>
      <c r="L15" s="116">
        <f>Виробництво_1ст!G13</f>
        <v>73702.346534835888</v>
      </c>
      <c r="M15" s="117"/>
      <c r="N15" s="118"/>
      <c r="O15" s="114">
        <v>44.228180269278063</v>
      </c>
      <c r="P15" s="4461">
        <f>Виробництво_1ст!H13</f>
        <v>26.335994432913296</v>
      </c>
      <c r="Q15" s="117"/>
      <c r="R15" s="118"/>
      <c r="S15" s="118">
        <v>41223.068892800555</v>
      </c>
      <c r="T15" s="116">
        <f>Виробництво_1ст!I13</f>
        <v>24802.649558627585</v>
      </c>
      <c r="U15" s="117"/>
      <c r="V15" s="118"/>
      <c r="W15" s="118">
        <v>23724.577398420472</v>
      </c>
      <c r="X15" s="116">
        <f>Виробництво_1ст!J13</f>
        <v>8362.8598558791964</v>
      </c>
      <c r="Y15" s="4340"/>
      <c r="AB15" s="1612">
        <f t="shared" si="3"/>
        <v>983.60863122909768</v>
      </c>
      <c r="AC15" s="1612">
        <f t="shared" si="4"/>
        <v>816.45600016595188</v>
      </c>
      <c r="AD15" s="1612">
        <f t="shared" si="5"/>
        <v>1803.4660095363861</v>
      </c>
      <c r="AE15" s="1612">
        <f t="shared" si="6"/>
        <v>1803.4660095363861</v>
      </c>
      <c r="AF15" s="1612">
        <f t="shared" si="7"/>
        <v>1803.4660095363865</v>
      </c>
      <c r="AG15" s="4470">
        <f t="shared" si="8"/>
        <v>0</v>
      </c>
      <c r="AH15" s="4336">
        <f>'ТЕ_2ст_тариф_з ЦТП'!E40/'ТЕ_2ст_тариф_з ЦТП'!E$30</f>
        <v>983.60863122909768</v>
      </c>
      <c r="AI15" s="2079">
        <f>'ТЕ_2ст_тариф_з ЦТП'!H40/'ТЕ_2ст_тариф_з ЦТП'!H$30</f>
        <v>816.45600016595188</v>
      </c>
      <c r="AJ15" s="2079">
        <f>'ТЕ_2ст_тариф_з ЦТП'!K40/'ТЕ_2ст_тариф_з ЦТП'!K$30</f>
        <v>1803.4660095363861</v>
      </c>
      <c r="AK15" s="2079">
        <f>'ТЕ_2ст_тариф_з ЦТП'!N40/'ТЕ_2ст_тариф_з ЦТП'!N$30</f>
        <v>1803.4660095363861</v>
      </c>
      <c r="AL15" s="2079">
        <f>'ТЕ_2ст_тариф_з ЦТП'!Q40/'ТЕ_2ст_тариф_з ЦТП'!Q$30</f>
        <v>1803.4660095363865</v>
      </c>
      <c r="AN15" s="1612">
        <f t="shared" si="9"/>
        <v>0</v>
      </c>
      <c r="AO15" s="1612">
        <f t="shared" si="1"/>
        <v>0</v>
      </c>
      <c r="AP15" s="1612">
        <f t="shared" si="1"/>
        <v>0</v>
      </c>
      <c r="AQ15" s="1612">
        <f t="shared" si="1"/>
        <v>0</v>
      </c>
      <c r="AR15" s="1612">
        <f t="shared" si="1"/>
        <v>0</v>
      </c>
    </row>
    <row r="16" spans="1:44" x14ac:dyDescent="0.3">
      <c r="A16" s="4337"/>
      <c r="B16" s="4338" t="s">
        <v>456</v>
      </c>
      <c r="C16" s="4341" t="s">
        <v>1904</v>
      </c>
      <c r="D16" s="128" t="s">
        <v>40</v>
      </c>
      <c r="E16" s="115">
        <f t="shared" si="10"/>
        <v>0</v>
      </c>
      <c r="F16" s="114">
        <f t="shared" si="10"/>
        <v>0</v>
      </c>
      <c r="G16" s="114">
        <f t="shared" si="10"/>
        <v>2054.2531541542667</v>
      </c>
      <c r="H16" s="116">
        <f t="shared" si="10"/>
        <v>1959.8215398537277</v>
      </c>
      <c r="I16" s="117"/>
      <c r="J16" s="118"/>
      <c r="K16" s="118">
        <v>1696.6703614907697</v>
      </c>
      <c r="L16" s="116">
        <f>Виробництво_1ст!G14</f>
        <v>1627.9208258885981</v>
      </c>
      <c r="M16" s="117"/>
      <c r="N16" s="118"/>
      <c r="O16" s="114">
        <v>0.27450647392755001</v>
      </c>
      <c r="P16" s="4461">
        <f>Виробництво_1ст!H14</f>
        <v>0.26334586846778241</v>
      </c>
      <c r="Q16" s="117"/>
      <c r="R16" s="118"/>
      <c r="S16" s="118">
        <v>255.85495983192226</v>
      </c>
      <c r="T16" s="116">
        <f>Виробництво_1ст!I14</f>
        <v>248.01323925539364</v>
      </c>
      <c r="U16" s="117"/>
      <c r="V16" s="118"/>
      <c r="W16" s="118">
        <v>101.45332635764723</v>
      </c>
      <c r="X16" s="116">
        <f>Виробництво_1ст!J14</f>
        <v>83.624128841268089</v>
      </c>
      <c r="Y16" s="4340"/>
      <c r="AB16" s="4342">
        <f t="shared" si="3"/>
        <v>18.03369619261224</v>
      </c>
      <c r="AC16" s="4342">
        <f t="shared" si="4"/>
        <v>18.033696192612236</v>
      </c>
      <c r="AD16" s="4342">
        <f t="shared" si="5"/>
        <v>18.033696192612236</v>
      </c>
      <c r="AE16" s="4342">
        <f t="shared" si="6"/>
        <v>18.033696192612233</v>
      </c>
      <c r="AF16" s="4342">
        <f t="shared" si="7"/>
        <v>18.03369619261224</v>
      </c>
      <c r="AG16" s="4470">
        <f t="shared" si="8"/>
        <v>0</v>
      </c>
      <c r="AH16" s="4336">
        <f>'ТЕ_2ст_тариф_з ЦТП'!E41/'ТЕ_2ст_тариф_з ЦТП'!E$30</f>
        <v>18.03369619261224</v>
      </c>
      <c r="AI16" s="2079">
        <f>'ТЕ_2ст_тариф_з ЦТП'!H41/'ТЕ_2ст_тариф_з ЦТП'!H$30</f>
        <v>18.033696192612236</v>
      </c>
      <c r="AJ16" s="2079">
        <f>'ТЕ_2ст_тариф_з ЦТП'!K41/'ТЕ_2ст_тариф_з ЦТП'!K$30</f>
        <v>18.033696192612236</v>
      </c>
      <c r="AK16" s="2079">
        <f>'ТЕ_2ст_тариф_з ЦТП'!N41/'ТЕ_2ст_тариф_з ЦТП'!N$30</f>
        <v>18.033696192612233</v>
      </c>
      <c r="AL16" s="2079">
        <f>'ТЕ_2ст_тариф_з ЦТП'!Q41/'ТЕ_2ст_тариф_з ЦТП'!Q$30</f>
        <v>18.03369619261224</v>
      </c>
      <c r="AN16" s="1612">
        <f t="shared" si="9"/>
        <v>0</v>
      </c>
      <c r="AO16" s="1612">
        <f t="shared" si="1"/>
        <v>0</v>
      </c>
      <c r="AP16" s="1612">
        <f t="shared" si="1"/>
        <v>0</v>
      </c>
      <c r="AQ16" s="1612">
        <f t="shared" si="1"/>
        <v>0</v>
      </c>
      <c r="AR16" s="1612">
        <f t="shared" si="1"/>
        <v>0</v>
      </c>
    </row>
    <row r="17" spans="1:44" x14ac:dyDescent="0.3">
      <c r="A17" s="4337"/>
      <c r="B17" s="4338" t="s">
        <v>457</v>
      </c>
      <c r="C17" s="4341" t="s">
        <v>1905</v>
      </c>
      <c r="D17" s="128" t="s">
        <v>40</v>
      </c>
      <c r="E17" s="115">
        <f t="shared" si="10"/>
        <v>0</v>
      </c>
      <c r="F17" s="114">
        <f t="shared" si="10"/>
        <v>0</v>
      </c>
      <c r="G17" s="114">
        <f t="shared" si="10"/>
        <v>12240.7199361</v>
      </c>
      <c r="H17" s="116">
        <f t="shared" si="10"/>
        <v>9950.3473099999992</v>
      </c>
      <c r="I17" s="117"/>
      <c r="J17" s="118"/>
      <c r="K17" s="118">
        <v>10109.984096600017</v>
      </c>
      <c r="L17" s="116">
        <f>Виробництво_1ст!G15</f>
        <v>8265.2309311706831</v>
      </c>
      <c r="M17" s="117"/>
      <c r="N17" s="118"/>
      <c r="O17" s="114">
        <v>1.6357072940101427</v>
      </c>
      <c r="P17" s="4461">
        <f>Виробництво_1ст!H15</f>
        <v>1.3370517675316425</v>
      </c>
      <c r="Q17" s="117"/>
      <c r="R17" s="118"/>
      <c r="S17" s="118">
        <v>1524.568138659645</v>
      </c>
      <c r="T17" s="116">
        <f>Виробництво_1ст!I15</f>
        <v>1259.205401045587</v>
      </c>
      <c r="U17" s="117"/>
      <c r="V17" s="118"/>
      <c r="W17" s="118">
        <v>604.53199354632852</v>
      </c>
      <c r="X17" s="116">
        <f>Виробництво_1ст!J15</f>
        <v>424.57392601619659</v>
      </c>
      <c r="Y17" s="4340"/>
      <c r="AB17" s="4342">
        <f t="shared" si="3"/>
        <v>91.560142977563729</v>
      </c>
      <c r="AC17" s="4342">
        <f t="shared" si="4"/>
        <v>91.560142977563729</v>
      </c>
      <c r="AD17" s="4342">
        <f t="shared" si="5"/>
        <v>91.5601429775637</v>
      </c>
      <c r="AE17" s="4342">
        <f t="shared" si="6"/>
        <v>91.560142977563729</v>
      </c>
      <c r="AF17" s="4342">
        <f t="shared" si="7"/>
        <v>91.560142977563729</v>
      </c>
      <c r="AG17" s="4470">
        <f t="shared" si="8"/>
        <v>0</v>
      </c>
      <c r="AH17" s="4336">
        <f>'ТЕ_2ст_тариф_з ЦТП'!E42/'ТЕ_2ст_тариф_з ЦТП'!E$30</f>
        <v>91.560142977563729</v>
      </c>
      <c r="AI17" s="2079">
        <f>'ТЕ_2ст_тариф_з ЦТП'!H42/'ТЕ_2ст_тариф_з ЦТП'!H$30</f>
        <v>91.54332468448753</v>
      </c>
      <c r="AJ17" s="2079">
        <f>'ТЕ_2ст_тариф_з ЦТП'!K42/'ТЕ_2ст_тариф_з ЦТП'!K$30</f>
        <v>91.671821726619783</v>
      </c>
      <c r="AK17" s="2079">
        <f>'ТЕ_2ст_тариф_з ЦТП'!N42/'ТЕ_2ст_тариф_з ЦТП'!N$30</f>
        <v>91.684642794526354</v>
      </c>
      <c r="AL17" s="2079">
        <f>'ТЕ_2ст_тариф_з ЦТП'!Q42/'ТЕ_2ст_тариф_з ЦТП'!Q$30</f>
        <v>91.517952242389185</v>
      </c>
      <c r="AN17" s="1612">
        <f t="shared" si="9"/>
        <v>0</v>
      </c>
      <c r="AO17" s="1612">
        <f t="shared" si="1"/>
        <v>1.6818293076198643E-2</v>
      </c>
      <c r="AP17" s="1612">
        <f t="shared" si="1"/>
        <v>-0.11167874905608244</v>
      </c>
      <c r="AQ17" s="1612">
        <f t="shared" si="1"/>
        <v>-0.12449981696262569</v>
      </c>
      <c r="AR17" s="1612">
        <f t="shared" si="1"/>
        <v>4.2190735174543192E-2</v>
      </c>
    </row>
    <row r="18" spans="1:44" x14ac:dyDescent="0.3">
      <c r="A18" s="4337" t="s">
        <v>123</v>
      </c>
      <c r="B18" s="4338" t="s">
        <v>42</v>
      </c>
      <c r="C18" s="120" t="s">
        <v>43</v>
      </c>
      <c r="D18" s="128" t="s">
        <v>40</v>
      </c>
      <c r="E18" s="115">
        <f>Виробництво_1ст!C16</f>
        <v>2813.79909</v>
      </c>
      <c r="F18" s="114">
        <f>Виробництво_1ст!D16</f>
        <v>2831.3806500000001</v>
      </c>
      <c r="G18" s="114">
        <f>Виробництво_1ст!E16</f>
        <v>3835.5365105267629</v>
      </c>
      <c r="H18" s="116">
        <f>L18+P18+T18+X18</f>
        <v>5937.3503814675587</v>
      </c>
      <c r="I18" s="115">
        <v>4578.7138668363377</v>
      </c>
      <c r="J18" s="114">
        <f>F18*($J$55/$F$55)</f>
        <v>2444.8825510160814</v>
      </c>
      <c r="K18" s="114">
        <v>3167.8866378597218</v>
      </c>
      <c r="L18" s="116">
        <f>Виробництво_1ст!G16</f>
        <v>4931.8451399967998</v>
      </c>
      <c r="M18" s="777">
        <v>0.71883217974075464</v>
      </c>
      <c r="N18" s="118">
        <f>F18*($N$55/$F$55)</f>
        <v>0.38345085476525947</v>
      </c>
      <c r="O18" s="114">
        <v>0.51253644225682105</v>
      </c>
      <c r="P18" s="4461">
        <f>Виробництво_1ст!H16</f>
        <v>0.79781585251981257</v>
      </c>
      <c r="Q18" s="117">
        <v>459.45200417894705</v>
      </c>
      <c r="R18" s="118">
        <f>F18*$R$55/$F$55</f>
        <v>286.71033531286156</v>
      </c>
      <c r="S18" s="118">
        <v>477.71183305726157</v>
      </c>
      <c r="T18" s="116">
        <f>Виробництво_1ст!I16</f>
        <v>751.36509664646337</v>
      </c>
      <c r="U18" s="117">
        <v>343.36279680497455</v>
      </c>
      <c r="V18" s="118">
        <f>F18*$V$55/$F$55</f>
        <v>99.404312816292205</v>
      </c>
      <c r="W18" s="118">
        <v>189.42550316752298</v>
      </c>
      <c r="X18" s="116">
        <f>Виробництво_1ст!J16</f>
        <v>253.34232897177583</v>
      </c>
      <c r="Y18" s="144"/>
      <c r="AB18" s="4342">
        <f t="shared" si="3"/>
        <v>54.633736180115534</v>
      </c>
      <c r="AC18" s="4342">
        <f t="shared" si="4"/>
        <v>54.633736180115534</v>
      </c>
      <c r="AD18" s="4342">
        <f t="shared" si="5"/>
        <v>54.633736180115527</v>
      </c>
      <c r="AE18" s="4342">
        <f t="shared" si="6"/>
        <v>54.633736180115527</v>
      </c>
      <c r="AF18" s="4342">
        <f t="shared" si="7"/>
        <v>54.633736180115534</v>
      </c>
      <c r="AG18" s="4470">
        <f t="shared" si="8"/>
        <v>0</v>
      </c>
      <c r="AH18" s="4336">
        <f>'ТЕ_2ст_тариф_з ЦТП'!E43/'ТЕ_2ст_тариф_з ЦТП'!E$30</f>
        <v>54.633736180115534</v>
      </c>
      <c r="AI18" s="2079">
        <f>'ТЕ_2ст_тариф_з ЦТП'!H43/'ТЕ_2ст_тариф_з ЦТП'!H$30</f>
        <v>54.633736180115534</v>
      </c>
      <c r="AJ18" s="2079">
        <f>'ТЕ_2ст_тариф_з ЦТП'!K43/'ТЕ_2ст_тариф_з ЦТП'!K$30</f>
        <v>54.633736180115527</v>
      </c>
      <c r="AK18" s="2079">
        <f>'ТЕ_2ст_тариф_з ЦТП'!N43/'ТЕ_2ст_тариф_з ЦТП'!N$30</f>
        <v>54.633736180115527</v>
      </c>
      <c r="AL18" s="2079">
        <f>'ТЕ_2ст_тариф_з ЦТП'!Q43/'ТЕ_2ст_тариф_з ЦТП'!Q$30</f>
        <v>54.633736180115534</v>
      </c>
      <c r="AN18" s="1612">
        <f t="shared" si="9"/>
        <v>0</v>
      </c>
      <c r="AO18" s="1612">
        <f t="shared" si="1"/>
        <v>0</v>
      </c>
      <c r="AP18" s="1612">
        <f t="shared" si="1"/>
        <v>0</v>
      </c>
      <c r="AQ18" s="1612">
        <f t="shared" si="1"/>
        <v>0</v>
      </c>
      <c r="AR18" s="1612">
        <f t="shared" si="1"/>
        <v>0</v>
      </c>
    </row>
    <row r="19" spans="1:44" ht="54.6" customHeight="1" x14ac:dyDescent="0.3">
      <c r="A19" s="4337"/>
      <c r="B19" s="4343" t="s">
        <v>44</v>
      </c>
      <c r="C19" s="4344" t="s">
        <v>1972</v>
      </c>
      <c r="D19" s="128" t="s">
        <v>40</v>
      </c>
      <c r="E19" s="115">
        <v>0</v>
      </c>
      <c r="F19" s="114">
        <v>0</v>
      </c>
      <c r="G19" s="114">
        <v>0</v>
      </c>
      <c r="H19" s="116">
        <f>H20+H21</f>
        <v>0</v>
      </c>
      <c r="I19" s="115">
        <f>I20+I21</f>
        <v>0</v>
      </c>
      <c r="J19" s="114">
        <f>J20+J21</f>
        <v>0</v>
      </c>
      <c r="K19" s="114">
        <v>0</v>
      </c>
      <c r="L19" s="116">
        <f>L20+L21</f>
        <v>0</v>
      </c>
      <c r="M19" s="115">
        <f t="shared" ref="M19:X19" si="11">M20+M21</f>
        <v>0</v>
      </c>
      <c r="N19" s="114">
        <f t="shared" si="11"/>
        <v>0</v>
      </c>
      <c r="O19" s="114">
        <v>0</v>
      </c>
      <c r="P19" s="4461">
        <f t="shared" si="11"/>
        <v>0</v>
      </c>
      <c r="Q19" s="115">
        <f t="shared" si="11"/>
        <v>0</v>
      </c>
      <c r="R19" s="114">
        <f t="shared" si="11"/>
        <v>0</v>
      </c>
      <c r="S19" s="114">
        <v>0</v>
      </c>
      <c r="T19" s="116">
        <f t="shared" si="11"/>
        <v>0</v>
      </c>
      <c r="U19" s="115">
        <f t="shared" si="11"/>
        <v>0</v>
      </c>
      <c r="V19" s="114">
        <f t="shared" si="11"/>
        <v>0</v>
      </c>
      <c r="W19" s="114">
        <v>0</v>
      </c>
      <c r="X19" s="116">
        <f t="shared" si="11"/>
        <v>0</v>
      </c>
      <c r="Y19" s="4340"/>
      <c r="AB19" s="4342">
        <f t="shared" si="3"/>
        <v>0</v>
      </c>
      <c r="AC19" s="4342">
        <f t="shared" si="4"/>
        <v>0</v>
      </c>
      <c r="AD19" s="4342">
        <f t="shared" si="5"/>
        <v>0</v>
      </c>
      <c r="AE19" s="4342">
        <f t="shared" si="6"/>
        <v>0</v>
      </c>
      <c r="AF19" s="4342">
        <f t="shared" si="7"/>
        <v>0</v>
      </c>
      <c r="AG19" s="4470">
        <f t="shared" si="8"/>
        <v>0</v>
      </c>
      <c r="AH19" s="4336">
        <f>'ТЕ_2ст_тариф_з ЦТП'!E44/'ТЕ_2ст_тариф_з ЦТП'!E$30</f>
        <v>0</v>
      </c>
      <c r="AI19" s="2079">
        <f>'ТЕ_2ст_тариф_з ЦТП'!H44/'ТЕ_2ст_тариф_з ЦТП'!H$30</f>
        <v>0</v>
      </c>
      <c r="AJ19" s="2079">
        <f>'ТЕ_2ст_тариф_з ЦТП'!K44/'ТЕ_2ст_тариф_з ЦТП'!K$30</f>
        <v>0</v>
      </c>
      <c r="AK19" s="2079">
        <f>'ТЕ_2ст_тариф_з ЦТП'!N44/'ТЕ_2ст_тариф_з ЦТП'!N$30</f>
        <v>0</v>
      </c>
      <c r="AL19" s="2079">
        <f>'ТЕ_2ст_тариф_з ЦТП'!Q44/'ТЕ_2ст_тариф_з ЦТП'!Q$30</f>
        <v>0</v>
      </c>
      <c r="AN19" s="1612">
        <f t="shared" si="9"/>
        <v>0</v>
      </c>
      <c r="AO19" s="1612">
        <f t="shared" si="1"/>
        <v>0</v>
      </c>
      <c r="AP19" s="1612">
        <f t="shared" si="1"/>
        <v>0</v>
      </c>
      <c r="AQ19" s="1612">
        <f t="shared" si="1"/>
        <v>0</v>
      </c>
      <c r="AR19" s="1612">
        <f t="shared" si="1"/>
        <v>0</v>
      </c>
    </row>
    <row r="20" spans="1:44" x14ac:dyDescent="0.3">
      <c r="A20" s="4337"/>
      <c r="B20" s="4343" t="s">
        <v>570</v>
      </c>
      <c r="C20" s="4344" t="s">
        <v>571</v>
      </c>
      <c r="D20" s="128" t="s">
        <v>40</v>
      </c>
      <c r="E20" s="115">
        <v>0</v>
      </c>
      <c r="F20" s="114">
        <v>0</v>
      </c>
      <c r="G20" s="114">
        <v>0</v>
      </c>
      <c r="H20" s="116">
        <f>L20+P20+T20+X20</f>
        <v>0</v>
      </c>
      <c r="I20" s="117">
        <v>0</v>
      </c>
      <c r="J20" s="118">
        <v>0</v>
      </c>
      <c r="K20" s="118">
        <v>0</v>
      </c>
      <c r="L20" s="116">
        <v>0</v>
      </c>
      <c r="M20" s="117">
        <v>0</v>
      </c>
      <c r="N20" s="118">
        <v>0</v>
      </c>
      <c r="O20" s="114">
        <v>0</v>
      </c>
      <c r="P20" s="4461">
        <v>0</v>
      </c>
      <c r="Q20" s="117">
        <v>0</v>
      </c>
      <c r="R20" s="118">
        <v>0</v>
      </c>
      <c r="S20" s="118">
        <v>0</v>
      </c>
      <c r="T20" s="116">
        <v>0</v>
      </c>
      <c r="U20" s="117">
        <v>0</v>
      </c>
      <c r="V20" s="118">
        <v>0</v>
      </c>
      <c r="W20" s="118">
        <v>0</v>
      </c>
      <c r="X20" s="116">
        <v>0</v>
      </c>
      <c r="Y20" s="4340"/>
      <c r="AB20" s="4342">
        <f t="shared" si="3"/>
        <v>0</v>
      </c>
      <c r="AC20" s="4342">
        <f t="shared" si="4"/>
        <v>0</v>
      </c>
      <c r="AD20" s="4342">
        <f t="shared" si="5"/>
        <v>0</v>
      </c>
      <c r="AE20" s="4342">
        <f t="shared" si="6"/>
        <v>0</v>
      </c>
      <c r="AF20" s="4342">
        <f t="shared" si="7"/>
        <v>0</v>
      </c>
      <c r="AG20" s="4470">
        <f t="shared" si="8"/>
        <v>0</v>
      </c>
      <c r="AH20" s="4336">
        <f>'ТЕ_2ст_тариф_з ЦТП'!E45/'ТЕ_2ст_тариф_з ЦТП'!E$30</f>
        <v>0</v>
      </c>
      <c r="AI20" s="2079">
        <f>'ТЕ_2ст_тариф_з ЦТП'!H45/'ТЕ_2ст_тариф_з ЦТП'!H$30</f>
        <v>0</v>
      </c>
      <c r="AJ20" s="2079">
        <f>'ТЕ_2ст_тариф_з ЦТП'!K45/'ТЕ_2ст_тариф_з ЦТП'!K$30</f>
        <v>0</v>
      </c>
      <c r="AK20" s="2079">
        <f>'ТЕ_2ст_тариф_з ЦТП'!N45/'ТЕ_2ст_тариф_з ЦТП'!N$30</f>
        <v>0</v>
      </c>
      <c r="AL20" s="2079">
        <f>'ТЕ_2ст_тариф_з ЦТП'!Q45/'ТЕ_2ст_тариф_з ЦТП'!Q$30</f>
        <v>0</v>
      </c>
      <c r="AN20" s="1612">
        <f t="shared" si="9"/>
        <v>0</v>
      </c>
      <c r="AO20" s="1612">
        <f t="shared" si="1"/>
        <v>0</v>
      </c>
      <c r="AP20" s="1612">
        <f t="shared" si="1"/>
        <v>0</v>
      </c>
      <c r="AQ20" s="1612">
        <f t="shared" si="1"/>
        <v>0</v>
      </c>
      <c r="AR20" s="1612">
        <f t="shared" si="1"/>
        <v>0</v>
      </c>
    </row>
    <row r="21" spans="1:44" ht="22.95" customHeight="1" x14ac:dyDescent="0.3">
      <c r="A21" s="4337"/>
      <c r="B21" s="4343" t="s">
        <v>572</v>
      </c>
      <c r="C21" s="4344" t="s">
        <v>573</v>
      </c>
      <c r="D21" s="128" t="s">
        <v>40</v>
      </c>
      <c r="E21" s="115">
        <v>0</v>
      </c>
      <c r="F21" s="114">
        <v>0</v>
      </c>
      <c r="G21" s="114">
        <v>0</v>
      </c>
      <c r="H21" s="116">
        <f>L21+P21+T21+X21</f>
        <v>0</v>
      </c>
      <c r="I21" s="117">
        <v>0</v>
      </c>
      <c r="J21" s="118">
        <v>0</v>
      </c>
      <c r="K21" s="118">
        <v>0</v>
      </c>
      <c r="L21" s="116">
        <v>0</v>
      </c>
      <c r="M21" s="117">
        <v>0</v>
      </c>
      <c r="N21" s="118">
        <v>0</v>
      </c>
      <c r="O21" s="114">
        <v>0</v>
      </c>
      <c r="P21" s="4461">
        <v>0</v>
      </c>
      <c r="Q21" s="117">
        <v>0</v>
      </c>
      <c r="R21" s="118">
        <v>0</v>
      </c>
      <c r="S21" s="118">
        <v>0</v>
      </c>
      <c r="T21" s="116">
        <v>0</v>
      </c>
      <c r="U21" s="117">
        <v>0</v>
      </c>
      <c r="V21" s="118">
        <v>0</v>
      </c>
      <c r="W21" s="118">
        <v>0</v>
      </c>
      <c r="X21" s="116">
        <v>0</v>
      </c>
      <c r="Y21" s="4340"/>
      <c r="AB21" s="4342">
        <f t="shared" si="3"/>
        <v>0</v>
      </c>
      <c r="AC21" s="4342">
        <f t="shared" si="4"/>
        <v>0</v>
      </c>
      <c r="AD21" s="4342">
        <f t="shared" si="5"/>
        <v>0</v>
      </c>
      <c r="AE21" s="4342">
        <f t="shared" si="6"/>
        <v>0</v>
      </c>
      <c r="AF21" s="4342">
        <f t="shared" si="7"/>
        <v>0</v>
      </c>
      <c r="AG21" s="4470">
        <f t="shared" si="8"/>
        <v>0</v>
      </c>
      <c r="AH21" s="4336">
        <f>'ТЕ_2ст_тариф_з ЦТП'!E46/'ТЕ_2ст_тариф_з ЦТП'!E$30</f>
        <v>0</v>
      </c>
      <c r="AI21" s="2079">
        <f>'ТЕ_2ст_тариф_з ЦТП'!H46/'ТЕ_2ст_тариф_з ЦТП'!H$30</f>
        <v>0</v>
      </c>
      <c r="AJ21" s="2079">
        <f>'ТЕ_2ст_тариф_з ЦТП'!K46/'ТЕ_2ст_тариф_з ЦТП'!K$30</f>
        <v>0</v>
      </c>
      <c r="AK21" s="2079">
        <f>'ТЕ_2ст_тариф_з ЦТП'!N46/'ТЕ_2ст_тариф_з ЦТП'!N$30</f>
        <v>0</v>
      </c>
      <c r="AL21" s="2079">
        <f>'ТЕ_2ст_тариф_з ЦТП'!Q46/'ТЕ_2ст_тариф_з ЦТП'!Q$30</f>
        <v>0</v>
      </c>
      <c r="AN21" s="1612">
        <f t="shared" si="9"/>
        <v>0</v>
      </c>
      <c r="AO21" s="1612">
        <f t="shared" si="1"/>
        <v>0</v>
      </c>
      <c r="AP21" s="1612">
        <f t="shared" si="1"/>
        <v>0</v>
      </c>
      <c r="AQ21" s="1612">
        <f t="shared" si="1"/>
        <v>0</v>
      </c>
      <c r="AR21" s="1612">
        <f t="shared" si="1"/>
        <v>0</v>
      </c>
    </row>
    <row r="22" spans="1:44" ht="15.75" customHeight="1" x14ac:dyDescent="0.3">
      <c r="A22" s="4337" t="s">
        <v>44</v>
      </c>
      <c r="B22" s="4343" t="s">
        <v>45</v>
      </c>
      <c r="C22" s="5" t="s">
        <v>1689</v>
      </c>
      <c r="D22" s="4280" t="s">
        <v>40</v>
      </c>
      <c r="E22" s="115">
        <v>23.838849999999997</v>
      </c>
      <c r="F22" s="114">
        <f>Виробництво_1ст!D17</f>
        <v>34.119480000000003</v>
      </c>
      <c r="G22" s="114">
        <v>37.58339743739171</v>
      </c>
      <c r="H22" s="116">
        <f>L22+P22+T22+X22</f>
        <v>33.313922123945588</v>
      </c>
      <c r="I22" s="115">
        <v>20.279868784263716</v>
      </c>
      <c r="J22" s="114">
        <f>F22*($J$55/$F$55)</f>
        <v>29.461994557934897</v>
      </c>
      <c r="K22" s="114">
        <v>31.041274726630903</v>
      </c>
      <c r="L22" s="116">
        <f>Виробництво_1ст!G17</f>
        <v>27.67212550467713</v>
      </c>
      <c r="M22" s="777">
        <v>3.1838246955408285E-3</v>
      </c>
      <c r="N22" s="118">
        <f>F22*($N$55/$F$55)</f>
        <v>4.6207647036600949E-3</v>
      </c>
      <c r="O22" s="4467">
        <v>5.0222076514243258E-3</v>
      </c>
      <c r="P22" s="4461">
        <f>Виробництво_1ст!H17</f>
        <v>4.4764707272547406E-3</v>
      </c>
      <c r="Q22" s="117">
        <v>2.0349876905180024</v>
      </c>
      <c r="R22" s="118">
        <f>F22*$R$55/$F$55</f>
        <v>3.4549955519052076</v>
      </c>
      <c r="S22" s="118">
        <v>4.6809706107764875</v>
      </c>
      <c r="T22" s="116">
        <f>Виробництво_1ст!I17</f>
        <v>4.2158398457434707</v>
      </c>
      <c r="U22" s="117">
        <v>1.5208097005227399</v>
      </c>
      <c r="V22" s="118">
        <f>F22*$V$55/$F$55</f>
        <v>1.1978691254562419</v>
      </c>
      <c r="W22" s="118">
        <v>1.8561298923328922</v>
      </c>
      <c r="X22" s="116">
        <f>Виробництво_1ст!J17</f>
        <v>1.4214803027977334</v>
      </c>
      <c r="Y22" s="4345"/>
      <c r="AB22" s="4342">
        <f t="shared" si="3"/>
        <v>0.30654482479686251</v>
      </c>
      <c r="AC22" s="4342">
        <f t="shared" si="4"/>
        <v>0.30654482479686251</v>
      </c>
      <c r="AD22" s="4342">
        <f t="shared" si="5"/>
        <v>0.30654482479686246</v>
      </c>
      <c r="AE22" s="4342">
        <f t="shared" si="6"/>
        <v>0.30654482479686246</v>
      </c>
      <c r="AF22" s="4342">
        <f t="shared" si="7"/>
        <v>0.30654482479686251</v>
      </c>
      <c r="AG22" s="4470">
        <f t="shared" si="8"/>
        <v>0</v>
      </c>
      <c r="AH22" s="4336">
        <f>'ТЕ_2ст_тариф_з ЦТП'!E47/'ТЕ_2ст_тариф_з ЦТП'!E$30</f>
        <v>0.30654482479686246</v>
      </c>
      <c r="AI22" s="2079">
        <f>'ТЕ_2ст_тариф_з ЦТП'!H47/'ТЕ_2ст_тариф_з ЦТП'!H$30</f>
        <v>0.30648851688239453</v>
      </c>
      <c r="AJ22" s="2079">
        <f>'ТЕ_2ст_тариф_з ЦТП'!K47/'ТЕ_2ст_тариф_з ЦТП'!K$30</f>
        <v>0.30691872703669326</v>
      </c>
      <c r="AK22" s="2079">
        <f>'ТЕ_2ст_тариф_з ЦТП'!N47/'ТЕ_2ст_тариф_з ЦТП'!N$30</f>
        <v>0.30696165217734184</v>
      </c>
      <c r="AL22" s="2079">
        <f>'ТЕ_2ст_тариф_з ЦТП'!Q47/'ТЕ_2ст_тариф_з ЦТП'!Q$30</f>
        <v>0.30640356953965242</v>
      </c>
      <c r="AN22" s="1612">
        <f t="shared" si="9"/>
        <v>0</v>
      </c>
      <c r="AO22" s="1612">
        <f t="shared" si="1"/>
        <v>5.6307914467979003E-5</v>
      </c>
      <c r="AP22" s="1612">
        <f t="shared" si="1"/>
        <v>-3.739022398308034E-4</v>
      </c>
      <c r="AQ22" s="1612">
        <f t="shared" si="1"/>
        <v>-4.1682738047937873E-4</v>
      </c>
      <c r="AR22" s="1612">
        <f t="shared" si="1"/>
        <v>1.4125525721009335E-4</v>
      </c>
    </row>
    <row r="23" spans="1:44" ht="15" customHeight="1" x14ac:dyDescent="0.3">
      <c r="A23" s="4337"/>
      <c r="B23" s="4343" t="s">
        <v>46</v>
      </c>
      <c r="C23" s="919" t="s">
        <v>610</v>
      </c>
      <c r="D23" s="4280" t="s">
        <v>40</v>
      </c>
      <c r="E23" s="115">
        <v>244.56115000004965</v>
      </c>
      <c r="F23" s="114">
        <f>Виробництво_1ст!D11-Виробництво_1ст!D12-Виробництво_1ст!D16-Виробництво_1ст!D17</f>
        <v>370.37354000000079</v>
      </c>
      <c r="G23" s="114">
        <v>446.80009158183958</v>
      </c>
      <c r="H23" s="116">
        <f>L23+P23+T23+X23</f>
        <v>623.00670261753226</v>
      </c>
      <c r="I23" s="115">
        <v>208.04980239103998</v>
      </c>
      <c r="J23" s="114">
        <f>F23*($J$55/$F$55)</f>
        <v>319.81563669443688</v>
      </c>
      <c r="K23" s="114">
        <v>369.0258288591445</v>
      </c>
      <c r="L23" s="116">
        <f>Виробництво_1ст!G11-Виробництво_1ст!G12-Виробництво_1ст!G16-Виробництво_1ст!G17</f>
        <v>517.49894836595797</v>
      </c>
      <c r="M23" s="777">
        <v>3.2662642239035145E-2</v>
      </c>
      <c r="N23" s="118">
        <f>F23*($N$55/$F$55)</f>
        <v>5.0159292603569682E-2</v>
      </c>
      <c r="O23" s="114">
        <v>5.9705162162011306E-2</v>
      </c>
      <c r="P23" s="4461">
        <f>Виробництво_1ст!H11-Виробництво_1ст!H12-Виробництво_1ст!H16-Виробництво_1ст!H17</f>
        <v>8.3714888231240653E-2</v>
      </c>
      <c r="Q23" s="117">
        <v>20.876801096908107</v>
      </c>
      <c r="R23" s="118">
        <f>F23*$R$55/$F$55</f>
        <v>37.504643483528703</v>
      </c>
      <c r="S23" s="118">
        <v>55.648457568814678</v>
      </c>
      <c r="T23" s="116">
        <f>Виробництво_1ст!I11-Виробництво_1ст!I12-Виробництво_1ст!I16-Виробництво_1ст!I17</f>
        <v>78.840806293791658</v>
      </c>
      <c r="U23" s="117">
        <v>15.601883869862531</v>
      </c>
      <c r="V23" s="118">
        <f>F23*$V$55/$F$55</f>
        <v>13.003100529431672</v>
      </c>
      <c r="W23" s="118">
        <v>22.066099991718456</v>
      </c>
      <c r="X23" s="116">
        <f>Виробництво_1ст!J11-Виробництво_1ст!J12-Виробництво_1ст!J16-Виробництво_1ст!J17</f>
        <v>26.583233069551369</v>
      </c>
      <c r="Y23" s="4345"/>
      <c r="AB23" s="4342">
        <f t="shared" si="3"/>
        <v>5.7327227875065789</v>
      </c>
      <c r="AC23" s="4342">
        <f t="shared" si="4"/>
        <v>5.7327227875065283</v>
      </c>
      <c r="AD23" s="4342">
        <f t="shared" si="5"/>
        <v>5.7327227875055042</v>
      </c>
      <c r="AE23" s="4342">
        <f t="shared" si="6"/>
        <v>5.7327227875070346</v>
      </c>
      <c r="AF23" s="4342">
        <f t="shared" si="7"/>
        <v>5.7327227875062041</v>
      </c>
      <c r="AG23" s="4470">
        <f t="shared" si="8"/>
        <v>1.5303314171433158E-12</v>
      </c>
      <c r="AH23" s="4336">
        <f>'ТЕ_2ст_тариф_з ЦТП'!E48/'ТЕ_2ст_тариф_з ЦТП'!E$30</f>
        <v>5.7327227875065789</v>
      </c>
      <c r="AI23" s="2079">
        <f>'ТЕ_2ст_тариф_з ЦТП'!H48/'ТЕ_2ст_тариф_з ЦТП'!H$30</f>
        <v>5.7316697680514261</v>
      </c>
      <c r="AJ23" s="2079">
        <f>'ТЕ_2ст_тариф_з ЦТП'!K48/'ТЕ_2ст_тариф_з ЦТП'!K$30</f>
        <v>5.7397151674692735</v>
      </c>
      <c r="AK23" s="2079">
        <f>'ТЕ_2ст_тариф_з ЦТП'!N48/'ТЕ_2ст_тариф_з ЦТП'!N$30</f>
        <v>5.7405179144480121</v>
      </c>
      <c r="AL23" s="2079">
        <f>'ТЕ_2ст_тариф_з ЦТП'!Q48/'ТЕ_2ст_тариф_з ЦТП'!Q$30</f>
        <v>5.7300811600304016</v>
      </c>
      <c r="AN23" s="1612">
        <f t="shared" si="9"/>
        <v>0</v>
      </c>
      <c r="AO23" s="1612">
        <f t="shared" si="1"/>
        <v>1.0530194551021665E-3</v>
      </c>
      <c r="AP23" s="1612">
        <f t="shared" si="1"/>
        <v>-6.9923799637692241E-3</v>
      </c>
      <c r="AQ23" s="1612">
        <f t="shared" si="1"/>
        <v>-7.7951269409775037E-3</v>
      </c>
      <c r="AR23" s="1612">
        <f t="shared" si="1"/>
        <v>2.6416274758025438E-3</v>
      </c>
    </row>
    <row r="24" spans="1:44" x14ac:dyDescent="0.3">
      <c r="A24" s="4337" t="s">
        <v>24</v>
      </c>
      <c r="B24" s="113" t="s">
        <v>24</v>
      </c>
      <c r="C24" s="5" t="s">
        <v>47</v>
      </c>
      <c r="D24" s="4280" t="s">
        <v>40</v>
      </c>
      <c r="E24" s="115">
        <v>5683.8760000000002</v>
      </c>
      <c r="F24" s="114">
        <f>Виробництво_1ст!D29</f>
        <v>8106.6893399999999</v>
      </c>
      <c r="G24" s="114">
        <v>10366.780362800002</v>
      </c>
      <c r="H24" s="116">
        <f>L24+P24+T24+X24</f>
        <v>11228.939355305938</v>
      </c>
      <c r="I24" s="115">
        <v>4835.311244712967</v>
      </c>
      <c r="J24" s="114">
        <f>F24*($J$55/$F$55)</f>
        <v>7000.0843277197901</v>
      </c>
      <c r="K24" s="114">
        <v>8562.2402234493165</v>
      </c>
      <c r="L24" s="116">
        <f>Виробництво_1ст!G29</f>
        <v>9327.290193221852</v>
      </c>
      <c r="M24" s="777">
        <v>0.75911651674438252</v>
      </c>
      <c r="N24" s="118">
        <f>F24*($N$55/$F$55)</f>
        <v>1.097880271499142</v>
      </c>
      <c r="O24" s="114">
        <v>1.3852958276435925</v>
      </c>
      <c r="P24" s="4461">
        <f>Виробництво_1ст!H29</f>
        <v>1.508859213128052</v>
      </c>
      <c r="Q24" s="117">
        <v>485.20032192956887</v>
      </c>
      <c r="R24" s="118">
        <f>F24*$R$55/$F$55</f>
        <v>820.89690729100676</v>
      </c>
      <c r="S24" s="118">
        <v>1291.1710360267357</v>
      </c>
      <c r="T24" s="116">
        <f>Виробництво_1ст!I29</f>
        <v>1421.0098043517023</v>
      </c>
      <c r="U24" s="117">
        <v>362.60531684071969</v>
      </c>
      <c r="V24" s="118">
        <f>F24*$V$55/$F$55</f>
        <v>284.61022471770491</v>
      </c>
      <c r="W24" s="118">
        <v>511.98380749630576</v>
      </c>
      <c r="X24" s="116">
        <f>Виробництво_1ст!J29</f>
        <v>479.13049851925439</v>
      </c>
      <c r="AB24" s="4342">
        <f t="shared" si="3"/>
        <v>103.32536753013137</v>
      </c>
      <c r="AC24" s="4342">
        <f t="shared" si="4"/>
        <v>103.32536753013136</v>
      </c>
      <c r="AD24" s="4342">
        <f t="shared" si="5"/>
        <v>103.32536753013136</v>
      </c>
      <c r="AE24" s="4342">
        <f t="shared" si="6"/>
        <v>103.32536753013136</v>
      </c>
      <c r="AF24" s="4342">
        <f t="shared" si="7"/>
        <v>103.32536753013136</v>
      </c>
      <c r="AG24" s="4470">
        <f t="shared" si="8"/>
        <v>0</v>
      </c>
      <c r="AH24" s="4336">
        <f>'ТЕ_2ст_тариф_з ЦТП'!E49/'ТЕ_2ст_тариф_з ЦТП'!E$30</f>
        <v>103.32536753013137</v>
      </c>
      <c r="AI24" s="2079">
        <f>'ТЕ_2ст_тариф_з ЦТП'!H49/'ТЕ_2ст_тариф_з ЦТП'!H$30</f>
        <v>103.30638813303631</v>
      </c>
      <c r="AJ24" s="2079">
        <f>'ТЕ_2ст_тариф_з ЦТП'!K49/'ТЕ_2ст_тариф_з ЦТП'!K$30</f>
        <v>103.45139668875916</v>
      </c>
      <c r="AK24" s="2079">
        <f>'ТЕ_2ст_тариф_з ЦТП'!N49/'ТЕ_2ст_тариф_з ЦТП'!N$30</f>
        <v>103.46586522834956</v>
      </c>
      <c r="AL24" s="2079">
        <f>'ТЕ_2ст_тариф_з ЦТП'!Q49/'ТЕ_2ст_тариф_з ЦТП'!Q$30</f>
        <v>103.27775540235703</v>
      </c>
      <c r="AN24" s="1612">
        <f t="shared" si="9"/>
        <v>0</v>
      </c>
      <c r="AO24" s="1612">
        <f t="shared" si="1"/>
        <v>1.8979397095051809E-2</v>
      </c>
      <c r="AP24" s="1612">
        <f t="shared" si="1"/>
        <v>-0.12602915862780151</v>
      </c>
      <c r="AQ24" s="1612">
        <f t="shared" si="1"/>
        <v>-0.1404976982181978</v>
      </c>
      <c r="AR24" s="1612">
        <f t="shared" si="1"/>
        <v>4.7612127774328883E-2</v>
      </c>
    </row>
    <row r="25" spans="1:44" x14ac:dyDescent="0.3">
      <c r="A25" s="4337" t="s">
        <v>48</v>
      </c>
      <c r="B25" s="113" t="s">
        <v>48</v>
      </c>
      <c r="C25" s="5" t="s">
        <v>217</v>
      </c>
      <c r="D25" s="4280" t="s">
        <v>40</v>
      </c>
      <c r="E25" s="115">
        <v>5293.7009199999993</v>
      </c>
      <c r="F25" s="114">
        <f>Виробництво_1ст!D31</f>
        <v>5426.4078600000021</v>
      </c>
      <c r="G25" s="114">
        <v>6736.8331267553585</v>
      </c>
      <c r="H25" s="116">
        <f t="shared" ref="H25:X25" si="12">H26+H27+H28</f>
        <v>7233.6473506343445</v>
      </c>
      <c r="I25" s="115">
        <v>4503.3867003121413</v>
      </c>
      <c r="J25" s="114">
        <f t="shared" si="12"/>
        <v>4685.6751287081515</v>
      </c>
      <c r="K25" s="114">
        <v>5564.1560405347418</v>
      </c>
      <c r="L25" s="116">
        <f t="shared" si="12"/>
        <v>6008.6109524596959</v>
      </c>
      <c r="M25" s="115">
        <v>0.70700624064932671</v>
      </c>
      <c r="N25" s="114">
        <f t="shared" si="12"/>
        <v>0.7348926158063287</v>
      </c>
      <c r="O25" s="114">
        <v>0.90023194236022963</v>
      </c>
      <c r="P25" s="4461">
        <f t="shared" si="12"/>
        <v>0.97200235072661356</v>
      </c>
      <c r="Q25" s="115">
        <v>451.89328384061412</v>
      </c>
      <c r="R25" s="114">
        <f t="shared" si="12"/>
        <v>549.48712639006988</v>
      </c>
      <c r="S25" s="114">
        <v>839.06511987320255</v>
      </c>
      <c r="T25" s="116">
        <f t="shared" si="12"/>
        <v>915.41003840376175</v>
      </c>
      <c r="U25" s="115">
        <v>337.71392960659398</v>
      </c>
      <c r="V25" s="114">
        <f t="shared" si="12"/>
        <v>190.51071228597505</v>
      </c>
      <c r="W25" s="114">
        <v>332.71173440505476</v>
      </c>
      <c r="X25" s="116">
        <f t="shared" si="12"/>
        <v>308.65435742016155</v>
      </c>
      <c r="AB25" s="4342">
        <f t="shared" si="3"/>
        <v>66.561876187752461</v>
      </c>
      <c r="AC25" s="4342">
        <f t="shared" si="4"/>
        <v>66.561876187752475</v>
      </c>
      <c r="AD25" s="4342">
        <f t="shared" si="5"/>
        <v>66.561876187752446</v>
      </c>
      <c r="AE25" s="4342">
        <f t="shared" si="6"/>
        <v>66.561876187752446</v>
      </c>
      <c r="AF25" s="4342">
        <f t="shared" si="7"/>
        <v>66.561876187752446</v>
      </c>
      <c r="AG25" s="4470">
        <f t="shared" si="8"/>
        <v>0</v>
      </c>
      <c r="AH25" s="4336">
        <f>'ТЕ_2ст_тариф_з ЦТП'!E50/'ТЕ_2ст_тариф_з ЦТП'!E$30</f>
        <v>66.561876187752461</v>
      </c>
      <c r="AI25" s="2079">
        <f>'ТЕ_2ст_тариф_з ЦТП'!H50/'ТЕ_2ст_тариф_з ЦТП'!H$30</f>
        <v>66.54964971994734</v>
      </c>
      <c r="AJ25" s="2079">
        <f>'ТЕ_2ст_тариф_з ЦТП'!K50/'ТЕ_2ст_тариф_з ЦТП'!K$30</f>
        <v>66.643063774626356</v>
      </c>
      <c r="AK25" s="2079">
        <f>'ТЕ_2ст_тариф_з ЦТП'!N50/'ТЕ_2ст_тариф_з ЦТП'!N$30</f>
        <v>66.652384362240554</v>
      </c>
      <c r="AL25" s="2079">
        <f>'ТЕ_2ст_тариф_з ЦТП'!Q50/'ТЕ_2ст_тариф_з ЦТП'!Q$30</f>
        <v>66.53120460506463</v>
      </c>
      <c r="AN25" s="1612">
        <f t="shared" si="9"/>
        <v>0</v>
      </c>
      <c r="AO25" s="1612">
        <f t="shared" si="1"/>
        <v>1.2226467805135144E-2</v>
      </c>
      <c r="AP25" s="1612">
        <f t="shared" si="1"/>
        <v>-8.1187586873909368E-2</v>
      </c>
      <c r="AQ25" s="1612">
        <f t="shared" si="1"/>
        <v>-9.0508174488107329E-2</v>
      </c>
      <c r="AR25" s="1612">
        <f t="shared" si="1"/>
        <v>3.0671582687816112E-2</v>
      </c>
    </row>
    <row r="26" spans="1:44" ht="20.399999999999999" x14ac:dyDescent="0.3">
      <c r="A26" s="4337" t="s">
        <v>49</v>
      </c>
      <c r="B26" s="4338" t="s">
        <v>49</v>
      </c>
      <c r="C26" s="4339" t="s">
        <v>452</v>
      </c>
      <c r="D26" s="128" t="s">
        <v>40</v>
      </c>
      <c r="E26" s="115">
        <v>1225.8440000000001</v>
      </c>
      <c r="F26" s="114">
        <f>Виробництво_1ст!D32</f>
        <v>1788.1156299999998</v>
      </c>
      <c r="G26" s="114">
        <v>2280.691679816</v>
      </c>
      <c r="H26" s="116">
        <f>L26+P26+T26+X26</f>
        <v>2470.366658167306</v>
      </c>
      <c r="I26" s="115">
        <v>1042.8336715058392</v>
      </c>
      <c r="J26" s="114">
        <f>F26*($J$55/$F$55)</f>
        <v>1544.028600670887</v>
      </c>
      <c r="K26" s="114">
        <v>1883.6928491588494</v>
      </c>
      <c r="L26" s="116">
        <f>Виробництво_1ст!G32</f>
        <v>2052.0038425088073</v>
      </c>
      <c r="M26" s="777">
        <v>0.16371898812570873</v>
      </c>
      <c r="N26" s="118">
        <f>F26*($N$55/$F$55)</f>
        <v>0.24216258832687168</v>
      </c>
      <c r="O26" s="114">
        <v>0.30476508208159037</v>
      </c>
      <c r="P26" s="4461">
        <f>Виробництво_1ст!H32</f>
        <v>0.33194902688817146</v>
      </c>
      <c r="Q26" s="117">
        <v>104.64336368974806</v>
      </c>
      <c r="R26" s="118">
        <f>F26*$R$55/$F$55</f>
        <v>181.06757629196505</v>
      </c>
      <c r="S26" s="118">
        <v>284.05762792588189</v>
      </c>
      <c r="T26" s="116">
        <f>Виробництво_1ст!I32</f>
        <v>312.62215695737456</v>
      </c>
      <c r="U26" s="117">
        <v>78.203245816287193</v>
      </c>
      <c r="V26" s="118">
        <f>F26*$V$55/$F$55</f>
        <v>62.777290448820928</v>
      </c>
      <c r="W26" s="118">
        <v>112.63643764918726</v>
      </c>
      <c r="X26" s="116">
        <f>Виробництво_1ст!J32</f>
        <v>105.40870967423598</v>
      </c>
      <c r="AB26" s="4342">
        <f t="shared" si="3"/>
        <v>22.731580856628902</v>
      </c>
      <c r="AC26" s="4342">
        <f t="shared" si="4"/>
        <v>22.731580856628899</v>
      </c>
      <c r="AD26" s="4342">
        <f t="shared" si="5"/>
        <v>22.731580856628899</v>
      </c>
      <c r="AE26" s="4342">
        <f t="shared" si="6"/>
        <v>22.731580856628902</v>
      </c>
      <c r="AF26" s="4342">
        <f t="shared" si="7"/>
        <v>22.731580856628902</v>
      </c>
      <c r="AG26" s="4470">
        <f t="shared" si="8"/>
        <v>0</v>
      </c>
      <c r="AH26" s="4336">
        <f>'ТЕ_2ст_тариф_з ЦТП'!E51/'ТЕ_2ст_тариф_з ЦТП'!E$30</f>
        <v>22.731580856628899</v>
      </c>
      <c r="AI26" s="2079">
        <f>'ТЕ_2ст_тариф_з ЦТП'!H51/'ТЕ_2ст_тариф_з ЦТП'!H$30</f>
        <v>22.727405389267986</v>
      </c>
      <c r="AJ26" s="2079">
        <f>'ТЕ_2ст_тариф_з ЦТП'!K51/'ТЕ_2ст_тариф_з ЦТП'!K$30</f>
        <v>22.75930727152701</v>
      </c>
      <c r="AK26" s="2079">
        <f>'ТЕ_2ст_тариф_з ЦТП'!N51/'ТЕ_2ст_тариф_з ЦТП'!N$30</f>
        <v>22.762490350236902</v>
      </c>
      <c r="AL26" s="2079">
        <f>'ТЕ_2ст_тариф_з ЦТП'!Q51/'ТЕ_2ст_тариф_з ЦТП'!Q$30</f>
        <v>22.721106188518544</v>
      </c>
      <c r="AN26" s="1612">
        <f t="shared" si="9"/>
        <v>0</v>
      </c>
      <c r="AO26" s="1612">
        <f t="shared" si="1"/>
        <v>4.1754673609126769E-3</v>
      </c>
      <c r="AP26" s="1612">
        <f t="shared" si="1"/>
        <v>-2.7726414898111784E-2</v>
      </c>
      <c r="AQ26" s="1612">
        <f t="shared" si="1"/>
        <v>-3.0909493608000105E-2</v>
      </c>
      <c r="AR26" s="1612">
        <f t="shared" si="1"/>
        <v>1.0474668110358465E-2</v>
      </c>
    </row>
    <row r="27" spans="1:44" x14ac:dyDescent="0.3">
      <c r="A27" s="4337" t="s">
        <v>50</v>
      </c>
      <c r="B27" s="4338" t="s">
        <v>50</v>
      </c>
      <c r="C27" s="120" t="s">
        <v>453</v>
      </c>
      <c r="D27" s="128" t="s">
        <v>40</v>
      </c>
      <c r="E27" s="115">
        <v>2221.6439999999998</v>
      </c>
      <c r="F27" s="114">
        <f>Виробництво_1ст!D33+Виробництво_1ст!D34</f>
        <v>2301.1614399999999</v>
      </c>
      <c r="G27" s="114">
        <v>2299.5848500000002</v>
      </c>
      <c r="H27" s="116">
        <f>L27+P27+T27+X27</f>
        <v>2122.9628600000001</v>
      </c>
      <c r="I27" s="115">
        <v>1889.9673770063059</v>
      </c>
      <c r="J27" s="114">
        <f>F27*($J$55/$F$55)</f>
        <v>1987.0410047928519</v>
      </c>
      <c r="K27" s="114">
        <v>1899.2972949015609</v>
      </c>
      <c r="L27" s="116">
        <f>Виробництво_1ст!G33+Виробництво_1ст!G34</f>
        <v>1763.433752565023</v>
      </c>
      <c r="M27" s="777">
        <v>0.29671418847386127</v>
      </c>
      <c r="N27" s="118">
        <f>F27*($N$55/$F$55)</f>
        <v>0.31164383394400019</v>
      </c>
      <c r="O27" s="114">
        <v>0.30728974537249726</v>
      </c>
      <c r="P27" s="4461">
        <f>Виробництво_1ст!H33+Виробництво_1ст!H34</f>
        <v>0.2852675545821759</v>
      </c>
      <c r="Q27" s="117">
        <v>189.64917320731396</v>
      </c>
      <c r="R27" s="118">
        <f>F27*$R$55/$F$55</f>
        <v>233.01945221368499</v>
      </c>
      <c r="S27" s="118">
        <v>286.41075139011974</v>
      </c>
      <c r="T27" s="116">
        <f>Виробництво_1ст!I33+Виробництво_1ст!I34</f>
        <v>268.65859213221643</v>
      </c>
      <c r="U27" s="117">
        <v>141.73073559790603</v>
      </c>
      <c r="V27" s="118">
        <f>F27*$V$55/$F$55</f>
        <v>80.789339159519017</v>
      </c>
      <c r="W27" s="118">
        <v>113.56951396294717</v>
      </c>
      <c r="X27" s="116">
        <f>Виробництво_1ст!J33+Виробництво_1ст!J34</f>
        <v>90.585247748178688</v>
      </c>
      <c r="AB27" s="4342">
        <f t="shared" si="3"/>
        <v>19.534874205075123</v>
      </c>
      <c r="AC27" s="4342">
        <f t="shared" si="4"/>
        <v>19.534874205075123</v>
      </c>
      <c r="AD27" s="4342">
        <f t="shared" si="5"/>
        <v>19.534874205075123</v>
      </c>
      <c r="AE27" s="4342">
        <f t="shared" si="6"/>
        <v>19.534874205075123</v>
      </c>
      <c r="AF27" s="4342">
        <f t="shared" si="7"/>
        <v>19.53487420507512</v>
      </c>
      <c r="AG27" s="4470">
        <f t="shared" si="8"/>
        <v>0</v>
      </c>
      <c r="AH27" s="4336">
        <f>'ТЕ_2ст_тариф_з ЦТП'!E52/'ТЕ_2ст_тариф_з ЦТП'!E$30</f>
        <v>19.534874205075123</v>
      </c>
      <c r="AI27" s="2079">
        <f>'ТЕ_2ст_тариф_з ЦТП'!H52/'ТЕ_2ст_тариф_з ЦТП'!H$30</f>
        <v>19.531285927156517</v>
      </c>
      <c r="AJ27" s="2079">
        <f>'ТЕ_2ст_тариф_з ЦТП'!K52/'ТЕ_2ст_тариф_з ЦТП'!K$30</f>
        <v>19.558701497625012</v>
      </c>
      <c r="AK27" s="2079">
        <f>'ТЕ_2ст_тариф_з ЦТП'!N52/'ТЕ_2ст_тариф_з ЦТП'!N$30</f>
        <v>19.561436944955958</v>
      </c>
      <c r="AL27" s="2079">
        <f>'ТЕ_2ст_тариф_з ЦТП'!Q52/'ТЕ_2ст_тариф_з ЦТП'!Q$30</f>
        <v>19.525872573153162</v>
      </c>
      <c r="AN27" s="1612">
        <f t="shared" si="9"/>
        <v>0</v>
      </c>
      <c r="AO27" s="1612">
        <f t="shared" si="1"/>
        <v>3.5882779186060532E-3</v>
      </c>
      <c r="AP27" s="1612">
        <f t="shared" si="1"/>
        <v>-2.3827292549889023E-2</v>
      </c>
      <c r="AQ27" s="1612">
        <f t="shared" si="1"/>
        <v>-2.656273988083413E-2</v>
      </c>
      <c r="AR27" s="1612">
        <f t="shared" si="1"/>
        <v>9.0016319219579088E-3</v>
      </c>
    </row>
    <row r="28" spans="1:44" x14ac:dyDescent="0.3">
      <c r="A28" s="4337" t="s">
        <v>124</v>
      </c>
      <c r="B28" s="4338" t="s">
        <v>51</v>
      </c>
      <c r="C28" s="120" t="s">
        <v>52</v>
      </c>
      <c r="D28" s="128" t="s">
        <v>40</v>
      </c>
      <c r="E28" s="115">
        <v>1846.2129199999995</v>
      </c>
      <c r="F28" s="114">
        <f>F25-F26-F27</f>
        <v>1337.1307900000024</v>
      </c>
      <c r="G28" s="114">
        <v>2156.5565969393588</v>
      </c>
      <c r="H28" s="116">
        <f>L28+P28+T28+X28</f>
        <v>2640.3178324670394</v>
      </c>
      <c r="I28" s="115">
        <v>1570.5856517999969</v>
      </c>
      <c r="J28" s="114">
        <f>F28*($J$55/$F$55)</f>
        <v>1154.6055232444121</v>
      </c>
      <c r="K28" s="114">
        <v>1781.1658964743312</v>
      </c>
      <c r="L28" s="116">
        <f>Виробництво_1ст!G31-Виробництво_1ст!G32-Виробництво_1ст!G33-Виробництво_1ст!G34</f>
        <v>2193.1733573858655</v>
      </c>
      <c r="M28" s="777">
        <v>0.24657306404975671</v>
      </c>
      <c r="N28" s="118">
        <f>F28*($N$55/$F$55)</f>
        <v>0.18108619353545682</v>
      </c>
      <c r="O28" s="114">
        <v>0.28817711490614212</v>
      </c>
      <c r="P28" s="4461">
        <f>Виробництво_1ст!H31-Виробництво_1ст!H32-Виробництво_1ст!H33-Виробництво_1ст!H34</f>
        <v>0.35478576925626615</v>
      </c>
      <c r="Q28" s="117">
        <v>157.60074694355208</v>
      </c>
      <c r="R28" s="118">
        <f>F28*$R$55/$F$55</f>
        <v>135.40009788441981</v>
      </c>
      <c r="S28" s="118">
        <v>268.59674055720103</v>
      </c>
      <c r="T28" s="116">
        <f>Виробництво_1ст!I31-Виробництво_1ст!I32-Виробництво_1ст!I33-Виробництво_1ст!I34</f>
        <v>334.12928931417082</v>
      </c>
      <c r="U28" s="117">
        <v>117.77994819240075</v>
      </c>
      <c r="V28" s="118">
        <f>F28*$V$55/$F$55</f>
        <v>46.94408267763508</v>
      </c>
      <c r="W28" s="118">
        <v>106.50578279292033</v>
      </c>
      <c r="X28" s="116">
        <f>Виробництво_1ст!J31-Виробництво_1ст!J32-Виробництво_1ст!J33-Виробництво_1ст!J34</f>
        <v>112.66039999774688</v>
      </c>
      <c r="Y28" s="4346"/>
      <c r="AB28" s="4342">
        <f t="shared" si="3"/>
        <v>24.295421126048442</v>
      </c>
      <c r="AC28" s="4342">
        <f t="shared" si="4"/>
        <v>24.295421126048446</v>
      </c>
      <c r="AD28" s="4342">
        <f t="shared" si="5"/>
        <v>24.295421126048424</v>
      </c>
      <c r="AE28" s="4342">
        <f t="shared" si="6"/>
        <v>24.295421126048428</v>
      </c>
      <c r="AF28" s="4342">
        <f t="shared" si="7"/>
        <v>24.295421126048424</v>
      </c>
      <c r="AG28" s="4470">
        <f t="shared" si="8"/>
        <v>0</v>
      </c>
      <c r="AH28" s="4336">
        <f>'ТЕ_2ст_тариф_з ЦТП'!E53/'ТЕ_2ст_тариф_з ЦТП'!E$30</f>
        <v>24.295421126048442</v>
      </c>
      <c r="AI28" s="2079">
        <f>'ТЕ_2ст_тариф_з ЦТП'!H53/'ТЕ_2ст_тариф_з ЦТП'!H$30</f>
        <v>24.29095840352284</v>
      </c>
      <c r="AJ28" s="2079">
        <f>'ТЕ_2ст_тариф_з ЦТП'!K53/'ТЕ_2ст_тариф_з ЦТП'!K$30</f>
        <v>24.325055005474333</v>
      </c>
      <c r="AK28" s="2079">
        <f>'ТЕ_2ст_тариф_з ЦТП'!N53/'ТЕ_2ст_тариф_з ЦТП'!N$30</f>
        <v>24.328457067047694</v>
      </c>
      <c r="AL28" s="2079">
        <f>'ТЕ_2ст_тариф_з ЦТП'!Q53/'ТЕ_2ст_тариф_з ЦТП'!Q$30</f>
        <v>24.284225843392928</v>
      </c>
      <c r="AN28" s="1612">
        <f t="shared" si="9"/>
        <v>0</v>
      </c>
      <c r="AO28" s="1612">
        <f t="shared" si="9"/>
        <v>4.4627225256057557E-3</v>
      </c>
      <c r="AP28" s="1612">
        <f t="shared" si="9"/>
        <v>-2.963387942590856E-2</v>
      </c>
      <c r="AQ28" s="1612">
        <f t="shared" si="9"/>
        <v>-3.3035940999265989E-2</v>
      </c>
      <c r="AR28" s="1612">
        <f t="shared" si="9"/>
        <v>1.1195282655496186E-2</v>
      </c>
    </row>
    <row r="29" spans="1:44" s="155" customFormat="1" x14ac:dyDescent="0.3">
      <c r="A29" s="912" t="s">
        <v>53</v>
      </c>
      <c r="B29" s="913" t="s">
        <v>53</v>
      </c>
      <c r="C29" s="122" t="s">
        <v>218</v>
      </c>
      <c r="D29" s="766" t="s">
        <v>40</v>
      </c>
      <c r="E29" s="111">
        <f>E30+E31+E32</f>
        <v>1874.44</v>
      </c>
      <c r="F29" s="110">
        <f>F30+F31+F32</f>
        <v>1874.44</v>
      </c>
      <c r="G29" s="110">
        <f>G30+G31+G32</f>
        <v>5237.096023516955</v>
      </c>
      <c r="H29" s="112">
        <f>ЗВВ_1ст!G8</f>
        <v>5210.7535416702249</v>
      </c>
      <c r="I29" s="111">
        <f t="shared" ref="I29:X29" si="13">I30+I31+I32</f>
        <v>1594.5986171302425</v>
      </c>
      <c r="J29" s="110">
        <f t="shared" si="13"/>
        <v>1618.5692478072785</v>
      </c>
      <c r="K29" s="110">
        <f t="shared" si="13"/>
        <v>4325.4774054566733</v>
      </c>
      <c r="L29" s="112">
        <f t="shared" si="13"/>
        <v>4328.2993050943005</v>
      </c>
      <c r="M29" s="111">
        <f t="shared" si="13"/>
        <v>0.25034296378850285</v>
      </c>
      <c r="N29" s="110">
        <f t="shared" si="13"/>
        <v>0.25385340547771029</v>
      </c>
      <c r="O29" s="110">
        <f t="shared" si="13"/>
        <v>0.6998245372671692</v>
      </c>
      <c r="P29" s="4460">
        <f t="shared" si="13"/>
        <v>0.70018131186839383</v>
      </c>
      <c r="Q29" s="111">
        <f t="shared" si="13"/>
        <v>160.01033299066711</v>
      </c>
      <c r="R29" s="110">
        <f t="shared" si="13"/>
        <v>189.80892622962591</v>
      </c>
      <c r="S29" s="110">
        <f t="shared" si="13"/>
        <v>652.27452128922278</v>
      </c>
      <c r="T29" s="112">
        <f t="shared" si="13"/>
        <v>659.41507354164594</v>
      </c>
      <c r="U29" s="111">
        <f t="shared" si="13"/>
        <v>119.58070691530193</v>
      </c>
      <c r="V29" s="110">
        <f t="shared" si="13"/>
        <v>65.807972557618058</v>
      </c>
      <c r="W29" s="110">
        <f t="shared" si="13"/>
        <v>258.64427223379209</v>
      </c>
      <c r="X29" s="112">
        <f t="shared" si="13"/>
        <v>222.33898172241075</v>
      </c>
      <c r="Y29" s="4347"/>
      <c r="AB29" s="4342">
        <f t="shared" si="3"/>
        <v>47.947807692772123</v>
      </c>
      <c r="AC29" s="4342">
        <f t="shared" si="4"/>
        <v>47.94780769277213</v>
      </c>
      <c r="AD29" s="4342">
        <f t="shared" si="5"/>
        <v>47.947807692772123</v>
      </c>
      <c r="AE29" s="4342">
        <f t="shared" si="6"/>
        <v>47.947807692772116</v>
      </c>
      <c r="AF29" s="4342">
        <f t="shared" si="7"/>
        <v>47.947807692772123</v>
      </c>
      <c r="AG29" s="4470">
        <f t="shared" si="8"/>
        <v>0</v>
      </c>
      <c r="AH29" s="4336">
        <f>'ТЕ_2ст_тариф_з ЦТП'!E54/'ТЕ_2ст_тариф_з ЦТП'!E$30</f>
        <v>47.947807692772123</v>
      </c>
      <c r="AI29" s="2079">
        <f>'ТЕ_2ст_тариф_з ЦТП'!H54/'ТЕ_2ст_тариф_з ЦТП'!H$30</f>
        <v>47.939000364002894</v>
      </c>
      <c r="AJ29" s="2079">
        <f>'ТЕ_2ст_тариф_з ЦТП'!K54/'ТЕ_2ст_тариф_з ЦТП'!K$30</f>
        <v>48.006291122408172</v>
      </c>
      <c r="AK29" s="2079">
        <f>'ТЕ_2ст_тариф_з ЦТП'!N54/'ТЕ_2ст_тариф_з ЦТП'!N$30</f>
        <v>48.013005202120233</v>
      </c>
      <c r="AL29" s="2079">
        <f>'ТЕ_2ст_тариф_з ЦТП'!Q54/'ТЕ_2ст_тариф_з ЦТП'!Q$30</f>
        <v>47.925713436531495</v>
      </c>
      <c r="AM29" s="2079"/>
      <c r="AN29" s="1612">
        <f t="shared" si="9"/>
        <v>0</v>
      </c>
      <c r="AO29" s="1612">
        <f t="shared" si="9"/>
        <v>8.807328769236733E-3</v>
      </c>
      <c r="AP29" s="1612">
        <f t="shared" si="9"/>
        <v>-5.8483429636048356E-2</v>
      </c>
      <c r="AQ29" s="1612">
        <f t="shared" si="9"/>
        <v>-6.5197509348116967E-2</v>
      </c>
      <c r="AR29" s="1612">
        <f t="shared" si="9"/>
        <v>2.2094256240627885E-2</v>
      </c>
    </row>
    <row r="30" spans="1:44" x14ac:dyDescent="0.3">
      <c r="A30" s="4337" t="s">
        <v>54</v>
      </c>
      <c r="B30" s="4338" t="s">
        <v>54</v>
      </c>
      <c r="C30" s="120" t="s">
        <v>55</v>
      </c>
      <c r="D30" s="128" t="s">
        <v>40</v>
      </c>
      <c r="E30" s="114">
        <v>1349.92</v>
      </c>
      <c r="F30" s="114">
        <v>1349.92</v>
      </c>
      <c r="G30" s="114">
        <v>4016.3370727998795</v>
      </c>
      <c r="H30" s="116">
        <f>ЗВВ_1ст!G21</f>
        <v>3981.6703519823727</v>
      </c>
      <c r="I30" s="115">
        <v>1148.3859527306593</v>
      </c>
      <c r="J30" s="114">
        <f>F30*($J$55/$F$55)</f>
        <v>1165.6489399500658</v>
      </c>
      <c r="K30" s="114">
        <v>3317.2153390128938</v>
      </c>
      <c r="L30" s="116">
        <f>H30*Виробництво_1ст!$G$9</f>
        <v>3307.3644492646335</v>
      </c>
      <c r="M30" s="777">
        <v>0.18029009927091599</v>
      </c>
      <c r="N30" s="118">
        <f>F30*($N$55/$F$55)</f>
        <v>0.18281822257445995</v>
      </c>
      <c r="O30" s="114">
        <v>0.53669652434472936</v>
      </c>
      <c r="P30" s="4461">
        <f>H30*Виробництво_1ст!$H$9</f>
        <v>0.53502648862277458</v>
      </c>
      <c r="Q30" s="117">
        <v>115.23502950788574</v>
      </c>
      <c r="R30" s="118">
        <f>F30*$R$55/$F$55</f>
        <v>136.69515465733585</v>
      </c>
      <c r="S30" s="118">
        <v>500.23034325374311</v>
      </c>
      <c r="T30" s="116">
        <f>H30*Виробництво_1ст!$I$9</f>
        <v>503.87596092857262</v>
      </c>
      <c r="U30" s="117">
        <v>86.118727662184114</v>
      </c>
      <c r="V30" s="118">
        <f>F30*$V$55/$F$55</f>
        <v>47.393087170023989</v>
      </c>
      <c r="W30" s="118">
        <v>198.35469400889829</v>
      </c>
      <c r="X30" s="116">
        <f>H30*Виробництво_1ст!$J$9</f>
        <v>169.8949153005442</v>
      </c>
      <c r="Y30" s="4346"/>
      <c r="AB30" s="4342">
        <f t="shared" si="3"/>
        <v>36.638148936836714</v>
      </c>
      <c r="AC30" s="4342">
        <f t="shared" si="4"/>
        <v>36.638148936836721</v>
      </c>
      <c r="AD30" s="4342">
        <f t="shared" si="5"/>
        <v>36.638148936836714</v>
      </c>
      <c r="AE30" s="4342">
        <f t="shared" si="6"/>
        <v>36.638148936836714</v>
      </c>
      <c r="AF30" s="4342">
        <f t="shared" si="7"/>
        <v>36.638148936836714</v>
      </c>
      <c r="AG30" s="4470">
        <f t="shared" si="8"/>
        <v>0</v>
      </c>
      <c r="AH30" s="4336">
        <f>'ТЕ_2ст_тариф_з ЦТП'!E55/'ТЕ_2ст_тариф_з ЦТП'!E$30</f>
        <v>36.638148936836714</v>
      </c>
      <c r="AI30" s="2079">
        <f>'ТЕ_2ст_тариф_з ЦТП'!H55/'ТЕ_2ст_тариф_з ЦТП'!H$30</f>
        <v>36.631419031159901</v>
      </c>
      <c r="AJ30" s="2079">
        <f>'ТЕ_2ст_тариф_з ЦТП'!K55/'ТЕ_2ст_тариф_з ЦТП'!K$30</f>
        <v>36.682837624567178</v>
      </c>
      <c r="AK30" s="2079">
        <f>'ТЕ_2ст_тариф_з ЦТП'!N55/'ТЕ_2ст_тариф_з ЦТП'!N$30</f>
        <v>36.687968024981735</v>
      </c>
      <c r="AL30" s="2079">
        <f>'ТЕ_2ст_тариф_з ЦТП'!Q55/'ТЕ_2ст_тариф_з ЦТП'!Q$30</f>
        <v>36.621266149286143</v>
      </c>
      <c r="AN30" s="1612">
        <f t="shared" si="9"/>
        <v>0</v>
      </c>
      <c r="AO30" s="1612">
        <f t="shared" si="9"/>
        <v>6.7299056768206356E-3</v>
      </c>
      <c r="AP30" s="1612">
        <f t="shared" si="9"/>
        <v>-4.4688687730463528E-2</v>
      </c>
      <c r="AQ30" s="1612">
        <f t="shared" si="9"/>
        <v>-4.981908814502134E-2</v>
      </c>
      <c r="AR30" s="1612">
        <f t="shared" si="9"/>
        <v>1.6882787550571265E-2</v>
      </c>
    </row>
    <row r="31" spans="1:44" ht="20.399999999999999" x14ac:dyDescent="0.3">
      <c r="A31" s="4337" t="s">
        <v>56</v>
      </c>
      <c r="B31" s="4338" t="s">
        <v>56</v>
      </c>
      <c r="C31" s="4339" t="s">
        <v>452</v>
      </c>
      <c r="D31" s="128" t="s">
        <v>40</v>
      </c>
      <c r="E31" s="114">
        <v>281.33999999999997</v>
      </c>
      <c r="F31" s="114">
        <v>281.33999999999997</v>
      </c>
      <c r="G31" s="114">
        <v>844.82291697097696</v>
      </c>
      <c r="H31" s="116">
        <f>ЗВВ_1ст!G23</f>
        <v>849.8976237422155</v>
      </c>
      <c r="I31" s="115">
        <v>239.33781553073044</v>
      </c>
      <c r="J31" s="114">
        <f>F31*($J$55/$F$55)</f>
        <v>242.93563527138755</v>
      </c>
      <c r="K31" s="114">
        <v>697.76502522784597</v>
      </c>
      <c r="L31" s="116">
        <f>H31*Виробництво_1ст!$G$9</f>
        <v>705.96532052936197</v>
      </c>
      <c r="M31" s="777">
        <v>3.7574683335960278E-2</v>
      </c>
      <c r="N31" s="118">
        <f>F31*($N$55/$F$55)</f>
        <v>3.8101575455655561E-2</v>
      </c>
      <c r="O31" s="114">
        <v>0.1128922983819718</v>
      </c>
      <c r="P31" s="4461">
        <f>H31*Виробництво_1ст!$H$9</f>
        <v>0.11420275942563782</v>
      </c>
      <c r="Q31" s="117">
        <v>24.016403343715602</v>
      </c>
      <c r="R31" s="118">
        <f>F31*$R$55/$F$55</f>
        <v>28.488958465164501</v>
      </c>
      <c r="S31" s="118">
        <v>105.22176054571338</v>
      </c>
      <c r="T31" s="116">
        <f>H31*Виробництво_1ст!$I$9</f>
        <v>107.5536003729711</v>
      </c>
      <c r="U31" s="117">
        <v>17.948206442217963</v>
      </c>
      <c r="V31" s="118">
        <f>F31*$V$55/$F$55</f>
        <v>9.8773046879922859</v>
      </c>
      <c r="W31" s="118">
        <v>41.723238899035678</v>
      </c>
      <c r="X31" s="116">
        <f>H31*Виробництво_1ст!$J$9</f>
        <v>36.26450008045687</v>
      </c>
      <c r="AB31" s="4342">
        <f t="shared" si="3"/>
        <v>7.8205057091749808</v>
      </c>
      <c r="AC31" s="4342">
        <f t="shared" si="4"/>
        <v>7.8205057091749826</v>
      </c>
      <c r="AD31" s="4342">
        <f t="shared" si="5"/>
        <v>7.8205057091749808</v>
      </c>
      <c r="AE31" s="4342">
        <f t="shared" si="6"/>
        <v>7.8205057091749808</v>
      </c>
      <c r="AF31" s="4342">
        <f t="shared" si="7"/>
        <v>7.8205057091749826</v>
      </c>
      <c r="AG31" s="4470">
        <f t="shared" si="8"/>
        <v>0</v>
      </c>
      <c r="AH31" s="4336">
        <f>'ТЕ_2ст_тариф_з ЦТП'!E56/'ТЕ_2ст_тариф_з ЦТП'!E$30</f>
        <v>7.8205057091749817</v>
      </c>
      <c r="AI31" s="2079">
        <f>'ТЕ_2ст_тариф_з ЦТП'!H56/'ТЕ_2ст_тариф_з ЦТП'!H$30</f>
        <v>7.8190691937588097</v>
      </c>
      <c r="AJ31" s="2079">
        <f>'ТЕ_2ст_тариф_з ЦТП'!K56/'ТЕ_2ст_тариф_з ЦТП'!K$30</f>
        <v>7.8300446227847855</v>
      </c>
      <c r="AK31" s="2079">
        <f>'ТЕ_2ст_тариф_з ЦТП'!N56/'ТЕ_2ст_тариф_з ЦТП'!N$30</f>
        <v>7.8311397197505634</v>
      </c>
      <c r="AL31" s="2079">
        <f>'ТЕ_2ст_тариф_з ЦТП'!Q56/'ТЕ_2ст_тариф_з ЦТП'!Q$30</f>
        <v>7.8169020354016787</v>
      </c>
      <c r="AN31" s="1612">
        <f t="shared" si="9"/>
        <v>0</v>
      </c>
      <c r="AO31" s="1612">
        <f t="shared" si="9"/>
        <v>1.4365154161728455E-3</v>
      </c>
      <c r="AP31" s="1612">
        <f t="shared" si="9"/>
        <v>-9.5389136098047445E-3</v>
      </c>
      <c r="AQ31" s="1612">
        <f t="shared" si="9"/>
        <v>-1.0634010575582664E-2</v>
      </c>
      <c r="AR31" s="1612">
        <f t="shared" si="9"/>
        <v>3.6036737733038393E-3</v>
      </c>
    </row>
    <row r="32" spans="1:44" x14ac:dyDescent="0.3">
      <c r="A32" s="4337" t="s">
        <v>57</v>
      </c>
      <c r="B32" s="4338" t="s">
        <v>57</v>
      </c>
      <c r="C32" s="120" t="s">
        <v>58</v>
      </c>
      <c r="D32" s="128" t="s">
        <v>40</v>
      </c>
      <c r="E32" s="114">
        <v>243.18</v>
      </c>
      <c r="F32" s="114">
        <v>243.18</v>
      </c>
      <c r="G32" s="114">
        <v>375.93603374609859</v>
      </c>
      <c r="H32" s="116">
        <f>H29-H30-H31</f>
        <v>379.18556594563665</v>
      </c>
      <c r="I32" s="115">
        <v>206.87484886885278</v>
      </c>
      <c r="J32" s="114">
        <f>F32*($J$55/$F$55)</f>
        <v>209.98467258582508</v>
      </c>
      <c r="K32" s="114">
        <v>310.49704121593379</v>
      </c>
      <c r="L32" s="116">
        <f>H32*Виробництво_1ст!$G$9</f>
        <v>314.96953530030476</v>
      </c>
      <c r="M32" s="777">
        <v>3.2478181181626577E-2</v>
      </c>
      <c r="N32" s="118">
        <f>F32*($N$55/$F$55)</f>
        <v>3.2933607447594798E-2</v>
      </c>
      <c r="O32" s="114">
        <v>5.0235714540468102E-2</v>
      </c>
      <c r="P32" s="4461">
        <f>H32*Виробництво_1ст!$H$9</f>
        <v>5.0952063819981359E-2</v>
      </c>
      <c r="Q32" s="117">
        <v>20.758900139065762</v>
      </c>
      <c r="R32" s="118">
        <f>F32*$R$55/$F$55</f>
        <v>24.624813107125558</v>
      </c>
      <c r="S32" s="118">
        <v>46.822417489766245</v>
      </c>
      <c r="T32" s="116">
        <f>H32*Виробництво_1ст!$I$9</f>
        <v>47.985512240102231</v>
      </c>
      <c r="U32" s="117">
        <v>15.513772810899853</v>
      </c>
      <c r="V32" s="118">
        <f>F32*$V$55/$F$55</f>
        <v>8.5375806996017776</v>
      </c>
      <c r="W32" s="118">
        <v>18.56633932585811</v>
      </c>
      <c r="X32" s="116">
        <f>H32*Виробництво_1ст!$J$9</f>
        <v>16.179566341409686</v>
      </c>
      <c r="Y32" s="4346"/>
      <c r="AB32" s="4342">
        <f t="shared" si="3"/>
        <v>3.4891530467604266</v>
      </c>
      <c r="AC32" s="4342">
        <f t="shared" si="4"/>
        <v>3.4891530467604261</v>
      </c>
      <c r="AD32" s="4342">
        <f t="shared" si="5"/>
        <v>3.4891530467604261</v>
      </c>
      <c r="AE32" s="4342">
        <f t="shared" si="6"/>
        <v>3.4891530467604261</v>
      </c>
      <c r="AF32" s="4342">
        <f t="shared" si="7"/>
        <v>3.4891530467604266</v>
      </c>
      <c r="AG32" s="4470">
        <f t="shared" si="8"/>
        <v>0</v>
      </c>
      <c r="AH32" s="4336">
        <f>'ТЕ_2ст_тариф_з ЦТП'!E57/'ТЕ_2ст_тариф_з ЦТП'!E$30</f>
        <v>3.4891530467604266</v>
      </c>
      <c r="AI32" s="2079">
        <f>'ТЕ_2ст_тариф_з ЦТП'!H57/'ТЕ_2ст_тариф_з ЦТП'!H$30</f>
        <v>3.4885121390841878</v>
      </c>
      <c r="AJ32" s="2079">
        <f>'ТЕ_2ст_тариф_з ЦТП'!K57/'ТЕ_2ст_тариф_з ЦТП'!K$30</f>
        <v>3.4934088750562085</v>
      </c>
      <c r="AK32" s="2079">
        <f>'ТЕ_2ст_тариф_з ЦТП'!N57/'ТЕ_2ст_тариф_з ЦТП'!N$30</f>
        <v>3.4938974573879298</v>
      </c>
      <c r="AL32" s="2079">
        <f>'ТЕ_2ст_тариф_з ЦТП'!Q57/'ТЕ_2ст_тариф_з ЦТП'!Q$30</f>
        <v>3.4875452518436743</v>
      </c>
      <c r="AN32" s="1612">
        <f t="shared" si="9"/>
        <v>0</v>
      </c>
      <c r="AO32" s="1612">
        <f t="shared" si="9"/>
        <v>6.4090767623836697E-4</v>
      </c>
      <c r="AP32" s="1612">
        <f t="shared" si="9"/>
        <v>-4.2558282957823046E-3</v>
      </c>
      <c r="AQ32" s="1612">
        <f t="shared" si="9"/>
        <v>-4.7444106275036368E-3</v>
      </c>
      <c r="AR32" s="1612">
        <f t="shared" si="9"/>
        <v>1.6077949167523364E-3</v>
      </c>
    </row>
    <row r="33" spans="1:44" s="155" customFormat="1" x14ac:dyDescent="0.3">
      <c r="A33" s="912">
        <v>2</v>
      </c>
      <c r="B33" s="913">
        <v>2</v>
      </c>
      <c r="C33" s="122" t="s">
        <v>219</v>
      </c>
      <c r="D33" s="766" t="s">
        <v>40</v>
      </c>
      <c r="E33" s="111">
        <f>E34+E35+E36</f>
        <v>3783.56</v>
      </c>
      <c r="F33" s="110">
        <f>F34+F35+F36</f>
        <v>3783.56</v>
      </c>
      <c r="G33" s="110">
        <f>G34+G35+G36</f>
        <v>6132.4807225737122</v>
      </c>
      <c r="H33" s="112">
        <f>Адміністративні_1ст!G8</f>
        <v>6334.8875507536159</v>
      </c>
      <c r="I33" s="111">
        <f t="shared" ref="I33:X33" si="14">I34+I35+I36</f>
        <v>3218.6997416984809</v>
      </c>
      <c r="J33" s="110">
        <f t="shared" si="14"/>
        <v>3267.0844962942037</v>
      </c>
      <c r="K33" s="112">
        <f t="shared" si="14"/>
        <v>5065.0029493020102</v>
      </c>
      <c r="L33" s="112">
        <f t="shared" si="14"/>
        <v>5262.0583883897507</v>
      </c>
      <c r="M33" s="111">
        <f t="shared" si="14"/>
        <v>0.50531765437764231</v>
      </c>
      <c r="N33" s="110">
        <f t="shared" si="14"/>
        <v>0.51240348628350096</v>
      </c>
      <c r="O33" s="110">
        <f t="shared" si="14"/>
        <v>0.81947332351812285</v>
      </c>
      <c r="P33" s="4460">
        <f t="shared" si="14"/>
        <v>0.85123386480560181</v>
      </c>
      <c r="Q33" s="111">
        <f t="shared" si="14"/>
        <v>322.98110128367324</v>
      </c>
      <c r="R33" s="110">
        <f t="shared" si="14"/>
        <v>383.12960720287839</v>
      </c>
      <c r="S33" s="110">
        <f t="shared" si="14"/>
        <v>763.7936959089642</v>
      </c>
      <c r="T33" s="112">
        <f t="shared" si="14"/>
        <v>801.67298390767462</v>
      </c>
      <c r="U33" s="111">
        <f t="shared" si="14"/>
        <v>241.37383936346839</v>
      </c>
      <c r="V33" s="110">
        <f t="shared" si="14"/>
        <v>132.83349301663503</v>
      </c>
      <c r="W33" s="110">
        <f t="shared" si="14"/>
        <v>302.86460403922018</v>
      </c>
      <c r="X33" s="112">
        <f t="shared" si="14"/>
        <v>270.30494459138544</v>
      </c>
      <c r="Y33" s="4347"/>
      <c r="AB33" s="4342">
        <f t="shared" si="3"/>
        <v>58.291755234600913</v>
      </c>
      <c r="AC33" s="4342">
        <f t="shared" si="4"/>
        <v>58.291755234600913</v>
      </c>
      <c r="AD33" s="4342">
        <f t="shared" si="5"/>
        <v>58.291755234600913</v>
      </c>
      <c r="AE33" s="4342">
        <f t="shared" si="6"/>
        <v>58.291755234600906</v>
      </c>
      <c r="AF33" s="4342">
        <f t="shared" si="7"/>
        <v>58.291755234600913</v>
      </c>
      <c r="AG33" s="4470">
        <f t="shared" si="8"/>
        <v>0</v>
      </c>
      <c r="AH33" s="4336">
        <f>'ТЕ_2ст_тариф_з ЦТП'!E58/'ТЕ_2ст_тариф_з ЦТП'!E$30</f>
        <v>58.291755234600913</v>
      </c>
      <c r="AI33" s="2079">
        <f>'ТЕ_2ст_тариф_з ЦТП'!H58/'ТЕ_2ст_тариф_з ЦТП'!H$30</f>
        <v>58.28104787012294</v>
      </c>
      <c r="AJ33" s="2079">
        <f>'ТЕ_2ст_тариф_з ЦТП'!K58/'ТЕ_2ст_тариф_з ЦТП'!K$30</f>
        <v>58.36285549819312</v>
      </c>
      <c r="AK33" s="2079">
        <f>'ТЕ_2ст_тариф_з ЦТП'!N58/'ТЕ_2ст_тариф_з ЦТП'!N$30</f>
        <v>58.371018029704658</v>
      </c>
      <c r="AL33" s="2079">
        <f>'ТЕ_2ст_тариф_з ЦТП'!Q58/'ТЕ_2ст_тариф_з ЦТП'!Q$30</f>
        <v>58.264894507513624</v>
      </c>
      <c r="AM33" s="2079"/>
      <c r="AN33" s="1612">
        <f t="shared" si="9"/>
        <v>0</v>
      </c>
      <c r="AO33" s="1612">
        <f t="shared" si="9"/>
        <v>1.0707364477973158E-2</v>
      </c>
      <c r="AP33" s="1612">
        <f t="shared" si="9"/>
        <v>-7.1100263592207114E-2</v>
      </c>
      <c r="AQ33" s="1612">
        <f t="shared" si="9"/>
        <v>-7.9262795103751671E-2</v>
      </c>
      <c r="AR33" s="1612">
        <f t="shared" si="9"/>
        <v>2.6860727087289149E-2</v>
      </c>
    </row>
    <row r="34" spans="1:44" x14ac:dyDescent="0.3">
      <c r="A34" s="4337" t="s">
        <v>25</v>
      </c>
      <c r="B34" s="4338" t="s">
        <v>25</v>
      </c>
      <c r="C34" s="120" t="s">
        <v>55</v>
      </c>
      <c r="D34" s="128" t="s">
        <v>40</v>
      </c>
      <c r="E34" s="114">
        <v>2405.94</v>
      </c>
      <c r="F34" s="114">
        <v>2405.94</v>
      </c>
      <c r="G34" s="114">
        <v>4437.1388023393156</v>
      </c>
      <c r="H34" s="116">
        <f>Адміністративні_1ст!G21</f>
        <v>4743.9700713768461</v>
      </c>
      <c r="I34" s="115">
        <v>2046.7492141110602</v>
      </c>
      <c r="J34" s="114">
        <f>F34*($J$55/$F$55)</f>
        <v>2077.5167495729092</v>
      </c>
      <c r="K34" s="114">
        <v>3664.7683273725747</v>
      </c>
      <c r="L34" s="116">
        <f>H34*Виробництво_1ст!$G$9</f>
        <v>3940.566791179866</v>
      </c>
      <c r="M34" s="777">
        <v>0.3213280501362063</v>
      </c>
      <c r="N34" s="118">
        <f>F34*($N$55/$F$55)</f>
        <v>0.32583388231954202</v>
      </c>
      <c r="O34" s="114">
        <v>0.59292756810137948</v>
      </c>
      <c r="P34" s="4461">
        <f>H34*Виробництво_1ст!$H$9</f>
        <v>0.63745850988307129</v>
      </c>
      <c r="Q34" s="118">
        <v>205.38147956486503</v>
      </c>
      <c r="R34" s="118">
        <f>F34*$R$55/$F$55</f>
        <v>243.62950426415685</v>
      </c>
      <c r="S34" s="118">
        <v>552.6407335655648</v>
      </c>
      <c r="T34" s="116">
        <f>H34*Виробництво_1ст!$I$9</f>
        <v>600.34414379414704</v>
      </c>
      <c r="U34" s="118">
        <v>153.48797827393861</v>
      </c>
      <c r="V34" s="118">
        <f>F34*$V$55/$F$55</f>
        <v>84.467912280614797</v>
      </c>
      <c r="W34" s="118">
        <v>219.13681383307494</v>
      </c>
      <c r="X34" s="116">
        <f>H34*Виробництво_1ст!$J$9</f>
        <v>202.4216778929503</v>
      </c>
      <c r="Y34" s="4346"/>
      <c r="AB34" s="4342">
        <f t="shared" si="3"/>
        <v>43.652604726673331</v>
      </c>
      <c r="AC34" s="4342">
        <f t="shared" si="4"/>
        <v>43.652604726673331</v>
      </c>
      <c r="AD34" s="4342">
        <f t="shared" si="5"/>
        <v>43.652604726673331</v>
      </c>
      <c r="AE34" s="4342">
        <f t="shared" si="6"/>
        <v>43.652604726673331</v>
      </c>
      <c r="AF34" s="4342">
        <f t="shared" si="7"/>
        <v>43.652604726673339</v>
      </c>
      <c r="AG34" s="4470">
        <f t="shared" si="8"/>
        <v>0</v>
      </c>
      <c r="AH34" s="4336">
        <f>'ТЕ_2ст_тариф_з ЦТП'!E59/'ТЕ_2ст_тариф_з ЦТП'!E$30</f>
        <v>43.652604726673331</v>
      </c>
      <c r="AI34" s="2079">
        <f>'ТЕ_2ст_тариф_з ЦТП'!H59/'ТЕ_2ст_тариф_з ЦТП'!H$30</f>
        <v>43.64458636546015</v>
      </c>
      <c r="AJ34" s="2079">
        <f>'ТЕ_2ст_тариф_з ЦТП'!K59/'ТЕ_2ст_тариф_з ЦТП'!K$30</f>
        <v>43.705849163902258</v>
      </c>
      <c r="AK34" s="2079">
        <f>'ТЕ_2ст_тариф_з ЦТП'!N59/'ТЕ_2ст_тариф_з ЦТП'!N$30</f>
        <v>43.711961790983189</v>
      </c>
      <c r="AL34" s="2079">
        <f>'ТЕ_2ст_тариф_з ЦТП'!Q59/'ТЕ_2ст_тариф_з ЦТП'!Q$30</f>
        <v>43.632489691579714</v>
      </c>
      <c r="AN34" s="1612">
        <f t="shared" si="9"/>
        <v>0</v>
      </c>
      <c r="AO34" s="1612">
        <f t="shared" si="9"/>
        <v>8.0183612131818904E-3</v>
      </c>
      <c r="AP34" s="1612">
        <f t="shared" si="9"/>
        <v>-5.3244437228926245E-2</v>
      </c>
      <c r="AQ34" s="1612">
        <f t="shared" si="9"/>
        <v>-5.9357064309857321E-2</v>
      </c>
      <c r="AR34" s="1612">
        <f t="shared" si="9"/>
        <v>2.0115035093624556E-2</v>
      </c>
    </row>
    <row r="35" spans="1:44" ht="20.399999999999999" x14ac:dyDescent="0.3">
      <c r="A35" s="4337" t="s">
        <v>26</v>
      </c>
      <c r="B35" s="4338" t="s">
        <v>26</v>
      </c>
      <c r="C35" s="4339" t="s">
        <v>452</v>
      </c>
      <c r="D35" s="128" t="s">
        <v>40</v>
      </c>
      <c r="E35" s="114">
        <v>528.62</v>
      </c>
      <c r="F35" s="114">
        <v>528.62</v>
      </c>
      <c r="G35" s="114">
        <v>976.17053651464937</v>
      </c>
      <c r="H35" s="116">
        <f>Адміністративні_1ст!G23</f>
        <v>1043.6734157029061</v>
      </c>
      <c r="I35" s="115">
        <v>449.70056176105334</v>
      </c>
      <c r="J35" s="114">
        <f>F35*($J$55/$F$55)</f>
        <v>456.46063665728622</v>
      </c>
      <c r="K35" s="114">
        <v>806.2490320219664</v>
      </c>
      <c r="L35" s="116">
        <f>H35*Виробництво_1ст!$G$9</f>
        <v>866.92469405957058</v>
      </c>
      <c r="M35" s="777">
        <v>7.0600444675678276E-2</v>
      </c>
      <c r="N35" s="118">
        <f>F35*($N$55/$F$55)</f>
        <v>7.1590441520468631E-2</v>
      </c>
      <c r="O35" s="114">
        <v>0.13044406498230349</v>
      </c>
      <c r="P35" s="4461">
        <f>H35*Виробництво_1ст!$H$9</f>
        <v>0.14024087217427567</v>
      </c>
      <c r="Q35" s="118">
        <v>45.125297275733793</v>
      </c>
      <c r="R35" s="118">
        <f>F35*$R$55/$F$55</f>
        <v>53.528944422603466</v>
      </c>
      <c r="S35" s="118">
        <v>121.58096138442424</v>
      </c>
      <c r="T35" s="116">
        <f>H35*Виробництво_1ст!$I$9</f>
        <v>132.07571163471235</v>
      </c>
      <c r="U35" s="118">
        <v>33.72354051853722</v>
      </c>
      <c r="V35" s="118">
        <f>F35*$V$55/$F$55</f>
        <v>18.558828478589902</v>
      </c>
      <c r="W35" s="118">
        <v>48.210099043276486</v>
      </c>
      <c r="X35" s="116">
        <f>H35*Виробництво_1ст!$J$9</f>
        <v>44.532769136449069</v>
      </c>
      <c r="AB35" s="4342">
        <f t="shared" si="3"/>
        <v>9.6035730398681345</v>
      </c>
      <c r="AC35" s="4342">
        <f t="shared" si="4"/>
        <v>9.6035730398681345</v>
      </c>
      <c r="AD35" s="4342">
        <f t="shared" si="5"/>
        <v>9.6035730398681327</v>
      </c>
      <c r="AE35" s="4342">
        <f t="shared" si="6"/>
        <v>9.6035730398681345</v>
      </c>
      <c r="AF35" s="4342">
        <f t="shared" si="7"/>
        <v>9.6035730398681345</v>
      </c>
      <c r="AG35" s="4470">
        <f t="shared" si="8"/>
        <v>0</v>
      </c>
      <c r="AH35" s="4336">
        <f>'ТЕ_2ст_тариф_з ЦТП'!E60/'ТЕ_2ст_тариф_з ЦТП'!E$30</f>
        <v>9.6035730398681327</v>
      </c>
      <c r="AI35" s="2079">
        <f>'ТЕ_2ст_тариф_з ЦТП'!H60/'ТЕ_2ст_тариф_з ЦТП'!H$30</f>
        <v>9.6018090004012322</v>
      </c>
      <c r="AJ35" s="2079">
        <f>'ТЕ_2ст_тариф_з ЦТП'!K60/'ТЕ_2ст_тариф_з ЦТП'!K$30</f>
        <v>9.6152868160584983</v>
      </c>
      <c r="AK35" s="2079">
        <f>'ТЕ_2ст_тариф_з ЦТП'!N60/'ТЕ_2ст_тариф_з ЦТП'!N$30</f>
        <v>9.6166315940163027</v>
      </c>
      <c r="AL35" s="2079">
        <f>'ТЕ_2ст_тариф_з ЦТП'!Q60/'ТЕ_2ст_тариф_з ЦТП'!Q$30</f>
        <v>9.5991477321475376</v>
      </c>
      <c r="AN35" s="1612">
        <f t="shared" si="9"/>
        <v>0</v>
      </c>
      <c r="AO35" s="1612">
        <f t="shared" si="9"/>
        <v>1.7640394669022896E-3</v>
      </c>
      <c r="AP35" s="1612">
        <f t="shared" si="9"/>
        <v>-1.1713776190365621E-2</v>
      </c>
      <c r="AQ35" s="1612">
        <f t="shared" si="9"/>
        <v>-1.3058554148168255E-2</v>
      </c>
      <c r="AR35" s="1612">
        <f t="shared" si="9"/>
        <v>4.4253077205969049E-3</v>
      </c>
    </row>
    <row r="36" spans="1:44" x14ac:dyDescent="0.3">
      <c r="A36" s="4337" t="s">
        <v>59</v>
      </c>
      <c r="B36" s="4338" t="s">
        <v>59</v>
      </c>
      <c r="C36" s="4348" t="s">
        <v>58</v>
      </c>
      <c r="D36" s="128" t="s">
        <v>40</v>
      </c>
      <c r="E36" s="114">
        <v>849</v>
      </c>
      <c r="F36" s="114">
        <v>849</v>
      </c>
      <c r="G36" s="114">
        <v>719.17138371974727</v>
      </c>
      <c r="H36" s="116">
        <f>H33-H34-H35</f>
        <v>547.24406367386359</v>
      </c>
      <c r="I36" s="115">
        <v>722.24996582636732</v>
      </c>
      <c r="J36" s="114">
        <f>F36*($J$55/$F$55)</f>
        <v>733.10711006400811</v>
      </c>
      <c r="K36" s="114">
        <v>593.98558990746892</v>
      </c>
      <c r="L36" s="116">
        <f>H36*Виробництво_1ст!$G$9</f>
        <v>454.56690315031398</v>
      </c>
      <c r="M36" s="777">
        <v>0.11338915956575772</v>
      </c>
      <c r="N36" s="118">
        <f>F36*($N$55/$F$55)</f>
        <v>0.11497916244349034</v>
      </c>
      <c r="O36" s="114">
        <v>9.6101690434439779E-2</v>
      </c>
      <c r="P36" s="4461">
        <f>H36*Виробництво_1ст!$H$9</f>
        <v>7.3534482748254776E-2</v>
      </c>
      <c r="Q36" s="118">
        <v>72.474324443074394</v>
      </c>
      <c r="R36" s="118">
        <f>F36*$R$55/$F$55</f>
        <v>85.971158516118081</v>
      </c>
      <c r="S36" s="118">
        <v>89.572000958975238</v>
      </c>
      <c r="T36" s="116">
        <f>H36*Виробництво_1ст!$I$9</f>
        <v>69.253128478815299</v>
      </c>
      <c r="U36" s="118">
        <v>54.162320570992577</v>
      </c>
      <c r="V36" s="118">
        <f>F36*$V$55/$F$55</f>
        <v>29.80675225743034</v>
      </c>
      <c r="W36" s="118">
        <v>35.517691162868758</v>
      </c>
      <c r="X36" s="116">
        <f>H36*Виробництво_1ст!$J$9</f>
        <v>23.350497561986085</v>
      </c>
      <c r="Y36" s="4346"/>
      <c r="AB36" s="4342">
        <f t="shared" si="3"/>
        <v>5.0355774680594481</v>
      </c>
      <c r="AC36" s="4342">
        <f t="shared" si="4"/>
        <v>5.0355774680594481</v>
      </c>
      <c r="AD36" s="4342">
        <f t="shared" si="5"/>
        <v>5.0355774680594481</v>
      </c>
      <c r="AE36" s="4342">
        <f t="shared" si="6"/>
        <v>5.0355774680594481</v>
      </c>
      <c r="AF36" s="4342">
        <f t="shared" si="7"/>
        <v>5.0355774680594481</v>
      </c>
      <c r="AG36" s="4470">
        <f t="shared" si="8"/>
        <v>0</v>
      </c>
      <c r="AH36" s="4336">
        <f>'ТЕ_2ст_тариф_з ЦТП'!E61/'ТЕ_2ст_тариф_з ЦТП'!E$30</f>
        <v>5.0355774680594489</v>
      </c>
      <c r="AI36" s="2079">
        <f>'ТЕ_2ст_тариф_з ЦТП'!H61/'ТЕ_2ст_тариф_з ЦТП'!H$30</f>
        <v>5.0346525042615546</v>
      </c>
      <c r="AJ36" s="2079">
        <f>'ТЕ_2ст_тариф_з ЦТП'!K61/'ТЕ_2ст_тариф_з ЦТП'!K$30</f>
        <v>5.0417195182323589</v>
      </c>
      <c r="AK36" s="2079">
        <f>'ТЕ_2ст_тариф_з ЦТП'!N61/'ТЕ_2ст_тариф_з ЦТП'!N$30</f>
        <v>5.0424246447051617</v>
      </c>
      <c r="AL36" s="2079">
        <f>'ТЕ_2ст_тариф_з ЦТП'!Q61/'ТЕ_2ст_тариф_з ЦТП'!Q$30</f>
        <v>5.0332570837863679</v>
      </c>
      <c r="AN36" s="1612">
        <f t="shared" si="9"/>
        <v>0</v>
      </c>
      <c r="AO36" s="1612">
        <f t="shared" si="9"/>
        <v>9.2496379789341887E-4</v>
      </c>
      <c r="AP36" s="1612">
        <f t="shared" si="9"/>
        <v>-6.1420501729108068E-3</v>
      </c>
      <c r="AQ36" s="1612">
        <f t="shared" si="9"/>
        <v>-6.8471766457136596E-3</v>
      </c>
      <c r="AR36" s="1612">
        <f t="shared" si="9"/>
        <v>2.3203842730801227E-3</v>
      </c>
    </row>
    <row r="37" spans="1:44" x14ac:dyDescent="0.3">
      <c r="A37" s="4337"/>
      <c r="B37" s="113" t="s">
        <v>173</v>
      </c>
      <c r="C37" s="5" t="s">
        <v>220</v>
      </c>
      <c r="D37" s="128" t="s">
        <v>40</v>
      </c>
      <c r="E37" s="115">
        <f>E38+E39+E40</f>
        <v>0</v>
      </c>
      <c r="F37" s="114">
        <f>F38+F39+F40</f>
        <v>0</v>
      </c>
      <c r="G37" s="114">
        <f>G38+G39+G40</f>
        <v>0</v>
      </c>
      <c r="H37" s="116">
        <v>0</v>
      </c>
      <c r="I37" s="115">
        <f t="shared" ref="I37:X37" si="15">I38+I39+I40</f>
        <v>0</v>
      </c>
      <c r="J37" s="114">
        <f t="shared" si="15"/>
        <v>0</v>
      </c>
      <c r="K37" s="114">
        <v>0</v>
      </c>
      <c r="L37" s="116">
        <f t="shared" si="15"/>
        <v>0</v>
      </c>
      <c r="M37" s="115">
        <f t="shared" si="15"/>
        <v>0</v>
      </c>
      <c r="N37" s="114">
        <f t="shared" si="15"/>
        <v>0</v>
      </c>
      <c r="O37" s="114">
        <v>0</v>
      </c>
      <c r="P37" s="4461">
        <f>H37*Виробництво_1ст!$H$6</f>
        <v>0</v>
      </c>
      <c r="Q37" s="115">
        <f t="shared" si="15"/>
        <v>0</v>
      </c>
      <c r="R37" s="114">
        <f t="shared" si="15"/>
        <v>0</v>
      </c>
      <c r="S37" s="114">
        <f t="shared" si="15"/>
        <v>0</v>
      </c>
      <c r="T37" s="116">
        <f t="shared" si="15"/>
        <v>0</v>
      </c>
      <c r="U37" s="115">
        <f t="shared" si="15"/>
        <v>0</v>
      </c>
      <c r="V37" s="114">
        <f t="shared" si="15"/>
        <v>0</v>
      </c>
      <c r="W37" s="114">
        <f t="shared" si="15"/>
        <v>0</v>
      </c>
      <c r="X37" s="116">
        <f t="shared" si="15"/>
        <v>0</v>
      </c>
      <c r="Y37" s="4346"/>
      <c r="AB37" s="1612">
        <f t="shared" si="3"/>
        <v>0</v>
      </c>
      <c r="AC37" s="1612">
        <f t="shared" si="4"/>
        <v>0</v>
      </c>
      <c r="AD37" s="1612">
        <f t="shared" si="5"/>
        <v>0</v>
      </c>
      <c r="AE37" s="1612">
        <f t="shared" si="6"/>
        <v>0</v>
      </c>
      <c r="AF37" s="1612">
        <f t="shared" si="7"/>
        <v>0</v>
      </c>
      <c r="AG37" s="4470">
        <f t="shared" si="8"/>
        <v>0</v>
      </c>
      <c r="AH37" s="4336">
        <f>'ТЕ_2ст_тариф_з ЦТП'!E62/'ТЕ_2ст_тариф_з ЦТП'!E$30</f>
        <v>0</v>
      </c>
      <c r="AI37" s="2079">
        <f>'ТЕ_2ст_тариф_з ЦТП'!H62/'ТЕ_2ст_тариф_з ЦТП'!H$30</f>
        <v>0</v>
      </c>
      <c r="AJ37" s="2079">
        <f>'ТЕ_2ст_тариф_з ЦТП'!K62/'ТЕ_2ст_тариф_з ЦТП'!K$30</f>
        <v>0</v>
      </c>
      <c r="AK37" s="2079">
        <f>'ТЕ_2ст_тариф_з ЦТП'!N62/'ТЕ_2ст_тариф_з ЦТП'!N$30</f>
        <v>0</v>
      </c>
      <c r="AL37" s="2079">
        <f>'ТЕ_2ст_тариф_з ЦТП'!Q62/'ТЕ_2ст_тариф_з ЦТП'!Q$30</f>
        <v>0</v>
      </c>
      <c r="AN37" s="1612">
        <f t="shared" si="9"/>
        <v>0</v>
      </c>
      <c r="AO37" s="1612">
        <f t="shared" si="9"/>
        <v>0</v>
      </c>
      <c r="AP37" s="1612">
        <f t="shared" si="9"/>
        <v>0</v>
      </c>
      <c r="AQ37" s="1612">
        <f t="shared" si="9"/>
        <v>0</v>
      </c>
      <c r="AR37" s="1612">
        <f t="shared" si="9"/>
        <v>0</v>
      </c>
    </row>
    <row r="38" spans="1:44" x14ac:dyDescent="0.3">
      <c r="A38" s="4337"/>
      <c r="B38" s="113" t="s">
        <v>60</v>
      </c>
      <c r="C38" s="5" t="s">
        <v>55</v>
      </c>
      <c r="D38" s="128" t="s">
        <v>40</v>
      </c>
      <c r="E38" s="780">
        <v>0</v>
      </c>
      <c r="F38" s="114">
        <v>0</v>
      </c>
      <c r="G38" s="114">
        <v>0</v>
      </c>
      <c r="H38" s="782">
        <v>0</v>
      </c>
      <c r="I38" s="780">
        <v>0</v>
      </c>
      <c r="J38" s="114">
        <v>0</v>
      </c>
      <c r="K38" s="114">
        <v>0</v>
      </c>
      <c r="L38" s="782">
        <v>0</v>
      </c>
      <c r="M38" s="780">
        <v>0</v>
      </c>
      <c r="N38" s="114">
        <v>0</v>
      </c>
      <c r="O38" s="114">
        <v>0</v>
      </c>
      <c r="P38" s="4461">
        <f>H38*Виробництво_1ст!$H$6</f>
        <v>0</v>
      </c>
      <c r="Q38" s="780">
        <v>0</v>
      </c>
      <c r="R38" s="114">
        <v>0</v>
      </c>
      <c r="S38" s="114">
        <v>0</v>
      </c>
      <c r="T38" s="782">
        <v>0</v>
      </c>
      <c r="U38" s="780">
        <v>0</v>
      </c>
      <c r="V38" s="114">
        <v>0</v>
      </c>
      <c r="W38" s="114">
        <v>0</v>
      </c>
      <c r="X38" s="782">
        <v>0</v>
      </c>
      <c r="Y38" s="4346"/>
      <c r="AB38" s="1612">
        <f t="shared" si="3"/>
        <v>0</v>
      </c>
      <c r="AC38" s="1612">
        <f t="shared" si="4"/>
        <v>0</v>
      </c>
      <c r="AD38" s="1612">
        <f t="shared" si="5"/>
        <v>0</v>
      </c>
      <c r="AE38" s="1612">
        <f t="shared" si="6"/>
        <v>0</v>
      </c>
      <c r="AF38" s="1612">
        <f t="shared" si="7"/>
        <v>0</v>
      </c>
      <c r="AG38" s="4470">
        <f t="shared" si="8"/>
        <v>0</v>
      </c>
      <c r="AH38" s="4336">
        <f>'ТЕ_2ст_тариф_з ЦТП'!E63/'ТЕ_2ст_тариф_з ЦТП'!E$30</f>
        <v>0</v>
      </c>
      <c r="AI38" s="2079">
        <f>'ТЕ_2ст_тариф_з ЦТП'!H63/'ТЕ_2ст_тариф_з ЦТП'!H$30</f>
        <v>0</v>
      </c>
      <c r="AJ38" s="2079">
        <f>'ТЕ_2ст_тариф_з ЦТП'!K63/'ТЕ_2ст_тариф_з ЦТП'!K$30</f>
        <v>0</v>
      </c>
      <c r="AK38" s="2079">
        <f>'ТЕ_2ст_тариф_з ЦТП'!N63/'ТЕ_2ст_тариф_з ЦТП'!N$30</f>
        <v>0</v>
      </c>
      <c r="AL38" s="2079">
        <f>'ТЕ_2ст_тариф_з ЦТП'!Q63/'ТЕ_2ст_тариф_з ЦТП'!Q$30</f>
        <v>0</v>
      </c>
      <c r="AN38" s="1612">
        <f t="shared" si="9"/>
        <v>0</v>
      </c>
      <c r="AO38" s="1612">
        <f t="shared" si="9"/>
        <v>0</v>
      </c>
      <c r="AP38" s="1612">
        <f t="shared" si="9"/>
        <v>0</v>
      </c>
      <c r="AQ38" s="1612">
        <f t="shared" si="9"/>
        <v>0</v>
      </c>
      <c r="AR38" s="1612">
        <f t="shared" si="9"/>
        <v>0</v>
      </c>
    </row>
    <row r="39" spans="1:44" ht="20.399999999999999" x14ac:dyDescent="0.3">
      <c r="A39" s="4337"/>
      <c r="B39" s="113" t="s">
        <v>61</v>
      </c>
      <c r="C39" s="4339" t="s">
        <v>452</v>
      </c>
      <c r="D39" s="128" t="s">
        <v>40</v>
      </c>
      <c r="E39" s="780">
        <v>0</v>
      </c>
      <c r="F39" s="114">
        <v>0</v>
      </c>
      <c r="G39" s="114">
        <v>0</v>
      </c>
      <c r="H39" s="782">
        <v>0</v>
      </c>
      <c r="I39" s="780">
        <v>0</v>
      </c>
      <c r="J39" s="114">
        <v>0</v>
      </c>
      <c r="K39" s="114">
        <v>0</v>
      </c>
      <c r="L39" s="782">
        <v>0</v>
      </c>
      <c r="M39" s="780">
        <v>0</v>
      </c>
      <c r="N39" s="114">
        <v>0</v>
      </c>
      <c r="O39" s="114">
        <v>0</v>
      </c>
      <c r="P39" s="4461">
        <f>H39*Виробництво_1ст!$H$6</f>
        <v>0</v>
      </c>
      <c r="Q39" s="780">
        <v>0</v>
      </c>
      <c r="R39" s="114">
        <v>0</v>
      </c>
      <c r="S39" s="114">
        <v>0</v>
      </c>
      <c r="T39" s="782">
        <v>0</v>
      </c>
      <c r="U39" s="780">
        <v>0</v>
      </c>
      <c r="V39" s="114">
        <v>0</v>
      </c>
      <c r="W39" s="114">
        <v>0</v>
      </c>
      <c r="X39" s="782">
        <v>0</v>
      </c>
      <c r="AB39" s="1612">
        <f t="shared" si="3"/>
        <v>0</v>
      </c>
      <c r="AC39" s="1612">
        <f t="shared" si="4"/>
        <v>0</v>
      </c>
      <c r="AD39" s="1612">
        <f t="shared" si="5"/>
        <v>0</v>
      </c>
      <c r="AE39" s="1612">
        <f t="shared" si="6"/>
        <v>0</v>
      </c>
      <c r="AF39" s="1612">
        <f t="shared" si="7"/>
        <v>0</v>
      </c>
      <c r="AG39" s="4470">
        <f t="shared" si="8"/>
        <v>0</v>
      </c>
      <c r="AH39" s="4336">
        <f>'ТЕ_2ст_тариф_з ЦТП'!E64/'ТЕ_2ст_тариф_з ЦТП'!E$30</f>
        <v>0</v>
      </c>
      <c r="AI39" s="2079">
        <f>'ТЕ_2ст_тариф_з ЦТП'!H64/'ТЕ_2ст_тариф_з ЦТП'!H$30</f>
        <v>0</v>
      </c>
      <c r="AJ39" s="2079">
        <f>'ТЕ_2ст_тариф_з ЦТП'!K64/'ТЕ_2ст_тариф_з ЦТП'!K$30</f>
        <v>0</v>
      </c>
      <c r="AK39" s="2079">
        <f>'ТЕ_2ст_тариф_з ЦТП'!N64/'ТЕ_2ст_тариф_з ЦТП'!N$30</f>
        <v>0</v>
      </c>
      <c r="AL39" s="2079">
        <f>'ТЕ_2ст_тариф_з ЦТП'!Q64/'ТЕ_2ст_тариф_з ЦТП'!Q$30</f>
        <v>0</v>
      </c>
      <c r="AN39" s="1612">
        <f t="shared" si="9"/>
        <v>0</v>
      </c>
      <c r="AO39" s="1612">
        <f t="shared" si="9"/>
        <v>0</v>
      </c>
      <c r="AP39" s="1612">
        <f t="shared" si="9"/>
        <v>0</v>
      </c>
      <c r="AQ39" s="1612">
        <f t="shared" si="9"/>
        <v>0</v>
      </c>
      <c r="AR39" s="1612">
        <f t="shared" si="9"/>
        <v>0</v>
      </c>
    </row>
    <row r="40" spans="1:44" x14ac:dyDescent="0.3">
      <c r="A40" s="4337"/>
      <c r="B40" s="113" t="s">
        <v>62</v>
      </c>
      <c r="C40" s="5" t="s">
        <v>58</v>
      </c>
      <c r="D40" s="128" t="s">
        <v>40</v>
      </c>
      <c r="E40" s="780">
        <v>0</v>
      </c>
      <c r="F40" s="114">
        <v>0</v>
      </c>
      <c r="G40" s="114">
        <v>0</v>
      </c>
      <c r="H40" s="782">
        <v>0</v>
      </c>
      <c r="I40" s="780">
        <v>0</v>
      </c>
      <c r="J40" s="114">
        <v>0</v>
      </c>
      <c r="K40" s="114">
        <v>0</v>
      </c>
      <c r="L40" s="782">
        <v>0</v>
      </c>
      <c r="M40" s="780">
        <v>0</v>
      </c>
      <c r="N40" s="114">
        <v>0</v>
      </c>
      <c r="O40" s="114">
        <v>0</v>
      </c>
      <c r="P40" s="4461">
        <f>H40*Виробництво_1ст!$H$6</f>
        <v>0</v>
      </c>
      <c r="Q40" s="780">
        <v>0</v>
      </c>
      <c r="R40" s="114">
        <v>0</v>
      </c>
      <c r="S40" s="114">
        <v>0</v>
      </c>
      <c r="T40" s="782">
        <v>0</v>
      </c>
      <c r="U40" s="780">
        <v>0</v>
      </c>
      <c r="V40" s="114">
        <v>0</v>
      </c>
      <c r="W40" s="114">
        <v>0</v>
      </c>
      <c r="X40" s="782">
        <v>0</v>
      </c>
      <c r="AB40" s="1612">
        <f t="shared" si="3"/>
        <v>0</v>
      </c>
      <c r="AC40" s="1612">
        <f t="shared" si="4"/>
        <v>0</v>
      </c>
      <c r="AD40" s="1612">
        <f t="shared" si="5"/>
        <v>0</v>
      </c>
      <c r="AE40" s="1612">
        <f t="shared" si="6"/>
        <v>0</v>
      </c>
      <c r="AF40" s="1612">
        <f t="shared" si="7"/>
        <v>0</v>
      </c>
      <c r="AG40" s="4470">
        <f t="shared" si="8"/>
        <v>0</v>
      </c>
      <c r="AH40" s="4336">
        <f>'ТЕ_2ст_тариф_з ЦТП'!E65/'ТЕ_2ст_тариф_з ЦТП'!E$30</f>
        <v>0</v>
      </c>
      <c r="AI40" s="2079">
        <f>'ТЕ_2ст_тариф_з ЦТП'!H65/'ТЕ_2ст_тариф_з ЦТП'!H$30</f>
        <v>0</v>
      </c>
      <c r="AJ40" s="2079">
        <f>'ТЕ_2ст_тариф_з ЦТП'!K65/'ТЕ_2ст_тариф_з ЦТП'!K$30</f>
        <v>0</v>
      </c>
      <c r="AK40" s="2079">
        <f>'ТЕ_2ст_тариф_з ЦТП'!N65/'ТЕ_2ст_тариф_з ЦТП'!N$30</f>
        <v>0</v>
      </c>
      <c r="AL40" s="2079">
        <f>'ТЕ_2ст_тариф_з ЦТП'!Q65/'ТЕ_2ст_тариф_з ЦТП'!Q$30</f>
        <v>0</v>
      </c>
      <c r="AN40" s="1612">
        <f t="shared" si="9"/>
        <v>0</v>
      </c>
      <c r="AO40" s="1612">
        <f t="shared" si="9"/>
        <v>0</v>
      </c>
      <c r="AP40" s="1612">
        <f t="shared" si="9"/>
        <v>0</v>
      </c>
      <c r="AQ40" s="1612">
        <f t="shared" si="9"/>
        <v>0</v>
      </c>
      <c r="AR40" s="1612">
        <f t="shared" si="9"/>
        <v>0</v>
      </c>
    </row>
    <row r="41" spans="1:44" x14ac:dyDescent="0.3">
      <c r="A41" s="4337" t="s">
        <v>173</v>
      </c>
      <c r="B41" s="4338" t="s">
        <v>174</v>
      </c>
      <c r="C41" s="4339" t="s">
        <v>175</v>
      </c>
      <c r="D41" s="128" t="s">
        <v>40</v>
      </c>
      <c r="E41" s="115">
        <v>0</v>
      </c>
      <c r="F41" s="114">
        <v>0</v>
      </c>
      <c r="G41" s="114">
        <v>0</v>
      </c>
      <c r="H41" s="116">
        <v>0</v>
      </c>
      <c r="I41" s="115">
        <f>E41*($I$55/$E$55)</f>
        <v>0</v>
      </c>
      <c r="J41" s="114">
        <f>F41*($J$55/$F$55)</f>
        <v>0</v>
      </c>
      <c r="K41" s="114">
        <v>0</v>
      </c>
      <c r="L41" s="116">
        <f>H41*$L$58/$H$58</f>
        <v>0</v>
      </c>
      <c r="M41" s="777">
        <f>E41*($M$55/$E$55)</f>
        <v>0</v>
      </c>
      <c r="N41" s="118">
        <f>F41*($N$55/$F$55)</f>
        <v>0</v>
      </c>
      <c r="O41" s="114">
        <v>0</v>
      </c>
      <c r="P41" s="4461">
        <f>H41*Виробництво_1ст!$H$6</f>
        <v>0</v>
      </c>
      <c r="Q41" s="117">
        <f>E41*$Q$55/$E$55</f>
        <v>0</v>
      </c>
      <c r="R41" s="118">
        <f>F41*$R$55/$F$55</f>
        <v>0</v>
      </c>
      <c r="S41" s="118">
        <f>G41*$S$55/$G$55</f>
        <v>0</v>
      </c>
      <c r="T41" s="116">
        <f>H41*$T$58/$H$58</f>
        <v>0</v>
      </c>
      <c r="U41" s="117">
        <f>E41*$U$55/$E$55</f>
        <v>0</v>
      </c>
      <c r="V41" s="118">
        <f>F41*$V$55/$F$55</f>
        <v>0</v>
      </c>
      <c r="W41" s="118">
        <f>G41*$W$55/$G$55</f>
        <v>0</v>
      </c>
      <c r="X41" s="119">
        <v>0</v>
      </c>
      <c r="AB41" s="1612">
        <f t="shared" si="3"/>
        <v>0</v>
      </c>
      <c r="AC41" s="1612">
        <f t="shared" si="4"/>
        <v>0</v>
      </c>
      <c r="AD41" s="1612">
        <f t="shared" si="5"/>
        <v>0</v>
      </c>
      <c r="AE41" s="1612">
        <f t="shared" si="6"/>
        <v>0</v>
      </c>
      <c r="AF41" s="1612">
        <f t="shared" si="7"/>
        <v>0</v>
      </c>
      <c r="AG41" s="4470">
        <f t="shared" si="8"/>
        <v>0</v>
      </c>
      <c r="AH41" s="4336">
        <f>'ТЕ_2ст_тариф_з ЦТП'!E66/'ТЕ_2ст_тариф_з ЦТП'!E$30</f>
        <v>0</v>
      </c>
      <c r="AI41" s="2079">
        <f>'ТЕ_2ст_тариф_з ЦТП'!H66/'ТЕ_2ст_тариф_з ЦТП'!H$30</f>
        <v>0</v>
      </c>
      <c r="AJ41" s="2079">
        <f>'ТЕ_2ст_тариф_з ЦТП'!K66/'ТЕ_2ст_тариф_з ЦТП'!K$30</f>
        <v>0</v>
      </c>
      <c r="AK41" s="2079">
        <f>'ТЕ_2ст_тариф_з ЦТП'!N66/'ТЕ_2ст_тариф_з ЦТП'!N$30</f>
        <v>0</v>
      </c>
      <c r="AL41" s="2079">
        <f>'ТЕ_2ст_тариф_з ЦТП'!Q66/'ТЕ_2ст_тариф_з ЦТП'!Q$30</f>
        <v>0</v>
      </c>
      <c r="AN41" s="1612">
        <f t="shared" si="9"/>
        <v>0</v>
      </c>
      <c r="AO41" s="1612">
        <f t="shared" si="9"/>
        <v>0</v>
      </c>
      <c r="AP41" s="1612">
        <f t="shared" si="9"/>
        <v>0</v>
      </c>
      <c r="AQ41" s="1612">
        <f t="shared" si="9"/>
        <v>0</v>
      </c>
      <c r="AR41" s="1612">
        <f t="shared" si="9"/>
        <v>0</v>
      </c>
    </row>
    <row r="42" spans="1:44" x14ac:dyDescent="0.3">
      <c r="A42" s="4337" t="s">
        <v>174</v>
      </c>
      <c r="B42" s="4338" t="s">
        <v>169</v>
      </c>
      <c r="C42" s="120" t="s">
        <v>5</v>
      </c>
      <c r="D42" s="128" t="s">
        <v>40</v>
      </c>
      <c r="E42" s="114">
        <v>0</v>
      </c>
      <c r="F42" s="114">
        <v>0</v>
      </c>
      <c r="G42" s="114">
        <v>0</v>
      </c>
      <c r="H42" s="116">
        <v>0</v>
      </c>
      <c r="I42" s="115">
        <v>0</v>
      </c>
      <c r="J42" s="114">
        <f>F42*($J$55/$F$55)</f>
        <v>0</v>
      </c>
      <c r="K42" s="114">
        <v>0</v>
      </c>
      <c r="L42" s="116">
        <f>H42*Виробництво_1ст!$G$6</f>
        <v>0</v>
      </c>
      <c r="M42" s="777">
        <v>0</v>
      </c>
      <c r="N42" s="118">
        <f>F42*($N$55/$F$55)</f>
        <v>0</v>
      </c>
      <c r="O42" s="114">
        <v>0</v>
      </c>
      <c r="P42" s="4461">
        <f>H42*Виробництво_1ст!$H$6</f>
        <v>0</v>
      </c>
      <c r="Q42" s="117">
        <v>0</v>
      </c>
      <c r="R42" s="118">
        <f>F42*$R$55/$F$55</f>
        <v>0</v>
      </c>
      <c r="S42" s="118">
        <v>0</v>
      </c>
      <c r="T42" s="116">
        <f>H42*$T$58/$H$58</f>
        <v>0</v>
      </c>
      <c r="U42" s="117">
        <v>0</v>
      </c>
      <c r="V42" s="118">
        <f>F42*$V$55/$F$55</f>
        <v>0</v>
      </c>
      <c r="W42" s="118">
        <v>0</v>
      </c>
      <c r="X42" s="116">
        <f>H42*$X$58/$H$58</f>
        <v>0</v>
      </c>
      <c r="AB42" s="1612">
        <f t="shared" si="3"/>
        <v>0</v>
      </c>
      <c r="AC42" s="1612">
        <f t="shared" si="4"/>
        <v>0</v>
      </c>
      <c r="AD42" s="1612">
        <f t="shared" si="5"/>
        <v>0</v>
      </c>
      <c r="AE42" s="1612">
        <f t="shared" si="6"/>
        <v>0</v>
      </c>
      <c r="AF42" s="1612">
        <f t="shared" si="7"/>
        <v>0</v>
      </c>
      <c r="AG42" s="4470">
        <f t="shared" si="8"/>
        <v>0</v>
      </c>
      <c r="AH42" s="4336">
        <f>'ТЕ_2ст_тариф_з ЦТП'!E67/'ТЕ_2ст_тариф_з ЦТП'!E$30</f>
        <v>0</v>
      </c>
      <c r="AI42" s="2079">
        <f>'ТЕ_2ст_тариф_з ЦТП'!H67/'ТЕ_2ст_тариф_з ЦТП'!H$30</f>
        <v>0</v>
      </c>
      <c r="AJ42" s="2079">
        <f>'ТЕ_2ст_тариф_з ЦТП'!K67/'ТЕ_2ст_тариф_з ЦТП'!K$30</f>
        <v>0</v>
      </c>
      <c r="AK42" s="2079">
        <f>'ТЕ_2ст_тариф_з ЦТП'!N67/'ТЕ_2ст_тариф_з ЦТП'!N$30</f>
        <v>0</v>
      </c>
      <c r="AL42" s="2079">
        <f>'ТЕ_2ст_тариф_з ЦТП'!Q67/'ТЕ_2ст_тариф_з ЦТП'!Q$30</f>
        <v>0</v>
      </c>
      <c r="AN42" s="1612">
        <f t="shared" si="9"/>
        <v>0</v>
      </c>
      <c r="AO42" s="1612">
        <f t="shared" si="9"/>
        <v>0</v>
      </c>
      <c r="AP42" s="1612">
        <f t="shared" si="9"/>
        <v>0</v>
      </c>
      <c r="AQ42" s="1612">
        <f t="shared" si="9"/>
        <v>0</v>
      </c>
      <c r="AR42" s="1612">
        <f t="shared" si="9"/>
        <v>0</v>
      </c>
    </row>
    <row r="43" spans="1:44" s="155" customFormat="1" x14ac:dyDescent="0.3">
      <c r="A43" s="912" t="s">
        <v>169</v>
      </c>
      <c r="B43" s="913" t="s">
        <v>170</v>
      </c>
      <c r="C43" s="122" t="s">
        <v>176</v>
      </c>
      <c r="D43" s="766" t="s">
        <v>40</v>
      </c>
      <c r="E43" s="111">
        <f>E42+E41+E37+E33+E12</f>
        <v>85293.026130000057</v>
      </c>
      <c r="F43" s="110">
        <f t="shared" ref="F43:X43" si="16">F42+F41+F37+F33+F12</f>
        <v>88002.220990000002</v>
      </c>
      <c r="G43" s="110">
        <f t="shared" si="16"/>
        <v>275822.59279172804</v>
      </c>
      <c r="H43" s="112">
        <f>H42+H41+H37+H33+H12</f>
        <v>155406.25959820245</v>
      </c>
      <c r="I43" s="111">
        <f t="shared" si="16"/>
        <v>74518.282601865474</v>
      </c>
      <c r="J43" s="110">
        <f t="shared" si="16"/>
        <v>74924.816142797878</v>
      </c>
      <c r="K43" s="110">
        <f>K42+K41+K37+K33+K12</f>
        <v>202634.11981307052</v>
      </c>
      <c r="L43" s="112">
        <f t="shared" si="16"/>
        <v>113998.7733449282</v>
      </c>
      <c r="M43" s="111">
        <f t="shared" si="16"/>
        <v>11.815982022235184</v>
      </c>
      <c r="N43" s="110">
        <f t="shared" si="16"/>
        <v>11.876780691139171</v>
      </c>
      <c r="O43" s="110">
        <f>O42+O41+O37+O33+O12</f>
        <v>50.520483480075136</v>
      </c>
      <c r="P43" s="4460">
        <f>P42+P41+P37+P33+P12</f>
        <v>32.85467602091969</v>
      </c>
      <c r="Q43" s="111">
        <f t="shared" si="16"/>
        <v>7805.9912930108976</v>
      </c>
      <c r="R43" s="110">
        <f>R42+R41+R37+R33+R12</f>
        <v>8174.5350014618753</v>
      </c>
      <c r="S43" s="110">
        <f>S42+S41+S37+S33+S12</f>
        <v>47087.837625627108</v>
      </c>
      <c r="T43" s="112">
        <f t="shared" si="16"/>
        <v>30941.79784191935</v>
      </c>
      <c r="U43" s="111">
        <f t="shared" si="16"/>
        <v>5525.3846631014439</v>
      </c>
      <c r="V43" s="110">
        <f>V42+V41+V37+V33+V12</f>
        <v>4890.9930650491124</v>
      </c>
      <c r="W43" s="110">
        <f t="shared" si="16"/>
        <v>26050.114869550398</v>
      </c>
      <c r="X43" s="112">
        <f t="shared" si="16"/>
        <v>10432.833735333999</v>
      </c>
      <c r="Y43" s="774">
        <f>Виробництво_1ст!F10+ЗВВ_1ст!G8+Адміністративні_1ст!G8</f>
        <v>155406.25959820242</v>
      </c>
      <c r="Z43" s="4349">
        <f>Y43-H43+H42</f>
        <v>-2.9103830456733704E-11</v>
      </c>
      <c r="AB43" s="1612">
        <f t="shared" si="3"/>
        <v>1430.0022808369492</v>
      </c>
      <c r="AC43" s="1612">
        <f t="shared" si="4"/>
        <v>1262.8496497738035</v>
      </c>
      <c r="AD43" s="1612">
        <f t="shared" si="5"/>
        <v>2249.859659144237</v>
      </c>
      <c r="AE43" s="1612">
        <f t="shared" si="6"/>
        <v>2249.8596591442388</v>
      </c>
      <c r="AF43" s="1612">
        <f t="shared" si="7"/>
        <v>2249.8596591442383</v>
      </c>
      <c r="AG43" s="4470">
        <f t="shared" si="8"/>
        <v>0</v>
      </c>
      <c r="AH43" s="4336">
        <f>'ТЕ_2ст_тариф_з ЦТП'!E68/'ТЕ_2ст_тариф_з ЦТП'!E$30</f>
        <v>1430.0022808369499</v>
      </c>
      <c r="AI43" s="2079">
        <f>'ТЕ_2ст_тариф_з ЦТП'!H68/'ТЕ_2ст_тариф_з ЦТП'!H$30</f>
        <v>1262.7810015952105</v>
      </c>
      <c r="AJ43" s="2079">
        <f>'ТЕ_2ст_тариф_з ЦТП'!K68/'ТЕ_2ст_тариф_з ЦТП'!K$30</f>
        <v>2250.3155046142265</v>
      </c>
      <c r="AK43" s="2079">
        <f>'ТЕ_2ст_тариф_з ЦТП'!N68/'ТЕ_2ст_тариф_з ЦТП'!N$30</f>
        <v>2250.3678370926805</v>
      </c>
      <c r="AL43" s="2079">
        <f>'ТЕ_2ст_тариф_з ЦТП'!Q68/'ТЕ_2ст_тариф_з ЦТП'!Q$30</f>
        <v>2249.68744683254</v>
      </c>
      <c r="AM43" s="2079"/>
      <c r="AN43" s="1612">
        <f t="shared" si="9"/>
        <v>0</v>
      </c>
      <c r="AO43" s="1612">
        <f t="shared" si="9"/>
        <v>6.8648178593093689E-2</v>
      </c>
      <c r="AP43" s="1612">
        <f t="shared" si="9"/>
        <v>-0.45584546998952646</v>
      </c>
      <c r="AQ43" s="1612">
        <f t="shared" si="9"/>
        <v>-0.50817794844169839</v>
      </c>
      <c r="AR43" s="1612">
        <f t="shared" si="9"/>
        <v>0.17221231169833118</v>
      </c>
    </row>
    <row r="44" spans="1:44" s="155" customFormat="1" x14ac:dyDescent="0.3">
      <c r="A44" s="912" t="s">
        <v>170</v>
      </c>
      <c r="B44" s="913" t="s">
        <v>171</v>
      </c>
      <c r="C44" s="122" t="s">
        <v>2655</v>
      </c>
      <c r="D44" s="766" t="s">
        <v>40</v>
      </c>
      <c r="E44" s="115">
        <v>0</v>
      </c>
      <c r="F44" s="114">
        <v>0</v>
      </c>
      <c r="G44" s="114">
        <v>-8643.3133270115377</v>
      </c>
      <c r="H44" s="116">
        <f>L44+P44+T44+X44</f>
        <v>0</v>
      </c>
      <c r="I44" s="115">
        <v>0</v>
      </c>
      <c r="J44" s="114">
        <v>0</v>
      </c>
      <c r="K44" s="118">
        <v>0</v>
      </c>
      <c r="L44" s="116">
        <v>0</v>
      </c>
      <c r="M44" s="115">
        <v>0</v>
      </c>
      <c r="N44" s="114">
        <v>0</v>
      </c>
      <c r="O44" s="118">
        <v>-5.1805069982457361</v>
      </c>
      <c r="P44" s="4462">
        <v>0</v>
      </c>
      <c r="Q44" s="115">
        <v>0</v>
      </c>
      <c r="R44" s="114">
        <v>0</v>
      </c>
      <c r="S44" s="118">
        <v>-8638.1328200132921</v>
      </c>
      <c r="T44" s="116">
        <v>0</v>
      </c>
      <c r="U44" s="115">
        <v>0</v>
      </c>
      <c r="V44" s="114">
        <v>0</v>
      </c>
      <c r="W44" s="118">
        <v>0</v>
      </c>
      <c r="X44" s="116">
        <v>0</v>
      </c>
      <c r="Y44" s="4350">
        <f>H44-L44-P44-T44-X44</f>
        <v>0</v>
      </c>
      <c r="AB44" s="1612">
        <f t="shared" si="3"/>
        <v>0</v>
      </c>
      <c r="AC44" s="1612">
        <f t="shared" si="4"/>
        <v>0</v>
      </c>
      <c r="AD44" s="1612">
        <f t="shared" si="5"/>
        <v>0</v>
      </c>
      <c r="AE44" s="1612">
        <f t="shared" si="6"/>
        <v>0</v>
      </c>
      <c r="AF44" s="1612">
        <f t="shared" si="7"/>
        <v>0</v>
      </c>
      <c r="AG44" s="4470">
        <f t="shared" si="8"/>
        <v>0</v>
      </c>
      <c r="AH44" s="4336">
        <f>'ТЕ_2ст_тариф_з ЦТП'!E69/'ТЕ_2ст_тариф_з ЦТП'!E$30</f>
        <v>0</v>
      </c>
      <c r="AI44" s="2079">
        <f>'ТЕ_2ст_тариф_з ЦТП'!H69/'ТЕ_2ст_тариф_з ЦТП'!H$30</f>
        <v>0</v>
      </c>
      <c r="AJ44" s="2079">
        <f>'ТЕ_2ст_тариф_з ЦТП'!K69/'ТЕ_2ст_тариф_з ЦТП'!K$30</f>
        <v>0</v>
      </c>
      <c r="AK44" s="2079">
        <f>'ТЕ_2ст_тариф_з ЦТП'!N69/'ТЕ_2ст_тариф_з ЦТП'!N$30</f>
        <v>0</v>
      </c>
      <c r="AL44" s="2079">
        <f>'ТЕ_2ст_тариф_з ЦТП'!Q69/'ТЕ_2ст_тариф_з ЦТП'!Q$30</f>
        <v>0</v>
      </c>
      <c r="AM44" s="2079"/>
      <c r="AN44" s="1612">
        <f t="shared" si="9"/>
        <v>0</v>
      </c>
      <c r="AO44" s="1612">
        <f t="shared" si="9"/>
        <v>0</v>
      </c>
      <c r="AP44" s="1612">
        <f t="shared" si="9"/>
        <v>0</v>
      </c>
      <c r="AQ44" s="1612">
        <f t="shared" si="9"/>
        <v>0</v>
      </c>
      <c r="AR44" s="1612">
        <f t="shared" si="9"/>
        <v>0</v>
      </c>
    </row>
    <row r="45" spans="1:44" s="155" customFormat="1" x14ac:dyDescent="0.3">
      <c r="A45" s="912">
        <v>7</v>
      </c>
      <c r="B45" s="913" t="s">
        <v>172</v>
      </c>
      <c r="C45" s="1619" t="s">
        <v>222</v>
      </c>
      <c r="D45" s="766" t="s">
        <v>40</v>
      </c>
      <c r="E45" s="127">
        <f>I45+M45+Q45+U45</f>
        <v>0</v>
      </c>
      <c r="F45" s="124">
        <f>J45+N45+R45+V45</f>
        <v>0</v>
      </c>
      <c r="G45" s="125">
        <f>G46+G47+G48+G49+G50</f>
        <v>13118.391608387066</v>
      </c>
      <c r="H45" s="126">
        <f>H46+H47+H48+H49+H50</f>
        <v>7201.7534935752356</v>
      </c>
      <c r="I45" s="127"/>
      <c r="J45" s="124"/>
      <c r="K45" s="125">
        <f>K46+K47+K48+K49+K50</f>
        <v>9637.4764301338419</v>
      </c>
      <c r="L45" s="126">
        <f>L46+L47+L48+L49+L50</f>
        <v>5282.8699842771603</v>
      </c>
      <c r="M45" s="127"/>
      <c r="N45" s="124"/>
      <c r="O45" s="125">
        <f>O46+O47+O48+O49+O50</f>
        <v>2.4028034825889395</v>
      </c>
      <c r="P45" s="4463">
        <f>P46+P47+P48+P49+P50</f>
        <v>1.5225337668231076</v>
      </c>
      <c r="Q45" s="127"/>
      <c r="R45" s="124"/>
      <c r="S45" s="125">
        <f>S46+S47+S48+S49+S50</f>
        <v>2239.5434968286058</v>
      </c>
      <c r="T45" s="126">
        <f>T46+T47+T48+T49+T50</f>
        <v>1433.8881926743111</v>
      </c>
      <c r="U45" s="127"/>
      <c r="V45" s="124"/>
      <c r="W45" s="125">
        <f>W46+W47+W48+W49+W50</f>
        <v>1238.968877942031</v>
      </c>
      <c r="X45" s="126">
        <f>X46+X47+X48+X49+X50</f>
        <v>483.47278285694142</v>
      </c>
      <c r="Y45" s="1620"/>
      <c r="Z45" s="1620"/>
      <c r="AA45" s="1620"/>
      <c r="AB45" s="1612">
        <f t="shared" si="3"/>
        <v>66.268398380248868</v>
      </c>
      <c r="AC45" s="1612">
        <f t="shared" si="4"/>
        <v>58.522300843176261</v>
      </c>
      <c r="AD45" s="1612">
        <f t="shared" si="5"/>
        <v>104.2617890822939</v>
      </c>
      <c r="AE45" s="1612">
        <f t="shared" si="6"/>
        <v>104.26178908229396</v>
      </c>
      <c r="AF45" s="1612">
        <f t="shared" si="7"/>
        <v>104.26178908229397</v>
      </c>
      <c r="AG45" s="4470">
        <f t="shared" si="8"/>
        <v>0</v>
      </c>
      <c r="AH45" s="4336">
        <f>'ТЕ_2ст_тариф_з ЦТП'!E70/'ТЕ_2ст_тариф_з ЦТП'!E$30</f>
        <v>66.268398380248868</v>
      </c>
      <c r="AI45" s="2079">
        <f>'ТЕ_2ст_тариф_з ЦТП'!H70/'ТЕ_2ст_тариф_з ЦТП'!H$30</f>
        <v>58.519119586119494</v>
      </c>
      <c r="AJ45" s="2079">
        <f>'ТЕ_2ст_тариф_з ЦТП'!K70/'ТЕ_2ст_тариф_з ЦТП'!K$30</f>
        <v>104.31060441328076</v>
      </c>
      <c r="AK45" s="2079">
        <f>'ТЕ_2ст_тариф_з ЦТП'!N70/'ТЕ_2ст_тариф_з ЦТП'!N$30</f>
        <v>104.32519312022872</v>
      </c>
      <c r="AL45" s="2079">
        <f>'ТЕ_2ст_тариф_з ЦТП'!Q70/'ТЕ_2ст_тариф_з ЦТП'!Q$30</f>
        <v>104.13552096235163</v>
      </c>
      <c r="AM45" s="2079"/>
      <c r="AN45" s="1612">
        <f t="shared" si="9"/>
        <v>0</v>
      </c>
      <c r="AO45" s="1612">
        <f t="shared" si="9"/>
        <v>3.1812570567666398E-3</v>
      </c>
      <c r="AP45" s="1612">
        <f t="shared" si="9"/>
        <v>-4.8815330986855088E-2</v>
      </c>
      <c r="AQ45" s="1612">
        <f t="shared" si="9"/>
        <v>-6.3404037934759572E-2</v>
      </c>
      <c r="AR45" s="1612">
        <f t="shared" si="9"/>
        <v>0.12626811994233833</v>
      </c>
    </row>
    <row r="46" spans="1:44" x14ac:dyDescent="0.3">
      <c r="A46" s="4337" t="s">
        <v>64</v>
      </c>
      <c r="B46" s="4338" t="s">
        <v>115</v>
      </c>
      <c r="C46" s="120" t="s">
        <v>65</v>
      </c>
      <c r="D46" s="128" t="s">
        <v>40</v>
      </c>
      <c r="E46" s="129" t="s">
        <v>224</v>
      </c>
      <c r="F46" s="6" t="s">
        <v>224</v>
      </c>
      <c r="G46" s="114">
        <f>K46+O46+S46+W46</f>
        <v>2361.3104895096712</v>
      </c>
      <c r="H46" s="116">
        <f>(H47+H48+H49+H50)/(100%-'Вхідні дані'!$D$46)-(H47+H48+H49+H50)</f>
        <v>1296.3156288435421</v>
      </c>
      <c r="I46" s="129" t="s">
        <v>224</v>
      </c>
      <c r="J46" s="6" t="s">
        <v>224</v>
      </c>
      <c r="K46" s="114">
        <v>1734.7457574240916</v>
      </c>
      <c r="L46" s="116">
        <f>(L47+L48+L49+L50)/(100%-'Вхідні дані'!$D$46)-(L47+L48+L49+L50)</f>
        <v>950.91659716988852</v>
      </c>
      <c r="M46" s="129" t="s">
        <v>224</v>
      </c>
      <c r="N46" s="6" t="s">
        <v>224</v>
      </c>
      <c r="O46" s="118">
        <v>0.4325046268660091</v>
      </c>
      <c r="P46" s="4461">
        <f>(P47+P48+P49+P50)/(100%-'Вхідні дані'!$D$46)-(P47+P48+P49+P50)</f>
        <v>0.27405607802815934</v>
      </c>
      <c r="Q46" s="129" t="s">
        <v>224</v>
      </c>
      <c r="R46" s="6" t="s">
        <v>224</v>
      </c>
      <c r="S46" s="118">
        <v>403.11782942914874</v>
      </c>
      <c r="T46" s="116">
        <f>(T47+T48+T49+T50)/(100%-'Вхідні дані'!$D$46)-(T47+T48+T49+T50)</f>
        <v>258.09987468137592</v>
      </c>
      <c r="U46" s="129" t="s">
        <v>224</v>
      </c>
      <c r="V46" s="6" t="s">
        <v>224</v>
      </c>
      <c r="W46" s="118">
        <v>223.01439802956543</v>
      </c>
      <c r="X46" s="116">
        <f>(X47+X48+X49+X50)/(100%-'Вхідні дані'!$D$46)-(X47+X48+X49+X50)</f>
        <v>87.025100914249435</v>
      </c>
      <c r="AB46" s="1612">
        <f t="shared" si="3"/>
        <v>11.928311708444795</v>
      </c>
      <c r="AC46" s="1612">
        <f t="shared" si="4"/>
        <v>10.534014151771723</v>
      </c>
      <c r="AD46" s="1612">
        <f t="shared" si="5"/>
        <v>18.7671220348129</v>
      </c>
      <c r="AE46" s="1612">
        <f t="shared" si="6"/>
        <v>18.767122034812907</v>
      </c>
      <c r="AF46" s="1612">
        <f t="shared" si="7"/>
        <v>18.76712203481291</v>
      </c>
      <c r="AG46" s="4470">
        <f t="shared" si="8"/>
        <v>0</v>
      </c>
      <c r="AH46" s="4336">
        <f>'ТЕ_2ст_тариф_з ЦТП'!E71/'ТЕ_2ст_тариф_з ЦТП'!E$30</f>
        <v>11.928311708444793</v>
      </c>
      <c r="AI46" s="2079">
        <f>'ТЕ_2ст_тариф_з ЦТП'!H71/'ТЕ_2ст_тариф_з ЦТП'!H$30</f>
        <v>10.533441525501507</v>
      </c>
      <c r="AJ46" s="2079">
        <f>'ТЕ_2ст_тариф_з ЦТП'!K71/'ТЕ_2ст_тариф_з ЦТП'!K$30</f>
        <v>18.775908794390535</v>
      </c>
      <c r="AK46" s="2079">
        <f>'ТЕ_2ст_тариф_з ЦТП'!N71/'ТЕ_2ст_тариф_з ЦТП'!N$30</f>
        <v>18.778534761641161</v>
      </c>
      <c r="AL46" s="2079">
        <f>'ТЕ_2ст_тариф_з ЦТП'!Q71/'ТЕ_2ст_тариф_з ЦТП'!Q$30</f>
        <v>18.74439377322329</v>
      </c>
      <c r="AN46" s="1612">
        <f t="shared" si="9"/>
        <v>0</v>
      </c>
      <c r="AO46" s="1612">
        <f t="shared" si="9"/>
        <v>5.7262627021614776E-4</v>
      </c>
      <c r="AP46" s="1612">
        <f t="shared" si="9"/>
        <v>-8.7867595776351948E-3</v>
      </c>
      <c r="AQ46" s="1612">
        <f t="shared" si="9"/>
        <v>-1.1412726828254449E-2</v>
      </c>
      <c r="AR46" s="1612">
        <f t="shared" si="9"/>
        <v>2.2728261589620047E-2</v>
      </c>
    </row>
    <row r="47" spans="1:44" x14ac:dyDescent="0.3">
      <c r="A47" s="4337" t="s">
        <v>66</v>
      </c>
      <c r="B47" s="4338" t="s">
        <v>117</v>
      </c>
      <c r="C47" s="120" t="s">
        <v>67</v>
      </c>
      <c r="D47" s="128" t="s">
        <v>40</v>
      </c>
      <c r="E47" s="129" t="s">
        <v>224</v>
      </c>
      <c r="F47" s="6" t="s">
        <v>224</v>
      </c>
      <c r="G47" s="114">
        <f>K47+O47+S47+W47</f>
        <v>0</v>
      </c>
      <c r="H47" s="116">
        <f>(H49+H50)/(100%-'Вхідні дані'!$D$47)*'Вхідні дані'!$D$47</f>
        <v>0</v>
      </c>
      <c r="I47" s="129" t="s">
        <v>224</v>
      </c>
      <c r="J47" s="6" t="s">
        <v>224</v>
      </c>
      <c r="K47" s="118">
        <v>0</v>
      </c>
      <c r="L47" s="116">
        <f>(L49+L50)/(100%-'Вхідні дані'!$D$47)*'Вхідні дані'!$D$47</f>
        <v>0</v>
      </c>
      <c r="M47" s="129" t="s">
        <v>224</v>
      </c>
      <c r="N47" s="6" t="s">
        <v>224</v>
      </c>
      <c r="O47" s="118">
        <v>0</v>
      </c>
      <c r="P47" s="4461">
        <f>(P49+P50)/(100%-'Вхідні дані'!$D$47)*'Вхідні дані'!$D$47</f>
        <v>0</v>
      </c>
      <c r="Q47" s="129" t="s">
        <v>224</v>
      </c>
      <c r="R47" s="6" t="s">
        <v>224</v>
      </c>
      <c r="S47" s="118">
        <v>0</v>
      </c>
      <c r="T47" s="116">
        <f>(T49+T50)/(100%-'Вхідні дані'!$D$47)*'Вхідні дані'!$D$47</f>
        <v>0</v>
      </c>
      <c r="U47" s="129" t="s">
        <v>224</v>
      </c>
      <c r="V47" s="6" t="s">
        <v>224</v>
      </c>
      <c r="W47" s="118">
        <v>0</v>
      </c>
      <c r="X47" s="116">
        <f>(X49+X50)/(100%-'Вхідні дані'!$D$47)*'Вхідні дані'!$D$47</f>
        <v>0</v>
      </c>
      <c r="AB47" s="1612">
        <f t="shared" si="3"/>
        <v>0</v>
      </c>
      <c r="AC47" s="1612">
        <f t="shared" si="4"/>
        <v>0</v>
      </c>
      <c r="AD47" s="1612">
        <f t="shared" si="5"/>
        <v>0</v>
      </c>
      <c r="AE47" s="1612">
        <f t="shared" si="6"/>
        <v>0</v>
      </c>
      <c r="AF47" s="1612">
        <f t="shared" si="7"/>
        <v>0</v>
      </c>
      <c r="AG47" s="4470">
        <f t="shared" si="8"/>
        <v>0</v>
      </c>
      <c r="AH47" s="4336">
        <f>'ТЕ_2ст_тариф_з ЦТП'!E72/'ТЕ_2ст_тариф_з ЦТП'!E$30</f>
        <v>0</v>
      </c>
      <c r="AI47" s="2079">
        <f>'ТЕ_2ст_тариф_з ЦТП'!H72/'ТЕ_2ст_тариф_з ЦТП'!H$30</f>
        <v>0</v>
      </c>
      <c r="AJ47" s="2079">
        <f>'ТЕ_2ст_тариф_з ЦТП'!K72/'ТЕ_2ст_тариф_з ЦТП'!K$30</f>
        <v>0</v>
      </c>
      <c r="AK47" s="2079">
        <f>'ТЕ_2ст_тариф_з ЦТП'!N72/'ТЕ_2ст_тариф_з ЦТП'!N$30</f>
        <v>0</v>
      </c>
      <c r="AL47" s="2079">
        <f>'ТЕ_2ст_тариф_з ЦТП'!Q72/'ТЕ_2ст_тариф_з ЦТП'!Q$30</f>
        <v>0</v>
      </c>
      <c r="AN47" s="1612">
        <f t="shared" si="9"/>
        <v>0</v>
      </c>
      <c r="AO47" s="1612">
        <f t="shared" si="9"/>
        <v>0</v>
      </c>
      <c r="AP47" s="1612">
        <f t="shared" si="9"/>
        <v>0</v>
      </c>
      <c r="AQ47" s="1612">
        <f t="shared" si="9"/>
        <v>0</v>
      </c>
      <c r="AR47" s="1612">
        <f t="shared" si="9"/>
        <v>0</v>
      </c>
    </row>
    <row r="48" spans="1:44" x14ac:dyDescent="0.3">
      <c r="A48" s="4337" t="s">
        <v>68</v>
      </c>
      <c r="B48" s="4338" t="s">
        <v>119</v>
      </c>
      <c r="C48" s="120" t="s">
        <v>69</v>
      </c>
      <c r="D48" s="128" t="s">
        <v>40</v>
      </c>
      <c r="E48" s="129" t="s">
        <v>224</v>
      </c>
      <c r="F48" s="6" t="s">
        <v>224</v>
      </c>
      <c r="G48" s="114">
        <f>K48+O48+S48+W48</f>
        <v>0</v>
      </c>
      <c r="H48" s="116">
        <v>0</v>
      </c>
      <c r="I48" s="129" t="s">
        <v>224</v>
      </c>
      <c r="J48" s="6" t="s">
        <v>224</v>
      </c>
      <c r="K48" s="118">
        <v>0</v>
      </c>
      <c r="L48" s="116">
        <f>H48*$L$58/$H$58</f>
        <v>0</v>
      </c>
      <c r="M48" s="129" t="s">
        <v>224</v>
      </c>
      <c r="N48" s="6" t="s">
        <v>224</v>
      </c>
      <c r="O48" s="118">
        <v>0</v>
      </c>
      <c r="P48" s="4461">
        <f>H48*$P$58/$H$58</f>
        <v>0</v>
      </c>
      <c r="Q48" s="129" t="s">
        <v>224</v>
      </c>
      <c r="R48" s="6" t="s">
        <v>224</v>
      </c>
      <c r="S48" s="118">
        <v>0</v>
      </c>
      <c r="T48" s="116">
        <f>H48*$T$58/$H$58</f>
        <v>0</v>
      </c>
      <c r="U48" s="129" t="s">
        <v>224</v>
      </c>
      <c r="V48" s="6" t="s">
        <v>224</v>
      </c>
      <c r="W48" s="118">
        <v>0</v>
      </c>
      <c r="X48" s="116">
        <f>H48*$X$58/$H$58</f>
        <v>0</v>
      </c>
      <c r="AB48" s="1612">
        <f t="shared" si="3"/>
        <v>0</v>
      </c>
      <c r="AC48" s="1612">
        <f t="shared" si="4"/>
        <v>0</v>
      </c>
      <c r="AD48" s="1612">
        <f t="shared" si="5"/>
        <v>0</v>
      </c>
      <c r="AE48" s="1612">
        <f t="shared" si="6"/>
        <v>0</v>
      </c>
      <c r="AF48" s="1612">
        <f t="shared" si="7"/>
        <v>0</v>
      </c>
      <c r="AH48" s="4336">
        <f>'ТЕ_2ст_тариф_з ЦТП'!E73/'ТЕ_2ст_тариф_з ЦТП'!E$30</f>
        <v>0</v>
      </c>
      <c r="AI48" s="2079">
        <f>'ТЕ_2ст_тариф_з ЦТП'!H73/'ТЕ_2ст_тариф_з ЦТП'!H$30</f>
        <v>0</v>
      </c>
      <c r="AJ48" s="2079">
        <f>'ТЕ_2ст_тариф_з ЦТП'!K73/'ТЕ_2ст_тариф_з ЦТП'!K$30</f>
        <v>0</v>
      </c>
      <c r="AK48" s="2079">
        <f>'ТЕ_2ст_тариф_з ЦТП'!N73/'ТЕ_2ст_тариф_з ЦТП'!N$30</f>
        <v>0</v>
      </c>
      <c r="AL48" s="2079">
        <f>'ТЕ_2ст_тариф_з ЦТП'!Q73/'ТЕ_2ст_тариф_з ЦТП'!Q$30</f>
        <v>0</v>
      </c>
      <c r="AN48" s="1612">
        <f t="shared" si="9"/>
        <v>0</v>
      </c>
      <c r="AO48" s="1612">
        <f t="shared" si="9"/>
        <v>0</v>
      </c>
      <c r="AP48" s="1612">
        <f t="shared" si="9"/>
        <v>0</v>
      </c>
      <c r="AQ48" s="1612">
        <f t="shared" si="9"/>
        <v>0</v>
      </c>
      <c r="AR48" s="1612">
        <f t="shared" si="9"/>
        <v>0</v>
      </c>
    </row>
    <row r="49" spans="1:44" x14ac:dyDescent="0.3">
      <c r="A49" s="4337" t="s">
        <v>70</v>
      </c>
      <c r="B49" s="4338" t="s">
        <v>121</v>
      </c>
      <c r="C49" s="120" t="s">
        <v>71</v>
      </c>
      <c r="D49" s="128" t="s">
        <v>40</v>
      </c>
      <c r="E49" s="129" t="s">
        <v>224</v>
      </c>
      <c r="F49" s="6" t="s">
        <v>224</v>
      </c>
      <c r="G49" s="114">
        <f>K49+O49+S49+W49</f>
        <v>0</v>
      </c>
      <c r="H49" s="116">
        <v>0</v>
      </c>
      <c r="I49" s="129" t="s">
        <v>224</v>
      </c>
      <c r="J49" s="6" t="s">
        <v>224</v>
      </c>
      <c r="K49" s="118">
        <v>0</v>
      </c>
      <c r="L49" s="116">
        <f>H49*$L$58/$H$58</f>
        <v>0</v>
      </c>
      <c r="M49" s="129" t="s">
        <v>224</v>
      </c>
      <c r="N49" s="6" t="s">
        <v>224</v>
      </c>
      <c r="O49" s="118">
        <v>0</v>
      </c>
      <c r="P49" s="4461">
        <f>H49*$P$58/$H$58</f>
        <v>0</v>
      </c>
      <c r="Q49" s="129" t="s">
        <v>224</v>
      </c>
      <c r="R49" s="6" t="s">
        <v>224</v>
      </c>
      <c r="S49" s="118">
        <v>0</v>
      </c>
      <c r="T49" s="116">
        <f>H49*$T$58/$H$58</f>
        <v>0</v>
      </c>
      <c r="U49" s="129" t="s">
        <v>224</v>
      </c>
      <c r="V49" s="6" t="s">
        <v>224</v>
      </c>
      <c r="W49" s="118">
        <v>0</v>
      </c>
      <c r="X49" s="116">
        <f>H49*$X$58/$H$58</f>
        <v>0</v>
      </c>
      <c r="AB49" s="1612">
        <f t="shared" si="3"/>
        <v>0</v>
      </c>
      <c r="AC49" s="1612">
        <f t="shared" si="4"/>
        <v>0</v>
      </c>
      <c r="AD49" s="1612">
        <f t="shared" si="5"/>
        <v>0</v>
      </c>
      <c r="AE49" s="1612">
        <f t="shared" si="6"/>
        <v>0</v>
      </c>
      <c r="AF49" s="1612">
        <f t="shared" si="7"/>
        <v>0</v>
      </c>
      <c r="AH49" s="4336">
        <f>'ТЕ_2ст_тариф_з ЦТП'!E74/'ТЕ_2ст_тариф_з ЦТП'!E$30</f>
        <v>0</v>
      </c>
      <c r="AI49" s="2079">
        <f>'ТЕ_2ст_тариф_з ЦТП'!H74/'ТЕ_2ст_тариф_з ЦТП'!H$30</f>
        <v>0</v>
      </c>
      <c r="AJ49" s="2079">
        <f>'ТЕ_2ст_тариф_з ЦТП'!K74/'ТЕ_2ст_тариф_з ЦТП'!K$30</f>
        <v>0</v>
      </c>
      <c r="AK49" s="2079">
        <f>'ТЕ_2ст_тариф_з ЦТП'!N74/'ТЕ_2ст_тариф_з ЦТП'!N$30</f>
        <v>0</v>
      </c>
      <c r="AL49" s="2079">
        <f>'ТЕ_2ст_тариф_з ЦТП'!Q74/'ТЕ_2ст_тариф_з ЦТП'!Q$30</f>
        <v>0</v>
      </c>
      <c r="AN49" s="1612">
        <f t="shared" si="9"/>
        <v>0</v>
      </c>
      <c r="AO49" s="1612">
        <f t="shared" si="9"/>
        <v>0</v>
      </c>
      <c r="AP49" s="1612">
        <f t="shared" si="9"/>
        <v>0</v>
      </c>
      <c r="AQ49" s="1612">
        <f t="shared" si="9"/>
        <v>0</v>
      </c>
      <c r="AR49" s="1612">
        <f t="shared" si="9"/>
        <v>0</v>
      </c>
    </row>
    <row r="50" spans="1:44" x14ac:dyDescent="0.3">
      <c r="A50" s="4337" t="s">
        <v>72</v>
      </c>
      <c r="B50" s="4338" t="s">
        <v>223</v>
      </c>
      <c r="C50" s="120" t="s">
        <v>86</v>
      </c>
      <c r="D50" s="128" t="s">
        <v>40</v>
      </c>
      <c r="E50" s="129" t="s">
        <v>224</v>
      </c>
      <c r="F50" s="6" t="s">
        <v>224</v>
      </c>
      <c r="G50" s="114">
        <f>K50+O50+S50+W50</f>
        <v>10757.081118877395</v>
      </c>
      <c r="H50" s="116">
        <f>L50+P50+T50+X50</f>
        <v>5905.4378647316935</v>
      </c>
      <c r="I50" s="129" t="s">
        <v>224</v>
      </c>
      <c r="J50" s="6" t="s">
        <v>224</v>
      </c>
      <c r="K50" s="114">
        <v>7902.7306727097503</v>
      </c>
      <c r="L50" s="116">
        <f>L43*'Вхідні дані'!$D$45</f>
        <v>4331.9533871072717</v>
      </c>
      <c r="M50" s="129" t="s">
        <v>224</v>
      </c>
      <c r="N50" s="6" t="s">
        <v>224</v>
      </c>
      <c r="O50" s="118">
        <v>1.9702988557229304</v>
      </c>
      <c r="P50" s="4464">
        <f>P43*'Вхідні дані'!$D$45</f>
        <v>1.2484776887949482</v>
      </c>
      <c r="Q50" s="129" t="s">
        <v>224</v>
      </c>
      <c r="R50" s="6" t="s">
        <v>224</v>
      </c>
      <c r="S50" s="118">
        <v>1836.4256673994571</v>
      </c>
      <c r="T50" s="116">
        <f>T43*'Вхідні дані'!$D$45</f>
        <v>1175.7883179929352</v>
      </c>
      <c r="U50" s="129" t="s">
        <v>224</v>
      </c>
      <c r="V50" s="6" t="s">
        <v>224</v>
      </c>
      <c r="W50" s="118">
        <v>1015.9544799124656</v>
      </c>
      <c r="X50" s="116">
        <f>X43*'Вхідні дані'!$D$45</f>
        <v>396.44768194269199</v>
      </c>
      <c r="Y50" s="4351"/>
      <c r="AB50" s="1612">
        <f t="shared" si="3"/>
        <v>54.34008667180408</v>
      </c>
      <c r="AC50" s="1612">
        <f t="shared" si="4"/>
        <v>47.988286691404539</v>
      </c>
      <c r="AD50" s="1612">
        <f t="shared" si="5"/>
        <v>85.494667047481002</v>
      </c>
      <c r="AE50" s="1612">
        <f t="shared" si="6"/>
        <v>85.494667047481059</v>
      </c>
      <c r="AF50" s="1612">
        <f t="shared" si="7"/>
        <v>85.494667047481059</v>
      </c>
      <c r="AH50" s="4336">
        <f>'ТЕ_2ст_тариф_з ЦТП'!E75/'ТЕ_2ст_тариф_з ЦТП'!E$30</f>
        <v>54.34008667180408</v>
      </c>
      <c r="AI50" s="2079">
        <f>'ТЕ_2ст_тариф_з ЦТП'!H75/'ТЕ_2ст_тариф_з ЦТП'!H$30</f>
        <v>47.985678060617992</v>
      </c>
      <c r="AJ50" s="2079">
        <f>'ТЕ_2ст_тариф_з ЦТП'!K75/'ТЕ_2ст_тариф_з ЦТП'!K$30</f>
        <v>85.534695618890211</v>
      </c>
      <c r="AK50" s="2079">
        <f>'ТЕ_2ст_тариф_з ЦТП'!N75/'ТЕ_2ст_тариф_з ЦТП'!N$30</f>
        <v>85.54665835858755</v>
      </c>
      <c r="AL50" s="2079">
        <f>'ТЕ_2ст_тариф_з ЦТП'!Q75/'ТЕ_2ст_тариф_з ЦТП'!Q$30</f>
        <v>85.391127189128341</v>
      </c>
      <c r="AN50" s="1612">
        <f t="shared" si="9"/>
        <v>0</v>
      </c>
      <c r="AO50" s="1612">
        <f t="shared" si="9"/>
        <v>2.6086307865469394E-3</v>
      </c>
      <c r="AP50" s="1612">
        <f t="shared" si="9"/>
        <v>-4.0028571409209235E-2</v>
      </c>
      <c r="AQ50" s="1612">
        <f t="shared" si="9"/>
        <v>-5.1991311106490912E-2</v>
      </c>
      <c r="AR50" s="1612">
        <f t="shared" si="9"/>
        <v>0.10353985835271828</v>
      </c>
    </row>
    <row r="51" spans="1:44" s="155" customFormat="1" ht="22.95" customHeight="1" x14ac:dyDescent="0.3">
      <c r="A51" s="912">
        <v>8</v>
      </c>
      <c r="B51" s="913" t="s">
        <v>187</v>
      </c>
      <c r="C51" s="122" t="s">
        <v>73</v>
      </c>
      <c r="D51" s="766" t="s">
        <v>40</v>
      </c>
      <c r="E51" s="914">
        <f>E43+E44+E45</f>
        <v>85293.026130000057</v>
      </c>
      <c r="F51" s="915">
        <f t="shared" ref="F51:X51" si="17">F43+F44+F45</f>
        <v>88002.220990000002</v>
      </c>
      <c r="G51" s="915">
        <f t="shared" si="17"/>
        <v>280297.67107310356</v>
      </c>
      <c r="H51" s="776">
        <f>H43+H44+H45</f>
        <v>162608.01309177768</v>
      </c>
      <c r="I51" s="914">
        <f t="shared" si="17"/>
        <v>74518.282601865474</v>
      </c>
      <c r="J51" s="915">
        <f t="shared" si="17"/>
        <v>74924.816142797878</v>
      </c>
      <c r="K51" s="915">
        <f>K43+K44+K45</f>
        <v>212271.59624320435</v>
      </c>
      <c r="L51" s="776">
        <f t="shared" si="17"/>
        <v>119281.64332920536</v>
      </c>
      <c r="M51" s="914">
        <f t="shared" si="17"/>
        <v>11.815982022235184</v>
      </c>
      <c r="N51" s="915">
        <f t="shared" si="17"/>
        <v>11.876780691139171</v>
      </c>
      <c r="O51" s="110">
        <f>O43+O44+O45</f>
        <v>47.742779964418332</v>
      </c>
      <c r="P51" s="4465">
        <f>P43+P44+P45</f>
        <v>34.3772097877428</v>
      </c>
      <c r="Q51" s="914">
        <f t="shared" si="17"/>
        <v>7805.9912930108976</v>
      </c>
      <c r="R51" s="915">
        <f t="shared" si="17"/>
        <v>8174.5350014618753</v>
      </c>
      <c r="S51" s="915">
        <f>S43+S44+S45</f>
        <v>40689.248302442422</v>
      </c>
      <c r="T51" s="776">
        <f t="shared" si="17"/>
        <v>32375.686034593662</v>
      </c>
      <c r="U51" s="914">
        <f t="shared" si="17"/>
        <v>5525.3846631014439</v>
      </c>
      <c r="V51" s="915">
        <f>V43+V44+V45</f>
        <v>4890.9930650491124</v>
      </c>
      <c r="W51" s="915">
        <f t="shared" si="17"/>
        <v>27289.08374749243</v>
      </c>
      <c r="X51" s="776">
        <f t="shared" si="17"/>
        <v>10916.306518190941</v>
      </c>
      <c r="Y51" s="154"/>
      <c r="AB51" s="1612">
        <f t="shared" si="3"/>
        <v>1496.2706792171982</v>
      </c>
      <c r="AC51" s="1612">
        <f t="shared" si="4"/>
        <v>1321.3719506169798</v>
      </c>
      <c r="AD51" s="1612">
        <f t="shared" si="5"/>
        <v>2354.1214482265309</v>
      </c>
      <c r="AE51" s="1612">
        <f t="shared" si="6"/>
        <v>2354.1214482265323</v>
      </c>
      <c r="AF51" s="1612">
        <f t="shared" si="7"/>
        <v>2354.1214482265318</v>
      </c>
      <c r="AH51" s="4336">
        <f>'ТЕ_2ст_тариф_з ЦТП'!E76/'ТЕ_2ст_тариф_з ЦТП'!E$30</f>
        <v>1496.2706792171987</v>
      </c>
      <c r="AI51" s="2079">
        <f>'ТЕ_2ст_тариф_з ЦТП'!H76/'ТЕ_2ст_тариф_з ЦТП'!H$30</f>
        <v>1321.3001211813298</v>
      </c>
      <c r="AJ51" s="2079">
        <f>'ТЕ_2ст_тариф_з ЦТП'!K76/'ТЕ_2ст_тариф_з ЦТП'!K$30</f>
        <v>2354.626109027507</v>
      </c>
      <c r="AK51" s="2079">
        <f>'ТЕ_2ст_тариф_з ЦТП'!N76/'ТЕ_2ст_тариф_з ЦТП'!N$30</f>
        <v>2354.6930302129094</v>
      </c>
      <c r="AL51" s="2079">
        <f>'ТЕ_2ст_тариф_з ЦТП'!Q76/'ТЕ_2ст_тариф_з ЦТП'!Q$30</f>
        <v>2353.8229677948916</v>
      </c>
      <c r="AM51" s="2079"/>
      <c r="AN51" s="1612">
        <f t="shared" si="9"/>
        <v>0</v>
      </c>
      <c r="AO51" s="1612">
        <f t="shared" si="9"/>
        <v>7.1829435649988227E-2</v>
      </c>
      <c r="AP51" s="1612">
        <f t="shared" si="9"/>
        <v>-0.50466080097612576</v>
      </c>
      <c r="AQ51" s="1612">
        <f t="shared" si="9"/>
        <v>-0.5715819863771685</v>
      </c>
      <c r="AR51" s="1612">
        <f t="shared" si="9"/>
        <v>0.29848043164020055</v>
      </c>
    </row>
    <row r="52" spans="1:44" s="155" customFormat="1" x14ac:dyDescent="0.3">
      <c r="A52" s="912">
        <v>9</v>
      </c>
      <c r="B52" s="913" t="s">
        <v>188</v>
      </c>
      <c r="C52" s="4352" t="s">
        <v>225</v>
      </c>
      <c r="D52" s="766" t="s">
        <v>74</v>
      </c>
      <c r="E52" s="779">
        <f>E51/E55*1000</f>
        <v>923.34261317946039</v>
      </c>
      <c r="F52" s="110">
        <f>F51/F55*1000</f>
        <v>1319.6687030332282</v>
      </c>
      <c r="G52" s="6" t="s">
        <v>224</v>
      </c>
      <c r="H52" s="112">
        <f>H51/H58*1000</f>
        <v>1496.2706792171982</v>
      </c>
      <c r="I52" s="779">
        <f>I51/I55*1000</f>
        <v>947.10885763220472</v>
      </c>
      <c r="J52" s="110">
        <f>J51/J55*1000</f>
        <v>1301.1795492840429</v>
      </c>
      <c r="K52" s="781">
        <f>K51/K58*1000</f>
        <v>2278.3285993689506</v>
      </c>
      <c r="L52" s="112">
        <f>L51/L58*1000</f>
        <v>1321.3719506169798</v>
      </c>
      <c r="M52" s="779">
        <f>M51/M55*1000</f>
        <v>895.48099106719667</v>
      </c>
      <c r="N52" s="110">
        <f>N51/N55*1000</f>
        <v>1315.0993735189393</v>
      </c>
      <c r="O52" s="110">
        <f>O51/O58*1000</f>
        <v>3167.2114709868697</v>
      </c>
      <c r="P52" s="4466">
        <f>P51/P58*1000</f>
        <v>2354.1214482265309</v>
      </c>
      <c r="Q52" s="111">
        <f>Q51/Q55*1000</f>
        <v>891.09756696522675</v>
      </c>
      <c r="R52" s="110">
        <f>R51/R55*1000</f>
        <v>1210.5681766450175</v>
      </c>
      <c r="S52" s="110">
        <f>S51/S58*1000</f>
        <v>2896.0614709868696</v>
      </c>
      <c r="T52" s="112">
        <f>T51/T58*1000</f>
        <v>2354.1214482265323</v>
      </c>
      <c r="U52" s="111">
        <f>U51/U55*1000</f>
        <v>1122.7542183207506</v>
      </c>
      <c r="V52" s="110">
        <f>V51/V55*1000</f>
        <v>2089.1102678340453</v>
      </c>
      <c r="W52" s="110">
        <f>W51/W58*1000</f>
        <v>4898.2913428767915</v>
      </c>
      <c r="X52" s="112">
        <f>X51/X58*1000</f>
        <v>2354.1214482265318</v>
      </c>
      <c r="Y52" s="154">
        <v>107949.76142017942</v>
      </c>
      <c r="Z52" s="4353">
        <f>Y52-H51</f>
        <v>-54658.251671598264</v>
      </c>
      <c r="AA52" s="144"/>
      <c r="AB52" s="1612"/>
      <c r="AC52" s="1612"/>
      <c r="AD52" s="1612">
        <f>AE51-AD51</f>
        <v>0</v>
      </c>
      <c r="AE52" s="1612"/>
      <c r="AF52" s="1612"/>
      <c r="AH52" s="2079"/>
      <c r="AI52" s="2079"/>
      <c r="AJ52" s="2079"/>
      <c r="AK52" s="2079"/>
      <c r="AL52" s="2079"/>
      <c r="AM52" s="2079"/>
    </row>
    <row r="53" spans="1:44" s="155" customFormat="1" x14ac:dyDescent="0.3">
      <c r="A53" s="912"/>
      <c r="B53" s="113" t="s">
        <v>88</v>
      </c>
      <c r="C53" s="5" t="s">
        <v>226</v>
      </c>
      <c r="D53" s="766" t="s">
        <v>74</v>
      </c>
      <c r="E53" s="780">
        <f>E14/E51*1000</f>
        <v>768.82311597261116</v>
      </c>
      <c r="F53" s="114">
        <f>F14/F51*1000</f>
        <v>745.15449021964503</v>
      </c>
      <c r="G53" s="6" t="s">
        <v>224</v>
      </c>
      <c r="H53" s="112">
        <f>H14/H58*1000</f>
        <v>1093.2024703992736</v>
      </c>
      <c r="I53" s="780">
        <f>I14/I51*1000</f>
        <v>745.57867975622332</v>
      </c>
      <c r="J53" s="114">
        <f>J14/J51*1000</f>
        <v>741.53325453759714</v>
      </c>
      <c r="K53" s="782">
        <f>K14/K51*1000</f>
        <v>827.00320042702049</v>
      </c>
      <c r="L53" s="112">
        <f>L14/L58*1000</f>
        <v>926.04983933612777</v>
      </c>
      <c r="M53" s="780">
        <f>M14/M51*1000</f>
        <v>748.09863313653398</v>
      </c>
      <c r="N53" s="114">
        <f>N14/N51*1000</f>
        <v>744.26902625177217</v>
      </c>
      <c r="O53" s="114">
        <f>O14/O58*1000</f>
        <v>3060.7780057317468</v>
      </c>
      <c r="P53" s="4466">
        <f>P14/P58*1000</f>
        <v>1913.0598487065622</v>
      </c>
      <c r="Q53" s="115">
        <f>Q14/Q51*1000</f>
        <v>756.28350563057154</v>
      </c>
      <c r="R53" s="114">
        <f>R14/R51*1000</f>
        <v>722.18694506100383</v>
      </c>
      <c r="S53" s="114">
        <f>S14/S51*1000</f>
        <v>1056.8760492120173</v>
      </c>
      <c r="T53" s="112">
        <f>T14/T58*1000</f>
        <v>1913.059848706562</v>
      </c>
      <c r="U53" s="115">
        <f>U14/U51*1000</f>
        <v>742.68591785184435</v>
      </c>
      <c r="V53" s="114">
        <f>V14/V51*1000</f>
        <v>839.01680608062634</v>
      </c>
      <c r="W53" s="114">
        <f>W14/W51*1000</f>
        <v>895.25038452671959</v>
      </c>
      <c r="X53" s="2066">
        <f>X14/X58*1000</f>
        <v>1913.0598487065627</v>
      </c>
      <c r="Y53" s="154"/>
      <c r="AB53" s="1612"/>
      <c r="AC53" s="1612"/>
      <c r="AD53" s="1612"/>
      <c r="AE53" s="1612"/>
      <c r="AF53" s="1612"/>
      <c r="AH53" s="2079"/>
      <c r="AI53" s="2079"/>
      <c r="AJ53" s="2079"/>
      <c r="AK53" s="2079"/>
      <c r="AL53" s="2079"/>
      <c r="AM53" s="2079"/>
    </row>
    <row r="54" spans="1:44" s="155" customFormat="1" x14ac:dyDescent="0.3">
      <c r="A54" s="912"/>
      <c r="B54" s="113" t="s">
        <v>90</v>
      </c>
      <c r="C54" s="5" t="s">
        <v>227</v>
      </c>
      <c r="D54" s="766" t="s">
        <v>74</v>
      </c>
      <c r="E54" s="780">
        <f>(E43-E14)/E51*1000</f>
        <v>231.17688402738872</v>
      </c>
      <c r="F54" s="114">
        <f>(F43-F14)/F51*1000</f>
        <v>254.84550978035497</v>
      </c>
      <c r="G54" s="6" t="s">
        <v>224</v>
      </c>
      <c r="H54" s="112">
        <f>(H43-H14)/H58*1000</f>
        <v>336.79981043767577</v>
      </c>
      <c r="I54" s="780">
        <f>(I43-I14)/I51*1000</f>
        <v>254.42132024377673</v>
      </c>
      <c r="J54" s="114">
        <f>(J43-J14)/J51*1000</f>
        <v>258.46674546240297</v>
      </c>
      <c r="K54" s="782">
        <f>(K43-K14)/K51*1000</f>
        <v>127.59516977088417</v>
      </c>
      <c r="L54" s="112">
        <f>(L43-L14)/L58*1000</f>
        <v>336.79981043767583</v>
      </c>
      <c r="M54" s="780">
        <f>(M43-M14)/M51*1000</f>
        <v>251.90136686346597</v>
      </c>
      <c r="N54" s="114">
        <f>(N43-N14)/N51*1000</f>
        <v>255.73097374822785</v>
      </c>
      <c r="O54" s="114">
        <f>(O43-O14)/O58*1000</f>
        <v>290.70372443034097</v>
      </c>
      <c r="P54" s="4466">
        <f>(P43-P14)/P58*1000</f>
        <v>336.79981043767452</v>
      </c>
      <c r="Q54" s="115">
        <f>(Q43-Q14)/Q51*1000</f>
        <v>243.71649436942843</v>
      </c>
      <c r="R54" s="114">
        <f>(R43-R14)/R51*1000</f>
        <v>277.81305493899623</v>
      </c>
      <c r="S54" s="114">
        <f>(S43-S14)/S51*1000</f>
        <v>100.37898965289597</v>
      </c>
      <c r="T54" s="112">
        <f>(T43-T14)/T58*1000</f>
        <v>336.7998104376764</v>
      </c>
      <c r="U54" s="115">
        <f>(U43-U14)/U51*1000</f>
        <v>257.31408214815565</v>
      </c>
      <c r="V54" s="114">
        <f>(V43-V14)/V51*1000</f>
        <v>160.98319391937363</v>
      </c>
      <c r="W54" s="114">
        <f>(W43-W14)/W51*1000</f>
        <v>59.347985671184972</v>
      </c>
      <c r="X54" s="2066">
        <f>(X43-X14)/X58*1000</f>
        <v>336.79981043767572</v>
      </c>
      <c r="Y54" s="154"/>
      <c r="AB54" s="1612"/>
      <c r="AC54" s="1612"/>
      <c r="AD54" s="1612"/>
      <c r="AE54" s="1612"/>
      <c r="AF54" s="1612"/>
      <c r="AH54" s="2079"/>
      <c r="AI54" s="2079"/>
      <c r="AJ54" s="2079"/>
      <c r="AK54" s="2079"/>
      <c r="AL54" s="2079"/>
      <c r="AM54" s="2079"/>
    </row>
    <row r="55" spans="1:44" s="155" customFormat="1" x14ac:dyDescent="0.3">
      <c r="A55" s="912">
        <v>10</v>
      </c>
      <c r="B55" s="4354" t="s">
        <v>189</v>
      </c>
      <c r="C55" s="4355" t="s">
        <v>574</v>
      </c>
      <c r="D55" s="766" t="s">
        <v>22</v>
      </c>
      <c r="E55" s="115">
        <f t="shared" ref="E55:H56" si="18">I55+M55+Q55+U55</f>
        <v>92374.190157107529</v>
      </c>
      <c r="F55" s="114">
        <f t="shared" si="18"/>
        <v>66685.086027825717</v>
      </c>
      <c r="G55" s="114">
        <v>102577.73356155978</v>
      </c>
      <c r="H55" s="116">
        <f t="shared" si="18"/>
        <v>98795.806692118887</v>
      </c>
      <c r="I55" s="115">
        <f>'Д 7_РП'!E75</f>
        <v>78679.744151229883</v>
      </c>
      <c r="J55" s="114">
        <f>'Д 7_РП'!F75</f>
        <v>57582.226975534839</v>
      </c>
      <c r="K55" s="118">
        <v>84703.963282475335</v>
      </c>
      <c r="L55" s="116">
        <f>'Д 7_РП'!G75</f>
        <v>82049.34254390448</v>
      </c>
      <c r="M55" s="115">
        <f>'Д 7_РП'!E83</f>
        <v>13.195123224395186</v>
      </c>
      <c r="N55" s="114">
        <f>'Д 7_РП'!F83</f>
        <v>9.0310899163150786</v>
      </c>
      <c r="O55" s="114">
        <v>13.721712910080001</v>
      </c>
      <c r="P55" s="4464">
        <f>'Д 7_РП'!G83</f>
        <v>13.291675959893333</v>
      </c>
      <c r="Q55" s="115">
        <f>'Д 7_РП'!E87</f>
        <v>8759.9737474263693</v>
      </c>
      <c r="R55" s="114">
        <f>'Д 7_РП'!F87</f>
        <v>6752.6432291627516</v>
      </c>
      <c r="S55" s="118">
        <v>12796.611465525326</v>
      </c>
      <c r="T55" s="116">
        <f>'Д 7_РП'!G87</f>
        <v>12519.553368115807</v>
      </c>
      <c r="U55" s="115">
        <f>'Д 7_РП'!E91</f>
        <v>4921.2771352268846</v>
      </c>
      <c r="V55" s="114">
        <f>'Д 7_РП'!F91</f>
        <v>2341.1847332118145</v>
      </c>
      <c r="W55" s="118">
        <v>5063.4371006490574</v>
      </c>
      <c r="X55" s="116">
        <f>'Д 7_РП'!G91</f>
        <v>4213.6191041387128</v>
      </c>
      <c r="Y55" s="154"/>
      <c r="AB55" s="1612"/>
      <c r="AC55" s="1612"/>
      <c r="AD55" s="1612"/>
      <c r="AE55" s="1612"/>
      <c r="AF55" s="1612"/>
      <c r="AH55" s="2079"/>
      <c r="AI55" s="2079"/>
      <c r="AJ55" s="2079"/>
      <c r="AK55" s="2079"/>
      <c r="AL55" s="2079"/>
      <c r="AM55" s="2079"/>
    </row>
    <row r="56" spans="1:44" s="155" customFormat="1" ht="15" customHeight="1" x14ac:dyDescent="0.3">
      <c r="A56" s="912">
        <v>11</v>
      </c>
      <c r="B56" s="4354" t="s">
        <v>190</v>
      </c>
      <c r="C56" s="763" t="s">
        <v>76</v>
      </c>
      <c r="D56" s="766" t="s">
        <v>22</v>
      </c>
      <c r="E56" s="115">
        <f t="shared" si="18"/>
        <v>0</v>
      </c>
      <c r="F56" s="114">
        <f t="shared" si="18"/>
        <v>0</v>
      </c>
      <c r="G56" s="114">
        <f t="shared" si="18"/>
        <v>0</v>
      </c>
      <c r="H56" s="116">
        <f t="shared" si="18"/>
        <v>0</v>
      </c>
      <c r="I56" s="117">
        <v>0</v>
      </c>
      <c r="J56" s="118">
        <v>0</v>
      </c>
      <c r="K56" s="118">
        <v>0</v>
      </c>
      <c r="L56" s="119">
        <v>0</v>
      </c>
      <c r="M56" s="117">
        <v>0</v>
      </c>
      <c r="N56" s="118">
        <v>0</v>
      </c>
      <c r="O56" s="118">
        <v>0</v>
      </c>
      <c r="P56" s="4468">
        <v>0</v>
      </c>
      <c r="Q56" s="117">
        <v>0</v>
      </c>
      <c r="R56" s="118">
        <v>0</v>
      </c>
      <c r="S56" s="118">
        <v>0</v>
      </c>
      <c r="T56" s="119">
        <v>0</v>
      </c>
      <c r="U56" s="117">
        <v>0</v>
      </c>
      <c r="V56" s="118">
        <v>0</v>
      </c>
      <c r="W56" s="118">
        <v>0</v>
      </c>
      <c r="X56" s="119">
        <v>0</v>
      </c>
      <c r="Y56" s="154"/>
      <c r="AB56" s="1612"/>
      <c r="AC56" s="1612"/>
      <c r="AD56" s="1612"/>
      <c r="AE56" s="1612"/>
      <c r="AF56" s="1612"/>
      <c r="AH56" s="2079"/>
      <c r="AI56" s="2079"/>
      <c r="AJ56" s="2079"/>
      <c r="AK56" s="2079"/>
      <c r="AL56" s="2079"/>
      <c r="AM56" s="2079"/>
    </row>
    <row r="57" spans="1:44" s="155" customFormat="1" x14ac:dyDescent="0.3">
      <c r="A57" s="912">
        <v>12</v>
      </c>
      <c r="B57" s="4354" t="s">
        <v>191</v>
      </c>
      <c r="C57" s="4356" t="s">
        <v>77</v>
      </c>
      <c r="D57" s="766" t="s">
        <v>74</v>
      </c>
      <c r="E57" s="117">
        <v>0</v>
      </c>
      <c r="F57" s="118">
        <v>0</v>
      </c>
      <c r="G57" s="118">
        <v>0</v>
      </c>
      <c r="H57" s="119">
        <v>0</v>
      </c>
      <c r="I57" s="117">
        <v>0</v>
      </c>
      <c r="J57" s="118">
        <v>0</v>
      </c>
      <c r="K57" s="118">
        <v>0</v>
      </c>
      <c r="L57" s="119">
        <v>0</v>
      </c>
      <c r="M57" s="117">
        <v>0</v>
      </c>
      <c r="N57" s="118">
        <v>0</v>
      </c>
      <c r="O57" s="118">
        <v>0</v>
      </c>
      <c r="P57" s="4468">
        <v>0</v>
      </c>
      <c r="Q57" s="117">
        <v>0</v>
      </c>
      <c r="R57" s="118">
        <v>0</v>
      </c>
      <c r="S57" s="118">
        <v>0</v>
      </c>
      <c r="T57" s="119">
        <v>0</v>
      </c>
      <c r="U57" s="117">
        <v>0</v>
      </c>
      <c r="V57" s="118">
        <v>0</v>
      </c>
      <c r="W57" s="118">
        <v>0</v>
      </c>
      <c r="X57" s="119">
        <v>0</v>
      </c>
      <c r="Y57" s="154"/>
      <c r="AB57" s="1612"/>
      <c r="AC57" s="1612"/>
      <c r="AD57" s="1612"/>
      <c r="AE57" s="1612"/>
      <c r="AF57" s="1612"/>
      <c r="AH57" s="2079"/>
      <c r="AI57" s="2079"/>
      <c r="AJ57" s="2079"/>
      <c r="AK57" s="2079"/>
      <c r="AL57" s="2079"/>
      <c r="AM57" s="2079"/>
    </row>
    <row r="58" spans="1:44" s="155" customFormat="1" ht="20.399999999999999" x14ac:dyDescent="0.3">
      <c r="A58" s="912">
        <v>13</v>
      </c>
      <c r="B58" s="4354" t="s">
        <v>192</v>
      </c>
      <c r="C58" s="1260" t="s">
        <v>2031</v>
      </c>
      <c r="D58" s="4335" t="s">
        <v>22</v>
      </c>
      <c r="E58" s="115">
        <f>I58+M58+Q58+U58</f>
        <v>99539.625391593261</v>
      </c>
      <c r="F58" s="114">
        <f>J58+N58+R58+V58</f>
        <v>72973.606027825736</v>
      </c>
      <c r="G58" s="114">
        <v>112805.95148704355</v>
      </c>
      <c r="H58" s="765">
        <f>L58+P58+T58+X58</f>
        <v>108675.53267624618</v>
      </c>
      <c r="I58" s="115">
        <f>'Д 7_РП'!E27</f>
        <v>84818.099385715614</v>
      </c>
      <c r="J58" s="114">
        <f>'Д 7_РП'!F27</f>
        <v>63024.346975534841</v>
      </c>
      <c r="K58" s="118">
        <v>93169.87738379756</v>
      </c>
      <c r="L58" s="765">
        <f>'Д 7_РП'!D153</f>
        <v>90271.057497103626</v>
      </c>
      <c r="M58" s="115">
        <f>'Д 7_РП'!E30</f>
        <v>14.215123224395185</v>
      </c>
      <c r="N58" s="114">
        <f>'Д 7_РП'!F30</f>
        <v>9.8910899163150781</v>
      </c>
      <c r="O58" s="114">
        <v>15.074073961200384</v>
      </c>
      <c r="P58" s="4471">
        <f>'Д 7_РП'!D154</f>
        <v>14.602989074179138</v>
      </c>
      <c r="Q58" s="115">
        <f>'Д 7_РП'!E33</f>
        <v>9458.1537474263696</v>
      </c>
      <c r="R58" s="114">
        <f>'Д 7_РП'!F33</f>
        <v>7378.6532291627518</v>
      </c>
      <c r="S58" s="118">
        <v>14049.856575930015</v>
      </c>
      <c r="T58" s="765">
        <f>'Д 7_РП'!D155</f>
        <v>13752.767963175285</v>
      </c>
      <c r="U58" s="115">
        <f>'Д 7_РП'!E36</f>
        <v>5249.1571352268838</v>
      </c>
      <c r="V58" s="114">
        <f>'Д 7_РП'!F36</f>
        <v>2560.7147332118143</v>
      </c>
      <c r="W58" s="118">
        <v>5571.1434533547799</v>
      </c>
      <c r="X58" s="116">
        <f>'Д 7_РП'!D156</f>
        <v>4637.1042268930923</v>
      </c>
      <c r="Y58" s="154" t="s">
        <v>2028</v>
      </c>
      <c r="AB58" s="1612">
        <f>H58</f>
        <v>108675.53267624618</v>
      </c>
      <c r="AC58" s="1612">
        <f>L58</f>
        <v>90271.057497103626</v>
      </c>
      <c r="AD58" s="1612">
        <f>P58</f>
        <v>14.602989074179138</v>
      </c>
      <c r="AE58" s="1612">
        <f>T58</f>
        <v>13752.767963175285</v>
      </c>
      <c r="AF58" s="1612">
        <f>X58</f>
        <v>4637.1042268930923</v>
      </c>
      <c r="AG58" s="1612">
        <f>AB58-AC58-AD58-AE58-AF58</f>
        <v>0</v>
      </c>
      <c r="AH58" s="2079"/>
      <c r="AI58" s="2079"/>
      <c r="AJ58" s="2079"/>
      <c r="AK58" s="2079"/>
      <c r="AL58" s="2079"/>
      <c r="AM58" s="2079"/>
    </row>
    <row r="59" spans="1:44" s="155" customFormat="1" ht="21" thickBot="1" x14ac:dyDescent="0.35">
      <c r="A59" s="912">
        <v>14</v>
      </c>
      <c r="B59" s="130" t="s">
        <v>193</v>
      </c>
      <c r="C59" s="4357" t="s">
        <v>228</v>
      </c>
      <c r="D59" s="4358" t="s">
        <v>74</v>
      </c>
      <c r="E59" s="784">
        <f>E43/E55*1000</f>
        <v>923.34261317946039</v>
      </c>
      <c r="F59" s="767">
        <f>F43/F55*1000</f>
        <v>1319.6687030332282</v>
      </c>
      <c r="G59" s="785">
        <f>G43/G58*1000</f>
        <v>2445.1067444203768</v>
      </c>
      <c r="H59" s="785">
        <f>H43/H58*1000</f>
        <v>1430.0022808369492</v>
      </c>
      <c r="I59" s="784">
        <f>I43/I55*1000</f>
        <v>947.10885763220472</v>
      </c>
      <c r="J59" s="767">
        <f>J43/J55*1000</f>
        <v>1301.1795492840429</v>
      </c>
      <c r="K59" s="785">
        <f>K43/K58*1000</f>
        <v>2174.8887677328748</v>
      </c>
      <c r="L59" s="785">
        <f>L43/L58*1000</f>
        <v>1262.8496497738035</v>
      </c>
      <c r="M59" s="784">
        <f>M43/M55*1000</f>
        <v>895.48099106719667</v>
      </c>
      <c r="N59" s="767">
        <f>N43/N55*1000</f>
        <v>1315.0993735189393</v>
      </c>
      <c r="O59" s="785">
        <v>824.92141495592682</v>
      </c>
      <c r="P59" s="785">
        <f>P43/P58*1000</f>
        <v>2249.859659144237</v>
      </c>
      <c r="Q59" s="910">
        <f>Q43/Q55*1000</f>
        <v>891.09756696522675</v>
      </c>
      <c r="R59" s="767">
        <f>R43/R55*1000</f>
        <v>1210.5681766450175</v>
      </c>
      <c r="S59" s="767">
        <f>S43/S58*1000</f>
        <v>3351.4817301620874</v>
      </c>
      <c r="T59" s="911">
        <f>T43/T58*1000</f>
        <v>2249.8596591442388</v>
      </c>
      <c r="U59" s="910">
        <f>U43/U55*1000</f>
        <v>1122.7542183207506</v>
      </c>
      <c r="V59" s="767">
        <f>V43/V55*1000</f>
        <v>2089.1102678340453</v>
      </c>
      <c r="W59" s="767">
        <f>W43/W58*1000</f>
        <v>4675.9009326646901</v>
      </c>
      <c r="X59" s="911">
        <f>X43/X58*1000</f>
        <v>2249.8596591442383</v>
      </c>
      <c r="Y59" s="1017"/>
      <c r="AB59" s="1612"/>
      <c r="AC59" s="1612"/>
      <c r="AD59" s="1612"/>
      <c r="AE59" s="1612"/>
      <c r="AF59" s="1612"/>
      <c r="AH59" s="2079"/>
      <c r="AI59" s="2079"/>
      <c r="AJ59" s="2079"/>
      <c r="AK59" s="2079"/>
      <c r="AL59" s="2079"/>
      <c r="AM59" s="2079"/>
    </row>
    <row r="60" spans="1:44" s="155" customFormat="1" x14ac:dyDescent="0.3">
      <c r="A60" s="131"/>
      <c r="B60" s="131"/>
      <c r="C60" s="53"/>
      <c r="D60" s="132"/>
      <c r="E60" s="133"/>
      <c r="F60" s="133"/>
      <c r="G60" s="133"/>
      <c r="H60" s="133"/>
      <c r="I60" s="133"/>
      <c r="J60" s="133"/>
      <c r="K60" s="133"/>
      <c r="L60" s="133">
        <f>L58/$H58</f>
        <v>0.83064748130592492</v>
      </c>
      <c r="M60" s="133"/>
      <c r="N60" s="133"/>
      <c r="O60" s="133"/>
      <c r="P60" s="133">
        <f>P58/$H58</f>
        <v>1.3437237172494665E-4</v>
      </c>
      <c r="Q60" s="133"/>
      <c r="R60" s="133"/>
      <c r="S60" s="133"/>
      <c r="T60" s="133">
        <f>T58/$H58</f>
        <v>0.12654888938199155</v>
      </c>
      <c r="U60" s="133"/>
      <c r="V60" s="133"/>
      <c r="W60" s="133"/>
      <c r="X60" s="133">
        <f>X58/$H58</f>
        <v>4.2669256940358669E-2</v>
      </c>
      <c r="Y60" s="4350"/>
      <c r="AB60" s="1612"/>
      <c r="AC60" s="1612"/>
      <c r="AD60" s="1612"/>
      <c r="AE60" s="1612"/>
      <c r="AF60" s="1612"/>
      <c r="AH60" s="2079"/>
      <c r="AI60" s="2079"/>
      <c r="AJ60" s="2079"/>
      <c r="AK60" s="2079"/>
      <c r="AL60" s="2079"/>
      <c r="AM60" s="2079"/>
    </row>
    <row r="61" spans="1:44" x14ac:dyDescent="0.3">
      <c r="A61" s="134"/>
      <c r="B61" s="134"/>
      <c r="C61" s="5042" t="s">
        <v>229</v>
      </c>
      <c r="D61" s="5042"/>
      <c r="E61" s="5042"/>
      <c r="F61" s="5042"/>
      <c r="G61" s="5042"/>
      <c r="H61" s="5042"/>
      <c r="I61" s="5042"/>
      <c r="J61" s="5042"/>
      <c r="K61" s="5042"/>
      <c r="L61" s="5042"/>
      <c r="M61" s="5042"/>
      <c r="N61" s="5042"/>
      <c r="O61" s="5042"/>
      <c r="P61" s="5042"/>
      <c r="Q61" s="5042"/>
      <c r="R61" s="5042"/>
      <c r="S61" s="5042"/>
      <c r="T61" s="5042"/>
      <c r="U61" s="5042"/>
      <c r="V61" s="5042"/>
      <c r="W61" s="5042"/>
      <c r="X61" s="5042"/>
    </row>
    <row r="62" spans="1:44" ht="15" customHeight="1" x14ac:dyDescent="0.3">
      <c r="C62" s="5043" t="s">
        <v>177</v>
      </c>
      <c r="D62" s="5043"/>
      <c r="E62" s="5043"/>
      <c r="F62" s="5043"/>
      <c r="G62" s="5043"/>
      <c r="H62" s="5043"/>
      <c r="I62" s="5043"/>
      <c r="J62" s="5043"/>
      <c r="K62" s="5043"/>
      <c r="L62" s="5043"/>
      <c r="M62" s="5043"/>
      <c r="N62" s="5043"/>
      <c r="O62" s="5043"/>
      <c r="P62" s="5043"/>
      <c r="Q62" s="1237"/>
      <c r="R62" s="1237"/>
      <c r="S62" s="1237"/>
      <c r="T62" s="1237"/>
    </row>
    <row r="63" spans="1:44" ht="15" customHeight="1" x14ac:dyDescent="0.3">
      <c r="C63" s="1237"/>
      <c r="D63" s="1237"/>
      <c r="E63" s="1237"/>
      <c r="F63" s="1237"/>
      <c r="G63" s="1237"/>
      <c r="H63" s="1237"/>
      <c r="I63" s="1237"/>
      <c r="N63" s="1237"/>
      <c r="O63" s="1020"/>
      <c r="P63" s="1237"/>
    </row>
    <row r="64" spans="1:44" s="136" customFormat="1" ht="15" customHeight="1" x14ac:dyDescent="0.3">
      <c r="A64" s="135"/>
      <c r="B64" s="135"/>
      <c r="C64" s="4360" t="str">
        <f>'Вхідні дані'!B13</f>
        <v>Директор підприємства</v>
      </c>
      <c r="J64" s="5044" t="s">
        <v>231</v>
      </c>
      <c r="K64" s="5045"/>
      <c r="L64" s="5045"/>
      <c r="M64" s="5045"/>
      <c r="Q64" s="4361" t="str">
        <f>'Вхідні дані'!F13</f>
        <v>Анатолій ПАНШИН</v>
      </c>
      <c r="R64" s="4362"/>
      <c r="S64" s="4362"/>
      <c r="T64" s="4362"/>
      <c r="Y64" s="4363"/>
      <c r="AB64" s="4364"/>
      <c r="AC64" s="4364"/>
      <c r="AD64" s="4364"/>
      <c r="AE64" s="4364"/>
      <c r="AF64" s="4364"/>
      <c r="AH64" s="4365"/>
      <c r="AI64" s="4365"/>
      <c r="AJ64" s="4365"/>
      <c r="AK64" s="4365"/>
      <c r="AL64" s="4365"/>
      <c r="AM64" s="4365"/>
    </row>
    <row r="65" spans="1:39" s="136" customFormat="1" ht="15.6" x14ac:dyDescent="0.3">
      <c r="A65" s="135"/>
      <c r="B65" s="135"/>
      <c r="C65" s="1236" t="s">
        <v>232</v>
      </c>
      <c r="J65" s="5040" t="s">
        <v>209</v>
      </c>
      <c r="K65" s="5040"/>
      <c r="L65" s="5040"/>
      <c r="M65" s="5040"/>
      <c r="Q65" s="5041" t="s">
        <v>230</v>
      </c>
      <c r="R65" s="5041"/>
      <c r="S65" s="5041"/>
      <c r="T65" s="5041"/>
      <c r="Y65" s="4363"/>
      <c r="AB65" s="4364"/>
      <c r="AC65" s="4364"/>
      <c r="AD65" s="4364"/>
      <c r="AE65" s="4364"/>
      <c r="AF65" s="4364"/>
      <c r="AH65" s="4365"/>
      <c r="AI65" s="4365"/>
      <c r="AJ65" s="4365"/>
      <c r="AK65" s="4365"/>
      <c r="AL65" s="4365"/>
      <c r="AM65" s="4365"/>
    </row>
    <row r="66" spans="1:39" x14ac:dyDescent="0.3">
      <c r="C66"/>
      <c r="D66"/>
      <c r="E66"/>
      <c r="F66"/>
      <c r="G66"/>
      <c r="H66"/>
      <c r="I66"/>
      <c r="J66"/>
      <c r="K66"/>
      <c r="L66"/>
      <c r="M66"/>
      <c r="N66"/>
      <c r="O66"/>
      <c r="P66"/>
      <c r="Q66"/>
      <c r="R66"/>
      <c r="S66"/>
      <c r="T66"/>
      <c r="U66"/>
      <c r="V66"/>
      <c r="W66"/>
      <c r="X66"/>
      <c r="Y66" s="758"/>
    </row>
    <row r="67" spans="1:39" x14ac:dyDescent="0.3">
      <c r="C67"/>
      <c r="D67"/>
      <c r="E67"/>
      <c r="F67"/>
      <c r="G67"/>
      <c r="H67"/>
      <c r="I67"/>
      <c r="J67"/>
      <c r="K67"/>
      <c r="L67"/>
      <c r="M67"/>
      <c r="N67"/>
      <c r="O67"/>
      <c r="P67"/>
      <c r="Q67"/>
      <c r="R67"/>
      <c r="S67"/>
      <c r="T67"/>
      <c r="U67"/>
      <c r="V67"/>
      <c r="W67"/>
      <c r="X67"/>
      <c r="Y67" s="758"/>
    </row>
    <row r="68" spans="1:39" s="104" customFormat="1" ht="13.8" x14ac:dyDescent="0.25">
      <c r="A68" s="102"/>
      <c r="B68" s="102"/>
      <c r="C68" s="4366"/>
      <c r="D68" s="4366"/>
      <c r="E68" s="4366"/>
      <c r="F68" s="4366"/>
      <c r="G68" s="4366"/>
      <c r="H68" s="4366"/>
      <c r="I68" s="4366"/>
      <c r="J68" s="4366"/>
      <c r="K68" s="4366"/>
      <c r="L68" s="4366"/>
      <c r="M68" s="4366"/>
      <c r="N68" s="4366"/>
      <c r="O68" s="4366"/>
      <c r="P68" s="4366"/>
      <c r="Q68" s="4366"/>
      <c r="R68" s="4366"/>
      <c r="S68" s="4366"/>
      <c r="T68" s="4366"/>
      <c r="U68" s="4366"/>
      <c r="V68" s="4366"/>
      <c r="W68" s="4366"/>
      <c r="X68" s="4366"/>
      <c r="Y68" s="157"/>
      <c r="AB68" s="4321"/>
      <c r="AC68" s="4321"/>
      <c r="AD68" s="4321"/>
      <c r="AE68" s="4321"/>
      <c r="AF68" s="4321"/>
      <c r="AH68" s="4322"/>
      <c r="AI68" s="4322"/>
      <c r="AJ68" s="4322"/>
      <c r="AK68" s="4322"/>
      <c r="AL68" s="4322"/>
      <c r="AM68" s="4322"/>
    </row>
    <row r="69" spans="1:39" x14ac:dyDescent="0.3">
      <c r="C69"/>
      <c r="D69"/>
      <c r="E69"/>
      <c r="F69"/>
      <c r="G69"/>
      <c r="H69"/>
      <c r="I69"/>
      <c r="J69"/>
      <c r="K69"/>
      <c r="L69"/>
      <c r="M69"/>
      <c r="N69"/>
      <c r="O69"/>
      <c r="P69"/>
    </row>
    <row r="70" spans="1:39" x14ac:dyDescent="0.3">
      <c r="C70"/>
      <c r="D70"/>
      <c r="L70" s="4353"/>
    </row>
    <row r="71" spans="1:39" x14ac:dyDescent="0.3">
      <c r="C71"/>
      <c r="D71"/>
      <c r="L71" s="4353"/>
    </row>
    <row r="72" spans="1:39" x14ac:dyDescent="0.3">
      <c r="C72"/>
      <c r="D72"/>
      <c r="E72"/>
      <c r="F72"/>
      <c r="G72"/>
      <c r="H72"/>
      <c r="I72"/>
      <c r="J72"/>
      <c r="K72"/>
      <c r="L72"/>
      <c r="M72"/>
      <c r="N72"/>
      <c r="O72"/>
      <c r="P72"/>
    </row>
    <row r="73" spans="1:39" ht="15" hidden="1" thickBot="1" x14ac:dyDescent="0.35">
      <c r="C73"/>
      <c r="D73"/>
      <c r="E73" s="4367">
        <v>107589.02312</v>
      </c>
      <c r="F73" s="4367">
        <v>94669.704809999996</v>
      </c>
      <c r="G73" s="4367">
        <v>148714.72343489432</v>
      </c>
      <c r="H73" s="4367"/>
      <c r="I73" s="4367">
        <v>88060.896379462865</v>
      </c>
      <c r="J73" s="4367">
        <v>80638.24208287918</v>
      </c>
      <c r="K73" s="4367">
        <v>120305.67021857837</v>
      </c>
      <c r="L73" s="4367"/>
      <c r="M73" s="4367"/>
      <c r="N73" s="4367"/>
      <c r="O73" s="4367"/>
      <c r="P73" s="4367"/>
      <c r="Q73" s="4367"/>
      <c r="R73" s="4367"/>
      <c r="S73" s="4367"/>
      <c r="T73" s="4367"/>
      <c r="U73" s="4367"/>
      <c r="V73" s="4368"/>
      <c r="W73" s="4367"/>
      <c r="X73" s="4367"/>
    </row>
    <row r="74" spans="1:39" hidden="1" x14ac:dyDescent="0.3">
      <c r="C74"/>
      <c r="D74"/>
      <c r="E74" s="4369">
        <f>E51-E73</f>
        <v>-22295.996989999941</v>
      </c>
      <c r="F74" s="4369">
        <f>F51-F73</f>
        <v>-6667.483819999994</v>
      </c>
      <c r="G74" s="4369">
        <f>G51-G73</f>
        <v>131582.94763820924</v>
      </c>
      <c r="H74" s="4369"/>
      <c r="I74" s="4369">
        <f>I51-I73</f>
        <v>-13542.613777597391</v>
      </c>
      <c r="J74" s="4369">
        <f>J51-J73</f>
        <v>-5713.4259400813025</v>
      </c>
      <c r="K74" s="4369">
        <f>K51-K73</f>
        <v>91965.92602462598</v>
      </c>
      <c r="L74" s="4369"/>
      <c r="M74" s="4369"/>
      <c r="N74" s="4369"/>
      <c r="O74" s="4369"/>
      <c r="P74" s="4369"/>
      <c r="Q74" s="4369"/>
      <c r="R74" s="4369"/>
      <c r="S74" s="4369"/>
      <c r="T74" s="4369"/>
      <c r="U74" s="4369"/>
      <c r="V74" s="4369"/>
      <c r="W74" s="4369"/>
      <c r="X74" s="4369"/>
    </row>
    <row r="75" spans="1:39" x14ac:dyDescent="0.3">
      <c r="C75"/>
      <c r="D75"/>
      <c r="E75"/>
      <c r="F75"/>
      <c r="G75"/>
      <c r="H75"/>
      <c r="I75"/>
      <c r="J75"/>
      <c r="K75"/>
      <c r="L75"/>
      <c r="M75"/>
      <c r="N75"/>
      <c r="O75"/>
      <c r="P75"/>
      <c r="T75"/>
      <c r="X75"/>
    </row>
    <row r="76" spans="1:39" x14ac:dyDescent="0.3">
      <c r="C76"/>
      <c r="D76"/>
      <c r="E76"/>
      <c r="F76"/>
      <c r="G76"/>
      <c r="H76"/>
      <c r="I76"/>
      <c r="J76"/>
      <c r="K76"/>
      <c r="L76"/>
      <c r="M76"/>
      <c r="N76"/>
      <c r="O76"/>
      <c r="P76"/>
    </row>
    <row r="77" spans="1:39" x14ac:dyDescent="0.3">
      <c r="C77"/>
      <c r="D77"/>
      <c r="E77"/>
      <c r="F77"/>
      <c r="G77"/>
      <c r="H77"/>
      <c r="I77"/>
      <c r="J77"/>
      <c r="K77"/>
      <c r="L77"/>
      <c r="M77"/>
      <c r="N77"/>
      <c r="O77"/>
      <c r="P77"/>
    </row>
    <row r="78" spans="1:39" x14ac:dyDescent="0.3">
      <c r="C78"/>
      <c r="D78"/>
      <c r="E78"/>
      <c r="F78"/>
      <c r="G78"/>
      <c r="H78"/>
      <c r="I78"/>
      <c r="J78"/>
      <c r="K78"/>
      <c r="L78"/>
      <c r="M78"/>
      <c r="N78"/>
      <c r="O78"/>
      <c r="P78"/>
    </row>
    <row r="79" spans="1:39" x14ac:dyDescent="0.3">
      <c r="C79"/>
      <c r="D79"/>
      <c r="E79"/>
      <c r="F79"/>
      <c r="G79"/>
      <c r="H79"/>
      <c r="I79"/>
      <c r="J79"/>
      <c r="K79"/>
      <c r="L79"/>
      <c r="M79"/>
      <c r="N79"/>
      <c r="O79"/>
      <c r="P79"/>
    </row>
    <row r="80" spans="1:39" x14ac:dyDescent="0.3">
      <c r="C80"/>
      <c r="D80"/>
      <c r="E80"/>
      <c r="F80"/>
      <c r="G80"/>
      <c r="H80"/>
      <c r="I80"/>
      <c r="J80"/>
      <c r="K80"/>
      <c r="L80"/>
      <c r="M80"/>
      <c r="N80"/>
      <c r="O80"/>
      <c r="P80"/>
    </row>
    <row r="81" spans="3:16" x14ac:dyDescent="0.3">
      <c r="C81"/>
      <c r="D81"/>
      <c r="E81"/>
      <c r="F81"/>
      <c r="G81"/>
      <c r="H81"/>
      <c r="I81"/>
      <c r="J81"/>
      <c r="K81"/>
      <c r="L81"/>
      <c r="M81"/>
      <c r="N81"/>
      <c r="O81"/>
      <c r="P81"/>
    </row>
    <row r="82" spans="3:16" x14ac:dyDescent="0.3">
      <c r="C82"/>
      <c r="D82"/>
      <c r="E82"/>
      <c r="F82"/>
      <c r="G82"/>
      <c r="H82"/>
      <c r="I82"/>
      <c r="J82"/>
      <c r="K82"/>
      <c r="L82"/>
      <c r="M82"/>
      <c r="N82"/>
      <c r="O82"/>
      <c r="P82"/>
    </row>
    <row r="83" spans="3:16" x14ac:dyDescent="0.3">
      <c r="C83"/>
      <c r="D83"/>
      <c r="E83"/>
      <c r="F83"/>
      <c r="G83"/>
      <c r="H83"/>
      <c r="I83"/>
      <c r="J83"/>
      <c r="K83"/>
      <c r="L83"/>
      <c r="M83"/>
      <c r="N83"/>
      <c r="O83"/>
      <c r="P83"/>
    </row>
    <row r="84" spans="3:16" x14ac:dyDescent="0.3">
      <c r="C84"/>
      <c r="D84"/>
      <c r="E84"/>
      <c r="F84"/>
      <c r="G84"/>
      <c r="H84"/>
      <c r="I84"/>
      <c r="J84"/>
      <c r="K84"/>
      <c r="L84"/>
      <c r="M84"/>
      <c r="N84"/>
      <c r="O84"/>
      <c r="P84"/>
    </row>
  </sheetData>
  <mergeCells count="19">
    <mergeCell ref="J65:M65"/>
    <mergeCell ref="Q65:T65"/>
    <mergeCell ref="M7:P8"/>
    <mergeCell ref="Q7:T8"/>
    <mergeCell ref="U7:X8"/>
    <mergeCell ref="C61:X61"/>
    <mergeCell ref="C62:P62"/>
    <mergeCell ref="J64:M64"/>
    <mergeCell ref="S1:X1"/>
    <mergeCell ref="C3:X3"/>
    <mergeCell ref="C4:X4"/>
    <mergeCell ref="D6:X6"/>
    <mergeCell ref="A7:A9"/>
    <mergeCell ref="B7:B10"/>
    <mergeCell ref="C7:C10"/>
    <mergeCell ref="D7:D10"/>
    <mergeCell ref="E7:H8"/>
    <mergeCell ref="I7:L8"/>
    <mergeCell ref="S2:X2"/>
  </mergeCells>
  <conditionalFormatting sqref="C1:C2">
    <cfRule type="containsText" dxfId="87" priority="1" operator="containsText" text="Для корек">
      <formula>NOT(ISERROR(SEARCH("Для корек",C1)))</formula>
    </cfRule>
  </conditionalFormatting>
  <pageMargins left="0.23622047244094491" right="0.27559055118110237" top="0.86" bottom="0.23622047244094491" header="0.62992125984251968" footer="0.31496062992125984"/>
  <pageSetup paperSize="9" scale="69" fitToHeight="0" orientation="landscape" r:id="rId1"/>
  <headerFooter differentFirst="1">
    <oddHeader>&amp;Rпродовження додатку 2</oddHeader>
  </headerFooter>
</worksheet>
</file>

<file path=xl/worksheets/sheet1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700-000000000000}">
  <sheetPr codeName="Лист116">
    <tabColor rgb="FFFF0000"/>
  </sheetPr>
  <dimension ref="A1:I44"/>
  <sheetViews>
    <sheetView workbookViewId="0">
      <selection activeCell="D46" sqref="D46"/>
    </sheetView>
  </sheetViews>
  <sheetFormatPr defaultColWidth="8.88671875" defaultRowHeight="15.6" x14ac:dyDescent="0.3"/>
  <cols>
    <col min="1" max="1" width="18.5546875" style="45" customWidth="1"/>
    <col min="2" max="2" width="17.33203125" style="45" customWidth="1"/>
    <col min="3" max="3" width="11.6640625" style="1762" customWidth="1"/>
    <col min="4" max="4" width="11.33203125" style="1762" customWidth="1"/>
    <col min="5" max="7" width="12.33203125" style="1762" customWidth="1"/>
    <col min="8" max="8" width="27.88671875" style="45" customWidth="1"/>
    <col min="9" max="16384" width="8.88671875" style="45"/>
  </cols>
  <sheetData>
    <row r="1" spans="1:7" x14ac:dyDescent="0.3">
      <c r="A1" s="3000" t="s">
        <v>3390</v>
      </c>
      <c r="B1" s="1761" t="str">
        <f>'Вхідні дані'!F6</f>
        <v>2023-2024</v>
      </c>
    </row>
    <row r="2" spans="1:7" s="49" customFormat="1" x14ac:dyDescent="0.3">
      <c r="A2" s="7"/>
      <c r="B2" s="7"/>
      <c r="C2" s="5941" t="str">
        <f>'сведено-економ'!C50</f>
        <v>середньовзважений</v>
      </c>
      <c r="D2" s="5941" t="str">
        <f>'сведено-економ'!D50</f>
        <v>Для потреб</v>
      </c>
      <c r="E2" s="5941"/>
      <c r="F2" s="5941"/>
      <c r="G2" s="5941"/>
    </row>
    <row r="3" spans="1:7" s="49" customFormat="1" ht="31.2" x14ac:dyDescent="0.3">
      <c r="A3" s="7"/>
      <c r="B3" s="7"/>
      <c r="C3" s="5941"/>
      <c r="D3" s="3001" t="str">
        <f>'сведено-економ'!D51</f>
        <v>населення</v>
      </c>
      <c r="E3" s="3001" t="str">
        <f>'сведено-економ'!E51</f>
        <v>релігійних організацій</v>
      </c>
      <c r="F3" s="3001" t="str">
        <f>'сведено-економ'!F51</f>
        <v>Бюджетних установ</v>
      </c>
      <c r="G3" s="3001" t="str">
        <f>'сведено-економ'!G51</f>
        <v>інших споживачів</v>
      </c>
    </row>
    <row r="4" spans="1:7" x14ac:dyDescent="0.3">
      <c r="A4" s="3007" t="s">
        <v>3391</v>
      </c>
      <c r="B4" s="3007"/>
      <c r="C4" s="1840"/>
      <c r="D4" s="1840"/>
      <c r="E4" s="1840"/>
      <c r="F4" s="1840"/>
      <c r="G4" s="1840"/>
    </row>
    <row r="5" spans="1:7" x14ac:dyDescent="0.3">
      <c r="A5" s="778" t="s">
        <v>3392</v>
      </c>
      <c r="B5" s="778" t="s">
        <v>3393</v>
      </c>
      <c r="C5" s="1308">
        <f>'сведено-економ'!C39</f>
        <v>2485.5005105178666</v>
      </c>
      <c r="D5" s="1308">
        <f>'сведено-економ'!D39</f>
        <v>2291.6105105178663</v>
      </c>
      <c r="E5" s="1308">
        <f>'сведено-економ'!E39</f>
        <v>0</v>
      </c>
      <c r="F5" s="1308">
        <f>'сведено-економ'!F39</f>
        <v>3436.7105105178662</v>
      </c>
      <c r="G5" s="1308">
        <f>'сведено-економ'!G39</f>
        <v>3436.7105105178662</v>
      </c>
    </row>
    <row r="6" spans="1:7" x14ac:dyDescent="0.3">
      <c r="A6" s="778" t="s">
        <v>2251</v>
      </c>
      <c r="B6" s="3002" t="s">
        <v>3393</v>
      </c>
      <c r="C6" s="1308">
        <f>'сведено-економ'!C40</f>
        <v>1310.4099999999999</v>
      </c>
      <c r="D6" s="1308">
        <f>'сведено-економ'!D40</f>
        <v>1143.25</v>
      </c>
      <c r="E6" s="1308">
        <f>'сведено-економ'!E40</f>
        <v>0</v>
      </c>
      <c r="F6" s="1308">
        <f>'сведено-економ'!F40</f>
        <v>2130.2600000000002</v>
      </c>
      <c r="G6" s="1308">
        <f>'сведено-економ'!G40</f>
        <v>2130.2600000000002</v>
      </c>
    </row>
    <row r="7" spans="1:7" ht="30.6" customHeight="1" x14ac:dyDescent="0.3">
      <c r="A7" s="778" t="s">
        <v>2252</v>
      </c>
      <c r="B7" s="2495" t="s">
        <v>3394</v>
      </c>
      <c r="C7" s="1308">
        <f>'сведено-економ'!C41</f>
        <v>135298.87</v>
      </c>
      <c r="D7" s="1308">
        <f>'сведено-економ'!D41</f>
        <v>132136.79999999999</v>
      </c>
      <c r="E7" s="1308">
        <f>'сведено-економ'!E41</f>
        <v>0</v>
      </c>
      <c r="F7" s="1308">
        <f>'сведено-економ'!F41</f>
        <v>150830.22999999998</v>
      </c>
      <c r="G7" s="1308">
        <f>'сведено-економ'!G41</f>
        <v>150830.22999999998</v>
      </c>
    </row>
    <row r="8" spans="1:7" x14ac:dyDescent="0.3">
      <c r="A8" s="778"/>
      <c r="B8" s="778"/>
      <c r="C8" s="1308"/>
      <c r="D8" s="1308"/>
      <c r="E8" s="1308"/>
      <c r="F8" s="1308"/>
      <c r="G8" s="1308"/>
    </row>
    <row r="9" spans="1:7" x14ac:dyDescent="0.3">
      <c r="A9" s="778" t="s">
        <v>3395</v>
      </c>
      <c r="B9" s="778" t="s">
        <v>22</v>
      </c>
      <c r="C9" s="1308">
        <f>'Д 7_РП'!G28+'Д 7_РП'!G31+'Д 7_РП'!G34+'Д 7_РП'!G37</f>
        <v>18237.362357436083</v>
      </c>
      <c r="D9" s="1308">
        <f>'Д 7_РП'!G28</f>
        <v>15155.265331444638</v>
      </c>
      <c r="E9" s="1308">
        <f>'Д 7_РП'!G31</f>
        <v>0</v>
      </c>
      <c r="F9" s="1308">
        <f>'Д 7_РП'!G34</f>
        <v>2229.1652834520464</v>
      </c>
      <c r="G9" s="1308">
        <f>'Д 7_РП'!G37</f>
        <v>852.93174253939515</v>
      </c>
    </row>
    <row r="10" spans="1:7" x14ac:dyDescent="0.3">
      <c r="A10" s="778" t="s">
        <v>3396</v>
      </c>
      <c r="B10" s="778" t="s">
        <v>22</v>
      </c>
      <c r="C10" s="1308">
        <f>'Д 7_РП'!G77+'Д 7_РП'!G85+'Д 7_РП'!G89+'Д 7_РП'!G93</f>
        <v>16448.213425432205</v>
      </c>
      <c r="D10" s="1308">
        <f>'Д 7_РП'!G77</f>
        <v>13668.480880354855</v>
      </c>
      <c r="E10" s="1308">
        <f>'Д 7_РП'!G85</f>
        <v>0</v>
      </c>
      <c r="F10" s="1308">
        <f>'Д 7_РП'!G89</f>
        <v>2010.4763849135998</v>
      </c>
      <c r="G10" s="1308">
        <f>'Д 7_РП'!G93</f>
        <v>769.25616016375079</v>
      </c>
    </row>
    <row r="11" spans="1:7" x14ac:dyDescent="0.3">
      <c r="A11" s="778" t="s">
        <v>3375</v>
      </c>
      <c r="B11" s="778" t="s">
        <v>3397</v>
      </c>
      <c r="C11" s="1308">
        <f>'Д 7_РП'!G97+'Д 7_РП'!G104+'Д 7_РП'!G107+'Д 7_РП'!G110</f>
        <v>11.919578167000001</v>
      </c>
      <c r="D11" s="1308">
        <f>'Д 7_РП'!G97</f>
        <v>9.9052058670000012</v>
      </c>
      <c r="E11" s="1308">
        <f>'Д 7_РП'!G104</f>
        <v>0</v>
      </c>
      <c r="F11" s="1308">
        <f>'Д 7_РП'!G107</f>
        <v>1.45692</v>
      </c>
      <c r="G11" s="1308">
        <f>'Д 7_РП'!G110</f>
        <v>0.5574522999999999</v>
      </c>
    </row>
    <row r="12" spans="1:7" x14ac:dyDescent="0.3">
      <c r="A12" s="778"/>
      <c r="B12" s="778"/>
      <c r="C12" s="1308"/>
      <c r="D12" s="1308"/>
      <c r="E12" s="1308"/>
      <c r="F12" s="1308"/>
      <c r="G12" s="1308"/>
    </row>
    <row r="13" spans="1:7" x14ac:dyDescent="0.3">
      <c r="A13" s="1160" t="s">
        <v>3398</v>
      </c>
      <c r="B13" s="1160"/>
      <c r="C13" s="1308"/>
      <c r="D13" s="1308"/>
      <c r="E13" s="1308"/>
      <c r="F13" s="1308"/>
      <c r="G13" s="1308"/>
    </row>
    <row r="14" spans="1:7" x14ac:dyDescent="0.3">
      <c r="A14" s="778" t="s">
        <v>3392</v>
      </c>
      <c r="B14" s="778" t="s">
        <v>40</v>
      </c>
      <c r="C14" s="1321">
        <f>C5*C10/1000</f>
        <v>40882.042866018572</v>
      </c>
      <c r="D14" s="1321">
        <f>D5*D10/1000</f>
        <v>31322.834448233683</v>
      </c>
      <c r="E14" s="1321">
        <f>E5*E10/1000</f>
        <v>0</v>
      </c>
      <c r="F14" s="1321">
        <f>F5*F10/1000</f>
        <v>6909.4253231805314</v>
      </c>
      <c r="G14" s="1321">
        <f>G5*G10/1000</f>
        <v>2643.7107309153776</v>
      </c>
    </row>
    <row r="15" spans="1:7" x14ac:dyDescent="0.3">
      <c r="A15" s="778" t="s">
        <v>2251</v>
      </c>
      <c r="B15" s="778" t="s">
        <v>40</v>
      </c>
      <c r="C15" s="1308">
        <f>C6*C10/1000</f>
        <v>21553.903354820613</v>
      </c>
      <c r="D15" s="1308">
        <f>D6*D10/1000</f>
        <v>15626.490766465688</v>
      </c>
      <c r="E15" s="1308">
        <f>E6*E10/1000</f>
        <v>0</v>
      </c>
      <c r="F15" s="1308">
        <f>F6*F10/1000</f>
        <v>4282.8374237260459</v>
      </c>
      <c r="G15" s="1308">
        <f>G6*G10/1000</f>
        <v>1638.7156277504318</v>
      </c>
    </row>
    <row r="16" spans="1:7" x14ac:dyDescent="0.3">
      <c r="A16" s="778" t="s">
        <v>2252</v>
      </c>
      <c r="B16" s="778" t="s">
        <v>40</v>
      </c>
      <c r="C16" s="1308">
        <f>C11*C7*12/1000</f>
        <v>19352.465482461255</v>
      </c>
      <c r="D16" s="1308">
        <f>D11*D7*12/1000</f>
        <v>15706.106479279266</v>
      </c>
      <c r="E16" s="1308">
        <f>E11*E7*12/1000</f>
        <v>0</v>
      </c>
      <c r="F16" s="1308">
        <f>F11*F7*12/1000</f>
        <v>2636.9709442991998</v>
      </c>
      <c r="G16" s="1308">
        <f>G11*G7*12/1000</f>
        <v>1008.9679034763477</v>
      </c>
    </row>
    <row r="17" spans="1:9" x14ac:dyDescent="0.3">
      <c r="A17" s="778" t="s">
        <v>3399</v>
      </c>
      <c r="B17" s="778" t="s">
        <v>40</v>
      </c>
      <c r="C17" s="1321">
        <f>C15+C16</f>
        <v>40906.368837281872</v>
      </c>
      <c r="D17" s="1321">
        <f>D15+D16</f>
        <v>31332.597245744953</v>
      </c>
      <c r="E17" s="1321">
        <f>E15+E16</f>
        <v>0</v>
      </c>
      <c r="F17" s="1321">
        <f>F15+F16</f>
        <v>6919.8083680252457</v>
      </c>
      <c r="G17" s="1321">
        <f>G15+G16</f>
        <v>2647.6835312267795</v>
      </c>
    </row>
    <row r="18" spans="1:9" s="3010" customFormat="1" x14ac:dyDescent="0.3">
      <c r="A18" s="3009" t="s">
        <v>2372</v>
      </c>
      <c r="B18" s="3009" t="s">
        <v>40</v>
      </c>
      <c r="C18" s="3008">
        <f>C14-C15-C16</f>
        <v>-24.325971263297106</v>
      </c>
      <c r="D18" s="3008">
        <f>D14-D15-D16</f>
        <v>-9.7627975112700369</v>
      </c>
      <c r="E18" s="3008">
        <f>E14-E15-E16</f>
        <v>0</v>
      </c>
      <c r="F18" s="3008">
        <f>F14-F15-F16</f>
        <v>-10.383044844714277</v>
      </c>
      <c r="G18" s="3008">
        <f>G14-G15-G16</f>
        <v>-3.9728003114020112</v>
      </c>
    </row>
    <row r="20" spans="1:9" x14ac:dyDescent="0.3">
      <c r="A20" s="3007" t="s">
        <v>3400</v>
      </c>
      <c r="B20" s="3007"/>
      <c r="C20" s="1840"/>
      <c r="D20" s="1840"/>
      <c r="E20" s="1840"/>
      <c r="F20" s="1840"/>
      <c r="G20" s="1840"/>
    </row>
    <row r="21" spans="1:9" x14ac:dyDescent="0.3">
      <c r="A21" s="778" t="s">
        <v>3392</v>
      </c>
      <c r="B21" s="778" t="s">
        <v>3393</v>
      </c>
      <c r="C21" s="1308">
        <f>'сведено-економ'!C43</f>
        <v>2085.0605105178661</v>
      </c>
      <c r="D21" s="1308">
        <f>'сведено-економ'!D43</f>
        <v>1893.4705105178659</v>
      </c>
      <c r="E21" s="1308">
        <f>'сведено-економ'!E43</f>
        <v>3024.5705105178668</v>
      </c>
      <c r="F21" s="1308">
        <f>'сведено-економ'!F43</f>
        <v>3024.5705105178663</v>
      </c>
      <c r="G21" s="1308">
        <f>'сведено-економ'!G43</f>
        <v>3024.5705105178663</v>
      </c>
    </row>
    <row r="22" spans="1:9" x14ac:dyDescent="0.3">
      <c r="A22" s="778" t="s">
        <v>2251</v>
      </c>
      <c r="B22" s="3002" t="s">
        <v>3393</v>
      </c>
      <c r="C22" s="1308">
        <f>'сведено-економ'!C44</f>
        <v>1190.06</v>
      </c>
      <c r="D22" s="1308">
        <f>'сведено-економ'!D44</f>
        <v>1022.9</v>
      </c>
      <c r="E22" s="1308">
        <f>'сведено-економ'!E44</f>
        <v>2009.91</v>
      </c>
      <c r="F22" s="1308">
        <f>'сведено-економ'!F44</f>
        <v>2009.91</v>
      </c>
      <c r="G22" s="1308">
        <f>'сведено-економ'!G44</f>
        <v>2009.91</v>
      </c>
    </row>
    <row r="23" spans="1:9" ht="30.6" customHeight="1" x14ac:dyDescent="0.3">
      <c r="A23" s="778" t="s">
        <v>2252</v>
      </c>
      <c r="B23" s="2495" t="s">
        <v>3394</v>
      </c>
      <c r="C23" s="1308">
        <f>'сведено-економ'!C45</f>
        <v>103562.09999999999</v>
      </c>
      <c r="D23" s="1308">
        <f>'сведено-економ'!D45</f>
        <v>100654.02</v>
      </c>
      <c r="E23" s="1308">
        <f>'сведено-економ'!E45</f>
        <v>117803.48</v>
      </c>
      <c r="F23" s="1308">
        <f>'сведено-економ'!F45</f>
        <v>117803.48</v>
      </c>
      <c r="G23" s="1308">
        <f>'сведено-економ'!G45</f>
        <v>117803.48</v>
      </c>
    </row>
    <row r="24" spans="1:9" ht="9" customHeight="1" x14ac:dyDescent="0.3">
      <c r="A24" s="778"/>
      <c r="B24" s="778"/>
      <c r="C24" s="1308"/>
      <c r="D24" s="1308"/>
      <c r="E24" s="1308"/>
      <c r="F24" s="1308"/>
      <c r="G24" s="1308"/>
    </row>
    <row r="25" spans="1:9" x14ac:dyDescent="0.3">
      <c r="A25" s="778" t="s">
        <v>3395</v>
      </c>
      <c r="B25" s="778" t="s">
        <v>22</v>
      </c>
      <c r="C25" s="1308">
        <f>'Д 7_РП'!G29+'Д 7_РП'!G32+'Д 7_РП'!G35+'Д 7_РП'!G38</f>
        <v>90438.170318810095</v>
      </c>
      <c r="D25" s="1308">
        <f>'Д 7_РП'!G29</f>
        <v>75115.79216565899</v>
      </c>
      <c r="E25" s="1308">
        <f>'Д 7_РП'!G32</f>
        <v>14.602989074179138</v>
      </c>
      <c r="F25" s="1308">
        <f>'Д 7_РП'!G35</f>
        <v>11523.602679723239</v>
      </c>
      <c r="G25" s="1308">
        <f>'Д 7_РП'!G38</f>
        <v>3784.1724843536967</v>
      </c>
    </row>
    <row r="26" spans="1:9" x14ac:dyDescent="0.3">
      <c r="A26" s="778" t="s">
        <v>3396</v>
      </c>
      <c r="B26" s="778" t="s">
        <v>22</v>
      </c>
      <c r="C26" s="1308">
        <f>'Д 7_РП'!G80+'Д 7_РП'!G86+'Д 7_РП'!G90+'Д 7_РП'!G94</f>
        <v>82347.593266686672</v>
      </c>
      <c r="D26" s="1308">
        <f>'Д 7_РП'!G80</f>
        <v>68380.861663549615</v>
      </c>
      <c r="E26" s="1308">
        <f>'Д 7_РП'!G86</f>
        <v>13.291675959893333</v>
      </c>
      <c r="F26" s="1308">
        <f>'Д 7_РП'!G90</f>
        <v>10509.076983202205</v>
      </c>
      <c r="G26" s="1308">
        <f>'Д 7_РП'!G94</f>
        <v>3444.362943974962</v>
      </c>
      <c r="I26" s="1157">
        <f>'[43]Д 7_РП'!G74-[43]Лист3!C26-[43]Лист3!C10</f>
        <v>0</v>
      </c>
    </row>
    <row r="27" spans="1:9" x14ac:dyDescent="0.3">
      <c r="A27" s="778" t="s">
        <v>3375</v>
      </c>
      <c r="B27" s="778" t="s">
        <v>3397</v>
      </c>
      <c r="C27" s="1308">
        <f>'Д 7_РП'!G100+'Д 7_РП'!G105+'Д 7_РП'!G108+'Д 7_РП'!G111</f>
        <v>59.674498350062137</v>
      </c>
      <c r="D27" s="1308">
        <f>'Д 7_РП'!G100</f>
        <v>49.553309780062136</v>
      </c>
      <c r="E27" s="1308">
        <f>'Д 7_РП'!G105</f>
        <v>9.6319999999999999E-3</v>
      </c>
      <c r="F27" s="1308">
        <f>'Д 7_РП'!G108</f>
        <v>7.6155505000000003</v>
      </c>
      <c r="G27" s="1308">
        <f>'Д 7_РП'!G111</f>
        <v>2.4960060699999995</v>
      </c>
    </row>
    <row r="28" spans="1:9" ht="7.2" customHeight="1" x14ac:dyDescent="0.3">
      <c r="A28" s="778"/>
      <c r="B28" s="778"/>
      <c r="C28" s="1308"/>
      <c r="D28" s="1308"/>
      <c r="E28" s="1308"/>
      <c r="F28" s="1308"/>
      <c r="G28" s="1308"/>
    </row>
    <row r="29" spans="1:9" x14ac:dyDescent="0.3">
      <c r="A29" s="1160" t="s">
        <v>3398</v>
      </c>
      <c r="B29" s="1160"/>
      <c r="C29" s="1308"/>
      <c r="D29" s="1308"/>
      <c r="E29" s="1308"/>
      <c r="F29" s="1308"/>
      <c r="G29" s="1308"/>
    </row>
    <row r="30" spans="1:9" x14ac:dyDescent="0.3">
      <c r="A30" s="778" t="s">
        <v>3392</v>
      </c>
      <c r="B30" s="778" t="s">
        <v>40</v>
      </c>
      <c r="C30" s="1321">
        <f>C21*C26/1000</f>
        <v>171699.71485655531</v>
      </c>
      <c r="D30" s="1321">
        <f>D21*D26/1000</f>
        <v>129477.14504373285</v>
      </c>
      <c r="E30" s="1321">
        <f>E21*E26/1000</f>
        <v>40.201611143652634</v>
      </c>
      <c r="F30" s="1321">
        <f>F21*F26/1000</f>
        <v>31785.444336155451</v>
      </c>
      <c r="G30" s="1321">
        <f>G21*G26/1000</f>
        <v>10417.718587867172</v>
      </c>
    </row>
    <row r="31" spans="1:9" x14ac:dyDescent="0.3">
      <c r="A31" s="778" t="s">
        <v>2251</v>
      </c>
      <c r="B31" s="778" t="s">
        <v>40</v>
      </c>
      <c r="C31" s="1308">
        <f>C22*C26/1000</f>
        <v>97998.576842953131</v>
      </c>
      <c r="D31" s="1308">
        <f>D22*D26/1000</f>
        <v>69946.783395644903</v>
      </c>
      <c r="E31" s="1308">
        <f>E22*E26/1000</f>
        <v>26.71507242854921</v>
      </c>
      <c r="F31" s="1308">
        <f>F22*F26/1000</f>
        <v>21122.298919307945</v>
      </c>
      <c r="G31" s="1308">
        <f>G22*G26/1000</f>
        <v>6922.8595247247167</v>
      </c>
    </row>
    <row r="32" spans="1:9" x14ac:dyDescent="0.3">
      <c r="A32" s="778" t="s">
        <v>2252</v>
      </c>
      <c r="B32" s="778" t="s">
        <v>40</v>
      </c>
      <c r="C32" s="1308">
        <f>C27*C23*12/1000</f>
        <v>74160.196386947631</v>
      </c>
      <c r="D32" s="1308">
        <f>D27*D23*12/1000</f>
        <v>59852.878004022838</v>
      </c>
      <c r="E32" s="1308">
        <f>E27*E23*12/1000</f>
        <v>13.616197432319998</v>
      </c>
      <c r="F32" s="1308">
        <f>F27*F23*12/1000</f>
        <v>10765.660212188879</v>
      </c>
      <c r="G32" s="1308">
        <f>G27*G23*12/1000</f>
        <v>3528.4584137654824</v>
      </c>
    </row>
    <row r="33" spans="1:7" x14ac:dyDescent="0.3">
      <c r="A33" s="778" t="s">
        <v>3399</v>
      </c>
      <c r="B33" s="778" t="s">
        <v>40</v>
      </c>
      <c r="C33" s="1321">
        <f>C31+C32</f>
        <v>172158.77322990075</v>
      </c>
      <c r="D33" s="1321">
        <f>D31+D32</f>
        <v>129799.66139966773</v>
      </c>
      <c r="E33" s="1321">
        <f>E31+E32</f>
        <v>40.331269860869206</v>
      </c>
      <c r="F33" s="1321">
        <f>F31+F32</f>
        <v>31887.959131496824</v>
      </c>
      <c r="G33" s="1321">
        <f>G31+G32</f>
        <v>10451.3179384902</v>
      </c>
    </row>
    <row r="34" spans="1:7" s="3010" customFormat="1" x14ac:dyDescent="0.3">
      <c r="A34" s="3009" t="s">
        <v>2372</v>
      </c>
      <c r="B34" s="3009" t="s">
        <v>40</v>
      </c>
      <c r="C34" s="3008">
        <f>C30-C31-C32</f>
        <v>-459.05837334545504</v>
      </c>
      <c r="D34" s="3008">
        <f>D30-D31-D32</f>
        <v>-322.51635593489482</v>
      </c>
      <c r="E34" s="3008">
        <f>E30-E31-E32</f>
        <v>-0.12965871721657329</v>
      </c>
      <c r="F34" s="3008">
        <f>F30-F31-F32</f>
        <v>-102.51479534137252</v>
      </c>
      <c r="G34" s="3008">
        <f>G30-G31-G32</f>
        <v>-33.599350623027476</v>
      </c>
    </row>
    <row r="35" spans="1:7" x14ac:dyDescent="0.3">
      <c r="A35" s="1837"/>
      <c r="B35" s="1837"/>
      <c r="C35" s="1836"/>
      <c r="D35" s="1836"/>
      <c r="E35" s="1836"/>
      <c r="F35" s="1836"/>
      <c r="G35" s="1836"/>
    </row>
    <row r="36" spans="1:7" x14ac:dyDescent="0.3">
      <c r="A36" s="1160" t="s">
        <v>3401</v>
      </c>
      <c r="B36" s="778"/>
      <c r="C36" s="1497"/>
      <c r="D36" s="1497"/>
      <c r="E36" s="1497"/>
      <c r="F36" s="1497"/>
      <c r="G36" s="1497"/>
    </row>
    <row r="37" spans="1:7" x14ac:dyDescent="0.3">
      <c r="A37" s="778" t="s">
        <v>3392</v>
      </c>
      <c r="B37" s="778" t="s">
        <v>40</v>
      </c>
      <c r="C37" s="1308">
        <f>C30+C14</f>
        <v>212581.75772257388</v>
      </c>
      <c r="D37" s="1308">
        <f>D30+D14</f>
        <v>160799.97949196654</v>
      </c>
      <c r="E37" s="1308">
        <f>E30+E14</f>
        <v>40.201611143652634</v>
      </c>
      <c r="F37" s="1308">
        <f>F30+F14</f>
        <v>38694.869659335985</v>
      </c>
      <c r="G37" s="1308">
        <f>G30+G14</f>
        <v>13061.42931878255</v>
      </c>
    </row>
    <row r="38" spans="1:7" x14ac:dyDescent="0.3">
      <c r="A38" s="778" t="s">
        <v>3399</v>
      </c>
      <c r="B38" s="778" t="s">
        <v>40</v>
      </c>
      <c r="C38" s="1308">
        <f>C17+C33</f>
        <v>213065.14206718263</v>
      </c>
      <c r="D38" s="1308">
        <f>D17+D33</f>
        <v>161132.25864541269</v>
      </c>
      <c r="E38" s="1308">
        <f>E17+E33</f>
        <v>40.331269860869206</v>
      </c>
      <c r="F38" s="1308">
        <f>F17+F33</f>
        <v>38807.767499522073</v>
      </c>
      <c r="G38" s="1308">
        <f>G17+G33</f>
        <v>13099.001469716979</v>
      </c>
    </row>
    <row r="39" spans="1:7" s="1499" customFormat="1" x14ac:dyDescent="0.3">
      <c r="A39" s="3009" t="s">
        <v>2372</v>
      </c>
      <c r="B39" s="3003" t="s">
        <v>40</v>
      </c>
      <c r="C39" s="1497">
        <f>C37-C38</f>
        <v>-483.38434460875578</v>
      </c>
      <c r="D39" s="1497">
        <f>D37-D38</f>
        <v>-332.27915344614303</v>
      </c>
      <c r="E39" s="1497">
        <f>E37-E38</f>
        <v>-0.12965871721657152</v>
      </c>
      <c r="F39" s="1497">
        <f>F37-F38</f>
        <v>-112.89784018608771</v>
      </c>
      <c r="G39" s="1497">
        <f>G37-G38</f>
        <v>-37.572150934429374</v>
      </c>
    </row>
    <row r="41" spans="1:7" x14ac:dyDescent="0.3">
      <c r="A41" s="1160" t="s">
        <v>3402</v>
      </c>
      <c r="B41" s="778" t="s">
        <v>40</v>
      </c>
      <c r="C41" s="1308">
        <f>'ТЕ_2ст_тариф_з ЦТП'!E76+'ТЕ_2ст_тариф_з ЦТП'!E120+'ТЕ_2ст_тариф_без ЦТП'!E120+'ТЕ_2ст_тариф_без ЦТП'!E159</f>
        <v>223500.79842554688</v>
      </c>
      <c r="D41" s="1308">
        <f>'ТЕ_2ст_тариф_з ЦТП'!H76+'ТЕ_2ст_тариф_з ЦТП'!H120+'ТЕ_2ст_тариф_без ЦТП'!H120+'ТЕ_2ст_тариф_без ЦТП'!H159</f>
        <v>168442.93723661746</v>
      </c>
      <c r="E41" s="1308">
        <f>'ТЕ_2ст_тариф_з ЦТП'!K76+'ТЕ_2ст_тариф_з ЦТП'!K120+'ТЕ_2ст_тариф_без ЦТП'!K120+'ТЕ_2ст_тариф_без ЦТП'!K159</f>
        <v>42.791575893845057</v>
      </c>
      <c r="F41" s="1308">
        <f>'ТЕ_2ст_тариф_з ЦТП'!N76+'ТЕ_2ст_тариф_з ЦТП'!N120+'ТЕ_2ст_тариф_без ЦТП'!N120+'ТЕ_2ст_тариф_без ЦТП'!N159</f>
        <v>41121.528087038612</v>
      </c>
      <c r="G41" s="1308">
        <f>'ТЕ_2ст_тариф_з ЦТП'!Q76+'ТЕ_2ст_тариф_з ЦТП'!Q120+'ТЕ_2ст_тариф_без ЦТП'!Q120+'ТЕ_2ст_тариф_без ЦТП'!Q159</f>
        <v>13893.544093587096</v>
      </c>
    </row>
    <row r="42" spans="1:7" x14ac:dyDescent="0.3">
      <c r="C42" s="1835">
        <f>C38-C41</f>
        <v>-10435.656358364242</v>
      </c>
      <c r="D42" s="1835">
        <f>D38-D41</f>
        <v>-7310.6785912047781</v>
      </c>
      <c r="E42" s="1835">
        <f>E38-E41</f>
        <v>-2.4603060329758506</v>
      </c>
      <c r="F42" s="1835">
        <f>F38-F41</f>
        <v>-2313.7605875165391</v>
      </c>
      <c r="G42" s="1835">
        <f>G38-G41</f>
        <v>-794.54262387011659</v>
      </c>
    </row>
    <row r="43" spans="1:7" s="1586" customFormat="1" ht="46.8" x14ac:dyDescent="0.3">
      <c r="A43" s="3004" t="s">
        <v>2341</v>
      </c>
      <c r="B43" s="3005" t="s">
        <v>40</v>
      </c>
      <c r="C43" s="3006">
        <f>'ТЕ_2ст_тариф_з ЦТП'!E92+'ТЕ_2ст_тариф_без ЦТП'!E92</f>
        <v>10420.735434643655</v>
      </c>
      <c r="D43" s="3006">
        <f>'ТЕ_2ст_тариф_з ЦТП'!H92+'ТЕ_2ст_тариф_без ЦТП'!H92</f>
        <v>7310.0911991884341</v>
      </c>
      <c r="E43" s="3006">
        <f>'ТЕ_2ст_тариф_з ЦТП'!K92+'ТЕ_2ст_тариф_без ЦТП'!K92</f>
        <v>2.4204402079634018</v>
      </c>
      <c r="F43" s="3006">
        <f>'ТЕ_2ст_тариф_з ЦТП'!N92+'ТЕ_2ст_тариф_без ЦТП'!N92</f>
        <v>2324.0122911692333</v>
      </c>
      <c r="G43" s="3006">
        <f>'ТЕ_2ст_тариф_з ЦТП'!Q92+'ТЕ_2ст_тариф_без ЦТП'!Q92</f>
        <v>784.21150407802327</v>
      </c>
    </row>
    <row r="44" spans="1:7" x14ac:dyDescent="0.3">
      <c r="C44" s="1762">
        <f>C42+C43</f>
        <v>-14.92092372058687</v>
      </c>
      <c r="D44" s="1762">
        <f>D42+D43</f>
        <v>-0.58739201634398341</v>
      </c>
      <c r="E44" s="1762">
        <f>E42+E43</f>
        <v>-3.9865825012448841E-2</v>
      </c>
      <c r="F44" s="1762">
        <f>F42+F43</f>
        <v>10.251703652694232</v>
      </c>
      <c r="G44" s="1762">
        <f>G42+G43</f>
        <v>-10.331119792093318</v>
      </c>
    </row>
  </sheetData>
  <mergeCells count="2">
    <mergeCell ref="C2:C3"/>
    <mergeCell ref="D2:G2"/>
  </mergeCells>
  <pageMargins left="0.7" right="0.7" top="0.75" bottom="0.75" header="0.3" footer="0.3"/>
</worksheet>
</file>

<file path=xl/worksheets/sheet1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800-000000000000}">
  <sheetPr codeName="Лист117"/>
  <dimension ref="A1:D18"/>
  <sheetViews>
    <sheetView workbookViewId="0">
      <selection activeCell="C6" sqref="C6"/>
    </sheetView>
  </sheetViews>
  <sheetFormatPr defaultColWidth="8.88671875" defaultRowHeight="15.6" x14ac:dyDescent="0.3"/>
  <cols>
    <col min="1" max="1" width="32.109375" style="45" customWidth="1"/>
    <col min="2" max="2" width="18.6640625" style="45" hidden="1" customWidth="1"/>
    <col min="3" max="3" width="20.88671875" style="45" customWidth="1"/>
    <col min="4" max="4" width="12.6640625" style="45" hidden="1" customWidth="1"/>
    <col min="5" max="16384" width="8.88671875" style="45"/>
  </cols>
  <sheetData>
    <row r="1" spans="1:4" x14ac:dyDescent="0.3">
      <c r="A1" s="5944" t="s">
        <v>3475</v>
      </c>
      <c r="B1" s="5944"/>
      <c r="C1" s="5944"/>
    </row>
    <row r="2" spans="1:4" x14ac:dyDescent="0.3">
      <c r="A2" s="5945"/>
      <c r="B2" s="5945"/>
      <c r="C2" s="5945"/>
    </row>
    <row r="3" spans="1:4" s="40" customFormat="1" ht="38.4" customHeight="1" x14ac:dyDescent="0.3">
      <c r="A3" s="5942" t="s">
        <v>2857</v>
      </c>
      <c r="B3" s="3163" t="s">
        <v>3474</v>
      </c>
      <c r="C3" s="1429" t="str">
        <f>'Порівняння структур'!N1</f>
        <v xml:space="preserve">   ПЛАН    2023-2024</v>
      </c>
      <c r="D3" s="1429" t="str">
        <f>'Порівняння структур'!M1</f>
        <v>Ріш. №296 від 25.10.2022</v>
      </c>
    </row>
    <row r="4" spans="1:4" x14ac:dyDescent="0.3">
      <c r="A4" s="5943"/>
      <c r="B4" s="1774">
        <f>SUM(B5:B13)</f>
        <v>203181.42623079734</v>
      </c>
      <c r="C4" s="1429">
        <f>'Порівняння структур'!N2</f>
        <v>99.999999999999986</v>
      </c>
      <c r="D4" s="1429">
        <f>'Порівняння структур'!M2</f>
        <v>100</v>
      </c>
    </row>
    <row r="5" spans="1:4" x14ac:dyDescent="0.3">
      <c r="A5" s="778" t="s">
        <v>2296</v>
      </c>
      <c r="B5" s="1308">
        <f>'Порівняння структур'!F5</f>
        <v>118804.3607936293</v>
      </c>
      <c r="C5" s="1429">
        <f>'Порівняння структур'!N5</f>
        <v>58.47205770604117</v>
      </c>
      <c r="D5" s="1429">
        <f>'Порівняння структур'!M5</f>
        <v>77.487555303462159</v>
      </c>
    </row>
    <row r="6" spans="1:4" x14ac:dyDescent="0.3">
      <c r="A6" s="778" t="s">
        <v>43</v>
      </c>
      <c r="B6" s="1308">
        <f>'Порівняння структур'!F6</f>
        <v>21332.049229824435</v>
      </c>
      <c r="C6" s="1429">
        <f>'Порівняння структур'!N6</f>
        <v>10.499015399957369</v>
      </c>
      <c r="D6" s="1429">
        <f>'Порівняння структур'!M6</f>
        <v>4.4298573594691826</v>
      </c>
    </row>
    <row r="7" spans="1:4" x14ac:dyDescent="0.3">
      <c r="A7" s="778" t="s">
        <v>2297</v>
      </c>
      <c r="B7" s="1308">
        <f>'Порівняння структур'!F7</f>
        <v>689.8917678840304</v>
      </c>
      <c r="C7" s="1429">
        <f>'Порівняння структур'!N7</f>
        <v>0.33954470183724872</v>
      </c>
      <c r="D7" s="1429">
        <f>'Порівняння структур'!M7</f>
        <v>0.24829007310684398</v>
      </c>
    </row>
    <row r="8" spans="1:4" x14ac:dyDescent="0.3">
      <c r="A8" s="778" t="s">
        <v>2294</v>
      </c>
      <c r="B8" s="1308">
        <f>'Порівняння структур'!F3</f>
        <v>37912.491135429824</v>
      </c>
      <c r="C8" s="1429">
        <f>'Порівняння структур'!N3</f>
        <v>18.659427605535338</v>
      </c>
      <c r="D8" s="1429">
        <f>'Порівняння структур'!M3</f>
        <v>10.650700947393833</v>
      </c>
    </row>
    <row r="9" spans="1:4" x14ac:dyDescent="0.3">
      <c r="A9" s="778" t="s">
        <v>2858</v>
      </c>
      <c r="B9" s="1308">
        <f>'Порівняння структур'!F4</f>
        <v>8270.491887238979</v>
      </c>
      <c r="C9" s="1429">
        <f>'Порівняння структур'!N4</f>
        <v>4.0704960294177583</v>
      </c>
      <c r="D9" s="1429">
        <f>'Порівняння структур'!M4</f>
        <v>2.3186308452908961</v>
      </c>
    </row>
    <row r="10" spans="1:4" x14ac:dyDescent="0.3">
      <c r="A10" s="778" t="s">
        <v>460</v>
      </c>
      <c r="B10" s="1308">
        <f>'Порівняння структур'!F8</f>
        <v>7970.350649392406</v>
      </c>
      <c r="C10" s="1429">
        <f>'Порівняння структур'!N8</f>
        <v>3.9227752247091443</v>
      </c>
      <c r="D10" s="1429">
        <f>'Порівняння структур'!M8</f>
        <v>2.3938095079593165</v>
      </c>
    </row>
    <row r="11" spans="1:4" x14ac:dyDescent="0.3">
      <c r="A11" s="778" t="s">
        <v>2298</v>
      </c>
      <c r="B11" s="1308">
        <f>'Порівняння структур'!F9</f>
        <v>904.66954999999996</v>
      </c>
      <c r="C11" s="1429">
        <f>'Порівняння структур'!N9</f>
        <v>0.44525209158260848</v>
      </c>
      <c r="D11" s="1429">
        <f>'Порівняння структур'!M9</f>
        <v>0.30058148929613154</v>
      </c>
    </row>
    <row r="12" spans="1:4" x14ac:dyDescent="0.3">
      <c r="A12" s="778" t="s">
        <v>2299</v>
      </c>
      <c r="B12" s="1308">
        <f>'Порівняння структур'!F10</f>
        <v>3986.9308638290786</v>
      </c>
      <c r="C12" s="1429">
        <f>'Порівняння структур'!N10</f>
        <v>1.9622516377556349</v>
      </c>
      <c r="D12" s="1429">
        <f>'Порівняння структур'!M10</f>
        <v>1.1591160919714945</v>
      </c>
    </row>
    <row r="13" spans="1:4" x14ac:dyDescent="0.3">
      <c r="A13" s="778" t="s">
        <v>2300</v>
      </c>
      <c r="B13" s="1308">
        <f>'Порівняння структур'!F11</f>
        <v>3310.1903535692991</v>
      </c>
      <c r="C13" s="1429">
        <f>'Порівняння структур'!N11</f>
        <v>1.6291796031637238</v>
      </c>
      <c r="D13" s="1429">
        <f>'Порівняння структур'!M11</f>
        <v>1.0114583820501519</v>
      </c>
    </row>
    <row r="14" spans="1:4" hidden="1" x14ac:dyDescent="0.3">
      <c r="A14" s="45" t="s">
        <v>2716</v>
      </c>
      <c r="C14" s="1762">
        <v>6.130912206852063</v>
      </c>
      <c r="D14" s="1762">
        <v>7.2935236460428001</v>
      </c>
    </row>
    <row r="17" spans="1:1" x14ac:dyDescent="0.3">
      <c r="A17" s="3164" t="s">
        <v>3476</v>
      </c>
    </row>
    <row r="18" spans="1:1" x14ac:dyDescent="0.3">
      <c r="A18" s="3164" t="s">
        <v>3477</v>
      </c>
    </row>
  </sheetData>
  <mergeCells count="2">
    <mergeCell ref="A3:A4"/>
    <mergeCell ref="A1:C2"/>
  </mergeCells>
  <pageMargins left="0.7" right="0.7" top="0.75" bottom="0.75" header="0.3" footer="0.3"/>
  <pageSetup paperSize="9" orientation="portrait" horizontalDpi="0" verticalDpi="0" r:id="rId1"/>
</worksheet>
</file>

<file path=xl/worksheets/sheet1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900-000000000000}">
  <sheetPr codeName="Лист119"/>
  <dimension ref="A1:K17"/>
  <sheetViews>
    <sheetView topLeftCell="A7" workbookViewId="0">
      <selection activeCell="E14" sqref="E14"/>
    </sheetView>
  </sheetViews>
  <sheetFormatPr defaultRowHeight="14.4" x14ac:dyDescent="0.3"/>
  <cols>
    <col min="1" max="1" width="26.109375" customWidth="1"/>
    <col min="2" max="2" width="20.33203125" customWidth="1"/>
    <col min="3" max="3" width="13.33203125" hidden="1" customWidth="1"/>
    <col min="4" max="4" width="17" customWidth="1"/>
    <col min="5" max="5" width="15.6640625" customWidth="1"/>
    <col min="6" max="6" width="18.33203125" customWidth="1"/>
    <col min="7" max="7" width="13.33203125" hidden="1" customWidth="1"/>
    <col min="8" max="8" width="16.109375" customWidth="1"/>
    <col min="9" max="9" width="14.33203125" customWidth="1"/>
  </cols>
  <sheetData>
    <row r="1" spans="1:11" ht="18" x14ac:dyDescent="0.35">
      <c r="A1" s="3074"/>
      <c r="B1" s="3074"/>
      <c r="C1" s="3074"/>
      <c r="D1" s="3074"/>
      <c r="E1" s="3074"/>
      <c r="F1" s="3074"/>
      <c r="G1" s="3074"/>
      <c r="H1" s="3074"/>
      <c r="I1" s="3074"/>
    </row>
    <row r="2" spans="1:11" ht="18" x14ac:dyDescent="0.35">
      <c r="A2" s="3074"/>
      <c r="B2" s="3074"/>
      <c r="C2" s="3074"/>
      <c r="D2" s="3074"/>
      <c r="E2" s="3074"/>
      <c r="F2" s="3074"/>
      <c r="G2" s="3074"/>
      <c r="H2" s="3074"/>
      <c r="I2" s="3074"/>
    </row>
    <row r="3" spans="1:11" ht="18" x14ac:dyDescent="0.35">
      <c r="A3" s="3074"/>
      <c r="B3" s="3074"/>
      <c r="C3" s="3074"/>
      <c r="D3" s="3074"/>
      <c r="E3" s="3074"/>
      <c r="F3" s="3074"/>
      <c r="G3" s="3074"/>
      <c r="H3" s="3074"/>
      <c r="I3" s="3074"/>
    </row>
    <row r="4" spans="1:11" ht="18" x14ac:dyDescent="0.35">
      <c r="A4" s="5949" t="s">
        <v>3883</v>
      </c>
      <c r="B4" s="5949"/>
      <c r="C4" s="5949"/>
      <c r="D4" s="5949"/>
      <c r="E4" s="5949"/>
      <c r="F4" s="5949"/>
      <c r="G4" s="5949"/>
      <c r="H4" s="5949"/>
      <c r="I4" s="5949"/>
    </row>
    <row r="5" spans="1:11" ht="18.600000000000001" thickBot="1" x14ac:dyDescent="0.4">
      <c r="A5" s="5952" t="s">
        <v>3889</v>
      </c>
      <c r="B5" s="5952"/>
      <c r="C5" s="5952"/>
      <c r="D5" s="5952"/>
      <c r="E5" s="5952"/>
      <c r="F5" s="5952"/>
      <c r="G5" s="5952"/>
      <c r="H5" s="5952"/>
      <c r="I5" s="5952"/>
    </row>
    <row r="6" spans="1:11" ht="18.600000000000001" thickBot="1" x14ac:dyDescent="0.4">
      <c r="A6" s="4085" t="s">
        <v>3817</v>
      </c>
      <c r="B6" s="5946" t="s">
        <v>644</v>
      </c>
      <c r="C6" s="5947"/>
      <c r="D6" s="5947"/>
      <c r="E6" s="5948"/>
      <c r="F6" s="5946" t="s">
        <v>643</v>
      </c>
      <c r="G6" s="5947"/>
      <c r="H6" s="5947"/>
      <c r="I6" s="5948"/>
    </row>
    <row r="7" spans="1:11" ht="16.2" thickBot="1" x14ac:dyDescent="0.35">
      <c r="A7" s="5950" t="s">
        <v>3878</v>
      </c>
      <c r="B7" s="4115" t="s">
        <v>3879</v>
      </c>
      <c r="C7" s="4115" t="s">
        <v>3880</v>
      </c>
      <c r="D7" s="4115" t="s">
        <v>3881</v>
      </c>
      <c r="E7" s="4116" t="s">
        <v>3882</v>
      </c>
      <c r="F7" s="4115" t="s">
        <v>3879</v>
      </c>
      <c r="G7" s="4115" t="s">
        <v>3880</v>
      </c>
      <c r="H7" s="4115" t="s">
        <v>3881</v>
      </c>
      <c r="I7" s="4116" t="s">
        <v>3882</v>
      </c>
    </row>
    <row r="8" spans="1:11" ht="61.95" customHeight="1" thickBot="1" x14ac:dyDescent="0.35">
      <c r="A8" s="5951"/>
      <c r="B8" s="4147" t="s">
        <v>3888</v>
      </c>
      <c r="C8" s="4148" t="s">
        <v>3191</v>
      </c>
      <c r="D8" s="4148" t="s">
        <v>3481</v>
      </c>
      <c r="E8" s="4148" t="s">
        <v>2372</v>
      </c>
      <c r="F8" s="4147" t="s">
        <v>3888</v>
      </c>
      <c r="G8" s="4148" t="s">
        <v>3191</v>
      </c>
      <c r="H8" s="4148" t="s">
        <v>3481</v>
      </c>
      <c r="I8" s="4148" t="s">
        <v>2372</v>
      </c>
    </row>
    <row r="9" spans="1:11" ht="18.600000000000001" thickBot="1" x14ac:dyDescent="0.4">
      <c r="A9" s="4114" t="s">
        <v>2254</v>
      </c>
      <c r="B9" s="4087">
        <v>2682.2635471250101</v>
      </c>
      <c r="C9" s="4088">
        <v>2819.35</v>
      </c>
      <c r="D9" s="4089">
        <f>'сведено-економ'!C68</f>
        <v>2982.6006126214393</v>
      </c>
      <c r="E9" s="4089">
        <f>D9-B9</f>
        <v>300.3370654964292</v>
      </c>
      <c r="F9" s="4089">
        <v>2346.2809521607001</v>
      </c>
      <c r="G9" s="4088">
        <v>2571.42</v>
      </c>
      <c r="H9" s="4089">
        <f>'сведено-економ'!C72</f>
        <v>2502.0726126214395</v>
      </c>
      <c r="I9" s="4089">
        <f>H9-F9</f>
        <v>155.79166046073942</v>
      </c>
      <c r="J9" s="2101">
        <f>E9/B9</f>
        <v>0.11197149728942413</v>
      </c>
      <c r="K9" s="2101">
        <f>I9/F9</f>
        <v>6.6399405543172585E-2</v>
      </c>
    </row>
    <row r="10" spans="1:11" ht="18.600000000000001" thickBot="1" x14ac:dyDescent="0.4">
      <c r="A10" s="4086" t="s">
        <v>3887</v>
      </c>
      <c r="B10" s="4087">
        <v>1626.66</v>
      </c>
      <c r="C10" s="4088">
        <v>2406.94</v>
      </c>
      <c r="D10" s="4089">
        <f>'сведено-економ'!D68</f>
        <v>2749.9326126214396</v>
      </c>
      <c r="E10" s="4089">
        <f>D10-B10</f>
        <v>1123.2726126214395</v>
      </c>
      <c r="F10" s="4089">
        <v>1377.58</v>
      </c>
      <c r="G10" s="4088">
        <v>2164.9299999999998</v>
      </c>
      <c r="H10" s="4089">
        <f>'сведено-економ'!D72</f>
        <v>2272.1646126214391</v>
      </c>
      <c r="I10" s="4089">
        <f>H10-F10</f>
        <v>894.58461262143919</v>
      </c>
    </row>
    <row r="11" spans="1:11" ht="18.600000000000001" thickBot="1" x14ac:dyDescent="0.4">
      <c r="A11" s="4086" t="s">
        <v>2649</v>
      </c>
      <c r="B11" s="4087">
        <v>0</v>
      </c>
      <c r="C11" s="4088">
        <v>0</v>
      </c>
      <c r="D11" s="4089">
        <f>'сведено-економ'!E68</f>
        <v>0</v>
      </c>
      <c r="E11" s="4089">
        <f>D11-B11</f>
        <v>0</v>
      </c>
      <c r="F11" s="4089">
        <v>3374.3140723179072</v>
      </c>
      <c r="G11" s="4088">
        <v>3547.5</v>
      </c>
      <c r="H11" s="4089">
        <f>'сведено-економ'!E72</f>
        <v>3629.4846126214397</v>
      </c>
      <c r="I11" s="4089">
        <f>H11-F11</f>
        <v>255.17054030353256</v>
      </c>
    </row>
    <row r="12" spans="1:11" ht="18.600000000000001" thickBot="1" x14ac:dyDescent="0.4">
      <c r="A12" s="4086" t="s">
        <v>1027</v>
      </c>
      <c r="B12" s="4087">
        <v>3727.0178061257247</v>
      </c>
      <c r="C12" s="4088">
        <v>3801.39</v>
      </c>
      <c r="D12" s="4089">
        <f>'сведено-економ'!F68</f>
        <v>4124.052612621439</v>
      </c>
      <c r="E12" s="4089">
        <f>D12-B12</f>
        <v>397.03480649571429</v>
      </c>
      <c r="F12" s="4089">
        <v>3366.1043421441259</v>
      </c>
      <c r="G12" s="4088">
        <v>3540.43</v>
      </c>
      <c r="H12" s="4089">
        <f>'сведено-економ'!F72</f>
        <v>3629.4846126214393</v>
      </c>
      <c r="I12" s="4089">
        <f>H12-F12</f>
        <v>263.38027047731339</v>
      </c>
    </row>
    <row r="13" spans="1:11" ht="18.600000000000001" thickBot="1" x14ac:dyDescent="0.4">
      <c r="A13" s="4086" t="s">
        <v>2300</v>
      </c>
      <c r="B13" s="4087">
        <v>5045.6879484757874</v>
      </c>
      <c r="C13" s="4088">
        <v>7211.41</v>
      </c>
      <c r="D13" s="4089">
        <f>'сведено-економ'!G68</f>
        <v>4124.052612621439</v>
      </c>
      <c r="E13" s="4089">
        <f>D13-B13</f>
        <v>-921.63533585434834</v>
      </c>
      <c r="F13" s="4089">
        <v>4679.2652112747328</v>
      </c>
      <c r="G13" s="4088">
        <v>6927.73</v>
      </c>
      <c r="H13" s="4089">
        <f>'сведено-економ'!G72</f>
        <v>3629.4846126214393</v>
      </c>
      <c r="I13" s="4089">
        <f>H13-F13</f>
        <v>-1049.7805986532935</v>
      </c>
    </row>
    <row r="14" spans="1:11" ht="18" x14ac:dyDescent="0.35">
      <c r="A14" s="3074" t="s">
        <v>3877</v>
      </c>
      <c r="B14" s="3074"/>
      <c r="C14" s="3074"/>
      <c r="D14" s="4112" t="s">
        <v>3884</v>
      </c>
      <c r="E14" s="4113">
        <f>J9</f>
        <v>0.11197149728942413</v>
      </c>
      <c r="F14" s="3074"/>
      <c r="G14" s="3074"/>
      <c r="H14" s="4112" t="s">
        <v>3884</v>
      </c>
      <c r="I14" s="4113">
        <f>K9</f>
        <v>6.6399405543172585E-2</v>
      </c>
    </row>
    <row r="15" spans="1:11" ht="18" x14ac:dyDescent="0.35">
      <c r="A15" s="10" t="s">
        <v>904</v>
      </c>
      <c r="B15" s="3074"/>
      <c r="C15" s="3074"/>
      <c r="D15" s="3074"/>
      <c r="E15" s="3074"/>
      <c r="F15" s="3074"/>
      <c r="G15" s="3074"/>
      <c r="H15" s="3074"/>
      <c r="I15" s="3074"/>
    </row>
    <row r="16" spans="1:11" ht="18" x14ac:dyDescent="0.35">
      <c r="A16" s="10" t="s">
        <v>2376</v>
      </c>
      <c r="B16" s="3074"/>
      <c r="C16" s="3074"/>
      <c r="D16" s="3074"/>
      <c r="E16" s="3074"/>
      <c r="F16" s="3074"/>
      <c r="G16" s="3074"/>
      <c r="H16" s="3074"/>
      <c r="I16" s="3074"/>
    </row>
    <row r="17" spans="1:9" x14ac:dyDescent="0.3">
      <c r="A17" s="10" t="s">
        <v>3890</v>
      </c>
      <c r="B17" s="10"/>
      <c r="C17" s="10"/>
      <c r="E17" s="10"/>
      <c r="F17" s="10"/>
      <c r="G17" s="10"/>
      <c r="H17" s="10"/>
      <c r="I17" s="10"/>
    </row>
  </sheetData>
  <mergeCells count="5">
    <mergeCell ref="B6:E6"/>
    <mergeCell ref="F6:I6"/>
    <mergeCell ref="A4:I4"/>
    <mergeCell ref="A7:A8"/>
    <mergeCell ref="A5:I5"/>
  </mergeCells>
  <pageMargins left="0.7" right="0.7" top="0.75" bottom="0.75" header="0.3" footer="0.3"/>
  <pageSetup paperSize="9" orientation="landscape" horizontalDpi="0" verticalDpi="0" r:id="rId1"/>
</worksheet>
</file>

<file path=xl/worksheets/sheet1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A00-000000000000}">
  <sheetPr codeName="Лист120"/>
  <dimension ref="A1:W409"/>
  <sheetViews>
    <sheetView topLeftCell="A4" workbookViewId="0">
      <pane ySplit="4" topLeftCell="A8" activePane="bottomLeft" state="frozen"/>
      <selection activeCell="A4" sqref="A4"/>
      <selection pane="bottomLeft" activeCell="C166" sqref="C166"/>
    </sheetView>
  </sheetViews>
  <sheetFormatPr defaultColWidth="8.88671875" defaultRowHeight="15.6" x14ac:dyDescent="0.3"/>
  <cols>
    <col min="1" max="1" width="29.109375" style="45" customWidth="1"/>
    <col min="2" max="2" width="11.33203125" style="45" customWidth="1"/>
    <col min="3" max="6" width="11.5546875" style="45" customWidth="1"/>
    <col min="7" max="7" width="11.33203125" style="45" customWidth="1"/>
    <col min="8" max="9" width="8.88671875" style="45"/>
    <col min="10" max="10" width="10" style="45" customWidth="1"/>
    <col min="11" max="12" width="8.88671875" style="45"/>
    <col min="13" max="13" width="11.33203125" style="45" customWidth="1"/>
    <col min="14" max="15" width="8.88671875" style="45"/>
    <col min="16" max="16" width="10.33203125" style="45" customWidth="1"/>
    <col min="17" max="17" width="8.88671875" style="45"/>
    <col min="18" max="18" width="10.6640625" style="45" customWidth="1"/>
    <col min="19" max="23" width="10.44140625" style="45" customWidth="1"/>
    <col min="24" max="16384" width="8.88671875" style="45"/>
  </cols>
  <sheetData>
    <row r="1" spans="1:18" x14ac:dyDescent="0.3">
      <c r="A1" s="4943"/>
      <c r="B1" s="4943"/>
      <c r="C1" s="4943"/>
      <c r="D1" s="4943"/>
      <c r="E1" s="4943"/>
      <c r="F1" s="4943"/>
      <c r="G1" s="4943"/>
      <c r="H1" s="4943"/>
      <c r="I1" s="4943"/>
      <c r="J1" s="4943"/>
      <c r="K1" s="4943"/>
      <c r="L1" s="4943"/>
      <c r="M1" s="4943"/>
      <c r="N1" s="4943"/>
      <c r="O1" s="4943"/>
      <c r="P1" s="4943"/>
    </row>
    <row r="2" spans="1:18" ht="12" customHeight="1" x14ac:dyDescent="0.3">
      <c r="A2" s="5244"/>
      <c r="B2" s="5244"/>
      <c r="C2" s="5244"/>
      <c r="D2" s="5244"/>
      <c r="E2" s="5244"/>
      <c r="F2" s="5244"/>
      <c r="G2" s="5244"/>
      <c r="H2" s="5244"/>
      <c r="I2" s="5244"/>
      <c r="J2" s="5244"/>
      <c r="K2" s="5244"/>
      <c r="L2" s="5244"/>
      <c r="M2" s="5244"/>
      <c r="N2" s="5244"/>
      <c r="O2" s="5244"/>
      <c r="P2" s="5244"/>
    </row>
    <row r="3" spans="1:18" ht="7.95" customHeight="1" x14ac:dyDescent="0.3"/>
    <row r="4" spans="1:18" s="40" customFormat="1" x14ac:dyDescent="0.3">
      <c r="A4" s="5942" t="s">
        <v>3894</v>
      </c>
      <c r="B4" s="5942" t="s">
        <v>3895</v>
      </c>
      <c r="C4" s="5831" t="s">
        <v>3913</v>
      </c>
      <c r="D4" s="5831"/>
      <c r="E4" s="5831"/>
      <c r="F4" s="5831"/>
      <c r="G4" s="5831" t="s">
        <v>3914</v>
      </c>
      <c r="H4" s="5831"/>
      <c r="I4" s="5831"/>
      <c r="J4" s="5831"/>
      <c r="K4" s="5831"/>
      <c r="L4" s="5831"/>
      <c r="M4" s="5831"/>
      <c r="N4" s="5831"/>
      <c r="O4" s="5831"/>
      <c r="P4" s="5831"/>
      <c r="Q4" s="5831"/>
      <c r="R4" s="5831"/>
    </row>
    <row r="5" spans="1:18" s="40" customFormat="1" x14ac:dyDescent="0.3">
      <c r="A5" s="5953"/>
      <c r="B5" s="5953"/>
      <c r="C5" s="5942" t="s">
        <v>3896</v>
      </c>
      <c r="D5" s="5942" t="s">
        <v>3897</v>
      </c>
      <c r="E5" s="5942" t="s">
        <v>3898</v>
      </c>
      <c r="F5" s="5942" t="s">
        <v>3899</v>
      </c>
      <c r="G5" s="5704" t="s">
        <v>2345</v>
      </c>
      <c r="H5" s="5954"/>
      <c r="I5" s="5705"/>
      <c r="J5" s="5704" t="s">
        <v>2013</v>
      </c>
      <c r="K5" s="5954"/>
      <c r="L5" s="5705"/>
      <c r="M5" s="5704" t="s">
        <v>2347</v>
      </c>
      <c r="N5" s="5954"/>
      <c r="O5" s="5705"/>
      <c r="P5" s="5831" t="s">
        <v>2346</v>
      </c>
      <c r="Q5" s="5831"/>
      <c r="R5" s="5831"/>
    </row>
    <row r="6" spans="1:18" s="40" customFormat="1" x14ac:dyDescent="0.3">
      <c r="A6" s="5953"/>
      <c r="B6" s="5953"/>
      <c r="C6" s="5953"/>
      <c r="D6" s="5953"/>
      <c r="E6" s="5953"/>
      <c r="F6" s="5953"/>
      <c r="G6" s="5942" t="s">
        <v>942</v>
      </c>
      <c r="H6" s="5704" t="s">
        <v>3900</v>
      </c>
      <c r="I6" s="5705"/>
      <c r="J6" s="5942" t="s">
        <v>942</v>
      </c>
      <c r="K6" s="5704" t="s">
        <v>3900</v>
      </c>
      <c r="L6" s="5705"/>
      <c r="M6" s="5942" t="s">
        <v>942</v>
      </c>
      <c r="N6" s="5704" t="s">
        <v>3900</v>
      </c>
      <c r="O6" s="5705"/>
      <c r="P6" s="5831" t="s">
        <v>942</v>
      </c>
      <c r="Q6" s="5831" t="s">
        <v>3900</v>
      </c>
      <c r="R6" s="5831"/>
    </row>
    <row r="7" spans="1:18" s="40" customFormat="1" ht="46.8" x14ac:dyDescent="0.3">
      <c r="A7" s="5943"/>
      <c r="B7" s="5943"/>
      <c r="C7" s="5943"/>
      <c r="D7" s="5943"/>
      <c r="E7" s="5943"/>
      <c r="F7" s="5943"/>
      <c r="G7" s="5943"/>
      <c r="H7" s="7" t="s">
        <v>3901</v>
      </c>
      <c r="I7" s="1307" t="s">
        <v>2304</v>
      </c>
      <c r="J7" s="5943"/>
      <c r="K7" s="7" t="s">
        <v>3901</v>
      </c>
      <c r="L7" s="1307" t="s">
        <v>2304</v>
      </c>
      <c r="M7" s="5943"/>
      <c r="N7" s="7" t="s">
        <v>3901</v>
      </c>
      <c r="O7" s="1307" t="s">
        <v>2304</v>
      </c>
      <c r="P7" s="5831"/>
      <c r="Q7" s="7" t="s">
        <v>3901</v>
      </c>
      <c r="R7" s="1307" t="s">
        <v>2304</v>
      </c>
    </row>
    <row r="8" spans="1:18" s="40" customFormat="1" x14ac:dyDescent="0.3">
      <c r="A8" s="4943" t="s">
        <v>3893</v>
      </c>
      <c r="B8" s="4943"/>
      <c r="C8" s="4943"/>
      <c r="D8" s="4943"/>
      <c r="E8" s="4943"/>
      <c r="F8" s="4943"/>
      <c r="G8" s="4943"/>
      <c r="H8" s="4943"/>
      <c r="I8" s="4943"/>
      <c r="J8" s="4943"/>
      <c r="K8" s="4943"/>
      <c r="L8" s="4943"/>
      <c r="M8" s="4943"/>
      <c r="N8" s="4943"/>
      <c r="O8" s="4943"/>
      <c r="P8" s="4943"/>
      <c r="Q8" s="7"/>
      <c r="R8" s="1307"/>
    </row>
    <row r="9" spans="1:18" x14ac:dyDescent="0.3">
      <c r="A9" s="1160" t="s">
        <v>3902</v>
      </c>
      <c r="B9" s="778" t="s">
        <v>74</v>
      </c>
      <c r="C9" s="1321">
        <v>1377.58</v>
      </c>
      <c r="D9" s="1321">
        <f>SUM(D10:D12)</f>
        <v>3366.12</v>
      </c>
      <c r="E9" s="1321">
        <f t="shared" ref="E9:F9" si="0">SUM(E10:E12)</f>
        <v>4679.268</v>
      </c>
      <c r="F9" s="1321">
        <f t="shared" si="0"/>
        <v>3374.328</v>
      </c>
      <c r="G9" s="1321"/>
      <c r="H9" s="1321"/>
      <c r="I9" s="1321"/>
      <c r="J9" s="1321"/>
      <c r="K9" s="1321"/>
      <c r="L9" s="1321"/>
      <c r="M9" s="1321"/>
      <c r="N9" s="1321"/>
      <c r="O9" s="1321"/>
      <c r="P9" s="1321"/>
      <c r="Q9" s="1308"/>
      <c r="R9" s="1308"/>
    </row>
    <row r="10" spans="1:18" x14ac:dyDescent="0.3">
      <c r="A10" s="778" t="s">
        <v>3903</v>
      </c>
      <c r="B10" s="778" t="s">
        <v>74</v>
      </c>
      <c r="C10" s="1308">
        <v>1029.1199999999999</v>
      </c>
      <c r="D10" s="1308">
        <f>2304.27*1.2</f>
        <v>2765.1239999999998</v>
      </c>
      <c r="E10" s="1308">
        <f>3291.28*1.2</f>
        <v>3949.5360000000001</v>
      </c>
      <c r="F10" s="1308">
        <f>2304.27*1.2</f>
        <v>2765.1239999999998</v>
      </c>
      <c r="G10" s="1308"/>
      <c r="H10" s="1308"/>
      <c r="I10" s="1308"/>
      <c r="J10" s="1308"/>
      <c r="K10" s="1308"/>
      <c r="L10" s="1308"/>
      <c r="M10" s="1308"/>
      <c r="N10" s="1308"/>
      <c r="O10" s="1308"/>
      <c r="P10" s="1308"/>
      <c r="Q10" s="1308"/>
      <c r="R10" s="1308"/>
    </row>
    <row r="11" spans="1:18" x14ac:dyDescent="0.3">
      <c r="A11" s="778" t="s">
        <v>3904</v>
      </c>
      <c r="B11" s="778" t="s">
        <v>74</v>
      </c>
      <c r="C11" s="1308">
        <v>341.45</v>
      </c>
      <c r="D11" s="1308">
        <f>483.7*1.2</f>
        <v>580.43999999999994</v>
      </c>
      <c r="E11" s="1308">
        <f>590.98*1.2</f>
        <v>709.17600000000004</v>
      </c>
      <c r="F11" s="1308">
        <f>490.54*1.2</f>
        <v>588.64800000000002</v>
      </c>
      <c r="G11" s="1308"/>
      <c r="H11" s="1308"/>
      <c r="I11" s="1308"/>
      <c r="J11" s="1308"/>
      <c r="K11" s="1308"/>
      <c r="L11" s="1308"/>
      <c r="M11" s="1308"/>
      <c r="N11" s="1308"/>
      <c r="O11" s="1308"/>
      <c r="P11" s="1308"/>
      <c r="Q11" s="1308"/>
      <c r="R11" s="1308"/>
    </row>
    <row r="12" spans="1:18" x14ac:dyDescent="0.3">
      <c r="A12" s="778" t="s">
        <v>3905</v>
      </c>
      <c r="B12" s="778" t="s">
        <v>74</v>
      </c>
      <c r="C12" s="1308">
        <v>7.01</v>
      </c>
      <c r="D12" s="1308">
        <f>17.13*1.2</f>
        <v>20.555999999999997</v>
      </c>
      <c r="E12" s="1308">
        <f>17.13*1.2</f>
        <v>20.555999999999997</v>
      </c>
      <c r="F12" s="1308">
        <f>17.13*1.2</f>
        <v>20.555999999999997</v>
      </c>
      <c r="G12" s="1308"/>
      <c r="H12" s="1308"/>
      <c r="I12" s="1308"/>
      <c r="J12" s="1308"/>
      <c r="K12" s="1308"/>
      <c r="L12" s="1308"/>
      <c r="M12" s="1308"/>
      <c r="N12" s="1308"/>
      <c r="O12" s="1308"/>
      <c r="P12" s="1308"/>
      <c r="Q12" s="1308"/>
      <c r="R12" s="1308"/>
    </row>
    <row r="13" spans="1:18" x14ac:dyDescent="0.3">
      <c r="A13" s="1160" t="s">
        <v>3906</v>
      </c>
      <c r="B13" s="778" t="s">
        <v>74</v>
      </c>
      <c r="C13" s="1321">
        <f>SUM(C14:C16)</f>
        <v>1626.66</v>
      </c>
      <c r="D13" s="1321">
        <f>3105.85*1.2</f>
        <v>3727.0199999999995</v>
      </c>
      <c r="E13" s="1321">
        <f>4204.74*1.2</f>
        <v>5045.6879999999992</v>
      </c>
      <c r="F13" s="1321"/>
      <c r="G13" s="1321"/>
      <c r="H13" s="1321"/>
      <c r="I13" s="1321"/>
      <c r="J13" s="1321"/>
      <c r="K13" s="1321"/>
      <c r="L13" s="1321"/>
      <c r="M13" s="1321"/>
      <c r="N13" s="1321"/>
      <c r="O13" s="1321"/>
      <c r="P13" s="1321"/>
      <c r="Q13" s="1308"/>
      <c r="R13" s="1308"/>
    </row>
    <row r="14" spans="1:18" x14ac:dyDescent="0.3">
      <c r="A14" s="778" t="s">
        <v>3903</v>
      </c>
      <c r="B14" s="778" t="s">
        <v>74</v>
      </c>
      <c r="C14" s="1308">
        <v>1029.115</v>
      </c>
      <c r="D14" s="1308">
        <f>2304.27*1.2</f>
        <v>2765.1239999999998</v>
      </c>
      <c r="E14" s="1308">
        <f>3291.28*1.2</f>
        <v>3949.5360000000001</v>
      </c>
      <c r="F14" s="1308"/>
      <c r="G14" s="1308"/>
      <c r="H14" s="1308"/>
      <c r="I14" s="1308"/>
      <c r="J14" s="1308"/>
      <c r="K14" s="1308"/>
      <c r="L14" s="1308"/>
      <c r="M14" s="1308"/>
      <c r="N14" s="1308"/>
      <c r="O14" s="1308"/>
      <c r="P14" s="1308"/>
      <c r="Q14" s="1308"/>
      <c r="R14" s="1308"/>
    </row>
    <row r="15" spans="1:18" x14ac:dyDescent="0.3">
      <c r="A15" s="778" t="s">
        <v>3904</v>
      </c>
      <c r="B15" s="778" t="s">
        <v>74</v>
      </c>
      <c r="C15" s="1308">
        <v>590.53499999999997</v>
      </c>
      <c r="D15" s="1308">
        <f>784.46*1.2</f>
        <v>941.35199999999998</v>
      </c>
      <c r="E15" s="1308">
        <f>896.33*1.2</f>
        <v>1075.596</v>
      </c>
      <c r="F15" s="1308"/>
      <c r="G15" s="1308"/>
      <c r="H15" s="1308"/>
      <c r="I15" s="1308"/>
      <c r="J15" s="1308"/>
      <c r="K15" s="1308"/>
      <c r="L15" s="1308"/>
      <c r="M15" s="1308"/>
      <c r="N15" s="1308"/>
      <c r="O15" s="1308"/>
      <c r="P15" s="1308"/>
      <c r="Q15" s="1308"/>
      <c r="R15" s="1308"/>
    </row>
    <row r="16" spans="1:18" x14ac:dyDescent="0.3">
      <c r="A16" s="778" t="s">
        <v>3905</v>
      </c>
      <c r="B16" s="778" t="s">
        <v>74</v>
      </c>
      <c r="C16" s="1308">
        <v>7.01</v>
      </c>
      <c r="D16" s="1308">
        <f>17.13*1.2</f>
        <v>20.555999999999997</v>
      </c>
      <c r="E16" s="1308">
        <f>17.13*1.2</f>
        <v>20.555999999999997</v>
      </c>
      <c r="F16" s="1308"/>
      <c r="G16" s="1308"/>
      <c r="H16" s="1308"/>
      <c r="I16" s="1308"/>
      <c r="J16" s="1308"/>
      <c r="K16" s="1308"/>
      <c r="L16" s="1308"/>
      <c r="M16" s="1308"/>
      <c r="N16" s="1308"/>
      <c r="O16" s="1308"/>
      <c r="P16" s="1308"/>
      <c r="Q16" s="1308"/>
      <c r="R16" s="1308"/>
    </row>
    <row r="17" spans="1:18" x14ac:dyDescent="0.3">
      <c r="A17" s="1160" t="s">
        <v>3907</v>
      </c>
      <c r="B17" s="778" t="s">
        <v>74</v>
      </c>
      <c r="C17" s="1308"/>
      <c r="D17" s="1308"/>
      <c r="E17" s="1308"/>
      <c r="F17" s="1308"/>
      <c r="G17" s="1308"/>
      <c r="H17" s="1308"/>
      <c r="I17" s="1308"/>
      <c r="J17" s="1308"/>
      <c r="K17" s="1308"/>
      <c r="L17" s="1308"/>
      <c r="M17" s="1308"/>
      <c r="N17" s="1308"/>
      <c r="O17" s="1308"/>
      <c r="P17" s="1308"/>
      <c r="Q17" s="1308"/>
      <c r="R17" s="1308"/>
    </row>
    <row r="18" spans="1:18" x14ac:dyDescent="0.3">
      <c r="A18" s="778" t="s">
        <v>3903</v>
      </c>
      <c r="B18" s="778" t="s">
        <v>74</v>
      </c>
      <c r="C18" s="1308"/>
      <c r="D18" s="1308"/>
      <c r="E18" s="1308"/>
      <c r="F18" s="1308"/>
      <c r="G18" s="1308"/>
      <c r="H18" s="1308"/>
      <c r="I18" s="1308"/>
      <c r="J18" s="1308"/>
      <c r="K18" s="1308"/>
      <c r="L18" s="1308"/>
      <c r="M18" s="1308"/>
      <c r="N18" s="1308"/>
      <c r="O18" s="1308"/>
      <c r="P18" s="1308"/>
      <c r="Q18" s="1308"/>
      <c r="R18" s="1308"/>
    </row>
    <row r="19" spans="1:18" x14ac:dyDescent="0.3">
      <c r="A19" s="778" t="s">
        <v>3904</v>
      </c>
      <c r="B19" s="778" t="s">
        <v>74</v>
      </c>
      <c r="C19" s="1308"/>
      <c r="D19" s="1308"/>
      <c r="E19" s="1308"/>
      <c r="F19" s="1308"/>
      <c r="G19" s="1308"/>
      <c r="H19" s="1308"/>
      <c r="I19" s="1308"/>
      <c r="J19" s="1308"/>
      <c r="K19" s="1308"/>
      <c r="L19" s="1308"/>
      <c r="M19" s="1308"/>
      <c r="N19" s="1308"/>
      <c r="O19" s="1308"/>
      <c r="P19" s="1308"/>
      <c r="Q19" s="1308"/>
      <c r="R19" s="1308"/>
    </row>
    <row r="20" spans="1:18" x14ac:dyDescent="0.3">
      <c r="A20" s="778" t="s">
        <v>3905</v>
      </c>
      <c r="B20" s="778" t="s">
        <v>74</v>
      </c>
      <c r="C20" s="1308"/>
      <c r="D20" s="1308"/>
      <c r="E20" s="1308"/>
      <c r="F20" s="1308"/>
      <c r="G20" s="1308"/>
      <c r="H20" s="1308"/>
      <c r="I20" s="1308"/>
      <c r="J20" s="1308"/>
      <c r="K20" s="1308"/>
      <c r="L20" s="1308"/>
      <c r="M20" s="1308"/>
      <c r="N20" s="1308"/>
      <c r="O20" s="1308"/>
      <c r="P20" s="1308"/>
      <c r="Q20" s="1308"/>
      <c r="R20" s="1308"/>
    </row>
    <row r="21" spans="1:18" x14ac:dyDescent="0.3">
      <c r="A21" s="1160" t="s">
        <v>3908</v>
      </c>
      <c r="B21" s="778"/>
      <c r="C21" s="1308"/>
      <c r="D21" s="1308"/>
      <c r="E21" s="1308"/>
      <c r="F21" s="1308"/>
      <c r="G21" s="1308"/>
      <c r="H21" s="1308"/>
      <c r="I21" s="1308"/>
      <c r="J21" s="1308"/>
      <c r="K21" s="1308"/>
      <c r="L21" s="1308"/>
      <c r="M21" s="1308"/>
      <c r="N21" s="1308"/>
      <c r="O21" s="1308"/>
      <c r="P21" s="1308"/>
      <c r="Q21" s="1308"/>
      <c r="R21" s="1308"/>
    </row>
    <row r="22" spans="1:18" ht="46.8" x14ac:dyDescent="0.3">
      <c r="A22" s="3892" t="s">
        <v>3909</v>
      </c>
      <c r="B22" s="8" t="s">
        <v>3910</v>
      </c>
      <c r="C22" s="4117">
        <v>85317.31</v>
      </c>
      <c r="D22" s="4117">
        <v>136318.79999999999</v>
      </c>
      <c r="E22" s="4117">
        <v>161013.35999999999</v>
      </c>
      <c r="F22" s="4117">
        <v>137460.24</v>
      </c>
      <c r="G22" s="1308"/>
      <c r="H22" s="1308"/>
      <c r="I22" s="1308"/>
      <c r="J22" s="1308"/>
      <c r="K22" s="1308"/>
      <c r="L22" s="1308"/>
      <c r="M22" s="1308"/>
      <c r="N22" s="1308"/>
      <c r="O22" s="1308"/>
      <c r="P22" s="1308"/>
      <c r="Q22" s="1308"/>
      <c r="R22" s="1308"/>
    </row>
    <row r="23" spans="1:18" x14ac:dyDescent="0.3">
      <c r="A23" s="3892" t="s">
        <v>3911</v>
      </c>
      <c r="B23" s="3892" t="s">
        <v>74</v>
      </c>
      <c r="C23" s="4117">
        <v>751.56</v>
      </c>
      <c r="D23" s="4117">
        <v>2314.33</v>
      </c>
      <c r="E23" s="4117">
        <v>3434.52</v>
      </c>
      <c r="F23" s="4117">
        <v>2314.33</v>
      </c>
      <c r="G23" s="1308"/>
      <c r="H23" s="1308"/>
      <c r="I23" s="1308"/>
      <c r="J23" s="1308"/>
      <c r="K23" s="1308"/>
      <c r="L23" s="1308"/>
      <c r="M23" s="1308"/>
      <c r="N23" s="1308"/>
      <c r="O23" s="1308"/>
      <c r="P23" s="1308"/>
      <c r="Q23" s="1308"/>
      <c r="R23" s="1308"/>
    </row>
    <row r="24" spans="1:18" x14ac:dyDescent="0.3">
      <c r="A24" s="4149" t="s">
        <v>3912</v>
      </c>
      <c r="B24" s="3892"/>
      <c r="C24" s="4117"/>
      <c r="D24" s="4117"/>
      <c r="E24" s="4117"/>
      <c r="F24" s="4117"/>
      <c r="G24" s="1308"/>
      <c r="H24" s="1308"/>
      <c r="I24" s="1308"/>
      <c r="J24" s="1308"/>
      <c r="K24" s="1308"/>
      <c r="L24" s="1308"/>
      <c r="M24" s="1308"/>
      <c r="N24" s="1308"/>
      <c r="O24" s="1308"/>
      <c r="P24" s="1308"/>
      <c r="Q24" s="1308"/>
      <c r="R24" s="1308"/>
    </row>
    <row r="25" spans="1:18" ht="46.8" x14ac:dyDescent="0.3">
      <c r="A25" s="3892" t="s">
        <v>3909</v>
      </c>
      <c r="B25" s="8" t="s">
        <v>3910</v>
      </c>
      <c r="C25" s="4117">
        <v>110460.1</v>
      </c>
      <c r="D25" s="4117">
        <v>172887</v>
      </c>
      <c r="E25" s="4117">
        <v>198263.03</v>
      </c>
      <c r="F25" s="4117"/>
      <c r="G25" s="1308"/>
      <c r="H25" s="1308"/>
      <c r="I25" s="1308"/>
      <c r="J25" s="1308"/>
      <c r="K25" s="1308"/>
      <c r="L25" s="1308"/>
      <c r="M25" s="1308"/>
      <c r="N25" s="1308"/>
      <c r="O25" s="1308"/>
      <c r="P25" s="1308"/>
      <c r="Q25" s="1308"/>
      <c r="R25" s="1308"/>
    </row>
    <row r="26" spans="1:18" x14ac:dyDescent="0.3">
      <c r="A26" s="3892" t="s">
        <v>3911</v>
      </c>
      <c r="B26" s="3892" t="s">
        <v>74</v>
      </c>
      <c r="C26" s="4117">
        <v>806.59</v>
      </c>
      <c r="D26" s="4117">
        <v>2379.61</v>
      </c>
      <c r="E26" s="4117">
        <v>3499.79</v>
      </c>
      <c r="F26" s="4117"/>
      <c r="G26" s="1308"/>
      <c r="H26" s="1308"/>
      <c r="I26" s="1308"/>
      <c r="J26" s="1308"/>
      <c r="K26" s="1308"/>
      <c r="L26" s="1308"/>
      <c r="M26" s="1308"/>
      <c r="N26" s="1308"/>
      <c r="O26" s="1308"/>
      <c r="P26" s="1308"/>
      <c r="Q26" s="1308"/>
      <c r="R26" s="1308"/>
    </row>
    <row r="27" spans="1:18" x14ac:dyDescent="0.3">
      <c r="A27" s="4941" t="s">
        <v>3915</v>
      </c>
      <c r="B27" s="4941"/>
      <c r="C27" s="4941"/>
      <c r="D27" s="4941"/>
      <c r="E27" s="4941"/>
      <c r="F27" s="4941"/>
      <c r="G27" s="4941"/>
      <c r="H27" s="4941"/>
      <c r="I27" s="4941"/>
      <c r="J27" s="4941"/>
      <c r="K27" s="4941"/>
      <c r="L27" s="4941"/>
      <c r="M27" s="4941"/>
      <c r="N27" s="4941"/>
      <c r="O27" s="4941"/>
      <c r="P27" s="4941"/>
    </row>
    <row r="28" spans="1:18" x14ac:dyDescent="0.3">
      <c r="A28" s="1160" t="s">
        <v>3916</v>
      </c>
      <c r="B28" s="778" t="s">
        <v>74</v>
      </c>
      <c r="C28" s="1428">
        <v>1799.7839999999999</v>
      </c>
      <c r="D28" s="1428">
        <v>3806.7239999999997</v>
      </c>
      <c r="E28" s="1428">
        <v>6485.4720000000007</v>
      </c>
      <c r="F28" s="4160">
        <v>0</v>
      </c>
      <c r="G28" s="4160">
        <v>2588.46</v>
      </c>
      <c r="H28" s="4160">
        <v>69.378324996723094</v>
      </c>
      <c r="I28" s="4160">
        <v>76.043999999999997</v>
      </c>
      <c r="J28" s="4160">
        <v>3806.7239999999997</v>
      </c>
      <c r="K28" s="4160">
        <v>69.08578574555473</v>
      </c>
      <c r="L28" s="4160">
        <v>107.1</v>
      </c>
      <c r="M28" s="4160">
        <v>7922.3159999999989</v>
      </c>
      <c r="N28" s="4160">
        <v>68.980551483969975</v>
      </c>
      <c r="O28" s="4160">
        <v>210.50399999999999</v>
      </c>
      <c r="P28" s="4160">
        <v>0</v>
      </c>
      <c r="Q28" s="4160">
        <v>0</v>
      </c>
      <c r="R28" s="4160">
        <v>0</v>
      </c>
    </row>
    <row r="29" spans="1:18" x14ac:dyDescent="0.3">
      <c r="A29" s="778" t="s">
        <v>3903</v>
      </c>
      <c r="B29" s="778" t="s">
        <v>74</v>
      </c>
      <c r="C29" s="1429">
        <v>1314.0839999999998</v>
      </c>
      <c r="D29" s="1429">
        <v>2694.72</v>
      </c>
      <c r="E29" s="1429">
        <v>5102.927999999999</v>
      </c>
      <c r="F29" s="4161">
        <v>0</v>
      </c>
      <c r="G29" s="4161">
        <v>1609.104</v>
      </c>
      <c r="H29" s="4161">
        <v>5.4479999999999995</v>
      </c>
      <c r="I29" s="4161">
        <v>54.18</v>
      </c>
      <c r="J29" s="4161">
        <v>2694.72</v>
      </c>
      <c r="K29" s="4161">
        <v>5.4479999999999995</v>
      </c>
      <c r="L29" s="4161">
        <v>85.236000000000004</v>
      </c>
      <c r="M29" s="4161">
        <v>6217.6439999999993</v>
      </c>
      <c r="N29" s="4161">
        <v>5.4479999999999995</v>
      </c>
      <c r="O29" s="4161">
        <v>188.64</v>
      </c>
      <c r="P29" s="4161">
        <v>0</v>
      </c>
      <c r="Q29" s="4161">
        <v>0</v>
      </c>
      <c r="R29" s="4161">
        <v>0</v>
      </c>
    </row>
    <row r="30" spans="1:18" x14ac:dyDescent="0.3">
      <c r="A30" s="778" t="s">
        <v>3904</v>
      </c>
      <c r="B30" s="778" t="s">
        <v>74</v>
      </c>
      <c r="C30" s="1429">
        <v>472.83599999999996</v>
      </c>
      <c r="D30" s="1429">
        <v>837.07199999999989</v>
      </c>
      <c r="E30" s="1429">
        <v>1113.576</v>
      </c>
      <c r="F30" s="4161">
        <v>0</v>
      </c>
      <c r="G30" s="4161">
        <v>704.42399999999998</v>
      </c>
      <c r="H30" s="4161">
        <v>29.771999999999998</v>
      </c>
      <c r="I30" s="4161">
        <v>11.28</v>
      </c>
      <c r="J30" s="4161">
        <v>837.07199999999989</v>
      </c>
      <c r="K30" s="4161">
        <v>29.771999999999998</v>
      </c>
      <c r="L30" s="4161">
        <v>11.28</v>
      </c>
      <c r="M30" s="4161">
        <v>1429.74</v>
      </c>
      <c r="N30" s="4161">
        <v>29.771999999999998</v>
      </c>
      <c r="O30" s="4161">
        <v>11.28</v>
      </c>
      <c r="P30" s="4161">
        <v>0</v>
      </c>
      <c r="Q30" s="4161">
        <v>0</v>
      </c>
      <c r="R30" s="4161">
        <v>0</v>
      </c>
    </row>
    <row r="31" spans="1:18" x14ac:dyDescent="0.3">
      <c r="A31" s="778" t="s">
        <v>3905</v>
      </c>
      <c r="B31" s="778" t="s">
        <v>74</v>
      </c>
      <c r="C31" s="1429">
        <v>12.864000000000001</v>
      </c>
      <c r="D31" s="1429">
        <v>274.93200000000002</v>
      </c>
      <c r="E31" s="1429">
        <v>268.96799999999996</v>
      </c>
      <c r="F31" s="4161">
        <v>0</v>
      </c>
      <c r="G31" s="4161">
        <v>274.93200000000002</v>
      </c>
      <c r="H31" s="4161">
        <v>34.158324996723096</v>
      </c>
      <c r="I31" s="4161">
        <v>10.584</v>
      </c>
      <c r="J31" s="4161">
        <v>274.93200000000002</v>
      </c>
      <c r="K31" s="4161">
        <v>33.865785745554732</v>
      </c>
      <c r="L31" s="4161">
        <v>10.584</v>
      </c>
      <c r="M31" s="4161">
        <v>274.93200000000002</v>
      </c>
      <c r="N31" s="4161">
        <v>33.760551483969977</v>
      </c>
      <c r="O31" s="4161">
        <v>10.584</v>
      </c>
      <c r="P31" s="4161">
        <v>0</v>
      </c>
      <c r="Q31" s="4161">
        <v>0</v>
      </c>
      <c r="R31" s="4161">
        <v>0</v>
      </c>
    </row>
    <row r="32" spans="1:18" s="44" customFormat="1" x14ac:dyDescent="0.3">
      <c r="A32" s="1160" t="s">
        <v>3917</v>
      </c>
      <c r="B32" s="1160" t="s">
        <v>74</v>
      </c>
      <c r="C32" s="1428">
        <v>1754.0519999999999</v>
      </c>
      <c r="D32" s="1428">
        <v>0</v>
      </c>
      <c r="E32" s="1428">
        <v>4522.692</v>
      </c>
      <c r="F32" s="4160">
        <v>0</v>
      </c>
      <c r="G32" s="4160">
        <v>1754.0519999999999</v>
      </c>
      <c r="H32" s="4160">
        <v>8.94</v>
      </c>
      <c r="I32" s="4160">
        <v>67.451999999999998</v>
      </c>
      <c r="J32" s="4160">
        <v>0</v>
      </c>
      <c r="K32" s="4160">
        <v>0</v>
      </c>
      <c r="L32" s="4160">
        <v>0</v>
      </c>
      <c r="M32" s="4160">
        <v>6047.8679999999995</v>
      </c>
      <c r="N32" s="4160">
        <v>8.94</v>
      </c>
      <c r="O32" s="4160">
        <v>232.66799999999998</v>
      </c>
      <c r="P32" s="4160">
        <v>0</v>
      </c>
      <c r="Q32" s="4160">
        <v>0</v>
      </c>
      <c r="R32" s="4160">
        <v>0</v>
      </c>
    </row>
    <row r="33" spans="1:18" x14ac:dyDescent="0.3">
      <c r="A33" s="778" t="s">
        <v>3903</v>
      </c>
      <c r="B33" s="778" t="s">
        <v>74</v>
      </c>
      <c r="C33" s="1429">
        <v>1740.1680000000001</v>
      </c>
      <c r="D33" s="1429">
        <v>0</v>
      </c>
      <c r="E33" s="1429">
        <v>4501.6080000000002</v>
      </c>
      <c r="F33" s="4161">
        <v>0</v>
      </c>
      <c r="G33" s="4161">
        <v>1740.1680000000001</v>
      </c>
      <c r="H33" s="4161">
        <v>8.94</v>
      </c>
      <c r="I33" s="4161">
        <v>66.924000000000007</v>
      </c>
      <c r="J33" s="4161">
        <v>0</v>
      </c>
      <c r="K33" s="4161">
        <v>0</v>
      </c>
      <c r="L33" s="4161">
        <v>0</v>
      </c>
      <c r="M33" s="4161">
        <v>6033.9839999999995</v>
      </c>
      <c r="N33" s="4161">
        <v>8.94</v>
      </c>
      <c r="O33" s="4161">
        <v>232.14</v>
      </c>
      <c r="P33" s="4161">
        <v>0</v>
      </c>
      <c r="Q33" s="4161">
        <v>0</v>
      </c>
      <c r="R33" s="4161">
        <v>0</v>
      </c>
    </row>
    <row r="34" spans="1:18" x14ac:dyDescent="0.3">
      <c r="A34" s="778" t="s">
        <v>3905</v>
      </c>
      <c r="B34" s="778" t="s">
        <v>74</v>
      </c>
      <c r="C34" s="1429">
        <v>13.884</v>
      </c>
      <c r="D34" s="1429">
        <v>0</v>
      </c>
      <c r="E34" s="1429">
        <v>21.084</v>
      </c>
      <c r="F34" s="4161">
        <v>0</v>
      </c>
      <c r="G34" s="4161">
        <v>13.884</v>
      </c>
      <c r="H34" s="4161">
        <v>0</v>
      </c>
      <c r="I34" s="4161">
        <v>0.52800000000000002</v>
      </c>
      <c r="J34" s="4161">
        <v>0</v>
      </c>
      <c r="K34" s="4161">
        <v>0</v>
      </c>
      <c r="L34" s="4161">
        <v>0</v>
      </c>
      <c r="M34" s="4161">
        <v>13.884</v>
      </c>
      <c r="N34" s="4161">
        <v>0</v>
      </c>
      <c r="O34" s="4161">
        <v>0.52800000000000002</v>
      </c>
      <c r="P34" s="4161">
        <v>0</v>
      </c>
      <c r="Q34" s="4161">
        <v>0</v>
      </c>
      <c r="R34" s="4161">
        <v>0</v>
      </c>
    </row>
    <row r="35" spans="1:18" s="44" customFormat="1" ht="15" customHeight="1" x14ac:dyDescent="0.3">
      <c r="A35" s="1160" t="s">
        <v>3918</v>
      </c>
      <c r="B35" s="1160" t="s">
        <v>74</v>
      </c>
      <c r="C35" s="1428">
        <v>1799.7839999999999</v>
      </c>
      <c r="D35" s="1428">
        <v>0</v>
      </c>
      <c r="E35" s="1428">
        <v>0</v>
      </c>
      <c r="F35" s="4160">
        <v>0</v>
      </c>
      <c r="G35" s="4160">
        <v>2090.4719999999998</v>
      </c>
      <c r="H35" s="4160">
        <v>21.192</v>
      </c>
      <c r="I35" s="4160">
        <v>80.387999999999991</v>
      </c>
      <c r="J35" s="4160">
        <v>0</v>
      </c>
      <c r="K35" s="4160">
        <v>0</v>
      </c>
      <c r="L35" s="4160">
        <v>0</v>
      </c>
      <c r="M35" s="4160">
        <v>0</v>
      </c>
      <c r="N35" s="4160">
        <v>0</v>
      </c>
      <c r="O35" s="4160">
        <v>0</v>
      </c>
      <c r="P35" s="4160">
        <v>0</v>
      </c>
      <c r="Q35" s="4160">
        <v>0</v>
      </c>
      <c r="R35" s="4160">
        <v>0</v>
      </c>
    </row>
    <row r="36" spans="1:18" x14ac:dyDescent="0.3">
      <c r="A36" s="778" t="s">
        <v>3903</v>
      </c>
      <c r="B36" s="778" t="s">
        <v>74</v>
      </c>
      <c r="C36" s="1429">
        <v>0</v>
      </c>
      <c r="D36" s="1429">
        <v>0</v>
      </c>
      <c r="E36" s="1429">
        <v>0</v>
      </c>
      <c r="F36" s="4161">
        <v>0</v>
      </c>
      <c r="G36" s="4161">
        <v>2076.5879999999997</v>
      </c>
      <c r="H36" s="4161">
        <v>21.192</v>
      </c>
      <c r="I36" s="4161">
        <v>79.86</v>
      </c>
      <c r="J36" s="4161">
        <v>0</v>
      </c>
      <c r="K36" s="4161">
        <v>0</v>
      </c>
      <c r="L36" s="4161">
        <v>0</v>
      </c>
      <c r="M36" s="4161">
        <v>0</v>
      </c>
      <c r="N36" s="4161">
        <v>0</v>
      </c>
      <c r="O36" s="4161">
        <v>0</v>
      </c>
      <c r="P36" s="4161">
        <v>0</v>
      </c>
      <c r="Q36" s="4161">
        <v>0</v>
      </c>
      <c r="R36" s="4161">
        <v>0</v>
      </c>
    </row>
    <row r="37" spans="1:18" x14ac:dyDescent="0.3">
      <c r="A37" s="778" t="s">
        <v>3905</v>
      </c>
      <c r="B37" s="778" t="s">
        <v>74</v>
      </c>
      <c r="C37" s="1429">
        <v>0</v>
      </c>
      <c r="D37" s="1429">
        <v>0</v>
      </c>
      <c r="E37" s="1429">
        <v>0</v>
      </c>
      <c r="F37" s="4161">
        <v>0</v>
      </c>
      <c r="G37" s="4161">
        <v>13.884</v>
      </c>
      <c r="H37" s="4161">
        <v>0</v>
      </c>
      <c r="I37" s="4161">
        <v>0.52800000000000002</v>
      </c>
      <c r="J37" s="4161">
        <v>0</v>
      </c>
      <c r="K37" s="4161">
        <v>0</v>
      </c>
      <c r="L37" s="4161">
        <v>0</v>
      </c>
      <c r="M37" s="4161">
        <v>0</v>
      </c>
      <c r="N37" s="4161">
        <v>0</v>
      </c>
      <c r="O37" s="4161">
        <v>0</v>
      </c>
      <c r="P37" s="4161">
        <v>0</v>
      </c>
      <c r="Q37" s="4161">
        <v>0</v>
      </c>
      <c r="R37" s="4161">
        <v>0</v>
      </c>
    </row>
    <row r="38" spans="1:18" s="44" customFormat="1" x14ac:dyDescent="0.3">
      <c r="A38" s="1160" t="s">
        <v>3919</v>
      </c>
      <c r="B38" s="1160" t="s">
        <v>74</v>
      </c>
      <c r="C38" s="1428">
        <v>1799.7839999999999</v>
      </c>
      <c r="D38" s="1428">
        <v>0</v>
      </c>
      <c r="E38" s="1428">
        <v>0</v>
      </c>
      <c r="F38" s="4160">
        <v>0</v>
      </c>
      <c r="G38" s="4160">
        <v>2108.7359999999999</v>
      </c>
      <c r="H38" s="4160">
        <v>4.6440000000000001</v>
      </c>
      <c r="I38" s="4160">
        <v>81.131999999999991</v>
      </c>
      <c r="J38" s="4160">
        <v>0</v>
      </c>
      <c r="K38" s="4160">
        <v>0</v>
      </c>
      <c r="L38" s="4160">
        <v>0</v>
      </c>
      <c r="M38" s="4160">
        <v>0</v>
      </c>
      <c r="N38" s="4160">
        <v>0</v>
      </c>
      <c r="O38" s="4160">
        <v>0</v>
      </c>
      <c r="P38" s="4160">
        <v>0</v>
      </c>
      <c r="Q38" s="4160">
        <v>0</v>
      </c>
      <c r="R38" s="4160">
        <v>0</v>
      </c>
    </row>
    <row r="39" spans="1:18" x14ac:dyDescent="0.3">
      <c r="A39" s="778" t="s">
        <v>3903</v>
      </c>
      <c r="B39" s="778" t="s">
        <v>74</v>
      </c>
      <c r="C39" s="1429">
        <v>0</v>
      </c>
      <c r="D39" s="1429">
        <v>0</v>
      </c>
      <c r="E39" s="1429">
        <v>0</v>
      </c>
      <c r="F39" s="4161">
        <v>0</v>
      </c>
      <c r="G39" s="4161">
        <v>2094.8519999999999</v>
      </c>
      <c r="H39" s="4161">
        <v>4.6440000000000001</v>
      </c>
      <c r="I39" s="4161">
        <v>80.603999999999999</v>
      </c>
      <c r="J39" s="4161">
        <v>0</v>
      </c>
      <c r="K39" s="4161">
        <v>0</v>
      </c>
      <c r="L39" s="4161">
        <v>0</v>
      </c>
      <c r="M39" s="4161">
        <v>0</v>
      </c>
      <c r="N39" s="4161">
        <v>0</v>
      </c>
      <c r="O39" s="4161">
        <v>0</v>
      </c>
      <c r="P39" s="4161">
        <v>0</v>
      </c>
      <c r="Q39" s="4161">
        <v>0</v>
      </c>
      <c r="R39" s="4161">
        <v>0</v>
      </c>
    </row>
    <row r="40" spans="1:18" x14ac:dyDescent="0.3">
      <c r="A40" s="778" t="s">
        <v>3905</v>
      </c>
      <c r="B40" s="778" t="s">
        <v>74</v>
      </c>
      <c r="C40" s="1429">
        <v>0</v>
      </c>
      <c r="D40" s="1429">
        <v>0</v>
      </c>
      <c r="E40" s="1429">
        <v>0</v>
      </c>
      <c r="F40" s="4161">
        <v>0</v>
      </c>
      <c r="G40" s="4161">
        <v>13.884</v>
      </c>
      <c r="H40" s="4161">
        <v>0</v>
      </c>
      <c r="I40" s="4161">
        <v>0.52800000000000002</v>
      </c>
      <c r="J40" s="4161">
        <v>0</v>
      </c>
      <c r="K40" s="4161">
        <v>0</v>
      </c>
      <c r="L40" s="4161">
        <v>0</v>
      </c>
      <c r="M40" s="4161">
        <v>0</v>
      </c>
      <c r="N40" s="4161">
        <v>0</v>
      </c>
      <c r="O40" s="4161">
        <v>0</v>
      </c>
      <c r="P40" s="4161">
        <v>0</v>
      </c>
      <c r="Q40" s="4161">
        <v>0</v>
      </c>
      <c r="R40" s="4161">
        <v>0</v>
      </c>
    </row>
    <row r="41" spans="1:18" s="44" customFormat="1" x14ac:dyDescent="0.3">
      <c r="A41" s="1160" t="s">
        <v>3920</v>
      </c>
      <c r="B41" s="1160" t="s">
        <v>74</v>
      </c>
      <c r="C41" s="1428">
        <v>1799.7839999999999</v>
      </c>
      <c r="D41" s="1428">
        <v>0</v>
      </c>
      <c r="E41" s="1428">
        <v>0</v>
      </c>
      <c r="F41" s="4160">
        <v>0</v>
      </c>
      <c r="G41" s="4160">
        <v>2062.8959999999997</v>
      </c>
      <c r="H41" s="4160">
        <v>3.3479999999999999</v>
      </c>
      <c r="I41" s="4160">
        <v>79.331999999999994</v>
      </c>
      <c r="J41" s="4160">
        <v>0</v>
      </c>
      <c r="K41" s="4160">
        <v>0</v>
      </c>
      <c r="L41" s="4160">
        <v>0</v>
      </c>
      <c r="M41" s="4160">
        <v>0</v>
      </c>
      <c r="N41" s="4160">
        <v>0</v>
      </c>
      <c r="O41" s="4160">
        <v>0</v>
      </c>
      <c r="P41" s="4160">
        <v>0</v>
      </c>
      <c r="Q41" s="4160">
        <v>0</v>
      </c>
      <c r="R41" s="4160">
        <v>0</v>
      </c>
    </row>
    <row r="42" spans="1:18" x14ac:dyDescent="0.3">
      <c r="A42" s="778" t="s">
        <v>3903</v>
      </c>
      <c r="B42" s="778" t="s">
        <v>74</v>
      </c>
      <c r="C42" s="1429">
        <v>0</v>
      </c>
      <c r="D42" s="1429">
        <v>0</v>
      </c>
      <c r="E42" s="1429">
        <v>0</v>
      </c>
      <c r="F42" s="4161">
        <v>0</v>
      </c>
      <c r="G42" s="4161">
        <v>2049.0119999999997</v>
      </c>
      <c r="H42" s="4161">
        <v>3.3479999999999999</v>
      </c>
      <c r="I42" s="4161">
        <v>78.804000000000002</v>
      </c>
      <c r="J42" s="4161">
        <v>0</v>
      </c>
      <c r="K42" s="4161">
        <v>0</v>
      </c>
      <c r="L42" s="4161">
        <v>0</v>
      </c>
      <c r="M42" s="4161">
        <v>0</v>
      </c>
      <c r="N42" s="4161">
        <v>0</v>
      </c>
      <c r="O42" s="4161">
        <v>0</v>
      </c>
      <c r="P42" s="4161">
        <v>0</v>
      </c>
      <c r="Q42" s="4161">
        <v>0</v>
      </c>
      <c r="R42" s="4161">
        <v>0</v>
      </c>
    </row>
    <row r="43" spans="1:18" x14ac:dyDescent="0.3">
      <c r="A43" s="778" t="s">
        <v>3905</v>
      </c>
      <c r="B43" s="778" t="s">
        <v>74</v>
      </c>
      <c r="C43" s="1429">
        <v>0</v>
      </c>
      <c r="D43" s="1429">
        <v>0</v>
      </c>
      <c r="E43" s="1429">
        <v>0</v>
      </c>
      <c r="F43" s="4161">
        <v>0</v>
      </c>
      <c r="G43" s="4161">
        <v>13.884</v>
      </c>
      <c r="H43" s="4161">
        <v>0</v>
      </c>
      <c r="I43" s="4161">
        <v>0.52800000000000002</v>
      </c>
      <c r="J43" s="4161">
        <v>0</v>
      </c>
      <c r="K43" s="4161">
        <v>0</v>
      </c>
      <c r="L43" s="4161">
        <v>0</v>
      </c>
      <c r="M43" s="4161">
        <v>0</v>
      </c>
      <c r="N43" s="4161">
        <v>0</v>
      </c>
      <c r="O43" s="4161">
        <v>0</v>
      </c>
      <c r="P43" s="4161">
        <v>0</v>
      </c>
      <c r="Q43" s="4161">
        <v>0</v>
      </c>
      <c r="R43" s="4161">
        <v>0</v>
      </c>
    </row>
    <row r="44" spans="1:18" x14ac:dyDescent="0.3">
      <c r="A44" s="1160" t="s">
        <v>3921</v>
      </c>
      <c r="B44" s="778"/>
      <c r="C44" s="1428"/>
      <c r="D44" s="1428"/>
      <c r="E44" s="1428"/>
      <c r="F44" s="4160"/>
      <c r="G44" s="4160"/>
      <c r="H44" s="4160"/>
      <c r="I44" s="4160"/>
      <c r="J44" s="4160"/>
      <c r="K44" s="4160"/>
      <c r="L44" s="4160"/>
      <c r="M44" s="4160"/>
      <c r="N44" s="4160"/>
      <c r="O44" s="4160"/>
      <c r="P44" s="4160"/>
      <c r="Q44" s="4160"/>
      <c r="R44" s="4160"/>
    </row>
    <row r="45" spans="1:18" ht="46.8" x14ac:dyDescent="0.3">
      <c r="A45" s="778" t="s">
        <v>3909</v>
      </c>
      <c r="B45" s="713" t="s">
        <v>3910</v>
      </c>
      <c r="C45" s="1429">
        <v>77541.960000000006</v>
      </c>
      <c r="D45" s="1429">
        <v>126164.052</v>
      </c>
      <c r="E45" s="1429">
        <v>116518.068</v>
      </c>
      <c r="F45" s="4161">
        <v>0</v>
      </c>
      <c r="G45" s="4161">
        <v>139249.49599999998</v>
      </c>
      <c r="H45" s="4161">
        <v>5751.0119999999997</v>
      </c>
      <c r="I45" s="4161">
        <v>12535.523999999999</v>
      </c>
      <c r="J45" s="4161">
        <v>133578.62400000001</v>
      </c>
      <c r="K45" s="4161">
        <v>5418.4319999999998</v>
      </c>
      <c r="L45" s="4161">
        <v>17039.28</v>
      </c>
      <c r="M45" s="4161">
        <v>143024.51999999999</v>
      </c>
      <c r="N45" s="4161">
        <v>5143.9439999999995</v>
      </c>
      <c r="O45" s="4161">
        <v>33359.699999999997</v>
      </c>
      <c r="P45" s="4161">
        <v>0</v>
      </c>
      <c r="Q45" s="4161">
        <v>0</v>
      </c>
      <c r="R45" s="4161">
        <v>0</v>
      </c>
    </row>
    <row r="46" spans="1:18" x14ac:dyDescent="0.3">
      <c r="A46" s="778" t="s">
        <v>3911</v>
      </c>
      <c r="B46" s="778" t="s">
        <v>74</v>
      </c>
      <c r="C46" s="1429">
        <v>1314.0839999999998</v>
      </c>
      <c r="D46" s="1429">
        <v>2649.924</v>
      </c>
      <c r="E46" s="1429">
        <v>5380.5720000000001</v>
      </c>
      <c r="F46" s="4161">
        <v>0</v>
      </c>
      <c r="G46" s="4161">
        <v>1440.5640000000001</v>
      </c>
      <c r="H46" s="4161">
        <v>0</v>
      </c>
      <c r="I46" s="4161">
        <v>0</v>
      </c>
      <c r="J46" s="4161">
        <v>2649.924</v>
      </c>
      <c r="K46" s="4161">
        <v>0</v>
      </c>
      <c r="L46" s="4161">
        <v>0</v>
      </c>
      <c r="M46" s="4161">
        <v>6653.8680000000004</v>
      </c>
      <c r="N46" s="4161">
        <v>0</v>
      </c>
      <c r="O46" s="4161">
        <v>0</v>
      </c>
      <c r="P46" s="4161">
        <v>0</v>
      </c>
      <c r="Q46" s="4161">
        <v>0</v>
      </c>
      <c r="R46" s="4161">
        <v>0</v>
      </c>
    </row>
    <row r="47" spans="1:18" s="44" customFormat="1" x14ac:dyDescent="0.3">
      <c r="A47" s="1160" t="s">
        <v>3922</v>
      </c>
      <c r="B47" s="1160"/>
      <c r="C47" s="1428"/>
      <c r="D47" s="1428"/>
      <c r="E47" s="1428"/>
      <c r="F47" s="4160"/>
      <c r="G47" s="4160"/>
      <c r="H47" s="4160"/>
      <c r="I47" s="4160"/>
      <c r="J47" s="4160"/>
      <c r="K47" s="4160"/>
      <c r="L47" s="4160"/>
      <c r="M47" s="4160"/>
      <c r="N47" s="4160"/>
      <c r="O47" s="4160"/>
      <c r="P47" s="4160"/>
      <c r="Q47" s="4160"/>
      <c r="R47" s="4160"/>
    </row>
    <row r="48" spans="1:18" ht="46.8" x14ac:dyDescent="0.3">
      <c r="A48" s="778" t="s">
        <v>3909</v>
      </c>
      <c r="B48" s="713" t="s">
        <v>3910</v>
      </c>
      <c r="C48" s="1429">
        <v>77541.960000000006</v>
      </c>
      <c r="D48" s="1429">
        <v>139879.10399999999</v>
      </c>
      <c r="E48" s="1429">
        <v>129131.93999999999</v>
      </c>
      <c r="F48" s="4161">
        <v>0</v>
      </c>
      <c r="G48" s="4161">
        <v>160475.19599999997</v>
      </c>
      <c r="H48" s="4161">
        <v>7226.3159999999998</v>
      </c>
      <c r="I48" s="4161">
        <v>13649.892</v>
      </c>
      <c r="J48" s="4161">
        <v>150218.35200000001</v>
      </c>
      <c r="K48" s="4161">
        <v>6663.8759999999993</v>
      </c>
      <c r="L48" s="4161">
        <v>17769.359999999997</v>
      </c>
      <c r="M48" s="4161">
        <v>166038.62399999998</v>
      </c>
      <c r="N48" s="4161">
        <v>6617.1839999999993</v>
      </c>
      <c r="O48" s="4161">
        <v>35487.503999999994</v>
      </c>
      <c r="P48" s="4161">
        <v>0</v>
      </c>
      <c r="Q48" s="4161">
        <v>0</v>
      </c>
      <c r="R48" s="4161">
        <v>0</v>
      </c>
    </row>
    <row r="49" spans="1:18" x14ac:dyDescent="0.3">
      <c r="A49" s="778" t="s">
        <v>3911</v>
      </c>
      <c r="B49" s="778" t="s">
        <v>74</v>
      </c>
      <c r="C49" s="1429">
        <v>1314.0839999999998</v>
      </c>
      <c r="D49" s="1429">
        <v>2679.0360000000001</v>
      </c>
      <c r="E49" s="1429">
        <v>5403.2039999999997</v>
      </c>
      <c r="F49" s="4161">
        <v>0</v>
      </c>
      <c r="G49" s="4161">
        <v>1469.6759999999999</v>
      </c>
      <c r="H49" s="4161">
        <v>0</v>
      </c>
      <c r="I49" s="4161">
        <v>0</v>
      </c>
      <c r="J49" s="4161">
        <v>2679.0360000000001</v>
      </c>
      <c r="K49" s="4161">
        <v>0</v>
      </c>
      <c r="L49" s="4161">
        <v>0</v>
      </c>
      <c r="M49" s="4161">
        <v>6682.98</v>
      </c>
      <c r="N49" s="4161">
        <v>0</v>
      </c>
      <c r="O49" s="4161">
        <v>0</v>
      </c>
      <c r="P49" s="4161">
        <v>0</v>
      </c>
      <c r="Q49" s="4161">
        <v>0</v>
      </c>
      <c r="R49" s="4161">
        <v>0</v>
      </c>
    </row>
    <row r="50" spans="1:18" x14ac:dyDescent="0.3">
      <c r="A50" s="1160" t="s">
        <v>3923</v>
      </c>
      <c r="B50" s="778"/>
      <c r="C50" s="1428"/>
      <c r="D50" s="1428"/>
      <c r="E50" s="1428"/>
      <c r="F50" s="4160"/>
      <c r="G50" s="4160"/>
      <c r="H50" s="4160"/>
      <c r="I50" s="4160"/>
      <c r="J50" s="4160"/>
      <c r="K50" s="4160"/>
      <c r="L50" s="4160"/>
      <c r="M50" s="4160"/>
      <c r="N50" s="4160"/>
      <c r="O50" s="4160"/>
      <c r="P50" s="4160"/>
      <c r="Q50" s="4160"/>
      <c r="R50" s="4160"/>
    </row>
    <row r="51" spans="1:18" ht="46.8" x14ac:dyDescent="0.3">
      <c r="A51" s="778" t="s">
        <v>3909</v>
      </c>
      <c r="B51" s="713" t="s">
        <v>3910</v>
      </c>
      <c r="C51" s="1429">
        <v>77541.960000000006</v>
      </c>
      <c r="D51" s="1429">
        <v>162808.69200000001</v>
      </c>
      <c r="E51" s="1429">
        <v>150220.51199999999</v>
      </c>
      <c r="F51" s="4161">
        <v>0</v>
      </c>
      <c r="G51" s="4161">
        <v>184400.14800000002</v>
      </c>
      <c r="H51" s="4161">
        <v>11145.503999999999</v>
      </c>
      <c r="I51" s="4161">
        <v>14437.583999999999</v>
      </c>
      <c r="J51" s="4161">
        <v>173200.48799999998</v>
      </c>
      <c r="K51" s="4161">
        <v>10344.432000000001</v>
      </c>
      <c r="L51" s="4161">
        <v>18610.2</v>
      </c>
      <c r="M51" s="4161">
        <v>155665.26</v>
      </c>
      <c r="N51" s="4161">
        <v>8468.6999999999989</v>
      </c>
      <c r="O51" s="4161">
        <v>30075.359999999997</v>
      </c>
      <c r="P51" s="4161">
        <v>0</v>
      </c>
      <c r="Q51" s="4161">
        <v>0</v>
      </c>
      <c r="R51" s="4161">
        <v>0</v>
      </c>
    </row>
    <row r="52" spans="1:18" x14ac:dyDescent="0.3">
      <c r="A52" s="778" t="s">
        <v>3911</v>
      </c>
      <c r="B52" s="778" t="s">
        <v>74</v>
      </c>
      <c r="C52" s="1429">
        <v>1314.0839999999998</v>
      </c>
      <c r="D52" s="1429">
        <v>2649.924</v>
      </c>
      <c r="E52" s="1429">
        <v>5380.5720000000001</v>
      </c>
      <c r="F52" s="4161">
        <v>0</v>
      </c>
      <c r="G52" s="4161">
        <v>1440.5640000000001</v>
      </c>
      <c r="H52" s="4161">
        <v>0</v>
      </c>
      <c r="I52" s="4161">
        <v>0</v>
      </c>
      <c r="J52" s="4161">
        <v>2649.924</v>
      </c>
      <c r="K52" s="4161">
        <v>0</v>
      </c>
      <c r="L52" s="4161">
        <v>0</v>
      </c>
      <c r="M52" s="4161">
        <v>6653.8680000000004</v>
      </c>
      <c r="N52" s="4161">
        <v>0</v>
      </c>
      <c r="O52" s="4161">
        <v>0</v>
      </c>
      <c r="P52" s="4161">
        <v>0</v>
      </c>
      <c r="Q52" s="4161">
        <v>0</v>
      </c>
      <c r="R52" s="4161">
        <v>0</v>
      </c>
    </row>
    <row r="53" spans="1:18" x14ac:dyDescent="0.3">
      <c r="A53" s="1160" t="s">
        <v>3924</v>
      </c>
      <c r="B53" s="778"/>
      <c r="C53" s="1428"/>
      <c r="D53" s="1428"/>
      <c r="E53" s="1428"/>
      <c r="F53" s="4160"/>
      <c r="G53" s="4160"/>
      <c r="H53" s="4160"/>
      <c r="I53" s="4160"/>
      <c r="J53" s="4160"/>
      <c r="K53" s="4160"/>
      <c r="L53" s="4160"/>
      <c r="M53" s="4160"/>
      <c r="N53" s="4160"/>
      <c r="O53" s="4160"/>
      <c r="P53" s="4160"/>
      <c r="Q53" s="4160"/>
      <c r="R53" s="4160"/>
    </row>
    <row r="54" spans="1:18" ht="46.8" x14ac:dyDescent="0.3">
      <c r="A54" s="778" t="s">
        <v>3909</v>
      </c>
      <c r="B54" s="713" t="s">
        <v>3910</v>
      </c>
      <c r="C54" s="1429">
        <v>77541.960000000006</v>
      </c>
      <c r="D54" s="1429">
        <v>0</v>
      </c>
      <c r="E54" s="1429">
        <v>102184.932</v>
      </c>
      <c r="F54" s="4161">
        <v>0</v>
      </c>
      <c r="G54" s="4161">
        <v>105171.64799999999</v>
      </c>
      <c r="H54" s="4161">
        <v>1382.5199999999998</v>
      </c>
      <c r="I54" s="4161">
        <v>10476.696</v>
      </c>
      <c r="J54" s="4161">
        <v>0</v>
      </c>
      <c r="K54" s="4161">
        <v>0</v>
      </c>
      <c r="L54" s="4161">
        <v>0</v>
      </c>
      <c r="M54" s="4161">
        <v>125633.41199999998</v>
      </c>
      <c r="N54" s="4161">
        <v>1500</v>
      </c>
      <c r="O54" s="4161">
        <v>38925</v>
      </c>
      <c r="P54" s="4161">
        <v>0</v>
      </c>
      <c r="Q54" s="4161">
        <v>0</v>
      </c>
      <c r="R54" s="4161">
        <v>0</v>
      </c>
    </row>
    <row r="55" spans="1:18" x14ac:dyDescent="0.3">
      <c r="A55" s="778" t="s">
        <v>3911</v>
      </c>
      <c r="B55" s="778" t="s">
        <v>74</v>
      </c>
      <c r="C55" s="1429">
        <v>1077.8059999999998</v>
      </c>
      <c r="D55" s="1429">
        <v>0</v>
      </c>
      <c r="E55" s="1429">
        <v>3831.9719999999998</v>
      </c>
      <c r="F55" s="4161">
        <v>0</v>
      </c>
      <c r="G55" s="4161">
        <v>1077.8159999999998</v>
      </c>
      <c r="H55" s="4161">
        <v>0</v>
      </c>
      <c r="I55" s="4161">
        <v>0</v>
      </c>
      <c r="J55" s="4161">
        <v>0</v>
      </c>
      <c r="K55" s="4161">
        <v>0</v>
      </c>
      <c r="L55" s="4161">
        <v>0</v>
      </c>
      <c r="M55" s="4161">
        <v>5206.6680000000006</v>
      </c>
      <c r="N55" s="4161">
        <v>0</v>
      </c>
      <c r="O55" s="4161">
        <v>0</v>
      </c>
      <c r="P55" s="4161">
        <v>0</v>
      </c>
      <c r="Q55" s="4161">
        <v>0</v>
      </c>
      <c r="R55" s="4161">
        <v>0</v>
      </c>
    </row>
    <row r="56" spans="1:18" x14ac:dyDescent="0.3">
      <c r="A56" s="1160" t="s">
        <v>3925</v>
      </c>
      <c r="B56" s="778"/>
      <c r="C56" s="1428"/>
      <c r="D56" s="1428"/>
      <c r="E56" s="1428"/>
      <c r="F56" s="4160"/>
      <c r="G56" s="4160"/>
      <c r="H56" s="4160"/>
      <c r="I56" s="4160"/>
      <c r="J56" s="4160"/>
      <c r="K56" s="4160"/>
      <c r="L56" s="4160"/>
      <c r="M56" s="4160"/>
      <c r="N56" s="4160"/>
      <c r="O56" s="4160"/>
      <c r="P56" s="4160"/>
      <c r="Q56" s="4160"/>
      <c r="R56" s="4160"/>
    </row>
    <row r="57" spans="1:18" ht="46.8" x14ac:dyDescent="0.3">
      <c r="A57" s="778" t="s">
        <v>3909</v>
      </c>
      <c r="B57" s="713" t="s">
        <v>3910</v>
      </c>
      <c r="C57" s="1429">
        <v>77541.960000000006</v>
      </c>
      <c r="D57" s="1429">
        <v>0</v>
      </c>
      <c r="E57" s="1429">
        <v>0</v>
      </c>
      <c r="F57" s="4161">
        <v>0</v>
      </c>
      <c r="G57" s="4161">
        <v>147919.51199999999</v>
      </c>
      <c r="H57" s="4161">
        <v>3362.4959999999996</v>
      </c>
      <c r="I57" s="4161">
        <v>12754.163999999999</v>
      </c>
      <c r="J57" s="4161">
        <v>0</v>
      </c>
      <c r="K57" s="4161">
        <v>0</v>
      </c>
      <c r="L57" s="4161">
        <v>0</v>
      </c>
      <c r="M57" s="4161">
        <v>0</v>
      </c>
      <c r="N57" s="4161">
        <v>0</v>
      </c>
      <c r="O57" s="4161">
        <v>0</v>
      </c>
      <c r="P57" s="4161">
        <v>0</v>
      </c>
      <c r="Q57" s="4161">
        <v>0</v>
      </c>
      <c r="R57" s="4161">
        <v>0</v>
      </c>
    </row>
    <row r="58" spans="1:18" x14ac:dyDescent="0.3">
      <c r="A58" s="778" t="s">
        <v>3911</v>
      </c>
      <c r="B58" s="778" t="s">
        <v>74</v>
      </c>
      <c r="C58" s="1429">
        <v>1139.952</v>
      </c>
      <c r="D58" s="1429">
        <v>0</v>
      </c>
      <c r="E58" s="1429">
        <v>0</v>
      </c>
      <c r="F58" s="4161">
        <v>0</v>
      </c>
      <c r="G58" s="4161">
        <v>1139.952</v>
      </c>
      <c r="H58" s="4161">
        <v>0</v>
      </c>
      <c r="I58" s="4161">
        <v>0</v>
      </c>
      <c r="J58" s="4161">
        <v>0</v>
      </c>
      <c r="K58" s="4161">
        <v>0</v>
      </c>
      <c r="L58" s="4161">
        <v>0</v>
      </c>
      <c r="M58" s="4161">
        <v>0</v>
      </c>
      <c r="N58" s="4161">
        <v>0</v>
      </c>
      <c r="O58" s="4161">
        <v>0</v>
      </c>
      <c r="P58" s="4161">
        <v>0</v>
      </c>
      <c r="Q58" s="4161">
        <v>0</v>
      </c>
      <c r="R58" s="4161">
        <v>0</v>
      </c>
    </row>
    <row r="59" spans="1:18" x14ac:dyDescent="0.3">
      <c r="A59" s="1160" t="s">
        <v>3926</v>
      </c>
      <c r="B59" s="778"/>
      <c r="C59" s="1428"/>
      <c r="D59" s="1428"/>
      <c r="E59" s="1428"/>
      <c r="F59" s="4160"/>
      <c r="G59" s="4160"/>
      <c r="H59" s="4160"/>
      <c r="I59" s="4160"/>
      <c r="J59" s="4160"/>
      <c r="K59" s="4160"/>
      <c r="L59" s="4160"/>
      <c r="M59" s="4160"/>
      <c r="N59" s="4160"/>
      <c r="O59" s="4160"/>
      <c r="P59" s="4160"/>
      <c r="Q59" s="4160"/>
      <c r="R59" s="4160"/>
    </row>
    <row r="60" spans="1:18" ht="46.8" x14ac:dyDescent="0.3">
      <c r="A60" s="778" t="s">
        <v>3909</v>
      </c>
      <c r="B60" s="713" t="s">
        <v>3910</v>
      </c>
      <c r="C60" s="1429">
        <v>77541.960000000006</v>
      </c>
      <c r="D60" s="1429">
        <v>0</v>
      </c>
      <c r="E60" s="1429">
        <v>0</v>
      </c>
      <c r="F60" s="4161">
        <v>0</v>
      </c>
      <c r="G60" s="4161">
        <v>135765.804</v>
      </c>
      <c r="H60" s="4161">
        <v>600</v>
      </c>
      <c r="I60" s="4161">
        <v>11199.995999999999</v>
      </c>
      <c r="J60" s="4161">
        <v>0</v>
      </c>
      <c r="K60" s="4161">
        <v>0</v>
      </c>
      <c r="L60" s="4161">
        <v>0</v>
      </c>
      <c r="M60" s="4161">
        <v>0</v>
      </c>
      <c r="N60" s="4161">
        <v>0</v>
      </c>
      <c r="O60" s="4161">
        <v>0</v>
      </c>
      <c r="P60" s="4161">
        <v>0</v>
      </c>
      <c r="Q60" s="4161">
        <v>0</v>
      </c>
      <c r="R60" s="4161">
        <v>0</v>
      </c>
    </row>
    <row r="61" spans="1:18" x14ac:dyDescent="0.3">
      <c r="A61" s="778" t="s">
        <v>3911</v>
      </c>
      <c r="B61" s="778" t="s">
        <v>74</v>
      </c>
      <c r="C61" s="1429">
        <v>1199.556</v>
      </c>
      <c r="D61" s="1429">
        <v>0</v>
      </c>
      <c r="E61" s="1429">
        <v>0</v>
      </c>
      <c r="F61" s="4161">
        <v>0</v>
      </c>
      <c r="G61" s="4161">
        <v>1199.556</v>
      </c>
      <c r="H61" s="4161">
        <v>0</v>
      </c>
      <c r="I61" s="4161">
        <v>0</v>
      </c>
      <c r="J61" s="4161">
        <v>0</v>
      </c>
      <c r="K61" s="4161">
        <v>0</v>
      </c>
      <c r="L61" s="4161">
        <v>0</v>
      </c>
      <c r="M61" s="4161">
        <v>0</v>
      </c>
      <c r="N61" s="4161">
        <v>0</v>
      </c>
      <c r="O61" s="4161">
        <v>0</v>
      </c>
      <c r="P61" s="4161">
        <v>0</v>
      </c>
      <c r="Q61" s="4161">
        <v>0</v>
      </c>
      <c r="R61" s="4161">
        <v>0</v>
      </c>
    </row>
    <row r="62" spans="1:18" x14ac:dyDescent="0.3">
      <c r="A62" s="1160" t="s">
        <v>3927</v>
      </c>
      <c r="B62" s="778"/>
      <c r="C62" s="1428"/>
      <c r="D62" s="1428"/>
      <c r="E62" s="1428"/>
      <c r="F62" s="4160"/>
      <c r="G62" s="4160"/>
      <c r="H62" s="4160"/>
      <c r="I62" s="4160"/>
      <c r="J62" s="4160"/>
      <c r="K62" s="4160"/>
      <c r="L62" s="4160"/>
      <c r="M62" s="4160"/>
      <c r="N62" s="4160"/>
      <c r="O62" s="4160"/>
      <c r="P62" s="4160"/>
      <c r="Q62" s="4160"/>
      <c r="R62" s="4160"/>
    </row>
    <row r="63" spans="1:18" ht="46.8" x14ac:dyDescent="0.3">
      <c r="A63" s="778" t="s">
        <v>3909</v>
      </c>
      <c r="B63" s="713" t="s">
        <v>3910</v>
      </c>
      <c r="C63" s="1429">
        <v>77541.960000000006</v>
      </c>
      <c r="D63" s="1429">
        <v>0</v>
      </c>
      <c r="E63" s="1429">
        <v>0</v>
      </c>
      <c r="F63" s="4161">
        <v>0</v>
      </c>
      <c r="G63" s="4161">
        <v>145587.75599999999</v>
      </c>
      <c r="H63" s="4161">
        <v>53023.26</v>
      </c>
      <c r="I63" s="4161">
        <v>12572.088</v>
      </c>
      <c r="J63" s="4161">
        <v>0</v>
      </c>
      <c r="K63" s="4161">
        <v>0</v>
      </c>
      <c r="L63" s="4161">
        <v>0</v>
      </c>
      <c r="M63" s="4161">
        <v>0</v>
      </c>
      <c r="N63" s="4161">
        <v>0</v>
      </c>
      <c r="O63" s="4161">
        <v>0</v>
      </c>
      <c r="P63" s="4161">
        <v>0</v>
      </c>
      <c r="Q63" s="4161">
        <v>0</v>
      </c>
      <c r="R63" s="4161">
        <v>0</v>
      </c>
    </row>
    <row r="64" spans="1:18" x14ac:dyDescent="0.3">
      <c r="A64" s="778" t="s">
        <v>3911</v>
      </c>
      <c r="B64" s="778" t="s">
        <v>74</v>
      </c>
      <c r="C64" s="1429">
        <v>1146.5999999999999</v>
      </c>
      <c r="D64" s="1429">
        <v>0</v>
      </c>
      <c r="E64" s="1429">
        <v>0</v>
      </c>
      <c r="F64" s="4161">
        <v>0</v>
      </c>
      <c r="G64" s="4161">
        <v>1146.5999999999999</v>
      </c>
      <c r="H64" s="4161">
        <v>0</v>
      </c>
      <c r="I64" s="4161">
        <v>0</v>
      </c>
      <c r="J64" s="4161">
        <v>0</v>
      </c>
      <c r="K64" s="4161">
        <v>0</v>
      </c>
      <c r="L64" s="4161">
        <v>0</v>
      </c>
      <c r="M64" s="4161">
        <v>0</v>
      </c>
      <c r="N64" s="4161">
        <v>0</v>
      </c>
      <c r="O64" s="4161">
        <v>0</v>
      </c>
      <c r="P64" s="4161">
        <v>0</v>
      </c>
      <c r="Q64" s="4161">
        <v>0</v>
      </c>
      <c r="R64" s="4161">
        <v>0</v>
      </c>
    </row>
    <row r="65" spans="1:18" x14ac:dyDescent="0.3">
      <c r="A65" s="4941" t="s">
        <v>3928</v>
      </c>
      <c r="B65" s="4941"/>
      <c r="C65" s="4941"/>
      <c r="D65" s="4941"/>
      <c r="E65" s="4941"/>
      <c r="F65" s="4941"/>
      <c r="G65" s="4941"/>
      <c r="H65" s="4941"/>
      <c r="I65" s="4941"/>
      <c r="J65" s="4941"/>
      <c r="K65" s="4941"/>
      <c r="L65" s="4941"/>
      <c r="M65" s="4941"/>
      <c r="N65" s="4941"/>
      <c r="O65" s="4941"/>
      <c r="P65" s="4941"/>
      <c r="Q65" s="4941"/>
      <c r="R65" s="4941"/>
    </row>
    <row r="66" spans="1:18" x14ac:dyDescent="0.3">
      <c r="A66" s="1160" t="s">
        <v>3902</v>
      </c>
      <c r="B66" s="778" t="s">
        <v>74</v>
      </c>
      <c r="C66" s="1428">
        <f>C67+C68+C69</f>
        <v>1822.4499999999998</v>
      </c>
      <c r="D66" s="1428">
        <f>D67+D68+D69</f>
        <v>3798.28</v>
      </c>
      <c r="E66" s="1428">
        <f t="shared" ref="E66:R66" si="1">E67+E68+E69</f>
        <v>4199.71</v>
      </c>
      <c r="F66" s="1428">
        <f t="shared" si="1"/>
        <v>4234.58</v>
      </c>
      <c r="G66" s="1428">
        <f t="shared" si="1"/>
        <v>3196.38</v>
      </c>
      <c r="H66" s="1428">
        <f t="shared" si="1"/>
        <v>151.98000000000002</v>
      </c>
      <c r="I66" s="1428">
        <f t="shared" si="1"/>
        <v>13.33</v>
      </c>
      <c r="J66" s="1428">
        <f t="shared" si="1"/>
        <v>4079.3700000000003</v>
      </c>
      <c r="K66" s="1428">
        <f t="shared" si="1"/>
        <v>108.82</v>
      </c>
      <c r="L66" s="1428">
        <f t="shared" si="1"/>
        <v>77.69</v>
      </c>
      <c r="M66" s="1428">
        <f t="shared" si="1"/>
        <v>6458.6100000000006</v>
      </c>
      <c r="N66" s="1428">
        <f t="shared" si="1"/>
        <v>132.19</v>
      </c>
      <c r="O66" s="1428">
        <f t="shared" si="1"/>
        <v>123.39999999999999</v>
      </c>
      <c r="P66" s="1428">
        <f t="shared" si="1"/>
        <v>3938.19</v>
      </c>
      <c r="Q66" s="1428">
        <f t="shared" si="1"/>
        <v>107.87</v>
      </c>
      <c r="R66" s="1428">
        <f t="shared" si="1"/>
        <v>74.97</v>
      </c>
    </row>
    <row r="67" spans="1:18" x14ac:dyDescent="0.3">
      <c r="A67" s="778" t="s">
        <v>3903</v>
      </c>
      <c r="B67" s="778" t="s">
        <v>74</v>
      </c>
      <c r="C67" s="1429">
        <v>1418.04</v>
      </c>
      <c r="D67" s="1429">
        <v>3104.67</v>
      </c>
      <c r="E67" s="1429">
        <v>3506.1</v>
      </c>
      <c r="F67" s="1429">
        <v>3540.97</v>
      </c>
      <c r="G67" s="1429">
        <v>2466.62</v>
      </c>
      <c r="H67" s="1429">
        <v>101.17</v>
      </c>
      <c r="I67" s="1429">
        <v>0</v>
      </c>
      <c r="J67" s="1429">
        <v>3349.61</v>
      </c>
      <c r="K67" s="1429">
        <v>58.01</v>
      </c>
      <c r="L67" s="1429">
        <v>64.36</v>
      </c>
      <c r="M67" s="1429">
        <v>5728.85</v>
      </c>
      <c r="N67" s="1429">
        <v>81.38</v>
      </c>
      <c r="O67" s="1429">
        <v>110.07</v>
      </c>
      <c r="P67" s="1429">
        <v>3208.43</v>
      </c>
      <c r="Q67" s="1429">
        <v>57.06</v>
      </c>
      <c r="R67" s="2013">
        <v>61.64</v>
      </c>
    </row>
    <row r="68" spans="1:18" x14ac:dyDescent="0.3">
      <c r="A68" s="778" t="s">
        <v>3904</v>
      </c>
      <c r="B68" s="778" t="s">
        <v>74</v>
      </c>
      <c r="C68" s="1429">
        <v>369.8</v>
      </c>
      <c r="D68" s="1429">
        <v>656.05</v>
      </c>
      <c r="E68" s="1429">
        <v>656.05</v>
      </c>
      <c r="F68" s="1429">
        <v>656.05</v>
      </c>
      <c r="G68" s="1429">
        <v>693.71</v>
      </c>
      <c r="H68" s="1429">
        <v>50.81</v>
      </c>
      <c r="I68" s="1429">
        <v>13.33</v>
      </c>
      <c r="J68" s="1429">
        <f>G68</f>
        <v>693.71</v>
      </c>
      <c r="K68" s="1429">
        <v>50.81</v>
      </c>
      <c r="L68" s="1429">
        <v>13.33</v>
      </c>
      <c r="M68" s="1429">
        <f>J68</f>
        <v>693.71</v>
      </c>
      <c r="N68" s="1429">
        <v>50.81</v>
      </c>
      <c r="O68" s="1429">
        <v>13.33</v>
      </c>
      <c r="P68" s="1429">
        <f>G68</f>
        <v>693.71</v>
      </c>
      <c r="Q68" s="2013">
        <v>50.81</v>
      </c>
      <c r="R68" s="2013">
        <v>13.33</v>
      </c>
    </row>
    <row r="69" spans="1:18" x14ac:dyDescent="0.3">
      <c r="A69" s="778" t="s">
        <v>3905</v>
      </c>
      <c r="B69" s="778" t="s">
        <v>74</v>
      </c>
      <c r="C69" s="1429">
        <v>34.61</v>
      </c>
      <c r="D69" s="1429">
        <v>37.56</v>
      </c>
      <c r="E69" s="1429">
        <v>37.56</v>
      </c>
      <c r="F69" s="1429">
        <v>37.56</v>
      </c>
      <c r="G69" s="1429">
        <v>36.049999999999997</v>
      </c>
      <c r="H69" s="1429">
        <v>0</v>
      </c>
      <c r="I69" s="1429">
        <v>0</v>
      </c>
      <c r="J69" s="1429">
        <f>G69</f>
        <v>36.049999999999997</v>
      </c>
      <c r="K69" s="1429">
        <v>0</v>
      </c>
      <c r="L69" s="1429">
        <v>0</v>
      </c>
      <c r="M69" s="1429">
        <f>J69</f>
        <v>36.049999999999997</v>
      </c>
      <c r="N69" s="1429">
        <v>0</v>
      </c>
      <c r="O69" s="1429">
        <v>0</v>
      </c>
      <c r="P69" s="1429">
        <f>G69</f>
        <v>36.049999999999997</v>
      </c>
      <c r="Q69" s="2013">
        <v>0</v>
      </c>
      <c r="R69" s="2013">
        <v>0</v>
      </c>
    </row>
    <row r="70" spans="1:18" x14ac:dyDescent="0.3">
      <c r="A70" s="1160" t="s">
        <v>3906</v>
      </c>
      <c r="B70" s="778" t="s">
        <v>74</v>
      </c>
      <c r="C70" s="1428">
        <f>C71+C72+C73</f>
        <v>1861.06</v>
      </c>
      <c r="D70" s="1428">
        <f t="shared" ref="D70:R70" si="2">D71+D72+D73</f>
        <v>3879.6</v>
      </c>
      <c r="E70" s="1428">
        <f t="shared" si="2"/>
        <v>4281.0300000000007</v>
      </c>
      <c r="F70" s="1428">
        <f t="shared" si="2"/>
        <v>4315.9000000000005</v>
      </c>
      <c r="G70" s="1428">
        <f t="shared" si="2"/>
        <v>3319.06</v>
      </c>
      <c r="H70" s="1428">
        <f t="shared" si="2"/>
        <v>183.17000000000002</v>
      </c>
      <c r="I70" s="1428">
        <f t="shared" si="2"/>
        <v>13.33</v>
      </c>
      <c r="J70" s="1428">
        <f t="shared" si="2"/>
        <v>4202.0600000000004</v>
      </c>
      <c r="K70" s="1428">
        <f t="shared" si="2"/>
        <v>140.01</v>
      </c>
      <c r="L70" s="1428">
        <f t="shared" si="2"/>
        <v>77.69</v>
      </c>
      <c r="M70" s="1428">
        <f t="shared" si="2"/>
        <v>6581.2900000000009</v>
      </c>
      <c r="N70" s="1428">
        <f t="shared" si="2"/>
        <v>163.38</v>
      </c>
      <c r="O70" s="1428">
        <f t="shared" si="2"/>
        <v>123.39999999999999</v>
      </c>
      <c r="P70" s="1428">
        <f t="shared" si="2"/>
        <v>4060.875</v>
      </c>
      <c r="Q70" s="1428">
        <f t="shared" si="2"/>
        <v>139.06</v>
      </c>
      <c r="R70" s="1428">
        <f t="shared" si="2"/>
        <v>74.97</v>
      </c>
    </row>
    <row r="71" spans="1:18" x14ac:dyDescent="0.3">
      <c r="A71" s="778" t="s">
        <v>3903</v>
      </c>
      <c r="B71" s="778" t="s">
        <v>74</v>
      </c>
      <c r="C71" s="1429">
        <v>1418.04</v>
      </c>
      <c r="D71" s="1429">
        <v>3104.67</v>
      </c>
      <c r="E71" s="1429">
        <v>3506.1</v>
      </c>
      <c r="F71" s="1429">
        <v>3540.97</v>
      </c>
      <c r="G71" s="1429">
        <f>G67</f>
        <v>2466.62</v>
      </c>
      <c r="H71" s="1429">
        <f t="shared" ref="H71:R71" si="3">H67</f>
        <v>101.17</v>
      </c>
      <c r="I71" s="1429">
        <f t="shared" si="3"/>
        <v>0</v>
      </c>
      <c r="J71" s="1429">
        <f t="shared" si="3"/>
        <v>3349.61</v>
      </c>
      <c r="K71" s="1429">
        <f t="shared" si="3"/>
        <v>58.01</v>
      </c>
      <c r="L71" s="1429">
        <f t="shared" si="3"/>
        <v>64.36</v>
      </c>
      <c r="M71" s="1429">
        <f t="shared" si="3"/>
        <v>5728.85</v>
      </c>
      <c r="N71" s="1429">
        <f t="shared" si="3"/>
        <v>81.38</v>
      </c>
      <c r="O71" s="1429">
        <f t="shared" si="3"/>
        <v>110.07</v>
      </c>
      <c r="P71" s="1429">
        <f t="shared" si="3"/>
        <v>3208.43</v>
      </c>
      <c r="Q71" s="1429">
        <f t="shared" si="3"/>
        <v>57.06</v>
      </c>
      <c r="R71" s="1429">
        <f t="shared" si="3"/>
        <v>61.64</v>
      </c>
    </row>
    <row r="72" spans="1:18" x14ac:dyDescent="0.3">
      <c r="A72" s="778" t="s">
        <v>3904</v>
      </c>
      <c r="B72" s="778" t="s">
        <v>74</v>
      </c>
      <c r="C72" s="1429">
        <v>408.41</v>
      </c>
      <c r="D72" s="1429">
        <v>737.37</v>
      </c>
      <c r="E72" s="1429">
        <v>737.37</v>
      </c>
      <c r="F72" s="1429">
        <v>737.37</v>
      </c>
      <c r="G72" s="1429">
        <v>816.39499999999998</v>
      </c>
      <c r="H72" s="1429">
        <v>82</v>
      </c>
      <c r="I72" s="1429">
        <v>13.33</v>
      </c>
      <c r="J72" s="1429">
        <v>816.4</v>
      </c>
      <c r="K72" s="1429">
        <f>H72</f>
        <v>82</v>
      </c>
      <c r="L72" s="1429">
        <f>I72</f>
        <v>13.33</v>
      </c>
      <c r="M72" s="1429">
        <v>816.39499999999998</v>
      </c>
      <c r="N72" s="1429">
        <f>K72</f>
        <v>82</v>
      </c>
      <c r="O72" s="1429">
        <f>L72</f>
        <v>13.33</v>
      </c>
      <c r="P72" s="1429">
        <f>M72</f>
        <v>816.39499999999998</v>
      </c>
      <c r="Q72" s="4162">
        <f>N72</f>
        <v>82</v>
      </c>
      <c r="R72" s="4162">
        <f>O72</f>
        <v>13.33</v>
      </c>
    </row>
    <row r="73" spans="1:18" x14ac:dyDescent="0.3">
      <c r="A73" s="778" t="s">
        <v>3905</v>
      </c>
      <c r="B73" s="778" t="s">
        <v>74</v>
      </c>
      <c r="C73" s="1429">
        <v>34.61</v>
      </c>
      <c r="D73" s="1429">
        <v>37.56</v>
      </c>
      <c r="E73" s="1429">
        <v>37.56</v>
      </c>
      <c r="F73" s="1429">
        <v>37.56</v>
      </c>
      <c r="G73" s="1429">
        <v>36.045000000000002</v>
      </c>
      <c r="H73" s="1429">
        <f t="shared" ref="H73:R73" si="4">H69</f>
        <v>0</v>
      </c>
      <c r="I73" s="1429">
        <f t="shared" si="4"/>
        <v>0</v>
      </c>
      <c r="J73" s="1429">
        <f t="shared" si="4"/>
        <v>36.049999999999997</v>
      </c>
      <c r="K73" s="1429">
        <f t="shared" si="4"/>
        <v>0</v>
      </c>
      <c r="L73" s="1429">
        <f t="shared" si="4"/>
        <v>0</v>
      </c>
      <c r="M73" s="1429">
        <v>36.045000000000002</v>
      </c>
      <c r="N73" s="1429">
        <f t="shared" si="4"/>
        <v>0</v>
      </c>
      <c r="O73" s="1429">
        <f t="shared" si="4"/>
        <v>0</v>
      </c>
      <c r="P73" s="1429">
        <f t="shared" si="4"/>
        <v>36.049999999999997</v>
      </c>
      <c r="Q73" s="1429">
        <f t="shared" si="4"/>
        <v>0</v>
      </c>
      <c r="R73" s="1429">
        <f t="shared" si="4"/>
        <v>0</v>
      </c>
    </row>
    <row r="74" spans="1:18" x14ac:dyDescent="0.3">
      <c r="A74" s="1160" t="s">
        <v>3907</v>
      </c>
      <c r="B74" s="778" t="s">
        <v>74</v>
      </c>
      <c r="C74" s="1428">
        <f>C75+C76+C77</f>
        <v>1914.4299999999998</v>
      </c>
      <c r="D74" s="1429" t="s">
        <v>3929</v>
      </c>
      <c r="E74" s="1429" t="s">
        <v>3929</v>
      </c>
      <c r="F74" s="1429" t="s">
        <v>3929</v>
      </c>
      <c r="G74" s="1428">
        <f>G75+G76+G77</f>
        <v>3340.13</v>
      </c>
      <c r="H74" s="1428">
        <f t="shared" ref="H74:I74" si="5">H75+H76+H77</f>
        <v>152.97000000000003</v>
      </c>
      <c r="I74" s="1428">
        <f t="shared" si="5"/>
        <v>13.33</v>
      </c>
      <c r="J74" s="1429" t="s">
        <v>3929</v>
      </c>
      <c r="K74" s="1429" t="s">
        <v>3929</v>
      </c>
      <c r="L74" s="1429" t="s">
        <v>3929</v>
      </c>
      <c r="M74" s="1429" t="s">
        <v>3929</v>
      </c>
      <c r="N74" s="1429" t="s">
        <v>3929</v>
      </c>
      <c r="O74" s="1429" t="s">
        <v>3929</v>
      </c>
      <c r="P74" s="1429" t="s">
        <v>3929</v>
      </c>
      <c r="Q74" s="1429" t="s">
        <v>3929</v>
      </c>
      <c r="R74" s="1429" t="s">
        <v>3929</v>
      </c>
    </row>
    <row r="75" spans="1:18" x14ac:dyDescent="0.3">
      <c r="A75" s="778" t="s">
        <v>3903</v>
      </c>
      <c r="B75" s="778" t="s">
        <v>74</v>
      </c>
      <c r="C75" s="1429">
        <v>1418.04</v>
      </c>
      <c r="D75" s="1429" t="s">
        <v>3929</v>
      </c>
      <c r="E75" s="1429" t="s">
        <v>3929</v>
      </c>
      <c r="F75" s="1429" t="s">
        <v>3929</v>
      </c>
      <c r="G75" s="1429">
        <f>G67</f>
        <v>2466.62</v>
      </c>
      <c r="H75" s="1429">
        <f t="shared" ref="H75:I76" si="6">H67</f>
        <v>101.17</v>
      </c>
      <c r="I75" s="1429">
        <f t="shared" si="6"/>
        <v>0</v>
      </c>
      <c r="J75" s="1429" t="s">
        <v>3929</v>
      </c>
      <c r="K75" s="1429" t="s">
        <v>3929</v>
      </c>
      <c r="L75" s="1429" t="s">
        <v>3929</v>
      </c>
      <c r="M75" s="1429" t="s">
        <v>3929</v>
      </c>
      <c r="N75" s="1429" t="s">
        <v>3929</v>
      </c>
      <c r="O75" s="1429" t="s">
        <v>3929</v>
      </c>
      <c r="P75" s="1429" t="s">
        <v>3929</v>
      </c>
      <c r="Q75" s="1429" t="s">
        <v>3929</v>
      </c>
      <c r="R75" s="1429" t="s">
        <v>3929</v>
      </c>
    </row>
    <row r="76" spans="1:18" x14ac:dyDescent="0.3">
      <c r="A76" s="778" t="s">
        <v>3904</v>
      </c>
      <c r="B76" s="778" t="s">
        <v>74</v>
      </c>
      <c r="C76" s="1429">
        <v>369.8</v>
      </c>
      <c r="D76" s="1429" t="s">
        <v>3929</v>
      </c>
      <c r="E76" s="1429" t="s">
        <v>3929</v>
      </c>
      <c r="F76" s="1429" t="s">
        <v>3929</v>
      </c>
      <c r="G76" s="1429">
        <f>G68</f>
        <v>693.71</v>
      </c>
      <c r="H76" s="1429">
        <f t="shared" si="6"/>
        <v>50.81</v>
      </c>
      <c r="I76" s="1429">
        <f t="shared" si="6"/>
        <v>13.33</v>
      </c>
      <c r="J76" s="1429" t="s">
        <v>3929</v>
      </c>
      <c r="K76" s="1429" t="s">
        <v>3929</v>
      </c>
      <c r="L76" s="1429" t="s">
        <v>3929</v>
      </c>
      <c r="M76" s="1429" t="s">
        <v>3929</v>
      </c>
      <c r="N76" s="1429" t="s">
        <v>3929</v>
      </c>
      <c r="O76" s="1429" t="s">
        <v>3929</v>
      </c>
      <c r="P76" s="1429" t="s">
        <v>3929</v>
      </c>
      <c r="Q76" s="1429" t="s">
        <v>3929</v>
      </c>
      <c r="R76" s="1429" t="s">
        <v>3929</v>
      </c>
    </row>
    <row r="77" spans="1:18" x14ac:dyDescent="0.3">
      <c r="A77" s="778" t="s">
        <v>3905</v>
      </c>
      <c r="B77" s="778" t="s">
        <v>74</v>
      </c>
      <c r="C77" s="1429">
        <v>126.59</v>
      </c>
      <c r="D77" s="1429" t="s">
        <v>3929</v>
      </c>
      <c r="E77" s="1429" t="s">
        <v>3929</v>
      </c>
      <c r="F77" s="1429" t="s">
        <v>3929</v>
      </c>
      <c r="G77" s="1429">
        <v>179.8</v>
      </c>
      <c r="H77" s="1429">
        <v>0.99</v>
      </c>
      <c r="I77" s="1429">
        <v>0</v>
      </c>
      <c r="J77" s="1429" t="s">
        <v>3929</v>
      </c>
      <c r="K77" s="1429" t="s">
        <v>3929</v>
      </c>
      <c r="L77" s="1429" t="s">
        <v>3929</v>
      </c>
      <c r="M77" s="1429" t="s">
        <v>3929</v>
      </c>
      <c r="N77" s="1429" t="s">
        <v>3929</v>
      </c>
      <c r="O77" s="1429" t="s">
        <v>3929</v>
      </c>
      <c r="P77" s="1429" t="s">
        <v>3929</v>
      </c>
      <c r="Q77" s="1429" t="s">
        <v>3929</v>
      </c>
      <c r="R77" s="1429" t="s">
        <v>3929</v>
      </c>
    </row>
    <row r="78" spans="1:18" x14ac:dyDescent="0.3">
      <c r="A78" s="1160" t="s">
        <v>3930</v>
      </c>
      <c r="B78" s="778"/>
      <c r="C78" s="1429" t="s">
        <v>3929</v>
      </c>
      <c r="D78" s="1429" t="s">
        <v>3929</v>
      </c>
      <c r="E78" s="1429" t="s">
        <v>3929</v>
      </c>
      <c r="F78" s="1429" t="s">
        <v>3929</v>
      </c>
      <c r="G78" s="1429" t="s">
        <v>3929</v>
      </c>
      <c r="H78" s="1429" t="s">
        <v>3929</v>
      </c>
      <c r="I78" s="1429" t="s">
        <v>3929</v>
      </c>
      <c r="J78" s="1429" t="s">
        <v>3929</v>
      </c>
      <c r="K78" s="1429" t="s">
        <v>3929</v>
      </c>
      <c r="L78" s="1429" t="s">
        <v>3929</v>
      </c>
      <c r="M78" s="1429" t="s">
        <v>3929</v>
      </c>
      <c r="N78" s="1429" t="s">
        <v>3929</v>
      </c>
      <c r="O78" s="1429" t="s">
        <v>3929</v>
      </c>
      <c r="P78" s="1429" t="s">
        <v>3929</v>
      </c>
      <c r="Q78" s="1429" t="s">
        <v>3929</v>
      </c>
      <c r="R78" s="1429" t="s">
        <v>3929</v>
      </c>
    </row>
    <row r="79" spans="1:18" ht="46.8" x14ac:dyDescent="0.3">
      <c r="A79" s="778" t="s">
        <v>3909</v>
      </c>
      <c r="B79" s="713" t="s">
        <v>3910</v>
      </c>
      <c r="C79" s="1429" t="s">
        <v>3929</v>
      </c>
      <c r="D79" s="1429" t="s">
        <v>3929</v>
      </c>
      <c r="E79" s="1429" t="s">
        <v>3929</v>
      </c>
      <c r="F79" s="1429" t="s">
        <v>3929</v>
      </c>
      <c r="G79" s="1429" t="s">
        <v>3929</v>
      </c>
      <c r="H79" s="1429" t="s">
        <v>3929</v>
      </c>
      <c r="I79" s="1429" t="s">
        <v>3929</v>
      </c>
      <c r="J79" s="1429" t="s">
        <v>3929</v>
      </c>
      <c r="K79" s="1429" t="s">
        <v>3929</v>
      </c>
      <c r="L79" s="1429" t="s">
        <v>3929</v>
      </c>
      <c r="M79" s="1429" t="s">
        <v>3929</v>
      </c>
      <c r="N79" s="1429" t="s">
        <v>3929</v>
      </c>
      <c r="O79" s="1429" t="s">
        <v>3929</v>
      </c>
      <c r="P79" s="1429" t="s">
        <v>3929</v>
      </c>
      <c r="Q79" s="1429" t="s">
        <v>3929</v>
      </c>
      <c r="R79" s="1429" t="s">
        <v>3929</v>
      </c>
    </row>
    <row r="80" spans="1:18" x14ac:dyDescent="0.3">
      <c r="A80" s="778" t="s">
        <v>3911</v>
      </c>
      <c r="B80" s="778" t="s">
        <v>74</v>
      </c>
      <c r="C80" s="1429" t="s">
        <v>3929</v>
      </c>
      <c r="D80" s="1429" t="s">
        <v>3929</v>
      </c>
      <c r="E80" s="1429" t="s">
        <v>3929</v>
      </c>
      <c r="F80" s="1429" t="s">
        <v>3929</v>
      </c>
      <c r="G80" s="1429" t="s">
        <v>3929</v>
      </c>
      <c r="H80" s="1429" t="s">
        <v>3929</v>
      </c>
      <c r="I80" s="1429" t="s">
        <v>3929</v>
      </c>
      <c r="J80" s="1429" t="s">
        <v>3929</v>
      </c>
      <c r="K80" s="1429" t="s">
        <v>3929</v>
      </c>
      <c r="L80" s="1429" t="s">
        <v>3929</v>
      </c>
      <c r="M80" s="1429" t="s">
        <v>3929</v>
      </c>
      <c r="N80" s="1429" t="s">
        <v>3929</v>
      </c>
      <c r="O80" s="1429" t="s">
        <v>3929</v>
      </c>
      <c r="P80" s="1429" t="s">
        <v>3929</v>
      </c>
      <c r="Q80" s="1429" t="s">
        <v>3929</v>
      </c>
      <c r="R80" s="1429" t="s">
        <v>3929</v>
      </c>
    </row>
    <row r="81" spans="1:18" x14ac:dyDescent="0.3">
      <c r="A81" s="5244" t="s">
        <v>3931</v>
      </c>
      <c r="B81" s="5244"/>
      <c r="C81" s="5244"/>
      <c r="D81" s="5244"/>
      <c r="E81" s="5244"/>
      <c r="F81" s="5244"/>
      <c r="G81" s="5244"/>
      <c r="H81" s="5244"/>
      <c r="I81" s="5244"/>
      <c r="J81" s="5244"/>
      <c r="K81" s="5244"/>
      <c r="L81" s="5244"/>
      <c r="M81" s="5244"/>
      <c r="N81" s="5244"/>
      <c r="O81" s="5244"/>
      <c r="P81" s="5244"/>
    </row>
    <row r="82" spans="1:18" x14ac:dyDescent="0.3">
      <c r="A82" s="1160" t="s">
        <v>3902</v>
      </c>
      <c r="B82" s="1160" t="s">
        <v>74</v>
      </c>
      <c r="C82" s="1428">
        <f>SUM(C83:C85)</f>
        <v>2205.86</v>
      </c>
      <c r="D82" s="1428"/>
      <c r="E82" s="1428"/>
      <c r="F82" s="1428"/>
      <c r="G82" s="1428">
        <f>SUM(G83:G85)</f>
        <v>2448.0099999999998</v>
      </c>
      <c r="H82" s="1428"/>
      <c r="I82" s="1428">
        <f>SUM(I83:I85)</f>
        <v>78.47</v>
      </c>
      <c r="J82" s="1428"/>
      <c r="K82" s="1428"/>
      <c r="L82" s="1428"/>
      <c r="M82" s="1428"/>
      <c r="N82" s="1428"/>
      <c r="O82" s="1428"/>
      <c r="P82" s="1428"/>
      <c r="Q82" s="778"/>
      <c r="R82" s="778"/>
    </row>
    <row r="83" spans="1:18" x14ac:dyDescent="0.3">
      <c r="A83" s="778" t="s">
        <v>3903</v>
      </c>
      <c r="B83" s="778" t="s">
        <v>74</v>
      </c>
      <c r="C83" s="1429">
        <v>2064.02</v>
      </c>
      <c r="D83" s="1429" t="s">
        <v>3587</v>
      </c>
      <c r="E83" s="1429" t="s">
        <v>3587</v>
      </c>
      <c r="F83" s="1429" t="s">
        <v>3587</v>
      </c>
      <c r="G83" s="1429">
        <v>2049.85</v>
      </c>
      <c r="H83" s="1429" t="s">
        <v>3587</v>
      </c>
      <c r="I83" s="1429">
        <v>65.7</v>
      </c>
      <c r="J83" s="1429"/>
      <c r="K83" s="1429"/>
      <c r="L83" s="1429"/>
      <c r="M83" s="1429"/>
      <c r="N83" s="1429"/>
      <c r="O83" s="1429"/>
      <c r="P83" s="1429"/>
      <c r="Q83" s="778"/>
      <c r="R83" s="778"/>
    </row>
    <row r="84" spans="1:18" x14ac:dyDescent="0.3">
      <c r="A84" s="778" t="s">
        <v>3904</v>
      </c>
      <c r="B84" s="778" t="s">
        <v>74</v>
      </c>
      <c r="C84" s="1429">
        <v>109.06</v>
      </c>
      <c r="D84" s="1429" t="s">
        <v>3587</v>
      </c>
      <c r="E84" s="1429" t="s">
        <v>3587</v>
      </c>
      <c r="F84" s="1429" t="s">
        <v>3587</v>
      </c>
      <c r="G84" s="1429">
        <v>390.52</v>
      </c>
      <c r="H84" s="1429" t="s">
        <v>3587</v>
      </c>
      <c r="I84" s="1429">
        <v>12.52</v>
      </c>
      <c r="J84" s="1429"/>
      <c r="K84" s="1429"/>
      <c r="L84" s="1429"/>
      <c r="M84" s="1429"/>
      <c r="N84" s="1429"/>
      <c r="O84" s="1429"/>
      <c r="P84" s="1429"/>
      <c r="Q84" s="778"/>
      <c r="R84" s="778"/>
    </row>
    <row r="85" spans="1:18" x14ac:dyDescent="0.3">
      <c r="A85" s="778" t="s">
        <v>3905</v>
      </c>
      <c r="B85" s="778" t="s">
        <v>74</v>
      </c>
      <c r="C85" s="1429">
        <v>32.78</v>
      </c>
      <c r="D85" s="1429" t="s">
        <v>3587</v>
      </c>
      <c r="E85" s="1429" t="s">
        <v>3587</v>
      </c>
      <c r="F85" s="1429" t="s">
        <v>3587</v>
      </c>
      <c r="G85" s="1429">
        <v>7.64</v>
      </c>
      <c r="H85" s="1429" t="s">
        <v>3587</v>
      </c>
      <c r="I85" s="1429">
        <v>0.25</v>
      </c>
      <c r="J85" s="1429"/>
      <c r="K85" s="1429"/>
      <c r="L85" s="1429"/>
      <c r="M85" s="1429"/>
      <c r="N85" s="1429"/>
      <c r="O85" s="1429"/>
      <c r="P85" s="1429"/>
      <c r="Q85" s="778"/>
      <c r="R85" s="778"/>
    </row>
    <row r="86" spans="1:18" x14ac:dyDescent="0.3">
      <c r="A86" s="1160" t="s">
        <v>3906</v>
      </c>
      <c r="B86" s="1160" t="s">
        <v>74</v>
      </c>
      <c r="C86" s="1428"/>
      <c r="D86" s="1428"/>
      <c r="E86" s="1428"/>
      <c r="F86" s="1428"/>
      <c r="G86" s="1428"/>
      <c r="H86" s="1428"/>
      <c r="I86" s="1428"/>
      <c r="J86" s="1428"/>
      <c r="K86" s="1428"/>
      <c r="L86" s="1428"/>
      <c r="M86" s="1428"/>
      <c r="N86" s="1428"/>
      <c r="O86" s="1428"/>
      <c r="P86" s="1428"/>
      <c r="Q86" s="778"/>
      <c r="R86" s="778"/>
    </row>
    <row r="87" spans="1:18" x14ac:dyDescent="0.3">
      <c r="A87" s="778" t="s">
        <v>3903</v>
      </c>
      <c r="B87" s="778" t="s">
        <v>74</v>
      </c>
      <c r="C87" s="1429"/>
      <c r="D87" s="1429"/>
      <c r="E87" s="1429"/>
      <c r="F87" s="1429"/>
      <c r="G87" s="1429"/>
      <c r="H87" s="1429"/>
      <c r="I87" s="1429"/>
      <c r="J87" s="1429"/>
      <c r="K87" s="1429"/>
      <c r="L87" s="1429"/>
      <c r="M87" s="1429"/>
      <c r="N87" s="1429"/>
      <c r="O87" s="1429"/>
      <c r="P87" s="1429"/>
      <c r="Q87" s="778"/>
      <c r="R87" s="778"/>
    </row>
    <row r="88" spans="1:18" x14ac:dyDescent="0.3">
      <c r="A88" s="778" t="s">
        <v>3904</v>
      </c>
      <c r="B88" s="778" t="s">
        <v>74</v>
      </c>
      <c r="C88" s="1429"/>
      <c r="D88" s="1429"/>
      <c r="E88" s="1429"/>
      <c r="F88" s="1429"/>
      <c r="G88" s="1429"/>
      <c r="H88" s="1429"/>
      <c r="I88" s="1429"/>
      <c r="J88" s="1429"/>
      <c r="K88" s="1429"/>
      <c r="L88" s="1429"/>
      <c r="M88" s="1429"/>
      <c r="N88" s="1429"/>
      <c r="O88" s="1429"/>
      <c r="P88" s="1429"/>
      <c r="Q88" s="778"/>
      <c r="R88" s="778"/>
    </row>
    <row r="89" spans="1:18" x14ac:dyDescent="0.3">
      <c r="A89" s="778" t="s">
        <v>3905</v>
      </c>
      <c r="B89" s="778" t="s">
        <v>74</v>
      </c>
      <c r="C89" s="1429"/>
      <c r="D89" s="1429"/>
      <c r="E89" s="1429"/>
      <c r="F89" s="1429"/>
      <c r="G89" s="1429"/>
      <c r="H89" s="1429"/>
      <c r="I89" s="1429"/>
      <c r="J89" s="1429"/>
      <c r="K89" s="1429"/>
      <c r="L89" s="1429"/>
      <c r="M89" s="1429"/>
      <c r="N89" s="1429"/>
      <c r="O89" s="1429"/>
      <c r="P89" s="1429"/>
      <c r="Q89" s="778"/>
      <c r="R89" s="778"/>
    </row>
    <row r="90" spans="1:18" x14ac:dyDescent="0.3">
      <c r="A90" s="1160" t="s">
        <v>3907</v>
      </c>
      <c r="B90" s="778" t="s">
        <v>74</v>
      </c>
      <c r="C90" s="1428"/>
      <c r="D90" s="1429"/>
      <c r="E90" s="1429"/>
      <c r="F90" s="1429"/>
      <c r="G90" s="1428"/>
      <c r="H90" s="1428"/>
      <c r="I90" s="1428"/>
      <c r="J90" s="1429"/>
      <c r="K90" s="1429"/>
      <c r="L90" s="1429"/>
      <c r="M90" s="1429"/>
      <c r="N90" s="1429"/>
      <c r="O90" s="1429"/>
      <c r="P90" s="1429"/>
      <c r="Q90" s="778"/>
      <c r="R90" s="778"/>
    </row>
    <row r="91" spans="1:18" x14ac:dyDescent="0.3">
      <c r="A91" s="778" t="s">
        <v>3903</v>
      </c>
      <c r="B91" s="778" t="s">
        <v>74</v>
      </c>
      <c r="C91" s="1429"/>
      <c r="D91" s="1429"/>
      <c r="E91" s="1429"/>
      <c r="F91" s="1429"/>
      <c r="G91" s="1429"/>
      <c r="H91" s="1429"/>
      <c r="I91" s="1429"/>
      <c r="J91" s="1429"/>
      <c r="K91" s="1429"/>
      <c r="L91" s="1429"/>
      <c r="M91" s="1429"/>
      <c r="N91" s="1429"/>
      <c r="O91" s="1429"/>
      <c r="P91" s="1429"/>
      <c r="Q91" s="778"/>
      <c r="R91" s="778"/>
    </row>
    <row r="92" spans="1:18" x14ac:dyDescent="0.3">
      <c r="A92" s="778" t="s">
        <v>3904</v>
      </c>
      <c r="B92" s="778" t="s">
        <v>74</v>
      </c>
      <c r="C92" s="1429"/>
      <c r="D92" s="1429"/>
      <c r="E92" s="1429"/>
      <c r="F92" s="1429"/>
      <c r="G92" s="1429"/>
      <c r="H92" s="1429"/>
      <c r="I92" s="1429"/>
      <c r="J92" s="1429"/>
      <c r="K92" s="1429"/>
      <c r="L92" s="1429"/>
      <c r="M92" s="1429"/>
      <c r="N92" s="1429"/>
      <c r="O92" s="1429"/>
      <c r="P92" s="1429"/>
      <c r="Q92" s="778"/>
      <c r="R92" s="778"/>
    </row>
    <row r="93" spans="1:18" x14ac:dyDescent="0.3">
      <c r="A93" s="778" t="s">
        <v>3905</v>
      </c>
      <c r="B93" s="778" t="s">
        <v>74</v>
      </c>
      <c r="C93" s="1429"/>
      <c r="D93" s="1429"/>
      <c r="E93" s="1429"/>
      <c r="F93" s="1429"/>
      <c r="G93" s="1429"/>
      <c r="H93" s="1429"/>
      <c r="I93" s="1429"/>
      <c r="J93" s="1429"/>
      <c r="K93" s="1429"/>
      <c r="L93" s="1429"/>
      <c r="M93" s="1429"/>
      <c r="N93" s="1429"/>
      <c r="O93" s="1429"/>
      <c r="P93" s="1429"/>
      <c r="Q93" s="778"/>
      <c r="R93" s="778"/>
    </row>
    <row r="94" spans="1:18" x14ac:dyDescent="0.3">
      <c r="A94" s="1160" t="s">
        <v>3930</v>
      </c>
      <c r="B94" s="778"/>
      <c r="C94" s="1429"/>
      <c r="D94" s="1429"/>
      <c r="E94" s="1429"/>
      <c r="F94" s="1429"/>
      <c r="G94" s="1429"/>
      <c r="H94" s="1429"/>
      <c r="I94" s="1429"/>
      <c r="J94" s="1429"/>
      <c r="K94" s="1429"/>
      <c r="L94" s="1429"/>
      <c r="M94" s="1429"/>
      <c r="N94" s="1429"/>
      <c r="O94" s="1429"/>
      <c r="P94" s="1429"/>
      <c r="Q94" s="778"/>
      <c r="R94" s="778"/>
    </row>
    <row r="95" spans="1:18" ht="46.8" x14ac:dyDescent="0.3">
      <c r="A95" s="778" t="s">
        <v>3909</v>
      </c>
      <c r="B95" s="713" t="s">
        <v>3910</v>
      </c>
      <c r="C95" s="1429"/>
      <c r="D95" s="1429"/>
      <c r="E95" s="1429"/>
      <c r="F95" s="1429"/>
      <c r="G95" s="1429"/>
      <c r="H95" s="1429"/>
      <c r="I95" s="1429"/>
      <c r="J95" s="1429"/>
      <c r="K95" s="1429"/>
      <c r="L95" s="1429"/>
      <c r="M95" s="1429"/>
      <c r="N95" s="1429"/>
      <c r="O95" s="1429"/>
      <c r="P95" s="1429"/>
      <c r="Q95" s="778"/>
      <c r="R95" s="778"/>
    </row>
    <row r="96" spans="1:18" x14ac:dyDescent="0.3">
      <c r="A96" s="778" t="s">
        <v>3911</v>
      </c>
      <c r="B96" s="778" t="s">
        <v>74</v>
      </c>
      <c r="C96" s="1429"/>
      <c r="D96" s="1429"/>
      <c r="E96" s="1429"/>
      <c r="F96" s="1429"/>
      <c r="G96" s="1429"/>
      <c r="H96" s="1429"/>
      <c r="I96" s="1429"/>
      <c r="J96" s="1429"/>
      <c r="K96" s="1429"/>
      <c r="L96" s="1429"/>
      <c r="M96" s="1429"/>
      <c r="N96" s="1429"/>
      <c r="O96" s="1429"/>
      <c r="P96" s="1429"/>
      <c r="Q96" s="778"/>
      <c r="R96" s="778"/>
    </row>
    <row r="97" spans="1:22" x14ac:dyDescent="0.3">
      <c r="A97" s="5955" t="s">
        <v>3932</v>
      </c>
      <c r="B97" s="5955"/>
      <c r="C97" s="5955"/>
      <c r="D97" s="5955"/>
      <c r="E97" s="5955"/>
      <c r="F97" s="5955"/>
      <c r="G97" s="5955"/>
      <c r="H97" s="5955"/>
      <c r="I97" s="5955"/>
      <c r="J97" s="5955"/>
      <c r="K97" s="5955"/>
      <c r="L97" s="5955"/>
      <c r="M97" s="5955"/>
      <c r="N97" s="5955"/>
      <c r="O97" s="5955"/>
      <c r="P97" s="5955"/>
      <c r="Q97" s="5955"/>
      <c r="R97" s="5955"/>
      <c r="S97" s="5955"/>
      <c r="T97" s="4163"/>
    </row>
    <row r="98" spans="1:22" x14ac:dyDescent="0.3">
      <c r="A98" s="4164" t="s">
        <v>3902</v>
      </c>
      <c r="B98" s="4164" t="s">
        <v>74</v>
      </c>
      <c r="C98" s="4165">
        <f t="shared" ref="C98:J98" si="7">C99+C100+C101</f>
        <v>2048.56</v>
      </c>
      <c r="D98" s="4165">
        <f t="shared" si="7"/>
        <v>2048.56</v>
      </c>
      <c r="E98" s="4165">
        <f t="shared" si="7"/>
        <v>3590.9900000000002</v>
      </c>
      <c r="F98" s="4165">
        <f t="shared" si="7"/>
        <v>3099.6200000000003</v>
      </c>
      <c r="G98" s="4165">
        <f t="shared" si="7"/>
        <v>3005.36</v>
      </c>
      <c r="H98" s="4165">
        <f t="shared" si="7"/>
        <v>3653.58</v>
      </c>
      <c r="I98" s="4165">
        <f t="shared" si="7"/>
        <v>2983.82</v>
      </c>
      <c r="J98" s="4165">
        <f t="shared" si="7"/>
        <v>5666.74</v>
      </c>
      <c r="K98" s="4165" t="s">
        <v>3587</v>
      </c>
      <c r="L98" s="4165">
        <f>L99+L100+L101</f>
        <v>102.56</v>
      </c>
      <c r="M98" s="4165">
        <f>M99+M100+M101</f>
        <v>3997.5</v>
      </c>
      <c r="N98" s="4165" t="s">
        <v>3587</v>
      </c>
      <c r="O98" s="4165">
        <f>O99+O100+O101</f>
        <v>153.74999999999997</v>
      </c>
      <c r="P98" s="4165">
        <f>P99+P100+P101</f>
        <v>3997.48</v>
      </c>
      <c r="Q98" s="4165" t="s">
        <v>3587</v>
      </c>
      <c r="R98" s="4165">
        <v>153.69999999999999</v>
      </c>
      <c r="S98" s="4165"/>
      <c r="T98" s="4165"/>
      <c r="U98" s="778"/>
      <c r="V98" s="778"/>
    </row>
    <row r="99" spans="1:22" x14ac:dyDescent="0.3">
      <c r="A99" s="778" t="s">
        <v>3903</v>
      </c>
      <c r="B99" s="778" t="s">
        <v>74</v>
      </c>
      <c r="C99" s="1429">
        <v>1896.51</v>
      </c>
      <c r="D99" s="1429">
        <v>1896.51</v>
      </c>
      <c r="E99" s="1429">
        <v>2919.06</v>
      </c>
      <c r="F99" s="1429">
        <v>2666.76</v>
      </c>
      <c r="G99" s="1429">
        <v>2561.8000000000002</v>
      </c>
      <c r="H99" s="1429">
        <v>3179.53</v>
      </c>
      <c r="I99" s="1429">
        <v>2540.2600000000002</v>
      </c>
      <c r="J99" s="1429">
        <v>5154.1499999999996</v>
      </c>
      <c r="K99" s="1429" t="s">
        <v>3587</v>
      </c>
      <c r="L99" s="1429">
        <v>82.85</v>
      </c>
      <c r="M99" s="1429">
        <v>3484.91</v>
      </c>
      <c r="N99" s="1429" t="s">
        <v>3587</v>
      </c>
      <c r="O99" s="1429">
        <v>134.04</v>
      </c>
      <c r="P99" s="1429">
        <v>3484.89</v>
      </c>
      <c r="Q99" s="1429" t="s">
        <v>3587</v>
      </c>
      <c r="R99" s="1429">
        <v>133.99</v>
      </c>
      <c r="S99" s="1429"/>
      <c r="T99" s="1429"/>
      <c r="U99" s="778"/>
      <c r="V99" s="778"/>
    </row>
    <row r="100" spans="1:22" x14ac:dyDescent="0.3">
      <c r="A100" s="778" t="s">
        <v>3904</v>
      </c>
      <c r="B100" s="778" t="s">
        <v>74</v>
      </c>
      <c r="C100" s="1429">
        <v>60.2</v>
      </c>
      <c r="D100" s="1429">
        <v>60.2</v>
      </c>
      <c r="E100" s="1429">
        <v>573.28</v>
      </c>
      <c r="F100" s="1429">
        <v>384.81</v>
      </c>
      <c r="G100" s="1429">
        <v>415.64</v>
      </c>
      <c r="H100" s="1429">
        <v>437.68</v>
      </c>
      <c r="I100" s="1429">
        <v>415.64</v>
      </c>
      <c r="J100" s="1429">
        <v>427.8</v>
      </c>
      <c r="K100" s="1429" t="s">
        <v>3587</v>
      </c>
      <c r="L100" s="1429">
        <v>16.45</v>
      </c>
      <c r="M100" s="1429">
        <v>427.8</v>
      </c>
      <c r="N100" s="1429" t="s">
        <v>3587</v>
      </c>
      <c r="O100" s="1429">
        <v>16.45</v>
      </c>
      <c r="P100" s="1429">
        <v>427.8</v>
      </c>
      <c r="Q100" s="1429" t="s">
        <v>3587</v>
      </c>
      <c r="R100" s="1429">
        <v>16.45</v>
      </c>
      <c r="S100" s="1429"/>
      <c r="T100" s="1429"/>
      <c r="U100" s="778"/>
      <c r="V100" s="778"/>
    </row>
    <row r="101" spans="1:22" x14ac:dyDescent="0.3">
      <c r="A101" s="778" t="s">
        <v>3905</v>
      </c>
      <c r="B101" s="778" t="s">
        <v>74</v>
      </c>
      <c r="C101" s="1429">
        <v>91.85</v>
      </c>
      <c r="D101" s="1429">
        <v>91.85</v>
      </c>
      <c r="E101" s="1429">
        <v>98.65</v>
      </c>
      <c r="F101" s="1429">
        <v>48.05</v>
      </c>
      <c r="G101" s="1429">
        <v>27.92</v>
      </c>
      <c r="H101" s="1429">
        <v>36.369999999999997</v>
      </c>
      <c r="I101" s="1429">
        <v>27.92</v>
      </c>
      <c r="J101" s="1429">
        <v>84.79</v>
      </c>
      <c r="K101" s="1429" t="s">
        <v>3587</v>
      </c>
      <c r="L101" s="1429">
        <v>3.26</v>
      </c>
      <c r="M101" s="1429">
        <v>84.79</v>
      </c>
      <c r="N101" s="1429" t="s">
        <v>3587</v>
      </c>
      <c r="O101" s="1429">
        <v>3.26</v>
      </c>
      <c r="P101" s="1429">
        <v>84.79</v>
      </c>
      <c r="Q101" s="1429" t="s">
        <v>3587</v>
      </c>
      <c r="R101" s="1429">
        <v>3.26</v>
      </c>
      <c r="S101" s="1429"/>
      <c r="T101" s="1429"/>
      <c r="U101" s="778"/>
      <c r="V101" s="778"/>
    </row>
    <row r="102" spans="1:22" x14ac:dyDescent="0.3">
      <c r="A102" s="4164" t="s">
        <v>3906</v>
      </c>
      <c r="B102" s="4164" t="s">
        <v>74</v>
      </c>
      <c r="C102" s="4165"/>
      <c r="D102" s="4165"/>
      <c r="E102" s="4165"/>
      <c r="F102" s="4165"/>
      <c r="G102" s="4165"/>
      <c r="H102" s="4165"/>
      <c r="I102" s="4165"/>
      <c r="J102" s="4165"/>
      <c r="K102" s="4165"/>
      <c r="L102" s="4165"/>
      <c r="M102" s="4165"/>
      <c r="N102" s="4165"/>
      <c r="O102" s="4165"/>
      <c r="P102" s="4165"/>
      <c r="Q102" s="4165"/>
      <c r="R102" s="4165"/>
      <c r="S102" s="4165"/>
      <c r="T102" s="4165"/>
      <c r="U102" s="778"/>
      <c r="V102" s="778"/>
    </row>
    <row r="103" spans="1:22" x14ac:dyDescent="0.3">
      <c r="A103" s="778" t="s">
        <v>3903</v>
      </c>
      <c r="B103" s="778" t="s">
        <v>74</v>
      </c>
      <c r="C103" s="1429"/>
      <c r="D103" s="1429"/>
      <c r="E103" s="1429"/>
      <c r="F103" s="1429"/>
      <c r="G103" s="1429"/>
      <c r="H103" s="1429"/>
      <c r="I103" s="1429"/>
      <c r="J103" s="1429"/>
      <c r="K103" s="1429"/>
      <c r="L103" s="1429"/>
      <c r="M103" s="1429"/>
      <c r="N103" s="1429"/>
      <c r="O103" s="1429"/>
      <c r="P103" s="1429"/>
      <c r="Q103" s="1429"/>
      <c r="R103" s="1429"/>
      <c r="S103" s="1429"/>
      <c r="T103" s="1429"/>
      <c r="U103" s="778"/>
      <c r="V103" s="778"/>
    </row>
    <row r="104" spans="1:22" x14ac:dyDescent="0.3">
      <c r="A104" s="778" t="s">
        <v>3904</v>
      </c>
      <c r="B104" s="778" t="s">
        <v>74</v>
      </c>
      <c r="C104" s="1429"/>
      <c r="D104" s="1429"/>
      <c r="E104" s="1429"/>
      <c r="F104" s="1429"/>
      <c r="G104" s="1429"/>
      <c r="H104" s="1429"/>
      <c r="I104" s="1429"/>
      <c r="J104" s="1429"/>
      <c r="K104" s="1429"/>
      <c r="L104" s="1429"/>
      <c r="M104" s="1429"/>
      <c r="N104" s="1429"/>
      <c r="O104" s="1429"/>
      <c r="P104" s="1429"/>
      <c r="Q104" s="1429"/>
      <c r="R104" s="1429"/>
      <c r="S104" s="1429"/>
      <c r="T104" s="1429"/>
      <c r="U104" s="778"/>
      <c r="V104" s="778"/>
    </row>
    <row r="105" spans="1:22" x14ac:dyDescent="0.3">
      <c r="A105" s="778" t="s">
        <v>3905</v>
      </c>
      <c r="B105" s="778" t="s">
        <v>74</v>
      </c>
      <c r="C105" s="1429"/>
      <c r="D105" s="1429"/>
      <c r="E105" s="1429"/>
      <c r="F105" s="1429"/>
      <c r="G105" s="1429"/>
      <c r="H105" s="1429"/>
      <c r="I105" s="1429"/>
      <c r="J105" s="1429"/>
      <c r="K105" s="1429"/>
      <c r="L105" s="1429"/>
      <c r="M105" s="1429"/>
      <c r="N105" s="1429"/>
      <c r="O105" s="1429"/>
      <c r="P105" s="1429"/>
      <c r="Q105" s="1429"/>
      <c r="R105" s="1429"/>
      <c r="S105" s="1429"/>
      <c r="T105" s="1429"/>
      <c r="U105" s="778"/>
      <c r="V105" s="778"/>
    </row>
    <row r="106" spans="1:22" x14ac:dyDescent="0.3">
      <c r="A106" s="4164" t="s">
        <v>3907</v>
      </c>
      <c r="B106" s="778" t="s">
        <v>74</v>
      </c>
      <c r="C106" s="4165"/>
      <c r="D106" s="4165"/>
      <c r="E106" s="4165"/>
      <c r="F106" s="1429"/>
      <c r="G106" s="1429"/>
      <c r="H106" s="1429"/>
      <c r="I106" s="1429"/>
      <c r="J106" s="4165"/>
      <c r="K106" s="4165"/>
      <c r="L106" s="4165"/>
      <c r="M106" s="1429"/>
      <c r="N106" s="1429"/>
      <c r="O106" s="1429"/>
      <c r="P106" s="1429"/>
      <c r="Q106" s="1429"/>
      <c r="R106" s="1429"/>
      <c r="S106" s="1429"/>
      <c r="T106" s="1429"/>
      <c r="U106" s="778"/>
      <c r="V106" s="778"/>
    </row>
    <row r="107" spans="1:22" x14ac:dyDescent="0.3">
      <c r="A107" s="778" t="s">
        <v>3903</v>
      </c>
      <c r="B107" s="778" t="s">
        <v>74</v>
      </c>
      <c r="C107" s="1429"/>
      <c r="D107" s="1429"/>
      <c r="E107" s="1429"/>
      <c r="F107" s="1429"/>
      <c r="G107" s="1429"/>
      <c r="H107" s="1429"/>
      <c r="I107" s="1429"/>
      <c r="J107" s="1429"/>
      <c r="K107" s="1429"/>
      <c r="L107" s="1429"/>
      <c r="M107" s="1429"/>
      <c r="N107" s="1429"/>
      <c r="O107" s="1429"/>
      <c r="P107" s="1429"/>
      <c r="Q107" s="1429"/>
      <c r="R107" s="1429"/>
      <c r="S107" s="1429"/>
      <c r="T107" s="1429"/>
      <c r="U107" s="778"/>
      <c r="V107" s="778"/>
    </row>
    <row r="108" spans="1:22" x14ac:dyDescent="0.3">
      <c r="A108" s="778" t="s">
        <v>3904</v>
      </c>
      <c r="B108" s="778" t="s">
        <v>74</v>
      </c>
      <c r="C108" s="1429"/>
      <c r="D108" s="1429"/>
      <c r="E108" s="1429"/>
      <c r="F108" s="1429"/>
      <c r="G108" s="1429"/>
      <c r="H108" s="1429"/>
      <c r="I108" s="1429"/>
      <c r="J108" s="1429"/>
      <c r="K108" s="1429"/>
      <c r="L108" s="1429"/>
      <c r="M108" s="1429"/>
      <c r="N108" s="1429"/>
      <c r="O108" s="1429"/>
      <c r="P108" s="1429"/>
      <c r="Q108" s="1429"/>
      <c r="R108" s="1429"/>
      <c r="S108" s="1429"/>
      <c r="T108" s="1429"/>
      <c r="U108" s="778"/>
      <c r="V108" s="778"/>
    </row>
    <row r="109" spans="1:22" x14ac:dyDescent="0.3">
      <c r="A109" s="778" t="s">
        <v>3905</v>
      </c>
      <c r="B109" s="778" t="s">
        <v>74</v>
      </c>
      <c r="C109" s="1429"/>
      <c r="D109" s="1429"/>
      <c r="E109" s="1429"/>
      <c r="F109" s="1429"/>
      <c r="G109" s="1429"/>
      <c r="H109" s="1429"/>
      <c r="I109" s="1429"/>
      <c r="J109" s="1429"/>
      <c r="K109" s="1429"/>
      <c r="L109" s="1429"/>
      <c r="M109" s="1429"/>
      <c r="N109" s="1429"/>
      <c r="O109" s="1429"/>
      <c r="P109" s="1429"/>
      <c r="Q109" s="1429"/>
      <c r="R109" s="1429"/>
      <c r="S109" s="1429"/>
      <c r="T109" s="1429"/>
      <c r="U109" s="778"/>
      <c r="V109" s="778"/>
    </row>
    <row r="110" spans="1:22" x14ac:dyDescent="0.3">
      <c r="A110" s="4164" t="s">
        <v>3930</v>
      </c>
      <c r="B110" s="778"/>
      <c r="C110" s="1429"/>
      <c r="D110" s="1429"/>
      <c r="E110" s="1429"/>
      <c r="F110" s="1429"/>
      <c r="G110" s="1429"/>
      <c r="H110" s="1429"/>
      <c r="I110" s="1429"/>
      <c r="J110" s="1429"/>
      <c r="K110" s="1429"/>
      <c r="L110" s="1429"/>
      <c r="M110" s="1429"/>
      <c r="N110" s="1429"/>
      <c r="O110" s="1429"/>
      <c r="P110" s="1429"/>
      <c r="Q110" s="1429"/>
      <c r="R110" s="1429"/>
      <c r="S110" s="1429"/>
      <c r="T110" s="1429"/>
      <c r="U110" s="778"/>
      <c r="V110" s="778"/>
    </row>
    <row r="111" spans="1:22" ht="46.8" x14ac:dyDescent="0.3">
      <c r="A111" s="778" t="s">
        <v>3909</v>
      </c>
      <c r="B111" s="713" t="s">
        <v>3910</v>
      </c>
      <c r="C111" s="1429"/>
      <c r="D111" s="1429"/>
      <c r="E111" s="1429"/>
      <c r="F111" s="1429"/>
      <c r="G111" s="1429"/>
      <c r="H111" s="1429"/>
      <c r="I111" s="1429"/>
      <c r="J111" s="1429"/>
      <c r="K111" s="1429"/>
      <c r="L111" s="1429"/>
      <c r="M111" s="1429"/>
      <c r="N111" s="1429"/>
      <c r="O111" s="1429"/>
      <c r="P111" s="1429"/>
      <c r="Q111" s="1429"/>
      <c r="R111" s="1429"/>
      <c r="S111" s="1429"/>
      <c r="T111" s="1429"/>
      <c r="U111" s="778"/>
      <c r="V111" s="778"/>
    </row>
    <row r="112" spans="1:22" x14ac:dyDescent="0.3">
      <c r="A112" s="778" t="s">
        <v>3911</v>
      </c>
      <c r="B112" s="778" t="s">
        <v>74</v>
      </c>
      <c r="C112" s="1429"/>
      <c r="D112" s="1429"/>
      <c r="E112" s="1429"/>
      <c r="F112" s="1429"/>
      <c r="G112" s="1429"/>
      <c r="H112" s="1429"/>
      <c r="I112" s="1429"/>
      <c r="J112" s="1429"/>
      <c r="K112" s="1429"/>
      <c r="L112" s="1429"/>
      <c r="M112" s="1429"/>
      <c r="N112" s="1429"/>
      <c r="O112" s="1429"/>
      <c r="P112" s="1429"/>
      <c r="Q112" s="1429"/>
      <c r="R112" s="1429"/>
      <c r="S112" s="1429"/>
      <c r="T112" s="1429"/>
      <c r="U112" s="778"/>
      <c r="V112" s="778"/>
    </row>
    <row r="113" spans="1:20" x14ac:dyDescent="0.3">
      <c r="A113" s="4941" t="s">
        <v>3933</v>
      </c>
      <c r="B113" s="4941"/>
      <c r="C113" s="4941"/>
      <c r="D113" s="4941"/>
      <c r="E113" s="4941"/>
      <c r="F113" s="4941"/>
      <c r="G113" s="4941"/>
      <c r="H113" s="4941"/>
      <c r="I113" s="4941"/>
      <c r="J113" s="4941"/>
      <c r="K113" s="4941"/>
      <c r="L113" s="4941"/>
      <c r="M113" s="4941"/>
      <c r="N113" s="4941"/>
      <c r="O113" s="4941"/>
      <c r="P113" s="4941"/>
    </row>
    <row r="114" spans="1:20" x14ac:dyDescent="0.3">
      <c r="A114" s="1160" t="s">
        <v>3902</v>
      </c>
      <c r="B114" s="1160" t="s">
        <v>74</v>
      </c>
      <c r="C114" s="1428">
        <f>C115+C116+C117</f>
        <v>2215.15</v>
      </c>
      <c r="D114" s="1428">
        <f>D115+D116+D117</f>
        <v>3480.9700000000003</v>
      </c>
      <c r="E114" s="1428">
        <f>E115+E116+E117</f>
        <v>6285.0599999999995</v>
      </c>
      <c r="F114" s="4150" t="s">
        <v>3587</v>
      </c>
      <c r="G114" s="1428">
        <f t="shared" ref="G114:O114" si="8">G115+G116+G117</f>
        <v>2685.19</v>
      </c>
      <c r="H114" s="1428">
        <f t="shared" si="8"/>
        <v>39.919999999999995</v>
      </c>
      <c r="I114" s="1428">
        <f t="shared" si="8"/>
        <v>96.55</v>
      </c>
      <c r="J114" s="1428">
        <f t="shared" si="8"/>
        <v>3956.6</v>
      </c>
      <c r="K114" s="1428">
        <f t="shared" si="8"/>
        <v>39.919999999999995</v>
      </c>
      <c r="L114" s="1428">
        <f t="shared" si="8"/>
        <v>147.16999999999999</v>
      </c>
      <c r="M114" s="1428">
        <f t="shared" si="8"/>
        <v>7065.72</v>
      </c>
      <c r="N114" s="1428">
        <f t="shared" si="8"/>
        <v>39.919999999999995</v>
      </c>
      <c r="O114" s="1428">
        <f t="shared" si="8"/>
        <v>270.95</v>
      </c>
      <c r="P114" s="4150" t="s">
        <v>3587</v>
      </c>
      <c r="Q114" s="4150" t="s">
        <v>3587</v>
      </c>
      <c r="R114" s="4150" t="s">
        <v>3587</v>
      </c>
    </row>
    <row r="115" spans="1:20" x14ac:dyDescent="0.3">
      <c r="A115" s="778" t="s">
        <v>3903</v>
      </c>
      <c r="B115" s="778" t="s">
        <v>74</v>
      </c>
      <c r="C115" s="1429">
        <v>1691.47</v>
      </c>
      <c r="D115" s="1429">
        <v>2957.29</v>
      </c>
      <c r="E115" s="1429">
        <v>5761.38</v>
      </c>
      <c r="F115" s="4150" t="s">
        <v>3587</v>
      </c>
      <c r="G115" s="1429">
        <v>1938.96</v>
      </c>
      <c r="H115" s="1429">
        <v>1.37</v>
      </c>
      <c r="I115" s="1429">
        <v>77.19</v>
      </c>
      <c r="J115" s="1429">
        <v>3210.37</v>
      </c>
      <c r="K115" s="1429">
        <v>1.37</v>
      </c>
      <c r="L115" s="1429">
        <v>127.81</v>
      </c>
      <c r="M115" s="1429">
        <v>6319.49</v>
      </c>
      <c r="N115" s="1429">
        <v>1.37</v>
      </c>
      <c r="O115" s="1429">
        <v>251.59</v>
      </c>
      <c r="P115" s="4150" t="s">
        <v>3587</v>
      </c>
      <c r="Q115" s="4150" t="s">
        <v>3587</v>
      </c>
      <c r="R115" s="4150" t="s">
        <v>3587</v>
      </c>
    </row>
    <row r="116" spans="1:20" x14ac:dyDescent="0.3">
      <c r="A116" s="778" t="s">
        <v>3904</v>
      </c>
      <c r="B116" s="778" t="s">
        <v>74</v>
      </c>
      <c r="C116" s="1429">
        <v>498.65</v>
      </c>
      <c r="D116" s="1429">
        <v>498.65</v>
      </c>
      <c r="E116" s="1429">
        <v>498.65</v>
      </c>
      <c r="F116" s="4150" t="s">
        <v>3587</v>
      </c>
      <c r="G116" s="1429">
        <v>711.67</v>
      </c>
      <c r="H116" s="1429">
        <v>38.549999999999997</v>
      </c>
      <c r="I116" s="1429">
        <v>17.98</v>
      </c>
      <c r="J116" s="1429">
        <v>711.67</v>
      </c>
      <c r="K116" s="1429">
        <v>38.549999999999997</v>
      </c>
      <c r="L116" s="1429">
        <v>17.98</v>
      </c>
      <c r="M116" s="1429">
        <v>711.67</v>
      </c>
      <c r="N116" s="1429">
        <v>38.549999999999997</v>
      </c>
      <c r="O116" s="1429">
        <v>17.98</v>
      </c>
      <c r="P116" s="4150" t="s">
        <v>3587</v>
      </c>
      <c r="Q116" s="4150" t="s">
        <v>3587</v>
      </c>
      <c r="R116" s="4150" t="s">
        <v>3587</v>
      </c>
    </row>
    <row r="117" spans="1:20" x14ac:dyDescent="0.3">
      <c r="A117" s="778" t="s">
        <v>3905</v>
      </c>
      <c r="B117" s="778" t="s">
        <v>74</v>
      </c>
      <c r="C117" s="1429">
        <v>25.03</v>
      </c>
      <c r="D117" s="1429">
        <v>25.03</v>
      </c>
      <c r="E117" s="1429">
        <v>25.03</v>
      </c>
      <c r="F117" s="4150" t="s">
        <v>3587</v>
      </c>
      <c r="G117" s="1429">
        <v>34.56</v>
      </c>
      <c r="H117" s="1429">
        <v>0</v>
      </c>
      <c r="I117" s="1429">
        <v>1.38</v>
      </c>
      <c r="J117" s="1429">
        <v>34.56</v>
      </c>
      <c r="K117" s="1429">
        <v>0</v>
      </c>
      <c r="L117" s="1429">
        <v>1.38</v>
      </c>
      <c r="M117" s="1429">
        <v>34.56</v>
      </c>
      <c r="N117" s="1429">
        <v>0</v>
      </c>
      <c r="O117" s="1429">
        <v>1.38</v>
      </c>
      <c r="P117" s="4150" t="s">
        <v>3587</v>
      </c>
      <c r="Q117" s="4150" t="s">
        <v>3587</v>
      </c>
      <c r="R117" s="4150" t="s">
        <v>3587</v>
      </c>
    </row>
    <row r="118" spans="1:20" x14ac:dyDescent="0.3">
      <c r="A118" s="1160" t="s">
        <v>3906</v>
      </c>
      <c r="B118" s="1160" t="s">
        <v>74</v>
      </c>
      <c r="C118" s="7" t="s">
        <v>3587</v>
      </c>
      <c r="D118" s="7" t="s">
        <v>3587</v>
      </c>
      <c r="E118" s="7" t="s">
        <v>3587</v>
      </c>
      <c r="F118" s="7" t="s">
        <v>3587</v>
      </c>
      <c r="G118" s="7" t="s">
        <v>3587</v>
      </c>
      <c r="H118" s="7" t="s">
        <v>3587</v>
      </c>
      <c r="I118" s="7" t="s">
        <v>3587</v>
      </c>
      <c r="J118" s="7" t="s">
        <v>3587</v>
      </c>
      <c r="K118" s="7" t="s">
        <v>3587</v>
      </c>
      <c r="L118" s="7" t="s">
        <v>3587</v>
      </c>
      <c r="M118" s="7" t="s">
        <v>3587</v>
      </c>
      <c r="N118" s="7" t="s">
        <v>3587</v>
      </c>
      <c r="O118" s="7" t="s">
        <v>3587</v>
      </c>
      <c r="P118" s="7" t="s">
        <v>3587</v>
      </c>
      <c r="Q118" s="7" t="s">
        <v>3587</v>
      </c>
      <c r="R118" s="7" t="s">
        <v>3587</v>
      </c>
    </row>
    <row r="119" spans="1:20" x14ac:dyDescent="0.3">
      <c r="A119" s="778" t="s">
        <v>3903</v>
      </c>
      <c r="B119" s="778" t="s">
        <v>74</v>
      </c>
      <c r="C119" s="7" t="s">
        <v>3587</v>
      </c>
      <c r="D119" s="7" t="s">
        <v>3587</v>
      </c>
      <c r="E119" s="7" t="s">
        <v>3587</v>
      </c>
      <c r="F119" s="7" t="s">
        <v>3587</v>
      </c>
      <c r="G119" s="7" t="s">
        <v>3587</v>
      </c>
      <c r="H119" s="7" t="s">
        <v>3587</v>
      </c>
      <c r="I119" s="7" t="s">
        <v>3587</v>
      </c>
      <c r="J119" s="7" t="s">
        <v>3587</v>
      </c>
      <c r="K119" s="7" t="s">
        <v>3587</v>
      </c>
      <c r="L119" s="7" t="s">
        <v>3587</v>
      </c>
      <c r="M119" s="7" t="s">
        <v>3587</v>
      </c>
      <c r="N119" s="7" t="s">
        <v>3587</v>
      </c>
      <c r="O119" s="7" t="s">
        <v>3587</v>
      </c>
      <c r="P119" s="7" t="s">
        <v>3587</v>
      </c>
      <c r="Q119" s="7" t="s">
        <v>3587</v>
      </c>
      <c r="R119" s="7" t="s">
        <v>3587</v>
      </c>
    </row>
    <row r="120" spans="1:20" x14ac:dyDescent="0.3">
      <c r="A120" s="778" t="s">
        <v>3904</v>
      </c>
      <c r="B120" s="778" t="s">
        <v>74</v>
      </c>
      <c r="C120" s="7" t="s">
        <v>3587</v>
      </c>
      <c r="D120" s="7" t="s">
        <v>3587</v>
      </c>
      <c r="E120" s="7" t="s">
        <v>3587</v>
      </c>
      <c r="F120" s="7" t="s">
        <v>3587</v>
      </c>
      <c r="G120" s="7" t="s">
        <v>3587</v>
      </c>
      <c r="H120" s="7" t="s">
        <v>3587</v>
      </c>
      <c r="I120" s="7" t="s">
        <v>3587</v>
      </c>
      <c r="J120" s="7" t="s">
        <v>3587</v>
      </c>
      <c r="K120" s="7" t="s">
        <v>3587</v>
      </c>
      <c r="L120" s="7" t="s">
        <v>3587</v>
      </c>
      <c r="M120" s="7" t="s">
        <v>3587</v>
      </c>
      <c r="N120" s="7" t="s">
        <v>3587</v>
      </c>
      <c r="O120" s="7" t="s">
        <v>3587</v>
      </c>
      <c r="P120" s="7" t="s">
        <v>3587</v>
      </c>
      <c r="Q120" s="7" t="s">
        <v>3587</v>
      </c>
      <c r="R120" s="7" t="s">
        <v>3587</v>
      </c>
    </row>
    <row r="121" spans="1:20" x14ac:dyDescent="0.3">
      <c r="A121" s="778" t="s">
        <v>3905</v>
      </c>
      <c r="B121" s="778" t="s">
        <v>74</v>
      </c>
      <c r="C121" s="7" t="s">
        <v>3587</v>
      </c>
      <c r="D121" s="7" t="s">
        <v>3587</v>
      </c>
      <c r="E121" s="7" t="s">
        <v>3587</v>
      </c>
      <c r="F121" s="7" t="s">
        <v>3587</v>
      </c>
      <c r="G121" s="7" t="s">
        <v>3587</v>
      </c>
      <c r="H121" s="7" t="s">
        <v>3587</v>
      </c>
      <c r="I121" s="7" t="s">
        <v>3587</v>
      </c>
      <c r="J121" s="7" t="s">
        <v>3587</v>
      </c>
      <c r="K121" s="7" t="s">
        <v>3587</v>
      </c>
      <c r="L121" s="7" t="s">
        <v>3587</v>
      </c>
      <c r="M121" s="7" t="s">
        <v>3587</v>
      </c>
      <c r="N121" s="7" t="s">
        <v>3587</v>
      </c>
      <c r="O121" s="7" t="s">
        <v>3587</v>
      </c>
      <c r="P121" s="7" t="s">
        <v>3587</v>
      </c>
      <c r="Q121" s="7" t="s">
        <v>3587</v>
      </c>
      <c r="R121" s="7" t="s">
        <v>3587</v>
      </c>
    </row>
    <row r="122" spans="1:20" x14ac:dyDescent="0.3">
      <c r="A122" s="1160" t="s">
        <v>3907</v>
      </c>
      <c r="B122" s="778" t="s">
        <v>74</v>
      </c>
      <c r="C122" s="7" t="s">
        <v>3587</v>
      </c>
      <c r="D122" s="7" t="s">
        <v>3587</v>
      </c>
      <c r="E122" s="7" t="s">
        <v>3587</v>
      </c>
      <c r="F122" s="7" t="s">
        <v>3587</v>
      </c>
      <c r="G122" s="7" t="s">
        <v>3587</v>
      </c>
      <c r="H122" s="7" t="s">
        <v>3587</v>
      </c>
      <c r="I122" s="7" t="s">
        <v>3587</v>
      </c>
      <c r="J122" s="7" t="s">
        <v>3587</v>
      </c>
      <c r="K122" s="7" t="s">
        <v>3587</v>
      </c>
      <c r="L122" s="7" t="s">
        <v>3587</v>
      </c>
      <c r="M122" s="7" t="s">
        <v>3587</v>
      </c>
      <c r="N122" s="7" t="s">
        <v>3587</v>
      </c>
      <c r="O122" s="7" t="s">
        <v>3587</v>
      </c>
      <c r="P122" s="7" t="s">
        <v>3587</v>
      </c>
      <c r="Q122" s="7" t="s">
        <v>3587</v>
      </c>
      <c r="R122" s="7" t="s">
        <v>3587</v>
      </c>
    </row>
    <row r="123" spans="1:20" x14ac:dyDescent="0.3">
      <c r="A123" s="778" t="s">
        <v>3903</v>
      </c>
      <c r="B123" s="778" t="s">
        <v>74</v>
      </c>
      <c r="C123" s="7" t="s">
        <v>3587</v>
      </c>
      <c r="D123" s="7" t="s">
        <v>3587</v>
      </c>
      <c r="E123" s="7" t="s">
        <v>3587</v>
      </c>
      <c r="F123" s="7" t="s">
        <v>3587</v>
      </c>
      <c r="G123" s="7" t="s">
        <v>3587</v>
      </c>
      <c r="H123" s="7" t="s">
        <v>3587</v>
      </c>
      <c r="I123" s="7" t="s">
        <v>3587</v>
      </c>
      <c r="J123" s="7" t="s">
        <v>3587</v>
      </c>
      <c r="K123" s="7" t="s">
        <v>3587</v>
      </c>
      <c r="L123" s="7" t="s">
        <v>3587</v>
      </c>
      <c r="M123" s="7" t="s">
        <v>3587</v>
      </c>
      <c r="N123" s="7" t="s">
        <v>3587</v>
      </c>
      <c r="O123" s="7" t="s">
        <v>3587</v>
      </c>
      <c r="P123" s="7" t="s">
        <v>3587</v>
      </c>
      <c r="Q123" s="7" t="s">
        <v>3587</v>
      </c>
      <c r="R123" s="7" t="s">
        <v>3587</v>
      </c>
    </row>
    <row r="124" spans="1:20" x14ac:dyDescent="0.3">
      <c r="A124" s="778" t="s">
        <v>3904</v>
      </c>
      <c r="B124" s="778" t="s">
        <v>74</v>
      </c>
      <c r="C124" s="7" t="s">
        <v>3587</v>
      </c>
      <c r="D124" s="7" t="s">
        <v>3587</v>
      </c>
      <c r="E124" s="7" t="s">
        <v>3587</v>
      </c>
      <c r="F124" s="7" t="s">
        <v>3587</v>
      </c>
      <c r="G124" s="7" t="s">
        <v>3587</v>
      </c>
      <c r="H124" s="7" t="s">
        <v>3587</v>
      </c>
      <c r="I124" s="7" t="s">
        <v>3587</v>
      </c>
      <c r="J124" s="7" t="s">
        <v>3587</v>
      </c>
      <c r="K124" s="7" t="s">
        <v>3587</v>
      </c>
      <c r="L124" s="7" t="s">
        <v>3587</v>
      </c>
      <c r="M124" s="7" t="s">
        <v>3587</v>
      </c>
      <c r="N124" s="7" t="s">
        <v>3587</v>
      </c>
      <c r="O124" s="7" t="s">
        <v>3587</v>
      </c>
      <c r="P124" s="7" t="s">
        <v>3587</v>
      </c>
      <c r="Q124" s="7" t="s">
        <v>3587</v>
      </c>
      <c r="R124" s="7" t="s">
        <v>3587</v>
      </c>
    </row>
    <row r="125" spans="1:20" x14ac:dyDescent="0.3">
      <c r="A125" s="778" t="s">
        <v>3905</v>
      </c>
      <c r="B125" s="778" t="s">
        <v>74</v>
      </c>
      <c r="C125" s="7" t="s">
        <v>3587</v>
      </c>
      <c r="D125" s="7" t="s">
        <v>3587</v>
      </c>
      <c r="E125" s="7" t="s">
        <v>3587</v>
      </c>
      <c r="F125" s="7" t="s">
        <v>3587</v>
      </c>
      <c r="G125" s="7" t="s">
        <v>3587</v>
      </c>
      <c r="H125" s="7" t="s">
        <v>3587</v>
      </c>
      <c r="I125" s="7" t="s">
        <v>3587</v>
      </c>
      <c r="J125" s="7" t="s">
        <v>3587</v>
      </c>
      <c r="K125" s="7" t="s">
        <v>3587</v>
      </c>
      <c r="L125" s="7" t="s">
        <v>3587</v>
      </c>
      <c r="M125" s="7" t="s">
        <v>3587</v>
      </c>
      <c r="N125" s="7" t="s">
        <v>3587</v>
      </c>
      <c r="O125" s="7" t="s">
        <v>3587</v>
      </c>
      <c r="P125" s="7" t="s">
        <v>3587</v>
      </c>
      <c r="Q125" s="7" t="s">
        <v>3587</v>
      </c>
      <c r="R125" s="7" t="s">
        <v>3587</v>
      </c>
    </row>
    <row r="126" spans="1:20" x14ac:dyDescent="0.3">
      <c r="A126" s="1160" t="s">
        <v>3930</v>
      </c>
      <c r="B126" s="778"/>
      <c r="C126" s="7" t="s">
        <v>3587</v>
      </c>
      <c r="D126" s="7" t="s">
        <v>3587</v>
      </c>
      <c r="E126" s="7" t="s">
        <v>3587</v>
      </c>
      <c r="F126" s="7" t="s">
        <v>3587</v>
      </c>
      <c r="G126" s="7" t="s">
        <v>3587</v>
      </c>
      <c r="H126" s="7" t="s">
        <v>3587</v>
      </c>
      <c r="I126" s="7" t="s">
        <v>3587</v>
      </c>
      <c r="J126" s="7" t="s">
        <v>3587</v>
      </c>
      <c r="K126" s="7" t="s">
        <v>3587</v>
      </c>
      <c r="L126" s="7" t="s">
        <v>3587</v>
      </c>
      <c r="M126" s="7" t="s">
        <v>3587</v>
      </c>
      <c r="N126" s="7" t="s">
        <v>3587</v>
      </c>
      <c r="O126" s="7" t="s">
        <v>3587</v>
      </c>
      <c r="P126" s="7" t="s">
        <v>3587</v>
      </c>
      <c r="Q126" s="7" t="s">
        <v>3587</v>
      </c>
      <c r="R126" s="7" t="s">
        <v>3587</v>
      </c>
    </row>
    <row r="127" spans="1:20" ht="46.8" x14ac:dyDescent="0.3">
      <c r="A127" s="778" t="s">
        <v>3909</v>
      </c>
      <c r="B127" s="713" t="s">
        <v>3910</v>
      </c>
      <c r="C127" s="7" t="s">
        <v>3587</v>
      </c>
      <c r="D127" s="7" t="s">
        <v>3587</v>
      </c>
      <c r="E127" s="7" t="s">
        <v>3587</v>
      </c>
      <c r="F127" s="7" t="s">
        <v>3587</v>
      </c>
      <c r="G127" s="7" t="s">
        <v>3587</v>
      </c>
      <c r="H127" s="7" t="s">
        <v>3587</v>
      </c>
      <c r="I127" s="7" t="s">
        <v>3587</v>
      </c>
      <c r="J127" s="7" t="s">
        <v>3587</v>
      </c>
      <c r="K127" s="7" t="s">
        <v>3587</v>
      </c>
      <c r="L127" s="7" t="s">
        <v>3587</v>
      </c>
      <c r="M127" s="7" t="s">
        <v>3587</v>
      </c>
      <c r="N127" s="7" t="s">
        <v>3587</v>
      </c>
      <c r="O127" s="7" t="s">
        <v>3587</v>
      </c>
      <c r="P127" s="7" t="s">
        <v>3587</v>
      </c>
      <c r="Q127" s="7" t="s">
        <v>3587</v>
      </c>
      <c r="R127" s="7" t="s">
        <v>3587</v>
      </c>
    </row>
    <row r="128" spans="1:20" x14ac:dyDescent="0.3">
      <c r="A128" s="778" t="s">
        <v>3911</v>
      </c>
      <c r="B128" s="778" t="s">
        <v>74</v>
      </c>
      <c r="C128" s="7" t="s">
        <v>3587</v>
      </c>
      <c r="D128" s="7" t="s">
        <v>3587</v>
      </c>
      <c r="E128" s="7" t="s">
        <v>3587</v>
      </c>
      <c r="F128" s="7" t="s">
        <v>3587</v>
      </c>
      <c r="G128" s="7" t="s">
        <v>3587</v>
      </c>
      <c r="H128" s="7" t="s">
        <v>3587</v>
      </c>
      <c r="I128" s="7" t="s">
        <v>3587</v>
      </c>
      <c r="J128" s="7" t="s">
        <v>3587</v>
      </c>
      <c r="K128" s="7" t="s">
        <v>3587</v>
      </c>
      <c r="L128" s="7" t="s">
        <v>3587</v>
      </c>
      <c r="M128" s="7" t="s">
        <v>3587</v>
      </c>
      <c r="N128" s="7" t="s">
        <v>3587</v>
      </c>
      <c r="O128" s="7" t="s">
        <v>3587</v>
      </c>
      <c r="P128" s="7" t="s">
        <v>3587</v>
      </c>
      <c r="Q128" s="7" t="s">
        <v>3587</v>
      </c>
      <c r="R128" s="7" t="s">
        <v>3587</v>
      </c>
      <c r="S128" s="4151" t="s">
        <v>3879</v>
      </c>
      <c r="T128" s="49"/>
    </row>
    <row r="129" spans="1:20" ht="62.4" x14ac:dyDescent="0.3">
      <c r="A129" s="5244" t="s">
        <v>3934</v>
      </c>
      <c r="B129" s="5244"/>
      <c r="C129" s="5244"/>
      <c r="D129" s="5244"/>
      <c r="E129" s="5244"/>
      <c r="F129" s="5244"/>
      <c r="G129" s="5244"/>
      <c r="H129" s="5244"/>
      <c r="I129" s="5244"/>
      <c r="J129" s="5244"/>
      <c r="K129" s="5244"/>
      <c r="S129" s="4166" t="s">
        <v>3939</v>
      </c>
      <c r="T129" s="4167"/>
    </row>
    <row r="130" spans="1:20" x14ac:dyDescent="0.3">
      <c r="A130" s="1160" t="s">
        <v>3935</v>
      </c>
      <c r="B130" s="778" t="s">
        <v>74</v>
      </c>
      <c r="C130" s="778">
        <f>C131+C132+C133</f>
        <v>1323.63</v>
      </c>
      <c r="D130" s="778">
        <f t="shared" ref="D130:F130" si="9">D131+D132+D133</f>
        <v>3118.23</v>
      </c>
      <c r="E130" s="778">
        <f t="shared" si="9"/>
        <v>3852.51</v>
      </c>
      <c r="F130" s="778">
        <f t="shared" si="9"/>
        <v>3118.23</v>
      </c>
      <c r="G130" s="778">
        <f>G131+G132+G133</f>
        <v>1323.63</v>
      </c>
      <c r="H130" s="778"/>
      <c r="I130" s="5781" t="s">
        <v>3938</v>
      </c>
      <c r="J130" s="5781"/>
      <c r="K130" s="5781"/>
      <c r="L130" s="5781"/>
      <c r="M130" s="778"/>
      <c r="N130" s="778"/>
      <c r="O130" s="778"/>
      <c r="P130" s="778"/>
      <c r="Q130" s="778"/>
      <c r="R130" s="778"/>
      <c r="S130" s="778">
        <f>S131+S132+S133</f>
        <v>1989.0800000000002</v>
      </c>
    </row>
    <row r="131" spans="1:20" x14ac:dyDescent="0.3">
      <c r="A131" s="778" t="s">
        <v>3903</v>
      </c>
      <c r="B131" s="778" t="s">
        <v>74</v>
      </c>
      <c r="C131" s="778">
        <v>1257.19</v>
      </c>
      <c r="D131" s="778">
        <v>2376.5300000000002</v>
      </c>
      <c r="E131" s="778">
        <v>2994.73</v>
      </c>
      <c r="F131" s="778">
        <v>2376.5300000000002</v>
      </c>
      <c r="G131" s="778">
        <v>1257.19</v>
      </c>
      <c r="H131" s="778"/>
      <c r="I131" s="778"/>
      <c r="J131" s="778"/>
      <c r="K131" s="778"/>
      <c r="L131" s="778"/>
      <c r="M131" s="778"/>
      <c r="N131" s="778"/>
      <c r="O131" s="778"/>
      <c r="P131" s="778"/>
      <c r="Q131" s="778"/>
      <c r="R131" s="778"/>
      <c r="S131" s="778">
        <v>1446.94</v>
      </c>
    </row>
    <row r="132" spans="1:20" x14ac:dyDescent="0.3">
      <c r="A132" s="778" t="s">
        <v>3904</v>
      </c>
      <c r="B132" s="778" t="s">
        <v>74</v>
      </c>
      <c r="C132" s="778">
        <v>64.75</v>
      </c>
      <c r="D132" s="778">
        <v>732.37</v>
      </c>
      <c r="E132" s="778">
        <v>847.44</v>
      </c>
      <c r="F132" s="778">
        <v>732.37</v>
      </c>
      <c r="G132" s="778">
        <v>64.75</v>
      </c>
      <c r="H132" s="778"/>
      <c r="I132" s="778"/>
      <c r="J132" s="778"/>
      <c r="K132" s="778"/>
      <c r="L132" s="778"/>
      <c r="M132" s="778"/>
      <c r="N132" s="778"/>
      <c r="O132" s="778"/>
      <c r="P132" s="778"/>
      <c r="Q132" s="778"/>
      <c r="R132" s="778"/>
      <c r="S132" s="778">
        <v>532.99</v>
      </c>
    </row>
    <row r="133" spans="1:20" x14ac:dyDescent="0.3">
      <c r="A133" s="778" t="s">
        <v>3905</v>
      </c>
      <c r="B133" s="778" t="s">
        <v>74</v>
      </c>
      <c r="C133" s="778">
        <v>1.69</v>
      </c>
      <c r="D133" s="778">
        <v>9.33</v>
      </c>
      <c r="E133" s="778">
        <v>10.34</v>
      </c>
      <c r="F133" s="778">
        <v>9.33</v>
      </c>
      <c r="G133" s="778">
        <v>1.69</v>
      </c>
      <c r="H133" s="778"/>
      <c r="I133" s="778"/>
      <c r="J133" s="778"/>
      <c r="K133" s="778"/>
      <c r="L133" s="778"/>
      <c r="M133" s="778"/>
      <c r="N133" s="778"/>
      <c r="O133" s="778"/>
      <c r="P133" s="778"/>
      <c r="Q133" s="778"/>
      <c r="R133" s="778"/>
      <c r="S133" s="778">
        <v>9.15</v>
      </c>
    </row>
    <row r="134" spans="1:20" x14ac:dyDescent="0.3">
      <c r="A134" s="1160" t="s">
        <v>3936</v>
      </c>
      <c r="B134" s="778" t="s">
        <v>74</v>
      </c>
      <c r="C134" s="4168" t="s">
        <v>224</v>
      </c>
      <c r="D134" s="4168" t="s">
        <v>224</v>
      </c>
      <c r="E134" s="4168" t="s">
        <v>224</v>
      </c>
      <c r="F134" s="4168" t="s">
        <v>224</v>
      </c>
      <c r="G134" s="4168" t="s">
        <v>224</v>
      </c>
      <c r="H134" s="778"/>
      <c r="I134" s="778"/>
      <c r="J134" s="4168"/>
      <c r="K134" s="778"/>
      <c r="L134" s="778"/>
      <c r="M134" s="778"/>
      <c r="N134" s="778"/>
      <c r="O134" s="778"/>
      <c r="P134" s="778"/>
      <c r="Q134" s="778"/>
      <c r="R134" s="778"/>
      <c r="S134" s="4168" t="s">
        <v>224</v>
      </c>
      <c r="T134" s="4112"/>
    </row>
    <row r="135" spans="1:20" x14ac:dyDescent="0.3">
      <c r="A135" s="778" t="s">
        <v>3903</v>
      </c>
      <c r="B135" s="778" t="s">
        <v>74</v>
      </c>
      <c r="C135" s="4168" t="s">
        <v>224</v>
      </c>
      <c r="D135" s="4168" t="s">
        <v>224</v>
      </c>
      <c r="E135" s="4168" t="s">
        <v>224</v>
      </c>
      <c r="F135" s="4168" t="s">
        <v>224</v>
      </c>
      <c r="G135" s="4168" t="s">
        <v>224</v>
      </c>
      <c r="H135" s="778"/>
      <c r="I135" s="778"/>
      <c r="J135" s="4168"/>
      <c r="K135" s="778"/>
      <c r="L135" s="778"/>
      <c r="M135" s="778"/>
      <c r="N135" s="778"/>
      <c r="O135" s="778"/>
      <c r="P135" s="778"/>
      <c r="Q135" s="778"/>
      <c r="R135" s="778"/>
      <c r="S135" s="4168" t="s">
        <v>224</v>
      </c>
      <c r="T135" s="4112"/>
    </row>
    <row r="136" spans="1:20" x14ac:dyDescent="0.3">
      <c r="A136" s="778" t="s">
        <v>3904</v>
      </c>
      <c r="B136" s="778" t="s">
        <v>74</v>
      </c>
      <c r="C136" s="4168" t="s">
        <v>224</v>
      </c>
      <c r="D136" s="4168" t="s">
        <v>224</v>
      </c>
      <c r="E136" s="4168" t="s">
        <v>224</v>
      </c>
      <c r="F136" s="4168" t="s">
        <v>224</v>
      </c>
      <c r="G136" s="4168" t="s">
        <v>224</v>
      </c>
      <c r="H136" s="778"/>
      <c r="I136" s="778"/>
      <c r="J136" s="4168"/>
      <c r="K136" s="778"/>
      <c r="L136" s="778"/>
      <c r="M136" s="778"/>
      <c r="N136" s="778"/>
      <c r="O136" s="778"/>
      <c r="P136" s="778"/>
      <c r="Q136" s="778"/>
      <c r="R136" s="778"/>
      <c r="S136" s="4168" t="s">
        <v>224</v>
      </c>
      <c r="T136" s="4112"/>
    </row>
    <row r="137" spans="1:20" x14ac:dyDescent="0.3">
      <c r="A137" s="778" t="s">
        <v>3905</v>
      </c>
      <c r="B137" s="778" t="s">
        <v>74</v>
      </c>
      <c r="C137" s="4168" t="s">
        <v>224</v>
      </c>
      <c r="D137" s="4168" t="s">
        <v>224</v>
      </c>
      <c r="E137" s="4168" t="s">
        <v>224</v>
      </c>
      <c r="F137" s="4168" t="s">
        <v>224</v>
      </c>
      <c r="G137" s="4168" t="s">
        <v>224</v>
      </c>
      <c r="H137" s="778"/>
      <c r="I137" s="778"/>
      <c r="J137" s="4168"/>
      <c r="K137" s="778"/>
      <c r="L137" s="778"/>
      <c r="M137" s="778"/>
      <c r="N137" s="778"/>
      <c r="O137" s="778"/>
      <c r="P137" s="778"/>
      <c r="Q137" s="778"/>
      <c r="R137" s="778"/>
      <c r="S137" s="4168" t="s">
        <v>224</v>
      </c>
      <c r="T137" s="4112"/>
    </row>
    <row r="138" spans="1:20" x14ac:dyDescent="0.3">
      <c r="A138" s="1160" t="s">
        <v>3937</v>
      </c>
      <c r="B138" s="778" t="s">
        <v>74</v>
      </c>
      <c r="C138" s="4168" t="s">
        <v>224</v>
      </c>
      <c r="D138" s="778">
        <f>3394.79</f>
        <v>3394.79</v>
      </c>
      <c r="E138" s="778">
        <f>4129.07</f>
        <v>4129.07</v>
      </c>
      <c r="F138" s="4168" t="s">
        <v>224</v>
      </c>
      <c r="G138" s="4168" t="s">
        <v>224</v>
      </c>
      <c r="H138" s="778"/>
      <c r="I138" s="778"/>
      <c r="J138" s="778"/>
      <c r="K138" s="778"/>
      <c r="L138" s="778"/>
      <c r="M138" s="778"/>
      <c r="N138" s="778"/>
      <c r="O138" s="778"/>
      <c r="P138" s="778"/>
      <c r="Q138" s="778"/>
      <c r="R138" s="778"/>
      <c r="S138" s="778">
        <f>2265.64</f>
        <v>2265.64</v>
      </c>
    </row>
    <row r="139" spans="1:20" x14ac:dyDescent="0.3">
      <c r="A139" s="778" t="s">
        <v>3903</v>
      </c>
      <c r="B139" s="778" t="s">
        <v>74</v>
      </c>
      <c r="C139" s="4168" t="s">
        <v>224</v>
      </c>
      <c r="D139" s="778">
        <f>D131</f>
        <v>2376.5300000000002</v>
      </c>
      <c r="E139" s="778">
        <v>2994.73</v>
      </c>
      <c r="F139" s="4168" t="s">
        <v>224</v>
      </c>
      <c r="G139" s="4168" t="s">
        <v>224</v>
      </c>
      <c r="H139" s="778"/>
      <c r="I139" s="778"/>
      <c r="J139" s="778"/>
      <c r="K139" s="778"/>
      <c r="L139" s="778"/>
      <c r="M139" s="778"/>
      <c r="N139" s="778"/>
      <c r="O139" s="778"/>
      <c r="P139" s="778"/>
      <c r="Q139" s="778"/>
      <c r="R139" s="778"/>
      <c r="S139" s="778">
        <v>1446.94</v>
      </c>
    </row>
    <row r="140" spans="1:20" x14ac:dyDescent="0.3">
      <c r="A140" s="778" t="s">
        <v>3904</v>
      </c>
      <c r="B140" s="778" t="s">
        <v>74</v>
      </c>
      <c r="C140" s="4168" t="s">
        <v>224</v>
      </c>
      <c r="D140" s="778">
        <f>D132</f>
        <v>732.37</v>
      </c>
      <c r="E140" s="778">
        <v>847.44</v>
      </c>
      <c r="F140" s="4168" t="s">
        <v>224</v>
      </c>
      <c r="G140" s="4168" t="s">
        <v>224</v>
      </c>
      <c r="H140" s="778"/>
      <c r="I140" s="778"/>
      <c r="J140" s="778"/>
      <c r="K140" s="778"/>
      <c r="L140" s="778"/>
      <c r="M140" s="778"/>
      <c r="N140" s="778"/>
      <c r="O140" s="778"/>
      <c r="P140" s="778"/>
      <c r="Q140" s="778"/>
      <c r="R140" s="778"/>
      <c r="S140" s="778">
        <v>532.99</v>
      </c>
    </row>
    <row r="141" spans="1:20" x14ac:dyDescent="0.3">
      <c r="A141" s="778" t="s">
        <v>3905</v>
      </c>
      <c r="B141" s="778" t="s">
        <v>74</v>
      </c>
      <c r="C141" s="4168" t="s">
        <v>224</v>
      </c>
      <c r="D141" s="778">
        <f>D138-D139-D140</f>
        <v>285.88999999999976</v>
      </c>
      <c r="E141" s="778">
        <f>E138-E139-E140</f>
        <v>286.89999999999964</v>
      </c>
      <c r="F141" s="4168" t="s">
        <v>224</v>
      </c>
      <c r="G141" s="4168" t="s">
        <v>224</v>
      </c>
      <c r="H141" s="778"/>
      <c r="I141" s="778"/>
      <c r="J141" s="778"/>
      <c r="K141" s="778"/>
      <c r="L141" s="778"/>
      <c r="M141" s="778"/>
      <c r="N141" s="778"/>
      <c r="O141" s="778"/>
      <c r="P141" s="778"/>
      <c r="Q141" s="778"/>
      <c r="R141" s="778"/>
      <c r="S141" s="778">
        <f>S138-S139-S140</f>
        <v>285.70999999999981</v>
      </c>
    </row>
    <row r="142" spans="1:20" x14ac:dyDescent="0.3">
      <c r="A142" s="1160" t="s">
        <v>3930</v>
      </c>
      <c r="B142" s="778"/>
      <c r="C142" s="778"/>
      <c r="D142" s="778"/>
      <c r="E142" s="778"/>
      <c r="F142" s="778"/>
      <c r="G142" s="778"/>
      <c r="H142" s="778"/>
      <c r="I142" s="778"/>
      <c r="J142" s="778"/>
      <c r="K142" s="778"/>
      <c r="L142" s="778"/>
      <c r="M142" s="778"/>
      <c r="N142" s="778"/>
      <c r="O142" s="778"/>
      <c r="P142" s="778"/>
      <c r="Q142" s="778"/>
      <c r="R142" s="778"/>
      <c r="S142" s="778"/>
    </row>
    <row r="143" spans="1:20" ht="46.8" x14ac:dyDescent="0.3">
      <c r="A143" s="778" t="s">
        <v>3909</v>
      </c>
      <c r="B143" s="713" t="s">
        <v>3910</v>
      </c>
      <c r="C143" s="4168" t="s">
        <v>224</v>
      </c>
      <c r="D143" s="4168" t="s">
        <v>224</v>
      </c>
      <c r="E143" s="4168" t="s">
        <v>224</v>
      </c>
      <c r="F143" s="4168" t="s">
        <v>224</v>
      </c>
      <c r="G143" s="4168" t="s">
        <v>224</v>
      </c>
      <c r="H143" s="778"/>
      <c r="I143" s="778"/>
      <c r="J143" s="4168"/>
      <c r="K143" s="778"/>
      <c r="L143" s="778"/>
      <c r="M143" s="778"/>
      <c r="N143" s="778"/>
      <c r="O143" s="778"/>
      <c r="P143" s="778"/>
      <c r="Q143" s="778"/>
      <c r="R143" s="778"/>
      <c r="S143" s="4168" t="s">
        <v>224</v>
      </c>
      <c r="T143" s="4112"/>
    </row>
    <row r="144" spans="1:20" x14ac:dyDescent="0.3">
      <c r="A144" s="778" t="s">
        <v>3911</v>
      </c>
      <c r="B144" s="778" t="s">
        <v>74</v>
      </c>
      <c r="C144" s="4168" t="s">
        <v>224</v>
      </c>
      <c r="D144" s="4168" t="s">
        <v>224</v>
      </c>
      <c r="E144" s="4168" t="s">
        <v>224</v>
      </c>
      <c r="F144" s="4168" t="s">
        <v>224</v>
      </c>
      <c r="G144" s="4168" t="s">
        <v>224</v>
      </c>
      <c r="H144" s="778"/>
      <c r="I144" s="778"/>
      <c r="J144" s="4168"/>
      <c r="K144" s="778"/>
      <c r="L144" s="778"/>
      <c r="M144" s="778"/>
      <c r="N144" s="778"/>
      <c r="O144" s="778"/>
      <c r="P144" s="778"/>
      <c r="Q144" s="778"/>
      <c r="R144" s="778"/>
      <c r="S144" s="4168" t="s">
        <v>224</v>
      </c>
      <c r="T144" s="4112"/>
    </row>
    <row r="145" spans="1:18" x14ac:dyDescent="0.3">
      <c r="A145" s="5244" t="s">
        <v>3940</v>
      </c>
      <c r="B145" s="5244"/>
      <c r="C145" s="5244"/>
      <c r="D145" s="5244"/>
      <c r="E145" s="5244"/>
      <c r="F145" s="5244"/>
      <c r="G145" s="5244"/>
      <c r="H145" s="5244"/>
      <c r="I145" s="5244"/>
      <c r="J145" s="5244"/>
      <c r="K145" s="5244"/>
      <c r="L145" s="5244"/>
      <c r="M145" s="5244"/>
      <c r="N145" s="5244"/>
      <c r="O145" s="5244"/>
      <c r="P145" s="5244"/>
    </row>
    <row r="146" spans="1:18" x14ac:dyDescent="0.3">
      <c r="A146" s="1160" t="s">
        <v>3902</v>
      </c>
      <c r="B146" s="1160" t="s">
        <v>74</v>
      </c>
      <c r="C146" s="1428">
        <v>1907.53</v>
      </c>
      <c r="D146" s="1428">
        <v>3700.85</v>
      </c>
      <c r="E146" s="1428">
        <v>5021.3999999999996</v>
      </c>
      <c r="F146" s="1428">
        <v>0</v>
      </c>
      <c r="G146" s="1428">
        <v>2515.2399999999998</v>
      </c>
      <c r="H146" s="1428">
        <v>62.2</v>
      </c>
      <c r="I146" s="1428">
        <v>59.9</v>
      </c>
      <c r="J146" s="1428">
        <v>3962.68</v>
      </c>
      <c r="K146" s="1428">
        <v>62.2</v>
      </c>
      <c r="L146" s="1428">
        <v>94.37</v>
      </c>
      <c r="M146" s="1428">
        <v>7505.44</v>
      </c>
      <c r="N146" s="1428">
        <v>62.2</v>
      </c>
      <c r="O146" s="1428">
        <v>178.72</v>
      </c>
      <c r="P146" s="1428">
        <v>0</v>
      </c>
      <c r="Q146" s="778">
        <v>0</v>
      </c>
      <c r="R146" s="778">
        <v>0</v>
      </c>
    </row>
    <row r="147" spans="1:18" x14ac:dyDescent="0.3">
      <c r="A147" s="778" t="s">
        <v>3903</v>
      </c>
      <c r="B147" s="778" t="s">
        <v>74</v>
      </c>
      <c r="C147" s="1429">
        <v>1697.18</v>
      </c>
      <c r="D147" s="1429">
        <v>2967.25</v>
      </c>
      <c r="E147" s="1429">
        <v>4118.6400000000003</v>
      </c>
      <c r="F147" s="1429">
        <v>0</v>
      </c>
      <c r="G147" s="1429">
        <v>1841.35</v>
      </c>
      <c r="H147" s="1429">
        <v>23.58</v>
      </c>
      <c r="I147" s="1429">
        <v>59.9</v>
      </c>
      <c r="J147" s="1429">
        <v>3103.52</v>
      </c>
      <c r="K147" s="1429">
        <v>23.58</v>
      </c>
      <c r="L147" s="1429">
        <v>94.37</v>
      </c>
      <c r="M147" s="1429">
        <v>6192.84</v>
      </c>
      <c r="N147" s="1429">
        <v>23.58</v>
      </c>
      <c r="O147" s="1429">
        <v>178.72</v>
      </c>
      <c r="P147" s="1429">
        <v>0</v>
      </c>
      <c r="Q147" s="778">
        <v>0</v>
      </c>
      <c r="R147" s="778">
        <v>0</v>
      </c>
    </row>
    <row r="148" spans="1:18" x14ac:dyDescent="0.3">
      <c r="A148" s="778" t="s">
        <v>3904</v>
      </c>
      <c r="B148" s="778" t="s">
        <v>74</v>
      </c>
      <c r="C148" s="1429">
        <v>185.5</v>
      </c>
      <c r="D148" s="1429">
        <v>694.32</v>
      </c>
      <c r="E148" s="1429">
        <v>863.48</v>
      </c>
      <c r="F148" s="1429">
        <v>0</v>
      </c>
      <c r="G148" s="1429">
        <v>629.57000000000005</v>
      </c>
      <c r="H148" s="1429">
        <v>38.619999999999997</v>
      </c>
      <c r="I148" s="1429">
        <v>0</v>
      </c>
      <c r="J148" s="1429">
        <v>814.84</v>
      </c>
      <c r="K148" s="1429">
        <v>38.619999999999997</v>
      </c>
      <c r="L148" s="1429">
        <v>0</v>
      </c>
      <c r="M148" s="1429">
        <v>1268.28</v>
      </c>
      <c r="N148" s="1429">
        <v>38.619999999999997</v>
      </c>
      <c r="O148" s="1429">
        <v>0</v>
      </c>
      <c r="P148" s="1429">
        <v>0</v>
      </c>
      <c r="Q148" s="778">
        <v>0</v>
      </c>
      <c r="R148" s="778">
        <v>0</v>
      </c>
    </row>
    <row r="149" spans="1:18" x14ac:dyDescent="0.3">
      <c r="A149" s="778" t="s">
        <v>3905</v>
      </c>
      <c r="B149" s="778" t="s">
        <v>74</v>
      </c>
      <c r="C149" s="1429">
        <v>24.85</v>
      </c>
      <c r="D149" s="1429">
        <v>39.28</v>
      </c>
      <c r="E149" s="1429">
        <v>39.28</v>
      </c>
      <c r="F149" s="1429">
        <v>0</v>
      </c>
      <c r="G149" s="1429">
        <v>44.32</v>
      </c>
      <c r="H149" s="1429">
        <v>0</v>
      </c>
      <c r="I149" s="1429">
        <v>0</v>
      </c>
      <c r="J149" s="1429">
        <v>44.32</v>
      </c>
      <c r="K149" s="1429">
        <v>0</v>
      </c>
      <c r="L149" s="1429">
        <v>0</v>
      </c>
      <c r="M149" s="1429">
        <v>44.32</v>
      </c>
      <c r="N149" s="1429">
        <v>0</v>
      </c>
      <c r="O149" s="1429">
        <v>0</v>
      </c>
      <c r="P149" s="1429">
        <v>0</v>
      </c>
      <c r="Q149" s="778">
        <v>0</v>
      </c>
      <c r="R149" s="778">
        <v>0</v>
      </c>
    </row>
    <row r="150" spans="1:18" x14ac:dyDescent="0.3">
      <c r="A150" s="1160" t="s">
        <v>3906</v>
      </c>
      <c r="B150" s="1160" t="s">
        <v>74</v>
      </c>
      <c r="C150" s="1428"/>
      <c r="D150" s="1428"/>
      <c r="E150" s="1428"/>
      <c r="F150" s="1428"/>
      <c r="G150" s="1428"/>
      <c r="H150" s="1428"/>
      <c r="I150" s="1428"/>
      <c r="J150" s="1428"/>
      <c r="K150" s="1428"/>
      <c r="L150" s="1428"/>
      <c r="M150" s="1428"/>
      <c r="N150" s="1428"/>
      <c r="O150" s="1428"/>
      <c r="P150" s="1428"/>
      <c r="Q150" s="778"/>
      <c r="R150" s="778"/>
    </row>
    <row r="151" spans="1:18" x14ac:dyDescent="0.3">
      <c r="A151" s="778" t="s">
        <v>3903</v>
      </c>
      <c r="B151" s="778" t="s">
        <v>74</v>
      </c>
      <c r="C151" s="1429"/>
      <c r="D151" s="1429"/>
      <c r="E151" s="1429"/>
      <c r="F151" s="1429"/>
      <c r="G151" s="1429"/>
      <c r="H151" s="1429"/>
      <c r="I151" s="1429"/>
      <c r="J151" s="1429"/>
      <c r="K151" s="1429"/>
      <c r="L151" s="1429"/>
      <c r="M151" s="1429"/>
      <c r="N151" s="1429"/>
      <c r="O151" s="1429"/>
      <c r="P151" s="1429"/>
      <c r="Q151" s="778"/>
      <c r="R151" s="778"/>
    </row>
    <row r="152" spans="1:18" x14ac:dyDescent="0.3">
      <c r="A152" s="778" t="s">
        <v>3904</v>
      </c>
      <c r="B152" s="778" t="s">
        <v>74</v>
      </c>
      <c r="C152" s="1429"/>
      <c r="D152" s="1429"/>
      <c r="E152" s="1429"/>
      <c r="F152" s="1429"/>
      <c r="G152" s="1429"/>
      <c r="H152" s="1429"/>
      <c r="I152" s="1429"/>
      <c r="J152" s="1429"/>
      <c r="K152" s="1429"/>
      <c r="L152" s="1429"/>
      <c r="M152" s="1429"/>
      <c r="N152" s="1429"/>
      <c r="O152" s="1429"/>
      <c r="P152" s="1429"/>
      <c r="Q152" s="778"/>
      <c r="R152" s="778"/>
    </row>
    <row r="153" spans="1:18" x14ac:dyDescent="0.3">
      <c r="A153" s="778" t="s">
        <v>3905</v>
      </c>
      <c r="B153" s="778" t="s">
        <v>74</v>
      </c>
      <c r="C153" s="1429"/>
      <c r="D153" s="1429"/>
      <c r="E153" s="1429"/>
      <c r="F153" s="1429"/>
      <c r="G153" s="1429"/>
      <c r="H153" s="1429"/>
      <c r="I153" s="1429"/>
      <c r="J153" s="1429"/>
      <c r="K153" s="1429"/>
      <c r="L153" s="1429"/>
      <c r="M153" s="1429"/>
      <c r="N153" s="1429"/>
      <c r="O153" s="1429"/>
      <c r="P153" s="1429"/>
      <c r="Q153" s="778"/>
      <c r="R153" s="778"/>
    </row>
    <row r="154" spans="1:18" x14ac:dyDescent="0.3">
      <c r="A154" s="1160" t="s">
        <v>3907</v>
      </c>
      <c r="B154" s="778" t="s">
        <v>74</v>
      </c>
      <c r="C154" s="1428"/>
      <c r="D154" s="1429"/>
      <c r="E154" s="1429"/>
      <c r="F154" s="1429"/>
      <c r="G154" s="1428"/>
      <c r="H154" s="1428"/>
      <c r="I154" s="1428"/>
      <c r="J154" s="1429"/>
      <c r="K154" s="1429"/>
      <c r="L154" s="1429"/>
      <c r="M154" s="1429"/>
      <c r="N154" s="1429"/>
      <c r="O154" s="1429"/>
      <c r="P154" s="1429"/>
      <c r="Q154" s="778"/>
      <c r="R154" s="778"/>
    </row>
    <row r="155" spans="1:18" x14ac:dyDescent="0.3">
      <c r="A155" s="778" t="s">
        <v>3903</v>
      </c>
      <c r="B155" s="778" t="s">
        <v>74</v>
      </c>
      <c r="C155" s="1429"/>
      <c r="D155" s="1429"/>
      <c r="E155" s="1429"/>
      <c r="F155" s="1429"/>
      <c r="G155" s="1429"/>
      <c r="H155" s="1429"/>
      <c r="I155" s="1429"/>
      <c r="J155" s="1429"/>
      <c r="K155" s="1429"/>
      <c r="L155" s="1429"/>
      <c r="M155" s="1429"/>
      <c r="N155" s="1429"/>
      <c r="O155" s="1429"/>
      <c r="P155" s="1429"/>
      <c r="Q155" s="778"/>
      <c r="R155" s="778"/>
    </row>
    <row r="156" spans="1:18" x14ac:dyDescent="0.3">
      <c r="A156" s="778" t="s">
        <v>3904</v>
      </c>
      <c r="B156" s="778" t="s">
        <v>74</v>
      </c>
      <c r="C156" s="1429"/>
      <c r="D156" s="1429"/>
      <c r="E156" s="1429"/>
      <c r="F156" s="1429"/>
      <c r="G156" s="1429"/>
      <c r="H156" s="1429"/>
      <c r="I156" s="1429"/>
      <c r="J156" s="1429"/>
      <c r="K156" s="1429"/>
      <c r="L156" s="1429"/>
      <c r="M156" s="1429"/>
      <c r="N156" s="1429"/>
      <c r="O156" s="1429"/>
      <c r="P156" s="1429"/>
      <c r="Q156" s="778"/>
      <c r="R156" s="778"/>
    </row>
    <row r="157" spans="1:18" x14ac:dyDescent="0.3">
      <c r="A157" s="778" t="s">
        <v>3905</v>
      </c>
      <c r="B157" s="778" t="s">
        <v>74</v>
      </c>
      <c r="C157" s="1429"/>
      <c r="D157" s="1429"/>
      <c r="E157" s="1429"/>
      <c r="F157" s="1429"/>
      <c r="G157" s="1429"/>
      <c r="H157" s="1429"/>
      <c r="I157" s="1429"/>
      <c r="J157" s="1429"/>
      <c r="K157" s="1429"/>
      <c r="L157" s="1429"/>
      <c r="M157" s="1429"/>
      <c r="N157" s="1429"/>
      <c r="O157" s="1429"/>
      <c r="P157" s="1429"/>
      <c r="Q157" s="778"/>
      <c r="R157" s="778"/>
    </row>
    <row r="158" spans="1:18" x14ac:dyDescent="0.3">
      <c r="A158" s="1160" t="s">
        <v>3930</v>
      </c>
      <c r="B158" s="778"/>
      <c r="C158" s="1429"/>
      <c r="D158" s="1429"/>
      <c r="E158" s="1429"/>
      <c r="F158" s="1429"/>
      <c r="G158" s="1429"/>
      <c r="H158" s="1429"/>
      <c r="I158" s="1429"/>
      <c r="J158" s="1429"/>
      <c r="K158" s="1429"/>
      <c r="L158" s="1429"/>
      <c r="M158" s="1429"/>
      <c r="N158" s="1429"/>
      <c r="O158" s="1429"/>
      <c r="P158" s="1429"/>
      <c r="Q158" s="778"/>
      <c r="R158" s="778"/>
    </row>
    <row r="159" spans="1:18" ht="46.8" x14ac:dyDescent="0.3">
      <c r="A159" s="778" t="s">
        <v>3909</v>
      </c>
      <c r="B159" s="713" t="s">
        <v>3910</v>
      </c>
      <c r="C159" s="1429"/>
      <c r="D159" s="1429"/>
      <c r="E159" s="1429"/>
      <c r="F159" s="1429"/>
      <c r="G159" s="1429"/>
      <c r="H159" s="1429"/>
      <c r="I159" s="1429"/>
      <c r="J159" s="1429"/>
      <c r="K159" s="1429"/>
      <c r="L159" s="1429"/>
      <c r="M159" s="1429"/>
      <c r="N159" s="1429"/>
      <c r="O159" s="1429"/>
      <c r="P159" s="1429"/>
      <c r="Q159" s="778"/>
      <c r="R159" s="778"/>
    </row>
    <row r="160" spans="1:18" x14ac:dyDescent="0.3">
      <c r="A160" s="778" t="s">
        <v>3911</v>
      </c>
      <c r="B160" s="778" t="s">
        <v>74</v>
      </c>
      <c r="C160" s="1429"/>
      <c r="D160" s="1429"/>
      <c r="E160" s="1429"/>
      <c r="F160" s="1429"/>
      <c r="G160" s="1429"/>
      <c r="H160" s="1429"/>
      <c r="I160" s="1429"/>
      <c r="J160" s="1429"/>
      <c r="K160" s="1429"/>
      <c r="L160" s="1429"/>
      <c r="M160" s="1429"/>
      <c r="N160" s="1429"/>
      <c r="O160" s="1429"/>
      <c r="P160" s="1429"/>
      <c r="Q160" s="778"/>
      <c r="R160" s="778"/>
    </row>
    <row r="161" spans="1:18" x14ac:dyDescent="0.3">
      <c r="A161" s="5244" t="s">
        <v>3968</v>
      </c>
      <c r="B161" s="5244"/>
      <c r="C161" s="5244"/>
      <c r="D161" s="5244"/>
      <c r="E161" s="5244"/>
      <c r="F161" s="5244"/>
      <c r="G161" s="5244"/>
      <c r="H161" s="5244"/>
      <c r="I161" s="5244"/>
      <c r="J161" s="5244"/>
      <c r="K161" s="5244"/>
      <c r="L161" s="5244"/>
      <c r="M161" s="5244"/>
      <c r="N161" s="5244"/>
      <c r="O161" s="5244"/>
      <c r="P161" s="5244"/>
      <c r="Q161" s="5244"/>
      <c r="R161" s="5244"/>
    </row>
    <row r="162" spans="1:18" ht="24" customHeight="1" x14ac:dyDescent="0.3">
      <c r="A162" s="4152" t="s">
        <v>3902</v>
      </c>
      <c r="B162" s="4153" t="s">
        <v>74</v>
      </c>
      <c r="C162" s="2605">
        <f t="shared" ref="C162:R162" si="10">SUM(C163:C165)</f>
        <v>2040.4399999999998</v>
      </c>
      <c r="D162" s="2605">
        <f t="shared" si="10"/>
        <v>3185.99</v>
      </c>
      <c r="E162" s="2605">
        <f t="shared" si="10"/>
        <v>6199.73</v>
      </c>
      <c r="F162" s="2605">
        <f t="shared" si="10"/>
        <v>3739.33</v>
      </c>
      <c r="G162" s="2605">
        <f t="shared" si="10"/>
        <v>3130.2960000000003</v>
      </c>
      <c r="H162" s="4117">
        <f t="shared" si="10"/>
        <v>91.33</v>
      </c>
      <c r="I162" s="4117">
        <f t="shared" si="10"/>
        <v>5.0599999999999996</v>
      </c>
      <c r="J162" s="4117">
        <f t="shared" si="10"/>
        <v>4262.0039999999999</v>
      </c>
      <c r="K162" s="4117">
        <f t="shared" si="10"/>
        <v>91.33</v>
      </c>
      <c r="L162" s="4117">
        <f t="shared" si="10"/>
        <v>5.0599999999999996</v>
      </c>
      <c r="M162" s="4117">
        <f t="shared" si="10"/>
        <v>8752.9920000000002</v>
      </c>
      <c r="N162" s="4117">
        <f t="shared" si="10"/>
        <v>91.33</v>
      </c>
      <c r="O162" s="4117">
        <f t="shared" si="10"/>
        <v>5.0599999999999996</v>
      </c>
      <c r="P162" s="4117">
        <f t="shared" si="10"/>
        <v>4772.5320000000002</v>
      </c>
      <c r="Q162" s="4117">
        <f t="shared" si="10"/>
        <v>91.33</v>
      </c>
      <c r="R162" s="4149">
        <f t="shared" si="10"/>
        <v>5.0599999999999996</v>
      </c>
    </row>
    <row r="163" spans="1:18" ht="24" customHeight="1" x14ac:dyDescent="0.3">
      <c r="A163" s="4154" t="s">
        <v>3941</v>
      </c>
      <c r="B163" s="4155" t="s">
        <v>74</v>
      </c>
      <c r="C163" s="1774">
        <v>1678.61</v>
      </c>
      <c r="D163" s="1774">
        <v>2600.1999999999998</v>
      </c>
      <c r="E163" s="1774">
        <v>5230.99</v>
      </c>
      <c r="F163" s="1774">
        <v>3361.64</v>
      </c>
      <c r="G163" s="1774">
        <v>2418.3240000000001</v>
      </c>
      <c r="H163" s="1487">
        <v>28.39</v>
      </c>
      <c r="I163" s="1487">
        <v>0</v>
      </c>
      <c r="J163" s="1487">
        <v>3488.328</v>
      </c>
      <c r="K163" s="1487">
        <f>H163</f>
        <v>28.39</v>
      </c>
      <c r="L163" s="1487">
        <v>0</v>
      </c>
      <c r="M163" s="1487">
        <v>6812.2320000000009</v>
      </c>
      <c r="N163" s="1487">
        <f>K163</f>
        <v>28.39</v>
      </c>
      <c r="O163" s="1487">
        <v>0</v>
      </c>
      <c r="P163" s="1487">
        <v>3864.2280000000001</v>
      </c>
      <c r="Q163" s="1487">
        <f>H163</f>
        <v>28.39</v>
      </c>
      <c r="R163" s="1487">
        <v>0</v>
      </c>
    </row>
    <row r="164" spans="1:18" ht="24" customHeight="1" x14ac:dyDescent="0.3">
      <c r="A164" s="4156" t="s">
        <v>3942</v>
      </c>
      <c r="B164" s="4155" t="s">
        <v>74</v>
      </c>
      <c r="C164" s="1774">
        <v>349.59</v>
      </c>
      <c r="D164" s="1774">
        <v>584.63</v>
      </c>
      <c r="E164" s="1774">
        <v>949.58</v>
      </c>
      <c r="F164" s="1774">
        <v>376.53</v>
      </c>
      <c r="G164" s="1774">
        <v>711.55200000000002</v>
      </c>
      <c r="H164" s="1487">
        <v>62.94</v>
      </c>
      <c r="I164" s="1487">
        <v>5.0599999999999996</v>
      </c>
      <c r="J164" s="1487">
        <v>773.25600000000009</v>
      </c>
      <c r="K164" s="1487">
        <f>H164</f>
        <v>62.94</v>
      </c>
      <c r="L164" s="1487">
        <v>5.0599999999999996</v>
      </c>
      <c r="M164" s="1487">
        <v>1940.34</v>
      </c>
      <c r="N164" s="1487">
        <f>H164</f>
        <v>62.94</v>
      </c>
      <c r="O164" s="1487">
        <v>5.0599999999999996</v>
      </c>
      <c r="P164" s="1487">
        <v>907.88400000000001</v>
      </c>
      <c r="Q164" s="1487">
        <f>H164</f>
        <v>62.94</v>
      </c>
      <c r="R164" s="1487">
        <v>5.0599999999999996</v>
      </c>
    </row>
    <row r="165" spans="1:18" ht="24" customHeight="1" x14ac:dyDescent="0.3">
      <c r="A165" s="4157" t="s">
        <v>3943</v>
      </c>
      <c r="B165" s="4155" t="s">
        <v>74</v>
      </c>
      <c r="C165" s="3892">
        <v>12.24</v>
      </c>
      <c r="D165" s="3892">
        <v>1.1599999999999999</v>
      </c>
      <c r="E165" s="3892">
        <v>19.16</v>
      </c>
      <c r="F165" s="3892">
        <v>1.1599999999999999</v>
      </c>
      <c r="G165" s="1774">
        <v>0.42</v>
      </c>
      <c r="H165" s="1487">
        <v>0</v>
      </c>
      <c r="I165" s="1487">
        <v>0</v>
      </c>
      <c r="J165" s="1487">
        <v>0.42</v>
      </c>
      <c r="K165" s="1487">
        <v>0</v>
      </c>
      <c r="L165" s="1487">
        <v>0</v>
      </c>
      <c r="M165" s="1487">
        <v>0.42</v>
      </c>
      <c r="N165" s="1487">
        <v>0</v>
      </c>
      <c r="O165" s="1487">
        <v>0</v>
      </c>
      <c r="P165" s="1487">
        <v>0.42</v>
      </c>
      <c r="Q165" s="1487">
        <v>0</v>
      </c>
      <c r="R165" s="1487">
        <v>0</v>
      </c>
    </row>
    <row r="166" spans="1:18" ht="24" customHeight="1" x14ac:dyDescent="0.3">
      <c r="A166" s="4152" t="s">
        <v>3906</v>
      </c>
      <c r="B166" s="4153" t="s">
        <v>74</v>
      </c>
      <c r="C166" s="2605">
        <f t="shared" ref="C166:R166" si="11">SUM(C167:C169)</f>
        <v>2040.4399999999998</v>
      </c>
      <c r="D166" s="2605">
        <f t="shared" si="11"/>
        <v>3490.5599999999995</v>
      </c>
      <c r="E166" s="2605">
        <f t="shared" si="11"/>
        <v>6199.73</v>
      </c>
      <c r="F166" s="2605">
        <f t="shared" si="11"/>
        <v>4709.1499999999996</v>
      </c>
      <c r="G166" s="2605">
        <f t="shared" si="11"/>
        <v>3368.7000000000003</v>
      </c>
      <c r="H166" s="4117">
        <f t="shared" si="11"/>
        <v>103.84</v>
      </c>
      <c r="I166" s="4117">
        <f t="shared" si="11"/>
        <v>5.0599999999999996</v>
      </c>
      <c r="J166" s="4117">
        <f t="shared" si="11"/>
        <v>4500.4080000000004</v>
      </c>
      <c r="K166" s="4117">
        <f t="shared" si="11"/>
        <v>103.84</v>
      </c>
      <c r="L166" s="4117">
        <f t="shared" si="11"/>
        <v>5.0599999999999996</v>
      </c>
      <c r="M166" s="4117">
        <f t="shared" si="11"/>
        <v>8991.3960000000006</v>
      </c>
      <c r="N166" s="4117">
        <f t="shared" si="11"/>
        <v>103.84</v>
      </c>
      <c r="O166" s="4117">
        <f t="shared" si="11"/>
        <v>5.0599999999999996</v>
      </c>
      <c r="P166" s="4117">
        <f t="shared" si="11"/>
        <v>5010.9359999999997</v>
      </c>
      <c r="Q166" s="4117">
        <f t="shared" si="11"/>
        <v>103.84</v>
      </c>
      <c r="R166" s="4117">
        <f t="shared" si="11"/>
        <v>5.0599999999999996</v>
      </c>
    </row>
    <row r="167" spans="1:18" ht="24" customHeight="1" x14ac:dyDescent="0.3">
      <c r="A167" s="4154" t="s">
        <v>3941</v>
      </c>
      <c r="B167" s="4155" t="s">
        <v>74</v>
      </c>
      <c r="C167" s="1774">
        <v>1678.61</v>
      </c>
      <c r="D167" s="1774">
        <v>2600.1999999999998</v>
      </c>
      <c r="E167" s="1774">
        <v>5230.99</v>
      </c>
      <c r="F167" s="1774">
        <v>3913.9</v>
      </c>
      <c r="G167" s="1487">
        <v>2418.3240000000001</v>
      </c>
      <c r="H167" s="1487">
        <f>H163</f>
        <v>28.39</v>
      </c>
      <c r="I167" s="1487">
        <v>0</v>
      </c>
      <c r="J167" s="1487">
        <v>3488.328</v>
      </c>
      <c r="K167" s="1487">
        <f>K163</f>
        <v>28.39</v>
      </c>
      <c r="L167" s="1487">
        <v>0</v>
      </c>
      <c r="M167" s="1487">
        <v>6812.2320000000009</v>
      </c>
      <c r="N167" s="1487">
        <f>N163</f>
        <v>28.39</v>
      </c>
      <c r="O167" s="1487">
        <v>0</v>
      </c>
      <c r="P167" s="1487">
        <v>3864.2280000000001</v>
      </c>
      <c r="Q167" s="1487">
        <f>Q163</f>
        <v>28.39</v>
      </c>
      <c r="R167" s="1487">
        <v>0</v>
      </c>
    </row>
    <row r="168" spans="1:18" ht="24" customHeight="1" x14ac:dyDescent="0.3">
      <c r="A168" s="4156" t="s">
        <v>3942</v>
      </c>
      <c r="B168" s="4155" t="s">
        <v>74</v>
      </c>
      <c r="C168" s="1774">
        <v>349.59</v>
      </c>
      <c r="D168" s="1774">
        <v>889.2</v>
      </c>
      <c r="E168" s="1774">
        <v>949.58</v>
      </c>
      <c r="F168" s="3892">
        <v>776.09</v>
      </c>
      <c r="G168" s="1487">
        <v>949.95600000000013</v>
      </c>
      <c r="H168" s="1487">
        <v>75.45</v>
      </c>
      <c r="I168" s="1487">
        <v>5.0599999999999996</v>
      </c>
      <c r="J168" s="1487">
        <v>1011.6600000000001</v>
      </c>
      <c r="K168" s="1487">
        <f>H168</f>
        <v>75.45</v>
      </c>
      <c r="L168" s="1487">
        <v>5.0599999999999996</v>
      </c>
      <c r="M168" s="1487">
        <v>2178.7440000000001</v>
      </c>
      <c r="N168" s="1487">
        <f>H168</f>
        <v>75.45</v>
      </c>
      <c r="O168" s="1487">
        <v>5.0599999999999996</v>
      </c>
      <c r="P168" s="1487">
        <v>1146.288</v>
      </c>
      <c r="Q168" s="1487">
        <f>H168</f>
        <v>75.45</v>
      </c>
      <c r="R168" s="1487">
        <v>5.0599999999999996</v>
      </c>
    </row>
    <row r="169" spans="1:18" ht="24" customHeight="1" x14ac:dyDescent="0.3">
      <c r="A169" s="4157" t="s">
        <v>3943</v>
      </c>
      <c r="B169" s="4155" t="s">
        <v>74</v>
      </c>
      <c r="C169" s="3892">
        <v>12.24</v>
      </c>
      <c r="D169" s="3892">
        <v>1.1599999999999999</v>
      </c>
      <c r="E169" s="3892">
        <v>19.16</v>
      </c>
      <c r="F169" s="3892">
        <v>19.16</v>
      </c>
      <c r="G169" s="1487">
        <v>0.42</v>
      </c>
      <c r="H169" s="1487">
        <v>0</v>
      </c>
      <c r="I169" s="1487">
        <v>0</v>
      </c>
      <c r="J169" s="1487">
        <v>0.42</v>
      </c>
      <c r="K169" s="1487">
        <v>0</v>
      </c>
      <c r="L169" s="1487">
        <v>0</v>
      </c>
      <c r="M169" s="1487">
        <v>0.42</v>
      </c>
      <c r="N169" s="1487">
        <v>0</v>
      </c>
      <c r="O169" s="1487">
        <v>0</v>
      </c>
      <c r="P169" s="1487">
        <v>0.42</v>
      </c>
      <c r="Q169" s="1487">
        <v>0</v>
      </c>
      <c r="R169" s="1487">
        <v>0</v>
      </c>
    </row>
    <row r="170" spans="1:18" ht="24" customHeight="1" x14ac:dyDescent="0.3">
      <c r="A170" s="4152" t="s">
        <v>3907</v>
      </c>
      <c r="B170" s="4153" t="s">
        <v>74</v>
      </c>
      <c r="C170" s="1428" t="s">
        <v>3587</v>
      </c>
      <c r="D170" s="1428" t="s">
        <v>3587</v>
      </c>
      <c r="E170" s="1428" t="s">
        <v>3587</v>
      </c>
      <c r="F170" s="1428" t="s">
        <v>3587</v>
      </c>
      <c r="G170" s="1428" t="s">
        <v>3587</v>
      </c>
      <c r="H170" s="1428" t="s">
        <v>3587</v>
      </c>
      <c r="I170" s="1428" t="s">
        <v>3587</v>
      </c>
      <c r="J170" s="1428" t="s">
        <v>3587</v>
      </c>
      <c r="K170" s="1428" t="s">
        <v>3587</v>
      </c>
      <c r="L170" s="1428" t="s">
        <v>3587</v>
      </c>
      <c r="M170" s="1428" t="s">
        <v>3587</v>
      </c>
      <c r="N170" s="1428" t="s">
        <v>3587</v>
      </c>
      <c r="O170" s="1428" t="s">
        <v>3587</v>
      </c>
      <c r="P170" s="1428" t="s">
        <v>3587</v>
      </c>
      <c r="Q170" s="1428" t="s">
        <v>3587</v>
      </c>
      <c r="R170" s="1428" t="s">
        <v>3587</v>
      </c>
    </row>
    <row r="171" spans="1:18" ht="24" customHeight="1" x14ac:dyDescent="0.3">
      <c r="A171" s="4154" t="s">
        <v>3941</v>
      </c>
      <c r="B171" s="4155" t="s">
        <v>74</v>
      </c>
      <c r="C171" s="1429" t="s">
        <v>3587</v>
      </c>
      <c r="D171" s="1429" t="s">
        <v>3587</v>
      </c>
      <c r="E171" s="1429" t="s">
        <v>3587</v>
      </c>
      <c r="F171" s="1429" t="s">
        <v>3587</v>
      </c>
      <c r="G171" s="1429" t="s">
        <v>3587</v>
      </c>
      <c r="H171" s="1429" t="s">
        <v>3587</v>
      </c>
      <c r="I171" s="1429" t="s">
        <v>3587</v>
      </c>
      <c r="J171" s="1429" t="s">
        <v>3587</v>
      </c>
      <c r="K171" s="1429" t="s">
        <v>3587</v>
      </c>
      <c r="L171" s="1429" t="s">
        <v>3587</v>
      </c>
      <c r="M171" s="1429" t="s">
        <v>3587</v>
      </c>
      <c r="N171" s="1429" t="s">
        <v>3587</v>
      </c>
      <c r="O171" s="1429" t="s">
        <v>3587</v>
      </c>
      <c r="P171" s="1429" t="s">
        <v>3587</v>
      </c>
      <c r="Q171" s="1429" t="s">
        <v>3587</v>
      </c>
      <c r="R171" s="1429" t="s">
        <v>3587</v>
      </c>
    </row>
    <row r="172" spans="1:18" ht="24" customHeight="1" x14ac:dyDescent="0.3">
      <c r="A172" s="4156" t="s">
        <v>3942</v>
      </c>
      <c r="B172" s="4155" t="s">
        <v>74</v>
      </c>
      <c r="C172" s="1428" t="s">
        <v>3587</v>
      </c>
      <c r="D172" s="1428" t="s">
        <v>3587</v>
      </c>
      <c r="E172" s="1428" t="s">
        <v>3587</v>
      </c>
      <c r="F172" s="1428" t="s">
        <v>3587</v>
      </c>
      <c r="G172" s="1428" t="s">
        <v>3587</v>
      </c>
      <c r="H172" s="1428" t="s">
        <v>3587</v>
      </c>
      <c r="I172" s="1428" t="s">
        <v>3587</v>
      </c>
      <c r="J172" s="1428" t="s">
        <v>3587</v>
      </c>
      <c r="K172" s="1428" t="s">
        <v>3587</v>
      </c>
      <c r="L172" s="1428" t="s">
        <v>3587</v>
      </c>
      <c r="M172" s="1428" t="s">
        <v>3587</v>
      </c>
      <c r="N172" s="1428" t="s">
        <v>3587</v>
      </c>
      <c r="O172" s="1428" t="s">
        <v>3587</v>
      </c>
      <c r="P172" s="1428" t="s">
        <v>3587</v>
      </c>
      <c r="Q172" s="1428" t="s">
        <v>3587</v>
      </c>
      <c r="R172" s="1428" t="s">
        <v>3587</v>
      </c>
    </row>
    <row r="173" spans="1:18" ht="24" customHeight="1" x14ac:dyDescent="0.3">
      <c r="A173" s="4157" t="s">
        <v>3943</v>
      </c>
      <c r="B173" s="4155" t="s">
        <v>74</v>
      </c>
      <c r="C173" s="1429" t="s">
        <v>3587</v>
      </c>
      <c r="D173" s="1429" t="s">
        <v>3587</v>
      </c>
      <c r="E173" s="1429" t="s">
        <v>3587</v>
      </c>
      <c r="F173" s="1429" t="s">
        <v>3587</v>
      </c>
      <c r="G173" s="1429" t="s">
        <v>3587</v>
      </c>
      <c r="H173" s="1429" t="s">
        <v>3587</v>
      </c>
      <c r="I173" s="1429" t="s">
        <v>3587</v>
      </c>
      <c r="J173" s="1429" t="s">
        <v>3587</v>
      </c>
      <c r="K173" s="1429" t="s">
        <v>3587</v>
      </c>
      <c r="L173" s="1429" t="s">
        <v>3587</v>
      </c>
      <c r="M173" s="1429" t="s">
        <v>3587</v>
      </c>
      <c r="N173" s="1429" t="s">
        <v>3587</v>
      </c>
      <c r="O173" s="1429" t="s">
        <v>3587</v>
      </c>
      <c r="P173" s="1429" t="s">
        <v>3587</v>
      </c>
      <c r="Q173" s="1429" t="s">
        <v>3587</v>
      </c>
      <c r="R173" s="1429" t="s">
        <v>3587</v>
      </c>
    </row>
    <row r="174" spans="1:18" ht="24" customHeight="1" x14ac:dyDescent="0.3">
      <c r="A174" s="4158" t="s">
        <v>3944</v>
      </c>
      <c r="B174" s="1160"/>
      <c r="C174" s="1428" t="s">
        <v>3587</v>
      </c>
      <c r="D174" s="1428" t="s">
        <v>3587</v>
      </c>
      <c r="E174" s="1428" t="s">
        <v>3587</v>
      </c>
      <c r="F174" s="1428" t="s">
        <v>3587</v>
      </c>
      <c r="G174" s="1428" t="s">
        <v>3587</v>
      </c>
      <c r="H174" s="1428" t="s">
        <v>3587</v>
      </c>
      <c r="I174" s="1428" t="s">
        <v>3587</v>
      </c>
      <c r="J174" s="1428" t="s">
        <v>3587</v>
      </c>
      <c r="K174" s="1428" t="s">
        <v>3587</v>
      </c>
      <c r="L174" s="1428" t="s">
        <v>3587</v>
      </c>
      <c r="M174" s="1428" t="s">
        <v>3587</v>
      </c>
      <c r="N174" s="1428" t="s">
        <v>3587</v>
      </c>
      <c r="O174" s="1428" t="s">
        <v>3587</v>
      </c>
      <c r="P174" s="1428" t="s">
        <v>3587</v>
      </c>
      <c r="Q174" s="1428" t="s">
        <v>3587</v>
      </c>
      <c r="R174" s="1428" t="s">
        <v>3587</v>
      </c>
    </row>
    <row r="175" spans="1:18" ht="30.75" customHeight="1" x14ac:dyDescent="0.3">
      <c r="A175" s="4154" t="s">
        <v>3945</v>
      </c>
      <c r="B175" s="1779" t="s">
        <v>3910</v>
      </c>
      <c r="C175" s="1429" t="s">
        <v>3587</v>
      </c>
      <c r="D175" s="1429" t="s">
        <v>3587</v>
      </c>
      <c r="E175" s="1429" t="s">
        <v>3587</v>
      </c>
      <c r="F175" s="1429" t="s">
        <v>3587</v>
      </c>
      <c r="G175" s="1429" t="s">
        <v>3587</v>
      </c>
      <c r="H175" s="1429" t="s">
        <v>3587</v>
      </c>
      <c r="I175" s="1429" t="s">
        <v>3587</v>
      </c>
      <c r="J175" s="1429" t="s">
        <v>3587</v>
      </c>
      <c r="K175" s="1429" t="s">
        <v>3587</v>
      </c>
      <c r="L175" s="1429" t="s">
        <v>3587</v>
      </c>
      <c r="M175" s="1429" t="s">
        <v>3587</v>
      </c>
      <c r="N175" s="1429" t="s">
        <v>3587</v>
      </c>
      <c r="O175" s="1429" t="s">
        <v>3587</v>
      </c>
      <c r="P175" s="1429" t="s">
        <v>3587</v>
      </c>
      <c r="Q175" s="1429" t="s">
        <v>3587</v>
      </c>
      <c r="R175" s="1429" t="s">
        <v>3587</v>
      </c>
    </row>
    <row r="176" spans="1:18" ht="24" customHeight="1" x14ac:dyDescent="0.3">
      <c r="A176" s="4156" t="s">
        <v>3946</v>
      </c>
      <c r="B176" s="4155" t="s">
        <v>74</v>
      </c>
      <c r="C176" s="1428" t="s">
        <v>3587</v>
      </c>
      <c r="D176" s="1428" t="s">
        <v>3587</v>
      </c>
      <c r="E176" s="1428" t="s">
        <v>3587</v>
      </c>
      <c r="F176" s="1428" t="s">
        <v>3587</v>
      </c>
      <c r="G176" s="1428" t="s">
        <v>3587</v>
      </c>
      <c r="H176" s="1428" t="s">
        <v>3587</v>
      </c>
      <c r="I176" s="1428" t="s">
        <v>3587</v>
      </c>
      <c r="J176" s="1428" t="s">
        <v>3587</v>
      </c>
      <c r="K176" s="1428" t="s">
        <v>3587</v>
      </c>
      <c r="L176" s="1428" t="s">
        <v>3587</v>
      </c>
      <c r="M176" s="1428" t="s">
        <v>3587</v>
      </c>
      <c r="N176" s="1428" t="s">
        <v>3587</v>
      </c>
      <c r="O176" s="1428" t="s">
        <v>3587</v>
      </c>
      <c r="P176" s="1428" t="s">
        <v>3587</v>
      </c>
      <c r="Q176" s="1428" t="s">
        <v>3587</v>
      </c>
      <c r="R176" s="1428" t="s">
        <v>3587</v>
      </c>
    </row>
    <row r="177" spans="1:22" x14ac:dyDescent="0.3">
      <c r="A177" s="5244" t="s">
        <v>3947</v>
      </c>
      <c r="B177" s="5244"/>
      <c r="C177" s="5244"/>
      <c r="D177" s="5244"/>
      <c r="E177" s="5244"/>
      <c r="F177" s="5244"/>
      <c r="G177" s="5244"/>
      <c r="H177" s="5244"/>
      <c r="I177" s="5244"/>
      <c r="J177" s="5244"/>
      <c r="K177" s="5244"/>
      <c r="L177" s="5244"/>
      <c r="M177" s="5244"/>
      <c r="N177" s="5244"/>
      <c r="O177" s="5244"/>
      <c r="P177" s="5244"/>
    </row>
    <row r="178" spans="1:22" x14ac:dyDescent="0.3">
      <c r="A178" s="1160" t="s">
        <v>3902</v>
      </c>
      <c r="B178" s="1160" t="s">
        <v>74</v>
      </c>
      <c r="C178" s="1428">
        <f>C179+C180+C181</f>
        <v>2577.3200000000002</v>
      </c>
      <c r="D178" s="1428">
        <f t="shared" ref="D178:H178" si="12">D179+D180+D181</f>
        <v>4027.93</v>
      </c>
      <c r="E178" s="1428">
        <f t="shared" si="12"/>
        <v>2636.7599999999998</v>
      </c>
      <c r="F178" s="4169">
        <v>0</v>
      </c>
      <c r="G178" s="1428">
        <f t="shared" si="12"/>
        <v>3364.4300000000003</v>
      </c>
      <c r="H178" s="1428">
        <f t="shared" si="12"/>
        <v>117.09</v>
      </c>
      <c r="I178" s="4169">
        <v>0</v>
      </c>
      <c r="J178" s="1428">
        <f t="shared" ref="J178:K178" si="13">J179+J180+J181</f>
        <v>4777.4799999999996</v>
      </c>
      <c r="K178" s="1428">
        <f t="shared" si="13"/>
        <v>117.09</v>
      </c>
      <c r="L178" s="4169">
        <v>0</v>
      </c>
      <c r="M178" s="1428">
        <f t="shared" ref="M178:N178" si="14">M179+M180+M181</f>
        <v>7206.44</v>
      </c>
      <c r="N178" s="1428">
        <f t="shared" si="14"/>
        <v>117.09</v>
      </c>
      <c r="O178" s="4169">
        <v>0</v>
      </c>
      <c r="P178" s="4169">
        <v>0</v>
      </c>
      <c r="Q178" s="4169">
        <v>0</v>
      </c>
      <c r="R178" s="4169">
        <v>0</v>
      </c>
      <c r="S178" s="4170"/>
      <c r="T178" s="4170"/>
      <c r="U178" s="4170"/>
      <c r="V178" s="4170"/>
    </row>
    <row r="179" spans="1:22" x14ac:dyDescent="0.3">
      <c r="A179" s="778" t="s">
        <v>3903</v>
      </c>
      <c r="B179" s="778" t="s">
        <v>74</v>
      </c>
      <c r="C179" s="1429">
        <v>2058.38</v>
      </c>
      <c r="D179" s="1429">
        <v>3329.94</v>
      </c>
      <c r="E179" s="1429">
        <v>2108.12</v>
      </c>
      <c r="F179" s="4171">
        <v>0</v>
      </c>
      <c r="G179" s="1429">
        <v>2607.3200000000002</v>
      </c>
      <c r="H179" s="1429">
        <v>75.680000000000007</v>
      </c>
      <c r="I179" s="4171">
        <v>0</v>
      </c>
      <c r="J179" s="1429">
        <v>3849.1</v>
      </c>
      <c r="K179" s="1429">
        <f>H179</f>
        <v>75.680000000000007</v>
      </c>
      <c r="L179" s="4172">
        <v>0</v>
      </c>
      <c r="M179" s="1429">
        <v>5983.09</v>
      </c>
      <c r="N179" s="1429">
        <f>K179</f>
        <v>75.680000000000007</v>
      </c>
      <c r="O179" s="4172">
        <v>0</v>
      </c>
      <c r="P179" s="4173">
        <v>0</v>
      </c>
      <c r="Q179" s="4169">
        <v>0</v>
      </c>
      <c r="R179" s="4169">
        <v>0</v>
      </c>
      <c r="S179" s="4170"/>
      <c r="T179" s="4170"/>
    </row>
    <row r="180" spans="1:22" x14ac:dyDescent="0.3">
      <c r="A180" s="778" t="s">
        <v>3904</v>
      </c>
      <c r="B180" s="778" t="s">
        <v>74</v>
      </c>
      <c r="C180" s="1429">
        <v>437.6</v>
      </c>
      <c r="D180" s="1429">
        <v>615.67999999999995</v>
      </c>
      <c r="E180" s="1429">
        <v>446.33</v>
      </c>
      <c r="F180" s="4171">
        <v>0</v>
      </c>
      <c r="G180" s="1429">
        <v>617.49</v>
      </c>
      <c r="H180" s="1429">
        <v>41.01</v>
      </c>
      <c r="I180" s="4171">
        <v>0</v>
      </c>
      <c r="J180" s="1429">
        <v>788.76</v>
      </c>
      <c r="K180" s="1429">
        <v>41.01</v>
      </c>
      <c r="L180" s="4172">
        <v>0</v>
      </c>
      <c r="M180" s="1429">
        <v>1083.73</v>
      </c>
      <c r="N180" s="1429">
        <v>41.01</v>
      </c>
      <c r="O180" s="4172">
        <v>0</v>
      </c>
      <c r="P180" s="4173">
        <v>0</v>
      </c>
      <c r="Q180" s="4169">
        <v>0</v>
      </c>
      <c r="R180" s="4169">
        <v>0</v>
      </c>
      <c r="S180" s="4170"/>
      <c r="T180" s="4170"/>
    </row>
    <row r="181" spans="1:22" x14ac:dyDescent="0.3">
      <c r="A181" s="778" t="s">
        <v>3905</v>
      </c>
      <c r="B181" s="778" t="s">
        <v>74</v>
      </c>
      <c r="C181" s="1429">
        <v>81.34</v>
      </c>
      <c r="D181" s="1429">
        <v>82.31</v>
      </c>
      <c r="E181" s="1429">
        <v>82.31</v>
      </c>
      <c r="F181" s="4171">
        <v>0</v>
      </c>
      <c r="G181" s="1429">
        <v>139.62</v>
      </c>
      <c r="H181" s="1429">
        <v>0.4</v>
      </c>
      <c r="I181" s="4171">
        <v>0</v>
      </c>
      <c r="J181" s="1429">
        <v>139.62</v>
      </c>
      <c r="K181" s="1429">
        <v>0.4</v>
      </c>
      <c r="L181" s="4172">
        <v>0</v>
      </c>
      <c r="M181" s="1429">
        <v>139.62</v>
      </c>
      <c r="N181" s="1429">
        <v>0.4</v>
      </c>
      <c r="O181" s="4172">
        <v>0</v>
      </c>
      <c r="P181" s="4173">
        <v>0</v>
      </c>
      <c r="Q181" s="4169">
        <v>0</v>
      </c>
      <c r="R181" s="4169">
        <v>0</v>
      </c>
      <c r="S181" s="4170"/>
      <c r="T181" s="4170"/>
    </row>
    <row r="182" spans="1:22" x14ac:dyDescent="0.3">
      <c r="A182" s="1160" t="s">
        <v>3906</v>
      </c>
      <c r="B182" s="1160" t="s">
        <v>74</v>
      </c>
      <c r="C182" s="1428">
        <f>C183+C184+C185</f>
        <v>2754.5600000000004</v>
      </c>
      <c r="D182" s="1428">
        <f t="shared" ref="D182:H182" si="15">D183+D184+D185</f>
        <v>4207.3</v>
      </c>
      <c r="E182" s="1428">
        <f t="shared" si="15"/>
        <v>2816.14</v>
      </c>
      <c r="F182" s="4172">
        <v>0</v>
      </c>
      <c r="G182" s="1428">
        <f t="shared" si="15"/>
        <v>3652.28</v>
      </c>
      <c r="H182" s="1428">
        <f t="shared" si="15"/>
        <v>173.83</v>
      </c>
      <c r="I182" s="4171">
        <v>0</v>
      </c>
      <c r="J182" s="1428">
        <f t="shared" ref="J182:K182" si="16">J183+J184+J185</f>
        <v>0</v>
      </c>
      <c r="K182" s="1428">
        <f t="shared" si="16"/>
        <v>0</v>
      </c>
      <c r="L182" s="4172">
        <v>0</v>
      </c>
      <c r="M182" s="1428">
        <f t="shared" ref="M182:N182" si="17">M183+M184+M185</f>
        <v>7530.7300000000005</v>
      </c>
      <c r="N182" s="1428">
        <f t="shared" si="17"/>
        <v>173.83</v>
      </c>
      <c r="O182" s="4172">
        <v>0</v>
      </c>
      <c r="P182" s="4169">
        <v>0</v>
      </c>
      <c r="Q182" s="4169">
        <v>0</v>
      </c>
      <c r="R182" s="4169">
        <v>0</v>
      </c>
      <c r="S182" s="4170"/>
      <c r="T182" s="4170"/>
    </row>
    <row r="183" spans="1:22" x14ac:dyDescent="0.3">
      <c r="A183" s="778" t="s">
        <v>3903</v>
      </c>
      <c r="B183" s="778" t="s">
        <v>74</v>
      </c>
      <c r="C183" s="1429">
        <v>2058.38</v>
      </c>
      <c r="D183" s="1429">
        <v>3329.94</v>
      </c>
      <c r="E183" s="1429">
        <v>2108.12</v>
      </c>
      <c r="F183" s="4171">
        <v>0</v>
      </c>
      <c r="G183" s="1429">
        <v>2607.3200000000002</v>
      </c>
      <c r="H183" s="1429">
        <f>H179</f>
        <v>75.680000000000007</v>
      </c>
      <c r="I183" s="4171">
        <v>0</v>
      </c>
      <c r="J183" s="4171">
        <v>0</v>
      </c>
      <c r="K183" s="4171">
        <v>0</v>
      </c>
      <c r="L183" s="4172">
        <v>0</v>
      </c>
      <c r="M183" s="1429">
        <v>5983.09</v>
      </c>
      <c r="N183" s="1429">
        <f>H183</f>
        <v>75.680000000000007</v>
      </c>
      <c r="O183" s="4172">
        <v>0</v>
      </c>
      <c r="P183" s="4173">
        <v>0</v>
      </c>
      <c r="Q183" s="4169">
        <v>0</v>
      </c>
      <c r="R183" s="4169">
        <v>0</v>
      </c>
      <c r="S183" s="4170"/>
      <c r="T183" s="4170"/>
    </row>
    <row r="184" spans="1:22" x14ac:dyDescent="0.3">
      <c r="A184" s="778" t="s">
        <v>3904</v>
      </c>
      <c r="B184" s="778" t="s">
        <v>74</v>
      </c>
      <c r="C184" s="1429">
        <v>614.84</v>
      </c>
      <c r="D184" s="1429">
        <v>795.05</v>
      </c>
      <c r="E184" s="1429">
        <v>625.71</v>
      </c>
      <c r="F184" s="4171">
        <v>0</v>
      </c>
      <c r="G184" s="1429">
        <v>905.34</v>
      </c>
      <c r="H184" s="1429">
        <v>97.75</v>
      </c>
      <c r="I184" s="4171">
        <v>0</v>
      </c>
      <c r="J184" s="4171">
        <v>0</v>
      </c>
      <c r="K184" s="4171">
        <v>0</v>
      </c>
      <c r="L184" s="4172">
        <v>0</v>
      </c>
      <c r="M184" s="1429">
        <v>1408.02</v>
      </c>
      <c r="N184" s="1429">
        <v>97.75</v>
      </c>
      <c r="O184" s="4172">
        <v>0</v>
      </c>
      <c r="P184" s="4173">
        <v>0</v>
      </c>
      <c r="Q184" s="4169">
        <v>0</v>
      </c>
      <c r="R184" s="4169">
        <v>0</v>
      </c>
      <c r="S184" s="4170"/>
      <c r="T184" s="4170"/>
    </row>
    <row r="185" spans="1:22" x14ac:dyDescent="0.3">
      <c r="A185" s="778" t="s">
        <v>3905</v>
      </c>
      <c r="B185" s="778" t="s">
        <v>74</v>
      </c>
      <c r="C185" s="1429">
        <v>81.34</v>
      </c>
      <c r="D185" s="1429">
        <v>82.31</v>
      </c>
      <c r="E185" s="1429">
        <v>82.31</v>
      </c>
      <c r="F185" s="4171">
        <v>0</v>
      </c>
      <c r="G185" s="1429">
        <v>139.62</v>
      </c>
      <c r="H185" s="1429">
        <v>0.4</v>
      </c>
      <c r="I185" s="4171">
        <v>0</v>
      </c>
      <c r="J185" s="4171">
        <v>0</v>
      </c>
      <c r="K185" s="4171">
        <v>0</v>
      </c>
      <c r="L185" s="4172">
        <v>0</v>
      </c>
      <c r="M185" s="1429">
        <v>139.62</v>
      </c>
      <c r="N185" s="1429">
        <v>0.4</v>
      </c>
      <c r="O185" s="4172">
        <v>0</v>
      </c>
      <c r="P185" s="4173">
        <v>0</v>
      </c>
      <c r="Q185" s="4169">
        <v>0</v>
      </c>
      <c r="R185" s="4169">
        <v>0</v>
      </c>
      <c r="S185" s="4170"/>
      <c r="T185" s="4170"/>
    </row>
    <row r="186" spans="1:22" x14ac:dyDescent="0.3">
      <c r="A186" s="1160" t="s">
        <v>3907</v>
      </c>
      <c r="B186" s="778" t="s">
        <v>74</v>
      </c>
      <c r="C186" s="4172">
        <v>0</v>
      </c>
      <c r="D186" s="4172">
        <v>0</v>
      </c>
      <c r="E186" s="4172">
        <v>0</v>
      </c>
      <c r="F186" s="4172">
        <v>0</v>
      </c>
      <c r="G186" s="4172">
        <v>0</v>
      </c>
      <c r="H186" s="4172">
        <v>0</v>
      </c>
      <c r="I186" s="4171">
        <v>0</v>
      </c>
      <c r="J186" s="4172">
        <v>0</v>
      </c>
      <c r="K186" s="4172">
        <v>0</v>
      </c>
      <c r="L186" s="4172">
        <v>0</v>
      </c>
      <c r="M186" s="4172">
        <v>0</v>
      </c>
      <c r="N186" s="4172">
        <v>0</v>
      </c>
      <c r="O186" s="4172">
        <v>0</v>
      </c>
      <c r="P186" s="4169">
        <v>0</v>
      </c>
      <c r="Q186" s="4169">
        <v>0</v>
      </c>
      <c r="R186" s="4169">
        <v>0</v>
      </c>
      <c r="S186" s="4170"/>
      <c r="T186" s="4170"/>
    </row>
    <row r="187" spans="1:22" x14ac:dyDescent="0.3">
      <c r="A187" s="778" t="s">
        <v>3903</v>
      </c>
      <c r="B187" s="778" t="s">
        <v>74</v>
      </c>
      <c r="C187" s="4171">
        <v>0</v>
      </c>
      <c r="D187" s="4171">
        <v>0</v>
      </c>
      <c r="E187" s="4171">
        <v>0</v>
      </c>
      <c r="F187" s="4171">
        <v>0</v>
      </c>
      <c r="G187" s="4171">
        <v>0</v>
      </c>
      <c r="H187" s="4171">
        <v>0</v>
      </c>
      <c r="I187" s="4171">
        <v>0</v>
      </c>
      <c r="J187" s="4171">
        <v>0</v>
      </c>
      <c r="K187" s="4171">
        <v>0</v>
      </c>
      <c r="L187" s="4172">
        <v>0</v>
      </c>
      <c r="M187" s="4171">
        <v>0</v>
      </c>
      <c r="N187" s="4171">
        <v>0</v>
      </c>
      <c r="O187" s="4172">
        <v>0</v>
      </c>
      <c r="P187" s="4173">
        <v>0</v>
      </c>
      <c r="Q187" s="4169">
        <v>0</v>
      </c>
      <c r="R187" s="4169">
        <v>0</v>
      </c>
      <c r="S187" s="4170"/>
      <c r="T187" s="4170"/>
    </row>
    <row r="188" spans="1:22" x14ac:dyDescent="0.3">
      <c r="A188" s="778" t="s">
        <v>3904</v>
      </c>
      <c r="B188" s="778" t="s">
        <v>74</v>
      </c>
      <c r="C188" s="4171">
        <v>0</v>
      </c>
      <c r="D188" s="4171">
        <v>0</v>
      </c>
      <c r="E188" s="4171">
        <v>0</v>
      </c>
      <c r="F188" s="4171">
        <v>0</v>
      </c>
      <c r="G188" s="4171">
        <v>0</v>
      </c>
      <c r="H188" s="4171">
        <v>0</v>
      </c>
      <c r="I188" s="4171">
        <v>0</v>
      </c>
      <c r="J188" s="4171">
        <v>0</v>
      </c>
      <c r="K188" s="4171">
        <v>0</v>
      </c>
      <c r="L188" s="4172">
        <v>0</v>
      </c>
      <c r="M188" s="4171">
        <v>0</v>
      </c>
      <c r="N188" s="4171">
        <v>0</v>
      </c>
      <c r="O188" s="4172">
        <v>0</v>
      </c>
      <c r="P188" s="4173">
        <v>0</v>
      </c>
      <c r="Q188" s="4169">
        <v>0</v>
      </c>
      <c r="R188" s="4169">
        <v>0</v>
      </c>
      <c r="S188" s="4170"/>
      <c r="T188" s="4170"/>
    </row>
    <row r="189" spans="1:22" x14ac:dyDescent="0.3">
      <c r="A189" s="778" t="s">
        <v>3905</v>
      </c>
      <c r="B189" s="778" t="s">
        <v>74</v>
      </c>
      <c r="C189" s="4171">
        <v>0</v>
      </c>
      <c r="D189" s="4171">
        <v>0</v>
      </c>
      <c r="E189" s="4171">
        <v>0</v>
      </c>
      <c r="F189" s="4171">
        <v>0</v>
      </c>
      <c r="G189" s="4171">
        <v>0</v>
      </c>
      <c r="H189" s="4171">
        <v>0</v>
      </c>
      <c r="I189" s="4171">
        <v>0</v>
      </c>
      <c r="J189" s="4171">
        <v>0</v>
      </c>
      <c r="K189" s="4171">
        <v>0</v>
      </c>
      <c r="L189" s="4172">
        <v>0</v>
      </c>
      <c r="M189" s="4171">
        <v>0</v>
      </c>
      <c r="N189" s="4171">
        <v>0</v>
      </c>
      <c r="O189" s="4172">
        <v>0</v>
      </c>
      <c r="P189" s="4173">
        <v>0</v>
      </c>
      <c r="Q189" s="4169">
        <v>0</v>
      </c>
      <c r="R189" s="4169">
        <v>0</v>
      </c>
      <c r="S189" s="4170"/>
      <c r="T189" s="4170"/>
    </row>
    <row r="190" spans="1:22" x14ac:dyDescent="0.3">
      <c r="A190" s="1160" t="s">
        <v>3930</v>
      </c>
      <c r="B190" s="778"/>
      <c r="C190" s="1429"/>
      <c r="D190" s="1429"/>
      <c r="E190" s="1429"/>
      <c r="F190" s="4171">
        <v>0</v>
      </c>
      <c r="G190" s="1429"/>
      <c r="H190" s="1429"/>
      <c r="I190" s="4171">
        <v>0</v>
      </c>
      <c r="J190" s="1429"/>
      <c r="K190" s="1429"/>
      <c r="L190" s="4172">
        <v>0</v>
      </c>
      <c r="M190" s="1429"/>
      <c r="N190" s="1429"/>
      <c r="O190" s="4172">
        <v>0</v>
      </c>
      <c r="P190" s="4173">
        <v>0</v>
      </c>
      <c r="Q190" s="4169">
        <v>0</v>
      </c>
      <c r="R190" s="4169">
        <v>0</v>
      </c>
      <c r="S190" s="4170"/>
      <c r="T190" s="4170"/>
    </row>
    <row r="191" spans="1:22" ht="46.8" x14ac:dyDescent="0.3">
      <c r="A191" s="778" t="s">
        <v>3909</v>
      </c>
      <c r="B191" s="713" t="s">
        <v>3910</v>
      </c>
      <c r="C191" s="1429">
        <v>116840.66</v>
      </c>
      <c r="D191" s="4171">
        <v>0</v>
      </c>
      <c r="E191" s="4171">
        <v>0</v>
      </c>
      <c r="F191" s="4171">
        <v>0</v>
      </c>
      <c r="G191" s="1429">
        <v>185762.81</v>
      </c>
      <c r="H191" s="1429">
        <v>15397.64</v>
      </c>
      <c r="I191" s="4171">
        <v>0</v>
      </c>
      <c r="J191" s="1429">
        <v>117234.25</v>
      </c>
      <c r="K191" s="4174">
        <v>9525.19</v>
      </c>
      <c r="L191" s="4172">
        <v>0</v>
      </c>
      <c r="M191" s="1429">
        <v>183236.56</v>
      </c>
      <c r="N191" s="1429">
        <v>15090.94</v>
      </c>
      <c r="O191" s="4172">
        <v>0</v>
      </c>
      <c r="P191" s="4173">
        <v>0</v>
      </c>
      <c r="Q191" s="4169">
        <v>0</v>
      </c>
      <c r="R191" s="4169">
        <v>0</v>
      </c>
      <c r="S191" s="4170"/>
      <c r="T191" s="4170"/>
    </row>
    <row r="192" spans="1:22" x14ac:dyDescent="0.3">
      <c r="A192" s="778" t="s">
        <v>3911</v>
      </c>
      <c r="B192" s="778" t="s">
        <v>74</v>
      </c>
      <c r="C192" s="1429">
        <v>1685.56</v>
      </c>
      <c r="D192" s="4171">
        <v>0</v>
      </c>
      <c r="E192" s="4171">
        <v>0</v>
      </c>
      <c r="F192" s="4171">
        <v>0</v>
      </c>
      <c r="G192" s="1429">
        <v>1794.32</v>
      </c>
      <c r="H192" s="4171">
        <v>0</v>
      </c>
      <c r="I192" s="4171">
        <v>0</v>
      </c>
      <c r="J192" s="1429">
        <v>3207.83</v>
      </c>
      <c r="K192" s="4171">
        <v>0</v>
      </c>
      <c r="L192" s="4172">
        <v>0</v>
      </c>
      <c r="M192" s="1429">
        <v>5635.73</v>
      </c>
      <c r="N192" s="4171">
        <v>0</v>
      </c>
      <c r="O192" s="4172">
        <v>0</v>
      </c>
      <c r="P192" s="4173">
        <v>0</v>
      </c>
      <c r="Q192" s="4169">
        <v>0</v>
      </c>
      <c r="R192" s="4169">
        <v>0</v>
      </c>
      <c r="S192" s="4170"/>
      <c r="T192" s="4170"/>
    </row>
    <row r="193" spans="1:18" x14ac:dyDescent="0.3">
      <c r="A193" s="4941" t="s">
        <v>3948</v>
      </c>
      <c r="B193" s="4941"/>
      <c r="C193" s="4941"/>
      <c r="D193" s="4941"/>
      <c r="E193" s="4941"/>
      <c r="F193" s="4941"/>
      <c r="G193" s="4941"/>
      <c r="H193" s="4941"/>
      <c r="I193" s="4941"/>
      <c r="J193" s="4941"/>
      <c r="K193" s="4941"/>
      <c r="L193" s="4941"/>
      <c r="M193" s="4941"/>
      <c r="N193" s="4941"/>
      <c r="O193" s="4941"/>
      <c r="P193" s="4941"/>
    </row>
    <row r="194" spans="1:18" x14ac:dyDescent="0.3">
      <c r="A194" s="1160" t="s">
        <v>3902</v>
      </c>
      <c r="B194" s="1160" t="s">
        <v>74</v>
      </c>
      <c r="C194" s="1428">
        <f>C195+C196+C197</f>
        <v>2032.7334513773862</v>
      </c>
      <c r="D194" s="1428">
        <f>D195+D196+D197</f>
        <v>3075.2379999999998</v>
      </c>
      <c r="E194" s="1428">
        <f>E195+E196+E197</f>
        <v>4798.7382479462531</v>
      </c>
      <c r="F194" s="1428">
        <f>F195+F196+F197</f>
        <v>3125.1959999999995</v>
      </c>
      <c r="G194" s="1428">
        <f>G195+G196+G197</f>
        <v>2187.3719999999998</v>
      </c>
      <c r="H194" s="1428">
        <f>H195+H196+0.01</f>
        <v>14.234199188148844</v>
      </c>
      <c r="I194" s="1429">
        <v>0</v>
      </c>
      <c r="J194" s="1428">
        <v>3551.34</v>
      </c>
      <c r="K194" s="1428">
        <f>K195+K196</f>
        <v>14.579999999999998</v>
      </c>
      <c r="L194" s="1429">
        <v>0</v>
      </c>
      <c r="M194" s="1428">
        <v>6925.92</v>
      </c>
      <c r="N194" s="1428">
        <f>N195+N196</f>
        <v>14.64</v>
      </c>
      <c r="O194" s="1429">
        <v>0</v>
      </c>
      <c r="P194" s="1428">
        <v>3525.47</v>
      </c>
      <c r="Q194" s="4175">
        <f>Q195+Q196</f>
        <v>14.675999999999998</v>
      </c>
      <c r="R194" s="4176">
        <v>0</v>
      </c>
    </row>
    <row r="195" spans="1:18" x14ac:dyDescent="0.3">
      <c r="A195" s="778" t="s">
        <v>3903</v>
      </c>
      <c r="B195" s="778" t="s">
        <v>74</v>
      </c>
      <c r="C195" s="1429">
        <f>1373.90179024961*1.2+0.01</f>
        <v>1648.6921482995319</v>
      </c>
      <c r="D195" s="1429">
        <f>2071.72*1.2</f>
        <v>2486.0639999999999</v>
      </c>
      <c r="E195" s="1429">
        <f>3447.20315264017*1.2</f>
        <v>4136.6437831682042</v>
      </c>
      <c r="F195" s="1429">
        <f>2133.95*1.2</f>
        <v>2560.7399999999998</v>
      </c>
      <c r="G195" s="1429">
        <f>1360.78*1.2</f>
        <v>1632.9359999999999</v>
      </c>
      <c r="H195" s="1429">
        <f>7.88349932345737*1.2</f>
        <v>9.4601991881488434</v>
      </c>
      <c r="I195" s="1429">
        <v>0</v>
      </c>
      <c r="J195" s="1429">
        <f>2425.98*1.2</f>
        <v>2911.1759999999999</v>
      </c>
      <c r="K195" s="1429">
        <f>8.18*1.2</f>
        <v>9.8159999999999989</v>
      </c>
      <c r="L195" s="1429">
        <v>0</v>
      </c>
      <c r="M195" s="1429">
        <f>4974.37*1.2</f>
        <v>5969.2439999999997</v>
      </c>
      <c r="N195" s="1429">
        <f>8.23*1.2</f>
        <v>9.8759999999999994</v>
      </c>
      <c r="O195" s="1429">
        <v>0</v>
      </c>
      <c r="P195" s="1429">
        <f>2429.33*1.2</f>
        <v>2915.1959999999999</v>
      </c>
      <c r="Q195" s="1459">
        <f>8.26*1.2</f>
        <v>9.911999999999999</v>
      </c>
      <c r="R195" s="4176">
        <v>0</v>
      </c>
    </row>
    <row r="196" spans="1:18" x14ac:dyDescent="0.3">
      <c r="A196" s="778" t="s">
        <v>3904</v>
      </c>
      <c r="B196" s="778" t="s">
        <v>74</v>
      </c>
      <c r="C196" s="1429">
        <f>314.819542105053*1.2</f>
        <v>377.78345052606363</v>
      </c>
      <c r="D196" s="1429">
        <f>484.83*1.2</f>
        <v>581.79599999999994</v>
      </c>
      <c r="E196" s="1429">
        <f>546.475387315041*1.2</f>
        <v>655.77046477804913</v>
      </c>
      <c r="F196" s="1429">
        <f>464.24*1.2</f>
        <v>557.08799999999997</v>
      </c>
      <c r="G196" s="1429">
        <f>455.02*1.2</f>
        <v>546.024</v>
      </c>
      <c r="H196" s="1429">
        <f>3.97*1.2</f>
        <v>4.7640000000000002</v>
      </c>
      <c r="I196" s="1429">
        <v>0</v>
      </c>
      <c r="J196" s="1429">
        <f>526.46*1.2</f>
        <v>631.75200000000007</v>
      </c>
      <c r="K196" s="1429">
        <f>3.97*1.2</f>
        <v>4.7640000000000002</v>
      </c>
      <c r="L196" s="1429">
        <v>0</v>
      </c>
      <c r="M196" s="1429">
        <f>790.22*1.2</f>
        <v>948.26400000000001</v>
      </c>
      <c r="N196" s="1429">
        <f>3.97*1.2</f>
        <v>4.7640000000000002</v>
      </c>
      <c r="O196" s="1429">
        <v>0</v>
      </c>
      <c r="P196" s="1429">
        <f>501.55*1.2</f>
        <v>601.86</v>
      </c>
      <c r="Q196" s="1459">
        <f>3.97*1.2</f>
        <v>4.7640000000000002</v>
      </c>
      <c r="R196" s="4176">
        <v>0</v>
      </c>
    </row>
    <row r="197" spans="1:18" x14ac:dyDescent="0.3">
      <c r="A197" s="778" t="s">
        <v>3905</v>
      </c>
      <c r="B197" s="778" t="s">
        <v>74</v>
      </c>
      <c r="C197" s="1429">
        <f>5.21487712649211*1.2</f>
        <v>6.2578525517905312</v>
      </c>
      <c r="D197" s="1429">
        <f>6.14*1.2+0.01</f>
        <v>7.3779999999999992</v>
      </c>
      <c r="E197" s="1429">
        <f>5.27*1.2</f>
        <v>6.323999999999999</v>
      </c>
      <c r="F197" s="1429">
        <f>6.14*1.2</f>
        <v>7.3679999999999994</v>
      </c>
      <c r="G197" s="1429">
        <f>7.01*1.2</f>
        <v>8.411999999999999</v>
      </c>
      <c r="H197" s="1429"/>
      <c r="I197" s="1429">
        <v>0</v>
      </c>
      <c r="J197" s="1429">
        <f>7.01*1.2</f>
        <v>8.411999999999999</v>
      </c>
      <c r="K197" s="1429"/>
      <c r="L197" s="1429">
        <v>0</v>
      </c>
      <c r="M197" s="1429">
        <f>7.01*1.2</f>
        <v>8.411999999999999</v>
      </c>
      <c r="N197" s="1429"/>
      <c r="O197" s="1429">
        <v>0</v>
      </c>
      <c r="P197" s="1429">
        <f>7.01*1.2</f>
        <v>8.411999999999999</v>
      </c>
      <c r="Q197" s="778"/>
      <c r="R197" s="4176">
        <v>0</v>
      </c>
    </row>
    <row r="198" spans="1:18" x14ac:dyDescent="0.3">
      <c r="A198" s="1160" t="s">
        <v>3906</v>
      </c>
      <c r="B198" s="1160" t="s">
        <v>74</v>
      </c>
      <c r="C198" s="1428">
        <f>C199+C200+C201</f>
        <v>2191.5952297358003</v>
      </c>
      <c r="D198" s="1428">
        <f>D199+D200+D201</f>
        <v>3097.6679999999997</v>
      </c>
      <c r="E198" s="1428">
        <f>E199+E200+E201</f>
        <v>4929.0108240369291</v>
      </c>
      <c r="F198" s="1428"/>
      <c r="G198" s="1428">
        <f>G199+G200+G201</f>
        <v>2369.4959999999996</v>
      </c>
      <c r="H198" s="1428">
        <f>H199+H200</f>
        <v>21.936</v>
      </c>
      <c r="I198" s="1429">
        <v>0</v>
      </c>
      <c r="J198" s="1428">
        <v>3696.78</v>
      </c>
      <c r="K198" s="1428">
        <f>K199+K200</f>
        <v>22.295999999999999</v>
      </c>
      <c r="L198" s="1429">
        <v>0</v>
      </c>
      <c r="M198" s="1428">
        <v>7071.49</v>
      </c>
      <c r="N198" s="1428">
        <f>N199+N200</f>
        <v>22.356000000000002</v>
      </c>
      <c r="O198" s="1429">
        <v>0</v>
      </c>
      <c r="P198" s="1428"/>
      <c r="Q198" s="778"/>
      <c r="R198" s="4176">
        <v>0</v>
      </c>
    </row>
    <row r="199" spans="1:18" x14ac:dyDescent="0.3">
      <c r="A199" s="778" t="s">
        <v>3903</v>
      </c>
      <c r="B199" s="778" t="s">
        <v>74</v>
      </c>
      <c r="C199" s="1429">
        <f>1373.90179024961*1.2</f>
        <v>1648.6821482995319</v>
      </c>
      <c r="D199" s="1429">
        <f>2071.72*1.2</f>
        <v>2486.0639999999999</v>
      </c>
      <c r="E199" s="1429">
        <f>3447.20315264017*1.2</f>
        <v>4136.6437831682042</v>
      </c>
      <c r="F199" s="1429"/>
      <c r="G199" s="1429">
        <f>1360.78*1.2</f>
        <v>1632.9359999999999</v>
      </c>
      <c r="H199" s="1429">
        <f>7.88*1.2</f>
        <v>9.4559999999999995</v>
      </c>
      <c r="I199" s="1429">
        <v>0</v>
      </c>
      <c r="J199" s="1429">
        <f>2425.98*1.2</f>
        <v>2911.1759999999999</v>
      </c>
      <c r="K199" s="1429">
        <f>8.18*1.2</f>
        <v>9.8159999999999989</v>
      </c>
      <c r="L199" s="1429">
        <v>0</v>
      </c>
      <c r="M199" s="1429">
        <f>4974.37*1.2</f>
        <v>5969.2439999999997</v>
      </c>
      <c r="N199" s="1429">
        <f>8.23*1.2</f>
        <v>9.8759999999999994</v>
      </c>
      <c r="O199" s="1429">
        <v>0</v>
      </c>
      <c r="P199" s="1429"/>
      <c r="Q199" s="778"/>
      <c r="R199" s="4176">
        <v>0</v>
      </c>
    </row>
    <row r="200" spans="1:18" x14ac:dyDescent="0.3">
      <c r="A200" s="778" t="s">
        <v>3904</v>
      </c>
      <c r="B200" s="778" t="s">
        <v>74</v>
      </c>
      <c r="C200" s="1429">
        <f>447.212690737065*1.2</f>
        <v>536.65522888447799</v>
      </c>
      <c r="D200" s="1429">
        <f>503.53*1.2</f>
        <v>604.23599999999999</v>
      </c>
      <c r="E200" s="1429">
        <f>655.035867390604*1.2</f>
        <v>786.0430408687248</v>
      </c>
      <c r="F200" s="1429"/>
      <c r="G200" s="1429">
        <f>606.79*1.2</f>
        <v>728.14799999999991</v>
      </c>
      <c r="H200" s="1429">
        <f>10.4*1.2</f>
        <v>12.48</v>
      </c>
      <c r="I200" s="1429">
        <v>0</v>
      </c>
      <c r="J200" s="1429">
        <f>647.66*1.2</f>
        <v>777.19199999999989</v>
      </c>
      <c r="K200" s="1429">
        <f>10.4*1.2</f>
        <v>12.48</v>
      </c>
      <c r="L200" s="1429">
        <v>0</v>
      </c>
      <c r="M200" s="1429">
        <f>911.53*1.2</f>
        <v>1093.836</v>
      </c>
      <c r="N200" s="1429">
        <f>10.4*1.2</f>
        <v>12.48</v>
      </c>
      <c r="O200" s="1429">
        <v>0</v>
      </c>
      <c r="P200" s="1429"/>
      <c r="Q200" s="778"/>
      <c r="R200" s="4176">
        <v>0</v>
      </c>
    </row>
    <row r="201" spans="1:18" x14ac:dyDescent="0.3">
      <c r="A201" s="778" t="s">
        <v>3905</v>
      </c>
      <c r="B201" s="778" t="s">
        <v>74</v>
      </c>
      <c r="C201" s="1429">
        <f>5.21487712649211*1.2</f>
        <v>6.2578525517905312</v>
      </c>
      <c r="D201" s="1429">
        <f>6.14*1.2</f>
        <v>7.3679999999999994</v>
      </c>
      <c r="E201" s="1429">
        <f>5.27*1.2</f>
        <v>6.323999999999999</v>
      </c>
      <c r="F201" s="1429"/>
      <c r="G201" s="1429">
        <f>7.01*1.2</f>
        <v>8.411999999999999</v>
      </c>
      <c r="H201" s="1429"/>
      <c r="I201" s="1429">
        <v>0</v>
      </c>
      <c r="J201" s="1429">
        <f>7.01*1.2</f>
        <v>8.411999999999999</v>
      </c>
      <c r="K201" s="1429"/>
      <c r="L201" s="1429">
        <v>0</v>
      </c>
      <c r="M201" s="1429">
        <f>7.01*1.2</f>
        <v>8.411999999999999</v>
      </c>
      <c r="N201" s="1429"/>
      <c r="O201" s="1429">
        <v>0</v>
      </c>
      <c r="P201" s="1429"/>
      <c r="Q201" s="778"/>
      <c r="R201" s="4176">
        <v>0</v>
      </c>
    </row>
    <row r="202" spans="1:18" x14ac:dyDescent="0.3">
      <c r="A202" s="1160" t="s">
        <v>3907</v>
      </c>
      <c r="B202" s="778" t="s">
        <v>74</v>
      </c>
      <c r="C202" s="1428">
        <f>C203+C204+C205</f>
        <v>2044.5641500087211</v>
      </c>
      <c r="D202" s="1428">
        <f>D203+D204+D205</f>
        <v>3119.5079999999998</v>
      </c>
      <c r="E202" s="1428">
        <f>E203+E204+E205</f>
        <v>4017.389379739127</v>
      </c>
      <c r="F202" s="1429"/>
      <c r="G202" s="1428">
        <v>2196.2800000000002</v>
      </c>
      <c r="H202" s="1428">
        <f>H203+H204+H205+0.01</f>
        <v>14.421999999999999</v>
      </c>
      <c r="I202" s="1429">
        <v>0</v>
      </c>
      <c r="J202" s="1428">
        <v>3631.56</v>
      </c>
      <c r="K202" s="1428">
        <f>K203+K204+K205+0.01</f>
        <v>14.781999999999998</v>
      </c>
      <c r="L202" s="1429">
        <v>0</v>
      </c>
      <c r="M202" s="1428">
        <v>6944.4</v>
      </c>
      <c r="N202" s="1428">
        <f>N203+N204+N205</f>
        <v>14.832000000000001</v>
      </c>
      <c r="O202" s="1429">
        <v>0</v>
      </c>
      <c r="P202" s="1429"/>
      <c r="Q202" s="778"/>
      <c r="R202" s="4176">
        <v>0</v>
      </c>
    </row>
    <row r="203" spans="1:18" x14ac:dyDescent="0.3">
      <c r="A203" s="778" t="s">
        <v>3903</v>
      </c>
      <c r="B203" s="778" t="s">
        <v>74</v>
      </c>
      <c r="C203" s="1429">
        <f>1373.90179024961*1.2</f>
        <v>1648.6821482995319</v>
      </c>
      <c r="D203" s="1429">
        <f>2071.72*1.2</f>
        <v>2486.0639999999999</v>
      </c>
      <c r="E203" s="1429">
        <v>3447.2031526401711</v>
      </c>
      <c r="F203" s="1429"/>
      <c r="G203" s="1429">
        <f>1360.78*1.2</f>
        <v>1632.9359999999999</v>
      </c>
      <c r="H203" s="1429">
        <f>7.88*1.2</f>
        <v>9.4559999999999995</v>
      </c>
      <c r="I203" s="1429">
        <v>0</v>
      </c>
      <c r="J203" s="1429">
        <f>2425.98*1.2</f>
        <v>2911.1759999999999</v>
      </c>
      <c r="K203" s="1429">
        <f>8.18*1.2</f>
        <v>9.8159999999999989</v>
      </c>
      <c r="L203" s="1429">
        <v>0</v>
      </c>
      <c r="M203" s="1429">
        <f>4974.37*1.2</f>
        <v>5969.2439999999997</v>
      </c>
      <c r="N203" s="1429">
        <f>8.23*1.2</f>
        <v>9.8759999999999994</v>
      </c>
      <c r="O203" s="1429">
        <v>0</v>
      </c>
      <c r="P203" s="1429"/>
      <c r="Q203" s="778"/>
      <c r="R203" s="4176">
        <v>0</v>
      </c>
    </row>
    <row r="204" spans="1:18" x14ac:dyDescent="0.3">
      <c r="A204" s="778" t="s">
        <v>3904</v>
      </c>
      <c r="B204" s="778" t="s">
        <v>74</v>
      </c>
      <c r="C204" s="1429">
        <f>299.675100954779*1.2</f>
        <v>359.61012114573481</v>
      </c>
      <c r="D204" s="1429">
        <f>510.24*1.2</f>
        <v>612.28800000000001</v>
      </c>
      <c r="E204" s="1429">
        <v>539.78741167547787</v>
      </c>
      <c r="F204" s="1429"/>
      <c r="G204" s="1429">
        <f>449.23*1.2</f>
        <v>539.07600000000002</v>
      </c>
      <c r="H204" s="1429">
        <f>3.97*1.2</f>
        <v>4.7640000000000002</v>
      </c>
      <c r="I204" s="1429">
        <v>0</v>
      </c>
      <c r="J204" s="1429">
        <f>580.09*1.2</f>
        <v>696.10800000000006</v>
      </c>
      <c r="K204" s="1429">
        <f>3.97*1.2</f>
        <v>4.7640000000000002</v>
      </c>
      <c r="L204" s="1429">
        <v>0</v>
      </c>
      <c r="M204" s="1429">
        <f>792.4*1.2</f>
        <v>950.87999999999988</v>
      </c>
      <c r="N204" s="1429">
        <f>3.97*1.2</f>
        <v>4.7640000000000002</v>
      </c>
      <c r="O204" s="1429">
        <v>0</v>
      </c>
      <c r="P204" s="1429"/>
      <c r="Q204" s="778"/>
      <c r="R204" s="4176">
        <v>0</v>
      </c>
    </row>
    <row r="205" spans="1:18" x14ac:dyDescent="0.3">
      <c r="A205" s="778" t="s">
        <v>3905</v>
      </c>
      <c r="B205" s="778" t="s">
        <v>74</v>
      </c>
      <c r="C205" s="1429">
        <f>30.2265671362118*1.2</f>
        <v>36.271880563454154</v>
      </c>
      <c r="D205" s="1429">
        <f>17.63*1.2</f>
        <v>21.155999999999999</v>
      </c>
      <c r="E205" s="1429">
        <v>30.398815423477952</v>
      </c>
      <c r="F205" s="1429"/>
      <c r="G205" s="1429">
        <f>20.23*1.2</f>
        <v>24.276</v>
      </c>
      <c r="H205" s="1429">
        <f>0.16*1.2</f>
        <v>0.192</v>
      </c>
      <c r="I205" s="1429">
        <v>0</v>
      </c>
      <c r="J205" s="1429">
        <f>20.23*1.2</f>
        <v>24.276</v>
      </c>
      <c r="K205" s="1429">
        <f>0.16*1.2</f>
        <v>0.192</v>
      </c>
      <c r="L205" s="1429">
        <v>0</v>
      </c>
      <c r="M205" s="1429">
        <f>20.23*1.2</f>
        <v>24.276</v>
      </c>
      <c r="N205" s="1429">
        <f>0.16*1.2</f>
        <v>0.192</v>
      </c>
      <c r="O205" s="1429">
        <v>0</v>
      </c>
      <c r="P205" s="1429"/>
      <c r="Q205" s="778"/>
      <c r="R205" s="4176">
        <v>0</v>
      </c>
    </row>
    <row r="206" spans="1:18" x14ac:dyDescent="0.3">
      <c r="A206" s="1160" t="s">
        <v>3908</v>
      </c>
      <c r="B206" s="778"/>
      <c r="C206" s="1429"/>
      <c r="D206" s="1429"/>
      <c r="E206" s="1429"/>
      <c r="F206" s="1429"/>
      <c r="G206" s="1429"/>
      <c r="H206" s="1429"/>
      <c r="I206" s="1429">
        <v>0</v>
      </c>
      <c r="J206" s="1429"/>
      <c r="K206" s="1429"/>
      <c r="L206" s="1429">
        <v>0</v>
      </c>
      <c r="M206" s="1429"/>
      <c r="N206" s="1429"/>
      <c r="O206" s="1429">
        <v>0</v>
      </c>
      <c r="P206" s="1429"/>
      <c r="Q206" s="778"/>
      <c r="R206" s="4176">
        <v>0</v>
      </c>
    </row>
    <row r="207" spans="1:18" ht="28.95" customHeight="1" x14ac:dyDescent="0.3">
      <c r="A207" s="778" t="s">
        <v>3909</v>
      </c>
      <c r="B207" s="713" t="s">
        <v>3910</v>
      </c>
      <c r="C207" s="1429">
        <v>105090.29</v>
      </c>
      <c r="D207" s="1429">
        <v>45274.16</v>
      </c>
      <c r="E207" s="1429">
        <v>113359.75</v>
      </c>
      <c r="F207" s="1429">
        <v>56559.59</v>
      </c>
      <c r="G207" s="1429">
        <v>106249.24</v>
      </c>
      <c r="H207" s="1429"/>
      <c r="I207" s="1429">
        <v>0</v>
      </c>
      <c r="J207" s="1429">
        <v>112172.86</v>
      </c>
      <c r="K207" s="1429"/>
      <c r="L207" s="1429">
        <v>0</v>
      </c>
      <c r="M207" s="1429">
        <v>118831.18</v>
      </c>
      <c r="N207" s="1429"/>
      <c r="O207" s="1429">
        <v>0</v>
      </c>
      <c r="P207" s="1429">
        <v>110325.75999999999</v>
      </c>
      <c r="Q207" s="778"/>
      <c r="R207" s="4176">
        <v>0</v>
      </c>
    </row>
    <row r="208" spans="1:18" x14ac:dyDescent="0.3">
      <c r="A208" s="778" t="s">
        <v>3911</v>
      </c>
      <c r="B208" s="778" t="s">
        <v>74</v>
      </c>
      <c r="C208" s="1429">
        <v>1314.86</v>
      </c>
      <c r="D208" s="1429">
        <v>2770.14</v>
      </c>
      <c r="E208" s="1429">
        <v>3989.11</v>
      </c>
      <c r="F208" s="1429">
        <v>2737.37</v>
      </c>
      <c r="G208" s="1429">
        <v>1450.24</v>
      </c>
      <c r="H208" s="1429"/>
      <c r="I208" s="1429">
        <v>0</v>
      </c>
      <c r="J208" s="1429">
        <v>2781.94</v>
      </c>
      <c r="K208" s="1429"/>
      <c r="L208" s="1429">
        <v>0</v>
      </c>
      <c r="M208" s="1429">
        <v>6074.27</v>
      </c>
      <c r="N208" s="1429"/>
      <c r="O208" s="1429">
        <v>0</v>
      </c>
      <c r="P208" s="1429">
        <v>2753.65</v>
      </c>
      <c r="Q208" s="778"/>
      <c r="R208" s="4176">
        <v>0</v>
      </c>
    </row>
    <row r="209" spans="1:18" x14ac:dyDescent="0.3">
      <c r="A209" s="1160" t="s">
        <v>3912</v>
      </c>
      <c r="B209" s="778"/>
      <c r="C209" s="1429"/>
      <c r="D209" s="1429"/>
      <c r="E209" s="1429"/>
      <c r="F209" s="1429"/>
      <c r="G209" s="1429"/>
      <c r="H209" s="1429"/>
      <c r="I209" s="1429">
        <v>0</v>
      </c>
      <c r="J209" s="1429"/>
      <c r="K209" s="1429"/>
      <c r="L209" s="1429">
        <v>0</v>
      </c>
      <c r="M209" s="1429"/>
      <c r="N209" s="1429"/>
      <c r="O209" s="1429">
        <v>0</v>
      </c>
      <c r="P209" s="1429"/>
      <c r="Q209" s="778"/>
      <c r="R209" s="4176">
        <v>0</v>
      </c>
    </row>
    <row r="210" spans="1:18" ht="46.8" x14ac:dyDescent="0.3">
      <c r="A210" s="778" t="s">
        <v>3909</v>
      </c>
      <c r="B210" s="713" t="s">
        <v>3910</v>
      </c>
      <c r="C210" s="1429">
        <v>118677.41</v>
      </c>
      <c r="D210" s="1429">
        <v>49347.23</v>
      </c>
      <c r="E210" s="1429">
        <v>118740.38</v>
      </c>
      <c r="F210" s="1429"/>
      <c r="G210" s="1429">
        <v>126827.68</v>
      </c>
      <c r="H210" s="1429"/>
      <c r="I210" s="1429">
        <v>0</v>
      </c>
      <c r="J210" s="1429">
        <v>120776.58</v>
      </c>
      <c r="K210" s="1429"/>
      <c r="L210" s="1429">
        <v>0</v>
      </c>
      <c r="M210" s="1429">
        <v>119957.57</v>
      </c>
      <c r="N210" s="1429"/>
      <c r="O210" s="1429">
        <v>0</v>
      </c>
      <c r="P210" s="1429"/>
      <c r="Q210" s="778"/>
      <c r="R210" s="4176">
        <v>0</v>
      </c>
    </row>
    <row r="211" spans="1:18" x14ac:dyDescent="0.3">
      <c r="A211" s="778" t="s">
        <v>3911</v>
      </c>
      <c r="B211" s="778" t="s">
        <v>74</v>
      </c>
      <c r="C211" s="1429">
        <v>1404.12</v>
      </c>
      <c r="D211" s="1429">
        <v>2766.74</v>
      </c>
      <c r="E211" s="1429">
        <v>4072.24</v>
      </c>
      <c r="F211" s="1429"/>
      <c r="G211" s="1429">
        <v>1566.78</v>
      </c>
      <c r="H211" s="1429"/>
      <c r="I211" s="1429">
        <v>0</v>
      </c>
      <c r="J211" s="1429">
        <v>2873.71</v>
      </c>
      <c r="K211" s="1429"/>
      <c r="L211" s="1429">
        <v>0</v>
      </c>
      <c r="M211" s="1429">
        <v>6166.3</v>
      </c>
      <c r="N211" s="1429"/>
      <c r="O211" s="1429">
        <v>0</v>
      </c>
      <c r="P211" s="1429"/>
      <c r="Q211" s="778"/>
      <c r="R211" s="4176">
        <v>0</v>
      </c>
    </row>
    <row r="212" spans="1:18" x14ac:dyDescent="0.3">
      <c r="A212" s="1160" t="s">
        <v>3949</v>
      </c>
      <c r="B212" s="778"/>
      <c r="C212" s="1429"/>
      <c r="D212" s="1429"/>
      <c r="E212" s="1429"/>
      <c r="F212" s="1429"/>
      <c r="G212" s="1429"/>
      <c r="H212" s="1429"/>
      <c r="I212" s="1429">
        <v>0</v>
      </c>
      <c r="J212" s="1429"/>
      <c r="K212" s="1429"/>
      <c r="L212" s="1429">
        <v>0</v>
      </c>
      <c r="M212" s="1429"/>
      <c r="N212" s="1429"/>
      <c r="O212" s="1429">
        <v>0</v>
      </c>
      <c r="P212" s="1429"/>
      <c r="Q212" s="778"/>
      <c r="R212" s="4176">
        <v>0</v>
      </c>
    </row>
    <row r="213" spans="1:18" ht="46.8" x14ac:dyDescent="0.3">
      <c r="A213" s="778" t="s">
        <v>3909</v>
      </c>
      <c r="B213" s="713" t="s">
        <v>3910</v>
      </c>
      <c r="C213" s="1429">
        <v>107657.89</v>
      </c>
      <c r="D213" s="1429">
        <v>46378.02</v>
      </c>
      <c r="E213" s="1429">
        <v>112974.56</v>
      </c>
      <c r="F213" s="1429"/>
      <c r="G213" s="1429">
        <v>107437.19</v>
      </c>
      <c r="H213" s="1429"/>
      <c r="I213" s="1429">
        <v>0</v>
      </c>
      <c r="J213" s="1429">
        <v>114027.47</v>
      </c>
      <c r="K213" s="1429"/>
      <c r="L213" s="1429">
        <v>0</v>
      </c>
      <c r="M213" s="1429">
        <v>118007.9</v>
      </c>
      <c r="N213" s="1429"/>
      <c r="O213" s="1429">
        <v>0</v>
      </c>
      <c r="P213" s="1429"/>
      <c r="Q213" s="778"/>
      <c r="R213" s="4176">
        <v>0</v>
      </c>
    </row>
    <row r="214" spans="1:18" x14ac:dyDescent="0.3">
      <c r="A214" s="778" t="s">
        <v>3911</v>
      </c>
      <c r="B214" s="778" t="s">
        <v>74</v>
      </c>
      <c r="C214" s="1429">
        <v>1302.68</v>
      </c>
      <c r="D214" s="1429">
        <v>2798.83</v>
      </c>
      <c r="E214" s="1429">
        <v>3982.31</v>
      </c>
      <c r="F214" s="1429"/>
      <c r="G214" s="1429">
        <v>1445.51</v>
      </c>
      <c r="H214" s="1429"/>
      <c r="I214" s="1429">
        <v>0</v>
      </c>
      <c r="J214" s="1429">
        <v>2833.73</v>
      </c>
      <c r="K214" s="1429"/>
      <c r="L214" s="1429">
        <v>0</v>
      </c>
      <c r="M214" s="1429">
        <v>6076.61</v>
      </c>
      <c r="N214" s="1429"/>
      <c r="O214" s="1429">
        <v>0</v>
      </c>
      <c r="P214" s="1429"/>
      <c r="Q214" s="778"/>
      <c r="R214" s="4176">
        <v>0</v>
      </c>
    </row>
    <row r="215" spans="1:18" x14ac:dyDescent="0.3">
      <c r="A215" s="4941" t="s">
        <v>3950</v>
      </c>
      <c r="B215" s="4941"/>
      <c r="C215" s="4941"/>
      <c r="D215" s="4941"/>
      <c r="E215" s="4941"/>
      <c r="F215" s="4941"/>
      <c r="G215" s="4941"/>
      <c r="H215" s="4941"/>
      <c r="I215" s="4941"/>
      <c r="J215" s="4941"/>
      <c r="K215" s="4941"/>
      <c r="L215" s="4941"/>
      <c r="M215" s="4941"/>
      <c r="N215" s="4941"/>
      <c r="O215" s="4941"/>
      <c r="P215" s="4941"/>
    </row>
    <row r="216" spans="1:18" ht="20.100000000000001" customHeight="1" x14ac:dyDescent="0.3">
      <c r="A216" s="4153" t="s">
        <v>3902</v>
      </c>
      <c r="B216" s="1825" t="s">
        <v>74</v>
      </c>
      <c r="C216" s="2605">
        <v>1813.94</v>
      </c>
      <c r="D216" s="2605">
        <v>3466.91</v>
      </c>
      <c r="E216" s="2605">
        <v>5795.64</v>
      </c>
      <c r="F216" s="2605">
        <v>3850.36</v>
      </c>
      <c r="G216" s="2605">
        <v>2361.1680000000001</v>
      </c>
      <c r="H216" s="2605">
        <v>47.270521890544629</v>
      </c>
      <c r="I216" s="2605">
        <v>109.80999999999999</v>
      </c>
      <c r="J216" s="2605">
        <v>4064.6039999999998</v>
      </c>
      <c r="K216" s="2605">
        <v>47.270521890544629</v>
      </c>
      <c r="L216" s="2605">
        <v>189.04799999999997</v>
      </c>
      <c r="M216" s="2605">
        <v>7037.3519999999999</v>
      </c>
      <c r="N216" s="2605">
        <v>47.270521890544629</v>
      </c>
      <c r="O216" s="2605">
        <v>327.31399999999996</v>
      </c>
      <c r="P216" s="2605">
        <v>4204.7879999999996</v>
      </c>
      <c r="Q216" s="4177">
        <v>47.270521890544629</v>
      </c>
      <c r="R216" s="2605">
        <v>195.57599999999999</v>
      </c>
    </row>
    <row r="217" spans="1:18" ht="20.100000000000001" customHeight="1" x14ac:dyDescent="0.3">
      <c r="A217" s="4155" t="s">
        <v>3903</v>
      </c>
      <c r="B217" s="1307" t="s">
        <v>74</v>
      </c>
      <c r="C217" s="1774">
        <v>1299.0839999999998</v>
      </c>
      <c r="D217" s="1774">
        <v>2952.85</v>
      </c>
      <c r="E217" s="1774">
        <v>5405.6975818848905</v>
      </c>
      <c r="F217" s="1774">
        <v>3460.4159999999997</v>
      </c>
      <c r="G217" s="1774">
        <v>1820.5439999999999</v>
      </c>
      <c r="H217" s="1774">
        <v>5.395436959403086</v>
      </c>
      <c r="I217" s="1774">
        <v>84.67</v>
      </c>
      <c r="J217" s="1774">
        <v>3523.97</v>
      </c>
      <c r="K217" s="1774">
        <v>5.395436959403086</v>
      </c>
      <c r="L217" s="1774">
        <v>163.90799999999999</v>
      </c>
      <c r="M217" s="1774">
        <v>6496.7179999999989</v>
      </c>
      <c r="N217" s="1774">
        <v>5.395436959403086</v>
      </c>
      <c r="O217" s="1774">
        <v>302.17199999999997</v>
      </c>
      <c r="P217" s="1774">
        <v>3664.1639999999998</v>
      </c>
      <c r="Q217" s="1774">
        <v>5.395436959403086</v>
      </c>
      <c r="R217" s="1774">
        <v>170.43600000000001</v>
      </c>
    </row>
    <row r="218" spans="1:18" ht="20.100000000000001" customHeight="1" x14ac:dyDescent="0.3">
      <c r="A218" s="4155" t="s">
        <v>3904</v>
      </c>
      <c r="B218" s="1307" t="s">
        <v>74</v>
      </c>
      <c r="C218" s="1774">
        <v>508.03199999999998</v>
      </c>
      <c r="D218" s="1774">
        <v>507.2</v>
      </c>
      <c r="E218" s="1774">
        <v>383.61599999999999</v>
      </c>
      <c r="F218" s="1774">
        <v>383.61599999999999</v>
      </c>
      <c r="G218" s="1774">
        <v>532.78800000000001</v>
      </c>
      <c r="H218" s="1774">
        <v>41.865084931141553</v>
      </c>
      <c r="I218" s="1774">
        <v>24.78</v>
      </c>
      <c r="J218" s="1774">
        <v>532.78800000000001</v>
      </c>
      <c r="K218" s="1774">
        <v>41.865084931141553</v>
      </c>
      <c r="L218" s="1774">
        <v>24.779999999999998</v>
      </c>
      <c r="M218" s="1774">
        <v>532.78800000000001</v>
      </c>
      <c r="N218" s="1774">
        <v>41.865084931141553</v>
      </c>
      <c r="O218" s="1774">
        <v>24.779999999999998</v>
      </c>
      <c r="P218" s="1774">
        <v>532.78800000000001</v>
      </c>
      <c r="Q218" s="1774">
        <v>41.865084931141553</v>
      </c>
      <c r="R218" s="1774">
        <v>24.779999999999998</v>
      </c>
    </row>
    <row r="219" spans="1:18" ht="20.100000000000001" customHeight="1" x14ac:dyDescent="0.3">
      <c r="A219" s="4155" t="s">
        <v>3905</v>
      </c>
      <c r="B219" s="1307" t="s">
        <v>74</v>
      </c>
      <c r="C219" s="1774">
        <v>6.8280000000000003</v>
      </c>
      <c r="D219" s="1774">
        <v>6.8639999999999999</v>
      </c>
      <c r="E219" s="1774">
        <v>6.323999999999999</v>
      </c>
      <c r="F219" s="1774">
        <v>6.323999999999999</v>
      </c>
      <c r="G219" s="1774">
        <v>7.8360000000000003</v>
      </c>
      <c r="H219" s="1774">
        <v>0</v>
      </c>
      <c r="I219" s="1774">
        <v>0.36</v>
      </c>
      <c r="J219" s="1774">
        <v>7.8360000000000003</v>
      </c>
      <c r="K219" s="1774">
        <v>0</v>
      </c>
      <c r="L219" s="1774">
        <v>0.36</v>
      </c>
      <c r="M219" s="1774">
        <v>7.8360000000000003</v>
      </c>
      <c r="N219" s="1774">
        <v>0</v>
      </c>
      <c r="O219" s="1774">
        <v>0.36</v>
      </c>
      <c r="P219" s="1774">
        <v>7.8360000000000003</v>
      </c>
      <c r="Q219" s="1774">
        <v>0</v>
      </c>
      <c r="R219" s="1774">
        <v>0.36</v>
      </c>
    </row>
    <row r="220" spans="1:18" x14ac:dyDescent="0.3">
      <c r="A220" s="1160" t="s">
        <v>3906</v>
      </c>
      <c r="B220" s="1160" t="s">
        <v>74</v>
      </c>
      <c r="C220" s="1428" t="s">
        <v>3587</v>
      </c>
      <c r="D220" s="1428" t="s">
        <v>3587</v>
      </c>
      <c r="E220" s="1428" t="s">
        <v>3587</v>
      </c>
      <c r="F220" s="1428" t="s">
        <v>3587</v>
      </c>
      <c r="G220" s="1428" t="s">
        <v>3587</v>
      </c>
      <c r="H220" s="1428" t="s">
        <v>3587</v>
      </c>
      <c r="I220" s="1428" t="s">
        <v>3587</v>
      </c>
      <c r="J220" s="1428" t="s">
        <v>3587</v>
      </c>
      <c r="K220" s="1428" t="s">
        <v>3587</v>
      </c>
      <c r="L220" s="1428" t="s">
        <v>3587</v>
      </c>
      <c r="M220" s="1428" t="s">
        <v>3587</v>
      </c>
      <c r="N220" s="1428" t="s">
        <v>3587</v>
      </c>
      <c r="O220" s="1428" t="s">
        <v>3587</v>
      </c>
      <c r="P220" s="1428" t="s">
        <v>3587</v>
      </c>
      <c r="Q220" s="1428" t="s">
        <v>3587</v>
      </c>
      <c r="R220" s="1428" t="s">
        <v>3587</v>
      </c>
    </row>
    <row r="221" spans="1:18" x14ac:dyDescent="0.3">
      <c r="A221" s="778" t="s">
        <v>3903</v>
      </c>
      <c r="B221" s="778" t="s">
        <v>74</v>
      </c>
      <c r="C221" s="1429"/>
      <c r="D221" s="1429"/>
      <c r="E221" s="1429"/>
      <c r="F221" s="1429"/>
      <c r="G221" s="1429"/>
      <c r="H221" s="1429"/>
      <c r="I221" s="1429"/>
      <c r="J221" s="1429"/>
      <c r="K221" s="1429"/>
      <c r="L221" s="1429"/>
      <c r="M221" s="1429"/>
      <c r="N221" s="1429"/>
      <c r="O221" s="1429"/>
      <c r="P221" s="1429"/>
      <c r="Q221" s="778"/>
      <c r="R221" s="778"/>
    </row>
    <row r="222" spans="1:18" x14ac:dyDescent="0.3">
      <c r="A222" s="778" t="s">
        <v>3904</v>
      </c>
      <c r="B222" s="778" t="s">
        <v>74</v>
      </c>
      <c r="C222" s="1429"/>
      <c r="D222" s="1429"/>
      <c r="E222" s="1429"/>
      <c r="F222" s="1429"/>
      <c r="G222" s="1429"/>
      <c r="H222" s="1429"/>
      <c r="I222" s="1429"/>
      <c r="J222" s="1429"/>
      <c r="K222" s="1429"/>
      <c r="L222" s="1429"/>
      <c r="M222" s="1429"/>
      <c r="N222" s="1429"/>
      <c r="O222" s="1429"/>
      <c r="P222" s="1429"/>
      <c r="Q222" s="778"/>
      <c r="R222" s="778"/>
    </row>
    <row r="223" spans="1:18" x14ac:dyDescent="0.3">
      <c r="A223" s="778" t="s">
        <v>3905</v>
      </c>
      <c r="B223" s="778" t="s">
        <v>74</v>
      </c>
      <c r="C223" s="1429"/>
      <c r="D223" s="1429"/>
      <c r="E223" s="1429"/>
      <c r="F223" s="1429"/>
      <c r="G223" s="1429"/>
      <c r="H223" s="1429"/>
      <c r="I223" s="1429"/>
      <c r="J223" s="1429"/>
      <c r="K223" s="1429"/>
      <c r="L223" s="1429"/>
      <c r="M223" s="1429"/>
      <c r="N223" s="1429"/>
      <c r="O223" s="1429"/>
      <c r="P223" s="1429"/>
      <c r="Q223" s="778"/>
      <c r="R223" s="778"/>
    </row>
    <row r="224" spans="1:18" x14ac:dyDescent="0.3">
      <c r="A224" s="1160" t="s">
        <v>3907</v>
      </c>
      <c r="B224" s="778" t="s">
        <v>74</v>
      </c>
      <c r="C224" s="1428" t="s">
        <v>3587</v>
      </c>
      <c r="D224" s="1428" t="s">
        <v>3587</v>
      </c>
      <c r="E224" s="1428" t="s">
        <v>3587</v>
      </c>
      <c r="F224" s="1428" t="s">
        <v>3587</v>
      </c>
      <c r="G224" s="1428" t="s">
        <v>3587</v>
      </c>
      <c r="H224" s="1428" t="s">
        <v>3587</v>
      </c>
      <c r="I224" s="1428" t="s">
        <v>3587</v>
      </c>
      <c r="J224" s="1428" t="s">
        <v>3587</v>
      </c>
      <c r="K224" s="1428" t="s">
        <v>3587</v>
      </c>
      <c r="L224" s="1428" t="s">
        <v>3587</v>
      </c>
      <c r="M224" s="1428" t="s">
        <v>3587</v>
      </c>
      <c r="N224" s="1428" t="s">
        <v>3587</v>
      </c>
      <c r="O224" s="1428" t="s">
        <v>3587</v>
      </c>
      <c r="P224" s="1428" t="s">
        <v>3587</v>
      </c>
      <c r="Q224" s="1428" t="s">
        <v>3587</v>
      </c>
      <c r="R224" s="1428" t="s">
        <v>3587</v>
      </c>
    </row>
    <row r="225" spans="1:18" x14ac:dyDescent="0.3">
      <c r="A225" s="778" t="s">
        <v>3903</v>
      </c>
      <c r="B225" s="778" t="s">
        <v>74</v>
      </c>
      <c r="C225" s="1429"/>
      <c r="D225" s="1429"/>
      <c r="E225" s="1429"/>
      <c r="F225" s="1429"/>
      <c r="G225" s="1429"/>
      <c r="H225" s="1429"/>
      <c r="I225" s="1429"/>
      <c r="J225" s="1429"/>
      <c r="K225" s="1429"/>
      <c r="L225" s="1429"/>
      <c r="M225" s="1429"/>
      <c r="N225" s="1429"/>
      <c r="O225" s="1429"/>
      <c r="P225" s="1429"/>
      <c r="Q225" s="778"/>
      <c r="R225" s="778"/>
    </row>
    <row r="226" spans="1:18" x14ac:dyDescent="0.3">
      <c r="A226" s="778" t="s">
        <v>3904</v>
      </c>
      <c r="B226" s="778" t="s">
        <v>74</v>
      </c>
      <c r="C226" s="1429"/>
      <c r="D226" s="1429"/>
      <c r="E226" s="1429"/>
      <c r="F226" s="1429"/>
      <c r="G226" s="1429"/>
      <c r="H226" s="1429"/>
      <c r="I226" s="1429"/>
      <c r="J226" s="1429"/>
      <c r="K226" s="1429"/>
      <c r="L226" s="1429"/>
      <c r="M226" s="1429"/>
      <c r="N226" s="1429"/>
      <c r="O226" s="1429"/>
      <c r="P226" s="1429"/>
      <c r="Q226" s="778"/>
      <c r="R226" s="778"/>
    </row>
    <row r="227" spans="1:18" x14ac:dyDescent="0.3">
      <c r="A227" s="778" t="s">
        <v>3905</v>
      </c>
      <c r="B227" s="778" t="s">
        <v>74</v>
      </c>
      <c r="C227" s="1429"/>
      <c r="D227" s="1429"/>
      <c r="E227" s="1429"/>
      <c r="F227" s="1429"/>
      <c r="G227" s="1429"/>
      <c r="H227" s="1429"/>
      <c r="I227" s="1429"/>
      <c r="J227" s="1429"/>
      <c r="K227" s="1429"/>
      <c r="L227" s="1429"/>
      <c r="M227" s="1429"/>
      <c r="N227" s="1429"/>
      <c r="O227" s="1429"/>
      <c r="P227" s="1429"/>
      <c r="Q227" s="778"/>
      <c r="R227" s="778"/>
    </row>
    <row r="228" spans="1:18" x14ac:dyDescent="0.3">
      <c r="A228" s="1160" t="s">
        <v>3930</v>
      </c>
      <c r="B228" s="778"/>
      <c r="C228" s="1428" t="s">
        <v>3587</v>
      </c>
      <c r="D228" s="1428" t="s">
        <v>3587</v>
      </c>
      <c r="E228" s="1428" t="s">
        <v>3587</v>
      </c>
      <c r="F228" s="1428" t="s">
        <v>3587</v>
      </c>
      <c r="G228" s="1428" t="s">
        <v>3587</v>
      </c>
      <c r="H228" s="1428" t="s">
        <v>3587</v>
      </c>
      <c r="I228" s="1428" t="s">
        <v>3587</v>
      </c>
      <c r="J228" s="1428" t="s">
        <v>3587</v>
      </c>
      <c r="K228" s="1428" t="s">
        <v>3587</v>
      </c>
      <c r="L228" s="1428" t="s">
        <v>3587</v>
      </c>
      <c r="M228" s="1428" t="s">
        <v>3587</v>
      </c>
      <c r="N228" s="1428" t="s">
        <v>3587</v>
      </c>
      <c r="O228" s="1428" t="s">
        <v>3587</v>
      </c>
      <c r="P228" s="1428" t="s">
        <v>3587</v>
      </c>
      <c r="Q228" s="1428" t="s">
        <v>3587</v>
      </c>
      <c r="R228" s="1428" t="s">
        <v>3587</v>
      </c>
    </row>
    <row r="229" spans="1:18" ht="46.8" x14ac:dyDescent="0.3">
      <c r="A229" s="778" t="s">
        <v>3909</v>
      </c>
      <c r="B229" s="713" t="s">
        <v>3910</v>
      </c>
      <c r="C229" s="1429"/>
      <c r="D229" s="1429"/>
      <c r="E229" s="1429"/>
      <c r="F229" s="1429"/>
      <c r="G229" s="1429"/>
      <c r="H229" s="1429"/>
      <c r="I229" s="1429"/>
      <c r="J229" s="1429"/>
      <c r="K229" s="1429"/>
      <c r="L229" s="1429"/>
      <c r="M229" s="1429"/>
      <c r="N229" s="1429"/>
      <c r="O229" s="1429"/>
      <c r="P229" s="1429"/>
      <c r="Q229" s="778"/>
      <c r="R229" s="778"/>
    </row>
    <row r="230" spans="1:18" x14ac:dyDescent="0.3">
      <c r="A230" s="778" t="s">
        <v>3911</v>
      </c>
      <c r="B230" s="778" t="s">
        <v>74</v>
      </c>
      <c r="C230" s="1429"/>
      <c r="D230" s="1429"/>
      <c r="E230" s="1429"/>
      <c r="F230" s="1429"/>
      <c r="G230" s="1429"/>
      <c r="H230" s="1429"/>
      <c r="I230" s="1429"/>
      <c r="J230" s="1429"/>
      <c r="K230" s="1429"/>
      <c r="L230" s="1429"/>
      <c r="M230" s="1429"/>
      <c r="N230" s="1429"/>
      <c r="O230" s="1429"/>
      <c r="P230" s="1429"/>
      <c r="Q230" s="778"/>
      <c r="R230" s="778"/>
    </row>
    <row r="231" spans="1:18" x14ac:dyDescent="0.3">
      <c r="A231" s="5815" t="s">
        <v>3951</v>
      </c>
      <c r="B231" s="5815"/>
      <c r="C231" s="5815"/>
      <c r="D231" s="5815"/>
      <c r="E231" s="5815"/>
      <c r="F231" s="5815"/>
      <c r="G231" s="5815"/>
      <c r="H231" s="5815"/>
      <c r="I231" s="5815"/>
      <c r="J231" s="5815"/>
      <c r="K231" s="5815"/>
      <c r="L231" s="5815"/>
      <c r="M231" s="5815"/>
      <c r="N231" s="5815"/>
      <c r="O231" s="5815"/>
      <c r="P231" s="5815"/>
      <c r="Q231" s="5815"/>
      <c r="R231" s="5815"/>
    </row>
    <row r="232" spans="1:18" x14ac:dyDescent="0.3">
      <c r="A232" s="4178" t="s">
        <v>3902</v>
      </c>
      <c r="B232" s="4178" t="s">
        <v>74</v>
      </c>
      <c r="C232" s="4179">
        <v>1951.19</v>
      </c>
      <c r="D232" s="4179">
        <v>3623.23</v>
      </c>
      <c r="E232" s="4179">
        <v>4935.54</v>
      </c>
      <c r="F232" s="4179"/>
      <c r="G232" s="4179">
        <v>2777.27</v>
      </c>
      <c r="H232" s="4179">
        <v>0</v>
      </c>
      <c r="I232" s="4179">
        <v>0</v>
      </c>
      <c r="J232" s="4179">
        <v>4171.6000000000004</v>
      </c>
      <c r="K232" s="4179">
        <v>0</v>
      </c>
      <c r="L232" s="4179">
        <v>0</v>
      </c>
      <c r="M232" s="4179">
        <v>7573.04</v>
      </c>
      <c r="N232" s="4179">
        <v>0</v>
      </c>
      <c r="O232" s="4179">
        <v>0</v>
      </c>
      <c r="P232" s="4179">
        <v>0</v>
      </c>
      <c r="Q232" s="778"/>
      <c r="R232" s="778"/>
    </row>
    <row r="233" spans="1:18" x14ac:dyDescent="0.3">
      <c r="A233" s="778" t="s">
        <v>3903</v>
      </c>
      <c r="B233" s="778" t="s">
        <v>74</v>
      </c>
      <c r="C233" s="1429"/>
      <c r="D233" s="1429"/>
      <c r="E233" s="1429"/>
      <c r="F233" s="1429"/>
      <c r="G233" s="1429"/>
      <c r="H233" s="1429"/>
      <c r="I233" s="1429"/>
      <c r="J233" s="1429"/>
      <c r="K233" s="1429"/>
      <c r="L233" s="1429"/>
      <c r="M233" s="1429"/>
      <c r="N233" s="1429"/>
      <c r="O233" s="1429"/>
      <c r="P233" s="1429"/>
      <c r="Q233" s="778"/>
      <c r="R233" s="778"/>
    </row>
    <row r="234" spans="1:18" x14ac:dyDescent="0.3">
      <c r="A234" s="778" t="s">
        <v>3904</v>
      </c>
      <c r="B234" s="778" t="s">
        <v>74</v>
      </c>
      <c r="C234" s="1429"/>
      <c r="D234" s="1429"/>
      <c r="E234" s="1429"/>
      <c r="F234" s="1429"/>
      <c r="G234" s="1429"/>
      <c r="H234" s="1429"/>
      <c r="I234" s="1429"/>
      <c r="J234" s="1429"/>
      <c r="K234" s="1429"/>
      <c r="L234" s="1429"/>
      <c r="M234" s="1429"/>
      <c r="N234" s="1429"/>
      <c r="O234" s="1429"/>
      <c r="P234" s="1429"/>
      <c r="Q234" s="778"/>
      <c r="R234" s="778"/>
    </row>
    <row r="235" spans="1:18" x14ac:dyDescent="0.3">
      <c r="A235" s="778" t="s">
        <v>3905</v>
      </c>
      <c r="B235" s="778" t="s">
        <v>74</v>
      </c>
      <c r="C235" s="1429"/>
      <c r="D235" s="1429"/>
      <c r="E235" s="1429"/>
      <c r="F235" s="1429"/>
      <c r="G235" s="1429"/>
      <c r="H235" s="1429"/>
      <c r="I235" s="1429"/>
      <c r="J235" s="1429"/>
      <c r="K235" s="1429"/>
      <c r="L235" s="1429"/>
      <c r="M235" s="1429"/>
      <c r="N235" s="1429"/>
      <c r="O235" s="1429"/>
      <c r="P235" s="1429"/>
      <c r="Q235" s="778"/>
      <c r="R235" s="778"/>
    </row>
    <row r="236" spans="1:18" x14ac:dyDescent="0.3">
      <c r="A236" s="4178" t="s">
        <v>3906</v>
      </c>
      <c r="B236" s="4178" t="s">
        <v>74</v>
      </c>
      <c r="C236" s="4179"/>
      <c r="D236" s="4179"/>
      <c r="E236" s="4179"/>
      <c r="F236" s="4179"/>
      <c r="G236" s="4179"/>
      <c r="H236" s="4179"/>
      <c r="I236" s="4179"/>
      <c r="J236" s="4179"/>
      <c r="K236" s="4179"/>
      <c r="L236" s="4179"/>
      <c r="M236" s="4179"/>
      <c r="N236" s="4179"/>
      <c r="O236" s="4179"/>
      <c r="P236" s="4179"/>
      <c r="Q236" s="778"/>
      <c r="R236" s="778"/>
    </row>
    <row r="237" spans="1:18" x14ac:dyDescent="0.3">
      <c r="A237" s="778" t="s">
        <v>3903</v>
      </c>
      <c r="B237" s="778" t="s">
        <v>74</v>
      </c>
      <c r="C237" s="1429"/>
      <c r="D237" s="1429"/>
      <c r="E237" s="1429"/>
      <c r="F237" s="1429"/>
      <c r="G237" s="1429"/>
      <c r="H237" s="1429"/>
      <c r="I237" s="1429"/>
      <c r="J237" s="1429"/>
      <c r="K237" s="1429"/>
      <c r="L237" s="1429"/>
      <c r="M237" s="1429"/>
      <c r="N237" s="1429"/>
      <c r="O237" s="1429"/>
      <c r="P237" s="1429"/>
      <c r="Q237" s="778"/>
      <c r="R237" s="778"/>
    </row>
    <row r="238" spans="1:18" x14ac:dyDescent="0.3">
      <c r="A238" s="778" t="s">
        <v>3904</v>
      </c>
      <c r="B238" s="778" t="s">
        <v>74</v>
      </c>
      <c r="C238" s="1429"/>
      <c r="D238" s="1429"/>
      <c r="E238" s="1429"/>
      <c r="F238" s="1429"/>
      <c r="G238" s="1429"/>
      <c r="H238" s="1429"/>
      <c r="I238" s="1429"/>
      <c r="J238" s="1429"/>
      <c r="K238" s="1429"/>
      <c r="L238" s="1429"/>
      <c r="M238" s="1429"/>
      <c r="N238" s="1429"/>
      <c r="O238" s="1429"/>
      <c r="P238" s="1429"/>
      <c r="Q238" s="778"/>
      <c r="R238" s="778"/>
    </row>
    <row r="239" spans="1:18" x14ac:dyDescent="0.3">
      <c r="A239" s="778" t="s">
        <v>3905</v>
      </c>
      <c r="B239" s="778" t="s">
        <v>74</v>
      </c>
      <c r="C239" s="1429"/>
      <c r="D239" s="1429"/>
      <c r="E239" s="1429"/>
      <c r="F239" s="1429"/>
      <c r="G239" s="1429"/>
      <c r="H239" s="1429"/>
      <c r="I239" s="1429"/>
      <c r="J239" s="1429"/>
      <c r="K239" s="1429"/>
      <c r="L239" s="1429"/>
      <c r="M239" s="1429"/>
      <c r="N239" s="1429"/>
      <c r="O239" s="1429"/>
      <c r="P239" s="1429"/>
      <c r="Q239" s="778"/>
      <c r="R239" s="778"/>
    </row>
    <row r="240" spans="1:18" x14ac:dyDescent="0.3">
      <c r="A240" s="4178" t="s">
        <v>3907</v>
      </c>
      <c r="B240" s="778" t="s">
        <v>74</v>
      </c>
      <c r="C240" s="4179"/>
      <c r="D240" s="1429"/>
      <c r="E240" s="1429"/>
      <c r="F240" s="1429"/>
      <c r="G240" s="4179"/>
      <c r="H240" s="4179"/>
      <c r="I240" s="4179"/>
      <c r="J240" s="1429"/>
      <c r="K240" s="1429"/>
      <c r="L240" s="1429"/>
      <c r="M240" s="1429"/>
      <c r="N240" s="1429"/>
      <c r="O240" s="1429"/>
      <c r="P240" s="1429"/>
      <c r="Q240" s="778"/>
      <c r="R240" s="778"/>
    </row>
    <row r="241" spans="1:18" x14ac:dyDescent="0.3">
      <c r="A241" s="778" t="s">
        <v>3903</v>
      </c>
      <c r="B241" s="778" t="s">
        <v>74</v>
      </c>
      <c r="C241" s="1429"/>
      <c r="D241" s="1429"/>
      <c r="E241" s="1429"/>
      <c r="F241" s="1429"/>
      <c r="G241" s="1429"/>
      <c r="H241" s="1429"/>
      <c r="I241" s="1429"/>
      <c r="J241" s="1429"/>
      <c r="K241" s="1429"/>
      <c r="L241" s="1429"/>
      <c r="M241" s="1429"/>
      <c r="N241" s="1429"/>
      <c r="O241" s="1429"/>
      <c r="P241" s="1429"/>
      <c r="Q241" s="778"/>
      <c r="R241" s="778"/>
    </row>
    <row r="242" spans="1:18" x14ac:dyDescent="0.3">
      <c r="A242" s="778" t="s">
        <v>3904</v>
      </c>
      <c r="B242" s="778" t="s">
        <v>74</v>
      </c>
      <c r="C242" s="1429"/>
      <c r="D242" s="1429"/>
      <c r="E242" s="1429"/>
      <c r="F242" s="1429"/>
      <c r="G242" s="1429"/>
      <c r="H242" s="1429"/>
      <c r="I242" s="1429"/>
      <c r="J242" s="1429"/>
      <c r="K242" s="1429"/>
      <c r="L242" s="1429"/>
      <c r="M242" s="1429"/>
      <c r="N242" s="1429"/>
      <c r="O242" s="1429"/>
      <c r="P242" s="1429"/>
      <c r="Q242" s="778"/>
      <c r="R242" s="778"/>
    </row>
    <row r="243" spans="1:18" x14ac:dyDescent="0.3">
      <c r="A243" s="778" t="s">
        <v>3905</v>
      </c>
      <c r="B243" s="778" t="s">
        <v>74</v>
      </c>
      <c r="C243" s="1429"/>
      <c r="D243" s="1429"/>
      <c r="E243" s="1429"/>
      <c r="F243" s="1429"/>
      <c r="G243" s="1429"/>
      <c r="H243" s="1429"/>
      <c r="I243" s="1429"/>
      <c r="J243" s="1429"/>
      <c r="K243" s="1429"/>
      <c r="L243" s="1429"/>
      <c r="M243" s="1429"/>
      <c r="N243" s="1429"/>
      <c r="O243" s="1429"/>
      <c r="P243" s="1429"/>
      <c r="Q243" s="778"/>
      <c r="R243" s="778"/>
    </row>
    <row r="244" spans="1:18" x14ac:dyDescent="0.3">
      <c r="A244" s="4178" t="s">
        <v>3930</v>
      </c>
      <c r="B244" s="778"/>
      <c r="C244" s="1429"/>
      <c r="D244" s="1429"/>
      <c r="E244" s="1429"/>
      <c r="F244" s="1429"/>
      <c r="G244" s="1429"/>
      <c r="H244" s="1429"/>
      <c r="I244" s="1429"/>
      <c r="J244" s="1429"/>
      <c r="K244" s="1429"/>
      <c r="L244" s="1429"/>
      <c r="M244" s="1429"/>
      <c r="N244" s="1429"/>
      <c r="O244" s="1429"/>
      <c r="P244" s="1429"/>
      <c r="Q244" s="778"/>
      <c r="R244" s="778"/>
    </row>
    <row r="245" spans="1:18" ht="30" customHeight="1" x14ac:dyDescent="0.3">
      <c r="A245" s="778" t="s">
        <v>3909</v>
      </c>
      <c r="B245" s="713" t="s">
        <v>3910</v>
      </c>
      <c r="C245" s="1429"/>
      <c r="D245" s="1429"/>
      <c r="E245" s="1429"/>
      <c r="F245" s="1429"/>
      <c r="G245" s="1429"/>
      <c r="H245" s="1429"/>
      <c r="I245" s="1429"/>
      <c r="J245" s="1429"/>
      <c r="K245" s="1429"/>
      <c r="L245" s="1429"/>
      <c r="M245" s="1429"/>
      <c r="N245" s="1429"/>
      <c r="O245" s="1429"/>
      <c r="P245" s="1429"/>
      <c r="Q245" s="778"/>
      <c r="R245" s="778"/>
    </row>
    <row r="246" spans="1:18" x14ac:dyDescent="0.3">
      <c r="A246" s="778" t="s">
        <v>3911</v>
      </c>
      <c r="B246" s="778" t="s">
        <v>74</v>
      </c>
      <c r="C246" s="1429"/>
      <c r="D246" s="1429"/>
      <c r="E246" s="1429"/>
      <c r="F246" s="1429"/>
      <c r="G246" s="1429"/>
      <c r="H246" s="1429"/>
      <c r="I246" s="1429"/>
      <c r="J246" s="1429"/>
      <c r="K246" s="1429"/>
      <c r="L246" s="1429"/>
      <c r="M246" s="1429"/>
      <c r="N246" s="1429"/>
      <c r="O246" s="1429"/>
      <c r="P246" s="1429"/>
      <c r="Q246" s="778"/>
      <c r="R246" s="778"/>
    </row>
    <row r="247" spans="1:18" x14ac:dyDescent="0.3">
      <c r="A247" s="4941" t="s">
        <v>3952</v>
      </c>
      <c r="B247" s="4941"/>
      <c r="C247" s="4941"/>
      <c r="D247" s="4941"/>
      <c r="E247" s="4941"/>
      <c r="F247" s="4941"/>
      <c r="G247" s="4941"/>
      <c r="H247" s="4941"/>
      <c r="I247" s="4941"/>
      <c r="J247" s="4941"/>
      <c r="K247" s="4941"/>
      <c r="L247" s="4941"/>
      <c r="M247" s="4941"/>
      <c r="N247" s="4941"/>
      <c r="O247" s="4941"/>
      <c r="P247" s="4941"/>
      <c r="Q247" s="4941"/>
      <c r="R247" s="4941"/>
    </row>
    <row r="248" spans="1:18" x14ac:dyDescent="0.3">
      <c r="A248" s="1160" t="s">
        <v>3902</v>
      </c>
      <c r="B248" s="1160" t="s">
        <v>74</v>
      </c>
      <c r="C248" s="1428">
        <f>C249+C250+C251</f>
        <v>1913.1599999999999</v>
      </c>
      <c r="D248" s="1428">
        <f t="shared" ref="D248:F248" si="18">D249+D250+D251</f>
        <v>6421.4520000000002</v>
      </c>
      <c r="E248" s="1428">
        <f t="shared" si="18"/>
        <v>8526.9599999999991</v>
      </c>
      <c r="F248" s="1428">
        <f t="shared" si="18"/>
        <v>4585.0200000000004</v>
      </c>
      <c r="G248" s="5956" t="s">
        <v>3953</v>
      </c>
      <c r="H248" s="5957"/>
      <c r="I248" s="5957"/>
      <c r="J248" s="5957"/>
      <c r="K248" s="5957"/>
      <c r="L248" s="5957"/>
      <c r="M248" s="5957"/>
      <c r="N248" s="5957"/>
      <c r="O248" s="5957"/>
      <c r="P248" s="5957"/>
      <c r="Q248" s="5957"/>
      <c r="R248" s="5958"/>
    </row>
    <row r="249" spans="1:18" x14ac:dyDescent="0.3">
      <c r="A249" s="778" t="s">
        <v>3903</v>
      </c>
      <c r="B249" s="778" t="s">
        <v>74</v>
      </c>
      <c r="C249" s="1429">
        <v>1415.328</v>
      </c>
      <c r="D249" s="1429">
        <v>5910.768</v>
      </c>
      <c r="E249" s="1429">
        <v>6555.18</v>
      </c>
      <c r="F249" s="1429">
        <v>3361.7040000000002</v>
      </c>
      <c r="G249" s="1429"/>
      <c r="H249" s="1429"/>
      <c r="I249" s="1429"/>
      <c r="J249" s="1429"/>
      <c r="K249" s="1429"/>
      <c r="L249" s="1429"/>
      <c r="M249" s="1429"/>
      <c r="N249" s="1429"/>
      <c r="O249" s="1429"/>
      <c r="P249" s="1429"/>
      <c r="Q249" s="778"/>
      <c r="R249" s="778"/>
    </row>
    <row r="250" spans="1:18" x14ac:dyDescent="0.3">
      <c r="A250" s="778" t="s">
        <v>3904</v>
      </c>
      <c r="B250" s="778" t="s">
        <v>74</v>
      </c>
      <c r="C250" s="1429">
        <v>495.31200000000001</v>
      </c>
      <c r="D250" s="1429">
        <v>488.61599999999999</v>
      </c>
      <c r="E250" s="1429">
        <v>1948.6559999999999</v>
      </c>
      <c r="F250" s="1429">
        <v>1200.06</v>
      </c>
      <c r="G250" s="1429"/>
      <c r="H250" s="1429"/>
      <c r="I250" s="1429"/>
      <c r="J250" s="1429"/>
      <c r="K250" s="1429"/>
      <c r="L250" s="1429"/>
      <c r="M250" s="1429"/>
      <c r="N250" s="1429"/>
      <c r="O250" s="1429"/>
      <c r="P250" s="1429"/>
      <c r="Q250" s="778"/>
      <c r="R250" s="778"/>
    </row>
    <row r="251" spans="1:18" x14ac:dyDescent="0.3">
      <c r="A251" s="778" t="s">
        <v>3905</v>
      </c>
      <c r="B251" s="778" t="s">
        <v>74</v>
      </c>
      <c r="C251" s="1429">
        <v>2.52</v>
      </c>
      <c r="D251" s="1429">
        <v>22.068000000000001</v>
      </c>
      <c r="E251" s="1429">
        <v>23.123999999999999</v>
      </c>
      <c r="F251" s="1429">
        <v>23.256</v>
      </c>
      <c r="G251" s="1429"/>
      <c r="H251" s="1429"/>
      <c r="I251" s="1429"/>
      <c r="J251" s="1429"/>
      <c r="K251" s="1429"/>
      <c r="L251" s="1429"/>
      <c r="M251" s="1429"/>
      <c r="N251" s="1429"/>
      <c r="O251" s="1429"/>
      <c r="P251" s="1429"/>
      <c r="Q251" s="778"/>
      <c r="R251" s="778"/>
    </row>
    <row r="252" spans="1:18" x14ac:dyDescent="0.3">
      <c r="A252" s="1160" t="s">
        <v>3906</v>
      </c>
      <c r="B252" s="1160" t="s">
        <v>74</v>
      </c>
      <c r="C252" s="1428"/>
      <c r="D252" s="1428"/>
      <c r="E252" s="1428"/>
      <c r="F252" s="1428"/>
      <c r="G252" s="1428"/>
      <c r="H252" s="1428"/>
      <c r="I252" s="1428"/>
      <c r="J252" s="1428"/>
      <c r="K252" s="1428"/>
      <c r="L252" s="1428"/>
      <c r="M252" s="1428"/>
      <c r="N252" s="1428"/>
      <c r="O252" s="1428"/>
      <c r="P252" s="1428"/>
      <c r="Q252" s="778"/>
      <c r="R252" s="778"/>
    </row>
    <row r="253" spans="1:18" x14ac:dyDescent="0.3">
      <c r="A253" s="778" t="s">
        <v>3903</v>
      </c>
      <c r="B253" s="778" t="s">
        <v>74</v>
      </c>
      <c r="C253" s="1429"/>
      <c r="D253" s="1429"/>
      <c r="E253" s="1429"/>
      <c r="F253" s="1429"/>
      <c r="G253" s="1429"/>
      <c r="H253" s="1429"/>
      <c r="I253" s="1429"/>
      <c r="J253" s="1429"/>
      <c r="K253" s="1429"/>
      <c r="L253" s="1429"/>
      <c r="M253" s="1429"/>
      <c r="N253" s="1429"/>
      <c r="O253" s="1429"/>
      <c r="P253" s="1429"/>
      <c r="Q253" s="778"/>
      <c r="R253" s="778"/>
    </row>
    <row r="254" spans="1:18" x14ac:dyDescent="0.3">
      <c r="A254" s="778" t="s">
        <v>3904</v>
      </c>
      <c r="B254" s="778" t="s">
        <v>74</v>
      </c>
      <c r="C254" s="1429"/>
      <c r="D254" s="1429"/>
      <c r="E254" s="1429"/>
      <c r="F254" s="1429"/>
      <c r="G254" s="1429"/>
      <c r="H254" s="1429"/>
      <c r="I254" s="1429"/>
      <c r="J254" s="1429"/>
      <c r="K254" s="1429"/>
      <c r="L254" s="1429"/>
      <c r="M254" s="1429"/>
      <c r="N254" s="1429"/>
      <c r="O254" s="1429"/>
      <c r="P254" s="1429"/>
      <c r="Q254" s="778"/>
      <c r="R254" s="778"/>
    </row>
    <row r="255" spans="1:18" x14ac:dyDescent="0.3">
      <c r="A255" s="778" t="s">
        <v>3905</v>
      </c>
      <c r="B255" s="778" t="s">
        <v>74</v>
      </c>
      <c r="C255" s="1429"/>
      <c r="D255" s="1429"/>
      <c r="E255" s="1429"/>
      <c r="F255" s="1429"/>
      <c r="G255" s="1429"/>
      <c r="H255" s="1429"/>
      <c r="I255" s="1429"/>
      <c r="J255" s="1429"/>
      <c r="K255" s="1429"/>
      <c r="L255" s="1429"/>
      <c r="M255" s="1429"/>
      <c r="N255" s="1429"/>
      <c r="O255" s="1429"/>
      <c r="P255" s="1429"/>
      <c r="Q255" s="778"/>
      <c r="R255" s="778"/>
    </row>
    <row r="256" spans="1:18" x14ac:dyDescent="0.3">
      <c r="A256" s="1160" t="s">
        <v>3907</v>
      </c>
      <c r="B256" s="778" t="s">
        <v>74</v>
      </c>
      <c r="C256" s="1428"/>
      <c r="D256" s="1429"/>
      <c r="E256" s="1429"/>
      <c r="F256" s="1429"/>
      <c r="G256" s="1428"/>
      <c r="H256" s="1428"/>
      <c r="I256" s="1428"/>
      <c r="J256" s="1429"/>
      <c r="K256" s="1429"/>
      <c r="L256" s="1429"/>
      <c r="M256" s="1429"/>
      <c r="N256" s="1429"/>
      <c r="O256" s="1429"/>
      <c r="P256" s="1429"/>
      <c r="Q256" s="778"/>
      <c r="R256" s="778"/>
    </row>
    <row r="257" spans="1:18" x14ac:dyDescent="0.3">
      <c r="A257" s="778" t="s">
        <v>3903</v>
      </c>
      <c r="B257" s="778" t="s">
        <v>74</v>
      </c>
      <c r="C257" s="1429"/>
      <c r="D257" s="1429"/>
      <c r="E257" s="1429"/>
      <c r="F257" s="1429"/>
      <c r="G257" s="1429"/>
      <c r="H257" s="1429"/>
      <c r="I257" s="1429"/>
      <c r="J257" s="1429"/>
      <c r="K257" s="1429"/>
      <c r="L257" s="1429"/>
      <c r="M257" s="1429"/>
      <c r="N257" s="1429"/>
      <c r="O257" s="1429"/>
      <c r="P257" s="1429"/>
      <c r="Q257" s="778"/>
      <c r="R257" s="778"/>
    </row>
    <row r="258" spans="1:18" x14ac:dyDescent="0.3">
      <c r="A258" s="778" t="s">
        <v>3904</v>
      </c>
      <c r="B258" s="778" t="s">
        <v>74</v>
      </c>
      <c r="C258" s="1429"/>
      <c r="D258" s="1429"/>
      <c r="E258" s="1429"/>
      <c r="F258" s="1429"/>
      <c r="G258" s="1429"/>
      <c r="H258" s="1429"/>
      <c r="I258" s="1429"/>
      <c r="J258" s="1429"/>
      <c r="K258" s="1429"/>
      <c r="L258" s="1429"/>
      <c r="M258" s="1429"/>
      <c r="N258" s="1429"/>
      <c r="O258" s="1429"/>
      <c r="P258" s="1429"/>
      <c r="Q258" s="778"/>
      <c r="R258" s="778"/>
    </row>
    <row r="259" spans="1:18" x14ac:dyDescent="0.3">
      <c r="A259" s="778" t="s">
        <v>3905</v>
      </c>
      <c r="B259" s="778" t="s">
        <v>74</v>
      </c>
      <c r="C259" s="1429"/>
      <c r="D259" s="1429"/>
      <c r="E259" s="1429"/>
      <c r="F259" s="1429"/>
      <c r="G259" s="1429"/>
      <c r="H259" s="1429"/>
      <c r="I259" s="1429"/>
      <c r="J259" s="1429"/>
      <c r="K259" s="1429"/>
      <c r="L259" s="1429"/>
      <c r="M259" s="1429"/>
      <c r="N259" s="1429"/>
      <c r="O259" s="1429"/>
      <c r="P259" s="1429"/>
      <c r="Q259" s="778"/>
      <c r="R259" s="778"/>
    </row>
    <row r="260" spans="1:18" x14ac:dyDescent="0.3">
      <c r="A260" s="1160" t="s">
        <v>3930</v>
      </c>
      <c r="B260" s="778"/>
      <c r="C260" s="1429"/>
      <c r="D260" s="1429"/>
      <c r="E260" s="1429"/>
      <c r="F260" s="1429"/>
      <c r="G260" s="1429"/>
      <c r="H260" s="1429"/>
      <c r="I260" s="1429"/>
      <c r="J260" s="1429"/>
      <c r="K260" s="1429"/>
      <c r="L260" s="1429"/>
      <c r="M260" s="1429"/>
      <c r="N260" s="1429"/>
      <c r="O260" s="1429"/>
      <c r="P260" s="1429"/>
      <c r="Q260" s="778"/>
      <c r="R260" s="778"/>
    </row>
    <row r="261" spans="1:18" ht="27" customHeight="1" x14ac:dyDescent="0.3">
      <c r="A261" s="778" t="s">
        <v>3909</v>
      </c>
      <c r="B261" s="713" t="s">
        <v>3910</v>
      </c>
      <c r="C261" s="1429"/>
      <c r="D261" s="1429"/>
      <c r="E261" s="1429"/>
      <c r="F261" s="1429"/>
      <c r="G261" s="1429"/>
      <c r="H261" s="1429"/>
      <c r="I261" s="1429"/>
      <c r="J261" s="1429"/>
      <c r="K261" s="1429"/>
      <c r="L261" s="1429"/>
      <c r="M261" s="1429"/>
      <c r="N261" s="1429"/>
      <c r="O261" s="1429"/>
      <c r="P261" s="1429"/>
      <c r="Q261" s="778"/>
      <c r="R261" s="778"/>
    </row>
    <row r="262" spans="1:18" x14ac:dyDescent="0.3">
      <c r="A262" s="778" t="s">
        <v>3911</v>
      </c>
      <c r="B262" s="778" t="s">
        <v>74</v>
      </c>
      <c r="C262" s="1429"/>
      <c r="D262" s="1429"/>
      <c r="E262" s="1429"/>
      <c r="F262" s="1429"/>
      <c r="G262" s="1429"/>
      <c r="H262" s="1429"/>
      <c r="I262" s="1429"/>
      <c r="J262" s="1429"/>
      <c r="K262" s="1429"/>
      <c r="L262" s="1429"/>
      <c r="M262" s="1429"/>
      <c r="N262" s="1429"/>
      <c r="O262" s="1429"/>
      <c r="P262" s="1429"/>
      <c r="Q262" s="778"/>
      <c r="R262" s="778"/>
    </row>
    <row r="263" spans="1:18" x14ac:dyDescent="0.3">
      <c r="A263" s="5244" t="s">
        <v>3954</v>
      </c>
      <c r="B263" s="5244"/>
      <c r="C263" s="5244"/>
      <c r="D263" s="5244"/>
      <c r="E263" s="5244"/>
      <c r="F263" s="5244"/>
      <c r="G263" s="5244"/>
      <c r="H263" s="5244"/>
      <c r="I263" s="5244"/>
      <c r="J263" s="5244"/>
      <c r="K263" s="5244"/>
      <c r="L263" s="5244"/>
      <c r="M263" s="5244"/>
      <c r="N263" s="5244"/>
      <c r="O263" s="5244"/>
      <c r="P263" s="5244"/>
    </row>
    <row r="264" spans="1:18" x14ac:dyDescent="0.3">
      <c r="A264" s="1160" t="s">
        <v>3902</v>
      </c>
      <c r="B264" s="1160" t="s">
        <v>74</v>
      </c>
      <c r="C264" s="1428">
        <v>1934.3</v>
      </c>
      <c r="D264" s="1428">
        <v>4477.7299999999996</v>
      </c>
      <c r="E264" s="1428">
        <v>7835</v>
      </c>
      <c r="F264" s="1428">
        <v>0</v>
      </c>
      <c r="G264" s="1428">
        <v>2911.39</v>
      </c>
      <c r="H264" s="1428">
        <v>4284.5</v>
      </c>
      <c r="I264" s="1428">
        <v>40.51</v>
      </c>
      <c r="J264" s="1428">
        <v>4671.87</v>
      </c>
      <c r="K264" s="1428">
        <v>1593.5</v>
      </c>
      <c r="L264" s="1428">
        <v>210.76</v>
      </c>
      <c r="M264" s="1428">
        <v>8571.24</v>
      </c>
      <c r="N264" s="1428">
        <v>97.8</v>
      </c>
      <c r="O264" s="1428">
        <v>264.02999999999997</v>
      </c>
      <c r="P264" s="1428">
        <v>0</v>
      </c>
      <c r="Q264" s="1428">
        <v>0</v>
      </c>
      <c r="R264" s="1428">
        <v>0</v>
      </c>
    </row>
    <row r="265" spans="1:18" x14ac:dyDescent="0.3">
      <c r="A265" s="778" t="s">
        <v>3903</v>
      </c>
      <c r="B265" s="778" t="s">
        <v>74</v>
      </c>
      <c r="C265" s="1429">
        <v>0</v>
      </c>
      <c r="D265" s="1429">
        <v>3619.74</v>
      </c>
      <c r="E265" s="1429">
        <v>6408.41</v>
      </c>
      <c r="F265" s="1429">
        <v>0</v>
      </c>
      <c r="G265" s="1429">
        <v>2251.52</v>
      </c>
      <c r="H265" s="1429">
        <v>4284.5</v>
      </c>
      <c r="I265" s="1429">
        <v>36.79</v>
      </c>
      <c r="J265" s="1429">
        <v>3752.21</v>
      </c>
      <c r="K265" s="1429">
        <v>1593.5</v>
      </c>
      <c r="L265" s="1429">
        <v>207.04</v>
      </c>
      <c r="M265" s="1429">
        <v>7012</v>
      </c>
      <c r="N265" s="1429">
        <v>97.8</v>
      </c>
      <c r="O265" s="1429">
        <v>260.31</v>
      </c>
      <c r="P265" s="1429">
        <v>0</v>
      </c>
      <c r="Q265" s="1429">
        <v>0</v>
      </c>
      <c r="R265" s="1429">
        <v>0</v>
      </c>
    </row>
    <row r="266" spans="1:18" x14ac:dyDescent="0.3">
      <c r="A266" s="778" t="s">
        <v>3904</v>
      </c>
      <c r="B266" s="778" t="s">
        <v>74</v>
      </c>
      <c r="C266" s="1429">
        <v>0</v>
      </c>
      <c r="D266" s="1429">
        <v>830.1</v>
      </c>
      <c r="E266" s="1429">
        <v>1398.7</v>
      </c>
      <c r="F266" s="1429">
        <v>0</v>
      </c>
      <c r="G266" s="1429">
        <v>630.51</v>
      </c>
      <c r="H266" s="1429">
        <v>0</v>
      </c>
      <c r="I266" s="1429">
        <v>3.24</v>
      </c>
      <c r="J266" s="1429">
        <v>890.3</v>
      </c>
      <c r="K266" s="1429">
        <v>0</v>
      </c>
      <c r="L266" s="1429">
        <v>3.24</v>
      </c>
      <c r="M266" s="1429">
        <v>1529.88</v>
      </c>
      <c r="N266" s="1429">
        <v>0</v>
      </c>
      <c r="O266" s="1429">
        <v>3.24</v>
      </c>
      <c r="P266" s="1429">
        <v>0</v>
      </c>
      <c r="Q266" s="1429">
        <v>0</v>
      </c>
      <c r="R266" s="1429">
        <v>0</v>
      </c>
    </row>
    <row r="267" spans="1:18" x14ac:dyDescent="0.3">
      <c r="A267" s="778" t="s">
        <v>3905</v>
      </c>
      <c r="B267" s="778" t="s">
        <v>74</v>
      </c>
      <c r="C267" s="1429">
        <v>0</v>
      </c>
      <c r="D267" s="1429">
        <v>27.89</v>
      </c>
      <c r="E267" s="1429">
        <v>27.89</v>
      </c>
      <c r="F267" s="1429">
        <v>0</v>
      </c>
      <c r="G267" s="1429">
        <v>29.36</v>
      </c>
      <c r="H267" s="1429">
        <v>0</v>
      </c>
      <c r="I267" s="1429">
        <v>0.48</v>
      </c>
      <c r="J267" s="1429">
        <v>29.36</v>
      </c>
      <c r="K267" s="1429">
        <v>0</v>
      </c>
      <c r="L267" s="1429">
        <v>0.48</v>
      </c>
      <c r="M267" s="1429">
        <v>29.36</v>
      </c>
      <c r="N267" s="1429">
        <v>0</v>
      </c>
      <c r="O267" s="1429">
        <v>0.48</v>
      </c>
      <c r="P267" s="1429">
        <v>0</v>
      </c>
      <c r="Q267" s="1429">
        <v>0</v>
      </c>
      <c r="R267" s="1429">
        <v>0</v>
      </c>
    </row>
    <row r="268" spans="1:18" x14ac:dyDescent="0.3">
      <c r="A268" s="1160" t="s">
        <v>3906</v>
      </c>
      <c r="B268" s="1160" t="s">
        <v>74</v>
      </c>
      <c r="C268" s="1428">
        <v>0</v>
      </c>
      <c r="D268" s="1428">
        <v>0</v>
      </c>
      <c r="E268" s="1428">
        <v>0</v>
      </c>
      <c r="F268" s="1428">
        <v>0</v>
      </c>
      <c r="G268" s="1428">
        <v>0</v>
      </c>
      <c r="H268" s="1428">
        <v>0</v>
      </c>
      <c r="I268" s="1428">
        <v>0</v>
      </c>
      <c r="J268" s="1428">
        <v>0</v>
      </c>
      <c r="K268" s="1428">
        <v>0</v>
      </c>
      <c r="L268" s="1428">
        <v>0</v>
      </c>
      <c r="M268" s="1428">
        <v>0</v>
      </c>
      <c r="N268" s="1428">
        <v>0</v>
      </c>
      <c r="O268" s="1428">
        <v>0</v>
      </c>
      <c r="P268" s="1428">
        <v>0</v>
      </c>
      <c r="Q268" s="1428">
        <v>0</v>
      </c>
      <c r="R268" s="1428">
        <v>0</v>
      </c>
    </row>
    <row r="269" spans="1:18" x14ac:dyDescent="0.3">
      <c r="A269" s="778" t="s">
        <v>3903</v>
      </c>
      <c r="B269" s="778" t="s">
        <v>74</v>
      </c>
      <c r="C269" s="1429">
        <v>0</v>
      </c>
      <c r="D269" s="1429">
        <v>0</v>
      </c>
      <c r="E269" s="1429">
        <v>0</v>
      </c>
      <c r="F269" s="1429">
        <v>0</v>
      </c>
      <c r="G269" s="1429">
        <v>0</v>
      </c>
      <c r="H269" s="1429">
        <v>0</v>
      </c>
      <c r="I269" s="1429">
        <v>0</v>
      </c>
      <c r="J269" s="1429">
        <v>0</v>
      </c>
      <c r="K269" s="1429">
        <v>0</v>
      </c>
      <c r="L269" s="1429">
        <v>0</v>
      </c>
      <c r="M269" s="1429">
        <v>0</v>
      </c>
      <c r="N269" s="1429">
        <v>0</v>
      </c>
      <c r="O269" s="1429">
        <v>0</v>
      </c>
      <c r="P269" s="1429">
        <v>0</v>
      </c>
      <c r="Q269" s="1429">
        <v>0</v>
      </c>
      <c r="R269" s="1429">
        <v>0</v>
      </c>
    </row>
    <row r="270" spans="1:18" x14ac:dyDescent="0.3">
      <c r="A270" s="778" t="s">
        <v>3904</v>
      </c>
      <c r="B270" s="778" t="s">
        <v>74</v>
      </c>
      <c r="C270" s="1429">
        <v>0</v>
      </c>
      <c r="D270" s="1429">
        <v>0</v>
      </c>
      <c r="E270" s="1429">
        <v>0</v>
      </c>
      <c r="F270" s="1429">
        <v>0</v>
      </c>
      <c r="G270" s="1429">
        <v>0</v>
      </c>
      <c r="H270" s="1429">
        <v>0</v>
      </c>
      <c r="I270" s="1429">
        <v>0</v>
      </c>
      <c r="J270" s="1429">
        <v>0</v>
      </c>
      <c r="K270" s="1429">
        <v>0</v>
      </c>
      <c r="L270" s="1429">
        <v>0</v>
      </c>
      <c r="M270" s="1429">
        <v>0</v>
      </c>
      <c r="N270" s="1429">
        <v>0</v>
      </c>
      <c r="O270" s="1429">
        <v>0</v>
      </c>
      <c r="P270" s="1429">
        <v>0</v>
      </c>
      <c r="Q270" s="1429">
        <v>0</v>
      </c>
      <c r="R270" s="1429">
        <v>0</v>
      </c>
    </row>
    <row r="271" spans="1:18" x14ac:dyDescent="0.3">
      <c r="A271" s="778" t="s">
        <v>3905</v>
      </c>
      <c r="B271" s="778" t="s">
        <v>74</v>
      </c>
      <c r="C271" s="1429">
        <v>0</v>
      </c>
      <c r="D271" s="1429">
        <v>0</v>
      </c>
      <c r="E271" s="1429">
        <v>0</v>
      </c>
      <c r="F271" s="1429">
        <v>0</v>
      </c>
      <c r="G271" s="1429">
        <v>0</v>
      </c>
      <c r="H271" s="1429">
        <v>0</v>
      </c>
      <c r="I271" s="1429">
        <v>0</v>
      </c>
      <c r="J271" s="1429">
        <v>0</v>
      </c>
      <c r="K271" s="1429">
        <v>0</v>
      </c>
      <c r="L271" s="1429">
        <v>0</v>
      </c>
      <c r="M271" s="1429">
        <v>0</v>
      </c>
      <c r="N271" s="1429">
        <v>0</v>
      </c>
      <c r="O271" s="1429">
        <v>0</v>
      </c>
      <c r="P271" s="1429">
        <v>0</v>
      </c>
      <c r="Q271" s="1429">
        <v>0</v>
      </c>
      <c r="R271" s="1429">
        <v>0</v>
      </c>
    </row>
    <row r="272" spans="1:18" s="44" customFormat="1" x14ac:dyDescent="0.3">
      <c r="A272" s="1160" t="s">
        <v>3907</v>
      </c>
      <c r="B272" s="1160" t="s">
        <v>74</v>
      </c>
      <c r="C272" s="1428">
        <v>0</v>
      </c>
      <c r="D272" s="1428">
        <v>0</v>
      </c>
      <c r="E272" s="1428">
        <v>0</v>
      </c>
      <c r="F272" s="1428">
        <v>0</v>
      </c>
      <c r="G272" s="1428">
        <v>0</v>
      </c>
      <c r="H272" s="1428">
        <v>0</v>
      </c>
      <c r="I272" s="1428">
        <v>0</v>
      </c>
      <c r="J272" s="1428">
        <v>0</v>
      </c>
      <c r="K272" s="1428">
        <v>0</v>
      </c>
      <c r="L272" s="1428">
        <v>0</v>
      </c>
      <c r="M272" s="1428">
        <v>0</v>
      </c>
      <c r="N272" s="1428">
        <v>0</v>
      </c>
      <c r="O272" s="1428">
        <v>0</v>
      </c>
      <c r="P272" s="1428">
        <v>0</v>
      </c>
      <c r="Q272" s="1428">
        <v>0</v>
      </c>
      <c r="R272" s="1428">
        <v>0</v>
      </c>
    </row>
    <row r="273" spans="1:22" x14ac:dyDescent="0.3">
      <c r="A273" s="778" t="s">
        <v>3903</v>
      </c>
      <c r="B273" s="778" t="s">
        <v>74</v>
      </c>
      <c r="C273" s="1429">
        <v>0</v>
      </c>
      <c r="D273" s="1429">
        <v>0</v>
      </c>
      <c r="E273" s="1429">
        <v>0</v>
      </c>
      <c r="F273" s="1429">
        <v>0</v>
      </c>
      <c r="G273" s="1429">
        <v>0</v>
      </c>
      <c r="H273" s="1429">
        <v>0</v>
      </c>
      <c r="I273" s="1429">
        <v>0</v>
      </c>
      <c r="J273" s="1429">
        <v>0</v>
      </c>
      <c r="K273" s="1429">
        <v>0</v>
      </c>
      <c r="L273" s="1429">
        <v>0</v>
      </c>
      <c r="M273" s="1429">
        <v>0</v>
      </c>
      <c r="N273" s="1429">
        <v>0</v>
      </c>
      <c r="O273" s="1429">
        <v>0</v>
      </c>
      <c r="P273" s="1429">
        <v>0</v>
      </c>
      <c r="Q273" s="1429">
        <v>0</v>
      </c>
      <c r="R273" s="1429">
        <v>0</v>
      </c>
    </row>
    <row r="274" spans="1:22" x14ac:dyDescent="0.3">
      <c r="A274" s="778" t="s">
        <v>3904</v>
      </c>
      <c r="B274" s="778" t="s">
        <v>74</v>
      </c>
      <c r="C274" s="1429">
        <v>0</v>
      </c>
      <c r="D274" s="1429">
        <v>0</v>
      </c>
      <c r="E274" s="1429">
        <v>0</v>
      </c>
      <c r="F274" s="1429">
        <v>0</v>
      </c>
      <c r="G274" s="1429">
        <v>0</v>
      </c>
      <c r="H274" s="1429">
        <v>0</v>
      </c>
      <c r="I274" s="1429">
        <v>0</v>
      </c>
      <c r="J274" s="1429">
        <v>0</v>
      </c>
      <c r="K274" s="1429">
        <v>0</v>
      </c>
      <c r="L274" s="1429">
        <v>0</v>
      </c>
      <c r="M274" s="1429">
        <v>0</v>
      </c>
      <c r="N274" s="1429">
        <v>0</v>
      </c>
      <c r="O274" s="1429">
        <v>0</v>
      </c>
      <c r="P274" s="1429">
        <v>0</v>
      </c>
      <c r="Q274" s="1429">
        <v>0</v>
      </c>
      <c r="R274" s="1429">
        <v>0</v>
      </c>
    </row>
    <row r="275" spans="1:22" x14ac:dyDescent="0.3">
      <c r="A275" s="778" t="s">
        <v>3905</v>
      </c>
      <c r="B275" s="778" t="s">
        <v>74</v>
      </c>
      <c r="C275" s="1429">
        <v>0</v>
      </c>
      <c r="D275" s="1429">
        <v>0</v>
      </c>
      <c r="E275" s="1429">
        <v>0</v>
      </c>
      <c r="F275" s="1429">
        <v>0</v>
      </c>
      <c r="G275" s="1429">
        <v>0</v>
      </c>
      <c r="H275" s="1429">
        <v>0</v>
      </c>
      <c r="I275" s="1429">
        <v>0</v>
      </c>
      <c r="J275" s="1429">
        <v>0</v>
      </c>
      <c r="K275" s="1429">
        <v>0</v>
      </c>
      <c r="L275" s="1429">
        <v>0</v>
      </c>
      <c r="M275" s="1429">
        <v>0</v>
      </c>
      <c r="N275" s="1429">
        <v>0</v>
      </c>
      <c r="O275" s="1429">
        <v>0</v>
      </c>
      <c r="P275" s="1429">
        <v>0</v>
      </c>
      <c r="Q275" s="1429">
        <v>0</v>
      </c>
      <c r="R275" s="1429">
        <v>0</v>
      </c>
    </row>
    <row r="276" spans="1:22" x14ac:dyDescent="0.3">
      <c r="A276" s="1160" t="s">
        <v>3930</v>
      </c>
      <c r="B276" s="778"/>
      <c r="C276" s="1429">
        <v>0</v>
      </c>
      <c r="D276" s="1429">
        <v>0</v>
      </c>
      <c r="E276" s="1429">
        <v>0</v>
      </c>
      <c r="F276" s="1429">
        <v>0</v>
      </c>
      <c r="G276" s="1429">
        <v>0</v>
      </c>
      <c r="H276" s="1429">
        <v>0</v>
      </c>
      <c r="I276" s="1429">
        <v>0</v>
      </c>
      <c r="J276" s="1429">
        <v>0</v>
      </c>
      <c r="K276" s="1429">
        <v>0</v>
      </c>
      <c r="L276" s="1429">
        <v>0</v>
      </c>
      <c r="M276" s="1429">
        <v>0</v>
      </c>
      <c r="N276" s="1429">
        <v>0</v>
      </c>
      <c r="O276" s="1429">
        <v>0</v>
      </c>
      <c r="P276" s="1429">
        <v>0</v>
      </c>
      <c r="Q276" s="1429">
        <v>0</v>
      </c>
      <c r="R276" s="1429">
        <v>0</v>
      </c>
    </row>
    <row r="277" spans="1:22" ht="27.6" customHeight="1" x14ac:dyDescent="0.3">
      <c r="A277" s="778" t="s">
        <v>3909</v>
      </c>
      <c r="B277" s="713" t="s">
        <v>3910</v>
      </c>
      <c r="C277" s="1429">
        <v>0</v>
      </c>
      <c r="D277" s="1429">
        <v>0</v>
      </c>
      <c r="E277" s="1429">
        <v>0</v>
      </c>
      <c r="F277" s="1429">
        <v>0</v>
      </c>
      <c r="G277" s="1429">
        <v>0</v>
      </c>
      <c r="H277" s="1429">
        <v>0</v>
      </c>
      <c r="I277" s="1429">
        <v>0</v>
      </c>
      <c r="J277" s="1429">
        <v>0</v>
      </c>
      <c r="K277" s="1429">
        <v>0</v>
      </c>
      <c r="L277" s="1429">
        <v>0</v>
      </c>
      <c r="M277" s="1429">
        <v>0</v>
      </c>
      <c r="N277" s="1429">
        <v>0</v>
      </c>
      <c r="O277" s="1429">
        <v>0</v>
      </c>
      <c r="P277" s="1429">
        <v>0</v>
      </c>
      <c r="Q277" s="1429">
        <v>0</v>
      </c>
      <c r="R277" s="1429">
        <v>0</v>
      </c>
    </row>
    <row r="278" spans="1:22" x14ac:dyDescent="0.3">
      <c r="A278" s="778" t="s">
        <v>3911</v>
      </c>
      <c r="B278" s="778" t="s">
        <v>74</v>
      </c>
      <c r="C278" s="1429">
        <v>0</v>
      </c>
      <c r="D278" s="1429">
        <v>0</v>
      </c>
      <c r="E278" s="1429">
        <v>0</v>
      </c>
      <c r="F278" s="1429">
        <v>0</v>
      </c>
      <c r="G278" s="1429">
        <v>0</v>
      </c>
      <c r="H278" s="1429">
        <v>0</v>
      </c>
      <c r="I278" s="1429">
        <v>0</v>
      </c>
      <c r="J278" s="1429">
        <v>0</v>
      </c>
      <c r="K278" s="1429">
        <v>0</v>
      </c>
      <c r="L278" s="1429">
        <v>0</v>
      </c>
      <c r="M278" s="1429">
        <v>0</v>
      </c>
      <c r="N278" s="1429">
        <v>0</v>
      </c>
      <c r="O278" s="1429">
        <v>0</v>
      </c>
      <c r="P278" s="1429">
        <v>0</v>
      </c>
      <c r="Q278" s="1429">
        <v>0</v>
      </c>
      <c r="R278" s="1429">
        <v>0</v>
      </c>
    </row>
    <row r="279" spans="1:22" x14ac:dyDescent="0.3">
      <c r="A279" s="4941" t="s">
        <v>3969</v>
      </c>
      <c r="B279" s="4941"/>
      <c r="C279" s="4941"/>
      <c r="D279" s="4941"/>
      <c r="E279" s="4941"/>
      <c r="F279" s="4941"/>
      <c r="G279" s="4941"/>
      <c r="H279" s="4941"/>
      <c r="I279" s="4941"/>
      <c r="J279" s="4941"/>
      <c r="K279" s="4941"/>
      <c r="L279" s="4941"/>
      <c r="M279" s="4941"/>
      <c r="N279" s="4941"/>
      <c r="O279" s="4941"/>
      <c r="P279" s="4941"/>
    </row>
    <row r="280" spans="1:22" x14ac:dyDescent="0.3">
      <c r="A280" s="1160" t="s">
        <v>3902</v>
      </c>
      <c r="B280" s="1160" t="s">
        <v>74</v>
      </c>
      <c r="C280" s="5960">
        <v>1539.5</v>
      </c>
      <c r="D280" s="4180">
        <v>3492.47</v>
      </c>
      <c r="E280" s="4180">
        <v>5393.26</v>
      </c>
      <c r="F280" s="4180">
        <v>3403.87</v>
      </c>
      <c r="G280" s="1428">
        <v>2253.16</v>
      </c>
      <c r="H280" s="1428">
        <v>29.85</v>
      </c>
      <c r="I280" s="1428">
        <v>92.72</v>
      </c>
      <c r="J280" s="1428">
        <v>3690.68</v>
      </c>
      <c r="K280" s="1428">
        <v>28.06</v>
      </c>
      <c r="L280" s="1428">
        <v>103.93</v>
      </c>
      <c r="M280" s="1428">
        <v>6609.36</v>
      </c>
      <c r="N280" s="1428">
        <v>26.89</v>
      </c>
      <c r="O280" s="1428">
        <v>145.66999999999999</v>
      </c>
      <c r="P280" s="1428">
        <v>3469.4</v>
      </c>
      <c r="Q280" s="1321">
        <v>26.37</v>
      </c>
      <c r="R280" s="1321">
        <v>88</v>
      </c>
    </row>
    <row r="281" spans="1:22" x14ac:dyDescent="0.3">
      <c r="A281" s="778" t="s">
        <v>3903</v>
      </c>
      <c r="B281" s="778" t="s">
        <v>74</v>
      </c>
      <c r="C281" s="5961"/>
      <c r="D281" s="1308">
        <v>2562.23</v>
      </c>
      <c r="E281" s="1308">
        <v>4222.8</v>
      </c>
      <c r="F281" s="1308">
        <v>2546.39</v>
      </c>
      <c r="G281" s="1429">
        <v>1419.91</v>
      </c>
      <c r="H281" s="1429">
        <v>8.15</v>
      </c>
      <c r="I281" s="1429">
        <v>48.79</v>
      </c>
      <c r="J281" s="1429">
        <v>2581.1999999999998</v>
      </c>
      <c r="K281" s="1429">
        <v>6.36</v>
      </c>
      <c r="L281" s="1429">
        <v>60</v>
      </c>
      <c r="M281" s="1429">
        <v>4914.7700000000004</v>
      </c>
      <c r="N281" s="1429">
        <v>5.19</v>
      </c>
      <c r="O281" s="1429">
        <v>101.74</v>
      </c>
      <c r="P281" s="1429">
        <v>2556.25</v>
      </c>
      <c r="Q281" s="1308">
        <v>4.67</v>
      </c>
      <c r="R281" s="1308">
        <v>44.07</v>
      </c>
      <c r="U281" s="3173"/>
      <c r="V281" s="3173"/>
    </row>
    <row r="282" spans="1:22" x14ac:dyDescent="0.3">
      <c r="A282" s="778" t="s">
        <v>3904</v>
      </c>
      <c r="B282" s="778" t="s">
        <v>74</v>
      </c>
      <c r="C282" s="5961"/>
      <c r="D282" s="4159">
        <v>908.22</v>
      </c>
      <c r="E282" s="1308">
        <v>1148.44</v>
      </c>
      <c r="F282" s="1308">
        <v>835.46</v>
      </c>
      <c r="G282" s="1429">
        <v>807.61</v>
      </c>
      <c r="H282" s="1429">
        <v>21.24</v>
      </c>
      <c r="I282" s="1429">
        <v>42.94</v>
      </c>
      <c r="J282" s="1429">
        <v>1083.8399999999999</v>
      </c>
      <c r="K282" s="1429">
        <v>21.24</v>
      </c>
      <c r="L282" s="1429">
        <v>42.94</v>
      </c>
      <c r="M282" s="1429">
        <v>1668.95</v>
      </c>
      <c r="N282" s="1429">
        <v>21.24</v>
      </c>
      <c r="O282" s="1429">
        <v>42.94</v>
      </c>
      <c r="P282" s="1429">
        <v>887.51</v>
      </c>
      <c r="Q282" s="1308">
        <v>21.24</v>
      </c>
      <c r="R282" s="1308">
        <v>42.94</v>
      </c>
      <c r="U282" s="3173"/>
      <c r="V282" s="3173"/>
    </row>
    <row r="283" spans="1:22" x14ac:dyDescent="0.3">
      <c r="A283" s="778" t="s">
        <v>3905</v>
      </c>
      <c r="B283" s="778" t="s">
        <v>74</v>
      </c>
      <c r="C283" s="5961"/>
      <c r="D283" s="1308">
        <v>22.02</v>
      </c>
      <c r="E283" s="1308">
        <v>22.02</v>
      </c>
      <c r="F283" s="1308">
        <v>22.02</v>
      </c>
      <c r="G283" s="1429">
        <v>25.64</v>
      </c>
      <c r="H283" s="1429">
        <v>0.46</v>
      </c>
      <c r="I283" s="1429">
        <v>0.99</v>
      </c>
      <c r="J283" s="1429">
        <v>25.64</v>
      </c>
      <c r="K283" s="1429">
        <v>0.46</v>
      </c>
      <c r="L283" s="1429">
        <v>0.99</v>
      </c>
      <c r="M283" s="1429">
        <v>25.64</v>
      </c>
      <c r="N283" s="1429">
        <v>0.46</v>
      </c>
      <c r="O283" s="1429">
        <v>0.99</v>
      </c>
      <c r="P283" s="1429">
        <v>25.64</v>
      </c>
      <c r="Q283" s="1308">
        <v>0.46</v>
      </c>
      <c r="R283" s="1308">
        <v>0.99</v>
      </c>
      <c r="U283" s="3173"/>
      <c r="V283" s="3173"/>
    </row>
    <row r="284" spans="1:22" x14ac:dyDescent="0.3">
      <c r="A284" s="1160" t="s">
        <v>3906</v>
      </c>
      <c r="B284" s="1160" t="s">
        <v>74</v>
      </c>
      <c r="C284" s="5961"/>
      <c r="D284" s="4180">
        <v>3601.56</v>
      </c>
      <c r="E284" s="4180">
        <v>5502.35</v>
      </c>
      <c r="F284" s="4180">
        <v>3512.96</v>
      </c>
      <c r="G284" s="1428">
        <v>2451.9299999999998</v>
      </c>
      <c r="H284" s="1428">
        <v>33.57</v>
      </c>
      <c r="I284" s="1428">
        <v>100.38</v>
      </c>
      <c r="J284" s="1428">
        <v>3889.45</v>
      </c>
      <c r="K284" s="1428">
        <v>31.78</v>
      </c>
      <c r="L284" s="1428">
        <v>111.59</v>
      </c>
      <c r="M284" s="1428">
        <v>6808.13</v>
      </c>
      <c r="N284" s="1428">
        <v>30.61</v>
      </c>
      <c r="O284" s="1428">
        <v>153.33000000000001</v>
      </c>
      <c r="P284" s="1428">
        <v>3668.17</v>
      </c>
      <c r="Q284" s="1321">
        <v>30.09</v>
      </c>
      <c r="R284" s="1321">
        <v>95.66</v>
      </c>
    </row>
    <row r="285" spans="1:22" x14ac:dyDescent="0.3">
      <c r="A285" s="778" t="s">
        <v>3903</v>
      </c>
      <c r="B285" s="778" t="s">
        <v>74</v>
      </c>
      <c r="C285" s="5961"/>
      <c r="D285" s="1308">
        <v>2562.23</v>
      </c>
      <c r="E285" s="1308">
        <v>4222.8</v>
      </c>
      <c r="F285" s="1308">
        <v>2546.39</v>
      </c>
      <c r="G285" s="1429">
        <v>1419.91</v>
      </c>
      <c r="H285" s="1429">
        <v>8.15</v>
      </c>
      <c r="I285" s="1429">
        <v>48.79</v>
      </c>
      <c r="J285" s="1429">
        <v>2581.1999999999998</v>
      </c>
      <c r="K285" s="1429">
        <v>6.36</v>
      </c>
      <c r="L285" s="1429">
        <v>60</v>
      </c>
      <c r="M285" s="1429">
        <v>4914.7700000000004</v>
      </c>
      <c r="N285" s="1429">
        <v>5.19</v>
      </c>
      <c r="O285" s="1429">
        <v>101.74</v>
      </c>
      <c r="P285" s="1429">
        <v>2556.25</v>
      </c>
      <c r="Q285" s="1308">
        <v>4.67</v>
      </c>
      <c r="R285" s="1308">
        <v>44.07</v>
      </c>
    </row>
    <row r="286" spans="1:22" x14ac:dyDescent="0.3">
      <c r="A286" s="778" t="s">
        <v>3904</v>
      </c>
      <c r="B286" s="778" t="s">
        <v>74</v>
      </c>
      <c r="C286" s="5961"/>
      <c r="D286" s="1308">
        <v>1017.31</v>
      </c>
      <c r="E286" s="1308">
        <v>1257.53</v>
      </c>
      <c r="F286" s="1308">
        <v>944.55</v>
      </c>
      <c r="G286" s="1429">
        <v>1006.38</v>
      </c>
      <c r="H286" s="1429">
        <v>24.96</v>
      </c>
      <c r="I286" s="1429">
        <v>50.6</v>
      </c>
      <c r="J286" s="1429">
        <v>1282.6099999999999</v>
      </c>
      <c r="K286" s="1429">
        <v>24.96</v>
      </c>
      <c r="L286" s="1429">
        <v>50.6</v>
      </c>
      <c r="M286" s="1429">
        <v>1867.72</v>
      </c>
      <c r="N286" s="1429">
        <v>24.96</v>
      </c>
      <c r="O286" s="1429">
        <v>50.6</v>
      </c>
      <c r="P286" s="1429">
        <v>1086.28</v>
      </c>
      <c r="Q286" s="1308">
        <v>24.96</v>
      </c>
      <c r="R286" s="1308">
        <v>50.6</v>
      </c>
    </row>
    <row r="287" spans="1:22" x14ac:dyDescent="0.3">
      <c r="A287" s="778" t="s">
        <v>3905</v>
      </c>
      <c r="B287" s="778" t="s">
        <v>74</v>
      </c>
      <c r="C287" s="5961"/>
      <c r="D287" s="1308">
        <v>22.02</v>
      </c>
      <c r="E287" s="1308">
        <v>22.02</v>
      </c>
      <c r="F287" s="1308">
        <v>22.02</v>
      </c>
      <c r="G287" s="1429">
        <v>25.64</v>
      </c>
      <c r="H287" s="1429">
        <v>0.46</v>
      </c>
      <c r="I287" s="1429">
        <v>0.99</v>
      </c>
      <c r="J287" s="1429">
        <v>25.64</v>
      </c>
      <c r="K287" s="1429">
        <v>0.46</v>
      </c>
      <c r="L287" s="1429">
        <v>0.99</v>
      </c>
      <c r="M287" s="1429">
        <v>25.64</v>
      </c>
      <c r="N287" s="1429">
        <v>0.46</v>
      </c>
      <c r="O287" s="1429">
        <v>0.99</v>
      </c>
      <c r="P287" s="1429">
        <v>25.64</v>
      </c>
      <c r="Q287" s="1308">
        <v>0.46</v>
      </c>
      <c r="R287" s="1308">
        <v>0.99</v>
      </c>
    </row>
    <row r="288" spans="1:22" s="44" customFormat="1" x14ac:dyDescent="0.3">
      <c r="A288" s="1160" t="s">
        <v>3907</v>
      </c>
      <c r="B288" s="1160" t="s">
        <v>74</v>
      </c>
      <c r="C288" s="5961"/>
      <c r="D288" s="4180">
        <v>3548.44</v>
      </c>
      <c r="E288" s="4180">
        <v>5449.23</v>
      </c>
      <c r="F288" s="4180">
        <v>3459.84</v>
      </c>
      <c r="G288" s="1428">
        <v>2453.16</v>
      </c>
      <c r="H288" s="1428">
        <v>31.02</v>
      </c>
      <c r="I288" s="1428">
        <v>100.47</v>
      </c>
      <c r="J288" s="1428">
        <v>3890.68</v>
      </c>
      <c r="K288" s="1428">
        <v>29.23</v>
      </c>
      <c r="L288" s="1428">
        <v>111.68</v>
      </c>
      <c r="M288" s="1428">
        <v>6809.36</v>
      </c>
      <c r="N288" s="1428">
        <v>28.06</v>
      </c>
      <c r="O288" s="1428">
        <v>153.41999999999999</v>
      </c>
      <c r="P288" s="1428">
        <v>3669.4</v>
      </c>
      <c r="Q288" s="1321">
        <v>27.54</v>
      </c>
      <c r="R288" s="1321">
        <v>95.75</v>
      </c>
    </row>
    <row r="289" spans="1:22" x14ac:dyDescent="0.3">
      <c r="A289" s="778" t="s">
        <v>3903</v>
      </c>
      <c r="B289" s="778" t="s">
        <v>74</v>
      </c>
      <c r="C289" s="5961"/>
      <c r="D289" s="1308">
        <v>2562.23</v>
      </c>
      <c r="E289" s="1308">
        <v>4222.8</v>
      </c>
      <c r="F289" s="1308">
        <v>2546.39</v>
      </c>
      <c r="G289" s="1429">
        <v>1419.91</v>
      </c>
      <c r="H289" s="1429">
        <v>8.15</v>
      </c>
      <c r="I289" s="1429">
        <v>48.79</v>
      </c>
      <c r="J289" s="1429">
        <v>2581.1999999999998</v>
      </c>
      <c r="K289" s="1429">
        <v>6.36</v>
      </c>
      <c r="L289" s="1429">
        <v>60</v>
      </c>
      <c r="M289" s="1429">
        <v>4914.7700000000004</v>
      </c>
      <c r="N289" s="1429">
        <v>5.19</v>
      </c>
      <c r="O289" s="1429">
        <v>101.74</v>
      </c>
      <c r="P289" s="1429">
        <v>2556.25</v>
      </c>
      <c r="Q289" s="1308">
        <v>4.67</v>
      </c>
      <c r="R289" s="1308">
        <v>44.07</v>
      </c>
    </row>
    <row r="290" spans="1:22" x14ac:dyDescent="0.3">
      <c r="A290" s="778" t="s">
        <v>3904</v>
      </c>
      <c r="B290" s="778" t="s">
        <v>74</v>
      </c>
      <c r="C290" s="5961"/>
      <c r="D290" s="1308">
        <v>908.22</v>
      </c>
      <c r="E290" s="1308">
        <v>1148.44</v>
      </c>
      <c r="F290" s="1308">
        <v>835.46</v>
      </c>
      <c r="G290" s="1429">
        <v>807.61</v>
      </c>
      <c r="H290" s="1429">
        <v>21.24</v>
      </c>
      <c r="I290" s="1429">
        <v>42.94</v>
      </c>
      <c r="J290" s="1429">
        <v>1083.8399999999999</v>
      </c>
      <c r="K290" s="1429">
        <v>21.24</v>
      </c>
      <c r="L290" s="1429">
        <v>42.94</v>
      </c>
      <c r="M290" s="1429">
        <v>1668.95</v>
      </c>
      <c r="N290" s="1429">
        <v>21.24</v>
      </c>
      <c r="O290" s="1429">
        <v>42.94</v>
      </c>
      <c r="P290" s="1429">
        <v>887.51</v>
      </c>
      <c r="Q290" s="1308">
        <v>21.24</v>
      </c>
      <c r="R290" s="1308">
        <v>42.94</v>
      </c>
    </row>
    <row r="291" spans="1:22" x14ac:dyDescent="0.3">
      <c r="A291" s="778" t="s">
        <v>3905</v>
      </c>
      <c r="B291" s="778" t="s">
        <v>74</v>
      </c>
      <c r="C291" s="5962"/>
      <c r="D291" s="1308">
        <v>77.989999999999995</v>
      </c>
      <c r="E291" s="1308">
        <v>77.989999999999995</v>
      </c>
      <c r="F291" s="1308">
        <v>77.989999999999995</v>
      </c>
      <c r="G291" s="1429">
        <v>225.64</v>
      </c>
      <c r="H291" s="1429">
        <v>1.63</v>
      </c>
      <c r="I291" s="1429">
        <v>8.74</v>
      </c>
      <c r="J291" s="1429">
        <v>225.64</v>
      </c>
      <c r="K291" s="1429">
        <v>1.63</v>
      </c>
      <c r="L291" s="1429">
        <v>8.74</v>
      </c>
      <c r="M291" s="1429">
        <v>225.64</v>
      </c>
      <c r="N291" s="1429">
        <v>1.63</v>
      </c>
      <c r="O291" s="1429">
        <v>8.74</v>
      </c>
      <c r="P291" s="1429">
        <v>225.64</v>
      </c>
      <c r="Q291" s="1308">
        <v>1.63</v>
      </c>
      <c r="R291" s="1308">
        <v>8.74</v>
      </c>
    </row>
    <row r="292" spans="1:22" x14ac:dyDescent="0.3">
      <c r="A292" s="1160" t="s">
        <v>3930</v>
      </c>
      <c r="B292" s="778"/>
      <c r="C292" s="1429"/>
      <c r="D292" s="1429"/>
      <c r="E292" s="1429"/>
      <c r="F292" s="1429"/>
      <c r="G292" s="1429"/>
      <c r="H292" s="1429"/>
      <c r="I292" s="1429"/>
      <c r="J292" s="1429"/>
      <c r="K292" s="1429"/>
      <c r="L292" s="1429"/>
      <c r="M292" s="1429"/>
      <c r="N292" s="1429"/>
      <c r="O292" s="1429"/>
      <c r="P292" s="1429"/>
      <c r="Q292" s="1308"/>
      <c r="R292" s="1308"/>
    </row>
    <row r="293" spans="1:22" ht="25.95" customHeight="1" x14ac:dyDescent="0.3">
      <c r="A293" s="778" t="s">
        <v>3909</v>
      </c>
      <c r="B293" s="713" t="s">
        <v>3910</v>
      </c>
      <c r="C293" s="1429"/>
      <c r="D293" s="1429"/>
      <c r="E293" s="1429"/>
      <c r="F293" s="1429"/>
      <c r="G293" s="1429"/>
      <c r="H293" s="1429"/>
      <c r="I293" s="1429"/>
      <c r="J293" s="1429"/>
      <c r="K293" s="1429"/>
      <c r="L293" s="1429"/>
      <c r="M293" s="1429"/>
      <c r="N293" s="1429"/>
      <c r="O293" s="1429"/>
      <c r="P293" s="1429"/>
      <c r="Q293" s="1308"/>
      <c r="R293" s="1308"/>
    </row>
    <row r="294" spans="1:22" x14ac:dyDescent="0.3">
      <c r="A294" s="778" t="s">
        <v>3911</v>
      </c>
      <c r="B294" s="778" t="s">
        <v>74</v>
      </c>
      <c r="C294" s="1429"/>
      <c r="D294" s="1429"/>
      <c r="E294" s="1429"/>
      <c r="F294" s="1429"/>
      <c r="G294" s="1429"/>
      <c r="H294" s="1429"/>
      <c r="I294" s="1429"/>
      <c r="J294" s="1429"/>
      <c r="K294" s="1429"/>
      <c r="L294" s="1429"/>
      <c r="M294" s="1429"/>
      <c r="N294" s="1429"/>
      <c r="O294" s="1429"/>
      <c r="P294" s="1429"/>
      <c r="Q294" s="1308"/>
      <c r="R294" s="1308"/>
    </row>
    <row r="295" spans="1:22" x14ac:dyDescent="0.3">
      <c r="A295" s="4941" t="s">
        <v>3970</v>
      </c>
      <c r="B295" s="4941"/>
      <c r="C295" s="4941"/>
      <c r="D295" s="4941"/>
      <c r="E295" s="4941"/>
      <c r="F295" s="4941"/>
      <c r="G295" s="4941"/>
      <c r="H295" s="4941"/>
      <c r="I295" s="4941"/>
      <c r="J295" s="4941"/>
      <c r="K295" s="4941"/>
      <c r="L295" s="4941"/>
      <c r="M295" s="4941"/>
      <c r="N295" s="4941"/>
      <c r="O295" s="4941"/>
      <c r="P295" s="4941"/>
    </row>
    <row r="296" spans="1:22" x14ac:dyDescent="0.3">
      <c r="A296" s="1160" t="s">
        <v>3902</v>
      </c>
      <c r="B296" s="1160" t="s">
        <v>74</v>
      </c>
      <c r="C296" s="5960">
        <v>1539.5</v>
      </c>
      <c r="D296" s="4180">
        <v>3356.51</v>
      </c>
      <c r="E296" s="4180">
        <v>5247.36</v>
      </c>
      <c r="F296" s="4180"/>
      <c r="G296" s="1428">
        <v>2017.46</v>
      </c>
      <c r="H296" s="1428">
        <v>21.7</v>
      </c>
      <c r="I296" s="1428">
        <v>45.26</v>
      </c>
      <c r="J296" s="1428">
        <v>3283.84</v>
      </c>
      <c r="K296" s="1428">
        <v>21.7</v>
      </c>
      <c r="L296" s="1428">
        <v>45.26</v>
      </c>
      <c r="M296" s="1428">
        <v>6052.53</v>
      </c>
      <c r="N296" s="1428">
        <v>21.7</v>
      </c>
      <c r="O296" s="1428">
        <v>45.26</v>
      </c>
      <c r="P296" s="1428"/>
      <c r="Q296" s="1321"/>
      <c r="R296" s="1321"/>
    </row>
    <row r="297" spans="1:22" x14ac:dyDescent="0.3">
      <c r="A297" s="778" t="s">
        <v>3903</v>
      </c>
      <c r="B297" s="778" t="s">
        <v>74</v>
      </c>
      <c r="C297" s="5961"/>
      <c r="D297" s="1308">
        <v>2306.15</v>
      </c>
      <c r="E297" s="1308">
        <v>3872.46</v>
      </c>
      <c r="F297" s="1308"/>
      <c r="G297" s="1429">
        <v>1194.42</v>
      </c>
      <c r="H297" s="1429">
        <v>0</v>
      </c>
      <c r="I297" s="1429">
        <v>1.33</v>
      </c>
      <c r="J297" s="1429">
        <v>2286.88</v>
      </c>
      <c r="K297" s="1429">
        <v>0</v>
      </c>
      <c r="L297" s="1429">
        <v>1.33</v>
      </c>
      <c r="M297" s="1429">
        <v>4582.13</v>
      </c>
      <c r="N297" s="1429">
        <v>0</v>
      </c>
      <c r="O297" s="1429">
        <v>1.33</v>
      </c>
      <c r="P297" s="1429"/>
      <c r="Q297" s="1308"/>
      <c r="R297" s="1308"/>
      <c r="U297" s="3173"/>
      <c r="V297" s="3173"/>
    </row>
    <row r="298" spans="1:22" x14ac:dyDescent="0.3">
      <c r="A298" s="778" t="s">
        <v>3904</v>
      </c>
      <c r="B298" s="778" t="s">
        <v>74</v>
      </c>
      <c r="C298" s="5961"/>
      <c r="D298" s="4159">
        <v>1028.3399999999999</v>
      </c>
      <c r="E298" s="1308">
        <v>1352.88</v>
      </c>
      <c r="F298" s="1308"/>
      <c r="G298" s="1429">
        <v>797.4</v>
      </c>
      <c r="H298" s="1429">
        <v>21.24</v>
      </c>
      <c r="I298" s="1429">
        <v>42.94</v>
      </c>
      <c r="J298" s="1429">
        <v>971.32</v>
      </c>
      <c r="K298" s="1429">
        <v>21.24</v>
      </c>
      <c r="L298" s="1429">
        <v>42.94</v>
      </c>
      <c r="M298" s="1429">
        <v>1444.76</v>
      </c>
      <c r="N298" s="1429">
        <v>21.24</v>
      </c>
      <c r="O298" s="1429">
        <v>42.94</v>
      </c>
      <c r="P298" s="1429"/>
      <c r="Q298" s="1308"/>
      <c r="R298" s="1308"/>
      <c r="U298" s="3173"/>
      <c r="V298" s="3173"/>
    </row>
    <row r="299" spans="1:22" x14ac:dyDescent="0.3">
      <c r="A299" s="778" t="s">
        <v>3905</v>
      </c>
      <c r="B299" s="778" t="s">
        <v>74</v>
      </c>
      <c r="C299" s="5961"/>
      <c r="D299" s="1308">
        <v>22.02</v>
      </c>
      <c r="E299" s="1308">
        <v>22.02</v>
      </c>
      <c r="F299" s="1308"/>
      <c r="G299" s="1429">
        <v>25.64</v>
      </c>
      <c r="H299" s="1429">
        <v>0.46</v>
      </c>
      <c r="I299" s="1429">
        <v>0.99</v>
      </c>
      <c r="J299" s="1429">
        <v>25.64</v>
      </c>
      <c r="K299" s="1429">
        <v>0.46</v>
      </c>
      <c r="L299" s="1429">
        <v>0.99</v>
      </c>
      <c r="M299" s="1429">
        <v>25.64</v>
      </c>
      <c r="N299" s="1429">
        <v>0.46</v>
      </c>
      <c r="O299" s="1429">
        <v>0.99</v>
      </c>
      <c r="P299" s="1429"/>
      <c r="Q299" s="1308"/>
      <c r="R299" s="1308"/>
      <c r="U299" s="3173"/>
      <c r="V299" s="3173"/>
    </row>
    <row r="300" spans="1:22" x14ac:dyDescent="0.3">
      <c r="A300" s="1160" t="s">
        <v>3906</v>
      </c>
      <c r="B300" s="1160" t="s">
        <v>74</v>
      </c>
      <c r="C300" s="5961"/>
      <c r="D300" s="4180">
        <v>3435.94</v>
      </c>
      <c r="E300" s="4180">
        <v>5326.79</v>
      </c>
      <c r="F300" s="4180"/>
      <c r="G300" s="1428">
        <v>2107</v>
      </c>
      <c r="H300" s="1428">
        <v>24.84</v>
      </c>
      <c r="I300" s="1428">
        <v>48.74</v>
      </c>
      <c r="J300" s="1428">
        <v>3373.38</v>
      </c>
      <c r="K300" s="1428">
        <v>24.84</v>
      </c>
      <c r="L300" s="1428">
        <v>48.74</v>
      </c>
      <c r="M300" s="1428">
        <v>6142.07</v>
      </c>
      <c r="N300" s="1428">
        <v>24.84</v>
      </c>
      <c r="O300" s="1428">
        <v>48.74</v>
      </c>
      <c r="P300" s="1428"/>
      <c r="Q300" s="1321"/>
      <c r="R300" s="1321"/>
    </row>
    <row r="301" spans="1:22" x14ac:dyDescent="0.3">
      <c r="A301" s="778" t="s">
        <v>3903</v>
      </c>
      <c r="B301" s="778" t="s">
        <v>74</v>
      </c>
      <c r="C301" s="5961"/>
      <c r="D301" s="1308">
        <v>2306.15</v>
      </c>
      <c r="E301" s="1308">
        <v>3872.46</v>
      </c>
      <c r="F301" s="1308"/>
      <c r="G301" s="1429">
        <v>1194.42</v>
      </c>
      <c r="H301" s="1429">
        <v>0</v>
      </c>
      <c r="I301" s="1429">
        <v>1.33</v>
      </c>
      <c r="J301" s="1429">
        <v>2286.88</v>
      </c>
      <c r="K301" s="1429">
        <v>0</v>
      </c>
      <c r="L301" s="1429">
        <v>1.33</v>
      </c>
      <c r="M301" s="1429">
        <v>4582.13</v>
      </c>
      <c r="N301" s="1429">
        <v>0</v>
      </c>
      <c r="O301" s="1429">
        <v>1.33</v>
      </c>
      <c r="P301" s="1429"/>
      <c r="Q301" s="1308"/>
      <c r="R301" s="1308"/>
    </row>
    <row r="302" spans="1:22" x14ac:dyDescent="0.3">
      <c r="A302" s="778" t="s">
        <v>3904</v>
      </c>
      <c r="B302" s="778" t="s">
        <v>74</v>
      </c>
      <c r="C302" s="5961"/>
      <c r="D302" s="1308">
        <v>1107.77</v>
      </c>
      <c r="E302" s="1308">
        <v>1432.31</v>
      </c>
      <c r="F302" s="1308"/>
      <c r="G302" s="1429">
        <v>886.94</v>
      </c>
      <c r="H302" s="1429">
        <v>24.38</v>
      </c>
      <c r="I302" s="1429">
        <v>46.42</v>
      </c>
      <c r="J302" s="1429">
        <v>1060.8599999999999</v>
      </c>
      <c r="K302" s="1429">
        <v>24.38</v>
      </c>
      <c r="L302" s="1429">
        <v>46.42</v>
      </c>
      <c r="M302" s="1429">
        <v>1534.3</v>
      </c>
      <c r="N302" s="1429">
        <v>24.38</v>
      </c>
      <c r="O302" s="1429">
        <v>46.42</v>
      </c>
      <c r="P302" s="1429"/>
      <c r="Q302" s="1308"/>
      <c r="R302" s="1308"/>
    </row>
    <row r="303" spans="1:22" x14ac:dyDescent="0.3">
      <c r="A303" s="778" t="s">
        <v>3905</v>
      </c>
      <c r="B303" s="778" t="s">
        <v>74</v>
      </c>
      <c r="C303" s="5961"/>
      <c r="D303" s="1308">
        <v>22.02</v>
      </c>
      <c r="E303" s="1308">
        <v>22.02</v>
      </c>
      <c r="F303" s="1308"/>
      <c r="G303" s="1429">
        <v>25.64</v>
      </c>
      <c r="H303" s="1429">
        <v>0.46</v>
      </c>
      <c r="I303" s="1429">
        <v>0.99</v>
      </c>
      <c r="J303" s="1429">
        <v>25.64</v>
      </c>
      <c r="K303" s="1429">
        <v>0.46</v>
      </c>
      <c r="L303" s="1429">
        <v>0.99</v>
      </c>
      <c r="M303" s="1429">
        <v>25.64</v>
      </c>
      <c r="N303" s="1429">
        <v>0.46</v>
      </c>
      <c r="O303" s="1429">
        <v>0.99</v>
      </c>
      <c r="P303" s="1429"/>
      <c r="Q303" s="1308"/>
      <c r="R303" s="1308"/>
    </row>
    <row r="304" spans="1:22" s="44" customFormat="1" x14ac:dyDescent="0.3">
      <c r="A304" s="1160" t="s">
        <v>3907</v>
      </c>
      <c r="B304" s="1160" t="s">
        <v>74</v>
      </c>
      <c r="C304" s="5961"/>
      <c r="D304" s="4180"/>
      <c r="E304" s="4180"/>
      <c r="F304" s="4180"/>
      <c r="G304" s="1428"/>
      <c r="H304" s="1428"/>
      <c r="I304" s="1428"/>
      <c r="J304" s="1428"/>
      <c r="K304" s="1428"/>
      <c r="L304" s="1428"/>
      <c r="M304" s="1428"/>
      <c r="N304" s="1428"/>
      <c r="O304" s="1428"/>
      <c r="P304" s="1428"/>
      <c r="Q304" s="1321"/>
      <c r="R304" s="1321"/>
    </row>
    <row r="305" spans="1:22" x14ac:dyDescent="0.3">
      <c r="A305" s="778" t="s">
        <v>3903</v>
      </c>
      <c r="B305" s="778" t="s">
        <v>74</v>
      </c>
      <c r="C305" s="5961"/>
      <c r="D305" s="1308"/>
      <c r="E305" s="1308"/>
      <c r="F305" s="1308"/>
      <c r="G305" s="1429"/>
      <c r="H305" s="1429"/>
      <c r="I305" s="1429"/>
      <c r="J305" s="1429"/>
      <c r="K305" s="1429"/>
      <c r="L305" s="1429"/>
      <c r="M305" s="1429"/>
      <c r="N305" s="1429"/>
      <c r="O305" s="1429"/>
      <c r="P305" s="1429"/>
      <c r="Q305" s="1308"/>
      <c r="R305" s="1308"/>
    </row>
    <row r="306" spans="1:22" x14ac:dyDescent="0.3">
      <c r="A306" s="778" t="s">
        <v>3904</v>
      </c>
      <c r="B306" s="778" t="s">
        <v>74</v>
      </c>
      <c r="C306" s="5961"/>
      <c r="D306" s="1308"/>
      <c r="E306" s="1308"/>
      <c r="F306" s="1308"/>
      <c r="G306" s="1429"/>
      <c r="H306" s="1429"/>
      <c r="I306" s="1429"/>
      <c r="J306" s="1429"/>
      <c r="K306" s="1429"/>
      <c r="L306" s="1429"/>
      <c r="M306" s="1429"/>
      <c r="N306" s="1429"/>
      <c r="O306" s="1429"/>
      <c r="P306" s="1429"/>
      <c r="Q306" s="1308"/>
      <c r="R306" s="1308"/>
    </row>
    <row r="307" spans="1:22" x14ac:dyDescent="0.3">
      <c r="A307" s="778" t="s">
        <v>3905</v>
      </c>
      <c r="B307" s="778" t="s">
        <v>74</v>
      </c>
      <c r="C307" s="5962"/>
      <c r="D307" s="1308"/>
      <c r="E307" s="1308"/>
      <c r="F307" s="1308"/>
      <c r="G307" s="1429"/>
      <c r="H307" s="1429"/>
      <c r="I307" s="1429"/>
      <c r="J307" s="1429"/>
      <c r="K307" s="1429"/>
      <c r="L307" s="1429"/>
      <c r="M307" s="1429"/>
      <c r="N307" s="1429"/>
      <c r="O307" s="1429"/>
      <c r="P307" s="1429"/>
      <c r="Q307" s="1308"/>
      <c r="R307" s="1308"/>
    </row>
    <row r="308" spans="1:22" x14ac:dyDescent="0.3">
      <c r="A308" s="1160" t="s">
        <v>3930</v>
      </c>
      <c r="B308" s="778"/>
      <c r="C308" s="1429"/>
      <c r="D308" s="1429"/>
      <c r="E308" s="1429"/>
      <c r="F308" s="1429"/>
      <c r="G308" s="1429"/>
      <c r="H308" s="1429"/>
      <c r="I308" s="1429"/>
      <c r="J308" s="1429"/>
      <c r="K308" s="1429"/>
      <c r="L308" s="1429"/>
      <c r="M308" s="1429"/>
      <c r="N308" s="1429"/>
      <c r="O308" s="1429"/>
      <c r="P308" s="1429"/>
      <c r="Q308" s="1308"/>
      <c r="R308" s="1308"/>
    </row>
    <row r="309" spans="1:22" ht="28.2" customHeight="1" x14ac:dyDescent="0.3">
      <c r="A309" s="778" t="s">
        <v>3909</v>
      </c>
      <c r="B309" s="713" t="s">
        <v>3910</v>
      </c>
      <c r="C309" s="1429"/>
      <c r="D309" s="1429"/>
      <c r="E309" s="1429"/>
      <c r="F309" s="1429"/>
      <c r="G309" s="1429"/>
      <c r="H309" s="1429"/>
      <c r="I309" s="1429"/>
      <c r="J309" s="1429"/>
      <c r="K309" s="1429"/>
      <c r="L309" s="1429"/>
      <c r="M309" s="1429"/>
      <c r="N309" s="1429"/>
      <c r="O309" s="1429"/>
      <c r="P309" s="1429"/>
      <c r="Q309" s="1308"/>
      <c r="R309" s="1308"/>
    </row>
    <row r="310" spans="1:22" x14ac:dyDescent="0.3">
      <c r="A310" s="778" t="s">
        <v>3911</v>
      </c>
      <c r="B310" s="778" t="s">
        <v>74</v>
      </c>
      <c r="C310" s="1429"/>
      <c r="D310" s="1429"/>
      <c r="E310" s="1429"/>
      <c r="F310" s="1429"/>
      <c r="G310" s="1429"/>
      <c r="H310" s="1429"/>
      <c r="I310" s="1429"/>
      <c r="J310" s="1429"/>
      <c r="K310" s="1429"/>
      <c r="L310" s="1429"/>
      <c r="M310" s="1429"/>
      <c r="N310" s="1429"/>
      <c r="O310" s="1429"/>
      <c r="P310" s="1429"/>
      <c r="Q310" s="1308"/>
      <c r="R310" s="1308"/>
    </row>
    <row r="311" spans="1:22" x14ac:dyDescent="0.3">
      <c r="A311" s="4941" t="s">
        <v>3971</v>
      </c>
      <c r="B311" s="4941"/>
      <c r="C311" s="4941"/>
      <c r="D311" s="4941"/>
      <c r="E311" s="4941"/>
      <c r="F311" s="4941"/>
      <c r="G311" s="4941"/>
      <c r="H311" s="4941"/>
      <c r="I311" s="4941"/>
      <c r="J311" s="4941"/>
      <c r="K311" s="4941"/>
      <c r="L311" s="4941"/>
      <c r="M311" s="4941"/>
      <c r="N311" s="4941"/>
      <c r="O311" s="4941"/>
      <c r="P311" s="4941"/>
    </row>
    <row r="312" spans="1:22" x14ac:dyDescent="0.3">
      <c r="A312" s="1160" t="s">
        <v>3902</v>
      </c>
      <c r="B312" s="1160" t="s">
        <v>74</v>
      </c>
      <c r="C312" s="5960">
        <v>1539.5</v>
      </c>
      <c r="D312" s="4180">
        <v>3843.16</v>
      </c>
      <c r="E312" s="4180">
        <v>5986.49</v>
      </c>
      <c r="F312" s="4180"/>
      <c r="G312" s="1428">
        <v>2359.1999999999998</v>
      </c>
      <c r="H312" s="1428">
        <v>21.7</v>
      </c>
      <c r="I312" s="1428">
        <v>45.34</v>
      </c>
      <c r="J312" s="1428">
        <v>3750.38</v>
      </c>
      <c r="K312" s="1428">
        <v>21.7</v>
      </c>
      <c r="L312" s="1428">
        <v>45.34</v>
      </c>
      <c r="M312" s="1428">
        <v>7751.06</v>
      </c>
      <c r="N312" s="1428">
        <v>21.7</v>
      </c>
      <c r="O312" s="1428">
        <v>45.34</v>
      </c>
      <c r="P312" s="1428"/>
      <c r="Q312" s="1321"/>
      <c r="R312" s="1321"/>
    </row>
    <row r="313" spans="1:22" x14ac:dyDescent="0.3">
      <c r="A313" s="778" t="s">
        <v>3903</v>
      </c>
      <c r="B313" s="778" t="s">
        <v>74</v>
      </c>
      <c r="C313" s="5961"/>
      <c r="D313" s="1308">
        <v>2246.5700000000002</v>
      </c>
      <c r="E313" s="1308">
        <v>3769.81</v>
      </c>
      <c r="F313" s="1308"/>
      <c r="G313" s="1429">
        <v>1196.44</v>
      </c>
      <c r="H313" s="1429">
        <v>0</v>
      </c>
      <c r="I313" s="1429">
        <v>1.41</v>
      </c>
      <c r="J313" s="1429">
        <v>2289.0100000000002</v>
      </c>
      <c r="K313" s="1429">
        <v>0</v>
      </c>
      <c r="L313" s="1429">
        <v>1.41</v>
      </c>
      <c r="M313" s="1429">
        <v>5132.33</v>
      </c>
      <c r="N313" s="1429">
        <v>0</v>
      </c>
      <c r="O313" s="1429">
        <v>1.41</v>
      </c>
      <c r="P313" s="1429"/>
      <c r="Q313" s="1308"/>
      <c r="R313" s="1308"/>
      <c r="U313" s="3173"/>
      <c r="V313" s="3173"/>
    </row>
    <row r="314" spans="1:22" x14ac:dyDescent="0.3">
      <c r="A314" s="778" t="s">
        <v>3904</v>
      </c>
      <c r="B314" s="778" t="s">
        <v>74</v>
      </c>
      <c r="C314" s="5961"/>
      <c r="D314" s="4159">
        <v>1574.57</v>
      </c>
      <c r="E314" s="1308">
        <v>2194.66</v>
      </c>
      <c r="F314" s="1308"/>
      <c r="G314" s="1429">
        <v>1137.1199999999999</v>
      </c>
      <c r="H314" s="1429">
        <v>21.24</v>
      </c>
      <c r="I314" s="1429">
        <v>42.94</v>
      </c>
      <c r="J314" s="1429">
        <v>1435.73</v>
      </c>
      <c r="K314" s="1429">
        <v>21.24</v>
      </c>
      <c r="L314" s="1429">
        <v>42.94</v>
      </c>
      <c r="M314" s="1429">
        <v>2593.09</v>
      </c>
      <c r="N314" s="1429">
        <v>21.24</v>
      </c>
      <c r="O314" s="1429">
        <v>42.94</v>
      </c>
      <c r="P314" s="1429"/>
      <c r="Q314" s="1308"/>
      <c r="R314" s="1308"/>
      <c r="U314" s="3173"/>
      <c r="V314" s="3173"/>
    </row>
    <row r="315" spans="1:22" x14ac:dyDescent="0.3">
      <c r="A315" s="778" t="s">
        <v>3905</v>
      </c>
      <c r="B315" s="778" t="s">
        <v>74</v>
      </c>
      <c r="C315" s="5961"/>
      <c r="D315" s="1308">
        <v>22.02</v>
      </c>
      <c r="E315" s="1308">
        <v>22.02</v>
      </c>
      <c r="F315" s="1308"/>
      <c r="G315" s="1429">
        <v>25.64</v>
      </c>
      <c r="H315" s="1429">
        <v>0.46</v>
      </c>
      <c r="I315" s="1429">
        <v>0.99</v>
      </c>
      <c r="J315" s="1429">
        <v>25.64</v>
      </c>
      <c r="K315" s="1429">
        <v>0.46</v>
      </c>
      <c r="L315" s="1429">
        <v>0.99</v>
      </c>
      <c r="M315" s="1429">
        <v>25.64</v>
      </c>
      <c r="N315" s="1429">
        <v>0.46</v>
      </c>
      <c r="O315" s="1429">
        <v>0.99</v>
      </c>
      <c r="P315" s="1429"/>
      <c r="Q315" s="1308"/>
      <c r="R315" s="1308"/>
      <c r="U315" s="3173"/>
      <c r="V315" s="3173"/>
    </row>
    <row r="316" spans="1:22" x14ac:dyDescent="0.3">
      <c r="A316" s="1160" t="s">
        <v>3906</v>
      </c>
      <c r="B316" s="1160" t="s">
        <v>74</v>
      </c>
      <c r="C316" s="5961"/>
      <c r="D316" s="4180">
        <v>3970.59</v>
      </c>
      <c r="E316" s="4180">
        <v>6113.92</v>
      </c>
      <c r="F316" s="4180"/>
      <c r="G316" s="1428">
        <v>2470.79</v>
      </c>
      <c r="H316" s="1428">
        <v>21.79</v>
      </c>
      <c r="I316" s="1428">
        <v>49.66</v>
      </c>
      <c r="J316" s="1428">
        <v>3861.97</v>
      </c>
      <c r="K316" s="1428">
        <v>21.79</v>
      </c>
      <c r="L316" s="1428">
        <v>49.66</v>
      </c>
      <c r="M316" s="1428">
        <v>7862.65</v>
      </c>
      <c r="N316" s="1428">
        <v>21.79</v>
      </c>
      <c r="O316" s="1428">
        <v>49.66</v>
      </c>
      <c r="P316" s="1428"/>
      <c r="Q316" s="1321"/>
      <c r="R316" s="1321"/>
    </row>
    <row r="317" spans="1:22" x14ac:dyDescent="0.3">
      <c r="A317" s="778" t="s">
        <v>3903</v>
      </c>
      <c r="B317" s="778" t="s">
        <v>74</v>
      </c>
      <c r="C317" s="5961"/>
      <c r="D317" s="1308">
        <v>2246.5700000000002</v>
      </c>
      <c r="E317" s="1308">
        <v>3769.81</v>
      </c>
      <c r="F317" s="1308"/>
      <c r="G317" s="1429">
        <v>1196.44</v>
      </c>
      <c r="H317" s="1429">
        <v>0</v>
      </c>
      <c r="I317" s="1429">
        <v>1.41</v>
      </c>
      <c r="J317" s="1429">
        <v>2289.0100000000002</v>
      </c>
      <c r="K317" s="1429">
        <v>0</v>
      </c>
      <c r="L317" s="1429">
        <v>1.41</v>
      </c>
      <c r="M317" s="1429">
        <v>5132.33</v>
      </c>
      <c r="N317" s="1429">
        <v>0</v>
      </c>
      <c r="O317" s="1429">
        <v>1.41</v>
      </c>
      <c r="P317" s="1429"/>
      <c r="Q317" s="1308"/>
      <c r="R317" s="1308"/>
    </row>
    <row r="318" spans="1:22" x14ac:dyDescent="0.3">
      <c r="A318" s="778" t="s">
        <v>3904</v>
      </c>
      <c r="B318" s="778" t="s">
        <v>74</v>
      </c>
      <c r="C318" s="5961"/>
      <c r="D318" s="1308">
        <v>1702</v>
      </c>
      <c r="E318" s="1308">
        <v>2322.09</v>
      </c>
      <c r="F318" s="1308"/>
      <c r="G318" s="1429">
        <v>1248.71</v>
      </c>
      <c r="H318" s="1429">
        <v>21.33</v>
      </c>
      <c r="I318" s="1429">
        <v>47.26</v>
      </c>
      <c r="J318" s="1429">
        <v>1547.32</v>
      </c>
      <c r="K318" s="1429">
        <v>21.33</v>
      </c>
      <c r="L318" s="1429">
        <v>47.26</v>
      </c>
      <c r="M318" s="1429">
        <v>2704.68</v>
      </c>
      <c r="N318" s="1429">
        <v>21.33</v>
      </c>
      <c r="O318" s="1429">
        <v>47.26</v>
      </c>
      <c r="P318" s="1429"/>
      <c r="Q318" s="1308"/>
      <c r="R318" s="1308"/>
    </row>
    <row r="319" spans="1:22" x14ac:dyDescent="0.3">
      <c r="A319" s="778" t="s">
        <v>3905</v>
      </c>
      <c r="B319" s="778" t="s">
        <v>74</v>
      </c>
      <c r="C319" s="5961"/>
      <c r="D319" s="1308">
        <v>22.02</v>
      </c>
      <c r="E319" s="1308">
        <v>22.02</v>
      </c>
      <c r="F319" s="1308"/>
      <c r="G319" s="1429">
        <v>25.64</v>
      </c>
      <c r="H319" s="1429">
        <v>0.46</v>
      </c>
      <c r="I319" s="1429">
        <v>0.99</v>
      </c>
      <c r="J319" s="1429">
        <v>25.64</v>
      </c>
      <c r="K319" s="1429">
        <v>0.46</v>
      </c>
      <c r="L319" s="1429">
        <v>0.99</v>
      </c>
      <c r="M319" s="1429">
        <v>25.64</v>
      </c>
      <c r="N319" s="1429">
        <v>0.46</v>
      </c>
      <c r="O319" s="1429">
        <v>0.99</v>
      </c>
      <c r="P319" s="1429"/>
      <c r="Q319" s="1308"/>
      <c r="R319" s="1308"/>
    </row>
    <row r="320" spans="1:22" s="44" customFormat="1" x14ac:dyDescent="0.3">
      <c r="A320" s="1160" t="s">
        <v>3907</v>
      </c>
      <c r="B320" s="1160" t="s">
        <v>74</v>
      </c>
      <c r="C320" s="5961"/>
      <c r="D320" s="4180"/>
      <c r="E320" s="4180"/>
      <c r="F320" s="4180"/>
      <c r="G320" s="1428"/>
      <c r="H320" s="1428"/>
      <c r="I320" s="1428"/>
      <c r="J320" s="1428"/>
      <c r="K320" s="1428"/>
      <c r="L320" s="1428"/>
      <c r="M320" s="1428"/>
      <c r="N320" s="1428"/>
      <c r="O320" s="1428"/>
      <c r="P320" s="1428"/>
      <c r="Q320" s="1321"/>
      <c r="R320" s="1321"/>
    </row>
    <row r="321" spans="1:18" x14ac:dyDescent="0.3">
      <c r="A321" s="778" t="s">
        <v>3903</v>
      </c>
      <c r="B321" s="778" t="s">
        <v>74</v>
      </c>
      <c r="C321" s="5961"/>
      <c r="D321" s="1308"/>
      <c r="E321" s="1308"/>
      <c r="F321" s="1308"/>
      <c r="G321" s="1429"/>
      <c r="H321" s="1429"/>
      <c r="I321" s="1429"/>
      <c r="J321" s="1429"/>
      <c r="K321" s="1429"/>
      <c r="L321" s="1429"/>
      <c r="M321" s="1429"/>
      <c r="N321" s="1429"/>
      <c r="O321" s="1429"/>
      <c r="P321" s="1429"/>
      <c r="Q321" s="1308"/>
      <c r="R321" s="1308"/>
    </row>
    <row r="322" spans="1:18" x14ac:dyDescent="0.3">
      <c r="A322" s="778" t="s">
        <v>3904</v>
      </c>
      <c r="B322" s="778" t="s">
        <v>74</v>
      </c>
      <c r="C322" s="5961"/>
      <c r="D322" s="1308"/>
      <c r="E322" s="1308"/>
      <c r="F322" s="1308"/>
      <c r="G322" s="1429"/>
      <c r="H322" s="1429"/>
      <c r="I322" s="1429"/>
      <c r="J322" s="1429"/>
      <c r="K322" s="1429"/>
      <c r="L322" s="1429"/>
      <c r="M322" s="1429"/>
      <c r="N322" s="1429"/>
      <c r="O322" s="1429"/>
      <c r="P322" s="1429"/>
      <c r="Q322" s="1308"/>
      <c r="R322" s="1308"/>
    </row>
    <row r="323" spans="1:18" x14ac:dyDescent="0.3">
      <c r="A323" s="778" t="s">
        <v>3905</v>
      </c>
      <c r="B323" s="778" t="s">
        <v>74</v>
      </c>
      <c r="C323" s="5962"/>
      <c r="D323" s="1308"/>
      <c r="E323" s="1308"/>
      <c r="F323" s="1308"/>
      <c r="G323" s="1429"/>
      <c r="H323" s="1429"/>
      <c r="I323" s="1429"/>
      <c r="J323" s="1429"/>
      <c r="K323" s="1429"/>
      <c r="L323" s="1429"/>
      <c r="M323" s="1429"/>
      <c r="N323" s="1429"/>
      <c r="O323" s="1429"/>
      <c r="P323" s="1429"/>
      <c r="Q323" s="1308"/>
      <c r="R323" s="1308"/>
    </row>
    <row r="324" spans="1:18" x14ac:dyDescent="0.3">
      <c r="A324" s="1160" t="s">
        <v>3930</v>
      </c>
      <c r="B324" s="778"/>
      <c r="C324" s="1429"/>
      <c r="D324" s="1429"/>
      <c r="E324" s="1429"/>
      <c r="F324" s="1429"/>
      <c r="G324" s="1429"/>
      <c r="H324" s="1429"/>
      <c r="I324" s="1429"/>
      <c r="J324" s="1429"/>
      <c r="K324" s="1429"/>
      <c r="L324" s="1429"/>
      <c r="M324" s="1429"/>
      <c r="N324" s="1429"/>
      <c r="O324" s="1429"/>
      <c r="P324" s="1429"/>
      <c r="Q324" s="1308"/>
      <c r="R324" s="1308"/>
    </row>
    <row r="325" spans="1:18" ht="28.95" customHeight="1" x14ac:dyDescent="0.3">
      <c r="A325" s="778" t="s">
        <v>3909</v>
      </c>
      <c r="B325" s="713" t="s">
        <v>3910</v>
      </c>
      <c r="C325" s="1429"/>
      <c r="D325" s="1429"/>
      <c r="E325" s="1429"/>
      <c r="F325" s="1429"/>
      <c r="G325" s="1429"/>
      <c r="H325" s="1429"/>
      <c r="I325" s="1429"/>
      <c r="J325" s="1429"/>
      <c r="K325" s="1429"/>
      <c r="L325" s="1429"/>
      <c r="M325" s="1429"/>
      <c r="N325" s="1429"/>
      <c r="O325" s="1429"/>
      <c r="P325" s="1429"/>
      <c r="Q325" s="1308"/>
      <c r="R325" s="1308"/>
    </row>
    <row r="326" spans="1:18" x14ac:dyDescent="0.3">
      <c r="A326" s="778" t="s">
        <v>3911</v>
      </c>
      <c r="B326" s="778" t="s">
        <v>74</v>
      </c>
      <c r="C326" s="1429"/>
      <c r="D326" s="1429"/>
      <c r="E326" s="1429"/>
      <c r="F326" s="1429"/>
      <c r="G326" s="1429"/>
      <c r="H326" s="1429"/>
      <c r="I326" s="1429"/>
      <c r="J326" s="1429"/>
      <c r="K326" s="1429"/>
      <c r="L326" s="1429"/>
      <c r="M326" s="1429"/>
      <c r="N326" s="1429"/>
      <c r="O326" s="1429"/>
      <c r="P326" s="1429"/>
      <c r="Q326" s="1308"/>
      <c r="R326" s="1308"/>
    </row>
    <row r="327" spans="1:18" x14ac:dyDescent="0.3">
      <c r="A327" s="5966" t="s">
        <v>3955</v>
      </c>
      <c r="B327" s="5247"/>
      <c r="C327" s="5247"/>
      <c r="D327" s="5247"/>
      <c r="E327" s="5247"/>
      <c r="F327" s="5247"/>
      <c r="G327" s="5247"/>
      <c r="H327" s="5247"/>
      <c r="I327" s="5247"/>
      <c r="J327" s="5247"/>
      <c r="K327" s="5247"/>
      <c r="L327" s="5247"/>
      <c r="M327" s="5247"/>
      <c r="N327" s="5247"/>
      <c r="O327" s="5247"/>
      <c r="P327" s="5247"/>
    </row>
    <row r="328" spans="1:18" x14ac:dyDescent="0.3">
      <c r="A328" s="1160" t="s">
        <v>3902</v>
      </c>
      <c r="B328" s="1160" t="s">
        <v>74</v>
      </c>
      <c r="C328" s="1428">
        <v>1668.47</v>
      </c>
      <c r="D328" s="1428">
        <f>SUM(D329:D331)</f>
        <v>3228.9700000000003</v>
      </c>
      <c r="E328" s="1428">
        <f>SUM(E329:E331)</f>
        <v>4387.8600000000006</v>
      </c>
      <c r="F328" s="1428">
        <v>0</v>
      </c>
      <c r="G328" s="1428">
        <v>1963.47</v>
      </c>
      <c r="H328" s="1428">
        <v>10942.14</v>
      </c>
      <c r="I328" s="1428">
        <v>12430.56</v>
      </c>
      <c r="J328" s="1428">
        <v>3251.88</v>
      </c>
      <c r="K328" s="1428">
        <v>1721.17</v>
      </c>
      <c r="L328" s="1428">
        <v>1955.29</v>
      </c>
      <c r="M328" s="1428">
        <v>4387.8599999999997</v>
      </c>
      <c r="N328" s="1428">
        <v>263.95</v>
      </c>
      <c r="O328" s="1428">
        <v>299.85000000000002</v>
      </c>
      <c r="P328" s="1428">
        <v>0</v>
      </c>
      <c r="Q328" s="778"/>
      <c r="R328" s="778"/>
    </row>
    <row r="329" spans="1:18" x14ac:dyDescent="0.3">
      <c r="A329" s="778" t="s">
        <v>3903</v>
      </c>
      <c r="B329" s="778" t="s">
        <v>74</v>
      </c>
      <c r="C329" s="1429"/>
      <c r="D329" s="1429">
        <v>3087.61</v>
      </c>
      <c r="E329" s="1429">
        <v>4223.59</v>
      </c>
      <c r="F329" s="1429">
        <v>0</v>
      </c>
      <c r="G329" s="1429">
        <v>1799.42</v>
      </c>
      <c r="H329" s="1429">
        <v>1452.29</v>
      </c>
      <c r="I329" s="1429">
        <v>12430.56</v>
      </c>
      <c r="J329" s="1429">
        <v>3087.61</v>
      </c>
      <c r="K329" s="1429">
        <v>228.44</v>
      </c>
      <c r="L329" s="1429">
        <v>1955.29</v>
      </c>
      <c r="M329" s="1429">
        <v>4223.59</v>
      </c>
      <c r="N329" s="1429">
        <v>35.03</v>
      </c>
      <c r="O329" s="1429">
        <v>299.85000000000002</v>
      </c>
      <c r="P329" s="1429">
        <v>0</v>
      </c>
      <c r="Q329" s="778"/>
      <c r="R329" s="778"/>
    </row>
    <row r="330" spans="1:18" x14ac:dyDescent="0.3">
      <c r="A330" s="778" t="s">
        <v>3904</v>
      </c>
      <c r="B330" s="778" t="s">
        <v>74</v>
      </c>
      <c r="C330" s="1429"/>
      <c r="D330" s="1429">
        <v>136.69</v>
      </c>
      <c r="E330" s="1429">
        <v>159.6</v>
      </c>
      <c r="F330" s="1429">
        <v>0</v>
      </c>
      <c r="G330" s="1429">
        <v>159.4</v>
      </c>
      <c r="H330" s="1429">
        <v>9489.4699999999993</v>
      </c>
      <c r="I330" s="1429">
        <v>0</v>
      </c>
      <c r="J330" s="1429">
        <v>136.69</v>
      </c>
      <c r="K330" s="1429">
        <v>1492.67</v>
      </c>
      <c r="L330" s="1429">
        <v>0</v>
      </c>
      <c r="M330" s="1429">
        <v>159.6</v>
      </c>
      <c r="N330" s="1429">
        <v>228.91</v>
      </c>
      <c r="O330" s="1429">
        <v>0</v>
      </c>
      <c r="P330" s="1429">
        <v>0</v>
      </c>
      <c r="Q330" s="778"/>
      <c r="R330" s="778"/>
    </row>
    <row r="331" spans="1:18" x14ac:dyDescent="0.3">
      <c r="A331" s="778" t="s">
        <v>3905</v>
      </c>
      <c r="B331" s="778" t="s">
        <v>74</v>
      </c>
      <c r="C331" s="1429"/>
      <c r="D331" s="1429">
        <v>4.67</v>
      </c>
      <c r="E331" s="1429">
        <v>4.67</v>
      </c>
      <c r="F331" s="1429">
        <v>0</v>
      </c>
      <c r="G331" s="1429">
        <v>4.6500000000000004</v>
      </c>
      <c r="H331" s="1429">
        <v>0.38</v>
      </c>
      <c r="I331" s="1429">
        <v>0</v>
      </c>
      <c r="J331" s="1429">
        <v>4.67</v>
      </c>
      <c r="K331" s="1429">
        <v>0.06</v>
      </c>
      <c r="L331" s="1429">
        <v>0</v>
      </c>
      <c r="M331" s="1429">
        <v>4.67</v>
      </c>
      <c r="N331" s="1429">
        <v>0.01</v>
      </c>
      <c r="O331" s="1429">
        <v>0</v>
      </c>
      <c r="P331" s="1429">
        <v>0</v>
      </c>
      <c r="Q331" s="778"/>
      <c r="R331" s="778"/>
    </row>
    <row r="332" spans="1:18" x14ac:dyDescent="0.3">
      <c r="A332" s="1160" t="s">
        <v>3906</v>
      </c>
      <c r="B332" s="1160" t="s">
        <v>74</v>
      </c>
      <c r="C332" s="1428">
        <v>1668.47</v>
      </c>
      <c r="D332" s="1428">
        <f>SUM(D333:D335)</f>
        <v>3228.9700000000003</v>
      </c>
      <c r="E332" s="1428">
        <f>SUM(E333:E335)</f>
        <v>4364.95</v>
      </c>
      <c r="F332" s="1428">
        <v>0</v>
      </c>
      <c r="G332" s="1428">
        <v>1937.23</v>
      </c>
      <c r="H332" s="1428">
        <v>4846.33</v>
      </c>
      <c r="I332" s="1428">
        <v>12430.56</v>
      </c>
      <c r="J332" s="1428">
        <v>3228.97</v>
      </c>
      <c r="K332" s="1428">
        <v>762.31</v>
      </c>
      <c r="L332" s="1428">
        <v>1955.29</v>
      </c>
      <c r="M332" s="1428">
        <f>SUM(M333:M335)</f>
        <v>4364.95</v>
      </c>
      <c r="N332" s="1428">
        <v>116.91</v>
      </c>
      <c r="O332" s="1428">
        <v>299.85000000000002</v>
      </c>
      <c r="P332" s="1428">
        <v>0</v>
      </c>
      <c r="Q332" s="778"/>
      <c r="R332" s="778"/>
    </row>
    <row r="333" spans="1:18" x14ac:dyDescent="0.3">
      <c r="A333" s="778" t="s">
        <v>3903</v>
      </c>
      <c r="B333" s="778" t="s">
        <v>74</v>
      </c>
      <c r="C333" s="1429"/>
      <c r="D333" s="1429">
        <v>3087.61</v>
      </c>
      <c r="E333" s="1429">
        <v>4223.59</v>
      </c>
      <c r="F333" s="1429">
        <v>0</v>
      </c>
      <c r="G333" s="1429">
        <v>1799.42</v>
      </c>
      <c r="H333" s="1429">
        <v>1452.29</v>
      </c>
      <c r="I333" s="1429">
        <v>12430.56</v>
      </c>
      <c r="J333" s="1429">
        <v>3087.61</v>
      </c>
      <c r="K333" s="1429">
        <v>228.44</v>
      </c>
      <c r="L333" s="1429">
        <v>1955.29</v>
      </c>
      <c r="M333" s="1429">
        <v>4223.59</v>
      </c>
      <c r="N333" s="1429">
        <v>35.03</v>
      </c>
      <c r="O333" s="1429">
        <v>299.85000000000002</v>
      </c>
      <c r="P333" s="1429">
        <v>0</v>
      </c>
      <c r="Q333" s="778"/>
      <c r="R333" s="778"/>
    </row>
    <row r="334" spans="1:18" x14ac:dyDescent="0.3">
      <c r="A334" s="778" t="s">
        <v>3904</v>
      </c>
      <c r="B334" s="778" t="s">
        <v>74</v>
      </c>
      <c r="C334" s="1429"/>
      <c r="D334" s="1429">
        <v>136.69</v>
      </c>
      <c r="E334" s="1429">
        <v>136.69</v>
      </c>
      <c r="F334" s="1429">
        <v>0</v>
      </c>
      <c r="G334" s="1429">
        <v>133.16</v>
      </c>
      <c r="H334" s="1429">
        <v>3393.67</v>
      </c>
      <c r="I334" s="1429">
        <v>0</v>
      </c>
      <c r="J334" s="1429">
        <v>136.69</v>
      </c>
      <c r="K334" s="1429">
        <v>533.80999999999995</v>
      </c>
      <c r="L334" s="1429">
        <v>0</v>
      </c>
      <c r="M334" s="1429">
        <v>136.69</v>
      </c>
      <c r="N334" s="1429">
        <v>81.86</v>
      </c>
      <c r="O334" s="1429">
        <v>0</v>
      </c>
      <c r="P334" s="1429">
        <v>0</v>
      </c>
      <c r="Q334" s="778"/>
      <c r="R334" s="778"/>
    </row>
    <row r="335" spans="1:18" x14ac:dyDescent="0.3">
      <c r="A335" s="778" t="s">
        <v>3905</v>
      </c>
      <c r="B335" s="778" t="s">
        <v>74</v>
      </c>
      <c r="C335" s="1428"/>
      <c r="D335" s="1429">
        <v>4.67</v>
      </c>
      <c r="E335" s="1429">
        <v>4.67</v>
      </c>
      <c r="F335" s="1429">
        <v>0</v>
      </c>
      <c r="G335" s="1429">
        <v>4.6500000000000004</v>
      </c>
      <c r="H335" s="1429">
        <v>0.38</v>
      </c>
      <c r="I335" s="1429">
        <v>0</v>
      </c>
      <c r="J335" s="1429">
        <v>4.67</v>
      </c>
      <c r="K335" s="1429">
        <v>0.06</v>
      </c>
      <c r="L335" s="1429">
        <v>0</v>
      </c>
      <c r="M335" s="1429">
        <v>4.67</v>
      </c>
      <c r="N335" s="1429">
        <v>0.01</v>
      </c>
      <c r="O335" s="1429">
        <v>0</v>
      </c>
      <c r="P335" s="1429">
        <v>0</v>
      </c>
      <c r="Q335" s="778"/>
      <c r="R335" s="778"/>
    </row>
    <row r="336" spans="1:18" x14ac:dyDescent="0.3">
      <c r="A336" s="1160" t="s">
        <v>3907</v>
      </c>
      <c r="B336" s="778" t="s">
        <v>74</v>
      </c>
      <c r="C336" s="1428">
        <v>0</v>
      </c>
      <c r="D336" s="1428">
        <v>0</v>
      </c>
      <c r="E336" s="1428">
        <v>0</v>
      </c>
      <c r="F336" s="1428">
        <v>0</v>
      </c>
      <c r="G336" s="1428"/>
      <c r="H336" s="1428"/>
      <c r="I336" s="1428"/>
      <c r="J336" s="1429"/>
      <c r="K336" s="1429"/>
      <c r="L336" s="1429"/>
      <c r="M336" s="1429"/>
      <c r="N336" s="1429"/>
      <c r="O336" s="1429"/>
      <c r="P336" s="1429"/>
      <c r="Q336" s="778"/>
      <c r="R336" s="778"/>
    </row>
    <row r="337" spans="1:23" x14ac:dyDescent="0.3">
      <c r="A337" s="778" t="s">
        <v>3903</v>
      </c>
      <c r="B337" s="778" t="s">
        <v>74</v>
      </c>
      <c r="C337" s="1429"/>
      <c r="D337" s="1429"/>
      <c r="E337" s="1429"/>
      <c r="F337" s="1429"/>
      <c r="G337" s="1429"/>
      <c r="H337" s="1429"/>
      <c r="I337" s="1429"/>
      <c r="J337" s="1429"/>
      <c r="K337" s="1429"/>
      <c r="L337" s="1429"/>
      <c r="M337" s="1429"/>
      <c r="N337" s="1429"/>
      <c r="O337" s="1429"/>
      <c r="P337" s="1429"/>
      <c r="Q337" s="778"/>
      <c r="R337" s="778"/>
    </row>
    <row r="338" spans="1:23" x14ac:dyDescent="0.3">
      <c r="A338" s="778" t="s">
        <v>3904</v>
      </c>
      <c r="B338" s="778" t="s">
        <v>74</v>
      </c>
      <c r="C338" s="1429"/>
      <c r="D338" s="1429"/>
      <c r="E338" s="1429"/>
      <c r="F338" s="1429"/>
      <c r="G338" s="1429"/>
      <c r="H338" s="1429"/>
      <c r="I338" s="1429"/>
      <c r="J338" s="1429"/>
      <c r="K338" s="1429"/>
      <c r="L338" s="1429"/>
      <c r="M338" s="1429"/>
      <c r="N338" s="1429"/>
      <c r="O338" s="1429"/>
      <c r="P338" s="1429"/>
      <c r="Q338" s="778"/>
      <c r="R338" s="778"/>
    </row>
    <row r="339" spans="1:23" x14ac:dyDescent="0.3">
      <c r="A339" s="778" t="s">
        <v>3905</v>
      </c>
      <c r="B339" s="778" t="s">
        <v>74</v>
      </c>
      <c r="C339" s="1429"/>
      <c r="D339" s="1429"/>
      <c r="E339" s="1429"/>
      <c r="F339" s="1429"/>
      <c r="G339" s="1429"/>
      <c r="H339" s="1429"/>
      <c r="I339" s="1429"/>
      <c r="J339" s="1429"/>
      <c r="K339" s="1429"/>
      <c r="L339" s="1429"/>
      <c r="M339" s="1429"/>
      <c r="N339" s="1429"/>
      <c r="O339" s="1429"/>
      <c r="P339" s="1429"/>
      <c r="Q339" s="778"/>
      <c r="R339" s="778"/>
    </row>
    <row r="340" spans="1:23" x14ac:dyDescent="0.3">
      <c r="A340" s="1160" t="s">
        <v>3930</v>
      </c>
      <c r="B340" s="778"/>
      <c r="C340" s="1428">
        <v>0</v>
      </c>
      <c r="D340" s="1428">
        <v>0</v>
      </c>
      <c r="E340" s="1428">
        <v>0</v>
      </c>
      <c r="F340" s="1428">
        <v>0</v>
      </c>
      <c r="G340" s="1429"/>
      <c r="H340" s="1429"/>
      <c r="I340" s="1429"/>
      <c r="J340" s="1429"/>
      <c r="K340" s="1429"/>
      <c r="L340" s="1429"/>
      <c r="M340" s="1429"/>
      <c r="N340" s="1429"/>
      <c r="O340" s="1429"/>
      <c r="P340" s="1429"/>
      <c r="Q340" s="778"/>
      <c r="R340" s="778"/>
    </row>
    <row r="341" spans="1:23" ht="27.6" customHeight="1" x14ac:dyDescent="0.3">
      <c r="A341" s="778" t="s">
        <v>3909</v>
      </c>
      <c r="B341" s="713" t="s">
        <v>3910</v>
      </c>
      <c r="C341" s="1429"/>
      <c r="D341" s="1429"/>
      <c r="E341" s="1429"/>
      <c r="F341" s="1429"/>
      <c r="G341" s="1429"/>
      <c r="H341" s="1429"/>
      <c r="I341" s="1429"/>
      <c r="J341" s="1429"/>
      <c r="K341" s="1429"/>
      <c r="L341" s="1429"/>
      <c r="M341" s="1429"/>
      <c r="N341" s="1429"/>
      <c r="O341" s="1429"/>
      <c r="P341" s="1429"/>
      <c r="Q341" s="778"/>
      <c r="R341" s="778"/>
    </row>
    <row r="342" spans="1:23" x14ac:dyDescent="0.3">
      <c r="A342" s="778" t="s">
        <v>3911</v>
      </c>
      <c r="B342" s="778" t="s">
        <v>74</v>
      </c>
      <c r="C342" s="1429"/>
      <c r="D342" s="1429"/>
      <c r="E342" s="1429"/>
      <c r="F342" s="1429"/>
      <c r="G342" s="1429"/>
      <c r="H342" s="1429"/>
      <c r="I342" s="1429"/>
      <c r="J342" s="1429"/>
      <c r="K342" s="1429"/>
      <c r="L342" s="1429"/>
      <c r="M342" s="1429"/>
      <c r="N342" s="1429"/>
      <c r="O342" s="1429"/>
      <c r="P342" s="1429"/>
      <c r="Q342" s="778"/>
      <c r="R342" s="778"/>
    </row>
    <row r="343" spans="1:23" x14ac:dyDescent="0.3">
      <c r="A343" s="5815" t="s">
        <v>3956</v>
      </c>
      <c r="B343" s="5815"/>
      <c r="C343" s="5815"/>
      <c r="D343" s="5815"/>
      <c r="E343" s="5815"/>
      <c r="F343" s="5815"/>
      <c r="G343" s="5815"/>
      <c r="H343" s="5815"/>
      <c r="I343" s="5815"/>
      <c r="J343" s="5815"/>
      <c r="K343" s="5815"/>
      <c r="L343" s="5815"/>
      <c r="M343" s="5815"/>
      <c r="N343" s="5815"/>
      <c r="O343" s="5815"/>
      <c r="P343" s="5815"/>
      <c r="Q343" s="5815"/>
      <c r="R343" s="5815"/>
      <c r="S343" s="5959" t="s">
        <v>3965</v>
      </c>
      <c r="T343" s="5959"/>
      <c r="U343" s="5959"/>
      <c r="V343" s="5959"/>
    </row>
    <row r="344" spans="1:23" x14ac:dyDescent="0.3">
      <c r="A344" s="1160" t="s">
        <v>3957</v>
      </c>
      <c r="B344" s="1160" t="s">
        <v>74</v>
      </c>
      <c r="C344" s="5967">
        <v>1737.61</v>
      </c>
      <c r="D344" s="1428">
        <f>(D345+D346+D347)*1.2</f>
        <v>3351.6645037543603</v>
      </c>
      <c r="E344" s="1428">
        <f t="shared" ref="E344:F344" si="19">(E345+E346+E347)*1.2</f>
        <v>5304.6360000000004</v>
      </c>
      <c r="F344" s="1428">
        <f t="shared" si="19"/>
        <v>3906.5879999999997</v>
      </c>
      <c r="G344" s="1428">
        <v>3060.76</v>
      </c>
      <c r="H344" s="1428">
        <f t="shared" ref="H344:V344" si="20">(H345+H346+H347)*1.2</f>
        <v>136.05600000000001</v>
      </c>
      <c r="I344" s="1428">
        <f t="shared" si="20"/>
        <v>114.63243439275563</v>
      </c>
      <c r="J344" s="1428">
        <v>4504.43</v>
      </c>
      <c r="K344" s="1428">
        <f t="shared" si="20"/>
        <v>136.05600000000001</v>
      </c>
      <c r="L344" s="1428">
        <f t="shared" si="20"/>
        <v>177.40703814630893</v>
      </c>
      <c r="M344" s="1428">
        <f t="shared" si="20"/>
        <v>8426.5560000000005</v>
      </c>
      <c r="N344" s="1428">
        <f t="shared" si="20"/>
        <v>136.05600000000001</v>
      </c>
      <c r="O344" s="1428">
        <f t="shared" si="20"/>
        <v>323.59161793050822</v>
      </c>
      <c r="P344" s="1428">
        <f t="shared" si="20"/>
        <v>4552.7955075244117</v>
      </c>
      <c r="Q344" s="1428">
        <f t="shared" si="20"/>
        <v>136.05600000000001</v>
      </c>
      <c r="R344" s="1428">
        <f t="shared" si="20"/>
        <v>181.4141830260356</v>
      </c>
      <c r="S344" s="1428">
        <f t="shared" si="20"/>
        <v>2668.8357110164802</v>
      </c>
      <c r="T344" s="1428">
        <f>(T345+T346+T347)*1.2</f>
        <v>3351.6645037543603</v>
      </c>
      <c r="U344" s="1428">
        <f t="shared" si="20"/>
        <v>8223.7561486795894</v>
      </c>
      <c r="V344" s="4181">
        <f t="shared" si="20"/>
        <v>3950.2893513046592</v>
      </c>
      <c r="W344" s="4182"/>
    </row>
    <row r="345" spans="1:23" x14ac:dyDescent="0.3">
      <c r="A345" s="778" t="s">
        <v>3958</v>
      </c>
      <c r="B345" s="778" t="s">
        <v>74</v>
      </c>
      <c r="C345" s="5968"/>
      <c r="D345" s="1429">
        <v>2101.59410643309</v>
      </c>
      <c r="E345" s="1429">
        <v>3585.6200000000003</v>
      </c>
      <c r="F345" s="1429">
        <v>2566.1999999999998</v>
      </c>
      <c r="G345" s="1429">
        <v>1597.1788545489696</v>
      </c>
      <c r="H345" s="1429">
        <v>30.98</v>
      </c>
      <c r="I345" s="1429">
        <v>68.747830205372239</v>
      </c>
      <c r="J345" s="1429">
        <v>2650.7362828089585</v>
      </c>
      <c r="K345" s="1429">
        <v>30.98</v>
      </c>
      <c r="L345" s="1429">
        <v>121.06</v>
      </c>
      <c r="M345" s="1429">
        <v>5335.44</v>
      </c>
      <c r="N345" s="1429">
        <v>30.98</v>
      </c>
      <c r="O345" s="1429">
        <v>242.8804831534994</v>
      </c>
      <c r="P345" s="1429">
        <v>2674.5792873997721</v>
      </c>
      <c r="Q345" s="2013">
        <v>30.98</v>
      </c>
      <c r="R345" s="4183">
        <v>124.39928739977222</v>
      </c>
      <c r="S345" s="1429">
        <v>1591.7188156314635</v>
      </c>
      <c r="T345" s="1429">
        <v>2101.59410643309</v>
      </c>
      <c r="U345" s="1429">
        <v>5625.1692011507812</v>
      </c>
      <c r="V345" s="4184">
        <v>2518.0968707487309</v>
      </c>
      <c r="W345" s="4185"/>
    </row>
    <row r="346" spans="1:23" x14ac:dyDescent="0.3">
      <c r="A346" s="778" t="s">
        <v>3959</v>
      </c>
      <c r="B346" s="778" t="s">
        <v>74</v>
      </c>
      <c r="C346" s="5968"/>
      <c r="D346" s="1429">
        <v>677.64695551570458</v>
      </c>
      <c r="E346" s="1429">
        <v>813.8599999999999</v>
      </c>
      <c r="F346" s="1429">
        <v>668.24</v>
      </c>
      <c r="G346" s="1429">
        <v>935.72973449073106</v>
      </c>
      <c r="H346" s="1429">
        <v>82.28</v>
      </c>
      <c r="I346" s="1429">
        <v>25.959198455257468</v>
      </c>
      <c r="J346" s="1429">
        <v>1085.2293074532836</v>
      </c>
      <c r="K346" s="1429">
        <v>82.28</v>
      </c>
      <c r="L346" s="1429">
        <v>25.959198455257461</v>
      </c>
      <c r="M346" s="1429">
        <v>1668.97</v>
      </c>
      <c r="N346" s="1429">
        <v>82.28</v>
      </c>
      <c r="O346" s="1429">
        <v>25.959198455257464</v>
      </c>
      <c r="P346" s="1429">
        <v>1101.6991984552574</v>
      </c>
      <c r="Q346" s="2013">
        <v>82.28</v>
      </c>
      <c r="R346" s="4183">
        <v>25.959198455257461</v>
      </c>
      <c r="S346" s="1429">
        <v>618.49825236857248</v>
      </c>
      <c r="T346" s="1429">
        <v>677.64695551570458</v>
      </c>
      <c r="U346" s="1429">
        <v>1214.1482315651776</v>
      </c>
      <c r="V346" s="4184">
        <v>759.99823156517778</v>
      </c>
      <c r="W346" s="4185"/>
    </row>
    <row r="347" spans="1:23" x14ac:dyDescent="0.3">
      <c r="A347" s="778" t="s">
        <v>3960</v>
      </c>
      <c r="B347" s="778" t="s">
        <v>74</v>
      </c>
      <c r="C347" s="5968"/>
      <c r="D347" s="1429">
        <v>13.812691179839053</v>
      </c>
      <c r="E347" s="1429">
        <v>21.05</v>
      </c>
      <c r="F347" s="1429">
        <v>21.05</v>
      </c>
      <c r="G347" s="1429">
        <v>17.717770415314067</v>
      </c>
      <c r="H347" s="1429">
        <v>0.12</v>
      </c>
      <c r="I347" s="1429">
        <v>0.82</v>
      </c>
      <c r="J347" s="1429">
        <v>17.717770415314071</v>
      </c>
      <c r="K347" s="1429">
        <v>0.12</v>
      </c>
      <c r="L347" s="1429">
        <v>0.82</v>
      </c>
      <c r="M347" s="1429">
        <v>17.72</v>
      </c>
      <c r="N347" s="1429">
        <v>0.12</v>
      </c>
      <c r="O347" s="1429">
        <v>0.82</v>
      </c>
      <c r="P347" s="1429">
        <v>17.717770415314067</v>
      </c>
      <c r="Q347" s="2013">
        <v>0.12</v>
      </c>
      <c r="R347" s="4183">
        <v>0.82</v>
      </c>
      <c r="S347" s="1429">
        <v>13.812691180364345</v>
      </c>
      <c r="T347" s="1429">
        <v>13.812691179839053</v>
      </c>
      <c r="U347" s="1429">
        <v>13.812691183700185</v>
      </c>
      <c r="V347" s="4184">
        <v>13.812690439974229</v>
      </c>
      <c r="W347" s="4185"/>
    </row>
    <row r="348" spans="1:23" x14ac:dyDescent="0.3">
      <c r="A348" s="1160" t="s">
        <v>3961</v>
      </c>
      <c r="B348" s="1160" t="s">
        <v>74</v>
      </c>
      <c r="C348" s="5968"/>
      <c r="D348" s="1428">
        <f>(D349+D350+D351)*1.2</f>
        <v>3377.4036217008215</v>
      </c>
      <c r="E348" s="1428">
        <f t="shared" ref="E348:S348" si="21">(E349+E350+E351)*1.2</f>
        <v>5325.8040000000001</v>
      </c>
      <c r="F348" s="1428">
        <f t="shared" si="21"/>
        <v>3927.7559999999999</v>
      </c>
      <c r="G348" s="1428">
        <f t="shared" si="21"/>
        <v>3091.2534361141243</v>
      </c>
      <c r="H348" s="1428">
        <f t="shared" si="21"/>
        <v>136.18800000000002</v>
      </c>
      <c r="I348" s="1428">
        <f t="shared" si="21"/>
        <v>116.05112298662107</v>
      </c>
      <c r="J348" s="1428">
        <f t="shared" si="21"/>
        <v>4534.9145906093017</v>
      </c>
      <c r="K348" s="1428">
        <f t="shared" si="21"/>
        <v>136.18800000000002</v>
      </c>
      <c r="L348" s="1428">
        <f t="shared" si="21"/>
        <v>178.82572674017439</v>
      </c>
      <c r="M348" s="1428">
        <f t="shared" si="21"/>
        <v>8457.0567446055611</v>
      </c>
      <c r="N348" s="1428">
        <f t="shared" si="21"/>
        <v>136.18800000000002</v>
      </c>
      <c r="O348" s="1428">
        <f t="shared" si="21"/>
        <v>325.00972674017436</v>
      </c>
      <c r="P348" s="1428">
        <f t="shared" si="21"/>
        <v>4583.2901961182779</v>
      </c>
      <c r="Q348" s="1428">
        <f t="shared" si="21"/>
        <v>136.18800000000002</v>
      </c>
      <c r="R348" s="4186">
        <f t="shared" si="21"/>
        <v>182.8337267401744</v>
      </c>
      <c r="S348" s="1428">
        <f t="shared" si="21"/>
        <v>2694.5852460312362</v>
      </c>
      <c r="T348" s="1428">
        <f>(T349+T350+T351)*1.2</f>
        <v>3377.4036217008215</v>
      </c>
      <c r="U348" s="1428">
        <f>(U349+U350+U351)*1.2+0.01</f>
        <v>8249.5037353666849</v>
      </c>
      <c r="V348" s="4181">
        <f>(V349+V350+V351)*1.2-0.01</f>
        <v>3976.0274650771712</v>
      </c>
      <c r="W348" s="4182"/>
    </row>
    <row r="349" spans="1:23" x14ac:dyDescent="0.3">
      <c r="A349" s="778" t="s">
        <v>3958</v>
      </c>
      <c r="B349" s="778" t="s">
        <v>74</v>
      </c>
      <c r="C349" s="5968"/>
      <c r="D349" s="1429">
        <v>2101.59410643309</v>
      </c>
      <c r="E349" s="1429">
        <v>3585.6200000000003</v>
      </c>
      <c r="F349" s="1429">
        <v>2566.1999999999998</v>
      </c>
      <c r="G349" s="1429">
        <v>1597.1788545489696</v>
      </c>
      <c r="H349" s="1429">
        <v>30.98</v>
      </c>
      <c r="I349" s="1429">
        <v>68.747830205372239</v>
      </c>
      <c r="J349" s="1429">
        <v>2650.7362828089585</v>
      </c>
      <c r="K349" s="1429">
        <v>30.98</v>
      </c>
      <c r="L349" s="1429">
        <v>121.06</v>
      </c>
      <c r="M349" s="1429">
        <v>5335.4395167559878</v>
      </c>
      <c r="N349" s="1429">
        <v>30.98</v>
      </c>
      <c r="O349" s="1429">
        <v>242.88</v>
      </c>
      <c r="P349" s="1429">
        <v>2674.5792873997721</v>
      </c>
      <c r="Q349" s="2013">
        <v>30.98</v>
      </c>
      <c r="R349" s="4183">
        <v>124.4</v>
      </c>
      <c r="S349" s="1429">
        <v>1591.72</v>
      </c>
      <c r="T349" s="1429">
        <v>2101.59410643309</v>
      </c>
      <c r="U349" s="1429">
        <v>5625.1692011507812</v>
      </c>
      <c r="V349" s="4184">
        <v>2518.0968707487309</v>
      </c>
      <c r="W349" s="4185"/>
    </row>
    <row r="350" spans="1:23" x14ac:dyDescent="0.3">
      <c r="A350" s="778" t="s">
        <v>3959</v>
      </c>
      <c r="B350" s="778" t="s">
        <v>74</v>
      </c>
      <c r="C350" s="5968"/>
      <c r="D350" s="1429">
        <v>699.09622047108905</v>
      </c>
      <c r="E350" s="1429">
        <v>831.49999999999989</v>
      </c>
      <c r="F350" s="1429">
        <v>685.88</v>
      </c>
      <c r="G350" s="1429">
        <v>961.14790513082005</v>
      </c>
      <c r="H350" s="1429">
        <f>82.28+0.11</f>
        <v>82.39</v>
      </c>
      <c r="I350" s="1429">
        <v>27.141438950145329</v>
      </c>
      <c r="J350" s="1429">
        <v>1110.6414389501454</v>
      </c>
      <c r="K350" s="1429">
        <v>82.39</v>
      </c>
      <c r="L350" s="1429">
        <v>27.141438950145321</v>
      </c>
      <c r="M350" s="1429">
        <v>1694.39</v>
      </c>
      <c r="N350" s="1429">
        <v>82.39</v>
      </c>
      <c r="O350" s="1429">
        <v>27.141438950145321</v>
      </c>
      <c r="P350" s="1429">
        <v>1127.1114389501454</v>
      </c>
      <c r="Q350" s="2013">
        <v>82.39</v>
      </c>
      <c r="R350" s="4183">
        <v>27.141438950145321</v>
      </c>
      <c r="S350" s="1429">
        <v>639.95501384566592</v>
      </c>
      <c r="T350" s="1429">
        <v>699.09622047108905</v>
      </c>
      <c r="U350" s="1429">
        <v>1235.5962204710891</v>
      </c>
      <c r="V350" s="4184">
        <v>781.45499304227133</v>
      </c>
      <c r="W350" s="4185"/>
    </row>
    <row r="351" spans="1:23" x14ac:dyDescent="0.3">
      <c r="A351" s="778" t="s">
        <v>3960</v>
      </c>
      <c r="B351" s="778" t="s">
        <v>74</v>
      </c>
      <c r="C351" s="5968"/>
      <c r="D351" s="1429">
        <v>13.812691179839053</v>
      </c>
      <c r="E351" s="1429">
        <v>21.05</v>
      </c>
      <c r="F351" s="1429">
        <v>21.05</v>
      </c>
      <c r="G351" s="1429">
        <v>17.717770415314067</v>
      </c>
      <c r="H351" s="1429">
        <v>0.12</v>
      </c>
      <c r="I351" s="1429">
        <v>0.82</v>
      </c>
      <c r="J351" s="1429">
        <v>17.717770415314071</v>
      </c>
      <c r="K351" s="1429">
        <v>0.12</v>
      </c>
      <c r="L351" s="1429">
        <v>0.82</v>
      </c>
      <c r="M351" s="1429">
        <v>17.717770415314071</v>
      </c>
      <c r="N351" s="1429">
        <v>0.12</v>
      </c>
      <c r="O351" s="1429">
        <v>0.82</v>
      </c>
      <c r="P351" s="1429">
        <v>17.717770415314067</v>
      </c>
      <c r="Q351" s="2013">
        <v>0.12</v>
      </c>
      <c r="R351" s="4183">
        <v>0.82</v>
      </c>
      <c r="S351" s="1429">
        <v>13.812691180364345</v>
      </c>
      <c r="T351" s="1429">
        <v>13.812691179839053</v>
      </c>
      <c r="U351" s="1429">
        <v>13.812691183700185</v>
      </c>
      <c r="V351" s="4184">
        <v>13.812690439974229</v>
      </c>
      <c r="W351" s="4185"/>
    </row>
    <row r="352" spans="1:23" x14ac:dyDescent="0.3">
      <c r="A352" s="1160" t="s">
        <v>3962</v>
      </c>
      <c r="B352" s="778" t="s">
        <v>74</v>
      </c>
      <c r="C352" s="5968"/>
      <c r="D352" s="1428">
        <f>(D353+D354+D355)*1.2</f>
        <v>3369.0006646235697</v>
      </c>
      <c r="E352" s="1428">
        <f t="shared" ref="E352:V352" si="22">(E353+E354+E355)*1.2</f>
        <v>5321.4120000000003</v>
      </c>
      <c r="F352" s="1428">
        <f t="shared" si="22"/>
        <v>0</v>
      </c>
      <c r="G352" s="1428">
        <f t="shared" si="22"/>
        <v>3078.5879660562282</v>
      </c>
      <c r="H352" s="1428">
        <f t="shared" si="22"/>
        <v>136.05600000000001</v>
      </c>
      <c r="I352" s="1428">
        <f t="shared" si="22"/>
        <v>115.40209360134298</v>
      </c>
      <c r="J352" s="1428">
        <f t="shared" si="22"/>
        <v>4522.2563701262152</v>
      </c>
      <c r="K352" s="1428">
        <f t="shared" si="22"/>
        <v>136.05600000000001</v>
      </c>
      <c r="L352" s="1428">
        <f t="shared" si="22"/>
        <v>178.17669735489628</v>
      </c>
      <c r="M352" s="1428">
        <f t="shared" si="22"/>
        <v>8444.388697513401</v>
      </c>
      <c r="N352" s="1428">
        <f t="shared" si="22"/>
        <v>136.05600000000001</v>
      </c>
      <c r="O352" s="1428">
        <f t="shared" si="22"/>
        <v>324.36127713909559</v>
      </c>
      <c r="P352" s="1428">
        <f t="shared" si="22"/>
        <v>0</v>
      </c>
      <c r="Q352" s="1428">
        <f t="shared" si="22"/>
        <v>0</v>
      </c>
      <c r="R352" s="4186">
        <f t="shared" si="22"/>
        <v>0</v>
      </c>
      <c r="S352" s="1428">
        <f t="shared" si="22"/>
        <v>2686.1718678259799</v>
      </c>
      <c r="T352" s="1428">
        <f>(T353+T354+T355)*1.2</f>
        <v>3369.0006646235697</v>
      </c>
      <c r="U352" s="1428">
        <f t="shared" si="22"/>
        <v>8241.0959999999995</v>
      </c>
      <c r="V352" s="4181">
        <f t="shared" si="22"/>
        <v>0</v>
      </c>
      <c r="W352" s="4182"/>
    </row>
    <row r="353" spans="1:23" x14ac:dyDescent="0.3">
      <c r="A353" s="778" t="s">
        <v>3958</v>
      </c>
      <c r="B353" s="778" t="s">
        <v>74</v>
      </c>
      <c r="C353" s="5968"/>
      <c r="D353" s="1429">
        <v>2101.59410643309</v>
      </c>
      <c r="E353" s="1429">
        <v>3585.6200000000003</v>
      </c>
      <c r="F353" s="1429">
        <v>0</v>
      </c>
      <c r="G353" s="1429">
        <v>1597.1788545489696</v>
      </c>
      <c r="H353" s="1429">
        <v>30.98</v>
      </c>
      <c r="I353" s="1429">
        <v>68.747830205372239</v>
      </c>
      <c r="J353" s="1429">
        <v>2650.7362828089585</v>
      </c>
      <c r="K353" s="1429">
        <v>30.98</v>
      </c>
      <c r="L353" s="1429">
        <v>121.06</v>
      </c>
      <c r="M353" s="1429">
        <v>5335.4399999094867</v>
      </c>
      <c r="N353" s="1429">
        <v>30.98</v>
      </c>
      <c r="O353" s="1429">
        <v>242.8804831534994</v>
      </c>
      <c r="P353" s="1429">
        <v>0</v>
      </c>
      <c r="Q353" s="4183">
        <v>0</v>
      </c>
      <c r="R353" s="4183">
        <v>0</v>
      </c>
      <c r="S353" s="1429">
        <v>1591.7188156314635</v>
      </c>
      <c r="T353" s="1429">
        <v>2101.59410643309</v>
      </c>
      <c r="U353" s="1429">
        <v>5625.17</v>
      </c>
      <c r="V353" s="4184">
        <v>0</v>
      </c>
      <c r="W353" s="4185"/>
    </row>
    <row r="354" spans="1:23" x14ac:dyDescent="0.3">
      <c r="A354" s="778" t="s">
        <v>3959</v>
      </c>
      <c r="B354" s="778" t="s">
        <v>74</v>
      </c>
      <c r="C354" s="5968"/>
      <c r="D354" s="1429">
        <v>677.64695551570458</v>
      </c>
      <c r="E354" s="1429">
        <v>813.8599999999999</v>
      </c>
      <c r="F354" s="1429">
        <v>0</v>
      </c>
      <c r="G354" s="1429">
        <v>935.72973449073106</v>
      </c>
      <c r="H354" s="1429">
        <v>82.28</v>
      </c>
      <c r="I354" s="1429">
        <v>25.959198455257468</v>
      </c>
      <c r="J354" s="1429">
        <v>1085.2293074532836</v>
      </c>
      <c r="K354" s="1429">
        <v>82.28</v>
      </c>
      <c r="L354" s="1429">
        <v>25.959198455257461</v>
      </c>
      <c r="M354" s="1429">
        <v>1668.9691984552574</v>
      </c>
      <c r="N354" s="1429">
        <v>82.28</v>
      </c>
      <c r="O354" s="1429">
        <v>25.959198455257464</v>
      </c>
      <c r="P354" s="1429">
        <v>0</v>
      </c>
      <c r="Q354" s="4183">
        <v>0</v>
      </c>
      <c r="R354" s="4183">
        <v>0</v>
      </c>
      <c r="S354" s="1429">
        <v>618.49825236857248</v>
      </c>
      <c r="T354" s="1429">
        <v>677.64695551570458</v>
      </c>
      <c r="U354" s="1429">
        <v>1214.1500000000001</v>
      </c>
      <c r="V354" s="4184">
        <v>0</v>
      </c>
      <c r="W354" s="4185"/>
    </row>
    <row r="355" spans="1:23" x14ac:dyDescent="0.3">
      <c r="A355" s="778" t="s">
        <v>3960</v>
      </c>
      <c r="B355" s="778" t="s">
        <v>74</v>
      </c>
      <c r="C355" s="5969"/>
      <c r="D355" s="1429">
        <v>28.259491904180535</v>
      </c>
      <c r="E355" s="1429">
        <v>35.03</v>
      </c>
      <c r="F355" s="1429">
        <v>0</v>
      </c>
      <c r="G355" s="1429">
        <v>32.581382673822787</v>
      </c>
      <c r="H355" s="1429">
        <v>0.12</v>
      </c>
      <c r="I355" s="1429">
        <v>1.4613826738227842</v>
      </c>
      <c r="J355" s="1429">
        <v>32.581384842937048</v>
      </c>
      <c r="K355" s="1429">
        <v>0.12</v>
      </c>
      <c r="L355" s="1429">
        <v>1.4613826738227842</v>
      </c>
      <c r="M355" s="1429">
        <v>32.58138289642406</v>
      </c>
      <c r="N355" s="1429">
        <v>0.12</v>
      </c>
      <c r="O355" s="1429">
        <v>1.4613826738227842</v>
      </c>
      <c r="P355" s="1429">
        <v>0</v>
      </c>
      <c r="Q355" s="4183">
        <v>0</v>
      </c>
      <c r="R355" s="4183">
        <v>0</v>
      </c>
      <c r="S355" s="1429">
        <v>28.259488521614056</v>
      </c>
      <c r="T355" s="1429">
        <v>28.259491904180535</v>
      </c>
      <c r="U355" s="1429">
        <v>28.26</v>
      </c>
      <c r="V355" s="4184">
        <v>0</v>
      </c>
      <c r="W355" s="4185"/>
    </row>
    <row r="356" spans="1:23" x14ac:dyDescent="0.3">
      <c r="A356" s="1160" t="s">
        <v>3930</v>
      </c>
      <c r="B356" s="778"/>
      <c r="C356" s="1429"/>
      <c r="D356" s="1429"/>
      <c r="E356" s="1429"/>
      <c r="F356" s="1429"/>
      <c r="G356" s="1429"/>
      <c r="H356" s="1429"/>
      <c r="I356" s="1429"/>
      <c r="J356" s="1429"/>
      <c r="K356" s="1429"/>
      <c r="L356" s="1429"/>
      <c r="M356" s="1429"/>
      <c r="N356" s="1429"/>
      <c r="O356" s="1429"/>
      <c r="P356" s="1429"/>
      <c r="Q356" s="778"/>
      <c r="R356" s="1459"/>
      <c r="S356" s="1429"/>
      <c r="T356" s="1429"/>
      <c r="U356" s="1429"/>
      <c r="V356" s="4184"/>
      <c r="W356" s="4185"/>
    </row>
    <row r="357" spans="1:23" ht="30" customHeight="1" x14ac:dyDescent="0.3">
      <c r="A357" s="778" t="s">
        <v>3909</v>
      </c>
      <c r="B357" s="713" t="s">
        <v>3910</v>
      </c>
      <c r="C357" s="1429"/>
      <c r="D357" s="1429"/>
      <c r="E357" s="1429"/>
      <c r="F357" s="1429"/>
      <c r="G357" s="1429"/>
      <c r="H357" s="1429"/>
      <c r="I357" s="1429"/>
      <c r="J357" s="1429"/>
      <c r="K357" s="1429"/>
      <c r="L357" s="1429"/>
      <c r="M357" s="1429"/>
      <c r="N357" s="1429"/>
      <c r="O357" s="1429"/>
      <c r="P357" s="1429"/>
      <c r="Q357" s="778"/>
      <c r="R357" s="1459"/>
      <c r="S357" s="1429"/>
      <c r="T357" s="1429"/>
      <c r="U357" s="1429"/>
      <c r="V357" s="4184"/>
      <c r="W357" s="4185"/>
    </row>
    <row r="358" spans="1:23" x14ac:dyDescent="0.3">
      <c r="A358" s="778" t="s">
        <v>3911</v>
      </c>
      <c r="B358" s="778" t="s">
        <v>74</v>
      </c>
      <c r="C358" s="1429"/>
      <c r="D358" s="1429"/>
      <c r="E358" s="1429"/>
      <c r="F358" s="1429"/>
      <c r="G358" s="1429"/>
      <c r="H358" s="1429"/>
      <c r="I358" s="1429"/>
      <c r="J358" s="1429"/>
      <c r="K358" s="1429"/>
      <c r="L358" s="1429"/>
      <c r="M358" s="1429"/>
      <c r="N358" s="1429"/>
      <c r="O358" s="1429"/>
      <c r="P358" s="1429"/>
      <c r="Q358" s="778"/>
      <c r="R358" s="778"/>
      <c r="S358" s="1429"/>
      <c r="T358" s="1429"/>
      <c r="U358" s="1429"/>
      <c r="V358" s="4184"/>
      <c r="W358" s="4185"/>
    </row>
    <row r="359" spans="1:23" x14ac:dyDescent="0.3">
      <c r="A359" s="5966" t="s">
        <v>3963</v>
      </c>
      <c r="B359" s="5966"/>
      <c r="C359" s="5966"/>
      <c r="D359" s="5966"/>
      <c r="E359" s="5966"/>
      <c r="F359" s="5966"/>
      <c r="G359" s="5966"/>
      <c r="H359" s="5966"/>
      <c r="I359" s="5966"/>
      <c r="J359" s="5966"/>
      <c r="K359" s="5966"/>
      <c r="L359" s="5966"/>
      <c r="M359" s="5966"/>
      <c r="N359" s="5966"/>
      <c r="O359" s="5966"/>
      <c r="P359" s="5966"/>
    </row>
    <row r="360" spans="1:23" x14ac:dyDescent="0.3">
      <c r="A360" s="1160" t="s">
        <v>3902</v>
      </c>
      <c r="B360" s="1160" t="s">
        <v>74</v>
      </c>
      <c r="C360" s="1428">
        <v>1923.07</v>
      </c>
      <c r="D360" s="1428">
        <f>SUM(D361:D363)</f>
        <v>3867.64</v>
      </c>
      <c r="E360" s="1428">
        <f>SUM(E361:E363)</f>
        <v>5195.1500000000005</v>
      </c>
      <c r="F360" s="1428">
        <f>SUM(F361:F363)</f>
        <v>3867.64</v>
      </c>
      <c r="G360" s="778"/>
      <c r="H360" s="778"/>
      <c r="I360" s="778"/>
      <c r="J360" s="778"/>
      <c r="K360" s="778"/>
      <c r="L360" s="778"/>
      <c r="M360" s="778"/>
      <c r="N360" s="778"/>
      <c r="O360" s="778"/>
      <c r="P360" s="778"/>
      <c r="Q360" s="778"/>
      <c r="R360" s="778"/>
    </row>
    <row r="361" spans="1:23" x14ac:dyDescent="0.3">
      <c r="A361" s="778" t="s">
        <v>3903</v>
      </c>
      <c r="B361" s="778" t="s">
        <v>74</v>
      </c>
      <c r="C361" s="1428" t="s">
        <v>3587</v>
      </c>
      <c r="D361" s="1429">
        <v>3053.76</v>
      </c>
      <c r="E361" s="1429">
        <v>4208.18</v>
      </c>
      <c r="F361" s="1429">
        <v>3053.76</v>
      </c>
      <c r="G361" s="1429"/>
      <c r="H361" s="1429"/>
      <c r="I361" s="1429"/>
      <c r="J361" s="1429"/>
      <c r="K361" s="1429"/>
      <c r="L361" s="1429"/>
      <c r="M361" s="1429"/>
      <c r="N361" s="1429"/>
      <c r="O361" s="1429"/>
      <c r="P361" s="1429"/>
      <c r="Q361" s="778"/>
      <c r="R361" s="778"/>
    </row>
    <row r="362" spans="1:23" x14ac:dyDescent="0.3">
      <c r="A362" s="778" t="s">
        <v>3904</v>
      </c>
      <c r="B362" s="778" t="s">
        <v>74</v>
      </c>
      <c r="C362" s="1428" t="s">
        <v>3587</v>
      </c>
      <c r="D362" s="1429">
        <v>771.28</v>
      </c>
      <c r="E362" s="1429">
        <v>944.37</v>
      </c>
      <c r="F362" s="1429">
        <v>771.28</v>
      </c>
      <c r="G362" s="1429"/>
      <c r="H362" s="1429"/>
      <c r="I362" s="1429"/>
      <c r="J362" s="1429"/>
      <c r="K362" s="1429"/>
      <c r="L362" s="1429"/>
      <c r="M362" s="1429"/>
      <c r="N362" s="1429"/>
      <c r="O362" s="1429"/>
      <c r="P362" s="1429"/>
      <c r="Q362" s="778"/>
      <c r="R362" s="778"/>
    </row>
    <row r="363" spans="1:23" x14ac:dyDescent="0.3">
      <c r="A363" s="778" t="s">
        <v>3905</v>
      </c>
      <c r="B363" s="778" t="s">
        <v>74</v>
      </c>
      <c r="C363" s="1428" t="s">
        <v>3587</v>
      </c>
      <c r="D363" s="1429">
        <v>42.6</v>
      </c>
      <c r="E363" s="1429">
        <v>42.6</v>
      </c>
      <c r="F363" s="1429">
        <v>42.6</v>
      </c>
      <c r="G363" s="1429"/>
      <c r="H363" s="1429"/>
      <c r="I363" s="1429"/>
      <c r="J363" s="1429"/>
      <c r="K363" s="1429"/>
      <c r="L363" s="1429"/>
      <c r="M363" s="1429"/>
      <c r="N363" s="1429"/>
      <c r="O363" s="1429"/>
      <c r="P363" s="1429"/>
      <c r="Q363" s="778"/>
      <c r="R363" s="778"/>
    </row>
    <row r="364" spans="1:23" x14ac:dyDescent="0.3">
      <c r="A364" s="1160" t="s">
        <v>3906</v>
      </c>
      <c r="B364" s="1160" t="s">
        <v>74</v>
      </c>
      <c r="C364" s="1428">
        <v>1923.07</v>
      </c>
      <c r="D364" s="1428">
        <f>SUM(D365:D367)</f>
        <v>3860.78</v>
      </c>
      <c r="E364" s="1428">
        <f>SUM(E365:E367)</f>
        <v>5188.2800000000007</v>
      </c>
      <c r="F364" s="1428">
        <f>SUM(F365:F367)</f>
        <v>3860.78</v>
      </c>
      <c r="G364" s="5963" t="s">
        <v>3964</v>
      </c>
      <c r="H364" s="5964"/>
      <c r="I364" s="5964"/>
      <c r="J364" s="5964"/>
      <c r="K364" s="5964"/>
      <c r="L364" s="5964"/>
      <c r="M364" s="5964"/>
      <c r="N364" s="5964"/>
      <c r="O364" s="5964"/>
      <c r="P364" s="5964"/>
      <c r="Q364" s="5964"/>
      <c r="R364" s="5965"/>
    </row>
    <row r="365" spans="1:23" x14ac:dyDescent="0.3">
      <c r="A365" s="778" t="s">
        <v>3903</v>
      </c>
      <c r="B365" s="778" t="s">
        <v>74</v>
      </c>
      <c r="C365" s="1428" t="s">
        <v>3587</v>
      </c>
      <c r="D365" s="1429">
        <v>3053.76</v>
      </c>
      <c r="E365" s="1429">
        <v>4208.18</v>
      </c>
      <c r="F365" s="1429">
        <v>3053.76</v>
      </c>
      <c r="G365" s="1429"/>
      <c r="H365" s="1429"/>
      <c r="I365" s="1429"/>
      <c r="J365" s="1429"/>
      <c r="K365" s="1429"/>
      <c r="L365" s="1429"/>
      <c r="M365" s="1429"/>
      <c r="N365" s="1429"/>
      <c r="O365" s="1429"/>
      <c r="P365" s="1429"/>
      <c r="Q365" s="778"/>
      <c r="R365" s="778"/>
    </row>
    <row r="366" spans="1:23" x14ac:dyDescent="0.3">
      <c r="A366" s="778" t="s">
        <v>3904</v>
      </c>
      <c r="B366" s="778" t="s">
        <v>74</v>
      </c>
      <c r="C366" s="1428" t="s">
        <v>3587</v>
      </c>
      <c r="D366" s="1429">
        <v>764.42</v>
      </c>
      <c r="E366" s="1429">
        <v>937.5</v>
      </c>
      <c r="F366" s="1429">
        <v>764.42</v>
      </c>
      <c r="G366" s="1429"/>
      <c r="H366" s="1429"/>
      <c r="I366" s="1429"/>
      <c r="J366" s="1429"/>
      <c r="K366" s="1429"/>
      <c r="L366" s="1429"/>
      <c r="M366" s="1429"/>
      <c r="N366" s="1429"/>
      <c r="O366" s="1429"/>
      <c r="P366" s="1429"/>
      <c r="Q366" s="778"/>
      <c r="R366" s="778"/>
    </row>
    <row r="367" spans="1:23" x14ac:dyDescent="0.3">
      <c r="A367" s="778" t="s">
        <v>3905</v>
      </c>
      <c r="B367" s="778" t="s">
        <v>74</v>
      </c>
      <c r="C367" s="1428" t="s">
        <v>3587</v>
      </c>
      <c r="D367" s="1429">
        <v>42.6</v>
      </c>
      <c r="E367" s="1429">
        <v>42.6</v>
      </c>
      <c r="F367" s="1429">
        <v>42.6</v>
      </c>
      <c r="G367" s="1429"/>
      <c r="H367" s="1429"/>
      <c r="I367" s="1429"/>
      <c r="J367" s="1429"/>
      <c r="K367" s="1429"/>
      <c r="L367" s="1429"/>
      <c r="M367" s="1429"/>
      <c r="N367" s="1429"/>
      <c r="O367" s="1429"/>
      <c r="P367" s="1429"/>
      <c r="Q367" s="778"/>
      <c r="R367" s="778"/>
    </row>
    <row r="368" spans="1:23" x14ac:dyDescent="0.3">
      <c r="A368" s="1160" t="s">
        <v>3907</v>
      </c>
      <c r="B368" s="778" t="s">
        <v>74</v>
      </c>
      <c r="C368" s="1428" t="s">
        <v>3587</v>
      </c>
      <c r="D368" s="1428" t="s">
        <v>3587</v>
      </c>
      <c r="E368" s="1428" t="s">
        <v>3587</v>
      </c>
      <c r="F368" s="1428" t="s">
        <v>3587</v>
      </c>
      <c r="G368" s="1428"/>
      <c r="H368" s="1428"/>
      <c r="I368" s="1428"/>
      <c r="J368" s="1429"/>
      <c r="K368" s="1429"/>
      <c r="L368" s="1429"/>
      <c r="M368" s="1429"/>
      <c r="N368" s="1429"/>
      <c r="O368" s="1429"/>
      <c r="P368" s="1429"/>
      <c r="Q368" s="778"/>
      <c r="R368" s="778"/>
    </row>
    <row r="369" spans="1:18" x14ac:dyDescent="0.3">
      <c r="A369" s="778" t="s">
        <v>3903</v>
      </c>
      <c r="B369" s="778" t="s">
        <v>74</v>
      </c>
      <c r="C369" s="1429"/>
      <c r="D369" s="1429"/>
      <c r="E369" s="1429"/>
      <c r="F369" s="1429"/>
      <c r="G369" s="1429"/>
      <c r="H369" s="1429"/>
      <c r="I369" s="1429"/>
      <c r="J369" s="1429"/>
      <c r="K369" s="1429"/>
      <c r="L369" s="1429"/>
      <c r="M369" s="1429"/>
      <c r="N369" s="1429"/>
      <c r="O369" s="1429"/>
      <c r="P369" s="1429"/>
      <c r="Q369" s="778"/>
      <c r="R369" s="778"/>
    </row>
    <row r="370" spans="1:18" x14ac:dyDescent="0.3">
      <c r="A370" s="778" t="s">
        <v>3904</v>
      </c>
      <c r="B370" s="778" t="s">
        <v>74</v>
      </c>
      <c r="C370" s="1429"/>
      <c r="D370" s="1429"/>
      <c r="E370" s="1429"/>
      <c r="F370" s="1429"/>
      <c r="G370" s="1429"/>
      <c r="H370" s="1429"/>
      <c r="I370" s="1429"/>
      <c r="J370" s="1429"/>
      <c r="K370" s="1429"/>
      <c r="L370" s="1429"/>
      <c r="M370" s="1429"/>
      <c r="N370" s="1429"/>
      <c r="O370" s="1429"/>
      <c r="P370" s="1429"/>
      <c r="Q370" s="778"/>
      <c r="R370" s="778"/>
    </row>
    <row r="371" spans="1:18" x14ac:dyDescent="0.3">
      <c r="A371" s="778" t="s">
        <v>3905</v>
      </c>
      <c r="B371" s="778" t="s">
        <v>74</v>
      </c>
      <c r="C371" s="1429"/>
      <c r="D371" s="1429"/>
      <c r="E371" s="1429"/>
      <c r="F371" s="1429"/>
      <c r="G371" s="1429"/>
      <c r="H371" s="1429"/>
      <c r="I371" s="1429"/>
      <c r="J371" s="1429"/>
      <c r="K371" s="1429"/>
      <c r="L371" s="1429"/>
      <c r="M371" s="1429"/>
      <c r="N371" s="1429"/>
      <c r="O371" s="1429"/>
      <c r="P371" s="1429"/>
      <c r="Q371" s="778"/>
      <c r="R371" s="778"/>
    </row>
    <row r="372" spans="1:18" x14ac:dyDescent="0.3">
      <c r="A372" s="1160" t="s">
        <v>3930</v>
      </c>
      <c r="B372" s="778"/>
      <c r="C372" s="1429"/>
      <c r="D372" s="1429"/>
      <c r="E372" s="1429"/>
      <c r="F372" s="1429"/>
      <c r="G372" s="1429"/>
      <c r="H372" s="1429"/>
      <c r="I372" s="1429"/>
      <c r="J372" s="1429"/>
      <c r="K372" s="1429"/>
      <c r="L372" s="1429"/>
      <c r="M372" s="1429"/>
      <c r="N372" s="1429"/>
      <c r="O372" s="1429"/>
      <c r="P372" s="1429"/>
      <c r="Q372" s="778"/>
      <c r="R372" s="778"/>
    </row>
    <row r="373" spans="1:18" ht="28.2" customHeight="1" x14ac:dyDescent="0.3">
      <c r="A373" s="778" t="s">
        <v>3909</v>
      </c>
      <c r="B373" s="713" t="s">
        <v>3910</v>
      </c>
      <c r="C373" s="1429"/>
      <c r="D373" s="1429"/>
      <c r="E373" s="1429"/>
      <c r="F373" s="1429"/>
      <c r="G373" s="1429"/>
      <c r="H373" s="1429"/>
      <c r="I373" s="1429"/>
      <c r="J373" s="1429"/>
      <c r="K373" s="1429"/>
      <c r="L373" s="1429"/>
      <c r="M373" s="1429"/>
      <c r="N373" s="1429"/>
      <c r="O373" s="1429"/>
      <c r="P373" s="1429"/>
      <c r="Q373" s="778"/>
      <c r="R373" s="778"/>
    </row>
    <row r="374" spans="1:18" x14ac:dyDescent="0.3">
      <c r="A374" s="778" t="s">
        <v>3911</v>
      </c>
      <c r="B374" s="778" t="s">
        <v>74</v>
      </c>
      <c r="C374" s="1429"/>
      <c r="D374" s="1429"/>
      <c r="E374" s="1429"/>
      <c r="F374" s="1429"/>
      <c r="G374" s="1429"/>
      <c r="H374" s="1429"/>
      <c r="I374" s="1429"/>
      <c r="J374" s="1429"/>
      <c r="K374" s="1429"/>
      <c r="L374" s="1429"/>
      <c r="M374" s="1429"/>
      <c r="N374" s="1429"/>
      <c r="O374" s="1429"/>
      <c r="P374" s="1429"/>
      <c r="Q374" s="778"/>
      <c r="R374" s="778"/>
    </row>
    <row r="375" spans="1:18" x14ac:dyDescent="0.3">
      <c r="A375" s="5966"/>
      <c r="B375" s="5966"/>
      <c r="C375" s="5966"/>
      <c r="D375" s="5966"/>
      <c r="E375" s="5966"/>
      <c r="F375" s="5966"/>
      <c r="G375" s="5966"/>
      <c r="H375" s="5966"/>
      <c r="I375" s="5966"/>
      <c r="J375" s="5966"/>
      <c r="K375" s="5966"/>
      <c r="L375" s="5966"/>
      <c r="M375" s="5966"/>
      <c r="N375" s="5966"/>
      <c r="O375" s="5966"/>
      <c r="P375" s="5966"/>
    </row>
    <row r="376" spans="1:18" x14ac:dyDescent="0.3">
      <c r="A376" s="1160" t="s">
        <v>3902</v>
      </c>
      <c r="B376" s="1160" t="s">
        <v>74</v>
      </c>
      <c r="C376" s="1428">
        <f>SUM(C377:C379)</f>
        <v>0</v>
      </c>
      <c r="D376" s="1428">
        <f>SUM(D377:D379)</f>
        <v>0</v>
      </c>
      <c r="E376" s="1428">
        <f>SUM(E377:E379)</f>
        <v>0</v>
      </c>
      <c r="F376" s="1428">
        <f>SUM(F377:F379)</f>
        <v>0</v>
      </c>
      <c r="G376" s="778"/>
      <c r="H376" s="778"/>
      <c r="I376" s="778"/>
      <c r="J376" s="778"/>
      <c r="K376" s="778"/>
      <c r="L376" s="778"/>
      <c r="M376" s="778"/>
      <c r="N376" s="778"/>
      <c r="O376" s="778"/>
      <c r="P376" s="778"/>
      <c r="Q376" s="778"/>
      <c r="R376" s="778"/>
    </row>
    <row r="377" spans="1:18" x14ac:dyDescent="0.3">
      <c r="A377" s="778" t="s">
        <v>3903</v>
      </c>
      <c r="B377" s="778" t="s">
        <v>74</v>
      </c>
      <c r="C377" s="1428"/>
      <c r="D377" s="1429"/>
      <c r="E377" s="1429"/>
      <c r="F377" s="1429"/>
      <c r="G377" s="1429"/>
      <c r="H377" s="1429"/>
      <c r="I377" s="1429"/>
      <c r="J377" s="1429"/>
      <c r="K377" s="1429"/>
      <c r="L377" s="1429"/>
      <c r="M377" s="1429"/>
      <c r="N377" s="1429"/>
      <c r="O377" s="1429"/>
      <c r="P377" s="1429"/>
      <c r="Q377" s="778"/>
      <c r="R377" s="778"/>
    </row>
    <row r="378" spans="1:18" x14ac:dyDescent="0.3">
      <c r="A378" s="778" t="s">
        <v>3904</v>
      </c>
      <c r="B378" s="778" t="s">
        <v>74</v>
      </c>
      <c r="C378" s="1428"/>
      <c r="D378" s="1429"/>
      <c r="E378" s="1429"/>
      <c r="F378" s="1429"/>
      <c r="G378" s="1429"/>
      <c r="H378" s="1429"/>
      <c r="I378" s="1429"/>
      <c r="J378" s="1429"/>
      <c r="K378" s="1429"/>
      <c r="L378" s="1429"/>
      <c r="M378" s="1429"/>
      <c r="N378" s="1429"/>
      <c r="O378" s="1429"/>
      <c r="P378" s="1429"/>
      <c r="Q378" s="778"/>
      <c r="R378" s="778"/>
    </row>
    <row r="379" spans="1:18" x14ac:dyDescent="0.3">
      <c r="A379" s="778" t="s">
        <v>3905</v>
      </c>
      <c r="B379" s="778" t="s">
        <v>74</v>
      </c>
      <c r="C379" s="1428"/>
      <c r="D379" s="1429"/>
      <c r="E379" s="1429"/>
      <c r="F379" s="1429"/>
      <c r="G379" s="1429"/>
      <c r="H379" s="1429"/>
      <c r="I379" s="1429"/>
      <c r="J379" s="1429"/>
      <c r="K379" s="1429"/>
      <c r="L379" s="1429"/>
      <c r="M379" s="1429"/>
      <c r="N379" s="1429"/>
      <c r="O379" s="1429"/>
      <c r="P379" s="1429"/>
      <c r="Q379" s="778"/>
      <c r="R379" s="778"/>
    </row>
    <row r="380" spans="1:18" x14ac:dyDescent="0.3">
      <c r="A380" s="1160" t="s">
        <v>3906</v>
      </c>
      <c r="B380" s="1160" t="s">
        <v>74</v>
      </c>
      <c r="C380" s="1428">
        <f>SUM(C381:C383)</f>
        <v>0</v>
      </c>
      <c r="D380" s="1428">
        <f>SUM(D381:D383)</f>
        <v>0</v>
      </c>
      <c r="E380" s="1428">
        <f>SUM(E381:E383)</f>
        <v>0</v>
      </c>
      <c r="F380" s="1428">
        <f>SUM(F381:F383)</f>
        <v>0</v>
      </c>
      <c r="G380" s="4117"/>
      <c r="H380" s="4117"/>
      <c r="I380" s="4117"/>
      <c r="J380" s="4117"/>
      <c r="K380" s="4117"/>
      <c r="L380" s="4117"/>
      <c r="M380" s="4117"/>
      <c r="N380" s="4117"/>
      <c r="O380" s="4117"/>
      <c r="P380" s="4117"/>
      <c r="Q380" s="4117"/>
      <c r="R380" s="4117"/>
    </row>
    <row r="381" spans="1:18" x14ac:dyDescent="0.3">
      <c r="A381" s="778" t="s">
        <v>3903</v>
      </c>
      <c r="B381" s="778" t="s">
        <v>74</v>
      </c>
      <c r="C381" s="1428"/>
      <c r="D381" s="1429"/>
      <c r="E381" s="1429"/>
      <c r="F381" s="1429"/>
      <c r="G381" s="1429"/>
      <c r="H381" s="1429"/>
      <c r="I381" s="1429"/>
      <c r="J381" s="1429"/>
      <c r="K381" s="1429"/>
      <c r="L381" s="1429"/>
      <c r="M381" s="1429"/>
      <c r="N381" s="1429"/>
      <c r="O381" s="1429"/>
      <c r="P381" s="1429"/>
      <c r="Q381" s="778"/>
      <c r="R381" s="778"/>
    </row>
    <row r="382" spans="1:18" x14ac:dyDescent="0.3">
      <c r="A382" s="778" t="s">
        <v>3904</v>
      </c>
      <c r="B382" s="778" t="s">
        <v>74</v>
      </c>
      <c r="C382" s="1428"/>
      <c r="D382" s="1429"/>
      <c r="E382" s="1429"/>
      <c r="F382" s="1429"/>
      <c r="G382" s="1429"/>
      <c r="H382" s="1429"/>
      <c r="I382" s="1429"/>
      <c r="J382" s="1429"/>
      <c r="K382" s="1429"/>
      <c r="L382" s="1429"/>
      <c r="M382" s="1429"/>
      <c r="N382" s="1429"/>
      <c r="O382" s="1429"/>
      <c r="P382" s="1429"/>
      <c r="Q382" s="778"/>
      <c r="R382" s="778"/>
    </row>
    <row r="383" spans="1:18" x14ac:dyDescent="0.3">
      <c r="A383" s="778" t="s">
        <v>3905</v>
      </c>
      <c r="B383" s="778" t="s">
        <v>74</v>
      </c>
      <c r="C383" s="1428"/>
      <c r="D383" s="1429"/>
      <c r="E383" s="1429"/>
      <c r="F383" s="1429"/>
      <c r="G383" s="1429"/>
      <c r="H383" s="1429"/>
      <c r="I383" s="1429"/>
      <c r="J383" s="1429"/>
      <c r="K383" s="1429"/>
      <c r="L383" s="1429"/>
      <c r="M383" s="1429"/>
      <c r="N383" s="1429"/>
      <c r="O383" s="1429"/>
      <c r="P383" s="1429"/>
      <c r="Q383" s="778"/>
      <c r="R383" s="778"/>
    </row>
    <row r="384" spans="1:18" x14ac:dyDescent="0.3">
      <c r="A384" s="1160" t="s">
        <v>3907</v>
      </c>
      <c r="B384" s="778" t="s">
        <v>74</v>
      </c>
      <c r="C384" s="1428"/>
      <c r="D384" s="1428"/>
      <c r="E384" s="1428"/>
      <c r="F384" s="1428"/>
      <c r="G384" s="1428"/>
      <c r="H384" s="1428"/>
      <c r="I384" s="1428"/>
      <c r="J384" s="1429"/>
      <c r="K384" s="1429"/>
      <c r="L384" s="1429"/>
      <c r="M384" s="1429"/>
      <c r="N384" s="1429"/>
      <c r="O384" s="1429"/>
      <c r="P384" s="1429"/>
      <c r="Q384" s="778"/>
      <c r="R384" s="778"/>
    </row>
    <row r="385" spans="1:18" x14ac:dyDescent="0.3">
      <c r="A385" s="778" t="s">
        <v>3903</v>
      </c>
      <c r="B385" s="778" t="s">
        <v>74</v>
      </c>
      <c r="C385" s="1429"/>
      <c r="D385" s="1429"/>
      <c r="E385" s="1429"/>
      <c r="F385" s="1429"/>
      <c r="G385" s="1429"/>
      <c r="H385" s="1429"/>
      <c r="I385" s="1429"/>
      <c r="J385" s="1429"/>
      <c r="K385" s="1429"/>
      <c r="L385" s="1429"/>
      <c r="M385" s="1429"/>
      <c r="N385" s="1429"/>
      <c r="O385" s="1429"/>
      <c r="P385" s="1429"/>
      <c r="Q385" s="778"/>
      <c r="R385" s="778"/>
    </row>
    <row r="386" spans="1:18" x14ac:dyDescent="0.3">
      <c r="A386" s="778" t="s">
        <v>3904</v>
      </c>
      <c r="B386" s="778" t="s">
        <v>74</v>
      </c>
      <c r="C386" s="1429"/>
      <c r="D386" s="1429"/>
      <c r="E386" s="1429"/>
      <c r="F386" s="1429"/>
      <c r="G386" s="1429"/>
      <c r="H386" s="1429"/>
      <c r="I386" s="1429"/>
      <c r="J386" s="1429"/>
      <c r="K386" s="1429"/>
      <c r="L386" s="1429"/>
      <c r="M386" s="1429"/>
      <c r="N386" s="1429"/>
      <c r="O386" s="1429"/>
      <c r="P386" s="1429"/>
      <c r="Q386" s="778"/>
      <c r="R386" s="778"/>
    </row>
    <row r="387" spans="1:18" x14ac:dyDescent="0.3">
      <c r="A387" s="778" t="s">
        <v>3905</v>
      </c>
      <c r="B387" s="778" t="s">
        <v>74</v>
      </c>
      <c r="C387" s="1429"/>
      <c r="D387" s="1429"/>
      <c r="E387" s="1429"/>
      <c r="F387" s="1429"/>
      <c r="G387" s="1429"/>
      <c r="H387" s="1429"/>
      <c r="I387" s="1429"/>
      <c r="J387" s="1429"/>
      <c r="K387" s="1429"/>
      <c r="L387" s="1429"/>
      <c r="M387" s="1429"/>
      <c r="N387" s="1429"/>
      <c r="O387" s="1429"/>
      <c r="P387" s="1429"/>
      <c r="Q387" s="778"/>
      <c r="R387" s="778"/>
    </row>
    <row r="388" spans="1:18" x14ac:dyDescent="0.3">
      <c r="A388" s="1160" t="s">
        <v>3930</v>
      </c>
      <c r="B388" s="778"/>
      <c r="C388" s="1429"/>
      <c r="D388" s="1429"/>
      <c r="E388" s="1429"/>
      <c r="F388" s="1429"/>
      <c r="G388" s="1429"/>
      <c r="H388" s="1429"/>
      <c r="I388" s="1429"/>
      <c r="J388" s="1429"/>
      <c r="K388" s="1429"/>
      <c r="L388" s="1429"/>
      <c r="M388" s="1429"/>
      <c r="N388" s="1429"/>
      <c r="O388" s="1429"/>
      <c r="P388" s="1429"/>
      <c r="Q388" s="778"/>
      <c r="R388" s="778"/>
    </row>
    <row r="389" spans="1:18" ht="27" customHeight="1" x14ac:dyDescent="0.3">
      <c r="A389" s="778" t="s">
        <v>3909</v>
      </c>
      <c r="B389" s="713" t="s">
        <v>3910</v>
      </c>
      <c r="C389" s="1429"/>
      <c r="D389" s="1429"/>
      <c r="E389" s="1429"/>
      <c r="F389" s="1429"/>
      <c r="G389" s="1429"/>
      <c r="H389" s="1429"/>
      <c r="I389" s="1429"/>
      <c r="J389" s="1429"/>
      <c r="K389" s="1429"/>
      <c r="L389" s="1429"/>
      <c r="M389" s="1429"/>
      <c r="N389" s="1429"/>
      <c r="O389" s="1429"/>
      <c r="P389" s="1429"/>
      <c r="Q389" s="778"/>
      <c r="R389" s="778"/>
    </row>
    <row r="390" spans="1:18" x14ac:dyDescent="0.3">
      <c r="A390" s="778" t="s">
        <v>3911</v>
      </c>
      <c r="B390" s="778" t="s">
        <v>74</v>
      </c>
      <c r="C390" s="1429"/>
      <c r="D390" s="1429"/>
      <c r="E390" s="1429"/>
      <c r="F390" s="1429"/>
      <c r="G390" s="1429"/>
      <c r="H390" s="1429"/>
      <c r="I390" s="1429"/>
      <c r="J390" s="1429"/>
      <c r="K390" s="1429"/>
      <c r="L390" s="1429"/>
      <c r="M390" s="1429"/>
      <c r="N390" s="1429"/>
      <c r="O390" s="1429"/>
      <c r="P390" s="1429"/>
      <c r="Q390" s="778"/>
      <c r="R390" s="778"/>
    </row>
    <row r="391" spans="1:18" x14ac:dyDescent="0.3">
      <c r="A391" s="5966" t="s">
        <v>3966</v>
      </c>
      <c r="B391" s="5966"/>
      <c r="C391" s="5966"/>
      <c r="D391" s="5966"/>
      <c r="E391" s="5966"/>
      <c r="F391" s="5966"/>
      <c r="G391" s="5966"/>
      <c r="H391" s="5966"/>
      <c r="I391" s="5966"/>
      <c r="J391" s="5966"/>
      <c r="K391" s="5966"/>
      <c r="L391" s="5966"/>
      <c r="M391" s="5966"/>
      <c r="N391" s="5966"/>
      <c r="O391" s="5966"/>
      <c r="P391" s="5966"/>
    </row>
    <row r="392" spans="1:18" x14ac:dyDescent="0.3">
      <c r="A392" s="1160" t="s">
        <v>3902</v>
      </c>
      <c r="B392" s="1160" t="s">
        <v>74</v>
      </c>
      <c r="C392" s="1428">
        <f>SUM(C393:C395)</f>
        <v>1655.076</v>
      </c>
      <c r="D392" s="1428">
        <f>SUM(D393:D395)</f>
        <v>1816.19</v>
      </c>
      <c r="E392" s="1428">
        <f>SUM(E393:E395)</f>
        <v>4179.0599999999995</v>
      </c>
      <c r="F392" s="1428">
        <f>SUM(F393:F395)</f>
        <v>4125.66</v>
      </c>
      <c r="G392" s="1428">
        <f t="shared" ref="G392:R392" si="23">SUM(G393:G395)</f>
        <v>2476.7099999999996</v>
      </c>
      <c r="H392" s="1428">
        <f t="shared" si="23"/>
        <v>25.361000000000001</v>
      </c>
      <c r="I392" s="1428">
        <f t="shared" si="23"/>
        <v>79.64</v>
      </c>
      <c r="J392" s="1428">
        <f t="shared" si="23"/>
        <v>4087.4600000000005</v>
      </c>
      <c r="K392" s="1428">
        <f t="shared" si="23"/>
        <v>25.361000000000001</v>
      </c>
      <c r="L392" s="1428">
        <f t="shared" si="23"/>
        <v>119.60000000000001</v>
      </c>
      <c r="M392" s="1428">
        <f t="shared" si="23"/>
        <v>7555.4809999999998</v>
      </c>
      <c r="N392" s="1428">
        <f t="shared" si="23"/>
        <v>25.361000000000001</v>
      </c>
      <c r="O392" s="1428">
        <f t="shared" si="23"/>
        <v>229.92899999999997</v>
      </c>
      <c r="P392" s="1428">
        <f t="shared" si="23"/>
        <v>4549.83</v>
      </c>
      <c r="Q392" s="1428">
        <f t="shared" si="23"/>
        <v>25.361000000000001</v>
      </c>
      <c r="R392" s="1428">
        <f t="shared" si="23"/>
        <v>118.29</v>
      </c>
    </row>
    <row r="393" spans="1:18" x14ac:dyDescent="0.3">
      <c r="A393" s="778" t="s">
        <v>3903</v>
      </c>
      <c r="B393" s="778" t="s">
        <v>74</v>
      </c>
      <c r="C393" s="1429">
        <v>1193.723</v>
      </c>
      <c r="D393" s="1429">
        <v>1130.19</v>
      </c>
      <c r="E393" s="1429">
        <v>2841.69</v>
      </c>
      <c r="F393" s="1429">
        <v>2936.97</v>
      </c>
      <c r="G393" s="1429">
        <v>1644.79</v>
      </c>
      <c r="H393" s="1429">
        <v>10.375</v>
      </c>
      <c r="I393" s="1429">
        <v>59.19</v>
      </c>
      <c r="J393" s="1429">
        <v>3008.8</v>
      </c>
      <c r="K393" s="1429">
        <v>10.375</v>
      </c>
      <c r="L393" s="1429">
        <v>98.83</v>
      </c>
      <c r="M393" s="1429">
        <v>5858.7849999999999</v>
      </c>
      <c r="N393" s="1429">
        <v>10.375</v>
      </c>
      <c r="O393" s="1429">
        <v>202.92699999999999</v>
      </c>
      <c r="P393" s="1429">
        <v>3103.65</v>
      </c>
      <c r="Q393" s="1429">
        <v>10.375</v>
      </c>
      <c r="R393" s="778">
        <v>84.33</v>
      </c>
    </row>
    <row r="394" spans="1:18" x14ac:dyDescent="0.3">
      <c r="A394" s="778" t="s">
        <v>3904</v>
      </c>
      <c r="B394" s="778" t="s">
        <v>74</v>
      </c>
      <c r="C394" s="1429">
        <v>449.09300000000002</v>
      </c>
      <c r="D394" s="1429">
        <v>677.9</v>
      </c>
      <c r="E394" s="1429">
        <v>1324.76</v>
      </c>
      <c r="F394" s="1429">
        <v>1178.31</v>
      </c>
      <c r="G394" s="1429">
        <v>820.7</v>
      </c>
      <c r="H394" s="1429">
        <v>14.986000000000001</v>
      </c>
      <c r="I394" s="1429">
        <v>20.03</v>
      </c>
      <c r="J394" s="1429">
        <v>1067.26</v>
      </c>
      <c r="K394" s="1429">
        <v>14.986000000000001</v>
      </c>
      <c r="L394" s="1429">
        <v>20.34</v>
      </c>
      <c r="M394" s="1429">
        <v>1681.346</v>
      </c>
      <c r="N394" s="1429">
        <v>14.986000000000001</v>
      </c>
      <c r="O394" s="1429">
        <v>26.427</v>
      </c>
      <c r="P394" s="1429">
        <v>1427.57</v>
      </c>
      <c r="Q394" s="1429">
        <v>14.986000000000001</v>
      </c>
      <c r="R394" s="778">
        <v>33.26</v>
      </c>
    </row>
    <row r="395" spans="1:18" x14ac:dyDescent="0.3">
      <c r="A395" s="778" t="s">
        <v>3905</v>
      </c>
      <c r="B395" s="778" t="s">
        <v>74</v>
      </c>
      <c r="C395" s="1429">
        <v>12.26</v>
      </c>
      <c r="D395" s="1429">
        <v>8.1</v>
      </c>
      <c r="E395" s="1429">
        <v>12.61</v>
      </c>
      <c r="F395" s="1429">
        <v>10.38</v>
      </c>
      <c r="G395" s="1429">
        <v>11.22</v>
      </c>
      <c r="H395" s="1429"/>
      <c r="I395" s="1429">
        <v>0.42</v>
      </c>
      <c r="J395" s="1429">
        <v>11.4</v>
      </c>
      <c r="K395" s="1429"/>
      <c r="L395" s="1429">
        <v>0.43</v>
      </c>
      <c r="M395" s="1429">
        <v>15.35</v>
      </c>
      <c r="N395" s="1429"/>
      <c r="O395" s="1429">
        <v>0.57499999999999996</v>
      </c>
      <c r="P395" s="1429">
        <v>18.61</v>
      </c>
      <c r="Q395" s="778"/>
      <c r="R395" s="778">
        <v>0.7</v>
      </c>
    </row>
    <row r="396" spans="1:18" x14ac:dyDescent="0.3">
      <c r="A396" s="1160" t="s">
        <v>3906</v>
      </c>
      <c r="B396" s="1160" t="s">
        <v>74</v>
      </c>
      <c r="C396" s="1428">
        <f>SUM(C397:C399)</f>
        <v>1655.076</v>
      </c>
      <c r="D396" s="1428">
        <f>SUM(D397:D399)</f>
        <v>1918.48</v>
      </c>
      <c r="E396" s="1428">
        <f>SUM(E397:E399)</f>
        <v>4416.2199999999993</v>
      </c>
      <c r="F396" s="1428">
        <f>SUM(F397:F399)</f>
        <v>0</v>
      </c>
      <c r="G396" s="1428">
        <f t="shared" ref="G396:R396" si="24">SUM(G397:G399)</f>
        <v>3214.47</v>
      </c>
      <c r="H396" s="1428">
        <f t="shared" si="24"/>
        <v>25.361000000000001</v>
      </c>
      <c r="I396" s="1428">
        <f t="shared" si="24"/>
        <v>103.73</v>
      </c>
      <c r="J396" s="1428">
        <f t="shared" si="24"/>
        <v>5006.99</v>
      </c>
      <c r="K396" s="1428">
        <f t="shared" si="24"/>
        <v>25.361000000000001</v>
      </c>
      <c r="L396" s="1428">
        <f t="shared" si="24"/>
        <v>147.51</v>
      </c>
      <c r="M396" s="1428">
        <f t="shared" si="24"/>
        <v>8511.7049999999999</v>
      </c>
      <c r="N396" s="1428">
        <f t="shared" si="24"/>
        <v>25.361000000000001</v>
      </c>
      <c r="O396" s="1428">
        <f t="shared" si="24"/>
        <v>406.43199999999996</v>
      </c>
      <c r="P396" s="1428">
        <f t="shared" si="24"/>
        <v>0</v>
      </c>
      <c r="Q396" s="1428">
        <f t="shared" si="24"/>
        <v>0</v>
      </c>
      <c r="R396" s="1428">
        <f t="shared" si="24"/>
        <v>0</v>
      </c>
    </row>
    <row r="397" spans="1:18" x14ac:dyDescent="0.3">
      <c r="A397" s="778" t="s">
        <v>3903</v>
      </c>
      <c r="B397" s="778" t="s">
        <v>74</v>
      </c>
      <c r="C397" s="1429">
        <v>1193.723</v>
      </c>
      <c r="D397" s="1429">
        <v>1130.19</v>
      </c>
      <c r="E397" s="1429">
        <v>2841.69</v>
      </c>
      <c r="F397" s="1429"/>
      <c r="G397" s="1429">
        <v>1644.79</v>
      </c>
      <c r="H397" s="1429">
        <v>10.375</v>
      </c>
      <c r="I397" s="1429">
        <v>59.19</v>
      </c>
      <c r="J397" s="1429">
        <v>3008.8</v>
      </c>
      <c r="K397" s="1429">
        <v>10.375</v>
      </c>
      <c r="L397" s="1429">
        <v>98.83</v>
      </c>
      <c r="M397" s="1429">
        <v>5858.7849999999999</v>
      </c>
      <c r="N397" s="1429">
        <v>10.375</v>
      </c>
      <c r="O397" s="1429">
        <v>202.92699999999999</v>
      </c>
      <c r="P397" s="1429"/>
      <c r="Q397" s="1429"/>
      <c r="R397" s="778"/>
    </row>
    <row r="398" spans="1:18" x14ac:dyDescent="0.3">
      <c r="A398" s="778" t="s">
        <v>3904</v>
      </c>
      <c r="B398" s="778" t="s">
        <v>74</v>
      </c>
      <c r="C398" s="1429">
        <v>449.09300000000002</v>
      </c>
      <c r="D398" s="1429">
        <v>782.81</v>
      </c>
      <c r="E398" s="1429">
        <v>1562.88</v>
      </c>
      <c r="F398" s="1429"/>
      <c r="G398" s="1429">
        <v>1558.46</v>
      </c>
      <c r="H398" s="1429">
        <v>14.986000000000001</v>
      </c>
      <c r="I398" s="1429">
        <v>44.12</v>
      </c>
      <c r="J398" s="1429">
        <v>1986.79</v>
      </c>
      <c r="K398" s="1429">
        <v>14.986000000000001</v>
      </c>
      <c r="L398" s="1429">
        <v>48.25</v>
      </c>
      <c r="M398" s="1429">
        <v>2637.57</v>
      </c>
      <c r="N398" s="1429">
        <v>14.986000000000001</v>
      </c>
      <c r="O398" s="1429">
        <v>202.93</v>
      </c>
      <c r="P398" s="1429"/>
      <c r="Q398" s="1429"/>
      <c r="R398" s="778"/>
    </row>
    <row r="399" spans="1:18" x14ac:dyDescent="0.3">
      <c r="A399" s="778" t="s">
        <v>3905</v>
      </c>
      <c r="B399" s="778" t="s">
        <v>74</v>
      </c>
      <c r="C399" s="1429">
        <v>12.26</v>
      </c>
      <c r="D399" s="1429">
        <v>5.48</v>
      </c>
      <c r="E399" s="1429">
        <v>11.65</v>
      </c>
      <c r="F399" s="1429"/>
      <c r="G399" s="1429">
        <v>11.22</v>
      </c>
      <c r="H399" s="1429"/>
      <c r="I399" s="1429">
        <v>0.42</v>
      </c>
      <c r="J399" s="1429">
        <v>11.4</v>
      </c>
      <c r="K399" s="1429"/>
      <c r="L399" s="1429">
        <v>0.43</v>
      </c>
      <c r="M399" s="1429">
        <v>15.35</v>
      </c>
      <c r="N399" s="1429"/>
      <c r="O399" s="1429">
        <v>0.57499999999999996</v>
      </c>
      <c r="P399" s="1429"/>
      <c r="Q399" s="778"/>
      <c r="R399" s="778"/>
    </row>
    <row r="400" spans="1:18" x14ac:dyDescent="0.3">
      <c r="A400" s="1160" t="s">
        <v>3907</v>
      </c>
      <c r="B400" s="778" t="s">
        <v>74</v>
      </c>
      <c r="C400" s="1428">
        <f>SUM(C401:C403)</f>
        <v>1655.076</v>
      </c>
      <c r="D400" s="1428"/>
      <c r="E400" s="1428"/>
      <c r="F400" s="1428"/>
      <c r="G400" s="1428"/>
      <c r="H400" s="1428"/>
      <c r="I400" s="1428"/>
      <c r="J400" s="1429"/>
      <c r="K400" s="1429"/>
      <c r="L400" s="1429"/>
      <c r="M400" s="1429"/>
      <c r="N400" s="1429"/>
      <c r="O400" s="1429"/>
      <c r="P400" s="1429"/>
      <c r="Q400" s="778"/>
      <c r="R400" s="778"/>
    </row>
    <row r="401" spans="1:18" x14ac:dyDescent="0.3">
      <c r="A401" s="778" t="s">
        <v>3903</v>
      </c>
      <c r="B401" s="778" t="s">
        <v>74</v>
      </c>
      <c r="C401" s="1429">
        <v>1193.723</v>
      </c>
      <c r="D401" s="1429"/>
      <c r="E401" s="1429"/>
      <c r="F401" s="1429"/>
      <c r="G401" s="1429"/>
      <c r="H401" s="1429"/>
      <c r="I401" s="1429"/>
      <c r="J401" s="1429"/>
      <c r="K401" s="1429"/>
      <c r="L401" s="1429"/>
      <c r="M401" s="1429"/>
      <c r="N401" s="1429"/>
      <c r="O401" s="1429"/>
      <c r="P401" s="1429"/>
      <c r="Q401" s="778"/>
      <c r="R401" s="778"/>
    </row>
    <row r="402" spans="1:18" x14ac:dyDescent="0.3">
      <c r="A402" s="778" t="s">
        <v>3904</v>
      </c>
      <c r="B402" s="778" t="s">
        <v>74</v>
      </c>
      <c r="C402" s="1429">
        <v>449.09300000000002</v>
      </c>
      <c r="D402" s="1429"/>
      <c r="E402" s="1429"/>
      <c r="F402" s="1429"/>
      <c r="G402" s="1429"/>
      <c r="H402" s="1429"/>
      <c r="I402" s="1429"/>
      <c r="J402" s="1429"/>
      <c r="K402" s="1429"/>
      <c r="L402" s="1429"/>
      <c r="M402" s="1429"/>
      <c r="N402" s="1429"/>
      <c r="O402" s="1429"/>
      <c r="P402" s="1429"/>
      <c r="Q402" s="778"/>
      <c r="R402" s="778"/>
    </row>
    <row r="403" spans="1:18" x14ac:dyDescent="0.3">
      <c r="A403" s="778" t="s">
        <v>3905</v>
      </c>
      <c r="B403" s="778" t="s">
        <v>74</v>
      </c>
      <c r="C403" s="1429">
        <v>12.26</v>
      </c>
      <c r="D403" s="1429"/>
      <c r="E403" s="1429"/>
      <c r="F403" s="1429"/>
      <c r="G403" s="1429"/>
      <c r="H403" s="1429"/>
      <c r="I403" s="1429"/>
      <c r="J403" s="1429"/>
      <c r="K403" s="1429"/>
      <c r="L403" s="1429"/>
      <c r="M403" s="1429"/>
      <c r="N403" s="1429"/>
      <c r="O403" s="1429"/>
      <c r="P403" s="1429"/>
      <c r="Q403" s="778"/>
      <c r="R403" s="778"/>
    </row>
    <row r="404" spans="1:18" x14ac:dyDescent="0.3">
      <c r="A404" s="1160" t="s">
        <v>3908</v>
      </c>
      <c r="B404" s="778"/>
      <c r="C404" s="1429"/>
      <c r="D404" s="1429"/>
      <c r="E404" s="1429"/>
      <c r="F404" s="1429"/>
      <c r="G404" s="1429"/>
      <c r="H404" s="1429"/>
      <c r="I404" s="1429"/>
      <c r="J404" s="1429"/>
      <c r="K404" s="1429"/>
      <c r="L404" s="1429"/>
      <c r="M404" s="1429"/>
      <c r="N404" s="1429"/>
      <c r="O404" s="1429"/>
      <c r="P404" s="1429"/>
      <c r="Q404" s="778"/>
      <c r="R404" s="778"/>
    </row>
    <row r="405" spans="1:18" ht="28.2" customHeight="1" x14ac:dyDescent="0.3">
      <c r="A405" s="778" t="s">
        <v>3909</v>
      </c>
      <c r="B405" s="713" t="s">
        <v>3910</v>
      </c>
      <c r="C405" s="1429" t="s">
        <v>224</v>
      </c>
      <c r="D405" s="1429">
        <v>20609.45</v>
      </c>
      <c r="E405" s="1429">
        <v>66128.75</v>
      </c>
      <c r="F405" s="1429" t="s">
        <v>224</v>
      </c>
      <c r="G405" s="1429">
        <v>88636.01</v>
      </c>
      <c r="H405" s="1429">
        <v>3165.01</v>
      </c>
      <c r="I405" s="1429">
        <v>7425.43</v>
      </c>
      <c r="J405" s="1429">
        <v>91065.74</v>
      </c>
      <c r="K405" s="1429">
        <v>3165.01</v>
      </c>
      <c r="L405" s="1429">
        <v>11121.63</v>
      </c>
      <c r="M405" s="1429">
        <v>84815.66</v>
      </c>
      <c r="N405" s="1429">
        <v>3165.01</v>
      </c>
      <c r="O405" s="1429">
        <v>13931.77</v>
      </c>
      <c r="P405" s="1429">
        <v>66268.679999999993</v>
      </c>
      <c r="Q405" s="3892">
        <v>3165.01</v>
      </c>
      <c r="R405" s="3892">
        <v>6612.26</v>
      </c>
    </row>
    <row r="406" spans="1:18" x14ac:dyDescent="0.3">
      <c r="A406" s="778" t="s">
        <v>3911</v>
      </c>
      <c r="B406" s="778" t="s">
        <v>74</v>
      </c>
      <c r="C406" s="1429" t="s">
        <v>224</v>
      </c>
      <c r="D406" s="1429">
        <v>1617.35</v>
      </c>
      <c r="E406" s="1429">
        <v>3208.73</v>
      </c>
      <c r="F406" s="1429" t="s">
        <v>224</v>
      </c>
      <c r="G406" s="1429">
        <v>1402.6</v>
      </c>
      <c r="H406" s="1429"/>
      <c r="I406" s="1429"/>
      <c r="J406" s="1429">
        <v>2966.81</v>
      </c>
      <c r="K406" s="1429"/>
      <c r="L406" s="1429"/>
      <c r="M406" s="1429"/>
      <c r="N406" s="1429"/>
      <c r="O406" s="1429"/>
      <c r="P406" s="1429"/>
      <c r="Q406" s="778"/>
      <c r="R406" s="778"/>
    </row>
    <row r="407" spans="1:18" x14ac:dyDescent="0.3">
      <c r="A407" s="1160" t="s">
        <v>3967</v>
      </c>
      <c r="B407" s="778"/>
      <c r="C407" s="1429"/>
      <c r="D407" s="1429"/>
      <c r="E407" s="1429"/>
      <c r="F407" s="1429"/>
      <c r="G407" s="1429"/>
      <c r="H407" s="1429"/>
      <c r="I407" s="1429"/>
      <c r="J407" s="1429"/>
      <c r="K407" s="1429"/>
      <c r="L407" s="1429"/>
      <c r="M407" s="1429"/>
      <c r="N407" s="1429"/>
      <c r="O407" s="1429"/>
      <c r="P407" s="1429"/>
      <c r="Q407" s="778"/>
      <c r="R407" s="778"/>
    </row>
    <row r="408" spans="1:18" ht="28.2" customHeight="1" x14ac:dyDescent="0.3">
      <c r="A408" s="778" t="s">
        <v>3909</v>
      </c>
      <c r="B408" s="713" t="s">
        <v>3910</v>
      </c>
      <c r="C408" s="1429" t="s">
        <v>224</v>
      </c>
      <c r="D408" s="1429">
        <v>33693.730000000003</v>
      </c>
      <c r="E408" s="1429">
        <v>87492.94</v>
      </c>
      <c r="F408" s="1429" t="s">
        <v>224</v>
      </c>
      <c r="G408" s="1429">
        <v>89920.13</v>
      </c>
      <c r="H408" s="1429">
        <v>3165.01</v>
      </c>
      <c r="I408" s="1429">
        <v>9663.92</v>
      </c>
      <c r="J408" s="1429">
        <v>88053.84</v>
      </c>
      <c r="K408" s="1429">
        <v>3165.01</v>
      </c>
      <c r="L408" s="1429">
        <v>12823.31</v>
      </c>
      <c r="M408" s="1429">
        <v>101220.84</v>
      </c>
      <c r="N408" s="1429">
        <v>3165.01</v>
      </c>
      <c r="O408" s="1429">
        <v>22702.91</v>
      </c>
      <c r="P408" s="1429"/>
      <c r="Q408" s="778"/>
      <c r="R408" s="778"/>
    </row>
    <row r="409" spans="1:18" x14ac:dyDescent="0.3">
      <c r="A409" s="778" t="s">
        <v>3911</v>
      </c>
      <c r="B409" s="778" t="s">
        <v>74</v>
      </c>
      <c r="C409" s="1429" t="s">
        <v>224</v>
      </c>
      <c r="D409" s="1429">
        <v>1698.47</v>
      </c>
      <c r="E409" s="1429">
        <v>3230.02</v>
      </c>
      <c r="F409" s="1429" t="s">
        <v>224</v>
      </c>
      <c r="G409" s="1429">
        <v>2120.9899999999998</v>
      </c>
      <c r="H409" s="1429"/>
      <c r="I409" s="1429"/>
      <c r="J409" s="1429">
        <v>3835.75</v>
      </c>
      <c r="K409" s="1429"/>
      <c r="L409" s="1429"/>
      <c r="M409" s="1429">
        <v>7180.49</v>
      </c>
      <c r="N409" s="1429"/>
      <c r="O409" s="1429"/>
      <c r="P409" s="1429"/>
      <c r="Q409" s="778"/>
      <c r="R409" s="778"/>
    </row>
  </sheetData>
  <mergeCells count="53">
    <mergeCell ref="G364:R364"/>
    <mergeCell ref="A375:P375"/>
    <mergeCell ref="A391:P391"/>
    <mergeCell ref="C312:C323"/>
    <mergeCell ref="A327:P327"/>
    <mergeCell ref="C344:C355"/>
    <mergeCell ref="A359:P359"/>
    <mergeCell ref="A343:R343"/>
    <mergeCell ref="S343:V343"/>
    <mergeCell ref="C296:C307"/>
    <mergeCell ref="A311:P311"/>
    <mergeCell ref="C280:C291"/>
    <mergeCell ref="A295:P295"/>
    <mergeCell ref="A263:P263"/>
    <mergeCell ref="A279:P279"/>
    <mergeCell ref="A177:P177"/>
    <mergeCell ref="A193:P193"/>
    <mergeCell ref="A215:P215"/>
    <mergeCell ref="A231:R231"/>
    <mergeCell ref="A247:R247"/>
    <mergeCell ref="G248:R248"/>
    <mergeCell ref="J6:J7"/>
    <mergeCell ref="K6:L6"/>
    <mergeCell ref="M6:M7"/>
    <mergeCell ref="N6:O6"/>
    <mergeCell ref="A161:R161"/>
    <mergeCell ref="P6:P7"/>
    <mergeCell ref="Q6:R6"/>
    <mergeCell ref="A8:P8"/>
    <mergeCell ref="A27:P27"/>
    <mergeCell ref="A65:R65"/>
    <mergeCell ref="A81:P81"/>
    <mergeCell ref="A97:S97"/>
    <mergeCell ref="A113:P113"/>
    <mergeCell ref="A129:K129"/>
    <mergeCell ref="I130:L130"/>
    <mergeCell ref="A145:P145"/>
    <mergeCell ref="A1:P1"/>
    <mergeCell ref="A2:P2"/>
    <mergeCell ref="A4:A7"/>
    <mergeCell ref="B4:B7"/>
    <mergeCell ref="C4:F4"/>
    <mergeCell ref="G4:R4"/>
    <mergeCell ref="C5:C7"/>
    <mergeCell ref="D5:D7"/>
    <mergeCell ref="E5:E7"/>
    <mergeCell ref="F5:F7"/>
    <mergeCell ref="G5:I5"/>
    <mergeCell ref="J5:L5"/>
    <mergeCell ref="M5:O5"/>
    <mergeCell ref="P5:R5"/>
    <mergeCell ref="G6:G7"/>
    <mergeCell ref="H6:I6"/>
  </mergeCells>
  <pageMargins left="0.7" right="0.7" top="0.75" bottom="0.75" header="0.3" footer="0.3"/>
  <pageSetup paperSize="9" orientation="portrait" horizontalDpi="0" verticalDpi="0" r:id="rId1"/>
</worksheet>
</file>

<file path=xl/worksheets/sheet1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7B00-000000000000}">
  <sheetPr codeName="Лист121"/>
  <dimension ref="A3:F46"/>
  <sheetViews>
    <sheetView workbookViewId="0">
      <pane xSplit="1" ySplit="4" topLeftCell="B38" activePane="bottomRight" state="frozen"/>
      <selection pane="topRight" activeCell="B1" sqref="B1"/>
      <selection pane="bottomLeft" activeCell="A2" sqref="A2"/>
      <selection pane="bottomRight" activeCell="C39" sqref="C39"/>
    </sheetView>
  </sheetViews>
  <sheetFormatPr defaultColWidth="8.88671875" defaultRowHeight="15.6" x14ac:dyDescent="0.3"/>
  <cols>
    <col min="1" max="1" width="3.6640625" style="45" customWidth="1"/>
    <col min="2" max="2" width="23.44140625" style="45" customWidth="1"/>
    <col min="3" max="3" width="62.88671875" style="45" customWidth="1"/>
    <col min="4" max="4" width="35.33203125" style="45" customWidth="1"/>
    <col min="5" max="5" width="34.6640625" style="45" customWidth="1"/>
    <col min="6" max="6" width="37.6640625" style="45" customWidth="1"/>
    <col min="7" max="16384" width="8.88671875" style="45"/>
  </cols>
  <sheetData>
    <row r="3" spans="1:6" ht="4.95" customHeight="1" x14ac:dyDescent="0.3"/>
    <row r="4" spans="1:6" s="1826" customFormat="1" x14ac:dyDescent="0.3">
      <c r="A4" s="4193"/>
      <c r="B4" s="1826" t="s">
        <v>1881</v>
      </c>
      <c r="C4" s="1826" t="s">
        <v>3972</v>
      </c>
      <c r="D4" s="1826" t="s">
        <v>928</v>
      </c>
      <c r="E4" s="1826" t="s">
        <v>902</v>
      </c>
      <c r="F4" s="1826" t="s">
        <v>1880</v>
      </c>
    </row>
    <row r="5" spans="1:6" s="44" customFormat="1" x14ac:dyDescent="0.3">
      <c r="A5" s="4187"/>
      <c r="B5" s="4941" t="s">
        <v>3973</v>
      </c>
      <c r="C5" s="4941"/>
      <c r="D5" s="4941"/>
      <c r="E5" s="4941"/>
      <c r="F5" s="4941"/>
    </row>
    <row r="6" spans="1:6" x14ac:dyDescent="0.3">
      <c r="B6" s="45" t="s">
        <v>2995</v>
      </c>
      <c r="C6" s="40" t="s">
        <v>3983</v>
      </c>
    </row>
    <row r="7" spans="1:6" ht="36" customHeight="1" x14ac:dyDescent="0.3">
      <c r="C7" s="4188" t="s">
        <v>3981</v>
      </c>
    </row>
    <row r="8" spans="1:6" ht="22.95" customHeight="1" x14ac:dyDescent="0.3">
      <c r="C8" s="40" t="s">
        <v>3985</v>
      </c>
    </row>
    <row r="9" spans="1:6" ht="36" customHeight="1" x14ac:dyDescent="0.3">
      <c r="C9" s="4188" t="s">
        <v>3986</v>
      </c>
    </row>
    <row r="10" spans="1:6" ht="22.95" customHeight="1" x14ac:dyDescent="0.3">
      <c r="C10" s="40" t="s">
        <v>3984</v>
      </c>
    </row>
    <row r="11" spans="1:6" ht="36" customHeight="1" x14ac:dyDescent="0.3">
      <c r="C11" s="4188" t="s">
        <v>3987</v>
      </c>
    </row>
    <row r="12" spans="1:6" ht="32.4" customHeight="1" x14ac:dyDescent="0.3">
      <c r="B12" s="1467" t="s">
        <v>3974</v>
      </c>
      <c r="C12" s="49" t="s">
        <v>3975</v>
      </c>
      <c r="D12" s="49" t="s">
        <v>3975</v>
      </c>
    </row>
    <row r="13" spans="1:6" ht="32.4" customHeight="1" x14ac:dyDescent="0.3">
      <c r="B13" s="1467"/>
      <c r="C13" s="4189" t="s">
        <v>3982</v>
      </c>
      <c r="D13" s="49"/>
    </row>
    <row r="14" spans="1:6" x14ac:dyDescent="0.3">
      <c r="B14" s="45" t="s">
        <v>3991</v>
      </c>
      <c r="C14" s="40" t="s">
        <v>3988</v>
      </c>
    </row>
    <row r="15" spans="1:6" ht="25.95" customHeight="1" x14ac:dyDescent="0.3">
      <c r="C15" s="4189" t="s">
        <v>3989</v>
      </c>
    </row>
    <row r="16" spans="1:6" ht="31.2" x14ac:dyDescent="0.3">
      <c r="B16" s="1467" t="s">
        <v>610</v>
      </c>
      <c r="C16" s="49" t="s">
        <v>2984</v>
      </c>
    </row>
    <row r="17" spans="1:6" ht="33.6" customHeight="1" x14ac:dyDescent="0.3">
      <c r="C17" s="4189" t="s">
        <v>3990</v>
      </c>
    </row>
    <row r="18" spans="1:6" x14ac:dyDescent="0.3">
      <c r="C18" s="4189"/>
    </row>
    <row r="19" spans="1:6" x14ac:dyDescent="0.3">
      <c r="B19" s="4941" t="s">
        <v>1954</v>
      </c>
      <c r="C19" s="4941"/>
      <c r="D19" s="4941"/>
      <c r="E19" s="4941"/>
      <c r="F19" s="4941"/>
    </row>
    <row r="20" spans="1:6" ht="15.6" customHeight="1" x14ac:dyDescent="0.3">
      <c r="B20" s="5972" t="s">
        <v>3980</v>
      </c>
      <c r="C20" s="1320" t="s">
        <v>3977</v>
      </c>
      <c r="D20" s="1320" t="s">
        <v>3977</v>
      </c>
      <c r="E20" s="1320" t="s">
        <v>3977</v>
      </c>
      <c r="F20" s="1320" t="s">
        <v>3977</v>
      </c>
    </row>
    <row r="21" spans="1:6" x14ac:dyDescent="0.3">
      <c r="B21" s="5972"/>
      <c r="C21" s="1320" t="s">
        <v>3978</v>
      </c>
      <c r="D21" s="1320" t="s">
        <v>3978</v>
      </c>
      <c r="E21" s="1320" t="s">
        <v>3978</v>
      </c>
      <c r="F21" s="1320" t="s">
        <v>3978</v>
      </c>
    </row>
    <row r="22" spans="1:6" ht="16.2" customHeight="1" x14ac:dyDescent="0.3">
      <c r="B22" s="5972"/>
      <c r="C22" s="1592" t="s">
        <v>3979</v>
      </c>
      <c r="D22" s="1592" t="s">
        <v>3979</v>
      </c>
      <c r="E22" s="1592" t="s">
        <v>3979</v>
      </c>
      <c r="F22" s="1592" t="s">
        <v>3979</v>
      </c>
    </row>
    <row r="23" spans="1:6" ht="149.4" customHeight="1" x14ac:dyDescent="0.3">
      <c r="C23" s="5971" t="s">
        <v>3992</v>
      </c>
      <c r="D23" s="5971"/>
      <c r="E23" s="5971"/>
      <c r="F23" s="5971"/>
    </row>
    <row r="24" spans="1:6" x14ac:dyDescent="0.3">
      <c r="B24" s="4941" t="s">
        <v>4006</v>
      </c>
      <c r="C24" s="4941"/>
      <c r="D24" s="4941"/>
      <c r="E24" s="4941"/>
      <c r="F24" s="4941"/>
    </row>
    <row r="25" spans="1:6" ht="78" x14ac:dyDescent="0.3">
      <c r="B25" s="1467" t="s">
        <v>3993</v>
      </c>
      <c r="C25" s="1795" t="s">
        <v>3993</v>
      </c>
      <c r="D25" s="1795" t="s">
        <v>3993</v>
      </c>
      <c r="E25" s="1795" t="s">
        <v>3993</v>
      </c>
      <c r="F25" s="1795" t="s">
        <v>3993</v>
      </c>
    </row>
    <row r="26" spans="1:6" ht="142.19999999999999" customHeight="1" x14ac:dyDescent="0.3">
      <c r="B26" s="1795" t="s">
        <v>3996</v>
      </c>
      <c r="C26" s="1795" t="s">
        <v>3995</v>
      </c>
      <c r="D26" s="1795" t="s">
        <v>3994</v>
      </c>
      <c r="E26" s="1795" t="s">
        <v>3997</v>
      </c>
      <c r="F26" s="1795" t="s">
        <v>3998</v>
      </c>
    </row>
    <row r="27" spans="1:6" s="4190" customFormat="1" ht="220.95" customHeight="1" x14ac:dyDescent="0.3">
      <c r="B27" s="1795" t="s">
        <v>3999</v>
      </c>
      <c r="C27" s="1795" t="s">
        <v>4007</v>
      </c>
      <c r="D27" s="1795" t="s">
        <v>4000</v>
      </c>
      <c r="E27" s="1795" t="s">
        <v>4001</v>
      </c>
      <c r="F27" s="1795"/>
    </row>
    <row r="28" spans="1:6" s="4190" customFormat="1" ht="126" customHeight="1" x14ac:dyDescent="0.3">
      <c r="B28" s="4191" t="s">
        <v>4002</v>
      </c>
      <c r="C28" s="1591" t="s">
        <v>4003</v>
      </c>
      <c r="D28" s="1591" t="s">
        <v>4004</v>
      </c>
      <c r="E28" s="1591" t="s">
        <v>4005</v>
      </c>
    </row>
    <row r="29" spans="1:6" x14ac:dyDescent="0.3">
      <c r="A29" s="4192"/>
      <c r="B29" s="4941" t="s">
        <v>4008</v>
      </c>
      <c r="C29" s="4941"/>
      <c r="D29" s="4941"/>
      <c r="E29" s="4941"/>
      <c r="F29" s="4941"/>
    </row>
    <row r="30" spans="1:6" ht="15" customHeight="1" x14ac:dyDescent="0.3">
      <c r="B30" s="5696" t="s">
        <v>4018</v>
      </c>
      <c r="C30" s="5696"/>
      <c r="D30" s="5696"/>
      <c r="E30" s="5696"/>
      <c r="F30" s="5696"/>
    </row>
    <row r="31" spans="1:6" ht="32.4" customHeight="1" x14ac:dyDescent="0.3">
      <c r="B31" s="4191" t="s">
        <v>3980</v>
      </c>
      <c r="C31" s="5970" t="s">
        <v>4017</v>
      </c>
    </row>
    <row r="32" spans="1:6" ht="78" x14ac:dyDescent="0.3">
      <c r="B32" s="1467" t="s">
        <v>3993</v>
      </c>
      <c r="C32" s="5970"/>
    </row>
    <row r="33" spans="2:6" x14ac:dyDescent="0.3">
      <c r="B33" s="1467" t="s">
        <v>4023</v>
      </c>
      <c r="C33" s="5970"/>
    </row>
    <row r="34" spans="2:6" ht="31.2" customHeight="1" x14ac:dyDescent="0.3">
      <c r="B34" s="1467" t="s">
        <v>4019</v>
      </c>
      <c r="C34" s="1467" t="s">
        <v>4019</v>
      </c>
    </row>
    <row r="35" spans="2:6" ht="15.6" customHeight="1" x14ac:dyDescent="0.3">
      <c r="C35" s="4195" t="s">
        <v>4020</v>
      </c>
    </row>
    <row r="36" spans="2:6" ht="140.4" x14ac:dyDescent="0.3">
      <c r="B36" s="1795" t="s">
        <v>4021</v>
      </c>
      <c r="C36" s="1795" t="s">
        <v>4021</v>
      </c>
    </row>
    <row r="37" spans="2:6" x14ac:dyDescent="0.3">
      <c r="C37" s="1467" t="s">
        <v>4009</v>
      </c>
    </row>
    <row r="38" spans="2:6" ht="62.4" x14ac:dyDescent="0.3">
      <c r="C38" s="1467" t="s">
        <v>4022</v>
      </c>
    </row>
    <row r="39" spans="2:6" ht="92.4" customHeight="1" x14ac:dyDescent="0.3">
      <c r="C39" s="1467" t="s">
        <v>4010</v>
      </c>
    </row>
    <row r="40" spans="2:6" ht="31.2" x14ac:dyDescent="0.3">
      <c r="C40" s="1467" t="s">
        <v>4011</v>
      </c>
    </row>
    <row r="41" spans="2:6" ht="31.2" x14ac:dyDescent="0.3">
      <c r="C41" s="1467" t="s">
        <v>4012</v>
      </c>
    </row>
    <row r="42" spans="2:6" ht="9.6" customHeight="1" x14ac:dyDescent="0.3">
      <c r="C42" s="1467" t="s">
        <v>4013</v>
      </c>
    </row>
    <row r="43" spans="2:6" hidden="1" x14ac:dyDescent="0.3"/>
    <row r="44" spans="2:6" ht="25.95" customHeight="1" x14ac:dyDescent="0.3">
      <c r="C44" s="3786" t="s">
        <v>4014</v>
      </c>
      <c r="F44" s="3786" t="s">
        <v>3976</v>
      </c>
    </row>
    <row r="45" spans="2:6" x14ac:dyDescent="0.3">
      <c r="C45" s="45" t="s">
        <v>4015</v>
      </c>
    </row>
    <row r="46" spans="2:6" ht="306" x14ac:dyDescent="0.3">
      <c r="C46" s="4194" t="s">
        <v>4016</v>
      </c>
    </row>
  </sheetData>
  <mergeCells count="8">
    <mergeCell ref="C31:C33"/>
    <mergeCell ref="C23:F23"/>
    <mergeCell ref="B24:F24"/>
    <mergeCell ref="B5:F5"/>
    <mergeCell ref="B19:F19"/>
    <mergeCell ref="B29:F29"/>
    <mergeCell ref="B20:B22"/>
    <mergeCell ref="B30:F30"/>
  </mergeCells>
  <pageMargins left="0.7" right="0.7" top="0.75" bottom="0.75" header="0.3" footer="0.3"/>
  <pageSetup paperSize="9" orientation="portrait" horizontalDpi="0" verticalDpi="0" r:id="rId1"/>
  <legacyDrawing r:id="rId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Лист5">
    <tabColor rgb="FF92D050"/>
    <pageSetUpPr fitToPage="1"/>
  </sheetPr>
  <dimension ref="A1:AA77"/>
  <sheetViews>
    <sheetView topLeftCell="A7" zoomScale="125" zoomScaleNormal="125" zoomScaleSheetLayoutView="89" workbookViewId="0">
      <pane xSplit="3" ySplit="4" topLeftCell="E41" activePane="bottomRight" state="frozen"/>
      <selection activeCell="A7" sqref="A7"/>
      <selection pane="topRight" activeCell="D7" sqref="D7"/>
      <selection pane="bottomLeft" activeCell="A11" sqref="A11"/>
      <selection pane="bottomRight" activeCell="G17" sqref="G17"/>
    </sheetView>
  </sheetViews>
  <sheetFormatPr defaultColWidth="9.109375" defaultRowHeight="14.4" x14ac:dyDescent="0.3"/>
  <cols>
    <col min="1" max="1" width="5.88671875" style="3503" customWidth="1"/>
    <col min="2" max="2" width="50.6640625" style="3464" customWidth="1"/>
    <col min="3" max="3" width="7.5546875" style="3464" customWidth="1"/>
    <col min="4" max="4" width="12.33203125" style="3464" customWidth="1"/>
    <col min="5" max="5" width="10.109375" style="3464" customWidth="1"/>
    <col min="6" max="6" width="11.109375" style="3464" customWidth="1"/>
    <col min="7" max="7" width="11.5546875" style="3464" customWidth="1"/>
    <col min="8" max="9" width="7.6640625" style="3464" customWidth="1"/>
    <col min="10" max="10" width="7.88671875" style="3464" customWidth="1"/>
    <col min="11" max="11" width="9.109375" style="3464" customWidth="1"/>
    <col min="12" max="12" width="9.33203125" style="917" bestFit="1" customWidth="1"/>
    <col min="13" max="13" width="9.109375" style="917"/>
    <col min="14" max="14" width="9.44140625" style="917" bestFit="1" customWidth="1"/>
    <col min="15" max="27" width="9.109375" style="917"/>
    <col min="28" max="16384" width="9.109375" style="3464"/>
  </cols>
  <sheetData>
    <row r="1" spans="1:27" ht="42.6" customHeight="1" x14ac:dyDescent="0.3">
      <c r="A1" s="102"/>
      <c r="B1" s="103"/>
      <c r="C1" s="104"/>
      <c r="D1" s="2070"/>
      <c r="E1" s="2070"/>
      <c r="F1" s="2070"/>
      <c r="G1" s="2070"/>
      <c r="H1" s="5050" t="s">
        <v>3126</v>
      </c>
      <c r="I1" s="5050"/>
      <c r="J1" s="5050"/>
      <c r="K1" s="5050"/>
    </row>
    <row r="2" spans="1:27" ht="14.4" customHeight="1" x14ac:dyDescent="0.3">
      <c r="A2" s="102"/>
      <c r="B2" s="103"/>
      <c r="C2" s="104"/>
      <c r="D2" s="2069"/>
      <c r="E2" s="2069"/>
      <c r="F2" s="2069"/>
      <c r="G2" s="137"/>
      <c r="H2" s="150" t="str">
        <f>'Вхідні дані'!F1</f>
        <v>станом на 01.09.2023 року</v>
      </c>
      <c r="I2" s="144"/>
      <c r="J2" s="144"/>
      <c r="K2" s="144"/>
    </row>
    <row r="3" spans="1:27" x14ac:dyDescent="0.3">
      <c r="A3" s="5020" t="s">
        <v>451</v>
      </c>
      <c r="B3" s="5020"/>
      <c r="C3" s="5020"/>
      <c r="D3" s="5020"/>
      <c r="E3" s="5020"/>
      <c r="F3" s="5020"/>
      <c r="G3" s="5020"/>
      <c r="H3" s="5020"/>
      <c r="I3" s="5020"/>
      <c r="J3" s="5020"/>
      <c r="K3" s="5020"/>
    </row>
    <row r="4" spans="1:27" x14ac:dyDescent="0.3">
      <c r="A4" s="5020" t="s">
        <v>612</v>
      </c>
      <c r="B4" s="5020"/>
      <c r="C4" s="5020"/>
      <c r="D4" s="5020"/>
      <c r="E4" s="5020"/>
      <c r="F4" s="5020"/>
      <c r="G4" s="5020"/>
      <c r="H4" s="5020"/>
      <c r="I4" s="5020"/>
      <c r="J4" s="5020"/>
      <c r="K4" s="5020"/>
    </row>
    <row r="5" spans="1:27" ht="0.6" customHeight="1" x14ac:dyDescent="0.3">
      <c r="A5" s="102"/>
      <c r="B5" s="5068"/>
      <c r="C5" s="5068"/>
      <c r="D5" s="5068"/>
      <c r="E5" s="5068"/>
      <c r="F5" s="5068"/>
      <c r="G5" s="104"/>
      <c r="H5" s="144"/>
      <c r="I5" s="144"/>
      <c r="J5" s="144"/>
      <c r="K5" s="144"/>
    </row>
    <row r="6" spans="1:27" x14ac:dyDescent="0.3">
      <c r="A6" s="5049" t="s">
        <v>211</v>
      </c>
      <c r="B6" s="5049"/>
      <c r="C6" s="5049"/>
      <c r="D6" s="5049"/>
      <c r="E6" s="5049"/>
      <c r="F6" s="5049"/>
      <c r="G6" s="5049"/>
      <c r="H6" s="5049"/>
      <c r="I6" s="5049"/>
      <c r="J6" s="5049"/>
      <c r="K6" s="5049"/>
    </row>
    <row r="7" spans="1:27" ht="13.2" customHeight="1" x14ac:dyDescent="0.3">
      <c r="A7" s="5051" t="s">
        <v>7</v>
      </c>
      <c r="B7" s="5054" t="s">
        <v>8</v>
      </c>
      <c r="C7" s="5057" t="s">
        <v>35</v>
      </c>
      <c r="D7" s="5060" t="s">
        <v>80</v>
      </c>
      <c r="E7" s="5061"/>
      <c r="F7" s="5061"/>
      <c r="G7" s="5062" t="s">
        <v>3116</v>
      </c>
      <c r="H7" s="5046" t="s">
        <v>3117</v>
      </c>
      <c r="I7" s="5047"/>
      <c r="J7" s="5047"/>
      <c r="K7" s="5048"/>
    </row>
    <row r="8" spans="1:27" ht="34.5" customHeight="1" x14ac:dyDescent="0.3">
      <c r="A8" s="5052"/>
      <c r="B8" s="5055"/>
      <c r="C8" s="5058"/>
      <c r="D8" s="121" t="s">
        <v>241</v>
      </c>
      <c r="E8" s="121" t="s">
        <v>213</v>
      </c>
      <c r="F8" s="128" t="s">
        <v>214</v>
      </c>
      <c r="G8" s="5062"/>
      <c r="H8" s="121" t="s">
        <v>3</v>
      </c>
      <c r="I8" s="121" t="s">
        <v>166</v>
      </c>
      <c r="J8" s="121" t="s">
        <v>97</v>
      </c>
      <c r="K8" s="121" t="s">
        <v>98</v>
      </c>
      <c r="N8" s="121" t="s">
        <v>3</v>
      </c>
      <c r="O8" s="121" t="s">
        <v>166</v>
      </c>
      <c r="P8" s="121" t="s">
        <v>97</v>
      </c>
      <c r="Q8" s="121" t="s">
        <v>98</v>
      </c>
    </row>
    <row r="9" spans="1:27" ht="20.399999999999999" customHeight="1" x14ac:dyDescent="0.3">
      <c r="A9" s="5053"/>
      <c r="B9" s="5056"/>
      <c r="C9" s="5059"/>
      <c r="D9" s="121">
        <f>'Вхідні дані'!$F$8</f>
        <v>2021</v>
      </c>
      <c r="E9" s="121">
        <f>'Вхідні дані'!$F$7</f>
        <v>2022</v>
      </c>
      <c r="F9" s="3465" t="str">
        <f>'Вхідні дані'!$F$9</f>
        <v>Ріш. №296 від 25.10.2022</v>
      </c>
      <c r="G9" s="121" t="str">
        <f>'Вхідні дані'!$F$6</f>
        <v>2023-2024</v>
      </c>
      <c r="H9" s="4288">
        <f>'Д 7_РП'!E169</f>
        <v>0.83100094379980927</v>
      </c>
      <c r="I9" s="4288">
        <f>'Д 7_РП'!E170</f>
        <v>0</v>
      </c>
      <c r="J9" s="4288">
        <f>'Д 7_РП'!E171</f>
        <v>0.1222306844465554</v>
      </c>
      <c r="K9" s="4288">
        <f>'Д 7_РП'!E172</f>
        <v>4.6768371753635442E-2</v>
      </c>
    </row>
    <row r="10" spans="1:27" ht="12" customHeight="1" x14ac:dyDescent="0.3">
      <c r="A10" s="3466">
        <v>1</v>
      </c>
      <c r="B10" s="3467">
        <v>2</v>
      </c>
      <c r="C10" s="121">
        <v>3</v>
      </c>
      <c r="D10" s="121">
        <v>4</v>
      </c>
      <c r="E10" s="121">
        <v>5</v>
      </c>
      <c r="F10" s="121">
        <v>6</v>
      </c>
      <c r="G10" s="121">
        <v>7</v>
      </c>
      <c r="H10" s="121">
        <v>8</v>
      </c>
      <c r="I10" s="121">
        <v>9</v>
      </c>
      <c r="J10" s="121">
        <v>10</v>
      </c>
      <c r="K10" s="121">
        <v>11</v>
      </c>
    </row>
    <row r="11" spans="1:27" s="3470" customFormat="1" ht="12" customHeight="1" x14ac:dyDescent="0.3">
      <c r="A11" s="140">
        <v>1</v>
      </c>
      <c r="B11" s="919" t="s">
        <v>215</v>
      </c>
      <c r="C11" s="3468" t="s">
        <v>40</v>
      </c>
      <c r="D11" s="156">
        <f t="shared" ref="D11:K11" si="0">D12+D18+D19+D23</f>
        <v>24699.11969</v>
      </c>
      <c r="E11" s="156">
        <f t="shared" si="0"/>
        <v>28178.605179999999</v>
      </c>
      <c r="F11" s="156">
        <f t="shared" si="0"/>
        <v>12847.328458552634</v>
      </c>
      <c r="G11" s="156">
        <f t="shared" si="0"/>
        <v>14707.463085955644</v>
      </c>
      <c r="H11" s="156">
        <f t="shared" si="0"/>
        <v>11973.914468504965</v>
      </c>
      <c r="I11" s="156">
        <f t="shared" si="0"/>
        <v>0</v>
      </c>
      <c r="J11" s="156">
        <f t="shared" si="0"/>
        <v>1977.0732807119336</v>
      </c>
      <c r="K11" s="156">
        <f t="shared" si="0"/>
        <v>756.47533673874568</v>
      </c>
      <c r="L11" s="1055"/>
      <c r="M11" s="1055"/>
      <c r="N11" s="3469">
        <f>H11/H$56*1000</f>
        <v>876.02379323034938</v>
      </c>
      <c r="O11" s="3469">
        <f>IF(I$56=0,0,I11/I$56*1000)</f>
        <v>0</v>
      </c>
      <c r="P11" s="3469">
        <f t="shared" ref="P11:Q26" si="1">J11/J$56*1000</f>
        <v>983.38547796317357</v>
      </c>
      <c r="Q11" s="3469">
        <f t="shared" si="1"/>
        <v>983.38547796317357</v>
      </c>
      <c r="R11" s="1055"/>
      <c r="S11" s="1055"/>
      <c r="T11" s="1055"/>
      <c r="U11" s="1055"/>
      <c r="V11" s="1055"/>
      <c r="W11" s="1055"/>
      <c r="X11" s="1055"/>
      <c r="Y11" s="1055"/>
      <c r="Z11" s="1055"/>
      <c r="AA11" s="1055"/>
    </row>
    <row r="12" spans="1:27" ht="12" customHeight="1" x14ac:dyDescent="0.3">
      <c r="A12" s="142" t="s">
        <v>23</v>
      </c>
      <c r="B12" s="919" t="s">
        <v>216</v>
      </c>
      <c r="C12" s="3471" t="s">
        <v>40</v>
      </c>
      <c r="D12" s="503">
        <f t="shared" ref="D12:K12" si="2">D13+D14+D15+D16</f>
        <v>8592.3564000000006</v>
      </c>
      <c r="E12" s="503">
        <f t="shared" si="2"/>
        <v>9148.8313399999988</v>
      </c>
      <c r="F12" s="503">
        <f t="shared" si="2"/>
        <v>6670.0501463625251</v>
      </c>
      <c r="G12" s="503">
        <f t="shared" si="2"/>
        <v>6995.4459242393823</v>
      </c>
      <c r="H12" s="503">
        <f t="shared" si="2"/>
        <v>5565.2209285184263</v>
      </c>
      <c r="I12" s="503">
        <f t="shared" si="2"/>
        <v>0</v>
      </c>
      <c r="J12" s="503">
        <f t="shared" si="2"/>
        <v>1034.4281445717734</v>
      </c>
      <c r="K12" s="503">
        <f t="shared" si="2"/>
        <v>395.796851149183</v>
      </c>
      <c r="N12" s="3469">
        <f t="shared" ref="N12:N45" si="3">H12/H$56*1000</f>
        <v>407.15723841096997</v>
      </c>
      <c r="O12" s="3469">
        <f t="shared" ref="O12:O45" si="4">IF(I$56=0,0,I12/I$56*1000)</f>
        <v>0</v>
      </c>
      <c r="P12" s="3469">
        <f t="shared" si="1"/>
        <v>514.51892314379415</v>
      </c>
      <c r="Q12" s="3469">
        <f t="shared" si="1"/>
        <v>514.51892314379404</v>
      </c>
    </row>
    <row r="13" spans="1:27" ht="12" customHeight="1" x14ac:dyDescent="0.3">
      <c r="A13" s="142" t="s">
        <v>41</v>
      </c>
      <c r="B13" s="919" t="s">
        <v>43</v>
      </c>
      <c r="C13" s="3471" t="s">
        <v>40</v>
      </c>
      <c r="D13" s="503">
        <f>Транспортування_1ст!C14</f>
        <v>7563.8176999999996</v>
      </c>
      <c r="E13" s="503">
        <f>Транспортування_1ст!D14</f>
        <v>7847.1020099999996</v>
      </c>
      <c r="F13" s="503">
        <v>1785.6019030991283</v>
      </c>
      <c r="G13" s="503">
        <f>Транспортування_1ст!G14</f>
        <v>4179.9292165489842</v>
      </c>
      <c r="H13" s="503">
        <f>$G13*H$9</f>
        <v>3473.5251239686031</v>
      </c>
      <c r="I13" s="503">
        <f t="shared" ref="I13:K28" si="5">$G13*I$9</f>
        <v>0</v>
      </c>
      <c r="J13" s="503">
        <f t="shared" si="5"/>
        <v>510.91560907693639</v>
      </c>
      <c r="K13" s="503">
        <f t="shared" si="5"/>
        <v>195.48848350344502</v>
      </c>
      <c r="N13" s="3469">
        <f t="shared" si="3"/>
        <v>254.12664028823843</v>
      </c>
      <c r="O13" s="3469">
        <f t="shared" si="4"/>
        <v>0</v>
      </c>
      <c r="P13" s="3469">
        <f t="shared" si="1"/>
        <v>254.12664028823843</v>
      </c>
      <c r="Q13" s="3469">
        <f t="shared" si="1"/>
        <v>254.12664028823843</v>
      </c>
    </row>
    <row r="14" spans="1:27" ht="23.4" customHeight="1" x14ac:dyDescent="0.3">
      <c r="A14" s="142" t="s">
        <v>42</v>
      </c>
      <c r="B14" s="919" t="s">
        <v>608</v>
      </c>
      <c r="C14" s="3471" t="s">
        <v>40</v>
      </c>
      <c r="D14" s="503">
        <v>0</v>
      </c>
      <c r="E14" s="503">
        <v>0</v>
      </c>
      <c r="F14" s="751">
        <v>0</v>
      </c>
      <c r="G14" s="503">
        <v>0</v>
      </c>
      <c r="H14" s="503">
        <f t="shared" ref="H14:K29" si="6">$G14*H$9</f>
        <v>0</v>
      </c>
      <c r="I14" s="503">
        <f t="shared" si="5"/>
        <v>0</v>
      </c>
      <c r="J14" s="503">
        <f t="shared" si="5"/>
        <v>0</v>
      </c>
      <c r="K14" s="503">
        <f t="shared" si="5"/>
        <v>0</v>
      </c>
      <c r="L14" s="3472"/>
      <c r="M14" s="3472"/>
      <c r="N14" s="3469">
        <f t="shared" si="3"/>
        <v>0</v>
      </c>
      <c r="O14" s="3469">
        <f t="shared" si="4"/>
        <v>0</v>
      </c>
      <c r="P14" s="3469">
        <f t="shared" si="1"/>
        <v>0</v>
      </c>
      <c r="Q14" s="3469">
        <f t="shared" si="1"/>
        <v>0</v>
      </c>
      <c r="R14" s="3472"/>
    </row>
    <row r="15" spans="1:27" ht="12" customHeight="1" x14ac:dyDescent="0.3">
      <c r="A15" s="142" t="s">
        <v>44</v>
      </c>
      <c r="B15" s="919" t="s">
        <v>609</v>
      </c>
      <c r="C15" s="3471" t="s">
        <v>40</v>
      </c>
      <c r="D15" s="503">
        <f>Транспортування_1ст!C15</f>
        <v>521.01531</v>
      </c>
      <c r="E15" s="503">
        <f>Транспортування_1ст!D15</f>
        <v>466.57226000000003</v>
      </c>
      <c r="F15" s="503">
        <v>139.97656864960766</v>
      </c>
      <c r="G15" s="503">
        <f>Транспортування_1ст!G15</f>
        <v>108.58398240194796</v>
      </c>
      <c r="H15" s="503">
        <f t="shared" si="6"/>
        <v>90.233391857560633</v>
      </c>
      <c r="I15" s="503">
        <f t="shared" si="5"/>
        <v>0</v>
      </c>
      <c r="J15" s="503">
        <f t="shared" si="5"/>
        <v>13.272294488922826</v>
      </c>
      <c r="K15" s="503">
        <f t="shared" si="5"/>
        <v>5.0782960554645111</v>
      </c>
      <c r="L15" s="3472"/>
      <c r="N15" s="3469">
        <f t="shared" si="3"/>
        <v>6.6015669661761294</v>
      </c>
      <c r="O15" s="3469">
        <f t="shared" si="4"/>
        <v>0</v>
      </c>
      <c r="P15" s="3469">
        <f t="shared" si="1"/>
        <v>6.6015669661761303</v>
      </c>
      <c r="Q15" s="3469">
        <f t="shared" si="1"/>
        <v>6.6015669661761294</v>
      </c>
    </row>
    <row r="16" spans="1:27" ht="12" customHeight="1" x14ac:dyDescent="0.3">
      <c r="A16" s="142" t="s">
        <v>45</v>
      </c>
      <c r="B16" s="919" t="s">
        <v>610</v>
      </c>
      <c r="C16" s="3471" t="s">
        <v>40</v>
      </c>
      <c r="D16" s="503">
        <f>Транспортування_1ст!C13-Транспортування_1ст!C14-Транспортування_1ст!C15</f>
        <v>507.52339000000097</v>
      </c>
      <c r="E16" s="503">
        <f>Транспортування_1ст!D13-Транспортування_1ст!D14-Транспортування_1ст!D15</f>
        <v>835.15706999999918</v>
      </c>
      <c r="F16" s="503">
        <v>4744.4716746137892</v>
      </c>
      <c r="G16" s="503">
        <f>Транспортування_1ст!G13-Транспортування_1ст!G14-Транспортування_1ст!G15</f>
        <v>2706.93272528845</v>
      </c>
      <c r="H16" s="503">
        <f>($G16-$G17)*H$9+H17</f>
        <v>2001.4624126922624</v>
      </c>
      <c r="I16" s="503">
        <f t="shared" ref="I16:K16" si="7">($G16-$G17)*I$9+I17</f>
        <v>0</v>
      </c>
      <c r="J16" s="503">
        <f t="shared" si="7"/>
        <v>510.24024100591413</v>
      </c>
      <c r="K16" s="503">
        <f t="shared" si="7"/>
        <v>195.23007159027347</v>
      </c>
      <c r="L16" s="3472"/>
      <c r="N16" s="3473">
        <f t="shared" si="3"/>
        <v>146.42903115655537</v>
      </c>
      <c r="O16" s="3473">
        <f t="shared" si="4"/>
        <v>0</v>
      </c>
      <c r="P16" s="3473">
        <f t="shared" si="1"/>
        <v>253.79071588937947</v>
      </c>
      <c r="Q16" s="3473">
        <f t="shared" si="1"/>
        <v>253.79071588937947</v>
      </c>
    </row>
    <row r="17" spans="1:27" ht="23.4" customHeight="1" x14ac:dyDescent="0.3">
      <c r="A17" s="142" t="s">
        <v>1997</v>
      </c>
      <c r="B17" s="2068" t="s">
        <v>2731</v>
      </c>
      <c r="C17" s="3471" t="s">
        <v>40</v>
      </c>
      <c r="D17" s="503">
        <f>Транспортування_1ст!C26</f>
        <v>0</v>
      </c>
      <c r="E17" s="503">
        <f>Транспортування_1ст!D26</f>
        <v>0</v>
      </c>
      <c r="F17" s="503">
        <v>4566.7600703860462</v>
      </c>
      <c r="G17" s="3072">
        <f>'Покриття втрат в мережах'!C13</f>
        <v>2557.8628713145722</v>
      </c>
      <c r="H17" s="4289">
        <f>'Покриття втрат в мережах'!D13</f>
        <v>1877.5852233478702</v>
      </c>
      <c r="I17" s="4289">
        <f>'Покриття втрат в мережах'!E13</f>
        <v>0</v>
      </c>
      <c r="J17" s="4289">
        <f>'Покриття втрат в мережах'!F13</f>
        <v>492.019330724339</v>
      </c>
      <c r="K17" s="4289">
        <f>'Покриття втрат в мережах'!G13</f>
        <v>188.25831724236301</v>
      </c>
      <c r="L17" s="3472"/>
      <c r="N17" s="3473">
        <f t="shared" si="3"/>
        <v>137.36604965709441</v>
      </c>
      <c r="O17" s="3473">
        <f t="shared" si="4"/>
        <v>0</v>
      </c>
      <c r="P17" s="3473">
        <f t="shared" si="1"/>
        <v>244.72773438991851</v>
      </c>
      <c r="Q17" s="3473">
        <f t="shared" si="1"/>
        <v>244.72773438991848</v>
      </c>
    </row>
    <row r="18" spans="1:27" ht="12" customHeight="1" x14ac:dyDescent="0.3">
      <c r="A18" s="3474" t="s">
        <v>24</v>
      </c>
      <c r="B18" s="3475" t="s">
        <v>47</v>
      </c>
      <c r="C18" s="3476" t="s">
        <v>40</v>
      </c>
      <c r="D18" s="918">
        <f>Транспортування_1ст!C27</f>
        <v>8521.6485800000009</v>
      </c>
      <c r="E18" s="918">
        <f>Транспортування_1ст!D27</f>
        <v>9028.9914800000006</v>
      </c>
      <c r="F18" s="918">
        <v>3094.7781571875962</v>
      </c>
      <c r="G18" s="918">
        <f>Транспортування_1ст!G27</f>
        <v>3466.1638017167252</v>
      </c>
      <c r="H18" s="503">
        <f t="shared" si="6"/>
        <v>2880.3853905913334</v>
      </c>
      <c r="I18" s="503">
        <f t="shared" si="5"/>
        <v>0</v>
      </c>
      <c r="J18" s="503">
        <f t="shared" si="5"/>
        <v>423.67157388770983</v>
      </c>
      <c r="K18" s="503">
        <f t="shared" si="5"/>
        <v>162.10683723768213</v>
      </c>
      <c r="N18" s="3469">
        <f t="shared" si="3"/>
        <v>210.73193252449823</v>
      </c>
      <c r="O18" s="3469">
        <f t="shared" si="4"/>
        <v>0</v>
      </c>
      <c r="P18" s="3469">
        <f t="shared" si="1"/>
        <v>210.73193252449823</v>
      </c>
      <c r="Q18" s="3469">
        <f t="shared" si="1"/>
        <v>210.73193252449823</v>
      </c>
    </row>
    <row r="19" spans="1:27" ht="12" customHeight="1" x14ac:dyDescent="0.3">
      <c r="A19" s="142" t="s">
        <v>48</v>
      </c>
      <c r="B19" s="919" t="s">
        <v>217</v>
      </c>
      <c r="C19" s="3471" t="s">
        <v>40</v>
      </c>
      <c r="D19" s="503">
        <f t="shared" ref="D19:G19" si="8">D20+D21+D22</f>
        <v>7285.4947099999999</v>
      </c>
      <c r="E19" s="503">
        <f t="shared" si="8"/>
        <v>9088.9923599999966</v>
      </c>
      <c r="F19" s="503">
        <f t="shared" si="8"/>
        <v>2921.7002968044962</v>
      </c>
      <c r="G19" s="503">
        <f t="shared" si="8"/>
        <v>3821.1670404279466</v>
      </c>
      <c r="H19" s="503">
        <f t="shared" si="6"/>
        <v>3175.3934170123475</v>
      </c>
      <c r="I19" s="503">
        <f t="shared" si="5"/>
        <v>0</v>
      </c>
      <c r="J19" s="503">
        <f t="shared" si="5"/>
        <v>467.06386273612634</v>
      </c>
      <c r="K19" s="503">
        <f t="shared" si="5"/>
        <v>178.70976067947311</v>
      </c>
      <c r="N19" s="3469">
        <f t="shared" si="3"/>
        <v>232.31502057966148</v>
      </c>
      <c r="O19" s="3469">
        <f t="shared" si="4"/>
        <v>0</v>
      </c>
      <c r="P19" s="3469">
        <f t="shared" si="1"/>
        <v>232.31502057966148</v>
      </c>
      <c r="Q19" s="3469">
        <f t="shared" si="1"/>
        <v>232.31502057966145</v>
      </c>
    </row>
    <row r="20" spans="1:27" ht="24" customHeight="1" x14ac:dyDescent="0.3">
      <c r="A20" s="142" t="s">
        <v>49</v>
      </c>
      <c r="B20" s="919" t="s">
        <v>452</v>
      </c>
      <c r="C20" s="3471" t="s">
        <v>40</v>
      </c>
      <c r="D20" s="918">
        <f>Транспортування_1ст!C30</f>
        <v>1821.4948900000002</v>
      </c>
      <c r="E20" s="918">
        <f>Транспортування_1ст!D30</f>
        <v>1941.2065</v>
      </c>
      <c r="F20" s="918">
        <v>677.89619216044139</v>
      </c>
      <c r="G20" s="918">
        <f>Транспортування_1ст!G30</f>
        <v>759.27155078294027</v>
      </c>
      <c r="H20" s="503">
        <f t="shared" si="6"/>
        <v>630.95537530096817</v>
      </c>
      <c r="I20" s="503">
        <f t="shared" si="5"/>
        <v>0</v>
      </c>
      <c r="J20" s="503">
        <f t="shared" si="5"/>
        <v>92.806281332996335</v>
      </c>
      <c r="K20" s="503">
        <f t="shared" si="5"/>
        <v>35.509894148975839</v>
      </c>
      <c r="L20" s="916"/>
      <c r="N20" s="3469">
        <f t="shared" si="3"/>
        <v>46.161338690374464</v>
      </c>
      <c r="O20" s="3469">
        <f t="shared" si="4"/>
        <v>0</v>
      </c>
      <c r="P20" s="3469">
        <f t="shared" si="1"/>
        <v>46.161338690374464</v>
      </c>
      <c r="Q20" s="3469">
        <f t="shared" si="1"/>
        <v>46.161338690374457</v>
      </c>
    </row>
    <row r="21" spans="1:27" ht="12" customHeight="1" x14ac:dyDescent="0.3">
      <c r="A21" s="142" t="s">
        <v>50</v>
      </c>
      <c r="B21" s="919" t="s">
        <v>460</v>
      </c>
      <c r="C21" s="3471" t="s">
        <v>40</v>
      </c>
      <c r="D21" s="918">
        <f>Транспортування_1ст!C31+Транспортування_1ст!C32</f>
        <v>4496.1033900000002</v>
      </c>
      <c r="E21" s="918">
        <f>Транспортування_1ст!D31+Транспортування_1ст!D32</f>
        <v>5291.07</v>
      </c>
      <c r="F21" s="918">
        <v>1517.9775103277914</v>
      </c>
      <c r="G21" s="918">
        <f>Транспортування_1ст!G31+Транспортування_1ст!G32</f>
        <v>2509.7584427367042</v>
      </c>
      <c r="H21" s="503">
        <f t="shared" si="6"/>
        <v>2085.6116346237409</v>
      </c>
      <c r="I21" s="503">
        <f t="shared" si="5"/>
        <v>0</v>
      </c>
      <c r="J21" s="503">
        <f t="shared" si="5"/>
        <v>306.76949225122837</v>
      </c>
      <c r="K21" s="503">
        <f t="shared" si="5"/>
        <v>117.37731586173535</v>
      </c>
      <c r="L21" s="916"/>
      <c r="N21" s="3469">
        <f t="shared" si="3"/>
        <v>152.58547404644688</v>
      </c>
      <c r="O21" s="3469">
        <f t="shared" si="4"/>
        <v>0</v>
      </c>
      <c r="P21" s="3469">
        <f t="shared" si="1"/>
        <v>152.58547404644685</v>
      </c>
      <c r="Q21" s="3469">
        <f t="shared" si="1"/>
        <v>152.58547404644685</v>
      </c>
    </row>
    <row r="22" spans="1:27" ht="12" customHeight="1" x14ac:dyDescent="0.3">
      <c r="A22" s="142" t="s">
        <v>51</v>
      </c>
      <c r="B22" s="3477" t="s">
        <v>81</v>
      </c>
      <c r="C22" s="3471" t="s">
        <v>40</v>
      </c>
      <c r="D22" s="503">
        <f>Транспортування_1ст!C29-Транспортування_1ст!C30-Транспортування_1ст!C31-Транспортування_1ст!C32</f>
        <v>967.89642999999978</v>
      </c>
      <c r="E22" s="503">
        <f>Транспортування_1ст!D29-Транспортування_1ст!D30-Транспортування_1ст!D31-Транспортування_1ст!D32</f>
        <v>1856.7158599999966</v>
      </c>
      <c r="F22" s="503">
        <v>725.82659431626337</v>
      </c>
      <c r="G22" s="503">
        <f>Транспортування_1ст!G29-Транспортування_1ст!G30-Транспортування_1ст!G31-Транспортування_1ст!G32</f>
        <v>552.13704690830218</v>
      </c>
      <c r="H22" s="503">
        <f t="shared" si="6"/>
        <v>458.8264070876387</v>
      </c>
      <c r="I22" s="503">
        <f t="shared" si="5"/>
        <v>0</v>
      </c>
      <c r="J22" s="503">
        <f t="shared" si="5"/>
        <v>67.488089151901633</v>
      </c>
      <c r="K22" s="503">
        <f t="shared" si="5"/>
        <v>25.822550668761927</v>
      </c>
      <c r="L22" s="916"/>
      <c r="M22" s="916"/>
      <c r="N22" s="3469">
        <f t="shared" si="3"/>
        <v>33.568207842840167</v>
      </c>
      <c r="O22" s="3469">
        <f t="shared" si="4"/>
        <v>0</v>
      </c>
      <c r="P22" s="3469">
        <f t="shared" si="1"/>
        <v>33.56820784284016</v>
      </c>
      <c r="Q22" s="3469">
        <f t="shared" si="1"/>
        <v>33.56820784284016</v>
      </c>
    </row>
    <row r="23" spans="1:27" ht="12" customHeight="1" x14ac:dyDescent="0.3">
      <c r="A23" s="142" t="s">
        <v>53</v>
      </c>
      <c r="B23" s="919" t="s">
        <v>218</v>
      </c>
      <c r="C23" s="3471" t="s">
        <v>40</v>
      </c>
      <c r="D23" s="503">
        <f>D24+D25+D26</f>
        <v>299.62</v>
      </c>
      <c r="E23" s="503">
        <f>E24+E25+E26</f>
        <v>911.79</v>
      </c>
      <c r="F23" s="503">
        <v>160.79985819801743</v>
      </c>
      <c r="G23" s="503">
        <f>ЗВВ_1ст!I8</f>
        <v>424.6863195715905</v>
      </c>
      <c r="H23" s="156">
        <f>SUM(H24:H26)</f>
        <v>352.91473238285914</v>
      </c>
      <c r="I23" s="156">
        <f t="shared" ref="I23:K23" si="9">SUM(I24:I26)</f>
        <v>0</v>
      </c>
      <c r="J23" s="156">
        <f t="shared" si="9"/>
        <v>51.909699516324054</v>
      </c>
      <c r="K23" s="156">
        <f t="shared" si="9"/>
        <v>19.861887672407367</v>
      </c>
      <c r="N23" s="3469">
        <f t="shared" si="3"/>
        <v>25.81960171521979</v>
      </c>
      <c r="O23" s="3469">
        <f t="shared" si="4"/>
        <v>0</v>
      </c>
      <c r="P23" s="3469">
        <f t="shared" si="1"/>
        <v>25.819601715219783</v>
      </c>
      <c r="Q23" s="3469">
        <f t="shared" si="1"/>
        <v>25.819601715219786</v>
      </c>
    </row>
    <row r="24" spans="1:27" ht="12" customHeight="1" x14ac:dyDescent="0.3">
      <c r="A24" s="142" t="s">
        <v>54</v>
      </c>
      <c r="B24" s="919" t="s">
        <v>55</v>
      </c>
      <c r="C24" s="3471" t="s">
        <v>40</v>
      </c>
      <c r="D24" s="503">
        <v>226.24</v>
      </c>
      <c r="E24" s="503">
        <v>715.99</v>
      </c>
      <c r="F24" s="751">
        <v>123.31766094828222</v>
      </c>
      <c r="G24" s="503">
        <f>ЗВВ_1ст!I21</f>
        <v>324.51370305813811</v>
      </c>
      <c r="H24" s="503">
        <f t="shared" si="6"/>
        <v>269.67119351728383</v>
      </c>
      <c r="I24" s="503">
        <f t="shared" si="5"/>
        <v>0</v>
      </c>
      <c r="J24" s="503">
        <f t="shared" si="5"/>
        <v>39.665532037082457</v>
      </c>
      <c r="K24" s="503">
        <f t="shared" si="5"/>
        <v>15.176977503771866</v>
      </c>
      <c r="N24" s="3469">
        <f t="shared" si="3"/>
        <v>19.729419522023925</v>
      </c>
      <c r="O24" s="3469">
        <f t="shared" si="4"/>
        <v>0</v>
      </c>
      <c r="P24" s="3469">
        <f t="shared" si="1"/>
        <v>19.729419522023921</v>
      </c>
      <c r="Q24" s="3469">
        <f t="shared" si="1"/>
        <v>19.729419522023921</v>
      </c>
    </row>
    <row r="25" spans="1:27" ht="24" customHeight="1" x14ac:dyDescent="0.3">
      <c r="A25" s="142" t="s">
        <v>56</v>
      </c>
      <c r="B25" s="919" t="s">
        <v>452</v>
      </c>
      <c r="C25" s="3471" t="s">
        <v>40</v>
      </c>
      <c r="D25" s="503">
        <v>45.45</v>
      </c>
      <c r="E25" s="503">
        <v>149.29</v>
      </c>
      <c r="F25" s="751">
        <v>25.939452826786368</v>
      </c>
      <c r="G25" s="503">
        <f>ЗВВ_1ст!I23</f>
        <v>69.268272036529339</v>
      </c>
      <c r="H25" s="503">
        <f t="shared" si="6"/>
        <v>57.561999437737818</v>
      </c>
      <c r="I25" s="503">
        <f t="shared" si="5"/>
        <v>0</v>
      </c>
      <c r="J25" s="503">
        <f t="shared" si="5"/>
        <v>8.4667083014551743</v>
      </c>
      <c r="K25" s="503">
        <f t="shared" si="5"/>
        <v>3.2395642973363543</v>
      </c>
      <c r="L25" s="916"/>
      <c r="N25" s="3469">
        <f t="shared" si="3"/>
        <v>4.2112945792293059</v>
      </c>
      <c r="O25" s="3469">
        <f t="shared" si="4"/>
        <v>0</v>
      </c>
      <c r="P25" s="3469">
        <f t="shared" si="1"/>
        <v>4.2112945792293059</v>
      </c>
      <c r="Q25" s="3469">
        <f t="shared" si="1"/>
        <v>4.2112945792293059</v>
      </c>
    </row>
    <row r="26" spans="1:27" ht="12" customHeight="1" x14ac:dyDescent="0.3">
      <c r="A26" s="142" t="s">
        <v>57</v>
      </c>
      <c r="B26" s="919" t="s">
        <v>58</v>
      </c>
      <c r="C26" s="3471" t="s">
        <v>40</v>
      </c>
      <c r="D26" s="503">
        <v>27.93</v>
      </c>
      <c r="E26" s="503">
        <v>46.51</v>
      </c>
      <c r="F26" s="503">
        <f>F23-F24-F25</f>
        <v>11.542744422948839</v>
      </c>
      <c r="G26" s="503">
        <f>G23-G24-G25</f>
        <v>30.904344476923058</v>
      </c>
      <c r="H26" s="503">
        <f t="shared" si="6"/>
        <v>25.681539427837485</v>
      </c>
      <c r="I26" s="503">
        <f t="shared" si="5"/>
        <v>0</v>
      </c>
      <c r="J26" s="503">
        <f t="shared" si="5"/>
        <v>3.7774591777864295</v>
      </c>
      <c r="K26" s="503">
        <f t="shared" si="5"/>
        <v>1.4453458712991478</v>
      </c>
      <c r="N26" s="3469">
        <f t="shared" si="3"/>
        <v>1.8788876139665605</v>
      </c>
      <c r="O26" s="3469">
        <f t="shared" si="4"/>
        <v>0</v>
      </c>
      <c r="P26" s="3469">
        <f t="shared" si="1"/>
        <v>1.8788876139665605</v>
      </c>
      <c r="Q26" s="3469">
        <f t="shared" si="1"/>
        <v>1.8788876139665602</v>
      </c>
    </row>
    <row r="27" spans="1:27" s="3470" customFormat="1" ht="12" customHeight="1" x14ac:dyDescent="0.3">
      <c r="A27" s="138">
        <v>2</v>
      </c>
      <c r="B27" s="3478" t="s">
        <v>219</v>
      </c>
      <c r="C27" s="123" t="s">
        <v>40</v>
      </c>
      <c r="D27" s="156">
        <f>D28+D29+D30</f>
        <v>1938.1598899999999</v>
      </c>
      <c r="E27" s="156">
        <f>E28+E29+E30</f>
        <v>1872.3799999999999</v>
      </c>
      <c r="F27" s="156">
        <v>188.29176057950426</v>
      </c>
      <c r="G27" s="156">
        <f>Адміністративні_1ст!I8</f>
        <v>516.3053783516873</v>
      </c>
      <c r="H27" s="156">
        <f>SUM(H28:H30)</f>
        <v>429.05025669916978</v>
      </c>
      <c r="I27" s="156">
        <f t="shared" ref="I27:K27" si="10">SUM(I28:I30)</f>
        <v>0</v>
      </c>
      <c r="J27" s="156">
        <f t="shared" si="10"/>
        <v>63.108359779364477</v>
      </c>
      <c r="K27" s="156">
        <f t="shared" si="10"/>
        <v>24.146761873153114</v>
      </c>
      <c r="L27" s="1055"/>
      <c r="M27" s="1055"/>
      <c r="N27" s="3469">
        <f t="shared" si="3"/>
        <v>31.389754315406478</v>
      </c>
      <c r="O27" s="3469">
        <f t="shared" si="4"/>
        <v>0</v>
      </c>
      <c r="P27" s="3469">
        <f t="shared" ref="P27:Q44" si="11">J27/J$56*1000</f>
        <v>31.389754315406478</v>
      </c>
      <c r="Q27" s="3469">
        <f t="shared" si="11"/>
        <v>31.389754315406478</v>
      </c>
      <c r="R27" s="1055"/>
      <c r="S27" s="1055"/>
      <c r="T27" s="1055"/>
      <c r="U27" s="1055"/>
      <c r="V27" s="1055"/>
      <c r="W27" s="1055"/>
      <c r="X27" s="1055"/>
      <c r="Y27" s="1055"/>
      <c r="Z27" s="1055"/>
      <c r="AA27" s="1055"/>
    </row>
    <row r="28" spans="1:27" ht="12" customHeight="1" x14ac:dyDescent="0.3">
      <c r="A28" s="139" t="s">
        <v>25</v>
      </c>
      <c r="B28" s="2067" t="s">
        <v>55</v>
      </c>
      <c r="C28" s="121" t="s">
        <v>40</v>
      </c>
      <c r="D28" s="503">
        <v>1252.7786699999999</v>
      </c>
      <c r="E28" s="503">
        <v>1223</v>
      </c>
      <c r="F28" s="751">
        <v>136.23796222509205</v>
      </c>
      <c r="G28" s="503">
        <f>Адміністративні_1ст!I21</f>
        <v>386.64257936195304</v>
      </c>
      <c r="H28" s="503">
        <f t="shared" si="6"/>
        <v>321.30034836297563</v>
      </c>
      <c r="I28" s="503">
        <f t="shared" si="5"/>
        <v>0</v>
      </c>
      <c r="J28" s="503">
        <f t="shared" si="5"/>
        <v>47.259587111593135</v>
      </c>
      <c r="K28" s="503">
        <f t="shared" si="5"/>
        <v>18.082643887384314</v>
      </c>
      <c r="L28" s="1055"/>
      <c r="M28" s="1055"/>
      <c r="N28" s="3469">
        <f t="shared" si="3"/>
        <v>23.506661140724674</v>
      </c>
      <c r="O28" s="3469">
        <f t="shared" si="4"/>
        <v>0</v>
      </c>
      <c r="P28" s="3469">
        <f t="shared" si="11"/>
        <v>23.506661140724674</v>
      </c>
      <c r="Q28" s="3469">
        <f t="shared" si="11"/>
        <v>23.50666114072467</v>
      </c>
    </row>
    <row r="29" spans="1:27" ht="24" customHeight="1" x14ac:dyDescent="0.3">
      <c r="A29" s="139" t="s">
        <v>26</v>
      </c>
      <c r="B29" s="2067" t="s">
        <v>452</v>
      </c>
      <c r="C29" s="121" t="s">
        <v>40</v>
      </c>
      <c r="D29" s="503">
        <v>275.57191999999998</v>
      </c>
      <c r="E29" s="503">
        <v>268.79000000000002</v>
      </c>
      <c r="F29" s="751">
        <v>29.972351689520252</v>
      </c>
      <c r="G29" s="503">
        <f>Адміністративні_1ст!I23</f>
        <v>85.061367459629665</v>
      </c>
      <c r="H29" s="503">
        <f t="shared" si="6"/>
        <v>70.686076639854633</v>
      </c>
      <c r="I29" s="503">
        <f t="shared" si="6"/>
        <v>0</v>
      </c>
      <c r="J29" s="503">
        <f t="shared" si="6"/>
        <v>10.397109164550489</v>
      </c>
      <c r="K29" s="503">
        <f t="shared" si="6"/>
        <v>3.978181655224549</v>
      </c>
      <c r="L29" s="916"/>
      <c r="M29" s="1055"/>
      <c r="N29" s="3469">
        <f t="shared" si="3"/>
        <v>5.1714654509594276</v>
      </c>
      <c r="O29" s="3469">
        <f t="shared" si="4"/>
        <v>0</v>
      </c>
      <c r="P29" s="3469">
        <f t="shared" si="11"/>
        <v>5.1714654509594276</v>
      </c>
      <c r="Q29" s="3469">
        <f t="shared" si="11"/>
        <v>5.1714654509594267</v>
      </c>
    </row>
    <row r="30" spans="1:27" ht="12" customHeight="1" x14ac:dyDescent="0.3">
      <c r="A30" s="139" t="s">
        <v>59</v>
      </c>
      <c r="B30" s="3479" t="s">
        <v>58</v>
      </c>
      <c r="C30" s="121" t="s">
        <v>40</v>
      </c>
      <c r="D30" s="503">
        <v>409.80930000000001</v>
      </c>
      <c r="E30" s="503">
        <v>380.59</v>
      </c>
      <c r="F30" s="751">
        <v>22.081446664891956</v>
      </c>
      <c r="G30" s="503">
        <f>G27-G28-G29</f>
        <v>44.601431530104591</v>
      </c>
      <c r="H30" s="503">
        <f t="shared" ref="H30:K30" si="12">$G30*H$9</f>
        <v>37.063831696339484</v>
      </c>
      <c r="I30" s="503">
        <f t="shared" si="12"/>
        <v>0</v>
      </c>
      <c r="J30" s="503">
        <f t="shared" si="12"/>
        <v>5.4516635032208605</v>
      </c>
      <c r="K30" s="503">
        <f t="shared" si="12"/>
        <v>2.0859363305442487</v>
      </c>
      <c r="L30" s="1055"/>
      <c r="M30" s="1055"/>
      <c r="N30" s="3469">
        <f t="shared" si="3"/>
        <v>2.7116277237223785</v>
      </c>
      <c r="O30" s="3469">
        <f t="shared" si="4"/>
        <v>0</v>
      </c>
      <c r="P30" s="3469">
        <f t="shared" si="11"/>
        <v>2.7116277237223785</v>
      </c>
      <c r="Q30" s="3469">
        <f t="shared" si="11"/>
        <v>2.711627723722378</v>
      </c>
    </row>
    <row r="31" spans="1:27" s="3470" customFormat="1" ht="12" customHeight="1" x14ac:dyDescent="0.3">
      <c r="A31" s="140" t="s">
        <v>173</v>
      </c>
      <c r="B31" s="3196" t="s">
        <v>220</v>
      </c>
      <c r="C31" s="123" t="s">
        <v>40</v>
      </c>
      <c r="D31" s="156">
        <f>D32+D33+D34</f>
        <v>0</v>
      </c>
      <c r="E31" s="156">
        <f>E32+E33+E34</f>
        <v>0</v>
      </c>
      <c r="F31" s="156">
        <v>0</v>
      </c>
      <c r="G31" s="156">
        <f>G32+G33+G34</f>
        <v>0</v>
      </c>
      <c r="H31" s="156">
        <f t="shared" ref="H31:K36" si="13">$G31/$G$56*H$56</f>
        <v>0</v>
      </c>
      <c r="I31" s="156">
        <f t="shared" si="13"/>
        <v>0</v>
      </c>
      <c r="J31" s="156">
        <f t="shared" si="13"/>
        <v>0</v>
      </c>
      <c r="K31" s="156">
        <f t="shared" si="13"/>
        <v>0</v>
      </c>
      <c r="L31" s="3480"/>
      <c r="M31" s="1055"/>
      <c r="N31" s="3469">
        <f t="shared" si="3"/>
        <v>0</v>
      </c>
      <c r="O31" s="3469">
        <f t="shared" si="4"/>
        <v>0</v>
      </c>
      <c r="P31" s="3469">
        <f t="shared" si="11"/>
        <v>0</v>
      </c>
      <c r="Q31" s="3469">
        <f t="shared" si="11"/>
        <v>0</v>
      </c>
      <c r="R31" s="1055"/>
      <c r="S31" s="1055"/>
      <c r="T31" s="1055"/>
      <c r="U31" s="1055"/>
      <c r="V31" s="1055"/>
      <c r="W31" s="1055"/>
      <c r="X31" s="1055"/>
      <c r="Y31" s="1055"/>
      <c r="Z31" s="1055"/>
      <c r="AA31" s="1055"/>
    </row>
    <row r="32" spans="1:27" ht="12" customHeight="1" x14ac:dyDescent="0.3">
      <c r="A32" s="142" t="s">
        <v>60</v>
      </c>
      <c r="B32" s="919" t="s">
        <v>55</v>
      </c>
      <c r="C32" s="121" t="s">
        <v>40</v>
      </c>
      <c r="D32" s="503">
        <v>0</v>
      </c>
      <c r="E32" s="503">
        <v>0</v>
      </c>
      <c r="F32" s="503">
        <v>0</v>
      </c>
      <c r="G32" s="503">
        <v>0</v>
      </c>
      <c r="H32" s="156">
        <f t="shared" si="13"/>
        <v>0</v>
      </c>
      <c r="I32" s="156">
        <f t="shared" si="13"/>
        <v>0</v>
      </c>
      <c r="J32" s="156">
        <f t="shared" si="13"/>
        <v>0</v>
      </c>
      <c r="K32" s="156">
        <f t="shared" si="13"/>
        <v>0</v>
      </c>
      <c r="L32" s="1055"/>
      <c r="M32" s="1055"/>
      <c r="N32" s="3469">
        <f t="shared" si="3"/>
        <v>0</v>
      </c>
      <c r="O32" s="3469">
        <f t="shared" si="4"/>
        <v>0</v>
      </c>
      <c r="P32" s="3469">
        <f t="shared" si="11"/>
        <v>0</v>
      </c>
      <c r="Q32" s="3469">
        <f t="shared" si="11"/>
        <v>0</v>
      </c>
    </row>
    <row r="33" spans="1:27" ht="25.2" customHeight="1" x14ac:dyDescent="0.3">
      <c r="A33" s="142" t="s">
        <v>61</v>
      </c>
      <c r="B33" s="2067" t="s">
        <v>452</v>
      </c>
      <c r="C33" s="121" t="s">
        <v>40</v>
      </c>
      <c r="D33" s="503">
        <v>0</v>
      </c>
      <c r="E33" s="503">
        <v>0</v>
      </c>
      <c r="F33" s="503">
        <v>0</v>
      </c>
      <c r="G33" s="503">
        <v>0</v>
      </c>
      <c r="H33" s="156">
        <f t="shared" si="13"/>
        <v>0</v>
      </c>
      <c r="I33" s="156">
        <f t="shared" si="13"/>
        <v>0</v>
      </c>
      <c r="J33" s="156">
        <f t="shared" si="13"/>
        <v>0</v>
      </c>
      <c r="K33" s="156">
        <f t="shared" si="13"/>
        <v>0</v>
      </c>
      <c r="L33" s="916"/>
      <c r="M33" s="1055"/>
      <c r="N33" s="3469">
        <f t="shared" si="3"/>
        <v>0</v>
      </c>
      <c r="O33" s="3469">
        <f t="shared" si="4"/>
        <v>0</v>
      </c>
      <c r="P33" s="3469">
        <f t="shared" si="11"/>
        <v>0</v>
      </c>
      <c r="Q33" s="3469">
        <f t="shared" si="11"/>
        <v>0</v>
      </c>
    </row>
    <row r="34" spans="1:27" ht="12" customHeight="1" x14ac:dyDescent="0.3">
      <c r="A34" s="139" t="s">
        <v>62</v>
      </c>
      <c r="B34" s="4" t="s">
        <v>233</v>
      </c>
      <c r="C34" s="121" t="s">
        <v>40</v>
      </c>
      <c r="D34" s="503">
        <v>0</v>
      </c>
      <c r="E34" s="503">
        <v>0</v>
      </c>
      <c r="F34" s="503">
        <v>0</v>
      </c>
      <c r="G34" s="503">
        <v>0</v>
      </c>
      <c r="H34" s="156">
        <f t="shared" si="13"/>
        <v>0</v>
      </c>
      <c r="I34" s="156">
        <f t="shared" si="13"/>
        <v>0</v>
      </c>
      <c r="J34" s="156">
        <f t="shared" si="13"/>
        <v>0</v>
      </c>
      <c r="K34" s="156">
        <f t="shared" si="13"/>
        <v>0</v>
      </c>
      <c r="L34" s="1055"/>
      <c r="M34" s="1055"/>
      <c r="N34" s="3469">
        <f t="shared" si="3"/>
        <v>0</v>
      </c>
      <c r="O34" s="3469">
        <f t="shared" si="4"/>
        <v>0</v>
      </c>
      <c r="P34" s="3469">
        <f t="shared" si="11"/>
        <v>0</v>
      </c>
      <c r="Q34" s="3469">
        <f t="shared" si="11"/>
        <v>0</v>
      </c>
    </row>
    <row r="35" spans="1:27" s="3470" customFormat="1" ht="12" customHeight="1" x14ac:dyDescent="0.3">
      <c r="A35" s="138" t="s">
        <v>174</v>
      </c>
      <c r="B35" s="3481" t="s">
        <v>82</v>
      </c>
      <c r="C35" s="123" t="s">
        <v>40</v>
      </c>
      <c r="D35" s="503">
        <v>0</v>
      </c>
      <c r="E35" s="503">
        <v>0</v>
      </c>
      <c r="F35" s="503">
        <v>0</v>
      </c>
      <c r="G35" s="503">
        <v>0</v>
      </c>
      <c r="H35" s="156">
        <f t="shared" si="13"/>
        <v>0</v>
      </c>
      <c r="I35" s="156">
        <f t="shared" si="13"/>
        <v>0</v>
      </c>
      <c r="J35" s="156">
        <f t="shared" si="13"/>
        <v>0</v>
      </c>
      <c r="K35" s="156">
        <f t="shared" si="13"/>
        <v>0</v>
      </c>
      <c r="L35" s="1055"/>
      <c r="M35" s="1055"/>
      <c r="N35" s="3469">
        <f t="shared" si="3"/>
        <v>0</v>
      </c>
      <c r="O35" s="3469">
        <f t="shared" si="4"/>
        <v>0</v>
      </c>
      <c r="P35" s="3469">
        <f t="shared" si="11"/>
        <v>0</v>
      </c>
      <c r="Q35" s="3469">
        <f t="shared" si="11"/>
        <v>0</v>
      </c>
      <c r="R35" s="1055"/>
      <c r="S35" s="1055"/>
      <c r="T35" s="1055"/>
      <c r="U35" s="1055"/>
      <c r="V35" s="1055"/>
      <c r="W35" s="1055"/>
      <c r="X35" s="1055"/>
      <c r="Y35" s="1055"/>
      <c r="Z35" s="1055"/>
      <c r="AA35" s="1055"/>
    </row>
    <row r="36" spans="1:27" s="3470" customFormat="1" ht="12" customHeight="1" x14ac:dyDescent="0.3">
      <c r="A36" s="138" t="s">
        <v>169</v>
      </c>
      <c r="B36" s="3481" t="s">
        <v>5</v>
      </c>
      <c r="C36" s="123" t="s">
        <v>40</v>
      </c>
      <c r="D36" s="3482">
        <v>0</v>
      </c>
      <c r="E36" s="3482">
        <v>0</v>
      </c>
      <c r="F36" s="3482">
        <v>0</v>
      </c>
      <c r="G36" s="156">
        <v>0</v>
      </c>
      <c r="H36" s="156">
        <f t="shared" si="13"/>
        <v>0</v>
      </c>
      <c r="I36" s="156">
        <f t="shared" si="13"/>
        <v>0</v>
      </c>
      <c r="J36" s="156">
        <f t="shared" si="13"/>
        <v>0</v>
      </c>
      <c r="K36" s="156">
        <f t="shared" si="13"/>
        <v>0</v>
      </c>
      <c r="L36" s="1055"/>
      <c r="M36" s="1055"/>
      <c r="N36" s="3469">
        <f t="shared" si="3"/>
        <v>0</v>
      </c>
      <c r="O36" s="3469">
        <f t="shared" si="4"/>
        <v>0</v>
      </c>
      <c r="P36" s="3469">
        <f t="shared" si="11"/>
        <v>0</v>
      </c>
      <c r="Q36" s="3469">
        <f t="shared" si="11"/>
        <v>0</v>
      </c>
      <c r="R36" s="1055"/>
      <c r="S36" s="1055"/>
      <c r="T36" s="1055"/>
      <c r="U36" s="1055"/>
      <c r="V36" s="1055"/>
      <c r="W36" s="1055"/>
      <c r="X36" s="1055"/>
      <c r="Y36" s="1055"/>
      <c r="Z36" s="1055"/>
      <c r="AA36" s="1055"/>
    </row>
    <row r="37" spans="1:27" s="3470" customFormat="1" ht="12" customHeight="1" x14ac:dyDescent="0.3">
      <c r="A37" s="138" t="s">
        <v>170</v>
      </c>
      <c r="B37" s="3481" t="s">
        <v>63</v>
      </c>
      <c r="C37" s="123" t="s">
        <v>40</v>
      </c>
      <c r="D37" s="156">
        <f t="shared" ref="D37:K37" si="14">D36+D35+D31+D27+D11</f>
        <v>26637.279579999999</v>
      </c>
      <c r="E37" s="156">
        <f t="shared" si="14"/>
        <v>30050.98518</v>
      </c>
      <c r="F37" s="156">
        <v>13035.620219132139</v>
      </c>
      <c r="G37" s="156">
        <f t="shared" si="14"/>
        <v>15223.768464307332</v>
      </c>
      <c r="H37" s="156">
        <f t="shared" si="14"/>
        <v>12402.964725204134</v>
      </c>
      <c r="I37" s="156">
        <f t="shared" si="14"/>
        <v>0</v>
      </c>
      <c r="J37" s="156">
        <f t="shared" si="14"/>
        <v>2040.1816404912981</v>
      </c>
      <c r="K37" s="156">
        <f t="shared" si="14"/>
        <v>780.62209861189876</v>
      </c>
      <c r="L37" s="3483"/>
      <c r="M37" s="3480"/>
      <c r="N37" s="3469">
        <f t="shared" si="3"/>
        <v>907.4135475457557</v>
      </c>
      <c r="O37" s="3469">
        <f t="shared" si="4"/>
        <v>0</v>
      </c>
      <c r="P37" s="3469">
        <f t="shared" si="11"/>
        <v>1014.7752322785801</v>
      </c>
      <c r="Q37" s="3469">
        <f t="shared" si="11"/>
        <v>1014.7752322785801</v>
      </c>
      <c r="R37" s="1055"/>
      <c r="S37" s="1055"/>
      <c r="T37" s="1055"/>
      <c r="U37" s="1055"/>
      <c r="V37" s="1055"/>
      <c r="W37" s="1055"/>
      <c r="X37" s="1055"/>
      <c r="Y37" s="1055"/>
      <c r="Z37" s="1055"/>
      <c r="AA37" s="1055"/>
    </row>
    <row r="38" spans="1:27" s="3470" customFormat="1" ht="12" customHeight="1" x14ac:dyDescent="0.3">
      <c r="A38" s="138" t="s">
        <v>171</v>
      </c>
      <c r="B38" s="3481" t="s">
        <v>2655</v>
      </c>
      <c r="C38" s="123" t="s">
        <v>40</v>
      </c>
      <c r="D38" s="156">
        <v>0</v>
      </c>
      <c r="E38" s="156">
        <v>0</v>
      </c>
      <c r="F38" s="156">
        <v>216.84436928403801</v>
      </c>
      <c r="G38" s="156">
        <f>SUM(H38:K38)</f>
        <v>0</v>
      </c>
      <c r="H38" s="156">
        <v>0</v>
      </c>
      <c r="I38" s="156">
        <f>111.69*I56/1000</f>
        <v>0</v>
      </c>
      <c r="J38" s="156">
        <v>0</v>
      </c>
      <c r="K38" s="156">
        <v>0</v>
      </c>
      <c r="L38" s="1055"/>
      <c r="M38" s="1055"/>
      <c r="N38" s="3469">
        <f t="shared" si="3"/>
        <v>0</v>
      </c>
      <c r="O38" s="3469">
        <f t="shared" si="4"/>
        <v>0</v>
      </c>
      <c r="P38" s="3469">
        <f t="shared" si="11"/>
        <v>0</v>
      </c>
      <c r="Q38" s="3469">
        <f t="shared" si="11"/>
        <v>0</v>
      </c>
      <c r="R38" s="1055"/>
      <c r="S38" s="1055"/>
      <c r="T38" s="1055"/>
      <c r="U38" s="1055"/>
      <c r="V38" s="1055"/>
      <c r="W38" s="1055"/>
      <c r="X38" s="1055"/>
      <c r="Y38" s="1055"/>
      <c r="Z38" s="1055"/>
      <c r="AA38" s="1055"/>
    </row>
    <row r="39" spans="1:27" s="3470" customFormat="1" ht="12" customHeight="1" x14ac:dyDescent="0.3">
      <c r="A39" s="138" t="s">
        <v>172</v>
      </c>
      <c r="B39" s="3481" t="s">
        <v>235</v>
      </c>
      <c r="C39" s="123" t="s">
        <v>40</v>
      </c>
      <c r="D39" s="3482">
        <f t="shared" ref="D39:K39" si="15">D40+D41+D42+D43+D44</f>
        <v>0</v>
      </c>
      <c r="E39" s="3482">
        <f t="shared" si="15"/>
        <v>0</v>
      </c>
      <c r="F39" s="3482">
        <v>578.02931764067273</v>
      </c>
      <c r="G39" s="3482">
        <f t="shared" si="15"/>
        <v>705.49170932155926</v>
      </c>
      <c r="H39" s="3482">
        <f t="shared" si="15"/>
        <v>574.77153604604518</v>
      </c>
      <c r="I39" s="3482">
        <f t="shared" si="15"/>
        <v>0</v>
      </c>
      <c r="J39" s="3482">
        <f t="shared" si="15"/>
        <v>94.545002852035765</v>
      </c>
      <c r="K39" s="3482">
        <f t="shared" si="15"/>
        <v>36.175170423478228</v>
      </c>
      <c r="L39" s="1055">
        <f>G39/G37</f>
        <v>4.6341463414634146E-2</v>
      </c>
      <c r="M39" s="1055"/>
      <c r="N39" s="3469">
        <f t="shared" si="3"/>
        <v>42.050871715535024</v>
      </c>
      <c r="O39" s="3469">
        <f t="shared" si="4"/>
        <v>0</v>
      </c>
      <c r="P39" s="3469">
        <f t="shared" si="11"/>
        <v>47.026169300714685</v>
      </c>
      <c r="Q39" s="3469">
        <f t="shared" si="11"/>
        <v>47.026169300714677</v>
      </c>
      <c r="R39" s="1055"/>
      <c r="S39" s="1055"/>
      <c r="T39" s="1055"/>
      <c r="U39" s="1055"/>
      <c r="V39" s="1055"/>
      <c r="W39" s="1055"/>
      <c r="X39" s="1055"/>
      <c r="Y39" s="1055"/>
      <c r="Z39" s="1055"/>
      <c r="AA39" s="1055"/>
    </row>
    <row r="40" spans="1:27" ht="12" customHeight="1" x14ac:dyDescent="0.3">
      <c r="A40" s="139" t="s">
        <v>115</v>
      </c>
      <c r="B40" s="2067" t="s">
        <v>65</v>
      </c>
      <c r="C40" s="121" t="s">
        <v>83</v>
      </c>
      <c r="D40" s="503">
        <v>0</v>
      </c>
      <c r="E40" s="503">
        <v>0</v>
      </c>
      <c r="F40" s="751">
        <v>104.04527717532108</v>
      </c>
      <c r="G40" s="750">
        <f>(G41+G42+G43+G44)/(100%-'Вхідні дані'!$D$46)-(G41+G42+G43+G44)</f>
        <v>126.98850767788065</v>
      </c>
      <c r="H40" s="750">
        <f>(H41+H42+H43+H44)/(100%-'Вхідні дані'!$D$46)-(H41+H42+H43+H44)</f>
        <v>103.45887648828813</v>
      </c>
      <c r="I40" s="750">
        <f>(I41+I42+I43+I44)/(100%-'Вхідні дані'!$D$46)-(I41+I42+I43+I44)</f>
        <v>0</v>
      </c>
      <c r="J40" s="750">
        <f>(J41+J42+J43+J44)/(100%-'Вхідні дані'!$D$46)-(J41+J42+J43+J44)</f>
        <v>17.018100513366434</v>
      </c>
      <c r="K40" s="750">
        <f>(K41+K42+K43+K44)/(100%-'Вхідні дані'!$D$46)-(K41+K42+K43+K44)</f>
        <v>6.5115306762260765</v>
      </c>
      <c r="N40" s="3469">
        <f t="shared" si="3"/>
        <v>7.5691569087963035</v>
      </c>
      <c r="O40" s="3469">
        <f t="shared" si="4"/>
        <v>0</v>
      </c>
      <c r="P40" s="3469">
        <f t="shared" si="11"/>
        <v>8.4647104741286405</v>
      </c>
      <c r="Q40" s="3469">
        <f t="shared" si="11"/>
        <v>8.4647104741286352</v>
      </c>
    </row>
    <row r="41" spans="1:27" ht="12" customHeight="1" x14ac:dyDescent="0.3">
      <c r="A41" s="139" t="s">
        <v>117</v>
      </c>
      <c r="B41" s="2067" t="s">
        <v>84</v>
      </c>
      <c r="C41" s="121" t="s">
        <v>40</v>
      </c>
      <c r="D41" s="503">
        <v>0</v>
      </c>
      <c r="E41" s="503">
        <v>0</v>
      </c>
      <c r="F41" s="751">
        <v>0</v>
      </c>
      <c r="G41" s="750">
        <f>(G43+G44)/(100%-'Вхідні дані'!$D$47)*'Вхідні дані'!$D$47</f>
        <v>0</v>
      </c>
      <c r="H41" s="750">
        <f>(H43+H44)/(100%-'Вхідні дані'!$D$47)*'Вхідні дані'!$D$47</f>
        <v>0</v>
      </c>
      <c r="I41" s="750">
        <f>(I43+I44)/(100%-'Вхідні дані'!$D$47)*'Вхідні дані'!$D$47</f>
        <v>0</v>
      </c>
      <c r="J41" s="750">
        <f>(J43+J44)/(100%-'Вхідні дані'!$D$47)*'Вхідні дані'!$D$47</f>
        <v>0</v>
      </c>
      <c r="K41" s="750">
        <f>(K43+K44)/(100%-'Вхідні дані'!$D$47)*'Вхідні дані'!$D$47</f>
        <v>0</v>
      </c>
      <c r="N41" s="3469">
        <f t="shared" si="3"/>
        <v>0</v>
      </c>
      <c r="O41" s="3469">
        <f t="shared" si="4"/>
        <v>0</v>
      </c>
      <c r="P41" s="3469">
        <f t="shared" si="11"/>
        <v>0</v>
      </c>
      <c r="Q41" s="3469">
        <f t="shared" si="11"/>
        <v>0</v>
      </c>
    </row>
    <row r="42" spans="1:27" ht="12" customHeight="1" x14ac:dyDescent="0.3">
      <c r="A42" s="139" t="s">
        <v>119</v>
      </c>
      <c r="B42" s="2067" t="s">
        <v>85</v>
      </c>
      <c r="C42" s="121" t="s">
        <v>40</v>
      </c>
      <c r="D42" s="503">
        <v>0</v>
      </c>
      <c r="E42" s="503">
        <v>0</v>
      </c>
      <c r="F42" s="751">
        <v>0</v>
      </c>
      <c r="G42" s="503">
        <v>0</v>
      </c>
      <c r="H42" s="503">
        <v>0</v>
      </c>
      <c r="I42" s="503">
        <v>0</v>
      </c>
      <c r="J42" s="503">
        <v>0</v>
      </c>
      <c r="K42" s="503">
        <v>0</v>
      </c>
      <c r="N42" s="3469">
        <f t="shared" si="3"/>
        <v>0</v>
      </c>
      <c r="O42" s="3469">
        <f t="shared" si="4"/>
        <v>0</v>
      </c>
      <c r="P42" s="3469">
        <f t="shared" si="11"/>
        <v>0</v>
      </c>
      <c r="Q42" s="3469">
        <f t="shared" si="11"/>
        <v>0</v>
      </c>
    </row>
    <row r="43" spans="1:27" ht="12" customHeight="1" x14ac:dyDescent="0.3">
      <c r="A43" s="139" t="s">
        <v>121</v>
      </c>
      <c r="B43" s="2067" t="s">
        <v>71</v>
      </c>
      <c r="C43" s="121" t="s">
        <v>40</v>
      </c>
      <c r="D43" s="503">
        <v>0</v>
      </c>
      <c r="E43" s="503">
        <v>0</v>
      </c>
      <c r="F43" s="751">
        <v>0</v>
      </c>
      <c r="G43" s="503">
        <v>0</v>
      </c>
      <c r="H43" s="503">
        <v>0</v>
      </c>
      <c r="I43" s="503">
        <v>0</v>
      </c>
      <c r="J43" s="503">
        <v>0</v>
      </c>
      <c r="K43" s="503">
        <v>0</v>
      </c>
      <c r="N43" s="3469">
        <f t="shared" si="3"/>
        <v>0</v>
      </c>
      <c r="O43" s="3469">
        <f t="shared" si="4"/>
        <v>0</v>
      </c>
      <c r="P43" s="3469">
        <f t="shared" si="11"/>
        <v>0</v>
      </c>
      <c r="Q43" s="3469">
        <f t="shared" si="11"/>
        <v>0</v>
      </c>
    </row>
    <row r="44" spans="1:27" ht="12" customHeight="1" x14ac:dyDescent="0.3">
      <c r="A44" s="139" t="s">
        <v>223</v>
      </c>
      <c r="B44" s="2067" t="s">
        <v>86</v>
      </c>
      <c r="C44" s="121" t="s">
        <v>40</v>
      </c>
      <c r="D44" s="503">
        <v>0</v>
      </c>
      <c r="E44" s="503">
        <v>0</v>
      </c>
      <c r="F44" s="751">
        <v>473.98404046535165</v>
      </c>
      <c r="G44" s="503">
        <f>(G37)*'Вхідні дані'!$D$45</f>
        <v>578.50320164367861</v>
      </c>
      <c r="H44" s="503">
        <f>(H37)*'Вхідні дані'!$D$45</f>
        <v>471.31265955775706</v>
      </c>
      <c r="I44" s="503">
        <f>(I37)*'Вхідні дані'!$D$45</f>
        <v>0</v>
      </c>
      <c r="J44" s="503">
        <f>(J37)*'Вхідні дані'!$D$45</f>
        <v>77.526902338669331</v>
      </c>
      <c r="K44" s="503">
        <f>(K37)*'Вхідні дані'!$D$45</f>
        <v>29.663639747252152</v>
      </c>
      <c r="N44" s="3469">
        <f>H44/H$56*1000</f>
        <v>34.481714806738715</v>
      </c>
      <c r="O44" s="3469">
        <f t="shared" si="4"/>
        <v>0</v>
      </c>
      <c r="P44" s="3469">
        <f t="shared" si="11"/>
        <v>38.561458826586041</v>
      </c>
      <c r="Q44" s="3469">
        <f t="shared" si="11"/>
        <v>38.561458826586033</v>
      </c>
    </row>
    <row r="45" spans="1:27" s="3470" customFormat="1" ht="24.6" customHeight="1" x14ac:dyDescent="0.3">
      <c r="A45" s="138" t="s">
        <v>187</v>
      </c>
      <c r="B45" s="3481" t="s">
        <v>576</v>
      </c>
      <c r="C45" s="123" t="s">
        <v>40</v>
      </c>
      <c r="D45" s="156">
        <f t="shared" ref="D45:K45" si="16">D39+D38+D37</f>
        <v>26637.279579999999</v>
      </c>
      <c r="E45" s="156">
        <f t="shared" si="16"/>
        <v>30050.98518</v>
      </c>
      <c r="F45" s="156">
        <v>13830.49390605685</v>
      </c>
      <c r="G45" s="156">
        <f>G39+G38+G37</f>
        <v>15929.260173628891</v>
      </c>
      <c r="H45" s="156">
        <f t="shared" si="16"/>
        <v>12977.736261250178</v>
      </c>
      <c r="I45" s="156">
        <f t="shared" si="16"/>
        <v>0</v>
      </c>
      <c r="J45" s="156">
        <f t="shared" si="16"/>
        <v>2134.7266433433338</v>
      </c>
      <c r="K45" s="156">
        <f t="shared" si="16"/>
        <v>816.79726903537698</v>
      </c>
      <c r="L45" s="1056"/>
      <c r="M45" s="3484"/>
      <c r="N45" s="3469">
        <f t="shared" si="3"/>
        <v>949.4644192612908</v>
      </c>
      <c r="O45" s="3469">
        <f t="shared" si="4"/>
        <v>0</v>
      </c>
      <c r="P45" s="3469">
        <f>J45/J$56*1000</f>
        <v>1061.8014015792946</v>
      </c>
      <c r="Q45" s="3469">
        <f>K45/K$56*1000</f>
        <v>1061.8014015792946</v>
      </c>
      <c r="R45" s="1055"/>
      <c r="S45" s="1055"/>
      <c r="T45" s="1055"/>
      <c r="U45" s="1055"/>
      <c r="V45" s="1055"/>
      <c r="W45" s="1055"/>
      <c r="X45" s="1055"/>
      <c r="Y45" s="1055"/>
      <c r="Z45" s="1055"/>
      <c r="AA45" s="1055"/>
    </row>
    <row r="46" spans="1:27" s="3470" customFormat="1" ht="15.6" customHeight="1" x14ac:dyDescent="0.3">
      <c r="A46" s="140" t="s">
        <v>188</v>
      </c>
      <c r="B46" s="3481" t="s">
        <v>87</v>
      </c>
      <c r="C46" s="3468" t="s">
        <v>74</v>
      </c>
      <c r="D46" s="156">
        <f t="shared" ref="D46:K46" si="17">D45/D56*1000</f>
        <v>288.36279413866617</v>
      </c>
      <c r="E46" s="156">
        <f t="shared" si="17"/>
        <v>450.64027011168002</v>
      </c>
      <c r="F46" s="156">
        <v>814.20513417632799</v>
      </c>
      <c r="G46" s="156">
        <f t="shared" si="17"/>
        <v>968.44926324941105</v>
      </c>
      <c r="H46" s="156">
        <f t="shared" si="17"/>
        <v>949.4644192612908</v>
      </c>
      <c r="I46" s="156">
        <f>IF(I56=0,0,I45/I56*1000)</f>
        <v>0</v>
      </c>
      <c r="J46" s="156">
        <f t="shared" si="17"/>
        <v>1061.8014015792946</v>
      </c>
      <c r="K46" s="156">
        <f t="shared" si="17"/>
        <v>1061.8014015792946</v>
      </c>
      <c r="L46" s="3485"/>
      <c r="M46" s="3486" t="s">
        <v>2635</v>
      </c>
      <c r="N46" s="3469"/>
      <c r="O46" s="917"/>
      <c r="P46" s="917"/>
      <c r="Q46" s="1055"/>
      <c r="R46" s="1055"/>
      <c r="S46" s="1055"/>
      <c r="T46" s="1055"/>
      <c r="U46" s="1055"/>
      <c r="V46" s="1055"/>
      <c r="W46" s="1055"/>
      <c r="X46" s="1055"/>
      <c r="Y46" s="1055"/>
      <c r="Z46" s="1055"/>
      <c r="AA46" s="1055"/>
    </row>
    <row r="47" spans="1:27" ht="24" x14ac:dyDescent="0.3">
      <c r="A47" s="141">
        <v>11</v>
      </c>
      <c r="B47" s="919" t="s">
        <v>577</v>
      </c>
      <c r="C47" s="3471" t="s">
        <v>22</v>
      </c>
      <c r="D47" s="750">
        <f t="shared" ref="D47:K47" si="18">D48+D49</f>
        <v>99814.646156792121</v>
      </c>
      <c r="E47" s="750">
        <f t="shared" si="18"/>
        <v>73157.247303102631</v>
      </c>
      <c r="F47" s="750">
        <v>18818.303470383467</v>
      </c>
      <c r="G47" s="750">
        <f t="shared" si="18"/>
        <v>18237.362357436083</v>
      </c>
      <c r="H47" s="750">
        <f t="shared" si="18"/>
        <v>15155.265331444638</v>
      </c>
      <c r="I47" s="750">
        <f t="shared" si="18"/>
        <v>0</v>
      </c>
      <c r="J47" s="750">
        <f t="shared" si="18"/>
        <v>2229.1652834520464</v>
      </c>
      <c r="K47" s="750">
        <f t="shared" si="18"/>
        <v>852.93174253939515</v>
      </c>
      <c r="L47" s="3486" t="s">
        <v>1437</v>
      </c>
      <c r="M47" s="3487">
        <f>ЗВВ_2ст!I37+ЗВВ_2ст!I38</f>
        <v>1.9966521159621551</v>
      </c>
      <c r="N47" s="1056">
        <f>N49/H56*1000</f>
        <v>0.12139021207463993</v>
      </c>
      <c r="O47" s="1056">
        <v>0</v>
      </c>
      <c r="P47" s="1056">
        <f>P49/J56*1000</f>
        <v>0.12139021207463994</v>
      </c>
      <c r="Q47" s="1056">
        <f>Q49/K56*1000</f>
        <v>0.12139021207463993</v>
      </c>
    </row>
    <row r="48" spans="1:27" ht="12" customHeight="1" x14ac:dyDescent="0.3">
      <c r="A48" s="142" t="s">
        <v>91</v>
      </c>
      <c r="B48" s="2067" t="s">
        <v>89</v>
      </c>
      <c r="C48" s="3471" t="s">
        <v>22</v>
      </c>
      <c r="D48" s="750">
        <f>'Д 7_РП'!E26</f>
        <v>99814.646156792121</v>
      </c>
      <c r="E48" s="750">
        <f>'Д 7_РП'!F26</f>
        <v>73157.247303102631</v>
      </c>
      <c r="F48" s="750">
        <v>18818.303470383467</v>
      </c>
      <c r="G48" s="750">
        <f>SUM(H48:K48)</f>
        <v>18237.362357436083</v>
      </c>
      <c r="H48" s="920">
        <f>'Д 7_РП'!G28</f>
        <v>15155.265331444638</v>
      </c>
      <c r="I48" s="920">
        <f>'Д 7_РП'!G31</f>
        <v>0</v>
      </c>
      <c r="J48" s="920">
        <f>'Д 7_РП'!G34</f>
        <v>2229.1652834520464</v>
      </c>
      <c r="K48" s="920">
        <f>'Д 7_РП'!G37</f>
        <v>852.93174253939515</v>
      </c>
      <c r="L48" s="3486" t="s">
        <v>2246</v>
      </c>
      <c r="M48" s="3487">
        <f>Адміністративні_2ст!I36+Адміністративні_2ст!I37</f>
        <v>4.8770375633752021</v>
      </c>
      <c r="N48" s="1056">
        <f>N50/H56*1000</f>
        <v>0.2965086503458384</v>
      </c>
      <c r="O48" s="1056">
        <v>0</v>
      </c>
      <c r="P48" s="1056">
        <f>P50/J56*1000</f>
        <v>0.2965086503458384</v>
      </c>
      <c r="Q48" s="1056">
        <f>Q50/K56*1000</f>
        <v>0.2965086503458384</v>
      </c>
    </row>
    <row r="49" spans="1:27" s="3490" customFormat="1" ht="13.2" x14ac:dyDescent="0.25">
      <c r="A49" s="2454" t="s">
        <v>92</v>
      </c>
      <c r="B49" s="2455" t="s">
        <v>611</v>
      </c>
      <c r="C49" s="3488" t="s">
        <v>22</v>
      </c>
      <c r="D49" s="2456">
        <v>0</v>
      </c>
      <c r="E49" s="2456">
        <v>0</v>
      </c>
      <c r="F49" s="2457">
        <v>0</v>
      </c>
      <c r="G49" s="2457">
        <v>0</v>
      </c>
      <c r="H49" s="2457">
        <v>0</v>
      </c>
      <c r="I49" s="2457">
        <v>0</v>
      </c>
      <c r="J49" s="2457">
        <v>0</v>
      </c>
      <c r="K49" s="2457">
        <v>0</v>
      </c>
      <c r="L49" s="3486" t="s">
        <v>1437</v>
      </c>
      <c r="M49" s="917">
        <f>SUM(N49:Q49)</f>
        <v>1.9966521159621551</v>
      </c>
      <c r="N49" s="917">
        <f>$M47/$G$56*H$56</f>
        <v>1.659219792804437</v>
      </c>
      <c r="O49" s="917">
        <f t="shared" ref="O49:Q50" si="19">$M47/$G$56*I$56</f>
        <v>0</v>
      </c>
      <c r="P49" s="917">
        <f t="shared" si="19"/>
        <v>0.24405215473571731</v>
      </c>
      <c r="Q49" s="917">
        <f t="shared" si="19"/>
        <v>9.3380168422000892E-2</v>
      </c>
      <c r="R49" s="3489"/>
      <c r="S49" s="3489"/>
      <c r="T49" s="3489"/>
      <c r="U49" s="3489"/>
      <c r="V49" s="3489"/>
      <c r="W49" s="3489"/>
      <c r="X49" s="3489"/>
      <c r="Y49" s="3489"/>
      <c r="Z49" s="3489"/>
      <c r="AA49" s="3489"/>
    </row>
    <row r="50" spans="1:27" ht="24" x14ac:dyDescent="0.3">
      <c r="A50" s="142" t="s">
        <v>190</v>
      </c>
      <c r="B50" s="2067" t="s">
        <v>578</v>
      </c>
      <c r="C50" s="3471" t="s">
        <v>22</v>
      </c>
      <c r="D50" s="750">
        <f t="shared" ref="D50:K50" si="20">D51+D52</f>
        <v>7185.57</v>
      </c>
      <c r="E50" s="750">
        <f t="shared" si="20"/>
        <v>6304.0299999999988</v>
      </c>
      <c r="F50" s="750">
        <v>1831.8054424041254</v>
      </c>
      <c r="G50" s="750">
        <f t="shared" si="20"/>
        <v>1789.148932003875</v>
      </c>
      <c r="H50" s="750">
        <f t="shared" si="20"/>
        <v>1486.784451089783</v>
      </c>
      <c r="I50" s="750">
        <f t="shared" si="20"/>
        <v>0</v>
      </c>
      <c r="J50" s="750">
        <f t="shared" si="20"/>
        <v>218.68889853844667</v>
      </c>
      <c r="K50" s="750">
        <f t="shared" si="20"/>
        <v>83.675582375644353</v>
      </c>
      <c r="L50" s="3486" t="s">
        <v>2246</v>
      </c>
      <c r="M50" s="917">
        <f>SUM(N50:Q50)</f>
        <v>4.8770375633752021</v>
      </c>
      <c r="N50" s="917">
        <f>$M48/$G$56*H$56</f>
        <v>4.052822818111915</v>
      </c>
      <c r="O50" s="917">
        <f t="shared" si="19"/>
        <v>0</v>
      </c>
      <c r="P50" s="917">
        <f t="shared" si="19"/>
        <v>0.5961236394429118</v>
      </c>
      <c r="Q50" s="917">
        <f t="shared" si="19"/>
        <v>0.22809110582037584</v>
      </c>
    </row>
    <row r="51" spans="1:27" ht="12" customHeight="1" x14ac:dyDescent="0.3">
      <c r="A51" s="142" t="s">
        <v>93</v>
      </c>
      <c r="B51" s="919" t="s">
        <v>89</v>
      </c>
      <c r="C51" s="3471" t="s">
        <v>22</v>
      </c>
      <c r="D51" s="750">
        <f>'Д 7_РП'!E48</f>
        <v>7185.57</v>
      </c>
      <c r="E51" s="750">
        <f>'Д 7_РП'!F48</f>
        <v>6304.0299999999988</v>
      </c>
      <c r="F51" s="750">
        <v>1831.8054424041254</v>
      </c>
      <c r="G51" s="750">
        <f>'Д 7_РП'!G50-'Д 7_РП'!G55</f>
        <v>1789.148932003875</v>
      </c>
      <c r="H51" s="920">
        <f>H48-H56</f>
        <v>1486.784451089783</v>
      </c>
      <c r="I51" s="920">
        <f>I48-I56</f>
        <v>0</v>
      </c>
      <c r="J51" s="920">
        <f>J48-J56</f>
        <v>218.68889853844667</v>
      </c>
      <c r="K51" s="920">
        <f>K48-K56</f>
        <v>83.675582375644353</v>
      </c>
      <c r="L51" s="916"/>
    </row>
    <row r="52" spans="1:27" s="3490" customFormat="1" ht="8.4" x14ac:dyDescent="0.2">
      <c r="A52" s="2454" t="s">
        <v>94</v>
      </c>
      <c r="B52" s="2458" t="s">
        <v>579</v>
      </c>
      <c r="C52" s="3488" t="s">
        <v>22</v>
      </c>
      <c r="D52" s="2456">
        <v>0</v>
      </c>
      <c r="E52" s="2456">
        <v>0</v>
      </c>
      <c r="F52" s="2457">
        <v>0</v>
      </c>
      <c r="G52" s="2457">
        <v>0</v>
      </c>
      <c r="H52" s="2457">
        <v>0</v>
      </c>
      <c r="I52" s="2457">
        <v>0</v>
      </c>
      <c r="J52" s="2457">
        <v>0</v>
      </c>
      <c r="K52" s="2457">
        <v>0</v>
      </c>
      <c r="L52" s="2459"/>
      <c r="M52" s="3489"/>
      <c r="N52" s="3489"/>
      <c r="O52" s="3489"/>
      <c r="P52" s="3489"/>
      <c r="Q52" s="3489"/>
      <c r="R52" s="3489"/>
      <c r="S52" s="3489"/>
      <c r="T52" s="3489"/>
      <c r="U52" s="3489"/>
      <c r="V52" s="3489"/>
      <c r="W52" s="3489"/>
      <c r="X52" s="3489"/>
      <c r="Y52" s="3489"/>
      <c r="Z52" s="3489"/>
      <c r="AA52" s="3489"/>
    </row>
    <row r="53" spans="1:27" ht="24" x14ac:dyDescent="0.3">
      <c r="A53" s="142" t="s">
        <v>191</v>
      </c>
      <c r="B53" s="919" t="s">
        <v>580</v>
      </c>
      <c r="C53" s="3471" t="s">
        <v>22</v>
      </c>
      <c r="D53" s="750">
        <f t="shared" ref="D53:K53" si="21">D54+D55+D56</f>
        <v>92629.076156792129</v>
      </c>
      <c r="E53" s="750">
        <f t="shared" si="21"/>
        <v>66853.217303102632</v>
      </c>
      <c r="F53" s="750">
        <v>16986.498027979342</v>
      </c>
      <c r="G53" s="750">
        <f>H53+I53+J53+K53</f>
        <v>16448.213425432205</v>
      </c>
      <c r="H53" s="750">
        <f t="shared" si="21"/>
        <v>13668.480880354855</v>
      </c>
      <c r="I53" s="750">
        <f t="shared" si="21"/>
        <v>0</v>
      </c>
      <c r="J53" s="2872">
        <f t="shared" si="21"/>
        <v>2010.4763849135998</v>
      </c>
      <c r="K53" s="2872">
        <f t="shared" si="21"/>
        <v>769.25616016375079</v>
      </c>
      <c r="L53" s="916"/>
    </row>
    <row r="54" spans="1:27" x14ac:dyDescent="0.3">
      <c r="A54" s="142" t="s">
        <v>236</v>
      </c>
      <c r="B54" s="919" t="s">
        <v>238</v>
      </c>
      <c r="C54" s="3471" t="s">
        <v>22</v>
      </c>
      <c r="D54" s="750">
        <f>'Д 7_РП'!E72</f>
        <v>254.88599968460073</v>
      </c>
      <c r="E54" s="750">
        <f>'Д 7_РП'!F72</f>
        <v>168.13127527691125</v>
      </c>
      <c r="F54" s="750">
        <v>163.54652050487999</v>
      </c>
      <c r="G54" s="750">
        <f>'Д 7_РП'!G72</f>
        <v>158.42099081682665</v>
      </c>
      <c r="H54" s="3491">
        <v>0</v>
      </c>
      <c r="I54" s="3491">
        <v>0</v>
      </c>
      <c r="J54" s="3491">
        <v>0</v>
      </c>
      <c r="K54" s="920">
        <v>0</v>
      </c>
    </row>
    <row r="55" spans="1:27" s="3490" customFormat="1" ht="8.4" x14ac:dyDescent="0.2">
      <c r="A55" s="2454" t="s">
        <v>237</v>
      </c>
      <c r="B55" s="2326" t="s">
        <v>95</v>
      </c>
      <c r="C55" s="3488" t="s">
        <v>22</v>
      </c>
      <c r="D55" s="2456">
        <v>0</v>
      </c>
      <c r="E55" s="2456">
        <v>0</v>
      </c>
      <c r="F55" s="2457">
        <v>0</v>
      </c>
      <c r="G55" s="2457">
        <v>0</v>
      </c>
      <c r="H55" s="2457">
        <v>0</v>
      </c>
      <c r="I55" s="2457">
        <v>0</v>
      </c>
      <c r="J55" s="2457">
        <v>0</v>
      </c>
      <c r="K55" s="2457">
        <v>0</v>
      </c>
      <c r="L55" s="3489"/>
      <c r="M55" s="3489"/>
      <c r="N55" s="3489"/>
      <c r="O55" s="3489"/>
      <c r="P55" s="3489"/>
      <c r="Q55" s="3489"/>
      <c r="R55" s="3489"/>
      <c r="S55" s="3489"/>
      <c r="T55" s="3489"/>
      <c r="U55" s="3489"/>
      <c r="V55" s="3489"/>
      <c r="W55" s="3489"/>
      <c r="X55" s="3489"/>
      <c r="Y55" s="3489"/>
      <c r="Z55" s="3489"/>
      <c r="AA55" s="3489"/>
    </row>
    <row r="56" spans="1:27" ht="24" customHeight="1" x14ac:dyDescent="0.3">
      <c r="A56" s="142" t="s">
        <v>581</v>
      </c>
      <c r="B56" s="919" t="s">
        <v>239</v>
      </c>
      <c r="C56" s="3471" t="s">
        <v>22</v>
      </c>
      <c r="D56" s="750">
        <f>D57+D58+D59+D60</f>
        <v>92374.190157107529</v>
      </c>
      <c r="E56" s="750">
        <f>E57+E58+E59+E60</f>
        <v>66685.086027825717</v>
      </c>
      <c r="F56" s="750">
        <v>16986.498027979342</v>
      </c>
      <c r="G56" s="750">
        <f>G57+G58+G59+G60</f>
        <v>16448.213425432205</v>
      </c>
      <c r="H56" s="920">
        <f>'Д 7_РП'!G77</f>
        <v>13668.480880354855</v>
      </c>
      <c r="I56" s="920">
        <f>'Д 7_РП'!G85</f>
        <v>0</v>
      </c>
      <c r="J56" s="920">
        <f>'Д 7_РП'!G89</f>
        <v>2010.4763849135998</v>
      </c>
      <c r="K56" s="920">
        <f>'Д 7_РП'!G93</f>
        <v>769.25616016375079</v>
      </c>
    </row>
    <row r="57" spans="1:27" ht="12" hidden="1" customHeight="1" x14ac:dyDescent="0.3">
      <c r="A57" s="142" t="s">
        <v>582</v>
      </c>
      <c r="B57" s="919" t="s">
        <v>3</v>
      </c>
      <c r="C57" s="3471" t="s">
        <v>22</v>
      </c>
      <c r="D57" s="750">
        <f>'Д 7_РП'!$E$75</f>
        <v>78679.744151229883</v>
      </c>
      <c r="E57" s="750">
        <f>'Д 7_РП'!$F$75</f>
        <v>57582.226975534839</v>
      </c>
      <c r="F57" s="750">
        <v>14110.711778854931</v>
      </c>
      <c r="G57" s="750">
        <f>'Д 7_РП'!G77</f>
        <v>13668.480880354855</v>
      </c>
      <c r="H57" s="121" t="s">
        <v>3118</v>
      </c>
      <c r="I57" s="121" t="s">
        <v>3118</v>
      </c>
      <c r="J57" s="121" t="s">
        <v>3118</v>
      </c>
      <c r="K57" s="121" t="s">
        <v>3118</v>
      </c>
    </row>
    <row r="58" spans="1:27" ht="12" hidden="1" customHeight="1" x14ac:dyDescent="0.3">
      <c r="A58" s="142" t="s">
        <v>583</v>
      </c>
      <c r="B58" s="919" t="s">
        <v>166</v>
      </c>
      <c r="C58" s="3471" t="s">
        <v>22</v>
      </c>
      <c r="D58" s="750">
        <f>'Д 7_РП'!$E$83</f>
        <v>13.195123224395186</v>
      </c>
      <c r="E58" s="750">
        <f>'Д 7_РП'!$F$83</f>
        <v>9.0310899163150786</v>
      </c>
      <c r="F58" s="750">
        <v>0</v>
      </c>
      <c r="G58" s="750">
        <f>'Д 7_РП'!G85</f>
        <v>0</v>
      </c>
      <c r="H58" s="121" t="s">
        <v>3118</v>
      </c>
      <c r="I58" s="121" t="s">
        <v>3118</v>
      </c>
      <c r="J58" s="121" t="s">
        <v>3118</v>
      </c>
      <c r="K58" s="121" t="s">
        <v>3118</v>
      </c>
    </row>
    <row r="59" spans="1:27" hidden="1" x14ac:dyDescent="0.3">
      <c r="A59" s="142" t="s">
        <v>584</v>
      </c>
      <c r="B59" s="919" t="s">
        <v>97</v>
      </c>
      <c r="C59" s="3471" t="s">
        <v>22</v>
      </c>
      <c r="D59" s="750">
        <f>'Д 7_РП'!$E$87</f>
        <v>8759.9737474263693</v>
      </c>
      <c r="E59" s="750">
        <f>'Д 7_РП'!$F$87</f>
        <v>6752.6432291627516</v>
      </c>
      <c r="F59" s="750">
        <v>1941.4841909216402</v>
      </c>
      <c r="G59" s="750">
        <f>'Д 7_РП'!G89</f>
        <v>2010.4763849135998</v>
      </c>
      <c r="H59" s="121" t="s">
        <v>3118</v>
      </c>
      <c r="I59" s="121" t="s">
        <v>3118</v>
      </c>
      <c r="J59" s="121" t="s">
        <v>3118</v>
      </c>
      <c r="K59" s="121" t="s">
        <v>3118</v>
      </c>
    </row>
    <row r="60" spans="1:27" ht="12" hidden="1" customHeight="1" x14ac:dyDescent="0.3">
      <c r="A60" s="142" t="s">
        <v>585</v>
      </c>
      <c r="B60" s="919" t="s">
        <v>109</v>
      </c>
      <c r="C60" s="3471" t="s">
        <v>22</v>
      </c>
      <c r="D60" s="750">
        <f>'Д 7_РП'!$E$91</f>
        <v>4921.2771352268846</v>
      </c>
      <c r="E60" s="750">
        <f>'Д 7_РП'!$F$91</f>
        <v>2341.1847332118145</v>
      </c>
      <c r="F60" s="750">
        <v>934.30205820277183</v>
      </c>
      <c r="G60" s="750">
        <f>'Д 7_РП'!G93</f>
        <v>769.25616016375079</v>
      </c>
      <c r="H60" s="121" t="s">
        <v>3118</v>
      </c>
      <c r="I60" s="121" t="s">
        <v>3118</v>
      </c>
      <c r="J60" s="121" t="s">
        <v>3118</v>
      </c>
      <c r="K60" s="121" t="s">
        <v>3118</v>
      </c>
    </row>
    <row r="61" spans="1:27" s="3490" customFormat="1" ht="25.95" customHeight="1" x14ac:dyDescent="0.2">
      <c r="A61" s="2460" t="s">
        <v>192</v>
      </c>
      <c r="B61" s="2461" t="s">
        <v>586</v>
      </c>
      <c r="C61" s="3492" t="s">
        <v>22</v>
      </c>
      <c r="D61" s="2456">
        <v>0</v>
      </c>
      <c r="E61" s="2456">
        <v>0</v>
      </c>
      <c r="F61" s="2456">
        <v>0</v>
      </c>
      <c r="G61" s="2456">
        <v>0</v>
      </c>
      <c r="H61" s="2456">
        <v>0</v>
      </c>
      <c r="I61" s="2456">
        <v>0</v>
      </c>
      <c r="J61" s="2456">
        <v>0</v>
      </c>
      <c r="K61" s="2456">
        <v>0</v>
      </c>
      <c r="L61" s="2459"/>
      <c r="M61" s="3489"/>
      <c r="N61" s="3489"/>
      <c r="O61" s="3489"/>
      <c r="P61" s="3489"/>
      <c r="Q61" s="3489"/>
      <c r="R61" s="3489"/>
      <c r="S61" s="3489"/>
      <c r="T61" s="3489"/>
      <c r="U61" s="3489"/>
      <c r="V61" s="3489"/>
      <c r="W61" s="3489"/>
      <c r="X61" s="3489"/>
      <c r="Y61" s="3489"/>
      <c r="Z61" s="3489"/>
      <c r="AA61" s="3489"/>
    </row>
    <row r="62" spans="1:27" s="3490" customFormat="1" ht="8.4" x14ac:dyDescent="0.2">
      <c r="A62" s="2460" t="s">
        <v>193</v>
      </c>
      <c r="B62" s="2455" t="s">
        <v>587</v>
      </c>
      <c r="C62" s="3492" t="s">
        <v>74</v>
      </c>
      <c r="D62" s="2456">
        <v>0</v>
      </c>
      <c r="E62" s="2456">
        <v>0</v>
      </c>
      <c r="F62" s="2456">
        <v>0</v>
      </c>
      <c r="G62" s="2456">
        <v>0</v>
      </c>
      <c r="H62" s="2456">
        <v>0</v>
      </c>
      <c r="I62" s="2456">
        <v>0</v>
      </c>
      <c r="J62" s="2456">
        <v>0</v>
      </c>
      <c r="K62" s="2456">
        <v>0</v>
      </c>
      <c r="L62" s="2459"/>
      <c r="M62" s="3489"/>
      <c r="N62" s="3489"/>
      <c r="O62" s="3489"/>
      <c r="P62" s="3489"/>
      <c r="Q62" s="3489"/>
      <c r="R62" s="3489"/>
      <c r="S62" s="3489"/>
      <c r="T62" s="3489"/>
      <c r="U62" s="3489"/>
      <c r="V62" s="3489"/>
      <c r="W62" s="3489"/>
      <c r="X62" s="3489"/>
      <c r="Y62" s="3489"/>
      <c r="Z62" s="3489"/>
      <c r="AA62" s="3489"/>
    </row>
    <row r="63" spans="1:27" hidden="1" x14ac:dyDescent="0.3">
      <c r="A63" s="3493"/>
      <c r="B63" s="3494"/>
      <c r="C63" s="3495"/>
      <c r="D63" s="3496"/>
      <c r="E63" s="3496"/>
      <c r="F63" s="3496"/>
      <c r="G63" s="3496"/>
      <c r="H63" s="3496"/>
      <c r="I63" s="3496"/>
      <c r="J63" s="3496"/>
      <c r="K63" s="3496"/>
    </row>
    <row r="64" spans="1:27" s="3499" customFormat="1" ht="10.199999999999999" x14ac:dyDescent="0.2">
      <c r="A64" s="3497" t="s">
        <v>79</v>
      </c>
      <c r="B64" s="3498"/>
      <c r="C64" s="3498"/>
      <c r="D64" s="3498"/>
      <c r="E64" s="3498"/>
      <c r="F64" s="3498"/>
      <c r="G64" s="3498"/>
      <c r="H64" s="3498"/>
      <c r="I64" s="3498"/>
      <c r="J64" s="3498"/>
      <c r="K64" s="3498"/>
    </row>
    <row r="65" spans="1:27" s="2453" customFormat="1" ht="12" customHeight="1" x14ac:dyDescent="0.25">
      <c r="A65" s="3500"/>
      <c r="L65" s="917"/>
      <c r="M65" s="917"/>
      <c r="N65" s="917"/>
      <c r="O65" s="917"/>
      <c r="P65" s="917"/>
      <c r="Q65" s="917"/>
      <c r="R65" s="917"/>
      <c r="S65" s="917"/>
      <c r="T65" s="917"/>
      <c r="U65" s="917"/>
      <c r="V65" s="917"/>
      <c r="W65" s="917"/>
      <c r="X65" s="917"/>
      <c r="Y65" s="917"/>
      <c r="Z65" s="917"/>
      <c r="AA65" s="917"/>
    </row>
    <row r="66" spans="1:27" s="2453" customFormat="1" ht="13.2" customHeight="1" x14ac:dyDescent="0.25">
      <c r="A66" s="3500"/>
      <c r="B66" s="3501" t="str">
        <f>'Вхідні дані'!B13</f>
        <v>Директор підприємства</v>
      </c>
      <c r="C66" s="5065" t="s">
        <v>240</v>
      </c>
      <c r="D66" s="5066"/>
      <c r="E66" s="5067" t="str">
        <f>'Вхідні дані'!F13</f>
        <v>Анатолій ПАНШИН</v>
      </c>
      <c r="F66" s="5067"/>
      <c r="G66" s="5067"/>
      <c r="L66" s="917"/>
      <c r="M66" s="917"/>
      <c r="N66" s="917"/>
      <c r="O66" s="917"/>
      <c r="P66" s="917"/>
      <c r="Q66" s="917"/>
      <c r="R66" s="917"/>
      <c r="S66" s="917"/>
      <c r="T66" s="917"/>
      <c r="U66" s="917"/>
      <c r="V66" s="917"/>
      <c r="W66" s="917"/>
      <c r="X66" s="917"/>
      <c r="Y66" s="917"/>
      <c r="Z66" s="917"/>
      <c r="AA66" s="917"/>
    </row>
    <row r="67" spans="1:27" s="2453" customFormat="1" ht="25.5" customHeight="1" x14ac:dyDescent="0.25">
      <c r="A67" s="3500"/>
      <c r="B67" s="3502" t="s">
        <v>232</v>
      </c>
      <c r="C67" s="5063" t="s">
        <v>209</v>
      </c>
      <c r="D67" s="5064"/>
      <c r="E67" s="3502"/>
      <c r="F67" s="5063" t="s">
        <v>230</v>
      </c>
      <c r="G67" s="5063"/>
      <c r="L67" s="917"/>
      <c r="M67" s="917"/>
      <c r="N67" s="917"/>
      <c r="O67" s="917"/>
      <c r="P67" s="917"/>
      <c r="Q67" s="917"/>
      <c r="R67" s="917"/>
      <c r="S67" s="917"/>
      <c r="T67" s="917"/>
      <c r="U67" s="917"/>
      <c r="V67" s="917"/>
      <c r="W67" s="917"/>
      <c r="X67" s="917"/>
      <c r="Y67" s="917"/>
      <c r="Z67" s="917"/>
      <c r="AA67" s="917"/>
    </row>
    <row r="69" spans="1:27" s="2453" customFormat="1" ht="13.8" x14ac:dyDescent="0.25">
      <c r="A69" s="3500"/>
      <c r="L69" s="917"/>
      <c r="M69" s="917"/>
      <c r="N69" s="917"/>
      <c r="O69" s="917"/>
      <c r="P69" s="917"/>
      <c r="Q69" s="917"/>
      <c r="R69" s="917"/>
      <c r="S69" s="917"/>
      <c r="T69" s="917"/>
      <c r="U69" s="917"/>
      <c r="V69" s="917"/>
      <c r="W69" s="917"/>
      <c r="X69" s="917"/>
      <c r="Y69" s="917"/>
      <c r="Z69" s="917"/>
      <c r="AA69" s="917"/>
    </row>
    <row r="73" spans="1:27" x14ac:dyDescent="0.3">
      <c r="D73" s="3504"/>
      <c r="E73" s="3504"/>
      <c r="F73" s="3504"/>
      <c r="G73" s="3504"/>
    </row>
    <row r="75" spans="1:27" x14ac:dyDescent="0.3">
      <c r="D75" s="3505"/>
      <c r="E75" s="3505"/>
      <c r="F75" s="3505"/>
      <c r="G75" s="3505"/>
    </row>
    <row r="76" spans="1:27" x14ac:dyDescent="0.3">
      <c r="D76" s="3504"/>
      <c r="E76" s="3504"/>
      <c r="F76" s="3504"/>
      <c r="G76" s="3504"/>
      <c r="H76" s="3504"/>
      <c r="I76" s="3504"/>
      <c r="J76" s="3504"/>
      <c r="K76" s="3504"/>
    </row>
    <row r="77" spans="1:27" x14ac:dyDescent="0.3">
      <c r="D77" s="3505"/>
      <c r="E77" s="3505"/>
      <c r="F77" s="3505"/>
    </row>
  </sheetData>
  <mergeCells count="15">
    <mergeCell ref="C67:D67"/>
    <mergeCell ref="F67:G67"/>
    <mergeCell ref="C66:D66"/>
    <mergeCell ref="E66:G66"/>
    <mergeCell ref="B5:F5"/>
    <mergeCell ref="H7:K7"/>
    <mergeCell ref="A4:K4"/>
    <mergeCell ref="A6:K6"/>
    <mergeCell ref="H1:K1"/>
    <mergeCell ref="A3:K3"/>
    <mergeCell ref="A7:A9"/>
    <mergeCell ref="B7:B9"/>
    <mergeCell ref="C7:C9"/>
    <mergeCell ref="D7:F7"/>
    <mergeCell ref="G7:G8"/>
  </mergeCells>
  <conditionalFormatting sqref="B1:B2">
    <cfRule type="containsText" dxfId="86" priority="1" operator="containsText" text="Для корек">
      <formula>NOT(ISERROR(SEARCH("Для корек",B1)))</formula>
    </cfRule>
  </conditionalFormatting>
  <pageMargins left="0.27559055118110237" right="0.27559055118110237" top="0.62992125984251968" bottom="0.23622047244094491" header="0.39370078740157483" footer="0.31496062992125984"/>
  <pageSetup paperSize="9" fitToHeight="0" orientation="landscape" r:id="rId1"/>
  <headerFooter differentFirst="1">
    <oddHeader>&amp;Rпродовження додатку 3</oddHead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Лист13">
    <tabColor rgb="FF92D050"/>
    <pageSetUpPr fitToPage="1"/>
  </sheetPr>
  <dimension ref="A1:AA77"/>
  <sheetViews>
    <sheetView topLeftCell="A20" zoomScale="110" zoomScaleNormal="110" zoomScaleSheetLayoutView="89" workbookViewId="0">
      <selection activeCell="G17" sqref="G17"/>
    </sheetView>
  </sheetViews>
  <sheetFormatPr defaultColWidth="9.109375" defaultRowHeight="14.4" x14ac:dyDescent="0.3"/>
  <cols>
    <col min="1" max="1" width="6" style="3503" customWidth="1"/>
    <col min="2" max="2" width="50.6640625" style="3464" customWidth="1"/>
    <col min="3" max="3" width="7.5546875" style="3464" customWidth="1"/>
    <col min="4" max="4" width="11" style="3464" customWidth="1"/>
    <col min="5" max="5" width="10.109375" style="3464" customWidth="1"/>
    <col min="6" max="6" width="10.88671875" style="3464" customWidth="1"/>
    <col min="7" max="7" width="10" style="3464" customWidth="1"/>
    <col min="8" max="9" width="7.6640625" style="3464" customWidth="1"/>
    <col min="10" max="10" width="7.88671875" style="3464" customWidth="1"/>
    <col min="11" max="11" width="9.109375" style="3464" customWidth="1"/>
    <col min="12" max="12" width="8.6640625" style="917" customWidth="1"/>
    <col min="13" max="13" width="9.109375" style="917"/>
    <col min="14" max="14" width="9.44140625" style="917" bestFit="1" customWidth="1"/>
    <col min="15" max="18" width="9.109375" style="917"/>
    <col min="19" max="19" width="9.109375" style="3484"/>
    <col min="20" max="23" width="9.109375" style="917"/>
    <col min="24" max="27" width="9.109375" style="4510"/>
    <col min="28" max="16384" width="9.109375" style="3464"/>
  </cols>
  <sheetData>
    <row r="1" spans="1:27" ht="43.95" customHeight="1" x14ac:dyDescent="0.3">
      <c r="A1" s="102"/>
      <c r="B1" s="103"/>
      <c r="C1" s="104"/>
      <c r="D1" s="2070"/>
      <c r="E1" s="2070"/>
      <c r="F1" s="2070"/>
      <c r="G1" s="2070"/>
      <c r="H1" s="5019" t="s">
        <v>3132</v>
      </c>
      <c r="I1" s="5019"/>
      <c r="J1" s="5019"/>
      <c r="K1" s="5019"/>
    </row>
    <row r="2" spans="1:27" ht="11.4" customHeight="1" x14ac:dyDescent="0.3">
      <c r="A2" s="102"/>
      <c r="B2" s="103"/>
      <c r="C2" s="104"/>
      <c r="D2" s="5070"/>
      <c r="E2" s="5070"/>
      <c r="F2" s="5070"/>
      <c r="G2" s="5070"/>
      <c r="H2" s="150" t="str">
        <f>'Вхідні дані'!F1</f>
        <v>станом на 01.09.2023 року</v>
      </c>
      <c r="I2" s="144"/>
      <c r="J2" s="144"/>
      <c r="K2" s="144"/>
    </row>
    <row r="3" spans="1:27" x14ac:dyDescent="0.3">
      <c r="A3" s="5020" t="s">
        <v>451</v>
      </c>
      <c r="B3" s="5020"/>
      <c r="C3" s="5020"/>
      <c r="D3" s="5020"/>
      <c r="E3" s="5020"/>
      <c r="F3" s="5020"/>
      <c r="G3" s="5020"/>
      <c r="H3" s="144"/>
      <c r="I3" s="144"/>
      <c r="J3" s="144"/>
      <c r="K3" s="144"/>
    </row>
    <row r="4" spans="1:27" x14ac:dyDescent="0.3">
      <c r="A4" s="5020" t="s">
        <v>575</v>
      </c>
      <c r="B4" s="5020"/>
      <c r="C4" s="5020"/>
      <c r="D4" s="5020"/>
      <c r="E4" s="5020"/>
      <c r="F4" s="5020"/>
      <c r="G4" s="5020"/>
      <c r="H4" s="5020"/>
      <c r="I4" s="5020"/>
      <c r="J4" s="5020"/>
      <c r="K4" s="5020"/>
    </row>
    <row r="5" spans="1:27" ht="1.95" customHeight="1" x14ac:dyDescent="0.3">
      <c r="A5" s="102"/>
      <c r="B5" s="5068"/>
      <c r="C5" s="5068"/>
      <c r="D5" s="5068"/>
      <c r="E5" s="5068"/>
      <c r="F5" s="5068"/>
      <c r="G5" s="104"/>
      <c r="H5" s="144"/>
      <c r="I5" s="144"/>
      <c r="J5" s="144"/>
      <c r="K5" s="144"/>
    </row>
    <row r="6" spans="1:27" x14ac:dyDescent="0.3">
      <c r="A6" s="5069" t="s">
        <v>211</v>
      </c>
      <c r="B6" s="5069"/>
      <c r="C6" s="5069"/>
      <c r="D6" s="5069"/>
      <c r="E6" s="5069"/>
      <c r="F6" s="5069"/>
      <c r="G6" s="5069"/>
      <c r="H6" s="5069"/>
      <c r="I6" s="5069"/>
      <c r="J6" s="5069"/>
      <c r="K6" s="5069"/>
    </row>
    <row r="7" spans="1:27" ht="15" customHeight="1" x14ac:dyDescent="0.3">
      <c r="A7" s="5051" t="s">
        <v>7</v>
      </c>
      <c r="B7" s="5054" t="s">
        <v>8</v>
      </c>
      <c r="C7" s="5057" t="s">
        <v>35</v>
      </c>
      <c r="D7" s="4511" t="s">
        <v>80</v>
      </c>
      <c r="E7" s="4512"/>
      <c r="F7" s="4512"/>
      <c r="G7" s="5062" t="s">
        <v>3116</v>
      </c>
      <c r="H7" s="5046" t="s">
        <v>3117</v>
      </c>
      <c r="I7" s="5047"/>
      <c r="J7" s="5047"/>
      <c r="K7" s="5048"/>
      <c r="N7" s="917" t="s">
        <v>3120</v>
      </c>
      <c r="S7" s="3484" t="s">
        <v>3119</v>
      </c>
    </row>
    <row r="8" spans="1:27" ht="36" customHeight="1" x14ac:dyDescent="0.3">
      <c r="A8" s="5052"/>
      <c r="B8" s="5055"/>
      <c r="C8" s="5058"/>
      <c r="D8" s="121" t="s">
        <v>241</v>
      </c>
      <c r="E8" s="121" t="s">
        <v>213</v>
      </c>
      <c r="F8" s="121" t="s">
        <v>214</v>
      </c>
      <c r="G8" s="5062"/>
      <c r="H8" s="121" t="s">
        <v>3</v>
      </c>
      <c r="I8" s="121" t="s">
        <v>166</v>
      </c>
      <c r="J8" s="121" t="s">
        <v>97</v>
      </c>
      <c r="K8" s="121" t="s">
        <v>98</v>
      </c>
      <c r="N8" s="121" t="s">
        <v>3</v>
      </c>
      <c r="O8" s="121" t="s">
        <v>166</v>
      </c>
      <c r="P8" s="121" t="s">
        <v>97</v>
      </c>
      <c r="Q8" s="121" t="s">
        <v>98</v>
      </c>
      <c r="S8" s="503" t="s">
        <v>3</v>
      </c>
      <c r="T8" s="121" t="s">
        <v>166</v>
      </c>
      <c r="U8" s="121" t="s">
        <v>97</v>
      </c>
      <c r="V8" s="121" t="s">
        <v>98</v>
      </c>
    </row>
    <row r="9" spans="1:27" ht="22.95" customHeight="1" x14ac:dyDescent="0.3">
      <c r="A9" s="5053"/>
      <c r="B9" s="5056"/>
      <c r="C9" s="5059"/>
      <c r="D9" s="121">
        <f>'Вхідні дані'!$F$8</f>
        <v>2021</v>
      </c>
      <c r="E9" s="121">
        <f>'Вхідні дані'!$F$7</f>
        <v>2022</v>
      </c>
      <c r="F9" s="121" t="str">
        <f>'Вхідні дані'!$F$9</f>
        <v>Ріш. №296 від 25.10.2022</v>
      </c>
      <c r="G9" s="121" t="str">
        <f>'Вхідні дані'!$F$6</f>
        <v>2023-2024</v>
      </c>
      <c r="H9" s="4288">
        <f>'Д 7_РП'!E174</f>
        <v>0.83039295929505652</v>
      </c>
      <c r="I9" s="4288">
        <f>'Д 7_РП'!E175</f>
        <v>1.6140940412001593E-4</v>
      </c>
      <c r="J9" s="4288">
        <f>'Д 7_РП'!E176</f>
        <v>0.12761850791641294</v>
      </c>
      <c r="K9" s="4288">
        <f>'Д 7_РП'!E177</f>
        <v>4.1827123384410587E-2</v>
      </c>
    </row>
    <row r="10" spans="1:27" ht="12" customHeight="1" x14ac:dyDescent="0.3">
      <c r="A10" s="3466">
        <v>1</v>
      </c>
      <c r="B10" s="3467">
        <v>2</v>
      </c>
      <c r="C10" s="121">
        <v>3</v>
      </c>
      <c r="D10" s="121">
        <v>4</v>
      </c>
      <c r="E10" s="121">
        <v>5</v>
      </c>
      <c r="F10" s="121">
        <v>6</v>
      </c>
      <c r="G10" s="121">
        <v>7</v>
      </c>
      <c r="H10" s="121">
        <v>8</v>
      </c>
      <c r="I10" s="121">
        <v>9</v>
      </c>
      <c r="J10" s="121">
        <v>10</v>
      </c>
      <c r="K10" s="121">
        <v>11</v>
      </c>
    </row>
    <row r="11" spans="1:27" s="3470" customFormat="1" ht="12" customHeight="1" x14ac:dyDescent="0.3">
      <c r="A11" s="140">
        <v>1</v>
      </c>
      <c r="B11" s="2071" t="s">
        <v>215</v>
      </c>
      <c r="C11" s="3468" t="s">
        <v>40</v>
      </c>
      <c r="D11" s="156">
        <f t="shared" ref="D11:K11" si="0">D12+D18+D19+D23</f>
        <v>24699.11969</v>
      </c>
      <c r="E11" s="156">
        <f t="shared" si="0"/>
        <v>28178.605179999999</v>
      </c>
      <c r="F11" s="156">
        <v>47798.373094883391</v>
      </c>
      <c r="G11" s="156">
        <f t="shared" si="0"/>
        <v>43350.858098990757</v>
      </c>
      <c r="H11" s="156">
        <f t="shared" si="0"/>
        <v>34908.079377941976</v>
      </c>
      <c r="I11" s="156">
        <f t="shared" si="0"/>
        <v>8.0347129271144322</v>
      </c>
      <c r="J11" s="156">
        <f t="shared" si="0"/>
        <v>6352.6538672594261</v>
      </c>
      <c r="K11" s="156">
        <f t="shared" si="0"/>
        <v>2082.0901408622394</v>
      </c>
      <c r="L11" s="1055"/>
      <c r="M11" s="1055"/>
      <c r="N11" s="3469">
        <f t="shared" ref="N11:N45" si="1">H11/H$56*1000</f>
        <v>510.49487427780849</v>
      </c>
      <c r="O11" s="3469">
        <f t="shared" ref="O11:Q44" si="2">I11/I$56*1000</f>
        <v>604.49208597610982</v>
      </c>
      <c r="P11" s="3469">
        <f t="shared" si="2"/>
        <v>604.49208597611005</v>
      </c>
      <c r="Q11" s="3469">
        <f t="shared" si="2"/>
        <v>604.49208597610982</v>
      </c>
      <c r="R11" s="1055"/>
      <c r="S11" s="3480">
        <f>'ТЕ_2ст_тариф_без ЦТП'!H86/'ТЕ_2ст_тариф_без ЦТП'!H$16</f>
        <v>473.68583255232903</v>
      </c>
      <c r="T11" s="3480">
        <f>'ТЕ_2ст_тариф_без ЦТП'!K86/'ТЕ_2ст_тариф_без ЦТП'!K$16</f>
        <v>568.2162724887645</v>
      </c>
      <c r="U11" s="3480">
        <f>'ТЕ_2ст_тариф_без ЦТП'!N86/'ТЕ_2ст_тариф_без ЦТП'!N$16</f>
        <v>568.21627248876439</v>
      </c>
      <c r="V11" s="3480">
        <f>'ТЕ_2ст_тариф_без ЦТП'!Q86/'ТЕ_2ст_тариф_без ЦТП'!Q$16</f>
        <v>568.21627248876428</v>
      </c>
      <c r="W11" s="1055"/>
      <c r="X11" s="4513">
        <f>N11-S11</f>
        <v>36.80904172547946</v>
      </c>
      <c r="Y11" s="4513">
        <f t="shared" ref="Y11:AA26" si="3">O11-T11</f>
        <v>36.275813487345317</v>
      </c>
      <c r="Z11" s="4513">
        <f t="shared" si="3"/>
        <v>36.275813487345658</v>
      </c>
      <c r="AA11" s="4513">
        <f t="shared" si="3"/>
        <v>36.275813487345545</v>
      </c>
    </row>
    <row r="12" spans="1:27" ht="12" customHeight="1" x14ac:dyDescent="0.3">
      <c r="A12" s="142" t="s">
        <v>23</v>
      </c>
      <c r="B12" s="2071" t="s">
        <v>216</v>
      </c>
      <c r="C12" s="3471" t="s">
        <v>40</v>
      </c>
      <c r="D12" s="503">
        <f t="shared" ref="D12:K12" si="4">D13+D14+D15+D16</f>
        <v>8592.3564000000006</v>
      </c>
      <c r="E12" s="503">
        <f t="shared" si="4"/>
        <v>9148.8313399999988</v>
      </c>
      <c r="F12" s="503">
        <v>30353.594711241396</v>
      </c>
      <c r="G12" s="503">
        <f t="shared" si="4"/>
        <v>23861.999303514553</v>
      </c>
      <c r="H12" s="503">
        <f t="shared" si="4"/>
        <v>18724.668249483002</v>
      </c>
      <c r="I12" s="503">
        <f t="shared" si="4"/>
        <v>4.8890278419574873</v>
      </c>
      <c r="J12" s="503">
        <f t="shared" si="4"/>
        <v>3865.514786787091</v>
      </c>
      <c r="K12" s="503">
        <f t="shared" si="4"/>
        <v>1266.9272394025008</v>
      </c>
      <c r="N12" s="3469">
        <f t="shared" si="1"/>
        <v>273.82907722942861</v>
      </c>
      <c r="O12" s="3469">
        <f t="shared" si="2"/>
        <v>367.82628892772993</v>
      </c>
      <c r="P12" s="3469">
        <f t="shared" si="2"/>
        <v>367.82628892772993</v>
      </c>
      <c r="Q12" s="3469">
        <f t="shared" si="2"/>
        <v>367.82628892772993</v>
      </c>
      <c r="S12" s="3480">
        <f>'ТЕ_2ст_тариф_без ЦТП'!H87/'ТЕ_2ст_тариф_без ЦТП'!H$16</f>
        <v>237.01990893694258</v>
      </c>
      <c r="T12" s="3480">
        <f>'ТЕ_2ст_тариф_без ЦТП'!K87/'ТЕ_2ст_тариф_без ЦТП'!K$16</f>
        <v>331.55109511012591</v>
      </c>
      <c r="U12" s="3480">
        <f>'ТЕ_2ст_тариф_без ЦТП'!N87/'ТЕ_2ст_тариф_без ЦТП'!N$16</f>
        <v>331.55109511012591</v>
      </c>
      <c r="V12" s="3480">
        <f>'ТЕ_2ст_тариф_без ЦТП'!Q87/'ТЕ_2ст_тариф_без ЦТП'!Q$16</f>
        <v>331.5510951101258</v>
      </c>
      <c r="X12" s="4513">
        <f t="shared" ref="X12:AA45" si="5">N12-S12</f>
        <v>36.809168292486021</v>
      </c>
      <c r="Y12" s="4513">
        <f t="shared" si="3"/>
        <v>36.27519381760402</v>
      </c>
      <c r="Z12" s="4513">
        <f t="shared" si="3"/>
        <v>36.27519381760402</v>
      </c>
      <c r="AA12" s="4513">
        <f t="shared" si="3"/>
        <v>36.275193817604134</v>
      </c>
    </row>
    <row r="13" spans="1:27" ht="12" customHeight="1" x14ac:dyDescent="0.3">
      <c r="A13" s="142" t="s">
        <v>41</v>
      </c>
      <c r="B13" s="2071" t="s">
        <v>43</v>
      </c>
      <c r="C13" s="3471" t="s">
        <v>40</v>
      </c>
      <c r="D13" s="503">
        <f>Транспортування_1ст!C14</f>
        <v>7563.8176999999996</v>
      </c>
      <c r="E13" s="503">
        <f>Транспортування_1ст!D14</f>
        <v>7847.1020099999996</v>
      </c>
      <c r="F13" s="503">
        <v>8156.3081158687728</v>
      </c>
      <c r="G13" s="503">
        <f>Транспортування_1ст!H14</f>
        <v>11016.842326985552</v>
      </c>
      <c r="H13" s="503">
        <f>$G13*H$9</f>
        <v>9148.3083019925689</v>
      </c>
      <c r="I13" s="503">
        <f t="shared" ref="I13:K15" si="6">$G13*I$9</f>
        <v>1.7782219552829077</v>
      </c>
      <c r="J13" s="503">
        <f t="shared" si="6"/>
        <v>1405.9529797202788</v>
      </c>
      <c r="K13" s="503">
        <f t="shared" si="6"/>
        <v>460.80282331742171</v>
      </c>
      <c r="L13" s="917">
        <f>G13/G56*1000</f>
        <v>133.78463036930506</v>
      </c>
      <c r="M13" s="917">
        <f>'Д 3_Т на Т з ЦТП'!G13/'Д 3_Т на Т з ЦТП'!G56*1000</f>
        <v>254.12664028823843</v>
      </c>
      <c r="N13" s="3469">
        <f t="shared" si="1"/>
        <v>133.78463036930506</v>
      </c>
      <c r="O13" s="3469">
        <f t="shared" si="2"/>
        <v>133.78463036930506</v>
      </c>
      <c r="P13" s="3469">
        <f t="shared" si="2"/>
        <v>133.78463036930506</v>
      </c>
      <c r="Q13" s="3469">
        <f t="shared" si="2"/>
        <v>133.78463036930506</v>
      </c>
      <c r="S13" s="3480">
        <f>'ТЕ_2ст_тариф_без ЦТП'!H88/'ТЕ_2ст_тариф_без ЦТП'!H$16</f>
        <v>133.78463036930509</v>
      </c>
      <c r="T13" s="3480">
        <f>'ТЕ_2ст_тариф_без ЦТП'!K88/'ТЕ_2ст_тариф_без ЦТП'!K$16</f>
        <v>133.78463036930506</v>
      </c>
      <c r="U13" s="3480">
        <f>'ТЕ_2ст_тариф_без ЦТП'!N88/'ТЕ_2ст_тариф_без ЦТП'!N$16</f>
        <v>133.78463036930509</v>
      </c>
      <c r="V13" s="3480">
        <f>'ТЕ_2ст_тариф_без ЦТП'!Q88/'ТЕ_2ст_тариф_без ЦТП'!Q$16</f>
        <v>133.78463036930506</v>
      </c>
      <c r="X13" s="4513">
        <f t="shared" si="5"/>
        <v>0</v>
      </c>
      <c r="Y13" s="4513">
        <f t="shared" si="3"/>
        <v>0</v>
      </c>
      <c r="Z13" s="4513">
        <f t="shared" si="3"/>
        <v>0</v>
      </c>
      <c r="AA13" s="4513">
        <f t="shared" si="3"/>
        <v>0</v>
      </c>
    </row>
    <row r="14" spans="1:27" ht="12.6" customHeight="1" x14ac:dyDescent="0.3">
      <c r="A14" s="142" t="s">
        <v>42</v>
      </c>
      <c r="B14" s="2071" t="s">
        <v>608</v>
      </c>
      <c r="C14" s="3471" t="s">
        <v>40</v>
      </c>
      <c r="D14" s="503">
        <v>0</v>
      </c>
      <c r="E14" s="503">
        <v>0</v>
      </c>
      <c r="F14" s="751">
        <v>0</v>
      </c>
      <c r="G14" s="503">
        <v>0</v>
      </c>
      <c r="H14" s="503">
        <f>$G14*H$9</f>
        <v>0</v>
      </c>
      <c r="I14" s="503">
        <f t="shared" si="6"/>
        <v>0</v>
      </c>
      <c r="J14" s="503">
        <f t="shared" si="6"/>
        <v>0</v>
      </c>
      <c r="K14" s="503">
        <f t="shared" si="6"/>
        <v>0</v>
      </c>
      <c r="L14" s="3472"/>
      <c r="M14" s="3472"/>
      <c r="N14" s="3469">
        <f t="shared" si="1"/>
        <v>0</v>
      </c>
      <c r="O14" s="3469">
        <f t="shared" si="2"/>
        <v>0</v>
      </c>
      <c r="P14" s="3469">
        <f t="shared" si="2"/>
        <v>0</v>
      </c>
      <c r="Q14" s="3469">
        <f t="shared" si="2"/>
        <v>0</v>
      </c>
      <c r="R14" s="3472"/>
      <c r="S14" s="3480">
        <f>'ТЕ_2ст_тариф_без ЦТП'!H89/'ТЕ_2ст_тариф_без ЦТП'!H$16</f>
        <v>0</v>
      </c>
      <c r="T14" s="3480">
        <f>'ТЕ_2ст_тариф_без ЦТП'!K89/'ТЕ_2ст_тариф_без ЦТП'!K$16</f>
        <v>0</v>
      </c>
      <c r="U14" s="3480">
        <f>'ТЕ_2ст_тариф_без ЦТП'!N89/'ТЕ_2ст_тариф_без ЦТП'!N$16</f>
        <v>0</v>
      </c>
      <c r="V14" s="3480">
        <f>'ТЕ_2ст_тариф_без ЦТП'!Q89/'ТЕ_2ст_тариф_без ЦТП'!Q$16</f>
        <v>0</v>
      </c>
      <c r="X14" s="4513">
        <f t="shared" si="5"/>
        <v>0</v>
      </c>
      <c r="Y14" s="4513">
        <f t="shared" si="3"/>
        <v>0</v>
      </c>
      <c r="Z14" s="4513">
        <f t="shared" si="3"/>
        <v>0</v>
      </c>
      <c r="AA14" s="4513">
        <f t="shared" si="3"/>
        <v>0</v>
      </c>
    </row>
    <row r="15" spans="1:27" ht="12" customHeight="1" x14ac:dyDescent="0.3">
      <c r="A15" s="142" t="s">
        <v>44</v>
      </c>
      <c r="B15" s="2071" t="s">
        <v>609</v>
      </c>
      <c r="C15" s="3471" t="s">
        <v>40</v>
      </c>
      <c r="D15" s="503">
        <f>Транспортування_1ст!C15</f>
        <v>521.01531</v>
      </c>
      <c r="E15" s="503">
        <f>Транспортування_1ст!D15</f>
        <v>466.57226000000003</v>
      </c>
      <c r="F15" s="503">
        <v>597.14135481467497</v>
      </c>
      <c r="G15" s="503">
        <f>Транспортування_1ст!H15</f>
        <v>543.62315145346668</v>
      </c>
      <c r="H15" s="503">
        <f>$G15*H$9</f>
        <v>451.42083747674889</v>
      </c>
      <c r="I15" s="503">
        <f t="shared" si="6"/>
        <v>8.7745888941949235E-2</v>
      </c>
      <c r="J15" s="503">
        <f t="shared" si="6"/>
        <v>69.376375457309592</v>
      </c>
      <c r="K15" s="503">
        <f t="shared" si="6"/>
        <v>22.738192630466273</v>
      </c>
      <c r="L15" s="3472"/>
      <c r="N15" s="3469">
        <f t="shared" si="1"/>
        <v>6.6015669661761303</v>
      </c>
      <c r="O15" s="3469">
        <f t="shared" si="2"/>
        <v>6.6015669661761311</v>
      </c>
      <c r="P15" s="3469">
        <f t="shared" si="2"/>
        <v>6.6015669661761311</v>
      </c>
      <c r="Q15" s="3469">
        <f t="shared" si="2"/>
        <v>6.6015669661761303</v>
      </c>
      <c r="S15" s="3480">
        <f>'ТЕ_2ст_тариф_без ЦТП'!H90/'ТЕ_2ст_тариф_без ЦТП'!H$16</f>
        <v>6.6015704966422115</v>
      </c>
      <c r="T15" s="3480">
        <f>'ТЕ_2ст_тариф_без ЦТП'!K90/'ТЕ_2ст_тариф_без ЦТП'!K$16</f>
        <v>6.6015496810789767</v>
      </c>
      <c r="U15" s="3480">
        <f>'ТЕ_2ст_тариф_без ЦТП'!N90/'ТЕ_2ст_тариф_без ЦТП'!N$16</f>
        <v>6.6015496810789784</v>
      </c>
      <c r="V15" s="3480">
        <f>'ТЕ_2ст_тариф_без ЦТП'!Q90/'ТЕ_2ст_тариф_без ЦТП'!Q$16</f>
        <v>6.6015496810789749</v>
      </c>
      <c r="X15" s="4513">
        <f t="shared" si="5"/>
        <v>-3.5304660812585098E-6</v>
      </c>
      <c r="Y15" s="4513">
        <f t="shared" si="3"/>
        <v>1.7285097154484674E-5</v>
      </c>
      <c r="Z15" s="4513">
        <f t="shared" si="3"/>
        <v>1.7285097152708317E-5</v>
      </c>
      <c r="AA15" s="4513">
        <f t="shared" si="3"/>
        <v>1.7285097155372853E-5</v>
      </c>
    </row>
    <row r="16" spans="1:27" ht="12" customHeight="1" x14ac:dyDescent="0.3">
      <c r="A16" s="142" t="s">
        <v>45</v>
      </c>
      <c r="B16" s="2071" t="s">
        <v>610</v>
      </c>
      <c r="C16" s="3471" t="s">
        <v>40</v>
      </c>
      <c r="D16" s="503">
        <f>Транспортування_1ст!C13-Транспортування_1ст!C14-Транспортування_1ст!C15</f>
        <v>507.52339000000097</v>
      </c>
      <c r="E16" s="503">
        <f>Транспортування_1ст!D13-Транспортування_1ст!D14-Транспортування_1ст!D15</f>
        <v>835.15706999999918</v>
      </c>
      <c r="F16" s="503">
        <v>21600.145240557948</v>
      </c>
      <c r="G16" s="503">
        <f>Транспортування_1ст!H13-Транспортування_1ст!H14-Транспортування_1ст!H15</f>
        <v>12301.533825075534</v>
      </c>
      <c r="H16" s="503">
        <f>($G16-$G17)*H$9+H17</f>
        <v>9124.9391100136854</v>
      </c>
      <c r="I16" s="503">
        <f t="shared" ref="I16:K16" si="7">($G16-$G17)*I$9+I17</f>
        <v>3.0230599977326302</v>
      </c>
      <c r="J16" s="503">
        <f t="shared" si="7"/>
        <v>2390.1854316095028</v>
      </c>
      <c r="K16" s="503">
        <f t="shared" si="7"/>
        <v>783.38622345461283</v>
      </c>
      <c r="L16" s="3472"/>
      <c r="N16" s="3473">
        <f t="shared" si="1"/>
        <v>133.44287989394743</v>
      </c>
      <c r="O16" s="3473">
        <f t="shared" si="2"/>
        <v>227.44009159224873</v>
      </c>
      <c r="P16" s="3473">
        <f t="shared" si="2"/>
        <v>227.44009159224876</v>
      </c>
      <c r="Q16" s="3473">
        <f t="shared" si="2"/>
        <v>227.44009159224873</v>
      </c>
      <c r="S16" s="3480">
        <f>'ТЕ_2ст_тариф_без ЦТП'!H91/'ТЕ_2ст_тариф_без ЦТП'!H$16</f>
        <v>96.633708070995311</v>
      </c>
      <c r="T16" s="3480">
        <f>'ТЕ_2ст_тариф_без ЦТП'!K91/'ТЕ_2ст_тариф_без ЦТП'!K$16</f>
        <v>191.16491505974184</v>
      </c>
      <c r="U16" s="3480">
        <f>'ТЕ_2ст_тариф_без ЦТП'!N91/'ТЕ_2ст_тариф_без ЦТП'!N$16</f>
        <v>191.16491505974184</v>
      </c>
      <c r="V16" s="3480">
        <f>'ТЕ_2ст_тариф_без ЦТП'!Q91/'ТЕ_2ст_тариф_без ЦТП'!Q$16</f>
        <v>191.16491505974176</v>
      </c>
      <c r="X16" s="4513">
        <f t="shared" si="5"/>
        <v>36.809171822952123</v>
      </c>
      <c r="Y16" s="4513">
        <f t="shared" si="3"/>
        <v>36.27517653250689</v>
      </c>
      <c r="Z16" s="4513">
        <f t="shared" si="3"/>
        <v>36.275176532506919</v>
      </c>
      <c r="AA16" s="4513">
        <f t="shared" si="3"/>
        <v>36.275176532506975</v>
      </c>
    </row>
    <row r="17" spans="1:27" ht="12.6" customHeight="1" x14ac:dyDescent="0.3">
      <c r="A17" s="142" t="s">
        <v>1997</v>
      </c>
      <c r="B17" s="2071" t="s">
        <v>2731</v>
      </c>
      <c r="C17" s="3471" t="s">
        <v>40</v>
      </c>
      <c r="D17" s="503">
        <f>Транспортування_1ст!C26</f>
        <v>0</v>
      </c>
      <c r="E17" s="503">
        <f>Транспортування_1ст!D26</f>
        <v>0</v>
      </c>
      <c r="F17" s="503">
        <v>20842.025870018988</v>
      </c>
      <c r="G17" s="3072">
        <f>Транспортування_1ст!H26</f>
        <v>11555.219110774409</v>
      </c>
      <c r="H17" s="503">
        <f>'Покриття втрат в мережах'!D14</f>
        <v>8505.2046258397295</v>
      </c>
      <c r="I17" s="503">
        <f>'Покриття втрат в мережах'!E14</f>
        <v>2.9025977844112858</v>
      </c>
      <c r="J17" s="503">
        <f>'Покриття втрат в мережах'!F14</f>
        <v>2294.9418613343291</v>
      </c>
      <c r="K17" s="503">
        <f>'Покриття втрат в мережах'!G14</f>
        <v>752.17002581593852</v>
      </c>
      <c r="L17" s="4514">
        <f>G17+'Д 3_Т на Т з ЦТП'!G17-'Покриття втрат в мережах'!C12</f>
        <v>0</v>
      </c>
      <c r="N17" s="3473">
        <f t="shared" si="1"/>
        <v>124.37989839448637</v>
      </c>
      <c r="O17" s="3473">
        <f t="shared" si="2"/>
        <v>218.37711009278769</v>
      </c>
      <c r="P17" s="3473">
        <f t="shared" si="2"/>
        <v>218.37711009278772</v>
      </c>
      <c r="Q17" s="3473">
        <f t="shared" si="2"/>
        <v>218.37711009278766</v>
      </c>
      <c r="S17" s="3480">
        <f>'ТЕ_2ст_тариф_без ЦТП'!H92/'ТЕ_2ст_тариф_без ЦТП'!H$16</f>
        <v>87.570721724723057</v>
      </c>
      <c r="T17" s="3480">
        <f>'ТЕ_2ст_тариф_без ЦТП'!K92/'ТЕ_2ст_тариф_без ЦТП'!K$16</f>
        <v>182.10195729017954</v>
      </c>
      <c r="U17" s="3480">
        <f>'ТЕ_2ст_тариф_без ЦТП'!N92/'ТЕ_2ст_тариф_без ЦТП'!N$16</f>
        <v>182.10195729017957</v>
      </c>
      <c r="V17" s="3480">
        <f>'ТЕ_2ст_тариф_без ЦТП'!Q92/'ТЕ_2ст_тариф_без ЦТП'!Q$16</f>
        <v>182.10195729017948</v>
      </c>
      <c r="X17" s="4513">
        <f t="shared" si="5"/>
        <v>36.809176669763318</v>
      </c>
      <c r="Y17" s="4513">
        <f t="shared" si="3"/>
        <v>36.275152802608147</v>
      </c>
      <c r="Z17" s="4513">
        <f t="shared" si="3"/>
        <v>36.275152802608147</v>
      </c>
      <c r="AA17" s="4513">
        <f t="shared" si="3"/>
        <v>36.275152802608176</v>
      </c>
    </row>
    <row r="18" spans="1:27" ht="12" customHeight="1" x14ac:dyDescent="0.3">
      <c r="A18" s="3474" t="s">
        <v>24</v>
      </c>
      <c r="B18" s="2072" t="s">
        <v>47</v>
      </c>
      <c r="C18" s="3476" t="s">
        <v>40</v>
      </c>
      <c r="D18" s="918">
        <f>Транспортування_1ст!C27</f>
        <v>8521.6485800000009</v>
      </c>
      <c r="E18" s="918">
        <f>Транспортування_1ст!D27</f>
        <v>9028.9914800000006</v>
      </c>
      <c r="F18" s="918">
        <v>9645.8182037404295</v>
      </c>
      <c r="G18" s="918">
        <f>Транспортування_1ст!H27</f>
        <v>11054.820751237807</v>
      </c>
      <c r="H18" s="503">
        <f>$G18*H$9</f>
        <v>9179.8453180967626</v>
      </c>
      <c r="I18" s="503">
        <f t="shared" ref="I18:K22" si="8">$G18*I$9</f>
        <v>1.7843520301108813</v>
      </c>
      <c r="J18" s="503">
        <f t="shared" si="8"/>
        <v>1410.799729556368</v>
      </c>
      <c r="K18" s="503">
        <f t="shared" si="8"/>
        <v>462.39135155456626</v>
      </c>
      <c r="N18" s="3469">
        <f t="shared" si="1"/>
        <v>134.24582689910844</v>
      </c>
      <c r="O18" s="3469">
        <f t="shared" si="2"/>
        <v>134.24582689910844</v>
      </c>
      <c r="P18" s="3469">
        <f t="shared" si="2"/>
        <v>134.24582689910844</v>
      </c>
      <c r="Q18" s="3469">
        <f t="shared" si="2"/>
        <v>134.24582689910844</v>
      </c>
      <c r="S18" s="3480">
        <f>'ТЕ_2ст_тариф_без ЦТП'!H93/'ТЕ_2ст_тариф_без ЦТП'!H$16</f>
        <v>134.2458986927206</v>
      </c>
      <c r="T18" s="3480">
        <f>'ТЕ_2ст_тариф_без ЦТП'!K93/'ТЕ_2ст_тариф_без ЦТП'!K$16</f>
        <v>134.24547539890065</v>
      </c>
      <c r="U18" s="3480">
        <f>'ТЕ_2ст_тариф_без ЦТП'!N93/'ТЕ_2ст_тариф_без ЦТП'!N$16</f>
        <v>134.24547539890068</v>
      </c>
      <c r="V18" s="3480">
        <f>'ТЕ_2ст_тариф_без ЦТП'!Q93/'ТЕ_2ст_тариф_без ЦТП'!Q$16</f>
        <v>134.24547539890062</v>
      </c>
      <c r="X18" s="4513">
        <f t="shared" si="5"/>
        <v>-7.1793612164583465E-5</v>
      </c>
      <c r="Y18" s="4513">
        <f t="shared" si="3"/>
        <v>3.5150020778473845E-4</v>
      </c>
      <c r="Z18" s="4513">
        <f t="shared" si="3"/>
        <v>3.5150020775631674E-4</v>
      </c>
      <c r="AA18" s="4513">
        <f t="shared" si="3"/>
        <v>3.5150020781316016E-4</v>
      </c>
    </row>
    <row r="19" spans="1:27" ht="12" customHeight="1" x14ac:dyDescent="0.3">
      <c r="A19" s="142" t="s">
        <v>48</v>
      </c>
      <c r="B19" s="2071" t="s">
        <v>217</v>
      </c>
      <c r="C19" s="3471" t="s">
        <v>40</v>
      </c>
      <c r="D19" s="503">
        <f>D20+D21+D22</f>
        <v>7285.4947099999999</v>
      </c>
      <c r="E19" s="503">
        <f>E20+E21+E22</f>
        <v>9088.9923599999966</v>
      </c>
      <c r="F19" s="503">
        <v>7275.4964986536579</v>
      </c>
      <c r="G19" s="503">
        <f>G20+G21+G22</f>
        <v>7322.6292191101174</v>
      </c>
      <c r="H19" s="503">
        <f>$G19*H$9</f>
        <v>6080.6597470772995</v>
      </c>
      <c r="I19" s="503">
        <f t="shared" si="8"/>
        <v>1.1819412188483815</v>
      </c>
      <c r="J19" s="503">
        <f t="shared" si="8"/>
        <v>934.50301496796124</v>
      </c>
      <c r="K19" s="503">
        <f t="shared" si="8"/>
        <v>306.28451584600901</v>
      </c>
      <c r="N19" s="3469">
        <f t="shared" si="1"/>
        <v>88.923415106928843</v>
      </c>
      <c r="O19" s="3469">
        <f t="shared" si="2"/>
        <v>88.923415106928829</v>
      </c>
      <c r="P19" s="3469">
        <f t="shared" si="2"/>
        <v>88.923415106928843</v>
      </c>
      <c r="Q19" s="3469">
        <f t="shared" si="2"/>
        <v>88.923415106928829</v>
      </c>
      <c r="S19" s="3480">
        <f>'ТЕ_2ст_тариф_без ЦТП'!H94/'ТЕ_2ст_тариф_без ЦТП'!H$16</f>
        <v>88.923462662471721</v>
      </c>
      <c r="T19" s="3480">
        <f>'ТЕ_2ст_тариф_без ЦТП'!K94/'ТЕ_2ст_тариф_без ЦТП'!K$16</f>
        <v>88.923182275863553</v>
      </c>
      <c r="U19" s="3480">
        <f>'ТЕ_2ст_тариф_без ЦТП'!N94/'ТЕ_2ст_тариф_без ЦТП'!N$16</f>
        <v>88.923182275863553</v>
      </c>
      <c r="V19" s="3480">
        <f>'ТЕ_2ст_тариф_без ЦТП'!Q94/'ТЕ_2ст_тариф_без ЦТП'!Q$16</f>
        <v>88.923182275863525</v>
      </c>
      <c r="X19" s="4513">
        <f t="shared" si="5"/>
        <v>-4.7555542877830703E-5</v>
      </c>
      <c r="Y19" s="4513">
        <f t="shared" si="3"/>
        <v>2.3283106527571817E-4</v>
      </c>
      <c r="Z19" s="4513">
        <f t="shared" si="3"/>
        <v>2.3283106528992903E-4</v>
      </c>
      <c r="AA19" s="4513">
        <f t="shared" si="3"/>
        <v>2.3283106530413988E-4</v>
      </c>
    </row>
    <row r="20" spans="1:27" ht="24" customHeight="1" x14ac:dyDescent="0.3">
      <c r="A20" s="142" t="s">
        <v>49</v>
      </c>
      <c r="B20" s="2071" t="s">
        <v>452</v>
      </c>
      <c r="C20" s="3471" t="s">
        <v>40</v>
      </c>
      <c r="D20" s="918">
        <f>Транспортування_1ст!C30</f>
        <v>1821.4948900000002</v>
      </c>
      <c r="E20" s="918">
        <f>Транспортування_1ст!D30</f>
        <v>1941.2065</v>
      </c>
      <c r="F20" s="918">
        <v>2092.2073421783248</v>
      </c>
      <c r="G20" s="918">
        <f>Транспортування_1ст!H30</f>
        <v>2399.1731656684565</v>
      </c>
      <c r="H20" s="503">
        <f>$G20*H$9</f>
        <v>1992.2565049007185</v>
      </c>
      <c r="I20" s="503">
        <f t="shared" si="8"/>
        <v>0.38724911105127785</v>
      </c>
      <c r="J20" s="503">
        <f t="shared" si="8"/>
        <v>306.17889963570542</v>
      </c>
      <c r="K20" s="503">
        <f t="shared" si="8"/>
        <v>100.35051202098147</v>
      </c>
      <c r="L20" s="916"/>
      <c r="N20" s="3469">
        <f t="shared" si="1"/>
        <v>29.134708987773546</v>
      </c>
      <c r="O20" s="3469">
        <f t="shared" si="2"/>
        <v>29.134708987773546</v>
      </c>
      <c r="P20" s="3469">
        <f t="shared" si="2"/>
        <v>29.13470898777355</v>
      </c>
      <c r="Q20" s="3469">
        <f t="shared" si="2"/>
        <v>29.134708987773543</v>
      </c>
      <c r="S20" s="3480">
        <f>'ТЕ_2ст_тариф_без ЦТП'!H95/'ТЕ_2ст_тариф_без ЦТП'!H$16</f>
        <v>29.134724568786719</v>
      </c>
      <c r="T20" s="3480">
        <f>'ТЕ_2ст_тариф_без ЦТП'!K95/'ТЕ_2ст_тариф_без ЦТП'!K$16</f>
        <v>29.134632703418941</v>
      </c>
      <c r="U20" s="3480">
        <f>'ТЕ_2ст_тариф_без ЦТП'!N95/'ТЕ_2ст_тариф_без ЦТП'!N$16</f>
        <v>29.134632703418948</v>
      </c>
      <c r="V20" s="3480">
        <f>'ТЕ_2ст_тариф_без ЦТП'!Q95/'ТЕ_2ст_тариф_без ЦТП'!Q$16</f>
        <v>29.13463270341893</v>
      </c>
      <c r="X20" s="4513">
        <f t="shared" si="5"/>
        <v>-1.5581013173004976E-5</v>
      </c>
      <c r="Y20" s="4513">
        <f t="shared" si="3"/>
        <v>7.6284354605604676E-5</v>
      </c>
      <c r="Z20" s="4513">
        <f t="shared" si="3"/>
        <v>7.6284354602051963E-5</v>
      </c>
      <c r="AA20" s="4513">
        <f t="shared" si="3"/>
        <v>7.6284354612710104E-5</v>
      </c>
    </row>
    <row r="21" spans="1:27" ht="12" customHeight="1" x14ac:dyDescent="0.3">
      <c r="A21" s="142" t="s">
        <v>50</v>
      </c>
      <c r="B21" s="2071" t="s">
        <v>460</v>
      </c>
      <c r="C21" s="3471" t="s">
        <v>40</v>
      </c>
      <c r="D21" s="918">
        <f>Транспортування_1ст!C31+Транспортування_1ст!C32</f>
        <v>4496.1033900000002</v>
      </c>
      <c r="E21" s="918">
        <f>Транспортування_1ст!D31+Транспортування_1ст!D32</f>
        <v>5291.07</v>
      </c>
      <c r="F21" s="918">
        <v>2668.5256296722073</v>
      </c>
      <c r="G21" s="918">
        <f>Транспортування_1ст!H31+Транспортування_1ст!H32</f>
        <v>2383.3709972632905</v>
      </c>
      <c r="H21" s="503">
        <f>$G21*H$9</f>
        <v>1979.1344955154739</v>
      </c>
      <c r="I21" s="503">
        <f t="shared" si="8"/>
        <v>0.38469849246519583</v>
      </c>
      <c r="J21" s="503">
        <f t="shared" si="8"/>
        <v>304.16225048199425</v>
      </c>
      <c r="K21" s="503">
        <f t="shared" si="8"/>
        <v>99.689552773357363</v>
      </c>
      <c r="L21" s="916"/>
      <c r="N21" s="3469">
        <f t="shared" si="1"/>
        <v>28.942813052770447</v>
      </c>
      <c r="O21" s="3469">
        <f t="shared" si="2"/>
        <v>28.942813052770443</v>
      </c>
      <c r="P21" s="3469">
        <f t="shared" si="2"/>
        <v>28.942813052770447</v>
      </c>
      <c r="Q21" s="3469">
        <f t="shared" si="2"/>
        <v>28.942813052770443</v>
      </c>
      <c r="S21" s="3480">
        <f>'ТЕ_2ст_тариф_без ЦТП'!H96/'ТЕ_2ст_тариф_без ЦТП'!H$16</f>
        <v>28.942828531159179</v>
      </c>
      <c r="T21" s="3480">
        <f>'ТЕ_2ст_тариф_без ЦТП'!K96/'ТЕ_2ст_тариф_без ЦТП'!K$16</f>
        <v>28.942737270863194</v>
      </c>
      <c r="U21" s="3480">
        <f>'ТЕ_2ст_тариф_без ЦТП'!N96/'ТЕ_2ст_тариф_без ЦТП'!N$16</f>
        <v>28.942737270863201</v>
      </c>
      <c r="V21" s="3480">
        <f>'ТЕ_2ст_тариф_без ЦТП'!Q96/'ТЕ_2ст_тариф_без ЦТП'!Q$16</f>
        <v>28.942737270863191</v>
      </c>
      <c r="X21" s="4513">
        <f t="shared" si="5"/>
        <v>-1.5478388732503845E-5</v>
      </c>
      <c r="Y21" s="4513">
        <f t="shared" si="3"/>
        <v>7.578190724899514E-5</v>
      </c>
      <c r="Z21" s="4513">
        <f t="shared" si="3"/>
        <v>7.5781907245442426E-5</v>
      </c>
      <c r="AA21" s="4513">
        <f t="shared" si="3"/>
        <v>7.5781907252547853E-5</v>
      </c>
    </row>
    <row r="22" spans="1:27" ht="12" customHeight="1" x14ac:dyDescent="0.3">
      <c r="A22" s="142" t="s">
        <v>51</v>
      </c>
      <c r="B22" s="2073" t="s">
        <v>81</v>
      </c>
      <c r="C22" s="3471" t="s">
        <v>40</v>
      </c>
      <c r="D22" s="503">
        <f>Транспортування_1ст!C29-Транспортування_1ст!C30-Транспортування_1ст!C31-Транспортування_1ст!C32</f>
        <v>967.89642999999978</v>
      </c>
      <c r="E22" s="503">
        <f>Транспортування_1ст!D29-Транспортування_1ст!D30-Транспортування_1ст!D31-Транспортування_1ст!D32</f>
        <v>1856.7158599999966</v>
      </c>
      <c r="F22" s="503">
        <v>2514.7635268031263</v>
      </c>
      <c r="G22" s="503">
        <f>Транспортування_1ст!H29-Транспортування_1ст!H30-Транспортування_1ст!H31-Транспортування_1ст!H32</f>
        <v>2540.0850561783709</v>
      </c>
      <c r="H22" s="503">
        <f>$G22*H$9</f>
        <v>2109.2687466611073</v>
      </c>
      <c r="I22" s="503">
        <f t="shared" si="8"/>
        <v>0.40999361533190803</v>
      </c>
      <c r="J22" s="503">
        <f t="shared" si="8"/>
        <v>324.16186485026162</v>
      </c>
      <c r="K22" s="503">
        <f t="shared" si="8"/>
        <v>106.24445105167023</v>
      </c>
      <c r="L22" s="916"/>
      <c r="M22" s="916"/>
      <c r="N22" s="3469">
        <f t="shared" si="1"/>
        <v>30.845893066384857</v>
      </c>
      <c r="O22" s="3469">
        <f t="shared" si="2"/>
        <v>30.845893066384857</v>
      </c>
      <c r="P22" s="3469">
        <f t="shared" si="2"/>
        <v>30.845893066384857</v>
      </c>
      <c r="Q22" s="3469">
        <f t="shared" si="2"/>
        <v>30.845893066384857</v>
      </c>
      <c r="S22" s="3480">
        <f>'ТЕ_2ст_тариф_без ЦТП'!H97/'ТЕ_2ст_тариф_без ЦТП'!H$16</f>
        <v>30.845909562525815</v>
      </c>
      <c r="T22" s="3480">
        <f>'ТЕ_2ст_тариф_без ЦТП'!K97/'ТЕ_2ст_тариф_без ЦТП'!K$16</f>
        <v>30.845812301581415</v>
      </c>
      <c r="U22" s="3480">
        <f>'ТЕ_2ст_тариф_без ЦТП'!N97/'ТЕ_2ст_тариф_без ЦТП'!N$16</f>
        <v>30.845812301581422</v>
      </c>
      <c r="V22" s="3480">
        <f>'ТЕ_2ст_тариф_без ЦТП'!Q97/'ТЕ_2ст_тариф_без ЦТП'!Q$16</f>
        <v>30.845812301581407</v>
      </c>
      <c r="X22" s="4513">
        <f t="shared" si="5"/>
        <v>-1.6496140958111027E-5</v>
      </c>
      <c r="Y22" s="4513">
        <f t="shared" si="3"/>
        <v>8.0764803442434641E-5</v>
      </c>
      <c r="Z22" s="4513">
        <f t="shared" si="3"/>
        <v>8.0764803435329213E-5</v>
      </c>
      <c r="AA22" s="4513">
        <f t="shared" si="3"/>
        <v>8.0764803449540068E-5</v>
      </c>
    </row>
    <row r="23" spans="1:27" ht="12" customHeight="1" x14ac:dyDescent="0.3">
      <c r="A23" s="142" t="s">
        <v>53</v>
      </c>
      <c r="B23" s="2071" t="s">
        <v>218</v>
      </c>
      <c r="C23" s="3471" t="s">
        <v>40</v>
      </c>
      <c r="D23" s="503">
        <f>D24+D25+D26</f>
        <v>299.62</v>
      </c>
      <c r="E23" s="503">
        <f>E24+E25+E26</f>
        <v>911.79</v>
      </c>
      <c r="F23" s="503">
        <v>523.46368124790524</v>
      </c>
      <c r="G23" s="503">
        <f>ЗВВ_1ст!J8</f>
        <v>1111.4088251282831</v>
      </c>
      <c r="H23" s="156">
        <f t="shared" ref="H23:K27" si="9">$G23/$G$56*H$56</f>
        <v>922.90606328491697</v>
      </c>
      <c r="I23" s="156">
        <f t="shared" si="9"/>
        <v>0.17939183619768317</v>
      </c>
      <c r="J23" s="156">
        <f t="shared" si="9"/>
        <v>141.836335948005</v>
      </c>
      <c r="K23" s="156">
        <f t="shared" si="9"/>
        <v>46.487034059163513</v>
      </c>
      <c r="L23" s="1056">
        <f>ЗВВ_1ст!J8</f>
        <v>1111.4088251282831</v>
      </c>
      <c r="N23" s="3469">
        <f t="shared" si="1"/>
        <v>13.496555042342669</v>
      </c>
      <c r="O23" s="3469">
        <f t="shared" si="2"/>
        <v>13.496555042342669</v>
      </c>
      <c r="P23" s="3469">
        <f t="shared" si="2"/>
        <v>13.496555042342669</v>
      </c>
      <c r="Q23" s="3469">
        <f t="shared" si="2"/>
        <v>13.496555042342669</v>
      </c>
      <c r="S23" s="3480">
        <f>'ТЕ_2ст_тариф_без ЦТП'!H98/'ТЕ_2ст_тариф_без ЦТП'!H$16</f>
        <v>13.49656226019413</v>
      </c>
      <c r="T23" s="3480">
        <f>'ТЕ_2ст_тариф_без ЦТП'!K98/'ТЕ_2ст_тариф_без ЦТП'!K$16</f>
        <v>13.496519703874339</v>
      </c>
      <c r="U23" s="3480">
        <f>'ТЕ_2ст_тариф_без ЦТП'!N98/'ТЕ_2ст_тариф_без ЦТП'!N$16</f>
        <v>13.496519703874343</v>
      </c>
      <c r="V23" s="3480">
        <f>'ТЕ_2ст_тариф_без ЦТП'!Q98/'ТЕ_2ст_тариф_без ЦТП'!Q$16</f>
        <v>13.496519703874339</v>
      </c>
      <c r="X23" s="4513">
        <f t="shared" si="5"/>
        <v>-7.2178514614051892E-6</v>
      </c>
      <c r="Y23" s="4513">
        <f t="shared" si="3"/>
        <v>3.5338468329371153E-5</v>
      </c>
      <c r="Z23" s="4513">
        <f t="shared" si="3"/>
        <v>3.533846832581844E-5</v>
      </c>
      <c r="AA23" s="4513">
        <f t="shared" si="3"/>
        <v>3.5338468329371153E-5</v>
      </c>
    </row>
    <row r="24" spans="1:27" ht="12" customHeight="1" x14ac:dyDescent="0.3">
      <c r="A24" s="142" t="s">
        <v>54</v>
      </c>
      <c r="B24" s="2071" t="s">
        <v>55</v>
      </c>
      <c r="C24" s="3471" t="s">
        <v>40</v>
      </c>
      <c r="D24" s="503">
        <v>226.24</v>
      </c>
      <c r="E24" s="503">
        <v>715.99</v>
      </c>
      <c r="F24" s="751">
        <v>401.44511000361541</v>
      </c>
      <c r="G24" s="503">
        <f>ЗВВ_1ст!J21</f>
        <v>849.25597277939903</v>
      </c>
      <c r="H24" s="503">
        <f>$G24*H$9</f>
        <v>705.21618043528713</v>
      </c>
      <c r="I24" s="503">
        <f t="shared" ref="I24:K26" si="10">$G24*I$9</f>
        <v>0.13707790051168728</v>
      </c>
      <c r="J24" s="503">
        <f t="shared" si="10"/>
        <v>108.3807800852087</v>
      </c>
      <c r="K24" s="503">
        <f t="shared" si="10"/>
        <v>35.521934358391562</v>
      </c>
      <c r="N24" s="3469">
        <f t="shared" si="1"/>
        <v>10.313063674235655</v>
      </c>
      <c r="O24" s="3469">
        <f t="shared" si="2"/>
        <v>10.313063674235655</v>
      </c>
      <c r="P24" s="3469">
        <f t="shared" si="2"/>
        <v>10.313063674235655</v>
      </c>
      <c r="Q24" s="3469">
        <f t="shared" si="2"/>
        <v>10.313063674235655</v>
      </c>
      <c r="S24" s="3480">
        <f>'ТЕ_2ст_тариф_без ЦТП'!H99/'ТЕ_2ст_тариф_без ЦТП'!H$16</f>
        <v>10.313069189580979</v>
      </c>
      <c r="T24" s="3480">
        <f>'ТЕ_2ст_тариф_без ЦТП'!K99/'ТЕ_2ст_тариф_без ЦТП'!K$16</f>
        <v>10.313036671206152</v>
      </c>
      <c r="U24" s="3480">
        <f>'ТЕ_2ст_тариф_без ЦТП'!N99/'ТЕ_2ст_тариф_без ЦТП'!N$16</f>
        <v>10.313036671206154</v>
      </c>
      <c r="V24" s="3480">
        <f>'ТЕ_2ст_тариф_без ЦТП'!Q99/'ТЕ_2ст_тариф_без ЦТП'!Q$16</f>
        <v>10.313036671206151</v>
      </c>
      <c r="X24" s="4513">
        <f t="shared" si="5"/>
        <v>-5.5153453235590177E-6</v>
      </c>
      <c r="Y24" s="4513">
        <f t="shared" si="3"/>
        <v>2.700302950309208E-5</v>
      </c>
      <c r="Z24" s="4513">
        <f t="shared" si="3"/>
        <v>2.7003029501315723E-5</v>
      </c>
      <c r="AA24" s="4513">
        <f t="shared" si="3"/>
        <v>2.7003029504868437E-5</v>
      </c>
    </row>
    <row r="25" spans="1:27" ht="23.4" customHeight="1" x14ac:dyDescent="0.3">
      <c r="A25" s="142" t="s">
        <v>56</v>
      </c>
      <c r="B25" s="2071" t="s">
        <v>452</v>
      </c>
      <c r="C25" s="3471" t="s">
        <v>40</v>
      </c>
      <c r="D25" s="503">
        <v>45.45</v>
      </c>
      <c r="E25" s="503">
        <v>149.29</v>
      </c>
      <c r="F25" s="751">
        <v>84.442620897991503</v>
      </c>
      <c r="G25" s="503">
        <f>ЗВВ_1ст!J23</f>
        <v>181.27583888373348</v>
      </c>
      <c r="H25" s="503">
        <f>$G25*H$9</f>
        <v>150.53018029935731</v>
      </c>
      <c r="I25" s="503">
        <f t="shared" si="10"/>
        <v>2.9259625135579437E-2</v>
      </c>
      <c r="J25" s="503">
        <f t="shared" si="10"/>
        <v>23.134152079638138</v>
      </c>
      <c r="K25" s="503">
        <f t="shared" si="10"/>
        <v>7.5822468796024545</v>
      </c>
      <c r="L25" s="916"/>
      <c r="N25" s="3469">
        <f t="shared" si="1"/>
        <v>2.2013495682461888</v>
      </c>
      <c r="O25" s="3469">
        <f t="shared" si="2"/>
        <v>2.2013495682461888</v>
      </c>
      <c r="P25" s="3469">
        <f t="shared" si="2"/>
        <v>2.2013495682461892</v>
      </c>
      <c r="Q25" s="3469">
        <f t="shared" si="2"/>
        <v>2.2013495682461888</v>
      </c>
      <c r="S25" s="3480">
        <f>'ТЕ_2ст_тариф_без ЦТП'!H100/'ТЕ_2ст_тариф_без ЦТП'!H$16</f>
        <v>2.2013507455106205</v>
      </c>
      <c r="T25" s="3480">
        <f>'ТЕ_2ст_тариф_без ЦТП'!K100/'ТЕ_2ст_тариф_без ЦТП'!K$16</f>
        <v>2.201343804381132</v>
      </c>
      <c r="U25" s="3480">
        <f>'ТЕ_2ст_тариф_без ЦТП'!N100/'ТЕ_2ст_тариф_без ЦТП'!N$16</f>
        <v>2.2013438043811324</v>
      </c>
      <c r="V25" s="3480">
        <f>'ТЕ_2ст_тариф_без ЦТП'!Q100/'ТЕ_2ст_тариф_без ЦТП'!Q$16</f>
        <v>2.2013438043811315</v>
      </c>
      <c r="X25" s="4513">
        <f t="shared" si="5"/>
        <v>-1.1772644317176173E-6</v>
      </c>
      <c r="Y25" s="4513">
        <f t="shared" si="3"/>
        <v>5.763865056795936E-6</v>
      </c>
      <c r="Z25" s="4513">
        <f t="shared" si="3"/>
        <v>5.763865056795936E-6</v>
      </c>
      <c r="AA25" s="4513">
        <f t="shared" si="3"/>
        <v>5.7638650572400252E-6</v>
      </c>
    </row>
    <row r="26" spans="1:27" ht="12" customHeight="1" x14ac:dyDescent="0.3">
      <c r="A26" s="142" t="s">
        <v>57</v>
      </c>
      <c r="B26" s="2071" t="s">
        <v>58</v>
      </c>
      <c r="C26" s="3471" t="s">
        <v>40</v>
      </c>
      <c r="D26" s="503">
        <v>27.93</v>
      </c>
      <c r="E26" s="503">
        <v>46.51</v>
      </c>
      <c r="F26" s="751">
        <v>37.575950346298328</v>
      </c>
      <c r="G26" s="503">
        <f>G23-G24-G25</f>
        <v>80.877013465150554</v>
      </c>
      <c r="H26" s="503">
        <f>$G26*H$9</f>
        <v>67.159702550272499</v>
      </c>
      <c r="I26" s="503">
        <f t="shared" si="10"/>
        <v>1.3054310550416457E-2</v>
      </c>
      <c r="J26" s="503">
        <f t="shared" si="10"/>
        <v>10.321403783158152</v>
      </c>
      <c r="K26" s="503">
        <f t="shared" si="10"/>
        <v>3.3828528211694886</v>
      </c>
      <c r="N26" s="3469">
        <f t="shared" si="1"/>
        <v>0.98214179986082206</v>
      </c>
      <c r="O26" s="3469">
        <f t="shared" si="2"/>
        <v>0.98214179986082206</v>
      </c>
      <c r="P26" s="3469">
        <f t="shared" si="2"/>
        <v>0.98214179986082206</v>
      </c>
      <c r="Q26" s="3469">
        <f t="shared" si="2"/>
        <v>0.98214179986082184</v>
      </c>
      <c r="S26" s="3480">
        <f>'ТЕ_2ст_тариф_без ЦТП'!H101/'ТЕ_2ст_тариф_без ЦТП'!H$16</f>
        <v>0.98214232510253041</v>
      </c>
      <c r="T26" s="3480">
        <f>'ТЕ_2ст_тариф_без ЦТП'!K101/'ТЕ_2ст_тариф_без ЦТП'!K$16</f>
        <v>0.98213922828705535</v>
      </c>
      <c r="U26" s="3480">
        <f>'ТЕ_2ст_тариф_без ЦТП'!N101/'ТЕ_2ст_тариф_без ЦТП'!N$16</f>
        <v>0.98213922828705547</v>
      </c>
      <c r="V26" s="3480">
        <f>'ТЕ_2ст_тариф_без ЦТП'!Q101/'ТЕ_2ст_тариф_без ЦТП'!Q$16</f>
        <v>0.98213922828705502</v>
      </c>
      <c r="X26" s="4513">
        <f t="shared" si="5"/>
        <v>-5.2524170834900019E-7</v>
      </c>
      <c r="Y26" s="4513">
        <f t="shared" si="3"/>
        <v>2.57157376670758E-6</v>
      </c>
      <c r="Z26" s="4513">
        <f t="shared" si="3"/>
        <v>2.5715737665965577E-6</v>
      </c>
      <c r="AA26" s="4513">
        <f t="shared" si="3"/>
        <v>2.5715737668186023E-6</v>
      </c>
    </row>
    <row r="27" spans="1:27" s="3470" customFormat="1" ht="12" customHeight="1" x14ac:dyDescent="0.3">
      <c r="A27" s="138">
        <v>2</v>
      </c>
      <c r="B27" s="2074" t="s">
        <v>219</v>
      </c>
      <c r="C27" s="123" t="s">
        <v>40</v>
      </c>
      <c r="D27" s="156">
        <f>D28+D29+D30</f>
        <v>1938.1599999999999</v>
      </c>
      <c r="E27" s="156">
        <f>E28+E29+E30</f>
        <v>1872.3799999999999</v>
      </c>
      <c r="F27" s="156">
        <v>612.96010609797747</v>
      </c>
      <c r="G27" s="156">
        <f>Адміністративні_1ст!J8</f>
        <v>1351.1769216868572</v>
      </c>
      <c r="H27" s="156">
        <f>$G27/$G$56*H$56</f>
        <v>1122.0078025307344</v>
      </c>
      <c r="I27" s="156">
        <f t="shared" si="9"/>
        <v>0.21809266179019307</v>
      </c>
      <c r="J27" s="156">
        <f t="shared" si="9"/>
        <v>172.43518267676865</v>
      </c>
      <c r="K27" s="156">
        <f t="shared" si="9"/>
        <v>56.515843817564267</v>
      </c>
      <c r="L27" s="3469">
        <f>Адміністративні_1ст!J8</f>
        <v>1351.1769216868572</v>
      </c>
      <c r="M27" s="1055"/>
      <c r="N27" s="3469">
        <f t="shared" si="1"/>
        <v>16.408213866202566</v>
      </c>
      <c r="O27" s="3469">
        <f t="shared" si="2"/>
        <v>16.408213866202566</v>
      </c>
      <c r="P27" s="3469">
        <f t="shared" si="2"/>
        <v>16.408213866202566</v>
      </c>
      <c r="Q27" s="3469">
        <f t="shared" si="2"/>
        <v>16.408213866202566</v>
      </c>
      <c r="R27" s="1055"/>
      <c r="S27" s="3480">
        <f>'ТЕ_2ст_тариф_без ЦТП'!H102/'ТЕ_2ст_тариф_без ЦТП'!H$16</f>
        <v>16.40822264118626</v>
      </c>
      <c r="T27" s="3480">
        <f>'ТЕ_2ст_тариф_без ЦТП'!K102/'ТЕ_2ст_тариф_без ЦТП'!K$16</f>
        <v>16.408170904043391</v>
      </c>
      <c r="U27" s="3480">
        <f>'ТЕ_2ст_тариф_без ЦТП'!N102/'ТЕ_2ст_тариф_без ЦТП'!N$16</f>
        <v>16.408170904043391</v>
      </c>
      <c r="V27" s="3480">
        <f>'ТЕ_2ст_тариф_без ЦТП'!Q102/'ТЕ_2ст_тариф_без ЦТП'!Q$16</f>
        <v>16.408170904043388</v>
      </c>
      <c r="W27" s="1055"/>
      <c r="X27" s="4513">
        <f t="shared" si="5"/>
        <v>-8.7749836943373793E-6</v>
      </c>
      <c r="Y27" s="4513">
        <f t="shared" si="5"/>
        <v>4.2962159174209091E-5</v>
      </c>
      <c r="Z27" s="4513">
        <f t="shared" si="5"/>
        <v>4.2962159174209091E-5</v>
      </c>
      <c r="AA27" s="4513">
        <f t="shared" si="5"/>
        <v>4.2962159177761805E-5</v>
      </c>
    </row>
    <row r="28" spans="1:27" ht="12" customHeight="1" x14ac:dyDescent="0.3">
      <c r="A28" s="139" t="s">
        <v>25</v>
      </c>
      <c r="B28" s="2075" t="s">
        <v>55</v>
      </c>
      <c r="C28" s="121" t="s">
        <v>40</v>
      </c>
      <c r="D28" s="503">
        <v>1345.95</v>
      </c>
      <c r="E28" s="503">
        <v>1223</v>
      </c>
      <c r="F28" s="751">
        <v>443.5055231469043</v>
      </c>
      <c r="G28" s="503">
        <f>Адміністративні_1ст!J21</f>
        <v>1011.8479335682923</v>
      </c>
      <c r="H28" s="503">
        <f>$G28*H$9</f>
        <v>840.23139991236201</v>
      </c>
      <c r="I28" s="503">
        <f t="shared" ref="I28:K30" si="11">$G28*I$9</f>
        <v>0.16332177201732753</v>
      </c>
      <c r="J28" s="503">
        <f t="shared" si="11"/>
        <v>129.13052352029118</v>
      </c>
      <c r="K28" s="503">
        <f t="shared" si="11"/>
        <v>42.32268836362185</v>
      </c>
      <c r="L28" s="1055"/>
      <c r="M28" s="1055"/>
      <c r="N28" s="3469">
        <f t="shared" si="1"/>
        <v>12.287522845887842</v>
      </c>
      <c r="O28" s="3469">
        <f t="shared" si="2"/>
        <v>12.287522845887841</v>
      </c>
      <c r="P28" s="3469">
        <f t="shared" si="2"/>
        <v>12.287522845887842</v>
      </c>
      <c r="Q28" s="3469">
        <f t="shared" si="2"/>
        <v>12.287522845887841</v>
      </c>
      <c r="S28" s="3480">
        <f>'ТЕ_2ст_тариф_без ЦТП'!H103/'ТЕ_2ст_тариф_без ЦТП'!H$16</f>
        <v>12.287529417158398</v>
      </c>
      <c r="T28" s="3480">
        <f>'ТЕ_2ст_тариф_без ЦТП'!K103/'ТЕ_2ст_тариф_без ЦТП'!K$16</f>
        <v>12.287490673067774</v>
      </c>
      <c r="U28" s="3480">
        <f>'ТЕ_2ст_тариф_без ЦТП'!N103/'ТЕ_2ст_тариф_без ЦТП'!N$16</f>
        <v>12.287490673067776</v>
      </c>
      <c r="V28" s="3480">
        <f>'ТЕ_2ст_тариф_без ЦТП'!Q103/'ТЕ_2ст_тариф_без ЦТП'!Q$16</f>
        <v>12.287490673067772</v>
      </c>
      <c r="W28" s="1056"/>
      <c r="X28" s="4513">
        <f t="shared" si="5"/>
        <v>-6.5712705552556372E-6</v>
      </c>
      <c r="Y28" s="4513">
        <f t="shared" si="5"/>
        <v>3.2172820066733721E-5</v>
      </c>
      <c r="Z28" s="4513">
        <f t="shared" si="5"/>
        <v>3.2172820066733721E-5</v>
      </c>
      <c r="AA28" s="4513">
        <f t="shared" si="5"/>
        <v>3.2172820068510077E-5</v>
      </c>
    </row>
    <row r="29" spans="1:27" ht="26.4" customHeight="1" x14ac:dyDescent="0.3">
      <c r="A29" s="139" t="s">
        <v>26</v>
      </c>
      <c r="B29" s="2075" t="s">
        <v>452</v>
      </c>
      <c r="C29" s="121" t="s">
        <v>40</v>
      </c>
      <c r="D29" s="503">
        <v>296.07</v>
      </c>
      <c r="E29" s="503">
        <v>268.79000000000002</v>
      </c>
      <c r="F29" s="751">
        <v>97.571215092318951</v>
      </c>
      <c r="G29" s="503">
        <f>Адміністративні_1ст!J23</f>
        <v>222.6065453850243</v>
      </c>
      <c r="H29" s="503">
        <f>$G29*H$9</f>
        <v>184.85090798071963</v>
      </c>
      <c r="I29" s="503">
        <f t="shared" si="11"/>
        <v>3.5930789843812053E-2</v>
      </c>
      <c r="J29" s="503">
        <f t="shared" si="11"/>
        <v>28.40871517446406</v>
      </c>
      <c r="K29" s="503">
        <f t="shared" si="11"/>
        <v>9.3109914399968066</v>
      </c>
      <c r="L29" s="916"/>
      <c r="M29" s="1055"/>
      <c r="N29" s="3469">
        <f t="shared" si="1"/>
        <v>2.703255026095325</v>
      </c>
      <c r="O29" s="3469">
        <f t="shared" si="2"/>
        <v>2.703255026095325</v>
      </c>
      <c r="P29" s="3469">
        <f t="shared" si="2"/>
        <v>2.7032550260953254</v>
      </c>
      <c r="Q29" s="3469">
        <f t="shared" si="2"/>
        <v>2.703255026095325</v>
      </c>
      <c r="S29" s="3480">
        <f>'ТЕ_2ст_тариф_без ЦТП'!H104/'ТЕ_2ст_тариф_без ЦТП'!H$16</f>
        <v>2.7032564717748477</v>
      </c>
      <c r="T29" s="3480">
        <f>'ТЕ_2ст_тариф_без ЦТП'!K104/'ТЕ_2ст_тариф_без ЦТП'!K$16</f>
        <v>2.7032479480749103</v>
      </c>
      <c r="U29" s="3480">
        <f>'ТЕ_2ст_тариф_без ЦТП'!N104/'ТЕ_2ст_тариф_без ЦТП'!N$16</f>
        <v>2.7032479480749108</v>
      </c>
      <c r="V29" s="3480">
        <f>'ТЕ_2ст_тариф_без ЦТП'!Q104/'ТЕ_2ст_тариф_без ЦТП'!Q$16</f>
        <v>2.7032479480749099</v>
      </c>
      <c r="W29" s="1056"/>
      <c r="X29" s="4513">
        <f t="shared" si="5"/>
        <v>-1.4456795227602015E-6</v>
      </c>
      <c r="Y29" s="4513">
        <f t="shared" si="5"/>
        <v>7.0780204146636549E-6</v>
      </c>
      <c r="Z29" s="4513">
        <f t="shared" si="5"/>
        <v>7.0780204146636549E-6</v>
      </c>
      <c r="AA29" s="4513">
        <f t="shared" si="5"/>
        <v>7.0780204151077442E-6</v>
      </c>
    </row>
    <row r="30" spans="1:27" ht="12" customHeight="1" x14ac:dyDescent="0.3">
      <c r="A30" s="139" t="s">
        <v>59</v>
      </c>
      <c r="B30" s="2076" t="s">
        <v>58</v>
      </c>
      <c r="C30" s="121" t="s">
        <v>40</v>
      </c>
      <c r="D30" s="503">
        <v>296.14</v>
      </c>
      <c r="E30" s="503">
        <v>380.59</v>
      </c>
      <c r="F30" s="751">
        <v>71.883367858754227</v>
      </c>
      <c r="G30" s="503">
        <f>G27-G28-G29</f>
        <v>116.72244273354059</v>
      </c>
      <c r="H30" s="503">
        <f>$G30*H$9</f>
        <v>96.925494637652534</v>
      </c>
      <c r="I30" s="503">
        <f t="shared" si="11"/>
        <v>1.8840099929053469E-2</v>
      </c>
      <c r="J30" s="503">
        <f t="shared" si="11"/>
        <v>14.895943982013405</v>
      </c>
      <c r="K30" s="503">
        <f t="shared" si="11"/>
        <v>4.8821640139456015</v>
      </c>
      <c r="L30" s="1055"/>
      <c r="M30" s="1055"/>
      <c r="N30" s="3469">
        <f t="shared" si="1"/>
        <v>1.4174359942193975</v>
      </c>
      <c r="O30" s="3469">
        <f t="shared" si="2"/>
        <v>1.4174359942193975</v>
      </c>
      <c r="P30" s="3469">
        <f t="shared" si="2"/>
        <v>1.4174359942193977</v>
      </c>
      <c r="Q30" s="3469">
        <f t="shared" si="2"/>
        <v>1.4174359942193977</v>
      </c>
      <c r="S30" s="3480">
        <f>'ТЕ_2ст_тариф_без ЦТП'!H105/'ТЕ_2ст_тариф_без ЦТП'!H$16</f>
        <v>1.4174367522530169</v>
      </c>
      <c r="T30" s="3480">
        <f>'ТЕ_2ст_тариф_без ЦТП'!K105/'ТЕ_2ст_тариф_без ЦТП'!K$16</f>
        <v>1.4174322829007069</v>
      </c>
      <c r="U30" s="3480">
        <f>'ТЕ_2ст_тариф_без ЦТП'!N105/'ТЕ_2ст_тариф_без ЦТП'!N$16</f>
        <v>1.4174322829007071</v>
      </c>
      <c r="V30" s="3480">
        <f>'ТЕ_2ст_тариф_без ЦТП'!Q105/'ТЕ_2ст_тариф_без ЦТП'!Q$16</f>
        <v>1.4174322829007064</v>
      </c>
      <c r="X30" s="4513">
        <f t="shared" si="5"/>
        <v>-7.5803361943016512E-7</v>
      </c>
      <c r="Y30" s="4513">
        <f t="shared" si="5"/>
        <v>3.7113186905912698E-6</v>
      </c>
      <c r="Z30" s="4513">
        <f t="shared" si="5"/>
        <v>3.7113186905912698E-6</v>
      </c>
      <c r="AA30" s="4513">
        <f t="shared" si="5"/>
        <v>3.7113186912574037E-6</v>
      </c>
    </row>
    <row r="31" spans="1:27" s="3470" customFormat="1" ht="12" customHeight="1" x14ac:dyDescent="0.3">
      <c r="A31" s="140" t="s">
        <v>173</v>
      </c>
      <c r="B31" s="2077" t="s">
        <v>220</v>
      </c>
      <c r="C31" s="123" t="s">
        <v>40</v>
      </c>
      <c r="D31" s="156">
        <f>D32+D33+D34</f>
        <v>0</v>
      </c>
      <c r="E31" s="156">
        <f>E32+E33+E34</f>
        <v>0</v>
      </c>
      <c r="F31" s="156">
        <v>0</v>
      </c>
      <c r="G31" s="156">
        <f>G32+G33+G34</f>
        <v>0</v>
      </c>
      <c r="H31" s="156">
        <f t="shared" ref="H31:K36" si="12">$G31/$G$56*H$56</f>
        <v>0</v>
      </c>
      <c r="I31" s="156">
        <f t="shared" si="12"/>
        <v>0</v>
      </c>
      <c r="J31" s="156">
        <f t="shared" si="12"/>
        <v>0</v>
      </c>
      <c r="K31" s="156">
        <f t="shared" si="12"/>
        <v>0</v>
      </c>
      <c r="L31" s="1055"/>
      <c r="M31" s="1055"/>
      <c r="N31" s="3469">
        <f t="shared" si="1"/>
        <v>0</v>
      </c>
      <c r="O31" s="3469">
        <f t="shared" si="2"/>
        <v>0</v>
      </c>
      <c r="P31" s="3469">
        <f t="shared" si="2"/>
        <v>0</v>
      </c>
      <c r="Q31" s="3469">
        <f t="shared" si="2"/>
        <v>0</v>
      </c>
      <c r="R31" s="1055"/>
      <c r="S31" s="3480">
        <f>'ТЕ_2ст_тариф_без ЦТП'!H106/'ТЕ_2ст_тариф_без ЦТП'!H$16</f>
        <v>0</v>
      </c>
      <c r="T31" s="3480">
        <f>'ТЕ_2ст_тариф_без ЦТП'!K106/'ТЕ_2ст_тариф_без ЦТП'!K$16</f>
        <v>0</v>
      </c>
      <c r="U31" s="3480">
        <f>'ТЕ_2ст_тариф_без ЦТП'!N106/'ТЕ_2ст_тариф_без ЦТП'!N$16</f>
        <v>0</v>
      </c>
      <c r="V31" s="3480">
        <f>'ТЕ_2ст_тариф_без ЦТП'!Q106/'ТЕ_2ст_тариф_без ЦТП'!Q$16</f>
        <v>0</v>
      </c>
      <c r="W31" s="1055"/>
      <c r="X31" s="4513">
        <f t="shared" si="5"/>
        <v>0</v>
      </c>
      <c r="Y31" s="4513">
        <f t="shared" si="5"/>
        <v>0</v>
      </c>
      <c r="Z31" s="4513">
        <f t="shared" si="5"/>
        <v>0</v>
      </c>
      <c r="AA31" s="4513">
        <f t="shared" si="5"/>
        <v>0</v>
      </c>
    </row>
    <row r="32" spans="1:27" ht="12" customHeight="1" x14ac:dyDescent="0.3">
      <c r="A32" s="142" t="s">
        <v>60</v>
      </c>
      <c r="B32" s="2071" t="s">
        <v>55</v>
      </c>
      <c r="C32" s="121" t="s">
        <v>40</v>
      </c>
      <c r="D32" s="503">
        <v>0</v>
      </c>
      <c r="E32" s="503">
        <v>0</v>
      </c>
      <c r="F32" s="503">
        <v>0</v>
      </c>
      <c r="G32" s="503">
        <v>0</v>
      </c>
      <c r="H32" s="156">
        <f t="shared" si="12"/>
        <v>0</v>
      </c>
      <c r="I32" s="156">
        <f t="shared" si="12"/>
        <v>0</v>
      </c>
      <c r="J32" s="156">
        <f t="shared" si="12"/>
        <v>0</v>
      </c>
      <c r="K32" s="156">
        <f t="shared" si="12"/>
        <v>0</v>
      </c>
      <c r="L32" s="1055"/>
      <c r="M32" s="1055"/>
      <c r="N32" s="3469">
        <f t="shared" si="1"/>
        <v>0</v>
      </c>
      <c r="O32" s="3469">
        <f t="shared" si="2"/>
        <v>0</v>
      </c>
      <c r="P32" s="3469">
        <f t="shared" si="2"/>
        <v>0</v>
      </c>
      <c r="Q32" s="3469">
        <f t="shared" si="2"/>
        <v>0</v>
      </c>
      <c r="S32" s="3480">
        <f>'ТЕ_2ст_тариф_без ЦТП'!H107/'ТЕ_2ст_тариф_без ЦТП'!H$16</f>
        <v>0</v>
      </c>
      <c r="T32" s="3480">
        <f>'ТЕ_2ст_тариф_без ЦТП'!K107/'ТЕ_2ст_тариф_без ЦТП'!K$16</f>
        <v>0</v>
      </c>
      <c r="U32" s="3480">
        <f>'ТЕ_2ст_тариф_без ЦТП'!N107/'ТЕ_2ст_тариф_без ЦТП'!N$16</f>
        <v>0</v>
      </c>
      <c r="V32" s="3480">
        <f>'ТЕ_2ст_тариф_без ЦТП'!Q107/'ТЕ_2ст_тариф_без ЦТП'!Q$16</f>
        <v>0</v>
      </c>
      <c r="X32" s="4513">
        <f t="shared" si="5"/>
        <v>0</v>
      </c>
      <c r="Y32" s="4513">
        <f t="shared" si="5"/>
        <v>0</v>
      </c>
      <c r="Z32" s="4513">
        <f t="shared" si="5"/>
        <v>0</v>
      </c>
      <c r="AA32" s="4513">
        <f t="shared" si="5"/>
        <v>0</v>
      </c>
    </row>
    <row r="33" spans="1:27" ht="25.95" customHeight="1" x14ac:dyDescent="0.3">
      <c r="A33" s="142" t="s">
        <v>61</v>
      </c>
      <c r="B33" s="2075" t="s">
        <v>452</v>
      </c>
      <c r="C33" s="121" t="s">
        <v>40</v>
      </c>
      <c r="D33" s="503">
        <v>0</v>
      </c>
      <c r="E33" s="503">
        <v>0</v>
      </c>
      <c r="F33" s="503">
        <v>0</v>
      </c>
      <c r="G33" s="503">
        <v>0</v>
      </c>
      <c r="H33" s="156">
        <f t="shared" si="12"/>
        <v>0</v>
      </c>
      <c r="I33" s="156">
        <f t="shared" si="12"/>
        <v>0</v>
      </c>
      <c r="J33" s="156">
        <f t="shared" si="12"/>
        <v>0</v>
      </c>
      <c r="K33" s="156">
        <f t="shared" si="12"/>
        <v>0</v>
      </c>
      <c r="L33" s="916"/>
      <c r="M33" s="1055"/>
      <c r="N33" s="3469">
        <f t="shared" si="1"/>
        <v>0</v>
      </c>
      <c r="O33" s="3469">
        <f t="shared" si="2"/>
        <v>0</v>
      </c>
      <c r="P33" s="3469">
        <f t="shared" si="2"/>
        <v>0</v>
      </c>
      <c r="Q33" s="3469">
        <f t="shared" si="2"/>
        <v>0</v>
      </c>
      <c r="S33" s="3480">
        <f>'ТЕ_2ст_тариф_без ЦТП'!H108/'ТЕ_2ст_тариф_без ЦТП'!H$16</f>
        <v>0</v>
      </c>
      <c r="T33" s="3480">
        <f>'ТЕ_2ст_тариф_без ЦТП'!K108/'ТЕ_2ст_тариф_без ЦТП'!K$16</f>
        <v>0</v>
      </c>
      <c r="U33" s="3480">
        <f>'ТЕ_2ст_тариф_без ЦТП'!N108/'ТЕ_2ст_тариф_без ЦТП'!N$16</f>
        <v>0</v>
      </c>
      <c r="V33" s="3480">
        <f>'ТЕ_2ст_тариф_без ЦТП'!Q108/'ТЕ_2ст_тариф_без ЦТП'!Q$16</f>
        <v>0</v>
      </c>
      <c r="X33" s="4513">
        <f t="shared" si="5"/>
        <v>0</v>
      </c>
      <c r="Y33" s="4513">
        <f t="shared" si="5"/>
        <v>0</v>
      </c>
      <c r="Z33" s="4513">
        <f t="shared" si="5"/>
        <v>0</v>
      </c>
      <c r="AA33" s="4513">
        <f t="shared" si="5"/>
        <v>0</v>
      </c>
    </row>
    <row r="34" spans="1:27" ht="12" customHeight="1" x14ac:dyDescent="0.3">
      <c r="A34" s="139" t="s">
        <v>62</v>
      </c>
      <c r="B34" s="2318" t="s">
        <v>233</v>
      </c>
      <c r="C34" s="121" t="s">
        <v>40</v>
      </c>
      <c r="D34" s="503">
        <v>0</v>
      </c>
      <c r="E34" s="503">
        <v>0</v>
      </c>
      <c r="F34" s="503">
        <v>0</v>
      </c>
      <c r="G34" s="503">
        <v>0</v>
      </c>
      <c r="H34" s="156">
        <f t="shared" si="12"/>
        <v>0</v>
      </c>
      <c r="I34" s="156">
        <f t="shared" si="12"/>
        <v>0</v>
      </c>
      <c r="J34" s="156">
        <f t="shared" si="12"/>
        <v>0</v>
      </c>
      <c r="K34" s="156">
        <f t="shared" si="12"/>
        <v>0</v>
      </c>
      <c r="L34" s="1055"/>
      <c r="M34" s="1055"/>
      <c r="N34" s="3469">
        <f t="shared" si="1"/>
        <v>0</v>
      </c>
      <c r="O34" s="3469">
        <f t="shared" si="2"/>
        <v>0</v>
      </c>
      <c r="P34" s="3469">
        <f t="shared" si="2"/>
        <v>0</v>
      </c>
      <c r="Q34" s="3469">
        <f t="shared" si="2"/>
        <v>0</v>
      </c>
      <c r="S34" s="3480">
        <f>'ТЕ_2ст_тариф_без ЦТП'!H109/'ТЕ_2ст_тариф_без ЦТП'!H$16</f>
        <v>0</v>
      </c>
      <c r="T34" s="3480">
        <f>'ТЕ_2ст_тариф_без ЦТП'!K109/'ТЕ_2ст_тариф_без ЦТП'!K$16</f>
        <v>0</v>
      </c>
      <c r="U34" s="3480">
        <f>'ТЕ_2ст_тариф_без ЦТП'!N109/'ТЕ_2ст_тариф_без ЦТП'!N$16</f>
        <v>0</v>
      </c>
      <c r="V34" s="3480">
        <f>'ТЕ_2ст_тариф_без ЦТП'!Q109/'ТЕ_2ст_тариф_без ЦТП'!Q$16</f>
        <v>0</v>
      </c>
      <c r="X34" s="4513">
        <f t="shared" si="5"/>
        <v>0</v>
      </c>
      <c r="Y34" s="4513">
        <f t="shared" si="5"/>
        <v>0</v>
      </c>
      <c r="Z34" s="4513">
        <f t="shared" si="5"/>
        <v>0</v>
      </c>
      <c r="AA34" s="4513">
        <f t="shared" si="5"/>
        <v>0</v>
      </c>
    </row>
    <row r="35" spans="1:27" s="3470" customFormat="1" ht="12" customHeight="1" x14ac:dyDescent="0.3">
      <c r="A35" s="138" t="s">
        <v>174</v>
      </c>
      <c r="B35" s="4515" t="s">
        <v>82</v>
      </c>
      <c r="C35" s="123" t="s">
        <v>40</v>
      </c>
      <c r="D35" s="503">
        <v>0</v>
      </c>
      <c r="E35" s="503">
        <v>0</v>
      </c>
      <c r="F35" s="503">
        <v>0</v>
      </c>
      <c r="G35" s="503">
        <v>0</v>
      </c>
      <c r="H35" s="156">
        <f t="shared" si="12"/>
        <v>0</v>
      </c>
      <c r="I35" s="156">
        <f t="shared" si="12"/>
        <v>0</v>
      </c>
      <c r="J35" s="156">
        <f t="shared" si="12"/>
        <v>0</v>
      </c>
      <c r="K35" s="156">
        <f t="shared" si="12"/>
        <v>0</v>
      </c>
      <c r="L35" s="1055"/>
      <c r="M35" s="1055"/>
      <c r="N35" s="3469">
        <f t="shared" si="1"/>
        <v>0</v>
      </c>
      <c r="O35" s="3469">
        <f t="shared" si="2"/>
        <v>0</v>
      </c>
      <c r="P35" s="3469">
        <f t="shared" si="2"/>
        <v>0</v>
      </c>
      <c r="Q35" s="3469">
        <f t="shared" si="2"/>
        <v>0</v>
      </c>
      <c r="R35" s="1055"/>
      <c r="S35" s="3480">
        <f>'ТЕ_2ст_тариф_без ЦТП'!H110/'ТЕ_2ст_тариф_без ЦТП'!H$16</f>
        <v>0</v>
      </c>
      <c r="T35" s="3480">
        <f>'ТЕ_2ст_тариф_без ЦТП'!K110/'ТЕ_2ст_тариф_без ЦТП'!K$16</f>
        <v>0</v>
      </c>
      <c r="U35" s="3480">
        <f>'ТЕ_2ст_тариф_без ЦТП'!N110/'ТЕ_2ст_тариф_без ЦТП'!N$16</f>
        <v>0</v>
      </c>
      <c r="V35" s="3480">
        <f>'ТЕ_2ст_тариф_без ЦТП'!Q110/'ТЕ_2ст_тариф_без ЦТП'!Q$16</f>
        <v>0</v>
      </c>
      <c r="W35" s="1055"/>
      <c r="X35" s="4513">
        <f t="shared" si="5"/>
        <v>0</v>
      </c>
      <c r="Y35" s="4513">
        <f t="shared" si="5"/>
        <v>0</v>
      </c>
      <c r="Z35" s="4513">
        <f t="shared" si="5"/>
        <v>0</v>
      </c>
      <c r="AA35" s="4513">
        <f t="shared" si="5"/>
        <v>0</v>
      </c>
    </row>
    <row r="36" spans="1:27" s="3470" customFormat="1" ht="12" customHeight="1" x14ac:dyDescent="0.3">
      <c r="A36" s="138" t="s">
        <v>169</v>
      </c>
      <c r="B36" s="4515" t="s">
        <v>5</v>
      </c>
      <c r="C36" s="123" t="s">
        <v>40</v>
      </c>
      <c r="D36" s="3482">
        <v>0</v>
      </c>
      <c r="E36" s="3482">
        <v>0</v>
      </c>
      <c r="F36" s="3482">
        <v>0</v>
      </c>
      <c r="G36" s="156">
        <v>0</v>
      </c>
      <c r="H36" s="156">
        <f t="shared" si="12"/>
        <v>0</v>
      </c>
      <c r="I36" s="156">
        <f t="shared" si="12"/>
        <v>0</v>
      </c>
      <c r="J36" s="156">
        <f t="shared" si="12"/>
        <v>0</v>
      </c>
      <c r="K36" s="156">
        <f t="shared" si="12"/>
        <v>0</v>
      </c>
      <c r="L36" s="1055"/>
      <c r="M36" s="1055"/>
      <c r="N36" s="3469">
        <f t="shared" si="1"/>
        <v>0</v>
      </c>
      <c r="O36" s="3469">
        <f t="shared" si="2"/>
        <v>0</v>
      </c>
      <c r="P36" s="3469">
        <f t="shared" si="2"/>
        <v>0</v>
      </c>
      <c r="Q36" s="3469">
        <f t="shared" si="2"/>
        <v>0</v>
      </c>
      <c r="R36" s="1055"/>
      <c r="S36" s="3480">
        <f>'ТЕ_2ст_тариф_без ЦТП'!H111/'ТЕ_2ст_тариф_без ЦТП'!H$16</f>
        <v>0</v>
      </c>
      <c r="T36" s="3480">
        <f>'ТЕ_2ст_тариф_без ЦТП'!K111/'ТЕ_2ст_тариф_без ЦТП'!K$16</f>
        <v>0</v>
      </c>
      <c r="U36" s="3480">
        <f>'ТЕ_2ст_тариф_без ЦТП'!N111/'ТЕ_2ст_тариф_без ЦТП'!N$16</f>
        <v>0</v>
      </c>
      <c r="V36" s="3480">
        <f>'ТЕ_2ст_тариф_без ЦТП'!Q111/'ТЕ_2ст_тариф_без ЦТП'!Q$16</f>
        <v>0</v>
      </c>
      <c r="W36" s="1055"/>
      <c r="X36" s="4513">
        <f t="shared" si="5"/>
        <v>0</v>
      </c>
      <c r="Y36" s="4513">
        <f t="shared" si="5"/>
        <v>0</v>
      </c>
      <c r="Z36" s="4513">
        <f t="shared" si="5"/>
        <v>0</v>
      </c>
      <c r="AA36" s="4513">
        <f t="shared" si="5"/>
        <v>0</v>
      </c>
    </row>
    <row r="37" spans="1:27" s="3470" customFormat="1" ht="12" customHeight="1" x14ac:dyDescent="0.3">
      <c r="A37" s="138" t="s">
        <v>170</v>
      </c>
      <c r="B37" s="4515" t="s">
        <v>63</v>
      </c>
      <c r="C37" s="123" t="s">
        <v>40</v>
      </c>
      <c r="D37" s="156">
        <f t="shared" ref="D37:K37" si="13">D36+D35+D31+D27+D11</f>
        <v>26637.279689999999</v>
      </c>
      <c r="E37" s="156">
        <f t="shared" si="13"/>
        <v>30050.98518</v>
      </c>
      <c r="F37" s="156">
        <v>48411.333200981368</v>
      </c>
      <c r="G37" s="156">
        <f t="shared" si="13"/>
        <v>44702.035020677613</v>
      </c>
      <c r="H37" s="156">
        <f t="shared" si="13"/>
        <v>36030.087180472714</v>
      </c>
      <c r="I37" s="156">
        <f t="shared" si="13"/>
        <v>8.252805588904625</v>
      </c>
      <c r="J37" s="156">
        <f t="shared" si="13"/>
        <v>6525.0890499361949</v>
      </c>
      <c r="K37" s="156">
        <f t="shared" si="13"/>
        <v>2138.6059846798039</v>
      </c>
      <c r="L37" s="3469">
        <f>Транспортування_2ст!H12+ЗВВ_1ст!J8+Адміністративні_1ст!J8</f>
        <v>41678.346479816551</v>
      </c>
      <c r="M37" s="3480">
        <f>G37-L37</f>
        <v>3023.6885408610615</v>
      </c>
      <c r="N37" s="3469">
        <f t="shared" si="1"/>
        <v>526.90308814401112</v>
      </c>
      <c r="O37" s="3469">
        <f t="shared" si="2"/>
        <v>620.90029984231228</v>
      </c>
      <c r="P37" s="3469">
        <f t="shared" si="2"/>
        <v>620.90029984231251</v>
      </c>
      <c r="Q37" s="3469">
        <f t="shared" si="2"/>
        <v>620.90029984231239</v>
      </c>
      <c r="R37" s="1055"/>
      <c r="S37" s="3480">
        <f>'ТЕ_2ст_тариф_без ЦТП'!H112/'ТЕ_2ст_тариф_без ЦТП'!H$16</f>
        <v>490.09405519351532</v>
      </c>
      <c r="T37" s="3480">
        <f>'ТЕ_2ст_тариф_без ЦТП'!K112/'ТЕ_2ст_тариф_без ЦТП'!K$16</f>
        <v>584.62444339280785</v>
      </c>
      <c r="U37" s="3480">
        <f>'ТЕ_2ст_тариф_без ЦТП'!N112/'ТЕ_2ст_тариф_без ЦТП'!N$16</f>
        <v>584.62444339280785</v>
      </c>
      <c r="V37" s="3480">
        <f>'ТЕ_2ст_тариф_без ЦТП'!Q112/'ТЕ_2ст_тариф_без ЦТП'!Q$16</f>
        <v>584.62444339280773</v>
      </c>
      <c r="W37" s="1055"/>
      <c r="X37" s="4513">
        <f t="shared" si="5"/>
        <v>36.809032950495805</v>
      </c>
      <c r="Y37" s="4513">
        <f t="shared" si="5"/>
        <v>36.275856449504431</v>
      </c>
      <c r="Z37" s="4513">
        <f t="shared" si="5"/>
        <v>36.275856449504658</v>
      </c>
      <c r="AA37" s="4513">
        <f t="shared" si="5"/>
        <v>36.275856449504658</v>
      </c>
    </row>
    <row r="38" spans="1:27" s="3470" customFormat="1" ht="12" customHeight="1" x14ac:dyDescent="0.3">
      <c r="A38" s="138" t="s">
        <v>171</v>
      </c>
      <c r="B38" s="3481" t="s">
        <v>2655</v>
      </c>
      <c r="C38" s="123" t="s">
        <v>40</v>
      </c>
      <c r="D38" s="156">
        <v>0</v>
      </c>
      <c r="E38" s="156">
        <v>0</v>
      </c>
      <c r="F38" s="156">
        <v>622.78504698453878</v>
      </c>
      <c r="G38" s="156">
        <f>SUM(H38:K38)</f>
        <v>0</v>
      </c>
      <c r="H38" s="156">
        <v>0</v>
      </c>
      <c r="I38" s="156">
        <v>0</v>
      </c>
      <c r="J38" s="156">
        <v>0</v>
      </c>
      <c r="K38" s="156">
        <v>0</v>
      </c>
      <c r="L38" s="1055"/>
      <c r="M38" s="1055"/>
      <c r="N38" s="3469">
        <f t="shared" si="1"/>
        <v>0</v>
      </c>
      <c r="O38" s="3469">
        <f t="shared" si="2"/>
        <v>0</v>
      </c>
      <c r="P38" s="3469">
        <f t="shared" si="2"/>
        <v>0</v>
      </c>
      <c r="Q38" s="3469">
        <f t="shared" si="2"/>
        <v>0</v>
      </c>
      <c r="R38" s="1055"/>
      <c r="S38" s="3480">
        <f>'ТЕ_2ст_тариф_без ЦТП'!H113/'ТЕ_2ст_тариф_без ЦТП'!H$16</f>
        <v>0</v>
      </c>
      <c r="T38" s="3480">
        <f>'ТЕ_2ст_тариф_без ЦТП'!K113/'ТЕ_2ст_тариф_без ЦТП'!K$16</f>
        <v>0</v>
      </c>
      <c r="U38" s="3480">
        <f>'ТЕ_2ст_тариф_без ЦТП'!N113/'ТЕ_2ст_тариф_без ЦТП'!N$16</f>
        <v>0</v>
      </c>
      <c r="V38" s="3480">
        <f>'ТЕ_2ст_тариф_без ЦТП'!Q113/'ТЕ_2ст_тариф_без ЦТП'!Q$16</f>
        <v>0</v>
      </c>
      <c r="W38" s="1055"/>
      <c r="X38" s="4513">
        <f t="shared" si="5"/>
        <v>0</v>
      </c>
      <c r="Y38" s="4513">
        <f t="shared" si="5"/>
        <v>0</v>
      </c>
      <c r="Z38" s="4513">
        <f t="shared" si="5"/>
        <v>0</v>
      </c>
      <c r="AA38" s="4513">
        <f t="shared" si="5"/>
        <v>0</v>
      </c>
    </row>
    <row r="39" spans="1:27" s="3470" customFormat="1" ht="12" customHeight="1" x14ac:dyDescent="0.3">
      <c r="A39" s="138" t="s">
        <v>172</v>
      </c>
      <c r="B39" s="4515" t="s">
        <v>235</v>
      </c>
      <c r="C39" s="123" t="s">
        <v>40</v>
      </c>
      <c r="D39" s="3482">
        <f t="shared" ref="D39:K39" si="14">D40+D41+D42+D43+D44</f>
        <v>0</v>
      </c>
      <c r="E39" s="3482">
        <f t="shared" si="14"/>
        <v>0</v>
      </c>
      <c r="F39" s="3482">
        <v>2110.2531673950293</v>
      </c>
      <c r="G39" s="3482">
        <f t="shared" si="14"/>
        <v>2071.5577204704259</v>
      </c>
      <c r="H39" s="3482">
        <f t="shared" si="14"/>
        <v>1669.686966899955</v>
      </c>
      <c r="I39" s="3482">
        <f t="shared" si="14"/>
        <v>0.38244708826631185</v>
      </c>
      <c r="J39" s="3482">
        <f t="shared" si="14"/>
        <v>302.38217548484789</v>
      </c>
      <c r="K39" s="3482">
        <f t="shared" si="14"/>
        <v>99.106130997356729</v>
      </c>
      <c r="L39" s="1055">
        <f>G39/G53*1000</f>
        <v>25.156263083021575</v>
      </c>
      <c r="M39" s="1055"/>
      <c r="N39" s="3469">
        <f t="shared" si="1"/>
        <v>24.417460182283442</v>
      </c>
      <c r="O39" s="3469">
        <f t="shared" si="2"/>
        <v>28.773428529277886</v>
      </c>
      <c r="P39" s="3469">
        <f t="shared" si="2"/>
        <v>28.773428529277886</v>
      </c>
      <c r="Q39" s="3469">
        <f t="shared" si="2"/>
        <v>28.773428529277883</v>
      </c>
      <c r="R39" s="1055"/>
      <c r="S39" s="3480">
        <f>'ТЕ_2ст_тариф_без ЦТП'!H114/'ТЕ_2ст_тариф_без ЦТП'!H$16</f>
        <v>22.711675728479975</v>
      </c>
      <c r="T39" s="3480">
        <f>'ТЕ_2ст_тариф_без ЦТП'!K114/'ТЕ_2ст_тариф_без ЦТП'!K$16</f>
        <v>27.092352254788654</v>
      </c>
      <c r="U39" s="3480">
        <f>'ТЕ_2ст_тариф_без ЦТП'!N114/'ТЕ_2ст_тариф_без ЦТП'!N$16</f>
        <v>27.092352254788658</v>
      </c>
      <c r="V39" s="3480">
        <f>'ТЕ_2ст_тариф_без ЦТП'!Q114/'ТЕ_2ст_тариф_без ЦТП'!Q$16</f>
        <v>27.092352254788651</v>
      </c>
      <c r="W39" s="1055"/>
      <c r="X39" s="4513">
        <f t="shared" si="5"/>
        <v>1.7057844538034672</v>
      </c>
      <c r="Y39" s="4513">
        <f t="shared" si="5"/>
        <v>1.6810762744892322</v>
      </c>
      <c r="Z39" s="4513">
        <f t="shared" si="5"/>
        <v>1.6810762744892287</v>
      </c>
      <c r="AA39" s="4513">
        <f t="shared" si="5"/>
        <v>1.6810762744892322</v>
      </c>
    </row>
    <row r="40" spans="1:27" ht="12" customHeight="1" x14ac:dyDescent="0.3">
      <c r="A40" s="139" t="s">
        <v>115</v>
      </c>
      <c r="B40" s="2075" t="s">
        <v>65</v>
      </c>
      <c r="C40" s="121" t="s">
        <v>83</v>
      </c>
      <c r="D40" s="503">
        <v>0</v>
      </c>
      <c r="E40" s="503">
        <v>0</v>
      </c>
      <c r="F40" s="751">
        <v>379.84557013110521</v>
      </c>
      <c r="G40" s="750">
        <f>(G41+G42+G43+G44)/(100%-'Вхідні дані'!$D$46)-(G41+G42+G43+G44)</f>
        <v>372.88038968467663</v>
      </c>
      <c r="H40" s="750">
        <f>(H41+H42+H43+H44)/(100%-'Вхідні дані'!$D$46)-(H41+H42+H43+H44)</f>
        <v>300.54365404199189</v>
      </c>
      <c r="I40" s="750">
        <f>(I41+I42+I43+I44)/(100%-'Вхідні дані'!$D$46)-(I41+I42+I43+I44)</f>
        <v>6.8840475887936126E-2</v>
      </c>
      <c r="J40" s="750">
        <f>(J41+J42+J43+J44)/(100%-'Вхідні дані'!$D$46)-(J41+J42+J43+J44)</f>
        <v>54.428791587272599</v>
      </c>
      <c r="K40" s="750">
        <f>(K41+K42+K43+K44)/(100%-'Вхідні дані'!$D$46)-(K41+K42+K43+K44)</f>
        <v>17.839103579524206</v>
      </c>
      <c r="L40" s="1055">
        <f>G39/G37</f>
        <v>4.6341463414634146E-2</v>
      </c>
      <c r="N40" s="3469">
        <f t="shared" si="1"/>
        <v>4.3951428328110191</v>
      </c>
      <c r="O40" s="3469">
        <f t="shared" si="2"/>
        <v>5.1792171352700187</v>
      </c>
      <c r="P40" s="3469">
        <f t="shared" si="2"/>
        <v>5.1792171352700169</v>
      </c>
      <c r="Q40" s="3469">
        <f t="shared" si="2"/>
        <v>5.1792171352700169</v>
      </c>
      <c r="S40" s="3480">
        <f>'ТЕ_2ст_тариф_без ЦТП'!H115/'ТЕ_2ст_тариф_без ЦТП'!H$16</f>
        <v>4.0881016311263947</v>
      </c>
      <c r="T40" s="3480">
        <f>'ТЕ_2ст_тариф_без ЦТП'!K115/'ТЕ_2ст_тариф_без ЦТП'!K$16</f>
        <v>4.8766234058619577</v>
      </c>
      <c r="U40" s="3480">
        <f>'ТЕ_2ст_тариф_без ЦТП'!N115/'ТЕ_2ст_тариф_без ЦТП'!N$16</f>
        <v>4.8766234058619551</v>
      </c>
      <c r="V40" s="3480">
        <f>'ТЕ_2ст_тариф_без ЦТП'!Q115/'ТЕ_2ст_тариф_без ЦТП'!Q$16</f>
        <v>4.8766234058619542</v>
      </c>
      <c r="X40" s="4513">
        <f t="shared" si="5"/>
        <v>0.30704120168462445</v>
      </c>
      <c r="Y40" s="4513">
        <f t="shared" si="5"/>
        <v>0.30259372940806095</v>
      </c>
      <c r="Z40" s="4513">
        <f t="shared" si="5"/>
        <v>0.30259372940806184</v>
      </c>
      <c r="AA40" s="4513">
        <f t="shared" si="5"/>
        <v>0.30259372940806273</v>
      </c>
    </row>
    <row r="41" spans="1:27" ht="12" customHeight="1" x14ac:dyDescent="0.3">
      <c r="A41" s="139" t="s">
        <v>117</v>
      </c>
      <c r="B41" s="2075" t="s">
        <v>84</v>
      </c>
      <c r="C41" s="121" t="s">
        <v>40</v>
      </c>
      <c r="D41" s="503">
        <v>0</v>
      </c>
      <c r="E41" s="503">
        <v>0</v>
      </c>
      <c r="F41" s="751">
        <v>0</v>
      </c>
      <c r="G41" s="750">
        <f>(G43+G44)/(100%-'Вхідні дані'!$D$47)*'Вхідні дані'!$D$47</f>
        <v>0</v>
      </c>
      <c r="H41" s="750">
        <f>(H43+H44)/(100%-'Вхідні дані'!$D$47)*'Вхідні дані'!$D$47</f>
        <v>0</v>
      </c>
      <c r="I41" s="750">
        <f>(I43+I44)/(100%-'Вхідні дані'!$D$47)*'Вхідні дані'!$D$47</f>
        <v>0</v>
      </c>
      <c r="J41" s="750">
        <f>(J43+J44)/(100%-'Вхідні дані'!$D$47)*'Вхідні дані'!$D$47</f>
        <v>0</v>
      </c>
      <c r="K41" s="750">
        <f>(K43+K44)/(100%-'Вхідні дані'!$D$47)*'Вхідні дані'!$D$47</f>
        <v>0</v>
      </c>
      <c r="N41" s="3469">
        <f t="shared" si="1"/>
        <v>0</v>
      </c>
      <c r="O41" s="3469">
        <f t="shared" si="2"/>
        <v>0</v>
      </c>
      <c r="P41" s="3469">
        <f t="shared" si="2"/>
        <v>0</v>
      </c>
      <c r="Q41" s="3469">
        <f t="shared" si="2"/>
        <v>0</v>
      </c>
      <c r="S41" s="3480">
        <f>'ТЕ_2ст_тариф_без ЦТП'!H116/'ТЕ_2ст_тариф_без ЦТП'!H$16</f>
        <v>0</v>
      </c>
      <c r="T41" s="3480">
        <f>'ТЕ_2ст_тариф_без ЦТП'!K116/'ТЕ_2ст_тариф_без ЦТП'!K$16</f>
        <v>0</v>
      </c>
      <c r="U41" s="3480">
        <f>'ТЕ_2ст_тариф_без ЦТП'!N116/'ТЕ_2ст_тариф_без ЦТП'!N$16</f>
        <v>0</v>
      </c>
      <c r="V41" s="3480">
        <f>'ТЕ_2ст_тариф_без ЦТП'!Q116/'ТЕ_2ст_тариф_без ЦТП'!Q$16</f>
        <v>0</v>
      </c>
      <c r="X41" s="4513">
        <f t="shared" si="5"/>
        <v>0</v>
      </c>
      <c r="Y41" s="4513">
        <f t="shared" si="5"/>
        <v>0</v>
      </c>
      <c r="Z41" s="4513">
        <f t="shared" si="5"/>
        <v>0</v>
      </c>
      <c r="AA41" s="4513">
        <f t="shared" si="5"/>
        <v>0</v>
      </c>
    </row>
    <row r="42" spans="1:27" ht="12" customHeight="1" x14ac:dyDescent="0.3">
      <c r="A42" s="139" t="s">
        <v>119</v>
      </c>
      <c r="B42" s="2075" t="s">
        <v>85</v>
      </c>
      <c r="C42" s="121" t="s">
        <v>40</v>
      </c>
      <c r="D42" s="503">
        <v>0</v>
      </c>
      <c r="E42" s="503">
        <v>0</v>
      </c>
      <c r="F42" s="751">
        <v>0</v>
      </c>
      <c r="G42" s="503">
        <v>0</v>
      </c>
      <c r="H42" s="503">
        <v>0</v>
      </c>
      <c r="I42" s="503">
        <v>0</v>
      </c>
      <c r="J42" s="503">
        <v>0</v>
      </c>
      <c r="K42" s="503">
        <v>0</v>
      </c>
      <c r="N42" s="3469">
        <f t="shared" si="1"/>
        <v>0</v>
      </c>
      <c r="O42" s="3469">
        <f t="shared" si="2"/>
        <v>0</v>
      </c>
      <c r="P42" s="3469">
        <f t="shared" si="2"/>
        <v>0</v>
      </c>
      <c r="Q42" s="3469">
        <f t="shared" si="2"/>
        <v>0</v>
      </c>
      <c r="S42" s="3480">
        <f>'ТЕ_2ст_тариф_без ЦТП'!H117/'ТЕ_2ст_тариф_без ЦТП'!H$16</f>
        <v>0</v>
      </c>
      <c r="T42" s="3480">
        <f>'ТЕ_2ст_тариф_без ЦТП'!K117/'ТЕ_2ст_тариф_без ЦТП'!K$16</f>
        <v>0</v>
      </c>
      <c r="U42" s="3480">
        <f>'ТЕ_2ст_тариф_без ЦТП'!N117/'ТЕ_2ст_тариф_без ЦТП'!N$16</f>
        <v>0</v>
      </c>
      <c r="V42" s="3480">
        <f>'ТЕ_2ст_тариф_без ЦТП'!Q117/'ТЕ_2ст_тариф_без ЦТП'!Q$16</f>
        <v>0</v>
      </c>
      <c r="X42" s="4513">
        <f t="shared" si="5"/>
        <v>0</v>
      </c>
      <c r="Y42" s="4513">
        <f t="shared" si="5"/>
        <v>0</v>
      </c>
      <c r="Z42" s="4513">
        <f t="shared" si="5"/>
        <v>0</v>
      </c>
      <c r="AA42" s="4513">
        <f t="shared" si="5"/>
        <v>0</v>
      </c>
    </row>
    <row r="43" spans="1:27" ht="12" customHeight="1" x14ac:dyDescent="0.3">
      <c r="A43" s="139" t="s">
        <v>121</v>
      </c>
      <c r="B43" s="2075" t="s">
        <v>71</v>
      </c>
      <c r="C43" s="121" t="s">
        <v>40</v>
      </c>
      <c r="D43" s="503">
        <v>0</v>
      </c>
      <c r="E43" s="503">
        <v>0</v>
      </c>
      <c r="F43" s="751">
        <v>0</v>
      </c>
      <c r="G43" s="503">
        <v>0</v>
      </c>
      <c r="H43" s="503">
        <v>0</v>
      </c>
      <c r="I43" s="503">
        <v>0</v>
      </c>
      <c r="J43" s="503">
        <v>0</v>
      </c>
      <c r="K43" s="503">
        <v>0</v>
      </c>
      <c r="N43" s="3469">
        <f t="shared" si="1"/>
        <v>0</v>
      </c>
      <c r="O43" s="3469">
        <f t="shared" si="2"/>
        <v>0</v>
      </c>
      <c r="P43" s="3469">
        <f t="shared" si="2"/>
        <v>0</v>
      </c>
      <c r="Q43" s="3469">
        <f t="shared" si="2"/>
        <v>0</v>
      </c>
      <c r="S43" s="3480">
        <f>'ТЕ_2ст_тариф_без ЦТП'!H118/'ТЕ_2ст_тариф_без ЦТП'!H$16</f>
        <v>0</v>
      </c>
      <c r="T43" s="3480">
        <f>'ТЕ_2ст_тариф_без ЦТП'!K118/'ТЕ_2ст_тариф_без ЦТП'!K$16</f>
        <v>0</v>
      </c>
      <c r="U43" s="3480">
        <f>'ТЕ_2ст_тариф_без ЦТП'!N118/'ТЕ_2ст_тариф_без ЦТП'!N$16</f>
        <v>0</v>
      </c>
      <c r="V43" s="3480">
        <f>'ТЕ_2ст_тариф_без ЦТП'!Q118/'ТЕ_2ст_тариф_без ЦТП'!Q$16</f>
        <v>0</v>
      </c>
      <c r="X43" s="4513">
        <f t="shared" si="5"/>
        <v>0</v>
      </c>
      <c r="Y43" s="4513">
        <f t="shared" si="5"/>
        <v>0</v>
      </c>
      <c r="Z43" s="4513">
        <f t="shared" si="5"/>
        <v>0</v>
      </c>
      <c r="AA43" s="4513">
        <f t="shared" si="5"/>
        <v>0</v>
      </c>
    </row>
    <row r="44" spans="1:27" ht="12" customHeight="1" x14ac:dyDescent="0.3">
      <c r="A44" s="139" t="s">
        <v>223</v>
      </c>
      <c r="B44" s="2075" t="s">
        <v>86</v>
      </c>
      <c r="C44" s="121" t="s">
        <v>40</v>
      </c>
      <c r="D44" s="503">
        <v>0</v>
      </c>
      <c r="E44" s="503">
        <v>0</v>
      </c>
      <c r="F44" s="751">
        <v>1730.4075972639241</v>
      </c>
      <c r="G44" s="503">
        <f>(G37)*'Вхідні дані'!D45</f>
        <v>1698.6773307857493</v>
      </c>
      <c r="H44" s="503">
        <f>(H37)*'Вхідні дані'!D45</f>
        <v>1369.1433128579631</v>
      </c>
      <c r="I44" s="503">
        <f>($G44-$H44)/($I9+$J9+$K9)*I$9</f>
        <v>0.31360661237837573</v>
      </c>
      <c r="J44" s="503">
        <f>($G44-$H44)/($I9+$J9+$K9)*J$9</f>
        <v>247.95338389757529</v>
      </c>
      <c r="K44" s="503">
        <f>($G44-$H44)/($I9+$J9+$K9)*K$9</f>
        <v>81.267027417832523</v>
      </c>
      <c r="L44" s="917" t="s">
        <v>2697</v>
      </c>
      <c r="N44" s="3469">
        <f t="shared" si="1"/>
        <v>20.02231734947242</v>
      </c>
      <c r="O44" s="3469">
        <f t="shared" si="2"/>
        <v>23.594211394007868</v>
      </c>
      <c r="P44" s="3469">
        <f t="shared" si="2"/>
        <v>23.594211394007868</v>
      </c>
      <c r="Q44" s="3469">
        <f t="shared" si="2"/>
        <v>23.594211394007864</v>
      </c>
      <c r="S44" s="3480">
        <f>'ТЕ_2ст_тариф_без ЦТП'!H119/'ТЕ_2ст_тариф_без ЦТП'!H$16</f>
        <v>18.623574097353583</v>
      </c>
      <c r="T44" s="3480">
        <f>'ТЕ_2ст_тариф_без ЦТП'!K119/'ТЕ_2ст_тариф_без ЦТП'!K$16</f>
        <v>22.215728848926698</v>
      </c>
      <c r="U44" s="3480">
        <f>'ТЕ_2ст_тариф_без ЦТП'!N119/'ТЕ_2ст_тариф_без ЦТП'!N$16</f>
        <v>22.215728848926705</v>
      </c>
      <c r="V44" s="3480">
        <f>'ТЕ_2ст_тариф_без ЦТП'!Q119/'ТЕ_2ст_тариф_без ЦТП'!Q$16</f>
        <v>22.215728848926695</v>
      </c>
      <c r="X44" s="4513">
        <f t="shared" si="5"/>
        <v>1.3987432521188374</v>
      </c>
      <c r="Y44" s="4513">
        <f t="shared" si="5"/>
        <v>1.3784825450811695</v>
      </c>
      <c r="Z44" s="4513">
        <f t="shared" si="5"/>
        <v>1.3784825450811624</v>
      </c>
      <c r="AA44" s="4513">
        <f t="shared" si="5"/>
        <v>1.3784825450811695</v>
      </c>
    </row>
    <row r="45" spans="1:27" s="3470" customFormat="1" ht="24.6" customHeight="1" x14ac:dyDescent="0.3">
      <c r="A45" s="138" t="s">
        <v>187</v>
      </c>
      <c r="B45" s="4516" t="s">
        <v>576</v>
      </c>
      <c r="C45" s="123" t="s">
        <v>40</v>
      </c>
      <c r="D45" s="156">
        <f t="shared" ref="D45:K45" si="15">D39+D38+D37</f>
        <v>26637.279689999999</v>
      </c>
      <c r="E45" s="156">
        <f t="shared" si="15"/>
        <v>30050.98518</v>
      </c>
      <c r="F45" s="156">
        <v>51144.371415360933</v>
      </c>
      <c r="G45" s="156">
        <f t="shared" si="15"/>
        <v>46773.592741148037</v>
      </c>
      <c r="H45" s="156">
        <f t="shared" si="15"/>
        <v>37699.774147372671</v>
      </c>
      <c r="I45" s="156">
        <f t="shared" si="15"/>
        <v>8.6352526771709375</v>
      </c>
      <c r="J45" s="156">
        <f t="shared" si="15"/>
        <v>6827.4712254210426</v>
      </c>
      <c r="K45" s="156">
        <f t="shared" si="15"/>
        <v>2237.7121156771605</v>
      </c>
      <c r="L45" s="3484">
        <f>G45+'Д 3_Т на Т з ЦТП'!G45</f>
        <v>62702.85291477693</v>
      </c>
      <c r="M45" s="917">
        <v>36422.587741725991</v>
      </c>
      <c r="N45" s="3469">
        <f t="shared" si="1"/>
        <v>551.32054832629467</v>
      </c>
      <c r="O45" s="3469">
        <f>I45/I$56*1000</f>
        <v>649.6737283715903</v>
      </c>
      <c r="P45" s="3469">
        <f>J45/J$56*1000</f>
        <v>649.67372837159041</v>
      </c>
      <c r="Q45" s="3469">
        <f>K45/K$56*1000</f>
        <v>649.67372837159019</v>
      </c>
      <c r="R45" s="1055"/>
      <c r="S45" s="3480">
        <f>'ТЕ_2ст_тариф_без ЦТП'!H120/'ТЕ_2ст_тариф_без ЦТП'!H$16</f>
        <v>512.80576387781855</v>
      </c>
      <c r="T45" s="3480">
        <f>'ТЕ_2ст_тариф_без ЦТП'!K120/'ТЕ_2ст_тариф_без ЦТП'!K$16</f>
        <v>611.71679564759654</v>
      </c>
      <c r="U45" s="3480">
        <f>'ТЕ_2ст_тариф_без ЦТП'!N120/'ТЕ_2ст_тариф_без ЦТП'!N$16</f>
        <v>611.71679564759643</v>
      </c>
      <c r="V45" s="3480">
        <f>'ТЕ_2ст_тариф_без ЦТП'!Q120/'ТЕ_2ст_тариф_без ЦТП'!Q$16</f>
        <v>611.71679564759631</v>
      </c>
      <c r="W45" s="1055"/>
      <c r="X45" s="4513">
        <f t="shared" si="5"/>
        <v>38.514784448476121</v>
      </c>
      <c r="Y45" s="4513">
        <f t="shared" si="5"/>
        <v>37.956932723993759</v>
      </c>
      <c r="Z45" s="4513">
        <f t="shared" si="5"/>
        <v>37.956932723993987</v>
      </c>
      <c r="AA45" s="4513">
        <f t="shared" si="5"/>
        <v>37.956932723993873</v>
      </c>
    </row>
    <row r="46" spans="1:27" s="3470" customFormat="1" ht="15" customHeight="1" x14ac:dyDescent="0.3">
      <c r="A46" s="140" t="s">
        <v>188</v>
      </c>
      <c r="B46" s="4515" t="s">
        <v>87</v>
      </c>
      <c r="C46" s="3468" t="s">
        <v>74</v>
      </c>
      <c r="D46" s="156">
        <f t="shared" ref="D46:K46" si="16">D45/D56*1000</f>
        <v>288.36279532947498</v>
      </c>
      <c r="E46" s="156">
        <f t="shared" si="16"/>
        <v>450.64027011168002</v>
      </c>
      <c r="F46" s="156">
        <v>597.5421559990823</v>
      </c>
      <c r="G46" s="156">
        <f t="shared" si="16"/>
        <v>568.00194013769772</v>
      </c>
      <c r="H46" s="156">
        <f t="shared" si="16"/>
        <v>551.32054832629467</v>
      </c>
      <c r="I46" s="156">
        <f t="shared" si="16"/>
        <v>649.6737283715903</v>
      </c>
      <c r="J46" s="156">
        <f t="shared" si="16"/>
        <v>649.67372837159041</v>
      </c>
      <c r="K46" s="156">
        <f t="shared" si="16"/>
        <v>649.67372837159019</v>
      </c>
      <c r="L46" s="3485"/>
      <c r="M46" s="3486" t="s">
        <v>2635</v>
      </c>
      <c r="N46" s="3469"/>
      <c r="O46" s="917"/>
      <c r="P46" s="917"/>
      <c r="Q46" s="1055"/>
      <c r="R46" s="1055"/>
      <c r="S46" s="3480"/>
      <c r="T46" s="1055"/>
      <c r="U46" s="1055"/>
      <c r="V46" s="1055"/>
      <c r="W46" s="1055"/>
      <c r="X46" s="4513"/>
      <c r="Y46" s="4513"/>
      <c r="Z46" s="4513"/>
      <c r="AA46" s="4513"/>
    </row>
    <row r="47" spans="1:27" ht="24" x14ac:dyDescent="0.3">
      <c r="A47" s="141">
        <v>11</v>
      </c>
      <c r="B47" s="2071" t="s">
        <v>577</v>
      </c>
      <c r="C47" s="3471" t="s">
        <v>22</v>
      </c>
      <c r="D47" s="750">
        <f t="shared" ref="D47:K47" si="17">D48+D49</f>
        <v>99814.646156792121</v>
      </c>
      <c r="E47" s="750">
        <f t="shared" si="17"/>
        <v>73157.247303102631</v>
      </c>
      <c r="F47" s="750">
        <v>93987.648016660081</v>
      </c>
      <c r="G47" s="750">
        <f t="shared" si="17"/>
        <v>90438.170318810095</v>
      </c>
      <c r="H47" s="750">
        <f t="shared" si="17"/>
        <v>75115.79216565899</v>
      </c>
      <c r="I47" s="750">
        <f t="shared" si="17"/>
        <v>14.602989074179138</v>
      </c>
      <c r="J47" s="750">
        <f t="shared" si="17"/>
        <v>11523.602679723239</v>
      </c>
      <c r="K47" s="750">
        <f t="shared" si="17"/>
        <v>3784.1724843536967</v>
      </c>
      <c r="L47" s="3486" t="s">
        <v>1437</v>
      </c>
      <c r="M47" s="3487">
        <f>ЗВВ_2ст!J37+ЗВВ_2ст!J38</f>
        <v>5.2252608104493481</v>
      </c>
      <c r="N47" s="1056">
        <f>N49/H56*1000</f>
        <v>6.3453716170272123E-2</v>
      </c>
      <c r="O47" s="1056">
        <f>O49/I56*1000</f>
        <v>6.3453716170272123E-2</v>
      </c>
      <c r="P47" s="1056">
        <f>P49/J56*1000</f>
        <v>6.3453716170272123E-2</v>
      </c>
      <c r="Q47" s="1056">
        <f>Q49/K56*1000</f>
        <v>6.3453716170272123E-2</v>
      </c>
    </row>
    <row r="48" spans="1:27" ht="12" customHeight="1" x14ac:dyDescent="0.3">
      <c r="A48" s="142" t="s">
        <v>91</v>
      </c>
      <c r="B48" s="2075" t="s">
        <v>89</v>
      </c>
      <c r="C48" s="3471" t="s">
        <v>22</v>
      </c>
      <c r="D48" s="750">
        <f>'Д 7_РП'!E26</f>
        <v>99814.646156792121</v>
      </c>
      <c r="E48" s="750">
        <f>'Д 7_РП'!F26</f>
        <v>73157.247303102631</v>
      </c>
      <c r="F48" s="750">
        <v>93987.648016660081</v>
      </c>
      <c r="G48" s="750">
        <f>'Д 7_РП'!G29+'Д 7_РП'!G32+'Д 7_РП'!G35+'Д 7_РП'!G38+'Д 7_РП'!G41</f>
        <v>90438.170318810095</v>
      </c>
      <c r="H48" s="920">
        <f>'Д 7_РП'!G29</f>
        <v>75115.79216565899</v>
      </c>
      <c r="I48" s="920">
        <f>'Д 7_РП'!G32</f>
        <v>14.602989074179138</v>
      </c>
      <c r="J48" s="920">
        <f>'Д 7_РП'!G35</f>
        <v>11523.602679723239</v>
      </c>
      <c r="K48" s="920">
        <f>'Д 7_РП'!G38</f>
        <v>3784.1724843536967</v>
      </c>
      <c r="L48" s="3486" t="s">
        <v>2246</v>
      </c>
      <c r="M48" s="3487">
        <f>Адміністративні_2ст!J36+Адміністративні_2ст!J37</f>
        <v>12.76326158536315</v>
      </c>
      <c r="N48" s="1056">
        <f>N50/H56*1000</f>
        <v>0.15499252715290304</v>
      </c>
      <c r="O48" s="1056">
        <f>O50/I56*1000</f>
        <v>0.15499252715290304</v>
      </c>
      <c r="P48" s="1056">
        <f>P50/J56*1000</f>
        <v>0.15499252715290304</v>
      </c>
      <c r="Q48" s="1056">
        <f>Q50/K56*1000</f>
        <v>0.15499252715290304</v>
      </c>
    </row>
    <row r="49" spans="1:27" ht="24" x14ac:dyDescent="0.3">
      <c r="A49" s="142" t="s">
        <v>92</v>
      </c>
      <c r="B49" s="2075" t="s">
        <v>611</v>
      </c>
      <c r="C49" s="3471" t="s">
        <v>22</v>
      </c>
      <c r="D49" s="750">
        <v>0</v>
      </c>
      <c r="E49" s="750">
        <v>0</v>
      </c>
      <c r="F49" s="920">
        <v>0</v>
      </c>
      <c r="G49" s="920">
        <v>0</v>
      </c>
      <c r="H49" s="920">
        <v>0</v>
      </c>
      <c r="I49" s="920">
        <v>0</v>
      </c>
      <c r="J49" s="920">
        <v>0</v>
      </c>
      <c r="K49" s="920">
        <v>0</v>
      </c>
      <c r="L49" s="3486" t="s">
        <v>1437</v>
      </c>
      <c r="M49" s="917">
        <f>SUM(N49:Q49)</f>
        <v>5.2252608104493481</v>
      </c>
      <c r="N49" s="917">
        <f t="shared" ref="N49:Q50" si="18">$M47/$G$56*H$56</f>
        <v>4.3390197874775192</v>
      </c>
      <c r="O49" s="917">
        <f t="shared" si="18"/>
        <v>8.4340623378630086E-4</v>
      </c>
      <c r="P49" s="917">
        <f t="shared" si="18"/>
        <v>0.6668399881036523</v>
      </c>
      <c r="Q49" s="917">
        <f t="shared" si="18"/>
        <v>0.21855762863439016</v>
      </c>
    </row>
    <row r="50" spans="1:27" ht="24" x14ac:dyDescent="0.3">
      <c r="A50" s="142" t="s">
        <v>190</v>
      </c>
      <c r="B50" s="2075" t="s">
        <v>578</v>
      </c>
      <c r="C50" s="3471" t="s">
        <v>22</v>
      </c>
      <c r="D50" s="750">
        <f t="shared" ref="D50:K50" si="19">D51+D52</f>
        <v>7185.57</v>
      </c>
      <c r="E50" s="750">
        <f t="shared" si="19"/>
        <v>6304.0299999999988</v>
      </c>
      <c r="F50" s="750">
        <v>8396.4124830796318</v>
      </c>
      <c r="G50" s="750">
        <f t="shared" si="19"/>
        <v>8090.5770521234272</v>
      </c>
      <c r="H50" s="750">
        <f t="shared" si="19"/>
        <v>6734.9305021093751</v>
      </c>
      <c r="I50" s="750">
        <f t="shared" si="19"/>
        <v>1.3113131142858059</v>
      </c>
      <c r="J50" s="750">
        <f t="shared" si="19"/>
        <v>1014.5256965210338</v>
      </c>
      <c r="K50" s="750">
        <f t="shared" si="19"/>
        <v>339.80954037873471</v>
      </c>
      <c r="L50" s="3486" t="s">
        <v>2246</v>
      </c>
      <c r="M50" s="917">
        <f>SUM(N50:Q50)</f>
        <v>12.763261585363152</v>
      </c>
      <c r="N50" s="917">
        <f t="shared" si="18"/>
        <v>10.598522558126621</v>
      </c>
      <c r="O50" s="917">
        <f t="shared" si="18"/>
        <v>2.060110447121356E-3</v>
      </c>
      <c r="P50" s="917">
        <f t="shared" si="18"/>
        <v>1.6288283996709163</v>
      </c>
      <c r="Q50" s="917">
        <f t="shared" si="18"/>
        <v>0.53385051711849241</v>
      </c>
    </row>
    <row r="51" spans="1:27" ht="12" customHeight="1" x14ac:dyDescent="0.3">
      <c r="A51" s="142" t="s">
        <v>93</v>
      </c>
      <c r="B51" s="2071" t="s">
        <v>89</v>
      </c>
      <c r="C51" s="3471" t="s">
        <v>22</v>
      </c>
      <c r="D51" s="750">
        <f>'Д 7_РП'!E48</f>
        <v>7185.57</v>
      </c>
      <c r="E51" s="750">
        <f>'Д 7_РП'!F48</f>
        <v>6304.0299999999988</v>
      </c>
      <c r="F51" s="750">
        <v>8396.4124830796318</v>
      </c>
      <c r="G51" s="750">
        <f>'Д 7_РП'!G58-'Д 7_РП'!G63</f>
        <v>8090.5770521234272</v>
      </c>
      <c r="H51" s="920">
        <f>H48-H56</f>
        <v>6734.9305021093751</v>
      </c>
      <c r="I51" s="920">
        <f>I48-I56</f>
        <v>1.3113131142858059</v>
      </c>
      <c r="J51" s="920">
        <f>J48-J56</f>
        <v>1014.5256965210338</v>
      </c>
      <c r="K51" s="920">
        <f>K48-K56</f>
        <v>339.80954037873471</v>
      </c>
      <c r="L51" s="916"/>
    </row>
    <row r="52" spans="1:27" ht="24" x14ac:dyDescent="0.3">
      <c r="A52" s="142" t="s">
        <v>94</v>
      </c>
      <c r="B52" s="2073" t="s">
        <v>579</v>
      </c>
      <c r="C52" s="3471" t="s">
        <v>22</v>
      </c>
      <c r="D52" s="750">
        <v>0</v>
      </c>
      <c r="E52" s="750">
        <v>0</v>
      </c>
      <c r="F52" s="920">
        <v>0</v>
      </c>
      <c r="G52" s="920">
        <v>0</v>
      </c>
      <c r="H52" s="920">
        <v>0</v>
      </c>
      <c r="I52" s="920">
        <v>0</v>
      </c>
      <c r="J52" s="920">
        <v>0</v>
      </c>
      <c r="K52" s="920">
        <v>0</v>
      </c>
      <c r="L52" s="916"/>
    </row>
    <row r="53" spans="1:27" ht="24" x14ac:dyDescent="0.3">
      <c r="A53" s="142" t="s">
        <v>191</v>
      </c>
      <c r="B53" s="2071" t="s">
        <v>580</v>
      </c>
      <c r="C53" s="3471" t="s">
        <v>22</v>
      </c>
      <c r="D53" s="750">
        <f t="shared" ref="D53:K53" si="20">D54+D55+D56</f>
        <v>92629.076156792129</v>
      </c>
      <c r="E53" s="750">
        <f t="shared" si="20"/>
        <v>66853.217303102632</v>
      </c>
      <c r="F53" s="750">
        <v>85591.23553358046</v>
      </c>
      <c r="G53" s="750">
        <f t="shared" si="20"/>
        <v>82347.593266686672</v>
      </c>
      <c r="H53" s="2872">
        <f t="shared" si="20"/>
        <v>68380.861663549615</v>
      </c>
      <c r="I53" s="2872">
        <f t="shared" si="20"/>
        <v>13.291675959893333</v>
      </c>
      <c r="J53" s="2872">
        <f t="shared" si="20"/>
        <v>10509.076983202205</v>
      </c>
      <c r="K53" s="2872">
        <f t="shared" si="20"/>
        <v>3444.362943974962</v>
      </c>
      <c r="L53" s="916"/>
    </row>
    <row r="54" spans="1:27" x14ac:dyDescent="0.3">
      <c r="A54" s="142" t="s">
        <v>236</v>
      </c>
      <c r="B54" s="2071" t="s">
        <v>238</v>
      </c>
      <c r="C54" s="3471" t="s">
        <v>22</v>
      </c>
      <c r="D54" s="750">
        <f>'Д 7_РП'!E72</f>
        <v>254.88599968460073</v>
      </c>
      <c r="E54" s="750">
        <f>'Д 7_РП'!F72</f>
        <v>168.13127527691125</v>
      </c>
      <c r="F54" s="750">
        <v>0</v>
      </c>
      <c r="G54" s="750">
        <f>'Д 7_РП'!G73</f>
        <v>0</v>
      </c>
      <c r="H54" s="3491">
        <v>0</v>
      </c>
      <c r="I54" s="3491">
        <v>0</v>
      </c>
      <c r="J54" s="3491">
        <v>0</v>
      </c>
      <c r="K54" s="920">
        <f>G54</f>
        <v>0</v>
      </c>
    </row>
    <row r="55" spans="1:27" x14ac:dyDescent="0.3">
      <c r="A55" s="142" t="s">
        <v>237</v>
      </c>
      <c r="B55" s="2071" t="s">
        <v>95</v>
      </c>
      <c r="C55" s="3471" t="s">
        <v>22</v>
      </c>
      <c r="D55" s="750">
        <v>0</v>
      </c>
      <c r="E55" s="750">
        <v>0</v>
      </c>
      <c r="F55" s="920">
        <v>0</v>
      </c>
      <c r="G55" s="920">
        <v>0</v>
      </c>
      <c r="H55" s="920">
        <v>0</v>
      </c>
      <c r="I55" s="920">
        <v>0</v>
      </c>
      <c r="J55" s="920">
        <v>0</v>
      </c>
      <c r="K55" s="920">
        <v>0</v>
      </c>
    </row>
    <row r="56" spans="1:27" ht="14.25" customHeight="1" x14ac:dyDescent="0.3">
      <c r="A56" s="142" t="s">
        <v>581</v>
      </c>
      <c r="B56" s="2071" t="s">
        <v>239</v>
      </c>
      <c r="C56" s="3471" t="s">
        <v>22</v>
      </c>
      <c r="D56" s="750">
        <f>D57+D58+D59+D60</f>
        <v>92374.190157107529</v>
      </c>
      <c r="E56" s="750">
        <f>E57+E58+E59+E60</f>
        <v>66685.086027825717</v>
      </c>
      <c r="F56" s="750">
        <v>85591.23553358046</v>
      </c>
      <c r="G56" s="750">
        <f>G57+G58+G59+G60</f>
        <v>82347.593266686672</v>
      </c>
      <c r="H56" s="920">
        <f>G57</f>
        <v>68380.861663549615</v>
      </c>
      <c r="I56" s="920">
        <f>G58</f>
        <v>13.291675959893333</v>
      </c>
      <c r="J56" s="920">
        <f>G59</f>
        <v>10509.076983202205</v>
      </c>
      <c r="K56" s="920">
        <f>G60</f>
        <v>3444.362943974962</v>
      </c>
    </row>
    <row r="57" spans="1:27" ht="12" customHeight="1" x14ac:dyDescent="0.3">
      <c r="A57" s="142" t="s">
        <v>582</v>
      </c>
      <c r="B57" s="2071" t="s">
        <v>3</v>
      </c>
      <c r="C57" s="3471" t="s">
        <v>22</v>
      </c>
      <c r="D57" s="750">
        <f>'Д 7_РП'!$E$75</f>
        <v>78679.744151229883</v>
      </c>
      <c r="E57" s="750">
        <f>'Д 7_РП'!$F$75</f>
        <v>57582.226975534839</v>
      </c>
      <c r="F57" s="750">
        <v>70593.251503620413</v>
      </c>
      <c r="G57" s="750">
        <f>'Д 7_РП'!G80</f>
        <v>68380.861663549615</v>
      </c>
      <c r="H57" s="121" t="s">
        <v>3118</v>
      </c>
      <c r="I57" s="121" t="s">
        <v>3118</v>
      </c>
      <c r="J57" s="121" t="s">
        <v>3118</v>
      </c>
      <c r="K57" s="121" t="s">
        <v>3118</v>
      </c>
    </row>
    <row r="58" spans="1:27" ht="12" customHeight="1" x14ac:dyDescent="0.3">
      <c r="A58" s="142" t="s">
        <v>583</v>
      </c>
      <c r="B58" s="2071" t="s">
        <v>166</v>
      </c>
      <c r="C58" s="3471" t="s">
        <v>22</v>
      </c>
      <c r="D58" s="750">
        <f>'Д 7_РП'!$E$83</f>
        <v>13.195123224395186</v>
      </c>
      <c r="E58" s="750">
        <f>'Д 7_РП'!$F$83</f>
        <v>9.0310899163150786</v>
      </c>
      <c r="F58" s="750">
        <v>13.721712910080001</v>
      </c>
      <c r="G58" s="750">
        <f>'Д 7_РП'!G86</f>
        <v>13.291675959893333</v>
      </c>
      <c r="H58" s="121" t="s">
        <v>3118</v>
      </c>
      <c r="I58" s="121" t="s">
        <v>3118</v>
      </c>
      <c r="J58" s="121" t="s">
        <v>3118</v>
      </c>
      <c r="K58" s="121" t="s">
        <v>3118</v>
      </c>
    </row>
    <row r="59" spans="1:27" x14ac:dyDescent="0.3">
      <c r="A59" s="142" t="s">
        <v>584</v>
      </c>
      <c r="B59" s="2071" t="s">
        <v>97</v>
      </c>
      <c r="C59" s="3471" t="s">
        <v>22</v>
      </c>
      <c r="D59" s="750">
        <f>'Д 7_РП'!$E$87</f>
        <v>8759.9737474263693</v>
      </c>
      <c r="E59" s="750">
        <f>'Д 7_РП'!$F$87</f>
        <v>6752.6432291627516</v>
      </c>
      <c r="F59" s="750">
        <v>10855.127274603685</v>
      </c>
      <c r="G59" s="750">
        <f>'Д 7_РП'!G90</f>
        <v>10509.076983202205</v>
      </c>
      <c r="H59" s="121" t="s">
        <v>3118</v>
      </c>
      <c r="I59" s="121" t="s">
        <v>3118</v>
      </c>
      <c r="J59" s="121" t="s">
        <v>3118</v>
      </c>
      <c r="K59" s="121" t="s">
        <v>3118</v>
      </c>
    </row>
    <row r="60" spans="1:27" ht="12" customHeight="1" x14ac:dyDescent="0.3">
      <c r="A60" s="142" t="s">
        <v>585</v>
      </c>
      <c r="B60" s="2071" t="s">
        <v>109</v>
      </c>
      <c r="C60" s="3471" t="s">
        <v>22</v>
      </c>
      <c r="D60" s="750">
        <f>'Д 7_РП'!$E$91</f>
        <v>4921.2771352268846</v>
      </c>
      <c r="E60" s="750">
        <f>'Д 7_РП'!$F$91</f>
        <v>2341.1847332118145</v>
      </c>
      <c r="F60" s="750">
        <v>4129.1350424462853</v>
      </c>
      <c r="G60" s="750">
        <f>'Д 7_РП'!G94</f>
        <v>3444.362943974962</v>
      </c>
      <c r="H60" s="121" t="s">
        <v>3118</v>
      </c>
      <c r="I60" s="121" t="s">
        <v>3118</v>
      </c>
      <c r="J60" s="121" t="s">
        <v>3118</v>
      </c>
      <c r="K60" s="121" t="s">
        <v>3118</v>
      </c>
    </row>
    <row r="61" spans="1:27" ht="24" x14ac:dyDescent="0.3">
      <c r="A61" s="139" t="s">
        <v>192</v>
      </c>
      <c r="B61" s="2078" t="s">
        <v>586</v>
      </c>
      <c r="C61" s="121" t="s">
        <v>22</v>
      </c>
      <c r="D61" s="750">
        <v>0</v>
      </c>
      <c r="E61" s="750">
        <v>0</v>
      </c>
      <c r="F61" s="750">
        <v>0</v>
      </c>
      <c r="G61" s="750">
        <v>0</v>
      </c>
      <c r="H61" s="750">
        <v>0</v>
      </c>
      <c r="I61" s="750">
        <v>0</v>
      </c>
      <c r="J61" s="750">
        <v>0</v>
      </c>
      <c r="K61" s="750">
        <v>0</v>
      </c>
      <c r="L61" s="916"/>
    </row>
    <row r="62" spans="1:27" ht="24" x14ac:dyDescent="0.3">
      <c r="A62" s="139" t="s">
        <v>193</v>
      </c>
      <c r="B62" s="2075" t="s">
        <v>587</v>
      </c>
      <c r="C62" s="121" t="s">
        <v>74</v>
      </c>
      <c r="D62" s="750">
        <v>0</v>
      </c>
      <c r="E62" s="750">
        <v>0</v>
      </c>
      <c r="F62" s="750">
        <v>0</v>
      </c>
      <c r="G62" s="750">
        <v>0</v>
      </c>
      <c r="H62" s="750">
        <v>0</v>
      </c>
      <c r="I62" s="750">
        <v>0</v>
      </c>
      <c r="J62" s="750">
        <v>0</v>
      </c>
      <c r="K62" s="750">
        <v>0</v>
      </c>
      <c r="L62" s="916"/>
    </row>
    <row r="63" spans="1:27" ht="4.2" customHeight="1" x14ac:dyDescent="0.3">
      <c r="A63" s="3493"/>
      <c r="B63" s="3494"/>
      <c r="C63" s="3495"/>
      <c r="D63" s="3496"/>
      <c r="E63" s="3496"/>
      <c r="F63" s="3496"/>
      <c r="G63" s="3496"/>
      <c r="H63" s="3496"/>
      <c r="I63" s="3496"/>
      <c r="J63" s="3496"/>
      <c r="K63" s="3496"/>
    </row>
    <row r="64" spans="1:27" s="2453" customFormat="1" ht="13.8" x14ac:dyDescent="0.25">
      <c r="A64" s="4517" t="s">
        <v>79</v>
      </c>
      <c r="B64" s="150"/>
      <c r="C64" s="104"/>
      <c r="D64" s="104"/>
      <c r="E64" s="104"/>
      <c r="F64" s="104"/>
      <c r="G64" s="104"/>
      <c r="H64" s="104"/>
      <c r="I64" s="104"/>
      <c r="J64" s="104"/>
      <c r="K64" s="104"/>
      <c r="L64" s="917"/>
      <c r="M64" s="917"/>
      <c r="N64" s="917"/>
      <c r="O64" s="917"/>
      <c r="P64" s="917"/>
      <c r="Q64" s="917"/>
      <c r="R64" s="917"/>
      <c r="S64" s="3484"/>
      <c r="T64" s="917"/>
      <c r="U64" s="917"/>
      <c r="V64" s="917"/>
      <c r="W64" s="917"/>
      <c r="X64" s="4510"/>
      <c r="Y64" s="4510"/>
      <c r="Z64" s="4510"/>
      <c r="AA64" s="4510"/>
    </row>
    <row r="65" spans="1:27" s="2453" customFormat="1" ht="13.8" x14ac:dyDescent="0.25">
      <c r="A65" s="3500"/>
      <c r="L65" s="917"/>
      <c r="M65" s="917"/>
      <c r="N65" s="917"/>
      <c r="O65" s="917"/>
      <c r="P65" s="917"/>
      <c r="Q65" s="917"/>
      <c r="R65" s="917"/>
      <c r="S65" s="3484"/>
      <c r="T65" s="917"/>
      <c r="U65" s="917"/>
      <c r="V65" s="917"/>
      <c r="W65" s="917"/>
      <c r="X65" s="4510"/>
      <c r="Y65" s="4510"/>
      <c r="Z65" s="4510"/>
      <c r="AA65" s="4510"/>
    </row>
    <row r="66" spans="1:27" s="2453" customFormat="1" ht="17.25" customHeight="1" x14ac:dyDescent="0.25">
      <c r="A66" s="3500"/>
      <c r="B66" s="3501" t="str">
        <f>'Вхідні дані'!B13</f>
        <v>Директор підприємства</v>
      </c>
      <c r="C66" s="5065" t="s">
        <v>240</v>
      </c>
      <c r="D66" s="5066"/>
      <c r="E66" s="5067" t="str">
        <f>'Вхідні дані'!F13</f>
        <v>Анатолій ПАНШИН</v>
      </c>
      <c r="F66" s="5067"/>
      <c r="G66" s="5067"/>
      <c r="L66" s="917"/>
      <c r="M66" s="917"/>
      <c r="N66" s="917"/>
      <c r="O66" s="917"/>
      <c r="P66" s="917"/>
      <c r="Q66" s="917"/>
      <c r="R66" s="917"/>
      <c r="S66" s="3484"/>
      <c r="T66" s="917"/>
      <c r="U66" s="917"/>
      <c r="V66" s="917"/>
      <c r="W66" s="917"/>
      <c r="X66" s="4510"/>
      <c r="Y66" s="4510"/>
      <c r="Z66" s="4510"/>
      <c r="AA66" s="4510"/>
    </row>
    <row r="67" spans="1:27" s="2453" customFormat="1" ht="25.5" customHeight="1" x14ac:dyDescent="0.25">
      <c r="A67" s="3500"/>
      <c r="B67" s="3502" t="s">
        <v>232</v>
      </c>
      <c r="C67" s="5063" t="s">
        <v>209</v>
      </c>
      <c r="D67" s="5064"/>
      <c r="E67" s="3502"/>
      <c r="F67" s="5063" t="s">
        <v>230</v>
      </c>
      <c r="G67" s="5063"/>
      <c r="L67" s="917"/>
      <c r="M67" s="917"/>
      <c r="N67" s="917"/>
      <c r="O67" s="917"/>
      <c r="P67" s="917"/>
      <c r="Q67" s="917"/>
      <c r="R67" s="917"/>
      <c r="S67" s="3484"/>
      <c r="T67" s="917"/>
      <c r="U67" s="917"/>
      <c r="V67" s="917"/>
      <c r="W67" s="917"/>
      <c r="X67" s="4510"/>
      <c r="Y67" s="4510"/>
      <c r="Z67" s="4510"/>
      <c r="AA67" s="4510"/>
    </row>
    <row r="69" spans="1:27" s="2453" customFormat="1" ht="13.8" x14ac:dyDescent="0.25">
      <c r="A69" s="3500"/>
      <c r="B69" s="2453" t="s">
        <v>1999</v>
      </c>
      <c r="L69" s="917"/>
      <c r="M69" s="917"/>
      <c r="N69" s="917"/>
      <c r="O69" s="917"/>
      <c r="P69" s="917"/>
      <c r="Q69" s="917"/>
      <c r="R69" s="917"/>
      <c r="S69" s="3484"/>
      <c r="T69" s="917"/>
      <c r="U69" s="917"/>
      <c r="V69" s="917"/>
      <c r="W69" s="917"/>
      <c r="X69" s="4510"/>
      <c r="Y69" s="4510"/>
      <c r="Z69" s="4510"/>
      <c r="AA69" s="4510"/>
    </row>
    <row r="73" spans="1:27" x14ac:dyDescent="0.3">
      <c r="D73" s="3504"/>
      <c r="E73" s="3504"/>
      <c r="F73" s="3504"/>
      <c r="G73" s="3504"/>
    </row>
    <row r="75" spans="1:27" x14ac:dyDescent="0.3">
      <c r="D75" s="3504"/>
      <c r="E75" s="3504"/>
      <c r="F75" s="3504"/>
      <c r="G75" s="3505"/>
    </row>
    <row r="76" spans="1:27" x14ac:dyDescent="0.3">
      <c r="D76" s="3505"/>
      <c r="E76" s="3505"/>
      <c r="F76" s="3505"/>
      <c r="G76" s="3504"/>
      <c r="H76" s="3504"/>
      <c r="I76" s="3504"/>
      <c r="J76" s="3504"/>
      <c r="K76" s="3504"/>
    </row>
    <row r="77" spans="1:27" x14ac:dyDescent="0.3">
      <c r="G77" s="3505"/>
    </row>
  </sheetData>
  <mergeCells count="15">
    <mergeCell ref="C67:D67"/>
    <mergeCell ref="F67:G67"/>
    <mergeCell ref="H7:K7"/>
    <mergeCell ref="H1:K1"/>
    <mergeCell ref="A4:K4"/>
    <mergeCell ref="A6:K6"/>
    <mergeCell ref="G7:G8"/>
    <mergeCell ref="C66:D66"/>
    <mergeCell ref="E66:G66"/>
    <mergeCell ref="A3:G3"/>
    <mergeCell ref="B5:F5"/>
    <mergeCell ref="A7:A9"/>
    <mergeCell ref="B7:B9"/>
    <mergeCell ref="C7:C9"/>
    <mergeCell ref="D2:G2"/>
  </mergeCells>
  <conditionalFormatting sqref="B1:B2">
    <cfRule type="containsText" dxfId="85" priority="1" operator="containsText" text="Для корек">
      <formula>NOT(ISERROR(SEARCH("Для корек",B1)))</formula>
    </cfRule>
  </conditionalFormatting>
  <pageMargins left="0.27559055118110237" right="0.27559055118110237" top="0.47244094488188981" bottom="0.23622047244094491" header="0.23622047244094491" footer="0.31496062992125984"/>
  <pageSetup paperSize="9" fitToHeight="0" orientation="landscape" r:id="rId1"/>
  <headerFooter differentFirst="1">
    <oddHeader>&amp;Rпродовження додатку 3.1</oddHeader>
  </headerFooter>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Лист14">
    <tabColor rgb="FF92D050"/>
    <pageSetUpPr fitToPage="1"/>
  </sheetPr>
  <dimension ref="A1:Q56"/>
  <sheetViews>
    <sheetView topLeftCell="A16" zoomScaleNormal="100" zoomScaleSheetLayoutView="85" workbookViewId="0">
      <selection activeCell="A16" sqref="A1:XFD1048576"/>
    </sheetView>
  </sheetViews>
  <sheetFormatPr defaultColWidth="9.109375" defaultRowHeight="14.4" x14ac:dyDescent="0.3"/>
  <cols>
    <col min="1" max="1" width="5.44140625" style="144" customWidth="1"/>
    <col min="2" max="2" width="51.33203125" style="144" customWidth="1"/>
    <col min="3" max="3" width="7.5546875" style="144" customWidth="1"/>
    <col min="4" max="4" width="12.6640625" style="144" customWidth="1"/>
    <col min="5" max="5" width="10.109375" style="144" customWidth="1"/>
    <col min="6" max="6" width="14.6640625" style="144" customWidth="1"/>
    <col min="7" max="7" width="10.88671875" style="144" customWidth="1"/>
    <col min="8" max="8" width="8.88671875" style="144" customWidth="1"/>
    <col min="9" max="9" width="11" style="144" customWidth="1"/>
    <col min="10" max="10" width="9.88671875" style="144" customWidth="1"/>
    <col min="11" max="11" width="10.44140625" style="144" customWidth="1"/>
    <col min="12" max="12" width="11.6640625" style="154" bestFit="1" customWidth="1"/>
    <col min="13" max="16384" width="9.109375" style="144"/>
  </cols>
  <sheetData>
    <row r="1" spans="1:17" ht="32.4" customHeight="1" x14ac:dyDescent="0.3">
      <c r="A1" s="102"/>
      <c r="B1" s="103"/>
      <c r="C1" s="104"/>
      <c r="D1" s="5072" t="s">
        <v>3127</v>
      </c>
      <c r="E1" s="5072"/>
      <c r="F1" s="5072"/>
      <c r="G1" s="5072"/>
      <c r="H1" s="5072"/>
      <c r="L1" s="154" t="s">
        <v>657</v>
      </c>
    </row>
    <row r="2" spans="1:17" ht="15" customHeight="1" x14ac:dyDescent="0.3">
      <c r="A2" s="102"/>
      <c r="B2" s="103"/>
      <c r="C2" s="104"/>
      <c r="D2" s="5070" t="str">
        <f>'Вхідні дані'!F1</f>
        <v>станом на 01.09.2023 року</v>
      </c>
      <c r="E2" s="5070"/>
      <c r="F2" s="5070"/>
      <c r="G2" s="5070"/>
      <c r="H2" s="143"/>
    </row>
    <row r="3" spans="1:17" ht="15.75" customHeight="1" x14ac:dyDescent="0.3">
      <c r="A3" s="5020" t="s">
        <v>451</v>
      </c>
      <c r="B3" s="5020"/>
      <c r="C3" s="5020"/>
      <c r="D3" s="5020"/>
      <c r="E3" s="5020"/>
      <c r="F3" s="5020"/>
      <c r="G3" s="5020"/>
      <c r="H3" s="143"/>
      <c r="L3" s="154" t="s">
        <v>657</v>
      </c>
    </row>
    <row r="4" spans="1:17" x14ac:dyDescent="0.3">
      <c r="A4" s="5075" t="s">
        <v>1668</v>
      </c>
      <c r="B4" s="5075"/>
      <c r="C4" s="5075"/>
      <c r="D4" s="5075"/>
      <c r="E4" s="5075"/>
      <c r="F4" s="5075"/>
      <c r="G4" s="5075"/>
    </row>
    <row r="5" spans="1:17" x14ac:dyDescent="0.3">
      <c r="A5" s="5073" t="s">
        <v>1669</v>
      </c>
      <c r="B5" s="5073"/>
      <c r="C5" s="5073"/>
      <c r="D5" s="5073"/>
      <c r="E5" s="5073"/>
      <c r="F5" s="5073"/>
      <c r="G5" s="5073"/>
      <c r="L5" s="154" t="s">
        <v>658</v>
      </c>
    </row>
    <row r="6" spans="1:17" x14ac:dyDescent="0.3">
      <c r="A6" s="5076" t="s">
        <v>211</v>
      </c>
      <c r="B6" s="5077"/>
      <c r="C6" s="5077"/>
      <c r="D6" s="5077"/>
      <c r="E6" s="5077"/>
      <c r="F6" s="5077"/>
      <c r="G6" s="5077"/>
    </row>
    <row r="7" spans="1:17" ht="19.2" customHeight="1" x14ac:dyDescent="0.3">
      <c r="A7" s="5051" t="s">
        <v>7</v>
      </c>
      <c r="B7" s="5054" t="s">
        <v>8</v>
      </c>
      <c r="C7" s="5057" t="s">
        <v>35</v>
      </c>
      <c r="D7" s="5060" t="s">
        <v>80</v>
      </c>
      <c r="E7" s="5061"/>
      <c r="F7" s="5061"/>
      <c r="G7" s="5062" t="s">
        <v>459</v>
      </c>
      <c r="H7" s="5060" t="s">
        <v>3376</v>
      </c>
      <c r="I7" s="5061"/>
      <c r="J7" s="5061"/>
      <c r="K7" s="5078"/>
    </row>
    <row r="8" spans="1:17" ht="35.25" customHeight="1" x14ac:dyDescent="0.3">
      <c r="A8" s="5052"/>
      <c r="B8" s="5055"/>
      <c r="C8" s="5058"/>
      <c r="D8" s="121" t="s">
        <v>241</v>
      </c>
      <c r="E8" s="121" t="s">
        <v>213</v>
      </c>
      <c r="F8" s="128" t="s">
        <v>214</v>
      </c>
      <c r="G8" s="5062"/>
      <c r="H8" s="147" t="s">
        <v>3</v>
      </c>
      <c r="I8" s="147" t="s">
        <v>166</v>
      </c>
      <c r="J8" s="147" t="s">
        <v>97</v>
      </c>
      <c r="K8" s="147" t="s">
        <v>2364</v>
      </c>
    </row>
    <row r="9" spans="1:17" ht="20.399999999999999" x14ac:dyDescent="0.3">
      <c r="A9" s="5053"/>
      <c r="B9" s="5056"/>
      <c r="C9" s="5059"/>
      <c r="D9" s="121">
        <f>'Вхідні дані'!$F$8</f>
        <v>2021</v>
      </c>
      <c r="E9" s="121">
        <f>'Вхідні дані'!$F$7</f>
        <v>2022</v>
      </c>
      <c r="F9" s="121" t="str">
        <f>'Вхідні дані'!$F$9</f>
        <v>Ріш. №296 від 25.10.2022</v>
      </c>
      <c r="G9" s="121" t="str">
        <f>'Вхідні дані'!$F$6</f>
        <v>2023-2024</v>
      </c>
      <c r="H9" s="4518">
        <f>Постачання_1ст!G6</f>
        <v>0.8304941807864169</v>
      </c>
      <c r="I9" s="4518">
        <f>Постачання_1ст!H6</f>
        <v>1.3453684326213041E-4</v>
      </c>
      <c r="J9" s="4518">
        <f>Постачання_1ст!I6</f>
        <v>0.1267215055708889</v>
      </c>
      <c r="K9" s="4518">
        <f>Постачання_1ст!J6</f>
        <v>4.2649776799432118E-2</v>
      </c>
    </row>
    <row r="10" spans="1:17" x14ac:dyDescent="0.3">
      <c r="A10" s="148">
        <v>1</v>
      </c>
      <c r="B10" s="148">
        <v>2</v>
      </c>
      <c r="C10" s="148">
        <v>3</v>
      </c>
      <c r="D10" s="148">
        <v>4</v>
      </c>
      <c r="E10" s="148">
        <v>5</v>
      </c>
      <c r="F10" s="148">
        <v>6</v>
      </c>
      <c r="G10" s="148">
        <v>7</v>
      </c>
      <c r="H10" s="148">
        <v>8</v>
      </c>
      <c r="I10" s="148">
        <v>12</v>
      </c>
      <c r="J10" s="148">
        <v>16</v>
      </c>
      <c r="K10" s="148">
        <v>20</v>
      </c>
    </row>
    <row r="11" spans="1:17" s="155" customFormat="1" x14ac:dyDescent="0.3">
      <c r="A11" s="4519">
        <v>1</v>
      </c>
      <c r="B11" s="1077" t="s">
        <v>215</v>
      </c>
      <c r="C11" s="123" t="s">
        <v>40</v>
      </c>
      <c r="D11" s="3155">
        <f>D12+D13+D14+D18</f>
        <v>793.09219000000007</v>
      </c>
      <c r="E11" s="3155">
        <f t="shared" ref="E11:K11" si="0">E12+E13+E14+E18</f>
        <v>1640.33898</v>
      </c>
      <c r="F11" s="3155">
        <f t="shared" si="0"/>
        <v>1723.1324901170294</v>
      </c>
      <c r="G11" s="3155">
        <f t="shared" si="0"/>
        <v>1882.449193542265</v>
      </c>
      <c r="H11" s="3155">
        <f t="shared" si="0"/>
        <v>1563.3631008629345</v>
      </c>
      <c r="I11" s="3155">
        <f t="shared" si="0"/>
        <v>0.2532587721005195</v>
      </c>
      <c r="J11" s="3155">
        <f t="shared" si="0"/>
        <v>238.54679596638144</v>
      </c>
      <c r="K11" s="3155">
        <f t="shared" si="0"/>
        <v>80.286037940848601</v>
      </c>
      <c r="L11" s="759"/>
    </row>
    <row r="12" spans="1:17" x14ac:dyDescent="0.3">
      <c r="A12" s="146" t="s">
        <v>23</v>
      </c>
      <c r="B12" s="147" t="s">
        <v>102</v>
      </c>
      <c r="C12" s="121" t="s">
        <v>40</v>
      </c>
      <c r="D12" s="3154">
        <f>Постачання_1ст!C10</f>
        <v>15.5435</v>
      </c>
      <c r="E12" s="3154">
        <f>Постачання_1ст!D10</f>
        <v>15.313230000000001</v>
      </c>
      <c r="F12" s="3154">
        <f>Постачання_1ст!E10</f>
        <v>16.507197000000001</v>
      </c>
      <c r="G12" s="3154">
        <f>Постачання_1ст!F10</f>
        <v>16.205225647500001</v>
      </c>
      <c r="H12" s="3154">
        <f>$G12*H$9</f>
        <v>13.458345598579546</v>
      </c>
      <c r="I12" s="3154">
        <f t="shared" ref="I12:K27" si="1">$G12*I$9</f>
        <v>2.1801999029651634E-3</v>
      </c>
      <c r="J12" s="3154">
        <f t="shared" si="1"/>
        <v>2.0535505921671833</v>
      </c>
      <c r="K12" s="3154">
        <f t="shared" si="1"/>
        <v>0.69114925685030781</v>
      </c>
    </row>
    <row r="13" spans="1:17" x14ac:dyDescent="0.3">
      <c r="A13" s="146" t="s">
        <v>24</v>
      </c>
      <c r="B13" s="147" t="s">
        <v>103</v>
      </c>
      <c r="C13" s="121" t="s">
        <v>40</v>
      </c>
      <c r="D13" s="3154">
        <f>Постачання_1ст!C21</f>
        <v>586.92831000000001</v>
      </c>
      <c r="E13" s="3154">
        <f>Постачання_1ст!D21</f>
        <v>565.58097999999995</v>
      </c>
      <c r="F13" s="3154">
        <f>Постачання_1ст!E21</f>
        <v>684.72567299999992</v>
      </c>
      <c r="G13" s="3154">
        <f>Постачання_1ст!F21</f>
        <v>754.48063799999989</v>
      </c>
      <c r="H13" s="3154">
        <f t="shared" ref="H13:K40" si="2">$G13*H$9</f>
        <v>626.59177937502307</v>
      </c>
      <c r="I13" s="3154">
        <f t="shared" si="1"/>
        <v>0.10150544333891814</v>
      </c>
      <c r="J13" s="3154">
        <f t="shared" si="1"/>
        <v>95.608922371444805</v>
      </c>
      <c r="K13" s="3154">
        <f t="shared" si="1"/>
        <v>32.178430810193134</v>
      </c>
    </row>
    <row r="14" spans="1:17" x14ac:dyDescent="0.3">
      <c r="A14" s="146" t="s">
        <v>48</v>
      </c>
      <c r="B14" s="147" t="s">
        <v>217</v>
      </c>
      <c r="C14" s="121" t="s">
        <v>40</v>
      </c>
      <c r="D14" s="3154">
        <f>Постачання_1ст!C23</f>
        <v>178.43038000000001</v>
      </c>
      <c r="E14" s="3154">
        <f>Постачання_1ст!D23</f>
        <v>1023.4547700000001</v>
      </c>
      <c r="F14" s="3154">
        <f>Постачання_1ст!E23</f>
        <v>1001.5896201170295</v>
      </c>
      <c r="G14" s="3154">
        <f>Постачання_1ст!F23</f>
        <v>1045.9627763240737</v>
      </c>
      <c r="H14" s="3154">
        <f t="shared" si="2"/>
        <v>868.6659990563478</v>
      </c>
      <c r="I14" s="3154">
        <f t="shared" si="1"/>
        <v>0.14072053009633467</v>
      </c>
      <c r="J14" s="3154">
        <f t="shared" si="1"/>
        <v>132.54597778689353</v>
      </c>
      <c r="K14" s="3154">
        <f t="shared" si="1"/>
        <v>44.610078950736089</v>
      </c>
    </row>
    <row r="15" spans="1:17" ht="26.4" x14ac:dyDescent="0.3">
      <c r="A15" s="146" t="s">
        <v>49</v>
      </c>
      <c r="B15" s="147" t="s">
        <v>452</v>
      </c>
      <c r="C15" s="121" t="s">
        <v>40</v>
      </c>
      <c r="D15" s="3154">
        <f>Постачання_1ст!C24</f>
        <v>127.35957000000001</v>
      </c>
      <c r="E15" s="3154">
        <f>Постачання_1ст!D24</f>
        <v>124.51048</v>
      </c>
      <c r="F15" s="3154">
        <f>Постачання_1ст!E24</f>
        <v>150.63964805999998</v>
      </c>
      <c r="G15" s="3154">
        <f>Постачання_1ст!F24</f>
        <v>165.98574035999997</v>
      </c>
      <c r="H15" s="3154">
        <f t="shared" si="2"/>
        <v>137.85019146250508</v>
      </c>
      <c r="I15" s="3154">
        <f t="shared" si="1"/>
        <v>2.2331197534561989E-2</v>
      </c>
      <c r="J15" s="3154">
        <f t="shared" si="1"/>
        <v>21.033962921717855</v>
      </c>
      <c r="K15" s="3154">
        <f t="shared" si="1"/>
        <v>7.0792547782424897</v>
      </c>
      <c r="M15" s="154"/>
      <c r="N15" s="154"/>
      <c r="O15" s="154"/>
      <c r="P15" s="154"/>
      <c r="Q15" s="154"/>
    </row>
    <row r="16" spans="1:17" x14ac:dyDescent="0.3">
      <c r="A16" s="146" t="s">
        <v>50</v>
      </c>
      <c r="B16" s="147" t="s">
        <v>460</v>
      </c>
      <c r="C16" s="121" t="s">
        <v>40</v>
      </c>
      <c r="D16" s="3154">
        <f>Постачання_1ст!C25+Постачання_1ст!C26</f>
        <v>28.322400000000002</v>
      </c>
      <c r="E16" s="3154">
        <f>Постачання_1ст!D25+Постачання_1ст!D26</f>
        <v>887.7299999999999</v>
      </c>
      <c r="F16" s="3154">
        <f>Постачання_1ст!E25+Постачання_1ст!E26</f>
        <v>826.87560000000099</v>
      </c>
      <c r="G16" s="3154">
        <f>Постачання_1ст!F25+Постачання_1ст!F26</f>
        <v>843.99335000000065</v>
      </c>
      <c r="H16" s="3154">
        <f t="shared" si="2"/>
        <v>700.93156579743413</v>
      </c>
      <c r="I16" s="3154">
        <f t="shared" si="1"/>
        <v>0.11354820104323046</v>
      </c>
      <c r="J16" s="3154">
        <f t="shared" si="1"/>
        <v>106.95210800381827</v>
      </c>
      <c r="K16" s="3154">
        <f t="shared" si="1"/>
        <v>35.996127997705017</v>
      </c>
      <c r="M16" s="154"/>
      <c r="N16" s="154"/>
      <c r="O16" s="154"/>
      <c r="P16" s="154"/>
      <c r="Q16" s="154"/>
    </row>
    <row r="17" spans="1:13" x14ac:dyDescent="0.3">
      <c r="A17" s="146" t="s">
        <v>51</v>
      </c>
      <c r="B17" s="147" t="s">
        <v>52</v>
      </c>
      <c r="C17" s="121" t="s">
        <v>40</v>
      </c>
      <c r="D17" s="3154">
        <f>D14-D15-D16</f>
        <v>22.748410000000007</v>
      </c>
      <c r="E17" s="3154">
        <f>E14-E15-E16</f>
        <v>11.214290000000119</v>
      </c>
      <c r="F17" s="3154">
        <f>F14-F15-F16</f>
        <v>24.07437205702854</v>
      </c>
      <c r="G17" s="3154">
        <f>G14-G15-G16</f>
        <v>35.983685964073175</v>
      </c>
      <c r="H17" s="3154">
        <f t="shared" si="2"/>
        <v>29.884241796408638</v>
      </c>
      <c r="I17" s="3154">
        <f t="shared" si="1"/>
        <v>4.8411315185422346E-3</v>
      </c>
      <c r="J17" s="3154">
        <f t="shared" si="1"/>
        <v>4.5599068613574154</v>
      </c>
      <c r="K17" s="3154">
        <f t="shared" si="1"/>
        <v>1.5346961747885792</v>
      </c>
    </row>
    <row r="18" spans="1:13" x14ac:dyDescent="0.3">
      <c r="A18" s="146" t="s">
        <v>53</v>
      </c>
      <c r="B18" s="147" t="s">
        <v>218</v>
      </c>
      <c r="C18" s="121" t="s">
        <v>40</v>
      </c>
      <c r="D18" s="3154">
        <f>D19+D20+D21</f>
        <v>12.190000000000001</v>
      </c>
      <c r="E18" s="3154">
        <f>E19+E20+E21</f>
        <v>35.989999999999995</v>
      </c>
      <c r="F18" s="3154">
        <f>F19+F20+F21</f>
        <v>20.310000000000002</v>
      </c>
      <c r="G18" s="3154">
        <f>ЗВВ_1ст!K8</f>
        <v>65.800553570691349</v>
      </c>
      <c r="H18" s="3154">
        <f t="shared" si="2"/>
        <v>54.646976832984052</v>
      </c>
      <c r="I18" s="3154">
        <f t="shared" si="1"/>
        <v>8.8525987623015185E-3</v>
      </c>
      <c r="J18" s="3154">
        <f t="shared" si="1"/>
        <v>8.3383452158759379</v>
      </c>
      <c r="K18" s="3154">
        <f t="shared" si="1"/>
        <v>2.8063789230690621</v>
      </c>
    </row>
    <row r="19" spans="1:13" x14ac:dyDescent="0.3">
      <c r="A19" s="146" t="s">
        <v>54</v>
      </c>
      <c r="B19" s="147" t="s">
        <v>104</v>
      </c>
      <c r="C19" s="121" t="s">
        <v>40</v>
      </c>
      <c r="D19" s="3154">
        <v>9.2200000000000006</v>
      </c>
      <c r="E19" s="3154">
        <v>29.2</v>
      </c>
      <c r="F19" s="3156">
        <v>14.7</v>
      </c>
      <c r="G19" s="3154">
        <f>ЗВВ_1ст!K21</f>
        <v>50.279889693741083</v>
      </c>
      <c r="H19" s="3154">
        <f t="shared" si="2"/>
        <v>41.757155801234909</v>
      </c>
      <c r="I19" s="3154">
        <f t="shared" si="1"/>
        <v>6.7644976389640505E-3</v>
      </c>
      <c r="J19" s="3154">
        <f t="shared" si="1"/>
        <v>6.3715433219290905</v>
      </c>
      <c r="K19" s="3154">
        <f t="shared" si="1"/>
        <v>2.1444260729381246</v>
      </c>
    </row>
    <row r="20" spans="1:13" ht="26.4" x14ac:dyDescent="0.3">
      <c r="A20" s="146" t="s">
        <v>56</v>
      </c>
      <c r="B20" s="147" t="s">
        <v>452</v>
      </c>
      <c r="C20" s="121" t="s">
        <v>40</v>
      </c>
      <c r="D20" s="3154">
        <v>1.84</v>
      </c>
      <c r="E20" s="3154">
        <v>6.1</v>
      </c>
      <c r="F20" s="3156">
        <v>3.12</v>
      </c>
      <c r="G20" s="3154">
        <f>ЗВВ_1ст!K23</f>
        <v>10.73236983354378</v>
      </c>
      <c r="H20" s="3154">
        <f t="shared" si="2"/>
        <v>8.9131706928057959</v>
      </c>
      <c r="I20" s="3154">
        <f t="shared" si="1"/>
        <v>1.4438991581266962E-3</v>
      </c>
      <c r="J20" s="3154">
        <f t="shared" si="1"/>
        <v>1.3600220636502582</v>
      </c>
      <c r="K20" s="3154">
        <f t="shared" si="1"/>
        <v>0.45773317792960067</v>
      </c>
    </row>
    <row r="21" spans="1:13" x14ac:dyDescent="0.3">
      <c r="A21" s="146" t="s">
        <v>57</v>
      </c>
      <c r="B21" s="147" t="s">
        <v>58</v>
      </c>
      <c r="C21" s="121" t="s">
        <v>40</v>
      </c>
      <c r="D21" s="3154">
        <v>1.1299999999999999</v>
      </c>
      <c r="E21" s="3154">
        <v>0.69</v>
      </c>
      <c r="F21" s="3156">
        <v>2.4900000000000002</v>
      </c>
      <c r="G21" s="3155">
        <f>G18-G19-G20</f>
        <v>4.788294043406486</v>
      </c>
      <c r="H21" s="3154">
        <f t="shared" si="2"/>
        <v>3.9766503389433492</v>
      </c>
      <c r="I21" s="3154">
        <f t="shared" si="1"/>
        <v>6.4420196521077107E-4</v>
      </c>
      <c r="J21" s="3154">
        <f t="shared" si="1"/>
        <v>0.60677983029658922</v>
      </c>
      <c r="K21" s="3154">
        <f t="shared" si="1"/>
        <v>0.20421967220133697</v>
      </c>
    </row>
    <row r="22" spans="1:13" s="155" customFormat="1" x14ac:dyDescent="0.3">
      <c r="A22" s="4519">
        <v>2</v>
      </c>
      <c r="B22" s="1077" t="s">
        <v>219</v>
      </c>
      <c r="C22" s="123" t="s">
        <v>40</v>
      </c>
      <c r="D22" s="3155">
        <f>D23+D24+D25</f>
        <v>78.84</v>
      </c>
      <c r="E22" s="3155">
        <f>E23+E24+E25</f>
        <v>76.900000000000006</v>
      </c>
      <c r="F22" s="3155">
        <f>F23+F24+F25</f>
        <v>24.689999999999998</v>
      </c>
      <c r="G22" s="3155">
        <f>Адміністративні_1ст!K8</f>
        <v>79.995936156684508</v>
      </c>
      <c r="H22" s="3155">
        <f t="shared" si="2"/>
        <v>66.436159464688203</v>
      </c>
      <c r="I22" s="3155">
        <f t="shared" si="1"/>
        <v>1.0762400724319254E-2</v>
      </c>
      <c r="J22" s="3155">
        <f t="shared" si="1"/>
        <v>10.137205469327769</v>
      </c>
      <c r="K22" s="3155">
        <f t="shared" si="1"/>
        <v>3.411808821944216</v>
      </c>
      <c r="L22" s="759"/>
    </row>
    <row r="23" spans="1:13" x14ac:dyDescent="0.3">
      <c r="A23" s="146" t="s">
        <v>25</v>
      </c>
      <c r="B23" s="147" t="s">
        <v>55</v>
      </c>
      <c r="C23" s="121" t="s">
        <v>40</v>
      </c>
      <c r="D23" s="3154">
        <v>55.09</v>
      </c>
      <c r="E23" s="3154">
        <v>50.36</v>
      </c>
      <c r="F23" s="3156">
        <v>17.95</v>
      </c>
      <c r="G23" s="3154">
        <f>Адміністративні_1ст!K21</f>
        <v>59.90608734861253</v>
      </c>
      <c r="H23" s="3154">
        <f t="shared" si="2"/>
        <v>49.751656936705494</v>
      </c>
      <c r="I23" s="3154">
        <f t="shared" si="1"/>
        <v>8.0595758840677784E-3</v>
      </c>
      <c r="J23" s="3154">
        <f t="shared" si="1"/>
        <v>7.59138958167736</v>
      </c>
      <c r="K23" s="3154">
        <f t="shared" si="1"/>
        <v>2.5549812543456087</v>
      </c>
    </row>
    <row r="24" spans="1:13" ht="26.4" x14ac:dyDescent="0.3">
      <c r="A24" s="146" t="s">
        <v>26</v>
      </c>
      <c r="B24" s="147" t="s">
        <v>452</v>
      </c>
      <c r="C24" s="121" t="s">
        <v>40</v>
      </c>
      <c r="D24" s="3154">
        <v>12.12</v>
      </c>
      <c r="E24" s="3154">
        <v>11.07</v>
      </c>
      <c r="F24" s="3156">
        <v>3.95</v>
      </c>
      <c r="G24" s="3154">
        <f>Адміністративні_1ст!K23</f>
        <v>13.179339216694757</v>
      </c>
      <c r="H24" s="3154">
        <f t="shared" si="2"/>
        <v>10.94536452607521</v>
      </c>
      <c r="I24" s="3154">
        <f t="shared" si="1"/>
        <v>1.7731066944949112E-3</v>
      </c>
      <c r="J24" s="3154">
        <f t="shared" si="1"/>
        <v>1.6701057079690191</v>
      </c>
      <c r="K24" s="3154">
        <f t="shared" si="1"/>
        <v>0.56209587595603394</v>
      </c>
    </row>
    <row r="25" spans="1:13" x14ac:dyDescent="0.3">
      <c r="A25" s="146" t="s">
        <v>59</v>
      </c>
      <c r="B25" s="147" t="s">
        <v>58</v>
      </c>
      <c r="C25" s="121" t="s">
        <v>40</v>
      </c>
      <c r="D25" s="3154">
        <v>11.63</v>
      </c>
      <c r="E25" s="3154">
        <v>15.47</v>
      </c>
      <c r="F25" s="3156">
        <v>2.79</v>
      </c>
      <c r="G25" s="3154">
        <f>G22-G23-G24</f>
        <v>6.9105095913772203</v>
      </c>
      <c r="H25" s="3154">
        <f t="shared" si="2"/>
        <v>5.7391380019075013</v>
      </c>
      <c r="I25" s="3154">
        <f t="shared" si="1"/>
        <v>9.2971814575656595E-4</v>
      </c>
      <c r="J25" s="3154">
        <f t="shared" si="1"/>
        <v>0.87571017968138964</v>
      </c>
      <c r="K25" s="3154">
        <f t="shared" si="1"/>
        <v>0.29473169164257329</v>
      </c>
    </row>
    <row r="26" spans="1:13" s="155" customFormat="1" x14ac:dyDescent="0.3">
      <c r="A26" s="140" t="s">
        <v>173</v>
      </c>
      <c r="B26" s="3196" t="s">
        <v>220</v>
      </c>
      <c r="C26" s="123" t="s">
        <v>40</v>
      </c>
      <c r="D26" s="3155">
        <f>D27+D28+D29</f>
        <v>0</v>
      </c>
      <c r="E26" s="3155">
        <f>E27+E28+E29</f>
        <v>0</v>
      </c>
      <c r="F26" s="3155">
        <f>F27+F28+F29</f>
        <v>0</v>
      </c>
      <c r="G26" s="3155">
        <f>G27+G28+G29</f>
        <v>0</v>
      </c>
      <c r="H26" s="3155">
        <f t="shared" si="2"/>
        <v>0</v>
      </c>
      <c r="I26" s="3155">
        <f t="shared" si="1"/>
        <v>0</v>
      </c>
      <c r="J26" s="3155">
        <f t="shared" si="1"/>
        <v>0</v>
      </c>
      <c r="K26" s="3155">
        <f t="shared" si="1"/>
        <v>0</v>
      </c>
      <c r="L26" s="759"/>
    </row>
    <row r="27" spans="1:13" x14ac:dyDescent="0.3">
      <c r="A27" s="142" t="s">
        <v>60</v>
      </c>
      <c r="B27" s="919" t="s">
        <v>55</v>
      </c>
      <c r="C27" s="121" t="s">
        <v>40</v>
      </c>
      <c r="D27" s="3154">
        <v>0</v>
      </c>
      <c r="E27" s="3154">
        <v>0</v>
      </c>
      <c r="F27" s="3154">
        <v>0</v>
      </c>
      <c r="G27" s="3154">
        <v>0</v>
      </c>
      <c r="H27" s="3154">
        <f t="shared" si="2"/>
        <v>0</v>
      </c>
      <c r="I27" s="3154">
        <f t="shared" si="1"/>
        <v>0</v>
      </c>
      <c r="J27" s="3154">
        <f t="shared" si="1"/>
        <v>0</v>
      </c>
      <c r="K27" s="3154">
        <f t="shared" si="1"/>
        <v>0</v>
      </c>
    </row>
    <row r="28" spans="1:13" ht="24" x14ac:dyDescent="0.3">
      <c r="A28" s="142" t="s">
        <v>61</v>
      </c>
      <c r="B28" s="919" t="s">
        <v>452</v>
      </c>
      <c r="C28" s="121" t="s">
        <v>40</v>
      </c>
      <c r="D28" s="3154">
        <v>0</v>
      </c>
      <c r="E28" s="3154">
        <v>0</v>
      </c>
      <c r="F28" s="3154">
        <v>0</v>
      </c>
      <c r="G28" s="3154">
        <v>0</v>
      </c>
      <c r="H28" s="3154">
        <f t="shared" si="2"/>
        <v>0</v>
      </c>
      <c r="I28" s="3154">
        <f t="shared" si="2"/>
        <v>0</v>
      </c>
      <c r="J28" s="3154">
        <f t="shared" si="2"/>
        <v>0</v>
      </c>
      <c r="K28" s="3154">
        <f t="shared" si="2"/>
        <v>0</v>
      </c>
    </row>
    <row r="29" spans="1:13" x14ac:dyDescent="0.3">
      <c r="A29" s="139" t="s">
        <v>62</v>
      </c>
      <c r="B29" s="4" t="s">
        <v>233</v>
      </c>
      <c r="C29" s="121" t="s">
        <v>40</v>
      </c>
      <c r="D29" s="3154">
        <v>0</v>
      </c>
      <c r="E29" s="3154">
        <v>0</v>
      </c>
      <c r="F29" s="3154">
        <v>0</v>
      </c>
      <c r="G29" s="3154">
        <v>0</v>
      </c>
      <c r="H29" s="3154">
        <f t="shared" si="2"/>
        <v>0</v>
      </c>
      <c r="I29" s="3154">
        <f t="shared" si="2"/>
        <v>0</v>
      </c>
      <c r="J29" s="3154">
        <f t="shared" si="2"/>
        <v>0</v>
      </c>
      <c r="K29" s="3154">
        <f t="shared" si="2"/>
        <v>0</v>
      </c>
    </row>
    <row r="30" spans="1:13" s="155" customFormat="1" x14ac:dyDescent="0.3">
      <c r="A30" s="4519" t="s">
        <v>174</v>
      </c>
      <c r="B30" s="1077" t="s">
        <v>105</v>
      </c>
      <c r="C30" s="123" t="s">
        <v>40</v>
      </c>
      <c r="D30" s="3154">
        <v>0</v>
      </c>
      <c r="E30" s="3154">
        <v>0</v>
      </c>
      <c r="F30" s="3154">
        <v>0</v>
      </c>
      <c r="G30" s="3154">
        <v>0</v>
      </c>
      <c r="H30" s="3154">
        <f t="shared" si="2"/>
        <v>0</v>
      </c>
      <c r="I30" s="3154">
        <f t="shared" si="2"/>
        <v>0</v>
      </c>
      <c r="J30" s="3154">
        <f t="shared" si="2"/>
        <v>0</v>
      </c>
      <c r="K30" s="3154">
        <f t="shared" si="2"/>
        <v>0</v>
      </c>
      <c r="L30" s="759"/>
    </row>
    <row r="31" spans="1:13" s="155" customFormat="1" x14ac:dyDescent="0.3">
      <c r="A31" s="4519" t="s">
        <v>169</v>
      </c>
      <c r="B31" s="1077" t="s">
        <v>5</v>
      </c>
      <c r="C31" s="123" t="s">
        <v>40</v>
      </c>
      <c r="D31" s="3154">
        <v>0</v>
      </c>
      <c r="E31" s="3154">
        <v>0</v>
      </c>
      <c r="F31" s="3154">
        <v>0</v>
      </c>
      <c r="G31" s="3154">
        <v>0</v>
      </c>
      <c r="H31" s="3154">
        <f t="shared" si="2"/>
        <v>0</v>
      </c>
      <c r="I31" s="3154">
        <f t="shared" si="2"/>
        <v>0</v>
      </c>
      <c r="J31" s="3154">
        <f t="shared" si="2"/>
        <v>0</v>
      </c>
      <c r="K31" s="3154">
        <f t="shared" si="2"/>
        <v>0</v>
      </c>
      <c r="L31" s="759">
        <f>G32/G42*1000</f>
        <v>19.863648017112624</v>
      </c>
    </row>
    <row r="32" spans="1:13" s="155" customFormat="1" x14ac:dyDescent="0.3">
      <c r="A32" s="4519" t="s">
        <v>170</v>
      </c>
      <c r="B32" s="1077" t="s">
        <v>63</v>
      </c>
      <c r="C32" s="123" t="s">
        <v>40</v>
      </c>
      <c r="D32" s="3155">
        <f>D31+D30+D26+D22+D11</f>
        <v>871.93219000000011</v>
      </c>
      <c r="E32" s="3155">
        <f>E31+E30+E26+E22+E11</f>
        <v>1717.2389800000001</v>
      </c>
      <c r="F32" s="3155">
        <f>F31+F30+F26+F22+F11</f>
        <v>1747.8224901170295</v>
      </c>
      <c r="G32" s="3155">
        <f>G31+G30+G26+G22+G11</f>
        <v>1962.4451296989496</v>
      </c>
      <c r="H32" s="3155">
        <f t="shared" si="2"/>
        <v>1629.7992603276227</v>
      </c>
      <c r="I32" s="3155">
        <f t="shared" si="2"/>
        <v>0.26402117282483878</v>
      </c>
      <c r="J32" s="3155">
        <f t="shared" si="2"/>
        <v>248.68400143570923</v>
      </c>
      <c r="K32" s="3155">
        <f t="shared" si="2"/>
        <v>83.697846762792807</v>
      </c>
      <c r="L32" s="774">
        <f>Постачання_1ст!F9+ЗВВ_1ст!K8+Адміністративні_1ст!K8</f>
        <v>1962.4451296989496</v>
      </c>
      <c r="M32" s="1620">
        <f>G32-L32</f>
        <v>0</v>
      </c>
    </row>
    <row r="33" spans="1:16" s="155" customFormat="1" x14ac:dyDescent="0.3">
      <c r="A33" s="4519" t="s">
        <v>171</v>
      </c>
      <c r="B33" s="3481" t="s">
        <v>2655</v>
      </c>
      <c r="C33" s="123" t="s">
        <v>40</v>
      </c>
      <c r="D33" s="3155">
        <v>0</v>
      </c>
      <c r="E33" s="3155">
        <v>0</v>
      </c>
      <c r="F33" s="3155">
        <v>0</v>
      </c>
      <c r="G33" s="3154">
        <v>0</v>
      </c>
      <c r="H33" s="3154">
        <f t="shared" si="2"/>
        <v>0</v>
      </c>
      <c r="I33" s="3154">
        <f t="shared" si="2"/>
        <v>0</v>
      </c>
      <c r="J33" s="3154">
        <f t="shared" si="2"/>
        <v>0</v>
      </c>
      <c r="K33" s="3154">
        <f t="shared" si="2"/>
        <v>0</v>
      </c>
      <c r="L33" s="759"/>
    </row>
    <row r="34" spans="1:16" s="155" customFormat="1" x14ac:dyDescent="0.3">
      <c r="A34" s="4519" t="s">
        <v>172</v>
      </c>
      <c r="B34" s="1077" t="s">
        <v>242</v>
      </c>
      <c r="C34" s="123" t="s">
        <v>40</v>
      </c>
      <c r="D34" s="4520">
        <f>D35+D36+D37+D38+D39</f>
        <v>0</v>
      </c>
      <c r="E34" s="4520">
        <f>E35+E36+E37+E38+E39</f>
        <v>0</v>
      </c>
      <c r="F34" s="4520">
        <f>F35+F36+F37+F38+F39</f>
        <v>18.630000000000003</v>
      </c>
      <c r="G34" s="4521">
        <f>SUM(G35:G39)</f>
        <v>90.942579181170828</v>
      </c>
      <c r="H34" s="3155">
        <f t="shared" si="2"/>
        <v>75.527282795670317</v>
      </c>
      <c r="I34" s="3155">
        <f t="shared" si="2"/>
        <v>1.2235127521151063E-2</v>
      </c>
      <c r="J34" s="3155">
        <f t="shared" si="2"/>
        <v>11.524380554337744</v>
      </c>
      <c r="K34" s="3155">
        <f t="shared" si="2"/>
        <v>3.878680703641618</v>
      </c>
      <c r="L34" s="4522">
        <f>G34/G42*1000</f>
        <v>0.92051051786619476</v>
      </c>
    </row>
    <row r="35" spans="1:16" x14ac:dyDescent="0.3">
      <c r="A35" s="146" t="s">
        <v>115</v>
      </c>
      <c r="B35" s="147" t="s">
        <v>65</v>
      </c>
      <c r="C35" s="121" t="s">
        <v>83</v>
      </c>
      <c r="D35" s="3154">
        <v>0</v>
      </c>
      <c r="E35" s="3154">
        <v>0</v>
      </c>
      <c r="F35" s="3156">
        <v>3.35</v>
      </c>
      <c r="G35" s="3157">
        <f>(G36+G37+G38+G39)/(100%-'Вхідні дані'!$D$46)-(G36+G37+G38+G39)</f>
        <v>16.369664252610747</v>
      </c>
      <c r="H35" s="3154">
        <f t="shared" si="2"/>
        <v>13.594910903220656</v>
      </c>
      <c r="I35" s="3154">
        <f t="shared" si="2"/>
        <v>2.2023229538071913E-3</v>
      </c>
      <c r="J35" s="3154">
        <f t="shared" si="2"/>
        <v>2.0743884997807935</v>
      </c>
      <c r="K35" s="3154">
        <f t="shared" si="2"/>
        <v>0.69816252665549117</v>
      </c>
      <c r="L35" s="4523">
        <f>G41-L34</f>
        <v>19.863648017112627</v>
      </c>
      <c r="M35" s="155"/>
    </row>
    <row r="36" spans="1:16" x14ac:dyDescent="0.3">
      <c r="A36" s="146" t="s">
        <v>117</v>
      </c>
      <c r="B36" s="147" t="s">
        <v>84</v>
      </c>
      <c r="C36" s="121" t="s">
        <v>40</v>
      </c>
      <c r="D36" s="3154">
        <v>0</v>
      </c>
      <c r="E36" s="3154">
        <v>0</v>
      </c>
      <c r="F36" s="3156">
        <v>2.29</v>
      </c>
      <c r="G36" s="3157">
        <f>(G38+G39)/(100%-'Вхідні дані'!$D$47)*'Вхідні дані'!$D$47</f>
        <v>0</v>
      </c>
      <c r="H36" s="3154">
        <f t="shared" si="2"/>
        <v>0</v>
      </c>
      <c r="I36" s="3154">
        <f t="shared" si="2"/>
        <v>0</v>
      </c>
      <c r="J36" s="3154">
        <f t="shared" si="2"/>
        <v>0</v>
      </c>
      <c r="K36" s="3154">
        <f t="shared" si="2"/>
        <v>0</v>
      </c>
      <c r="L36" s="4523"/>
    </row>
    <row r="37" spans="1:16" x14ac:dyDescent="0.3">
      <c r="A37" s="146" t="s">
        <v>119</v>
      </c>
      <c r="B37" s="147" t="s">
        <v>85</v>
      </c>
      <c r="C37" s="121" t="s">
        <v>40</v>
      </c>
      <c r="D37" s="3154">
        <v>0</v>
      </c>
      <c r="E37" s="3154">
        <v>0</v>
      </c>
      <c r="F37" s="3156">
        <v>0</v>
      </c>
      <c r="G37" s="3157">
        <v>0</v>
      </c>
      <c r="H37" s="3154">
        <f t="shared" si="2"/>
        <v>0</v>
      </c>
      <c r="I37" s="3154">
        <f t="shared" si="2"/>
        <v>0</v>
      </c>
      <c r="J37" s="3154">
        <f t="shared" si="2"/>
        <v>0</v>
      </c>
      <c r="K37" s="3154">
        <f t="shared" si="2"/>
        <v>0</v>
      </c>
      <c r="L37" s="4523"/>
    </row>
    <row r="38" spans="1:16" x14ac:dyDescent="0.3">
      <c r="A38" s="146" t="s">
        <v>121</v>
      </c>
      <c r="B38" s="147" t="s">
        <v>71</v>
      </c>
      <c r="C38" s="121" t="s">
        <v>40</v>
      </c>
      <c r="D38" s="3154">
        <v>0</v>
      </c>
      <c r="E38" s="3154">
        <v>0</v>
      </c>
      <c r="F38" s="3156">
        <v>0</v>
      </c>
      <c r="G38" s="3157">
        <v>0</v>
      </c>
      <c r="H38" s="3154">
        <f t="shared" si="2"/>
        <v>0</v>
      </c>
      <c r="I38" s="3154">
        <f t="shared" si="2"/>
        <v>0</v>
      </c>
      <c r="J38" s="3154">
        <f t="shared" si="2"/>
        <v>0</v>
      </c>
      <c r="K38" s="3154">
        <f t="shared" si="2"/>
        <v>0</v>
      </c>
      <c r="L38" s="4523">
        <f>G34/G32</f>
        <v>4.6341463414634146E-2</v>
      </c>
    </row>
    <row r="39" spans="1:16" x14ac:dyDescent="0.3">
      <c r="A39" s="146" t="s">
        <v>223</v>
      </c>
      <c r="B39" s="147" t="s">
        <v>86</v>
      </c>
      <c r="C39" s="121" t="s">
        <v>40</v>
      </c>
      <c r="D39" s="3154">
        <v>0</v>
      </c>
      <c r="E39" s="3154">
        <v>0</v>
      </c>
      <c r="F39" s="3156">
        <v>12.99</v>
      </c>
      <c r="G39" s="3157">
        <f>G32*'Вхідні дані'!D45</f>
        <v>74.572914928560081</v>
      </c>
      <c r="H39" s="3154">
        <f t="shared" si="2"/>
        <v>61.932371892449666</v>
      </c>
      <c r="I39" s="3154">
        <f t="shared" si="2"/>
        <v>1.0032804567343873E-2</v>
      </c>
      <c r="J39" s="3154">
        <f t="shared" si="2"/>
        <v>9.4499920545569509</v>
      </c>
      <c r="K39" s="3154">
        <f t="shared" si="2"/>
        <v>3.1805181769861268</v>
      </c>
      <c r="L39" s="4523"/>
    </row>
    <row r="40" spans="1:16" s="155" customFormat="1" ht="25.5" customHeight="1" x14ac:dyDescent="0.3">
      <c r="A40" s="4519" t="s">
        <v>187</v>
      </c>
      <c r="B40" s="1077" t="s">
        <v>106</v>
      </c>
      <c r="C40" s="123" t="s">
        <v>40</v>
      </c>
      <c r="D40" s="3155">
        <f>D32+D33+D34</f>
        <v>871.93219000000011</v>
      </c>
      <c r="E40" s="3155">
        <f>E32+E33+E34</f>
        <v>1717.2389800000001</v>
      </c>
      <c r="F40" s="3155">
        <f>F32+F33+F34</f>
        <v>1766.4524901170296</v>
      </c>
      <c r="G40" s="3155">
        <f>G32+G33+G34</f>
        <v>2053.3877088801205</v>
      </c>
      <c r="H40" s="3155">
        <f t="shared" si="2"/>
        <v>1705.3265431232933</v>
      </c>
      <c r="I40" s="3155">
        <f t="shared" si="2"/>
        <v>0.27625630034598986</v>
      </c>
      <c r="J40" s="3155">
        <f t="shared" si="2"/>
        <v>260.20838199004697</v>
      </c>
      <c r="K40" s="3155">
        <f t="shared" si="2"/>
        <v>87.576527466434442</v>
      </c>
      <c r="L40" s="4524">
        <v>668.59121023462649</v>
      </c>
      <c r="M40" s="1620">
        <f>G40-L40</f>
        <v>1384.796498645494</v>
      </c>
    </row>
    <row r="41" spans="1:16" s="155" customFormat="1" ht="26.4" x14ac:dyDescent="0.3">
      <c r="A41" s="4519" t="s">
        <v>188</v>
      </c>
      <c r="B41" s="1077" t="s">
        <v>107</v>
      </c>
      <c r="C41" s="123" t="s">
        <v>74</v>
      </c>
      <c r="D41" s="3155">
        <f t="shared" ref="D41:K41" si="3">D40/D42*1000</f>
        <v>9.4391321701120354</v>
      </c>
      <c r="E41" s="3155">
        <f t="shared" si="3"/>
        <v>25.751469815656336</v>
      </c>
      <c r="F41" s="3155">
        <f t="shared" si="3"/>
        <v>15.442069788817172</v>
      </c>
      <c r="G41" s="3155">
        <f t="shared" si="3"/>
        <v>20.784158534978822</v>
      </c>
      <c r="H41" s="3155">
        <f t="shared" si="3"/>
        <v>20.784158534978822</v>
      </c>
      <c r="I41" s="3155">
        <f t="shared" si="3"/>
        <v>20.784158534978822</v>
      </c>
      <c r="J41" s="3155">
        <f t="shared" si="3"/>
        <v>20.784158534978818</v>
      </c>
      <c r="K41" s="3155">
        <f t="shared" si="3"/>
        <v>20.784158534978822</v>
      </c>
      <c r="L41" s="4525">
        <f>(G41-F41)/F41</f>
        <v>0.34594382872367802</v>
      </c>
    </row>
    <row r="42" spans="1:16" s="155" customFormat="1" ht="26.4" x14ac:dyDescent="0.3">
      <c r="A42" s="4519" t="s">
        <v>189</v>
      </c>
      <c r="B42" s="1077" t="s">
        <v>588</v>
      </c>
      <c r="C42" s="123" t="s">
        <v>22</v>
      </c>
      <c r="D42" s="4526">
        <f>D43+D44+D45+D46</f>
        <v>92374.190157107529</v>
      </c>
      <c r="E42" s="4526">
        <f>E43+E44+E45+E46</f>
        <v>66685.086027825717</v>
      </c>
      <c r="F42" s="4526">
        <f>F43+F44+F45+F46</f>
        <v>114392.20999999999</v>
      </c>
      <c r="G42" s="4526">
        <f>G43+G44+G45+G46</f>
        <v>98795.806692118887</v>
      </c>
      <c r="H42" s="4526">
        <f>G43</f>
        <v>82049.34254390448</v>
      </c>
      <c r="I42" s="4526">
        <f>G44</f>
        <v>13.291675959893333</v>
      </c>
      <c r="J42" s="4526">
        <f>G45</f>
        <v>12519.553368115807</v>
      </c>
      <c r="K42" s="4526">
        <f>G46</f>
        <v>4213.6191041387128</v>
      </c>
      <c r="L42" s="154">
        <f>G34/G42*1000</f>
        <v>0.92051051786619476</v>
      </c>
      <c r="M42" s="154">
        <f t="shared" ref="M42:N42" si="4">H34/H42*1000</f>
        <v>0.92051051786619476</v>
      </c>
      <c r="N42" s="154">
        <f t="shared" si="4"/>
        <v>0.92051051786619487</v>
      </c>
      <c r="O42" s="154">
        <f t="shared" ref="O42" si="5">J34/J42*1000</f>
        <v>0.92051051786619487</v>
      </c>
      <c r="P42" s="154">
        <f t="shared" ref="P42" si="6">K34/K42*1000</f>
        <v>0.92051051786619476</v>
      </c>
    </row>
    <row r="43" spans="1:16" x14ac:dyDescent="0.3">
      <c r="A43" s="146" t="s">
        <v>91</v>
      </c>
      <c r="B43" s="147" t="s">
        <v>3</v>
      </c>
      <c r="C43" s="121" t="s">
        <v>22</v>
      </c>
      <c r="D43" s="3157">
        <f>'Д 7_РП'!$E$75</f>
        <v>78679.744151229883</v>
      </c>
      <c r="E43" s="3157">
        <f>'Д 7_РП'!$F$75</f>
        <v>57582.226975534839</v>
      </c>
      <c r="F43" s="3157">
        <v>92996.84</v>
      </c>
      <c r="G43" s="3157">
        <f>'Д 7_РП'!$G$75</f>
        <v>82049.34254390448</v>
      </c>
      <c r="H43" s="4527"/>
      <c r="I43" s="4527"/>
      <c r="J43" s="4527"/>
      <c r="K43" s="4527"/>
    </row>
    <row r="44" spans="1:16" x14ac:dyDescent="0.3">
      <c r="A44" s="146" t="s">
        <v>92</v>
      </c>
      <c r="B44" s="147" t="s">
        <v>166</v>
      </c>
      <c r="C44" s="121" t="s">
        <v>22</v>
      </c>
      <c r="D44" s="3157">
        <f>'Д 7_РП'!$E$83</f>
        <v>13.195123224395186</v>
      </c>
      <c r="E44" s="3157">
        <f>'Д 7_РП'!$F$83</f>
        <v>9.0310899163150786</v>
      </c>
      <c r="F44" s="3157">
        <v>14.98</v>
      </c>
      <c r="G44" s="3157">
        <f>'Д 7_РП'!$G$83</f>
        <v>13.291675959893333</v>
      </c>
      <c r="H44" s="4527"/>
      <c r="I44" s="4527"/>
      <c r="J44" s="4527"/>
      <c r="K44" s="4527"/>
    </row>
    <row r="45" spans="1:16" x14ac:dyDescent="0.3">
      <c r="A45" s="146" t="s">
        <v>243</v>
      </c>
      <c r="B45" s="147" t="s">
        <v>97</v>
      </c>
      <c r="C45" s="121" t="s">
        <v>22</v>
      </c>
      <c r="D45" s="3157">
        <f>'Д 7_РП'!$E$87</f>
        <v>8759.9737474263693</v>
      </c>
      <c r="E45" s="3157">
        <f>'Д 7_РП'!$F$87</f>
        <v>6752.6432291627516</v>
      </c>
      <c r="F45" s="3157">
        <v>11906.01</v>
      </c>
      <c r="G45" s="3157">
        <f>'Д 7_РП'!$G$87</f>
        <v>12519.553368115807</v>
      </c>
      <c r="H45" s="4527"/>
      <c r="I45" s="4527"/>
      <c r="J45" s="4527"/>
      <c r="K45" s="4527"/>
    </row>
    <row r="46" spans="1:16" x14ac:dyDescent="0.3">
      <c r="A46" s="146" t="s">
        <v>244</v>
      </c>
      <c r="B46" s="147" t="s">
        <v>109</v>
      </c>
      <c r="C46" s="121" t="s">
        <v>22</v>
      </c>
      <c r="D46" s="3157">
        <f>'Д 7_РП'!$E$91</f>
        <v>4921.2771352268846</v>
      </c>
      <c r="E46" s="3157">
        <f>'Д 7_РП'!$F$91</f>
        <v>2341.1847332118145</v>
      </c>
      <c r="F46" s="3157">
        <v>9474.3799999999992</v>
      </c>
      <c r="G46" s="3157">
        <f>'Д 7_РП'!$G$91</f>
        <v>4213.6191041387128</v>
      </c>
      <c r="H46" s="4527"/>
      <c r="I46" s="4527"/>
      <c r="J46" s="4527"/>
      <c r="K46" s="4527"/>
    </row>
    <row r="47" spans="1:16" x14ac:dyDescent="0.3">
      <c r="A47" s="4528"/>
      <c r="B47" s="4512"/>
      <c r="C47" s="3495"/>
      <c r="D47" s="3495"/>
      <c r="E47" s="3495"/>
      <c r="F47" s="4529"/>
      <c r="G47" s="3495"/>
      <c r="H47" s="4529"/>
      <c r="I47" s="4529"/>
      <c r="J47" s="4529"/>
      <c r="K47" s="4529"/>
    </row>
    <row r="48" spans="1:16" s="150" customFormat="1" ht="12" x14ac:dyDescent="0.25">
      <c r="A48" s="4517" t="s">
        <v>79</v>
      </c>
      <c r="L48" s="4530"/>
    </row>
    <row r="49" spans="1:12" s="150" customFormat="1" ht="12" x14ac:dyDescent="0.25">
      <c r="A49" s="4531"/>
      <c r="L49" s="4530"/>
    </row>
    <row r="50" spans="1:12" s="150" customFormat="1" ht="13.8" x14ac:dyDescent="0.25">
      <c r="A50" s="4531"/>
      <c r="B50" s="3501" t="str">
        <f>'Вхідні дані'!B13</f>
        <v>Директор підприємства</v>
      </c>
      <c r="C50" s="5074" t="s">
        <v>99</v>
      </c>
      <c r="D50" s="5074"/>
      <c r="E50" s="5074"/>
      <c r="F50" s="5067" t="str">
        <f>'Вхідні дані'!F13</f>
        <v>Анатолій ПАНШИН</v>
      </c>
      <c r="G50" s="5067"/>
      <c r="L50" s="4530"/>
    </row>
    <row r="51" spans="1:12" s="150" customFormat="1" ht="12" x14ac:dyDescent="0.25">
      <c r="A51" s="4531"/>
      <c r="B51" s="4532" t="s">
        <v>232</v>
      </c>
      <c r="C51" s="5071" t="s">
        <v>100</v>
      </c>
      <c r="D51" s="5071"/>
      <c r="E51" s="5071"/>
      <c r="F51" s="5071" t="s">
        <v>101</v>
      </c>
      <c r="G51" s="5071"/>
      <c r="L51" s="4530"/>
    </row>
    <row r="53" spans="1:12" x14ac:dyDescent="0.3">
      <c r="F53" s="4533"/>
    </row>
    <row r="54" spans="1:12" x14ac:dyDescent="0.3">
      <c r="B54" s="4534" t="s">
        <v>2023</v>
      </c>
      <c r="D54" s="4535">
        <f>D41*1.2</f>
        <v>11.326958604134441</v>
      </c>
      <c r="E54" s="4535">
        <f>E41*1.2</f>
        <v>30.901763778787601</v>
      </c>
      <c r="F54" s="4535">
        <f>F41*1.2</f>
        <v>18.530483746580604</v>
      </c>
      <c r="G54" s="4535">
        <f>G41*1.2</f>
        <v>24.940990241974585</v>
      </c>
    </row>
    <row r="56" spans="1:12" x14ac:dyDescent="0.3">
      <c r="D56" s="4533"/>
      <c r="E56" s="4533"/>
      <c r="F56" s="4533"/>
      <c r="G56" s="4533"/>
    </row>
  </sheetData>
  <mergeCells count="16">
    <mergeCell ref="C51:E51"/>
    <mergeCell ref="F51:G51"/>
    <mergeCell ref="D1:H1"/>
    <mergeCell ref="A5:G5"/>
    <mergeCell ref="C50:E50"/>
    <mergeCell ref="F50:G50"/>
    <mergeCell ref="A3:G3"/>
    <mergeCell ref="A4:G4"/>
    <mergeCell ref="A6:G6"/>
    <mergeCell ref="A7:A9"/>
    <mergeCell ref="B7:B9"/>
    <mergeCell ref="C7:C9"/>
    <mergeCell ref="D2:G2"/>
    <mergeCell ref="G7:G8"/>
    <mergeCell ref="D7:F7"/>
    <mergeCell ref="H7:K7"/>
  </mergeCells>
  <conditionalFormatting sqref="B1:B2">
    <cfRule type="containsText" dxfId="84" priority="1" operator="containsText" text="Для корек">
      <formula>NOT(ISERROR(SEARCH("Для корек",B1)))</formula>
    </cfRule>
  </conditionalFormatting>
  <pageMargins left="0.70866141732283472" right="0.27559055118110237" top="0.27559055118110237" bottom="0.23622047244094491" header="0.31496062992125984" footer="0.31496062992125984"/>
  <pageSetup paperSize="9" scale="82" fitToHeight="0" orientation="portrait" r:id="rId1"/>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Лист15">
    <tabColor theme="9"/>
    <pageSetUpPr fitToPage="1"/>
  </sheetPr>
  <dimension ref="A1:R69"/>
  <sheetViews>
    <sheetView topLeftCell="A19" zoomScale="125" zoomScaleNormal="125" zoomScaleSheetLayoutView="100" workbookViewId="0">
      <selection activeCell="D69" sqref="D69"/>
    </sheetView>
  </sheetViews>
  <sheetFormatPr defaultColWidth="9.109375" defaultRowHeight="14.4" x14ac:dyDescent="0.3"/>
  <cols>
    <col min="1" max="1" width="4.33203125" style="144" customWidth="1"/>
    <col min="2" max="2" width="42.88671875" style="144" customWidth="1"/>
    <col min="3" max="3" width="9.5546875" style="4539" customWidth="1"/>
    <col min="4" max="4" width="10.33203125" style="144" customWidth="1"/>
    <col min="5" max="8" width="9.33203125" style="144" customWidth="1"/>
    <col min="9" max="9" width="36.44140625" style="144" customWidth="1"/>
    <col min="10" max="10" width="13.6640625" style="144" customWidth="1"/>
    <col min="11" max="11" width="13" style="144" customWidth="1"/>
    <col min="12" max="12" width="10.44140625" style="144" bestFit="1" customWidth="1"/>
    <col min="13" max="13" width="10.88671875" style="144" customWidth="1"/>
    <col min="14" max="16" width="7.5546875" style="144" bestFit="1" customWidth="1"/>
    <col min="17" max="17" width="9.6640625" style="144" customWidth="1"/>
    <col min="18" max="18" width="12" style="144" bestFit="1" customWidth="1"/>
    <col min="19" max="24" width="3.88671875" style="144" customWidth="1"/>
    <col min="25" max="16384" width="9.109375" style="144"/>
  </cols>
  <sheetData>
    <row r="1" spans="1:11" ht="46.2" customHeight="1" x14ac:dyDescent="0.3">
      <c r="A1" s="102"/>
      <c r="B1" s="103"/>
      <c r="C1" s="104"/>
      <c r="D1" s="145"/>
      <c r="E1" s="5019" t="s">
        <v>3124</v>
      </c>
      <c r="F1" s="5019"/>
      <c r="G1" s="5019"/>
      <c r="H1" s="5019"/>
      <c r="I1" s="154" t="s">
        <v>657</v>
      </c>
    </row>
    <row r="2" spans="1:11" ht="15.6" customHeight="1" x14ac:dyDescent="0.3">
      <c r="A2" s="102"/>
      <c r="B2" s="103"/>
      <c r="C2" s="104"/>
      <c r="D2" s="145"/>
      <c r="E2" s="5043" t="str">
        <f>'Вхідні дані'!F1</f>
        <v>станом на 01.09.2023 року</v>
      </c>
      <c r="F2" s="5043"/>
      <c r="G2" s="5043"/>
      <c r="H2" s="5043"/>
    </row>
    <row r="3" spans="1:11" ht="18.75" customHeight="1" x14ac:dyDescent="0.3">
      <c r="A3" s="102"/>
      <c r="B3" s="5020" t="s">
        <v>451</v>
      </c>
      <c r="C3" s="5020"/>
      <c r="D3" s="5020"/>
      <c r="E3" s="5020"/>
      <c r="F3" s="5020"/>
      <c r="G3" s="5020"/>
      <c r="H3" s="5020"/>
    </row>
    <row r="4" spans="1:11" ht="16.95" customHeight="1" x14ac:dyDescent="0.3">
      <c r="A4" s="5075" t="s">
        <v>1397</v>
      </c>
      <c r="B4" s="5075"/>
      <c r="C4" s="5075"/>
      <c r="D4" s="5075"/>
      <c r="E4" s="5075"/>
      <c r="F4" s="5075"/>
      <c r="G4" s="5075"/>
      <c r="H4" s="5075"/>
      <c r="I4" s="154" t="s">
        <v>644</v>
      </c>
    </row>
    <row r="5" spans="1:11" ht="12.75" customHeight="1" x14ac:dyDescent="0.3">
      <c r="A5" s="102"/>
      <c r="B5" s="5068"/>
      <c r="C5" s="5068"/>
      <c r="D5" s="5068"/>
      <c r="E5" s="5068"/>
      <c r="F5" s="5068"/>
      <c r="G5" s="5068"/>
      <c r="H5" s="5068"/>
    </row>
    <row r="6" spans="1:11" x14ac:dyDescent="0.3">
      <c r="A6" s="5082" t="s">
        <v>211</v>
      </c>
      <c r="B6" s="5083"/>
      <c r="C6" s="5083"/>
      <c r="D6" s="5083"/>
      <c r="E6" s="5083"/>
      <c r="F6" s="5083"/>
      <c r="G6" s="5083"/>
      <c r="H6" s="5083"/>
    </row>
    <row r="7" spans="1:11" ht="27" customHeight="1" x14ac:dyDescent="0.3">
      <c r="A7" s="5062" t="s">
        <v>7</v>
      </c>
      <c r="B7" s="5084" t="s">
        <v>110</v>
      </c>
      <c r="C7" s="5062" t="s">
        <v>35</v>
      </c>
      <c r="D7" s="5062" t="s">
        <v>111</v>
      </c>
      <c r="E7" s="5062" t="s">
        <v>245</v>
      </c>
      <c r="F7" s="5062"/>
      <c r="G7" s="5062"/>
      <c r="H7" s="5062"/>
    </row>
    <row r="8" spans="1:11" ht="25.2" customHeight="1" x14ac:dyDescent="0.3">
      <c r="A8" s="5062"/>
      <c r="B8" s="5084"/>
      <c r="C8" s="5062"/>
      <c r="D8" s="5062"/>
      <c r="E8" s="121" t="s">
        <v>3</v>
      </c>
      <c r="F8" s="121" t="s">
        <v>166</v>
      </c>
      <c r="G8" s="121" t="s">
        <v>97</v>
      </c>
      <c r="H8" s="121" t="s">
        <v>98</v>
      </c>
      <c r="I8" s="154"/>
    </row>
    <row r="9" spans="1:11" ht="12.75" customHeight="1" x14ac:dyDescent="0.3">
      <c r="A9" s="121">
        <v>1</v>
      </c>
      <c r="B9" s="121">
        <v>2</v>
      </c>
      <c r="C9" s="121">
        <v>3</v>
      </c>
      <c r="D9" s="121">
        <v>4</v>
      </c>
      <c r="E9" s="121">
        <v>5</v>
      </c>
      <c r="F9" s="121">
        <v>6</v>
      </c>
      <c r="G9" s="121">
        <v>7</v>
      </c>
      <c r="H9" s="121">
        <v>8</v>
      </c>
    </row>
    <row r="10" spans="1:11" x14ac:dyDescent="0.3">
      <c r="A10" s="146">
        <v>1</v>
      </c>
      <c r="B10" s="147" t="s">
        <v>246</v>
      </c>
      <c r="C10" s="148" t="s">
        <v>74</v>
      </c>
      <c r="D10" s="2141">
        <f>ROUND(D11+D12+D13,2)</f>
        <v>1496.27</v>
      </c>
      <c r="E10" s="2141">
        <f>ROUND(E11+E12+E13,2)</f>
        <v>1321.37</v>
      </c>
      <c r="F10" s="2141">
        <f>ROUND(F11+F12+F13,2)</f>
        <v>0</v>
      </c>
      <c r="G10" s="2141">
        <f>ROUND(G11+G12+G13,2)</f>
        <v>2354.12</v>
      </c>
      <c r="H10" s="2141">
        <f>ROUND(H11+H12+H13,2)</f>
        <v>2354.12</v>
      </c>
      <c r="J10" s="4533"/>
      <c r="K10" s="4533"/>
    </row>
    <row r="11" spans="1:11" ht="26.4" x14ac:dyDescent="0.3">
      <c r="A11" s="146" t="s">
        <v>23</v>
      </c>
      <c r="B11" s="147" t="s">
        <v>595</v>
      </c>
      <c r="C11" s="148" t="s">
        <v>74</v>
      </c>
      <c r="D11" s="2141">
        <f>ROUND('Д 2_Т на В'!H53+'Д 2_Т на В'!H54,2)</f>
        <v>1430</v>
      </c>
      <c r="E11" s="2141">
        <f>ROUND('Д 2_Т на В'!L53+'Д 2_Т на В'!L54,2)</f>
        <v>1262.8499999999999</v>
      </c>
      <c r="F11" s="2141">
        <f>ROUND(IF('Д 7_РП'!G31=0,0,'Д 2_Т на В'!P53+'Д 2_Т на В'!P54),2)</f>
        <v>0</v>
      </c>
      <c r="G11" s="2141">
        <f>ROUND('Д 2_Т на В'!T53+'Д 2_Т на В'!T54,2)</f>
        <v>2249.86</v>
      </c>
      <c r="H11" s="2141">
        <f>ROUND('Д 2_Т на В'!X53+'Д 2_Т на В'!X54,2)</f>
        <v>2249.86</v>
      </c>
      <c r="J11" s="4353"/>
      <c r="K11" s="4353"/>
    </row>
    <row r="12" spans="1:11" ht="17.399999999999999" customHeight="1" x14ac:dyDescent="0.3">
      <c r="A12" s="146" t="s">
        <v>24</v>
      </c>
      <c r="B12" s="147" t="s">
        <v>2656</v>
      </c>
      <c r="C12" s="148" t="s">
        <v>74</v>
      </c>
      <c r="D12" s="2141">
        <f>ROUND('Д 2_Т на В'!H44/'Д 2_Т на В'!H58*1000,2)</f>
        <v>0</v>
      </c>
      <c r="E12" s="2141">
        <f>ROUND('Д 2_Т на В'!L44/'Д 2_Т на В'!L58*1000,2)</f>
        <v>0</v>
      </c>
      <c r="F12" s="2141">
        <f>ROUND(IF('Д 7_РП'!G31=0,0,'Д 2_Т на В'!P44/'Д 2_Т на В'!P58*1000),2)</f>
        <v>0</v>
      </c>
      <c r="G12" s="2141">
        <f>ROUND('Д 2_Т на В'!T44/'Д 2_Т на В'!T58*1000,2)</f>
        <v>0</v>
      </c>
      <c r="H12" s="2141">
        <f>ROUND('Д 2_Т на В'!X44/'Д 2_Т на В'!X58*1000,2)</f>
        <v>0</v>
      </c>
      <c r="I12" s="154"/>
      <c r="J12" s="4533"/>
    </row>
    <row r="13" spans="1:11" ht="18.600000000000001" customHeight="1" x14ac:dyDescent="0.3">
      <c r="A13" s="146" t="s">
        <v>48</v>
      </c>
      <c r="B13" s="147" t="s">
        <v>596</v>
      </c>
      <c r="C13" s="148" t="s">
        <v>74</v>
      </c>
      <c r="D13" s="2141">
        <f>ROUND('Д 2_Т на В'!H52-'Д 2_Т на В'!H53-'Д 2_Т на В'!H54-'Д 5 Т на ТЕ з ЦТП'!D12,2)</f>
        <v>66.27</v>
      </c>
      <c r="E13" s="2141">
        <f>ROUND('Д 2_Т на В'!L52-'Д 2_Т на В'!L53-'Д 2_Т на В'!L54-E12,2)</f>
        <v>58.52</v>
      </c>
      <c r="F13" s="2141">
        <f>ROUND(IF('Д 7_РП'!G31=0,0,'Д 2_Т на В'!P52-'Д 2_Т на В'!P53-'Д 2_Т на В'!P54-F12),2)</f>
        <v>0</v>
      </c>
      <c r="G13" s="2141">
        <f>ROUND('Д 2_Т на В'!T52-'Д 2_Т на В'!T53-'Д 2_Т на В'!T54-G12,2)</f>
        <v>104.26</v>
      </c>
      <c r="H13" s="2141">
        <f>ROUND('Д 2_Т на В'!X52-'Д 2_Т на В'!X53-'Д 2_Т на В'!X54-H12,2)</f>
        <v>104.26</v>
      </c>
      <c r="J13" s="4533"/>
    </row>
    <row r="14" spans="1:11" ht="15" customHeight="1" x14ac:dyDescent="0.3">
      <c r="A14" s="146">
        <v>2</v>
      </c>
      <c r="B14" s="147" t="s">
        <v>597</v>
      </c>
      <c r="C14" s="148" t="s">
        <v>74</v>
      </c>
      <c r="D14" s="2141">
        <f>ROUND(D15+D16+D17,2)</f>
        <v>968.45</v>
      </c>
      <c r="E14" s="2141">
        <f>ROUND(E15+E16+E17,2)</f>
        <v>949.46</v>
      </c>
      <c r="F14" s="2141">
        <f t="shared" ref="F14:H14" si="0">ROUND(F15+F16+F17,2)</f>
        <v>0</v>
      </c>
      <c r="G14" s="2141">
        <f t="shared" si="0"/>
        <v>1061.81</v>
      </c>
      <c r="H14" s="2141">
        <f t="shared" si="0"/>
        <v>1061.81</v>
      </c>
    </row>
    <row r="15" spans="1:11" ht="26.4" x14ac:dyDescent="0.3">
      <c r="A15" s="146" t="s">
        <v>25</v>
      </c>
      <c r="B15" s="147" t="s">
        <v>598</v>
      </c>
      <c r="C15" s="148" t="s">
        <v>74</v>
      </c>
      <c r="D15" s="2141">
        <f>ROUND('Д 3_Т на Т з ЦТП'!G37/'Д 3_Т на Т з ЦТП'!G56*1000,2)</f>
        <v>925.56</v>
      </c>
      <c r="E15" s="2141">
        <f>ROUND('Д 3_Т на Т з ЦТП'!H37/'Д 3_Т на Т з ЦТП'!H56*1000,2)</f>
        <v>907.41</v>
      </c>
      <c r="F15" s="2141">
        <v>0</v>
      </c>
      <c r="G15" s="2141">
        <f>ROUND('Д 3_Т на Т з ЦТП'!J37/'Д 3_Т на Т з ЦТП'!J56*1000,2)</f>
        <v>1014.78</v>
      </c>
      <c r="H15" s="2141">
        <f>ROUND('Д 3_Т на Т з ЦТП'!K37/'Д 3_Т на Т з ЦТП'!K56*1000,2)</f>
        <v>1014.78</v>
      </c>
    </row>
    <row r="16" spans="1:11" ht="15.6" customHeight="1" x14ac:dyDescent="0.3">
      <c r="A16" s="146" t="s">
        <v>26</v>
      </c>
      <c r="B16" s="147" t="s">
        <v>2656</v>
      </c>
      <c r="C16" s="148" t="s">
        <v>74</v>
      </c>
      <c r="D16" s="2141">
        <f>ROUND('Д 3_Т на Т з ЦТП'!G38/'Д 3_Т на Т з ЦТП'!G56*1000,2)</f>
        <v>0</v>
      </c>
      <c r="E16" s="2141">
        <v>0</v>
      </c>
      <c r="F16" s="2141">
        <v>0</v>
      </c>
      <c r="G16" s="2141">
        <f>ROUND('Д 3_Т на Т з ЦТП'!J38/'Д 3_Т на Т з ЦТП'!J56*1000,2)</f>
        <v>0</v>
      </c>
      <c r="H16" s="2141">
        <v>0</v>
      </c>
      <c r="I16" s="154"/>
    </row>
    <row r="17" spans="1:18" ht="16.2" customHeight="1" x14ac:dyDescent="0.3">
      <c r="A17" s="146" t="s">
        <v>59</v>
      </c>
      <c r="B17" s="147" t="s">
        <v>596</v>
      </c>
      <c r="C17" s="148" t="s">
        <v>74</v>
      </c>
      <c r="D17" s="2141">
        <f>ROUND('Д 3_Т на Т з ЦТП'!G39/'Д 3_Т на Т з ЦТП'!G56*1000,2)</f>
        <v>42.89</v>
      </c>
      <c r="E17" s="2141">
        <f>ROUND('Д 3_Т на Т з ЦТП'!H39/'Д 3_Т на Т з ЦТП'!H56*1000,2)</f>
        <v>42.05</v>
      </c>
      <c r="F17" s="2141">
        <v>0</v>
      </c>
      <c r="G17" s="2141">
        <f>ROUND('Д 3_Т на Т з ЦТП'!J39/'Д 3_Т на Т з ЦТП'!J56*1000,2)</f>
        <v>47.03</v>
      </c>
      <c r="H17" s="2141">
        <f>ROUND('Д 3_Т на Т з ЦТП'!K39/'Д 3_Т на Т з ЦТП'!K56*1000,2)</f>
        <v>47.03</v>
      </c>
    </row>
    <row r="18" spans="1:18" x14ac:dyDescent="0.3">
      <c r="A18" s="146">
        <v>3</v>
      </c>
      <c r="B18" s="147" t="s">
        <v>247</v>
      </c>
      <c r="C18" s="148" t="s">
        <v>74</v>
      </c>
      <c r="D18" s="2141">
        <f>ROUND(D19+D20+D21,2)</f>
        <v>20.78</v>
      </c>
      <c r="E18" s="2141">
        <f t="shared" ref="E18:H18" si="1">ROUND(E19+E20+E21,2)</f>
        <v>20.78</v>
      </c>
      <c r="F18" s="2141">
        <f t="shared" si="1"/>
        <v>0</v>
      </c>
      <c r="G18" s="2141">
        <f t="shared" si="1"/>
        <v>20.78</v>
      </c>
      <c r="H18" s="2141">
        <f t="shared" si="1"/>
        <v>20.78</v>
      </c>
    </row>
    <row r="19" spans="1:18" ht="26.4" x14ac:dyDescent="0.3">
      <c r="A19" s="146" t="s">
        <v>60</v>
      </c>
      <c r="B19" s="147" t="s">
        <v>599</v>
      </c>
      <c r="C19" s="148" t="s">
        <v>74</v>
      </c>
      <c r="D19" s="2141">
        <f>ROUND('Д 4_Т на П'!G32/'Д 4_Т на П'!G42*1000,2)</f>
        <v>19.86</v>
      </c>
      <c r="E19" s="2141">
        <f>D19</f>
        <v>19.86</v>
      </c>
      <c r="F19" s="2141">
        <f>IF('Д 7_РП'!G31=0,0,D19)</f>
        <v>0</v>
      </c>
      <c r="G19" s="2141">
        <f>D19</f>
        <v>19.86</v>
      </c>
      <c r="H19" s="2141">
        <f>D19</f>
        <v>19.86</v>
      </c>
      <c r="K19" s="4536"/>
      <c r="L19" s="4536"/>
      <c r="M19" s="4536"/>
      <c r="N19" s="4536"/>
      <c r="O19" s="4536"/>
      <c r="P19" s="4536"/>
    </row>
    <row r="20" spans="1:18" ht="13.2" customHeight="1" x14ac:dyDescent="0.3">
      <c r="A20" s="146" t="s">
        <v>61</v>
      </c>
      <c r="B20" s="147" t="s">
        <v>2656</v>
      </c>
      <c r="C20" s="148" t="s">
        <v>74</v>
      </c>
      <c r="D20" s="2141">
        <v>0</v>
      </c>
      <c r="E20" s="2141">
        <v>0</v>
      </c>
      <c r="F20" s="2141">
        <v>0</v>
      </c>
      <c r="G20" s="2141">
        <v>0</v>
      </c>
      <c r="H20" s="2141">
        <v>0</v>
      </c>
      <c r="I20" s="154"/>
      <c r="J20" s="4353"/>
      <c r="K20" s="4533"/>
      <c r="L20" s="4533"/>
      <c r="M20" s="4533"/>
      <c r="N20" s="4533"/>
      <c r="O20" s="4533"/>
      <c r="P20" s="4533"/>
      <c r="Q20" s="4349"/>
      <c r="R20" s="4533"/>
    </row>
    <row r="21" spans="1:18" ht="13.95" customHeight="1" x14ac:dyDescent="0.3">
      <c r="A21" s="146" t="s">
        <v>62</v>
      </c>
      <c r="B21" s="147" t="s">
        <v>596</v>
      </c>
      <c r="C21" s="148" t="s">
        <v>74</v>
      </c>
      <c r="D21" s="2141">
        <f>ROUND('Д 4_Т на П'!G34/'Д 4_Т на П'!G42*1000,2)</f>
        <v>0.92</v>
      </c>
      <c r="E21" s="2141">
        <f>D21</f>
        <v>0.92</v>
      </c>
      <c r="F21" s="2141">
        <f>IF('Д 7_РП'!G31=0,0,D21)</f>
        <v>0</v>
      </c>
      <c r="G21" s="2141">
        <f>D21</f>
        <v>0.92</v>
      </c>
      <c r="H21" s="2141">
        <f>D21</f>
        <v>0.92</v>
      </c>
      <c r="J21" s="4353"/>
      <c r="K21" s="4533"/>
      <c r="L21" s="4533"/>
      <c r="M21" s="4533"/>
      <c r="N21" s="4533"/>
      <c r="O21" s="4533"/>
      <c r="P21" s="4533"/>
      <c r="Q21" s="4349"/>
      <c r="R21" s="4533"/>
    </row>
    <row r="22" spans="1:18" x14ac:dyDescent="0.3">
      <c r="A22" s="146">
        <v>4</v>
      </c>
      <c r="B22" s="1077" t="s">
        <v>248</v>
      </c>
      <c r="C22" s="148" t="s">
        <v>74</v>
      </c>
      <c r="D22" s="2142">
        <f t="shared" ref="D22:H22" si="2">D10+D14+D18</f>
        <v>2485.5000000000005</v>
      </c>
      <c r="E22" s="2142">
        <f t="shared" si="2"/>
        <v>2291.61</v>
      </c>
      <c r="F22" s="2142">
        <f t="shared" si="2"/>
        <v>0</v>
      </c>
      <c r="G22" s="2142">
        <f t="shared" si="2"/>
        <v>3436.71</v>
      </c>
      <c r="H22" s="2142">
        <f t="shared" si="2"/>
        <v>3436.71</v>
      </c>
      <c r="I22" s="4533"/>
      <c r="J22" s="4533"/>
      <c r="K22" s="4533"/>
      <c r="L22" s="4533"/>
      <c r="M22" s="4533"/>
      <c r="N22" s="4533"/>
      <c r="O22" s="4533"/>
      <c r="P22" s="4533"/>
      <c r="Q22" s="4349"/>
      <c r="R22" s="4533"/>
    </row>
    <row r="23" spans="1:18" ht="16.2" customHeight="1" x14ac:dyDescent="0.3">
      <c r="A23" s="146" t="s">
        <v>27</v>
      </c>
      <c r="B23" s="147" t="s">
        <v>600</v>
      </c>
      <c r="C23" s="148" t="s">
        <v>74</v>
      </c>
      <c r="D23" s="2141">
        <f>ROUND(D11+D15+D19,2)</f>
        <v>2375.42</v>
      </c>
      <c r="E23" s="2141">
        <f t="shared" ref="E23:H23" si="3">ROUND(E11+E15+E19,2)</f>
        <v>2190.12</v>
      </c>
      <c r="F23" s="2141">
        <f t="shared" si="3"/>
        <v>0</v>
      </c>
      <c r="G23" s="2141">
        <f t="shared" si="3"/>
        <v>3284.5</v>
      </c>
      <c r="H23" s="2141">
        <f t="shared" si="3"/>
        <v>3284.5</v>
      </c>
      <c r="J23" s="4537"/>
      <c r="Q23" s="4533"/>
    </row>
    <row r="24" spans="1:18" ht="14.4" customHeight="1" x14ac:dyDescent="0.3">
      <c r="A24" s="146" t="s">
        <v>112</v>
      </c>
      <c r="B24" s="147" t="s">
        <v>2656</v>
      </c>
      <c r="C24" s="148" t="s">
        <v>74</v>
      </c>
      <c r="D24" s="2141">
        <f>ROUND(D12+D16+D20,2)</f>
        <v>0</v>
      </c>
      <c r="E24" s="2141">
        <f t="shared" ref="E24:H24" si="4">ROUND(E12+E16+E20,2)</f>
        <v>0</v>
      </c>
      <c r="F24" s="2141">
        <f t="shared" si="4"/>
        <v>0</v>
      </c>
      <c r="G24" s="2141">
        <f t="shared" si="4"/>
        <v>0</v>
      </c>
      <c r="H24" s="2141">
        <f t="shared" si="4"/>
        <v>0</v>
      </c>
      <c r="I24" s="154"/>
      <c r="J24" s="4537"/>
    </row>
    <row r="25" spans="1:18" ht="15.6" customHeight="1" x14ac:dyDescent="0.3">
      <c r="A25" s="146" t="s">
        <v>160</v>
      </c>
      <c r="B25" s="147" t="s">
        <v>596</v>
      </c>
      <c r="C25" s="148" t="s">
        <v>74</v>
      </c>
      <c r="D25" s="2141">
        <f>ROUND(D13+D17+D21,2)</f>
        <v>110.08</v>
      </c>
      <c r="E25" s="2141">
        <f t="shared" ref="E25:H25" si="5">ROUND(E13+E17+E21,2)</f>
        <v>101.49</v>
      </c>
      <c r="F25" s="2141">
        <f t="shared" si="5"/>
        <v>0</v>
      </c>
      <c r="G25" s="2141">
        <f t="shared" si="5"/>
        <v>152.21</v>
      </c>
      <c r="H25" s="2141">
        <f t="shared" si="5"/>
        <v>152.21</v>
      </c>
      <c r="K25" s="4533"/>
    </row>
    <row r="26" spans="1:18" ht="39.6" x14ac:dyDescent="0.3">
      <c r="A26" s="146">
        <v>5</v>
      </c>
      <c r="B26" s="147" t="s">
        <v>603</v>
      </c>
      <c r="C26" s="148" t="s">
        <v>40</v>
      </c>
      <c r="D26" s="2143">
        <f>D27+D28+D29</f>
        <v>40875.962105222774</v>
      </c>
      <c r="E26" s="2143">
        <f>E27+E28+E29</f>
        <v>31322.82747022999</v>
      </c>
      <c r="F26" s="2143">
        <f>F27+F28+F29</f>
        <v>0</v>
      </c>
      <c r="G26" s="2143">
        <f>G27+G28+G29</f>
        <v>6909.4242967964183</v>
      </c>
      <c r="H26" s="2143">
        <f>H27+H28+H29</f>
        <v>2643.7103381963643</v>
      </c>
      <c r="K26" s="4533"/>
    </row>
    <row r="27" spans="1:18" ht="26.4" x14ac:dyDescent="0.3">
      <c r="A27" s="146" t="s">
        <v>28</v>
      </c>
      <c r="B27" s="147" t="s">
        <v>601</v>
      </c>
      <c r="C27" s="148" t="s">
        <v>40</v>
      </c>
      <c r="D27" s="2143">
        <f>SUM(E27:H27)</f>
        <v>39065.644889989337</v>
      </c>
      <c r="E27" s="2143">
        <f>(E11+E15+E19)*E34/1000</f>
        <v>29935.613345682774</v>
      </c>
      <c r="F27" s="2143">
        <f>(F11+F15+F19)*F34/1000</f>
        <v>0</v>
      </c>
      <c r="G27" s="2143">
        <f>(G11+G15+G19)*G34/1000</f>
        <v>6603.4096862487195</v>
      </c>
      <c r="H27" s="2143">
        <f>(H11+H15+H19)*H34/1000</f>
        <v>2526.6218580578397</v>
      </c>
    </row>
    <row r="28" spans="1:18" ht="16.95" customHeight="1" x14ac:dyDescent="0.3">
      <c r="A28" s="146" t="s">
        <v>29</v>
      </c>
      <c r="B28" s="147" t="s">
        <v>2656</v>
      </c>
      <c r="C28" s="148" t="s">
        <v>40</v>
      </c>
      <c r="D28" s="2143">
        <f>SUM(E28:H28)</f>
        <v>0</v>
      </c>
      <c r="E28" s="2143">
        <f>(E12+E16+E20)*E34/1000</f>
        <v>0</v>
      </c>
      <c r="F28" s="2143">
        <f>(F12+F16+F20)*F34/1000</f>
        <v>0</v>
      </c>
      <c r="G28" s="2143">
        <f>(G12+G16+G20)*G34/1000</f>
        <v>0</v>
      </c>
      <c r="H28" s="2143">
        <f>(H12+H16+H20)*H34/1000</f>
        <v>0</v>
      </c>
    </row>
    <row r="29" spans="1:18" ht="26.4" x14ac:dyDescent="0.3">
      <c r="A29" s="146" t="s">
        <v>30</v>
      </c>
      <c r="B29" s="147" t="s">
        <v>602</v>
      </c>
      <c r="C29" s="148" t="s">
        <v>40</v>
      </c>
      <c r="D29" s="2143">
        <f>SUM(E29:H29)</f>
        <v>1810.3172152334378</v>
      </c>
      <c r="E29" s="2143">
        <f>(E13+E17+E21)*E34/1000</f>
        <v>1387.2141245472142</v>
      </c>
      <c r="F29" s="2143">
        <f>(F13+F17+F21)*F34/1000</f>
        <v>0</v>
      </c>
      <c r="G29" s="2143">
        <f>(G13+G17+G21)*G34/1000</f>
        <v>306.01461054769902</v>
      </c>
      <c r="H29" s="2143">
        <f>(H13+H17+H21)*H34/1000</f>
        <v>117.0884801385245</v>
      </c>
    </row>
    <row r="30" spans="1:18" ht="66" x14ac:dyDescent="0.3">
      <c r="A30" s="146">
        <v>6</v>
      </c>
      <c r="B30" s="147" t="s">
        <v>604</v>
      </c>
      <c r="C30" s="148" t="s">
        <v>40</v>
      </c>
      <c r="D30" s="2143">
        <f>D31+D32+D33</f>
        <v>40875.962105222774</v>
      </c>
      <c r="E30" s="2143">
        <f>E31+E32+E33</f>
        <v>31322.82747022999</v>
      </c>
      <c r="F30" s="2143">
        <f>F31+F32+F33</f>
        <v>0</v>
      </c>
      <c r="G30" s="2143">
        <f>G31+G32+G33</f>
        <v>6909.4242967964183</v>
      </c>
      <c r="H30" s="2143">
        <f>H31+H32+H33</f>
        <v>2643.7103381963643</v>
      </c>
      <c r="I30" s="158"/>
    </row>
    <row r="31" spans="1:18" ht="26.4" x14ac:dyDescent="0.3">
      <c r="A31" s="146" t="s">
        <v>32</v>
      </c>
      <c r="B31" s="147" t="s">
        <v>605</v>
      </c>
      <c r="C31" s="148" t="s">
        <v>40</v>
      </c>
      <c r="D31" s="2143">
        <f t="shared" ref="D31:H33" si="6">D27</f>
        <v>39065.644889989337</v>
      </c>
      <c r="E31" s="2143">
        <f t="shared" si="6"/>
        <v>29935.613345682774</v>
      </c>
      <c r="F31" s="2143">
        <f t="shared" si="6"/>
        <v>0</v>
      </c>
      <c r="G31" s="2143">
        <f t="shared" si="6"/>
        <v>6603.4096862487195</v>
      </c>
      <c r="H31" s="2143">
        <f t="shared" si="6"/>
        <v>2526.6218580578397</v>
      </c>
    </row>
    <row r="32" spans="1:18" ht="16.2" customHeight="1" x14ac:dyDescent="0.3">
      <c r="A32" s="146" t="s">
        <v>33</v>
      </c>
      <c r="B32" s="147" t="s">
        <v>2656</v>
      </c>
      <c r="C32" s="148" t="s">
        <v>40</v>
      </c>
      <c r="D32" s="2143">
        <f t="shared" si="6"/>
        <v>0</v>
      </c>
      <c r="E32" s="2143">
        <f t="shared" si="6"/>
        <v>0</v>
      </c>
      <c r="F32" s="2143">
        <f t="shared" si="6"/>
        <v>0</v>
      </c>
      <c r="G32" s="2143">
        <f t="shared" si="6"/>
        <v>0</v>
      </c>
      <c r="H32" s="2143">
        <f t="shared" si="6"/>
        <v>0</v>
      </c>
    </row>
    <row r="33" spans="1:9" ht="26.4" x14ac:dyDescent="0.3">
      <c r="A33" s="146" t="s">
        <v>34</v>
      </c>
      <c r="B33" s="147" t="s">
        <v>606</v>
      </c>
      <c r="C33" s="148" t="s">
        <v>40</v>
      </c>
      <c r="D33" s="2143">
        <f t="shared" si="6"/>
        <v>1810.3172152334378</v>
      </c>
      <c r="E33" s="2143">
        <f t="shared" si="6"/>
        <v>1387.2141245472142</v>
      </c>
      <c r="F33" s="2143">
        <f t="shared" si="6"/>
        <v>0</v>
      </c>
      <c r="G33" s="2143">
        <f t="shared" si="6"/>
        <v>306.01461054769902</v>
      </c>
      <c r="H33" s="2143">
        <f t="shared" si="6"/>
        <v>117.0884801385245</v>
      </c>
    </row>
    <row r="34" spans="1:9" ht="40.200000000000003" customHeight="1" x14ac:dyDescent="0.3">
      <c r="A34" s="146">
        <v>7</v>
      </c>
      <c r="B34" s="147" t="s">
        <v>2029</v>
      </c>
      <c r="C34" s="148" t="s">
        <v>22</v>
      </c>
      <c r="D34" s="2143">
        <f>D35+D36</f>
        <v>16448.213425432205</v>
      </c>
      <c r="E34" s="2143">
        <f>E35+E36</f>
        <v>13668.480880354855</v>
      </c>
      <c r="F34" s="2143">
        <f>F35+F36</f>
        <v>0</v>
      </c>
      <c r="G34" s="2143">
        <f>G35+G36</f>
        <v>2010.4763849135998</v>
      </c>
      <c r="H34" s="2143">
        <f>H35+H36</f>
        <v>769.25616016375079</v>
      </c>
      <c r="I34" s="158"/>
    </row>
    <row r="35" spans="1:9" ht="26.4" x14ac:dyDescent="0.3">
      <c r="A35" s="146" t="s">
        <v>64</v>
      </c>
      <c r="B35" s="147" t="s">
        <v>113</v>
      </c>
      <c r="C35" s="148" t="s">
        <v>22</v>
      </c>
      <c r="D35" s="2143">
        <f>E35+F35+G35+H35</f>
        <v>16448.213425432205</v>
      </c>
      <c r="E35" s="2143">
        <f>'Д 7_РП'!G77</f>
        <v>13668.480880354855</v>
      </c>
      <c r="F35" s="2143">
        <f>'Д 7_РП'!G85</f>
        <v>0</v>
      </c>
      <c r="G35" s="2143">
        <f>'Д 7_РП'!G89</f>
        <v>2010.4763849135998</v>
      </c>
      <c r="H35" s="2143">
        <f>'Д 7_РП'!G93</f>
        <v>769.25616016375079</v>
      </c>
    </row>
    <row r="36" spans="1:9" ht="14.4" customHeight="1" x14ac:dyDescent="0.3">
      <c r="A36" s="146" t="s">
        <v>66</v>
      </c>
      <c r="B36" s="147" t="s">
        <v>95</v>
      </c>
      <c r="C36" s="148" t="s">
        <v>22</v>
      </c>
      <c r="D36" s="2143">
        <v>0</v>
      </c>
      <c r="E36" s="2143">
        <v>0</v>
      </c>
      <c r="F36" s="2143">
        <v>0</v>
      </c>
      <c r="G36" s="2143">
        <v>0</v>
      </c>
      <c r="H36" s="2143">
        <v>0</v>
      </c>
    </row>
    <row r="37" spans="1:9" ht="55.95" customHeight="1" x14ac:dyDescent="0.3">
      <c r="A37" s="1114" t="s">
        <v>172</v>
      </c>
      <c r="B37" s="1115" t="s">
        <v>2000</v>
      </c>
      <c r="C37" s="1116" t="s">
        <v>22</v>
      </c>
      <c r="D37" s="2143">
        <f>SUM(D38:D39)</f>
        <v>18237.362357436083</v>
      </c>
      <c r="E37" s="2143">
        <f>SUM(E38:E39)</f>
        <v>15155.265331444638</v>
      </c>
      <c r="F37" s="2143">
        <f>SUM(F38:F39)</f>
        <v>0</v>
      </c>
      <c r="G37" s="2143">
        <f>SUM(G38:G39)</f>
        <v>2229.1652834520464</v>
      </c>
      <c r="H37" s="2143">
        <f>SUM(H38:H39)</f>
        <v>852.93174253939515</v>
      </c>
    </row>
    <row r="38" spans="1:9" ht="14.4" customHeight="1" x14ac:dyDescent="0.3">
      <c r="A38" s="1114" t="s">
        <v>115</v>
      </c>
      <c r="B38" s="1115" t="s">
        <v>2001</v>
      </c>
      <c r="C38" s="1116" t="s">
        <v>22</v>
      </c>
      <c r="D38" s="2143">
        <f>SUM(E38:H38)</f>
        <v>18237.362357436083</v>
      </c>
      <c r="E38" s="2143">
        <f>'Д 7_РП'!G28</f>
        <v>15155.265331444638</v>
      </c>
      <c r="F38" s="2143">
        <f>'Д 7_РП'!G31</f>
        <v>0</v>
      </c>
      <c r="G38" s="2143">
        <f>'Д 7_РП'!G34</f>
        <v>2229.1652834520464</v>
      </c>
      <c r="H38" s="2143">
        <f>'Д 7_РП'!G37</f>
        <v>852.93174253939515</v>
      </c>
    </row>
    <row r="39" spans="1:9" ht="16.2" customHeight="1" x14ac:dyDescent="0.3">
      <c r="A39" s="1114" t="s">
        <v>117</v>
      </c>
      <c r="B39" s="1115" t="s">
        <v>95</v>
      </c>
      <c r="C39" s="1116" t="s">
        <v>22</v>
      </c>
      <c r="D39" s="2143">
        <f>SUM(E39:H39)</f>
        <v>0</v>
      </c>
      <c r="E39" s="2143">
        <v>0</v>
      </c>
      <c r="F39" s="2143">
        <v>0</v>
      </c>
      <c r="G39" s="2143">
        <v>0</v>
      </c>
      <c r="H39" s="2143">
        <v>0</v>
      </c>
    </row>
    <row r="40" spans="1:9" x14ac:dyDescent="0.3">
      <c r="A40" s="1114" t="s">
        <v>187</v>
      </c>
      <c r="B40" s="147" t="s">
        <v>114</v>
      </c>
      <c r="C40" s="148"/>
      <c r="D40" s="2143"/>
      <c r="E40" s="2143"/>
      <c r="F40" s="2143"/>
      <c r="G40" s="2143"/>
      <c r="H40" s="2143"/>
    </row>
    <row r="41" spans="1:9" x14ac:dyDescent="0.3">
      <c r="A41" s="1114" t="s">
        <v>154</v>
      </c>
      <c r="B41" s="147" t="s">
        <v>116</v>
      </c>
      <c r="C41" s="148" t="s">
        <v>4</v>
      </c>
      <c r="D41" s="2144">
        <f>D13/D11</f>
        <v>4.6342657342657342E-2</v>
      </c>
      <c r="E41" s="2144">
        <f>E13/E11</f>
        <v>4.633962861780893E-2</v>
      </c>
      <c r="F41" s="2144">
        <f>IF('Д 7_РП'!G31=0,0,F13/F11)</f>
        <v>0</v>
      </c>
      <c r="G41" s="2144">
        <f>G13/G11</f>
        <v>4.6340661196696685E-2</v>
      </c>
      <c r="H41" s="2144">
        <f>H13/H11</f>
        <v>4.6340661196696685E-2</v>
      </c>
    </row>
    <row r="42" spans="1:9" x14ac:dyDescent="0.3">
      <c r="A42" s="1114" t="s">
        <v>204</v>
      </c>
      <c r="B42" s="147" t="s">
        <v>118</v>
      </c>
      <c r="C42" s="148" t="s">
        <v>4</v>
      </c>
      <c r="D42" s="2144">
        <f>D17/D15</f>
        <v>4.6339513375686071E-2</v>
      </c>
      <c r="E42" s="2144">
        <f>E17/E15</f>
        <v>4.6340683924576541E-2</v>
      </c>
      <c r="F42" s="2144">
        <f>IF('Д 7_РП'!G31=0,0,F17/F15)</f>
        <v>0</v>
      </c>
      <c r="G42" s="2144">
        <f>G17/G15</f>
        <v>4.6345020595597079E-2</v>
      </c>
      <c r="H42" s="2144">
        <f>H17/H15</f>
        <v>4.6345020595597079E-2</v>
      </c>
    </row>
    <row r="43" spans="1:9" x14ac:dyDescent="0.3">
      <c r="A43" s="1114" t="s">
        <v>356</v>
      </c>
      <c r="B43" s="147" t="s">
        <v>120</v>
      </c>
      <c r="C43" s="148" t="s">
        <v>4</v>
      </c>
      <c r="D43" s="2144">
        <f>D21/D19</f>
        <v>4.6324269889224577E-2</v>
      </c>
      <c r="E43" s="2144">
        <f>E21/E19</f>
        <v>4.6324269889224577E-2</v>
      </c>
      <c r="F43" s="2144">
        <f>IF('Д 7_РП'!G31=0,0,F21/F19)</f>
        <v>0</v>
      </c>
      <c r="G43" s="2144">
        <f>G21/G19</f>
        <v>4.6324269889224577E-2</v>
      </c>
      <c r="H43" s="2144">
        <f>H21/H19</f>
        <v>4.6324269889224577E-2</v>
      </c>
    </row>
    <row r="44" spans="1:9" x14ac:dyDescent="0.3">
      <c r="A44" s="1114" t="s">
        <v>2002</v>
      </c>
      <c r="B44" s="147" t="s">
        <v>122</v>
      </c>
      <c r="C44" s="148" t="s">
        <v>4</v>
      </c>
      <c r="D44" s="2144">
        <f>D25/D23</f>
        <v>4.6341278594943205E-2</v>
      </c>
      <c r="E44" s="2144">
        <f>E25/E23</f>
        <v>4.6339926579365517E-2</v>
      </c>
      <c r="F44" s="2144">
        <f>IF('Д 7_РП'!G31=0,0,F25/F23)</f>
        <v>0</v>
      </c>
      <c r="G44" s="2144">
        <f>G25/G23</f>
        <v>4.6341908966357134E-2</v>
      </c>
      <c r="H44" s="2144">
        <f>H25/H23</f>
        <v>4.6341908966357134E-2</v>
      </c>
    </row>
    <row r="45" spans="1:9" x14ac:dyDescent="0.3">
      <c r="A45" s="149"/>
      <c r="B45" s="150"/>
      <c r="C45" s="104"/>
      <c r="D45" s="104"/>
      <c r="E45" s="104"/>
      <c r="F45" s="104"/>
      <c r="G45" s="104"/>
      <c r="H45" s="104"/>
    </row>
    <row r="46" spans="1:9" ht="10.5" customHeight="1" x14ac:dyDescent="0.3">
      <c r="A46" s="102"/>
      <c r="B46" s="104"/>
      <c r="C46" s="104"/>
      <c r="D46" s="104"/>
      <c r="E46" s="104"/>
      <c r="F46" s="104"/>
      <c r="G46" s="104"/>
      <c r="H46" s="104"/>
    </row>
    <row r="47" spans="1:9" ht="17.25" customHeight="1" x14ac:dyDescent="0.3">
      <c r="A47" s="102"/>
      <c r="B47" s="3501" t="str">
        <f>'Вхідні дані'!B13</f>
        <v>Директор підприємства</v>
      </c>
      <c r="C47" s="5079" t="s">
        <v>99</v>
      </c>
      <c r="D47" s="5079"/>
      <c r="E47" s="5079"/>
      <c r="F47" s="5080" t="str">
        <f>'Вхідні дані'!F13</f>
        <v>Анатолій ПАНШИН</v>
      </c>
      <c r="G47" s="5080"/>
      <c r="H47" s="5080"/>
    </row>
    <row r="48" spans="1:9" x14ac:dyDescent="0.3">
      <c r="A48" s="102"/>
      <c r="B48" s="4538" t="s">
        <v>232</v>
      </c>
      <c r="C48" s="5081" t="s">
        <v>100</v>
      </c>
      <c r="D48" s="5081"/>
      <c r="E48" s="5081"/>
      <c r="F48" s="5081" t="s">
        <v>101</v>
      </c>
      <c r="G48" s="5081"/>
      <c r="H48" s="5081"/>
    </row>
    <row r="51" spans="3:8" x14ac:dyDescent="0.3">
      <c r="D51" s="4349">
        <f>D22*1.2</f>
        <v>2982.6000000000004</v>
      </c>
      <c r="E51" s="4349">
        <f>E22*1.2</f>
        <v>2749.9320000000002</v>
      </c>
      <c r="F51" s="4349">
        <f>F22*1.2</f>
        <v>0</v>
      </c>
      <c r="G51" s="4349">
        <f>G22*1.2</f>
        <v>4124.0519999999997</v>
      </c>
      <c r="H51" s="4349">
        <f>H22*1.2</f>
        <v>4124.0519999999997</v>
      </c>
    </row>
    <row r="53" spans="3:8" x14ac:dyDescent="0.3">
      <c r="D53" s="4353">
        <f>SUM(E53:H53)</f>
        <v>108675.53267624618</v>
      </c>
      <c r="E53" s="4353">
        <f>'Д 2_Т на В'!L58</f>
        <v>90271.057497103626</v>
      </c>
      <c r="F53" s="4353">
        <f>'Д 2_Т на В'!P58</f>
        <v>14.602989074179138</v>
      </c>
      <c r="G53" s="4353">
        <f>'Д 2_Т на В'!T58</f>
        <v>13752.767963175285</v>
      </c>
      <c r="H53" s="4353">
        <f>'Д 2_Т на В'!X58</f>
        <v>4637.1042268930923</v>
      </c>
    </row>
    <row r="54" spans="3:8" x14ac:dyDescent="0.3">
      <c r="D54" s="4353">
        <f>SUM(E54:H54)</f>
        <v>90438.170318810095</v>
      </c>
      <c r="E54" s="4353">
        <f>E53-E38</f>
        <v>75115.79216565899</v>
      </c>
      <c r="F54" s="4353">
        <f>F53-F38</f>
        <v>14.602989074179138</v>
      </c>
      <c r="G54" s="4353">
        <f>G53-G38</f>
        <v>11523.602679723239</v>
      </c>
      <c r="H54" s="4353">
        <f>H53-H38</f>
        <v>3784.1724843536972</v>
      </c>
    </row>
    <row r="55" spans="3:8" x14ac:dyDescent="0.3">
      <c r="D55" s="4353">
        <f>'Д 5.1 Т на ТЕ без ЦТП'!D38</f>
        <v>90438.170318810095</v>
      </c>
      <c r="E55" s="4353">
        <f>'Д 5.1 Т на ТЕ без ЦТП'!E38</f>
        <v>75115.79216565899</v>
      </c>
      <c r="F55" s="4353">
        <f>'Д 5.1 Т на ТЕ без ЦТП'!F38</f>
        <v>14.602989074179138</v>
      </c>
      <c r="G55" s="4353">
        <f>'Д 5.1 Т на ТЕ без ЦТП'!G38</f>
        <v>11523.602679723239</v>
      </c>
      <c r="H55" s="4353">
        <f>'Д 5.1 Т на ТЕ без ЦТП'!H38</f>
        <v>3784.1724843536967</v>
      </c>
    </row>
    <row r="56" spans="3:8" x14ac:dyDescent="0.3">
      <c r="D56" s="144">
        <f>'ТЕ_2ст_тариф_з ЦТП'!E30</f>
        <v>108.67553267624618</v>
      </c>
      <c r="E56" s="144">
        <f>'ТЕ_2ст_тариф_з ЦТП'!H30</f>
        <v>90.271057497103627</v>
      </c>
      <c r="F56" s="144">
        <f>'ТЕ_2ст_тариф_з ЦТП'!K30</f>
        <v>1.4602989074179139E-2</v>
      </c>
      <c r="G56" s="144">
        <f>'ТЕ_2ст_тариф_з ЦТП'!N30</f>
        <v>13.752767963175286</v>
      </c>
      <c r="H56" s="4353">
        <f>'ТЕ_2ст_тариф_з ЦТП'!Q30</f>
        <v>4.6371042268930927</v>
      </c>
    </row>
    <row r="58" spans="3:8" x14ac:dyDescent="0.3">
      <c r="D58" s="4353">
        <f>D35</f>
        <v>16448.213425432205</v>
      </c>
      <c r="E58" s="4353">
        <f>E35</f>
        <v>13668.480880354855</v>
      </c>
      <c r="F58" s="4353">
        <f>F35</f>
        <v>0</v>
      </c>
      <c r="G58" s="4353">
        <f>G35</f>
        <v>2010.4763849135998</v>
      </c>
      <c r="H58" s="4353">
        <f>H35</f>
        <v>769.25616016375079</v>
      </c>
    </row>
    <row r="59" spans="3:8" x14ac:dyDescent="0.3">
      <c r="D59" s="4353">
        <f>'Д 5.1 Т на ТЕ без ЦТП'!D35</f>
        <v>82347.593266686672</v>
      </c>
      <c r="E59" s="4353">
        <f>'Д 5.1 Т на ТЕ без ЦТП'!E35</f>
        <v>68380.861663549615</v>
      </c>
      <c r="F59" s="4353">
        <f>'Д 5.1 Т на ТЕ без ЦТП'!F35</f>
        <v>13.291675959893333</v>
      </c>
      <c r="G59" s="4353">
        <f>'Д 5.1 Т на ТЕ без ЦТП'!G35</f>
        <v>10509.076983202205</v>
      </c>
      <c r="H59" s="4353">
        <f>'Д 5.1 Т на ТЕ без ЦТП'!H35</f>
        <v>3444.362943974962</v>
      </c>
    </row>
    <row r="60" spans="3:8" x14ac:dyDescent="0.3">
      <c r="D60" s="4353">
        <f>SUM(D58:D59)</f>
        <v>98795.806692118873</v>
      </c>
      <c r="E60" s="4353">
        <f>SUM(E58:E59)</f>
        <v>82049.342543904466</v>
      </c>
      <c r="F60" s="4353">
        <f>SUM(F58:F59)</f>
        <v>13.291675959893333</v>
      </c>
      <c r="G60" s="4353">
        <f>SUM(G58:G59)</f>
        <v>12519.553368115805</v>
      </c>
      <c r="H60" s="4353">
        <f>SUM(H58:H59)</f>
        <v>4213.6191041387128</v>
      </c>
    </row>
    <row r="61" spans="3:8" x14ac:dyDescent="0.3">
      <c r="D61" s="144">
        <f>'ТЕ_2ст_тариф_з ЦТП'!E14</f>
        <v>98.795806692118902</v>
      </c>
      <c r="E61" s="144">
        <f>'ТЕ_2ст_тариф_з ЦТП'!H14</f>
        <v>82.049342543904487</v>
      </c>
      <c r="F61" s="144">
        <f>'ТЕ_2ст_тариф_з ЦТП'!K14</f>
        <v>1.3291675959893333E-2</v>
      </c>
      <c r="G61" s="144">
        <f>'ТЕ_2ст_тариф_з ЦТП'!N14</f>
        <v>12.519553368115806</v>
      </c>
      <c r="H61" s="4353">
        <f>'ТЕ_2ст_тариф_з ЦТП'!Q14</f>
        <v>4.2136191041387132</v>
      </c>
    </row>
    <row r="63" spans="3:8" x14ac:dyDescent="0.3">
      <c r="C63" s="4690" t="s">
        <v>4165</v>
      </c>
      <c r="D63" s="4533">
        <f>D10+D14+D18</f>
        <v>2485.5000000000005</v>
      </c>
      <c r="E63" s="4533">
        <f t="shared" ref="E63:H63" si="7">E10+E14+E18</f>
        <v>2291.61</v>
      </c>
      <c r="F63" s="4533">
        <f t="shared" si="7"/>
        <v>0</v>
      </c>
      <c r="G63" s="4533">
        <f t="shared" si="7"/>
        <v>3436.71</v>
      </c>
      <c r="H63" s="4533">
        <f t="shared" si="7"/>
        <v>3436.71</v>
      </c>
    </row>
    <row r="64" spans="3:8" x14ac:dyDescent="0.3">
      <c r="C64" s="4690" t="s">
        <v>4163</v>
      </c>
      <c r="D64" s="4533">
        <f>D11+D15+D19</f>
        <v>2375.42</v>
      </c>
      <c r="E64" s="4533">
        <f t="shared" ref="E64:H64" si="8">E11+E15+E19</f>
        <v>2190.12</v>
      </c>
      <c r="F64" s="4533">
        <f t="shared" si="8"/>
        <v>0</v>
      </c>
      <c r="G64" s="4533">
        <f t="shared" si="8"/>
        <v>3284.5000000000005</v>
      </c>
      <c r="H64" s="4533">
        <f t="shared" si="8"/>
        <v>3284.5000000000005</v>
      </c>
    </row>
    <row r="65" spans="3:8" x14ac:dyDescent="0.3">
      <c r="C65" s="4690" t="s">
        <v>4164</v>
      </c>
      <c r="D65" s="4533">
        <f>D13+D17+D21</f>
        <v>110.08</v>
      </c>
      <c r="E65" s="4533">
        <f t="shared" ref="E65:H65" si="9">E13+E17+E21</f>
        <v>101.49</v>
      </c>
      <c r="F65" s="4533">
        <f t="shared" si="9"/>
        <v>0</v>
      </c>
      <c r="G65" s="4533">
        <f t="shared" si="9"/>
        <v>152.21</v>
      </c>
      <c r="H65" s="4533">
        <f t="shared" si="9"/>
        <v>152.21</v>
      </c>
    </row>
    <row r="67" spans="3:8" x14ac:dyDescent="0.3">
      <c r="C67" s="4690" t="s">
        <v>2350</v>
      </c>
      <c r="D67" s="4353">
        <f>D26</f>
        <v>40875.962105222774</v>
      </c>
      <c r="E67" s="4353">
        <f t="shared" ref="E67:H67" si="10">E26</f>
        <v>31322.82747022999</v>
      </c>
      <c r="F67" s="4353">
        <f t="shared" si="10"/>
        <v>0</v>
      </c>
      <c r="G67" s="4353">
        <f t="shared" si="10"/>
        <v>6909.4242967964183</v>
      </c>
      <c r="H67" s="4353">
        <f t="shared" si="10"/>
        <v>2643.7103381963643</v>
      </c>
    </row>
    <row r="68" spans="3:8" x14ac:dyDescent="0.3">
      <c r="C68" s="4690" t="s">
        <v>2351</v>
      </c>
      <c r="D68" s="4353">
        <f>'Д 5.1 Т на ТЕ без ЦТП'!D30</f>
        <v>171720.50957889916</v>
      </c>
      <c r="E68" s="4698">
        <f>'Д 5.1 Т на ТЕ без ЦТП'!E30</f>
        <v>129477.14504373287</v>
      </c>
      <c r="F68" s="4353">
        <f>'Д 5.1 Т на ТЕ без ЦТП'!F30</f>
        <v>40.201611143652627</v>
      </c>
      <c r="G68" s="4353">
        <f>'Д 5.1 Т на ТЕ без ЦТП'!G30</f>
        <v>31785.444336155455</v>
      </c>
      <c r="H68" s="4353">
        <f>'Д 5.1 Т на ТЕ без ЦТП'!H30</f>
        <v>10417.718587867173</v>
      </c>
    </row>
    <row r="69" spans="3:8" x14ac:dyDescent="0.3">
      <c r="D69" s="4353">
        <f>D68+D67</f>
        <v>212596.47168412193</v>
      </c>
      <c r="E69" s="4698">
        <f t="shared" ref="E69:H69" si="11">E68+E67</f>
        <v>160799.97251396286</v>
      </c>
      <c r="F69" s="4353">
        <f t="shared" si="11"/>
        <v>40.201611143652627</v>
      </c>
      <c r="G69" s="4353">
        <f t="shared" si="11"/>
        <v>38694.868632951875</v>
      </c>
      <c r="H69" s="4353">
        <f t="shared" si="11"/>
        <v>13061.428926063538</v>
      </c>
    </row>
  </sheetData>
  <mergeCells count="15">
    <mergeCell ref="C47:E47"/>
    <mergeCell ref="F47:H47"/>
    <mergeCell ref="C48:E48"/>
    <mergeCell ref="F48:H48"/>
    <mergeCell ref="E1:H1"/>
    <mergeCell ref="B3:H3"/>
    <mergeCell ref="B5:H5"/>
    <mergeCell ref="A6:H6"/>
    <mergeCell ref="A7:A8"/>
    <mergeCell ref="B7:B8"/>
    <mergeCell ref="C7:C8"/>
    <mergeCell ref="D7:D8"/>
    <mergeCell ref="E7:H7"/>
    <mergeCell ref="E2:H2"/>
    <mergeCell ref="A4:H4"/>
  </mergeCells>
  <conditionalFormatting sqref="B1:B2">
    <cfRule type="containsText" dxfId="83" priority="1" operator="containsText" text="Для корек">
      <formula>NOT(ISERROR(SEARCH("Для корек",B1)))</formula>
    </cfRule>
  </conditionalFormatting>
  <pageMargins left="0.55118110236220474" right="0.39370078740157483" top="0.6692913385826772" bottom="0.59" header="0.31496062992125984" footer="0.37"/>
  <pageSetup paperSize="9" scale="89" fitToHeight="0" orientation="portrait" r:id="rId1"/>
  <headerFooter differentFirst="1">
    <oddHeader>&amp;Rпровження додатку  5</oddHeader>
  </headerFooter>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Лист16">
    <tabColor theme="9"/>
    <pageSetUpPr fitToPage="1"/>
  </sheetPr>
  <dimension ref="A1:R61"/>
  <sheetViews>
    <sheetView topLeftCell="A10" zoomScale="115" zoomScaleNormal="115" zoomScaleSheetLayoutView="100" workbookViewId="0">
      <selection activeCell="D56" sqref="D56"/>
    </sheetView>
  </sheetViews>
  <sheetFormatPr defaultColWidth="9.109375" defaultRowHeight="14.4" x14ac:dyDescent="0.3"/>
  <cols>
    <col min="1" max="1" width="4.33203125" style="144" customWidth="1"/>
    <col min="2" max="2" width="42.88671875" style="144" customWidth="1"/>
    <col min="3" max="3" width="9.5546875" style="4539" customWidth="1"/>
    <col min="4" max="4" width="10.33203125" style="144" customWidth="1"/>
    <col min="5" max="5" width="10.109375" style="144" customWidth="1"/>
    <col min="6" max="8" width="9.33203125" style="144" customWidth="1"/>
    <col min="9" max="9" width="10" style="144" customWidth="1"/>
    <col min="10" max="10" width="13.6640625" style="144" customWidth="1"/>
    <col min="11" max="11" width="13" style="144" customWidth="1"/>
    <col min="12" max="12" width="10.44140625" style="144" bestFit="1" customWidth="1"/>
    <col min="13" max="13" width="10.88671875" style="144" customWidth="1"/>
    <col min="14" max="16" width="7.5546875" style="144" bestFit="1" customWidth="1"/>
    <col min="17" max="17" width="9.6640625" style="144" customWidth="1"/>
    <col min="18" max="18" width="12" style="144" bestFit="1" customWidth="1"/>
    <col min="19" max="24" width="3.88671875" style="144" customWidth="1"/>
    <col min="25" max="16384" width="9.109375" style="144"/>
  </cols>
  <sheetData>
    <row r="1" spans="1:11" ht="41.4" customHeight="1" x14ac:dyDescent="0.3">
      <c r="A1" s="102"/>
      <c r="B1" s="103"/>
      <c r="C1" s="104"/>
      <c r="D1" s="145"/>
      <c r="E1" s="5019" t="s">
        <v>3128</v>
      </c>
      <c r="F1" s="5019"/>
      <c r="G1" s="5019"/>
      <c r="H1" s="5019"/>
      <c r="I1" s="154" t="s">
        <v>657</v>
      </c>
    </row>
    <row r="2" spans="1:11" ht="13.2" customHeight="1" x14ac:dyDescent="0.3">
      <c r="A2" s="102"/>
      <c r="B2" s="103"/>
      <c r="C2" s="104"/>
      <c r="D2" s="145"/>
      <c r="E2" s="5043" t="str">
        <f>'Вхідні дані'!F1</f>
        <v>станом на 01.09.2023 року</v>
      </c>
      <c r="F2" s="5043"/>
      <c r="G2" s="5043"/>
      <c r="H2" s="5043"/>
    </row>
    <row r="3" spans="1:11" ht="18.75" customHeight="1" x14ac:dyDescent="0.3">
      <c r="A3" s="102"/>
      <c r="B3" s="5020" t="s">
        <v>451</v>
      </c>
      <c r="C3" s="5020"/>
      <c r="D3" s="5020"/>
      <c r="E3" s="5020"/>
      <c r="F3" s="5020"/>
      <c r="G3" s="5020"/>
      <c r="H3" s="5020"/>
    </row>
    <row r="4" spans="1:11" ht="14.4" customHeight="1" x14ac:dyDescent="0.3">
      <c r="A4" s="5075" t="s">
        <v>1396</v>
      </c>
      <c r="B4" s="5075"/>
      <c r="C4" s="5075"/>
      <c r="D4" s="5075"/>
      <c r="E4" s="5075"/>
      <c r="F4" s="5075"/>
      <c r="G4" s="5075"/>
      <c r="H4" s="5075"/>
      <c r="I4" s="154" t="s">
        <v>643</v>
      </c>
    </row>
    <row r="5" spans="1:11" ht="4.2" customHeight="1" x14ac:dyDescent="0.3">
      <c r="A5" s="102"/>
      <c r="B5" s="5068"/>
      <c r="C5" s="5068"/>
      <c r="D5" s="5068"/>
      <c r="E5" s="5068"/>
      <c r="F5" s="5068"/>
      <c r="G5" s="5068"/>
      <c r="H5" s="5068"/>
    </row>
    <row r="6" spans="1:11" x14ac:dyDescent="0.3">
      <c r="A6" s="5082" t="s">
        <v>211</v>
      </c>
      <c r="B6" s="5083"/>
      <c r="C6" s="5083"/>
      <c r="D6" s="5083"/>
      <c r="E6" s="5083"/>
      <c r="F6" s="5083"/>
      <c r="G6" s="5083"/>
      <c r="H6" s="5083"/>
    </row>
    <row r="7" spans="1:11" ht="12.6" customHeight="1" x14ac:dyDescent="0.3">
      <c r="A7" s="5062" t="s">
        <v>7</v>
      </c>
      <c r="B7" s="5084" t="s">
        <v>110</v>
      </c>
      <c r="C7" s="5062" t="s">
        <v>35</v>
      </c>
      <c r="D7" s="5062" t="s">
        <v>111</v>
      </c>
      <c r="E7" s="5062" t="s">
        <v>245</v>
      </c>
      <c r="F7" s="5062"/>
      <c r="G7" s="5062"/>
      <c r="H7" s="5062"/>
    </row>
    <row r="8" spans="1:11" ht="27" customHeight="1" x14ac:dyDescent="0.3">
      <c r="A8" s="5062"/>
      <c r="B8" s="5084"/>
      <c r="C8" s="5062"/>
      <c r="D8" s="5062"/>
      <c r="E8" s="121" t="s">
        <v>3</v>
      </c>
      <c r="F8" s="121" t="s">
        <v>166</v>
      </c>
      <c r="G8" s="121" t="s">
        <v>97</v>
      </c>
      <c r="H8" s="121" t="s">
        <v>98</v>
      </c>
      <c r="I8" s="154"/>
    </row>
    <row r="9" spans="1:11" ht="12.75" customHeight="1" x14ac:dyDescent="0.3">
      <c r="A9" s="121">
        <v>1</v>
      </c>
      <c r="B9" s="121">
        <v>2</v>
      </c>
      <c r="C9" s="121">
        <v>3</v>
      </c>
      <c r="D9" s="121">
        <v>4</v>
      </c>
      <c r="E9" s="121">
        <v>5</v>
      </c>
      <c r="F9" s="121">
        <v>6</v>
      </c>
      <c r="G9" s="121">
        <v>7</v>
      </c>
      <c r="H9" s="121">
        <v>8</v>
      </c>
    </row>
    <row r="10" spans="1:11" x14ac:dyDescent="0.3">
      <c r="A10" s="146">
        <v>1</v>
      </c>
      <c r="B10" s="147" t="s">
        <v>246</v>
      </c>
      <c r="C10" s="148" t="s">
        <v>74</v>
      </c>
      <c r="D10" s="2141">
        <f>D11+D12+D13</f>
        <v>1496.27</v>
      </c>
      <c r="E10" s="2141">
        <f>E11+E12+E13</f>
        <v>1321.37</v>
      </c>
      <c r="F10" s="2141">
        <f>F11+F12+F13</f>
        <v>2354.1200000000003</v>
      </c>
      <c r="G10" s="2141">
        <f>G11+G12+G13</f>
        <v>2354.1200000000003</v>
      </c>
      <c r="H10" s="2141">
        <f>H11+H12+H13</f>
        <v>2354.1200000000003</v>
      </c>
      <c r="J10" s="4533"/>
      <c r="K10" s="4533"/>
    </row>
    <row r="11" spans="1:11" ht="26.4" x14ac:dyDescent="0.3">
      <c r="A11" s="146" t="s">
        <v>23</v>
      </c>
      <c r="B11" s="147" t="s">
        <v>595</v>
      </c>
      <c r="C11" s="148" t="s">
        <v>74</v>
      </c>
      <c r="D11" s="2141">
        <f>ROUND('Д 2_Т на В'!H53+'Д 2_Т на В'!H54,2)</f>
        <v>1430</v>
      </c>
      <c r="E11" s="2141">
        <f>ROUND('Д 2_Т на В'!L53+'Д 2_Т на В'!L54,2)</f>
        <v>1262.8499999999999</v>
      </c>
      <c r="F11" s="2141">
        <f>ROUND('Д 2_Т на В'!P53+'Д 2_Т на В'!P54,2)</f>
        <v>2249.86</v>
      </c>
      <c r="G11" s="2141">
        <f>ROUND('Д 2_Т на В'!T53+'Д 2_Т на В'!T54,2)</f>
        <v>2249.86</v>
      </c>
      <c r="H11" s="2141">
        <f>ROUND('Д 2_Т на В'!X53+'Д 2_Т на В'!X54,2)</f>
        <v>2249.86</v>
      </c>
      <c r="J11" s="4353"/>
      <c r="K11" s="4353"/>
    </row>
    <row r="12" spans="1:11" x14ac:dyDescent="0.3">
      <c r="A12" s="146" t="s">
        <v>24</v>
      </c>
      <c r="B12" s="147" t="s">
        <v>2656</v>
      </c>
      <c r="C12" s="148" t="s">
        <v>74</v>
      </c>
      <c r="D12" s="2141">
        <f>ROUND('Д 2_Т на В'!H44/'Д 2_Т на В'!H58*1000,2)</f>
        <v>0</v>
      </c>
      <c r="E12" s="2141">
        <f>ROUND('Д 2_Т на В'!L44/'Д 2_Т на В'!L58*1000,2)</f>
        <v>0</v>
      </c>
      <c r="F12" s="2141">
        <f>ROUND('Д 2_Т на В'!P44/'Д 2_Т на В'!P58*1000,2)</f>
        <v>0</v>
      </c>
      <c r="G12" s="2141">
        <f>ROUND('Д 2_Т на В'!T44/'Д 2_Т на В'!T58*1000,2)</f>
        <v>0</v>
      </c>
      <c r="H12" s="2141">
        <f>ROUND('Д 2_Т на В'!X44/'Д 2_Т на В'!X58*1000,2)</f>
        <v>0</v>
      </c>
      <c r="I12" s="154"/>
      <c r="J12" s="4533"/>
    </row>
    <row r="13" spans="1:11" x14ac:dyDescent="0.3">
      <c r="A13" s="146" t="s">
        <v>48</v>
      </c>
      <c r="B13" s="147" t="s">
        <v>596</v>
      </c>
      <c r="C13" s="148" t="s">
        <v>74</v>
      </c>
      <c r="D13" s="2141">
        <f>ROUND('Д 2_Т на В'!H52-'Д 2_Т на В'!H53-'Д 2_Т на В'!H54-D12,2)</f>
        <v>66.27</v>
      </c>
      <c r="E13" s="2141">
        <f>ROUND('Д 2_Т на В'!L52-'Д 2_Т на В'!L53-'Д 2_Т на В'!L54-E12,2)</f>
        <v>58.52</v>
      </c>
      <c r="F13" s="2141">
        <f>ROUND('Д 2_Т на В'!P52-'Д 2_Т на В'!P53-'Д 2_Т на В'!P54-F12,2)</f>
        <v>104.26</v>
      </c>
      <c r="G13" s="2141">
        <f>ROUND('Д 2_Т на В'!T52-'Д 2_Т на В'!T53-'Д 2_Т на В'!T54-G12,2)</f>
        <v>104.26</v>
      </c>
      <c r="H13" s="2141">
        <f>ROUND('Д 2_Т на В'!X52-'Д 2_Т на В'!X53-'Д 2_Т на В'!X54-H12,2)</f>
        <v>104.26</v>
      </c>
      <c r="J13" s="4533"/>
    </row>
    <row r="14" spans="1:11" ht="16.95" customHeight="1" x14ac:dyDescent="0.3">
      <c r="A14" s="146">
        <v>2</v>
      </c>
      <c r="B14" s="147" t="s">
        <v>597</v>
      </c>
      <c r="C14" s="148" t="s">
        <v>74</v>
      </c>
      <c r="D14" s="2141">
        <f>D15+D16+D17</f>
        <v>568.01</v>
      </c>
      <c r="E14" s="2141">
        <f>E15+E16+E17</f>
        <v>551.31999999999994</v>
      </c>
      <c r="F14" s="2141">
        <f>F15+F16+F17</f>
        <v>649.66999999999996</v>
      </c>
      <c r="G14" s="2141">
        <f>G15+G16+G17</f>
        <v>649.66999999999996</v>
      </c>
      <c r="H14" s="2141">
        <f>H15+H16+H17</f>
        <v>649.66999999999996</v>
      </c>
    </row>
    <row r="15" spans="1:11" ht="26.4" x14ac:dyDescent="0.3">
      <c r="A15" s="146" t="s">
        <v>25</v>
      </c>
      <c r="B15" s="147" t="s">
        <v>598</v>
      </c>
      <c r="C15" s="148" t="s">
        <v>74</v>
      </c>
      <c r="D15" s="2141">
        <f>ROUND('Д 3.1_Т на Т без ЦТП'!G37/'Д 3.1_Т на Т без ЦТП'!G56*1000,2)</f>
        <v>542.85</v>
      </c>
      <c r="E15" s="2141">
        <f>ROUND('Д 3.1_Т на Т без ЦТП'!H37/'Д 3.1_Т на Т без ЦТП'!H56*1000,2)</f>
        <v>526.9</v>
      </c>
      <c r="F15" s="2141">
        <f>ROUND('Д 3.1_Т на Т без ЦТП'!I37/'Д 3.1_Т на Т без ЦТП'!I56*1000,2)</f>
        <v>620.9</v>
      </c>
      <c r="G15" s="2141">
        <f>ROUND('Д 3.1_Т на Т без ЦТП'!J37/'Д 3.1_Т на Т без ЦТП'!J56*1000,2)</f>
        <v>620.9</v>
      </c>
      <c r="H15" s="2141">
        <f>ROUND('Д 3.1_Т на Т без ЦТП'!K37/'Д 3.1_Т на Т без ЦТП'!K56*1000,2)</f>
        <v>620.9</v>
      </c>
    </row>
    <row r="16" spans="1:11" x14ac:dyDescent="0.3">
      <c r="A16" s="146" t="s">
        <v>26</v>
      </c>
      <c r="B16" s="147" t="s">
        <v>2656</v>
      </c>
      <c r="C16" s="148" t="s">
        <v>74</v>
      </c>
      <c r="D16" s="2141">
        <f>ROUND('Д 3.1_Т на Т без ЦТП'!G38/'Д 3.1_Т на Т без ЦТП'!G56*1000,2)</f>
        <v>0</v>
      </c>
      <c r="E16" s="2141">
        <v>0</v>
      </c>
      <c r="F16" s="2141">
        <f>ROUND('Д 3.1_Т на Т без ЦТП'!I38/'Д 3.1_Т на Т без ЦТП'!I56*1000,2)</f>
        <v>0</v>
      </c>
      <c r="G16" s="2141">
        <f>ROUND('Д 3.1_Т на Т без ЦТП'!J38/'Д 3.1_Т на Т без ЦТП'!J56*1000,2)</f>
        <v>0</v>
      </c>
      <c r="H16" s="2141">
        <v>0</v>
      </c>
      <c r="I16" s="154"/>
    </row>
    <row r="17" spans="1:18" ht="15" customHeight="1" x14ac:dyDescent="0.3">
      <c r="A17" s="146" t="s">
        <v>59</v>
      </c>
      <c r="B17" s="147" t="s">
        <v>596</v>
      </c>
      <c r="C17" s="148" t="s">
        <v>74</v>
      </c>
      <c r="D17" s="2141">
        <f>ROUND('Д 3.1_Т на Т без ЦТП'!G39/'Д 3.1_Т на Т без ЦТП'!G56*1000,2)</f>
        <v>25.16</v>
      </c>
      <c r="E17" s="2141">
        <f>ROUND('Д 3.1_Т на Т без ЦТП'!H39/'Д 3.1_Т на Т без ЦТП'!H56*1000,2)</f>
        <v>24.42</v>
      </c>
      <c r="F17" s="2141">
        <f>ROUND('Д 3.1_Т на Т без ЦТП'!I39/'Д 3.1_Т на Т без ЦТП'!I56*1000,2)</f>
        <v>28.77</v>
      </c>
      <c r="G17" s="2141">
        <f>ROUND('Д 3.1_Т на Т без ЦТП'!J39/'Д 3.1_Т на Т без ЦТП'!J56*1000,2)</f>
        <v>28.77</v>
      </c>
      <c r="H17" s="2141">
        <f>ROUND('Д 3.1_Т на Т без ЦТП'!K39/'Д 3.1_Т на Т без ЦТП'!K56*1000,2)</f>
        <v>28.77</v>
      </c>
    </row>
    <row r="18" spans="1:18" x14ac:dyDescent="0.3">
      <c r="A18" s="146">
        <v>3</v>
      </c>
      <c r="B18" s="147" t="s">
        <v>247</v>
      </c>
      <c r="C18" s="148" t="s">
        <v>74</v>
      </c>
      <c r="D18" s="2141">
        <f>D19+D20+D21</f>
        <v>20.780510517866194</v>
      </c>
      <c r="E18" s="2141">
        <f>E19+E20+E21</f>
        <v>20.780510517866194</v>
      </c>
      <c r="F18" s="2141">
        <f>F19+F20+F21</f>
        <v>20.780510517866194</v>
      </c>
      <c r="G18" s="2141">
        <f>G19+G20+G21</f>
        <v>20.780510517866194</v>
      </c>
      <c r="H18" s="2141">
        <f>H19+H20+H21</f>
        <v>20.780510517866194</v>
      </c>
    </row>
    <row r="19" spans="1:18" ht="26.4" x14ac:dyDescent="0.3">
      <c r="A19" s="146" t="s">
        <v>60</v>
      </c>
      <c r="B19" s="147" t="s">
        <v>599</v>
      </c>
      <c r="C19" s="148" t="s">
        <v>74</v>
      </c>
      <c r="D19" s="2141">
        <f>ROUND('Д 4_Т на П'!G32/'Д 4_Т на П'!G42*1000,2)</f>
        <v>19.86</v>
      </c>
      <c r="E19" s="2141">
        <f>D19</f>
        <v>19.86</v>
      </c>
      <c r="F19" s="2141">
        <f>D19</f>
        <v>19.86</v>
      </c>
      <c r="G19" s="2141">
        <f>D19</f>
        <v>19.86</v>
      </c>
      <c r="H19" s="2141">
        <f>D19</f>
        <v>19.86</v>
      </c>
      <c r="K19" s="4536"/>
      <c r="L19" s="4536"/>
      <c r="M19" s="4536"/>
      <c r="N19" s="4536"/>
      <c r="O19" s="4536"/>
      <c r="P19" s="4536"/>
    </row>
    <row r="20" spans="1:18" ht="16.95" customHeight="1" x14ac:dyDescent="0.3">
      <c r="A20" s="146" t="s">
        <v>61</v>
      </c>
      <c r="B20" s="147" t="s">
        <v>2656</v>
      </c>
      <c r="C20" s="148" t="s">
        <v>74</v>
      </c>
      <c r="D20" s="2141">
        <v>0</v>
      </c>
      <c r="E20" s="2141">
        <v>0</v>
      </c>
      <c r="F20" s="2141">
        <v>0</v>
      </c>
      <c r="G20" s="2141">
        <v>0</v>
      </c>
      <c r="H20" s="2141">
        <v>0</v>
      </c>
      <c r="I20" s="154"/>
      <c r="J20" s="4353"/>
      <c r="K20" s="4533"/>
      <c r="L20" s="4533"/>
      <c r="M20" s="4533"/>
      <c r="N20" s="4533"/>
      <c r="O20" s="4533"/>
      <c r="P20" s="4533"/>
      <c r="Q20" s="4349"/>
      <c r="R20" s="4533"/>
    </row>
    <row r="21" spans="1:18" ht="16.95" customHeight="1" x14ac:dyDescent="0.3">
      <c r="A21" s="146" t="s">
        <v>62</v>
      </c>
      <c r="B21" s="147" t="s">
        <v>596</v>
      </c>
      <c r="C21" s="148" t="s">
        <v>74</v>
      </c>
      <c r="D21" s="2141">
        <f>'Д 4_Т на П'!G34/'Д 4_Т на П'!G42*1000</f>
        <v>0.92051051786619476</v>
      </c>
      <c r="E21" s="2141">
        <f>D21</f>
        <v>0.92051051786619476</v>
      </c>
      <c r="F21" s="2141">
        <f>D21</f>
        <v>0.92051051786619476</v>
      </c>
      <c r="G21" s="2141">
        <f>D21</f>
        <v>0.92051051786619476</v>
      </c>
      <c r="H21" s="2141">
        <f>D21</f>
        <v>0.92051051786619476</v>
      </c>
      <c r="J21" s="4353"/>
      <c r="K21" s="4533"/>
      <c r="L21" s="4533"/>
      <c r="M21" s="4533"/>
      <c r="N21" s="4533"/>
      <c r="O21" s="4533"/>
      <c r="P21" s="4533"/>
      <c r="Q21" s="4349"/>
      <c r="R21" s="4533"/>
    </row>
    <row r="22" spans="1:18" x14ac:dyDescent="0.3">
      <c r="A22" s="146">
        <v>4</v>
      </c>
      <c r="B22" s="1077" t="s">
        <v>248</v>
      </c>
      <c r="C22" s="148" t="s">
        <v>74</v>
      </c>
      <c r="D22" s="2142">
        <f>D23+D24+D25</f>
        <v>2085.0605105178661</v>
      </c>
      <c r="E22" s="2142">
        <f>E23+E24+E25</f>
        <v>1893.4705105178662</v>
      </c>
      <c r="F22" s="2142">
        <f>F23+F24+F25</f>
        <v>3024.5705105178668</v>
      </c>
      <c r="G22" s="2142">
        <f>G23+G24+G25</f>
        <v>3024.5705105178668</v>
      </c>
      <c r="H22" s="2142">
        <f>H23+H24+H25</f>
        <v>3024.5705105178668</v>
      </c>
      <c r="I22" s="4533"/>
      <c r="J22" s="4533"/>
      <c r="K22" s="4533"/>
      <c r="L22" s="4533"/>
      <c r="M22" s="4533"/>
      <c r="N22" s="4533"/>
      <c r="O22" s="4533"/>
      <c r="P22" s="4533"/>
      <c r="Q22" s="4349"/>
      <c r="R22" s="4533"/>
    </row>
    <row r="23" spans="1:18" ht="17.399999999999999" customHeight="1" x14ac:dyDescent="0.3">
      <c r="A23" s="146" t="s">
        <v>27</v>
      </c>
      <c r="B23" s="147" t="s">
        <v>600</v>
      </c>
      <c r="C23" s="148" t="s">
        <v>74</v>
      </c>
      <c r="D23" s="2141">
        <f t="shared" ref="D23:H25" si="0">D11+D15+D19</f>
        <v>1992.7099999999998</v>
      </c>
      <c r="E23" s="2141">
        <f t="shared" si="0"/>
        <v>1809.61</v>
      </c>
      <c r="F23" s="2141">
        <f t="shared" si="0"/>
        <v>2890.6200000000003</v>
      </c>
      <c r="G23" s="2141">
        <f t="shared" si="0"/>
        <v>2890.6200000000003</v>
      </c>
      <c r="H23" s="2141">
        <f t="shared" si="0"/>
        <v>2890.6200000000003</v>
      </c>
      <c r="J23" s="4537"/>
      <c r="Q23" s="4533"/>
    </row>
    <row r="24" spans="1:18" ht="15.6" customHeight="1" x14ac:dyDescent="0.3">
      <c r="A24" s="146" t="s">
        <v>112</v>
      </c>
      <c r="B24" s="147" t="s">
        <v>2656</v>
      </c>
      <c r="C24" s="148" t="s">
        <v>74</v>
      </c>
      <c r="D24" s="2141">
        <f t="shared" si="0"/>
        <v>0</v>
      </c>
      <c r="E24" s="2141">
        <f t="shared" si="0"/>
        <v>0</v>
      </c>
      <c r="F24" s="2141">
        <f t="shared" si="0"/>
        <v>0</v>
      </c>
      <c r="G24" s="2141">
        <f t="shared" si="0"/>
        <v>0</v>
      </c>
      <c r="H24" s="2141">
        <f t="shared" si="0"/>
        <v>0</v>
      </c>
      <c r="I24" s="154"/>
      <c r="J24" s="4537"/>
    </row>
    <row r="25" spans="1:18" ht="15.6" customHeight="1" x14ac:dyDescent="0.3">
      <c r="A25" s="146" t="s">
        <v>160</v>
      </c>
      <c r="B25" s="147" t="s">
        <v>596</v>
      </c>
      <c r="C25" s="148" t="s">
        <v>74</v>
      </c>
      <c r="D25" s="2141">
        <f t="shared" si="0"/>
        <v>92.350510517866184</v>
      </c>
      <c r="E25" s="2141">
        <f t="shared" si="0"/>
        <v>83.860510517866189</v>
      </c>
      <c r="F25" s="2141">
        <f t="shared" si="0"/>
        <v>133.95051051786621</v>
      </c>
      <c r="G25" s="2141">
        <f t="shared" si="0"/>
        <v>133.95051051786621</v>
      </c>
      <c r="H25" s="2141">
        <f t="shared" si="0"/>
        <v>133.95051051786621</v>
      </c>
      <c r="K25" s="4533"/>
    </row>
    <row r="26" spans="1:18" ht="39.6" x14ac:dyDescent="0.3">
      <c r="A26" s="146">
        <v>5</v>
      </c>
      <c r="B26" s="147" t="s">
        <v>603</v>
      </c>
      <c r="C26" s="148" t="s">
        <v>40</v>
      </c>
      <c r="D26" s="2143">
        <f>D27+D28+D29</f>
        <v>171720.50957889916</v>
      </c>
      <c r="E26" s="2143">
        <f>E27+E28+E29</f>
        <v>129477.14504373287</v>
      </c>
      <c r="F26" s="2143">
        <f>F27+F28+F29</f>
        <v>40.201611143652627</v>
      </c>
      <c r="G26" s="2143">
        <f>G27+G28+G29</f>
        <v>31785.444336155455</v>
      </c>
      <c r="H26" s="2143">
        <f>H27+H28+H29</f>
        <v>10417.718587867173</v>
      </c>
      <c r="K26" s="4533"/>
    </row>
    <row r="27" spans="1:18" ht="26.4" x14ac:dyDescent="0.3">
      <c r="A27" s="146" t="s">
        <v>28</v>
      </c>
      <c r="B27" s="147" t="s">
        <v>601</v>
      </c>
      <c r="C27" s="148" t="s">
        <v>40</v>
      </c>
      <c r="D27" s="2143">
        <f>SUM(E27:H27)</f>
        <v>164115.20478163607</v>
      </c>
      <c r="E27" s="2143">
        <f>(E11+E15+E19)*E34/1000</f>
        <v>123742.69107497601</v>
      </c>
      <c r="F27" s="2143">
        <f>(F11+F15+F19)*F34/1000</f>
        <v>38.421184363186867</v>
      </c>
      <c r="G27" s="2143">
        <f>(G11+G15+G19)*G34/1000</f>
        <v>30377.748109183962</v>
      </c>
      <c r="H27" s="2143">
        <f>(H11+H15+H19)*H34/1000</f>
        <v>9956.3444131129072</v>
      </c>
    </row>
    <row r="28" spans="1:18" ht="16.95" customHeight="1" x14ac:dyDescent="0.3">
      <c r="A28" s="146" t="s">
        <v>29</v>
      </c>
      <c r="B28" s="147" t="s">
        <v>2656</v>
      </c>
      <c r="C28" s="148" t="s">
        <v>40</v>
      </c>
      <c r="D28" s="2143">
        <f>SUM(E28:H28)</f>
        <v>0</v>
      </c>
      <c r="E28" s="2143">
        <f>(E12+E16+E20)*E34/1000</f>
        <v>0</v>
      </c>
      <c r="F28" s="2143">
        <f>(F12+F16+F20)*F34/1000</f>
        <v>0</v>
      </c>
      <c r="G28" s="2143">
        <f>(G12+G16+G20)*G34/1000</f>
        <v>0</v>
      </c>
      <c r="H28" s="2143">
        <f>(H12+H16+H20)*H34/1000</f>
        <v>0</v>
      </c>
    </row>
    <row r="29" spans="1:18" ht="26.4" x14ac:dyDescent="0.3">
      <c r="A29" s="146" t="s">
        <v>30</v>
      </c>
      <c r="B29" s="147" t="s">
        <v>602</v>
      </c>
      <c r="C29" s="148" t="s">
        <v>40</v>
      </c>
      <c r="D29" s="2143">
        <f>SUM(E29:H29)</f>
        <v>7605.3047972630811</v>
      </c>
      <c r="E29" s="2143">
        <f>(E13+E17+E21)*E34/1000</f>
        <v>5734.4539687568558</v>
      </c>
      <c r="F29" s="2143">
        <f>(F13+F17+F21)*F34/1000</f>
        <v>1.7804267804657614</v>
      </c>
      <c r="G29" s="2143">
        <f>(G13+G17+G21)*G34/1000</f>
        <v>1407.6962269714927</v>
      </c>
      <c r="H29" s="2143">
        <f>(H13+H17+H21)*H34/1000</f>
        <v>461.37417475426673</v>
      </c>
    </row>
    <row r="30" spans="1:18" ht="66" x14ac:dyDescent="0.3">
      <c r="A30" s="146">
        <v>6</v>
      </c>
      <c r="B30" s="147" t="s">
        <v>604</v>
      </c>
      <c r="C30" s="148" t="s">
        <v>40</v>
      </c>
      <c r="D30" s="2143">
        <f>D31+D32+D33</f>
        <v>171720.50957889916</v>
      </c>
      <c r="E30" s="2143">
        <f>E31+E32+E33</f>
        <v>129477.14504373287</v>
      </c>
      <c r="F30" s="2143">
        <f>F31+F32+F33</f>
        <v>40.201611143652627</v>
      </c>
      <c r="G30" s="2143">
        <f>G31+G32+G33</f>
        <v>31785.444336155455</v>
      </c>
      <c r="H30" s="2143">
        <f>H31+H32+H33</f>
        <v>10417.718587867173</v>
      </c>
      <c r="I30" s="158"/>
    </row>
    <row r="31" spans="1:18" ht="26.4" x14ac:dyDescent="0.3">
      <c r="A31" s="146" t="s">
        <v>32</v>
      </c>
      <c r="B31" s="147" t="s">
        <v>605</v>
      </c>
      <c r="C31" s="148" t="s">
        <v>40</v>
      </c>
      <c r="D31" s="2143">
        <f t="shared" ref="D31:H33" si="1">D27</f>
        <v>164115.20478163607</v>
      </c>
      <c r="E31" s="2143">
        <f t="shared" si="1"/>
        <v>123742.69107497601</v>
      </c>
      <c r="F31" s="2143">
        <f t="shared" si="1"/>
        <v>38.421184363186867</v>
      </c>
      <c r="G31" s="2143">
        <f t="shared" si="1"/>
        <v>30377.748109183962</v>
      </c>
      <c r="H31" s="2143">
        <f t="shared" si="1"/>
        <v>9956.3444131129072</v>
      </c>
    </row>
    <row r="32" spans="1:18" x14ac:dyDescent="0.3">
      <c r="A32" s="146" t="s">
        <v>33</v>
      </c>
      <c r="B32" s="147" t="s">
        <v>2656</v>
      </c>
      <c r="C32" s="148" t="s">
        <v>40</v>
      </c>
      <c r="D32" s="2143">
        <f t="shared" si="1"/>
        <v>0</v>
      </c>
      <c r="E32" s="2143">
        <f t="shared" si="1"/>
        <v>0</v>
      </c>
      <c r="F32" s="2143">
        <f t="shared" si="1"/>
        <v>0</v>
      </c>
      <c r="G32" s="2143">
        <f t="shared" si="1"/>
        <v>0</v>
      </c>
      <c r="H32" s="2143">
        <f t="shared" si="1"/>
        <v>0</v>
      </c>
    </row>
    <row r="33" spans="1:9" ht="26.4" x14ac:dyDescent="0.3">
      <c r="A33" s="146" t="s">
        <v>34</v>
      </c>
      <c r="B33" s="147" t="s">
        <v>606</v>
      </c>
      <c r="C33" s="148" t="s">
        <v>40</v>
      </c>
      <c r="D33" s="2143">
        <f t="shared" si="1"/>
        <v>7605.3047972630811</v>
      </c>
      <c r="E33" s="2143">
        <f t="shared" si="1"/>
        <v>5734.4539687568558</v>
      </c>
      <c r="F33" s="2143">
        <f t="shared" si="1"/>
        <v>1.7804267804657614</v>
      </c>
      <c r="G33" s="2143">
        <f t="shared" si="1"/>
        <v>1407.6962269714927</v>
      </c>
      <c r="H33" s="2143">
        <f t="shared" si="1"/>
        <v>461.37417475426673</v>
      </c>
    </row>
    <row r="34" spans="1:9" ht="52.8" x14ac:dyDescent="0.3">
      <c r="A34" s="146">
        <v>7</v>
      </c>
      <c r="B34" s="147" t="s">
        <v>607</v>
      </c>
      <c r="C34" s="148" t="s">
        <v>22</v>
      </c>
      <c r="D34" s="2143">
        <f>D35+D36</f>
        <v>82347.593266686672</v>
      </c>
      <c r="E34" s="2143">
        <f>E35+E36</f>
        <v>68380.861663549615</v>
      </c>
      <c r="F34" s="2143">
        <f>F35+F36</f>
        <v>13.291675959893333</v>
      </c>
      <c r="G34" s="2143">
        <f>G35+G36</f>
        <v>10509.076983202205</v>
      </c>
      <c r="H34" s="2143">
        <f>H35+H36</f>
        <v>3444.362943974962</v>
      </c>
      <c r="I34" s="158"/>
    </row>
    <row r="35" spans="1:9" ht="26.4" x14ac:dyDescent="0.3">
      <c r="A35" s="146" t="s">
        <v>64</v>
      </c>
      <c r="B35" s="147" t="s">
        <v>113</v>
      </c>
      <c r="C35" s="148" t="s">
        <v>22</v>
      </c>
      <c r="D35" s="2143">
        <f>E35+F35+G35+H35</f>
        <v>82347.593266686672</v>
      </c>
      <c r="E35" s="2143">
        <f>'Д 7_РП'!G80</f>
        <v>68380.861663549615</v>
      </c>
      <c r="F35" s="2143">
        <f>'Д 7_РП'!G86</f>
        <v>13.291675959893333</v>
      </c>
      <c r="G35" s="2143">
        <f>'Д 7_РП'!G90</f>
        <v>10509.076983202205</v>
      </c>
      <c r="H35" s="2143">
        <f>'Д 7_РП'!G94</f>
        <v>3444.362943974962</v>
      </c>
    </row>
    <row r="36" spans="1:9" ht="14.4" customHeight="1" x14ac:dyDescent="0.3">
      <c r="A36" s="146" t="s">
        <v>66</v>
      </c>
      <c r="B36" s="147" t="s">
        <v>95</v>
      </c>
      <c r="C36" s="148" t="s">
        <v>22</v>
      </c>
      <c r="D36" s="2143">
        <v>0</v>
      </c>
      <c r="E36" s="2143">
        <v>0</v>
      </c>
      <c r="F36" s="2143">
        <v>0</v>
      </c>
      <c r="G36" s="2143">
        <v>0</v>
      </c>
      <c r="H36" s="2143">
        <v>0</v>
      </c>
    </row>
    <row r="37" spans="1:9" ht="52.8" x14ac:dyDescent="0.3">
      <c r="A37" s="1114" t="s">
        <v>172</v>
      </c>
      <c r="B37" s="1115" t="s">
        <v>2000</v>
      </c>
      <c r="C37" s="1116" t="s">
        <v>22</v>
      </c>
      <c r="D37" s="2143">
        <f>D38+D39</f>
        <v>90438.170318810095</v>
      </c>
      <c r="E37" s="2143">
        <f>E38+E39</f>
        <v>75115.79216565899</v>
      </c>
      <c r="F37" s="2143">
        <f>F38+F39</f>
        <v>14.602989074179138</v>
      </c>
      <c r="G37" s="2143">
        <f>G38+G39</f>
        <v>11523.602679723239</v>
      </c>
      <c r="H37" s="2143">
        <f>H38+H39</f>
        <v>3784.1724843536967</v>
      </c>
    </row>
    <row r="38" spans="1:9" ht="12.6" customHeight="1" x14ac:dyDescent="0.3">
      <c r="A38" s="1114" t="s">
        <v>115</v>
      </c>
      <c r="B38" s="1115" t="s">
        <v>2001</v>
      </c>
      <c r="C38" s="1116" t="s">
        <v>22</v>
      </c>
      <c r="D38" s="2143">
        <f>E38+F38+G38+H38</f>
        <v>90438.170318810095</v>
      </c>
      <c r="E38" s="2143">
        <f>'Д 7_РП'!G29</f>
        <v>75115.79216565899</v>
      </c>
      <c r="F38" s="2143">
        <f>'Д 7_РП'!G32</f>
        <v>14.602989074179138</v>
      </c>
      <c r="G38" s="2143">
        <f>'Д 7_РП'!G35</f>
        <v>11523.602679723239</v>
      </c>
      <c r="H38" s="2143">
        <f>'Д 7_РП'!G38</f>
        <v>3784.1724843536967</v>
      </c>
    </row>
    <row r="39" spans="1:9" ht="12.6" customHeight="1" x14ac:dyDescent="0.3">
      <c r="A39" s="1114" t="s">
        <v>117</v>
      </c>
      <c r="B39" s="1115" t="s">
        <v>3374</v>
      </c>
      <c r="C39" s="1116" t="s">
        <v>22</v>
      </c>
      <c r="D39" s="2143">
        <v>0</v>
      </c>
      <c r="E39" s="2143">
        <v>0</v>
      </c>
      <c r="F39" s="2143">
        <v>0</v>
      </c>
      <c r="G39" s="2143">
        <v>0</v>
      </c>
      <c r="H39" s="2143">
        <v>0</v>
      </c>
    </row>
    <row r="40" spans="1:9" ht="12.6" customHeight="1" x14ac:dyDescent="0.3">
      <c r="A40" s="1114" t="s">
        <v>187</v>
      </c>
      <c r="B40" s="147" t="s">
        <v>114</v>
      </c>
      <c r="C40" s="148"/>
      <c r="D40" s="2143"/>
      <c r="E40" s="2143"/>
      <c r="F40" s="2143"/>
      <c r="G40" s="2143"/>
      <c r="H40" s="2143"/>
    </row>
    <row r="41" spans="1:9" ht="12.6" customHeight="1" x14ac:dyDescent="0.3">
      <c r="A41" s="1114" t="s">
        <v>154</v>
      </c>
      <c r="B41" s="147" t="s">
        <v>116</v>
      </c>
      <c r="C41" s="148" t="s">
        <v>4</v>
      </c>
      <c r="D41" s="2144">
        <f>D13/D11</f>
        <v>4.6342657342657342E-2</v>
      </c>
      <c r="E41" s="2144">
        <f>E13/E11</f>
        <v>4.633962861780893E-2</v>
      </c>
      <c r="F41" s="2144">
        <f>F13/F11</f>
        <v>4.6340661196696685E-2</v>
      </c>
      <c r="G41" s="2144">
        <f>G13/G11</f>
        <v>4.6340661196696685E-2</v>
      </c>
      <c r="H41" s="2144">
        <f>H13/H11</f>
        <v>4.6340661196696685E-2</v>
      </c>
    </row>
    <row r="42" spans="1:9" ht="12.6" customHeight="1" x14ac:dyDescent="0.3">
      <c r="A42" s="1114" t="s">
        <v>204</v>
      </c>
      <c r="B42" s="147" t="s">
        <v>118</v>
      </c>
      <c r="C42" s="148" t="s">
        <v>4</v>
      </c>
      <c r="D42" s="2144">
        <f>D17/D15</f>
        <v>4.6347978262871875E-2</v>
      </c>
      <c r="E42" s="2144">
        <f>E17/E15</f>
        <v>4.6346555323590818E-2</v>
      </c>
      <c r="F42" s="2144">
        <f>F17/F15</f>
        <v>4.6335963923337095E-2</v>
      </c>
      <c r="G42" s="2144">
        <f>G17/G15</f>
        <v>4.6335963923337095E-2</v>
      </c>
      <c r="H42" s="2144">
        <f>H17/H15</f>
        <v>4.6335963923337095E-2</v>
      </c>
    </row>
    <row r="43" spans="1:9" ht="12.6" customHeight="1" x14ac:dyDescent="0.3">
      <c r="A43" s="1114" t="s">
        <v>356</v>
      </c>
      <c r="B43" s="147" t="s">
        <v>120</v>
      </c>
      <c r="C43" s="148" t="s">
        <v>4</v>
      </c>
      <c r="D43" s="2144">
        <f>D21/D19</f>
        <v>4.6349975723373356E-2</v>
      </c>
      <c r="E43" s="2144">
        <f>E21/E19</f>
        <v>4.6349975723373356E-2</v>
      </c>
      <c r="F43" s="2144">
        <f>F21/F19</f>
        <v>4.6349975723373356E-2</v>
      </c>
      <c r="G43" s="2144">
        <f>G21/G19</f>
        <v>4.6349975723373356E-2</v>
      </c>
      <c r="H43" s="2144">
        <f>H21/H19</f>
        <v>4.6349975723373356E-2</v>
      </c>
    </row>
    <row r="44" spans="1:9" ht="12.6" customHeight="1" x14ac:dyDescent="0.3">
      <c r="A44" s="1114" t="s">
        <v>2002</v>
      </c>
      <c r="B44" s="147" t="s">
        <v>122</v>
      </c>
      <c r="C44" s="148" t="s">
        <v>4</v>
      </c>
      <c r="D44" s="2144">
        <f>D25/D23</f>
        <v>4.6344179794283256E-2</v>
      </c>
      <c r="E44" s="2144">
        <f>E25/E23</f>
        <v>4.6341759007668057E-2</v>
      </c>
      <c r="F44" s="2144">
        <f>F25/F23</f>
        <v>4.6339716226230426E-2</v>
      </c>
      <c r="G44" s="2144">
        <f>G25/G23</f>
        <v>4.6339716226230426E-2</v>
      </c>
      <c r="H44" s="2144">
        <f>H25/H23</f>
        <v>4.6339716226230426E-2</v>
      </c>
    </row>
    <row r="45" spans="1:9" ht="7.95" customHeight="1" x14ac:dyDescent="0.3">
      <c r="A45" s="149"/>
      <c r="B45" s="150"/>
      <c r="C45" s="104"/>
      <c r="D45" s="104"/>
      <c r="E45" s="104"/>
      <c r="F45" s="104"/>
      <c r="G45" s="104"/>
      <c r="H45" s="104"/>
    </row>
    <row r="46" spans="1:9" ht="10.5" customHeight="1" x14ac:dyDescent="0.3">
      <c r="A46" s="102"/>
      <c r="B46" s="104"/>
      <c r="C46" s="104"/>
      <c r="D46" s="104"/>
      <c r="E46" s="104"/>
      <c r="F46" s="104"/>
      <c r="G46" s="104"/>
      <c r="H46" s="104"/>
    </row>
    <row r="47" spans="1:9" ht="17.25" customHeight="1" x14ac:dyDescent="0.3">
      <c r="A47" s="102"/>
      <c r="B47" s="3501" t="str">
        <f>'Вхідні дані'!B13</f>
        <v>Директор підприємства</v>
      </c>
      <c r="C47" s="5079" t="s">
        <v>99</v>
      </c>
      <c r="D47" s="5079"/>
      <c r="E47" s="5079"/>
      <c r="F47" s="5080" t="str">
        <f>'Вхідні дані'!F13</f>
        <v>Анатолій ПАНШИН</v>
      </c>
      <c r="G47" s="5080"/>
      <c r="H47" s="5080"/>
    </row>
    <row r="48" spans="1:9" ht="14.4" customHeight="1" x14ac:dyDescent="0.3">
      <c r="A48" s="102"/>
      <c r="B48" s="4538" t="s">
        <v>232</v>
      </c>
      <c r="C48" s="5081" t="s">
        <v>100</v>
      </c>
      <c r="D48" s="5081"/>
      <c r="E48" s="5081"/>
      <c r="F48" s="5081" t="s">
        <v>101</v>
      </c>
      <c r="G48" s="5081"/>
      <c r="H48" s="5081"/>
    </row>
    <row r="51" spans="4:8" x14ac:dyDescent="0.3">
      <c r="D51" s="4540">
        <f>D22*1.2</f>
        <v>2502.072612621439</v>
      </c>
      <c r="E51" s="4540">
        <f>E22*1.2</f>
        <v>2272.1646126214391</v>
      </c>
      <c r="F51" s="4540">
        <f>F22*1.2</f>
        <v>3629.4846126214402</v>
      </c>
      <c r="G51" s="4540">
        <f>G22*1.2</f>
        <v>3629.4846126214402</v>
      </c>
      <c r="H51" s="4540">
        <f>H22*1.2</f>
        <v>3629.4846126214402</v>
      </c>
    </row>
    <row r="53" spans="4:8" x14ac:dyDescent="0.3">
      <c r="D53" s="4353">
        <f>D26</f>
        <v>171720.50957889916</v>
      </c>
      <c r="E53" s="4353">
        <f t="shared" ref="E53:H53" si="2">E26</f>
        <v>129477.14504373287</v>
      </c>
      <c r="F53" s="4353">
        <f t="shared" si="2"/>
        <v>40.201611143652627</v>
      </c>
      <c r="G53" s="4353">
        <f t="shared" si="2"/>
        <v>31785.444336155455</v>
      </c>
      <c r="H53" s="4353">
        <f t="shared" si="2"/>
        <v>10417.718587867173</v>
      </c>
    </row>
    <row r="54" spans="4:8" x14ac:dyDescent="0.3">
      <c r="D54" s="4353">
        <f>'Д 5 Т на ТЕ з ЦТП'!D26</f>
        <v>40875.962105222774</v>
      </c>
      <c r="E54" s="4353">
        <f>'Д 5 Т на ТЕ з ЦТП'!E26</f>
        <v>31322.82747022999</v>
      </c>
      <c r="F54" s="4353">
        <f>'Д 5 Т на ТЕ з ЦТП'!F26</f>
        <v>0</v>
      </c>
      <c r="G54" s="4353">
        <f>'Д 5 Т на ТЕ з ЦТП'!G26</f>
        <v>6909.4242967964183</v>
      </c>
      <c r="H54" s="4353">
        <f>'Д 5 Т на ТЕ з ЦТП'!H26</f>
        <v>2643.7103381963643</v>
      </c>
    </row>
    <row r="55" spans="4:8" x14ac:dyDescent="0.3">
      <c r="D55" s="4541">
        <f>D53+D54</f>
        <v>212596.47168412193</v>
      </c>
      <c r="E55" s="4541">
        <f t="shared" ref="E55:H55" si="3">E53+E54</f>
        <v>160799.97251396286</v>
      </c>
      <c r="F55" s="4541">
        <f t="shared" si="3"/>
        <v>40.201611143652627</v>
      </c>
      <c r="G55" s="4541">
        <f t="shared" si="3"/>
        <v>38694.868632951875</v>
      </c>
      <c r="H55" s="4541">
        <f t="shared" si="3"/>
        <v>13061.428926063538</v>
      </c>
    </row>
    <row r="56" spans="4:8" x14ac:dyDescent="0.3">
      <c r="H56" s="4353"/>
    </row>
    <row r="58" spans="4:8" x14ac:dyDescent="0.3">
      <c r="D58" s="4353"/>
      <c r="E58" s="4353"/>
      <c r="F58" s="4353"/>
      <c r="G58" s="4353"/>
      <c r="H58" s="4353"/>
    </row>
    <row r="59" spans="4:8" x14ac:dyDescent="0.3">
      <c r="D59" s="4353"/>
      <c r="E59" s="4353"/>
      <c r="F59" s="4353"/>
      <c r="G59" s="4353"/>
      <c r="H59" s="4353"/>
    </row>
    <row r="60" spans="4:8" x14ac:dyDescent="0.3">
      <c r="D60" s="4353"/>
      <c r="E60" s="4353"/>
      <c r="F60" s="4353"/>
      <c r="G60" s="4353"/>
      <c r="H60" s="4353"/>
    </row>
    <row r="61" spans="4:8" x14ac:dyDescent="0.3">
      <c r="H61" s="4353"/>
    </row>
  </sheetData>
  <mergeCells count="15">
    <mergeCell ref="C47:E47"/>
    <mergeCell ref="F47:H47"/>
    <mergeCell ref="C48:E48"/>
    <mergeCell ref="F48:H48"/>
    <mergeCell ref="E1:H1"/>
    <mergeCell ref="B3:H3"/>
    <mergeCell ref="B5:H5"/>
    <mergeCell ref="A6:H6"/>
    <mergeCell ref="A7:A8"/>
    <mergeCell ref="B7:B8"/>
    <mergeCell ref="C7:C8"/>
    <mergeCell ref="D7:D8"/>
    <mergeCell ref="E7:H7"/>
    <mergeCell ref="E2:H2"/>
    <mergeCell ref="A4:H4"/>
  </mergeCells>
  <conditionalFormatting sqref="B1:B2">
    <cfRule type="containsText" dxfId="82" priority="1" operator="containsText" text="Для корек">
      <formula>NOT(ISERROR(SEARCH("Для корек",B1)))</formula>
    </cfRule>
  </conditionalFormatting>
  <pageMargins left="0.55118110236220474" right="0.39370078740157483" top="0.59055118110236227" bottom="0.53" header="0.31496062992125984" footer="0.52"/>
  <pageSetup paperSize="9" scale="88" fitToHeight="0" orientation="portrait" r:id="rId1"/>
  <headerFooter differentFirst="1">
    <oddHeader>&amp;Rпродовження додатку 5.1</oddHeader>
  </headerFooter>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Лист17">
    <tabColor rgb="FFFF0000"/>
  </sheetPr>
  <dimension ref="A1:K59"/>
  <sheetViews>
    <sheetView workbookViewId="0">
      <selection activeCell="F26" sqref="F26"/>
    </sheetView>
  </sheetViews>
  <sheetFormatPr defaultColWidth="8.88671875" defaultRowHeight="13.8" x14ac:dyDescent="0.25"/>
  <cols>
    <col min="1" max="1" width="17.6640625" style="10" customWidth="1"/>
    <col min="2" max="2" width="14.33203125" style="10" customWidth="1"/>
    <col min="3" max="3" width="13.44140625" style="10" customWidth="1"/>
    <col min="4" max="4" width="13.5546875" style="10" customWidth="1"/>
    <col min="5" max="5" width="14.88671875" style="10" customWidth="1"/>
    <col min="6" max="6" width="12.33203125" style="10" customWidth="1"/>
    <col min="7" max="7" width="10.109375" style="10" bestFit="1" customWidth="1"/>
    <col min="8" max="8" width="10" style="10" bestFit="1" customWidth="1"/>
    <col min="9" max="9" width="8.88671875" style="10"/>
    <col min="10" max="10" width="10.44140625" style="10" customWidth="1"/>
    <col min="11" max="11" width="8.44140625" style="10" customWidth="1"/>
    <col min="12" max="16384" width="8.88671875" style="10"/>
  </cols>
  <sheetData>
    <row r="1" spans="1:6" x14ac:dyDescent="0.25">
      <c r="A1" s="1238" t="s">
        <v>3373</v>
      </c>
      <c r="B1" s="2865">
        <f>'Д 7_РП'!D153</f>
        <v>90271.057497103626</v>
      </c>
      <c r="C1" s="2865">
        <f>'Д 7_РП'!D154</f>
        <v>14.602989074179138</v>
      </c>
      <c r="D1" s="2865">
        <f>'Д 7_РП'!D155</f>
        <v>13752.767963175285</v>
      </c>
      <c r="E1" s="2865">
        <f>'Д 7_РП'!D156</f>
        <v>4637.1042268930923</v>
      </c>
      <c r="F1" s="2863"/>
    </row>
    <row r="2" spans="1:6" x14ac:dyDescent="0.25">
      <c r="A2" s="1239" t="s">
        <v>2350</v>
      </c>
      <c r="B2" s="2842">
        <f>'Д 7_РП'!D158</f>
        <v>15155.265331444638</v>
      </c>
      <c r="C2" s="2842">
        <f>'Д 7_РП'!D159</f>
        <v>0</v>
      </c>
      <c r="D2" s="2842">
        <f>'Д 7_РП'!D160</f>
        <v>2229.1652834520464</v>
      </c>
      <c r="E2" s="2842">
        <f>'Д 7_РП'!D161</f>
        <v>852.93174253939515</v>
      </c>
      <c r="F2" s="2863"/>
    </row>
    <row r="3" spans="1:6" x14ac:dyDescent="0.25">
      <c r="A3" s="1239" t="s">
        <v>2351</v>
      </c>
      <c r="B3" s="2842">
        <f>'Д 7_РП'!D163</f>
        <v>75115.79216565899</v>
      </c>
      <c r="C3" s="2842">
        <f>'Д 7_РП'!D164</f>
        <v>14.602989074179138</v>
      </c>
      <c r="D3" s="2842">
        <f>'Д 7_РП'!D165</f>
        <v>11523.602679723239</v>
      </c>
      <c r="E3" s="2842">
        <f>'Д 7_РП'!D166</f>
        <v>3784.1724843536967</v>
      </c>
      <c r="F3" s="2863"/>
    </row>
    <row r="4" spans="1:6" x14ac:dyDescent="0.25">
      <c r="A4" s="1238" t="s">
        <v>3285</v>
      </c>
      <c r="B4" s="2865">
        <f>SUM(B5:B6)</f>
        <v>82049.342543904466</v>
      </c>
      <c r="C4" s="2865">
        <f>SUM(C5:C6)</f>
        <v>13.291675959893333</v>
      </c>
      <c r="D4" s="2865">
        <f>SUM(D5:D6)</f>
        <v>12519.553368115805</v>
      </c>
      <c r="E4" s="2865">
        <f>SUM(E5:E6)</f>
        <v>4213.6191041387128</v>
      </c>
    </row>
    <row r="5" spans="1:6" x14ac:dyDescent="0.25">
      <c r="A5" s="1239" t="s">
        <v>2350</v>
      </c>
      <c r="B5" s="2842">
        <f>'Д 7_РП'!D169</f>
        <v>13668.480880354855</v>
      </c>
      <c r="C5" s="2842">
        <f>'Д 7_РП'!D170</f>
        <v>0</v>
      </c>
      <c r="D5" s="2842">
        <f>'Д 7_РП'!D171</f>
        <v>2010.4763849135998</v>
      </c>
      <c r="E5" s="2842">
        <f>'Д 7_РП'!D172</f>
        <v>769.25616016375079</v>
      </c>
    </row>
    <row r="6" spans="1:6" x14ac:dyDescent="0.25">
      <c r="A6" s="1239" t="s">
        <v>2351</v>
      </c>
      <c r="B6" s="2842">
        <f>'Д 7_РП'!D174</f>
        <v>68380.861663549615</v>
      </c>
      <c r="C6" s="2842">
        <f>'Д 7_РП'!D175</f>
        <v>13.291675959893333</v>
      </c>
      <c r="D6" s="2842">
        <f>'Д 7_РП'!D176</f>
        <v>10509.076983202205</v>
      </c>
      <c r="E6" s="2842">
        <f>'Д 7_РП'!D177</f>
        <v>3444.362943974962</v>
      </c>
    </row>
    <row r="7" spans="1:6" x14ac:dyDescent="0.25">
      <c r="A7" s="1238" t="s">
        <v>3375</v>
      </c>
      <c r="B7" s="2865">
        <f>SUM(B8:B9)</f>
        <v>59.458515647062136</v>
      </c>
      <c r="C7" s="2865">
        <f>SUM(C8:C9)</f>
        <v>9.6319999999999999E-3</v>
      </c>
      <c r="D7" s="2865">
        <f>SUM(D8:D9)</f>
        <v>9.0724704999999997</v>
      </c>
      <c r="E7" s="2865">
        <f>SUM(E8:E9)</f>
        <v>3.0534583699999995</v>
      </c>
      <c r="F7" s="2115"/>
    </row>
    <row r="8" spans="1:6" x14ac:dyDescent="0.25">
      <c r="A8" s="1239" t="s">
        <v>2350</v>
      </c>
      <c r="B8" s="2842">
        <f>'Д 7_РП'!D184</f>
        <v>9.9052058670000012</v>
      </c>
      <c r="C8" s="2842">
        <f>'Д 7_РП'!D185</f>
        <v>0</v>
      </c>
      <c r="D8" s="2842">
        <f>'Д 7_РП'!D186</f>
        <v>1.45692</v>
      </c>
      <c r="E8" s="2842">
        <f>'Д 7_РП'!D187</f>
        <v>0.5574522999999999</v>
      </c>
    </row>
    <row r="9" spans="1:6" x14ac:dyDescent="0.25">
      <c r="A9" s="1239" t="s">
        <v>2351</v>
      </c>
      <c r="B9" s="2842">
        <f>'Д 7_РП'!D189</f>
        <v>49.553309780062136</v>
      </c>
      <c r="C9" s="2842">
        <f>'Д 7_РП'!D190</f>
        <v>9.6319999999999999E-3</v>
      </c>
      <c r="D9" s="2842">
        <f>'Д 7_РП'!D191</f>
        <v>7.6155505000000003</v>
      </c>
      <c r="E9" s="2842">
        <f>'Д 7_РП'!D192</f>
        <v>2.4960060699999995</v>
      </c>
    </row>
    <row r="10" spans="1:6" x14ac:dyDescent="0.25">
      <c r="A10" s="12"/>
      <c r="B10" s="2866" t="s">
        <v>2345</v>
      </c>
      <c r="C10" s="2866" t="s">
        <v>3370</v>
      </c>
      <c r="D10" s="2866" t="s">
        <v>1027</v>
      </c>
      <c r="E10" s="2866" t="s">
        <v>2300</v>
      </c>
    </row>
    <row r="11" spans="1:6" x14ac:dyDescent="0.25">
      <c r="A11" s="2874" t="s">
        <v>1894</v>
      </c>
      <c r="B11" s="2843">
        <f>B12-B14</f>
        <v>6.4841191155428533</v>
      </c>
      <c r="C11" s="2843">
        <f>C12-C14</f>
        <v>-7.3695561628213113E-3</v>
      </c>
      <c r="D11" s="2843">
        <f>D12-D14</f>
        <v>-7.8608344305721403</v>
      </c>
      <c r="E11" s="2843">
        <f>E12-E14</f>
        <v>1.3840848712043226</v>
      </c>
      <c r="F11" s="2119"/>
    </row>
    <row r="12" spans="1:6" x14ac:dyDescent="0.25">
      <c r="A12" s="2844" t="s">
        <v>3371</v>
      </c>
      <c r="B12" s="1292">
        <f>'Д 2_Т на В'!L51</f>
        <v>119281.64332920536</v>
      </c>
      <c r="C12" s="1292">
        <f>'Д 2_Т на В'!P51</f>
        <v>34.3772097877428</v>
      </c>
      <c r="D12" s="1292">
        <f>'Д 2_Т на В'!T51</f>
        <v>32375.686034593662</v>
      </c>
      <c r="E12" s="1292">
        <f>'Д 2_Т на В'!X51</f>
        <v>10916.306518190941</v>
      </c>
    </row>
    <row r="13" spans="1:6" x14ac:dyDescent="0.25">
      <c r="A13" s="1239"/>
      <c r="B13" s="2845">
        <f>B12/B1*1000</f>
        <v>1321.3719506169798</v>
      </c>
      <c r="C13" s="2845">
        <f>C12/C1*1000</f>
        <v>2354.1214482265309</v>
      </c>
      <c r="D13" s="2845">
        <f>D12/D1*1000</f>
        <v>2354.1214482265323</v>
      </c>
      <c r="E13" s="2845">
        <f>E12/E1*1000</f>
        <v>2354.1214482265318</v>
      </c>
    </row>
    <row r="14" spans="1:6" x14ac:dyDescent="0.25">
      <c r="A14" s="2844" t="s">
        <v>3372</v>
      </c>
      <c r="B14" s="1292">
        <f>'ТЕ_2ст_тариф_з ЦТП'!H76</f>
        <v>119275.15921008981</v>
      </c>
      <c r="C14" s="1292">
        <f>'ТЕ_2ст_тариф_з ЦТП'!K76</f>
        <v>34.384579343905621</v>
      </c>
      <c r="D14" s="1292">
        <f>'ТЕ_2ст_тариф_з ЦТП'!N76</f>
        <v>32383.546869024234</v>
      </c>
      <c r="E14" s="1292">
        <f>'ТЕ_2ст_тариф_з ЦТП'!Q76</f>
        <v>10914.922433319736</v>
      </c>
    </row>
    <row r="15" spans="1:6" x14ac:dyDescent="0.25">
      <c r="A15" s="1239"/>
      <c r="B15" s="2845">
        <f>B14/B1*1000</f>
        <v>1321.3001211813298</v>
      </c>
      <c r="C15" s="2845">
        <f>C14/C1*1000</f>
        <v>2354.626109027507</v>
      </c>
      <c r="D15" s="2845">
        <f>D14/D1*1000</f>
        <v>2354.6930302129094</v>
      </c>
      <c r="E15" s="2845">
        <f>E14/E1*1000</f>
        <v>2353.8229677948921</v>
      </c>
    </row>
    <row r="16" spans="1:6" x14ac:dyDescent="0.25">
      <c r="A16" s="1239"/>
      <c r="B16" s="2845">
        <f>'ТЕ_2ст_тариф_без ЦТП'!H80</f>
        <v>889.12</v>
      </c>
      <c r="C16" s="2845">
        <f>'ТЕ_2ст_тариф_без ЦТП'!K80</f>
        <v>1876.13</v>
      </c>
      <c r="D16" s="2845">
        <f>'ТЕ_2ст_тариф_без ЦТП'!N80</f>
        <v>1876.13</v>
      </c>
      <c r="E16" s="2845">
        <f>'ТЕ_2ст_тариф_без ЦТП'!Q80</f>
        <v>1876.13</v>
      </c>
    </row>
    <row r="17" spans="1:6" x14ac:dyDescent="0.25">
      <c r="A17" s="1239"/>
      <c r="B17" s="2845">
        <f>'ТЕ_2ст_тариф_без ЦТП'!H81/12</f>
        <v>4556.5199999999995</v>
      </c>
      <c r="C17" s="2845">
        <f>'ТЕ_2ст_тариф_без ЦТП'!K81/12</f>
        <v>5037.7666666666664</v>
      </c>
      <c r="D17" s="2845">
        <f>'ТЕ_2ст_тариф_без ЦТП'!N81/12</f>
        <v>5037.7666666666664</v>
      </c>
      <c r="E17" s="2845">
        <f>'ТЕ_2ст_тариф_без ЦТП'!Q81/12</f>
        <v>5037.7666666666664</v>
      </c>
    </row>
    <row r="18" spans="1:6" ht="27.6" x14ac:dyDescent="0.25">
      <c r="A18" s="2846" t="s">
        <v>2648</v>
      </c>
      <c r="B18" s="2843">
        <f>B19-B21</f>
        <v>581.38626125017799</v>
      </c>
      <c r="C18" s="2843">
        <f>C19-C21</f>
        <v>0</v>
      </c>
      <c r="D18" s="2843">
        <f>D19-D21</f>
        <v>85.53159571340575</v>
      </c>
      <c r="E18" s="2843">
        <f>E19-E21</f>
        <v>32.726426127109448</v>
      </c>
      <c r="F18" s="2115"/>
    </row>
    <row r="19" spans="1:6" x14ac:dyDescent="0.25">
      <c r="A19" s="2844" t="s">
        <v>3371</v>
      </c>
      <c r="B19" s="1292">
        <f>'Д 3_Т на Т з ЦТП'!H45</f>
        <v>12977.736261250178</v>
      </c>
      <c r="C19" s="1292">
        <f>'Д 3_Т на Т з ЦТП'!I45</f>
        <v>0</v>
      </c>
      <c r="D19" s="1292">
        <f>'Д 3_Т на Т з ЦТП'!J45</f>
        <v>2134.7266433433338</v>
      </c>
      <c r="E19" s="1292">
        <f>'Д 3_Т на Т з ЦТП'!K45</f>
        <v>816.79726903537698</v>
      </c>
    </row>
    <row r="20" spans="1:6" x14ac:dyDescent="0.25">
      <c r="A20" s="1239"/>
      <c r="B20" s="2847">
        <f>B19/B5*1000</f>
        <v>949.4644192612908</v>
      </c>
      <c r="C20" s="2847">
        <v>0</v>
      </c>
      <c r="D20" s="2847">
        <f>D19/D5*1000</f>
        <v>1061.8014015792946</v>
      </c>
      <c r="E20" s="2847">
        <f>E19/E5*1000</f>
        <v>1061.8014015792946</v>
      </c>
    </row>
    <row r="21" spans="1:6" x14ac:dyDescent="0.25">
      <c r="A21" s="2844" t="s">
        <v>3372</v>
      </c>
      <c r="B21" s="1292">
        <f>'ТЕ_2ст_тариф_з ЦТП'!H120</f>
        <v>12396.35</v>
      </c>
      <c r="C21" s="1292">
        <f>'ТЕ_2ст_тариф_з ЦТП'!K120</f>
        <v>0</v>
      </c>
      <c r="D21" s="1292">
        <f>'ТЕ_2ст_тариф_з ЦТП'!N120</f>
        <v>2049.195047629928</v>
      </c>
      <c r="E21" s="1292">
        <f>'ТЕ_2ст_тариф_з ЦТП'!Q120</f>
        <v>784.07084290826754</v>
      </c>
    </row>
    <row r="22" spans="1:6" x14ac:dyDescent="0.25">
      <c r="A22" s="2844"/>
      <c r="B22" s="2847">
        <f>B21/B5*1000</f>
        <v>906.92960750428119</v>
      </c>
      <c r="C22" s="2847">
        <v>0</v>
      </c>
      <c r="D22" s="2847">
        <f>D21/D5*1000</f>
        <v>1019.2584518807926</v>
      </c>
      <c r="E22" s="2847">
        <f>E21/E5*1000</f>
        <v>1019.2584518807923</v>
      </c>
    </row>
    <row r="23" spans="1:6" x14ac:dyDescent="0.25">
      <c r="A23" s="2844" t="s">
        <v>2251</v>
      </c>
      <c r="B23" s="2910">
        <f>'ТЕ_2ст_тариф_з ЦТП'!H124</f>
        <v>254.13</v>
      </c>
      <c r="C23" s="2910">
        <f>'ТЕ_2ст_тариф_з ЦТП'!K124</f>
        <v>0</v>
      </c>
      <c r="D23" s="2910">
        <f>'ТЕ_2ст_тариф_з ЦТП'!N124</f>
        <v>254.13</v>
      </c>
      <c r="E23" s="2910">
        <f>'ТЕ_2ст_тариф_з ЦТП'!Q124</f>
        <v>254.13</v>
      </c>
    </row>
    <row r="24" spans="1:6" x14ac:dyDescent="0.25">
      <c r="A24" s="1239" t="s">
        <v>2252</v>
      </c>
      <c r="B24" s="2910">
        <f>'ТЕ_2ст_тариф_з ЦТП'!H125/12</f>
        <v>6255.706666666666</v>
      </c>
      <c r="C24" s="2910">
        <f>'ТЕ_2ст_тариф_з ЦТП'!K125/12</f>
        <v>0</v>
      </c>
      <c r="D24" s="2910">
        <f>'ТЕ_2ст_тариф_з ЦТП'!N125/12</f>
        <v>7332.2458333333334</v>
      </c>
      <c r="E24" s="2910">
        <f>'ТЕ_2ст_тариф_з ЦТП'!Q125/12</f>
        <v>7332.2458333333334</v>
      </c>
    </row>
    <row r="25" spans="1:6" ht="27.6" x14ac:dyDescent="0.25">
      <c r="A25" s="2848" t="s">
        <v>2257</v>
      </c>
      <c r="B25" s="2843">
        <f>B26-B28</f>
        <v>2633.6741473726725</v>
      </c>
      <c r="C25" s="2843">
        <f>C26-C28</f>
        <v>0.50451125019879584</v>
      </c>
      <c r="D25" s="2843">
        <f>D26-D28</f>
        <v>398.89232804268067</v>
      </c>
      <c r="E25" s="2843">
        <f>E26-E28</f>
        <v>130.73745254147525</v>
      </c>
      <c r="F25" s="2115"/>
    </row>
    <row r="26" spans="1:6" x14ac:dyDescent="0.25">
      <c r="A26" s="2844" t="s">
        <v>3371</v>
      </c>
      <c r="B26" s="1292">
        <f>'Д 3.1_Т на Т без ЦТП'!H45</f>
        <v>37699.774147372671</v>
      </c>
      <c r="C26" s="1292">
        <f>'Д 3.1_Т на Т без ЦТП'!I45</f>
        <v>8.6352526771709375</v>
      </c>
      <c r="D26" s="1292">
        <f>'Д 3.1_Т на Т без ЦТП'!J45</f>
        <v>6827.4712254210426</v>
      </c>
      <c r="E26" s="1292">
        <f>'Д 3.1_Т на Т без ЦТП'!K45</f>
        <v>2237.7121156771605</v>
      </c>
    </row>
    <row r="27" spans="1:6" x14ac:dyDescent="0.25">
      <c r="A27" s="1239"/>
      <c r="B27" s="2849">
        <f>B26/B6*1000</f>
        <v>551.32054832629467</v>
      </c>
      <c r="C27" s="2849">
        <f>C26/C6*1000</f>
        <v>649.6737283715903</v>
      </c>
      <c r="D27" s="2849">
        <f>D26/D6*1000</f>
        <v>649.67372837159041</v>
      </c>
      <c r="E27" s="2849">
        <f>E26/E6*1000</f>
        <v>649.67372837159019</v>
      </c>
    </row>
    <row r="28" spans="1:6" x14ac:dyDescent="0.25">
      <c r="A28" s="2844" t="s">
        <v>3372</v>
      </c>
      <c r="B28" s="1292">
        <f>'ТЕ_2ст_тариф_без ЦТП'!H120</f>
        <v>35066.1</v>
      </c>
      <c r="C28" s="1292">
        <f>'ТЕ_2ст_тариф_без ЦТП'!K120</f>
        <v>8.1307414269721416</v>
      </c>
      <c r="D28" s="1292">
        <f>'ТЕ_2ст_тариф_без ЦТП'!N120</f>
        <v>6428.5788973783619</v>
      </c>
      <c r="E28" s="1292">
        <f>'ТЕ_2ст_тариф_без ЦТП'!Q120</f>
        <v>2106.9746631356852</v>
      </c>
    </row>
    <row r="29" spans="1:6" x14ac:dyDescent="0.25">
      <c r="A29" s="1239"/>
      <c r="B29" s="2849">
        <f>B28/B6*1000</f>
        <v>512.80576387781855</v>
      </c>
      <c r="C29" s="2849">
        <f>C28/C6*1000</f>
        <v>611.71679564759665</v>
      </c>
      <c r="D29" s="2849">
        <f>D28/D6*1000</f>
        <v>611.71679564759643</v>
      </c>
      <c r="E29" s="2849">
        <f>E28/E6*1000</f>
        <v>611.71679564759643</v>
      </c>
    </row>
    <row r="30" spans="1:6" x14ac:dyDescent="0.25">
      <c r="A30" s="1239"/>
      <c r="B30" s="2849">
        <f>'ТЕ_2ст_тариф_без ЦТП'!H124</f>
        <v>133.78</v>
      </c>
      <c r="C30" s="2849">
        <f>'ТЕ_2ст_тариф_без ЦТП'!K124</f>
        <v>133.78</v>
      </c>
      <c r="D30" s="2849">
        <f>'ТЕ_2ст_тариф_без ЦТП'!N124</f>
        <v>133.78</v>
      </c>
      <c r="E30" s="2849">
        <f>'ТЕ_2ст_тариф_без ЦТП'!Q124</f>
        <v>133.78</v>
      </c>
    </row>
    <row r="31" spans="1:6" x14ac:dyDescent="0.25">
      <c r="A31" s="1239"/>
      <c r="B31" s="2849">
        <f>'ТЕ_2ст_тариф_без ЦТП'!H125/12</f>
        <v>3632.1416666666664</v>
      </c>
      <c r="C31" s="2849">
        <f>'ТЕ_2ст_тариф_без ЦТП'!K125/12</f>
        <v>4580.0166666666664</v>
      </c>
      <c r="D31" s="2849">
        <f>'ТЕ_2ст_тариф_без ЦТП'!N125/12</f>
        <v>4580.0166666666664</v>
      </c>
      <c r="E31" s="2849">
        <f>'ТЕ_2ст_тариф_без ЦТП'!Q125/12</f>
        <v>4580.0166666666664</v>
      </c>
    </row>
    <row r="32" spans="1:6" x14ac:dyDescent="0.25">
      <c r="A32" s="2874" t="s">
        <v>2233</v>
      </c>
      <c r="B32" s="2850">
        <f>B33-B35</f>
        <v>-1.4834043697646848E-3</v>
      </c>
      <c r="C32" s="2850">
        <f>C33-C35</f>
        <v>1.1773787010338488E-6</v>
      </c>
      <c r="D32" s="2850">
        <f>D33-D35</f>
        <v>1.108983963092669E-3</v>
      </c>
      <c r="E32" s="2850">
        <f>E33-E35</f>
        <v>3.7324302837760115E-4</v>
      </c>
    </row>
    <row r="33" spans="1:7" x14ac:dyDescent="0.25">
      <c r="A33" s="1239" t="s">
        <v>3371</v>
      </c>
      <c r="B33" s="2851">
        <f>'Д 4_Т на П'!H40</f>
        <v>1705.3265431232933</v>
      </c>
      <c r="C33" s="2852">
        <f>'Д 4_Т на П'!I40</f>
        <v>0.27625630034598986</v>
      </c>
      <c r="D33" s="2852">
        <f>'Д 4_Т на П'!J40</f>
        <v>260.20838199004697</v>
      </c>
      <c r="E33" s="2852">
        <f>'Д 4_Т на П'!K40</f>
        <v>87.576527466434442</v>
      </c>
    </row>
    <row r="34" spans="1:7" x14ac:dyDescent="0.25">
      <c r="A34" s="1239"/>
      <c r="B34" s="2853">
        <f>B33/B4*1000</f>
        <v>20.784158534978825</v>
      </c>
      <c r="C34" s="2853">
        <f>C33/C4*1000</f>
        <v>20.784158534978822</v>
      </c>
      <c r="D34" s="2853">
        <f>D33/D4*1000</f>
        <v>20.784158534978822</v>
      </c>
      <c r="E34" s="2853">
        <f>E33/E4*1000</f>
        <v>20.784158534978822</v>
      </c>
    </row>
    <row r="35" spans="1:7" x14ac:dyDescent="0.25">
      <c r="A35" s="1239" t="s">
        <v>3372</v>
      </c>
      <c r="B35" s="2851">
        <f>'ТЕ_2ст_тариф_з ЦТП'!H159</f>
        <v>1705.328026527663</v>
      </c>
      <c r="C35" s="4711">
        <f>'ТЕ_2ст_тариф_з ЦТП'!K159</f>
        <v>0.27625512296728882</v>
      </c>
      <c r="D35" s="2852">
        <f>'ТЕ_2ст_тариф_з ЦТП'!N159</f>
        <v>260.20727300608388</v>
      </c>
      <c r="E35" s="2852">
        <f>'ТЕ_2ст_тариф_з ЦТП'!Q159</f>
        <v>87.576154223406064</v>
      </c>
    </row>
    <row r="36" spans="1:7" x14ac:dyDescent="0.25">
      <c r="A36" s="1886"/>
      <c r="B36" s="2855">
        <f>B35/B4*1000</f>
        <v>20.784176614396937</v>
      </c>
      <c r="C36" s="2855">
        <f>C35/C4*1000</f>
        <v>20.784069954825007</v>
      </c>
      <c r="D36" s="2855">
        <f>D35/D4*1000</f>
        <v>20.784069954825004</v>
      </c>
      <c r="E36" s="2855">
        <f>E35/E4*1000</f>
        <v>20.784069954825004</v>
      </c>
    </row>
    <row r="37" spans="1:7" x14ac:dyDescent="0.25">
      <c r="A37" s="2911"/>
      <c r="B37" s="2679"/>
      <c r="C37" s="2679">
        <v>0</v>
      </c>
      <c r="D37" s="2679">
        <v>0</v>
      </c>
      <c r="E37" s="2679">
        <v>0</v>
      </c>
    </row>
    <row r="38" spans="1:7" ht="14.4" thickBot="1" x14ac:dyDescent="0.3">
      <c r="A38" s="2911"/>
      <c r="B38" s="2913">
        <f>'ТЕ_2ст_тариф_з ЦТП'!H164</f>
        <v>2390.08</v>
      </c>
      <c r="C38" s="2913">
        <f>'ТЕ_2ст_тариф_без ЦТП'!K164/12</f>
        <v>199.17333333333332</v>
      </c>
      <c r="D38" s="2913">
        <f>'ТЕ_2ст_тариф_без ЦТП'!N164/12</f>
        <v>199.17333333333332</v>
      </c>
      <c r="E38" s="2913">
        <f>'ТЕ_2ст_тариф_без ЦТП'!Q164/12</f>
        <v>199.17333333333332</v>
      </c>
    </row>
    <row r="39" spans="1:7" ht="14.4" thickBot="1" x14ac:dyDescent="0.3">
      <c r="A39" s="2858" t="s">
        <v>2835</v>
      </c>
      <c r="B39" s="2912"/>
      <c r="C39" s="2912"/>
      <c r="D39" s="2912"/>
      <c r="E39" s="2912"/>
      <c r="F39" s="2114"/>
    </row>
    <row r="40" spans="1:7" x14ac:dyDescent="0.25">
      <c r="A40" s="2859" t="s">
        <v>3377</v>
      </c>
      <c r="B40" s="2860">
        <f>B41*B5/1000</f>
        <v>31322.971377645186</v>
      </c>
      <c r="C40" s="2860">
        <f>C41*C5/1000</f>
        <v>0</v>
      </c>
      <c r="D40" s="2860">
        <f>D41*D5/1000</f>
        <v>6909.4182821362556</v>
      </c>
      <c r="E40" s="2860">
        <f>E41*E5/1000</f>
        <v>2643.7080368440993</v>
      </c>
      <c r="F40" s="2115"/>
    </row>
    <row r="41" spans="1:7" x14ac:dyDescent="0.25">
      <c r="A41" s="2856"/>
      <c r="B41" s="2854">
        <f>B13+B20+B34</f>
        <v>2291.6205284132493</v>
      </c>
      <c r="C41" s="2854">
        <v>0</v>
      </c>
      <c r="D41" s="2854">
        <f>D13+D20+D34</f>
        <v>3436.7070083408057</v>
      </c>
      <c r="E41" s="2854">
        <f>E13+E20+E34</f>
        <v>3436.7070083408053</v>
      </c>
      <c r="G41" s="2115"/>
    </row>
    <row r="42" spans="1:7" x14ac:dyDescent="0.25">
      <c r="A42" s="2856" t="s">
        <v>3378</v>
      </c>
      <c r="B42" s="789">
        <f>(B44*B5+B8*B45*12)/1000</f>
        <v>17195.749551896886</v>
      </c>
      <c r="C42" s="789">
        <f>(C44*C5+C8*C45*12)/1000</f>
        <v>0</v>
      </c>
      <c r="D42" s="789">
        <f>(D44*D5+D8*D45*12)/1000</f>
        <v>4502.5850024176452</v>
      </c>
      <c r="E42" s="789">
        <f>(E44*E5+E8*E45*12)/1000</f>
        <v>1722.7962863734608</v>
      </c>
      <c r="F42" s="2115"/>
      <c r="G42" s="2115"/>
    </row>
    <row r="43" spans="1:7" ht="14.4" thickBot="1" x14ac:dyDescent="0.3">
      <c r="A43" s="2862"/>
      <c r="B43" s="2854">
        <f>B15+B22+B36</f>
        <v>2249.013905300008</v>
      </c>
      <c r="C43" s="2854">
        <v>0</v>
      </c>
      <c r="D43" s="2854">
        <f t="shared" ref="D43:E45" si="0">D15+D22+D36</f>
        <v>3394.7355520485271</v>
      </c>
      <c r="E43" s="2854">
        <f t="shared" si="0"/>
        <v>3393.8654896305097</v>
      </c>
    </row>
    <row r="44" spans="1:7" x14ac:dyDescent="0.25">
      <c r="A44" s="2914"/>
      <c r="B44" s="2854">
        <f>B16+B23+B37</f>
        <v>1143.25</v>
      </c>
      <c r="C44" s="2854">
        <v>0</v>
      </c>
      <c r="D44" s="2854">
        <f t="shared" si="0"/>
        <v>2130.2600000000002</v>
      </c>
      <c r="E44" s="2854">
        <f t="shared" si="0"/>
        <v>2130.2600000000002</v>
      </c>
    </row>
    <row r="45" spans="1:7" ht="14.4" thickBot="1" x14ac:dyDescent="0.3">
      <c r="A45" s="2914"/>
      <c r="B45" s="2854">
        <f>B17+B24+B38</f>
        <v>13202.306666666665</v>
      </c>
      <c r="C45" s="2854">
        <v>0</v>
      </c>
      <c r="D45" s="2854">
        <f t="shared" si="0"/>
        <v>12569.185833333335</v>
      </c>
      <c r="E45" s="2854">
        <f t="shared" si="0"/>
        <v>12569.185833333335</v>
      </c>
    </row>
    <row r="46" spans="1:7" x14ac:dyDescent="0.25">
      <c r="A46" s="2859" t="s">
        <v>3379</v>
      </c>
      <c r="B46" s="2860">
        <f>B47*B6/1000</f>
        <v>129477.56537818076</v>
      </c>
      <c r="C46" s="2860">
        <f>C47*C6/1000</f>
        <v>40.201728437578787</v>
      </c>
      <c r="D46" s="2860">
        <f>D47*D6/1000</f>
        <v>31785.537074716303</v>
      </c>
      <c r="E46" s="2861">
        <f>E47*E6/1000</f>
        <v>10417.748983044879</v>
      </c>
      <c r="F46" s="2115"/>
    </row>
    <row r="47" spans="1:7" x14ac:dyDescent="0.25">
      <c r="A47" s="2857"/>
      <c r="B47" s="2864">
        <f>B13+B27+B34</f>
        <v>1893.4766574782534</v>
      </c>
      <c r="C47" s="2864">
        <f>C13+C27+C34</f>
        <v>3024.5793351330999</v>
      </c>
      <c r="D47" s="2864">
        <f>D13+D27+D34</f>
        <v>3024.5793351331013</v>
      </c>
      <c r="E47" s="2915">
        <f>E13+E27+E34</f>
        <v>3024.5793351331008</v>
      </c>
      <c r="G47" s="2115"/>
    </row>
    <row r="48" spans="1:7" x14ac:dyDescent="0.25">
      <c r="A48" s="2856" t="s">
        <v>3380</v>
      </c>
      <c r="B48" s="789">
        <f>(B50*B6+B9*B51*12)/1000</f>
        <v>76237.323350343911</v>
      </c>
      <c r="C48" s="789">
        <f>(C50*C6+C9*C51*12)/1000</f>
        <v>27.849755547909211</v>
      </c>
      <c r="D48" s="789">
        <f>(D50*D6+D9*D51*12)/1000</f>
        <v>22019.437270323684</v>
      </c>
      <c r="E48" s="2916">
        <f>(E50*E6+E9*E51*12)/1000</f>
        <v>7216.8977258718396</v>
      </c>
      <c r="F48" s="2115"/>
      <c r="G48" s="2115"/>
    </row>
    <row r="49" spans="1:11" x14ac:dyDescent="0.25">
      <c r="A49" s="2867"/>
      <c r="B49" s="2864">
        <f>B15+B29+B36</f>
        <v>1854.8900616735455</v>
      </c>
      <c r="C49" s="2864">
        <f>C15+C29+C36</f>
        <v>2987.1269746299286</v>
      </c>
      <c r="D49" s="2864">
        <f>D15+D29+D36</f>
        <v>2987.193895815331</v>
      </c>
      <c r="E49" s="2915">
        <f>E15+E29+E36</f>
        <v>2986.3238333973136</v>
      </c>
    </row>
    <row r="50" spans="1:11" x14ac:dyDescent="0.25">
      <c r="A50" s="1874"/>
      <c r="B50" s="2864">
        <f t="shared" ref="B50:E51" si="1">B16+B30+B37</f>
        <v>1022.9</v>
      </c>
      <c r="C50" s="2864">
        <f t="shared" si="1"/>
        <v>2009.91</v>
      </c>
      <c r="D50" s="2864">
        <f t="shared" si="1"/>
        <v>2009.91</v>
      </c>
      <c r="E50" s="2915">
        <f t="shared" si="1"/>
        <v>2009.91</v>
      </c>
    </row>
    <row r="51" spans="1:11" ht="14.4" thickBot="1" x14ac:dyDescent="0.3">
      <c r="A51" s="2917"/>
      <c r="B51" s="2918">
        <f t="shared" si="1"/>
        <v>10578.741666666665</v>
      </c>
      <c r="C51" s="2918">
        <f t="shared" si="1"/>
        <v>9816.9566666666669</v>
      </c>
      <c r="D51" s="2918">
        <f t="shared" si="1"/>
        <v>9816.9566666666669</v>
      </c>
      <c r="E51" s="2919">
        <f t="shared" si="1"/>
        <v>9816.9566666666669</v>
      </c>
    </row>
    <row r="52" spans="1:11" x14ac:dyDescent="0.25">
      <c r="A52" s="2871" t="s">
        <v>3371</v>
      </c>
      <c r="B52" s="2860">
        <f>B40+B46</f>
        <v>160800.53675582595</v>
      </c>
      <c r="C52" s="2860">
        <f>C40+C46</f>
        <v>40.201728437578787</v>
      </c>
      <c r="D52" s="2860">
        <f>D40+D46</f>
        <v>38694.955356852559</v>
      </c>
      <c r="E52" s="2861">
        <f>E40+E46</f>
        <v>13061.457019888978</v>
      </c>
      <c r="F52" s="2115"/>
      <c r="G52" s="2840"/>
      <c r="H52" s="2115"/>
      <c r="J52" s="2119"/>
      <c r="K52" s="2920"/>
    </row>
    <row r="53" spans="1:11" ht="14.4" thickBot="1" x14ac:dyDescent="0.3">
      <c r="A53" s="2869"/>
      <c r="B53" s="2868">
        <f>B12+B19+B26+B33-'Покриття втрат в мережах'!D12</f>
        <v>161281.69043176388</v>
      </c>
      <c r="C53" s="2868">
        <f>C12+C19+C26+C33-'Покриття втрат в мережах'!E12</f>
        <v>40.386120980848446</v>
      </c>
      <c r="D53" s="2868">
        <f>D12+D19+D26+D33-'Покриття втрат в мережах'!F12</f>
        <v>38811.131093289419</v>
      </c>
      <c r="E53" s="2870">
        <f>E12+E19+E26+E33-'Покриття втрат в мережах'!G12</f>
        <v>13117.96408731161</v>
      </c>
      <c r="F53" s="2115"/>
      <c r="G53" s="2840"/>
      <c r="J53" s="1121"/>
    </row>
    <row r="54" spans="1:11" x14ac:dyDescent="0.25">
      <c r="A54" s="2871" t="s">
        <v>3372</v>
      </c>
      <c r="B54" s="2860">
        <f>B42+B48</f>
        <v>93433.07290224079</v>
      </c>
      <c r="C54" s="2860">
        <f>C42+C48</f>
        <v>27.849755547909211</v>
      </c>
      <c r="D54" s="2860">
        <f>D42+D48</f>
        <v>26522.022272741327</v>
      </c>
      <c r="E54" s="2861">
        <f>E42+E48</f>
        <v>8939.6940122452997</v>
      </c>
      <c r="F54" s="2115"/>
      <c r="G54" s="2840"/>
      <c r="H54" s="2115"/>
      <c r="J54" s="2119"/>
      <c r="K54" s="2920"/>
    </row>
    <row r="55" spans="1:11" ht="14.4" thickBot="1" x14ac:dyDescent="0.3">
      <c r="A55" s="2869"/>
      <c r="B55" s="2868">
        <f>B14+B21+B28+B35-'Покриття втрат в мережах'!D32</f>
        <v>160861.92212171288</v>
      </c>
      <c r="C55" s="2868">
        <f>C14+C21+C28+C35-'Покриття втрат в мережах'!E32</f>
        <v>40.322611917348318</v>
      </c>
      <c r="D55" s="2868">
        <f>D14+D21+D28+D35-'Покриття втрат в мережах'!F32</f>
        <v>38751.810806400164</v>
      </c>
      <c r="E55" s="2870">
        <f>E14+E21+E28+E35-'Покриття втрат в мережах'!G32</f>
        <v>13093.949978714632</v>
      </c>
      <c r="F55" s="2115"/>
      <c r="G55" s="2840"/>
    </row>
    <row r="56" spans="1:11" x14ac:dyDescent="0.25">
      <c r="F56" s="2840"/>
      <c r="H56" s="2115"/>
      <c r="I56" s="2115"/>
    </row>
    <row r="57" spans="1:11" x14ac:dyDescent="0.25">
      <c r="B57" s="2115">
        <f>B54-B55</f>
        <v>-67428.849219472089</v>
      </c>
      <c r="C57" s="2115">
        <f>C54-C55</f>
        <v>-12.472856369439107</v>
      </c>
      <c r="D57" s="2115">
        <f>D54-D55</f>
        <v>-12229.788533658837</v>
      </c>
      <c r="E57" s="2115">
        <f>E54-E55</f>
        <v>-4154.2559664693326</v>
      </c>
      <c r="F57" s="2840"/>
      <c r="H57" s="2115"/>
    </row>
    <row r="58" spans="1:11" x14ac:dyDescent="0.25">
      <c r="F58" s="2873"/>
    </row>
    <row r="59" spans="1:11" x14ac:dyDescent="0.25">
      <c r="B59" s="2115">
        <f>B41-B43</f>
        <v>42.606623113241312</v>
      </c>
      <c r="C59" s="2115">
        <f>C41-C43</f>
        <v>0</v>
      </c>
      <c r="D59" s="2115">
        <f>D41-D43</f>
        <v>41.971456292278617</v>
      </c>
      <c r="E59" s="2115">
        <f>E41-E43</f>
        <v>42.841518710295531</v>
      </c>
      <c r="F59" s="729"/>
    </row>
  </sheetData>
  <pageMargins left="0.7" right="0.7" top="0.75" bottom="0.75" header="0.3" footer="0.3"/>
  <pageSetup paperSize="9" orientation="portrait" horizontalDpi="0" verticalDpi="0" r:id="rId1"/>
</worksheet>
</file>

<file path=xl/worksheets/sheet1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Лист18">
    <tabColor theme="7"/>
    <pageSetUpPr fitToPage="1"/>
  </sheetPr>
  <dimension ref="A1:S117"/>
  <sheetViews>
    <sheetView topLeftCell="A7" zoomScale="75" zoomScaleNormal="75" workbookViewId="0">
      <pane xSplit="2" ySplit="3" topLeftCell="C10" activePane="bottomRight" state="frozen"/>
      <selection activeCell="A7" sqref="A7"/>
      <selection pane="topRight" activeCell="C7" sqref="C7"/>
      <selection pane="bottomLeft" activeCell="A10" sqref="A10"/>
      <selection pane="bottomRight" activeCell="A7" sqref="A1:XFD1048576"/>
    </sheetView>
  </sheetViews>
  <sheetFormatPr defaultColWidth="9.109375" defaultRowHeight="15.6" x14ac:dyDescent="0.3"/>
  <cols>
    <col min="1" max="1" width="4.6640625" style="391" customWidth="1"/>
    <col min="2" max="2" width="63.33203125" style="391" customWidth="1"/>
    <col min="3" max="3" width="14.44140625" style="1283" customWidth="1"/>
    <col min="4" max="5" width="13.88671875" style="1283" customWidth="1"/>
    <col min="6" max="6" width="17.109375" style="1283" customWidth="1"/>
    <col min="7" max="7" width="20" style="1283" customWidth="1"/>
    <col min="8" max="8" width="17.5546875" style="1283" customWidth="1"/>
    <col min="9" max="9" width="16.88671875" style="1283" customWidth="1"/>
    <col min="10" max="10" width="15.44140625" style="1283" customWidth="1"/>
    <col min="11" max="11" width="18.6640625" style="720" customWidth="1"/>
    <col min="12" max="12" width="21.6640625" style="899" customWidth="1"/>
    <col min="13" max="13" width="33.5546875" style="391" customWidth="1"/>
    <col min="14" max="14" width="13.44140625" style="391" customWidth="1"/>
    <col min="15" max="15" width="20.33203125" style="391" customWidth="1"/>
    <col min="16" max="16" width="13.6640625" style="391" bestFit="1" customWidth="1"/>
    <col min="17" max="17" width="16.44140625" style="391" bestFit="1" customWidth="1"/>
    <col min="18" max="18" width="13.6640625" style="391" customWidth="1"/>
    <col min="19" max="19" width="13.5546875" style="391" bestFit="1" customWidth="1"/>
    <col min="20" max="20" width="9.109375" style="391"/>
    <col min="21" max="22" width="9.5546875" style="391" bestFit="1" customWidth="1"/>
    <col min="23" max="16384" width="9.109375" style="391"/>
  </cols>
  <sheetData>
    <row r="1" spans="2:17" x14ac:dyDescent="0.3">
      <c r="M1" s="899"/>
      <c r="Q1" s="399"/>
    </row>
    <row r="2" spans="2:17" ht="17.399999999999999" x14ac:dyDescent="0.3">
      <c r="B2" s="389"/>
      <c r="I2" s="2746" t="s">
        <v>821</v>
      </c>
      <c r="L2" s="391"/>
      <c r="M2" s="893"/>
      <c r="N2" s="399"/>
      <c r="O2" s="399"/>
      <c r="P2" s="399"/>
    </row>
    <row r="3" spans="2:17" ht="18" customHeight="1" x14ac:dyDescent="0.3">
      <c r="I3" s="1283" t="str">
        <f>'Вхідні дані'!F1</f>
        <v>станом на 01.09.2023 року</v>
      </c>
      <c r="L3" s="893"/>
    </row>
    <row r="4" spans="2:17" ht="19.2" x14ac:dyDescent="0.35">
      <c r="B4" s="509" t="s">
        <v>1666</v>
      </c>
      <c r="C4" s="2747"/>
      <c r="D4" s="510" t="str">
        <f>'Вхідні дані'!$F$5</f>
        <v>КП «КТЕ"</v>
      </c>
      <c r="E4" s="510"/>
      <c r="F4" s="510"/>
      <c r="G4" s="510" t="s">
        <v>461</v>
      </c>
      <c r="H4" s="510" t="str">
        <f>'Вхідні дані'!$F$6</f>
        <v>2023-2024</v>
      </c>
      <c r="I4" s="510" t="s">
        <v>661</v>
      </c>
      <c r="J4" s="395"/>
      <c r="K4" s="511"/>
      <c r="L4" s="894"/>
    </row>
    <row r="5" spans="2:17" ht="17.399999999999999" x14ac:dyDescent="0.3">
      <c r="B5" s="394"/>
      <c r="F5" s="395"/>
      <c r="G5" s="2748"/>
      <c r="H5" s="2748"/>
      <c r="I5" s="2748"/>
      <c r="J5" s="2748"/>
      <c r="K5" s="511"/>
      <c r="L5" s="894"/>
    </row>
    <row r="6" spans="2:17" ht="18.600000000000001" thickBot="1" x14ac:dyDescent="0.4">
      <c r="B6" s="419"/>
      <c r="F6" s="2749"/>
      <c r="G6" s="2749"/>
      <c r="H6" s="2749"/>
      <c r="I6" s="2749"/>
      <c r="J6" s="2749"/>
      <c r="K6" s="721"/>
      <c r="L6" s="895"/>
    </row>
    <row r="7" spans="2:17" ht="18" thickBot="1" x14ac:dyDescent="0.3">
      <c r="B7" s="5089" t="s">
        <v>2432</v>
      </c>
      <c r="C7" s="3011" t="s">
        <v>932</v>
      </c>
      <c r="D7" s="3011" t="s">
        <v>932</v>
      </c>
      <c r="E7" s="3011" t="s">
        <v>942</v>
      </c>
      <c r="F7" s="3011" t="s">
        <v>933</v>
      </c>
      <c r="G7" s="5091" t="s">
        <v>907</v>
      </c>
      <c r="H7" s="5092"/>
      <c r="I7" s="5092"/>
      <c r="J7" s="5093"/>
      <c r="K7" s="722"/>
      <c r="L7" s="507">
        <f>270000/30/1.2</f>
        <v>7500</v>
      </c>
    </row>
    <row r="8" spans="2:17" ht="54.6" customHeight="1" thickBot="1" x14ac:dyDescent="0.3">
      <c r="B8" s="5090"/>
      <c r="C8" s="3012">
        <f>'Вхідні дані'!$F$8</f>
        <v>2021</v>
      </c>
      <c r="D8" s="3012">
        <f>'Вхідні дані'!$F$7</f>
        <v>2022</v>
      </c>
      <c r="E8" s="3013" t="str">
        <f>'Вхідні дані'!$F$9</f>
        <v>Ріш. №296 від 25.10.2022</v>
      </c>
      <c r="F8" s="3011" t="str">
        <f>'Вхідні дані'!$F$6</f>
        <v>2023-2024</v>
      </c>
      <c r="G8" s="3014" t="str">
        <f>'Вхідні дані'!$C$11</f>
        <v>населення</v>
      </c>
      <c r="H8" s="3014" t="str">
        <f>'Вхідні дані'!$D$11</f>
        <v>релігійні організації</v>
      </c>
      <c r="I8" s="3014" t="str">
        <f>'Вхідні дані'!$E$11</f>
        <v>бюджетні установи</v>
      </c>
      <c r="J8" s="3014" t="str">
        <f>'Вхідні дані'!$F$11</f>
        <v>інші споживачі</v>
      </c>
      <c r="K8" s="722"/>
      <c r="L8" s="508"/>
    </row>
    <row r="9" spans="2:17" ht="21" customHeight="1" thickBot="1" x14ac:dyDescent="0.3">
      <c r="B9" s="3015" t="s">
        <v>3213</v>
      </c>
      <c r="C9" s="3016"/>
      <c r="D9" s="3016"/>
      <c r="E9" s="3017"/>
      <c r="F9" s="3018">
        <f>G9+H9+I9+J9</f>
        <v>1</v>
      </c>
      <c r="G9" s="3019">
        <f>'Д 7_РП'!E153</f>
        <v>0.83064748130592492</v>
      </c>
      <c r="H9" s="3019">
        <f>'Д 7_РП'!E154</f>
        <v>1.3437237172494665E-4</v>
      </c>
      <c r="I9" s="3019">
        <f>'Д 7_РП'!E155</f>
        <v>0.12654888938199155</v>
      </c>
      <c r="J9" s="3019">
        <f>'Д 7_РП'!E156</f>
        <v>4.2669256940358669E-2</v>
      </c>
      <c r="K9" s="722"/>
      <c r="L9" s="508"/>
    </row>
    <row r="10" spans="2:17" ht="34.799999999999997" x14ac:dyDescent="0.3">
      <c r="B10" s="400" t="s">
        <v>1688</v>
      </c>
      <c r="C10" s="1578">
        <f>C11+C29+C31</f>
        <v>113102.30962550636</v>
      </c>
      <c r="D10" s="4542">
        <f t="shared" ref="D10:J10" si="0">D11+D29+D31</f>
        <v>99460.556329999992</v>
      </c>
      <c r="E10" s="1578">
        <f t="shared" si="0"/>
        <v>264453.01604563743</v>
      </c>
      <c r="F10" s="1578">
        <f t="shared" si="0"/>
        <v>143860.61850577858</v>
      </c>
      <c r="G10" s="1578">
        <f t="shared" si="0"/>
        <v>104408.41565144414</v>
      </c>
      <c r="H10" s="1578">
        <f t="shared" si="0"/>
        <v>31.303260844245695</v>
      </c>
      <c r="I10" s="1578">
        <f t="shared" si="0"/>
        <v>29480.709784470029</v>
      </c>
      <c r="J10" s="1578">
        <f t="shared" si="0"/>
        <v>9940.189809020203</v>
      </c>
      <c r="K10" s="723"/>
      <c r="L10" s="896">
        <f>106894.19-106888.392</f>
        <v>5.797999999995227</v>
      </c>
      <c r="N10" s="399"/>
    </row>
    <row r="11" spans="2:17" ht="17.399999999999999" x14ac:dyDescent="0.3">
      <c r="B11" s="404" t="s">
        <v>1657</v>
      </c>
      <c r="C11" s="1579">
        <f>SUM(C12:C28)-C13-C14-C15</f>
        <v>100857.97878550636</v>
      </c>
      <c r="D11" s="3864">
        <f t="shared" ref="D11:J11" si="1">SUM(D12:D28)-D13-D14-D15</f>
        <v>85927.459129999988</v>
      </c>
      <c r="E11" s="1579">
        <f t="shared" si="1"/>
        <v>247349.40255608209</v>
      </c>
      <c r="F11" s="1579">
        <f t="shared" si="1"/>
        <v>125398.03179983831</v>
      </c>
      <c r="G11" s="1579">
        <f t="shared" si="1"/>
        <v>89072.514505762592</v>
      </c>
      <c r="H11" s="1579">
        <f t="shared" si="1"/>
        <v>28.822399280391032</v>
      </c>
      <c r="I11" s="1579">
        <f t="shared" si="1"/>
        <v>27144.289941714564</v>
      </c>
      <c r="J11" s="1579">
        <f t="shared" si="1"/>
        <v>9152.4049530807861</v>
      </c>
      <c r="K11" s="723"/>
      <c r="L11" s="896">
        <f>5937.35-4966.772</f>
        <v>970.57800000000043</v>
      </c>
      <c r="N11" s="399"/>
    </row>
    <row r="12" spans="2:17" ht="36" x14ac:dyDescent="0.35">
      <c r="B12" s="406" t="s">
        <v>1903</v>
      </c>
      <c r="C12" s="1581">
        <f>SUM(C13:C15)</f>
        <v>97718.766315506393</v>
      </c>
      <c r="D12" s="3865">
        <f>SUM(D13:D15)</f>
        <v>82691.585459999988</v>
      </c>
      <c r="E12" s="1581">
        <v>243029.48255653607</v>
      </c>
      <c r="F12" s="1581">
        <f>SUM(G12:J12)</f>
        <v>118804.3607936293</v>
      </c>
      <c r="G12" s="1581">
        <f>'Д 8_Паливо'!I48</f>
        <v>83595.498291895157</v>
      </c>
      <c r="H12" s="1581">
        <f>'Д 8_Паливо'!I49</f>
        <v>27.936392068912724</v>
      </c>
      <c r="I12" s="1581">
        <f>'Д 8_Паливо'!I50</f>
        <v>26309.868198928565</v>
      </c>
      <c r="J12" s="1581">
        <f>'Д 8_Паливо'!I51</f>
        <v>8871.0579107366611</v>
      </c>
      <c r="K12" s="516" t="s">
        <v>1690</v>
      </c>
      <c r="L12" s="898">
        <f>69992/1.2/1000</f>
        <v>58.326666666666668</v>
      </c>
      <c r="N12" s="399"/>
      <c r="O12" s="770"/>
    </row>
    <row r="13" spans="2:17" ht="18" x14ac:dyDescent="0.35">
      <c r="B13" s="463" t="s">
        <v>440</v>
      </c>
      <c r="C13" s="1581">
        <v>86395.614407179979</v>
      </c>
      <c r="D13" s="3865">
        <v>67426.365059999996</v>
      </c>
      <c r="E13" s="1581">
        <v>228734.5094662818</v>
      </c>
      <c r="F13" s="1581">
        <f>SUM(G13:J13)</f>
        <v>106894.19194377559</v>
      </c>
      <c r="G13" s="1581">
        <f>'Д 8_Паливо'!I10</f>
        <v>73702.346534835888</v>
      </c>
      <c r="H13" s="1581">
        <f>'Д 8_Паливо'!I11</f>
        <v>26.335994432913296</v>
      </c>
      <c r="I13" s="1581">
        <f>'Д 8_Паливо'!I12</f>
        <v>24802.649558627585</v>
      </c>
      <c r="J13" s="1581">
        <f>'Д 8_Паливо'!I13</f>
        <v>8362.8598558791964</v>
      </c>
      <c r="K13" s="516" t="s">
        <v>1690</v>
      </c>
      <c r="L13" s="896"/>
      <c r="N13" s="399"/>
      <c r="O13" s="770"/>
    </row>
    <row r="14" spans="2:17" ht="18" x14ac:dyDescent="0.35">
      <c r="B14" s="463" t="s">
        <v>1904</v>
      </c>
      <c r="C14" s="1581">
        <v>1619.3601883264</v>
      </c>
      <c r="D14" s="3865">
        <v>1293.5088000000001</v>
      </c>
      <c r="E14" s="1581">
        <v>2054.2531541542667</v>
      </c>
      <c r="F14" s="1581">
        <f>SUM(G14:J14)</f>
        <v>1959.8215398537277</v>
      </c>
      <c r="G14" s="1581">
        <f>'Д 8_Паливо'!I16</f>
        <v>1627.9208258885981</v>
      </c>
      <c r="H14" s="1581">
        <f>'Д 8_Паливо'!I17</f>
        <v>0.26334586846778241</v>
      </c>
      <c r="I14" s="1581">
        <f>'Д 8_Паливо'!I18</f>
        <v>248.01323925539364</v>
      </c>
      <c r="J14" s="1581">
        <f>'Д 8_Паливо'!I19</f>
        <v>83.624128841268089</v>
      </c>
      <c r="K14" s="516" t="s">
        <v>1690</v>
      </c>
      <c r="L14" s="896"/>
      <c r="N14" s="399"/>
      <c r="O14" s="770"/>
    </row>
    <row r="15" spans="2:17" ht="18" x14ac:dyDescent="0.35">
      <c r="B15" s="463" t="s">
        <v>1905</v>
      </c>
      <c r="C15" s="1581">
        <v>9703.7917200000011</v>
      </c>
      <c r="D15" s="3865">
        <v>13971.711599999999</v>
      </c>
      <c r="E15" s="1581">
        <v>12240.7199361</v>
      </c>
      <c r="F15" s="1581">
        <f>SUM(G15:J15)</f>
        <v>9950.3473099999992</v>
      </c>
      <c r="G15" s="1581">
        <f>'Д 8_Паливо'!I22</f>
        <v>8265.2309311706831</v>
      </c>
      <c r="H15" s="1581">
        <f>'Д 8_Паливо'!I23</f>
        <v>1.3370517675316425</v>
      </c>
      <c r="I15" s="1581">
        <f>'Д 8_Паливо'!I24</f>
        <v>1259.205401045587</v>
      </c>
      <c r="J15" s="1581">
        <f>'Д 8_Паливо'!I25</f>
        <v>424.57392601619659</v>
      </c>
      <c r="K15" s="516" t="s">
        <v>1690</v>
      </c>
      <c r="L15" s="1000"/>
      <c r="N15" s="399"/>
      <c r="O15" s="770"/>
    </row>
    <row r="16" spans="2:17" ht="19.5" customHeight="1" x14ac:dyDescent="0.35">
      <c r="B16" s="406" t="s">
        <v>1988</v>
      </c>
      <c r="C16" s="1581">
        <v>2813.79909</v>
      </c>
      <c r="D16" s="3865">
        <v>2831.3806500000001</v>
      </c>
      <c r="E16" s="1581">
        <v>3835.5365105267629</v>
      </c>
      <c r="F16" s="1581">
        <f>'Д 9_ЕЕ'!D235-F38</f>
        <v>5937.3503814675587</v>
      </c>
      <c r="G16" s="1581">
        <f>F16*$G$9</f>
        <v>4931.8451399967998</v>
      </c>
      <c r="H16" s="1581">
        <f>F16*$H$9</f>
        <v>0.79781585251981257</v>
      </c>
      <c r="I16" s="1581">
        <f>F16*$I$9</f>
        <v>751.36509664646337</v>
      </c>
      <c r="J16" s="1581">
        <f>F16*$J$9</f>
        <v>253.34232897177583</v>
      </c>
      <c r="K16" s="516" t="s">
        <v>1691</v>
      </c>
      <c r="L16" s="896"/>
      <c r="N16" s="399"/>
      <c r="O16" s="770"/>
    </row>
    <row r="17" spans="2:16" ht="36" x14ac:dyDescent="0.35">
      <c r="B17" s="406" t="s">
        <v>1689</v>
      </c>
      <c r="C17" s="1581">
        <v>30.959239999999998</v>
      </c>
      <c r="D17" s="3865">
        <v>34.119480000000003</v>
      </c>
      <c r="E17" s="1581">
        <v>37.583397437391703</v>
      </c>
      <c r="F17" s="1581">
        <f>ВОДА!J109+ВОДА!K109</f>
        <v>33.313922123945588</v>
      </c>
      <c r="G17" s="1581">
        <f t="shared" ref="G17:G81" si="2">F17*$G$9</f>
        <v>27.67212550467713</v>
      </c>
      <c r="H17" s="1581">
        <f t="shared" ref="H17:H81" si="3">F17*$H$9</f>
        <v>4.4764707272547406E-3</v>
      </c>
      <c r="I17" s="1581">
        <f t="shared" ref="I17:I81" si="4">F17*$I$9</f>
        <v>4.2158398457434707</v>
      </c>
      <c r="J17" s="1581">
        <f t="shared" ref="J17:J81" si="5">F17*$J$9</f>
        <v>1.4214803027977334</v>
      </c>
      <c r="K17" s="476" t="s">
        <v>1877</v>
      </c>
      <c r="L17" s="898"/>
      <c r="N17" s="399"/>
      <c r="O17" s="770"/>
    </row>
    <row r="18" spans="2:16" ht="18" x14ac:dyDescent="0.35">
      <c r="B18" s="406" t="s">
        <v>1692</v>
      </c>
      <c r="C18" s="1583">
        <v>41.594999999999999</v>
      </c>
      <c r="D18" s="3866">
        <v>37.799999999999997</v>
      </c>
      <c r="E18" s="1583">
        <v>75.967392000000004</v>
      </c>
      <c r="F18" s="1581">
        <f>'Вхідні дані'!$D$73*(270000/30/1.2)/1000000</f>
        <v>192.58500000000001</v>
      </c>
      <c r="G18" s="1581">
        <f t="shared" si="2"/>
        <v>159.97024518730154</v>
      </c>
      <c r="H18" s="1581">
        <f t="shared" si="3"/>
        <v>2.5878103208648851E-2</v>
      </c>
      <c r="I18" s="1581">
        <f t="shared" si="4"/>
        <v>24.371417861630842</v>
      </c>
      <c r="J18" s="1581">
        <f t="shared" si="5"/>
        <v>8.2174588478589747</v>
      </c>
      <c r="K18" s="476" t="s">
        <v>1713</v>
      </c>
      <c r="M18" s="391" t="s">
        <v>3692</v>
      </c>
      <c r="N18" s="399"/>
      <c r="O18" s="770"/>
      <c r="P18" s="706"/>
    </row>
    <row r="19" spans="2:16" ht="18" x14ac:dyDescent="0.35">
      <c r="B19" s="406" t="s">
        <v>934</v>
      </c>
      <c r="C19" s="1583">
        <v>1.45834</v>
      </c>
      <c r="D19" s="3866">
        <v>5.5727500000000001</v>
      </c>
      <c r="E19" s="1583">
        <v>13.931749999999999</v>
      </c>
      <c r="F19" s="1580">
        <f>ПММ!N11/1000</f>
        <v>14.317770000000001</v>
      </c>
      <c r="G19" s="1581">
        <f t="shared" si="2"/>
        <v>11.893019588417534</v>
      </c>
      <c r="H19" s="1581">
        <f t="shared" si="3"/>
        <v>1.9239127127122896E-3</v>
      </c>
      <c r="I19" s="1581">
        <f t="shared" si="4"/>
        <v>1.8118978919267972</v>
      </c>
      <c r="J19" s="1581">
        <f t="shared" si="5"/>
        <v>0.61092860694295914</v>
      </c>
      <c r="K19" s="476" t="s">
        <v>914</v>
      </c>
      <c r="N19" s="399"/>
      <c r="O19" s="770"/>
    </row>
    <row r="20" spans="2:16" ht="18" x14ac:dyDescent="0.35">
      <c r="B20" s="406" t="s">
        <v>935</v>
      </c>
      <c r="C20" s="1583">
        <v>4.8175799999999995</v>
      </c>
      <c r="D20" s="3866">
        <f>104.5392-45.36-7.05</f>
        <v>52.129199999999997</v>
      </c>
      <c r="E20" s="1583">
        <v>5.1162699599999995</v>
      </c>
      <c r="F20" s="1580">
        <f>D20*'Вхідні дані'!D71</f>
        <v>55.165725899999991</v>
      </c>
      <c r="G20" s="1581">
        <f t="shared" si="2"/>
        <v>45.823271273248018</v>
      </c>
      <c r="H20" s="1581">
        <f t="shared" si="3"/>
        <v>7.4127494271113157E-3</v>
      </c>
      <c r="I20" s="1581">
        <f t="shared" si="4"/>
        <v>6.9811613445963649</v>
      </c>
      <c r="J20" s="1581">
        <f t="shared" si="5"/>
        <v>2.3538805327284984</v>
      </c>
      <c r="K20" s="516" t="s">
        <v>965</v>
      </c>
      <c r="L20" s="898"/>
      <c r="N20" s="399"/>
      <c r="O20" s="770"/>
    </row>
    <row r="21" spans="2:16" ht="18" x14ac:dyDescent="0.35">
      <c r="B21" s="406" t="s">
        <v>936</v>
      </c>
      <c r="C21" s="1583">
        <v>49.902470000000001</v>
      </c>
      <c r="D21" s="3866">
        <v>46.223970000000001</v>
      </c>
      <c r="E21" s="1583">
        <v>52.996423140000005</v>
      </c>
      <c r="F21" s="1583">
        <f>D21*'Вхідні дані'!$D$71</f>
        <v>48.916516252499996</v>
      </c>
      <c r="G21" s="1581">
        <f t="shared" si="2"/>
        <v>40.63238101939946</v>
      </c>
      <c r="H21" s="1581">
        <f t="shared" si="3"/>
        <v>6.5730283053703235E-3</v>
      </c>
      <c r="I21" s="1581">
        <f t="shared" si="4"/>
        <v>6.1903308041900136</v>
      </c>
      <c r="J21" s="1581">
        <f t="shared" si="5"/>
        <v>2.0872314006051531</v>
      </c>
      <c r="K21" s="516" t="s">
        <v>965</v>
      </c>
      <c r="L21" s="898"/>
      <c r="N21" s="399"/>
      <c r="O21" s="770"/>
    </row>
    <row r="22" spans="2:16" ht="18" customHeight="1" x14ac:dyDescent="0.35">
      <c r="B22" s="406" t="s">
        <v>1570</v>
      </c>
      <c r="C22" s="1583">
        <v>42.709510000000002</v>
      </c>
      <c r="D22" s="3866">
        <f>45.36</f>
        <v>45.36</v>
      </c>
      <c r="E22" s="1583">
        <v>45.357499620000006</v>
      </c>
      <c r="F22" s="1583">
        <f>D22*'Вхідні дані'!$D$71</f>
        <v>48.002219999999994</v>
      </c>
      <c r="G22" s="1581">
        <f t="shared" si="2"/>
        <v>39.872923140092894</v>
      </c>
      <c r="H22" s="1581">
        <f t="shared" si="3"/>
        <v>6.4501721494626676E-3</v>
      </c>
      <c r="I22" s="1581">
        <f t="shared" si="4"/>
        <v>6.0746276288700214</v>
      </c>
      <c r="J22" s="1581">
        <f t="shared" si="5"/>
        <v>2.0482190588876232</v>
      </c>
      <c r="K22" s="516"/>
      <c r="L22" s="898"/>
      <c r="N22" s="399"/>
      <c r="O22" s="770"/>
    </row>
    <row r="23" spans="2:16" ht="18" x14ac:dyDescent="0.35">
      <c r="B23" s="406" t="s">
        <v>915</v>
      </c>
      <c r="C23" s="1583">
        <v>0.20899999999999999</v>
      </c>
      <c r="D23" s="3866">
        <v>0</v>
      </c>
      <c r="E23" s="1583">
        <v>0</v>
      </c>
      <c r="F23" s="1580">
        <v>0</v>
      </c>
      <c r="G23" s="1581">
        <f t="shared" si="2"/>
        <v>0</v>
      </c>
      <c r="H23" s="1581">
        <f t="shared" si="3"/>
        <v>0</v>
      </c>
      <c r="I23" s="1581">
        <f t="shared" si="4"/>
        <v>0</v>
      </c>
      <c r="J23" s="1581">
        <f t="shared" si="5"/>
        <v>0</v>
      </c>
      <c r="K23" s="516" t="s">
        <v>2021</v>
      </c>
      <c r="L23" s="898"/>
      <c r="N23" s="399"/>
      <c r="O23" s="770"/>
    </row>
    <row r="24" spans="2:16" ht="18" x14ac:dyDescent="0.35">
      <c r="B24" s="406" t="s">
        <v>937</v>
      </c>
      <c r="C24" s="1583">
        <v>54.08</v>
      </c>
      <c r="D24" s="3866">
        <v>33.32685</v>
      </c>
      <c r="E24" s="1583">
        <v>57.432960000000001</v>
      </c>
      <c r="F24" s="1583">
        <f>D24*'Вхідні дані'!$D$71</f>
        <v>35.268139012500001</v>
      </c>
      <c r="G24" s="1581">
        <f t="shared" si="2"/>
        <v>29.295390841080355</v>
      </c>
      <c r="H24" s="1581">
        <f t="shared" si="3"/>
        <v>4.7390634854347427E-3</v>
      </c>
      <c r="I24" s="1581">
        <f t="shared" si="4"/>
        <v>4.4631438226015634</v>
      </c>
      <c r="J24" s="1581">
        <f t="shared" si="5"/>
        <v>1.5048652853326501</v>
      </c>
      <c r="K24" s="516" t="s">
        <v>965</v>
      </c>
      <c r="L24" s="898"/>
      <c r="N24" s="399"/>
      <c r="O24" s="770"/>
    </row>
    <row r="25" spans="2:16" ht="18" x14ac:dyDescent="0.35">
      <c r="B25" s="406" t="s">
        <v>938</v>
      </c>
      <c r="C25" s="1583">
        <v>28.831159999999997</v>
      </c>
      <c r="D25" s="3866">
        <v>42.066470000000002</v>
      </c>
      <c r="E25" s="1583">
        <v>30.61869192</v>
      </c>
      <c r="F25" s="1583">
        <f>D25*'Вхідні дані'!$D$71</f>
        <v>44.516841877499999</v>
      </c>
      <c r="G25" s="1581">
        <f t="shared" si="2"/>
        <v>36.977802581239494</v>
      </c>
      <c r="H25" s="1581">
        <f t="shared" si="3"/>
        <v>5.9818336247841018E-3</v>
      </c>
      <c r="I25" s="1581">
        <f t="shared" si="4"/>
        <v>5.6335568983913564</v>
      </c>
      <c r="J25" s="1581">
        <f t="shared" si="5"/>
        <v>1.8995005642443663</v>
      </c>
      <c r="K25" s="516" t="s">
        <v>965</v>
      </c>
      <c r="L25" s="898"/>
      <c r="N25" s="399"/>
      <c r="O25" s="770"/>
    </row>
    <row r="26" spans="2:16" ht="18" x14ac:dyDescent="0.35">
      <c r="B26" s="406" t="s">
        <v>939</v>
      </c>
      <c r="C26" s="1583">
        <v>6.6407700000000007</v>
      </c>
      <c r="D26" s="3866">
        <f>0.1251+7.05</f>
        <v>7.1750999999999996</v>
      </c>
      <c r="E26" s="1583">
        <v>7.0524977400000015</v>
      </c>
      <c r="F26" s="1583">
        <f>D26*'Вхідні дані'!$D$71</f>
        <v>7.5930495749999993</v>
      </c>
      <c r="G26" s="1581">
        <f t="shared" si="2"/>
        <v>6.3071475049047727</v>
      </c>
      <c r="H26" s="1581">
        <f t="shared" si="3"/>
        <v>1.020296080017848E-3</v>
      </c>
      <c r="I26" s="1581">
        <f t="shared" si="4"/>
        <v>0.96089199073865283</v>
      </c>
      <c r="J26" s="1581">
        <f t="shared" si="5"/>
        <v>0.32398978327655614</v>
      </c>
      <c r="K26" s="516" t="s">
        <v>965</v>
      </c>
      <c r="L26" s="898"/>
      <c r="N26" s="399"/>
      <c r="O26" s="770"/>
    </row>
    <row r="27" spans="2:16" ht="18" x14ac:dyDescent="0.35">
      <c r="B27" s="406" t="s">
        <v>940</v>
      </c>
      <c r="C27" s="1583">
        <v>36.403400000000005</v>
      </c>
      <c r="D27" s="3866">
        <v>68.109380000000002</v>
      </c>
      <c r="E27" s="1583">
        <v>128.50968999999998</v>
      </c>
      <c r="F27" s="1580">
        <f>ОП!D6</f>
        <v>139.53451999999999</v>
      </c>
      <c r="G27" s="1581">
        <f t="shared" si="2"/>
        <v>115.9039975932312</v>
      </c>
      <c r="H27" s="1581">
        <f t="shared" si="3"/>
        <v>1.8749584389901999E-2</v>
      </c>
      <c r="I27" s="1581">
        <f t="shared" si="4"/>
        <v>17.657938536449286</v>
      </c>
      <c r="J27" s="1581">
        <f t="shared" si="5"/>
        <v>5.9538342859296147</v>
      </c>
      <c r="K27" s="516" t="s">
        <v>1409</v>
      </c>
      <c r="L27" s="898"/>
      <c r="N27" s="399"/>
      <c r="O27" s="770"/>
    </row>
    <row r="28" spans="2:16" ht="18" x14ac:dyDescent="0.35">
      <c r="B28" s="406" t="s">
        <v>941</v>
      </c>
      <c r="C28" s="1583">
        <v>27.806909999999995</v>
      </c>
      <c r="D28" s="3866">
        <v>32.609819999999999</v>
      </c>
      <c r="E28" s="1583">
        <v>29.816917201800003</v>
      </c>
      <c r="F28" s="1583">
        <f>ОП!D8</f>
        <v>37.106920000000002</v>
      </c>
      <c r="G28" s="1581">
        <f t="shared" si="2"/>
        <v>30.822769637020453</v>
      </c>
      <c r="H28" s="1581">
        <f t="shared" si="3"/>
        <v>4.9861448478078574E-3</v>
      </c>
      <c r="I28" s="1581">
        <f t="shared" si="4"/>
        <v>4.6958395143864102</v>
      </c>
      <c r="J28" s="1581">
        <f t="shared" si="5"/>
        <v>1.583324703745334</v>
      </c>
      <c r="K28" s="516" t="s">
        <v>1409</v>
      </c>
      <c r="L28" s="898"/>
      <c r="N28" s="399"/>
      <c r="O28" s="770"/>
    </row>
    <row r="29" spans="2:16" ht="18" x14ac:dyDescent="0.35">
      <c r="B29" s="410" t="s">
        <v>1659</v>
      </c>
      <c r="C29" s="1582">
        <v>7334.8339500000002</v>
      </c>
      <c r="D29" s="3867">
        <v>8106.6893399999999</v>
      </c>
      <c r="E29" s="1579">
        <v>10366.7803628</v>
      </c>
      <c r="F29" s="1579">
        <f>ФОП!H9/1000</f>
        <v>11228.939355305936</v>
      </c>
      <c r="G29" s="1579">
        <f t="shared" si="2"/>
        <v>9327.290193221852</v>
      </c>
      <c r="H29" s="1579">
        <f t="shared" si="3"/>
        <v>1.508859213128052</v>
      </c>
      <c r="I29" s="1579">
        <f t="shared" si="4"/>
        <v>1421.0098043517023</v>
      </c>
      <c r="J29" s="1579">
        <f t="shared" si="5"/>
        <v>479.13049851925439</v>
      </c>
      <c r="K29" s="720" t="s">
        <v>1663</v>
      </c>
      <c r="L29" s="898"/>
      <c r="N29" s="399"/>
      <c r="O29" s="770"/>
    </row>
    <row r="30" spans="2:16" ht="18" x14ac:dyDescent="0.35">
      <c r="B30" s="463" t="s">
        <v>917</v>
      </c>
      <c r="C30" s="1581">
        <v>35.318730000000002</v>
      </c>
      <c r="D30" s="3865"/>
      <c r="E30" s="1581">
        <v>0</v>
      </c>
      <c r="F30" s="1581">
        <f>ФОП!H10/1000</f>
        <v>0</v>
      </c>
      <c r="G30" s="1581">
        <f t="shared" si="2"/>
        <v>0</v>
      </c>
      <c r="H30" s="1581">
        <f t="shared" si="3"/>
        <v>0</v>
      </c>
      <c r="I30" s="1581">
        <f t="shared" si="4"/>
        <v>0</v>
      </c>
      <c r="J30" s="1581">
        <f t="shared" si="5"/>
        <v>0</v>
      </c>
      <c r="K30" s="720" t="s">
        <v>1663</v>
      </c>
      <c r="L30" s="898"/>
      <c r="M30" s="399"/>
      <c r="N30" s="399"/>
      <c r="O30" s="770"/>
    </row>
    <row r="31" spans="2:16" ht="17.399999999999999" x14ac:dyDescent="0.3">
      <c r="B31" s="410" t="s">
        <v>1660</v>
      </c>
      <c r="C31" s="1582">
        <f t="shared" ref="C31:J31" si="6">SUM(C32:C82)</f>
        <v>4909.4968899999994</v>
      </c>
      <c r="D31" s="3867">
        <f t="shared" si="6"/>
        <v>5426.4078600000021</v>
      </c>
      <c r="E31" s="1582">
        <f t="shared" si="6"/>
        <v>6736.8331267553576</v>
      </c>
      <c r="F31" s="1582">
        <f t="shared" si="6"/>
        <v>7233.6473506343445</v>
      </c>
      <c r="G31" s="1582">
        <f t="shared" si="6"/>
        <v>6008.6109524596959</v>
      </c>
      <c r="H31" s="1582">
        <f t="shared" si="6"/>
        <v>0.97200235072661356</v>
      </c>
      <c r="I31" s="1582">
        <f t="shared" si="6"/>
        <v>915.41003840376175</v>
      </c>
      <c r="J31" s="1582">
        <f t="shared" si="6"/>
        <v>308.65435742016155</v>
      </c>
      <c r="L31" s="896"/>
      <c r="M31" s="399"/>
      <c r="N31" s="399"/>
      <c r="O31" s="770"/>
    </row>
    <row r="32" spans="2:16" ht="36" x14ac:dyDescent="0.35">
      <c r="B32" s="406" t="s">
        <v>548</v>
      </c>
      <c r="C32" s="1583">
        <v>1608.3573699999999</v>
      </c>
      <c r="D32" s="3866">
        <v>1788.1156299999998</v>
      </c>
      <c r="E32" s="1583">
        <v>2280.691679816</v>
      </c>
      <c r="F32" s="1583">
        <f>(F29-F30)*'Вхідні дані'!D43+'Вхідні дані'!D44*F30</f>
        <v>2470.366658167306</v>
      </c>
      <c r="G32" s="1581">
        <f t="shared" si="2"/>
        <v>2052.0038425088073</v>
      </c>
      <c r="H32" s="1581">
        <f t="shared" si="3"/>
        <v>0.33194902688817146</v>
      </c>
      <c r="I32" s="1581">
        <f t="shared" si="4"/>
        <v>312.62215695737456</v>
      </c>
      <c r="J32" s="1581">
        <f t="shared" si="5"/>
        <v>105.40870967423598</v>
      </c>
      <c r="K32" s="720" t="s">
        <v>1663</v>
      </c>
      <c r="L32" s="898"/>
      <c r="N32" s="399"/>
      <c r="O32" s="770"/>
    </row>
    <row r="33" spans="1:17" s="411" customFormat="1" ht="36" x14ac:dyDescent="0.35">
      <c r="A33" s="391"/>
      <c r="B33" s="406" t="s">
        <v>1661</v>
      </c>
      <c r="C33" s="1583">
        <f>2061.49635+4.38567</f>
        <v>2065.88202</v>
      </c>
      <c r="D33" s="3866">
        <f>2268.25+32.91144</f>
        <v>2301.1614399999999</v>
      </c>
      <c r="E33" s="1583">
        <f>2166.00048+133.58437</f>
        <v>2299.5848500000002</v>
      </c>
      <c r="F33" s="1583">
        <f>Амортизація!G9/1000</f>
        <v>2122.9628600000001</v>
      </c>
      <c r="G33" s="1581">
        <f t="shared" si="2"/>
        <v>1763.433752565023</v>
      </c>
      <c r="H33" s="1581">
        <f t="shared" si="3"/>
        <v>0.2852675545821759</v>
      </c>
      <c r="I33" s="1581">
        <f t="shared" si="4"/>
        <v>268.65859213221643</v>
      </c>
      <c r="J33" s="1581">
        <f t="shared" si="5"/>
        <v>90.585247748178688</v>
      </c>
      <c r="K33" s="476" t="s">
        <v>1727</v>
      </c>
      <c r="L33" s="898"/>
      <c r="N33" s="399"/>
      <c r="O33" s="770"/>
      <c r="P33" s="529"/>
      <c r="Q33" s="529"/>
    </row>
    <row r="34" spans="1:17" s="411" customFormat="1" ht="56.4" customHeight="1" x14ac:dyDescent="0.35">
      <c r="A34" s="4021" t="s">
        <v>3803</v>
      </c>
      <c r="B34" s="406" t="s">
        <v>1662</v>
      </c>
      <c r="C34" s="1583"/>
      <c r="D34" s="3866"/>
      <c r="E34" s="1583"/>
      <c r="F34" s="1583">
        <v>0</v>
      </c>
      <c r="G34" s="1581">
        <f t="shared" si="2"/>
        <v>0</v>
      </c>
      <c r="H34" s="1581">
        <f t="shared" si="3"/>
        <v>0</v>
      </c>
      <c r="I34" s="1581">
        <f t="shared" si="4"/>
        <v>0</v>
      </c>
      <c r="J34" s="1581">
        <f t="shared" si="5"/>
        <v>0</v>
      </c>
      <c r="K34" s="516"/>
      <c r="L34" s="898"/>
      <c r="N34" s="399"/>
      <c r="O34" s="770"/>
    </row>
    <row r="35" spans="1:17" ht="18" customHeight="1" x14ac:dyDescent="0.35">
      <c r="B35" s="464" t="s">
        <v>1390</v>
      </c>
      <c r="C35" s="1584">
        <v>485.08694000000003</v>
      </c>
      <c r="D35" s="3868">
        <v>269.56459000000001</v>
      </c>
      <c r="E35" s="1583">
        <v>610.07500000000005</v>
      </c>
      <c r="F35" s="1583">
        <f>'Ремонт-план'!C5/1000</f>
        <v>1244.7175333333332</v>
      </c>
      <c r="G35" s="1581">
        <f t="shared" si="2"/>
        <v>1033.9214840006568</v>
      </c>
      <c r="H35" s="1581">
        <f t="shared" si="3"/>
        <v>0.16725564708162532</v>
      </c>
      <c r="I35" s="1581">
        <f t="shared" si="4"/>
        <v>157.51762143762537</v>
      </c>
      <c r="J35" s="1581">
        <f t="shared" si="5"/>
        <v>53.111172247969449</v>
      </c>
      <c r="K35" s="516" t="s">
        <v>2546</v>
      </c>
      <c r="L35" s="898"/>
      <c r="M35" s="399"/>
      <c r="N35" s="399"/>
      <c r="O35" s="770"/>
    </row>
    <row r="36" spans="1:17" ht="18" customHeight="1" x14ac:dyDescent="0.35">
      <c r="B36" s="464" t="s">
        <v>3514</v>
      </c>
      <c r="C36" s="1584"/>
      <c r="D36" s="3868">
        <v>1.28</v>
      </c>
      <c r="E36" s="1584"/>
      <c r="F36" s="1584"/>
      <c r="G36" s="1581">
        <f t="shared" si="2"/>
        <v>0</v>
      </c>
      <c r="H36" s="1581">
        <f t="shared" si="3"/>
        <v>0</v>
      </c>
      <c r="I36" s="1581">
        <f t="shared" si="4"/>
        <v>0</v>
      </c>
      <c r="J36" s="1581">
        <f t="shared" si="5"/>
        <v>0</v>
      </c>
      <c r="K36" s="516"/>
      <c r="L36" s="898"/>
      <c r="M36" s="399"/>
      <c r="N36" s="399"/>
      <c r="O36" s="770"/>
    </row>
    <row r="37" spans="1:17" ht="36" x14ac:dyDescent="0.35">
      <c r="B37" s="464" t="s">
        <v>1693</v>
      </c>
      <c r="C37" s="1583"/>
      <c r="D37" s="3866"/>
      <c r="E37" s="1583">
        <v>10.275594703125</v>
      </c>
      <c r="F37" s="1583">
        <f>ВОДА!J28*('Вхідні дані'!D36+'Вхідні дані'!D38*'Вхідні дані'!D37)/1000</f>
        <v>10.788953664140625</v>
      </c>
      <c r="G37" s="1581">
        <f t="shared" si="2"/>
        <v>8.9618171870447387</v>
      </c>
      <c r="H37" s="1581">
        <f t="shared" si="3"/>
        <v>1.4497372922811292E-3</v>
      </c>
      <c r="I37" s="1581">
        <f t="shared" si="4"/>
        <v>1.3653301037907644</v>
      </c>
      <c r="J37" s="1581">
        <f t="shared" si="5"/>
        <v>0.46035663601284044</v>
      </c>
      <c r="K37" s="476" t="s">
        <v>1877</v>
      </c>
      <c r="L37" s="898"/>
      <c r="M37" s="399"/>
      <c r="N37" s="399"/>
      <c r="O37" s="770"/>
      <c r="P37" s="529"/>
      <c r="Q37" s="529"/>
    </row>
    <row r="38" spans="1:17" ht="18" x14ac:dyDescent="0.35">
      <c r="B38" s="464" t="s">
        <v>920</v>
      </c>
      <c r="C38" s="1583"/>
      <c r="D38" s="3866"/>
      <c r="E38" s="1581"/>
      <c r="F38" s="1581">
        <f>'Д 9_ЕЕ'!D186*('Вхідні дані'!D28+'Вхідні дані'!D30)</f>
        <v>0</v>
      </c>
      <c r="G38" s="1581">
        <f t="shared" si="2"/>
        <v>0</v>
      </c>
      <c r="H38" s="1581">
        <f t="shared" si="3"/>
        <v>0</v>
      </c>
      <c r="I38" s="1581">
        <f t="shared" si="4"/>
        <v>0</v>
      </c>
      <c r="J38" s="1581">
        <f t="shared" si="5"/>
        <v>0</v>
      </c>
      <c r="L38" s="898">
        <f>7013.83/1.2</f>
        <v>5844.8583333333336</v>
      </c>
      <c r="M38" s="399"/>
      <c r="N38" s="399"/>
      <c r="O38" s="770"/>
    </row>
    <row r="39" spans="1:17" ht="18" x14ac:dyDescent="0.35">
      <c r="B39" s="464" t="s">
        <v>1543</v>
      </c>
      <c r="C39" s="1583"/>
      <c r="D39" s="3866"/>
      <c r="E39" s="1581"/>
      <c r="F39" s="1581"/>
      <c r="G39" s="1581">
        <f t="shared" si="2"/>
        <v>0</v>
      </c>
      <c r="H39" s="1581">
        <f t="shared" si="3"/>
        <v>0</v>
      </c>
      <c r="I39" s="1581">
        <f t="shared" si="4"/>
        <v>0</v>
      </c>
      <c r="J39" s="1581">
        <f t="shared" si="5"/>
        <v>0</v>
      </c>
      <c r="K39" s="516"/>
      <c r="L39" s="898"/>
      <c r="M39" s="399"/>
      <c r="N39" s="399"/>
      <c r="O39" s="770"/>
    </row>
    <row r="40" spans="1:17" ht="18" x14ac:dyDescent="0.35">
      <c r="B40" s="464" t="s">
        <v>1401</v>
      </c>
      <c r="C40" s="1583">
        <v>7.0124400000000007</v>
      </c>
      <c r="D40" s="3866">
        <v>8.9012000000000011</v>
      </c>
      <c r="E40" s="1581">
        <v>7.7970599999999992</v>
      </c>
      <c r="F40" s="1581">
        <f>2339.1*4/1000</f>
        <v>9.3563999999999989</v>
      </c>
      <c r="G40" s="1581">
        <f t="shared" si="2"/>
        <v>7.7718700940907546</v>
      </c>
      <c r="H40" s="1581">
        <f t="shared" si="3"/>
        <v>1.2572416588072907E-3</v>
      </c>
      <c r="I40" s="1581">
        <f t="shared" si="4"/>
        <v>1.1840420286136655</v>
      </c>
      <c r="J40" s="1581">
        <f t="shared" si="5"/>
        <v>0.3992306356367718</v>
      </c>
      <c r="K40" s="516" t="s">
        <v>1938</v>
      </c>
      <c r="L40" s="898"/>
      <c r="M40" s="399"/>
      <c r="N40" s="399"/>
      <c r="O40" s="770"/>
    </row>
    <row r="41" spans="1:17" ht="18" x14ac:dyDescent="0.35">
      <c r="B41" s="464" t="s">
        <v>1712</v>
      </c>
      <c r="C41" s="1581"/>
      <c r="D41" s="3865">
        <v>48.081890000000001</v>
      </c>
      <c r="E41" s="1581">
        <v>48.422190000000001</v>
      </c>
      <c r="F41" s="1581">
        <f>ТО!E8/1000-F74</f>
        <v>49.095780000000005</v>
      </c>
      <c r="G41" s="1581">
        <f t="shared" si="2"/>
        <v>40.781285999749805</v>
      </c>
      <c r="H41" s="1581">
        <f t="shared" si="3"/>
        <v>6.5971164002862018E-3</v>
      </c>
      <c r="I41" s="1581">
        <f t="shared" si="4"/>
        <v>6.2130164323425934</v>
      </c>
      <c r="J41" s="1581">
        <f t="shared" si="5"/>
        <v>2.0948804515073225</v>
      </c>
      <c r="K41" s="720" t="s">
        <v>1651</v>
      </c>
      <c r="M41" s="399"/>
      <c r="N41" s="399"/>
      <c r="O41" s="770"/>
    </row>
    <row r="42" spans="1:17" ht="18" x14ac:dyDescent="0.35">
      <c r="B42" s="464" t="s">
        <v>1402</v>
      </c>
      <c r="C42" s="1581">
        <v>182.68467999999999</v>
      </c>
      <c r="D42" s="3865">
        <f>61.50408+33.74071+23.79537+10.50178</f>
        <v>129.54193999999998</v>
      </c>
      <c r="E42" s="1581">
        <v>133.60115666666667</v>
      </c>
      <c r="F42" s="1581">
        <f>ТО!E30/1000</f>
        <v>180.79783166666667</v>
      </c>
      <c r="G42" s="1581">
        <f t="shared" si="2"/>
        <v>150.17926349948925</v>
      </c>
      <c r="H42" s="1581">
        <f t="shared" si="3"/>
        <v>2.4294233443777662E-2</v>
      </c>
      <c r="I42" s="1581">
        <f t="shared" si="4"/>
        <v>22.879764800088928</v>
      </c>
      <c r="J42" s="1581">
        <f t="shared" si="5"/>
        <v>7.7145091336447154</v>
      </c>
      <c r="K42" s="720" t="s">
        <v>1651</v>
      </c>
      <c r="M42" s="399"/>
      <c r="N42" s="399"/>
      <c r="O42" s="770"/>
    </row>
    <row r="43" spans="1:17" ht="18" x14ac:dyDescent="0.35">
      <c r="B43" s="464" t="s">
        <v>3265</v>
      </c>
      <c r="C43" s="1581"/>
      <c r="D43" s="3865"/>
      <c r="E43" s="1581">
        <v>0</v>
      </c>
      <c r="F43" s="1581">
        <f>'ТО ТЗ'!I38/1000</f>
        <v>2</v>
      </c>
      <c r="G43" s="1581">
        <f t="shared" si="2"/>
        <v>1.6612949626118498</v>
      </c>
      <c r="H43" s="1581">
        <f t="shared" si="3"/>
        <v>2.687447434498933E-4</v>
      </c>
      <c r="I43" s="1581">
        <f t="shared" si="4"/>
        <v>0.25309777876398309</v>
      </c>
      <c r="J43" s="1581">
        <f t="shared" si="5"/>
        <v>8.5338513880717337E-2</v>
      </c>
      <c r="K43" s="720" t="s">
        <v>1714</v>
      </c>
      <c r="M43" s="399"/>
      <c r="N43" s="399"/>
      <c r="O43" s="770"/>
    </row>
    <row r="44" spans="1:17" ht="18" x14ac:dyDescent="0.35">
      <c r="B44" s="464" t="s">
        <v>2403</v>
      </c>
      <c r="C44" s="1581"/>
      <c r="D44" s="3865">
        <v>0.6</v>
      </c>
      <c r="E44" s="1581">
        <v>3</v>
      </c>
      <c r="F44" s="1581">
        <f>5*600/1000</f>
        <v>3</v>
      </c>
      <c r="G44" s="1581">
        <f t="shared" si="2"/>
        <v>2.4919424439177749</v>
      </c>
      <c r="H44" s="1581">
        <f t="shared" si="3"/>
        <v>4.0311711517483997E-4</v>
      </c>
      <c r="I44" s="1581">
        <f t="shared" si="4"/>
        <v>0.37964666814597464</v>
      </c>
      <c r="J44" s="1581">
        <f t="shared" si="5"/>
        <v>0.12800777082107601</v>
      </c>
      <c r="K44" s="516" t="s">
        <v>3260</v>
      </c>
      <c r="L44" s="898"/>
      <c r="M44" s="399"/>
      <c r="N44" s="399"/>
      <c r="O44" s="770"/>
    </row>
    <row r="45" spans="1:17" ht="18" x14ac:dyDescent="0.35">
      <c r="B45" s="464" t="s">
        <v>1405</v>
      </c>
      <c r="C45" s="1581">
        <v>6.069</v>
      </c>
      <c r="D45" s="3865">
        <v>6.069</v>
      </c>
      <c r="E45" s="1581">
        <v>7.069</v>
      </c>
      <c r="F45" s="1581">
        <f>Страхування!D25/1000</f>
        <v>7.069</v>
      </c>
      <c r="G45" s="1581">
        <f t="shared" si="2"/>
        <v>5.8718470453515836</v>
      </c>
      <c r="H45" s="1581">
        <f t="shared" si="3"/>
        <v>9.4987829572364786E-4</v>
      </c>
      <c r="I45" s="1581">
        <f t="shared" si="4"/>
        <v>0.89457409904129825</v>
      </c>
      <c r="J45" s="1581">
        <f t="shared" si="5"/>
        <v>0.30162897731139543</v>
      </c>
      <c r="K45" s="720" t="s">
        <v>1601</v>
      </c>
      <c r="M45" s="399"/>
      <c r="N45" s="399"/>
      <c r="O45" s="770"/>
    </row>
    <row r="46" spans="1:17" ht="54" x14ac:dyDescent="0.35">
      <c r="B46" s="464" t="s">
        <v>2706</v>
      </c>
      <c r="C46" s="1583"/>
      <c r="D46" s="3866"/>
      <c r="E46" s="2750"/>
      <c r="F46" s="1583">
        <v>30</v>
      </c>
      <c r="G46" s="1581">
        <f t="shared" si="2"/>
        <v>24.919424439177746</v>
      </c>
      <c r="H46" s="1581">
        <f t="shared" si="3"/>
        <v>4.0311711517483995E-3</v>
      </c>
      <c r="I46" s="1581">
        <f t="shared" si="4"/>
        <v>3.7964666814597465</v>
      </c>
      <c r="J46" s="1581">
        <f t="shared" si="5"/>
        <v>1.2800777082107602</v>
      </c>
      <c r="K46" s="1527" t="s">
        <v>3694</v>
      </c>
      <c r="L46" s="898"/>
      <c r="M46" s="1186"/>
      <c r="N46" s="399"/>
      <c r="O46" s="770"/>
    </row>
    <row r="47" spans="1:17" ht="18" x14ac:dyDescent="0.35">
      <c r="B47" s="464" t="s">
        <v>1940</v>
      </c>
      <c r="C47" s="1583">
        <v>77.480779999999996</v>
      </c>
      <c r="D47" s="3866">
        <v>111.68705</v>
      </c>
      <c r="E47" s="1583">
        <v>104.39480833333333</v>
      </c>
      <c r="F47" s="1583">
        <f>'Котел-повірка Юст'!J34/1000+'Котел-повірка Юст'!J44/1000</f>
        <v>84.305020000000013</v>
      </c>
      <c r="G47" s="1581">
        <f t="shared" si="2"/>
        <v>70.027752524445631</v>
      </c>
      <c r="H47" s="1581">
        <f t="shared" si="3"/>
        <v>1.1328265485719063E-2</v>
      </c>
      <c r="I47" s="1581">
        <f t="shared" si="4"/>
        <v>10.668706650326587</v>
      </c>
      <c r="J47" s="1581">
        <f t="shared" si="5"/>
        <v>3.5972325597420771</v>
      </c>
      <c r="K47" s="720" t="s">
        <v>1715</v>
      </c>
      <c r="M47" s="399"/>
      <c r="N47" s="399"/>
      <c r="O47" s="770"/>
    </row>
    <row r="48" spans="1:17" ht="18" x14ac:dyDescent="0.35">
      <c r="B48" s="415" t="s">
        <v>1408</v>
      </c>
      <c r="C48" s="1583">
        <v>11.556050000000001</v>
      </c>
      <c r="D48" s="3866">
        <v>10.51713</v>
      </c>
      <c r="E48" s="1583">
        <v>12.113010000000001</v>
      </c>
      <c r="F48" s="1583">
        <f>ОП!D4</f>
        <v>20.826779999999999</v>
      </c>
      <c r="G48" s="1581">
        <f t="shared" si="2"/>
        <v>17.29971235071261</v>
      </c>
      <c r="H48" s="1581">
        <f t="shared" si="3"/>
        <v>2.7985438239936842E-3</v>
      </c>
      <c r="I48" s="1581">
        <f t="shared" si="4"/>
        <v>2.6356058784030738</v>
      </c>
      <c r="J48" s="1581">
        <f t="shared" si="5"/>
        <v>0.88866322706032308</v>
      </c>
      <c r="K48" s="720" t="s">
        <v>1409</v>
      </c>
      <c r="N48" s="399"/>
      <c r="O48" s="770"/>
    </row>
    <row r="49" spans="1:15" ht="18.75" customHeight="1" x14ac:dyDescent="0.35">
      <c r="B49" s="415" t="s">
        <v>1410</v>
      </c>
      <c r="C49" s="1583">
        <v>3.5481099999999999</v>
      </c>
      <c r="D49" s="3866">
        <v>30.31</v>
      </c>
      <c r="E49" s="1583">
        <v>0.94925000000000004</v>
      </c>
      <c r="F49" s="1583">
        <f>ОП!D5</f>
        <v>0.35549999999999998</v>
      </c>
      <c r="G49" s="1581">
        <f t="shared" si="2"/>
        <v>0.29529517960425627</v>
      </c>
      <c r="H49" s="1581">
        <f t="shared" si="3"/>
        <v>4.7769378148218531E-5</v>
      </c>
      <c r="I49" s="1581">
        <f t="shared" si="4"/>
        <v>4.4988130175297993E-2</v>
      </c>
      <c r="J49" s="1581">
        <f t="shared" si="5"/>
        <v>1.5168920842297507E-2</v>
      </c>
      <c r="K49" s="720" t="s">
        <v>1409</v>
      </c>
      <c r="N49" s="399"/>
      <c r="O49" s="770"/>
    </row>
    <row r="50" spans="1:15" ht="18.75" customHeight="1" x14ac:dyDescent="0.35">
      <c r="B50" s="415" t="s">
        <v>1594</v>
      </c>
      <c r="C50" s="1583"/>
      <c r="D50" s="3866">
        <v>1.75</v>
      </c>
      <c r="E50" s="1583">
        <v>14.599920000000003</v>
      </c>
      <c r="F50" s="1583">
        <v>2.4</v>
      </c>
      <c r="G50" s="1581">
        <f t="shared" si="2"/>
        <v>1.9935539551342196</v>
      </c>
      <c r="H50" s="1581">
        <f t="shared" si="3"/>
        <v>3.2249369213987192E-4</v>
      </c>
      <c r="I50" s="1581">
        <f t="shared" si="4"/>
        <v>0.30371733451677968</v>
      </c>
      <c r="J50" s="1581">
        <f t="shared" si="5"/>
        <v>0.1024062166568608</v>
      </c>
      <c r="K50" s="720" t="s">
        <v>1409</v>
      </c>
      <c r="N50" s="399"/>
      <c r="O50" s="770"/>
    </row>
    <row r="51" spans="1:15" ht="18.75" customHeight="1" x14ac:dyDescent="0.35">
      <c r="B51" s="415" t="s">
        <v>1593</v>
      </c>
      <c r="C51" s="3871"/>
      <c r="E51" s="1583">
        <v>10.285299999999999</v>
      </c>
      <c r="F51" s="1583">
        <v>0</v>
      </c>
      <c r="G51" s="1581">
        <f t="shared" si="2"/>
        <v>0</v>
      </c>
      <c r="H51" s="1581">
        <f t="shared" si="3"/>
        <v>0</v>
      </c>
      <c r="I51" s="1581">
        <f t="shared" si="4"/>
        <v>0</v>
      </c>
      <c r="J51" s="1581">
        <f t="shared" si="5"/>
        <v>0</v>
      </c>
      <c r="K51" s="516" t="s">
        <v>3266</v>
      </c>
      <c r="L51" s="898"/>
      <c r="N51" s="399"/>
      <c r="O51" s="770"/>
    </row>
    <row r="52" spans="1:15" ht="18.75" customHeight="1" x14ac:dyDescent="0.35">
      <c r="B52" s="415" t="s">
        <v>1411</v>
      </c>
      <c r="C52" s="1583">
        <v>0.64449999999999996</v>
      </c>
      <c r="D52" s="3866"/>
      <c r="E52" s="1583">
        <v>0.49249999999999999</v>
      </c>
      <c r="F52" s="1583">
        <f>(Утилизація!I19+Утилизація!C34)/1000</f>
        <v>1.5309999999999999</v>
      </c>
      <c r="G52" s="1581">
        <f t="shared" si="2"/>
        <v>1.2717212938793709</v>
      </c>
      <c r="H52" s="1581">
        <f t="shared" si="3"/>
        <v>2.057241011108933E-4</v>
      </c>
      <c r="I52" s="1581">
        <f t="shared" si="4"/>
        <v>0.19374634964382906</v>
      </c>
      <c r="J52" s="1581">
        <f t="shared" si="5"/>
        <v>6.5326632375689114E-2</v>
      </c>
      <c r="K52" s="720" t="s">
        <v>1906</v>
      </c>
      <c r="L52" s="898"/>
      <c r="N52" s="399"/>
      <c r="O52" s="770"/>
    </row>
    <row r="53" spans="1:15" ht="18.75" customHeight="1" x14ac:dyDescent="0.35">
      <c r="B53" s="415" t="s">
        <v>1592</v>
      </c>
      <c r="C53" s="1583">
        <v>18</v>
      </c>
      <c r="D53" s="3866">
        <f>9.68-3.91</f>
        <v>5.77</v>
      </c>
      <c r="E53" s="1583">
        <v>7.42</v>
      </c>
      <c r="F53" s="1583">
        <f>8.568/1.2-1.65</f>
        <v>5.49</v>
      </c>
      <c r="G53" s="1581">
        <f t="shared" si="2"/>
        <v>4.5602546723695276</v>
      </c>
      <c r="H53" s="1581">
        <f t="shared" si="3"/>
        <v>7.3770432076995709E-4</v>
      </c>
      <c r="I53" s="1581">
        <f t="shared" si="4"/>
        <v>0.69475340270713359</v>
      </c>
      <c r="J53" s="1581">
        <f t="shared" si="5"/>
        <v>0.23425422060256909</v>
      </c>
      <c r="K53" s="516" t="s">
        <v>3725</v>
      </c>
      <c r="L53" s="898"/>
      <c r="N53" s="399"/>
      <c r="O53" s="770"/>
    </row>
    <row r="54" spans="1:15" ht="18.75" customHeight="1" x14ac:dyDescent="0.35">
      <c r="B54" s="415" t="s">
        <v>1716</v>
      </c>
      <c r="C54" s="1583"/>
      <c r="D54" s="3866"/>
      <c r="E54" s="1583">
        <v>0.29166666666666669</v>
      </c>
      <c r="F54" s="1583">
        <f>0.175*2/1.2</f>
        <v>0.29166666666666669</v>
      </c>
      <c r="G54" s="1581">
        <f t="shared" si="2"/>
        <v>0.24227218204756146</v>
      </c>
      <c r="H54" s="1581">
        <f t="shared" si="3"/>
        <v>3.919194175310944E-5</v>
      </c>
      <c r="I54" s="1581">
        <f t="shared" si="4"/>
        <v>3.6910092736414206E-2</v>
      </c>
      <c r="J54" s="1581">
        <f t="shared" si="5"/>
        <v>1.2445199940937946E-2</v>
      </c>
      <c r="K54" s="516" t="s">
        <v>2557</v>
      </c>
      <c r="L54" s="898"/>
      <c r="N54" s="399"/>
      <c r="O54" s="770"/>
    </row>
    <row r="55" spans="1:15" ht="57" customHeight="1" x14ac:dyDescent="0.35">
      <c r="B55" s="415" t="s">
        <v>2705</v>
      </c>
      <c r="C55" s="1583"/>
      <c r="D55" s="3866"/>
      <c r="E55" s="1583">
        <v>18</v>
      </c>
      <c r="F55" s="1583"/>
      <c r="G55" s="1581">
        <f t="shared" si="2"/>
        <v>0</v>
      </c>
      <c r="H55" s="1581">
        <f t="shared" si="3"/>
        <v>0</v>
      </c>
      <c r="I55" s="1581">
        <f t="shared" si="4"/>
        <v>0</v>
      </c>
      <c r="J55" s="4110">
        <f t="shared" si="5"/>
        <v>0</v>
      </c>
      <c r="K55" s="516" t="s">
        <v>2704</v>
      </c>
      <c r="L55" s="898"/>
      <c r="N55" s="399"/>
      <c r="O55" s="770"/>
    </row>
    <row r="56" spans="1:15" ht="18.75" customHeight="1" x14ac:dyDescent="0.35">
      <c r="B56" s="415" t="s">
        <v>1591</v>
      </c>
      <c r="C56" s="1583">
        <v>48.140999999999998</v>
      </c>
      <c r="D56" s="3866">
        <v>31.347000000000001</v>
      </c>
      <c r="E56" s="1583">
        <v>31.263300000000001</v>
      </c>
      <c r="F56" s="1583">
        <f>D56</f>
        <v>31.347000000000001</v>
      </c>
      <c r="G56" s="1581">
        <f t="shared" si="2"/>
        <v>26.038306596496831</v>
      </c>
      <c r="H56" s="1581">
        <f t="shared" si="3"/>
        <v>4.2121707364619031E-3</v>
      </c>
      <c r="I56" s="1581">
        <f t="shared" si="4"/>
        <v>3.9669280354572893</v>
      </c>
      <c r="J56" s="1581">
        <f t="shared" si="5"/>
        <v>1.3375531973094232</v>
      </c>
      <c r="K56" s="720" t="s">
        <v>2514</v>
      </c>
      <c r="N56" s="399"/>
      <c r="O56" s="770"/>
    </row>
    <row r="57" spans="1:15" ht="18.75" customHeight="1" x14ac:dyDescent="0.35">
      <c r="B57" s="415" t="s">
        <v>1684</v>
      </c>
      <c r="C57" s="1583"/>
      <c r="D57" s="3872"/>
      <c r="E57" s="1583">
        <v>55.77</v>
      </c>
      <c r="F57" s="1583"/>
      <c r="G57" s="1581">
        <f t="shared" si="2"/>
        <v>0</v>
      </c>
      <c r="H57" s="1581">
        <f t="shared" si="3"/>
        <v>0</v>
      </c>
      <c r="I57" s="1581">
        <f t="shared" si="4"/>
        <v>0</v>
      </c>
      <c r="J57" s="1581">
        <f t="shared" si="5"/>
        <v>0</v>
      </c>
      <c r="K57" s="720" t="s">
        <v>3259</v>
      </c>
      <c r="N57" s="399"/>
      <c r="O57" s="770"/>
    </row>
    <row r="58" spans="1:15" ht="18.75" customHeight="1" x14ac:dyDescent="0.35">
      <c r="B58" s="415" t="s">
        <v>1718</v>
      </c>
      <c r="C58" s="1583">
        <v>11.87209</v>
      </c>
      <c r="D58" s="3866">
        <f>31.56875-23.79537</f>
        <v>7.7733800000000031</v>
      </c>
      <c r="E58" s="1583">
        <v>10.986858333333334</v>
      </c>
      <c r="F58" s="1583">
        <f>11282.72/1000</f>
        <v>11.282719999999999</v>
      </c>
      <c r="G58" s="1581">
        <f t="shared" si="2"/>
        <v>9.3719629502799844</v>
      </c>
      <c r="H58" s="1581">
        <f t="shared" si="3"/>
        <v>1.5160858459084899E-3</v>
      </c>
      <c r="I58" s="1581">
        <f t="shared" si="4"/>
        <v>1.4278156852079835</v>
      </c>
      <c r="J58" s="1581">
        <f t="shared" si="5"/>
        <v>0.48142527866612356</v>
      </c>
      <c r="K58" s="516" t="s">
        <v>3873</v>
      </c>
      <c r="L58" s="898"/>
      <c r="N58" s="399"/>
      <c r="O58" s="770"/>
    </row>
    <row r="59" spans="1:15" ht="36" customHeight="1" x14ac:dyDescent="0.35">
      <c r="B59" s="415" t="s">
        <v>2554</v>
      </c>
      <c r="C59" s="1583"/>
      <c r="D59" s="3866"/>
      <c r="E59" s="1583">
        <v>0</v>
      </c>
      <c r="F59" s="1583">
        <f>D59</f>
        <v>0</v>
      </c>
      <c r="G59" s="1581">
        <f t="shared" si="2"/>
        <v>0</v>
      </c>
      <c r="H59" s="1581">
        <f t="shared" si="3"/>
        <v>0</v>
      </c>
      <c r="I59" s="1581">
        <f t="shared" si="4"/>
        <v>0</v>
      </c>
      <c r="J59" s="1581">
        <f t="shared" si="5"/>
        <v>0</v>
      </c>
      <c r="K59" s="1527" t="s">
        <v>2556</v>
      </c>
      <c r="L59" s="898"/>
      <c r="N59" s="399"/>
      <c r="O59" s="770"/>
    </row>
    <row r="60" spans="1:15" ht="18.75" customHeight="1" x14ac:dyDescent="0.35">
      <c r="B60" s="415" t="s">
        <v>1900</v>
      </c>
      <c r="C60" s="1583"/>
      <c r="D60" s="3866">
        <v>0.35</v>
      </c>
      <c r="E60" s="1583">
        <v>0.6</v>
      </c>
      <c r="F60" s="1583">
        <f>Картріджі!E57/1000</f>
        <v>0.7</v>
      </c>
      <c r="G60" s="1581">
        <f t="shared" si="2"/>
        <v>0.58145323691414741</v>
      </c>
      <c r="H60" s="1581">
        <f t="shared" si="3"/>
        <v>9.4060660207462651E-5</v>
      </c>
      <c r="I60" s="1581">
        <f t="shared" si="4"/>
        <v>8.858422256739408E-2</v>
      </c>
      <c r="J60" s="1581">
        <f t="shared" si="5"/>
        <v>2.9868479858251067E-2</v>
      </c>
      <c r="K60" s="720" t="s">
        <v>1536</v>
      </c>
      <c r="L60" s="692"/>
      <c r="N60" s="399"/>
      <c r="O60" s="770"/>
    </row>
    <row r="61" spans="1:15" ht="18.75" customHeight="1" x14ac:dyDescent="0.35">
      <c r="B61" s="415" t="str">
        <f>Профпослуги2!B15</f>
        <v>ППЗ для захисту від вірусів</v>
      </c>
      <c r="C61" s="1583"/>
      <c r="D61" s="3866"/>
      <c r="E61" s="1583">
        <v>1.811594202898551</v>
      </c>
      <c r="F61" s="1583">
        <f>Профпослуги2!D15/1000</f>
        <v>1.811594202898551</v>
      </c>
      <c r="G61" s="1581">
        <f t="shared" si="2"/>
        <v>1.5047961617860961</v>
      </c>
      <c r="H61" s="1581">
        <f t="shared" si="3"/>
        <v>2.4342820964664251E-4</v>
      </c>
      <c r="I61" s="1581">
        <f t="shared" si="4"/>
        <v>0.22925523438766587</v>
      </c>
      <c r="J61" s="1581">
        <f t="shared" si="5"/>
        <v>7.7299378515142528E-2</v>
      </c>
      <c r="K61" s="720" t="s">
        <v>2617</v>
      </c>
      <c r="L61" s="692"/>
      <c r="N61" s="399"/>
      <c r="O61" s="770"/>
    </row>
    <row r="62" spans="1:15" ht="18.75" customHeight="1" x14ac:dyDescent="0.35">
      <c r="B62" s="415" t="s">
        <v>1589</v>
      </c>
      <c r="C62" s="1583"/>
      <c r="D62" s="3866"/>
      <c r="E62" s="1583"/>
      <c r="F62" s="1583"/>
      <c r="G62" s="1581">
        <f t="shared" si="2"/>
        <v>0</v>
      </c>
      <c r="H62" s="1581">
        <f t="shared" si="3"/>
        <v>0</v>
      </c>
      <c r="I62" s="1581">
        <f t="shared" si="4"/>
        <v>0</v>
      </c>
      <c r="J62" s="1581">
        <f t="shared" si="5"/>
        <v>0</v>
      </c>
      <c r="L62" s="898"/>
      <c r="N62" s="399"/>
      <c r="O62" s="770"/>
    </row>
    <row r="63" spans="1:15" ht="18.75" customHeight="1" x14ac:dyDescent="0.35">
      <c r="B63" s="415" t="s">
        <v>2402</v>
      </c>
      <c r="C63" s="1583">
        <v>2.31874</v>
      </c>
      <c r="D63" s="3866">
        <v>0.38936999999999999</v>
      </c>
      <c r="E63" s="1583">
        <v>2.31874</v>
      </c>
      <c r="F63" s="1583">
        <f>D63</f>
        <v>0.38936999999999999</v>
      </c>
      <c r="G63" s="1581">
        <f t="shared" si="2"/>
        <v>0.32342920979608797</v>
      </c>
      <c r="H63" s="1581">
        <f t="shared" si="3"/>
        <v>5.2320570378542473E-5</v>
      </c>
      <c r="I63" s="1581">
        <f t="shared" si="4"/>
        <v>4.927434105866605E-2</v>
      </c>
      <c r="J63" s="1581">
        <f t="shared" si="5"/>
        <v>1.6614128574867455E-2</v>
      </c>
      <c r="K63" s="720" t="s">
        <v>1944</v>
      </c>
      <c r="L63" s="898"/>
      <c r="N63" s="399"/>
      <c r="O63" s="770"/>
    </row>
    <row r="64" spans="1:15" ht="18.75" customHeight="1" x14ac:dyDescent="0.35">
      <c r="A64" s="391" t="s">
        <v>1437</v>
      </c>
      <c r="B64" s="415" t="s">
        <v>3261</v>
      </c>
      <c r="C64" s="1583"/>
      <c r="D64" s="3866">
        <v>6.9607200000000002</v>
      </c>
      <c r="E64" s="1583"/>
      <c r="F64" s="1583">
        <f>D64</f>
        <v>6.9607200000000002</v>
      </c>
      <c r="G64" s="1581">
        <f t="shared" si="2"/>
        <v>5.7819045360757775</v>
      </c>
      <c r="H64" s="1581">
        <f t="shared" si="3"/>
        <v>9.3532845531327062E-4</v>
      </c>
      <c r="I64" s="1581">
        <f t="shared" si="4"/>
        <v>0.88087138529901621</v>
      </c>
      <c r="J64" s="1581">
        <f t="shared" si="5"/>
        <v>0.29700875016989342</v>
      </c>
      <c r="K64" s="720" t="s">
        <v>3730</v>
      </c>
      <c r="L64" s="898"/>
      <c r="N64" s="399"/>
      <c r="O64" s="770"/>
    </row>
    <row r="65" spans="2:15" ht="18.75" customHeight="1" x14ac:dyDescent="0.35">
      <c r="B65" s="3020" t="s">
        <v>3264</v>
      </c>
      <c r="C65" s="1583"/>
      <c r="D65" s="3866"/>
      <c r="E65" s="1583">
        <v>18.481000000000002</v>
      </c>
      <c r="F65" s="1599"/>
      <c r="G65" s="1581">
        <f t="shared" si="2"/>
        <v>0</v>
      </c>
      <c r="H65" s="1581">
        <f t="shared" si="3"/>
        <v>0</v>
      </c>
      <c r="I65" s="1581">
        <f t="shared" si="4"/>
        <v>0</v>
      </c>
      <c r="J65" s="1581">
        <f t="shared" si="5"/>
        <v>0</v>
      </c>
      <c r="K65" s="516" t="s">
        <v>3315</v>
      </c>
      <c r="L65" s="898"/>
      <c r="N65" s="399"/>
      <c r="O65" s="770"/>
    </row>
    <row r="66" spans="2:15" ht="18" x14ac:dyDescent="0.35">
      <c r="B66" s="406" t="s">
        <v>1583</v>
      </c>
      <c r="C66" s="1583"/>
      <c r="D66" s="3866"/>
      <c r="E66" s="1583"/>
      <c r="F66" s="1583"/>
      <c r="G66" s="1581">
        <f t="shared" si="2"/>
        <v>0</v>
      </c>
      <c r="H66" s="1581">
        <f t="shared" si="3"/>
        <v>0</v>
      </c>
      <c r="I66" s="1581">
        <f t="shared" si="4"/>
        <v>0</v>
      </c>
      <c r="J66" s="1581">
        <f t="shared" si="5"/>
        <v>0</v>
      </c>
      <c r="K66" s="516"/>
      <c r="L66" s="898"/>
      <c r="N66" s="399"/>
      <c r="O66" s="770"/>
    </row>
    <row r="67" spans="2:15" ht="18" x14ac:dyDescent="0.35">
      <c r="B67" s="406" t="s">
        <v>3696</v>
      </c>
      <c r="C67" s="1584"/>
      <c r="D67" s="3868"/>
      <c r="E67" s="1584"/>
      <c r="F67" s="1584">
        <f>8333.33/1000</f>
        <v>8.3333300000000001</v>
      </c>
      <c r="G67" s="1581">
        <f t="shared" si="2"/>
        <v>6.9220595753911036</v>
      </c>
      <c r="H67" s="1581">
        <f t="shared" si="3"/>
        <v>1.1197693164666496E-3</v>
      </c>
      <c r="I67" s="1581">
        <f t="shared" si="4"/>
        <v>1.0545736563536316</v>
      </c>
      <c r="J67" s="1581">
        <f t="shared" si="5"/>
        <v>0.35557699893879913</v>
      </c>
      <c r="K67" s="516" t="s">
        <v>3697</v>
      </c>
      <c r="L67" s="898"/>
      <c r="N67" s="399"/>
      <c r="O67" s="770"/>
    </row>
    <row r="68" spans="2:15" ht="18" x14ac:dyDescent="0.35">
      <c r="B68" s="463" t="s">
        <v>1392</v>
      </c>
      <c r="C68" s="1583">
        <v>3.2546200000000001</v>
      </c>
      <c r="D68" s="3866">
        <v>2.1948699999999999</v>
      </c>
      <c r="E68" s="1584">
        <v>3.5682299999999998</v>
      </c>
      <c r="F68" s="1584">
        <f>'Зв''язок'!G8/1000-'Зв''язок'!G49/1000</f>
        <v>3.6863595999999994</v>
      </c>
      <c r="G68" s="1581">
        <f t="shared" si="2"/>
        <v>3.0620653169279164</v>
      </c>
      <c r="H68" s="1581">
        <f t="shared" si="3"/>
        <v>4.9534488248302556E-4</v>
      </c>
      <c r="I68" s="1581">
        <f t="shared" si="4"/>
        <v>0.46650471324264253</v>
      </c>
      <c r="J68" s="1581">
        <f t="shared" si="5"/>
        <v>0.15729422494695777</v>
      </c>
      <c r="K68" s="720" t="s">
        <v>1576</v>
      </c>
      <c r="L68" s="898"/>
      <c r="M68" s="399"/>
      <c r="N68" s="399"/>
      <c r="O68" s="770"/>
    </row>
    <row r="69" spans="2:15" ht="18" x14ac:dyDescent="0.35">
      <c r="B69" s="463" t="s">
        <v>1393</v>
      </c>
      <c r="C69" s="1583">
        <v>3.38</v>
      </c>
      <c r="D69" s="3866">
        <v>3.12</v>
      </c>
      <c r="E69" s="1584">
        <v>3.38</v>
      </c>
      <c r="F69" s="1584">
        <f>'Зв''язок'!G49/1000</f>
        <v>3.12</v>
      </c>
      <c r="G69" s="1581">
        <f t="shared" si="2"/>
        <v>2.5916201416744857</v>
      </c>
      <c r="H69" s="1581">
        <f t="shared" si="3"/>
        <v>4.1924179978183358E-4</v>
      </c>
      <c r="I69" s="1581">
        <f t="shared" si="4"/>
        <v>0.39483253487181363</v>
      </c>
      <c r="J69" s="1581">
        <f t="shared" si="5"/>
        <v>0.13312808165391904</v>
      </c>
      <c r="K69" s="720" t="s">
        <v>1576</v>
      </c>
      <c r="L69" s="898"/>
      <c r="M69" s="399"/>
      <c r="N69" s="399"/>
      <c r="O69" s="770"/>
    </row>
    <row r="70" spans="2:15" ht="36" x14ac:dyDescent="0.35">
      <c r="B70" s="416" t="s">
        <v>1582</v>
      </c>
      <c r="C70" s="1583"/>
      <c r="D70" s="3866"/>
      <c r="E70" s="1583">
        <v>80</v>
      </c>
      <c r="F70" s="1583"/>
      <c r="G70" s="1581">
        <f t="shared" si="2"/>
        <v>0</v>
      </c>
      <c r="H70" s="1581">
        <f t="shared" si="3"/>
        <v>0</v>
      </c>
      <c r="I70" s="1581">
        <f t="shared" si="4"/>
        <v>0</v>
      </c>
      <c r="J70" s="1581">
        <f t="shared" si="5"/>
        <v>0</v>
      </c>
      <c r="K70" s="516" t="s">
        <v>3258</v>
      </c>
      <c r="L70" s="898"/>
      <c r="N70" s="399"/>
      <c r="O70" s="770"/>
    </row>
    <row r="71" spans="2:15" ht="18" x14ac:dyDescent="0.35">
      <c r="B71" s="464" t="s">
        <v>1399</v>
      </c>
      <c r="C71" s="1583">
        <v>304.15017</v>
      </c>
      <c r="D71" s="3866">
        <v>604.37774999999999</v>
      </c>
      <c r="E71" s="1583">
        <v>942.16534000000001</v>
      </c>
      <c r="F71" s="1583">
        <f>Податки!C6</f>
        <v>904.22609</v>
      </c>
      <c r="G71" s="1581">
        <f t="shared" si="2"/>
        <v>751.09312418960462</v>
      </c>
      <c r="H71" s="1581">
        <f t="shared" si="3"/>
        <v>0.12150300428887506</v>
      </c>
      <c r="I71" s="1581">
        <f t="shared" si="4"/>
        <v>114.42880743972073</v>
      </c>
      <c r="J71" s="1581">
        <f t="shared" si="5"/>
        <v>38.582655366385879</v>
      </c>
      <c r="K71" s="720" t="s">
        <v>1937</v>
      </c>
      <c r="L71" s="898"/>
      <c r="N71" s="399"/>
      <c r="O71" s="770"/>
    </row>
    <row r="72" spans="2:15" ht="36" x14ac:dyDescent="0.35">
      <c r="B72" s="464" t="s">
        <v>1719</v>
      </c>
      <c r="C72" s="1583"/>
      <c r="D72" s="3866"/>
      <c r="E72" s="1583"/>
      <c r="F72" s="1583"/>
      <c r="G72" s="1581">
        <f t="shared" si="2"/>
        <v>0</v>
      </c>
      <c r="H72" s="1581">
        <f t="shared" si="3"/>
        <v>0</v>
      </c>
      <c r="I72" s="1581">
        <f t="shared" si="4"/>
        <v>0</v>
      </c>
      <c r="J72" s="1581">
        <f t="shared" si="5"/>
        <v>0</v>
      </c>
      <c r="K72" s="516" t="s">
        <v>2553</v>
      </c>
      <c r="L72" s="898"/>
      <c r="N72" s="399"/>
      <c r="O72" s="770"/>
    </row>
    <row r="73" spans="2:15" ht="18" customHeight="1" x14ac:dyDescent="0.35">
      <c r="B73" s="406" t="s">
        <v>1581</v>
      </c>
      <c r="C73" s="1583"/>
      <c r="D73" s="3866">
        <v>2.5255999999999998</v>
      </c>
      <c r="E73" s="1583">
        <v>0</v>
      </c>
      <c r="F73" s="1583">
        <v>0</v>
      </c>
      <c r="G73" s="1581">
        <f t="shared" si="2"/>
        <v>0</v>
      </c>
      <c r="H73" s="1581">
        <f t="shared" si="3"/>
        <v>0</v>
      </c>
      <c r="I73" s="1581">
        <f t="shared" si="4"/>
        <v>0</v>
      </c>
      <c r="J73" s="1581">
        <f t="shared" si="5"/>
        <v>0</v>
      </c>
      <c r="K73" s="516"/>
      <c r="L73" s="898"/>
      <c r="N73" s="399"/>
      <c r="O73" s="770"/>
    </row>
    <row r="74" spans="2:15" ht="18" customHeight="1" x14ac:dyDescent="0.35">
      <c r="B74" s="406" t="s">
        <v>1720</v>
      </c>
      <c r="C74" s="1599">
        <v>9</v>
      </c>
      <c r="D74" s="3869">
        <v>10</v>
      </c>
      <c r="E74" s="1599">
        <v>7.5</v>
      </c>
      <c r="F74" s="1583">
        <f>ТО!E9/1000</f>
        <v>10</v>
      </c>
      <c r="G74" s="1581">
        <f t="shared" si="2"/>
        <v>8.3064748130592498</v>
      </c>
      <c r="H74" s="1581">
        <f t="shared" si="3"/>
        <v>1.3437237172494664E-3</v>
      </c>
      <c r="I74" s="1581">
        <f t="shared" si="4"/>
        <v>1.2654888938199154</v>
      </c>
      <c r="J74" s="1581">
        <f t="shared" si="5"/>
        <v>0.42669256940358669</v>
      </c>
      <c r="K74" s="516" t="s">
        <v>2612</v>
      </c>
      <c r="N74" s="399"/>
      <c r="O74" s="770"/>
    </row>
    <row r="75" spans="2:15" ht="18" customHeight="1" x14ac:dyDescent="0.35">
      <c r="B75" s="464" t="s">
        <v>924</v>
      </c>
      <c r="C75" s="1583"/>
      <c r="D75" s="3866"/>
      <c r="E75" s="2751">
        <v>0</v>
      </c>
      <c r="F75" s="1599">
        <f>'Періодичні видання'!B3/1000</f>
        <v>0</v>
      </c>
      <c r="G75" s="1581">
        <f t="shared" si="2"/>
        <v>0</v>
      </c>
      <c r="H75" s="1581">
        <f t="shared" si="3"/>
        <v>0</v>
      </c>
      <c r="I75" s="1581">
        <f t="shared" si="4"/>
        <v>0</v>
      </c>
      <c r="J75" s="1581">
        <f t="shared" si="5"/>
        <v>0</v>
      </c>
      <c r="K75" s="720" t="s">
        <v>2552</v>
      </c>
      <c r="L75" s="898"/>
      <c r="N75" s="399"/>
      <c r="O75" s="770"/>
    </row>
    <row r="76" spans="2:15" ht="18" customHeight="1" x14ac:dyDescent="0.35">
      <c r="B76" s="464" t="s">
        <v>1721</v>
      </c>
      <c r="C76" s="1583">
        <v>4.1459599999999996</v>
      </c>
      <c r="D76" s="3866">
        <f>13.02696-10.50178</f>
        <v>2.5251800000000006</v>
      </c>
      <c r="E76" s="2751">
        <v>2.6817447000000003</v>
      </c>
      <c r="F76" s="1599">
        <f>(3030.22/1.2/1000)</f>
        <v>2.5251833333333336</v>
      </c>
      <c r="G76" s="1581">
        <f t="shared" si="2"/>
        <v>2.0975371756690335</v>
      </c>
      <c r="H76" s="1581">
        <f t="shared" si="3"/>
        <v>3.3931487354030656E-4</v>
      </c>
      <c r="I76" s="1581">
        <f t="shared" si="4"/>
        <v>0.3195591463192487</v>
      </c>
      <c r="J76" s="1581">
        <f t="shared" si="5"/>
        <v>0.10774769647151138</v>
      </c>
      <c r="K76" s="516" t="s">
        <v>2560</v>
      </c>
      <c r="L76" s="898"/>
      <c r="N76" s="399"/>
      <c r="O76" s="770"/>
    </row>
    <row r="77" spans="2:15" ht="18" customHeight="1" x14ac:dyDescent="0.35">
      <c r="B77" s="464" t="s">
        <v>1722</v>
      </c>
      <c r="C77" s="1583"/>
      <c r="D77" s="3866"/>
      <c r="E77" s="2751"/>
      <c r="F77" s="1599"/>
      <c r="G77" s="1581">
        <f t="shared" si="2"/>
        <v>0</v>
      </c>
      <c r="H77" s="1581">
        <f t="shared" si="3"/>
        <v>0</v>
      </c>
      <c r="I77" s="1581">
        <f t="shared" si="4"/>
        <v>0</v>
      </c>
      <c r="J77" s="1581">
        <f t="shared" si="5"/>
        <v>0</v>
      </c>
      <c r="K77" s="516"/>
      <c r="L77" s="898"/>
      <c r="N77" s="399"/>
      <c r="O77" s="770"/>
    </row>
    <row r="78" spans="2:15" ht="36" x14ac:dyDescent="0.35">
      <c r="B78" s="464" t="s">
        <v>1682</v>
      </c>
      <c r="C78" s="1583">
        <v>0.66242000000000001</v>
      </c>
      <c r="D78" s="3866">
        <v>18.481000000000002</v>
      </c>
      <c r="E78" s="2751"/>
      <c r="F78" s="1599"/>
      <c r="G78" s="1581">
        <f t="shared" si="2"/>
        <v>0</v>
      </c>
      <c r="H78" s="1581">
        <f t="shared" si="3"/>
        <v>0</v>
      </c>
      <c r="I78" s="1581">
        <f t="shared" si="4"/>
        <v>0</v>
      </c>
      <c r="J78" s="1581">
        <f t="shared" si="5"/>
        <v>0</v>
      </c>
      <c r="K78" s="516"/>
      <c r="L78" s="898"/>
      <c r="N78" s="399"/>
      <c r="O78" s="770"/>
    </row>
    <row r="79" spans="2:15" ht="18" customHeight="1" x14ac:dyDescent="0.35">
      <c r="B79" s="4543" t="s">
        <v>1723</v>
      </c>
      <c r="C79" s="1583"/>
      <c r="D79" s="3866">
        <v>3.91</v>
      </c>
      <c r="E79" s="2751">
        <v>2.6</v>
      </c>
      <c r="F79" s="1599">
        <v>3.91</v>
      </c>
      <c r="G79" s="1581">
        <f t="shared" si="2"/>
        <v>3.2478316519061665</v>
      </c>
      <c r="H79" s="1581">
        <f t="shared" si="3"/>
        <v>5.2539597344454145E-4</v>
      </c>
      <c r="I79" s="1581">
        <f t="shared" si="4"/>
        <v>0.49480615748358697</v>
      </c>
      <c r="J79" s="1581">
        <f t="shared" si="5"/>
        <v>0.1668367946368024</v>
      </c>
      <c r="K79" s="516" t="s">
        <v>3874</v>
      </c>
      <c r="L79" s="897" t="s">
        <v>1950</v>
      </c>
      <c r="N79" s="399"/>
      <c r="O79" s="770"/>
    </row>
    <row r="80" spans="2:15" ht="18" customHeight="1" x14ac:dyDescent="0.35">
      <c r="B80" s="464" t="s">
        <v>1724</v>
      </c>
      <c r="C80" s="1583"/>
      <c r="D80" s="3866"/>
      <c r="E80" s="2751">
        <v>1.9583333333333299</v>
      </c>
      <c r="F80" s="1599"/>
      <c r="G80" s="1581">
        <f t="shared" si="2"/>
        <v>0</v>
      </c>
      <c r="H80" s="1581">
        <f t="shared" si="3"/>
        <v>0</v>
      </c>
      <c r="I80" s="1581">
        <f t="shared" si="4"/>
        <v>0</v>
      </c>
      <c r="J80" s="1581">
        <f t="shared" si="5"/>
        <v>0</v>
      </c>
      <c r="K80" s="516"/>
      <c r="L80" s="898"/>
      <c r="N80" s="399"/>
      <c r="O80" s="770"/>
    </row>
    <row r="81" spans="2:19" ht="18" customHeight="1" x14ac:dyDescent="0.35">
      <c r="B81" s="464" t="s">
        <v>3343</v>
      </c>
      <c r="C81" s="1599"/>
      <c r="D81" s="3869">
        <v>2.6850000000000001</v>
      </c>
      <c r="E81" s="2751">
        <v>2.6850000000000001</v>
      </c>
      <c r="F81" s="1599"/>
      <c r="G81" s="1581">
        <f t="shared" si="2"/>
        <v>0</v>
      </c>
      <c r="H81" s="1581">
        <f t="shared" si="3"/>
        <v>0</v>
      </c>
      <c r="I81" s="1581">
        <f t="shared" si="4"/>
        <v>0</v>
      </c>
      <c r="J81" s="1581">
        <f t="shared" si="5"/>
        <v>0</v>
      </c>
      <c r="K81" s="516" t="s">
        <v>3344</v>
      </c>
      <c r="L81" s="898"/>
      <c r="N81" s="399"/>
      <c r="O81" s="770"/>
    </row>
    <row r="82" spans="2:19" ht="18.600000000000001" thickBot="1" x14ac:dyDescent="0.4">
      <c r="B82" s="465" t="s">
        <v>58</v>
      </c>
      <c r="C82" s="1585">
        <v>56.25</v>
      </c>
      <c r="D82" s="3870">
        <v>16.418119999999995</v>
      </c>
      <c r="E82" s="1585"/>
      <c r="F82" s="1585"/>
      <c r="G82" s="2752">
        <f>F82*$G$9</f>
        <v>0</v>
      </c>
      <c r="H82" s="2752">
        <f>F82*$H$9</f>
        <v>0</v>
      </c>
      <c r="I82" s="2752">
        <f>F82*$I$9</f>
        <v>0</v>
      </c>
      <c r="J82" s="2752">
        <f>F82*$J$9</f>
        <v>0</v>
      </c>
      <c r="K82" s="431"/>
      <c r="M82" s="517"/>
      <c r="N82" s="399"/>
      <c r="O82" s="770"/>
    </row>
    <row r="83" spans="2:19" s="1273" customFormat="1" x14ac:dyDescent="0.3">
      <c r="B83" s="2217"/>
      <c r="C83" s="2753"/>
      <c r="D83" s="2753"/>
      <c r="E83" s="2753"/>
      <c r="F83" s="2753"/>
      <c r="G83" s="2753"/>
      <c r="H83" s="2753"/>
      <c r="I83" s="2753"/>
      <c r="J83" s="2753"/>
      <c r="K83" s="2218"/>
      <c r="L83" s="2219"/>
    </row>
    <row r="84" spans="2:19" x14ac:dyDescent="0.3">
      <c r="M84" s="706"/>
    </row>
    <row r="85" spans="2:19" ht="18" x14ac:dyDescent="0.35">
      <c r="B85" s="419" t="str">
        <f>'Вхідні дані'!$B$13</f>
        <v>Директор підприємства</v>
      </c>
      <c r="C85" s="2754"/>
      <c r="D85" s="2755" t="s">
        <v>1400</v>
      </c>
      <c r="E85" s="2754"/>
      <c r="G85" s="5094" t="str">
        <f>'Вхідні дані'!$F$13</f>
        <v>Анатолій ПАНШИН</v>
      </c>
      <c r="H85" s="5094"/>
      <c r="I85" s="5094"/>
    </row>
    <row r="86" spans="2:19" ht="18" x14ac:dyDescent="0.35">
      <c r="B86" s="419"/>
      <c r="C86" s="2754"/>
      <c r="D86" s="2755" t="s">
        <v>209</v>
      </c>
      <c r="E86" s="2754"/>
      <c r="G86" s="5088" t="s">
        <v>963</v>
      </c>
      <c r="H86" s="5088"/>
      <c r="I86" s="5088"/>
    </row>
    <row r="87" spans="2:19" ht="18" x14ac:dyDescent="0.35">
      <c r="B87" s="419" t="str">
        <f>'Вхідні дані'!$B$15</f>
        <v>Заступник директора з економіки</v>
      </c>
      <c r="C87" s="2754"/>
      <c r="D87" s="2755" t="s">
        <v>1400</v>
      </c>
      <c r="E87" s="2754"/>
      <c r="G87" s="5094" t="str">
        <f>'Вхідні дані'!$F$15</f>
        <v>Олена ЛАВРОВА</v>
      </c>
      <c r="H87" s="5094"/>
      <c r="I87" s="5094"/>
    </row>
    <row r="88" spans="2:19" ht="24" customHeight="1" x14ac:dyDescent="0.35">
      <c r="B88" s="418"/>
      <c r="D88" s="2755" t="s">
        <v>209</v>
      </c>
      <c r="G88" s="5088" t="s">
        <v>963</v>
      </c>
      <c r="H88" s="5088"/>
      <c r="I88" s="5088"/>
      <c r="K88" s="724"/>
      <c r="L88" s="900"/>
    </row>
    <row r="90" spans="2:19" x14ac:dyDescent="0.3">
      <c r="F90" s="1283">
        <f>F29</f>
        <v>11228.939355305936</v>
      </c>
      <c r="G90" s="1283">
        <f>G29</f>
        <v>9327.290193221852</v>
      </c>
      <c r="H90" s="1283">
        <f>H29</f>
        <v>1.508859213128052</v>
      </c>
      <c r="I90" s="1283">
        <f>I29</f>
        <v>1421.0098043517023</v>
      </c>
      <c r="J90" s="1283">
        <f>J29</f>
        <v>479.13049851925439</v>
      </c>
    </row>
    <row r="91" spans="2:19" x14ac:dyDescent="0.3">
      <c r="F91" s="1283">
        <f>Виробництво_2ст!F29</f>
        <v>11228.939355305936</v>
      </c>
      <c r="G91" s="1283">
        <f>Виробництво_2ст!G29</f>
        <v>9325.5769029754229</v>
      </c>
      <c r="H91" s="1283">
        <f>Виробництво_2ст!H29</f>
        <v>1.5106996155545218</v>
      </c>
      <c r="I91" s="1283">
        <f>Виробництво_2ст!I29</f>
        <v>1422.9420365946573</v>
      </c>
      <c r="J91" s="1283">
        <f>Виробництво_2ст!J29</f>
        <v>478.90971612030063</v>
      </c>
      <c r="N91" s="399"/>
      <c r="O91" s="399"/>
      <c r="P91" s="399"/>
      <c r="Q91" s="399"/>
    </row>
    <row r="92" spans="2:19" x14ac:dyDescent="0.3">
      <c r="N92" s="399"/>
      <c r="O92" s="399"/>
      <c r="P92" s="399"/>
      <c r="Q92" s="399"/>
      <c r="R92" s="399"/>
      <c r="S92" s="399"/>
    </row>
    <row r="93" spans="2:19" ht="17.399999999999999" x14ac:dyDescent="0.3">
      <c r="B93" s="389"/>
      <c r="I93" s="2746"/>
    </row>
    <row r="96" spans="2:19" x14ac:dyDescent="0.3">
      <c r="D96" s="1283" t="e">
        <f>#REF!+#REF!+D35</f>
        <v>#REF!</v>
      </c>
      <c r="F96" s="1283" t="e">
        <f>#REF!+#REF!+F35</f>
        <v>#REF!</v>
      </c>
    </row>
    <row r="98" spans="2:8" x14ac:dyDescent="0.3">
      <c r="B98" s="5085" t="s">
        <v>2700</v>
      </c>
      <c r="C98" s="5085"/>
      <c r="D98" s="5085"/>
      <c r="E98" s="5085"/>
      <c r="F98" s="5085"/>
      <c r="G98" s="5085"/>
      <c r="H98" s="5085"/>
    </row>
    <row r="99" spans="2:8" x14ac:dyDescent="0.3">
      <c r="B99" s="1124"/>
      <c r="C99" s="2756"/>
      <c r="D99" s="2756"/>
      <c r="E99" s="5086" t="s">
        <v>1780</v>
      </c>
      <c r="F99" s="5086"/>
      <c r="G99" s="2756"/>
      <c r="H99" s="2756"/>
    </row>
    <row r="100" spans="2:8" x14ac:dyDescent="0.3">
      <c r="B100" s="1183" t="s">
        <v>357</v>
      </c>
      <c r="C100" s="5087" t="s">
        <v>2305</v>
      </c>
      <c r="D100" s="5087"/>
      <c r="E100" s="5087" t="s">
        <v>2306</v>
      </c>
      <c r="F100" s="5087"/>
      <c r="G100" s="4508" t="s">
        <v>2309</v>
      </c>
      <c r="H100" s="4508" t="s">
        <v>2308</v>
      </c>
    </row>
    <row r="101" spans="2:8" x14ac:dyDescent="0.3">
      <c r="B101" s="778" t="s">
        <v>2294</v>
      </c>
      <c r="C101" s="3214">
        <f>D101/D111</f>
        <v>7.805429638726942E-2</v>
      </c>
      <c r="D101" s="1486">
        <f>F29</f>
        <v>11228.939355305936</v>
      </c>
      <c r="E101" s="3214">
        <f>F101/F111</f>
        <v>3.9200839974579738E-2</v>
      </c>
      <c r="F101" s="1486">
        <f>E29</f>
        <v>10366.7803628</v>
      </c>
      <c r="G101" s="2757">
        <f>C101-E101</f>
        <v>3.8853456412689683E-2</v>
      </c>
      <c r="H101" s="1486">
        <f>D101-F101</f>
        <v>862.15899250593611</v>
      </c>
    </row>
    <row r="102" spans="2:8" x14ac:dyDescent="0.3">
      <c r="B102" s="778" t="s">
        <v>2295</v>
      </c>
      <c r="C102" s="3214">
        <f>D102/D111</f>
        <v>1.7171945205199272E-2</v>
      </c>
      <c r="D102" s="1486">
        <f>F32</f>
        <v>2470.366658167306</v>
      </c>
      <c r="E102" s="3214">
        <f>F102/F111</f>
        <v>8.6241847944075415E-3</v>
      </c>
      <c r="F102" s="1486">
        <f>E32</f>
        <v>2280.691679816</v>
      </c>
      <c r="G102" s="2757">
        <f t="shared" ref="G102:H111" si="7">C102-E102</f>
        <v>8.5477604107917302E-3</v>
      </c>
      <c r="H102" s="1486">
        <f t="shared" si="7"/>
        <v>189.67497835130598</v>
      </c>
    </row>
    <row r="103" spans="2:8" x14ac:dyDescent="0.3">
      <c r="B103" s="778" t="s">
        <v>2995</v>
      </c>
      <c r="C103" s="3214">
        <f>D103/D111</f>
        <v>0.8258296261172906</v>
      </c>
      <c r="D103" s="1486">
        <f>F12</f>
        <v>118804.3607936293</v>
      </c>
      <c r="E103" s="3214">
        <f>F103/F111</f>
        <v>0.91898926391747315</v>
      </c>
      <c r="F103" s="1486">
        <f>E12</f>
        <v>243029.48255653607</v>
      </c>
      <c r="G103" s="2757">
        <f t="shared" si="7"/>
        <v>-9.3159637800182549E-2</v>
      </c>
      <c r="H103" s="1486">
        <f t="shared" si="7"/>
        <v>-124225.12176290677</v>
      </c>
    </row>
    <row r="104" spans="2:8" x14ac:dyDescent="0.3">
      <c r="B104" s="778" t="s">
        <v>43</v>
      </c>
      <c r="C104" s="3214">
        <f>D104/D111</f>
        <v>4.127154771845408E-2</v>
      </c>
      <c r="D104" s="1486">
        <f>F16</f>
        <v>5937.3503814675587</v>
      </c>
      <c r="E104" s="3214">
        <f>F104/F111</f>
        <v>1.4503659545576341E-2</v>
      </c>
      <c r="F104" s="1486">
        <f>E16</f>
        <v>3835.5365105267629</v>
      </c>
      <c r="G104" s="2757">
        <f t="shared" si="7"/>
        <v>2.6767888172877737E-2</v>
      </c>
      <c r="H104" s="1486">
        <f t="shared" si="7"/>
        <v>2101.8138709407958</v>
      </c>
    </row>
    <row r="105" spans="2:8" x14ac:dyDescent="0.3">
      <c r="B105" s="778" t="s">
        <v>2297</v>
      </c>
      <c r="C105" s="3214">
        <f>D105/D111</f>
        <v>2.3157082508030115E-4</v>
      </c>
      <c r="D105" s="1486">
        <f>F17</f>
        <v>33.313922123945588</v>
      </c>
      <c r="E105" s="3214">
        <f>F105/F111</f>
        <v>1.4211748460794951E-4</v>
      </c>
      <c r="F105" s="1486">
        <f>E17</f>
        <v>37.583397437391703</v>
      </c>
      <c r="G105" s="2757">
        <f t="shared" si="7"/>
        <v>8.9453340472351646E-5</v>
      </c>
      <c r="H105" s="1486">
        <f t="shared" si="7"/>
        <v>-4.2694753134461152</v>
      </c>
    </row>
    <row r="106" spans="2:8" x14ac:dyDescent="0.3">
      <c r="B106" s="778" t="s">
        <v>460</v>
      </c>
      <c r="C106" s="3214">
        <f>D106/D111</f>
        <v>1.475708141707124E-2</v>
      </c>
      <c r="D106" s="1486">
        <f>F33+F34</f>
        <v>2122.9628600000001</v>
      </c>
      <c r="E106" s="3214">
        <f>F106/F111</f>
        <v>8.6956272398994085E-3</v>
      </c>
      <c r="F106" s="1486">
        <f>E33+E34</f>
        <v>2299.5848500000002</v>
      </c>
      <c r="G106" s="2757">
        <f t="shared" si="7"/>
        <v>6.0614541771718319E-3</v>
      </c>
      <c r="H106" s="1486">
        <f t="shared" si="7"/>
        <v>-176.6219900000001</v>
      </c>
    </row>
    <row r="107" spans="2:8" x14ac:dyDescent="0.3">
      <c r="B107" s="778" t="s">
        <v>2298</v>
      </c>
      <c r="C107" s="3214">
        <f>D107/D111</f>
        <v>6.285431686529828E-3</v>
      </c>
      <c r="D107" s="1486">
        <f>F71</f>
        <v>904.22609</v>
      </c>
      <c r="E107" s="3214">
        <f>F107/F111</f>
        <v>3.5626946294210833E-3</v>
      </c>
      <c r="F107" s="1486">
        <f>E71</f>
        <v>942.16534000000001</v>
      </c>
      <c r="G107" s="2757">
        <f t="shared" si="7"/>
        <v>2.7227370571087446E-3</v>
      </c>
      <c r="H107" s="1486">
        <f t="shared" si="7"/>
        <v>-37.939250000000015</v>
      </c>
    </row>
    <row r="108" spans="2:8" x14ac:dyDescent="0.3">
      <c r="B108" s="778" t="s">
        <v>2299</v>
      </c>
      <c r="C108" s="3214">
        <f>D108/D111</f>
        <v>8.652246502633628E-3</v>
      </c>
      <c r="D108" s="1486">
        <f>F35</f>
        <v>1244.7175333333332</v>
      </c>
      <c r="E108" s="3214">
        <f>F108/F111</f>
        <v>2.3069315265238557E-3</v>
      </c>
      <c r="F108" s="1486">
        <f>E35</f>
        <v>610.07500000000005</v>
      </c>
      <c r="G108" s="2757">
        <f t="shared" si="7"/>
        <v>6.3453149761097723E-3</v>
      </c>
      <c r="H108" s="1486">
        <f t="shared" si="7"/>
        <v>634.64253333333318</v>
      </c>
    </row>
    <row r="109" spans="2:8" x14ac:dyDescent="0.3">
      <c r="B109" s="778" t="s">
        <v>2300</v>
      </c>
      <c r="C109" s="3214">
        <f>D109/D111</f>
        <v>7.7462541404715876E-3</v>
      </c>
      <c r="D109" s="1486">
        <f>D111-D101-D102-D103-D104-D105-D106-D107-D108</f>
        <v>1114.3809117511908</v>
      </c>
      <c r="E109" s="3214">
        <f>F109/F111</f>
        <v>3.9746808875109306E-3</v>
      </c>
      <c r="F109" s="1486">
        <f>F111-F101-F102-F103-F104-F105-F106-F107-F108</f>
        <v>1051.1163485212167</v>
      </c>
      <c r="G109" s="2757">
        <f t="shared" si="7"/>
        <v>3.771573252960657E-3</v>
      </c>
      <c r="H109" s="1486">
        <f t="shared" si="7"/>
        <v>63.264563229974101</v>
      </c>
    </row>
    <row r="110" spans="2:8" hidden="1" x14ac:dyDescent="0.3">
      <c r="B110" s="778" t="s">
        <v>2304</v>
      </c>
      <c r="C110" s="3214">
        <f>D110/D111</f>
        <v>0</v>
      </c>
      <c r="D110" s="1486"/>
      <c r="E110" s="3214">
        <f>F110/F111</f>
        <v>0</v>
      </c>
      <c r="F110" s="1486"/>
      <c r="G110" s="2757">
        <f t="shared" si="7"/>
        <v>0</v>
      </c>
      <c r="H110" s="1486">
        <f t="shared" si="7"/>
        <v>0</v>
      </c>
    </row>
    <row r="111" spans="2:8" x14ac:dyDescent="0.3">
      <c r="B111" s="1160" t="s">
        <v>1934</v>
      </c>
      <c r="C111" s="3215">
        <f>SUM(C101:C110)</f>
        <v>1</v>
      </c>
      <c r="D111" s="1486">
        <f>F10</f>
        <v>143860.61850577858</v>
      </c>
      <c r="E111" s="1321">
        <f>SUM(E101:E110)</f>
        <v>0.99999999999999989</v>
      </c>
      <c r="F111" s="1486">
        <f>E10</f>
        <v>264453.01604563743</v>
      </c>
      <c r="G111" s="2757">
        <f t="shared" si="7"/>
        <v>0</v>
      </c>
      <c r="H111" s="1486">
        <f t="shared" si="7"/>
        <v>-120592.39753985885</v>
      </c>
    </row>
    <row r="117" spans="8:9" x14ac:dyDescent="0.3">
      <c r="H117" s="2758"/>
      <c r="I117" s="2758"/>
    </row>
  </sheetData>
  <autoFilter ref="A8:U82" xr:uid="{00000000-0009-0000-0000-000012000000}"/>
  <mergeCells count="10">
    <mergeCell ref="B7:B8"/>
    <mergeCell ref="G7:J7"/>
    <mergeCell ref="G85:I85"/>
    <mergeCell ref="G86:I86"/>
    <mergeCell ref="G87:I87"/>
    <mergeCell ref="B98:H98"/>
    <mergeCell ref="E99:F99"/>
    <mergeCell ref="C100:D100"/>
    <mergeCell ref="E100:F100"/>
    <mergeCell ref="G88:I88"/>
  </mergeCells>
  <conditionalFormatting sqref="G88:I88 D88">
    <cfRule type="expression" dxfId="81" priority="26" stopIfTrue="1">
      <formula>ABS(#REF!-(#REF!+#REF!+$M88+$P88))&gt;отклонение</formula>
    </cfRule>
  </conditionalFormatting>
  <conditionalFormatting sqref="G88:I88">
    <cfRule type="expression" dxfId="80" priority="14" stopIfTrue="1">
      <formula>ABS(#REF!-(#REF!+$E88+$L88+$O88))&gt;отклонение</formula>
    </cfRule>
    <cfRule type="expression" dxfId="79" priority="25" stopIfTrue="1">
      <formula>ABS(#REF!-(#REF!+#REF!+#REF!+#REF!))&gt;отклонение</formula>
    </cfRule>
    <cfRule type="expression" dxfId="78" priority="28" stopIfTrue="1">
      <formula>ABS(#REF!-(#REF!+#REF!+$M88+$P88))&gt;отклонение</formula>
    </cfRule>
  </conditionalFormatting>
  <conditionalFormatting sqref="G88:L88 B88:C88 E88">
    <cfRule type="expression" dxfId="77" priority="22" stopIfTrue="1">
      <formula>ABS(#REF!-(#REF!+#REF!+#REF!+#REF!))&gt;отклонение</formula>
    </cfRule>
  </conditionalFormatting>
  <pageMargins left="0.23622047244094491" right="0.23622047244094491" top="0.47244094488188981" bottom="0.15748031496062992" header="0.59055118110236227" footer="0.31496062992125984"/>
  <pageSetup paperSize="9" scale="74" fitToHeight="3" orientation="landscape" r:id="rId1"/>
  <headerFooter alignWithMargins="0"/>
  <drawing r:id="rId2"/>
  <legacy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Лист6">
    <tabColor rgb="FF0000FF"/>
    <pageSetUpPr fitToPage="1"/>
  </sheetPr>
  <dimension ref="A1:AB122"/>
  <sheetViews>
    <sheetView workbookViewId="0">
      <selection activeCell="Y1" sqref="Y1:AB1048576"/>
    </sheetView>
  </sheetViews>
  <sheetFormatPr defaultColWidth="9.109375" defaultRowHeight="13.8" x14ac:dyDescent="0.25"/>
  <cols>
    <col min="1" max="1" width="7.88671875" style="1445" customWidth="1"/>
    <col min="2" max="2" width="45.6640625" style="100" customWidth="1"/>
    <col min="3" max="3" width="12.6640625" style="10" customWidth="1"/>
    <col min="4" max="4" width="11.109375" style="1445" customWidth="1"/>
    <col min="5" max="5" width="11.6640625" style="10" hidden="1" customWidth="1"/>
    <col min="6" max="7" width="11.6640625" style="10" customWidth="1"/>
    <col min="8" max="8" width="8.33203125" style="10" hidden="1" customWidth="1"/>
    <col min="9" max="13" width="9.109375" style="10" hidden="1" customWidth="1"/>
    <col min="14" max="15" width="10.44140625" style="10" hidden="1" customWidth="1"/>
    <col min="16" max="18" width="9.109375" style="10" hidden="1" customWidth="1"/>
    <col min="19" max="20" width="9.5546875" style="10" hidden="1" customWidth="1"/>
    <col min="21" max="21" width="10.5546875" style="1121" hidden="1" customWidth="1"/>
    <col min="22" max="22" width="0" style="1121" hidden="1" customWidth="1"/>
    <col min="23" max="23" width="0" style="10" hidden="1" customWidth="1"/>
    <col min="24" max="24" width="9.109375" style="10"/>
    <col min="25" max="28" width="10.5546875" style="10" hidden="1" customWidth="1"/>
    <col min="29" max="16384" width="9.109375" style="10"/>
  </cols>
  <sheetData>
    <row r="1" spans="1:28" ht="85.95" customHeight="1" x14ac:dyDescent="0.25">
      <c r="F1" s="4895" t="s">
        <v>3467</v>
      </c>
      <c r="G1" s="4895"/>
    </row>
    <row r="2" spans="1:28" ht="64.2" customHeight="1" x14ac:dyDescent="0.25">
      <c r="A2" s="4896" t="s">
        <v>4168</v>
      </c>
      <c r="B2" s="4896"/>
      <c r="C2" s="4896"/>
      <c r="D2" s="4896"/>
      <c r="E2" s="4896"/>
      <c r="F2" s="4896"/>
      <c r="G2" s="4896"/>
    </row>
    <row r="3" spans="1:28" ht="15" customHeight="1" thickBot="1" x14ac:dyDescent="0.3">
      <c r="D3" s="4897" t="s">
        <v>211</v>
      </c>
      <c r="E3" s="4897"/>
      <c r="F3" s="4897"/>
      <c r="G3" s="4897"/>
    </row>
    <row r="4" spans="1:28" ht="14.4" thickBot="1" x14ac:dyDescent="0.3">
      <c r="A4" s="4876" t="s">
        <v>7</v>
      </c>
      <c r="B4" s="4876" t="s">
        <v>631</v>
      </c>
      <c r="C4" s="4876" t="s">
        <v>2734</v>
      </c>
      <c r="D4" s="4879" t="s">
        <v>2735</v>
      </c>
      <c r="E4" s="4880"/>
      <c r="F4" s="4880"/>
      <c r="G4" s="4882"/>
      <c r="H4" s="100"/>
    </row>
    <row r="5" spans="1:28" ht="42" thickBot="1" x14ac:dyDescent="0.3">
      <c r="A5" s="4877"/>
      <c r="B5" s="4878"/>
      <c r="C5" s="4878"/>
      <c r="D5" s="1682" t="s">
        <v>2736</v>
      </c>
      <c r="E5" s="1682" t="s">
        <v>2737</v>
      </c>
      <c r="F5" s="1682" t="s">
        <v>2738</v>
      </c>
      <c r="G5" s="1682" t="s">
        <v>2810</v>
      </c>
    </row>
    <row r="6" spans="1:28" ht="14.4" thickBot="1" x14ac:dyDescent="0.3">
      <c r="A6" s="1683">
        <v>1</v>
      </c>
      <c r="B6" s="2033">
        <v>2</v>
      </c>
      <c r="C6" s="1676">
        <v>3</v>
      </c>
      <c r="D6" s="1683">
        <v>4</v>
      </c>
      <c r="E6" s="1676">
        <v>5</v>
      </c>
      <c r="F6" s="1684">
        <v>6</v>
      </c>
      <c r="G6" s="1677">
        <v>7</v>
      </c>
    </row>
    <row r="7" spans="1:28" s="3074" customFormat="1" ht="70.8" thickBot="1" x14ac:dyDescent="0.4">
      <c r="A7" s="4489"/>
      <c r="B7" s="4490" t="s">
        <v>3429</v>
      </c>
      <c r="C7" s="4491" t="s">
        <v>317</v>
      </c>
      <c r="D7" s="4492">
        <f>D8+D42+D76-0.01</f>
        <v>2291.6105284132491</v>
      </c>
      <c r="E7" s="4492">
        <f>IF(E42=0,0,E8+E42+E76)</f>
        <v>0</v>
      </c>
      <c r="F7" s="4492">
        <f>F8+F42+F76</f>
        <v>3436.7070083408057</v>
      </c>
      <c r="G7" s="4492">
        <f>G8+G42+G76</f>
        <v>3436.7070083408057</v>
      </c>
      <c r="T7" s="3074">
        <f>D7*1.2</f>
        <v>2749.9326340958987</v>
      </c>
      <c r="U7" s="3074">
        <f>E7*1.2</f>
        <v>0</v>
      </c>
      <c r="V7" s="4597">
        <f>F7*1.2</f>
        <v>4124.048410008967</v>
      </c>
      <c r="Y7" s="4597">
        <f>D7*1.2</f>
        <v>2749.9326340958987</v>
      </c>
      <c r="Z7" s="4597">
        <f t="shared" ref="Z7:AB7" si="0">E7*1.2</f>
        <v>0</v>
      </c>
      <c r="AA7" s="4597">
        <f t="shared" si="0"/>
        <v>4124.048410008967</v>
      </c>
      <c r="AB7" s="4597">
        <f t="shared" si="0"/>
        <v>4124.048410008967</v>
      </c>
    </row>
    <row r="8" spans="1:28" ht="14.4" thickBot="1" x14ac:dyDescent="0.3">
      <c r="A8" s="1711" t="s">
        <v>2741</v>
      </c>
      <c r="B8" s="4494" t="s">
        <v>3412</v>
      </c>
      <c r="C8" s="3151">
        <f>C33+C34+C35+C36</f>
        <v>162608.02000000002</v>
      </c>
      <c r="D8" s="1707">
        <f>D33+D34+D35+D36</f>
        <v>1321.3719506169798</v>
      </c>
      <c r="E8" s="1707">
        <f>E33+E34+E35+E36</f>
        <v>2354.1214482265309</v>
      </c>
      <c r="F8" s="1707">
        <f>F33+F34+F35+F36</f>
        <v>2354.1214482265323</v>
      </c>
      <c r="G8" s="1707">
        <f>G33+G34+G35+G36</f>
        <v>2354.1214482265323</v>
      </c>
      <c r="H8" s="1223">
        <f>I8+N8</f>
        <v>108.67553267624618</v>
      </c>
      <c r="I8" s="1722">
        <f>'Д 7_РП'!D157/1000</f>
        <v>18.237362357436083</v>
      </c>
      <c r="J8" s="1722">
        <f>'Д 7_РП'!D158/1000</f>
        <v>15.155265331444637</v>
      </c>
      <c r="K8" s="1722">
        <f>'Д 7_РП'!D159/1000</f>
        <v>0</v>
      </c>
      <c r="L8" s="1722">
        <f>'Д 7_РП'!D160/1000</f>
        <v>2.2291652834520463</v>
      </c>
      <c r="M8" s="1722">
        <f>'Д 7_РП'!D161/1000</f>
        <v>0.85293174253939519</v>
      </c>
      <c r="N8" s="1722">
        <f>'Д 7_РП'!D162/1000</f>
        <v>90.438170318810094</v>
      </c>
      <c r="O8" s="1722">
        <f>'Д 7_РП'!D163/1000</f>
        <v>75.115792165658988</v>
      </c>
      <c r="P8" s="1722">
        <f>'Д 7_РП'!D164/1000</f>
        <v>1.4602989074179139E-2</v>
      </c>
      <c r="Q8" s="1722">
        <f>'Д 7_РП'!D165/1000</f>
        <v>11.523602679723238</v>
      </c>
      <c r="R8" s="1722">
        <f>'Д 7_РП'!D166/1000</f>
        <v>3.7841724843536966</v>
      </c>
      <c r="U8" s="1223">
        <f>C10+C26+C31+C32+C34+C35+C36</f>
        <v>162608.01959820243</v>
      </c>
    </row>
    <row r="9" spans="1:28" ht="14.4" thickBot="1" x14ac:dyDescent="0.3">
      <c r="A9" s="1695"/>
      <c r="B9" s="4892" t="s">
        <v>3416</v>
      </c>
      <c r="C9" s="4893"/>
      <c r="D9" s="4893"/>
      <c r="E9" s="4893"/>
      <c r="F9" s="4893"/>
      <c r="G9" s="4894"/>
      <c r="H9" s="1121"/>
    </row>
    <row r="10" spans="1:28" s="15" customFormat="1" ht="41.4" x14ac:dyDescent="0.25">
      <c r="A10" s="1696" t="s">
        <v>1747</v>
      </c>
      <c r="B10" s="1697" t="s">
        <v>2792</v>
      </c>
      <c r="C10" s="3153">
        <f>C11+C16+C17+C21</f>
        <v>149071.37204744879</v>
      </c>
      <c r="D10" s="4600">
        <f>D11+D16+D17+D21</f>
        <v>1204.5578945392026</v>
      </c>
      <c r="E10" s="4600">
        <f>E11+E16+E17+E21</f>
        <v>2191.5679039096362</v>
      </c>
      <c r="F10" s="4600">
        <f>F11+F16+F17+F21</f>
        <v>2191.5679039096376</v>
      </c>
      <c r="G10" s="4600">
        <f>G11+G16+G17+G21</f>
        <v>2191.5679039096376</v>
      </c>
      <c r="H10" s="1724">
        <f>I10+N10-C10</f>
        <v>0</v>
      </c>
      <c r="I10" s="1690">
        <f>I11+I16+I17+I21</f>
        <v>25010.019417726111</v>
      </c>
      <c r="J10" s="1690">
        <f t="shared" ref="J10:R10" si="1">J11+J16+J17+J21</f>
        <v>18255.394498827929</v>
      </c>
      <c r="K10" s="1690">
        <f t="shared" si="1"/>
        <v>0</v>
      </c>
      <c r="L10" s="1690">
        <f t="shared" si="1"/>
        <v>4885.3670877231343</v>
      </c>
      <c r="M10" s="1690">
        <f t="shared" si="1"/>
        <v>1869.2578311750567</v>
      </c>
      <c r="N10" s="1690">
        <f t="shared" si="1"/>
        <v>124061.35262972272</v>
      </c>
      <c r="O10" s="1690">
        <f t="shared" si="1"/>
        <v>90481.32045771055</v>
      </c>
      <c r="P10" s="1690">
        <f t="shared" si="1"/>
        <v>32.00344215611409</v>
      </c>
      <c r="Q10" s="1690">
        <f t="shared" si="1"/>
        <v>25254.757770288539</v>
      </c>
      <c r="R10" s="1690">
        <f t="shared" si="1"/>
        <v>8293.2709595675551</v>
      </c>
      <c r="S10" s="1622">
        <f>ROUND(C11,2)+ROUND(C16,2)+ROUND(C17,2)+ROUND(C21,2)</f>
        <v>149071.37</v>
      </c>
      <c r="T10" s="1622">
        <f>ROUND(D11,2)+ROUND(D16,2)+ROUND(D17,2)+ROUND(D21,2)</f>
        <v>1204.56</v>
      </c>
      <c r="U10" s="1205">
        <f t="shared" ref="U10:U41" si="2">C10/C$41</f>
        <v>1371.7105256023481</v>
      </c>
      <c r="V10" s="1724">
        <f t="shared" ref="V10:V41" si="3">D10-U10</f>
        <v>-167.15263106314546</v>
      </c>
      <c r="W10" s="1622">
        <f t="shared" ref="W10:W40" si="4">D10+E10-F10-G10</f>
        <v>-987.01000937043636</v>
      </c>
    </row>
    <row r="11" spans="1:28" x14ac:dyDescent="0.25">
      <c r="A11" s="1698" t="s">
        <v>1749</v>
      </c>
      <c r="B11" s="2003" t="s">
        <v>2749</v>
      </c>
      <c r="C11" s="3152">
        <f>SUM(C12:C15)</f>
        <v>125398.03179983831</v>
      </c>
      <c r="D11" s="4598">
        <f>SUM(D12:D15)</f>
        <v>986.72284312854674</v>
      </c>
      <c r="E11" s="4598">
        <f>SUM(E12:E15)</f>
        <v>1973.73285249898</v>
      </c>
      <c r="F11" s="4598">
        <f>SUM(F12:F15)</f>
        <v>1973.7328524989814</v>
      </c>
      <c r="G11" s="4598">
        <f>SUM(G12:G15)</f>
        <v>1973.7328524989814</v>
      </c>
      <c r="H11" s="1724">
        <f t="shared" ref="H11:H40" si="5">I11+N11-C11</f>
        <v>0</v>
      </c>
      <c r="I11" s="1699">
        <f>SUM(I12:I15)</f>
        <v>21037.282650999263</v>
      </c>
      <c r="J11" s="1699">
        <f t="shared" ref="J11:R11" si="6">SUM(J12:J15)</f>
        <v>14954.046496210551</v>
      </c>
      <c r="K11" s="1699">
        <f t="shared" si="6"/>
        <v>0</v>
      </c>
      <c r="L11" s="1699">
        <f t="shared" si="6"/>
        <v>4399.7767535995081</v>
      </c>
      <c r="M11" s="1699">
        <f t="shared" si="6"/>
        <v>1683.4594011892073</v>
      </c>
      <c r="N11" s="1699">
        <f t="shared" si="6"/>
        <v>104360.74914883907</v>
      </c>
      <c r="O11" s="1699">
        <f t="shared" si="6"/>
        <v>74118.468009552074</v>
      </c>
      <c r="P11" s="1699">
        <f t="shared" si="6"/>
        <v>28.822399280391032</v>
      </c>
      <c r="Q11" s="1699">
        <f t="shared" si="6"/>
        <v>22744.513188115056</v>
      </c>
      <c r="R11" s="1699">
        <f t="shared" si="6"/>
        <v>7468.9455518915784</v>
      </c>
      <c r="S11" s="1622">
        <f>ROUND(C12,2)+ROUND(C13,2)+ROUND(C14,2)+ROUND(C15,2)</f>
        <v>125398.03</v>
      </c>
      <c r="U11" s="1205">
        <f t="shared" si="2"/>
        <v>1153.8754741916923</v>
      </c>
      <c r="V11" s="1724">
        <f t="shared" si="3"/>
        <v>-167.15263106314558</v>
      </c>
      <c r="W11" s="1622">
        <f t="shared" si="4"/>
        <v>-987.01000937043591</v>
      </c>
    </row>
    <row r="12" spans="1:28" ht="27.6" x14ac:dyDescent="0.25">
      <c r="A12" s="1698" t="s">
        <v>2750</v>
      </c>
      <c r="B12" s="2003" t="s">
        <v>2751</v>
      </c>
      <c r="C12" s="3152">
        <f>Виробництво_1ст!F12</f>
        <v>118804.3607936293</v>
      </c>
      <c r="D12" s="4598">
        <f>'Д 2_Т на В'!L14/'Д 2_Т на В'!L$58*1000</f>
        <v>926.04983933612777</v>
      </c>
      <c r="E12" s="4598">
        <f>'Д 2_Т на В'!P14/'Д 2_Т на В'!P$58*1000</f>
        <v>1913.0598487065622</v>
      </c>
      <c r="F12" s="4598">
        <f>'Д 2_Т на В'!T14/'Д 2_Т на В'!T$58*1000</f>
        <v>1913.059848706562</v>
      </c>
      <c r="G12" s="4598">
        <f>'Д 2_Т на В'!X14/'Д 2_Т на В'!X$58*1000</f>
        <v>1913.0598487065627</v>
      </c>
      <c r="H12" s="1724">
        <f t="shared" si="5"/>
        <v>0</v>
      </c>
      <c r="I12" s="1725">
        <f>SUM(J12:M12)</f>
        <v>19930.767095522824</v>
      </c>
      <c r="J12" s="73">
        <f>J$8*D12</f>
        <v>14034.531025280694</v>
      </c>
      <c r="K12" s="73">
        <f t="shared" ref="K12:M27" si="7">K$8*E12</f>
        <v>0</v>
      </c>
      <c r="L12" s="73">
        <f t="shared" si="7"/>
        <v>4264.5265999026924</v>
      </c>
      <c r="M12" s="73">
        <f t="shared" si="7"/>
        <v>1631.7094703394403</v>
      </c>
      <c r="N12" s="1725">
        <f>SUM(O12:R12)</f>
        <v>98873.593698106473</v>
      </c>
      <c r="O12" s="73">
        <f>O$8*D12</f>
        <v>69560.967266614476</v>
      </c>
      <c r="P12" s="73">
        <f t="shared" ref="P12:R27" si="8">P$8*E12</f>
        <v>27.936392068912724</v>
      </c>
      <c r="Q12" s="73">
        <f t="shared" si="8"/>
        <v>22045.341599025869</v>
      </c>
      <c r="R12" s="73">
        <f t="shared" si="8"/>
        <v>7239.3484403972197</v>
      </c>
      <c r="U12" s="1205">
        <f t="shared" si="2"/>
        <v>1093.2024703992736</v>
      </c>
      <c r="V12" s="1724">
        <f t="shared" si="3"/>
        <v>-167.1526310631458</v>
      </c>
      <c r="W12" s="1622">
        <f t="shared" si="4"/>
        <v>-987.01000937043477</v>
      </c>
    </row>
    <row r="13" spans="1:28" ht="27.6" x14ac:dyDescent="0.25">
      <c r="A13" s="1698" t="s">
        <v>2752</v>
      </c>
      <c r="B13" s="2003" t="s">
        <v>2753</v>
      </c>
      <c r="C13" s="3152">
        <f>Виробництво_1ст!F16</f>
        <v>5937.3503814675587</v>
      </c>
      <c r="D13" s="4598">
        <f>'Д 2_Т на В'!L18/'Д 2_Т на В'!L$58*1000</f>
        <v>54.633736180115534</v>
      </c>
      <c r="E13" s="4598">
        <f>'Д 2_Т на В'!P18/'Д 2_Т на В'!P$58*1000</f>
        <v>54.633736180115527</v>
      </c>
      <c r="F13" s="4598">
        <f>'Д 2_Т на В'!T18/'Д 2_Т на В'!T$58*1000</f>
        <v>54.633736180115527</v>
      </c>
      <c r="G13" s="4598">
        <f>'Д 2_Т на В'!X18/'Д 2_Т на В'!X$58*1000</f>
        <v>54.633736180115534</v>
      </c>
      <c r="H13" s="1724">
        <f t="shared" si="5"/>
        <v>0</v>
      </c>
      <c r="I13" s="1725">
        <f t="shared" ref="I13:I40" si="9">SUM(J13:M13)</f>
        <v>996.37524365733259</v>
      </c>
      <c r="J13" s="73">
        <f t="shared" ref="J13:M40" si="10">J$8*D13</f>
        <v>827.98876785779748</v>
      </c>
      <c r="K13" s="73">
        <f t="shared" si="7"/>
        <v>0</v>
      </c>
      <c r="L13" s="73">
        <f t="shared" si="7"/>
        <v>121.78762799799155</v>
      </c>
      <c r="M13" s="73">
        <f t="shared" si="7"/>
        <v>46.598847801543542</v>
      </c>
      <c r="N13" s="1725">
        <f t="shared" ref="N13:N40" si="11">SUM(O13:R13)</f>
        <v>4940.9751378102274</v>
      </c>
      <c r="O13" s="73">
        <f t="shared" ref="O13:R40" si="12">O$8*D13</f>
        <v>4103.8563721390028</v>
      </c>
      <c r="P13" s="73">
        <f t="shared" si="8"/>
        <v>0.79781585251981257</v>
      </c>
      <c r="Q13" s="73">
        <f t="shared" si="8"/>
        <v>629.57746864847172</v>
      </c>
      <c r="R13" s="73">
        <f t="shared" si="8"/>
        <v>206.74348117023223</v>
      </c>
      <c r="U13" s="1205">
        <f t="shared" si="2"/>
        <v>54.633736180115534</v>
      </c>
      <c r="V13" s="1724">
        <f t="shared" si="3"/>
        <v>0</v>
      </c>
      <c r="W13" s="1622">
        <f t="shared" si="4"/>
        <v>0</v>
      </c>
    </row>
    <row r="14" spans="1:28" ht="27.6" x14ac:dyDescent="0.25">
      <c r="A14" s="1698" t="s">
        <v>2754</v>
      </c>
      <c r="B14" s="2003" t="s">
        <v>2755</v>
      </c>
      <c r="C14" s="3152">
        <f>Виробництво_1ст!F17</f>
        <v>33.313922123945588</v>
      </c>
      <c r="D14" s="4598">
        <f>'Д 2_Т на В'!L22/'Д 2_Т на В'!L$58*1000</f>
        <v>0.30654482479686251</v>
      </c>
      <c r="E14" s="4598">
        <f>'Д 2_Т на В'!P22/'Д 2_Т на В'!P$58*1000</f>
        <v>0.30654482479686246</v>
      </c>
      <c r="F14" s="4598">
        <f>'Д 2_Т на В'!T22/'Д 2_Т на В'!T$58*1000</f>
        <v>0.30654482479686246</v>
      </c>
      <c r="G14" s="4598">
        <f>'Д 2_Т на В'!X22/'Д 2_Т на В'!X$58*1000</f>
        <v>0.30654482479686251</v>
      </c>
      <c r="H14" s="1724">
        <f t="shared" si="5"/>
        <v>0</v>
      </c>
      <c r="I14" s="1725">
        <f t="shared" si="9"/>
        <v>5.5905690486171373</v>
      </c>
      <c r="J14" s="73">
        <f t="shared" si="10"/>
        <v>4.6457681557776604</v>
      </c>
      <c r="K14" s="73">
        <f t="shared" si="7"/>
        <v>0</v>
      </c>
      <c r="L14" s="73">
        <f t="shared" si="7"/>
        <v>0.68333908125905574</v>
      </c>
      <c r="M14" s="73">
        <f t="shared" si="7"/>
        <v>0.26146181158042153</v>
      </c>
      <c r="N14" s="1725">
        <f t="shared" si="11"/>
        <v>27.723353075328454</v>
      </c>
      <c r="O14" s="73">
        <f t="shared" si="12"/>
        <v>23.026357348899474</v>
      </c>
      <c r="P14" s="73">
        <f t="shared" si="8"/>
        <v>4.4764707272547406E-3</v>
      </c>
      <c r="Q14" s="73">
        <f t="shared" si="8"/>
        <v>3.5325007644844146</v>
      </c>
      <c r="R14" s="73">
        <f t="shared" si="8"/>
        <v>1.1600184912173119</v>
      </c>
      <c r="U14" s="1205">
        <f t="shared" si="2"/>
        <v>0.30654482479686246</v>
      </c>
      <c r="V14" s="1724">
        <f t="shared" si="3"/>
        <v>0</v>
      </c>
      <c r="W14" s="1622">
        <f t="shared" si="4"/>
        <v>0</v>
      </c>
    </row>
    <row r="15" spans="1:28" ht="27.6" x14ac:dyDescent="0.25">
      <c r="A15" s="1698" t="s">
        <v>2756</v>
      </c>
      <c r="B15" s="2003" t="s">
        <v>2273</v>
      </c>
      <c r="C15" s="3152">
        <f>Виробництво_1ст!F11-Виробництво_1ст!F12-Виробництво_1ст!F17-Виробництво_1ст!F16</f>
        <v>623.00670261750929</v>
      </c>
      <c r="D15" s="4598">
        <f>'Д 2_Т на В'!L23/'Д 2_Т на В'!L$58*1000</f>
        <v>5.7327227875065283</v>
      </c>
      <c r="E15" s="4598">
        <f>'Д 2_Т на В'!P23/'Д 2_Т на В'!P$58*1000</f>
        <v>5.7327227875055042</v>
      </c>
      <c r="F15" s="4598">
        <f>'Д 2_Т на В'!T23/'Д 2_Т на В'!T$58*1000</f>
        <v>5.7327227875070346</v>
      </c>
      <c r="G15" s="4598">
        <f>'Д 2_Т на В'!X23/'Д 2_Т на В'!X$58*1000</f>
        <v>5.7327227875062041</v>
      </c>
      <c r="H15" s="1724">
        <f t="shared" si="5"/>
        <v>2.2964741219766438E-11</v>
      </c>
      <c r="I15" s="1725">
        <f t="shared" si="9"/>
        <v>104.54974277048845</v>
      </c>
      <c r="J15" s="73">
        <f t="shared" si="10"/>
        <v>86.880934916280353</v>
      </c>
      <c r="K15" s="73">
        <f t="shared" si="7"/>
        <v>0</v>
      </c>
      <c r="L15" s="73">
        <f t="shared" si="7"/>
        <v>12.779186617565124</v>
      </c>
      <c r="M15" s="73">
        <f t="shared" si="7"/>
        <v>4.8896212366429657</v>
      </c>
      <c r="N15" s="1725">
        <f t="shared" si="11"/>
        <v>518.45695984704378</v>
      </c>
      <c r="O15" s="73">
        <f t="shared" si="12"/>
        <v>430.61801344967762</v>
      </c>
      <c r="P15" s="73">
        <f t="shared" si="8"/>
        <v>8.3714888231240653E-2</v>
      </c>
      <c r="Q15" s="73">
        <f t="shared" si="8"/>
        <v>66.061619676226528</v>
      </c>
      <c r="R15" s="73">
        <f t="shared" si="8"/>
        <v>21.693611832908402</v>
      </c>
      <c r="U15" s="1205">
        <f t="shared" si="2"/>
        <v>5.7327227875063675</v>
      </c>
      <c r="V15" s="1724">
        <f t="shared" si="3"/>
        <v>1.6076029396572267E-13</v>
      </c>
      <c r="W15" s="1622">
        <f t="shared" si="4"/>
        <v>-1.2052581155330699E-12</v>
      </c>
    </row>
    <row r="16" spans="1:28" x14ac:dyDescent="0.25">
      <c r="A16" s="1698" t="s">
        <v>1751</v>
      </c>
      <c r="B16" s="2003" t="s">
        <v>2757</v>
      </c>
      <c r="C16" s="3152">
        <f>Виробництво_1ст!F29</f>
        <v>11228.939355305936</v>
      </c>
      <c r="D16" s="4598">
        <f>'Д 2_Т на В'!L24/'Д 2_Т на В'!L$58*1000</f>
        <v>103.32536753013136</v>
      </c>
      <c r="E16" s="4598">
        <f>'Д 2_Т на В'!P24/'Д 2_Т на В'!P$58*1000</f>
        <v>103.32536753013136</v>
      </c>
      <c r="F16" s="4598">
        <f>'Д 2_Т на В'!T24/'Д 2_Т на В'!T$58*1000</f>
        <v>103.32536753013136</v>
      </c>
      <c r="G16" s="4598">
        <f>'Д 2_Т на В'!X24/'Д 2_Т на В'!X$58*1000</f>
        <v>103.32536753013136</v>
      </c>
      <c r="H16" s="1724">
        <f t="shared" si="5"/>
        <v>0</v>
      </c>
      <c r="I16" s="1725">
        <f t="shared" si="9"/>
        <v>1884.3821683622655</v>
      </c>
      <c r="J16" s="73">
        <f t="shared" si="10"/>
        <v>1565.9233603881751</v>
      </c>
      <c r="K16" s="73">
        <f t="shared" si="7"/>
        <v>0</v>
      </c>
      <c r="L16" s="73">
        <f t="shared" si="7"/>
        <v>230.32932219809214</v>
      </c>
      <c r="M16" s="73">
        <f t="shared" si="7"/>
        <v>88.12948577599839</v>
      </c>
      <c r="N16" s="1725">
        <f t="shared" si="11"/>
        <v>9344.5571869436717</v>
      </c>
      <c r="O16" s="73">
        <f t="shared" si="12"/>
        <v>7761.3668328336771</v>
      </c>
      <c r="P16" s="73">
        <f t="shared" si="8"/>
        <v>1.5088592131280523</v>
      </c>
      <c r="Q16" s="73">
        <f t="shared" si="8"/>
        <v>1190.6804821536102</v>
      </c>
      <c r="R16" s="73">
        <f t="shared" si="8"/>
        <v>391.00101274325596</v>
      </c>
      <c r="S16" s="729">
        <f>ROUND(C16,2)</f>
        <v>11228.94</v>
      </c>
      <c r="U16" s="1205">
        <f t="shared" si="2"/>
        <v>103.32536753013136</v>
      </c>
      <c r="V16" s="1724">
        <f t="shared" si="3"/>
        <v>0</v>
      </c>
      <c r="W16" s="1622">
        <f t="shared" si="4"/>
        <v>0</v>
      </c>
    </row>
    <row r="17" spans="1:23" x14ac:dyDescent="0.25">
      <c r="A17" s="1698" t="s">
        <v>1753</v>
      </c>
      <c r="B17" s="2003" t="s">
        <v>2758</v>
      </c>
      <c r="C17" s="3152">
        <f>C18+C19+C20</f>
        <v>7233.6473506343445</v>
      </c>
      <c r="D17" s="4598">
        <f>'Д 2_Т на В'!L25/'Д 2_Т на В'!L$58*1000</f>
        <v>66.561876187752475</v>
      </c>
      <c r="E17" s="4598">
        <f>'Д 2_Т на В'!P25/'Д 2_Т на В'!P$58*1000</f>
        <v>66.561876187752446</v>
      </c>
      <c r="F17" s="4598">
        <f>'Д 2_Т на В'!T25/'Д 2_Т на В'!T$58*1000</f>
        <v>66.561876187752446</v>
      </c>
      <c r="G17" s="4598">
        <f>'Д 2_Т на В'!X25/'Д 2_Т на В'!X$58*1000</f>
        <v>66.561876187752446</v>
      </c>
      <c r="H17" s="1724">
        <f t="shared" si="5"/>
        <v>0</v>
      </c>
      <c r="I17" s="1725">
        <f t="shared" si="9"/>
        <v>1213.9130552268377</v>
      </c>
      <c r="J17" s="73">
        <f t="shared" si="10"/>
        <v>1008.7628945841554</v>
      </c>
      <c r="K17" s="73">
        <f t="shared" si="7"/>
        <v>0</v>
      </c>
      <c r="L17" s="73">
        <f t="shared" si="7"/>
        <v>148.37742359917121</v>
      </c>
      <c r="M17" s="73">
        <f t="shared" si="7"/>
        <v>56.772737043511171</v>
      </c>
      <c r="N17" s="1725">
        <f t="shared" si="11"/>
        <v>6019.7342954075084</v>
      </c>
      <c r="O17" s="73">
        <f t="shared" si="12"/>
        <v>4999.8480578755407</v>
      </c>
      <c r="P17" s="73">
        <f t="shared" si="8"/>
        <v>0.97200235072661356</v>
      </c>
      <c r="Q17" s="73">
        <f t="shared" si="8"/>
        <v>767.03261480459048</v>
      </c>
      <c r="R17" s="73">
        <f t="shared" si="8"/>
        <v>251.88162037665035</v>
      </c>
      <c r="S17" s="1622">
        <f>ROUND(C18,2)+ROUND(C19,2)+ROUND(C20,2)</f>
        <v>7233.65</v>
      </c>
      <c r="U17" s="1205">
        <f t="shared" si="2"/>
        <v>66.561876187752461</v>
      </c>
      <c r="V17" s="1724">
        <f t="shared" si="3"/>
        <v>0</v>
      </c>
      <c r="W17" s="1622">
        <f t="shared" si="4"/>
        <v>0</v>
      </c>
    </row>
    <row r="18" spans="1:23" x14ac:dyDescent="0.25">
      <c r="A18" s="1698" t="s">
        <v>2759</v>
      </c>
      <c r="B18" s="2003" t="s">
        <v>2773</v>
      </c>
      <c r="C18" s="3152">
        <f>Виробництво_1ст!F32</f>
        <v>2470.366658167306</v>
      </c>
      <c r="D18" s="4598">
        <f>'Д 2_Т на В'!L26/'Д 2_Т на В'!L$58*1000</f>
        <v>22.731580856628899</v>
      </c>
      <c r="E18" s="4598">
        <f>'Д 2_Т на В'!P26/'Д 2_Т на В'!P$58*1000</f>
        <v>22.731580856628899</v>
      </c>
      <c r="F18" s="4598">
        <f>'Д 2_Т на В'!T26/'Д 2_Т на В'!T$58*1000</f>
        <v>22.731580856628902</v>
      </c>
      <c r="G18" s="4598">
        <f>'Д 2_Т на В'!X26/'Д 2_Т на В'!X$58*1000</f>
        <v>22.731580856628902</v>
      </c>
      <c r="H18" s="1724">
        <f t="shared" si="5"/>
        <v>0</v>
      </c>
      <c r="I18" s="1725">
        <f t="shared" si="9"/>
        <v>414.56407703969842</v>
      </c>
      <c r="J18" s="73">
        <f t="shared" si="10"/>
        <v>344.5031392853985</v>
      </c>
      <c r="K18" s="73">
        <f t="shared" si="7"/>
        <v>0</v>
      </c>
      <c r="L18" s="73">
        <f t="shared" si="7"/>
        <v>50.672450883580275</v>
      </c>
      <c r="M18" s="73">
        <f t="shared" si="7"/>
        <v>19.388486870719646</v>
      </c>
      <c r="N18" s="1725">
        <f t="shared" si="11"/>
        <v>2055.8025811276075</v>
      </c>
      <c r="O18" s="73">
        <f t="shared" si="12"/>
        <v>1707.5007032234089</v>
      </c>
      <c r="P18" s="73">
        <f t="shared" si="8"/>
        <v>0.33194902688817146</v>
      </c>
      <c r="Q18" s="73">
        <f t="shared" si="8"/>
        <v>261.94970607379429</v>
      </c>
      <c r="R18" s="73">
        <f t="shared" si="8"/>
        <v>86.020222803516319</v>
      </c>
      <c r="S18" s="1622"/>
      <c r="U18" s="1205">
        <f t="shared" si="2"/>
        <v>22.731580856628899</v>
      </c>
      <c r="V18" s="1724">
        <f t="shared" si="3"/>
        <v>0</v>
      </c>
      <c r="W18" s="1622">
        <f t="shared" si="4"/>
        <v>0</v>
      </c>
    </row>
    <row r="19" spans="1:23" x14ac:dyDescent="0.25">
      <c r="A19" s="1698" t="s">
        <v>2761</v>
      </c>
      <c r="B19" s="2003" t="s">
        <v>2762</v>
      </c>
      <c r="C19" s="3152">
        <f>Виробництво_1ст!F33+Виробництво_1ст!F34</f>
        <v>2122.9628600000001</v>
      </c>
      <c r="D19" s="4598">
        <f>'Д 2_Т на В'!L27/'Д 2_Т на В'!L$58*1000</f>
        <v>19.534874205075123</v>
      </c>
      <c r="E19" s="4598">
        <f>'Д 2_Т на В'!P27/'Д 2_Т на В'!P$58*1000</f>
        <v>19.534874205075123</v>
      </c>
      <c r="F19" s="4598">
        <f>'Д 2_Т на В'!T27/'Д 2_Т на В'!T$58*1000</f>
        <v>19.534874205075123</v>
      </c>
      <c r="G19" s="4598">
        <f>'Д 2_Т на В'!X27/'Д 2_Т на В'!X$58*1000</f>
        <v>19.53487420507512</v>
      </c>
      <c r="H19" s="1724">
        <f t="shared" si="5"/>
        <v>0</v>
      </c>
      <c r="I19" s="1725">
        <f t="shared" si="9"/>
        <v>356.2645794848861</v>
      </c>
      <c r="J19" s="73">
        <f t="shared" si="10"/>
        <v>296.05620179430713</v>
      </c>
      <c r="K19" s="73">
        <f t="shared" si="7"/>
        <v>0</v>
      </c>
      <c r="L19" s="73">
        <f t="shared" si="7"/>
        <v>43.546463394556355</v>
      </c>
      <c r="M19" s="73">
        <f t="shared" si="7"/>
        <v>16.661914296022605</v>
      </c>
      <c r="N19" s="1725">
        <f t="shared" si="11"/>
        <v>1766.698280515114</v>
      </c>
      <c r="O19" s="73">
        <f t="shared" si="12"/>
        <v>1467.3775507707157</v>
      </c>
      <c r="P19" s="73">
        <f t="shared" si="8"/>
        <v>0.2852675545821759</v>
      </c>
      <c r="Q19" s="73">
        <f t="shared" si="8"/>
        <v>225.11212873766004</v>
      </c>
      <c r="R19" s="73">
        <f t="shared" si="8"/>
        <v>73.923333452156058</v>
      </c>
      <c r="U19" s="1205">
        <f t="shared" si="2"/>
        <v>19.534874205075123</v>
      </c>
      <c r="V19" s="1724">
        <f t="shared" si="3"/>
        <v>0</v>
      </c>
      <c r="W19" s="1622">
        <f t="shared" si="4"/>
        <v>0</v>
      </c>
    </row>
    <row r="20" spans="1:23" x14ac:dyDescent="0.25">
      <c r="A20" s="1698" t="s">
        <v>2763</v>
      </c>
      <c r="B20" s="2003" t="s">
        <v>81</v>
      </c>
      <c r="C20" s="3152">
        <f>Виробництво_1ст!F31-Виробництво_1ст!F32-Виробництво_1ст!F33-Виробництво_1ст!F34</f>
        <v>2640.3178324670384</v>
      </c>
      <c r="D20" s="4598">
        <f>'Д 2_Т на В'!L28/'Д 2_Т на В'!L$58*1000</f>
        <v>24.295421126048446</v>
      </c>
      <c r="E20" s="4598">
        <f>'Д 2_Т на В'!P28/'Д 2_Т на В'!P$58*1000</f>
        <v>24.295421126048424</v>
      </c>
      <c r="F20" s="4598">
        <f>'Д 2_Т на В'!T28/'Д 2_Т на В'!T$58*1000</f>
        <v>24.295421126048428</v>
      </c>
      <c r="G20" s="4598">
        <f>'Д 2_Т на В'!X28/'Д 2_Т на В'!X$58*1000</f>
        <v>24.295421126048424</v>
      </c>
      <c r="H20" s="1724">
        <f t="shared" si="5"/>
        <v>0</v>
      </c>
      <c r="I20" s="1725">
        <f t="shared" si="9"/>
        <v>443.08439870225311</v>
      </c>
      <c r="J20" s="73">
        <f t="shared" si="10"/>
        <v>368.20355350444964</v>
      </c>
      <c r="K20" s="73">
        <f t="shared" si="7"/>
        <v>0</v>
      </c>
      <c r="L20" s="73">
        <f t="shared" si="7"/>
        <v>54.158509321034579</v>
      </c>
      <c r="M20" s="73">
        <f t="shared" si="7"/>
        <v>20.722335876768916</v>
      </c>
      <c r="N20" s="1725">
        <f t="shared" si="11"/>
        <v>2197.2334337647858</v>
      </c>
      <c r="O20" s="73">
        <f t="shared" si="12"/>
        <v>1824.9698038814156</v>
      </c>
      <c r="P20" s="73">
        <f t="shared" si="8"/>
        <v>0.35478576925626615</v>
      </c>
      <c r="Q20" s="73">
        <f t="shared" si="8"/>
        <v>279.9707799931362</v>
      </c>
      <c r="R20" s="73">
        <f t="shared" si="8"/>
        <v>91.938064120977955</v>
      </c>
      <c r="U20" s="1205">
        <f t="shared" si="2"/>
        <v>24.295421126048435</v>
      </c>
      <c r="V20" s="1724">
        <f t="shared" si="3"/>
        <v>0</v>
      </c>
      <c r="W20" s="1622">
        <f t="shared" si="4"/>
        <v>0</v>
      </c>
    </row>
    <row r="21" spans="1:23" s="15" customFormat="1" x14ac:dyDescent="0.25">
      <c r="A21" s="1700" t="s">
        <v>1755</v>
      </c>
      <c r="B21" s="1697" t="s">
        <v>2764</v>
      </c>
      <c r="C21" s="3153">
        <f>C22+C23+C24+C25</f>
        <v>5210.7535416702249</v>
      </c>
      <c r="D21" s="4599">
        <f>D22+D23+D24+D25</f>
        <v>47.94780769277213</v>
      </c>
      <c r="E21" s="4599">
        <f>E22+E23+E24+E25</f>
        <v>47.947807692772123</v>
      </c>
      <c r="F21" s="4599">
        <f>F22+F23+F24+F25</f>
        <v>47.947807692772123</v>
      </c>
      <c r="G21" s="4599">
        <f>G22+G23+G24+G25</f>
        <v>47.947807692772123</v>
      </c>
      <c r="H21" s="1724">
        <f t="shared" si="5"/>
        <v>0</v>
      </c>
      <c r="I21" s="1725">
        <f t="shared" si="9"/>
        <v>874.44154313774652</v>
      </c>
      <c r="J21" s="73">
        <f t="shared" si="10"/>
        <v>726.66174764504399</v>
      </c>
      <c r="K21" s="73">
        <f t="shared" si="7"/>
        <v>0</v>
      </c>
      <c r="L21" s="73">
        <f t="shared" si="7"/>
        <v>106.88358832636258</v>
      </c>
      <c r="M21" s="73">
        <f t="shared" si="7"/>
        <v>40.896207166339941</v>
      </c>
      <c r="N21" s="1725">
        <f t="shared" si="11"/>
        <v>4336.3119985324793</v>
      </c>
      <c r="O21" s="73">
        <f t="shared" si="12"/>
        <v>3601.6375574492567</v>
      </c>
      <c r="P21" s="73">
        <f t="shared" si="8"/>
        <v>0.70018131186839383</v>
      </c>
      <c r="Q21" s="73">
        <f t="shared" si="8"/>
        <v>552.53148521528328</v>
      </c>
      <c r="R21" s="73">
        <f t="shared" si="8"/>
        <v>181.44277455607076</v>
      </c>
      <c r="S21" s="1622">
        <f>ROUND(C22,2)+ROUND(C23,2)+ROUND(C24,2)+ROUND(C25,2)</f>
        <v>5210.7599999999993</v>
      </c>
      <c r="T21" s="1622">
        <f>ROUND(D22,2)+ROUND(D23,2)+ROUND(D24,2)+ROUND(D25,2)</f>
        <v>47.949999999999996</v>
      </c>
      <c r="U21" s="1205">
        <f t="shared" si="2"/>
        <v>47.947807692772123</v>
      </c>
      <c r="V21" s="1724">
        <f t="shared" si="3"/>
        <v>0</v>
      </c>
      <c r="W21" s="1622">
        <f t="shared" si="4"/>
        <v>0</v>
      </c>
    </row>
    <row r="22" spans="1:23" x14ac:dyDescent="0.25">
      <c r="A22" s="1701" t="s">
        <v>2765</v>
      </c>
      <c r="B22" s="2003" t="s">
        <v>2766</v>
      </c>
      <c r="C22" s="3152">
        <f>ЗВВ_1ст!G21</f>
        <v>3981.6703519823727</v>
      </c>
      <c r="D22" s="4598">
        <f>'Д 2_Т на В'!L30/'Д 2_Т на В'!L$58*1000</f>
        <v>36.638148936836721</v>
      </c>
      <c r="E22" s="4598">
        <f>'Д 2_Т на В'!P30/'Д 2_Т на В'!P$58*1000</f>
        <v>36.638148936836714</v>
      </c>
      <c r="F22" s="4598">
        <f>'Д 2_Т на В'!T30/'Д 2_Т на В'!T$58*1000</f>
        <v>36.638148936836714</v>
      </c>
      <c r="G22" s="4598">
        <f>'Д 2_Т на В'!X30/'Д 2_Т на В'!X$58*1000</f>
        <v>36.638148936836714</v>
      </c>
      <c r="H22" s="1724">
        <f t="shared" si="5"/>
        <v>0</v>
      </c>
      <c r="I22" s="1725">
        <f t="shared" si="9"/>
        <v>668.18319826680272</v>
      </c>
      <c r="J22" s="73">
        <f t="shared" si="10"/>
        <v>555.26086839074674</v>
      </c>
      <c r="K22" s="73">
        <f t="shared" si="7"/>
        <v>0</v>
      </c>
      <c r="L22" s="73">
        <f t="shared" si="7"/>
        <v>81.672489659941903</v>
      </c>
      <c r="M22" s="73">
        <f t="shared" si="7"/>
        <v>31.249840216114027</v>
      </c>
      <c r="N22" s="1725">
        <f t="shared" si="11"/>
        <v>3313.4871537155709</v>
      </c>
      <c r="O22" s="73">
        <f t="shared" si="12"/>
        <v>2752.103580873887</v>
      </c>
      <c r="P22" s="73">
        <f t="shared" si="8"/>
        <v>0.53502648862277458</v>
      </c>
      <c r="Q22" s="73">
        <f t="shared" si="8"/>
        <v>422.20347126863066</v>
      </c>
      <c r="R22" s="73">
        <f t="shared" si="8"/>
        <v>138.64507508443015</v>
      </c>
      <c r="U22" s="1205">
        <f t="shared" si="2"/>
        <v>36.638148936836714</v>
      </c>
      <c r="V22" s="1724">
        <f t="shared" si="3"/>
        <v>0</v>
      </c>
      <c r="W22" s="1622">
        <f t="shared" si="4"/>
        <v>0</v>
      </c>
    </row>
    <row r="23" spans="1:23" x14ac:dyDescent="0.25">
      <c r="A23" s="1701" t="s">
        <v>2767</v>
      </c>
      <c r="B23" s="2003" t="s">
        <v>2275</v>
      </c>
      <c r="C23" s="3152">
        <f>ЗВВ_1ст!G23</f>
        <v>849.8976237422155</v>
      </c>
      <c r="D23" s="4598">
        <f>'Д 2_Т на В'!L31/'Д 2_Т на В'!L$58*1000</f>
        <v>7.8205057091749826</v>
      </c>
      <c r="E23" s="4598">
        <f>'Д 2_Т на В'!P31/'Д 2_Т на В'!P$58*1000</f>
        <v>7.8205057091749808</v>
      </c>
      <c r="F23" s="4598">
        <f>'Д 2_Т на В'!T31/'Д 2_Т на В'!T$58*1000</f>
        <v>7.8205057091749808</v>
      </c>
      <c r="G23" s="4598">
        <f>'Д 2_Т на В'!X31/'Д 2_Т на В'!X$58*1000</f>
        <v>7.8205057091749826</v>
      </c>
      <c r="H23" s="1724">
        <f t="shared" si="5"/>
        <v>0</v>
      </c>
      <c r="I23" s="1725">
        <f t="shared" si="9"/>
        <v>142.62539643662177</v>
      </c>
      <c r="J23" s="73">
        <f t="shared" si="10"/>
        <v>118.52183904862447</v>
      </c>
      <c r="K23" s="73">
        <f t="shared" si="7"/>
        <v>0</v>
      </c>
      <c r="L23" s="73">
        <f t="shared" si="7"/>
        <v>17.433199825931393</v>
      </c>
      <c r="M23" s="73">
        <f t="shared" si="7"/>
        <v>6.6703575620659068</v>
      </c>
      <c r="N23" s="1725">
        <f t="shared" si="11"/>
        <v>707.2722273055939</v>
      </c>
      <c r="O23" s="73">
        <f t="shared" si="12"/>
        <v>587.44348148073755</v>
      </c>
      <c r="P23" s="73">
        <f t="shared" si="8"/>
        <v>0.11420275942563782</v>
      </c>
      <c r="Q23" s="73">
        <f t="shared" si="8"/>
        <v>90.120400547039694</v>
      </c>
      <c r="R23" s="73">
        <f t="shared" si="8"/>
        <v>29.59414251839096</v>
      </c>
      <c r="U23" s="1205">
        <f t="shared" si="2"/>
        <v>7.8205057091749817</v>
      </c>
      <c r="V23" s="1724">
        <f t="shared" si="3"/>
        <v>0</v>
      </c>
      <c r="W23" s="1622">
        <f t="shared" si="4"/>
        <v>0</v>
      </c>
    </row>
    <row r="24" spans="1:23" x14ac:dyDescent="0.25">
      <c r="A24" s="1701" t="s">
        <v>2768</v>
      </c>
      <c r="B24" s="2003" t="s">
        <v>2762</v>
      </c>
      <c r="C24" s="3152">
        <f>ЗВВ_1ст!G37+ЗВВ_1ст!G39</f>
        <v>24.498227527621857</v>
      </c>
      <c r="D24" s="4598">
        <f t="shared" ref="D24:D34" si="13">C24/$C$41</f>
        <v>0.2254254193591505</v>
      </c>
      <c r="E24" s="4598">
        <f>C24/$C$41</f>
        <v>0.2254254193591505</v>
      </c>
      <c r="F24" s="4598">
        <f>C24/$C$41</f>
        <v>0.2254254193591505</v>
      </c>
      <c r="G24" s="4598">
        <f>C24/$C$41</f>
        <v>0.2254254193591505</v>
      </c>
      <c r="H24" s="1724">
        <f t="shared" si="5"/>
        <v>0</v>
      </c>
      <c r="I24" s="1725">
        <f t="shared" si="9"/>
        <v>4.1111650574298135</v>
      </c>
      <c r="J24" s="73">
        <f t="shared" si="10"/>
        <v>3.4163820428401022</v>
      </c>
      <c r="K24" s="73">
        <f t="shared" si="7"/>
        <v>0</v>
      </c>
      <c r="L24" s="73">
        <f t="shared" si="7"/>
        <v>0.5025105188430371</v>
      </c>
      <c r="M24" s="73">
        <f t="shared" si="7"/>
        <v>0.19227249574667415</v>
      </c>
      <c r="N24" s="1725">
        <f t="shared" si="11"/>
        <v>20.387062470192046</v>
      </c>
      <c r="O24" s="73">
        <f t="shared" si="12"/>
        <v>16.93300894943847</v>
      </c>
      <c r="P24" s="73">
        <f t="shared" si="8"/>
        <v>3.2918849359439254E-3</v>
      </c>
      <c r="Q24" s="73">
        <f t="shared" si="8"/>
        <v>2.5977129666048415</v>
      </c>
      <c r="R24" s="73">
        <f t="shared" si="8"/>
        <v>0.85304866921279043</v>
      </c>
      <c r="U24" s="1205">
        <f t="shared" si="2"/>
        <v>0.2254254193591505</v>
      </c>
      <c r="V24" s="1724">
        <f t="shared" si="3"/>
        <v>0</v>
      </c>
      <c r="W24" s="1622">
        <f t="shared" si="4"/>
        <v>0</v>
      </c>
    </row>
    <row r="25" spans="1:23" x14ac:dyDescent="0.25">
      <c r="A25" s="1701" t="s">
        <v>2769</v>
      </c>
      <c r="B25" s="2003" t="s">
        <v>58</v>
      </c>
      <c r="C25" s="3152">
        <f>ЗВВ_1ст!G9+ЗВВ_1ст!G24+ЗВВ_1ст!G40</f>
        <v>354.68733841801537</v>
      </c>
      <c r="D25" s="4598">
        <f t="shared" si="13"/>
        <v>3.2637276274012814</v>
      </c>
      <c r="E25" s="4598">
        <f>C25/$C$41</f>
        <v>3.2637276274012814</v>
      </c>
      <c r="F25" s="4598">
        <f>C25/$C$41</f>
        <v>3.2637276274012814</v>
      </c>
      <c r="G25" s="4598">
        <f>C25/$C$41</f>
        <v>3.2637276274012814</v>
      </c>
      <c r="H25" s="1724">
        <f t="shared" si="5"/>
        <v>0</v>
      </c>
      <c r="I25" s="1725">
        <f t="shared" si="9"/>
        <v>59.521783376892301</v>
      </c>
      <c r="J25" s="73">
        <f t="shared" si="10"/>
        <v>49.462658162832703</v>
      </c>
      <c r="K25" s="73">
        <f t="shared" si="7"/>
        <v>0</v>
      </c>
      <c r="L25" s="73">
        <f t="shared" si="7"/>
        <v>7.2753883216462523</v>
      </c>
      <c r="M25" s="73">
        <f t="shared" si="7"/>
        <v>2.7837368924133408</v>
      </c>
      <c r="N25" s="1725">
        <f t="shared" si="11"/>
        <v>295.16555504112307</v>
      </c>
      <c r="O25" s="73">
        <f t="shared" si="12"/>
        <v>245.15748614519396</v>
      </c>
      <c r="P25" s="73">
        <f t="shared" si="8"/>
        <v>4.7660178884037514E-2</v>
      </c>
      <c r="Q25" s="73">
        <f t="shared" si="8"/>
        <v>37.609900433008171</v>
      </c>
      <c r="R25" s="73">
        <f t="shared" si="8"/>
        <v>12.350508284036902</v>
      </c>
      <c r="U25" s="1205">
        <f t="shared" si="2"/>
        <v>3.2637276274012814</v>
      </c>
      <c r="V25" s="1724">
        <f t="shared" si="3"/>
        <v>0</v>
      </c>
      <c r="W25" s="1622">
        <f t="shared" si="4"/>
        <v>0</v>
      </c>
    </row>
    <row r="26" spans="1:23" s="15" customFormat="1" x14ac:dyDescent="0.25">
      <c r="A26" s="1696" t="s">
        <v>1768</v>
      </c>
      <c r="B26" s="1697" t="s">
        <v>2770</v>
      </c>
      <c r="C26" s="3153">
        <f>C27+C28+C29+C30</f>
        <v>6334.8875507536159</v>
      </c>
      <c r="D26" s="4599">
        <f>D27+D28+D29+D30</f>
        <v>58.29175523460092</v>
      </c>
      <c r="E26" s="4599">
        <f>E27+E28+E29+E30</f>
        <v>58.291755234600913</v>
      </c>
      <c r="F26" s="4599">
        <f>F27+F28+F29+F30</f>
        <v>58.29175523460092</v>
      </c>
      <c r="G26" s="4599">
        <f>G27+G28+G29+G30</f>
        <v>58.29175523460092</v>
      </c>
      <c r="H26" s="1724">
        <f t="shared" si="5"/>
        <v>0</v>
      </c>
      <c r="I26" s="1725">
        <f t="shared" si="9"/>
        <v>1063.0878626643882</v>
      </c>
      <c r="J26" s="73">
        <f t="shared" si="10"/>
        <v>883.42701721600372</v>
      </c>
      <c r="K26" s="73">
        <f t="shared" si="7"/>
        <v>0</v>
      </c>
      <c r="L26" s="73">
        <f t="shared" si="7"/>
        <v>129.94195708045646</v>
      </c>
      <c r="M26" s="73">
        <f t="shared" si="7"/>
        <v>49.718888367928074</v>
      </c>
      <c r="N26" s="1725">
        <f t="shared" si="11"/>
        <v>5271.7996880892288</v>
      </c>
      <c r="O26" s="73">
        <f t="shared" si="12"/>
        <v>4378.6313711737475</v>
      </c>
      <c r="P26" s="73">
        <f t="shared" si="8"/>
        <v>0.8512338648056017</v>
      </c>
      <c r="Q26" s="73">
        <f t="shared" si="8"/>
        <v>671.73102682721822</v>
      </c>
      <c r="R26" s="73">
        <f t="shared" si="8"/>
        <v>220.58605622345735</v>
      </c>
      <c r="S26" s="1622">
        <f>ROUND(C27,2)+ROUND(C28,2)+ROUND(C29,2)+ROUND(C30,2)</f>
        <v>6334.88</v>
      </c>
      <c r="T26" s="1622">
        <f>ROUND(D27,2)+ROUND(D28,2)+ROUND(D29,2)+ROUND(D30,2)</f>
        <v>58.28</v>
      </c>
      <c r="U26" s="1205">
        <f t="shared" si="2"/>
        <v>58.291755234600913</v>
      </c>
      <c r="V26" s="1724">
        <f t="shared" si="3"/>
        <v>0</v>
      </c>
      <c r="W26" s="1622">
        <f t="shared" si="4"/>
        <v>0</v>
      </c>
    </row>
    <row r="27" spans="1:23" x14ac:dyDescent="0.25">
      <c r="A27" s="1701" t="s">
        <v>2771</v>
      </c>
      <c r="B27" s="2003" t="s">
        <v>55</v>
      </c>
      <c r="C27" s="3152">
        <f>Адміністративні_1ст!G21</f>
        <v>4743.9700713768461</v>
      </c>
      <c r="D27" s="4598">
        <f>'Д 2_Т на В'!L34/'Д 2_Т на В'!L$58*1000</f>
        <v>43.652604726673331</v>
      </c>
      <c r="E27" s="4598">
        <f>'Д 2_Т на В'!P34/'Д 2_Т на В'!P$58*1000</f>
        <v>43.652604726673331</v>
      </c>
      <c r="F27" s="4598">
        <f>'Д 2_Т на В'!T34/'Д 2_Т на В'!T$58*1000</f>
        <v>43.652604726673331</v>
      </c>
      <c r="G27" s="4598">
        <f>'Д 2_Т на В'!X34/'Д 2_Т на В'!X$58*1000</f>
        <v>43.652604726673339</v>
      </c>
      <c r="H27" s="1724">
        <f t="shared" si="5"/>
        <v>0</v>
      </c>
      <c r="I27" s="1725">
        <f t="shared" si="9"/>
        <v>796.10837024626846</v>
      </c>
      <c r="J27" s="73">
        <f t="shared" si="10"/>
        <v>661.56680704140865</v>
      </c>
      <c r="K27" s="73">
        <f t="shared" si="7"/>
        <v>0</v>
      </c>
      <c r="L27" s="73">
        <f t="shared" si="7"/>
        <v>97.308870988954894</v>
      </c>
      <c r="M27" s="73">
        <f t="shared" si="7"/>
        <v>37.232692215904926</v>
      </c>
      <c r="N27" s="1725">
        <f t="shared" si="11"/>
        <v>3947.8617011305773</v>
      </c>
      <c r="O27" s="73">
        <f t="shared" si="12"/>
        <v>3278.999984138457</v>
      </c>
      <c r="P27" s="73">
        <f t="shared" si="8"/>
        <v>0.63745850988307129</v>
      </c>
      <c r="Q27" s="73">
        <f t="shared" si="8"/>
        <v>503.03527280519211</v>
      </c>
      <c r="R27" s="73">
        <f t="shared" si="8"/>
        <v>165.18898567704537</v>
      </c>
      <c r="U27" s="1205">
        <f t="shared" si="2"/>
        <v>43.652604726673331</v>
      </c>
      <c r="V27" s="1724">
        <f t="shared" si="3"/>
        <v>0</v>
      </c>
      <c r="W27" s="1622">
        <f t="shared" si="4"/>
        <v>0</v>
      </c>
    </row>
    <row r="28" spans="1:23" x14ac:dyDescent="0.25">
      <c r="A28" s="1701" t="s">
        <v>2772</v>
      </c>
      <c r="B28" s="2003" t="s">
        <v>2773</v>
      </c>
      <c r="C28" s="3152">
        <f>Адміністративні_1ст!G23</f>
        <v>1043.6734157029061</v>
      </c>
      <c r="D28" s="4598">
        <f>'Д 2_Т на В'!L35/'Д 2_Т на В'!L$58*1000</f>
        <v>9.6035730398681345</v>
      </c>
      <c r="E28" s="4598">
        <f>'Д 2_Т на В'!P35/'Д 2_Т на В'!P$58*1000</f>
        <v>9.6035730398681327</v>
      </c>
      <c r="F28" s="4598">
        <f>'Д 2_Т на В'!T35/'Д 2_Т на В'!T$58*1000</f>
        <v>9.6035730398681345</v>
      </c>
      <c r="G28" s="4598">
        <f>'Д 2_Т на В'!X35/'Д 2_Т на В'!X$58*1000</f>
        <v>9.6035730398681345</v>
      </c>
      <c r="H28" s="1724">
        <f t="shared" si="5"/>
        <v>0</v>
      </c>
      <c r="I28" s="1725">
        <f t="shared" si="9"/>
        <v>175.1438414541791</v>
      </c>
      <c r="J28" s="73">
        <f t="shared" si="10"/>
        <v>145.54469754910991</v>
      </c>
      <c r="K28" s="73">
        <f t="shared" si="10"/>
        <v>0</v>
      </c>
      <c r="L28" s="73">
        <f t="shared" si="10"/>
        <v>21.407951617570081</v>
      </c>
      <c r="M28" s="73">
        <f t="shared" si="10"/>
        <v>8.191192287499085</v>
      </c>
      <c r="N28" s="1725">
        <f t="shared" si="11"/>
        <v>868.52957424872739</v>
      </c>
      <c r="O28" s="73">
        <f t="shared" si="12"/>
        <v>721.37999651046073</v>
      </c>
      <c r="P28" s="73">
        <f t="shared" si="12"/>
        <v>0.14024087217427569</v>
      </c>
      <c r="Q28" s="73">
        <f t="shared" si="12"/>
        <v>110.66776001714227</v>
      </c>
      <c r="R28" s="73">
        <f t="shared" si="12"/>
        <v>36.341576848949977</v>
      </c>
      <c r="U28" s="1205">
        <f t="shared" si="2"/>
        <v>9.6035730398681327</v>
      </c>
      <c r="V28" s="1724">
        <f t="shared" si="3"/>
        <v>0</v>
      </c>
      <c r="W28" s="1622">
        <f t="shared" si="4"/>
        <v>0</v>
      </c>
    </row>
    <row r="29" spans="1:23" x14ac:dyDescent="0.25">
      <c r="A29" s="1701" t="s">
        <v>2774</v>
      </c>
      <c r="B29" s="2003" t="s">
        <v>2762</v>
      </c>
      <c r="C29" s="3152">
        <f>Адміністративні_1ст!G36+Адміністративні_1ст!G38</f>
        <v>59.839555891161972</v>
      </c>
      <c r="D29" s="4598">
        <f t="shared" si="13"/>
        <v>0.55062583469849824</v>
      </c>
      <c r="E29" s="4598">
        <f>C29/$C$41</f>
        <v>0.55062583469849824</v>
      </c>
      <c r="F29" s="4598">
        <f>C29/$C$41</f>
        <v>0.55062583469849824</v>
      </c>
      <c r="G29" s="4598">
        <f>C29/$C$41</f>
        <v>0.55062583469849824</v>
      </c>
      <c r="H29" s="1724">
        <f t="shared" si="5"/>
        <v>0</v>
      </c>
      <c r="I29" s="1725">
        <f t="shared" si="9"/>
        <v>10.041962870762211</v>
      </c>
      <c r="J29" s="73">
        <f t="shared" si="10"/>
        <v>8.344880623203915</v>
      </c>
      <c r="K29" s="73">
        <f t="shared" si="10"/>
        <v>0</v>
      </c>
      <c r="L29" s="73">
        <f t="shared" si="10"/>
        <v>1.2274359948816975</v>
      </c>
      <c r="M29" s="73">
        <f t="shared" si="10"/>
        <v>0.4696462526765991</v>
      </c>
      <c r="N29" s="1725">
        <f t="shared" si="11"/>
        <v>49.797593020399752</v>
      </c>
      <c r="O29" s="73">
        <f t="shared" si="12"/>
        <v>41.360695760254892</v>
      </c>
      <c r="P29" s="73">
        <f t="shared" si="12"/>
        <v>8.0407830480629383E-3</v>
      </c>
      <c r="Q29" s="73">
        <f t="shared" si="12"/>
        <v>6.345193344256459</v>
      </c>
      <c r="R29" s="73">
        <f t="shared" si="12"/>
        <v>2.0836631328403441</v>
      </c>
      <c r="U29" s="1205">
        <f t="shared" si="2"/>
        <v>0.55062583469849824</v>
      </c>
      <c r="V29" s="1724">
        <f t="shared" si="3"/>
        <v>0</v>
      </c>
      <c r="W29" s="1622">
        <f t="shared" si="4"/>
        <v>0</v>
      </c>
    </row>
    <row r="30" spans="1:23" x14ac:dyDescent="0.25">
      <c r="A30" s="1701" t="s">
        <v>2775</v>
      </c>
      <c r="B30" s="2003" t="s">
        <v>2776</v>
      </c>
      <c r="C30" s="3152">
        <f>Адміністративні_1ст!G9+Адміністративні_1ст!G24+Адміністративні_1ст!G39</f>
        <v>487.40450778270178</v>
      </c>
      <c r="D30" s="4598">
        <f t="shared" si="13"/>
        <v>4.4849516333609518</v>
      </c>
      <c r="E30" s="4598">
        <f>C30/$C$41</f>
        <v>4.4849516333609518</v>
      </c>
      <c r="F30" s="4598">
        <f>C30/$C$41</f>
        <v>4.4849516333609518</v>
      </c>
      <c r="G30" s="4598">
        <f>C30/$C$41</f>
        <v>4.4849516333609518</v>
      </c>
      <c r="H30" s="1724">
        <f t="shared" si="5"/>
        <v>0</v>
      </c>
      <c r="I30" s="1725">
        <f t="shared" si="9"/>
        <v>81.793688093178488</v>
      </c>
      <c r="J30" s="73">
        <f t="shared" si="10"/>
        <v>67.970632002281235</v>
      </c>
      <c r="K30" s="73">
        <f t="shared" si="10"/>
        <v>0</v>
      </c>
      <c r="L30" s="73">
        <f t="shared" si="10"/>
        <v>9.9976984790497845</v>
      </c>
      <c r="M30" s="73">
        <f t="shared" si="10"/>
        <v>3.8253576118474633</v>
      </c>
      <c r="N30" s="1725">
        <f t="shared" si="11"/>
        <v>405.61081968952328</v>
      </c>
      <c r="O30" s="73">
        <f t="shared" si="12"/>
        <v>336.89069476457405</v>
      </c>
      <c r="P30" s="73">
        <f t="shared" si="12"/>
        <v>6.5493699700191865E-2</v>
      </c>
      <c r="Q30" s="73">
        <f t="shared" si="12"/>
        <v>51.682800660627379</v>
      </c>
      <c r="R30" s="73">
        <f t="shared" si="12"/>
        <v>16.971830564621683</v>
      </c>
      <c r="U30" s="1205">
        <f t="shared" si="2"/>
        <v>4.4849516333609518</v>
      </c>
      <c r="V30" s="1724">
        <f t="shared" si="3"/>
        <v>0</v>
      </c>
      <c r="W30" s="1622">
        <f t="shared" si="4"/>
        <v>0</v>
      </c>
    </row>
    <row r="31" spans="1:23" s="15" customFormat="1" x14ac:dyDescent="0.25">
      <c r="A31" s="1696" t="s">
        <v>1770</v>
      </c>
      <c r="B31" s="1697" t="s">
        <v>2777</v>
      </c>
      <c r="C31" s="3153">
        <v>0</v>
      </c>
      <c r="D31" s="4600">
        <v>0</v>
      </c>
      <c r="E31" s="4600">
        <v>0</v>
      </c>
      <c r="F31" s="4600">
        <v>0</v>
      </c>
      <c r="G31" s="4600">
        <v>0</v>
      </c>
      <c r="H31" s="1724">
        <f t="shared" si="5"/>
        <v>0</v>
      </c>
      <c r="I31" s="1725">
        <f t="shared" si="9"/>
        <v>0</v>
      </c>
      <c r="J31" s="73">
        <f t="shared" si="10"/>
        <v>0</v>
      </c>
      <c r="K31" s="73">
        <f t="shared" si="10"/>
        <v>0</v>
      </c>
      <c r="L31" s="73">
        <f t="shared" si="10"/>
        <v>0</v>
      </c>
      <c r="M31" s="73">
        <f t="shared" si="10"/>
        <v>0</v>
      </c>
      <c r="N31" s="1725">
        <f t="shared" si="11"/>
        <v>0</v>
      </c>
      <c r="O31" s="73">
        <f t="shared" si="12"/>
        <v>0</v>
      </c>
      <c r="P31" s="73">
        <f t="shared" si="12"/>
        <v>0</v>
      </c>
      <c r="Q31" s="73">
        <f t="shared" si="12"/>
        <v>0</v>
      </c>
      <c r="R31" s="73">
        <f t="shared" si="12"/>
        <v>0</v>
      </c>
      <c r="U31" s="1205">
        <f t="shared" si="2"/>
        <v>0</v>
      </c>
      <c r="V31" s="1724">
        <f t="shared" si="3"/>
        <v>0</v>
      </c>
      <c r="W31" s="1622">
        <f t="shared" si="4"/>
        <v>0</v>
      </c>
    </row>
    <row r="32" spans="1:23" s="15" customFormat="1" x14ac:dyDescent="0.25">
      <c r="A32" s="1696" t="s">
        <v>1773</v>
      </c>
      <c r="B32" s="1697" t="s">
        <v>2779</v>
      </c>
      <c r="C32" s="3153">
        <f>'ТЕ_2ст_тариф_з ЦТП'!E67</f>
        <v>0</v>
      </c>
      <c r="D32" s="4600">
        <f t="shared" si="13"/>
        <v>0</v>
      </c>
      <c r="E32" s="4600">
        <f>C32/$C$41</f>
        <v>0</v>
      </c>
      <c r="F32" s="4600">
        <f>C32/$C$41</f>
        <v>0</v>
      </c>
      <c r="G32" s="4600">
        <f>C32/$C$41</f>
        <v>0</v>
      </c>
      <c r="H32" s="1724">
        <f t="shared" si="5"/>
        <v>0</v>
      </c>
      <c r="I32" s="1725">
        <f t="shared" si="9"/>
        <v>0</v>
      </c>
      <c r="J32" s="73">
        <f t="shared" si="10"/>
        <v>0</v>
      </c>
      <c r="K32" s="73">
        <f t="shared" si="10"/>
        <v>0</v>
      </c>
      <c r="L32" s="73">
        <f t="shared" si="10"/>
        <v>0</v>
      </c>
      <c r="M32" s="73">
        <f t="shared" si="10"/>
        <v>0</v>
      </c>
      <c r="N32" s="1725">
        <f t="shared" si="11"/>
        <v>0</v>
      </c>
      <c r="O32" s="73">
        <f t="shared" si="12"/>
        <v>0</v>
      </c>
      <c r="P32" s="73">
        <f t="shared" si="12"/>
        <v>0</v>
      </c>
      <c r="Q32" s="73">
        <f t="shared" si="12"/>
        <v>0</v>
      </c>
      <c r="R32" s="73">
        <f t="shared" si="12"/>
        <v>0</v>
      </c>
      <c r="U32" s="1205">
        <f t="shared" si="2"/>
        <v>0</v>
      </c>
      <c r="V32" s="1724">
        <f t="shared" si="3"/>
        <v>0</v>
      </c>
      <c r="W32" s="1622">
        <f t="shared" si="4"/>
        <v>0</v>
      </c>
    </row>
    <row r="33" spans="1:23" s="15" customFormat="1" x14ac:dyDescent="0.25">
      <c r="A33" s="1696" t="s">
        <v>1845</v>
      </c>
      <c r="B33" s="1697" t="s">
        <v>2442</v>
      </c>
      <c r="C33" s="3153">
        <f>ROUND(C10,2)+ROUND(C26,2)+ROUND(C31,2)+ROUND(C32,2)</f>
        <v>155406.26</v>
      </c>
      <c r="D33" s="4600">
        <f>D10+D26+D31+D32</f>
        <v>1262.8496497738035</v>
      </c>
      <c r="E33" s="4600">
        <f>E10+E26+E31+E32</f>
        <v>2249.859659144237</v>
      </c>
      <c r="F33" s="4600">
        <f>F10+F26+F31+F32</f>
        <v>2249.8596591442383</v>
      </c>
      <c r="G33" s="4600">
        <f>G10+G26+G31+G32</f>
        <v>2249.8596591442383</v>
      </c>
      <c r="H33" s="1724"/>
      <c r="I33" s="1725"/>
      <c r="J33" s="73"/>
      <c r="K33" s="73"/>
      <c r="L33" s="73"/>
      <c r="M33" s="73"/>
      <c r="N33" s="1725"/>
      <c r="O33" s="73"/>
      <c r="P33" s="73"/>
      <c r="Q33" s="73"/>
      <c r="R33" s="73"/>
      <c r="S33" s="1622">
        <f>S10+S26+S31+S32</f>
        <v>155406.25</v>
      </c>
      <c r="T33" s="1622">
        <f>ROUND(D10,2)+ROUND(D26,2)+ROUND(D31,2)+ROUND(D32,2)</f>
        <v>1262.8499999999999</v>
      </c>
      <c r="U33" s="1205">
        <f t="shared" si="2"/>
        <v>1430.0022845341712</v>
      </c>
      <c r="V33" s="1724">
        <f t="shared" si="3"/>
        <v>-167.15263476036762</v>
      </c>
      <c r="W33" s="1622">
        <f t="shared" si="4"/>
        <v>-987.01000937043591</v>
      </c>
    </row>
    <row r="34" spans="1:23" s="15" customFormat="1" x14ac:dyDescent="0.25">
      <c r="A34" s="1696" t="s">
        <v>1851</v>
      </c>
      <c r="B34" s="1697" t="s">
        <v>2780</v>
      </c>
      <c r="C34" s="3153">
        <v>0</v>
      </c>
      <c r="D34" s="4600">
        <f t="shared" si="13"/>
        <v>0</v>
      </c>
      <c r="E34" s="4600">
        <f>C34/$C$41</f>
        <v>0</v>
      </c>
      <c r="F34" s="4600">
        <f>C34/$C$41</f>
        <v>0</v>
      </c>
      <c r="G34" s="4600">
        <f>C34/$C$41</f>
        <v>0</v>
      </c>
      <c r="H34" s="1724">
        <f t="shared" si="5"/>
        <v>0</v>
      </c>
      <c r="I34" s="1725">
        <f t="shared" si="9"/>
        <v>0</v>
      </c>
      <c r="J34" s="73">
        <f t="shared" si="10"/>
        <v>0</v>
      </c>
      <c r="K34" s="73">
        <f t="shared" si="10"/>
        <v>0</v>
      </c>
      <c r="L34" s="73">
        <f t="shared" si="10"/>
        <v>0</v>
      </c>
      <c r="M34" s="73">
        <f t="shared" si="10"/>
        <v>0</v>
      </c>
      <c r="N34" s="1725">
        <f t="shared" si="11"/>
        <v>0</v>
      </c>
      <c r="O34" s="73">
        <f t="shared" si="12"/>
        <v>0</v>
      </c>
      <c r="P34" s="73">
        <f t="shared" si="12"/>
        <v>0</v>
      </c>
      <c r="Q34" s="73">
        <f t="shared" si="12"/>
        <v>0</v>
      </c>
      <c r="R34" s="73">
        <f t="shared" si="12"/>
        <v>0</v>
      </c>
      <c r="U34" s="1205">
        <f t="shared" si="2"/>
        <v>0</v>
      </c>
      <c r="V34" s="1724">
        <f t="shared" si="3"/>
        <v>0</v>
      </c>
      <c r="W34" s="1622">
        <f t="shared" si="4"/>
        <v>0</v>
      </c>
    </row>
    <row r="35" spans="1:23" s="15" customFormat="1" x14ac:dyDescent="0.25">
      <c r="A35" s="1696" t="s">
        <v>1857</v>
      </c>
      <c r="B35" s="1697" t="s">
        <v>2781</v>
      </c>
      <c r="C35" s="4496">
        <f>'ТЕ_2ст_тариф_з ЦТП'!E69</f>
        <v>0</v>
      </c>
      <c r="D35" s="4601">
        <f>'Д 2_Т на В'!L44/'D1_2023-2024'!D41</f>
        <v>0</v>
      </c>
      <c r="E35" s="4601">
        <f>'Д 2_Т на В'!P44/'D1_2023-2024'!E41</f>
        <v>0</v>
      </c>
      <c r="F35" s="4601">
        <f>'Д 2_Т на В'!T44/'D1_2023-2024'!F41</f>
        <v>0</v>
      </c>
      <c r="G35" s="4601">
        <f>'Д 2_Т на В'!X44/'D1_2023-2024'!G41</f>
        <v>0</v>
      </c>
      <c r="H35" s="1724">
        <f t="shared" si="5"/>
        <v>0</v>
      </c>
      <c r="I35" s="1725">
        <f t="shared" si="9"/>
        <v>0</v>
      </c>
      <c r="J35" s="73">
        <f t="shared" si="10"/>
        <v>0</v>
      </c>
      <c r="K35" s="73">
        <f t="shared" si="10"/>
        <v>0</v>
      </c>
      <c r="L35" s="73">
        <f t="shared" si="10"/>
        <v>0</v>
      </c>
      <c r="M35" s="73">
        <f t="shared" si="10"/>
        <v>0</v>
      </c>
      <c r="N35" s="1725">
        <f t="shared" si="11"/>
        <v>0</v>
      </c>
      <c r="O35" s="73">
        <f t="shared" si="12"/>
        <v>0</v>
      </c>
      <c r="P35" s="73">
        <f t="shared" si="12"/>
        <v>0</v>
      </c>
      <c r="Q35" s="73">
        <f t="shared" si="12"/>
        <v>0</v>
      </c>
      <c r="R35" s="73">
        <f t="shared" si="12"/>
        <v>0</v>
      </c>
      <c r="U35" s="1205">
        <f t="shared" si="2"/>
        <v>0</v>
      </c>
      <c r="V35" s="1724">
        <f t="shared" si="3"/>
        <v>0</v>
      </c>
      <c r="W35" s="1622">
        <f t="shared" si="4"/>
        <v>0</v>
      </c>
    </row>
    <row r="36" spans="1:23" s="15" customFormat="1" x14ac:dyDescent="0.25">
      <c r="A36" s="1696" t="s">
        <v>1859</v>
      </c>
      <c r="B36" s="1697" t="s">
        <v>2782</v>
      </c>
      <c r="C36" s="3153">
        <f>SUM(C37:C40)</f>
        <v>7201.7599999999993</v>
      </c>
      <c r="D36" s="4600">
        <f>'Д 2_Т на В'!L45/'Д 2_Т на В'!L$58*1000</f>
        <v>58.522300843176261</v>
      </c>
      <c r="E36" s="4600">
        <f>'Д 2_Т на В'!P45/'Д 2_Т на В'!P$58*1000</f>
        <v>104.2617890822939</v>
      </c>
      <c r="F36" s="4600">
        <f>'Д 2_Т на В'!T45/'Д 2_Т на В'!T$58*1000</f>
        <v>104.26178908229396</v>
      </c>
      <c r="G36" s="4600">
        <f>'Д 2_Т на В'!X45/'Д 2_Т на В'!X$58*1000</f>
        <v>104.26178908229397</v>
      </c>
      <c r="H36" s="1724">
        <f t="shared" si="5"/>
        <v>-6.5064247628470184E-3</v>
      </c>
      <c r="I36" s="1725">
        <f t="shared" si="9"/>
        <v>1208.2659471400475</v>
      </c>
      <c r="J36" s="73">
        <f t="shared" si="10"/>
        <v>886.92099708496244</v>
      </c>
      <c r="K36" s="73">
        <f t="shared" si="10"/>
        <v>0</v>
      </c>
      <c r="L36" s="73">
        <f t="shared" si="10"/>
        <v>232.41676061284929</v>
      </c>
      <c r="M36" s="73">
        <f t="shared" si="10"/>
        <v>88.92818944223589</v>
      </c>
      <c r="N36" s="1725">
        <f t="shared" si="11"/>
        <v>5993.487546435189</v>
      </c>
      <c r="O36" s="73">
        <f t="shared" si="12"/>
        <v>4395.9489871921978</v>
      </c>
      <c r="P36" s="73">
        <f t="shared" si="12"/>
        <v>1.5225337668231076</v>
      </c>
      <c r="Q36" s="73">
        <f t="shared" si="12"/>
        <v>1201.4714320614617</v>
      </c>
      <c r="R36" s="73">
        <f t="shared" si="12"/>
        <v>394.5445934147055</v>
      </c>
      <c r="U36" s="1205">
        <f t="shared" si="2"/>
        <v>66.268458250438627</v>
      </c>
      <c r="V36" s="1724">
        <f t="shared" si="3"/>
        <v>-7.7461574072623662</v>
      </c>
      <c r="W36" s="1622">
        <f t="shared" si="4"/>
        <v>-45.739488239117762</v>
      </c>
    </row>
    <row r="37" spans="1:23" x14ac:dyDescent="0.25">
      <c r="A37" s="1701" t="s">
        <v>1030</v>
      </c>
      <c r="B37" s="2003" t="s">
        <v>65</v>
      </c>
      <c r="C37" s="3152">
        <f>ROUND('ТЕ_2ст_тариф_з ЦТП'!E71,2)</f>
        <v>1296.32</v>
      </c>
      <c r="D37" s="4598">
        <f>'Д 2_Т на В'!L46/'Д 2_Т на В'!L$58*1000</f>
        <v>10.534014151771723</v>
      </c>
      <c r="E37" s="4598">
        <f>'Д 2_Т на В'!P46/'Д 2_Т на В'!P$58*1000</f>
        <v>18.7671220348129</v>
      </c>
      <c r="F37" s="4598">
        <f>'Д 2_Т на В'!T46/'Д 2_Т на В'!T$58*1000</f>
        <v>18.767122034812907</v>
      </c>
      <c r="G37" s="4598">
        <f>'Д 2_Т на В'!X46/'Д 2_Т на В'!X$58*1000</f>
        <v>18.76712203481291</v>
      </c>
      <c r="H37" s="1724">
        <f t="shared" si="5"/>
        <v>-4.3711564580917184E-3</v>
      </c>
      <c r="I37" s="1725">
        <f t="shared" si="9"/>
        <v>217.48787048520848</v>
      </c>
      <c r="J37" s="73">
        <f t="shared" si="10"/>
        <v>159.64577947529318</v>
      </c>
      <c r="K37" s="73">
        <f t="shared" si="10"/>
        <v>0</v>
      </c>
      <c r="L37" s="73">
        <f t="shared" si="10"/>
        <v>41.835016910312859</v>
      </c>
      <c r="M37" s="73">
        <f t="shared" si="10"/>
        <v>16.007074099602455</v>
      </c>
      <c r="N37" s="1725">
        <f t="shared" si="11"/>
        <v>1078.8277583583333</v>
      </c>
      <c r="O37" s="73">
        <f t="shared" si="12"/>
        <v>791.27081769459528</v>
      </c>
      <c r="P37" s="73">
        <f t="shared" si="12"/>
        <v>0.27405607802815934</v>
      </c>
      <c r="Q37" s="73">
        <f t="shared" si="12"/>
        <v>216.26485777106305</v>
      </c>
      <c r="R37" s="73">
        <f t="shared" si="12"/>
        <v>71.018026814646973</v>
      </c>
      <c r="U37" s="1205">
        <f t="shared" si="2"/>
        <v>11.928351930529288</v>
      </c>
      <c r="V37" s="1724">
        <f t="shared" si="3"/>
        <v>-1.3943377787575653</v>
      </c>
      <c r="W37" s="1622">
        <f t="shared" si="4"/>
        <v>-8.2331078830411961</v>
      </c>
    </row>
    <row r="38" spans="1:23" ht="26.4" x14ac:dyDescent="0.25">
      <c r="A38" s="1701" t="s">
        <v>2783</v>
      </c>
      <c r="B38" s="4505" t="s">
        <v>4145</v>
      </c>
      <c r="C38" s="3152">
        <f>ROUND('ТЕ_2ст_тариф_з ЦТП'!E72,2)</f>
        <v>0</v>
      </c>
      <c r="D38" s="4598">
        <f>'Д 2_Т на В'!L47/'Д 2_Т на В'!L$58*1000</f>
        <v>0</v>
      </c>
      <c r="E38" s="4598">
        <f>'Д 2_Т на В'!P47/'Д 2_Т на В'!P$58*1000</f>
        <v>0</v>
      </c>
      <c r="F38" s="4598">
        <f>'Д 2_Т на В'!T47/'Д 2_Т на В'!T$58*1000</f>
        <v>0</v>
      </c>
      <c r="G38" s="4598">
        <f>'Д 2_Т на В'!X47/'Д 2_Т на В'!X$58*1000</f>
        <v>0</v>
      </c>
      <c r="H38" s="1724">
        <f t="shared" si="5"/>
        <v>0</v>
      </c>
      <c r="I38" s="1725">
        <f t="shared" si="9"/>
        <v>0</v>
      </c>
      <c r="J38" s="73">
        <f t="shared" si="10"/>
        <v>0</v>
      </c>
      <c r="K38" s="73">
        <f t="shared" si="10"/>
        <v>0</v>
      </c>
      <c r="L38" s="73">
        <f t="shared" si="10"/>
        <v>0</v>
      </c>
      <c r="M38" s="73">
        <f t="shared" si="10"/>
        <v>0</v>
      </c>
      <c r="N38" s="1725">
        <f t="shared" si="11"/>
        <v>0</v>
      </c>
      <c r="O38" s="73">
        <f t="shared" si="12"/>
        <v>0</v>
      </c>
      <c r="P38" s="73">
        <f t="shared" si="12"/>
        <v>0</v>
      </c>
      <c r="Q38" s="73">
        <f t="shared" si="12"/>
        <v>0</v>
      </c>
      <c r="R38" s="73">
        <f t="shared" si="12"/>
        <v>0</v>
      </c>
      <c r="U38" s="1205">
        <f t="shared" si="2"/>
        <v>0</v>
      </c>
      <c r="V38" s="1724">
        <f t="shared" si="3"/>
        <v>0</v>
      </c>
      <c r="W38" s="1622">
        <f t="shared" si="4"/>
        <v>0</v>
      </c>
    </row>
    <row r="39" spans="1:23" x14ac:dyDescent="0.25">
      <c r="A39" s="1701" t="s">
        <v>2784</v>
      </c>
      <c r="B39" s="2003" t="s">
        <v>71</v>
      </c>
      <c r="C39" s="3152">
        <f>ROUND('ТЕ_2ст_тариф_з ЦТП'!E73,2)</f>
        <v>0</v>
      </c>
      <c r="D39" s="4598">
        <f>'Д 2_Т на В'!L48/'Д 2_Т на В'!L$58*1000</f>
        <v>0</v>
      </c>
      <c r="E39" s="4598">
        <f>'Д 2_Т на В'!P48/'Д 2_Т на В'!P$58*1000</f>
        <v>0</v>
      </c>
      <c r="F39" s="4598">
        <f>'Д 2_Т на В'!T48/'Д 2_Т на В'!T$58*1000</f>
        <v>0</v>
      </c>
      <c r="G39" s="4598">
        <f>'Д 2_Т на В'!X48/'Д 2_Т на В'!X$58*1000</f>
        <v>0</v>
      </c>
      <c r="H39" s="1724">
        <f t="shared" si="5"/>
        <v>0</v>
      </c>
      <c r="I39" s="1725">
        <f t="shared" si="9"/>
        <v>0</v>
      </c>
      <c r="J39" s="73">
        <f t="shared" si="10"/>
        <v>0</v>
      </c>
      <c r="K39" s="73">
        <f t="shared" si="10"/>
        <v>0</v>
      </c>
      <c r="L39" s="73">
        <f t="shared" si="10"/>
        <v>0</v>
      </c>
      <c r="M39" s="73">
        <f t="shared" si="10"/>
        <v>0</v>
      </c>
      <c r="N39" s="1725">
        <f t="shared" si="11"/>
        <v>0</v>
      </c>
      <c r="O39" s="73">
        <f t="shared" si="12"/>
        <v>0</v>
      </c>
      <c r="P39" s="73">
        <f t="shared" si="12"/>
        <v>0</v>
      </c>
      <c r="Q39" s="73">
        <f t="shared" si="12"/>
        <v>0</v>
      </c>
      <c r="R39" s="73">
        <f t="shared" si="12"/>
        <v>0</v>
      </c>
      <c r="U39" s="1205">
        <f t="shared" si="2"/>
        <v>0</v>
      </c>
      <c r="V39" s="1724">
        <f t="shared" si="3"/>
        <v>0</v>
      </c>
      <c r="W39" s="1622">
        <f t="shared" si="4"/>
        <v>0</v>
      </c>
    </row>
    <row r="40" spans="1:23" ht="27.6" x14ac:dyDescent="0.25">
      <c r="A40" s="1701" t="s">
        <v>2785</v>
      </c>
      <c r="B40" s="2003" t="s">
        <v>2545</v>
      </c>
      <c r="C40" s="3152">
        <f>ROUND('ТЕ_2ст_тариф_з ЦТП'!E75,2)</f>
        <v>5905.44</v>
      </c>
      <c r="D40" s="4598">
        <f>'Д 2_Т на В'!L50/'Д 2_Т на В'!L$58*1000</f>
        <v>47.988286691404539</v>
      </c>
      <c r="E40" s="4598">
        <f>'Д 2_Т на В'!P50/'Д 2_Т на В'!P$58*1000</f>
        <v>85.494667047481002</v>
      </c>
      <c r="F40" s="4598">
        <f>'Д 2_Т на В'!T50/'Д 2_Т на В'!T$58*1000</f>
        <v>85.494667047481059</v>
      </c>
      <c r="G40" s="4598">
        <f>'Д 2_Т на В'!X50/'Д 2_Т на В'!X$58*1000</f>
        <v>85.494667047481059</v>
      </c>
      <c r="H40" s="1724">
        <f t="shared" si="5"/>
        <v>-2.1352683052100474E-3</v>
      </c>
      <c r="I40" s="1725">
        <f t="shared" si="9"/>
        <v>990.7780766548392</v>
      </c>
      <c r="J40" s="73">
        <f t="shared" si="10"/>
        <v>727.27521760966931</v>
      </c>
      <c r="K40" s="73">
        <f t="shared" si="10"/>
        <v>0</v>
      </c>
      <c r="L40" s="73">
        <f t="shared" si="10"/>
        <v>190.58174370253644</v>
      </c>
      <c r="M40" s="73">
        <f t="shared" si="10"/>
        <v>72.921115342633428</v>
      </c>
      <c r="N40" s="1725">
        <f t="shared" si="11"/>
        <v>4914.659788076855</v>
      </c>
      <c r="O40" s="73">
        <f t="shared" si="12"/>
        <v>3604.6781694976025</v>
      </c>
      <c r="P40" s="73">
        <f t="shared" si="12"/>
        <v>1.2484776887949482</v>
      </c>
      <c r="Q40" s="73">
        <f t="shared" si="12"/>
        <v>985.20657429039875</v>
      </c>
      <c r="R40" s="73">
        <f t="shared" si="12"/>
        <v>323.52656660005852</v>
      </c>
      <c r="U40" s="1205">
        <f t="shared" si="2"/>
        <v>54.340106319909346</v>
      </c>
      <c r="V40" s="1724">
        <f t="shared" si="3"/>
        <v>-6.3518196285048063</v>
      </c>
      <c r="W40" s="1622">
        <f t="shared" si="4"/>
        <v>-37.506380356076562</v>
      </c>
    </row>
    <row r="41" spans="1:23" s="15" customFormat="1" ht="27" customHeight="1" thickBot="1" x14ac:dyDescent="0.3">
      <c r="A41" s="4498" t="s">
        <v>1861</v>
      </c>
      <c r="B41" s="4378" t="s">
        <v>3086</v>
      </c>
      <c r="C41" s="4499">
        <f>'ТЕ_2ст_тариф_з ЦТП'!E30</f>
        <v>108.67553267624618</v>
      </c>
      <c r="D41" s="4500">
        <f>'ТЕ_2ст_тариф_з ЦТП'!H30</f>
        <v>90.271057497103627</v>
      </c>
      <c r="E41" s="4500">
        <f>'ТЕ_2ст_тариф_з ЦТП'!K30</f>
        <v>1.4602989074179139E-2</v>
      </c>
      <c r="F41" s="4500">
        <f>'ТЕ_2ст_тариф_з ЦТП'!N30</f>
        <v>13.752767963175286</v>
      </c>
      <c r="G41" s="4500">
        <f>'ТЕ_2ст_тариф_з ЦТП'!Q30</f>
        <v>4.6371042268930927</v>
      </c>
      <c r="H41" s="1205"/>
      <c r="U41" s="1205">
        <f t="shared" si="2"/>
        <v>1</v>
      </c>
      <c r="V41" s="1724">
        <f t="shared" si="3"/>
        <v>89.271057497103627</v>
      </c>
      <c r="W41" s="1622">
        <f>C41-D41-E41-F41-G41</f>
        <v>-7.9936057773011271E-15</v>
      </c>
    </row>
    <row r="42" spans="1:23" ht="42" thickBot="1" x14ac:dyDescent="0.3">
      <c r="A42" s="1695" t="s">
        <v>2746</v>
      </c>
      <c r="B42" s="4501" t="s">
        <v>3413</v>
      </c>
      <c r="C42" s="3151">
        <f>'Д 3_Т на Т з ЦТП'!G45</f>
        <v>15929.260173628891</v>
      </c>
      <c r="D42" s="4570">
        <f>'Д 3_Т на Т з ЦТП'!H46</f>
        <v>949.4644192612908</v>
      </c>
      <c r="E42" s="4381">
        <f>'Д 3_Т на Т з ЦТП'!I46</f>
        <v>0</v>
      </c>
      <c r="F42" s="4381">
        <f>'Д 3_Т на Т з ЦТП'!J46</f>
        <v>1061.8014015792946</v>
      </c>
      <c r="G42" s="4381">
        <f>'Д 3_Т на Т з ЦТП'!K46</f>
        <v>1061.8014015792946</v>
      </c>
      <c r="U42" s="1121">
        <f>C42/C$75</f>
        <v>968.44926324941116</v>
      </c>
      <c r="V42" s="1724">
        <f t="shared" ref="V42:V73" si="14">D42-U42</f>
        <v>-18.98484398812036</v>
      </c>
      <c r="W42" s="1622">
        <f t="shared" ref="W42:W74" si="15">D42+E42-F42-G42</f>
        <v>-1174.1383838972984</v>
      </c>
    </row>
    <row r="43" spans="1:23" ht="31.95" customHeight="1" thickBot="1" x14ac:dyDescent="0.3">
      <c r="A43" s="1695"/>
      <c r="B43" s="4888" t="s">
        <v>2806</v>
      </c>
      <c r="C43" s="4889"/>
      <c r="D43" s="4889"/>
      <c r="E43" s="4889"/>
      <c r="F43" s="4889"/>
      <c r="G43" s="4890"/>
      <c r="U43" s="1121">
        <f t="shared" ref="U43:U75" si="16">C43/C$75</f>
        <v>0</v>
      </c>
      <c r="V43" s="1724">
        <f t="shared" si="14"/>
        <v>0</v>
      </c>
      <c r="W43" s="1622">
        <f t="shared" si="15"/>
        <v>0</v>
      </c>
    </row>
    <row r="44" spans="1:23" s="15" customFormat="1" x14ac:dyDescent="0.25">
      <c r="A44" s="1696" t="s">
        <v>1747</v>
      </c>
      <c r="B44" s="1697" t="s">
        <v>2748</v>
      </c>
      <c r="C44" s="3153">
        <f>C45+C50+C51+C55</f>
        <v>14707.463085955644</v>
      </c>
      <c r="D44" s="3153">
        <f>D45+D50+D51+D55</f>
        <v>876.02379323034938</v>
      </c>
      <c r="E44" s="3153">
        <f>E45+E50+E51+E55</f>
        <v>0</v>
      </c>
      <c r="F44" s="3153">
        <f>F45+F50+F51+F55</f>
        <v>983.38547796317346</v>
      </c>
      <c r="G44" s="3153">
        <f>G45+G50+G51+G55</f>
        <v>983.38547796317346</v>
      </c>
      <c r="S44" s="1622">
        <f>ROUND(C45,2)+ROUND(C50,2)+ROUND(C51,2)+ROUND(C55,2)</f>
        <v>14707.470000000001</v>
      </c>
      <c r="U44" s="1121">
        <f t="shared" si="16"/>
        <v>894.16781662225912</v>
      </c>
      <c r="V44" s="1724">
        <f t="shared" si="14"/>
        <v>-18.144023391909741</v>
      </c>
      <c r="W44" s="1622">
        <f t="shared" si="15"/>
        <v>-1090.7471626959975</v>
      </c>
    </row>
    <row r="45" spans="1:23" x14ac:dyDescent="0.25">
      <c r="A45" s="1698" t="s">
        <v>1749</v>
      </c>
      <c r="B45" s="2003" t="s">
        <v>2801</v>
      </c>
      <c r="C45" s="3152">
        <f>SUM(C46:C49)</f>
        <v>6995.4459242393823</v>
      </c>
      <c r="D45" s="3152">
        <f>SUM(D46:D49)</f>
        <v>407.15723841096997</v>
      </c>
      <c r="E45" s="3152">
        <f>SUM(E46:E49)</f>
        <v>0</v>
      </c>
      <c r="F45" s="3152">
        <f>SUM(F46:F49)</f>
        <v>514.51892314379404</v>
      </c>
      <c r="G45" s="3152">
        <f>SUM(G46:G49)</f>
        <v>514.51892314379404</v>
      </c>
      <c r="U45" s="1121">
        <f t="shared" si="16"/>
        <v>425.30126180287971</v>
      </c>
      <c r="V45" s="1724">
        <f t="shared" si="14"/>
        <v>-18.144023391909741</v>
      </c>
      <c r="W45" s="1622">
        <f t="shared" si="15"/>
        <v>-621.88060787661811</v>
      </c>
    </row>
    <row r="46" spans="1:23" ht="27.6" x14ac:dyDescent="0.25">
      <c r="A46" s="1698" t="s">
        <v>2750</v>
      </c>
      <c r="B46" s="2003" t="s">
        <v>2753</v>
      </c>
      <c r="C46" s="3152">
        <f>'Д 3_Т на Т з ЦТП'!G13</f>
        <v>4179.9292165489842</v>
      </c>
      <c r="D46" s="3152">
        <f>'Д 3_Т на Т з ЦТП'!N13</f>
        <v>254.12664028823843</v>
      </c>
      <c r="E46" s="3152">
        <f>'Д 3_Т на Т з ЦТП'!O13</f>
        <v>0</v>
      </c>
      <c r="F46" s="3152">
        <f>'Д 3_Т на Т з ЦТП'!P13</f>
        <v>254.12664028823843</v>
      </c>
      <c r="G46" s="3152">
        <f>'Д 3_Т на Т з ЦТП'!Q13</f>
        <v>254.12664028823843</v>
      </c>
      <c r="S46" s="729">
        <f>D45+D50+D51+D55</f>
        <v>876.02379323034938</v>
      </c>
      <c r="U46" s="1121">
        <f t="shared" si="16"/>
        <v>254.12664028823846</v>
      </c>
      <c r="V46" s="1724">
        <f t="shared" si="14"/>
        <v>0</v>
      </c>
      <c r="W46" s="1622">
        <f t="shared" si="15"/>
        <v>-254.12664028823843</v>
      </c>
    </row>
    <row r="47" spans="1:23" ht="27.6" x14ac:dyDescent="0.25">
      <c r="A47" s="1698" t="s">
        <v>2752</v>
      </c>
      <c r="B47" s="2003" t="s">
        <v>2755</v>
      </c>
      <c r="C47" s="3152">
        <f>'Д 3_Т на Т з ЦТП'!G15</f>
        <v>108.58398240194796</v>
      </c>
      <c r="D47" s="3152">
        <f>'Д 3_Т на Т з ЦТП'!N15</f>
        <v>6.6015669661761294</v>
      </c>
      <c r="E47" s="3152">
        <f>'Д 3_Т на Т з ЦТП'!O15</f>
        <v>0</v>
      </c>
      <c r="F47" s="3152">
        <f>'Д 3_Т на Т з ЦТП'!P15</f>
        <v>6.6015669661761303</v>
      </c>
      <c r="G47" s="3152">
        <f>'Д 3_Т на Т з ЦТП'!Q15</f>
        <v>6.6015669661761294</v>
      </c>
      <c r="U47" s="1121">
        <f t="shared" si="16"/>
        <v>6.6015669661761294</v>
      </c>
      <c r="V47" s="1724">
        <f t="shared" si="14"/>
        <v>0</v>
      </c>
      <c r="W47" s="1622">
        <f t="shared" si="15"/>
        <v>-6.6015669661761303</v>
      </c>
    </row>
    <row r="48" spans="1:23" x14ac:dyDescent="0.25">
      <c r="A48" s="1698" t="s">
        <v>2754</v>
      </c>
      <c r="B48" s="11" t="s">
        <v>610</v>
      </c>
      <c r="C48" s="3152">
        <f>'Д 3_Т на Т з ЦТП'!G16-'Д 3_Т на Т з ЦТП'!G17</f>
        <v>149.0698539738778</v>
      </c>
      <c r="D48" s="3152">
        <f>'Д 3_Т на Т з ЦТП'!N16-'Д 3_Т на Т з ЦТП'!N17</f>
        <v>9.0629814994609603</v>
      </c>
      <c r="E48" s="3152">
        <f>'Д 3_Т на Т з ЦТП'!O16-'Д 3_Т на Т з ЦТП'!O17</f>
        <v>0</v>
      </c>
      <c r="F48" s="3152">
        <f>'Д 3_Т на Т з ЦТП'!P16-'Д 3_Т на Т з ЦТП'!P17</f>
        <v>9.0629814994609603</v>
      </c>
      <c r="G48" s="3152">
        <f>'Д 3_Т на Т з ЦТП'!Q16-'Д 3_Т на Т з ЦТП'!Q17</f>
        <v>9.0629814994609887</v>
      </c>
      <c r="U48" s="1121">
        <f t="shared" si="16"/>
        <v>9.0629814994609816</v>
      </c>
      <c r="V48" s="1724">
        <f t="shared" si="14"/>
        <v>-2.1316282072803006E-14</v>
      </c>
      <c r="W48" s="1622">
        <f t="shared" si="15"/>
        <v>-9.0629814994609887</v>
      </c>
    </row>
    <row r="49" spans="1:23" ht="27.6" x14ac:dyDescent="0.25">
      <c r="A49" s="1698" t="s">
        <v>2756</v>
      </c>
      <c r="B49" s="11" t="s">
        <v>2392</v>
      </c>
      <c r="C49" s="3152">
        <f>'Д 3_Т на Т з ЦТП'!G17</f>
        <v>2557.8628713145722</v>
      </c>
      <c r="D49" s="3152">
        <f>'Д 3_Т на Т з ЦТП'!N17</f>
        <v>137.36604965709441</v>
      </c>
      <c r="E49" s="3152">
        <f>'Д 3_Т на Т з ЦТП'!O17</f>
        <v>0</v>
      </c>
      <c r="F49" s="3152">
        <f>'Д 3_Т на Т з ЦТП'!P17</f>
        <v>244.72773438991851</v>
      </c>
      <c r="G49" s="3152">
        <f>'Д 3_Т на Т з ЦТП'!Q17</f>
        <v>244.72773438991848</v>
      </c>
      <c r="U49" s="1121">
        <f t="shared" si="16"/>
        <v>155.51007304900412</v>
      </c>
      <c r="V49" s="1724">
        <f t="shared" si="14"/>
        <v>-18.144023391909712</v>
      </c>
      <c r="W49" s="1622">
        <f t="shared" si="15"/>
        <v>-352.08941912274258</v>
      </c>
    </row>
    <row r="50" spans="1:23" x14ac:dyDescent="0.25">
      <c r="A50" s="1698" t="s">
        <v>1751</v>
      </c>
      <c r="B50" s="2003" t="s">
        <v>2757</v>
      </c>
      <c r="C50" s="3152">
        <f>'Д 3_Т на Т з ЦТП'!G18</f>
        <v>3466.1638017167252</v>
      </c>
      <c r="D50" s="3152">
        <f>'Д 3_Т на Т з ЦТП'!N18</f>
        <v>210.73193252449823</v>
      </c>
      <c r="E50" s="3152">
        <f>'Д 3_Т на Т з ЦТП'!O18</f>
        <v>0</v>
      </c>
      <c r="F50" s="3152">
        <f>'Д 3_Т на Т з ЦТП'!P18</f>
        <v>210.73193252449823</v>
      </c>
      <c r="G50" s="3152">
        <f>'Д 3_Т на Т з ЦТП'!Q18</f>
        <v>210.73193252449823</v>
      </c>
      <c r="S50" s="729">
        <f>ROUND(C50,2)</f>
        <v>3466.16</v>
      </c>
      <c r="U50" s="1121">
        <f t="shared" si="16"/>
        <v>210.73193252449823</v>
      </c>
      <c r="V50" s="1724">
        <f t="shared" si="14"/>
        <v>0</v>
      </c>
      <c r="W50" s="1622">
        <f t="shared" si="15"/>
        <v>-210.73193252449823</v>
      </c>
    </row>
    <row r="51" spans="1:23" x14ac:dyDescent="0.25">
      <c r="A51" s="1698" t="s">
        <v>1753</v>
      </c>
      <c r="B51" s="2003" t="s">
        <v>2758</v>
      </c>
      <c r="C51" s="3152">
        <f>'Д 3_Т на Т з ЦТП'!G19</f>
        <v>3821.1670404279466</v>
      </c>
      <c r="D51" s="3152">
        <f>'Д 3_Т на Т з ЦТП'!N19</f>
        <v>232.31502057966148</v>
      </c>
      <c r="E51" s="3152">
        <f>'Д 3_Т на Т з ЦТП'!O19</f>
        <v>0</v>
      </c>
      <c r="F51" s="3152">
        <f>'Д 3_Т на Т з ЦТП'!P19</f>
        <v>232.31502057966148</v>
      </c>
      <c r="G51" s="3152">
        <f>'Д 3_Т на Т з ЦТП'!Q19</f>
        <v>232.31502057966145</v>
      </c>
      <c r="S51" s="1622">
        <f>ROUND(C52,2)+ROUND(C53,2)+ROUND(C54,2)</f>
        <v>3821.17</v>
      </c>
      <c r="U51" s="1121">
        <f t="shared" si="16"/>
        <v>232.31502057966148</v>
      </c>
      <c r="V51" s="1724">
        <f t="shared" si="14"/>
        <v>0</v>
      </c>
      <c r="W51" s="1622">
        <f t="shared" si="15"/>
        <v>-232.31502057966145</v>
      </c>
    </row>
    <row r="52" spans="1:23" x14ac:dyDescent="0.25">
      <c r="A52" s="1698" t="s">
        <v>2759</v>
      </c>
      <c r="B52" s="2003" t="s">
        <v>2773</v>
      </c>
      <c r="C52" s="3152">
        <f>'Д 3_Т на Т з ЦТП'!G20</f>
        <v>759.27155078294027</v>
      </c>
      <c r="D52" s="3152">
        <f>'Д 3_Т на Т з ЦТП'!N20</f>
        <v>46.161338690374464</v>
      </c>
      <c r="E52" s="3152">
        <f>'Д 3_Т на Т з ЦТП'!O20</f>
        <v>0</v>
      </c>
      <c r="F52" s="3152">
        <f>'Д 3_Т на Т з ЦТП'!P20</f>
        <v>46.161338690374464</v>
      </c>
      <c r="G52" s="3152">
        <f>'Д 3_Т на Т з ЦТП'!Q20</f>
        <v>46.161338690374457</v>
      </c>
      <c r="S52" s="1622"/>
      <c r="U52" s="1121">
        <f t="shared" si="16"/>
        <v>46.161338690374464</v>
      </c>
      <c r="V52" s="1724">
        <f t="shared" si="14"/>
        <v>0</v>
      </c>
      <c r="W52" s="1622">
        <f t="shared" si="15"/>
        <v>-46.161338690374457</v>
      </c>
    </row>
    <row r="53" spans="1:23" x14ac:dyDescent="0.25">
      <c r="A53" s="1698" t="s">
        <v>2761</v>
      </c>
      <c r="B53" s="2003" t="s">
        <v>2762</v>
      </c>
      <c r="C53" s="3152">
        <f>'Д 3_Т на Т з ЦТП'!G21</f>
        <v>2509.7584427367042</v>
      </c>
      <c r="D53" s="3152">
        <f>'Д 3_Т на Т з ЦТП'!N21</f>
        <v>152.58547404644688</v>
      </c>
      <c r="E53" s="3152">
        <f>'Д 3_Т на Т з ЦТП'!O21</f>
        <v>0</v>
      </c>
      <c r="F53" s="3152">
        <f>'Д 3_Т на Т з ЦТП'!P21</f>
        <v>152.58547404644685</v>
      </c>
      <c r="G53" s="3152">
        <f>'Д 3_Т на Т з ЦТП'!Q21</f>
        <v>152.58547404644685</v>
      </c>
      <c r="U53" s="1121">
        <f t="shared" si="16"/>
        <v>152.58547404644685</v>
      </c>
      <c r="V53" s="1724">
        <f t="shared" si="14"/>
        <v>0</v>
      </c>
      <c r="W53" s="1622">
        <f t="shared" si="15"/>
        <v>-152.58547404644682</v>
      </c>
    </row>
    <row r="54" spans="1:23" x14ac:dyDescent="0.25">
      <c r="A54" s="1698" t="s">
        <v>2763</v>
      </c>
      <c r="B54" s="2003" t="s">
        <v>81</v>
      </c>
      <c r="C54" s="3152">
        <f>'Д 3_Т на Т з ЦТП'!G22</f>
        <v>552.13704690830218</v>
      </c>
      <c r="D54" s="3152">
        <f>'Д 3_Т на Т з ЦТП'!N22</f>
        <v>33.568207842840167</v>
      </c>
      <c r="E54" s="3152">
        <f>'Д 3_Т на Т з ЦТП'!O22</f>
        <v>0</v>
      </c>
      <c r="F54" s="3152">
        <f>'Д 3_Т на Т з ЦТП'!P22</f>
        <v>33.56820784284016</v>
      </c>
      <c r="G54" s="3152">
        <f>'Д 3_Т на Т з ЦТП'!Q22</f>
        <v>33.56820784284016</v>
      </c>
      <c r="U54" s="1121">
        <f t="shared" si="16"/>
        <v>33.568207842840167</v>
      </c>
      <c r="V54" s="1724">
        <f t="shared" si="14"/>
        <v>0</v>
      </c>
      <c r="W54" s="1622">
        <f t="shared" si="15"/>
        <v>-33.568207842840152</v>
      </c>
    </row>
    <row r="55" spans="1:23" s="15" customFormat="1" x14ac:dyDescent="0.25">
      <c r="A55" s="1700" t="s">
        <v>1755</v>
      </c>
      <c r="B55" s="1697" t="s">
        <v>2764</v>
      </c>
      <c r="C55" s="3153">
        <f>SUM(C56:C59)</f>
        <v>424.6863195715905</v>
      </c>
      <c r="D55" s="3153">
        <f>'Д 3_Т на Т з ЦТП'!N23</f>
        <v>25.81960171521979</v>
      </c>
      <c r="E55" s="3153">
        <f>'Д 3_Т на Т з ЦТП'!O23</f>
        <v>0</v>
      </c>
      <c r="F55" s="3153">
        <f>'Д 3_Т на Т з ЦТП'!P23</f>
        <v>25.819601715219783</v>
      </c>
      <c r="G55" s="3153">
        <f>'Д 3_Т на Т з ЦТП'!Q23</f>
        <v>25.819601715219786</v>
      </c>
      <c r="S55" s="1622">
        <f>ROUND(C56,2)+ROUND(C57,2)+ROUND(C58,2)+ROUND(C59,2)</f>
        <v>424.69</v>
      </c>
      <c r="U55" s="1121">
        <f t="shared" si="16"/>
        <v>25.81960171521979</v>
      </c>
      <c r="V55" s="1724">
        <f t="shared" si="14"/>
        <v>0</v>
      </c>
      <c r="W55" s="1622">
        <f t="shared" si="15"/>
        <v>-25.819601715219779</v>
      </c>
    </row>
    <row r="56" spans="1:23" x14ac:dyDescent="0.25">
      <c r="A56" s="1701" t="s">
        <v>2765</v>
      </c>
      <c r="B56" s="2003" t="s">
        <v>2766</v>
      </c>
      <c r="C56" s="3152">
        <f>'Д 3_Т на Т з ЦТП'!G24</f>
        <v>324.51370305813811</v>
      </c>
      <c r="D56" s="3152">
        <f>'Д 3_Т на Т з ЦТП'!N24</f>
        <v>19.729419522023925</v>
      </c>
      <c r="E56" s="3152">
        <f>'Д 3_Т на Т з ЦТП'!O24</f>
        <v>0</v>
      </c>
      <c r="F56" s="3152">
        <f>'Д 3_Т на Т з ЦТП'!P24</f>
        <v>19.729419522023921</v>
      </c>
      <c r="G56" s="3152">
        <f>'Д 3_Т на Т з ЦТП'!Q24</f>
        <v>19.729419522023921</v>
      </c>
      <c r="U56" s="1121">
        <f t="shared" si="16"/>
        <v>19.729419522023921</v>
      </c>
      <c r="V56" s="1724">
        <f t="shared" si="14"/>
        <v>0</v>
      </c>
      <c r="W56" s="1622">
        <f t="shared" si="15"/>
        <v>-19.729419522023917</v>
      </c>
    </row>
    <row r="57" spans="1:23" x14ac:dyDescent="0.25">
      <c r="A57" s="1701" t="s">
        <v>2767</v>
      </c>
      <c r="B57" s="2003" t="s">
        <v>2275</v>
      </c>
      <c r="C57" s="3152">
        <f>'Д 3_Т на Т з ЦТП'!G25</f>
        <v>69.268272036529339</v>
      </c>
      <c r="D57" s="3152">
        <f>'Д 3_Т на Т з ЦТП'!N25</f>
        <v>4.2112945792293059</v>
      </c>
      <c r="E57" s="3152">
        <f>'Д 3_Т на Т з ЦТП'!O25</f>
        <v>0</v>
      </c>
      <c r="F57" s="3152">
        <f>'Д 3_Т на Т з ЦТП'!P25</f>
        <v>4.2112945792293059</v>
      </c>
      <c r="G57" s="3152">
        <f>'Д 3_Т на Т з ЦТП'!Q25</f>
        <v>4.2112945792293059</v>
      </c>
      <c r="U57" s="1121">
        <f t="shared" si="16"/>
        <v>4.2112945792293059</v>
      </c>
      <c r="V57" s="1724">
        <f t="shared" si="14"/>
        <v>0</v>
      </c>
      <c r="W57" s="1622">
        <f t="shared" si="15"/>
        <v>-4.2112945792293059</v>
      </c>
    </row>
    <row r="58" spans="1:23" x14ac:dyDescent="0.25">
      <c r="A58" s="1701" t="s">
        <v>2768</v>
      </c>
      <c r="B58" s="2003" t="s">
        <v>2762</v>
      </c>
      <c r="C58" s="3152">
        <f>'Д 3_Т на Т з ЦТП'!M47</f>
        <v>1.9966521159621551</v>
      </c>
      <c r="D58" s="3152">
        <f>'Д 3_Т на Т з ЦТП'!N47</f>
        <v>0.12139021207463993</v>
      </c>
      <c r="E58" s="3152">
        <f>'Д 3_Т на Т з ЦТП'!O47</f>
        <v>0</v>
      </c>
      <c r="F58" s="3152">
        <f>'Д 3_Т на Т з ЦТП'!P47</f>
        <v>0.12139021207463994</v>
      </c>
      <c r="G58" s="3152">
        <f>'Д 3_Т на Т з ЦТП'!Q47</f>
        <v>0.12139021207463993</v>
      </c>
      <c r="U58" s="1121">
        <f t="shared" si="16"/>
        <v>0.12139021207463994</v>
      </c>
      <c r="V58" s="1724">
        <f t="shared" si="14"/>
        <v>0</v>
      </c>
      <c r="W58" s="1622">
        <f t="shared" si="15"/>
        <v>-0.12139021207463994</v>
      </c>
    </row>
    <row r="59" spans="1:23" x14ac:dyDescent="0.25">
      <c r="A59" s="1701" t="s">
        <v>2769</v>
      </c>
      <c r="B59" s="2003" t="s">
        <v>58</v>
      </c>
      <c r="C59" s="3152">
        <f>'Д 3_Т на Т з ЦТП'!G26-C58</f>
        <v>28.907692360960901</v>
      </c>
      <c r="D59" s="3152">
        <f>'Д 3_Т на Т з ЦТП'!N26-D58</f>
        <v>1.7574974018919205</v>
      </c>
      <c r="E59" s="3152">
        <f>'Д 3_Т на Т з ЦТП'!O26-E58</f>
        <v>0</v>
      </c>
      <c r="F59" s="3152">
        <f>'Д 3_Т на Т з ЦТП'!P26-F58</f>
        <v>1.7574974018919205</v>
      </c>
      <c r="G59" s="3152">
        <f>'Д 3_Т на Т з ЦТП'!Q26-G58</f>
        <v>1.7574974018919203</v>
      </c>
      <c r="U59" s="1121">
        <f t="shared" si="16"/>
        <v>1.7574974018919203</v>
      </c>
      <c r="V59" s="1724">
        <f t="shared" si="14"/>
        <v>0</v>
      </c>
      <c r="W59" s="1622">
        <f t="shared" si="15"/>
        <v>-1.7574974018919203</v>
      </c>
    </row>
    <row r="60" spans="1:23" s="15" customFormat="1" x14ac:dyDescent="0.25">
      <c r="A60" s="1696" t="s">
        <v>1768</v>
      </c>
      <c r="B60" s="1697" t="s">
        <v>2770</v>
      </c>
      <c r="C60" s="3153">
        <f>'Д 3_Т на Т з ЦТП'!G27</f>
        <v>516.3053783516873</v>
      </c>
      <c r="D60" s="3153">
        <f>'Д 3_Т на Т з ЦТП'!N27</f>
        <v>31.389754315406478</v>
      </c>
      <c r="E60" s="3153">
        <f>'Д 3_Т на Т з ЦТП'!O27</f>
        <v>0</v>
      </c>
      <c r="F60" s="3153">
        <f>'Д 3_Т на Т з ЦТП'!P27</f>
        <v>31.389754315406478</v>
      </c>
      <c r="G60" s="3153">
        <f>'Д 3_Т на Т з ЦТП'!Q27</f>
        <v>31.389754315406478</v>
      </c>
      <c r="I60" s="2114"/>
      <c r="S60" s="1622">
        <f>ROUND(C61,2)+ROUND(C62,2)+ROUND(C63,2)+ROUND(C64,2)</f>
        <v>516.29999999999995</v>
      </c>
      <c r="U60" s="1121">
        <f t="shared" si="16"/>
        <v>31.389754315406478</v>
      </c>
      <c r="V60" s="1724">
        <f t="shared" si="14"/>
        <v>0</v>
      </c>
      <c r="W60" s="1622">
        <f t="shared" si="15"/>
        <v>-31.389754315406478</v>
      </c>
    </row>
    <row r="61" spans="1:23" x14ac:dyDescent="0.25">
      <c r="A61" s="1701" t="s">
        <v>2771</v>
      </c>
      <c r="B61" s="2003" t="s">
        <v>55</v>
      </c>
      <c r="C61" s="3152">
        <f>'Д 3_Т на Т з ЦТП'!G28</f>
        <v>386.64257936195304</v>
      </c>
      <c r="D61" s="3152">
        <f>'Д 3_Т на Т з ЦТП'!N28</f>
        <v>23.506661140724674</v>
      </c>
      <c r="E61" s="3152">
        <f>'Д 3_Т на Т з ЦТП'!O28</f>
        <v>0</v>
      </c>
      <c r="F61" s="3152">
        <f>'Д 3_Т на Т з ЦТП'!P28</f>
        <v>23.506661140724674</v>
      </c>
      <c r="G61" s="3152">
        <f>'Д 3_Т на Т з ЦТП'!Q28</f>
        <v>23.50666114072467</v>
      </c>
      <c r="U61" s="1121">
        <f t="shared" si="16"/>
        <v>23.50666114072467</v>
      </c>
      <c r="V61" s="1724">
        <f t="shared" si="14"/>
        <v>0</v>
      </c>
      <c r="W61" s="1622">
        <f t="shared" si="15"/>
        <v>-23.50666114072467</v>
      </c>
    </row>
    <row r="62" spans="1:23" x14ac:dyDescent="0.25">
      <c r="A62" s="1701" t="s">
        <v>2772</v>
      </c>
      <c r="B62" s="2003" t="s">
        <v>2773</v>
      </c>
      <c r="C62" s="3152">
        <f>'Д 3_Т на Т з ЦТП'!G29</f>
        <v>85.061367459629665</v>
      </c>
      <c r="D62" s="3152">
        <f>'Д 3_Т на Т з ЦТП'!N29</f>
        <v>5.1714654509594276</v>
      </c>
      <c r="E62" s="3152">
        <f>'Д 3_Т на Т з ЦТП'!O29</f>
        <v>0</v>
      </c>
      <c r="F62" s="3152">
        <f>'Д 3_Т на Т з ЦТП'!P29</f>
        <v>5.1714654509594276</v>
      </c>
      <c r="G62" s="3152">
        <f>'Д 3_Т на Т з ЦТП'!Q29</f>
        <v>5.1714654509594267</v>
      </c>
      <c r="U62" s="1121">
        <f t="shared" si="16"/>
        <v>5.1714654509594276</v>
      </c>
      <c r="V62" s="1724">
        <f t="shared" si="14"/>
        <v>0</v>
      </c>
      <c r="W62" s="1622">
        <f t="shared" si="15"/>
        <v>-5.1714654509594267</v>
      </c>
    </row>
    <row r="63" spans="1:23" x14ac:dyDescent="0.25">
      <c r="A63" s="1701" t="s">
        <v>2774</v>
      </c>
      <c r="B63" s="2003" t="s">
        <v>2762</v>
      </c>
      <c r="C63" s="3152">
        <f>'Д 3_Т на Т з ЦТП'!M48</f>
        <v>4.8770375633752021</v>
      </c>
      <c r="D63" s="3152">
        <f>ROUND('Д 3_Т на Т з ЦТП'!N48,2)</f>
        <v>0.3</v>
      </c>
      <c r="E63" s="3152">
        <f>'Д 3_Т на Т з ЦТП'!O48</f>
        <v>0</v>
      </c>
      <c r="F63" s="3152">
        <f>ROUND('Д 3_Т на Т з ЦТП'!P48,2)</f>
        <v>0.3</v>
      </c>
      <c r="G63" s="3152">
        <f>ROUND('Д 3_Т на Т з ЦТП'!Q48,2)</f>
        <v>0.3</v>
      </c>
      <c r="U63" s="1121">
        <f t="shared" si="16"/>
        <v>0.2965086503458384</v>
      </c>
      <c r="V63" s="1724">
        <f t="shared" si="14"/>
        <v>3.4913496541615907E-3</v>
      </c>
      <c r="W63" s="1622">
        <f t="shared" si="15"/>
        <v>-0.3</v>
      </c>
    </row>
    <row r="64" spans="1:23" x14ac:dyDescent="0.25">
      <c r="A64" s="1701" t="s">
        <v>2775</v>
      </c>
      <c r="B64" s="2003" t="s">
        <v>2776</v>
      </c>
      <c r="C64" s="3152">
        <f>'Д 3_Т на Т з ЦТП'!G30-C63</f>
        <v>39.724393966729387</v>
      </c>
      <c r="D64" s="3152">
        <f>'Д 3_Т на Т з ЦТП'!N30-D63</f>
        <v>2.4116277237223787</v>
      </c>
      <c r="E64" s="3152">
        <f>'Д 3_Т на Т з ЦТП'!O30</f>
        <v>0</v>
      </c>
      <c r="F64" s="3152">
        <f>'Д 3_Т на Т з ЦТП'!P30-F63</f>
        <v>2.4116277237223787</v>
      </c>
      <c r="G64" s="3152">
        <f>'Д 3_Т на Т з ЦТП'!Q30-G63</f>
        <v>2.4116277237223782</v>
      </c>
      <c r="U64" s="1121">
        <f t="shared" si="16"/>
        <v>2.4151190733765397</v>
      </c>
      <c r="V64" s="1724">
        <f t="shared" si="14"/>
        <v>-3.4913496541610911E-3</v>
      </c>
      <c r="W64" s="1622">
        <f t="shared" si="15"/>
        <v>-2.4116277237223782</v>
      </c>
    </row>
    <row r="65" spans="1:23" s="15" customFormat="1" x14ac:dyDescent="0.25">
      <c r="A65" s="1696" t="s">
        <v>1770</v>
      </c>
      <c r="B65" s="1697" t="s">
        <v>2777</v>
      </c>
      <c r="C65" s="3153">
        <v>0</v>
      </c>
      <c r="D65" s="3153">
        <f>'Д 3_Т на Т з ЦТП'!N31</f>
        <v>0</v>
      </c>
      <c r="E65" s="3153">
        <f>'Д 3_Т на Т з ЦТП'!O31</f>
        <v>0</v>
      </c>
      <c r="F65" s="3153">
        <f>'Д 3_Т на Т з ЦТП'!P31</f>
        <v>0</v>
      </c>
      <c r="G65" s="3153">
        <f>'Д 3_Т на Т з ЦТП'!Q31</f>
        <v>0</v>
      </c>
      <c r="U65" s="1121">
        <f t="shared" si="16"/>
        <v>0</v>
      </c>
      <c r="V65" s="1724">
        <f t="shared" si="14"/>
        <v>0</v>
      </c>
      <c r="W65" s="1622">
        <f t="shared" si="15"/>
        <v>0</v>
      </c>
    </row>
    <row r="66" spans="1:23" s="15" customFormat="1" x14ac:dyDescent="0.25">
      <c r="A66" s="1696" t="s">
        <v>1773</v>
      </c>
      <c r="B66" s="1697" t="s">
        <v>2779</v>
      </c>
      <c r="C66" s="3153">
        <v>0</v>
      </c>
      <c r="D66" s="3153">
        <v>0</v>
      </c>
      <c r="E66" s="3153">
        <v>0</v>
      </c>
      <c r="F66" s="3153">
        <v>0</v>
      </c>
      <c r="G66" s="3153">
        <v>0</v>
      </c>
      <c r="I66" s="1622"/>
      <c r="U66" s="1121">
        <f t="shared" si="16"/>
        <v>0</v>
      </c>
      <c r="V66" s="1724">
        <f t="shared" si="14"/>
        <v>0</v>
      </c>
      <c r="W66" s="1622">
        <f t="shared" si="15"/>
        <v>0</v>
      </c>
    </row>
    <row r="67" spans="1:23" s="15" customFormat="1" x14ac:dyDescent="0.25">
      <c r="A67" s="1696">
        <v>5</v>
      </c>
      <c r="B67" s="1697" t="s">
        <v>2442</v>
      </c>
      <c r="C67" s="3153">
        <f>C44+C60+C65</f>
        <v>15223.768464307332</v>
      </c>
      <c r="D67" s="3153">
        <f>D44+D60+D65</f>
        <v>907.41354754575582</v>
      </c>
      <c r="E67" s="3153">
        <f>E44+E60+E65</f>
        <v>0</v>
      </c>
      <c r="F67" s="3153">
        <f>F44+F60+F65</f>
        <v>1014.7752322785799</v>
      </c>
      <c r="G67" s="3153">
        <f>G44+G60+G65</f>
        <v>1014.7752322785799</v>
      </c>
      <c r="S67" s="1622">
        <f>S44+S60+S65+S66</f>
        <v>15223.77</v>
      </c>
      <c r="U67" s="1121">
        <f t="shared" si="16"/>
        <v>925.55757093766567</v>
      </c>
      <c r="V67" s="1724">
        <f t="shared" si="14"/>
        <v>-18.144023391909855</v>
      </c>
      <c r="W67" s="1622">
        <f t="shared" si="15"/>
        <v>-1122.136917011404</v>
      </c>
    </row>
    <row r="68" spans="1:23" s="15" customFormat="1" x14ac:dyDescent="0.25">
      <c r="A68" s="1696">
        <v>6</v>
      </c>
      <c r="B68" s="1697" t="s">
        <v>2780</v>
      </c>
      <c r="C68" s="3153">
        <v>0</v>
      </c>
      <c r="D68" s="3153">
        <v>0</v>
      </c>
      <c r="E68" s="3153">
        <v>0</v>
      </c>
      <c r="F68" s="3153">
        <v>0</v>
      </c>
      <c r="G68" s="3153">
        <v>0</v>
      </c>
      <c r="U68" s="1121">
        <f t="shared" si="16"/>
        <v>0</v>
      </c>
      <c r="V68" s="1724">
        <f t="shared" si="14"/>
        <v>0</v>
      </c>
      <c r="W68" s="1622">
        <f t="shared" si="15"/>
        <v>0</v>
      </c>
    </row>
    <row r="69" spans="1:23" s="15" customFormat="1" x14ac:dyDescent="0.25">
      <c r="A69" s="1696">
        <v>7</v>
      </c>
      <c r="B69" s="1697" t="s">
        <v>2781</v>
      </c>
      <c r="C69" s="3153">
        <f>'Д 3_Т на Т з ЦТП'!G38</f>
        <v>0</v>
      </c>
      <c r="D69" s="3153">
        <f>'Д 3_Т на Т з ЦТП'!N38</f>
        <v>0</v>
      </c>
      <c r="E69" s="3153">
        <f>'Д 3_Т на Т з ЦТП'!O38</f>
        <v>0</v>
      </c>
      <c r="F69" s="3153">
        <f>'Д 3_Т на Т з ЦТП'!P38</f>
        <v>0</v>
      </c>
      <c r="G69" s="3153">
        <f>'Д 3_Т на Т з ЦТП'!Q38</f>
        <v>0</v>
      </c>
      <c r="U69" s="1121">
        <f t="shared" si="16"/>
        <v>0</v>
      </c>
      <c r="V69" s="1724">
        <f t="shared" si="14"/>
        <v>0</v>
      </c>
      <c r="W69" s="1622">
        <f t="shared" si="15"/>
        <v>0</v>
      </c>
    </row>
    <row r="70" spans="1:23" s="15" customFormat="1" x14ac:dyDescent="0.25">
      <c r="A70" s="1696">
        <v>8</v>
      </c>
      <c r="B70" s="1697" t="s">
        <v>2782</v>
      </c>
      <c r="C70" s="3153">
        <f>SUM(C71:C74)</f>
        <v>705.49170932155926</v>
      </c>
      <c r="D70" s="3153">
        <f>'Д 3_Т на Т з ЦТП'!N39</f>
        <v>42.050871715535024</v>
      </c>
      <c r="E70" s="3153">
        <f>'Д 3_Т на Т з ЦТП'!O39</f>
        <v>0</v>
      </c>
      <c r="F70" s="3153">
        <f>'Д 3_Т на Т з ЦТП'!P39</f>
        <v>47.026169300714685</v>
      </c>
      <c r="G70" s="3153">
        <f>'Д 3_Т на Т з ЦТП'!Q39</f>
        <v>47.026169300714677</v>
      </c>
      <c r="I70" s="2114"/>
      <c r="U70" s="1121">
        <f t="shared" si="16"/>
        <v>42.89169231174548</v>
      </c>
      <c r="V70" s="1724">
        <f t="shared" si="14"/>
        <v>-0.84082059621045602</v>
      </c>
      <c r="W70" s="1622">
        <f t="shared" si="15"/>
        <v>-52.001466885894338</v>
      </c>
    </row>
    <row r="71" spans="1:23" x14ac:dyDescent="0.25">
      <c r="A71" s="1701" t="s">
        <v>1030</v>
      </c>
      <c r="B71" s="2003" t="s">
        <v>65</v>
      </c>
      <c r="C71" s="3152">
        <f>'Д 3_Т на Т з ЦТП'!G40</f>
        <v>126.98850767788065</v>
      </c>
      <c r="D71" s="3152">
        <f>'Д 3_Т на Т з ЦТП'!N40</f>
        <v>7.5691569087963035</v>
      </c>
      <c r="E71" s="3152">
        <f>'Д 3_Т на Т з ЦТП'!O40</f>
        <v>0</v>
      </c>
      <c r="F71" s="3152">
        <f>'Д 3_Т на Т з ЦТП'!P40</f>
        <v>8.4647104741286405</v>
      </c>
      <c r="G71" s="3152">
        <f>'Д 3_Т на Т з ЦТП'!Q40</f>
        <v>8.4647104741286352</v>
      </c>
      <c r="U71" s="1121">
        <f t="shared" si="16"/>
        <v>7.7205046161141855</v>
      </c>
      <c r="V71" s="1724">
        <f t="shared" si="14"/>
        <v>-0.15134770731788194</v>
      </c>
      <c r="W71" s="1622">
        <f t="shared" si="15"/>
        <v>-9.3602640394609722</v>
      </c>
    </row>
    <row r="72" spans="1:23" ht="27.6" x14ac:dyDescent="0.25">
      <c r="A72" s="1701" t="s">
        <v>2783</v>
      </c>
      <c r="B72" s="2003" t="s">
        <v>4145</v>
      </c>
      <c r="C72" s="3152">
        <f>'Д 3_Т на Т з ЦТП'!G41</f>
        <v>0</v>
      </c>
      <c r="D72" s="3152">
        <f>'Д 3_Т на Т з ЦТП'!N41</f>
        <v>0</v>
      </c>
      <c r="E72" s="3152">
        <f>'Д 3_Т на Т з ЦТП'!O41</f>
        <v>0</v>
      </c>
      <c r="F72" s="3152">
        <f>'Д 3_Т на Т з ЦТП'!P41</f>
        <v>0</v>
      </c>
      <c r="G72" s="3152">
        <f>'Д 3_Т на Т з ЦТП'!Q41</f>
        <v>0</v>
      </c>
      <c r="U72" s="1121">
        <f t="shared" si="16"/>
        <v>0</v>
      </c>
      <c r="V72" s="1724">
        <f t="shared" si="14"/>
        <v>0</v>
      </c>
      <c r="W72" s="1622">
        <f t="shared" si="15"/>
        <v>0</v>
      </c>
    </row>
    <row r="73" spans="1:23" x14ac:dyDescent="0.25">
      <c r="A73" s="1701" t="s">
        <v>2784</v>
      </c>
      <c r="B73" s="2003" t="s">
        <v>71</v>
      </c>
      <c r="C73" s="3152">
        <f>'Д 3_Т на Т з ЦТП'!G42</f>
        <v>0</v>
      </c>
      <c r="D73" s="3152">
        <f>'Д 3_Т на Т з ЦТП'!N42</f>
        <v>0</v>
      </c>
      <c r="E73" s="3152">
        <f>'Д 3_Т на Т з ЦТП'!O42</f>
        <v>0</v>
      </c>
      <c r="F73" s="3152">
        <f>'Д 3_Т на Т з ЦТП'!P42</f>
        <v>0</v>
      </c>
      <c r="G73" s="3152">
        <f>'Д 3_Т на Т з ЦТП'!Q42</f>
        <v>0</v>
      </c>
      <c r="U73" s="1121">
        <f t="shared" si="16"/>
        <v>0</v>
      </c>
      <c r="V73" s="1724">
        <f t="shared" si="14"/>
        <v>0</v>
      </c>
      <c r="W73" s="1622">
        <f t="shared" si="15"/>
        <v>0</v>
      </c>
    </row>
    <row r="74" spans="1:23" ht="27.6" x14ac:dyDescent="0.25">
      <c r="A74" s="1701" t="s">
        <v>2785</v>
      </c>
      <c r="B74" s="2003" t="s">
        <v>2545</v>
      </c>
      <c r="C74" s="3152">
        <f>'Д 3_Т на Т з ЦТП'!G44</f>
        <v>578.50320164367861</v>
      </c>
      <c r="D74" s="3152">
        <f>'Д 3_Т на Т з ЦТП'!N44</f>
        <v>34.481714806738715</v>
      </c>
      <c r="E74" s="3152">
        <f>'Д 3_Т на Т з ЦТП'!O44</f>
        <v>0</v>
      </c>
      <c r="F74" s="3152">
        <f>'Д 3_Т на Т з ЦТП'!P44</f>
        <v>38.561458826586041</v>
      </c>
      <c r="G74" s="3152">
        <f>'Д 3_Т на Т з ЦТП'!Q44</f>
        <v>38.561458826586033</v>
      </c>
      <c r="U74" s="1121">
        <f t="shared" si="16"/>
        <v>35.171187695631296</v>
      </c>
      <c r="V74" s="1724">
        <f>D74-U74</f>
        <v>-0.68947288889258118</v>
      </c>
      <c r="W74" s="1622">
        <f t="shared" si="15"/>
        <v>-42.641202846433359</v>
      </c>
    </row>
    <row r="75" spans="1:23" s="15" customFormat="1" ht="28.2" thickBot="1" x14ac:dyDescent="0.3">
      <c r="A75" s="4498" t="s">
        <v>1861</v>
      </c>
      <c r="B75" s="4502" t="s">
        <v>3085</v>
      </c>
      <c r="C75" s="4499">
        <f>'Д 3_Т на Т з ЦТП'!G56/1000</f>
        <v>16.448213425432204</v>
      </c>
      <c r="D75" s="4500">
        <f>'Д 3_Т на Т з ЦТП'!G57/1000</f>
        <v>13.668480880354855</v>
      </c>
      <c r="E75" s="4500">
        <f>'Д 3_Т на Т з ЦТП'!G58</f>
        <v>0</v>
      </c>
      <c r="F75" s="4500">
        <f>'Д 3_Т на Т з ЦТП'!G59/1000</f>
        <v>2.0104763849135998</v>
      </c>
      <c r="G75" s="4500">
        <f>'Д 3_Т на Т з ЦТП'!G60/1000</f>
        <v>0.76925616016375076</v>
      </c>
      <c r="U75" s="1121">
        <f t="shared" si="16"/>
        <v>1</v>
      </c>
      <c r="V75" s="1724"/>
      <c r="W75" s="1622">
        <f>C75-D75-E75-F75-G75</f>
        <v>-9.9920072216264089E-16</v>
      </c>
    </row>
    <row r="76" spans="1:23" ht="22.2" customHeight="1" thickBot="1" x14ac:dyDescent="0.3">
      <c r="A76" s="1711" t="s">
        <v>3056</v>
      </c>
      <c r="B76" s="4503" t="s">
        <v>3414</v>
      </c>
      <c r="C76" s="3151">
        <f>(C78+C90+C100)</f>
        <v>2053.3877088801205</v>
      </c>
      <c r="D76" s="4381">
        <f>(D78+D90+D100)</f>
        <v>20.784158534978818</v>
      </c>
      <c r="E76" s="4381">
        <f>IF(E42=0,0,E78+E90+E100)</f>
        <v>0</v>
      </c>
      <c r="F76" s="4381">
        <f>(F78+F90+F100)</f>
        <v>20.784158534978818</v>
      </c>
      <c r="G76" s="4381">
        <f>(G78+G90+G100)</f>
        <v>20.784158534978818</v>
      </c>
      <c r="H76" s="1223">
        <f>I76+N76</f>
        <v>98.795806692118873</v>
      </c>
      <c r="I76" s="1722">
        <f>'Додаток 4 до рішення'!C40</f>
        <v>16.448213425432204</v>
      </c>
      <c r="J76" s="1722">
        <f>'Додаток 4 до рішення'!D40</f>
        <v>13.668480880354855</v>
      </c>
      <c r="K76" s="1722">
        <f>'Додаток 4 до рішення'!E40</f>
        <v>0</v>
      </c>
      <c r="L76" s="1722">
        <f>'Додаток 4 до рішення'!F40</f>
        <v>2.0104763849135998</v>
      </c>
      <c r="M76" s="1722">
        <f>'Додаток 4 до рішення'!G40</f>
        <v>0.76925616016375076</v>
      </c>
      <c r="N76" s="1722">
        <f>'Додаток 5 до рішення'!C40</f>
        <v>82.347593266686673</v>
      </c>
      <c r="O76" s="1722">
        <f>'Додаток 5 до рішення'!D40</f>
        <v>68.380861663549609</v>
      </c>
      <c r="P76" s="1722">
        <f>'Додаток 5 до рішення'!E40</f>
        <v>1.3291675959893333E-2</v>
      </c>
      <c r="Q76" s="1722">
        <f>'Додаток 5 до рішення'!F40</f>
        <v>10.509076983202204</v>
      </c>
      <c r="R76" s="1722">
        <f>'Додаток 5 до рішення'!G40</f>
        <v>3.4443629439749621</v>
      </c>
      <c r="U76" s="1121">
        <f t="shared" ref="U76:U96" si="17">C76/C$105</f>
        <v>20.784158534978818</v>
      </c>
      <c r="V76" s="1724">
        <f t="shared" ref="V76:V105" si="18">D76-U76</f>
        <v>0</v>
      </c>
      <c r="W76" s="1622">
        <f t="shared" ref="W76:W104" si="19">D76+E76-F76-G76</f>
        <v>-20.784158534978818</v>
      </c>
    </row>
    <row r="77" spans="1:23" ht="18.75" customHeight="1" thickBot="1" x14ac:dyDescent="0.3">
      <c r="A77" s="1695"/>
      <c r="B77" s="4892" t="s">
        <v>2809</v>
      </c>
      <c r="C77" s="4893"/>
      <c r="D77" s="4893"/>
      <c r="E77" s="4893"/>
      <c r="F77" s="4893"/>
      <c r="G77" s="4894"/>
      <c r="H77" s="1121"/>
      <c r="U77" s="1121">
        <f t="shared" si="17"/>
        <v>0</v>
      </c>
      <c r="V77" s="1724">
        <f t="shared" si="18"/>
        <v>0</v>
      </c>
      <c r="W77" s="1622">
        <f t="shared" si="19"/>
        <v>0</v>
      </c>
    </row>
    <row r="78" spans="1:23" s="15" customFormat="1" x14ac:dyDescent="0.25">
      <c r="A78" s="1696" t="s">
        <v>1747</v>
      </c>
      <c r="B78" s="255" t="s">
        <v>2748</v>
      </c>
      <c r="C78" s="3153">
        <f>C79+C80+C81+C85</f>
        <v>1882.449193542265</v>
      </c>
      <c r="D78" s="4495">
        <f>D79+D80+D81+D85</f>
        <v>19.053938183921233</v>
      </c>
      <c r="E78" s="4495">
        <f>E79+E80+E81+E85</f>
        <v>19.053938183921233</v>
      </c>
      <c r="F78" s="4495">
        <f>F79+F80+F81+F85</f>
        <v>19.053938183921233</v>
      </c>
      <c r="G78" s="4495">
        <f>G79+G80+G81+G85</f>
        <v>19.053938183921233</v>
      </c>
      <c r="H78" s="1724">
        <f>I78+N78-C78</f>
        <v>0</v>
      </c>
      <c r="I78" s="300">
        <f t="shared" ref="I78:R78" si="20">I79+I80+I81+I85</f>
        <v>313.4032418441285</v>
      </c>
      <c r="J78" s="300">
        <f t="shared" si="20"/>
        <v>260.43838976239061</v>
      </c>
      <c r="K78" s="300">
        <f t="shared" si="20"/>
        <v>0</v>
      </c>
      <c r="L78" s="300">
        <f t="shared" si="20"/>
        <v>38.307492758377151</v>
      </c>
      <c r="M78" s="300">
        <f t="shared" si="20"/>
        <v>14.657359323360716</v>
      </c>
      <c r="N78" s="300">
        <f t="shared" si="20"/>
        <v>1569.0459516981359</v>
      </c>
      <c r="O78" s="300">
        <f t="shared" si="20"/>
        <v>1302.9247111005434</v>
      </c>
      <c r="P78" s="300">
        <f t="shared" si="20"/>
        <v>0.25325877210051945</v>
      </c>
      <c r="Q78" s="300">
        <f t="shared" si="20"/>
        <v>200.2393032080042</v>
      </c>
      <c r="R78" s="300">
        <f t="shared" si="20"/>
        <v>65.628678617487864</v>
      </c>
      <c r="U78" s="1121">
        <f t="shared" si="17"/>
        <v>19.053938183921229</v>
      </c>
      <c r="V78" s="1724">
        <f t="shared" si="18"/>
        <v>0</v>
      </c>
      <c r="W78" s="1622">
        <f t="shared" si="19"/>
        <v>0</v>
      </c>
    </row>
    <row r="79" spans="1:23" x14ac:dyDescent="0.25">
      <c r="A79" s="1698" t="s">
        <v>1749</v>
      </c>
      <c r="B79" s="78" t="s">
        <v>2801</v>
      </c>
      <c r="C79" s="3152">
        <f>'Д 4_Т на П'!G12</f>
        <v>16.205225647500001</v>
      </c>
      <c r="D79" s="3152">
        <f t="shared" ref="D79:D84" si="21">C79/$C$105</f>
        <v>0.16402746422225142</v>
      </c>
      <c r="E79" s="3152">
        <f t="shared" ref="E79:E84" si="22">C79/$C$105</f>
        <v>0.16402746422225142</v>
      </c>
      <c r="F79" s="3152">
        <f t="shared" ref="F79:F84" si="23">C79/$C$105</f>
        <v>0.16402746422225142</v>
      </c>
      <c r="G79" s="3152">
        <f t="shared" ref="G79:G84" si="24">C79/$C$105</f>
        <v>0.16402746422225142</v>
      </c>
      <c r="H79" s="1724">
        <f t="shared" ref="H79:H104" si="25">I79+N79-C79</f>
        <v>0</v>
      </c>
      <c r="I79" s="1725">
        <f>SUM(J79:M79)</f>
        <v>2.6979587391600361</v>
      </c>
      <c r="J79" s="73">
        <f>J$76*D79</f>
        <v>2.2420062585749334</v>
      </c>
      <c r="K79" s="73">
        <f t="shared" ref="K79:M94" si="26">K$76*E79</f>
        <v>0</v>
      </c>
      <c r="L79" s="73">
        <f t="shared" si="26"/>
        <v>0.32977334329609687</v>
      </c>
      <c r="M79" s="73">
        <f t="shared" si="26"/>
        <v>0.12617913728900615</v>
      </c>
      <c r="N79" s="1725">
        <f>SUM(O79:R79)</f>
        <v>13.507266908339959</v>
      </c>
      <c r="O79" s="73">
        <f>O$76*D79</f>
        <v>11.216339340004607</v>
      </c>
      <c r="P79" s="73">
        <f t="shared" ref="P79:R94" si="27">P$76*E79</f>
        <v>2.180199902965163E-3</v>
      </c>
      <c r="Q79" s="73">
        <f t="shared" si="27"/>
        <v>1.7237772488710854</v>
      </c>
      <c r="R79" s="73">
        <f t="shared" si="27"/>
        <v>0.56497011956130172</v>
      </c>
      <c r="U79" s="1121">
        <f t="shared" si="17"/>
        <v>0.16402746422225142</v>
      </c>
      <c r="V79" s="1724">
        <f t="shared" si="18"/>
        <v>0</v>
      </c>
      <c r="W79" s="1622">
        <f t="shared" si="19"/>
        <v>0</v>
      </c>
    </row>
    <row r="80" spans="1:23" x14ac:dyDescent="0.25">
      <c r="A80" s="1698" t="s">
        <v>1751</v>
      </c>
      <c r="B80" s="78" t="s">
        <v>2757</v>
      </c>
      <c r="C80" s="3152">
        <f>'Д 4_Т на П'!G13</f>
        <v>754.48063799999989</v>
      </c>
      <c r="D80" s="3152">
        <f t="shared" si="21"/>
        <v>7.6367678271125046</v>
      </c>
      <c r="E80" s="3152">
        <f t="shared" si="22"/>
        <v>7.6367678271125046</v>
      </c>
      <c r="F80" s="3152">
        <f t="shared" si="23"/>
        <v>7.6367678271125046</v>
      </c>
      <c r="G80" s="3152">
        <f t="shared" si="24"/>
        <v>7.6367678271125046</v>
      </c>
      <c r="H80" s="1724">
        <f t="shared" si="25"/>
        <v>0</v>
      </c>
      <c r="I80" s="1725">
        <f>SUM(J80:M80)</f>
        <v>125.61118710082064</v>
      </c>
      <c r="J80" s="73">
        <f t="shared" ref="J80:M104" si="28">J$76*D80</f>
        <v>104.38301503259636</v>
      </c>
      <c r="K80" s="73">
        <f t="shared" si="26"/>
        <v>0</v>
      </c>
      <c r="L80" s="73">
        <f t="shared" si="26"/>
        <v>15.353541373477634</v>
      </c>
      <c r="M80" s="73">
        <f t="shared" si="26"/>
        <v>5.874630694746636</v>
      </c>
      <c r="N80" s="1725">
        <f>SUM(O80:R80)</f>
        <v>628.86945089917913</v>
      </c>
      <c r="O80" s="73">
        <f t="shared" ref="O80:R104" si="29">O$76*D80</f>
        <v>522.20876434242655</v>
      </c>
      <c r="P80" s="73">
        <f t="shared" si="27"/>
        <v>0.10150544333891812</v>
      </c>
      <c r="Q80" s="73">
        <f t="shared" si="27"/>
        <v>80.255380997967137</v>
      </c>
      <c r="R80" s="73">
        <f t="shared" si="27"/>
        <v>26.303800115446499</v>
      </c>
      <c r="U80" s="1121">
        <f t="shared" si="17"/>
        <v>7.6367678271125046</v>
      </c>
      <c r="V80" s="1724">
        <f t="shared" si="18"/>
        <v>0</v>
      </c>
      <c r="W80" s="1622">
        <f t="shared" si="19"/>
        <v>0</v>
      </c>
    </row>
    <row r="81" spans="1:23" x14ac:dyDescent="0.25">
      <c r="A81" s="1698" t="s">
        <v>1753</v>
      </c>
      <c r="B81" s="78" t="s">
        <v>2758</v>
      </c>
      <c r="C81" s="3152">
        <f>'Д 4_Т на П'!G14</f>
        <v>1045.9627763240737</v>
      </c>
      <c r="D81" s="3152">
        <f t="shared" si="21"/>
        <v>10.587117119086308</v>
      </c>
      <c r="E81" s="3152">
        <f t="shared" si="22"/>
        <v>10.587117119086308</v>
      </c>
      <c r="F81" s="3152">
        <f t="shared" si="23"/>
        <v>10.587117119086308</v>
      </c>
      <c r="G81" s="3152">
        <f t="shared" si="24"/>
        <v>10.587117119086308</v>
      </c>
      <c r="H81" s="1724">
        <f t="shared" si="25"/>
        <v>0</v>
      </c>
      <c r="I81" s="1725">
        <f t="shared" ref="I81:I104" si="30">SUM(J81:M81)</f>
        <v>174.13916193477854</v>
      </c>
      <c r="J81" s="73">
        <f t="shared" si="28"/>
        <v>144.70980792030878</v>
      </c>
      <c r="K81" s="73">
        <f t="shared" si="26"/>
        <v>0</v>
      </c>
      <c r="L81" s="73">
        <f t="shared" si="26"/>
        <v>21.285148952237527</v>
      </c>
      <c r="M81" s="73">
        <f t="shared" si="26"/>
        <v>8.1442050622322437</v>
      </c>
      <c r="N81" s="1725">
        <f t="shared" ref="N81:N104" si="31">SUM(O81:R81)</f>
        <v>871.82361438929479</v>
      </c>
      <c r="O81" s="73">
        <f t="shared" si="29"/>
        <v>723.95619113603868</v>
      </c>
      <c r="P81" s="73">
        <f t="shared" si="27"/>
        <v>0.14072053009633465</v>
      </c>
      <c r="Q81" s="73">
        <f t="shared" si="27"/>
        <v>111.26082883465595</v>
      </c>
      <c r="R81" s="73">
        <f t="shared" si="27"/>
        <v>36.465873888503836</v>
      </c>
      <c r="U81" s="1121">
        <f t="shared" si="17"/>
        <v>10.587117119086308</v>
      </c>
      <c r="V81" s="1724">
        <f t="shared" si="18"/>
        <v>0</v>
      </c>
      <c r="W81" s="1622">
        <f t="shared" si="19"/>
        <v>0</v>
      </c>
    </row>
    <row r="82" spans="1:23" x14ac:dyDescent="0.25">
      <c r="A82" s="1698" t="s">
        <v>2759</v>
      </c>
      <c r="B82" s="78" t="s">
        <v>2760</v>
      </c>
      <c r="C82" s="3152">
        <f>'Д 4_Т на П'!G15</f>
        <v>165.98574035999997</v>
      </c>
      <c r="D82" s="3152">
        <f t="shared" si="21"/>
        <v>1.6800889219647508</v>
      </c>
      <c r="E82" s="3152">
        <f t="shared" si="22"/>
        <v>1.6800889219647508</v>
      </c>
      <c r="F82" s="3152">
        <f t="shared" si="23"/>
        <v>1.6800889219647508</v>
      </c>
      <c r="G82" s="3152">
        <f t="shared" si="24"/>
        <v>1.6800889219647508</v>
      </c>
      <c r="H82" s="1724">
        <f t="shared" si="25"/>
        <v>0</v>
      </c>
      <c r="I82" s="1725">
        <f t="shared" si="30"/>
        <v>27.634461162180532</v>
      </c>
      <c r="J82" s="73">
        <f t="shared" si="28"/>
        <v>22.964263307171194</v>
      </c>
      <c r="K82" s="73">
        <f t="shared" si="26"/>
        <v>0</v>
      </c>
      <c r="L82" s="73">
        <f t="shared" si="26"/>
        <v>3.3777791021650794</v>
      </c>
      <c r="M82" s="73">
        <f t="shared" si="26"/>
        <v>1.2924187528442597</v>
      </c>
      <c r="N82" s="1725">
        <f t="shared" si="31"/>
        <v>138.35127919781937</v>
      </c>
      <c r="O82" s="73">
        <f t="shared" si="29"/>
        <v>114.88592815533381</v>
      </c>
      <c r="P82" s="73">
        <f t="shared" si="27"/>
        <v>2.2331197534561982E-2</v>
      </c>
      <c r="Q82" s="73">
        <f t="shared" si="27"/>
        <v>17.656183819552766</v>
      </c>
      <c r="R82" s="73">
        <f t="shared" si="27"/>
        <v>5.7868360253982294</v>
      </c>
      <c r="U82" s="1121">
        <f t="shared" si="17"/>
        <v>1.6800889219647508</v>
      </c>
      <c r="V82" s="1724">
        <f t="shared" si="18"/>
        <v>0</v>
      </c>
      <c r="W82" s="1622">
        <f t="shared" si="19"/>
        <v>0</v>
      </c>
    </row>
    <row r="83" spans="1:23" x14ac:dyDescent="0.25">
      <c r="A83" s="1698" t="s">
        <v>2761</v>
      </c>
      <c r="B83" s="78" t="s">
        <v>2762</v>
      </c>
      <c r="C83" s="3152">
        <f>'Д 4_Т на П'!G16</f>
        <v>843.99335000000065</v>
      </c>
      <c r="D83" s="3152">
        <f t="shared" si="21"/>
        <v>8.5428053908215862</v>
      </c>
      <c r="E83" s="3152">
        <f t="shared" si="22"/>
        <v>8.5428053908215862</v>
      </c>
      <c r="F83" s="3152">
        <f t="shared" si="23"/>
        <v>8.5428053908215862</v>
      </c>
      <c r="G83" s="3152">
        <f t="shared" si="24"/>
        <v>8.5428053908215862</v>
      </c>
      <c r="H83" s="1724">
        <f t="shared" si="25"/>
        <v>0</v>
      </c>
      <c r="I83" s="1725">
        <f t="shared" si="30"/>
        <v>140.51388632016622</v>
      </c>
      <c r="J83" s="73">
        <f t="shared" si="28"/>
        <v>116.76717214903724</v>
      </c>
      <c r="K83" s="73">
        <f t="shared" si="26"/>
        <v>0</v>
      </c>
      <c r="L83" s="73">
        <f t="shared" si="26"/>
        <v>17.175108499159396</v>
      </c>
      <c r="M83" s="73">
        <f t="shared" si="26"/>
        <v>6.5716056719696034</v>
      </c>
      <c r="N83" s="1725">
        <f t="shared" si="31"/>
        <v>703.47946367983434</v>
      </c>
      <c r="O83" s="73">
        <f t="shared" si="29"/>
        <v>584.16439364839675</v>
      </c>
      <c r="P83" s="73">
        <f t="shared" si="27"/>
        <v>0.11354820104323045</v>
      </c>
      <c r="Q83" s="73">
        <f t="shared" si="27"/>
        <v>89.776999504658846</v>
      </c>
      <c r="R83" s="73">
        <f t="shared" si="27"/>
        <v>29.424522325735417</v>
      </c>
      <c r="U83" s="1121">
        <f t="shared" si="17"/>
        <v>8.5428053908215862</v>
      </c>
      <c r="V83" s="1724">
        <f t="shared" si="18"/>
        <v>0</v>
      </c>
      <c r="W83" s="1622">
        <f t="shared" si="19"/>
        <v>0</v>
      </c>
    </row>
    <row r="84" spans="1:23" x14ac:dyDescent="0.25">
      <c r="A84" s="1698" t="s">
        <v>2763</v>
      </c>
      <c r="B84" s="78" t="s">
        <v>81</v>
      </c>
      <c r="C84" s="3152">
        <f>'Д 4_Т на П'!G17</f>
        <v>35.983685964073175</v>
      </c>
      <c r="D84" s="3152">
        <f t="shared" si="21"/>
        <v>0.36422280629997278</v>
      </c>
      <c r="E84" s="3152">
        <f t="shared" si="22"/>
        <v>0.36422280629997278</v>
      </c>
      <c r="F84" s="3152">
        <f t="shared" si="23"/>
        <v>0.36422280629997278</v>
      </c>
      <c r="G84" s="3152">
        <f t="shared" si="24"/>
        <v>0.36422280629997278</v>
      </c>
      <c r="H84" s="1724">
        <f t="shared" si="25"/>
        <v>0</v>
      </c>
      <c r="I84" s="1725">
        <f t="shared" si="30"/>
        <v>5.9908144524318052</v>
      </c>
      <c r="J84" s="73">
        <f t="shared" si="28"/>
        <v>4.9783724641003673</v>
      </c>
      <c r="K84" s="73">
        <f t="shared" si="26"/>
        <v>0</v>
      </c>
      <c r="L84" s="73">
        <f t="shared" si="26"/>
        <v>0.73226135091305555</v>
      </c>
      <c r="M84" s="73">
        <f t="shared" si="26"/>
        <v>0.28018063741838262</v>
      </c>
      <c r="N84" s="1725">
        <f t="shared" si="31"/>
        <v>29.992871511641361</v>
      </c>
      <c r="O84" s="73">
        <f t="shared" si="29"/>
        <v>24.905869332308264</v>
      </c>
      <c r="P84" s="73">
        <f t="shared" si="27"/>
        <v>4.8411315185422337E-3</v>
      </c>
      <c r="Q84" s="73">
        <f t="shared" si="27"/>
        <v>3.8276455104443587</v>
      </c>
      <c r="R84" s="73">
        <f t="shared" si="27"/>
        <v>1.2545155373701966</v>
      </c>
      <c r="U84" s="1121">
        <f t="shared" si="17"/>
        <v>0.36422280629997278</v>
      </c>
      <c r="V84" s="1724">
        <f t="shared" si="18"/>
        <v>0</v>
      </c>
      <c r="W84" s="1622">
        <f t="shared" si="19"/>
        <v>0</v>
      </c>
    </row>
    <row r="85" spans="1:23" s="15" customFormat="1" x14ac:dyDescent="0.25">
      <c r="A85" s="1700" t="s">
        <v>1755</v>
      </c>
      <c r="B85" s="255" t="s">
        <v>2764</v>
      </c>
      <c r="C85" s="3153">
        <f>C86+C87+C88+C89</f>
        <v>65.800553570691349</v>
      </c>
      <c r="D85" s="4495">
        <f>D86+D87+D88+D89</f>
        <v>0.66602577350016579</v>
      </c>
      <c r="E85" s="4495">
        <f>E86+E87+E88+E89</f>
        <v>0.66602577350016579</v>
      </c>
      <c r="F85" s="4495">
        <f>F86+F87+F88+F89</f>
        <v>0.66602577350016579</v>
      </c>
      <c r="G85" s="4495">
        <f>G86+G87+G88+G89</f>
        <v>0.66602577350016579</v>
      </c>
      <c r="H85" s="1724">
        <f t="shared" si="25"/>
        <v>0</v>
      </c>
      <c r="I85" s="1725">
        <f t="shared" si="30"/>
        <v>10.954934069369296</v>
      </c>
      <c r="J85" s="73">
        <f t="shared" si="28"/>
        <v>9.1035605509105686</v>
      </c>
      <c r="K85" s="73">
        <f t="shared" si="26"/>
        <v>0</v>
      </c>
      <c r="L85" s="73">
        <f t="shared" si="26"/>
        <v>1.3390290893658974</v>
      </c>
      <c r="M85" s="73">
        <f t="shared" si="26"/>
        <v>0.51234442909282951</v>
      </c>
      <c r="N85" s="1725">
        <f t="shared" si="31"/>
        <v>54.845619501322034</v>
      </c>
      <c r="O85" s="73">
        <f t="shared" si="29"/>
        <v>45.543416282073458</v>
      </c>
      <c r="P85" s="73">
        <f t="shared" si="27"/>
        <v>8.852598762301515E-3</v>
      </c>
      <c r="Q85" s="73">
        <f t="shared" si="27"/>
        <v>6.9993161265100365</v>
      </c>
      <c r="R85" s="73">
        <f t="shared" si="27"/>
        <v>2.2940344939762323</v>
      </c>
      <c r="U85" s="1121">
        <f t="shared" si="17"/>
        <v>0.66602577350016579</v>
      </c>
      <c r="V85" s="1724">
        <f t="shared" si="18"/>
        <v>0</v>
      </c>
      <c r="W85" s="1622">
        <f t="shared" si="19"/>
        <v>0</v>
      </c>
    </row>
    <row r="86" spans="1:23" x14ac:dyDescent="0.25">
      <c r="A86" s="1701" t="s">
        <v>2765</v>
      </c>
      <c r="B86" s="78" t="s">
        <v>2766</v>
      </c>
      <c r="C86" s="3152">
        <f>'Д 4_Т на П'!G19</f>
        <v>50.279889693741083</v>
      </c>
      <c r="D86" s="3152">
        <f>C86/$C$105</f>
        <v>0.50892736622344914</v>
      </c>
      <c r="E86" s="3152">
        <f>C86/$C$105</f>
        <v>0.50892736622344914</v>
      </c>
      <c r="F86" s="3152">
        <f>C86/$C$105</f>
        <v>0.50892736622344914</v>
      </c>
      <c r="G86" s="3152">
        <f>C86/$C$105</f>
        <v>0.50892736622344914</v>
      </c>
      <c r="H86" s="1724">
        <f t="shared" si="25"/>
        <v>0</v>
      </c>
      <c r="I86" s="1725">
        <f t="shared" si="30"/>
        <v>8.3709459376863879</v>
      </c>
      <c r="J86" s="73">
        <f t="shared" si="28"/>
        <v>6.9562639747145676</v>
      </c>
      <c r="K86" s="73">
        <f t="shared" si="26"/>
        <v>0</v>
      </c>
      <c r="L86" s="73">
        <f t="shared" si="26"/>
        <v>1.0231864514285196</v>
      </c>
      <c r="M86" s="73">
        <f t="shared" si="26"/>
        <v>0.39149551154330142</v>
      </c>
      <c r="N86" s="1725">
        <f t="shared" si="31"/>
        <v>41.908943756054676</v>
      </c>
      <c r="O86" s="73">
        <f t="shared" si="29"/>
        <v>34.800891826520328</v>
      </c>
      <c r="P86" s="73">
        <f t="shared" si="27"/>
        <v>6.7644976389640487E-3</v>
      </c>
      <c r="Q86" s="73">
        <f t="shared" si="27"/>
        <v>5.3483568705005684</v>
      </c>
      <c r="R86" s="73">
        <f t="shared" si="27"/>
        <v>1.752930561394823</v>
      </c>
      <c r="U86" s="1121">
        <f t="shared" si="17"/>
        <v>0.50892736622344914</v>
      </c>
      <c r="V86" s="1724">
        <f t="shared" si="18"/>
        <v>0</v>
      </c>
      <c r="W86" s="1622">
        <f t="shared" si="19"/>
        <v>0</v>
      </c>
    </row>
    <row r="87" spans="1:23" x14ac:dyDescent="0.25">
      <c r="A87" s="1701" t="s">
        <v>2767</v>
      </c>
      <c r="B87" s="78" t="s">
        <v>2275</v>
      </c>
      <c r="C87" s="3152">
        <f>'Д 4_Т на П'!G20</f>
        <v>10.73236983354378</v>
      </c>
      <c r="D87" s="3152">
        <f>C87/$C$105</f>
        <v>0.10863183563032659</v>
      </c>
      <c r="E87" s="3152">
        <f>C87/$C$105</f>
        <v>0.10863183563032659</v>
      </c>
      <c r="F87" s="3152">
        <f>C87/$C$105</f>
        <v>0.10863183563032659</v>
      </c>
      <c r="G87" s="3152">
        <f>C87/$C$105</f>
        <v>0.10863183563032659</v>
      </c>
      <c r="H87" s="1724">
        <f t="shared" si="25"/>
        <v>0</v>
      </c>
      <c r="I87" s="1725">
        <f t="shared" si="30"/>
        <v>1.7867996172440823</v>
      </c>
      <c r="J87" s="73">
        <f t="shared" si="28"/>
        <v>1.4848321683109702</v>
      </c>
      <c r="K87" s="73">
        <f t="shared" si="26"/>
        <v>0</v>
      </c>
      <c r="L87" s="73">
        <f t="shared" si="26"/>
        <v>0.21840174018458738</v>
      </c>
      <c r="M87" s="73">
        <f t="shared" si="26"/>
        <v>8.3565708748524758E-2</v>
      </c>
      <c r="N87" s="1725">
        <f t="shared" si="31"/>
        <v>8.9455702162996946</v>
      </c>
      <c r="O87" s="73">
        <f t="shared" si="29"/>
        <v>7.4283385244948219</v>
      </c>
      <c r="P87" s="73">
        <f t="shared" si="27"/>
        <v>1.443899158126696E-3</v>
      </c>
      <c r="Q87" s="73">
        <f t="shared" si="27"/>
        <v>1.1416203234656703</v>
      </c>
      <c r="R87" s="73">
        <f t="shared" si="27"/>
        <v>0.37416746918107591</v>
      </c>
      <c r="U87" s="1121">
        <f t="shared" si="17"/>
        <v>0.10863183563032659</v>
      </c>
      <c r="V87" s="1724">
        <f t="shared" si="18"/>
        <v>0</v>
      </c>
      <c r="W87" s="1622">
        <f t="shared" si="19"/>
        <v>0</v>
      </c>
    </row>
    <row r="88" spans="1:23" x14ac:dyDescent="0.25">
      <c r="A88" s="1701" t="s">
        <v>2768</v>
      </c>
      <c r="B88" s="78" t="s">
        <v>2762</v>
      </c>
      <c r="C88" s="3152">
        <f>ЗВВ_2ст!K37+ЗВВ_2ст!K38</f>
        <v>0.3093596578550839</v>
      </c>
      <c r="D88" s="3152">
        <f>C88/$C$105</f>
        <v>3.131303526061112E-3</v>
      </c>
      <c r="E88" s="3152">
        <f>C88/$C$105</f>
        <v>3.131303526061112E-3</v>
      </c>
      <c r="F88" s="3152">
        <f>C88/$C$105</f>
        <v>3.131303526061112E-3</v>
      </c>
      <c r="G88" s="3152">
        <f>C88/$C$105</f>
        <v>3.131303526061112E-3</v>
      </c>
      <c r="H88" s="1724">
        <f t="shared" si="25"/>
        <v>0</v>
      </c>
      <c r="I88" s="1725">
        <f t="shared" si="30"/>
        <v>5.1504348696461581E-2</v>
      </c>
      <c r="J88" s="73">
        <f t="shared" si="28"/>
        <v>4.2800162376554048E-2</v>
      </c>
      <c r="K88" s="73">
        <f t="shared" si="26"/>
        <v>0</v>
      </c>
      <c r="L88" s="73">
        <f t="shared" si="26"/>
        <v>6.2954117931425524E-3</v>
      </c>
      <c r="M88" s="73">
        <f t="shared" si="26"/>
        <v>2.4087745267649843E-3</v>
      </c>
      <c r="N88" s="1725">
        <f t="shared" si="31"/>
        <v>0.2578553091586222</v>
      </c>
      <c r="O88" s="73">
        <f t="shared" si="29"/>
        <v>0.21412123324217</v>
      </c>
      <c r="P88" s="73">
        <f t="shared" si="27"/>
        <v>4.1620271800475706E-5</v>
      </c>
      <c r="Q88" s="73">
        <f t="shared" si="27"/>
        <v>3.2907109813148733E-2</v>
      </c>
      <c r="R88" s="73">
        <f t="shared" si="27"/>
        <v>1.0785345831503031E-2</v>
      </c>
      <c r="U88" s="1121">
        <f t="shared" si="17"/>
        <v>3.131303526061112E-3</v>
      </c>
      <c r="V88" s="1724">
        <f t="shared" si="18"/>
        <v>0</v>
      </c>
      <c r="W88" s="1622">
        <f t="shared" si="19"/>
        <v>0</v>
      </c>
    </row>
    <row r="89" spans="1:23" x14ac:dyDescent="0.25">
      <c r="A89" s="1701" t="s">
        <v>2769</v>
      </c>
      <c r="B89" s="78" t="s">
        <v>58</v>
      </c>
      <c r="C89" s="3152">
        <f>'Д 4_Т на П'!G21-'D1_2023-2024'!C88</f>
        <v>4.4789343855514021</v>
      </c>
      <c r="D89" s="3152">
        <f>C89/$C$105</f>
        <v>4.5335268120328974E-2</v>
      </c>
      <c r="E89" s="3152">
        <f>C89/$C$105</f>
        <v>4.5335268120328974E-2</v>
      </c>
      <c r="F89" s="3152">
        <f>C89/$C$105</f>
        <v>4.5335268120328974E-2</v>
      </c>
      <c r="G89" s="3152">
        <f>C89/$C$105</f>
        <v>4.5335268120328974E-2</v>
      </c>
      <c r="H89" s="1724">
        <f t="shared" si="25"/>
        <v>0</v>
      </c>
      <c r="I89" s="1725">
        <f t="shared" si="30"/>
        <v>0.74568416574236374</v>
      </c>
      <c r="J89" s="73">
        <f t="shared" si="28"/>
        <v>0.61966424550847754</v>
      </c>
      <c r="K89" s="73">
        <f t="shared" si="26"/>
        <v>0</v>
      </c>
      <c r="L89" s="73">
        <f t="shared" si="26"/>
        <v>9.1145485959647762E-2</v>
      </c>
      <c r="M89" s="73">
        <f t="shared" si="26"/>
        <v>3.4874434274238371E-2</v>
      </c>
      <c r="N89" s="1725">
        <f t="shared" si="31"/>
        <v>3.7332502198090367</v>
      </c>
      <c r="O89" s="73">
        <f t="shared" si="29"/>
        <v>3.1000646978161464</v>
      </c>
      <c r="P89" s="73">
        <f t="shared" si="27"/>
        <v>6.0258169341029526E-4</v>
      </c>
      <c r="Q89" s="73">
        <f t="shared" si="27"/>
        <v>0.47643182273064988</v>
      </c>
      <c r="R89" s="73">
        <f t="shared" si="27"/>
        <v>0.15615111756883054</v>
      </c>
      <c r="U89" s="1121">
        <f t="shared" si="17"/>
        <v>4.5335268120328974E-2</v>
      </c>
      <c r="V89" s="1724">
        <f t="shared" si="18"/>
        <v>0</v>
      </c>
      <c r="W89" s="1622">
        <f t="shared" si="19"/>
        <v>0</v>
      </c>
    </row>
    <row r="90" spans="1:23" s="15" customFormat="1" x14ac:dyDescent="0.25">
      <c r="A90" s="1696" t="s">
        <v>1768</v>
      </c>
      <c r="B90" s="255" t="s">
        <v>2770</v>
      </c>
      <c r="C90" s="3153">
        <f>C91+C92+C93+C94</f>
        <v>79.995936156684508</v>
      </c>
      <c r="D90" s="4495">
        <f>D91+D92+D93+D94</f>
        <v>0.809709833191391</v>
      </c>
      <c r="E90" s="4495">
        <f>E91+E92+E93+E94</f>
        <v>0.809709833191391</v>
      </c>
      <c r="F90" s="4495">
        <f>F91+F92+F93+F94</f>
        <v>0.809709833191391</v>
      </c>
      <c r="G90" s="4495">
        <f>G91+G92+G93+G94</f>
        <v>0.809709833191391</v>
      </c>
      <c r="H90" s="1724">
        <f t="shared" si="25"/>
        <v>0</v>
      </c>
      <c r="I90" s="1725">
        <f t="shared" si="30"/>
        <v>13.318280149003108</v>
      </c>
      <c r="J90" s="73">
        <f t="shared" si="28"/>
        <v>11.067503373611846</v>
      </c>
      <c r="K90" s="73">
        <f t="shared" si="26"/>
        <v>0</v>
      </c>
      <c r="L90" s="73">
        <f t="shared" si="26"/>
        <v>1.6279024982636217</v>
      </c>
      <c r="M90" s="73">
        <f t="shared" si="26"/>
        <v>0.62287427712764054</v>
      </c>
      <c r="N90" s="1725">
        <f t="shared" si="31"/>
        <v>66.677656007681378</v>
      </c>
      <c r="O90" s="73">
        <f t="shared" si="29"/>
        <v>55.368656091076339</v>
      </c>
      <c r="P90" s="73">
        <f t="shared" si="27"/>
        <v>1.0762400724319252E-2</v>
      </c>
      <c r="Q90" s="73">
        <f t="shared" si="27"/>
        <v>8.5093029710641428</v>
      </c>
      <c r="R90" s="73">
        <f t="shared" si="27"/>
        <v>2.7889345448165752</v>
      </c>
      <c r="U90" s="1121">
        <f t="shared" si="17"/>
        <v>0.809709833191391</v>
      </c>
      <c r="V90" s="1724">
        <f t="shared" si="18"/>
        <v>0</v>
      </c>
      <c r="W90" s="1622">
        <f t="shared" si="19"/>
        <v>0</v>
      </c>
    </row>
    <row r="91" spans="1:23" x14ac:dyDescent="0.25">
      <c r="A91" s="1701" t="s">
        <v>2771</v>
      </c>
      <c r="B91" s="78" t="s">
        <v>55</v>
      </c>
      <c r="C91" s="3152">
        <f>'Д 4_Т на П'!G23</f>
        <v>59.90608734861253</v>
      </c>
      <c r="D91" s="3152">
        <f>C91/$C$105</f>
        <v>0.60636265196254868</v>
      </c>
      <c r="E91" s="3152">
        <f>C91/$C$105</f>
        <v>0.60636265196254868</v>
      </c>
      <c r="F91" s="3152">
        <f>C91/$C$105</f>
        <v>0.60636265196254868</v>
      </c>
      <c r="G91" s="3152">
        <f>C91/$C$105</f>
        <v>0.60636265196254868</v>
      </c>
      <c r="H91" s="1724">
        <f t="shared" si="25"/>
        <v>0</v>
      </c>
      <c r="I91" s="1725">
        <f t="shared" si="30"/>
        <v>9.9735823126910699</v>
      </c>
      <c r="J91" s="73">
        <f t="shared" si="28"/>
        <v>8.288056314911362</v>
      </c>
      <c r="K91" s="73">
        <f t="shared" si="26"/>
        <v>0</v>
      </c>
      <c r="L91" s="73">
        <f t="shared" si="26"/>
        <v>1.2190777924642882</v>
      </c>
      <c r="M91" s="73">
        <f t="shared" si="26"/>
        <v>0.46644820531541903</v>
      </c>
      <c r="N91" s="1725">
        <f t="shared" si="31"/>
        <v>49.932505035921452</v>
      </c>
      <c r="O91" s="73">
        <f t="shared" si="29"/>
        <v>41.463600621794122</v>
      </c>
      <c r="P91" s="73">
        <f t="shared" si="27"/>
        <v>8.0595758840677767E-3</v>
      </c>
      <c r="Q91" s="73">
        <f t="shared" si="27"/>
        <v>6.372311789213069</v>
      </c>
      <c r="R91" s="73">
        <f t="shared" si="27"/>
        <v>2.0885330490301897</v>
      </c>
      <c r="U91" s="1121">
        <f t="shared" si="17"/>
        <v>0.60636265196254868</v>
      </c>
      <c r="V91" s="1724">
        <f t="shared" si="18"/>
        <v>0</v>
      </c>
      <c r="W91" s="1622">
        <f t="shared" si="19"/>
        <v>0</v>
      </c>
    </row>
    <row r="92" spans="1:23" x14ac:dyDescent="0.25">
      <c r="A92" s="1701" t="s">
        <v>2772</v>
      </c>
      <c r="B92" s="78" t="s">
        <v>2773</v>
      </c>
      <c r="C92" s="3152">
        <f>'Д 4_Т на П'!G24</f>
        <v>13.179339216694757</v>
      </c>
      <c r="D92" s="3152">
        <f>C92/$C$105</f>
        <v>0.1333997834317607</v>
      </c>
      <c r="E92" s="3152">
        <f>C92/$C$105</f>
        <v>0.1333997834317607</v>
      </c>
      <c r="F92" s="3152">
        <f>C92/$C$105</f>
        <v>0.1333997834317607</v>
      </c>
      <c r="G92" s="3152">
        <f>C92/$C$105</f>
        <v>0.1333997834317607</v>
      </c>
      <c r="H92" s="1724">
        <f t="shared" si="25"/>
        <v>0</v>
      </c>
      <c r="I92" s="1725">
        <f t="shared" si="30"/>
        <v>2.194188108792035</v>
      </c>
      <c r="J92" s="73">
        <f t="shared" si="28"/>
        <v>1.8233723892804994</v>
      </c>
      <c r="K92" s="73">
        <f t="shared" si="26"/>
        <v>0</v>
      </c>
      <c r="L92" s="73">
        <f t="shared" si="26"/>
        <v>0.26819711434214338</v>
      </c>
      <c r="M92" s="73">
        <f t="shared" si="26"/>
        <v>0.10261860516939218</v>
      </c>
      <c r="N92" s="1725">
        <f t="shared" si="31"/>
        <v>10.985151107902716</v>
      </c>
      <c r="O92" s="73">
        <f t="shared" si="29"/>
        <v>9.1219921367947059</v>
      </c>
      <c r="P92" s="73">
        <f t="shared" si="27"/>
        <v>1.7731066944949106E-3</v>
      </c>
      <c r="Q92" s="73">
        <f t="shared" si="27"/>
        <v>1.4019085936268751</v>
      </c>
      <c r="R92" s="73">
        <f t="shared" si="27"/>
        <v>0.45947727078664169</v>
      </c>
      <c r="U92" s="1121">
        <f t="shared" si="17"/>
        <v>0.1333997834317607</v>
      </c>
      <c r="V92" s="1724">
        <f t="shared" si="18"/>
        <v>0</v>
      </c>
      <c r="W92" s="1622">
        <f t="shared" si="19"/>
        <v>0</v>
      </c>
    </row>
    <row r="93" spans="1:23" x14ac:dyDescent="0.25">
      <c r="A93" s="1701" t="s">
        <v>2774</v>
      </c>
      <c r="B93" s="78" t="s">
        <v>2762</v>
      </c>
      <c r="C93" s="3152">
        <f>Адміністративні_2ст!K36+Адміністративні_2ст!K37</f>
        <v>0.75564424062180591</v>
      </c>
      <c r="D93" s="3152">
        <f>C93/$C$105</f>
        <v>7.6485456814644835E-3</v>
      </c>
      <c r="E93" s="3152">
        <f>C93/$C$105</f>
        <v>7.6485456814644835E-3</v>
      </c>
      <c r="F93" s="3152">
        <f>C93/$C$105</f>
        <v>7.6485456814644835E-3</v>
      </c>
      <c r="G93" s="3152">
        <f>C93/$C$105</f>
        <v>7.6485456814644835E-3</v>
      </c>
      <c r="H93" s="1724">
        <f t="shared" si="25"/>
        <v>0</v>
      </c>
      <c r="I93" s="1725">
        <f t="shared" si="30"/>
        <v>0.12580491176289563</v>
      </c>
      <c r="J93" s="73">
        <f t="shared" si="28"/>
        <v>0.10454400040961799</v>
      </c>
      <c r="K93" s="73">
        <f t="shared" si="26"/>
        <v>0</v>
      </c>
      <c r="L93" s="73">
        <f t="shared" si="26"/>
        <v>1.5377220471517241E-2</v>
      </c>
      <c r="M93" s="73">
        <f t="shared" si="26"/>
        <v>5.8836908817604065E-3</v>
      </c>
      <c r="N93" s="1725">
        <f t="shared" si="31"/>
        <v>0.62983932885891014</v>
      </c>
      <c r="O93" s="73">
        <f t="shared" si="29"/>
        <v>0.52301414417156267</v>
      </c>
      <c r="P93" s="73">
        <f t="shared" si="27"/>
        <v>1.0166199076246744E-4</v>
      </c>
      <c r="Q93" s="73">
        <f t="shared" si="27"/>
        <v>8.0379155376049019E-2</v>
      </c>
      <c r="R93" s="73">
        <f t="shared" si="27"/>
        <v>2.6344367320535991E-2</v>
      </c>
      <c r="U93" s="1121">
        <f t="shared" si="17"/>
        <v>7.6485456814644835E-3</v>
      </c>
      <c r="V93" s="1724">
        <f t="shared" si="18"/>
        <v>0</v>
      </c>
      <c r="W93" s="1622">
        <f t="shared" si="19"/>
        <v>0</v>
      </c>
    </row>
    <row r="94" spans="1:23" x14ac:dyDescent="0.25">
      <c r="A94" s="1701" t="s">
        <v>2775</v>
      </c>
      <c r="B94" s="78" t="s">
        <v>2776</v>
      </c>
      <c r="C94" s="3152">
        <f>'Д 4_Т на П'!G25-'D1_2023-2024'!C93</f>
        <v>6.1548653507554141</v>
      </c>
      <c r="D94" s="3152">
        <f>C94/$C$105</f>
        <v>6.2298852115617143E-2</v>
      </c>
      <c r="E94" s="3152">
        <f>C94/$C$105</f>
        <v>6.2298852115617143E-2</v>
      </c>
      <c r="F94" s="3152">
        <f>C94/$C$105</f>
        <v>6.2298852115617143E-2</v>
      </c>
      <c r="G94" s="3152">
        <f>C94/$C$105</f>
        <v>6.2298852115617143E-2</v>
      </c>
      <c r="H94" s="1724">
        <f t="shared" si="25"/>
        <v>0</v>
      </c>
      <c r="I94" s="1725">
        <f t="shared" si="30"/>
        <v>1.0247048157571095</v>
      </c>
      <c r="J94" s="73">
        <f t="shared" si="28"/>
        <v>0.85153066901036745</v>
      </c>
      <c r="K94" s="73">
        <f t="shared" si="26"/>
        <v>0</v>
      </c>
      <c r="L94" s="73">
        <f t="shared" si="26"/>
        <v>0.12525037098567293</v>
      </c>
      <c r="M94" s="73">
        <f t="shared" si="26"/>
        <v>4.7923775761069001E-2</v>
      </c>
      <c r="N94" s="1725">
        <f t="shared" si="31"/>
        <v>5.1301605349983026</v>
      </c>
      <c r="O94" s="73">
        <f t="shared" si="29"/>
        <v>4.2600491883159508</v>
      </c>
      <c r="P94" s="73">
        <f t="shared" si="27"/>
        <v>8.2805615499409826E-4</v>
      </c>
      <c r="Q94" s="73">
        <f t="shared" si="27"/>
        <v>0.65470343284815002</v>
      </c>
      <c r="R94" s="73">
        <f t="shared" si="27"/>
        <v>0.21457985767920787</v>
      </c>
      <c r="U94" s="1121">
        <f t="shared" si="17"/>
        <v>6.2298852115617143E-2</v>
      </c>
      <c r="V94" s="1724">
        <f t="shared" si="18"/>
        <v>0</v>
      </c>
      <c r="W94" s="1622">
        <f t="shared" si="19"/>
        <v>0</v>
      </c>
    </row>
    <row r="95" spans="1:23" s="15" customFormat="1" x14ac:dyDescent="0.25">
      <c r="A95" s="1696" t="s">
        <v>1770</v>
      </c>
      <c r="B95" s="255" t="s">
        <v>2777</v>
      </c>
      <c r="C95" s="3153">
        <v>0</v>
      </c>
      <c r="D95" s="3153">
        <v>0</v>
      </c>
      <c r="E95" s="3153">
        <v>0</v>
      </c>
      <c r="F95" s="3153">
        <v>0</v>
      </c>
      <c r="G95" s="3153">
        <v>0</v>
      </c>
      <c r="H95" s="1724">
        <f t="shared" si="25"/>
        <v>0</v>
      </c>
      <c r="I95" s="1725">
        <f t="shared" si="30"/>
        <v>0</v>
      </c>
      <c r="J95" s="73">
        <f t="shared" si="28"/>
        <v>0</v>
      </c>
      <c r="K95" s="73">
        <f t="shared" si="28"/>
        <v>0</v>
      </c>
      <c r="L95" s="73">
        <f t="shared" si="28"/>
        <v>0</v>
      </c>
      <c r="M95" s="73">
        <f t="shared" si="28"/>
        <v>0</v>
      </c>
      <c r="N95" s="1725">
        <f t="shared" si="31"/>
        <v>0</v>
      </c>
      <c r="O95" s="73">
        <f t="shared" si="29"/>
        <v>0</v>
      </c>
      <c r="P95" s="73">
        <f t="shared" si="29"/>
        <v>0</v>
      </c>
      <c r="Q95" s="73">
        <f t="shared" si="29"/>
        <v>0</v>
      </c>
      <c r="R95" s="73">
        <f t="shared" si="29"/>
        <v>0</v>
      </c>
      <c r="U95" s="1121">
        <f t="shared" si="17"/>
        <v>0</v>
      </c>
      <c r="V95" s="1724">
        <f t="shared" si="18"/>
        <v>0</v>
      </c>
      <c r="W95" s="1622">
        <f t="shared" si="19"/>
        <v>0</v>
      </c>
    </row>
    <row r="96" spans="1:23" s="15" customFormat="1" x14ac:dyDescent="0.25">
      <c r="A96" s="1696" t="s">
        <v>1773</v>
      </c>
      <c r="B96" s="255" t="s">
        <v>2779</v>
      </c>
      <c r="C96" s="3153">
        <v>0</v>
      </c>
      <c r="D96" s="3153">
        <v>0</v>
      </c>
      <c r="E96" s="3153">
        <v>0</v>
      </c>
      <c r="F96" s="3153">
        <v>0</v>
      </c>
      <c r="G96" s="3153">
        <v>0</v>
      </c>
      <c r="H96" s="1724">
        <f t="shared" si="25"/>
        <v>0</v>
      </c>
      <c r="I96" s="1725">
        <f t="shared" si="30"/>
        <v>0</v>
      </c>
      <c r="J96" s="73">
        <f t="shared" si="28"/>
        <v>0</v>
      </c>
      <c r="K96" s="73">
        <f t="shared" si="28"/>
        <v>0</v>
      </c>
      <c r="L96" s="73">
        <f t="shared" si="28"/>
        <v>0</v>
      </c>
      <c r="M96" s="73">
        <f t="shared" si="28"/>
        <v>0</v>
      </c>
      <c r="N96" s="1725">
        <f t="shared" si="31"/>
        <v>0</v>
      </c>
      <c r="O96" s="73">
        <f t="shared" si="29"/>
        <v>0</v>
      </c>
      <c r="P96" s="73">
        <f t="shared" si="29"/>
        <v>0</v>
      </c>
      <c r="Q96" s="73">
        <f t="shared" si="29"/>
        <v>0</v>
      </c>
      <c r="R96" s="73">
        <f t="shared" si="29"/>
        <v>0</v>
      </c>
      <c r="U96" s="1121">
        <f t="shared" si="17"/>
        <v>0</v>
      </c>
      <c r="V96" s="1724">
        <f t="shared" si="18"/>
        <v>0</v>
      </c>
      <c r="W96" s="1622">
        <f t="shared" si="19"/>
        <v>0</v>
      </c>
    </row>
    <row r="97" spans="1:23" s="15" customFormat="1" x14ac:dyDescent="0.25">
      <c r="A97" s="1696" t="s">
        <v>1845</v>
      </c>
      <c r="B97" s="4616" t="s">
        <v>2442</v>
      </c>
      <c r="C97" s="3153">
        <f>C78+C90+C95+C96</f>
        <v>1962.4451296989496</v>
      </c>
      <c r="D97" s="3153">
        <f t="shared" ref="D97:G97" si="32">D78+D90+D95+D96</f>
        <v>19.863648017112624</v>
      </c>
      <c r="E97" s="3153">
        <f t="shared" si="32"/>
        <v>19.863648017112624</v>
      </c>
      <c r="F97" s="3153">
        <f t="shared" si="32"/>
        <v>19.863648017112624</v>
      </c>
      <c r="G97" s="3153">
        <f t="shared" si="32"/>
        <v>19.863648017112624</v>
      </c>
      <c r="H97" s="1724"/>
      <c r="I97" s="1725"/>
      <c r="J97" s="73"/>
      <c r="K97" s="73"/>
      <c r="L97" s="73"/>
      <c r="M97" s="73"/>
      <c r="N97" s="1725"/>
      <c r="O97" s="73"/>
      <c r="P97" s="73"/>
      <c r="Q97" s="73"/>
      <c r="R97" s="73"/>
      <c r="U97" s="1121"/>
      <c r="V97" s="1724"/>
      <c r="W97" s="1622"/>
    </row>
    <row r="98" spans="1:23" s="15" customFormat="1" x14ac:dyDescent="0.25">
      <c r="A98" s="1696" t="s">
        <v>1851</v>
      </c>
      <c r="B98" s="255" t="s">
        <v>2780</v>
      </c>
      <c r="C98" s="3153">
        <v>0</v>
      </c>
      <c r="D98" s="3153">
        <v>0</v>
      </c>
      <c r="E98" s="3153">
        <v>0</v>
      </c>
      <c r="F98" s="3153">
        <v>0</v>
      </c>
      <c r="G98" s="3153">
        <v>0</v>
      </c>
      <c r="H98" s="1724">
        <f t="shared" si="25"/>
        <v>0</v>
      </c>
      <c r="I98" s="1725">
        <f t="shared" si="30"/>
        <v>0</v>
      </c>
      <c r="J98" s="73">
        <f t="shared" si="28"/>
        <v>0</v>
      </c>
      <c r="K98" s="73">
        <f t="shared" si="28"/>
        <v>0</v>
      </c>
      <c r="L98" s="73">
        <f t="shared" si="28"/>
        <v>0</v>
      </c>
      <c r="M98" s="73">
        <f t="shared" si="28"/>
        <v>0</v>
      </c>
      <c r="N98" s="1725">
        <f t="shared" si="31"/>
        <v>0</v>
      </c>
      <c r="O98" s="73">
        <f t="shared" si="29"/>
        <v>0</v>
      </c>
      <c r="P98" s="73">
        <f t="shared" si="29"/>
        <v>0</v>
      </c>
      <c r="Q98" s="73">
        <f t="shared" si="29"/>
        <v>0</v>
      </c>
      <c r="R98" s="73">
        <f t="shared" si="29"/>
        <v>0</v>
      </c>
      <c r="U98" s="1121">
        <f t="shared" ref="U98:U105" si="33">C98/C$105</f>
        <v>0</v>
      </c>
      <c r="V98" s="1724">
        <f t="shared" si="18"/>
        <v>0</v>
      </c>
      <c r="W98" s="1622">
        <f t="shared" si="19"/>
        <v>0</v>
      </c>
    </row>
    <row r="99" spans="1:23" s="15" customFormat="1" x14ac:dyDescent="0.25">
      <c r="A99" s="1696" t="s">
        <v>1857</v>
      </c>
      <c r="B99" s="255" t="s">
        <v>2781</v>
      </c>
      <c r="C99" s="3153">
        <v>0</v>
      </c>
      <c r="D99" s="3153">
        <v>0</v>
      </c>
      <c r="E99" s="3153">
        <v>0</v>
      </c>
      <c r="F99" s="3153">
        <v>0</v>
      </c>
      <c r="G99" s="3153">
        <v>0</v>
      </c>
      <c r="H99" s="1724">
        <f t="shared" si="25"/>
        <v>0</v>
      </c>
      <c r="I99" s="1725">
        <f t="shared" si="30"/>
        <v>0</v>
      </c>
      <c r="J99" s="73">
        <f t="shared" si="28"/>
        <v>0</v>
      </c>
      <c r="K99" s="73">
        <f t="shared" si="28"/>
        <v>0</v>
      </c>
      <c r="L99" s="73">
        <f t="shared" si="28"/>
        <v>0</v>
      </c>
      <c r="M99" s="73">
        <f t="shared" si="28"/>
        <v>0</v>
      </c>
      <c r="N99" s="1725">
        <f t="shared" si="31"/>
        <v>0</v>
      </c>
      <c r="O99" s="73">
        <f t="shared" si="29"/>
        <v>0</v>
      </c>
      <c r="P99" s="73">
        <f t="shared" si="29"/>
        <v>0</v>
      </c>
      <c r="Q99" s="73">
        <f t="shared" si="29"/>
        <v>0</v>
      </c>
      <c r="R99" s="73">
        <f t="shared" si="29"/>
        <v>0</v>
      </c>
      <c r="U99" s="1121">
        <f t="shared" si="33"/>
        <v>0</v>
      </c>
      <c r="V99" s="1724">
        <f t="shared" si="18"/>
        <v>0</v>
      </c>
      <c r="W99" s="1622">
        <f t="shared" si="19"/>
        <v>0</v>
      </c>
    </row>
    <row r="100" spans="1:23" s="15" customFormat="1" x14ac:dyDescent="0.25">
      <c r="A100" s="1696" t="s">
        <v>1859</v>
      </c>
      <c r="B100" s="255" t="s">
        <v>2782</v>
      </c>
      <c r="C100" s="3153">
        <f>SUM(C101:C104)</f>
        <v>90.942579181170828</v>
      </c>
      <c r="D100" s="3153">
        <f>SUM(D101:D104)</f>
        <v>0.92051051786619464</v>
      </c>
      <c r="E100" s="3153">
        <f>SUM(E101:E104)</f>
        <v>0.92051051786619464</v>
      </c>
      <c r="F100" s="3153">
        <f>SUM(F101:F104)</f>
        <v>0.92051051786619464</v>
      </c>
      <c r="G100" s="3153">
        <f>SUM(G101:G104)</f>
        <v>0.92051051786619464</v>
      </c>
      <c r="H100" s="1724">
        <f t="shared" si="25"/>
        <v>0</v>
      </c>
      <c r="I100" s="1725">
        <f t="shared" si="30"/>
        <v>15.140753458218294</v>
      </c>
      <c r="J100" s="73">
        <f t="shared" si="28"/>
        <v>12.581980413619627</v>
      </c>
      <c r="K100" s="73">
        <f t="shared" si="28"/>
        <v>0</v>
      </c>
      <c r="L100" s="73">
        <f t="shared" si="28"/>
        <v>1.8506646582345727</v>
      </c>
      <c r="M100" s="73">
        <f t="shared" si="28"/>
        <v>0.70810838636409457</v>
      </c>
      <c r="N100" s="1725">
        <f t="shared" si="31"/>
        <v>75.801825722952501</v>
      </c>
      <c r="O100" s="73">
        <f t="shared" si="29"/>
        <v>62.94530238205067</v>
      </c>
      <c r="P100" s="73">
        <f t="shared" si="29"/>
        <v>1.2235127521151062E-2</v>
      </c>
      <c r="Q100" s="73">
        <f t="shared" si="29"/>
        <v>9.6737158961031682</v>
      </c>
      <c r="R100" s="73">
        <f t="shared" si="29"/>
        <v>3.1705723172775233</v>
      </c>
      <c r="U100" s="1121">
        <f t="shared" si="33"/>
        <v>0.92051051786619464</v>
      </c>
      <c r="V100" s="1724">
        <f t="shared" si="18"/>
        <v>0</v>
      </c>
      <c r="W100" s="1622">
        <f t="shared" si="19"/>
        <v>0</v>
      </c>
    </row>
    <row r="101" spans="1:23" x14ac:dyDescent="0.25">
      <c r="A101" s="1701" t="s">
        <v>1030</v>
      </c>
      <c r="B101" s="78" t="s">
        <v>65</v>
      </c>
      <c r="C101" s="3152">
        <f>'Д 4_Т на П'!G35</f>
        <v>16.369664252610747</v>
      </c>
      <c r="D101" s="3152">
        <f>C101/$C$105</f>
        <v>0.16569189321591501</v>
      </c>
      <c r="E101" s="3152">
        <f>C101/$C$105</f>
        <v>0.16569189321591501</v>
      </c>
      <c r="F101" s="3152">
        <f>C101/$C$105</f>
        <v>0.16569189321591501</v>
      </c>
      <c r="G101" s="3152">
        <f>C101/$C$105</f>
        <v>0.16569189321591501</v>
      </c>
      <c r="H101" s="1724">
        <f t="shared" si="25"/>
        <v>0</v>
      </c>
      <c r="I101" s="1725">
        <f t="shared" si="30"/>
        <v>2.7253356224792924</v>
      </c>
      <c r="J101" s="73">
        <f t="shared" si="28"/>
        <v>2.2647564744515325</v>
      </c>
      <c r="K101" s="73">
        <f t="shared" si="28"/>
        <v>0</v>
      </c>
      <c r="L101" s="73">
        <f t="shared" si="28"/>
        <v>0.33311963848222303</v>
      </c>
      <c r="M101" s="73">
        <f t="shared" si="28"/>
        <v>0.127459509545537</v>
      </c>
      <c r="N101" s="1725">
        <f t="shared" si="31"/>
        <v>13.644328630131449</v>
      </c>
      <c r="O101" s="73">
        <f t="shared" si="29"/>
        <v>11.330154428769118</v>
      </c>
      <c r="P101" s="73">
        <f t="shared" si="29"/>
        <v>2.2023229538071908E-3</v>
      </c>
      <c r="Q101" s="73">
        <f t="shared" si="29"/>
        <v>1.7412688612985701</v>
      </c>
      <c r="R101" s="73">
        <f t="shared" si="29"/>
        <v>0.57070301710995408</v>
      </c>
      <c r="U101" s="1121">
        <f t="shared" si="33"/>
        <v>0.16569189321591501</v>
      </c>
      <c r="V101" s="1724">
        <f t="shared" si="18"/>
        <v>0</v>
      </c>
      <c r="W101" s="1622">
        <f t="shared" si="19"/>
        <v>0</v>
      </c>
    </row>
    <row r="102" spans="1:23" ht="26.4" x14ac:dyDescent="0.25">
      <c r="A102" s="1701" t="s">
        <v>2783</v>
      </c>
      <c r="B102" s="4505" t="s">
        <v>4145</v>
      </c>
      <c r="C102" s="3152">
        <f>'Д 4_Т на П'!G36</f>
        <v>0</v>
      </c>
      <c r="D102" s="3152">
        <f>C102/$C$105</f>
        <v>0</v>
      </c>
      <c r="E102" s="3152">
        <f>C102/$C$105</f>
        <v>0</v>
      </c>
      <c r="F102" s="3152">
        <f>C102/$C$105</f>
        <v>0</v>
      </c>
      <c r="G102" s="3152">
        <f>C102/$C$105</f>
        <v>0</v>
      </c>
      <c r="H102" s="1724">
        <f t="shared" si="25"/>
        <v>0</v>
      </c>
      <c r="I102" s="1725">
        <f t="shared" si="30"/>
        <v>0</v>
      </c>
      <c r="J102" s="73">
        <f t="shared" si="28"/>
        <v>0</v>
      </c>
      <c r="K102" s="73">
        <f t="shared" si="28"/>
        <v>0</v>
      </c>
      <c r="L102" s="73">
        <f t="shared" si="28"/>
        <v>0</v>
      </c>
      <c r="M102" s="73">
        <f t="shared" si="28"/>
        <v>0</v>
      </c>
      <c r="N102" s="1725">
        <f t="shared" si="31"/>
        <v>0</v>
      </c>
      <c r="O102" s="73">
        <f t="shared" si="29"/>
        <v>0</v>
      </c>
      <c r="P102" s="73">
        <f t="shared" si="29"/>
        <v>0</v>
      </c>
      <c r="Q102" s="73">
        <f t="shared" si="29"/>
        <v>0</v>
      </c>
      <c r="R102" s="73">
        <f t="shared" si="29"/>
        <v>0</v>
      </c>
      <c r="U102" s="1121">
        <f t="shared" si="33"/>
        <v>0</v>
      </c>
      <c r="V102" s="1724">
        <f t="shared" si="18"/>
        <v>0</v>
      </c>
      <c r="W102" s="1622">
        <f t="shared" si="19"/>
        <v>0</v>
      </c>
    </row>
    <row r="103" spans="1:23" x14ac:dyDescent="0.25">
      <c r="A103" s="1701" t="s">
        <v>2784</v>
      </c>
      <c r="B103" s="78" t="s">
        <v>71</v>
      </c>
      <c r="C103" s="3152">
        <f>'Д 4_Т на П'!G37</f>
        <v>0</v>
      </c>
      <c r="D103" s="3152">
        <f>C103/$C$105</f>
        <v>0</v>
      </c>
      <c r="E103" s="3152">
        <f>C103/$C$105</f>
        <v>0</v>
      </c>
      <c r="F103" s="3152">
        <f>C103/$C$105</f>
        <v>0</v>
      </c>
      <c r="G103" s="3152">
        <f>C103/$C$105</f>
        <v>0</v>
      </c>
      <c r="H103" s="1724">
        <f t="shared" si="25"/>
        <v>0</v>
      </c>
      <c r="I103" s="1725">
        <f t="shared" si="30"/>
        <v>0</v>
      </c>
      <c r="J103" s="73">
        <f t="shared" si="28"/>
        <v>0</v>
      </c>
      <c r="K103" s="73">
        <f t="shared" si="28"/>
        <v>0</v>
      </c>
      <c r="L103" s="73">
        <f t="shared" si="28"/>
        <v>0</v>
      </c>
      <c r="M103" s="73">
        <f t="shared" si="28"/>
        <v>0</v>
      </c>
      <c r="N103" s="1725">
        <f t="shared" si="31"/>
        <v>0</v>
      </c>
      <c r="O103" s="73">
        <f t="shared" si="29"/>
        <v>0</v>
      </c>
      <c r="P103" s="73">
        <f t="shared" si="29"/>
        <v>0</v>
      </c>
      <c r="Q103" s="73">
        <f t="shared" si="29"/>
        <v>0</v>
      </c>
      <c r="R103" s="73">
        <f t="shared" si="29"/>
        <v>0</v>
      </c>
      <c r="U103" s="1121">
        <f t="shared" si="33"/>
        <v>0</v>
      </c>
      <c r="V103" s="1724">
        <f t="shared" si="18"/>
        <v>0</v>
      </c>
      <c r="W103" s="1622">
        <f t="shared" si="19"/>
        <v>0</v>
      </c>
    </row>
    <row r="104" spans="1:23" ht="27.6" x14ac:dyDescent="0.25">
      <c r="A104" s="1701" t="s">
        <v>2785</v>
      </c>
      <c r="B104" s="2003" t="s">
        <v>2545</v>
      </c>
      <c r="C104" s="3152">
        <f>'Д 4_Т на П'!G39</f>
        <v>74.572914928560081</v>
      </c>
      <c r="D104" s="3152">
        <f>C104/$C$105</f>
        <v>0.7548186246502796</v>
      </c>
      <c r="E104" s="3152">
        <f>C104/$C$105</f>
        <v>0.7548186246502796</v>
      </c>
      <c r="F104" s="3152">
        <f>C104/$C$105</f>
        <v>0.7548186246502796</v>
      </c>
      <c r="G104" s="3152">
        <f>C104/$C$105</f>
        <v>0.7548186246502796</v>
      </c>
      <c r="H104" s="1724">
        <f t="shared" si="25"/>
        <v>0</v>
      </c>
      <c r="I104" s="1725">
        <f t="shared" si="30"/>
        <v>12.415417835739001</v>
      </c>
      <c r="J104" s="73">
        <f t="shared" si="28"/>
        <v>10.317223939168095</v>
      </c>
      <c r="K104" s="73">
        <f t="shared" si="28"/>
        <v>0</v>
      </c>
      <c r="L104" s="73">
        <f t="shared" si="28"/>
        <v>1.5175450197523495</v>
      </c>
      <c r="M104" s="73">
        <f t="shared" si="28"/>
        <v>0.58064887681855759</v>
      </c>
      <c r="N104" s="1725">
        <f t="shared" si="31"/>
        <v>62.15749709282106</v>
      </c>
      <c r="O104" s="73">
        <f t="shared" si="29"/>
        <v>51.61514795328155</v>
      </c>
      <c r="P104" s="73">
        <f t="shared" si="29"/>
        <v>1.0032804567343871E-2</v>
      </c>
      <c r="Q104" s="73">
        <f t="shared" si="29"/>
        <v>7.9324470348045972</v>
      </c>
      <c r="R104" s="73">
        <f t="shared" si="29"/>
        <v>2.599869300167569</v>
      </c>
      <c r="U104" s="1121">
        <f t="shared" si="33"/>
        <v>0.7548186246502796</v>
      </c>
      <c r="V104" s="1724">
        <f t="shared" si="18"/>
        <v>0</v>
      </c>
      <c r="W104" s="1622">
        <f t="shared" si="19"/>
        <v>0</v>
      </c>
    </row>
    <row r="105" spans="1:23" s="15" customFormat="1" ht="28.2" thickBot="1" x14ac:dyDescent="0.3">
      <c r="A105" s="4498" t="s">
        <v>1861</v>
      </c>
      <c r="B105" s="4502" t="s">
        <v>3085</v>
      </c>
      <c r="C105" s="4499">
        <f>'ТЕ_2ст_тариф_з ЦТП'!E14</f>
        <v>98.795806692118902</v>
      </c>
      <c r="D105" s="4500">
        <f>'ТЕ_2ст_тариф_з ЦТП'!H14</f>
        <v>82.049342543904487</v>
      </c>
      <c r="E105" s="4500">
        <f>'ТЕ_2ст_тариф_з ЦТП'!K14</f>
        <v>1.3291675959893333E-2</v>
      </c>
      <c r="F105" s="4500">
        <f>'ТЕ_2ст_тариф_з ЦТП'!N14</f>
        <v>12.519553368115806</v>
      </c>
      <c r="G105" s="4500">
        <f>'ТЕ_2ст_тариф_з ЦТП'!Q14</f>
        <v>4.2136191041387132</v>
      </c>
      <c r="H105" s="1724"/>
      <c r="I105" s="1725"/>
      <c r="J105" s="73"/>
      <c r="K105" s="73"/>
      <c r="L105" s="73"/>
      <c r="M105" s="73"/>
      <c r="N105" s="1725"/>
      <c r="O105" s="73"/>
      <c r="P105" s="73"/>
      <c r="Q105" s="73"/>
      <c r="R105" s="73"/>
      <c r="U105" s="1121">
        <f t="shared" si="33"/>
        <v>1</v>
      </c>
      <c r="V105" s="1724">
        <f t="shared" si="18"/>
        <v>81.049342543904487</v>
      </c>
      <c r="W105" s="1622">
        <f>C105-D105-E105-F105-G105</f>
        <v>0</v>
      </c>
    </row>
    <row r="107" spans="1:23" x14ac:dyDescent="0.25">
      <c r="C107" s="2044"/>
      <c r="D107" s="1708"/>
      <c r="E107" s="1708"/>
      <c r="F107" s="1708"/>
      <c r="G107" s="1708"/>
    </row>
    <row r="108" spans="1:23" ht="27.6" x14ac:dyDescent="0.25">
      <c r="B108" s="100" t="s">
        <v>4131</v>
      </c>
      <c r="C108" s="2044">
        <f>'ТЕ_2ст_тариф_з ЦТП'!E120</f>
        <v>15229.615576495595</v>
      </c>
      <c r="D108" s="1710"/>
      <c r="E108" s="1708"/>
      <c r="F108" s="4891" t="s">
        <v>4132</v>
      </c>
      <c r="G108" s="4891"/>
    </row>
    <row r="110" spans="1:23" hidden="1" x14ac:dyDescent="0.25">
      <c r="C110" s="1223">
        <f>C42-C67-C68-C69-C70</f>
        <v>0</v>
      </c>
      <c r="D110" s="1223">
        <f>D42-D67-D68-D69-D70</f>
        <v>0</v>
      </c>
      <c r="E110" s="1223">
        <f>E42-E67-E68-E69-E70</f>
        <v>0</v>
      </c>
      <c r="F110" s="1223">
        <f>F42-F67-F68-F69-F70</f>
        <v>5.6843418860808015E-14</v>
      </c>
      <c r="G110" s="1223">
        <f>G42-G67-G68-G69-G70</f>
        <v>6.3948846218409017E-14</v>
      </c>
    </row>
    <row r="111" spans="1:23" hidden="1" x14ac:dyDescent="0.25">
      <c r="D111" s="10"/>
    </row>
    <row r="112" spans="1:23" hidden="1" x14ac:dyDescent="0.25">
      <c r="C112" s="305">
        <f>C33+C67+C97</f>
        <v>172592.4735940063</v>
      </c>
      <c r="D112" s="305">
        <f t="shared" ref="D112:G112" si="34">D33+D67+D97</f>
        <v>2190.126845336672</v>
      </c>
      <c r="E112" s="305">
        <f t="shared" si="34"/>
        <v>2269.7233071613496</v>
      </c>
      <c r="F112" s="305">
        <f t="shared" si="34"/>
        <v>3284.4985394399309</v>
      </c>
      <c r="G112" s="305">
        <f t="shared" si="34"/>
        <v>3284.4985394399309</v>
      </c>
    </row>
    <row r="113" spans="3:22" hidden="1" x14ac:dyDescent="0.25">
      <c r="C113" s="305">
        <f>C34+C68+C98</f>
        <v>0</v>
      </c>
    </row>
    <row r="114" spans="3:22" hidden="1" x14ac:dyDescent="0.25">
      <c r="C114" s="305">
        <f t="shared" ref="C114:G116" si="35">C35+C69+C99</f>
        <v>0</v>
      </c>
    </row>
    <row r="115" spans="3:22" hidden="1" x14ac:dyDescent="0.25">
      <c r="C115" s="305">
        <f t="shared" si="35"/>
        <v>7998.1942885027293</v>
      </c>
      <c r="D115" s="305">
        <f t="shared" si="35"/>
        <v>101.49368307657748</v>
      </c>
      <c r="E115" s="305">
        <f t="shared" si="35"/>
        <v>105.18229960016009</v>
      </c>
      <c r="F115" s="305">
        <f t="shared" si="35"/>
        <v>152.20846890087483</v>
      </c>
      <c r="G115" s="305">
        <f t="shared" si="35"/>
        <v>152.20846890087486</v>
      </c>
    </row>
    <row r="116" spans="3:22" hidden="1" x14ac:dyDescent="0.25">
      <c r="C116" s="305">
        <f t="shared" si="35"/>
        <v>1439.6781719304915</v>
      </c>
      <c r="D116" s="10"/>
      <c r="U116" s="10"/>
      <c r="V116" s="10"/>
    </row>
    <row r="117" spans="3:22" hidden="1" x14ac:dyDescent="0.25">
      <c r="C117" s="305">
        <f t="shared" ref="C117" si="36">C38+C72+C102</f>
        <v>0</v>
      </c>
    </row>
    <row r="118" spans="3:22" hidden="1" x14ac:dyDescent="0.25">
      <c r="C118" s="305">
        <f t="shared" ref="C118" si="37">C39+C73+C103</f>
        <v>0</v>
      </c>
    </row>
    <row r="119" spans="3:22" hidden="1" x14ac:dyDescent="0.25">
      <c r="C119" s="305">
        <f t="shared" ref="C119:G119" si="38">C40+C74+C104</f>
        <v>6558.5161165722384</v>
      </c>
      <c r="D119" s="305">
        <f t="shared" si="38"/>
        <v>83.224820122793545</v>
      </c>
      <c r="E119" s="305">
        <f t="shared" si="38"/>
        <v>86.249485672131286</v>
      </c>
      <c r="F119" s="305">
        <f t="shared" si="38"/>
        <v>124.81094449871739</v>
      </c>
      <c r="G119" s="305">
        <f t="shared" si="38"/>
        <v>124.81094449871738</v>
      </c>
    </row>
    <row r="120" spans="3:22" hidden="1" x14ac:dyDescent="0.25">
      <c r="C120" s="305">
        <f>C119/C112</f>
        <v>3.8000012283270268E-2</v>
      </c>
      <c r="D120" s="305">
        <f t="shared" ref="D120:G120" si="39">D119/D112</f>
        <v>3.8000000000000006E-2</v>
      </c>
      <c r="E120" s="305">
        <f t="shared" si="39"/>
        <v>3.7999999999999999E-2</v>
      </c>
      <c r="F120" s="305">
        <f t="shared" si="39"/>
        <v>3.8000000000000006E-2</v>
      </c>
      <c r="G120" s="305">
        <f t="shared" si="39"/>
        <v>3.7999999999999999E-2</v>
      </c>
    </row>
    <row r="121" spans="3:22" hidden="1" x14ac:dyDescent="0.25">
      <c r="C121" s="10">
        <f>C115/C112</f>
        <v>4.6341501004945829E-2</v>
      </c>
      <c r="D121" s="10">
        <f t="shared" ref="D121:G121" si="40">D115/D112</f>
        <v>4.6341463414634146E-2</v>
      </c>
      <c r="E121" s="10">
        <f t="shared" si="40"/>
        <v>4.6341463414634139E-2</v>
      </c>
      <c r="F121" s="10">
        <f t="shared" si="40"/>
        <v>4.6341463414634139E-2</v>
      </c>
      <c r="G121" s="10">
        <f t="shared" si="40"/>
        <v>4.6341463414634153E-2</v>
      </c>
    </row>
    <row r="122" spans="3:22" hidden="1" x14ac:dyDescent="0.25"/>
  </sheetData>
  <mergeCells count="11">
    <mergeCell ref="B43:G43"/>
    <mergeCell ref="F108:G108"/>
    <mergeCell ref="B9:G9"/>
    <mergeCell ref="B77:G77"/>
    <mergeCell ref="F1:G1"/>
    <mergeCell ref="A2:G2"/>
    <mergeCell ref="A4:A5"/>
    <mergeCell ref="B4:B5"/>
    <mergeCell ref="C4:C5"/>
    <mergeCell ref="D4:G4"/>
    <mergeCell ref="D3:G3"/>
  </mergeCells>
  <pageMargins left="1.25" right="0.43307086614173229" top="0.56999999999999995" bottom="0.51" header="0.31496062992125984" footer="0.31496062992125984"/>
  <pageSetup paperSize="9" scale="73" fitToHeight="2" orientation="portrait" r:id="rId1"/>
  <headerFooter differentFirst="1">
    <oddHeader>&amp;RПродовження Додатку 1</oddHeader>
    <oddFooter>&amp;Rстор. &amp;P з &amp;N</oddFooter>
  </headerFooter>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Лист19">
    <tabColor theme="7"/>
    <pageSetUpPr fitToPage="1"/>
  </sheetPr>
  <dimension ref="A1:M100"/>
  <sheetViews>
    <sheetView topLeftCell="A58" zoomScale="75" zoomScaleNormal="75" workbookViewId="0">
      <selection activeCell="F80" sqref="F80"/>
    </sheetView>
  </sheetViews>
  <sheetFormatPr defaultColWidth="8.88671875" defaultRowHeight="14.4" x14ac:dyDescent="0.3"/>
  <cols>
    <col min="2" max="2" width="57.109375" customWidth="1"/>
    <col min="3" max="3" width="11.5546875" customWidth="1"/>
    <col min="4" max="4" width="11.44140625" customWidth="1"/>
    <col min="5" max="5" width="12.6640625" customWidth="1"/>
    <col min="6" max="6" width="12.5546875" customWidth="1"/>
    <col min="7" max="8" width="12.6640625" customWidth="1"/>
    <col min="10" max="10" width="9.33203125" bestFit="1" customWidth="1"/>
  </cols>
  <sheetData>
    <row r="1" spans="2:12" s="391" customFormat="1" ht="17.399999999999999" x14ac:dyDescent="0.3">
      <c r="B1" s="389"/>
      <c r="C1" s="399"/>
      <c r="D1" s="399"/>
      <c r="E1" s="399"/>
      <c r="F1" s="399"/>
      <c r="G1" s="392" t="s">
        <v>821</v>
      </c>
      <c r="H1" s="392"/>
    </row>
    <row r="2" spans="2:12" s="391" customFormat="1" ht="18" customHeight="1" x14ac:dyDescent="0.25">
      <c r="G2" s="391" t="str">
        <f>'Вхідні дані'!F1</f>
        <v>станом на 01.09.2023 року</v>
      </c>
    </row>
    <row r="3" spans="2:12" s="391" customFormat="1" ht="18.600000000000001" x14ac:dyDescent="0.3">
      <c r="B3" s="394" t="s">
        <v>1665</v>
      </c>
      <c r="C3" s="395"/>
      <c r="D3" s="510" t="str">
        <f>'Вхідні дані'!$F$5</f>
        <v>КП «КТЕ"</v>
      </c>
      <c r="E3" s="510"/>
      <c r="F3" s="510" t="s">
        <v>461</v>
      </c>
      <c r="G3" s="2588" t="str">
        <f>'Вхідні дані'!$F$6</f>
        <v>2023-2024</v>
      </c>
      <c r="H3" s="510" t="s">
        <v>661</v>
      </c>
    </row>
    <row r="4" spans="2:12" s="391" customFormat="1" ht="17.399999999999999" x14ac:dyDescent="0.3">
      <c r="B4" s="394"/>
      <c r="C4" s="424"/>
      <c r="D4" s="425"/>
      <c r="E4" s="395"/>
      <c r="F4" s="394"/>
      <c r="G4" s="5095"/>
      <c r="H4" s="5095"/>
    </row>
    <row r="5" spans="2:12" s="391" customFormat="1" ht="18.600000000000001" thickBot="1" x14ac:dyDescent="0.4">
      <c r="B5" s="419"/>
      <c r="C5" s="497"/>
      <c r="D5" s="497"/>
      <c r="E5" s="497"/>
      <c r="F5" s="497">
        <f>G10+H10</f>
        <v>1</v>
      </c>
      <c r="G5" s="895">
        <f>F10/F5*G10</f>
        <v>0.16648695907398578</v>
      </c>
      <c r="H5" s="895"/>
    </row>
    <row r="6" spans="2:12" s="391" customFormat="1" ht="19.5" customHeight="1" x14ac:dyDescent="0.25">
      <c r="B6" s="5089" t="s">
        <v>2433</v>
      </c>
      <c r="C6" s="5107" t="s">
        <v>932</v>
      </c>
      <c r="D6" s="5109" t="s">
        <v>932</v>
      </c>
      <c r="E6" s="4544" t="s">
        <v>942</v>
      </c>
      <c r="F6" s="5102" t="s">
        <v>933</v>
      </c>
      <c r="G6" s="5103"/>
      <c r="H6" s="5104"/>
    </row>
    <row r="7" spans="2:12" s="391" customFormat="1" ht="19.5" customHeight="1" thickBot="1" x14ac:dyDescent="0.3">
      <c r="B7" s="5101"/>
      <c r="C7" s="5108"/>
      <c r="D7" s="5110"/>
      <c r="E7" s="5105" t="str">
        <f>'Вхідні дані'!$F$9</f>
        <v>Ріш. №296 від 25.10.2022</v>
      </c>
      <c r="F7" s="5096" t="str">
        <f>'Вхідні дані'!$F$6</f>
        <v>2023-2024</v>
      </c>
      <c r="G7" s="5097"/>
      <c r="H7" s="5098"/>
    </row>
    <row r="8" spans="2:12" s="391" customFormat="1" ht="55.95" customHeight="1" thickBot="1" x14ac:dyDescent="0.3">
      <c r="B8" s="5090"/>
      <c r="C8" s="4545">
        <f>'Вхідні дані'!$F$8</f>
        <v>2021</v>
      </c>
      <c r="D8" s="4546">
        <f>'Вхідні дані'!$F$7</f>
        <v>2022</v>
      </c>
      <c r="E8" s="5106"/>
      <c r="F8" s="4547" t="s">
        <v>3193</v>
      </c>
      <c r="G8" s="4548" t="s">
        <v>4116</v>
      </c>
      <c r="H8" s="4549" t="s">
        <v>4117</v>
      </c>
    </row>
    <row r="9" spans="2:12" s="2382" customFormat="1" ht="21" hidden="1" customHeight="1" thickBot="1" x14ac:dyDescent="0.4">
      <c r="B9" s="4550" t="s">
        <v>3292</v>
      </c>
      <c r="C9" s="4551"/>
      <c r="D9" s="4552"/>
      <c r="E9" s="4553"/>
      <c r="F9" s="4554"/>
      <c r="G9" s="4554"/>
      <c r="H9" s="4554"/>
    </row>
    <row r="10" spans="2:12" s="2382" customFormat="1" ht="21" customHeight="1" thickBot="1" x14ac:dyDescent="0.4">
      <c r="B10" s="4555" t="s">
        <v>3875</v>
      </c>
      <c r="C10" s="4556"/>
      <c r="D10" s="4557"/>
      <c r="E10" s="4558"/>
      <c r="F10" s="4559">
        <f>G10+H10</f>
        <v>1</v>
      </c>
      <c r="G10" s="4560">
        <f>'Д 7_РП'!L183</f>
        <v>0.16648695907398578</v>
      </c>
      <c r="H10" s="4561">
        <f>'Д 7_РП'!N183</f>
        <v>0.8335130409260143</v>
      </c>
    </row>
    <row r="11" spans="2:12" s="2382" customFormat="1" ht="21" customHeight="1" thickBot="1" x14ac:dyDescent="0.4">
      <c r="B11" s="4550" t="s">
        <v>3876</v>
      </c>
      <c r="C11" s="4551"/>
      <c r="D11" s="4552"/>
      <c r="E11" s="4553"/>
      <c r="F11" s="4554">
        <f>F10</f>
        <v>1</v>
      </c>
      <c r="G11" s="4562">
        <f>G10</f>
        <v>0.16648695907398578</v>
      </c>
      <c r="H11" s="4563">
        <f>H10</f>
        <v>0.8335130409260143</v>
      </c>
    </row>
    <row r="12" spans="2:12" s="391" customFormat="1" ht="40.200000000000003" customHeight="1" thickBot="1" x14ac:dyDescent="0.3">
      <c r="B12" s="2580" t="s">
        <v>1678</v>
      </c>
      <c r="C12" s="4564">
        <f>C13+C27+C29</f>
        <v>24399.499690000001</v>
      </c>
      <c r="D12" s="4564">
        <f t="shared" ref="D12:F12" si="0">D13+D27+D29</f>
        <v>27266.815179999998</v>
      </c>
      <c r="E12" s="2581">
        <f t="shared" si="0"/>
        <v>59961.43801399009</v>
      </c>
      <c r="F12" s="2581">
        <f t="shared" si="0"/>
        <v>56522.226040246533</v>
      </c>
      <c r="G12" s="2582">
        <f>G13+G27+G29</f>
        <v>14282.776766384053</v>
      </c>
      <c r="H12" s="2582">
        <f>H13+H27+H29</f>
        <v>42239.449273862476</v>
      </c>
      <c r="I12" s="399"/>
      <c r="K12" s="399">
        <f>F12-54603.456</f>
        <v>1918.7700402465343</v>
      </c>
      <c r="L12" s="399">
        <f>K12-K14-K15</f>
        <v>-5.3123454836168094E-4</v>
      </c>
    </row>
    <row r="13" spans="2:12" s="391" customFormat="1" ht="22.2" customHeight="1" thickBot="1" x14ac:dyDescent="0.3">
      <c r="B13" s="2584" t="s">
        <v>1657</v>
      </c>
      <c r="C13" s="2574">
        <f>SUM(C14:C25)</f>
        <v>8592.3564000000006</v>
      </c>
      <c r="D13" s="2574">
        <f>SUM(D14:D25)</f>
        <v>9148.8313399999988</v>
      </c>
      <c r="E13" s="2575">
        <f t="shared" ref="E13" si="1">SUM(E14:E26)</f>
        <v>37023.644857603911</v>
      </c>
      <c r="F13" s="2575">
        <f>SUM(F14:F26)</f>
        <v>30857.445227753931</v>
      </c>
      <c r="G13" s="2576">
        <f>G14+G15+G16+G17+G18+G19+G20+G21+G22+G23+G24+G25+G26</f>
        <v>6995.4459242393823</v>
      </c>
      <c r="H13" s="2576">
        <f>SUM(H14:H26)</f>
        <v>23861.999303514553</v>
      </c>
    </row>
    <row r="14" spans="2:12" s="391" customFormat="1" ht="39" customHeight="1" x14ac:dyDescent="0.3">
      <c r="B14" s="2583" t="s">
        <v>1988</v>
      </c>
      <c r="C14" s="2570">
        <v>7563.8176999999996</v>
      </c>
      <c r="D14" s="2570">
        <v>7847.1020099999996</v>
      </c>
      <c r="E14" s="2571">
        <v>9941.9100189679011</v>
      </c>
      <c r="F14" s="2571">
        <f>G14+H14</f>
        <v>15196.771543534536</v>
      </c>
      <c r="G14" s="2572">
        <f>'Д 9_ЕЕ'!D66-G37</f>
        <v>4179.9292165489842</v>
      </c>
      <c r="H14" s="2572">
        <f>'Д 9_ЕЕ'!D67-H37</f>
        <v>11016.842326985552</v>
      </c>
      <c r="I14" s="516"/>
      <c r="J14" s="516">
        <f>12757.421</f>
        <v>12757.421</v>
      </c>
      <c r="K14" s="399">
        <f>F14-J14+F37</f>
        <v>2501.7465893921026</v>
      </c>
      <c r="L14" s="399">
        <f t="shared" ref="L14:L36" si="2">F14-G14-H14</f>
        <v>0</v>
      </c>
    </row>
    <row r="15" spans="2:12" s="391" customFormat="1" ht="36" x14ac:dyDescent="0.35">
      <c r="B15" s="2222" t="s">
        <v>1689</v>
      </c>
      <c r="C15" s="2398">
        <v>521.01531</v>
      </c>
      <c r="D15" s="2398">
        <v>466.57226000000003</v>
      </c>
      <c r="E15" s="2399">
        <v>737.11792346428263</v>
      </c>
      <c r="F15" s="2399">
        <f>ВОДА!L88+ВОДА!M88-F36</f>
        <v>652.20713385541455</v>
      </c>
      <c r="G15" s="2400">
        <f>$F15*$G$11</f>
        <v>108.58398240194796</v>
      </c>
      <c r="H15" s="2400">
        <f>$F15*$H$11</f>
        <v>543.62315145346668</v>
      </c>
      <c r="I15" s="476"/>
      <c r="J15" s="516"/>
      <c r="K15" s="399">
        <f>F26-2663.537-12032.521</f>
        <v>-582.97601791101988</v>
      </c>
      <c r="L15" s="399">
        <f t="shared" si="2"/>
        <v>0</v>
      </c>
    </row>
    <row r="16" spans="2:12" s="391" customFormat="1" ht="18" x14ac:dyDescent="0.35">
      <c r="B16" s="2222" t="s">
        <v>934</v>
      </c>
      <c r="C16" s="2398">
        <v>202.45841000000001</v>
      </c>
      <c r="D16" s="2398">
        <v>453.19268</v>
      </c>
      <c r="E16" s="2399">
        <v>541.84699999999998</v>
      </c>
      <c r="F16" s="2399">
        <f>ПММ!N12/1000</f>
        <v>379.40116999999998</v>
      </c>
      <c r="G16" s="2400">
        <f t="shared" ref="G16:G24" si="3">$F16*$G$11</f>
        <v>63.165347062412316</v>
      </c>
      <c r="H16" s="2400">
        <f t="shared" ref="H16:H24" si="4">$F16*$H$11</f>
        <v>316.23582293758767</v>
      </c>
      <c r="I16" s="476"/>
      <c r="J16" s="516"/>
      <c r="L16" s="399">
        <f t="shared" si="2"/>
        <v>0</v>
      </c>
    </row>
    <row r="17" spans="1:12" s="391" customFormat="1" ht="18" x14ac:dyDescent="0.35">
      <c r="B17" s="2222" t="s">
        <v>935</v>
      </c>
      <c r="C17" s="2398">
        <v>9.25596</v>
      </c>
      <c r="D17" s="2398">
        <v>70.943970000000007</v>
      </c>
      <c r="E17" s="2399">
        <v>9.8298295200000005</v>
      </c>
      <c r="F17" s="2399">
        <f>(D17)*'Вхідні дані'!$D$71</f>
        <v>75.076456252499995</v>
      </c>
      <c r="G17" s="2400">
        <f t="shared" si="3"/>
        <v>12.49925089952985</v>
      </c>
      <c r="H17" s="2400">
        <f t="shared" si="4"/>
        <v>62.577205352970154</v>
      </c>
      <c r="I17" s="516"/>
      <c r="J17" s="516"/>
      <c r="L17" s="399">
        <f t="shared" si="2"/>
        <v>0</v>
      </c>
    </row>
    <row r="18" spans="1:12" s="391" customFormat="1" ht="18" x14ac:dyDescent="0.35">
      <c r="B18" s="2222" t="s">
        <v>936</v>
      </c>
      <c r="C18" s="2398">
        <v>13.596020000000001</v>
      </c>
      <c r="D18" s="2398">
        <v>25.03238</v>
      </c>
      <c r="E18" s="2399">
        <v>14.438973240000001</v>
      </c>
      <c r="F18" s="2399">
        <f>(D18)*'Вхідні дані'!$D$71</f>
        <v>26.490516134999996</v>
      </c>
      <c r="G18" s="2400">
        <f t="shared" si="3"/>
        <v>4.4103254756165047</v>
      </c>
      <c r="H18" s="2400">
        <f t="shared" si="4"/>
        <v>22.080190659383494</v>
      </c>
      <c r="I18" s="516"/>
      <c r="J18" s="516"/>
      <c r="L18" s="399">
        <f t="shared" si="2"/>
        <v>0</v>
      </c>
    </row>
    <row r="19" spans="1:12" s="391" customFormat="1" ht="18" customHeight="1" x14ac:dyDescent="0.35">
      <c r="B19" s="2222" t="s">
        <v>1570</v>
      </c>
      <c r="C19" s="2398">
        <v>2.8279999999999998</v>
      </c>
      <c r="D19" s="2398">
        <v>0</v>
      </c>
      <c r="E19" s="2399">
        <v>3.003336</v>
      </c>
      <c r="F19" s="2399">
        <f>(D19)*'Вхідні дані'!$D$71</f>
        <v>0</v>
      </c>
      <c r="G19" s="2400">
        <f t="shared" si="3"/>
        <v>0</v>
      </c>
      <c r="H19" s="2400">
        <f t="shared" si="4"/>
        <v>0</v>
      </c>
      <c r="I19" s="516"/>
      <c r="J19" s="516"/>
      <c r="L19" s="399">
        <f t="shared" si="2"/>
        <v>0</v>
      </c>
    </row>
    <row r="20" spans="1:12" s="391" customFormat="1" ht="18" x14ac:dyDescent="0.35">
      <c r="B20" s="2222" t="s">
        <v>915</v>
      </c>
      <c r="C20" s="2398">
        <v>45.49239</v>
      </c>
      <c r="D20" s="2398">
        <v>62.802</v>
      </c>
      <c r="E20" s="2399">
        <v>48.312918180000004</v>
      </c>
      <c r="F20" s="2399">
        <f>(D20)*'Вхідні дані'!$D$71</f>
        <v>66.460216499999987</v>
      </c>
      <c r="G20" s="2400">
        <f t="shared" si="3"/>
        <v>11.064759344483733</v>
      </c>
      <c r="H20" s="2400">
        <f t="shared" si="4"/>
        <v>55.395457155516262</v>
      </c>
      <c r="I20" s="516"/>
      <c r="J20" s="516"/>
      <c r="L20" s="399">
        <f t="shared" si="2"/>
        <v>0</v>
      </c>
    </row>
    <row r="21" spans="1:12" s="391" customFormat="1" ht="18" x14ac:dyDescent="0.35">
      <c r="B21" s="2222" t="s">
        <v>937</v>
      </c>
      <c r="C21" s="2398">
        <v>59.734030000000011</v>
      </c>
      <c r="D21" s="2398">
        <v>63.567959999999999</v>
      </c>
      <c r="E21" s="2399">
        <v>63.437539860000015</v>
      </c>
      <c r="F21" s="2399">
        <f>(D21)*'Вхідні дані'!$D$71</f>
        <v>67.270793669999989</v>
      </c>
      <c r="G21" s="2400">
        <f t="shared" si="3"/>
        <v>11.19970987261183</v>
      </c>
      <c r="H21" s="2400">
        <f t="shared" si="4"/>
        <v>56.071083797388162</v>
      </c>
      <c r="I21" s="516"/>
      <c r="J21" s="516"/>
      <c r="L21" s="399">
        <f t="shared" si="2"/>
        <v>0</v>
      </c>
    </row>
    <row r="22" spans="1:12" s="391" customFormat="1" ht="18" x14ac:dyDescent="0.35">
      <c r="B22" s="2222" t="s">
        <v>938</v>
      </c>
      <c r="C22" s="2398">
        <v>73.940880000000007</v>
      </c>
      <c r="D22" s="2398">
        <v>61.744199999999999</v>
      </c>
      <c r="E22" s="2399">
        <v>78.525214560000009</v>
      </c>
      <c r="F22" s="2399">
        <f>(D22)*'Вхідні дані'!$D$71</f>
        <v>65.340799649999994</v>
      </c>
      <c r="G22" s="2400">
        <f t="shared" si="3"/>
        <v>10.878391037191053</v>
      </c>
      <c r="H22" s="2400">
        <f t="shared" si="4"/>
        <v>54.462408612808943</v>
      </c>
      <c r="I22" s="516"/>
      <c r="J22" s="516"/>
      <c r="L22" s="399">
        <f t="shared" si="2"/>
        <v>0</v>
      </c>
    </row>
    <row r="23" spans="1:12" s="391" customFormat="1" ht="18" x14ac:dyDescent="0.35">
      <c r="B23" s="2222" t="s">
        <v>939</v>
      </c>
      <c r="C23" s="2398">
        <v>6.6825100000000006</v>
      </c>
      <c r="D23" s="2398">
        <v>0.22019</v>
      </c>
      <c r="E23" s="2399">
        <v>7.0968256200000006</v>
      </c>
      <c r="F23" s="2399">
        <f>(D23)*'Вхідні дані'!$D$71</f>
        <v>0.23301606749999998</v>
      </c>
      <c r="G23" s="2400">
        <f t="shared" si="3"/>
        <v>3.8794136493453604E-2</v>
      </c>
      <c r="H23" s="2400">
        <f t="shared" si="4"/>
        <v>0.19422193100654639</v>
      </c>
      <c r="I23" s="516"/>
      <c r="J23" s="516"/>
      <c r="L23" s="399">
        <f t="shared" si="2"/>
        <v>0</v>
      </c>
    </row>
    <row r="24" spans="1:12" s="391" customFormat="1" ht="18" x14ac:dyDescent="0.35">
      <c r="B24" s="2222" t="s">
        <v>940</v>
      </c>
      <c r="C24" s="2398">
        <v>73.943970000000007</v>
      </c>
      <c r="D24" s="2398">
        <v>75.510729999999995</v>
      </c>
      <c r="E24" s="2399">
        <v>147.82908</v>
      </c>
      <c r="F24" s="2399">
        <f>ОП!E6</f>
        <v>190.24850000000006</v>
      </c>
      <c r="G24" s="2400">
        <f t="shared" si="3"/>
        <v>31.673894233387195</v>
      </c>
      <c r="H24" s="2400">
        <f t="shared" si="4"/>
        <v>158.57460576661288</v>
      </c>
      <c r="I24" s="516"/>
      <c r="J24" s="516"/>
      <c r="L24" s="399">
        <f t="shared" si="2"/>
        <v>0</v>
      </c>
    </row>
    <row r="25" spans="1:12" s="391" customFormat="1" ht="18" x14ac:dyDescent="0.35">
      <c r="B25" s="2222" t="s">
        <v>941</v>
      </c>
      <c r="C25" s="2398">
        <v>19.59122</v>
      </c>
      <c r="D25" s="2398">
        <v>22.142959999999999</v>
      </c>
      <c r="E25" s="2399">
        <v>21.510257786700002</v>
      </c>
      <c r="F25" s="2399">
        <f>ОП!E8</f>
        <v>24.863100000000003</v>
      </c>
      <c r="G25" s="2400">
        <f>$F25*$G$11</f>
        <v>4.139381912152416</v>
      </c>
      <c r="H25" s="2400">
        <f>$F25*$H$11</f>
        <v>20.723718087847587</v>
      </c>
      <c r="I25" s="516"/>
      <c r="J25" s="516"/>
      <c r="L25" s="399">
        <f t="shared" si="2"/>
        <v>0</v>
      </c>
    </row>
    <row r="26" spans="1:12" s="2406" customFormat="1" ht="42.6" customHeight="1" thickBot="1" x14ac:dyDescent="0.3">
      <c r="B26" s="2403" t="s">
        <v>2392</v>
      </c>
      <c r="C26" s="2559"/>
      <c r="D26" s="2559"/>
      <c r="E26" s="2559">
        <v>25408.785940405032</v>
      </c>
      <c r="F26" s="2559">
        <f>'Покриття втрат в мережах'!C12</f>
        <v>14113.081982088981</v>
      </c>
      <c r="G26" s="2923">
        <f>'Покриття втрат в мережах'!C13</f>
        <v>2557.8628713145722</v>
      </c>
      <c r="H26" s="2923">
        <f>'Покриття втрат в мережах'!C14</f>
        <v>11555.219110774409</v>
      </c>
      <c r="J26" s="5099" t="s">
        <v>1991</v>
      </c>
      <c r="K26" s="5099"/>
      <c r="L26" s="399">
        <f t="shared" si="2"/>
        <v>0</v>
      </c>
    </row>
    <row r="27" spans="1:12" s="391" customFormat="1" ht="18.600000000000001" thickBot="1" x14ac:dyDescent="0.35">
      <c r="B27" s="2573" t="s">
        <v>1659</v>
      </c>
      <c r="C27" s="2574">
        <v>8521.6485800000009</v>
      </c>
      <c r="D27" s="2574">
        <v>9028.9914800000006</v>
      </c>
      <c r="E27" s="2575">
        <v>12740.596360928026</v>
      </c>
      <c r="F27" s="2575">
        <f>ФОП!H14/1000+ФОП!H19/1000</f>
        <v>14520.984552954531</v>
      </c>
      <c r="G27" s="2576">
        <f>ФОП!H19/1000+ФОП!H14/1000/($H$10+$H$11+$G$11)*$G$11</f>
        <v>3466.1638017167252</v>
      </c>
      <c r="H27" s="2576">
        <f>ФОП!H14/1000/($H$10+$H$11+$G$11)*($H$11+$H$10)</f>
        <v>11054.820751237807</v>
      </c>
      <c r="J27" s="516" t="s">
        <v>1989</v>
      </c>
      <c r="L27" s="399">
        <f t="shared" si="2"/>
        <v>0</v>
      </c>
    </row>
    <row r="28" spans="1:12" s="391" customFormat="1" ht="18.600000000000001" thickBot="1" x14ac:dyDescent="0.4">
      <c r="B28" s="2225" t="s">
        <v>917</v>
      </c>
      <c r="C28" s="2577">
        <v>359.05243999999999</v>
      </c>
      <c r="D28" s="2577">
        <v>137.60312999999999</v>
      </c>
      <c r="E28" s="2578">
        <v>241.55750599999999</v>
      </c>
      <c r="F28" s="2578">
        <f>ФОП!H20/1000+ФОП!H15/1000</f>
        <v>266.16545400000001</v>
      </c>
      <c r="G28" s="3209">
        <f>ФОП!H20/1000+ФОП!H15/1000/($H$10+$H$11+$G$11)*$G$11</f>
        <v>24.168400255624338</v>
      </c>
      <c r="H28" s="2579">
        <f>ФОП!H15/1000/($H$10+$H$11+$G$11)*($H$11+$H$10)</f>
        <v>241.99705374437568</v>
      </c>
      <c r="J28" s="516" t="s">
        <v>1989</v>
      </c>
      <c r="L28" s="399">
        <f t="shared" si="2"/>
        <v>0</v>
      </c>
    </row>
    <row r="29" spans="1:12" s="391" customFormat="1" ht="18.600000000000001" thickBot="1" x14ac:dyDescent="0.35">
      <c r="B29" s="2573" t="s">
        <v>1660</v>
      </c>
      <c r="C29" s="2574">
        <f t="shared" ref="C29:H29" si="5">SUM(C30:C74)</f>
        <v>7285.4947099999999</v>
      </c>
      <c r="D29" s="2574">
        <f t="shared" si="5"/>
        <v>9088.9923599999966</v>
      </c>
      <c r="E29" s="2575">
        <f t="shared" si="5"/>
        <v>10197.196795458152</v>
      </c>
      <c r="F29" s="2575">
        <f t="shared" si="5"/>
        <v>11143.796259538067</v>
      </c>
      <c r="G29" s="2576">
        <f t="shared" si="5"/>
        <v>3821.1670404279466</v>
      </c>
      <c r="H29" s="2576">
        <f t="shared" si="5"/>
        <v>7322.6292191101184</v>
      </c>
      <c r="J29" s="516" t="s">
        <v>1989</v>
      </c>
      <c r="L29" s="399">
        <f t="shared" si="2"/>
        <v>0</v>
      </c>
    </row>
    <row r="30" spans="1:12" s="391" customFormat="1" ht="36" x14ac:dyDescent="0.35">
      <c r="B30" s="4284" t="s">
        <v>548</v>
      </c>
      <c r="C30" s="4285">
        <v>1821.4948900000002</v>
      </c>
      <c r="D30" s="4285">
        <v>1941.2065</v>
      </c>
      <c r="E30" s="4286">
        <v>2770.1035343387657</v>
      </c>
      <c r="F30" s="4286">
        <f>ФОП!H22/1000+ФОП!H23/1000+ФОП!H17/1000+ФОП!H18/1000</f>
        <v>3158.4447164513967</v>
      </c>
      <c r="G30" s="4287">
        <f>ФОП!H22/1000+ФОП!H23/1000+(ФОП!H17/1000+ФОП!H18/1000)/($H$10+$H$11+$G$11)*$G$11</f>
        <v>759.27155078294027</v>
      </c>
      <c r="H30" s="4287">
        <f>(ФОП!H17/1000+ФОП!H18/1000)/($H$10+$H$11+$G$11)*($H$11+$H$10)</f>
        <v>2399.1731656684565</v>
      </c>
      <c r="J30" s="516" t="s">
        <v>1989</v>
      </c>
      <c r="K30" s="399"/>
      <c r="L30" s="399">
        <f t="shared" si="2"/>
        <v>0</v>
      </c>
    </row>
    <row r="31" spans="1:12" s="411" customFormat="1" ht="18" x14ac:dyDescent="0.35">
      <c r="A31" s="391"/>
      <c r="B31" s="2222" t="s">
        <v>3318</v>
      </c>
      <c r="C31" s="2398">
        <f>22.795+14.81839+4458.49</f>
        <v>4496.1033900000002</v>
      </c>
      <c r="D31" s="2398">
        <f>5265.12+25.95</f>
        <v>5291.07</v>
      </c>
      <c r="E31" s="2399">
        <f>4161.9648+24.53834</f>
        <v>4186.5031399999998</v>
      </c>
      <c r="F31" s="2399">
        <f>Амортизація!T13/1000</f>
        <v>4893.1294399999952</v>
      </c>
      <c r="G31" s="2400">
        <f>Амортизація!T11/1000+Амортизація!T12*'Д 7_РП'!E198/1000</f>
        <v>2509.7584427367042</v>
      </c>
      <c r="H31" s="2400">
        <f>Амортизація!T10/1000+Амортизація!T12*'Д 7_РП'!E203/1000</f>
        <v>2383.3709972632905</v>
      </c>
      <c r="I31" s="528"/>
      <c r="J31" s="516" t="s">
        <v>1989</v>
      </c>
      <c r="K31" s="529"/>
      <c r="L31" s="399">
        <f t="shared" si="2"/>
        <v>0</v>
      </c>
    </row>
    <row r="32" spans="1:12" s="411" customFormat="1" ht="34.950000000000003" customHeight="1" x14ac:dyDescent="0.35">
      <c r="A32" s="4021" t="s">
        <v>3803</v>
      </c>
      <c r="B32" s="2222" t="s">
        <v>2555</v>
      </c>
      <c r="C32" s="2398"/>
      <c r="D32" s="2398"/>
      <c r="E32" s="2399"/>
      <c r="F32" s="2399">
        <v>0</v>
      </c>
      <c r="G32" s="2400">
        <v>0</v>
      </c>
      <c r="H32" s="2400">
        <v>0</v>
      </c>
      <c r="L32" s="399">
        <f t="shared" si="2"/>
        <v>0</v>
      </c>
    </row>
    <row r="33" spans="1:13" s="411" customFormat="1" ht="34.950000000000003" customHeight="1" x14ac:dyDescent="0.35">
      <c r="A33" s="391"/>
      <c r="B33" s="2222" t="s">
        <v>3515</v>
      </c>
      <c r="C33" s="2398">
        <v>55.482959999999999</v>
      </c>
      <c r="D33" s="2398">
        <v>55.48</v>
      </c>
      <c r="E33" s="2399"/>
      <c r="F33" s="2399"/>
      <c r="G33" s="2400"/>
      <c r="H33" s="2400"/>
      <c r="L33" s="399">
        <f t="shared" si="2"/>
        <v>0</v>
      </c>
    </row>
    <row r="34" spans="1:13" s="391" customFormat="1" ht="18" customHeight="1" x14ac:dyDescent="0.3">
      <c r="B34" s="2223" t="s">
        <v>1390</v>
      </c>
      <c r="C34" s="2398">
        <v>671.51651000000004</v>
      </c>
      <c r="D34" s="2398">
        <v>1570.3259699999999</v>
      </c>
      <c r="E34" s="2399">
        <v>3010.7659999999996</v>
      </c>
      <c r="F34" s="2399">
        <f>G34+H34</f>
        <v>2728.4690000000001</v>
      </c>
      <c r="G34" s="2400">
        <f>'Ремонт-план'!G5/1000+'Ремонт-план'!E5*G11/1000</f>
        <v>491.5768989216765</v>
      </c>
      <c r="H34" s="2400">
        <f>'Ремонт-план'!F5/1000+'Ремонт-план'!E5*H11/1000</f>
        <v>2236.8921010783233</v>
      </c>
      <c r="I34" s="391" t="s">
        <v>2546</v>
      </c>
      <c r="J34" s="516" t="s">
        <v>1989</v>
      </c>
      <c r="L34" s="399">
        <f t="shared" si="2"/>
        <v>0</v>
      </c>
    </row>
    <row r="35" spans="1:13" s="391" customFormat="1" ht="18" customHeight="1" x14ac:dyDescent="0.25">
      <c r="B35" s="2223" t="s">
        <v>1542</v>
      </c>
      <c r="C35" s="2398">
        <v>39.397260000000003</v>
      </c>
      <c r="D35" s="2398"/>
      <c r="E35" s="2399">
        <v>7.9916666666666671</v>
      </c>
      <c r="F35" s="2399"/>
      <c r="G35" s="2400"/>
      <c r="H35" s="2400"/>
      <c r="I35" s="391" t="s">
        <v>2546</v>
      </c>
      <c r="J35" s="391" t="s">
        <v>1990</v>
      </c>
      <c r="L35" s="399">
        <f t="shared" si="2"/>
        <v>0</v>
      </c>
    </row>
    <row r="36" spans="1:13" s="391" customFormat="1" ht="36" x14ac:dyDescent="0.25">
      <c r="B36" s="2223" t="s">
        <v>1394</v>
      </c>
      <c r="C36" s="2398"/>
      <c r="D36" s="2398"/>
      <c r="E36" s="2399">
        <v>14.0987445375</v>
      </c>
      <c r="F36" s="2399">
        <f>ВОДА!L28*ВОДА!L38/1000+ВОДА!M28*ВОДА!M38/1000</f>
        <v>15.270561288888889</v>
      </c>
      <c r="G36" s="2400">
        <f>$F36*$G$11</f>
        <v>2.5423493123400358</v>
      </c>
      <c r="H36" s="2400">
        <f>$F36*$H$11</f>
        <v>12.728211976548854</v>
      </c>
      <c r="I36" s="528"/>
      <c r="J36" s="391" t="s">
        <v>1990</v>
      </c>
      <c r="K36" s="529"/>
      <c r="L36" s="399">
        <f t="shared" si="2"/>
        <v>0</v>
      </c>
    </row>
    <row r="37" spans="1:13" s="391" customFormat="1" ht="18" x14ac:dyDescent="0.25">
      <c r="B37" s="2223" t="s">
        <v>920</v>
      </c>
      <c r="C37" s="2398"/>
      <c r="D37" s="2398"/>
      <c r="E37" s="2399">
        <v>36.060889915221331</v>
      </c>
      <c r="F37" s="2399">
        <f>'Д 9_ЕЕ'!D189*('Вхідні дані'!D28+'Вхідні дані'!D30)/1000</f>
        <v>62.396045857566726</v>
      </c>
      <c r="G37" s="2400">
        <f>$F37*$G$11</f>
        <v>10.388127933067251</v>
      </c>
      <c r="H37" s="2400">
        <f>$F37*$H$11</f>
        <v>52.00791792449948</v>
      </c>
      <c r="L37" s="399">
        <f>F37-G37-H37</f>
        <v>0</v>
      </c>
      <c r="M37" s="399"/>
    </row>
    <row r="38" spans="1:13" s="391" customFormat="1" ht="18" x14ac:dyDescent="0.25">
      <c r="B38" s="2396"/>
      <c r="C38" s="2398"/>
      <c r="D38" s="2398"/>
      <c r="E38" s="2399"/>
      <c r="F38" s="2399"/>
      <c r="G38" s="2400">
        <f t="shared" ref="G38:H74" si="6">$F38*G$10+$F38*G$11</f>
        <v>0</v>
      </c>
      <c r="H38" s="2400">
        <f t="shared" si="6"/>
        <v>0</v>
      </c>
      <c r="L38" s="399">
        <f t="shared" ref="L38:L74" si="7">F38-G38-H38</f>
        <v>0</v>
      </c>
    </row>
    <row r="39" spans="1:13" s="391" customFormat="1" ht="18" x14ac:dyDescent="0.25">
      <c r="B39" s="2223" t="s">
        <v>1401</v>
      </c>
      <c r="C39" s="2398"/>
      <c r="D39" s="2398"/>
      <c r="E39" s="2399"/>
      <c r="F39" s="2399"/>
      <c r="G39" s="2400">
        <f t="shared" si="6"/>
        <v>0</v>
      </c>
      <c r="H39" s="2400">
        <f t="shared" si="6"/>
        <v>0</v>
      </c>
      <c r="L39" s="399">
        <f t="shared" si="7"/>
        <v>0</v>
      </c>
    </row>
    <row r="40" spans="1:13" s="391" customFormat="1" ht="18" x14ac:dyDescent="0.25">
      <c r="B40" s="2223" t="s">
        <v>1687</v>
      </c>
      <c r="C40" s="2398">
        <f>4.13496+1.2</f>
        <v>5.3349600000000006</v>
      </c>
      <c r="D40" s="2398">
        <v>6.2119300000000006</v>
      </c>
      <c r="E40" s="2399">
        <v>10.199999999999999</v>
      </c>
      <c r="F40" s="2399">
        <f>ТО!G8/1000</f>
        <v>10.199999999999999</v>
      </c>
      <c r="G40" s="2400">
        <f>$F40*$G$11</f>
        <v>1.6981669825546548</v>
      </c>
      <c r="H40" s="2400">
        <f>$F40*$H$11</f>
        <v>8.501833017445346</v>
      </c>
      <c r="J40" s="391" t="s">
        <v>1990</v>
      </c>
      <c r="L40" s="399">
        <f t="shared" si="7"/>
        <v>0</v>
      </c>
    </row>
    <row r="41" spans="1:13" s="391" customFormat="1" ht="18" x14ac:dyDescent="0.25">
      <c r="B41" s="2223" t="s">
        <v>1402</v>
      </c>
      <c r="C41" s="2398">
        <v>13.02528</v>
      </c>
      <c r="D41" s="2398">
        <v>8.07273</v>
      </c>
      <c r="E41" s="2399">
        <v>2.4502299999999999</v>
      </c>
      <c r="F41" s="2399">
        <f>ТО!G30/1000</f>
        <v>26.61384</v>
      </c>
      <c r="G41" s="2400">
        <f t="shared" ref="G41:G42" si="8">$F41*$G$11</f>
        <v>4.4308572908816055</v>
      </c>
      <c r="H41" s="2400">
        <f t="shared" ref="H41:H42" si="9">$F41*$H$11</f>
        <v>22.182982709118395</v>
      </c>
      <c r="J41" s="391" t="s">
        <v>1990</v>
      </c>
      <c r="L41" s="399">
        <f t="shared" si="7"/>
        <v>0</v>
      </c>
    </row>
    <row r="42" spans="1:13" s="391" customFormat="1" ht="18" x14ac:dyDescent="0.25">
      <c r="B42" s="2223" t="s">
        <v>1403</v>
      </c>
      <c r="C42" s="2398">
        <v>0.59</v>
      </c>
      <c r="D42" s="2398">
        <v>23.650539999999999</v>
      </c>
      <c r="E42" s="2399">
        <v>43.6</v>
      </c>
      <c r="F42" s="2399">
        <f>'ТО ТЗ'!I39/1000</f>
        <v>120</v>
      </c>
      <c r="G42" s="2400">
        <f t="shared" si="8"/>
        <v>19.978435088878292</v>
      </c>
      <c r="H42" s="2400">
        <f t="shared" si="9"/>
        <v>100.02156491112171</v>
      </c>
      <c r="I42" s="992"/>
      <c r="J42" s="391" t="s">
        <v>1990</v>
      </c>
      <c r="L42" s="399">
        <f t="shared" si="7"/>
        <v>0</v>
      </c>
    </row>
    <row r="43" spans="1:13" s="391" customFormat="1" ht="18" x14ac:dyDescent="0.25">
      <c r="B43" s="2223" t="s">
        <v>1404</v>
      </c>
      <c r="C43" s="2398">
        <v>9.1</v>
      </c>
      <c r="D43" s="2398"/>
      <c r="E43" s="2399">
        <v>9.1</v>
      </c>
      <c r="F43" s="2399">
        <f>'ТК ТЗ'!I13/1000</f>
        <v>0</v>
      </c>
      <c r="G43" s="2400">
        <f t="shared" si="6"/>
        <v>0</v>
      </c>
      <c r="H43" s="2400">
        <f t="shared" si="6"/>
        <v>0</v>
      </c>
      <c r="I43" s="992"/>
      <c r="J43" s="391" t="s">
        <v>1990</v>
      </c>
      <c r="L43" s="399">
        <f t="shared" si="7"/>
        <v>0</v>
      </c>
    </row>
    <row r="44" spans="1:13" s="391" customFormat="1" ht="18" x14ac:dyDescent="0.25">
      <c r="B44" s="2223" t="s">
        <v>1405</v>
      </c>
      <c r="C44" s="2398">
        <v>10.507100000000001</v>
      </c>
      <c r="D44" s="2398">
        <v>10.986000000000001</v>
      </c>
      <c r="E44" s="2399">
        <v>22.568999999999999</v>
      </c>
      <c r="F44" s="2399">
        <f>Страхування!F25/1000</f>
        <v>21.872</v>
      </c>
      <c r="G44" s="2400">
        <f t="shared" ref="G44:G45" si="10">$F44*$G$11</f>
        <v>3.6414027688662172</v>
      </c>
      <c r="H44" s="2400">
        <f t="shared" ref="H44:H45" si="11">$F44*$H$11</f>
        <v>18.230597231133785</v>
      </c>
      <c r="I44" s="992"/>
      <c r="J44" s="391" t="s">
        <v>1990</v>
      </c>
      <c r="L44" s="399">
        <f t="shared" si="7"/>
        <v>0</v>
      </c>
    </row>
    <row r="45" spans="1:13" s="391" customFormat="1" ht="18" x14ac:dyDescent="0.25">
      <c r="B45" s="2223" t="s">
        <v>1411</v>
      </c>
      <c r="C45" s="2398">
        <v>0.28000000000000003</v>
      </c>
      <c r="D45" s="2398"/>
      <c r="E45" s="2399">
        <v>0.28000000000000003</v>
      </c>
      <c r="F45" s="2399">
        <f>Утилизація!D34/1000</f>
        <v>1.6372500000000001</v>
      </c>
      <c r="G45" s="2400">
        <f t="shared" si="10"/>
        <v>0.27258077374388323</v>
      </c>
      <c r="H45" s="2400">
        <f t="shared" si="11"/>
        <v>1.3646692262561171</v>
      </c>
      <c r="I45" s="992"/>
      <c r="J45" s="391" t="s">
        <v>1990</v>
      </c>
      <c r="L45" s="399">
        <f t="shared" si="7"/>
        <v>0</v>
      </c>
    </row>
    <row r="46" spans="1:13" s="391" customFormat="1" ht="18" x14ac:dyDescent="0.25">
      <c r="B46" s="2223" t="s">
        <v>1686</v>
      </c>
      <c r="C46" s="2398"/>
      <c r="D46" s="2398"/>
      <c r="E46" s="2399"/>
      <c r="F46" s="2399"/>
      <c r="G46" s="2400">
        <f t="shared" si="6"/>
        <v>0</v>
      </c>
      <c r="H46" s="2400">
        <f t="shared" si="6"/>
        <v>0</v>
      </c>
      <c r="I46" s="992"/>
      <c r="J46" s="391" t="s">
        <v>1990</v>
      </c>
      <c r="L46" s="399">
        <f t="shared" si="7"/>
        <v>0</v>
      </c>
    </row>
    <row r="47" spans="1:13" s="391" customFormat="1" ht="18" x14ac:dyDescent="0.25">
      <c r="B47" s="2224" t="s">
        <v>1408</v>
      </c>
      <c r="C47" s="2398">
        <v>18.086599999999997</v>
      </c>
      <c r="D47" s="2398">
        <v>16.739349999999998</v>
      </c>
      <c r="E47" s="2399">
        <v>13.92234</v>
      </c>
      <c r="F47" s="2399">
        <f>ОП!E4</f>
        <v>23.812699999999996</v>
      </c>
      <c r="G47" s="2400">
        <f t="shared" ref="G47:G49" si="12">$F47*$G$11</f>
        <v>3.9645040103411007</v>
      </c>
      <c r="H47" s="2400">
        <f t="shared" ref="H47:H49" si="13">$F47*$H$11</f>
        <v>19.848195989658898</v>
      </c>
      <c r="I47" s="992"/>
      <c r="J47" s="391" t="s">
        <v>1990</v>
      </c>
      <c r="L47" s="399">
        <f t="shared" si="7"/>
        <v>0</v>
      </c>
    </row>
    <row r="48" spans="1:13" s="391" customFormat="1" ht="18.75" customHeight="1" x14ac:dyDescent="0.25">
      <c r="B48" s="2224" t="s">
        <v>1410</v>
      </c>
      <c r="C48" s="2398">
        <v>9.3369</v>
      </c>
      <c r="D48" s="2398">
        <v>11.4</v>
      </c>
      <c r="E48" s="2399">
        <v>1.8</v>
      </c>
      <c r="F48" s="2399">
        <f>ОП!E5</f>
        <v>3.8664999999999998</v>
      </c>
      <c r="G48" s="2400">
        <f t="shared" si="12"/>
        <v>0.64372182725956595</v>
      </c>
      <c r="H48" s="2400">
        <f t="shared" si="13"/>
        <v>3.2227781727404343</v>
      </c>
      <c r="J48" s="399" t="s">
        <v>1996</v>
      </c>
      <c r="L48" s="399">
        <f t="shared" si="7"/>
        <v>0</v>
      </c>
    </row>
    <row r="49" spans="2:12" s="391" customFormat="1" ht="18.75" customHeight="1" x14ac:dyDescent="0.25">
      <c r="B49" s="2224" t="s">
        <v>1594</v>
      </c>
      <c r="C49" s="2398"/>
      <c r="D49" s="2398"/>
      <c r="E49" s="2399">
        <v>7.0999499999999998</v>
      </c>
      <c r="F49" s="2399">
        <f>ОП!E7</f>
        <v>2.4</v>
      </c>
      <c r="G49" s="2400">
        <f t="shared" si="12"/>
        <v>0.39956870177756587</v>
      </c>
      <c r="H49" s="2400">
        <f t="shared" si="13"/>
        <v>2.0004312982224342</v>
      </c>
      <c r="J49" s="391" t="s">
        <v>1990</v>
      </c>
      <c r="L49" s="399">
        <f t="shared" si="7"/>
        <v>0</v>
      </c>
    </row>
    <row r="50" spans="2:12" s="391" customFormat="1" ht="18.75" customHeight="1" x14ac:dyDescent="0.25">
      <c r="B50" s="2224" t="s">
        <v>1593</v>
      </c>
      <c r="C50" s="2398"/>
      <c r="D50" s="2398">
        <v>0.38</v>
      </c>
      <c r="E50" s="2399"/>
      <c r="F50" s="2399"/>
      <c r="G50" s="2400">
        <f t="shared" si="6"/>
        <v>0</v>
      </c>
      <c r="H50" s="2400">
        <f t="shared" si="6"/>
        <v>0</v>
      </c>
      <c r="J50" s="391" t="s">
        <v>1990</v>
      </c>
      <c r="L50" s="399">
        <f t="shared" si="7"/>
        <v>0</v>
      </c>
    </row>
    <row r="51" spans="2:12" s="391" customFormat="1" ht="18.75" customHeight="1" x14ac:dyDescent="0.25">
      <c r="B51" s="2224" t="s">
        <v>1655</v>
      </c>
      <c r="C51" s="2398"/>
      <c r="D51" s="2398">
        <v>1.2</v>
      </c>
      <c r="E51" s="2399"/>
      <c r="F51" s="2399"/>
      <c r="G51" s="2400">
        <f t="shared" si="6"/>
        <v>0</v>
      </c>
      <c r="H51" s="2400">
        <f t="shared" si="6"/>
        <v>0</v>
      </c>
      <c r="J51" s="391" t="s">
        <v>1990</v>
      </c>
      <c r="L51" s="399">
        <f t="shared" si="7"/>
        <v>0</v>
      </c>
    </row>
    <row r="52" spans="2:12" s="391" customFormat="1" ht="18.75" customHeight="1" x14ac:dyDescent="0.25">
      <c r="B52" s="2224" t="s">
        <v>1684</v>
      </c>
      <c r="C52" s="2398"/>
      <c r="D52" s="2398"/>
      <c r="E52" s="2399"/>
      <c r="F52" s="2399"/>
      <c r="G52" s="2400">
        <f t="shared" si="6"/>
        <v>0</v>
      </c>
      <c r="H52" s="2400">
        <f t="shared" si="6"/>
        <v>0</v>
      </c>
      <c r="L52" s="399">
        <f t="shared" si="7"/>
        <v>0</v>
      </c>
    </row>
    <row r="53" spans="2:12" s="391" customFormat="1" ht="18.75" customHeight="1" x14ac:dyDescent="0.25">
      <c r="B53" s="2224" t="s">
        <v>1685</v>
      </c>
      <c r="C53" s="2398">
        <v>8.9165599999999987</v>
      </c>
      <c r="D53" s="2398">
        <v>12.770620000000001</v>
      </c>
      <c r="E53" s="2399">
        <v>5.3708200000000001</v>
      </c>
      <c r="F53" s="2399">
        <f>'Котел-повірка Юст'!J58/1000</f>
        <v>16.397459999999999</v>
      </c>
      <c r="G53" s="2400">
        <f t="shared" ref="G53:G54" si="14">$F53*$G$11</f>
        <v>2.7299632519373187</v>
      </c>
      <c r="H53" s="2400">
        <f t="shared" ref="H53:H54" si="15">$F53*$H$11</f>
        <v>13.667496748062682</v>
      </c>
      <c r="J53" s="391" t="s">
        <v>1994</v>
      </c>
      <c r="L53" s="399">
        <f t="shared" si="7"/>
        <v>0</v>
      </c>
    </row>
    <row r="54" spans="2:12" s="391" customFormat="1" ht="18.75" customHeight="1" x14ac:dyDescent="0.3">
      <c r="B54" s="2224" t="s">
        <v>1591</v>
      </c>
      <c r="C54" s="2398"/>
      <c r="D54" s="2398">
        <v>8.2210000000000001</v>
      </c>
      <c r="E54" s="2399">
        <v>19.841699999999999</v>
      </c>
      <c r="F54" s="2399">
        <f>D54</f>
        <v>8.2210000000000001</v>
      </c>
      <c r="G54" s="2400">
        <f t="shared" si="14"/>
        <v>1.3686892905472372</v>
      </c>
      <c r="H54" s="2400">
        <f t="shared" si="15"/>
        <v>6.8523107094527633</v>
      </c>
      <c r="I54" s="2215" t="s">
        <v>2514</v>
      </c>
      <c r="J54" s="391" t="s">
        <v>1990</v>
      </c>
      <c r="L54" s="399">
        <f t="shared" si="7"/>
        <v>0</v>
      </c>
    </row>
    <row r="55" spans="2:12" s="391" customFormat="1" ht="18.75" customHeight="1" x14ac:dyDescent="0.25">
      <c r="B55" s="2224" t="s">
        <v>1653</v>
      </c>
      <c r="C55" s="2398"/>
      <c r="D55" s="2398"/>
      <c r="E55" s="2399"/>
      <c r="F55" s="2399"/>
      <c r="G55" s="2400">
        <f t="shared" si="6"/>
        <v>0</v>
      </c>
      <c r="H55" s="2400">
        <f t="shared" si="6"/>
        <v>0</v>
      </c>
      <c r="L55" s="399">
        <f t="shared" si="7"/>
        <v>0</v>
      </c>
    </row>
    <row r="56" spans="2:12" s="391" customFormat="1" ht="18.75" customHeight="1" x14ac:dyDescent="0.25">
      <c r="B56" s="2224" t="s">
        <v>3516</v>
      </c>
      <c r="C56" s="2398"/>
      <c r="D56" s="2398">
        <v>2.53356</v>
      </c>
      <c r="E56" s="2399"/>
      <c r="F56" s="2399">
        <f>D56</f>
        <v>2.53356</v>
      </c>
      <c r="G56" s="2400">
        <f t="shared" ref="G56:G59" si="16">$F56*$G$11</f>
        <v>0.4218047000314874</v>
      </c>
      <c r="H56" s="2400">
        <f t="shared" ref="H56:H59" si="17">$F56*$H$11</f>
        <v>2.1117552999685127</v>
      </c>
      <c r="J56" s="391" t="s">
        <v>3730</v>
      </c>
      <c r="L56" s="399">
        <f t="shared" si="7"/>
        <v>0</v>
      </c>
    </row>
    <row r="57" spans="2:12" s="391" customFormat="1" ht="18.75" customHeight="1" x14ac:dyDescent="0.25">
      <c r="B57" s="2224" t="s">
        <v>1592</v>
      </c>
      <c r="C57" s="2398"/>
      <c r="D57" s="2398">
        <v>1.65</v>
      </c>
      <c r="E57" s="2399">
        <v>1.65</v>
      </c>
      <c r="F57" s="2399">
        <f>D57</f>
        <v>1.65</v>
      </c>
      <c r="G57" s="2400">
        <f t="shared" si="16"/>
        <v>0.27470348247207654</v>
      </c>
      <c r="H57" s="2400">
        <f t="shared" si="17"/>
        <v>1.3752965175279235</v>
      </c>
      <c r="L57" s="399">
        <f t="shared" si="7"/>
        <v>0</v>
      </c>
    </row>
    <row r="58" spans="2:12" s="391" customFormat="1" ht="18.75" customHeight="1" x14ac:dyDescent="0.25">
      <c r="B58" s="2224" t="s">
        <v>1900</v>
      </c>
      <c r="C58" s="2398">
        <v>0.46667000000000003</v>
      </c>
      <c r="D58" s="2398">
        <v>1.1333499999999999</v>
      </c>
      <c r="E58" s="2399">
        <v>1.8</v>
      </c>
      <c r="F58" s="2399">
        <f>Картріджі!E58/1000</f>
        <v>2.1</v>
      </c>
      <c r="G58" s="2400">
        <f t="shared" si="16"/>
        <v>0.34962261405537015</v>
      </c>
      <c r="H58" s="2400">
        <f t="shared" si="17"/>
        <v>1.7503773859446301</v>
      </c>
      <c r="I58" s="901"/>
      <c r="J58" s="391" t="s">
        <v>1990</v>
      </c>
      <c r="L58" s="399">
        <f t="shared" si="7"/>
        <v>0</v>
      </c>
    </row>
    <row r="59" spans="2:12" s="391" customFormat="1" ht="18.75" customHeight="1" x14ac:dyDescent="0.25">
      <c r="B59" s="2224" t="s">
        <v>2486</v>
      </c>
      <c r="C59" s="2398"/>
      <c r="D59" s="2398"/>
      <c r="E59" s="2399"/>
      <c r="F59" s="2399">
        <f>Профпослуги2!E15/1000+Профпослуги2!F15/1000</f>
        <v>3.1702898550724643</v>
      </c>
      <c r="G59" s="2400">
        <f t="shared" si="16"/>
        <v>0.5278119173541217</v>
      </c>
      <c r="H59" s="2400">
        <f t="shared" si="17"/>
        <v>2.6424779377183429</v>
      </c>
      <c r="L59" s="399">
        <f t="shared" si="7"/>
        <v>0</v>
      </c>
    </row>
    <row r="60" spans="2:12" s="391" customFormat="1" ht="18.75" customHeight="1" x14ac:dyDescent="0.25">
      <c r="B60" s="2224" t="s">
        <v>1589</v>
      </c>
      <c r="C60" s="2398"/>
      <c r="D60" s="2398"/>
      <c r="E60" s="2399"/>
      <c r="F60" s="2399"/>
      <c r="G60" s="2400">
        <f t="shared" si="6"/>
        <v>0</v>
      </c>
      <c r="H60" s="2400">
        <f t="shared" si="6"/>
        <v>0</v>
      </c>
      <c r="L60" s="399">
        <f t="shared" si="7"/>
        <v>0</v>
      </c>
    </row>
    <row r="61" spans="2:12" s="391" customFormat="1" ht="18.75" customHeight="1" x14ac:dyDescent="0.25">
      <c r="B61" s="2224" t="s">
        <v>1543</v>
      </c>
      <c r="C61" s="2398">
        <v>1.7254099999999999</v>
      </c>
      <c r="D61" s="2398">
        <v>4.7358400000000005</v>
      </c>
      <c r="E61" s="2399"/>
      <c r="F61" s="2399"/>
      <c r="G61" s="2400">
        <f t="shared" si="6"/>
        <v>0</v>
      </c>
      <c r="H61" s="2400">
        <f t="shared" si="6"/>
        <v>0</v>
      </c>
      <c r="L61" s="399">
        <f t="shared" si="7"/>
        <v>0</v>
      </c>
    </row>
    <row r="62" spans="2:12" s="391" customFormat="1" ht="18.75" customHeight="1" x14ac:dyDescent="0.25">
      <c r="B62" s="2224" t="s">
        <v>1540</v>
      </c>
      <c r="C62" s="2398"/>
      <c r="D62" s="2398"/>
      <c r="E62" s="2399">
        <v>0</v>
      </c>
      <c r="F62" s="2399">
        <f>D62</f>
        <v>0</v>
      </c>
      <c r="G62" s="2400">
        <f t="shared" si="6"/>
        <v>0</v>
      </c>
      <c r="H62" s="2400">
        <f t="shared" si="6"/>
        <v>0</v>
      </c>
      <c r="J62" s="391" t="s">
        <v>1990</v>
      </c>
      <c r="L62" s="399">
        <f t="shared" si="7"/>
        <v>0</v>
      </c>
    </row>
    <row r="63" spans="2:12" s="391" customFormat="1" ht="18.75" customHeight="1" x14ac:dyDescent="0.25">
      <c r="B63" s="2224" t="s">
        <v>1584</v>
      </c>
      <c r="C63" s="2398"/>
      <c r="D63" s="2398"/>
      <c r="E63" s="2399"/>
      <c r="F63" s="2399"/>
      <c r="G63" s="2400">
        <f t="shared" si="6"/>
        <v>0</v>
      </c>
      <c r="H63" s="2400">
        <f t="shared" si="6"/>
        <v>0</v>
      </c>
      <c r="J63" s="391" t="s">
        <v>2618</v>
      </c>
      <c r="L63" s="399">
        <f t="shared" si="7"/>
        <v>0</v>
      </c>
    </row>
    <row r="64" spans="2:12" s="391" customFormat="1" ht="18" x14ac:dyDescent="0.35">
      <c r="B64" s="2222" t="s">
        <v>1583</v>
      </c>
      <c r="C64" s="2398"/>
      <c r="D64" s="2398">
        <v>1.77</v>
      </c>
      <c r="E64" s="2399"/>
      <c r="F64" s="2399"/>
      <c r="G64" s="2400">
        <f t="shared" si="6"/>
        <v>0</v>
      </c>
      <c r="H64" s="2400">
        <f t="shared" si="6"/>
        <v>0</v>
      </c>
      <c r="L64" s="399">
        <f t="shared" si="7"/>
        <v>0</v>
      </c>
    </row>
    <row r="65" spans="2:12" s="391" customFormat="1" ht="18" x14ac:dyDescent="0.35">
      <c r="B65" s="2222" t="s">
        <v>3517</v>
      </c>
      <c r="C65" s="2398"/>
      <c r="D65" s="2398">
        <v>12</v>
      </c>
      <c r="E65" s="2399"/>
      <c r="F65" s="2399"/>
      <c r="G65" s="2400">
        <f t="shared" si="6"/>
        <v>0</v>
      </c>
      <c r="H65" s="2400">
        <f t="shared" si="6"/>
        <v>0</v>
      </c>
      <c r="L65" s="399">
        <f t="shared" si="7"/>
        <v>0</v>
      </c>
    </row>
    <row r="66" spans="2:12" s="391" customFormat="1" ht="18" x14ac:dyDescent="0.35">
      <c r="B66" s="2222" t="s">
        <v>1392</v>
      </c>
      <c r="C66" s="2398">
        <v>3.8446199999999999</v>
      </c>
      <c r="D66" s="2398">
        <v>5.4398400000000002</v>
      </c>
      <c r="E66" s="2399">
        <v>5.3893400000000007</v>
      </c>
      <c r="F66" s="2399">
        <f>'Зв''язок'!H8/1000-'Зв''язок'!H49/1000</f>
        <v>5.5609000000000002</v>
      </c>
      <c r="G66" s="2400">
        <f t="shared" ref="G66:G67" si="18">$F66*$G$11</f>
        <v>0.92581733071452754</v>
      </c>
      <c r="H66" s="2400">
        <f t="shared" ref="H66:H67" si="19">$F66*$H$11</f>
        <v>4.635082669285473</v>
      </c>
      <c r="I66" s="391" t="s">
        <v>2547</v>
      </c>
      <c r="J66" s="391" t="s">
        <v>1990</v>
      </c>
      <c r="L66" s="399">
        <f t="shared" si="7"/>
        <v>0</v>
      </c>
    </row>
    <row r="67" spans="2:12" s="391" customFormat="1" ht="18" x14ac:dyDescent="0.35">
      <c r="B67" s="2222" t="s">
        <v>1393</v>
      </c>
      <c r="C67" s="2398">
        <v>15.782260000000001</v>
      </c>
      <c r="D67" s="2398">
        <v>24.333359999999999</v>
      </c>
      <c r="E67" s="2399">
        <v>25.875</v>
      </c>
      <c r="F67" s="2399">
        <f>'Зв''язок'!H49/1000</f>
        <v>25.500720000000001</v>
      </c>
      <c r="G67" s="2400">
        <f t="shared" si="18"/>
        <v>4.2455373269971712</v>
      </c>
      <c r="H67" s="2400">
        <f t="shared" si="19"/>
        <v>21.255182673002832</v>
      </c>
      <c r="J67" s="391" t="s">
        <v>1990</v>
      </c>
      <c r="L67" s="399">
        <f t="shared" si="7"/>
        <v>0</v>
      </c>
    </row>
    <row r="68" spans="2:12" s="2401" customFormat="1" ht="36" x14ac:dyDescent="0.25">
      <c r="B68" s="3210" t="s">
        <v>1582</v>
      </c>
      <c r="C68" s="2398"/>
      <c r="D68" s="2398"/>
      <c r="E68" s="2399"/>
      <c r="F68" s="2399"/>
      <c r="G68" s="2400">
        <f t="shared" si="6"/>
        <v>0</v>
      </c>
      <c r="H68" s="2400">
        <f t="shared" si="6"/>
        <v>0</v>
      </c>
      <c r="L68" s="399">
        <f t="shared" si="7"/>
        <v>0</v>
      </c>
    </row>
    <row r="69" spans="2:12" s="391" customFormat="1" ht="18" x14ac:dyDescent="0.3">
      <c r="B69" s="2223" t="s">
        <v>1399</v>
      </c>
      <c r="C69" s="2398">
        <v>0.15563999999999997</v>
      </c>
      <c r="D69" s="2399">
        <v>0.12257999999999999</v>
      </c>
      <c r="E69" s="2399">
        <v>0.15563999999999997</v>
      </c>
      <c r="F69" s="2399">
        <f>Податки!D9</f>
        <v>0.16344</v>
      </c>
      <c r="G69" s="2400">
        <f t="shared" ref="G69:G71" si="20">$F69*$G$11</f>
        <v>2.7210628591052236E-2</v>
      </c>
      <c r="H69" s="2400">
        <f t="shared" ref="H69:H71" si="21">$F69*$H$11</f>
        <v>0.13622937140894778</v>
      </c>
      <c r="J69" s="516" t="s">
        <v>1989</v>
      </c>
      <c r="L69" s="399">
        <f t="shared" si="7"/>
        <v>0</v>
      </c>
    </row>
    <row r="70" spans="2:12" s="391" customFormat="1" ht="18" x14ac:dyDescent="0.35">
      <c r="B70" s="2222" t="s">
        <v>1680</v>
      </c>
      <c r="C70" s="2398">
        <v>0.312</v>
      </c>
      <c r="D70" s="2398">
        <v>0.44345999999999997</v>
      </c>
      <c r="E70" s="2399">
        <v>0.56879999999999997</v>
      </c>
      <c r="F70" s="2399">
        <f>D70</f>
        <v>0.44345999999999997</v>
      </c>
      <c r="G70" s="2400">
        <f t="shared" si="20"/>
        <v>7.3830306870949727E-2</v>
      </c>
      <c r="H70" s="2400">
        <f t="shared" si="21"/>
        <v>0.36962969312905025</v>
      </c>
      <c r="J70" s="516" t="s">
        <v>1989</v>
      </c>
      <c r="L70" s="399">
        <f t="shared" si="7"/>
        <v>0</v>
      </c>
    </row>
    <row r="71" spans="2:12" s="391" customFormat="1" ht="18" x14ac:dyDescent="0.35">
      <c r="B71" s="2222" t="s">
        <v>924</v>
      </c>
      <c r="C71" s="2398">
        <v>4.0747999999999998</v>
      </c>
      <c r="D71" s="2398"/>
      <c r="E71" s="2399"/>
      <c r="F71" s="2399">
        <f>'Періодичні видання'!C3/1000</f>
        <v>9.9433760851443633</v>
      </c>
      <c r="G71" s="2400">
        <f t="shared" si="20"/>
        <v>1.6554424473446785</v>
      </c>
      <c r="H71" s="2400">
        <f t="shared" si="21"/>
        <v>8.2879336377996857</v>
      </c>
      <c r="I71" s="720" t="s">
        <v>2552</v>
      </c>
      <c r="J71" s="391" t="s">
        <v>1990</v>
      </c>
      <c r="L71" s="399">
        <f t="shared" si="7"/>
        <v>0</v>
      </c>
    </row>
    <row r="72" spans="2:12" s="2406" customFormat="1" ht="36" customHeight="1" x14ac:dyDescent="0.25">
      <c r="B72" s="2403" t="s">
        <v>1682</v>
      </c>
      <c r="C72" s="2405"/>
      <c r="D72" s="2405"/>
      <c r="E72" s="2399"/>
      <c r="F72" s="2399"/>
      <c r="G72" s="2400">
        <f t="shared" si="6"/>
        <v>0</v>
      </c>
      <c r="H72" s="2400">
        <f t="shared" si="6"/>
        <v>0</v>
      </c>
      <c r="I72" s="2406" t="s">
        <v>2562</v>
      </c>
      <c r="J72" s="2406" t="s">
        <v>1994</v>
      </c>
      <c r="L72" s="399">
        <f t="shared" si="7"/>
        <v>0</v>
      </c>
    </row>
    <row r="73" spans="2:12" s="391" customFormat="1" ht="17.399999999999999" customHeight="1" x14ac:dyDescent="0.35">
      <c r="B73" s="2225" t="s">
        <v>3192</v>
      </c>
      <c r="C73" s="2405">
        <v>40</v>
      </c>
      <c r="D73" s="2405"/>
      <c r="E73" s="2559"/>
      <c r="F73" s="2559"/>
      <c r="G73" s="2400">
        <f t="shared" si="6"/>
        <v>0</v>
      </c>
      <c r="H73" s="2400">
        <f t="shared" si="6"/>
        <v>0</v>
      </c>
      <c r="L73" s="399">
        <f t="shared" si="7"/>
        <v>0</v>
      </c>
    </row>
    <row r="74" spans="2:12" s="391" customFormat="1" ht="18.600000000000001" thickBot="1" x14ac:dyDescent="0.4">
      <c r="B74" s="2226" t="s">
        <v>58</v>
      </c>
      <c r="C74" s="2560">
        <v>59.960900000000002</v>
      </c>
      <c r="D74" s="2560">
        <v>77.115729999999999</v>
      </c>
      <c r="E74" s="2561"/>
      <c r="F74" s="2561"/>
      <c r="G74" s="2562">
        <f t="shared" si="6"/>
        <v>0</v>
      </c>
      <c r="H74" s="2562">
        <f t="shared" si="6"/>
        <v>0</v>
      </c>
      <c r="J74" s="391" t="s">
        <v>1990</v>
      </c>
      <c r="L74" s="399">
        <f t="shared" si="7"/>
        <v>0</v>
      </c>
    </row>
    <row r="75" spans="2:12" s="391" customFormat="1" ht="24" customHeight="1" x14ac:dyDescent="0.25">
      <c r="D75" s="399"/>
    </row>
    <row r="76" spans="2:12" s="391" customFormat="1" ht="24" customHeight="1" x14ac:dyDescent="0.25">
      <c r="D76" s="399"/>
    </row>
    <row r="77" spans="2:12" s="391" customFormat="1" ht="24" customHeight="1" x14ac:dyDescent="0.35">
      <c r="B77" s="419" t="str">
        <f>'Вхідні дані'!$B$13</f>
        <v>Директор підприємства</v>
      </c>
      <c r="C77" s="5111" t="s">
        <v>1400</v>
      </c>
      <c r="D77" s="5111"/>
      <c r="E77" s="419"/>
      <c r="F77" s="5111" t="str">
        <f>'Вхідні дані'!F13</f>
        <v>Анатолій ПАНШИН</v>
      </c>
      <c r="G77" s="5111"/>
      <c r="H77" s="5111"/>
    </row>
    <row r="78" spans="2:12" s="391" customFormat="1" ht="24" customHeight="1" x14ac:dyDescent="0.35">
      <c r="B78" s="419"/>
      <c r="C78" s="5112" t="s">
        <v>209</v>
      </c>
      <c r="D78" s="5112"/>
      <c r="E78" s="419"/>
      <c r="F78" s="772"/>
      <c r="G78" s="772"/>
      <c r="H78" s="772"/>
    </row>
    <row r="79" spans="2:12" s="391" customFormat="1" ht="24" customHeight="1" x14ac:dyDescent="0.35">
      <c r="B79" s="419" t="str">
        <f>'Вхідні дані'!$B$15</f>
        <v>Заступник директора з економіки</v>
      </c>
      <c r="C79" s="5111" t="s">
        <v>1400</v>
      </c>
      <c r="D79" s="5111"/>
      <c r="E79" s="419"/>
      <c r="F79" s="5111" t="str">
        <f>'Вхідні дані'!F15</f>
        <v>Олена ЛАВРОВА</v>
      </c>
      <c r="G79" s="5111"/>
      <c r="H79" s="5111"/>
    </row>
    <row r="80" spans="2:12" s="391" customFormat="1" ht="24" customHeight="1" x14ac:dyDescent="0.35">
      <c r="B80" s="418"/>
      <c r="C80" s="5113" t="s">
        <v>209</v>
      </c>
      <c r="D80" s="5113"/>
      <c r="E80" s="418"/>
      <c r="F80" s="772"/>
      <c r="G80" s="772"/>
      <c r="H80" s="772"/>
    </row>
    <row r="86" spans="2:8" s="391" customFormat="1" ht="31.2" customHeight="1" x14ac:dyDescent="0.25">
      <c r="B86" s="5085" t="s">
        <v>2701</v>
      </c>
      <c r="C86" s="5085"/>
      <c r="D86" s="5085"/>
      <c r="E86" s="5085"/>
      <c r="F86" s="5085"/>
      <c r="G86" s="5085"/>
      <c r="H86" s="5085"/>
    </row>
    <row r="87" spans="2:8" s="391" customFormat="1" ht="15.6" x14ac:dyDescent="0.3">
      <c r="B87" s="1124"/>
      <c r="C87" s="1124"/>
      <c r="D87" s="1124"/>
      <c r="E87" s="5100" t="s">
        <v>1780</v>
      </c>
      <c r="F87" s="5100"/>
      <c r="G87" s="1124"/>
      <c r="H87" s="1124"/>
    </row>
    <row r="88" spans="2:8" s="391" customFormat="1" ht="15.6" x14ac:dyDescent="0.3">
      <c r="B88" s="1183" t="s">
        <v>357</v>
      </c>
      <c r="C88" s="1672" t="s">
        <v>2380</v>
      </c>
      <c r="D88" s="1671" t="s">
        <v>2305</v>
      </c>
      <c r="E88" s="1672" t="s">
        <v>687</v>
      </c>
      <c r="F88" s="1671" t="s">
        <v>2306</v>
      </c>
      <c r="G88" s="1183" t="s">
        <v>2309</v>
      </c>
      <c r="H88" s="1183" t="s">
        <v>2308</v>
      </c>
    </row>
    <row r="89" spans="2:8" s="391" customFormat="1" ht="15.6" x14ac:dyDescent="0.3">
      <c r="B89" s="778" t="s">
        <v>2294</v>
      </c>
      <c r="C89" s="4565">
        <f>D89/D99</f>
        <v>0.25690751356138902</v>
      </c>
      <c r="D89" s="3212">
        <f>F27</f>
        <v>14520.984552954531</v>
      </c>
      <c r="E89" s="4565">
        <f>F89/F99</f>
        <v>0.21247983342153026</v>
      </c>
      <c r="F89" s="3212">
        <f>E27</f>
        <v>12740.596360928026</v>
      </c>
      <c r="G89" s="3213">
        <f>C89-E89</f>
        <v>4.4427680139858761E-2</v>
      </c>
      <c r="H89" s="3212">
        <f>D89-F89</f>
        <v>1780.3881920265048</v>
      </c>
    </row>
    <row r="90" spans="2:8" s="391" customFormat="1" ht="15.6" x14ac:dyDescent="0.3">
      <c r="B90" s="778" t="s">
        <v>2295</v>
      </c>
      <c r="C90" s="4565">
        <f>D90/D99</f>
        <v>5.5879694373721811E-2</v>
      </c>
      <c r="D90" s="3212">
        <f>F30</f>
        <v>3158.4447164513967</v>
      </c>
      <c r="E90" s="4565">
        <f>F90/F99</f>
        <v>4.6198083736625033E-2</v>
      </c>
      <c r="F90" s="3212">
        <f>E30</f>
        <v>2770.1035343387657</v>
      </c>
      <c r="G90" s="3213">
        <f t="shared" ref="G90:H99" si="22">C90-E90</f>
        <v>9.6816106370967783E-3</v>
      </c>
      <c r="H90" s="3212">
        <f t="shared" si="22"/>
        <v>388.34118211263103</v>
      </c>
    </row>
    <row r="91" spans="2:8" s="391" customFormat="1" ht="34.200000000000003" customHeight="1" x14ac:dyDescent="0.3">
      <c r="B91" s="713" t="s">
        <v>2392</v>
      </c>
      <c r="C91" s="4565">
        <f>D91/D99</f>
        <v>0.24969083793762459</v>
      </c>
      <c r="D91" s="3212">
        <f>F26</f>
        <v>14113.081982088981</v>
      </c>
      <c r="E91" s="4565">
        <f>F91/F99</f>
        <v>0.42375211105638766</v>
      </c>
      <c r="F91" s="3212">
        <f>E26</f>
        <v>25408.785940405032</v>
      </c>
      <c r="G91" s="3213">
        <f t="shared" si="22"/>
        <v>-0.17406127311876307</v>
      </c>
      <c r="H91" s="3212">
        <f t="shared" si="22"/>
        <v>-11295.703958316051</v>
      </c>
    </row>
    <row r="92" spans="2:8" s="391" customFormat="1" ht="15.6" x14ac:dyDescent="0.3">
      <c r="B92" s="778" t="s">
        <v>43</v>
      </c>
      <c r="C92" s="4565">
        <f>D92/D99</f>
        <v>0.26886364193642526</v>
      </c>
      <c r="D92" s="3212">
        <f>F14</f>
        <v>15196.771543534536</v>
      </c>
      <c r="E92" s="4565">
        <f>F92/F99</f>
        <v>0.16580506319158445</v>
      </c>
      <c r="F92" s="3212">
        <f>E14</f>
        <v>9941.9100189679011</v>
      </c>
      <c r="G92" s="3213">
        <f t="shared" si="22"/>
        <v>0.10305857874484081</v>
      </c>
      <c r="H92" s="3212">
        <f t="shared" si="22"/>
        <v>5254.8615245666351</v>
      </c>
    </row>
    <row r="93" spans="2:8" s="391" customFormat="1" ht="15.6" x14ac:dyDescent="0.3">
      <c r="B93" s="778" t="s">
        <v>2297</v>
      </c>
      <c r="C93" s="4565">
        <f>D93/D99</f>
        <v>1.1538949888332633E-2</v>
      </c>
      <c r="D93" s="3212">
        <f>F15</f>
        <v>652.20713385541455</v>
      </c>
      <c r="E93" s="4565">
        <f>F93/F99</f>
        <v>1.2293199560896115E-2</v>
      </c>
      <c r="F93" s="3212">
        <f>E15</f>
        <v>737.11792346428263</v>
      </c>
      <c r="G93" s="3213">
        <f t="shared" si="22"/>
        <v>-7.5424967256348258E-4</v>
      </c>
      <c r="H93" s="3212">
        <f t="shared" si="22"/>
        <v>-84.910789608868072</v>
      </c>
    </row>
    <row r="94" spans="2:8" s="391" customFormat="1" ht="15.6" x14ac:dyDescent="0.3">
      <c r="B94" s="778" t="s">
        <v>460</v>
      </c>
      <c r="C94" s="4565">
        <f>D94/D99</f>
        <v>8.657000586841454E-2</v>
      </c>
      <c r="D94" s="3212">
        <f>F31+F32</f>
        <v>4893.1294399999952</v>
      </c>
      <c r="E94" s="4565">
        <f>F94/F99</f>
        <v>6.9819925583225889E-2</v>
      </c>
      <c r="F94" s="3212">
        <f>E31+E32</f>
        <v>4186.5031399999998</v>
      </c>
      <c r="G94" s="3213">
        <f t="shared" si="22"/>
        <v>1.6750080285188651E-2</v>
      </c>
      <c r="H94" s="3212">
        <f t="shared" si="22"/>
        <v>706.62629999999535</v>
      </c>
    </row>
    <row r="95" spans="2:8" s="391" customFormat="1" ht="15.6" x14ac:dyDescent="0.3">
      <c r="B95" s="778" t="s">
        <v>2298</v>
      </c>
      <c r="C95" s="4565">
        <f>D95/D99</f>
        <v>2.8916058593237798E-6</v>
      </c>
      <c r="D95" s="3212">
        <f>F69</f>
        <v>0.16344</v>
      </c>
      <c r="E95" s="4565">
        <f>F95/F99</f>
        <v>2.5956682353696444E-6</v>
      </c>
      <c r="F95" s="3212">
        <f>E69</f>
        <v>0.15563999999999997</v>
      </c>
      <c r="G95" s="3213">
        <f t="shared" si="22"/>
        <v>2.9593762395413539E-7</v>
      </c>
      <c r="H95" s="3212">
        <f t="shared" si="22"/>
        <v>7.8000000000000291E-3</v>
      </c>
    </row>
    <row r="96" spans="2:8" s="391" customFormat="1" ht="15.6" x14ac:dyDescent="0.3">
      <c r="B96" s="778" t="s">
        <v>2299</v>
      </c>
      <c r="C96" s="4565">
        <f>D96/D99</f>
        <v>4.8272497230685843E-2</v>
      </c>
      <c r="D96" s="3212">
        <f>F34+F35</f>
        <v>2728.4690000000001</v>
      </c>
      <c r="E96" s="4565">
        <f>F96/F99</f>
        <v>5.0344984487569085E-2</v>
      </c>
      <c r="F96" s="3212">
        <f>E34+E35</f>
        <v>3018.7576666666664</v>
      </c>
      <c r="G96" s="3213">
        <f t="shared" si="22"/>
        <v>-2.0724872568832417E-3</v>
      </c>
      <c r="H96" s="3212">
        <f t="shared" si="22"/>
        <v>-290.28866666666636</v>
      </c>
    </row>
    <row r="97" spans="2:8" s="391" customFormat="1" ht="15.6" x14ac:dyDescent="0.3">
      <c r="B97" s="778" t="s">
        <v>2300</v>
      </c>
      <c r="C97" s="4565">
        <f>D97/D99</f>
        <v>2.2273967597547031E-2</v>
      </c>
      <c r="D97" s="3212">
        <f>F12-D89-D90-D91-D92-D93-D94-D95-D96</f>
        <v>1258.9742313616803</v>
      </c>
      <c r="E97" s="4565">
        <f>F97/F99</f>
        <v>1.9304203293946141E-2</v>
      </c>
      <c r="F97" s="3212">
        <f>E12-F89-F90-F91-F92-F93-F94-F95-F96</f>
        <v>1157.5077892194149</v>
      </c>
      <c r="G97" s="3213">
        <f t="shared" si="22"/>
        <v>2.9697643036008907E-3</v>
      </c>
      <c r="H97" s="3212">
        <f t="shared" si="22"/>
        <v>101.46644214226535</v>
      </c>
    </row>
    <row r="98" spans="2:8" s="391" customFormat="1" ht="15.6" x14ac:dyDescent="0.3">
      <c r="B98" s="778" t="s">
        <v>2304</v>
      </c>
      <c r="C98" s="4565">
        <f>D98/D99</f>
        <v>0</v>
      </c>
      <c r="D98" s="3212"/>
      <c r="E98" s="4565">
        <f>F98/F99</f>
        <v>0</v>
      </c>
      <c r="F98" s="3212"/>
      <c r="G98" s="3213">
        <f t="shared" si="22"/>
        <v>0</v>
      </c>
      <c r="H98" s="3212">
        <f t="shared" si="22"/>
        <v>0</v>
      </c>
    </row>
    <row r="99" spans="2:8" s="391" customFormat="1" ht="15.6" x14ac:dyDescent="0.3">
      <c r="B99" s="1160" t="s">
        <v>1934</v>
      </c>
      <c r="C99" s="4566">
        <f>SUM(C89:C98)</f>
        <v>1</v>
      </c>
      <c r="D99" s="3212">
        <f>F12</f>
        <v>56522.226040246533</v>
      </c>
      <c r="E99" s="4566">
        <f>SUM(E89:E98)</f>
        <v>1</v>
      </c>
      <c r="F99" s="3212">
        <f>E12</f>
        <v>59961.43801399009</v>
      </c>
      <c r="G99" s="3213">
        <f t="shared" si="22"/>
        <v>0</v>
      </c>
      <c r="H99" s="3212">
        <f t="shared" si="22"/>
        <v>-3439.2119737435569</v>
      </c>
    </row>
    <row r="100" spans="2:8" s="391" customFormat="1" ht="13.2" x14ac:dyDescent="0.25"/>
  </sheetData>
  <autoFilter ref="A10:K74" xr:uid="{00000000-0009-0000-0000-000013000000}"/>
  <mergeCells count="16">
    <mergeCell ref="G4:H4"/>
    <mergeCell ref="F7:H7"/>
    <mergeCell ref="J26:K26"/>
    <mergeCell ref="B86:H86"/>
    <mergeCell ref="E87:F87"/>
    <mergeCell ref="B6:B8"/>
    <mergeCell ref="F6:H6"/>
    <mergeCell ref="E7:E8"/>
    <mergeCell ref="C6:C7"/>
    <mergeCell ref="D6:D7"/>
    <mergeCell ref="C77:D77"/>
    <mergeCell ref="C78:D78"/>
    <mergeCell ref="C79:D79"/>
    <mergeCell ref="C80:D80"/>
    <mergeCell ref="F77:H77"/>
    <mergeCell ref="F79:H79"/>
  </mergeCells>
  <conditionalFormatting sqref="B80:C80 E80:H80">
    <cfRule type="expression" dxfId="76" priority="15" stopIfTrue="1">
      <formula>ABS(#REF!-(#REF!+$D80+#REF!+#REF!))&gt;Откл</formula>
    </cfRule>
    <cfRule type="expression" dxfId="75" priority="16" stopIfTrue="1">
      <formula>ABS(#REF!-(#REF!+$D80+#REF!+#REF!))&gt;Откл</formula>
    </cfRule>
  </conditionalFormatting>
  <conditionalFormatting sqref="C80">
    <cfRule type="expression" dxfId="74" priority="1" stopIfTrue="1">
      <formula>ABS(#REF!-(#REF!+$D80+$I80+#REF!))&gt;Откл</formula>
    </cfRule>
  </conditionalFormatting>
  <conditionalFormatting sqref="F80:H80">
    <cfRule type="expression" dxfId="73" priority="18" stopIfTrue="1">
      <formula>ABS(#REF!-(#REF!+$D80+$I80+#REF!))&gt;Откл</formula>
    </cfRule>
  </conditionalFormatting>
  <pageMargins left="0.31496062992125984" right="0.19685039370078741" top="0.74803149606299213" bottom="0.65" header="0.31496062992125984" footer="0.31496062992125984"/>
  <pageSetup paperSize="9" scale="75" fitToHeight="7" orientation="portrait" horizontalDpi="0" verticalDpi="0" r:id="rId1"/>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Лист20">
    <tabColor theme="7"/>
    <pageSetUpPr fitToPage="1"/>
  </sheetPr>
  <dimension ref="A1:P84"/>
  <sheetViews>
    <sheetView topLeftCell="A6" zoomScale="75" zoomScaleNormal="75" workbookViewId="0">
      <pane xSplit="2" ySplit="3" topLeftCell="C63" activePane="bottomRight" state="frozen"/>
      <selection activeCell="A6" sqref="A6"/>
      <selection pane="topRight" activeCell="C6" sqref="C6"/>
      <selection pane="bottomLeft" activeCell="A9" sqref="A9"/>
      <selection pane="bottomRight" activeCell="D25" sqref="D25"/>
    </sheetView>
  </sheetViews>
  <sheetFormatPr defaultColWidth="9.109375" defaultRowHeight="15.6" x14ac:dyDescent="0.3"/>
  <cols>
    <col min="1" max="1" width="4.6640625" style="391" customWidth="1"/>
    <col min="2" max="2" width="60.88671875" style="391" customWidth="1"/>
    <col min="3" max="6" width="13.5546875" style="391" customWidth="1"/>
    <col min="7" max="10" width="13.44140625" style="391" customWidth="1"/>
    <col min="11" max="11" width="15.33203125" style="389" customWidth="1"/>
    <col min="12" max="12" width="14" style="391" customWidth="1"/>
    <col min="13" max="13" width="21" style="391" customWidth="1"/>
    <col min="14" max="14" width="12" style="391" customWidth="1"/>
    <col min="15" max="16" width="10.6640625" style="391" bestFit="1" customWidth="1"/>
    <col min="17" max="16384" width="9.109375" style="391"/>
  </cols>
  <sheetData>
    <row r="1" spans="2:16" ht="19.5" customHeight="1" x14ac:dyDescent="0.3">
      <c r="F1" s="392" t="s">
        <v>821</v>
      </c>
      <c r="M1" s="893">
        <v>387950.80000000005</v>
      </c>
      <c r="N1" s="893">
        <v>520565.06000000011</v>
      </c>
      <c r="O1" s="893">
        <v>388861.62806786661</v>
      </c>
      <c r="P1" s="399">
        <v>605005.93065325962</v>
      </c>
    </row>
    <row r="2" spans="2:16" x14ac:dyDescent="0.3">
      <c r="B2" s="389"/>
      <c r="C2" s="389"/>
      <c r="D2" s="389"/>
      <c r="E2" s="389"/>
      <c r="F2" s="389"/>
      <c r="G2" s="389"/>
      <c r="M2" s="399">
        <f>M1/1000-C9</f>
        <v>-392.95138999999995</v>
      </c>
      <c r="N2" s="399">
        <f>N1/1000-D9</f>
        <v>-1083.7839199999999</v>
      </c>
      <c r="O2" s="399">
        <f>O1/1000-E9</f>
        <v>-1313.9608620491629</v>
      </c>
      <c r="P2" s="399">
        <f>P1/1000-F9</f>
        <v>-1211.642709318314</v>
      </c>
    </row>
    <row r="3" spans="2:16" ht="18" customHeight="1" x14ac:dyDescent="0.3"/>
    <row r="4" spans="2:16" ht="17.399999999999999" x14ac:dyDescent="0.3">
      <c r="B4" s="394" t="s">
        <v>1664</v>
      </c>
      <c r="C4" s="395" t="str">
        <f>'Вхідні дані'!$F$5</f>
        <v>КП «КТЕ"</v>
      </c>
      <c r="E4" s="395"/>
      <c r="F4" s="395" t="s">
        <v>461</v>
      </c>
      <c r="G4" s="395" t="str">
        <f>'Вхідні дані'!$F$6</f>
        <v>2023-2024</v>
      </c>
      <c r="H4" s="395" t="s">
        <v>661</v>
      </c>
      <c r="J4" s="394"/>
      <c r="K4" s="511"/>
      <c r="L4" s="394">
        <f>ФОП!G24</f>
        <v>2</v>
      </c>
      <c r="M4" s="391" t="s">
        <v>1697</v>
      </c>
    </row>
    <row r="5" spans="2:16" ht="17.399999999999999" x14ac:dyDescent="0.3">
      <c r="B5" s="394"/>
      <c r="F5" s="424"/>
      <c r="G5" s="424"/>
      <c r="H5" s="425"/>
      <c r="I5" s="395"/>
      <c r="J5" s="394"/>
      <c r="K5" s="511"/>
      <c r="L5" s="394"/>
    </row>
    <row r="6" spans="2:16" ht="18.600000000000001" thickBot="1" x14ac:dyDescent="0.4">
      <c r="B6" s="419" t="s">
        <v>2229</v>
      </c>
      <c r="F6" s="497">
        <f>SUM(G6:J6)</f>
        <v>1</v>
      </c>
      <c r="G6" s="497">
        <f>'Д 7_РП'!$G$76</f>
        <v>0.8304941807864169</v>
      </c>
      <c r="H6" s="497">
        <f>'Д 7_РП'!$G$84</f>
        <v>1.3453684326213041E-4</v>
      </c>
      <c r="I6" s="497">
        <f>'Д 7_РП'!$G$88</f>
        <v>0.1267215055708889</v>
      </c>
      <c r="J6" s="497">
        <f>'Д 7_РП'!$G$92</f>
        <v>4.2649776799432118E-2</v>
      </c>
      <c r="K6" s="512"/>
      <c r="L6" s="497"/>
    </row>
    <row r="7" spans="2:16" ht="18" thickBot="1" x14ac:dyDescent="0.3">
      <c r="B7" s="5089" t="s">
        <v>8</v>
      </c>
      <c r="C7" s="4567" t="s">
        <v>932</v>
      </c>
      <c r="D7" s="4567" t="s">
        <v>932</v>
      </c>
      <c r="E7" s="4567" t="s">
        <v>942</v>
      </c>
      <c r="F7" s="4567" t="s">
        <v>933</v>
      </c>
      <c r="G7" s="5116" t="s">
        <v>907</v>
      </c>
      <c r="H7" s="5117"/>
      <c r="I7" s="5117"/>
      <c r="J7" s="5118"/>
      <c r="K7" s="513"/>
      <c r="L7" s="507"/>
    </row>
    <row r="8" spans="2:16" ht="51" thickBot="1" x14ac:dyDescent="0.3">
      <c r="B8" s="5090"/>
      <c r="C8" s="4567">
        <f>'Вхідні дані'!$F$8</f>
        <v>2021</v>
      </c>
      <c r="D8" s="4567">
        <f>'Вхідні дані'!$F$7</f>
        <v>2022</v>
      </c>
      <c r="E8" s="4568" t="str">
        <f>'Вхідні дані'!$F$9</f>
        <v>Ріш. №296 від 25.10.2022</v>
      </c>
      <c r="F8" s="4567" t="str">
        <f>'Вхідні дані'!$F$6</f>
        <v>2023-2024</v>
      </c>
      <c r="G8" s="4569" t="str">
        <f>'Вхідні дані'!$C$11</f>
        <v>населення</v>
      </c>
      <c r="H8" s="4569" t="str">
        <f>'Вхідні дані'!$D$11</f>
        <v>релігійні організації</v>
      </c>
      <c r="I8" s="4569" t="str">
        <f>'Вхідні дані'!$E$11</f>
        <v>бюджетні установи</v>
      </c>
      <c r="J8" s="4569" t="str">
        <f>'Вхідні дані'!$F$11</f>
        <v>інші споживачі</v>
      </c>
      <c r="K8" s="513"/>
      <c r="L8" s="508"/>
    </row>
    <row r="9" spans="2:16" ht="34.799999999999997" x14ac:dyDescent="0.3">
      <c r="B9" s="400" t="s">
        <v>1658</v>
      </c>
      <c r="C9" s="401">
        <f>C10+C21+C23</f>
        <v>780.90219000000002</v>
      </c>
      <c r="D9" s="401">
        <f t="shared" ref="D9:J9" si="0">D10+D21+D23</f>
        <v>1604.34898</v>
      </c>
      <c r="E9" s="401">
        <f t="shared" si="0"/>
        <v>1702.8224901170295</v>
      </c>
      <c r="F9" s="1578">
        <f t="shared" si="0"/>
        <v>1816.6486399715736</v>
      </c>
      <c r="G9" s="401">
        <f t="shared" si="0"/>
        <v>1508.7161240299506</v>
      </c>
      <c r="H9" s="401">
        <f t="shared" si="0"/>
        <v>0.24440617333821807</v>
      </c>
      <c r="I9" s="401">
        <f t="shared" si="0"/>
        <v>230.20845075050556</v>
      </c>
      <c r="J9" s="401">
        <f t="shared" si="0"/>
        <v>77.479659017779539</v>
      </c>
      <c r="K9" s="514"/>
      <c r="L9" s="504">
        <f>F9-1812.63</f>
        <v>4.0186399715735206</v>
      </c>
      <c r="M9" s="399"/>
      <c r="O9" s="399">
        <f>F9-G9-H9-I9-J9</f>
        <v>-3.1263880373444408E-13</v>
      </c>
    </row>
    <row r="10" spans="2:16" ht="17.399999999999999" x14ac:dyDescent="0.3">
      <c r="B10" s="404" t="s">
        <v>1657</v>
      </c>
      <c r="C10" s="405">
        <f>SUM(C11:C20)</f>
        <v>15.5435</v>
      </c>
      <c r="D10" s="405">
        <f t="shared" ref="D10:J10" si="1">SUM(D11:D20)</f>
        <v>15.313230000000001</v>
      </c>
      <c r="E10" s="405">
        <f t="shared" si="1"/>
        <v>16.507197000000001</v>
      </c>
      <c r="F10" s="1579">
        <f>SUM(F11:F20)</f>
        <v>16.205225647500001</v>
      </c>
      <c r="G10" s="405">
        <f t="shared" si="1"/>
        <v>13.458345598579543</v>
      </c>
      <c r="H10" s="405">
        <f t="shared" si="1"/>
        <v>2.180199902965163E-3</v>
      </c>
      <c r="I10" s="405">
        <f t="shared" si="1"/>
        <v>2.0535505921671828</v>
      </c>
      <c r="J10" s="405">
        <f t="shared" si="1"/>
        <v>0.69114925685030781</v>
      </c>
      <c r="K10" s="515"/>
      <c r="L10" s="505"/>
      <c r="O10" s="399">
        <f t="shared" ref="O10:O63" si="2">F10-G10-H10-I10-J10</f>
        <v>1.8873791418627661E-15</v>
      </c>
    </row>
    <row r="11" spans="2:16" ht="18" x14ac:dyDescent="0.35">
      <c r="B11" s="406" t="s">
        <v>934</v>
      </c>
      <c r="C11" s="407"/>
      <c r="D11" s="407"/>
      <c r="E11" s="407"/>
      <c r="F11" s="1580"/>
      <c r="G11" s="409">
        <f t="shared" ref="G11:G22" si="3">F11*$G$6</f>
        <v>0</v>
      </c>
      <c r="H11" s="409">
        <f t="shared" ref="H11:H22" si="4">F11*$H$6</f>
        <v>0</v>
      </c>
      <c r="I11" s="409">
        <f t="shared" ref="I11:I22" si="5">F11*$I$6</f>
        <v>0</v>
      </c>
      <c r="J11" s="409">
        <f t="shared" ref="J11:J22" si="6">F11*$J$6</f>
        <v>0</v>
      </c>
      <c r="K11" s="517"/>
      <c r="L11" s="506"/>
      <c r="O11" s="399">
        <f t="shared" si="2"/>
        <v>0</v>
      </c>
    </row>
    <row r="12" spans="2:16" ht="18" x14ac:dyDescent="0.35">
      <c r="B12" s="406" t="s">
        <v>935</v>
      </c>
      <c r="C12" s="407"/>
      <c r="D12" s="407"/>
      <c r="E12" s="407"/>
      <c r="F12" s="1580"/>
      <c r="G12" s="409">
        <f t="shared" si="3"/>
        <v>0</v>
      </c>
      <c r="H12" s="409">
        <f t="shared" si="4"/>
        <v>0</v>
      </c>
      <c r="I12" s="409">
        <f t="shared" si="5"/>
        <v>0</v>
      </c>
      <c r="J12" s="409">
        <f t="shared" si="6"/>
        <v>0</v>
      </c>
      <c r="K12" s="517"/>
      <c r="L12" s="506"/>
      <c r="O12" s="399">
        <f t="shared" si="2"/>
        <v>0</v>
      </c>
    </row>
    <row r="13" spans="2:16" ht="18" x14ac:dyDescent="0.35">
      <c r="B13" s="406" t="s">
        <v>936</v>
      </c>
      <c r="C13" s="462">
        <v>13.824</v>
      </c>
      <c r="D13" s="462">
        <v>4.44862</v>
      </c>
      <c r="E13" s="462">
        <v>14.681088000000001</v>
      </c>
      <c r="F13" s="1580">
        <f>D13*'Вхідні дані'!D71</f>
        <v>4.7077521149999999</v>
      </c>
      <c r="G13" s="409">
        <f t="shared" si="3"/>
        <v>3.9097607360924465</v>
      </c>
      <c r="H13" s="409">
        <f t="shared" si="4"/>
        <v>6.3336610841271794E-4</v>
      </c>
      <c r="I13" s="409">
        <f t="shared" si="5"/>
        <v>0.59657343586733647</v>
      </c>
      <c r="J13" s="409">
        <f t="shared" si="6"/>
        <v>0.20078457693180449</v>
      </c>
      <c r="K13" s="391" t="s">
        <v>1677</v>
      </c>
      <c r="L13" s="506"/>
      <c r="M13" s="399"/>
      <c r="N13" s="399"/>
      <c r="O13" s="399">
        <f t="shared" si="2"/>
        <v>0</v>
      </c>
    </row>
    <row r="14" spans="2:16" ht="18" customHeight="1" x14ac:dyDescent="0.35">
      <c r="B14" s="406" t="s">
        <v>1570</v>
      </c>
      <c r="C14" s="462"/>
      <c r="D14" s="462"/>
      <c r="E14" s="407"/>
      <c r="F14" s="1580"/>
      <c r="G14" s="409">
        <f t="shared" si="3"/>
        <v>0</v>
      </c>
      <c r="H14" s="409">
        <f t="shared" si="4"/>
        <v>0</v>
      </c>
      <c r="I14" s="409">
        <f t="shared" si="5"/>
        <v>0</v>
      </c>
      <c r="J14" s="409">
        <f t="shared" si="6"/>
        <v>0</v>
      </c>
      <c r="K14" s="517"/>
      <c r="L14" s="506"/>
      <c r="M14" s="399"/>
      <c r="N14" s="399"/>
      <c r="O14" s="399">
        <f t="shared" si="2"/>
        <v>0</v>
      </c>
    </row>
    <row r="15" spans="2:16" ht="18" x14ac:dyDescent="0.35">
      <c r="B15" s="406" t="s">
        <v>915</v>
      </c>
      <c r="C15" s="407"/>
      <c r="D15" s="407"/>
      <c r="E15" s="407"/>
      <c r="F15" s="1580"/>
      <c r="G15" s="409">
        <f t="shared" si="3"/>
        <v>0</v>
      </c>
      <c r="H15" s="409">
        <f t="shared" si="4"/>
        <v>0</v>
      </c>
      <c r="I15" s="409">
        <f t="shared" si="5"/>
        <v>0</v>
      </c>
      <c r="J15" s="409">
        <f t="shared" si="6"/>
        <v>0</v>
      </c>
      <c r="K15" s="517"/>
      <c r="L15" s="506"/>
      <c r="M15" s="399"/>
      <c r="N15" s="399"/>
      <c r="O15" s="399">
        <f t="shared" si="2"/>
        <v>0</v>
      </c>
    </row>
    <row r="16" spans="2:16" ht="18" x14ac:dyDescent="0.35">
      <c r="B16" s="406" t="s">
        <v>937</v>
      </c>
      <c r="C16" s="462">
        <v>0.1125</v>
      </c>
      <c r="D16" s="462">
        <v>10.864610000000001</v>
      </c>
      <c r="E16" s="407">
        <v>0.11947500000000001</v>
      </c>
      <c r="F16" s="1580">
        <f>(D16)*'Вхідні дані'!D71</f>
        <v>11.497473532499999</v>
      </c>
      <c r="G16" s="409">
        <f t="shared" si="3"/>
        <v>9.5485848624870968</v>
      </c>
      <c r="H16" s="409">
        <f t="shared" si="4"/>
        <v>1.5468337945524452E-3</v>
      </c>
      <c r="I16" s="409">
        <f t="shared" si="5"/>
        <v>1.4569771562998464</v>
      </c>
      <c r="J16" s="409">
        <f t="shared" si="6"/>
        <v>0.4903646799185033</v>
      </c>
      <c r="K16" s="391" t="s">
        <v>1677</v>
      </c>
      <c r="M16" s="399"/>
      <c r="N16" s="399"/>
      <c r="O16" s="399">
        <f t="shared" si="2"/>
        <v>0</v>
      </c>
    </row>
    <row r="17" spans="1:16" ht="18" x14ac:dyDescent="0.35">
      <c r="B17" s="406" t="s">
        <v>938</v>
      </c>
      <c r="C17" s="407"/>
      <c r="D17" s="407"/>
      <c r="E17" s="407"/>
      <c r="F17" s="1580"/>
      <c r="G17" s="409">
        <f t="shared" si="3"/>
        <v>0</v>
      </c>
      <c r="H17" s="409">
        <f t="shared" si="4"/>
        <v>0</v>
      </c>
      <c r="I17" s="409">
        <f t="shared" si="5"/>
        <v>0</v>
      </c>
      <c r="J17" s="409">
        <f t="shared" si="6"/>
        <v>0</v>
      </c>
      <c r="K17" s="517"/>
      <c r="L17" s="506"/>
      <c r="M17" s="399"/>
      <c r="N17" s="399"/>
      <c r="O17" s="399">
        <f t="shared" si="2"/>
        <v>0</v>
      </c>
    </row>
    <row r="18" spans="1:16" ht="18" x14ac:dyDescent="0.35">
      <c r="B18" s="406" t="s">
        <v>939</v>
      </c>
      <c r="C18" s="462">
        <v>1.607</v>
      </c>
      <c r="D18" s="650"/>
      <c r="E18" s="407">
        <v>1.706634</v>
      </c>
      <c r="F18" s="1580">
        <f>D18*'Вхідні дані'!D71</f>
        <v>0</v>
      </c>
      <c r="G18" s="409">
        <f t="shared" si="3"/>
        <v>0</v>
      </c>
      <c r="H18" s="409">
        <f t="shared" si="4"/>
        <v>0</v>
      </c>
      <c r="I18" s="409">
        <f t="shared" si="5"/>
        <v>0</v>
      </c>
      <c r="J18" s="409">
        <f t="shared" si="6"/>
        <v>0</v>
      </c>
      <c r="K18" s="391" t="s">
        <v>1677</v>
      </c>
      <c r="L18" s="506"/>
      <c r="M18" s="399"/>
      <c r="N18" s="399"/>
      <c r="O18" s="399">
        <f t="shared" si="2"/>
        <v>0</v>
      </c>
    </row>
    <row r="19" spans="1:16" ht="18" x14ac:dyDescent="0.35">
      <c r="B19" s="406" t="s">
        <v>940</v>
      </c>
      <c r="C19" s="407"/>
      <c r="D19" s="407"/>
      <c r="E19" s="407">
        <v>0</v>
      </c>
      <c r="F19" s="1580">
        <f>ОП!F6</f>
        <v>0</v>
      </c>
      <c r="G19" s="409">
        <f t="shared" si="3"/>
        <v>0</v>
      </c>
      <c r="H19" s="409">
        <f t="shared" si="4"/>
        <v>0</v>
      </c>
      <c r="I19" s="409">
        <f t="shared" si="5"/>
        <v>0</v>
      </c>
      <c r="J19" s="409">
        <f t="shared" si="6"/>
        <v>0</v>
      </c>
      <c r="K19" s="391"/>
      <c r="L19" s="506"/>
      <c r="M19" s="399"/>
      <c r="N19" s="399"/>
      <c r="O19" s="399">
        <f t="shared" si="2"/>
        <v>0</v>
      </c>
    </row>
    <row r="20" spans="1:16" ht="18" x14ac:dyDescent="0.35">
      <c r="B20" s="406" t="s">
        <v>941</v>
      </c>
      <c r="C20" s="407"/>
      <c r="D20" s="407"/>
      <c r="E20" s="407">
        <v>0</v>
      </c>
      <c r="F20" s="1580">
        <f>ОП!F8</f>
        <v>0</v>
      </c>
      <c r="G20" s="409">
        <f t="shared" si="3"/>
        <v>0</v>
      </c>
      <c r="H20" s="409">
        <f t="shared" si="4"/>
        <v>0</v>
      </c>
      <c r="I20" s="409">
        <f t="shared" si="5"/>
        <v>0</v>
      </c>
      <c r="J20" s="409">
        <f t="shared" si="6"/>
        <v>0</v>
      </c>
      <c r="K20" s="391"/>
      <c r="L20" s="506"/>
      <c r="O20" s="399">
        <f t="shared" si="2"/>
        <v>0</v>
      </c>
    </row>
    <row r="21" spans="1:16" ht="18" x14ac:dyDescent="0.35">
      <c r="B21" s="410" t="s">
        <v>1659</v>
      </c>
      <c r="C21" s="405">
        <v>586.92831000000001</v>
      </c>
      <c r="D21" s="405">
        <v>565.58097999999995</v>
      </c>
      <c r="E21" s="405">
        <v>684.72567299999992</v>
      </c>
      <c r="F21" s="1579">
        <f>ФОП!H24/1000</f>
        <v>754.48063799999989</v>
      </c>
      <c r="G21" s="405">
        <f t="shared" si="3"/>
        <v>626.59177937502307</v>
      </c>
      <c r="H21" s="405">
        <f t="shared" si="4"/>
        <v>0.10150544333891814</v>
      </c>
      <c r="I21" s="405">
        <f t="shared" si="5"/>
        <v>95.608922371444805</v>
      </c>
      <c r="J21" s="405">
        <f t="shared" si="6"/>
        <v>32.178430810193134</v>
      </c>
      <c r="K21" s="391" t="s">
        <v>1663</v>
      </c>
      <c r="L21" s="506"/>
      <c r="O21" s="399">
        <f t="shared" si="2"/>
        <v>0</v>
      </c>
    </row>
    <row r="22" spans="1:16" ht="18" x14ac:dyDescent="0.35">
      <c r="B22" s="463" t="s">
        <v>917</v>
      </c>
      <c r="C22" s="407"/>
      <c r="D22" s="407"/>
      <c r="E22" s="407">
        <v>0</v>
      </c>
      <c r="F22" s="1581">
        <f>ФОП!H25/1000</f>
        <v>0</v>
      </c>
      <c r="G22" s="409">
        <f t="shared" si="3"/>
        <v>0</v>
      </c>
      <c r="H22" s="409">
        <f t="shared" si="4"/>
        <v>0</v>
      </c>
      <c r="I22" s="409">
        <f t="shared" si="5"/>
        <v>0</v>
      </c>
      <c r="J22" s="409">
        <f t="shared" si="6"/>
        <v>0</v>
      </c>
      <c r="K22" s="517"/>
      <c r="L22" s="506"/>
      <c r="O22" s="399">
        <f t="shared" si="2"/>
        <v>0</v>
      </c>
    </row>
    <row r="23" spans="1:16" ht="17.399999999999999" x14ac:dyDescent="0.3">
      <c r="B23" s="410" t="s">
        <v>1660</v>
      </c>
      <c r="C23" s="413">
        <f>SUM(C24:C63)</f>
        <v>178.43038000000001</v>
      </c>
      <c r="D23" s="413">
        <f t="shared" ref="D23:J23" si="7">SUM(D24:D63)</f>
        <v>1023.4547700000001</v>
      </c>
      <c r="E23" s="413">
        <f t="shared" si="7"/>
        <v>1001.5896201170295</v>
      </c>
      <c r="F23" s="1582">
        <f t="shared" si="7"/>
        <v>1045.9627763240737</v>
      </c>
      <c r="G23" s="413">
        <f t="shared" si="7"/>
        <v>868.66599905634791</v>
      </c>
      <c r="H23" s="413">
        <f t="shared" si="7"/>
        <v>0.14072053009633476</v>
      </c>
      <c r="I23" s="413">
        <f t="shared" si="7"/>
        <v>132.54597778689356</v>
      </c>
      <c r="J23" s="413">
        <f t="shared" si="7"/>
        <v>44.610078950736096</v>
      </c>
      <c r="K23" s="514"/>
      <c r="L23" s="504"/>
      <c r="O23" s="399">
        <f t="shared" si="2"/>
        <v>-1.7053025658242404E-13</v>
      </c>
    </row>
    <row r="24" spans="1:16" ht="36" x14ac:dyDescent="0.35">
      <c r="B24" s="406" t="s">
        <v>548</v>
      </c>
      <c r="C24" s="407">
        <v>127.35957000000001</v>
      </c>
      <c r="D24" s="407">
        <v>124.51048</v>
      </c>
      <c r="E24" s="407">
        <v>150.63964805999998</v>
      </c>
      <c r="F24" s="1583">
        <f>(F21-F22)*'Вхідні дані'!D43+'Вхідні дані'!D44*F22</f>
        <v>165.98574035999997</v>
      </c>
      <c r="G24" s="409">
        <f t="shared" ref="G24:G63" si="8">F24*$G$6</f>
        <v>137.85019146250508</v>
      </c>
      <c r="H24" s="409">
        <f>F24*$H$6</f>
        <v>2.2331197534561989E-2</v>
      </c>
      <c r="I24" s="409">
        <f>F24*$I$6</f>
        <v>21.033962921717855</v>
      </c>
      <c r="J24" s="409">
        <f>F24*$J$6</f>
        <v>7.0792547782424897</v>
      </c>
      <c r="K24" s="391" t="s">
        <v>1663</v>
      </c>
      <c r="L24" s="506"/>
      <c r="N24" s="399"/>
      <c r="O24" s="399">
        <f t="shared" si="2"/>
        <v>-2.1316282072803006E-14</v>
      </c>
    </row>
    <row r="25" spans="1:16" s="411" customFormat="1" ht="18" x14ac:dyDescent="0.35">
      <c r="A25" s="391"/>
      <c r="B25" s="406" t="s">
        <v>3319</v>
      </c>
      <c r="C25" s="407">
        <v>28.322400000000002</v>
      </c>
      <c r="D25" s="407">
        <f>876.56+11.17</f>
        <v>887.7299999999999</v>
      </c>
      <c r="E25" s="407">
        <f>807.411600000001+19.464</f>
        <v>826.87560000000099</v>
      </c>
      <c r="F25" s="1583">
        <f>Амортизація!G14/1000</f>
        <v>843.99335000000065</v>
      </c>
      <c r="G25" s="409">
        <f t="shared" si="8"/>
        <v>700.93156579743413</v>
      </c>
      <c r="H25" s="409">
        <f t="shared" ref="H25:H31" si="9">F25*$H$6</f>
        <v>0.11354820104323046</v>
      </c>
      <c r="I25" s="409">
        <f t="shared" ref="I25:I31" si="10">F25*$I$6</f>
        <v>106.95210800381827</v>
      </c>
      <c r="J25" s="409">
        <f t="shared" ref="J25:J31" si="11">F25*$J$6</f>
        <v>35.996127997705017</v>
      </c>
      <c r="K25" s="528" t="s">
        <v>1727</v>
      </c>
      <c r="L25" s="506"/>
      <c r="N25" s="391"/>
      <c r="O25" s="399">
        <f t="shared" si="2"/>
        <v>0</v>
      </c>
      <c r="P25" s="529"/>
    </row>
    <row r="26" spans="1:16" s="411" customFormat="1" ht="36.6" customHeight="1" x14ac:dyDescent="0.35">
      <c r="A26" s="391" t="s">
        <v>3803</v>
      </c>
      <c r="B26" s="406" t="s">
        <v>3320</v>
      </c>
      <c r="C26" s="407"/>
      <c r="D26" s="407"/>
      <c r="E26" s="407"/>
      <c r="F26" s="1583">
        <v>0</v>
      </c>
      <c r="G26" s="409">
        <f t="shared" si="8"/>
        <v>0</v>
      </c>
      <c r="H26" s="409">
        <f t="shared" si="9"/>
        <v>0</v>
      </c>
      <c r="I26" s="409">
        <f t="shared" si="10"/>
        <v>0</v>
      </c>
      <c r="J26" s="409">
        <f t="shared" si="11"/>
        <v>0</v>
      </c>
      <c r="K26" s="528" t="s">
        <v>1727</v>
      </c>
      <c r="L26" s="506"/>
      <c r="N26" s="399"/>
      <c r="O26" s="399">
        <f t="shared" si="2"/>
        <v>0</v>
      </c>
    </row>
    <row r="27" spans="1:16" ht="18" customHeight="1" x14ac:dyDescent="0.35">
      <c r="B27" s="464" t="s">
        <v>1390</v>
      </c>
      <c r="C27" s="461"/>
      <c r="D27" s="461"/>
      <c r="E27" s="461"/>
      <c r="F27" s="1583"/>
      <c r="G27" s="409">
        <f t="shared" si="8"/>
        <v>0</v>
      </c>
      <c r="H27" s="409">
        <f t="shared" si="9"/>
        <v>0</v>
      </c>
      <c r="I27" s="409">
        <f t="shared" si="10"/>
        <v>0</v>
      </c>
      <c r="J27" s="409">
        <f t="shared" si="11"/>
        <v>0</v>
      </c>
      <c r="K27" s="517"/>
      <c r="L27" s="506"/>
      <c r="O27" s="399">
        <f t="shared" si="2"/>
        <v>0</v>
      </c>
    </row>
    <row r="28" spans="1:16" ht="18" customHeight="1" x14ac:dyDescent="0.35">
      <c r="B28" s="464" t="s">
        <v>1542</v>
      </c>
      <c r="C28" s="407"/>
      <c r="D28" s="407"/>
      <c r="E28" s="407"/>
      <c r="F28" s="1584"/>
      <c r="G28" s="409">
        <f t="shared" si="8"/>
        <v>0</v>
      </c>
      <c r="H28" s="409">
        <f t="shared" si="9"/>
        <v>0</v>
      </c>
      <c r="I28" s="409">
        <f t="shared" si="10"/>
        <v>0</v>
      </c>
      <c r="J28" s="409">
        <f t="shared" si="11"/>
        <v>0</v>
      </c>
      <c r="K28" s="517"/>
      <c r="L28" s="506"/>
      <c r="O28" s="399">
        <f t="shared" si="2"/>
        <v>0</v>
      </c>
    </row>
    <row r="29" spans="1:16" ht="36" x14ac:dyDescent="0.35">
      <c r="B29" s="464" t="s">
        <v>1394</v>
      </c>
      <c r="C29" s="407">
        <v>0.18497999999999998</v>
      </c>
      <c r="D29" s="407">
        <v>0.24067</v>
      </c>
      <c r="E29" s="407">
        <v>0.23611349999999998</v>
      </c>
      <c r="F29" s="1583">
        <f>ВОДА!N33+ВОДА!O33</f>
        <v>0.24865050000000002</v>
      </c>
      <c r="G29" s="409">
        <f t="shared" si="8"/>
        <v>0.20650279329963298</v>
      </c>
      <c r="H29" s="409">
        <f t="shared" si="9"/>
        <v>3.3452653345550361E-5</v>
      </c>
      <c r="I29" s="409">
        <f t="shared" si="10"/>
        <v>3.1509365720954315E-2</v>
      </c>
      <c r="J29" s="409">
        <f t="shared" si="11"/>
        <v>1.0604888326067197E-2</v>
      </c>
      <c r="K29" s="528" t="s">
        <v>1877</v>
      </c>
      <c r="L29" s="506"/>
      <c r="O29" s="399">
        <f t="shared" si="2"/>
        <v>0</v>
      </c>
      <c r="P29" s="529"/>
    </row>
    <row r="30" spans="1:16" ht="18" x14ac:dyDescent="0.35">
      <c r="B30" s="464" t="s">
        <v>920</v>
      </c>
      <c r="C30" s="409">
        <v>6.4406499999999998</v>
      </c>
      <c r="D30" s="409">
        <v>10.736079999999999</v>
      </c>
      <c r="E30" s="409">
        <v>14.355571455579199</v>
      </c>
      <c r="F30" s="1581">
        <f>'Д 9_ЕЕ'!D84</f>
        <v>24.449068362624004</v>
      </c>
      <c r="G30" s="409">
        <f t="shared" si="8"/>
        <v>20.304809000808525</v>
      </c>
      <c r="H30" s="409">
        <f t="shared" si="9"/>
        <v>3.2893004782074569E-3</v>
      </c>
      <c r="I30" s="409">
        <f t="shared" si="10"/>
        <v>3.0982227527173012</v>
      </c>
      <c r="J30" s="409">
        <f t="shared" si="11"/>
        <v>1.042747308619971</v>
      </c>
      <c r="K30" s="391" t="s">
        <v>1701</v>
      </c>
      <c r="O30" s="399">
        <f t="shared" si="2"/>
        <v>0</v>
      </c>
    </row>
    <row r="31" spans="1:16" ht="18" x14ac:dyDescent="0.35">
      <c r="B31" s="464"/>
      <c r="C31" s="409"/>
      <c r="D31" s="409"/>
      <c r="E31" s="409"/>
      <c r="F31" s="1581"/>
      <c r="G31" s="409">
        <f t="shared" si="8"/>
        <v>0</v>
      </c>
      <c r="H31" s="409">
        <f t="shared" si="9"/>
        <v>0</v>
      </c>
      <c r="I31" s="409">
        <f t="shared" si="10"/>
        <v>0</v>
      </c>
      <c r="J31" s="409">
        <f t="shared" si="11"/>
        <v>0</v>
      </c>
      <c r="K31" s="391" t="s">
        <v>1701</v>
      </c>
      <c r="O31" s="399">
        <f t="shared" si="2"/>
        <v>0</v>
      </c>
    </row>
    <row r="32" spans="1:16" ht="18" x14ac:dyDescent="0.35">
      <c r="B32" s="464" t="s">
        <v>1401</v>
      </c>
      <c r="C32" s="409"/>
      <c r="D32" s="409"/>
      <c r="E32" s="409"/>
      <c r="F32" s="1581"/>
      <c r="G32" s="409">
        <f t="shared" si="8"/>
        <v>0</v>
      </c>
      <c r="H32" s="409">
        <f>F32*$H$6</f>
        <v>0</v>
      </c>
      <c r="I32" s="409">
        <f>F32*$I$6</f>
        <v>0</v>
      </c>
      <c r="J32" s="409">
        <f>F32*$J$6</f>
        <v>0</v>
      </c>
      <c r="K32" s="391"/>
      <c r="O32" s="399">
        <f t="shared" si="2"/>
        <v>0</v>
      </c>
    </row>
    <row r="33" spans="2:15" ht="18" x14ac:dyDescent="0.35">
      <c r="B33" s="464" t="s">
        <v>1402</v>
      </c>
      <c r="C33" s="409"/>
      <c r="D33" s="409"/>
      <c r="E33" s="407">
        <v>0</v>
      </c>
      <c r="F33" s="1581">
        <f>ТО!I30/1000</f>
        <v>0</v>
      </c>
      <c r="G33" s="409">
        <f t="shared" si="8"/>
        <v>0</v>
      </c>
      <c r="H33" s="409">
        <f t="shared" ref="H33:H42" si="12">F33*$H$6</f>
        <v>0</v>
      </c>
      <c r="I33" s="409">
        <f t="shared" ref="I33:I42" si="13">F33*$I$6</f>
        <v>0</v>
      </c>
      <c r="J33" s="409">
        <f t="shared" ref="J33:J42" si="14">F33*$J$6</f>
        <v>0</v>
      </c>
      <c r="K33" s="391"/>
      <c r="O33" s="399">
        <f t="shared" si="2"/>
        <v>0</v>
      </c>
    </row>
    <row r="34" spans="2:15" ht="18" x14ac:dyDescent="0.35">
      <c r="B34" s="464" t="s">
        <v>1403</v>
      </c>
      <c r="C34" s="409"/>
      <c r="D34" s="409"/>
      <c r="F34" s="1581"/>
      <c r="G34" s="409">
        <f t="shared" si="8"/>
        <v>0</v>
      </c>
      <c r="H34" s="409">
        <f t="shared" si="12"/>
        <v>0</v>
      </c>
      <c r="I34" s="409">
        <f t="shared" si="13"/>
        <v>0</v>
      </c>
      <c r="J34" s="409">
        <f t="shared" si="14"/>
        <v>0</v>
      </c>
      <c r="K34" s="391"/>
      <c r="O34" s="399">
        <f t="shared" si="2"/>
        <v>0</v>
      </c>
    </row>
    <row r="35" spans="2:15" ht="18" x14ac:dyDescent="0.35">
      <c r="B35" s="464" t="s">
        <v>1404</v>
      </c>
      <c r="C35" s="409"/>
      <c r="D35" s="409"/>
      <c r="E35" s="409"/>
      <c r="F35" s="1581"/>
      <c r="G35" s="409">
        <f t="shared" si="8"/>
        <v>0</v>
      </c>
      <c r="H35" s="409">
        <f t="shared" si="12"/>
        <v>0</v>
      </c>
      <c r="I35" s="409">
        <f t="shared" si="13"/>
        <v>0</v>
      </c>
      <c r="J35" s="409">
        <f t="shared" si="14"/>
        <v>0</v>
      </c>
      <c r="K35" s="391"/>
      <c r="O35" s="399">
        <f t="shared" si="2"/>
        <v>0</v>
      </c>
    </row>
    <row r="36" spans="2:15" ht="18" x14ac:dyDescent="0.35">
      <c r="B36" s="464" t="s">
        <v>1405</v>
      </c>
      <c r="C36" s="409"/>
      <c r="D36" s="409"/>
      <c r="E36" s="409"/>
      <c r="F36" s="1581"/>
      <c r="G36" s="409">
        <f t="shared" si="8"/>
        <v>0</v>
      </c>
      <c r="H36" s="409">
        <f t="shared" si="12"/>
        <v>0</v>
      </c>
      <c r="I36" s="409">
        <f t="shared" si="13"/>
        <v>0</v>
      </c>
      <c r="J36" s="409">
        <f t="shared" si="14"/>
        <v>0</v>
      </c>
      <c r="K36" s="391"/>
      <c r="O36" s="399">
        <f t="shared" si="2"/>
        <v>0</v>
      </c>
    </row>
    <row r="37" spans="2:15" ht="18" x14ac:dyDescent="0.35">
      <c r="B37" s="415" t="s">
        <v>1411</v>
      </c>
      <c r="C37" s="407">
        <v>0.01</v>
      </c>
      <c r="D37" s="407"/>
      <c r="E37" s="407">
        <v>0.01</v>
      </c>
      <c r="F37" s="1583">
        <f>Утилизація!E34/1000</f>
        <v>7.4999999999999997E-3</v>
      </c>
      <c r="G37" s="409">
        <f t="shared" si="8"/>
        <v>6.2287063558981266E-3</v>
      </c>
      <c r="H37" s="409">
        <f t="shared" si="12"/>
        <v>1.009026324465978E-6</v>
      </c>
      <c r="I37" s="409">
        <f t="shared" si="13"/>
        <v>9.5041129178166672E-4</v>
      </c>
      <c r="J37" s="409">
        <f t="shared" si="14"/>
        <v>3.1987332599574085E-4</v>
      </c>
      <c r="K37" s="391"/>
      <c r="O37" s="399">
        <f t="shared" si="2"/>
        <v>-4.3368086899420177E-19</v>
      </c>
    </row>
    <row r="38" spans="2:15" ht="18" x14ac:dyDescent="0.35">
      <c r="B38" s="415" t="s">
        <v>1408</v>
      </c>
      <c r="C38" s="407">
        <v>0.37212000000000001</v>
      </c>
      <c r="D38" s="407">
        <v>0.88927999999999996</v>
      </c>
      <c r="E38" s="407">
        <v>0.48963999999999996</v>
      </c>
      <c r="F38" s="1583">
        <f>ОП!F4</f>
        <v>1.2658</v>
      </c>
      <c r="G38" s="409">
        <f t="shared" si="8"/>
        <v>1.0512395340394465</v>
      </c>
      <c r="H38" s="409">
        <f t="shared" si="12"/>
        <v>1.7029673620120469E-4</v>
      </c>
      <c r="I38" s="409">
        <f t="shared" si="13"/>
        <v>0.16040408175163118</v>
      </c>
      <c r="J38" s="409">
        <f t="shared" si="14"/>
        <v>5.3986087472721177E-2</v>
      </c>
      <c r="K38" s="391" t="s">
        <v>1409</v>
      </c>
      <c r="O38" s="399">
        <f t="shared" si="2"/>
        <v>0</v>
      </c>
    </row>
    <row r="39" spans="2:15" ht="18.75" customHeight="1" x14ac:dyDescent="0.35">
      <c r="B39" s="415" t="s">
        <v>1410</v>
      </c>
      <c r="C39" s="407"/>
      <c r="D39" s="407"/>
      <c r="E39" s="407"/>
      <c r="F39" s="1583"/>
      <c r="G39" s="409">
        <f t="shared" si="8"/>
        <v>0</v>
      </c>
      <c r="H39" s="409">
        <f t="shared" si="12"/>
        <v>0</v>
      </c>
      <c r="I39" s="409">
        <f t="shared" si="13"/>
        <v>0</v>
      </c>
      <c r="J39" s="409">
        <f t="shared" si="14"/>
        <v>0</v>
      </c>
      <c r="K39" s="391"/>
      <c r="O39" s="399">
        <f t="shared" si="2"/>
        <v>0</v>
      </c>
    </row>
    <row r="40" spans="2:15" ht="18.75" customHeight="1" x14ac:dyDescent="0.35">
      <c r="B40" s="415" t="s">
        <v>1594</v>
      </c>
      <c r="C40" s="407"/>
      <c r="D40" s="407"/>
      <c r="E40" s="407"/>
      <c r="F40" s="1583"/>
      <c r="G40" s="409">
        <f t="shared" si="8"/>
        <v>0</v>
      </c>
      <c r="H40" s="409">
        <f t="shared" si="12"/>
        <v>0</v>
      </c>
      <c r="I40" s="409">
        <f t="shared" si="13"/>
        <v>0</v>
      </c>
      <c r="J40" s="409">
        <f t="shared" si="14"/>
        <v>0</v>
      </c>
      <c r="K40" s="391"/>
      <c r="O40" s="399">
        <f t="shared" si="2"/>
        <v>0</v>
      </c>
    </row>
    <row r="41" spans="2:15" ht="18.75" customHeight="1" x14ac:dyDescent="0.35">
      <c r="B41" s="415" t="s">
        <v>1593</v>
      </c>
      <c r="C41" s="407"/>
      <c r="D41" s="407"/>
      <c r="E41" s="407"/>
      <c r="F41" s="1583"/>
      <c r="G41" s="409">
        <f t="shared" si="8"/>
        <v>0</v>
      </c>
      <c r="H41" s="409">
        <f t="shared" si="12"/>
        <v>0</v>
      </c>
      <c r="I41" s="409">
        <f t="shared" si="13"/>
        <v>0</v>
      </c>
      <c r="J41" s="409">
        <f t="shared" si="14"/>
        <v>0</v>
      </c>
      <c r="K41" s="391"/>
      <c r="O41" s="399">
        <f t="shared" si="2"/>
        <v>0</v>
      </c>
    </row>
    <row r="42" spans="2:15" ht="18.75" customHeight="1" x14ac:dyDescent="0.35">
      <c r="B42" s="415"/>
      <c r="C42" s="407"/>
      <c r="D42" s="407"/>
      <c r="E42" s="407"/>
      <c r="F42" s="1583"/>
      <c r="G42" s="409">
        <f t="shared" si="8"/>
        <v>0</v>
      </c>
      <c r="H42" s="409">
        <f t="shared" si="12"/>
        <v>0</v>
      </c>
      <c r="I42" s="409">
        <f t="shared" si="13"/>
        <v>0</v>
      </c>
      <c r="J42" s="409">
        <f t="shared" si="14"/>
        <v>0</v>
      </c>
      <c r="K42" s="391" t="s">
        <v>1879</v>
      </c>
      <c r="O42" s="399">
        <f t="shared" si="2"/>
        <v>0</v>
      </c>
    </row>
    <row r="43" spans="2:15" ht="18.75" customHeight="1" x14ac:dyDescent="0.35">
      <c r="B43" s="415" t="s">
        <v>1592</v>
      </c>
      <c r="C43" s="407"/>
      <c r="D43" s="407"/>
      <c r="E43" s="407"/>
      <c r="F43" s="1583"/>
      <c r="G43" s="409">
        <f t="shared" si="8"/>
        <v>0</v>
      </c>
      <c r="H43" s="409">
        <f>F43*$H$6</f>
        <v>0</v>
      </c>
      <c r="I43" s="409">
        <f>F43*$I$6</f>
        <v>0</v>
      </c>
      <c r="J43" s="409">
        <f>F43*$J$6</f>
        <v>0</v>
      </c>
      <c r="K43" s="391"/>
      <c r="O43" s="399">
        <f t="shared" si="2"/>
        <v>0</v>
      </c>
    </row>
    <row r="44" spans="2:15" ht="18.75" customHeight="1" x14ac:dyDescent="0.35">
      <c r="B44" s="415" t="s">
        <v>1591</v>
      </c>
      <c r="C44" s="407"/>
      <c r="D44" s="407"/>
      <c r="E44" s="407"/>
      <c r="F44" s="1583"/>
      <c r="G44" s="409">
        <f t="shared" si="8"/>
        <v>0</v>
      </c>
      <c r="H44" s="409">
        <f t="shared" ref="H44:H54" si="15">F44*$H$6</f>
        <v>0</v>
      </c>
      <c r="I44" s="409">
        <f t="shared" ref="I44:I54" si="16">F44*$I$6</f>
        <v>0</v>
      </c>
      <c r="J44" s="409">
        <f t="shared" ref="J44:J54" si="17">F44*$J$6</f>
        <v>0</v>
      </c>
      <c r="K44" s="391"/>
      <c r="O44" s="399">
        <f t="shared" si="2"/>
        <v>0</v>
      </c>
    </row>
    <row r="45" spans="2:15" ht="18.75" customHeight="1" x14ac:dyDescent="0.35">
      <c r="B45" s="415" t="s">
        <v>1653</v>
      </c>
      <c r="C45" s="407"/>
      <c r="D45" s="407"/>
      <c r="E45" s="407"/>
      <c r="F45" s="1583"/>
      <c r="G45" s="409">
        <f t="shared" si="8"/>
        <v>0</v>
      </c>
      <c r="H45" s="409">
        <f t="shared" si="15"/>
        <v>0</v>
      </c>
      <c r="I45" s="409">
        <f t="shared" si="16"/>
        <v>0</v>
      </c>
      <c r="J45" s="409">
        <f t="shared" si="17"/>
        <v>0</v>
      </c>
      <c r="K45" s="391"/>
      <c r="O45" s="399">
        <f t="shared" si="2"/>
        <v>0</v>
      </c>
    </row>
    <row r="46" spans="2:15" ht="18.75" customHeight="1" x14ac:dyDescent="0.35">
      <c r="B46" s="415" t="s">
        <v>1655</v>
      </c>
      <c r="C46" s="407"/>
      <c r="D46" s="407"/>
      <c r="E46" s="407"/>
      <c r="F46" s="1583"/>
      <c r="G46" s="409">
        <f t="shared" si="8"/>
        <v>0</v>
      </c>
      <c r="H46" s="409">
        <f t="shared" si="15"/>
        <v>0</v>
      </c>
      <c r="I46" s="409">
        <f t="shared" si="16"/>
        <v>0</v>
      </c>
      <c r="J46" s="409">
        <f t="shared" si="17"/>
        <v>0</v>
      </c>
      <c r="K46" s="391"/>
      <c r="O46" s="399">
        <f t="shared" si="2"/>
        <v>0</v>
      </c>
    </row>
    <row r="47" spans="2:15" ht="18.75" customHeight="1" x14ac:dyDescent="0.35">
      <c r="B47" s="415" t="s">
        <v>1654</v>
      </c>
      <c r="C47" s="407"/>
      <c r="D47" s="407"/>
      <c r="E47" s="407"/>
      <c r="F47" s="1583"/>
      <c r="G47" s="409">
        <f t="shared" si="8"/>
        <v>0</v>
      </c>
      <c r="H47" s="409">
        <f t="shared" si="15"/>
        <v>0</v>
      </c>
      <c r="I47" s="409">
        <f t="shared" si="16"/>
        <v>0</v>
      </c>
      <c r="J47" s="409">
        <f t="shared" si="17"/>
        <v>0</v>
      </c>
      <c r="K47" s="391"/>
      <c r="O47" s="399">
        <f t="shared" si="2"/>
        <v>0</v>
      </c>
    </row>
    <row r="48" spans="2:15" ht="18" x14ac:dyDescent="0.35">
      <c r="B48" s="415" t="s">
        <v>1900</v>
      </c>
      <c r="C48" s="407">
        <v>3.2749999999999999</v>
      </c>
      <c r="D48" s="407">
        <v>4.5416600000000003</v>
      </c>
      <c r="E48" s="1583">
        <v>6.6</v>
      </c>
      <c r="F48" s="1583">
        <f>Картріджі!E59/1000</f>
        <v>7.7</v>
      </c>
      <c r="G48" s="409">
        <f t="shared" si="8"/>
        <v>6.3948051920554105</v>
      </c>
      <c r="H48" s="409">
        <f t="shared" si="15"/>
        <v>1.0359336931184042E-3</v>
      </c>
      <c r="I48" s="409">
        <f t="shared" si="16"/>
        <v>0.97575559289584457</v>
      </c>
      <c r="J48" s="409">
        <f t="shared" si="17"/>
        <v>0.3284032813556273</v>
      </c>
      <c r="K48" s="391" t="s">
        <v>1536</v>
      </c>
      <c r="O48" s="399">
        <f t="shared" si="2"/>
        <v>-7.2164496600635175E-16</v>
      </c>
    </row>
    <row r="49" spans="2:15" ht="18.75" customHeight="1" x14ac:dyDescent="0.35">
      <c r="B49" s="415" t="s">
        <v>1590</v>
      </c>
      <c r="C49" s="407"/>
      <c r="D49" s="407"/>
      <c r="E49" s="407"/>
      <c r="F49" s="1583"/>
      <c r="G49" s="409">
        <f t="shared" si="8"/>
        <v>0</v>
      </c>
      <c r="H49" s="409">
        <f t="shared" si="15"/>
        <v>0</v>
      </c>
      <c r="I49" s="409">
        <f t="shared" si="16"/>
        <v>0</v>
      </c>
      <c r="J49" s="409">
        <f t="shared" si="17"/>
        <v>0</v>
      </c>
      <c r="K49" s="391"/>
      <c r="O49" s="399">
        <f t="shared" si="2"/>
        <v>0</v>
      </c>
    </row>
    <row r="50" spans="2:15" ht="18.75" customHeight="1" x14ac:dyDescent="0.35">
      <c r="B50" s="415" t="s">
        <v>1589</v>
      </c>
      <c r="C50" s="407"/>
      <c r="D50" s="407"/>
      <c r="E50" s="407"/>
      <c r="F50" s="1583"/>
      <c r="G50" s="409">
        <f t="shared" si="8"/>
        <v>0</v>
      </c>
      <c r="H50" s="409">
        <f t="shared" si="15"/>
        <v>0</v>
      </c>
      <c r="I50" s="409">
        <f t="shared" si="16"/>
        <v>0</v>
      </c>
      <c r="J50" s="409">
        <f t="shared" si="17"/>
        <v>0</v>
      </c>
      <c r="K50" s="391"/>
      <c r="O50" s="399">
        <f t="shared" si="2"/>
        <v>0</v>
      </c>
    </row>
    <row r="51" spans="2:15" ht="18.75" customHeight="1" x14ac:dyDescent="0.35">
      <c r="B51" s="415" t="s">
        <v>1543</v>
      </c>
      <c r="C51" s="407"/>
      <c r="D51" s="407"/>
      <c r="E51" s="407"/>
      <c r="F51" s="1583"/>
      <c r="G51" s="409">
        <f t="shared" si="8"/>
        <v>0</v>
      </c>
      <c r="H51" s="409">
        <f t="shared" si="15"/>
        <v>0</v>
      </c>
      <c r="I51" s="409">
        <f t="shared" si="16"/>
        <v>0</v>
      </c>
      <c r="J51" s="409">
        <f t="shared" si="17"/>
        <v>0</v>
      </c>
      <c r="K51" s="391"/>
      <c r="O51" s="399">
        <f t="shared" si="2"/>
        <v>0</v>
      </c>
    </row>
    <row r="52" spans="2:15" ht="18.75" customHeight="1" x14ac:dyDescent="0.35">
      <c r="B52" s="415" t="s">
        <v>1540</v>
      </c>
      <c r="C52" s="407"/>
      <c r="D52" s="407"/>
      <c r="E52" s="407"/>
      <c r="F52" s="1583"/>
      <c r="G52" s="409">
        <f t="shared" si="8"/>
        <v>0</v>
      </c>
      <c r="H52" s="409">
        <f t="shared" si="15"/>
        <v>0</v>
      </c>
      <c r="I52" s="409">
        <f t="shared" si="16"/>
        <v>0</v>
      </c>
      <c r="J52" s="409">
        <f t="shared" si="17"/>
        <v>0</v>
      </c>
      <c r="K52" s="391"/>
      <c r="O52" s="399">
        <f t="shared" si="2"/>
        <v>0</v>
      </c>
    </row>
    <row r="53" spans="2:15" ht="18.75" customHeight="1" x14ac:dyDescent="0.35">
      <c r="B53" s="415" t="s">
        <v>1584</v>
      </c>
      <c r="C53" s="407"/>
      <c r="D53" s="407"/>
      <c r="E53" s="407"/>
      <c r="F53" s="1583"/>
      <c r="G53" s="409">
        <f t="shared" si="8"/>
        <v>0</v>
      </c>
      <c r="H53" s="409">
        <f t="shared" si="15"/>
        <v>0</v>
      </c>
      <c r="I53" s="409">
        <f t="shared" si="16"/>
        <v>0</v>
      </c>
      <c r="J53" s="409">
        <f t="shared" si="17"/>
        <v>0</v>
      </c>
      <c r="K53" s="391"/>
      <c r="O53" s="399">
        <f t="shared" si="2"/>
        <v>0</v>
      </c>
    </row>
    <row r="54" spans="2:15" ht="18" x14ac:dyDescent="0.35">
      <c r="B54" s="406" t="s">
        <v>1583</v>
      </c>
      <c r="C54" s="407"/>
      <c r="D54" s="407">
        <v>1.6879500000000001</v>
      </c>
      <c r="E54" s="407"/>
      <c r="F54" s="1583"/>
      <c r="G54" s="409">
        <f t="shared" si="8"/>
        <v>0</v>
      </c>
      <c r="H54" s="409">
        <f t="shared" si="15"/>
        <v>0</v>
      </c>
      <c r="I54" s="409">
        <f t="shared" si="16"/>
        <v>0</v>
      </c>
      <c r="J54" s="409">
        <f t="shared" si="17"/>
        <v>0</v>
      </c>
      <c r="K54" s="391"/>
      <c r="O54" s="399">
        <f t="shared" si="2"/>
        <v>0</v>
      </c>
    </row>
    <row r="55" spans="2:15" ht="18" x14ac:dyDescent="0.35">
      <c r="B55" s="406" t="s">
        <v>1391</v>
      </c>
      <c r="C55" s="461"/>
      <c r="D55" s="461"/>
      <c r="E55" s="461"/>
      <c r="F55" s="1584"/>
      <c r="G55" s="409"/>
      <c r="H55" s="409"/>
      <c r="I55" s="409"/>
      <c r="J55" s="409"/>
      <c r="K55" s="391"/>
      <c r="O55" s="399">
        <f t="shared" si="2"/>
        <v>0</v>
      </c>
    </row>
    <row r="56" spans="2:15" ht="18" x14ac:dyDescent="0.35">
      <c r="B56" s="463" t="s">
        <v>1392</v>
      </c>
      <c r="C56" s="461">
        <v>1.18598</v>
      </c>
      <c r="D56" s="461">
        <v>1.0747</v>
      </c>
      <c r="E56" s="461">
        <v>1.47725</v>
      </c>
      <c r="F56" s="1584">
        <f>'Зв''язок'!I8/1000-'Зв''язок'!I49/1000</f>
        <v>1.4068700000000001</v>
      </c>
      <c r="G56" s="409">
        <f t="shared" si="8"/>
        <v>1.1683973481229863</v>
      </c>
      <c r="H56" s="409">
        <f>F56*$H$6</f>
        <v>1.8927584868019343E-4</v>
      </c>
      <c r="I56" s="409">
        <f>F56*$I$6</f>
        <v>0.17828068454251647</v>
      </c>
      <c r="J56" s="409">
        <f>F56*$J$6</f>
        <v>6.0002691485817064E-2</v>
      </c>
      <c r="K56" s="391" t="s">
        <v>1576</v>
      </c>
      <c r="O56" s="399">
        <f t="shared" si="2"/>
        <v>0</v>
      </c>
    </row>
    <row r="57" spans="2:15" ht="18" x14ac:dyDescent="0.35">
      <c r="B57" s="463" t="s">
        <v>1393</v>
      </c>
      <c r="C57" s="461"/>
      <c r="D57" s="461"/>
      <c r="E57" s="461">
        <v>0</v>
      </c>
      <c r="F57" s="1584">
        <f>'Зв''язок'!I49/1000</f>
        <v>0</v>
      </c>
      <c r="G57" s="409">
        <f t="shared" si="8"/>
        <v>0</v>
      </c>
      <c r="H57" s="409">
        <f t="shared" ref="H57:H63" si="18">F57*$H$6</f>
        <v>0</v>
      </c>
      <c r="I57" s="409">
        <f t="shared" ref="I57:I63" si="19">F57*$I$6</f>
        <v>0</v>
      </c>
      <c r="J57" s="409">
        <f t="shared" ref="J57:J63" si="20">F57*$J$6</f>
        <v>0</v>
      </c>
      <c r="K57" s="517"/>
      <c r="L57" s="506"/>
      <c r="O57" s="399">
        <f t="shared" si="2"/>
        <v>0</v>
      </c>
    </row>
    <row r="58" spans="2:15" ht="36" x14ac:dyDescent="0.35">
      <c r="B58" s="416" t="s">
        <v>1582</v>
      </c>
      <c r="C58" s="407"/>
      <c r="D58" s="407"/>
      <c r="E58" s="407"/>
      <c r="F58" s="1583"/>
      <c r="G58" s="409">
        <f t="shared" si="8"/>
        <v>0</v>
      </c>
      <c r="H58" s="409">
        <f t="shared" si="18"/>
        <v>0</v>
      </c>
      <c r="I58" s="409">
        <f t="shared" si="19"/>
        <v>0</v>
      </c>
      <c r="J58" s="409">
        <f t="shared" si="20"/>
        <v>0</v>
      </c>
      <c r="K58" s="517"/>
      <c r="L58" s="506"/>
      <c r="O58" s="399">
        <f t="shared" si="2"/>
        <v>0</v>
      </c>
    </row>
    <row r="59" spans="2:15" ht="18" x14ac:dyDescent="0.35">
      <c r="B59" s="464" t="s">
        <v>1399</v>
      </c>
      <c r="C59" s="407"/>
      <c r="D59" s="407"/>
      <c r="E59" s="499"/>
      <c r="F59" s="1583"/>
      <c r="G59" s="409">
        <f t="shared" si="8"/>
        <v>0</v>
      </c>
      <c r="H59" s="409">
        <f t="shared" si="18"/>
        <v>0</v>
      </c>
      <c r="I59" s="409">
        <f t="shared" si="19"/>
        <v>0</v>
      </c>
      <c r="J59" s="409">
        <f t="shared" si="20"/>
        <v>0</v>
      </c>
      <c r="K59" s="517"/>
      <c r="L59" s="506"/>
      <c r="O59" s="399">
        <f t="shared" si="2"/>
        <v>0</v>
      </c>
    </row>
    <row r="60" spans="2:15" ht="18" x14ac:dyDescent="0.35">
      <c r="B60" s="406" t="s">
        <v>1581</v>
      </c>
      <c r="C60" s="461"/>
      <c r="D60" s="461"/>
      <c r="E60" s="461"/>
      <c r="F60" s="1583"/>
      <c r="G60" s="409">
        <f t="shared" si="8"/>
        <v>0</v>
      </c>
      <c r="H60" s="409">
        <f t="shared" si="18"/>
        <v>0</v>
      </c>
      <c r="I60" s="409">
        <f t="shared" si="19"/>
        <v>0</v>
      </c>
      <c r="J60" s="409">
        <f t="shared" si="20"/>
        <v>0</v>
      </c>
      <c r="K60" s="517"/>
      <c r="L60" s="506"/>
      <c r="O60" s="399">
        <f t="shared" si="2"/>
        <v>0</v>
      </c>
    </row>
    <row r="61" spans="2:15" ht="18" x14ac:dyDescent="0.35">
      <c r="B61" s="406" t="s">
        <v>924</v>
      </c>
      <c r="C61" s="501"/>
      <c r="D61" s="501"/>
      <c r="E61" s="501">
        <v>0</v>
      </c>
      <c r="F61" s="1599">
        <f>'Періодичні видання'!D3</f>
        <v>0</v>
      </c>
      <c r="G61" s="409">
        <f t="shared" si="8"/>
        <v>0</v>
      </c>
      <c r="H61" s="409">
        <f t="shared" si="18"/>
        <v>0</v>
      </c>
      <c r="I61" s="409">
        <f t="shared" si="19"/>
        <v>0</v>
      </c>
      <c r="J61" s="409">
        <f t="shared" si="20"/>
        <v>0</v>
      </c>
      <c r="K61" s="720" t="s">
        <v>2552</v>
      </c>
      <c r="L61" s="506"/>
      <c r="O61" s="399">
        <f t="shared" si="2"/>
        <v>0</v>
      </c>
    </row>
    <row r="62" spans="2:15" ht="18" x14ac:dyDescent="0.35">
      <c r="B62" s="715" t="str">
        <f>Профпослуги2!B15</f>
        <v>ППЗ для захисту від вірусів</v>
      </c>
      <c r="C62" s="501"/>
      <c r="D62" s="501"/>
      <c r="E62" s="501">
        <v>0.9057971014492755</v>
      </c>
      <c r="F62" s="1599">
        <f>Профпослуги2!G15/1000</f>
        <v>0.9057971014492755</v>
      </c>
      <c r="G62" s="409">
        <f t="shared" si="8"/>
        <v>0.75225922172682702</v>
      </c>
      <c r="H62" s="409">
        <f t="shared" si="18"/>
        <v>1.2186308266497322E-4</v>
      </c>
      <c r="I62" s="409">
        <f t="shared" si="19"/>
        <v>0.11478397243739939</v>
      </c>
      <c r="J62" s="409">
        <f t="shared" si="20"/>
        <v>3.8632044202384169E-2</v>
      </c>
      <c r="K62" s="720"/>
      <c r="L62" s="506"/>
      <c r="O62" s="399"/>
    </row>
    <row r="63" spans="2:15" ht="18.600000000000001" thickBot="1" x14ac:dyDescent="0.4">
      <c r="B63" s="465" t="s">
        <v>58</v>
      </c>
      <c r="C63" s="466">
        <v>11.279679999999999</v>
      </c>
      <c r="D63" s="466">
        <v>-7.9560500000000003</v>
      </c>
      <c r="E63" s="466"/>
      <c r="F63" s="1585"/>
      <c r="G63" s="417">
        <f t="shared" si="8"/>
        <v>0</v>
      </c>
      <c r="H63" s="417">
        <f t="shared" si="18"/>
        <v>0</v>
      </c>
      <c r="I63" s="417">
        <f t="shared" si="19"/>
        <v>0</v>
      </c>
      <c r="J63" s="417">
        <f t="shared" si="20"/>
        <v>0</v>
      </c>
      <c r="K63" s="517"/>
      <c r="L63" s="506"/>
      <c r="O63" s="399">
        <f t="shared" si="2"/>
        <v>0</v>
      </c>
    </row>
    <row r="64" spans="2:15" ht="24" customHeight="1" x14ac:dyDescent="0.3">
      <c r="D64" s="389"/>
    </row>
    <row r="65" spans="2:12" ht="24" customHeight="1" x14ac:dyDescent="0.3"/>
    <row r="66" spans="2:12" ht="24" customHeight="1" x14ac:dyDescent="0.35">
      <c r="B66" s="419" t="str">
        <f>'Вхідні дані'!$B$13</f>
        <v>Директор підприємства</v>
      </c>
      <c r="C66" s="419"/>
      <c r="D66" s="419"/>
      <c r="E66" s="772" t="s">
        <v>1400</v>
      </c>
      <c r="G66" s="5119" t="str">
        <f>'Вхідні дані'!$F$13</f>
        <v>Анатолій ПАНШИН</v>
      </c>
      <c r="H66" s="5119"/>
      <c r="I66" s="5119"/>
    </row>
    <row r="67" spans="2:12" ht="24" customHeight="1" x14ac:dyDescent="0.35">
      <c r="B67" s="419"/>
      <c r="C67" s="419"/>
      <c r="D67" s="419"/>
      <c r="E67" s="772" t="s">
        <v>209</v>
      </c>
      <c r="G67" s="5115" t="s">
        <v>1985</v>
      </c>
      <c r="H67" s="5115"/>
      <c r="I67" s="5115"/>
    </row>
    <row r="68" spans="2:12" ht="24" customHeight="1" x14ac:dyDescent="0.35">
      <c r="B68" s="419" t="str">
        <f>'Вхідні дані'!$B$15</f>
        <v>Заступник директора з економіки</v>
      </c>
      <c r="C68" s="419"/>
      <c r="D68" s="419"/>
      <c r="E68" s="772" t="s">
        <v>1400</v>
      </c>
      <c r="G68" s="5119" t="str">
        <f>'Вхідні дані'!$F$15</f>
        <v>Олена ЛАВРОВА</v>
      </c>
      <c r="H68" s="5119"/>
      <c r="I68" s="5119"/>
    </row>
    <row r="69" spans="2:12" ht="24" customHeight="1" x14ac:dyDescent="0.35">
      <c r="B69" s="418"/>
      <c r="C69" s="418"/>
      <c r="D69" s="418"/>
      <c r="E69" s="772" t="s">
        <v>209</v>
      </c>
      <c r="G69" s="5115" t="s">
        <v>1985</v>
      </c>
      <c r="H69" s="5115"/>
      <c r="I69" s="5115"/>
      <c r="J69" s="418"/>
      <c r="K69" s="518"/>
      <c r="L69" s="418"/>
    </row>
    <row r="71" spans="2:12" ht="32.4" customHeight="1" x14ac:dyDescent="0.3">
      <c r="B71" s="5085" t="s">
        <v>2702</v>
      </c>
      <c r="C71" s="5085"/>
      <c r="D71" s="5085"/>
      <c r="E71" s="5085"/>
      <c r="F71" s="5085"/>
      <c r="G71" s="5085"/>
      <c r="H71" s="5085"/>
    </row>
    <row r="72" spans="2:12" x14ac:dyDescent="0.3">
      <c r="B72" s="1124"/>
      <c r="C72" s="1124"/>
      <c r="D72" s="1124"/>
      <c r="E72" s="5100" t="s">
        <v>1780</v>
      </c>
      <c r="F72" s="5100"/>
      <c r="G72" s="1124"/>
      <c r="H72" s="1124"/>
    </row>
    <row r="73" spans="2:12" x14ac:dyDescent="0.3">
      <c r="B73" s="1183" t="s">
        <v>357</v>
      </c>
      <c r="C73" s="5114" t="s">
        <v>2305</v>
      </c>
      <c r="D73" s="5114"/>
      <c r="E73" s="5114" t="s">
        <v>2306</v>
      </c>
      <c r="F73" s="5114"/>
      <c r="G73" s="1183" t="s">
        <v>2309</v>
      </c>
      <c r="H73" s="1183" t="s">
        <v>2308</v>
      </c>
    </row>
    <row r="74" spans="2:12" x14ac:dyDescent="0.3">
      <c r="B74" s="778" t="s">
        <v>2294</v>
      </c>
      <c r="C74" s="3214">
        <f>D74/D84</f>
        <v>0.41531456408202622</v>
      </c>
      <c r="D74" s="1148">
        <f>F21</f>
        <v>754.48063799999989</v>
      </c>
      <c r="E74" s="3214">
        <f>F74/F84</f>
        <v>0.402112185488542</v>
      </c>
      <c r="F74" s="1148">
        <f>E21</f>
        <v>684.72567299999992</v>
      </c>
      <c r="G74" s="1192">
        <f>C74-E74</f>
        <v>1.3202378593484221E-2</v>
      </c>
      <c r="H74" s="1148">
        <f>D74-F74</f>
        <v>69.75496499999997</v>
      </c>
    </row>
    <row r="75" spans="2:12" x14ac:dyDescent="0.3">
      <c r="B75" s="778" t="s">
        <v>2295</v>
      </c>
      <c r="C75" s="3214">
        <f>D75/D84</f>
        <v>9.1369204098045761E-2</v>
      </c>
      <c r="D75" s="1148">
        <f>F24</f>
        <v>165.98574035999997</v>
      </c>
      <c r="E75" s="3214">
        <f>F75/F84</f>
        <v>8.846468080747924E-2</v>
      </c>
      <c r="F75" s="1148">
        <f>E24</f>
        <v>150.63964805999998</v>
      </c>
      <c r="G75" s="1192">
        <f t="shared" ref="G75:H84" si="21">C75-E75</f>
        <v>2.9045232905665214E-3</v>
      </c>
      <c r="H75" s="1148">
        <f t="shared" si="21"/>
        <v>15.346092299999981</v>
      </c>
    </row>
    <row r="76" spans="2:12" x14ac:dyDescent="0.3">
      <c r="B76" s="778" t="s">
        <v>2296</v>
      </c>
      <c r="C76" s="3214">
        <f>D76/D84</f>
        <v>0</v>
      </c>
      <c r="D76" s="1148"/>
      <c r="E76" s="3214">
        <f>F76/F84</f>
        <v>0</v>
      </c>
      <c r="F76" s="1148"/>
      <c r="G76" s="1192">
        <f t="shared" si="21"/>
        <v>0</v>
      </c>
      <c r="H76" s="1148">
        <f t="shared" si="21"/>
        <v>0</v>
      </c>
    </row>
    <row r="77" spans="2:12" x14ac:dyDescent="0.3">
      <c r="B77" s="778" t="s">
        <v>43</v>
      </c>
      <c r="C77" s="3214">
        <f>D77/D84</f>
        <v>0</v>
      </c>
      <c r="D77" s="1148"/>
      <c r="E77" s="3214">
        <f>F77/F84</f>
        <v>0</v>
      </c>
      <c r="F77" s="1148"/>
      <c r="G77" s="1192">
        <f t="shared" si="21"/>
        <v>0</v>
      </c>
      <c r="H77" s="1148">
        <f t="shared" si="21"/>
        <v>0</v>
      </c>
    </row>
    <row r="78" spans="2:12" x14ac:dyDescent="0.3">
      <c r="B78" s="778" t="s">
        <v>2297</v>
      </c>
      <c r="C78" s="3214">
        <f>D78/D84</f>
        <v>0</v>
      </c>
      <c r="D78" s="1148"/>
      <c r="E78" s="3214">
        <f>F78/F84</f>
        <v>0</v>
      </c>
      <c r="F78" s="1148"/>
      <c r="G78" s="1192">
        <f t="shared" si="21"/>
        <v>0</v>
      </c>
      <c r="H78" s="1148">
        <f t="shared" si="21"/>
        <v>0</v>
      </c>
    </row>
    <row r="79" spans="2:12" x14ac:dyDescent="0.3">
      <c r="B79" s="778" t="s">
        <v>460</v>
      </c>
      <c r="C79" s="3214">
        <f>D79/D84</f>
        <v>0.46458810549804896</v>
      </c>
      <c r="D79" s="1148">
        <f>F25+F26</f>
        <v>843.99335000000065</v>
      </c>
      <c r="E79" s="3214">
        <f>F79/F84</f>
        <v>0.4855911903907098</v>
      </c>
      <c r="F79" s="1148">
        <f>E25+E26</f>
        <v>826.87560000000099</v>
      </c>
      <c r="G79" s="1192">
        <f t="shared" si="21"/>
        <v>-2.1003084892660839E-2</v>
      </c>
      <c r="H79" s="1148">
        <f t="shared" si="21"/>
        <v>17.11774999999966</v>
      </c>
    </row>
    <row r="80" spans="2:12" x14ac:dyDescent="0.3">
      <c r="B80" s="778" t="s">
        <v>2298</v>
      </c>
      <c r="C80" s="3214">
        <f>D80/D84</f>
        <v>0</v>
      </c>
      <c r="D80" s="1148"/>
      <c r="E80" s="3214">
        <f>F80/F84</f>
        <v>0</v>
      </c>
      <c r="F80" s="1148"/>
      <c r="G80" s="1192">
        <f t="shared" si="21"/>
        <v>0</v>
      </c>
      <c r="H80" s="1148">
        <f t="shared" si="21"/>
        <v>0</v>
      </c>
    </row>
    <row r="81" spans="2:8" x14ac:dyDescent="0.3">
      <c r="B81" s="778" t="s">
        <v>2299</v>
      </c>
      <c r="C81" s="3214">
        <f>D81/D84</f>
        <v>0</v>
      </c>
      <c r="D81" s="1148">
        <f>F27+F28</f>
        <v>0</v>
      </c>
      <c r="E81" s="3214">
        <f>F81/F84</f>
        <v>0</v>
      </c>
      <c r="F81" s="1148">
        <f>E27+E28</f>
        <v>0</v>
      </c>
      <c r="G81" s="1192">
        <f t="shared" si="21"/>
        <v>0</v>
      </c>
      <c r="H81" s="1148">
        <f t="shared" si="21"/>
        <v>0</v>
      </c>
    </row>
    <row r="82" spans="2:8" x14ac:dyDescent="0.3">
      <c r="B82" s="778" t="s">
        <v>2300</v>
      </c>
      <c r="C82" s="3214">
        <f>D82/D84</f>
        <v>2.8728126321879013E-2</v>
      </c>
      <c r="D82" s="1148">
        <f>D84-D74-D75-D76-D77-D78-D79-D80</f>
        <v>52.188911611573076</v>
      </c>
      <c r="E82" s="3214">
        <f>F82/F84</f>
        <v>2.3831943313268971E-2</v>
      </c>
      <c r="F82" s="1148">
        <f>F84-F74-F75-F76-F77-F78-F79-F80</f>
        <v>40.58156905702856</v>
      </c>
      <c r="G82" s="1192">
        <f t="shared" si="21"/>
        <v>4.8961830086100416E-3</v>
      </c>
      <c r="H82" s="1148">
        <f t="shared" si="21"/>
        <v>11.607342554544516</v>
      </c>
    </row>
    <row r="83" spans="2:8" x14ac:dyDescent="0.3">
      <c r="B83" s="778" t="s">
        <v>2304</v>
      </c>
      <c r="C83" s="3214">
        <f>D83/D84</f>
        <v>0</v>
      </c>
      <c r="D83" s="1148"/>
      <c r="E83" s="3214">
        <f>F83/F84</f>
        <v>0</v>
      </c>
      <c r="F83" s="1148"/>
      <c r="G83" s="1192">
        <f t="shared" si="21"/>
        <v>0</v>
      </c>
      <c r="H83" s="1148">
        <f t="shared" si="21"/>
        <v>0</v>
      </c>
    </row>
    <row r="84" spans="2:8" x14ac:dyDescent="0.3">
      <c r="B84" s="1160" t="s">
        <v>1934</v>
      </c>
      <c r="C84" s="1161">
        <f>SUM(C74:C83)</f>
        <v>1</v>
      </c>
      <c r="D84" s="1148">
        <f>F9</f>
        <v>1816.6486399715736</v>
      </c>
      <c r="E84" s="1161">
        <f>SUM(E74:E83)</f>
        <v>1</v>
      </c>
      <c r="F84" s="1148">
        <f>E9</f>
        <v>1702.8224901170295</v>
      </c>
      <c r="G84" s="1192">
        <f t="shared" si="21"/>
        <v>0</v>
      </c>
      <c r="H84" s="1148">
        <f t="shared" si="21"/>
        <v>113.82614985454416</v>
      </c>
    </row>
  </sheetData>
  <mergeCells count="10">
    <mergeCell ref="B7:B8"/>
    <mergeCell ref="G7:J7"/>
    <mergeCell ref="G66:I66"/>
    <mergeCell ref="G67:I67"/>
    <mergeCell ref="G68:I68"/>
    <mergeCell ref="C73:D73"/>
    <mergeCell ref="E73:F73"/>
    <mergeCell ref="B71:H71"/>
    <mergeCell ref="E72:F72"/>
    <mergeCell ref="G69:I69"/>
  </mergeCells>
  <conditionalFormatting sqref="B69:I69">
    <cfRule type="expression" dxfId="72" priority="5" stopIfTrue="1">
      <formula>ABS(#REF!-(#REF!+$D69+$M69+$O69))&gt;отклонение</formula>
    </cfRule>
  </conditionalFormatting>
  <conditionalFormatting sqref="F69:I69">
    <cfRule type="expression" dxfId="71" priority="8" stopIfTrue="1">
      <formula>ABS(#REF!-(#REF!+$D69+$M69+$O69))&gt;отклонение</formula>
    </cfRule>
  </conditionalFormatting>
  <conditionalFormatting sqref="G69:I69 B69:D69">
    <cfRule type="expression" dxfId="70" priority="2" stopIfTrue="1">
      <formula>ABS(#REF!-(#REF!+$D69+$M69+$O69))&gt;отклонение</formula>
    </cfRule>
  </conditionalFormatting>
  <conditionalFormatting sqref="G69:I69">
    <cfRule type="expression" dxfId="69" priority="1" stopIfTrue="1">
      <formula>ABS(#REF!-(#REF!+#REF!+$L69+$N69))&gt;отклонение</formula>
    </cfRule>
    <cfRule type="expression" dxfId="68" priority="3" stopIfTrue="1">
      <formula>ABS(#REF!-(#REF!+$E69+$L69+$N69))&gt;отклонение</formula>
    </cfRule>
    <cfRule type="expression" dxfId="67" priority="4" stopIfTrue="1">
      <formula>ABS(#REF!-(#REF!+$D69+$M69+$O69))&gt;отклонение</formula>
    </cfRule>
    <cfRule type="expression" dxfId="66" priority="6" stopIfTrue="1">
      <formula>ABS(#REF!-(#REF!+$E69+$L69+$N69))&gt;отклонение</formula>
    </cfRule>
    <cfRule type="expression" dxfId="65" priority="7" stopIfTrue="1">
      <formula>ABS(#REF!-(#REF!+$D69+$M69+$O69))&gt;отклонение</formula>
    </cfRule>
  </conditionalFormatting>
  <conditionalFormatting sqref="G69:L69 B69:E69">
    <cfRule type="expression" dxfId="64" priority="13" stopIfTrue="1">
      <formula>ABS(#REF!-(#REF!+$D69+#REF!+#REF!))&gt;отклонение</formula>
    </cfRule>
  </conditionalFormatting>
  <pageMargins left="0.75" right="0.23622047244094491" top="0.52" bottom="0.15748031496062992" header="0.37" footer="0.31496062992125984"/>
  <pageSetup paperSize="9" scale="54" orientation="portrait" r:id="rId1"/>
  <headerFooter alignWithMargins="0"/>
  <drawing r:id="rId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Лист41">
    <tabColor theme="7"/>
    <pageSetUpPr fitToPage="1"/>
  </sheetPr>
  <dimension ref="A1:X85"/>
  <sheetViews>
    <sheetView zoomScale="75" zoomScaleNormal="75" workbookViewId="0">
      <selection activeCell="B12" sqref="B12"/>
    </sheetView>
  </sheetViews>
  <sheetFormatPr defaultColWidth="9.109375" defaultRowHeight="13.8" x14ac:dyDescent="0.25"/>
  <cols>
    <col min="1" max="1" width="4.6640625" style="391" customWidth="1"/>
    <col min="2" max="2" width="75.44140625" style="391" customWidth="1"/>
    <col min="3" max="3" width="10.88671875" style="391" customWidth="1"/>
    <col min="4" max="4" width="10.6640625" style="391" customWidth="1"/>
    <col min="5" max="5" width="13.88671875" style="391" customWidth="1"/>
    <col min="6" max="6" width="13.5546875" style="391" customWidth="1"/>
    <col min="7" max="7" width="16.5546875" style="391" customWidth="1"/>
    <col min="8" max="8" width="16.109375" style="391" customWidth="1"/>
    <col min="9" max="9" width="12" style="391" customWidth="1"/>
    <col min="10" max="10" width="14" style="391" customWidth="1"/>
    <col min="11" max="11" width="15.6640625" style="391" customWidth="1"/>
    <col min="12" max="12" width="16.6640625" style="391" customWidth="1"/>
    <col min="13" max="13" width="9.44140625" style="391" hidden="1" customWidth="1"/>
    <col min="14" max="14" width="14.44140625" style="391" customWidth="1"/>
    <col min="15" max="15" width="30.6640625" style="717" customWidth="1"/>
    <col min="16" max="16" width="12.44140625" style="399" customWidth="1"/>
    <col min="17" max="17" width="11.6640625" style="399" customWidth="1"/>
    <col min="18" max="18" width="11.33203125" style="391" customWidth="1"/>
    <col min="19" max="21" width="10.44140625" style="391" bestFit="1" customWidth="1"/>
    <col min="22" max="22" width="10.6640625" style="391" bestFit="1" customWidth="1"/>
    <col min="23" max="16384" width="9.109375" style="391"/>
  </cols>
  <sheetData>
    <row r="1" spans="2:22" ht="17.399999999999999" x14ac:dyDescent="0.3">
      <c r="B1" s="389"/>
      <c r="L1" s="392" t="s">
        <v>821</v>
      </c>
      <c r="M1" s="392" t="s">
        <v>821</v>
      </c>
      <c r="O1" s="430">
        <v>974434.26</v>
      </c>
      <c r="P1" s="399">
        <v>1079483.79</v>
      </c>
      <c r="Q1" s="399">
        <v>1208387.3354880773</v>
      </c>
      <c r="R1" s="391">
        <v>4793154.3692373559</v>
      </c>
    </row>
    <row r="2" spans="2:22" ht="18" customHeight="1" x14ac:dyDescent="0.25">
      <c r="O2" s="4571">
        <f>O1/1000-C8</f>
        <v>-4032.3325299999988</v>
      </c>
      <c r="P2" s="4572">
        <f>P1/1000-D8</f>
        <v>-4217.112329999999</v>
      </c>
      <c r="Q2" s="4572">
        <f>Q1/1000-E8</f>
        <v>-5254.770362107025</v>
      </c>
      <c r="R2" s="4572">
        <f>R1/1000-F8</f>
        <v>-3048.271985141796</v>
      </c>
    </row>
    <row r="3" spans="2:22" ht="17.399999999999999" x14ac:dyDescent="0.3">
      <c r="B3" s="394" t="s">
        <v>1567</v>
      </c>
      <c r="C3" s="395" t="str">
        <f>'Вхідні дані'!F5</f>
        <v>КП «КТЕ"</v>
      </c>
      <c r="D3" s="395"/>
      <c r="E3" s="395"/>
      <c r="F3" s="706"/>
      <c r="G3" s="395" t="s">
        <v>461</v>
      </c>
      <c r="H3" s="395" t="str">
        <f>'Вхідні дані'!F6</f>
        <v>2023-2024</v>
      </c>
      <c r="I3" s="395" t="s">
        <v>661</v>
      </c>
      <c r="J3" s="395"/>
      <c r="L3" s="394"/>
      <c r="O3" s="717">
        <f>ФОП!G44</f>
        <v>20.5</v>
      </c>
      <c r="P3" s="399" t="s">
        <v>144</v>
      </c>
    </row>
    <row r="4" spans="2:22" ht="17.399999999999999" x14ac:dyDescent="0.3">
      <c r="B4" s="394"/>
      <c r="G4" s="424"/>
      <c r="H4" s="425"/>
      <c r="I4" s="425"/>
      <c r="J4" s="425"/>
      <c r="K4" s="395"/>
      <c r="L4" s="394"/>
      <c r="Q4" s="391"/>
    </row>
    <row r="5" spans="2:22" ht="18.600000000000001" thickBot="1" x14ac:dyDescent="0.4">
      <c r="B5" s="419" t="s">
        <v>1889</v>
      </c>
      <c r="F5" s="497">
        <f>G5+H5+K5+L5+M5+N5</f>
        <v>1</v>
      </c>
      <c r="G5" s="497">
        <f>'БАЗИ РОЗПОДІЛУ'!$F$15</f>
        <v>0.66451603396877001</v>
      </c>
      <c r="H5" s="497">
        <f>'БАЗИ РОЗПОДІЛУ'!$G$15</f>
        <v>0.19589486341882431</v>
      </c>
      <c r="I5" s="497">
        <f>'БАЗИ РОЗПОДІЛУ'!$H$15</f>
        <v>5.4159320049523708E-2</v>
      </c>
      <c r="J5" s="497">
        <f>'БАЗИ РОЗПОДІЛУ'!$I$15</f>
        <v>0.14173554336930061</v>
      </c>
      <c r="K5" s="497">
        <f>'БАЗИ РОЗПОДІЛУ'!$J$15</f>
        <v>8.3914010789560151E-3</v>
      </c>
      <c r="L5" s="497">
        <f>'БАЗИ РОЗПОДІЛУ'!$K$15</f>
        <v>0.13119770153344976</v>
      </c>
      <c r="M5" s="497">
        <f>'БАЗИ РОЗПОДІЛУ'!$L$15</f>
        <v>0</v>
      </c>
      <c r="N5" s="497">
        <f>'БАЗИ РОЗПОДІЛУ'!M15</f>
        <v>0</v>
      </c>
      <c r="O5" s="1013"/>
      <c r="P5" s="1013"/>
      <c r="Q5" s="391"/>
      <c r="R5" s="1013"/>
      <c r="S5" s="1013"/>
      <c r="T5" s="1013"/>
      <c r="U5" s="1013"/>
      <c r="V5" s="1013"/>
    </row>
    <row r="6" spans="2:22" ht="18.75" customHeight="1" thickBot="1" x14ac:dyDescent="0.3">
      <c r="B6" s="5089" t="s">
        <v>8</v>
      </c>
      <c r="C6" s="4567" t="s">
        <v>932</v>
      </c>
      <c r="D6" s="4567" t="s">
        <v>932</v>
      </c>
      <c r="E6" s="4567" t="s">
        <v>942</v>
      </c>
      <c r="F6" s="4567" t="s">
        <v>933</v>
      </c>
      <c r="G6" s="5116" t="s">
        <v>907</v>
      </c>
      <c r="H6" s="5117"/>
      <c r="I6" s="5117"/>
      <c r="J6" s="5117"/>
      <c r="K6" s="5117"/>
      <c r="L6" s="5117"/>
      <c r="M6" s="5118"/>
      <c r="N6" s="397"/>
    </row>
    <row r="7" spans="2:22" ht="54.6" thickBot="1" x14ac:dyDescent="0.3">
      <c r="B7" s="5090"/>
      <c r="C7" s="4573">
        <f>'Вхідні дані'!F8</f>
        <v>2021</v>
      </c>
      <c r="D7" s="4573">
        <f>'Вхідні дані'!F7</f>
        <v>2022</v>
      </c>
      <c r="E7" s="4574" t="str">
        <f>'Вхідні дані'!F9</f>
        <v>Ріш. №296 від 25.10.2022</v>
      </c>
      <c r="F7" s="4573" t="str">
        <f>'Вхідні дані'!F6</f>
        <v>2023-2024</v>
      </c>
      <c r="G7" s="4567" t="s">
        <v>908</v>
      </c>
      <c r="H7" s="4567" t="s">
        <v>909</v>
      </c>
      <c r="I7" s="4567" t="s">
        <v>1955</v>
      </c>
      <c r="J7" s="4567" t="s">
        <v>1966</v>
      </c>
      <c r="K7" s="4567" t="s">
        <v>910</v>
      </c>
      <c r="L7" s="4575" t="s">
        <v>911</v>
      </c>
      <c r="M7" s="4569" t="s">
        <v>930</v>
      </c>
      <c r="N7" s="398" t="s">
        <v>931</v>
      </c>
    </row>
    <row r="8" spans="2:22" ht="17.399999999999999" x14ac:dyDescent="0.3">
      <c r="B8" s="400" t="s">
        <v>1568</v>
      </c>
      <c r="C8" s="401">
        <f>C9+C20+C40+C24+C37+C38+C39</f>
        <v>5006.7667899999988</v>
      </c>
      <c r="D8" s="401">
        <f>D9+D20+D40+D24+D37+D38+D39</f>
        <v>5296.5961199999992</v>
      </c>
      <c r="E8" s="1578">
        <f>E9+E20+E40+E24+E37+E39-0.01</f>
        <v>6463.157697595102</v>
      </c>
      <c r="F8" s="401">
        <f t="shared" ref="F8:N8" si="0">F9+F20+F40+F24+F37+F39</f>
        <v>7841.4263543791521</v>
      </c>
      <c r="G8" s="401">
        <f t="shared" si="0"/>
        <v>5210.7535416702249</v>
      </c>
      <c r="H8" s="401">
        <f t="shared" si="0"/>
        <v>1536.0951446998733</v>
      </c>
      <c r="I8" s="401">
        <f t="shared" si="0"/>
        <v>424.6863195715905</v>
      </c>
      <c r="J8" s="401">
        <f t="shared" si="0"/>
        <v>1111.4088251282831</v>
      </c>
      <c r="K8" s="401">
        <f t="shared" si="0"/>
        <v>65.800553570691349</v>
      </c>
      <c r="L8" s="401">
        <f t="shared" si="0"/>
        <v>1028.777114438363</v>
      </c>
      <c r="M8" s="401">
        <f t="shared" si="0"/>
        <v>0</v>
      </c>
      <c r="N8" s="401">
        <f t="shared" si="0"/>
        <v>0</v>
      </c>
      <c r="O8" s="901">
        <f>F8-7818.37</f>
        <v>23.056354379152253</v>
      </c>
      <c r="U8" s="399">
        <f>F8-G8-H8-K8-L8-M8-N8</f>
        <v>-4.5474735088646412E-13</v>
      </c>
      <c r="V8" s="399">
        <f>H8-I8-J8</f>
        <v>0</v>
      </c>
    </row>
    <row r="9" spans="2:22" ht="17.399999999999999" x14ac:dyDescent="0.3">
      <c r="B9" s="404" t="s">
        <v>913</v>
      </c>
      <c r="C9" s="405">
        <f>SUM(C10:C19)</f>
        <v>93.985719999999986</v>
      </c>
      <c r="D9" s="405">
        <f>SUM(D10:D19)</f>
        <v>144.78408999999999</v>
      </c>
      <c r="E9" s="1579">
        <f>SUM(E10:E19)+0.005</f>
        <v>200.03752424177327</v>
      </c>
      <c r="F9" s="405">
        <f t="shared" ref="F9:N9" si="1">SUM(F10:F19)</f>
        <v>201.92670028999996</v>
      </c>
      <c r="G9" s="405">
        <f t="shared" si="1"/>
        <v>134.1835300291113</v>
      </c>
      <c r="H9" s="405">
        <f t="shared" si="1"/>
        <v>39.556403373923416</v>
      </c>
      <c r="I9" s="405">
        <f t="shared" si="1"/>
        <v>10.936212787550362</v>
      </c>
      <c r="J9" s="405">
        <f t="shared" si="1"/>
        <v>28.620190586373059</v>
      </c>
      <c r="K9" s="405">
        <f t="shared" si="1"/>
        <v>1.6944479306835338</v>
      </c>
      <c r="L9" s="405">
        <f t="shared" si="1"/>
        <v>26.492318956281782</v>
      </c>
      <c r="M9" s="405">
        <f t="shared" si="1"/>
        <v>0</v>
      </c>
      <c r="N9" s="405">
        <f t="shared" si="1"/>
        <v>0</v>
      </c>
      <c r="O9" s="901">
        <f>F28-105.84+2.235</f>
        <v>23.056201851311997</v>
      </c>
      <c r="U9" s="399">
        <f t="shared" ref="U9:U21" si="2">F9-G9-H9-K9-L9-M9-N9</f>
        <v>-7.1054273576010019E-14</v>
      </c>
      <c r="V9" s="399">
        <f t="shared" ref="V9:V21" si="3">H9-I9-J9</f>
        <v>0</v>
      </c>
    </row>
    <row r="10" spans="2:22" ht="18" x14ac:dyDescent="0.35">
      <c r="B10" s="406" t="s">
        <v>934</v>
      </c>
      <c r="C10" s="407">
        <v>58.647079999999995</v>
      </c>
      <c r="D10" s="407">
        <v>102.26357</v>
      </c>
      <c r="E10" s="1583">
        <v>133.44149999999999</v>
      </c>
      <c r="F10" s="462">
        <f>ПММ!N16/1000</f>
        <v>115.89809</v>
      </c>
      <c r="G10" s="409">
        <f>F10*$G$5</f>
        <v>77.016139111355557</v>
      </c>
      <c r="H10" s="409">
        <f>F10*$H$5</f>
        <v>22.703840511052608</v>
      </c>
      <c r="I10" s="409">
        <f>F10*$I$5</f>
        <v>6.2769617494385033</v>
      </c>
      <c r="J10" s="409">
        <f>F10*$J$5</f>
        <v>16.426878761614105</v>
      </c>
      <c r="K10" s="409">
        <f>F10*$K$5</f>
        <v>0.97254735747494125</v>
      </c>
      <c r="L10" s="409">
        <f>F10*$L$5</f>
        <v>15.205563020116898</v>
      </c>
      <c r="M10" s="409">
        <f>F10*$M$5</f>
        <v>0</v>
      </c>
      <c r="N10" s="409">
        <f>F10*$N$5</f>
        <v>0</v>
      </c>
      <c r="O10" s="901" t="s">
        <v>914</v>
      </c>
      <c r="P10" s="399" t="s">
        <v>1569</v>
      </c>
      <c r="U10" s="399">
        <f t="shared" si="2"/>
        <v>-7.1054273576010019E-15</v>
      </c>
      <c r="V10" s="399">
        <f t="shared" si="3"/>
        <v>0</v>
      </c>
    </row>
    <row r="11" spans="2:22" ht="18" x14ac:dyDescent="0.35">
      <c r="B11" s="406" t="s">
        <v>935</v>
      </c>
      <c r="C11" s="407">
        <v>3.3592</v>
      </c>
      <c r="D11" s="407">
        <v>0.93340999999999996</v>
      </c>
      <c r="E11" s="1583">
        <v>5.1813594199999997</v>
      </c>
      <c r="F11" s="462">
        <f>(D11)*'Вхідні дані'!$D$71</f>
        <v>0.98778113249999988</v>
      </c>
      <c r="G11" s="409">
        <f>F11*$G$5</f>
        <v>0.65639640059808002</v>
      </c>
      <c r="H11" s="409">
        <f>F11*$H$5</f>
        <v>0.19350125003877908</v>
      </c>
      <c r="I11" s="409">
        <f t="shared" ref="I11:I64" si="4">F11*$I$5</f>
        <v>5.3497554493948475E-2</v>
      </c>
      <c r="J11" s="409">
        <f t="shared" ref="J11:J64" si="5">F11*$J$5</f>
        <v>0.14000369554483061</v>
      </c>
      <c r="K11" s="409">
        <f>F11*$K$5</f>
        <v>8.2888676610328935E-3</v>
      </c>
      <c r="L11" s="409">
        <f>F11*$L$5</f>
        <v>0.12959461420210797</v>
      </c>
      <c r="M11" s="409">
        <f>F11*$M$5</f>
        <v>0</v>
      </c>
      <c r="N11" s="409">
        <f>F11*$N$5</f>
        <v>0</v>
      </c>
      <c r="O11" s="901" t="s">
        <v>965</v>
      </c>
      <c r="U11" s="399">
        <f t="shared" si="2"/>
        <v>-8.3266726846886741E-17</v>
      </c>
      <c r="V11" s="399">
        <f t="shared" si="3"/>
        <v>0</v>
      </c>
    </row>
    <row r="12" spans="2:22" ht="18" x14ac:dyDescent="0.35">
      <c r="B12" s="406" t="s">
        <v>936</v>
      </c>
      <c r="C12" s="462">
        <v>2</v>
      </c>
      <c r="D12" s="462">
        <v>6.8000000000000005E-2</v>
      </c>
      <c r="E12" s="1580">
        <f>10.03-E11</f>
        <v>4.8486405799999996</v>
      </c>
      <c r="F12" s="462">
        <f>D12*'Вхідні дані'!D71</f>
        <v>7.1960999999999997E-2</v>
      </c>
      <c r="G12" s="409">
        <f>F12*$G$5</f>
        <v>4.7819238320426657E-2</v>
      </c>
      <c r="H12" s="409">
        <f>F12*$H$5</f>
        <v>1.4096790266482015E-2</v>
      </c>
      <c r="I12" s="409">
        <f t="shared" si="4"/>
        <v>3.8973588300837752E-3</v>
      </c>
      <c r="J12" s="409">
        <f t="shared" si="5"/>
        <v>1.0199431436398241E-2</v>
      </c>
      <c r="K12" s="409">
        <f>F12*$K$5</f>
        <v>6.0385361304275383E-4</v>
      </c>
      <c r="L12" s="409">
        <f>F12*$L$5</f>
        <v>9.4411178000485783E-3</v>
      </c>
      <c r="M12" s="409">
        <f>F12*$M$5</f>
        <v>0</v>
      </c>
      <c r="N12" s="409">
        <f>F12*$N$5</f>
        <v>0</v>
      </c>
      <c r="O12" s="476" t="s">
        <v>1579</v>
      </c>
      <c r="U12" s="399">
        <f t="shared" si="2"/>
        <v>-6.9388939039072284E-18</v>
      </c>
      <c r="V12" s="399">
        <f t="shared" si="3"/>
        <v>0</v>
      </c>
    </row>
    <row r="13" spans="2:22" ht="18" customHeight="1" x14ac:dyDescent="0.35">
      <c r="B13" s="406" t="s">
        <v>1570</v>
      </c>
      <c r="C13" s="462">
        <v>3.6728400000000003</v>
      </c>
      <c r="D13" s="462">
        <v>5.9504399999999995</v>
      </c>
      <c r="E13" s="1583">
        <v>6.1594321349999994</v>
      </c>
      <c r="F13" s="462">
        <f>D13*'Вхідні дані'!$D$71</f>
        <v>6.2970531299999992</v>
      </c>
      <c r="G13" s="409">
        <f t="shared" ref="G13:G64" si="6">F13*$G$5</f>
        <v>4.1844927716382294</v>
      </c>
      <c r="H13" s="409">
        <f t="shared" ref="H13:H64" si="7">F13*$H$5</f>
        <v>1.2335603628424299</v>
      </c>
      <c r="I13" s="409">
        <f t="shared" si="4"/>
        <v>0.341044115836525</v>
      </c>
      <c r="J13" s="409">
        <f t="shared" si="5"/>
        <v>0.89251624700590504</v>
      </c>
      <c r="K13" s="409">
        <f t="shared" ref="K13:K64" si="8">F13*$K$5</f>
        <v>5.2841098429325342E-2</v>
      </c>
      <c r="L13" s="409">
        <f t="shared" ref="L13:L64" si="9">F13*$L$5</f>
        <v>0.82615889709001544</v>
      </c>
      <c r="M13" s="409">
        <f t="shared" ref="M13:M64" si="10">F13*$M$5</f>
        <v>0</v>
      </c>
      <c r="N13" s="409">
        <f t="shared" ref="N13:N64" si="11">F13*$N$5</f>
        <v>0</v>
      </c>
      <c r="O13" s="901" t="s">
        <v>965</v>
      </c>
      <c r="U13" s="399">
        <f t="shared" si="2"/>
        <v>-8.8817841970012523E-16</v>
      </c>
      <c r="V13" s="399">
        <f t="shared" si="3"/>
        <v>0</v>
      </c>
    </row>
    <row r="14" spans="2:22" ht="18" x14ac:dyDescent="0.35">
      <c r="B14" s="406" t="s">
        <v>915</v>
      </c>
      <c r="C14" s="407">
        <v>3.2145000000000001</v>
      </c>
      <c r="D14" s="407">
        <v>7.9666399999999999</v>
      </c>
      <c r="E14" s="1583">
        <v>8.6999999999999993</v>
      </c>
      <c r="F14" s="462">
        <f>D14*'Вхідні дані'!$D$71</f>
        <v>8.4306967799999999</v>
      </c>
      <c r="G14" s="409">
        <f t="shared" si="6"/>
        <v>5.6023331878388802</v>
      </c>
      <c r="H14" s="409">
        <f t="shared" si="7"/>
        <v>1.6515301942436218</v>
      </c>
      <c r="I14" s="409">
        <f t="shared" si="4"/>
        <v>0.45660080514850898</v>
      </c>
      <c r="J14" s="409">
        <f t="shared" si="5"/>
        <v>1.1949293890951129</v>
      </c>
      <c r="K14" s="409">
        <f t="shared" si="8"/>
        <v>7.0745358056042998E-2</v>
      </c>
      <c r="L14" s="409">
        <f t="shared" si="9"/>
        <v>1.1060880398614559</v>
      </c>
      <c r="M14" s="409">
        <f t="shared" si="10"/>
        <v>0</v>
      </c>
      <c r="N14" s="409">
        <f t="shared" si="11"/>
        <v>0</v>
      </c>
      <c r="O14" s="901" t="s">
        <v>1580</v>
      </c>
      <c r="P14" s="399" t="s">
        <v>1681</v>
      </c>
      <c r="U14" s="399">
        <f t="shared" si="2"/>
        <v>-1.1102230246251565E-15</v>
      </c>
      <c r="V14" s="399">
        <f t="shared" si="3"/>
        <v>0</v>
      </c>
    </row>
    <row r="15" spans="2:22" ht="18" x14ac:dyDescent="0.35">
      <c r="B15" s="406" t="s">
        <v>937</v>
      </c>
      <c r="C15" s="407">
        <f>5.71</f>
        <v>5.71</v>
      </c>
      <c r="D15" s="407">
        <v>7.12066</v>
      </c>
      <c r="E15" s="1583">
        <v>5.7125288195890391</v>
      </c>
      <c r="F15" s="462">
        <f>D15*'Вхідні дані'!$D$71</f>
        <v>7.5354384449999996</v>
      </c>
      <c r="G15" s="409">
        <f t="shared" si="6"/>
        <v>5.0074196696871951</v>
      </c>
      <c r="H15" s="409">
        <f t="shared" si="7"/>
        <v>1.4761536849842327</v>
      </c>
      <c r="I15" s="409">
        <f t="shared" si="4"/>
        <v>0.40811422245624024</v>
      </c>
      <c r="J15" s="409">
        <f t="shared" si="5"/>
        <v>1.0680394625279925</v>
      </c>
      <c r="K15" s="409">
        <f t="shared" si="8"/>
        <v>6.3232886297779636E-2</v>
      </c>
      <c r="L15" s="409">
        <f t="shared" si="9"/>
        <v>0.98863220403079266</v>
      </c>
      <c r="M15" s="409">
        <f t="shared" si="10"/>
        <v>0</v>
      </c>
      <c r="N15" s="409">
        <f t="shared" si="11"/>
        <v>0</v>
      </c>
      <c r="O15" s="901" t="s">
        <v>965</v>
      </c>
      <c r="U15" s="399">
        <f t="shared" si="2"/>
        <v>-5.5511151231257827E-16</v>
      </c>
      <c r="V15" s="399">
        <f t="shared" si="3"/>
        <v>0</v>
      </c>
    </row>
    <row r="16" spans="2:22" ht="18" x14ac:dyDescent="0.35">
      <c r="B16" s="406" t="s">
        <v>938</v>
      </c>
      <c r="C16" s="462">
        <v>1.28817</v>
      </c>
      <c r="E16" s="1583">
        <v>1.2879727497260272</v>
      </c>
      <c r="F16" s="462">
        <f>D18*'Вхідні дані'!$D$71</f>
        <v>17.315753197499998</v>
      </c>
      <c r="G16" s="409">
        <f t="shared" si="6"/>
        <v>11.506595639984747</v>
      </c>
      <c r="H16" s="409">
        <f t="shared" si="7"/>
        <v>3.3920671076183324</v>
      </c>
      <c r="I16" s="409">
        <f t="shared" si="4"/>
        <v>0.93780941932196593</v>
      </c>
      <c r="J16" s="409">
        <f t="shared" si="5"/>
        <v>2.4542576882963667</v>
      </c>
      <c r="K16" s="409">
        <f t="shared" si="8"/>
        <v>0.14530343006443755</v>
      </c>
      <c r="L16" s="409">
        <f t="shared" si="9"/>
        <v>2.271787019832483</v>
      </c>
      <c r="M16" s="409">
        <f t="shared" si="10"/>
        <v>0</v>
      </c>
      <c r="N16" s="409">
        <f t="shared" si="11"/>
        <v>0</v>
      </c>
      <c r="O16" s="901" t="s">
        <v>965</v>
      </c>
      <c r="U16" s="399">
        <f t="shared" si="2"/>
        <v>-2.2204460492503131E-15</v>
      </c>
      <c r="V16" s="399">
        <f t="shared" si="3"/>
        <v>0</v>
      </c>
    </row>
    <row r="17" spans="2:22" ht="18" x14ac:dyDescent="0.35">
      <c r="B17" s="406" t="s">
        <v>939</v>
      </c>
      <c r="C17" s="407">
        <v>0.38241999999999976</v>
      </c>
      <c r="E17" s="1583">
        <v>12.932387137808217</v>
      </c>
      <c r="F17" s="462">
        <f>D19*'Вхідні дані'!$D$71</f>
        <v>4.3586566049999993</v>
      </c>
      <c r="G17" s="409">
        <f t="shared" si="6"/>
        <v>2.8963972005863834</v>
      </c>
      <c r="H17" s="409">
        <f t="shared" si="7"/>
        <v>0.85383844032603129</v>
      </c>
      <c r="I17" s="409">
        <f t="shared" si="4"/>
        <v>0.23606187805616541</v>
      </c>
      <c r="J17" s="409">
        <f t="shared" si="5"/>
        <v>0.61777656226986599</v>
      </c>
      <c r="K17" s="409">
        <f t="shared" si="8"/>
        <v>3.6575235737995752E-2</v>
      </c>
      <c r="L17" s="409">
        <f t="shared" si="9"/>
        <v>0.57184572834958936</v>
      </c>
      <c r="M17" s="409">
        <f t="shared" si="10"/>
        <v>0</v>
      </c>
      <c r="N17" s="409">
        <f t="shared" si="11"/>
        <v>0</v>
      </c>
      <c r="O17" s="476" t="s">
        <v>2619</v>
      </c>
      <c r="U17" s="399">
        <f t="shared" si="2"/>
        <v>-4.4408920985006262E-16</v>
      </c>
      <c r="V17" s="399">
        <f t="shared" si="3"/>
        <v>0</v>
      </c>
    </row>
    <row r="18" spans="2:22" ht="18" x14ac:dyDescent="0.35">
      <c r="B18" s="406" t="s">
        <v>940</v>
      </c>
      <c r="C18" s="407">
        <v>12.042680000000001</v>
      </c>
      <c r="D18" s="462">
        <v>16.362629999999999</v>
      </c>
      <c r="E18" s="1583">
        <v>15.475230000000002</v>
      </c>
      <c r="F18" s="462">
        <f>ОП!H6</f>
        <v>36.379869999999997</v>
      </c>
      <c r="G18" s="409">
        <f t="shared" si="6"/>
        <v>24.175006928699435</v>
      </c>
      <c r="H18" s="409">
        <f t="shared" si="7"/>
        <v>7.1266296648445833</v>
      </c>
      <c r="I18" s="409">
        <f t="shared" si="4"/>
        <v>1.9703090226900659</v>
      </c>
      <c r="J18" s="409">
        <f t="shared" si="5"/>
        <v>5.156320642154518</v>
      </c>
      <c r="K18" s="409">
        <f t="shared" si="8"/>
        <v>0.30527808037027954</v>
      </c>
      <c r="L18" s="409">
        <f t="shared" si="9"/>
        <v>4.7729553260857021</v>
      </c>
      <c r="M18" s="409">
        <f t="shared" si="10"/>
        <v>0</v>
      </c>
      <c r="N18" s="409">
        <f t="shared" si="11"/>
        <v>0</v>
      </c>
      <c r="O18" s="901" t="s">
        <v>1389</v>
      </c>
      <c r="U18" s="399">
        <f t="shared" si="2"/>
        <v>-3.5527136788005009E-15</v>
      </c>
      <c r="V18" s="399">
        <f t="shared" si="3"/>
        <v>0</v>
      </c>
    </row>
    <row r="19" spans="2:22" ht="18" x14ac:dyDescent="0.35">
      <c r="B19" s="406" t="s">
        <v>941</v>
      </c>
      <c r="C19" s="407">
        <v>3.6688299999999998</v>
      </c>
      <c r="D19" s="407">
        <v>4.1187399999999998</v>
      </c>
      <c r="E19" s="1583">
        <v>6.2934733996499999</v>
      </c>
      <c r="F19" s="462">
        <f>ОП!H8</f>
        <v>4.6513999999999998</v>
      </c>
      <c r="G19" s="409">
        <f t="shared" si="6"/>
        <v>3.0909298804023368</v>
      </c>
      <c r="H19" s="409">
        <f t="shared" si="7"/>
        <v>0.9111853677063193</v>
      </c>
      <c r="I19" s="409">
        <f t="shared" si="4"/>
        <v>0.25191666127835455</v>
      </c>
      <c r="J19" s="409">
        <f t="shared" si="5"/>
        <v>0.65926870642796487</v>
      </c>
      <c r="K19" s="409">
        <f t="shared" si="8"/>
        <v>3.9031762978656008E-2</v>
      </c>
      <c r="L19" s="409">
        <f t="shared" si="9"/>
        <v>0.6102529889126882</v>
      </c>
      <c r="M19" s="409">
        <f t="shared" si="10"/>
        <v>0</v>
      </c>
      <c r="N19" s="409">
        <f t="shared" si="11"/>
        <v>0</v>
      </c>
      <c r="O19" s="901" t="s">
        <v>1942</v>
      </c>
      <c r="U19" s="399">
        <f t="shared" si="2"/>
        <v>-5.5511151231257827E-16</v>
      </c>
      <c r="V19" s="399">
        <f t="shared" si="3"/>
        <v>0</v>
      </c>
    </row>
    <row r="20" spans="2:22" ht="20.399999999999999" customHeight="1" x14ac:dyDescent="0.3">
      <c r="B20" s="410" t="s">
        <v>916</v>
      </c>
      <c r="C20" s="405">
        <f>C21+C23</f>
        <v>4574.9045900000001</v>
      </c>
      <c r="D20" s="405">
        <f t="shared" ref="D20:N20" si="12">D21+D23</f>
        <v>4921.7766699999993</v>
      </c>
      <c r="E20" s="405">
        <f t="shared" si="12"/>
        <v>5820.4179999999997</v>
      </c>
      <c r="F20" s="405">
        <f t="shared" si="12"/>
        <v>7270.8072171989988</v>
      </c>
      <c r="G20" s="405">
        <f t="shared" si="12"/>
        <v>4831.567975724588</v>
      </c>
      <c r="H20" s="405">
        <f t="shared" si="12"/>
        <v>1424.3137867577998</v>
      </c>
      <c r="I20" s="405">
        <f t="shared" si="12"/>
        <v>393.78197509466747</v>
      </c>
      <c r="J20" s="405">
        <f t="shared" si="12"/>
        <v>1030.5318116631324</v>
      </c>
      <c r="K20" s="405">
        <f t="shared" si="12"/>
        <v>61.012259527284861</v>
      </c>
      <c r="L20" s="405">
        <f t="shared" si="12"/>
        <v>953.91319518932664</v>
      </c>
      <c r="M20" s="405">
        <f t="shared" si="12"/>
        <v>0</v>
      </c>
      <c r="N20" s="405">
        <f t="shared" si="12"/>
        <v>0</v>
      </c>
      <c r="O20" s="901"/>
      <c r="P20" s="430"/>
      <c r="U20" s="399">
        <f t="shared" si="2"/>
        <v>-4.5474735088646412E-13</v>
      </c>
      <c r="V20" s="399">
        <f t="shared" si="3"/>
        <v>0</v>
      </c>
    </row>
    <row r="21" spans="2:22" ht="39" customHeight="1" x14ac:dyDescent="0.35">
      <c r="B21" s="406" t="s">
        <v>1705</v>
      </c>
      <c r="C21" s="407">
        <v>3790.6984600000001</v>
      </c>
      <c r="D21" s="407">
        <v>4097.1417599999995</v>
      </c>
      <c r="E21" s="407">
        <v>4808.9539999999997</v>
      </c>
      <c r="F21" s="407">
        <f>ФОП!H44/1000</f>
        <v>5991.8348819999992</v>
      </c>
      <c r="G21" s="409">
        <f t="shared" si="6"/>
        <v>3981.6703519823727</v>
      </c>
      <c r="H21" s="409">
        <f t="shared" si="7"/>
        <v>1173.7696758375371</v>
      </c>
      <c r="I21" s="409">
        <f t="shared" si="4"/>
        <v>324.51370305813811</v>
      </c>
      <c r="J21" s="409">
        <f t="shared" si="5"/>
        <v>849.25597277939903</v>
      </c>
      <c r="K21" s="409">
        <f t="shared" si="8"/>
        <v>50.279889693741083</v>
      </c>
      <c r="L21" s="409">
        <f t="shared" si="9"/>
        <v>786.11496448634898</v>
      </c>
      <c r="M21" s="409">
        <f t="shared" si="10"/>
        <v>0</v>
      </c>
      <c r="N21" s="409">
        <f t="shared" si="11"/>
        <v>0</v>
      </c>
      <c r="O21" s="431" t="s">
        <v>1008</v>
      </c>
      <c r="P21" s="430"/>
      <c r="U21" s="399">
        <f t="shared" si="2"/>
        <v>-6.8212102632969618E-13</v>
      </c>
      <c r="V21" s="399">
        <f t="shared" si="3"/>
        <v>0</v>
      </c>
    </row>
    <row r="22" spans="2:22" ht="18" x14ac:dyDescent="0.35">
      <c r="B22" s="463" t="s">
        <v>1698</v>
      </c>
      <c r="C22" s="407">
        <v>186.05934999999999</v>
      </c>
      <c r="D22" s="407">
        <v>276.45303000000001</v>
      </c>
      <c r="E22" s="407">
        <v>342.20400000000001</v>
      </c>
      <c r="F22" s="407">
        <f>ФОП!H45/1000</f>
        <v>288.67799000000002</v>
      </c>
      <c r="G22" s="409">
        <f t="shared" si="6"/>
        <v>191.83115300887627</v>
      </c>
      <c r="H22" s="409">
        <f t="shared" si="7"/>
        <v>56.550535423070734</v>
      </c>
      <c r="I22" s="409">
        <f t="shared" si="4"/>
        <v>15.634603651663205</v>
      </c>
      <c r="J22" s="409">
        <f t="shared" si="5"/>
        <v>40.915931771407529</v>
      </c>
      <c r="K22" s="409">
        <f t="shared" si="8"/>
        <v>2.4224127967568538</v>
      </c>
      <c r="L22" s="409">
        <f t="shared" si="9"/>
        <v>37.873888771296194</v>
      </c>
      <c r="M22" s="409">
        <f t="shared" si="10"/>
        <v>0</v>
      </c>
      <c r="N22" s="409">
        <f t="shared" si="11"/>
        <v>0</v>
      </c>
      <c r="O22" s="431" t="s">
        <v>1008</v>
      </c>
      <c r="P22" s="430"/>
      <c r="U22" s="399">
        <f>F22-G22-H22-K22-L22-M22-N22</f>
        <v>-2.8421709430404007E-14</v>
      </c>
      <c r="V22" s="399">
        <f>H22-I22-J22</f>
        <v>0</v>
      </c>
    </row>
    <row r="23" spans="2:22" ht="39" customHeight="1" x14ac:dyDescent="0.35">
      <c r="B23" s="406" t="s">
        <v>1706</v>
      </c>
      <c r="C23" s="407">
        <v>784.20613000000003</v>
      </c>
      <c r="D23" s="407">
        <v>824.63490999999999</v>
      </c>
      <c r="E23" s="407">
        <v>1011.4640000000001</v>
      </c>
      <c r="F23" s="407">
        <f>(F21-F22)*'Вхідні дані'!D43+F22*'Вхідні дані'!D44</f>
        <v>1278.9723351989996</v>
      </c>
      <c r="G23" s="409">
        <f t="shared" si="6"/>
        <v>849.8976237422155</v>
      </c>
      <c r="H23" s="409">
        <f t="shared" si="7"/>
        <v>250.54411092026282</v>
      </c>
      <c r="I23" s="409">
        <f t="shared" si="4"/>
        <v>69.268272036529339</v>
      </c>
      <c r="J23" s="409">
        <f t="shared" si="5"/>
        <v>181.27583888373348</v>
      </c>
      <c r="K23" s="409">
        <f t="shared" si="8"/>
        <v>10.73236983354378</v>
      </c>
      <c r="L23" s="409">
        <f t="shared" si="9"/>
        <v>167.79823070297761</v>
      </c>
      <c r="M23" s="409">
        <f t="shared" si="10"/>
        <v>0</v>
      </c>
      <c r="N23" s="409">
        <f t="shared" si="11"/>
        <v>0</v>
      </c>
      <c r="O23" s="431" t="s">
        <v>1008</v>
      </c>
      <c r="P23" s="430" t="s">
        <v>918</v>
      </c>
      <c r="S23" s="391">
        <f>ФОП!H51/1000</f>
        <v>1570.576724040274</v>
      </c>
      <c r="U23" s="399">
        <f t="shared" ref="U23:U33" si="13">F23-G23-H23-K23-L23-M23-N23</f>
        <v>-5.6843418860808015E-14</v>
      </c>
      <c r="V23" s="399">
        <f t="shared" ref="V23:V33" si="14">H23-I23-J23</f>
        <v>0</v>
      </c>
    </row>
    <row r="24" spans="2:22" s="411" customFormat="1" ht="54" customHeight="1" x14ac:dyDescent="0.3">
      <c r="B24" s="410" t="s">
        <v>1707</v>
      </c>
      <c r="C24" s="405">
        <f>SUM(C25:C36)</f>
        <v>119.12098</v>
      </c>
      <c r="D24" s="405">
        <f>SUM(D25:D36)</f>
        <v>109.33274999999999</v>
      </c>
      <c r="E24" s="405">
        <f t="shared" ref="E24:N24" si="15">SUM(E25:E36)</f>
        <v>330.787723860575</v>
      </c>
      <c r="F24" s="405">
        <f t="shared" si="15"/>
        <v>238.08414051985116</v>
      </c>
      <c r="G24" s="405">
        <f t="shared" si="15"/>
        <v>158.21072880911481</v>
      </c>
      <c r="H24" s="405">
        <f t="shared" si="15"/>
        <v>46.639460189324424</v>
      </c>
      <c r="I24" s="405">
        <f t="shared" si="15"/>
        <v>12.894475165130395</v>
      </c>
      <c r="J24" s="405">
        <f t="shared" si="15"/>
        <v>33.74498502419403</v>
      </c>
      <c r="K24" s="405">
        <f t="shared" si="15"/>
        <v>1.9978595136405948</v>
      </c>
      <c r="L24" s="405">
        <f t="shared" si="15"/>
        <v>31.236092007771347</v>
      </c>
      <c r="M24" s="405">
        <f t="shared" si="15"/>
        <v>0</v>
      </c>
      <c r="N24" s="405">
        <f t="shared" si="15"/>
        <v>0</v>
      </c>
      <c r="O24" s="901"/>
      <c r="P24" s="432"/>
      <c r="Q24" s="423"/>
      <c r="S24" s="391"/>
      <c r="T24" s="391"/>
      <c r="U24" s="399">
        <f t="shared" si="13"/>
        <v>-1.7763568394002505E-14</v>
      </c>
      <c r="V24" s="399">
        <f t="shared" si="14"/>
        <v>0</v>
      </c>
    </row>
    <row r="25" spans="2:22" ht="18" customHeight="1" x14ac:dyDescent="0.35">
      <c r="B25" s="412" t="s">
        <v>1390</v>
      </c>
      <c r="C25" s="461"/>
      <c r="D25" s="461"/>
      <c r="E25" s="461">
        <v>35.6</v>
      </c>
      <c r="F25" s="407">
        <f>'Д 9_ЕЕ'!D119</f>
        <v>13.589859731039159</v>
      </c>
      <c r="G25" s="409">
        <f t="shared" si="6"/>
        <v>9.030679690662037</v>
      </c>
      <c r="H25" s="409">
        <f t="shared" si="7"/>
        <v>2.6621837158928963</v>
      </c>
      <c r="I25" s="409">
        <f t="shared" si="4"/>
        <v>0.73601756260148399</v>
      </c>
      <c r="J25" s="409">
        <f t="shared" si="5"/>
        <v>1.9261661532914125</v>
      </c>
      <c r="K25" s="409">
        <f t="shared" si="8"/>
        <v>0.1140379636099029</v>
      </c>
      <c r="L25" s="409">
        <f t="shared" si="9"/>
        <v>1.7829583608743234</v>
      </c>
      <c r="M25" s="409">
        <f t="shared" si="10"/>
        <v>0</v>
      </c>
      <c r="N25" s="409">
        <f t="shared" si="11"/>
        <v>0</v>
      </c>
      <c r="O25" s="901" t="s">
        <v>1701</v>
      </c>
      <c r="P25" s="391"/>
      <c r="Q25" s="391"/>
      <c r="U25" s="399">
        <f t="shared" si="13"/>
        <v>-8.8817841970012523E-16</v>
      </c>
      <c r="V25" s="399">
        <f t="shared" si="14"/>
        <v>0</v>
      </c>
    </row>
    <row r="26" spans="2:22" ht="18" customHeight="1" x14ac:dyDescent="0.35">
      <c r="B26" s="412" t="s">
        <v>1542</v>
      </c>
      <c r="C26" s="461">
        <v>4.5830099999999998</v>
      </c>
      <c r="D26" s="461">
        <v>7.7384899999999996</v>
      </c>
      <c r="E26" s="461">
        <v>168.03122386057498</v>
      </c>
      <c r="F26" s="461">
        <f>'Ремонт-план'!M5/1000</f>
        <v>2.23</v>
      </c>
      <c r="G26" s="409">
        <f t="shared" si="6"/>
        <v>1.4818707557503572</v>
      </c>
      <c r="H26" s="409">
        <f t="shared" si="7"/>
        <v>0.43684554542397819</v>
      </c>
      <c r="I26" s="409">
        <f t="shared" si="4"/>
        <v>0.12077528371043787</v>
      </c>
      <c r="J26" s="409">
        <f t="shared" si="5"/>
        <v>0.31607026171354036</v>
      </c>
      <c r="K26" s="409">
        <f t="shared" si="8"/>
        <v>1.8712824406071915E-2</v>
      </c>
      <c r="L26" s="409">
        <f t="shared" si="9"/>
        <v>0.29257087441959295</v>
      </c>
      <c r="M26" s="409">
        <f t="shared" si="10"/>
        <v>0</v>
      </c>
      <c r="N26" s="409">
        <f t="shared" si="11"/>
        <v>0</v>
      </c>
      <c r="O26" s="901" t="s">
        <v>2678</v>
      </c>
      <c r="P26" s="430"/>
      <c r="U26" s="399">
        <f t="shared" si="13"/>
        <v>-2.7755575615628914E-16</v>
      </c>
      <c r="V26" s="399">
        <f t="shared" si="14"/>
        <v>0</v>
      </c>
    </row>
    <row r="27" spans="2:22" ht="38.4" customHeight="1" x14ac:dyDescent="0.35">
      <c r="B27" s="412" t="s">
        <v>1394</v>
      </c>
      <c r="C27" s="407">
        <v>2.1199299999999996</v>
      </c>
      <c r="D27" s="407">
        <v>3.0426100000000003</v>
      </c>
      <c r="E27" s="407">
        <v>2.23</v>
      </c>
      <c r="F27" s="407">
        <f>ВОДА!P88+ВОДА!Q88</f>
        <v>3.2901789374999995</v>
      </c>
      <c r="G27" s="409">
        <f t="shared" si="6"/>
        <v>2.1863766585950812</v>
      </c>
      <c r="H27" s="409">
        <f t="shared" si="7"/>
        <v>0.64452915358505491</v>
      </c>
      <c r="I27" s="409">
        <f t="shared" si="4"/>
        <v>0.17819385409626434</v>
      </c>
      <c r="J27" s="409">
        <f t="shared" si="5"/>
        <v>0.4663352994887906</v>
      </c>
      <c r="K27" s="409">
        <f t="shared" si="8"/>
        <v>2.7609211086095851E-2</v>
      </c>
      <c r="L27" s="409">
        <f t="shared" si="9"/>
        <v>0.43166391423376776</v>
      </c>
      <c r="M27" s="409">
        <f t="shared" si="10"/>
        <v>0</v>
      </c>
      <c r="N27" s="409">
        <f t="shared" si="11"/>
        <v>0</v>
      </c>
      <c r="O27" s="476" t="s">
        <v>1877</v>
      </c>
      <c r="P27" s="529"/>
      <c r="U27" s="399">
        <f t="shared" si="13"/>
        <v>-3.3306690738754696E-16</v>
      </c>
      <c r="V27" s="399">
        <f t="shared" si="14"/>
        <v>0</v>
      </c>
    </row>
    <row r="28" spans="2:22" ht="18" x14ac:dyDescent="0.35">
      <c r="B28" s="412" t="s">
        <v>920</v>
      </c>
      <c r="C28" s="409">
        <v>80.554880000000011</v>
      </c>
      <c r="D28" s="409">
        <v>74.930890000000005</v>
      </c>
      <c r="E28" s="409">
        <v>42.963999999999999</v>
      </c>
      <c r="F28" s="409">
        <f>'Д 9_ЕЕ'!D113</f>
        <v>126.661201851312</v>
      </c>
      <c r="G28" s="409">
        <f t="shared" si="6"/>
        <v>84.168399511951677</v>
      </c>
      <c r="H28" s="409">
        <f t="shared" si="7"/>
        <v>24.8122788371269</v>
      </c>
      <c r="I28" s="409">
        <f t="shared" si="4"/>
        <v>6.8598845689225314</v>
      </c>
      <c r="J28" s="409">
        <f t="shared" si="5"/>
        <v>17.952394268204372</v>
      </c>
      <c r="K28" s="409">
        <f t="shared" si="8"/>
        <v>1.0628649458769652</v>
      </c>
      <c r="L28" s="409">
        <f t="shared" si="9"/>
        <v>16.617658556356467</v>
      </c>
      <c r="M28" s="409">
        <f t="shared" si="10"/>
        <v>0</v>
      </c>
      <c r="N28" s="409">
        <f t="shared" si="11"/>
        <v>0</v>
      </c>
      <c r="O28" s="901" t="s">
        <v>1701</v>
      </c>
      <c r="P28" s="391"/>
      <c r="Q28" s="391"/>
      <c r="U28" s="399">
        <f t="shared" si="13"/>
        <v>-7.1054273576010019E-15</v>
      </c>
      <c r="V28" s="399">
        <f t="shared" si="14"/>
        <v>0</v>
      </c>
    </row>
    <row r="29" spans="2:22" ht="18" x14ac:dyDescent="0.35">
      <c r="B29" s="412"/>
      <c r="C29" s="409"/>
      <c r="E29" s="409"/>
      <c r="F29" s="409"/>
      <c r="G29" s="409">
        <f t="shared" si="6"/>
        <v>0</v>
      </c>
      <c r="H29" s="409">
        <f t="shared" si="7"/>
        <v>0</v>
      </c>
      <c r="I29" s="409">
        <f t="shared" si="4"/>
        <v>0</v>
      </c>
      <c r="J29" s="409">
        <f t="shared" si="5"/>
        <v>0</v>
      </c>
      <c r="K29" s="409">
        <f t="shared" si="8"/>
        <v>0</v>
      </c>
      <c r="L29" s="409">
        <f t="shared" si="9"/>
        <v>0</v>
      </c>
      <c r="M29" s="409">
        <f t="shared" si="10"/>
        <v>0</v>
      </c>
      <c r="N29" s="409">
        <f t="shared" si="11"/>
        <v>0</v>
      </c>
      <c r="O29" s="901" t="s">
        <v>1573</v>
      </c>
      <c r="U29" s="399">
        <f t="shared" si="13"/>
        <v>0</v>
      </c>
      <c r="V29" s="399">
        <f t="shared" si="14"/>
        <v>0</v>
      </c>
    </row>
    <row r="30" spans="2:22" ht="18" x14ac:dyDescent="0.35">
      <c r="B30" s="412" t="s">
        <v>1401</v>
      </c>
      <c r="C30" s="409">
        <v>7.0125599999999997</v>
      </c>
      <c r="D30" s="409">
        <v>8.9012600000000006</v>
      </c>
      <c r="E30" s="409">
        <v>7.0125000000000002</v>
      </c>
      <c r="F30" s="1581">
        <f>2339.1*4/1000</f>
        <v>9.3563999999999989</v>
      </c>
      <c r="G30" s="409">
        <f t="shared" si="6"/>
        <v>6.2174778202253993</v>
      </c>
      <c r="H30" s="409">
        <f t="shared" si="7"/>
        <v>1.8328707000918876</v>
      </c>
      <c r="I30" s="409">
        <f t="shared" si="4"/>
        <v>0.50673626211136358</v>
      </c>
      <c r="J30" s="409">
        <f t="shared" si="5"/>
        <v>1.326134437980524</v>
      </c>
      <c r="K30" s="409">
        <f t="shared" si="8"/>
        <v>7.8513305055144048E-2</v>
      </c>
      <c r="L30" s="409">
        <f t="shared" si="9"/>
        <v>1.2275381746275691</v>
      </c>
      <c r="M30" s="409">
        <f t="shared" si="10"/>
        <v>0</v>
      </c>
      <c r="N30" s="409">
        <f t="shared" si="11"/>
        <v>0</v>
      </c>
      <c r="O30" s="901" t="s">
        <v>1938</v>
      </c>
      <c r="U30" s="399">
        <f t="shared" si="13"/>
        <v>-1.1102230246251565E-15</v>
      </c>
      <c r="V30" s="399">
        <f t="shared" si="14"/>
        <v>0</v>
      </c>
    </row>
    <row r="31" spans="2:22" ht="18.75" customHeight="1" x14ac:dyDescent="0.35">
      <c r="B31" s="668" t="s">
        <v>1590</v>
      </c>
      <c r="C31" s="409">
        <v>20.88</v>
      </c>
      <c r="D31" s="409">
        <v>12.115500000000001</v>
      </c>
      <c r="E31" s="407">
        <v>20.88</v>
      </c>
      <c r="F31" s="407">
        <f>D31</f>
        <v>12.115500000000001</v>
      </c>
      <c r="G31" s="409">
        <f t="shared" si="6"/>
        <v>8.0509440095486333</v>
      </c>
      <c r="H31" s="409">
        <f t="shared" si="7"/>
        <v>2.3733642177507659</v>
      </c>
      <c r="I31" s="409">
        <f t="shared" si="4"/>
        <v>0.65616724206000454</v>
      </c>
      <c r="J31" s="409">
        <f t="shared" si="5"/>
        <v>1.7171969756907617</v>
      </c>
      <c r="K31" s="409">
        <f t="shared" si="8"/>
        <v>0.10166601977209161</v>
      </c>
      <c r="L31" s="409">
        <f t="shared" si="9"/>
        <v>1.5895257529285107</v>
      </c>
      <c r="M31" s="409">
        <f t="shared" si="10"/>
        <v>0</v>
      </c>
      <c r="N31" s="409">
        <f t="shared" si="11"/>
        <v>0</v>
      </c>
      <c r="O31" s="431" t="s">
        <v>3315</v>
      </c>
      <c r="U31" s="399">
        <f t="shared" si="13"/>
        <v>-6.6613381477509392E-16</v>
      </c>
      <c r="V31" s="399">
        <f t="shared" si="14"/>
        <v>0</v>
      </c>
    </row>
    <row r="32" spans="2:22" ht="18" x14ac:dyDescent="0.35">
      <c r="B32" s="412" t="s">
        <v>1402</v>
      </c>
      <c r="C32" s="409"/>
      <c r="D32" s="409">
        <v>0.11</v>
      </c>
      <c r="E32" s="409">
        <v>1.04</v>
      </c>
      <c r="F32" s="409">
        <f>ТО!O30/1000</f>
        <v>0</v>
      </c>
      <c r="G32" s="409">
        <f t="shared" si="6"/>
        <v>0</v>
      </c>
      <c r="H32" s="409">
        <f t="shared" si="7"/>
        <v>0</v>
      </c>
      <c r="I32" s="409">
        <f t="shared" si="4"/>
        <v>0</v>
      </c>
      <c r="J32" s="409">
        <f t="shared" si="5"/>
        <v>0</v>
      </c>
      <c r="K32" s="409">
        <f t="shared" si="8"/>
        <v>0</v>
      </c>
      <c r="L32" s="409">
        <f t="shared" si="9"/>
        <v>0</v>
      </c>
      <c r="M32" s="409">
        <f t="shared" si="10"/>
        <v>0</v>
      </c>
      <c r="N32" s="409">
        <f t="shared" si="11"/>
        <v>0</v>
      </c>
      <c r="O32" s="901" t="s">
        <v>1939</v>
      </c>
      <c r="P32" s="399" t="s">
        <v>1708</v>
      </c>
      <c r="U32" s="399">
        <f t="shared" si="13"/>
        <v>0</v>
      </c>
      <c r="V32" s="399">
        <f t="shared" si="14"/>
        <v>0</v>
      </c>
    </row>
    <row r="33" spans="1:24" ht="18" x14ac:dyDescent="0.35">
      <c r="B33" s="412" t="s">
        <v>1403</v>
      </c>
      <c r="C33" s="409">
        <v>1.3</v>
      </c>
      <c r="D33" s="409">
        <v>0.35</v>
      </c>
      <c r="E33" s="409">
        <v>49</v>
      </c>
      <c r="F33" s="409">
        <f>'ТО ТЗ'!I40/1000</f>
        <v>67</v>
      </c>
      <c r="G33" s="409">
        <f t="shared" si="6"/>
        <v>44.522574275907594</v>
      </c>
      <c r="H33" s="409">
        <f t="shared" si="7"/>
        <v>13.124955849061228</v>
      </c>
      <c r="I33" s="409">
        <f t="shared" si="4"/>
        <v>3.6286744433180886</v>
      </c>
      <c r="J33" s="409">
        <f t="shared" si="5"/>
        <v>9.4962814057431402</v>
      </c>
      <c r="K33" s="409">
        <f t="shared" si="8"/>
        <v>0.562223872290053</v>
      </c>
      <c r="L33" s="409">
        <f t="shared" si="9"/>
        <v>8.7902460027411333</v>
      </c>
      <c r="M33" s="409">
        <f t="shared" si="10"/>
        <v>0</v>
      </c>
      <c r="N33" s="409">
        <f t="shared" si="11"/>
        <v>0</v>
      </c>
      <c r="O33" s="901" t="s">
        <v>1651</v>
      </c>
      <c r="U33" s="399">
        <f t="shared" si="13"/>
        <v>-8.8817841970012523E-15</v>
      </c>
      <c r="V33" s="399">
        <f t="shared" si="14"/>
        <v>0</v>
      </c>
    </row>
    <row r="34" spans="1:24" ht="18" x14ac:dyDescent="0.35">
      <c r="B34" s="412" t="s">
        <v>1404</v>
      </c>
      <c r="C34" s="409"/>
      <c r="E34" s="409">
        <v>1.3</v>
      </c>
      <c r="F34" s="409">
        <f>'ТК ТЗ'!I14/1000</f>
        <v>0</v>
      </c>
      <c r="G34" s="409">
        <f t="shared" si="6"/>
        <v>0</v>
      </c>
      <c r="H34" s="409">
        <f t="shared" si="7"/>
        <v>0</v>
      </c>
      <c r="I34" s="409">
        <f t="shared" si="4"/>
        <v>0</v>
      </c>
      <c r="J34" s="409">
        <f t="shared" si="5"/>
        <v>0</v>
      </c>
      <c r="K34" s="409">
        <f t="shared" si="8"/>
        <v>0</v>
      </c>
      <c r="L34" s="409">
        <f t="shared" si="9"/>
        <v>0</v>
      </c>
      <c r="M34" s="409">
        <f t="shared" si="10"/>
        <v>0</v>
      </c>
      <c r="N34" s="409">
        <f t="shared" si="11"/>
        <v>0</v>
      </c>
      <c r="O34" s="901" t="s">
        <v>1652</v>
      </c>
      <c r="U34" s="399">
        <f>F34-G34-H34-K34-L34-M34-N34</f>
        <v>0</v>
      </c>
      <c r="V34" s="399">
        <f>H34-I34-J34</f>
        <v>0</v>
      </c>
    </row>
    <row r="35" spans="1:24" ht="18" x14ac:dyDescent="0.35">
      <c r="B35" s="412" t="s">
        <v>1405</v>
      </c>
      <c r="C35" s="409">
        <v>2.6406000000000001</v>
      </c>
      <c r="D35" s="409">
        <v>2.1440000000000001</v>
      </c>
      <c r="E35" s="409">
        <v>2.73</v>
      </c>
      <c r="F35" s="409">
        <f>Страхування!N25/1000</f>
        <v>3.8410000000000002</v>
      </c>
      <c r="G35" s="409">
        <f t="shared" si="6"/>
        <v>2.5524060864740457</v>
      </c>
      <c r="H35" s="409">
        <f t="shared" si="7"/>
        <v>0.75243217039170418</v>
      </c>
      <c r="I35" s="409">
        <f t="shared" si="4"/>
        <v>0.20802594831022059</v>
      </c>
      <c r="J35" s="409">
        <f t="shared" si="5"/>
        <v>0.5444062220814837</v>
      </c>
      <c r="K35" s="409">
        <f t="shared" si="8"/>
        <v>3.2231371544270054E-2</v>
      </c>
      <c r="L35" s="409">
        <f t="shared" si="9"/>
        <v>0.50393037158998055</v>
      </c>
      <c r="M35" s="409">
        <f t="shared" si="10"/>
        <v>0</v>
      </c>
      <c r="N35" s="409">
        <f t="shared" si="11"/>
        <v>0</v>
      </c>
      <c r="O35" s="901" t="s">
        <v>1601</v>
      </c>
      <c r="U35" s="399">
        <f t="shared" ref="U35:U48" si="16">F35-G35-H35-K35-L35-M35-N35</f>
        <v>-2.2204460492503131E-16</v>
      </c>
      <c r="V35" s="399">
        <f t="shared" ref="V35:V48" si="17">H35-I35-J35</f>
        <v>0</v>
      </c>
    </row>
    <row r="36" spans="1:24" ht="18" x14ac:dyDescent="0.35">
      <c r="B36" s="412" t="s">
        <v>1406</v>
      </c>
      <c r="C36" s="409">
        <v>0.03</v>
      </c>
      <c r="D36" s="409">
        <v>0</v>
      </c>
      <c r="E36" s="407">
        <v>0</v>
      </c>
      <c r="F36" s="407">
        <f>Адміністративні_1ст!D35*'Вхідні дані'!D71</f>
        <v>0</v>
      </c>
      <c r="G36" s="409">
        <f t="shared" si="6"/>
        <v>0</v>
      </c>
      <c r="H36" s="409">
        <f t="shared" si="7"/>
        <v>0</v>
      </c>
      <c r="I36" s="409">
        <f t="shared" si="4"/>
        <v>0</v>
      </c>
      <c r="J36" s="409">
        <f t="shared" si="5"/>
        <v>0</v>
      </c>
      <c r="K36" s="409">
        <f t="shared" si="8"/>
        <v>0</v>
      </c>
      <c r="L36" s="409">
        <f t="shared" si="9"/>
        <v>0</v>
      </c>
      <c r="M36" s="409">
        <f t="shared" si="10"/>
        <v>0</v>
      </c>
      <c r="N36" s="409">
        <f t="shared" si="11"/>
        <v>0</v>
      </c>
      <c r="O36" s="431" t="s">
        <v>965</v>
      </c>
      <c r="P36" s="529" t="s">
        <v>1709</v>
      </c>
      <c r="U36" s="399">
        <f t="shared" si="16"/>
        <v>0</v>
      </c>
      <c r="V36" s="399">
        <f t="shared" si="17"/>
        <v>0</v>
      </c>
    </row>
    <row r="37" spans="1:24" s="411" customFormat="1" ht="35.4" x14ac:dyDescent="0.35">
      <c r="A37" s="391"/>
      <c r="B37" s="3283" t="s">
        <v>1710</v>
      </c>
      <c r="C37" s="413">
        <v>42.188740000000003</v>
      </c>
      <c r="D37" s="413">
        <v>40.962870000000002</v>
      </c>
      <c r="E37" s="413">
        <v>37.14</v>
      </c>
      <c r="F37" s="413">
        <f>Амортизація!G24/1000</f>
        <v>36.866270000000014</v>
      </c>
      <c r="G37" s="409">
        <f t="shared" si="6"/>
        <v>24.498227527621857</v>
      </c>
      <c r="H37" s="409">
        <f>F37*$H$5</f>
        <v>7.2219129264115027</v>
      </c>
      <c r="I37" s="409">
        <f>F37*$I$5</f>
        <v>1.9966521159621551</v>
      </c>
      <c r="J37" s="409">
        <f>F37*$J$5</f>
        <v>5.2252608104493481</v>
      </c>
      <c r="K37" s="409">
        <f>F37*$K$5</f>
        <v>0.3093596578550839</v>
      </c>
      <c r="L37" s="409">
        <f>F37*$L$5</f>
        <v>4.8367698881115748</v>
      </c>
      <c r="M37" s="409">
        <f>F37*$M$5</f>
        <v>0</v>
      </c>
      <c r="N37" s="409">
        <f>F37*$N$5</f>
        <v>0</v>
      </c>
      <c r="O37" s="476" t="s">
        <v>1727</v>
      </c>
      <c r="P37" s="529"/>
      <c r="Q37" s="529"/>
      <c r="R37" s="391"/>
      <c r="U37" s="399">
        <f t="shared" si="16"/>
        <v>-4.4408920985006262E-15</v>
      </c>
      <c r="V37" s="399">
        <f t="shared" si="17"/>
        <v>0</v>
      </c>
    </row>
    <row r="38" spans="1:24" s="411" customFormat="1" ht="35.4" x14ac:dyDescent="0.35">
      <c r="A38" s="391"/>
      <c r="B38" s="3283" t="s">
        <v>3518</v>
      </c>
      <c r="C38" s="413">
        <v>60.810169999999999</v>
      </c>
      <c r="D38" s="413">
        <v>4</v>
      </c>
      <c r="E38" s="413"/>
      <c r="F38" s="413"/>
      <c r="G38" s="409"/>
      <c r="H38" s="409"/>
      <c r="I38" s="409"/>
      <c r="J38" s="409"/>
      <c r="K38" s="409"/>
      <c r="L38" s="409"/>
      <c r="M38" s="409"/>
      <c r="N38" s="409"/>
      <c r="O38" s="901"/>
      <c r="P38" s="529"/>
      <c r="Q38" s="529"/>
      <c r="R38" s="391"/>
      <c r="U38" s="399"/>
      <c r="V38" s="399"/>
    </row>
    <row r="39" spans="1:24" s="411" customFormat="1" ht="39" customHeight="1" x14ac:dyDescent="0.35">
      <c r="A39" s="391"/>
      <c r="B39" s="3283" t="s">
        <v>3519</v>
      </c>
      <c r="C39" s="413">
        <v>30.56513</v>
      </c>
      <c r="D39" s="413">
        <v>23.62285</v>
      </c>
      <c r="E39" s="413">
        <v>11.43</v>
      </c>
      <c r="F39" s="413">
        <v>0</v>
      </c>
      <c r="G39" s="409">
        <f t="shared" si="6"/>
        <v>0</v>
      </c>
      <c r="H39" s="409">
        <f t="shared" si="7"/>
        <v>0</v>
      </c>
      <c r="I39" s="409">
        <f t="shared" si="4"/>
        <v>0</v>
      </c>
      <c r="J39" s="409">
        <f t="shared" si="5"/>
        <v>0</v>
      </c>
      <c r="K39" s="409">
        <f t="shared" si="8"/>
        <v>0</v>
      </c>
      <c r="L39" s="409">
        <f t="shared" si="9"/>
        <v>0</v>
      </c>
      <c r="M39" s="409">
        <f t="shared" si="10"/>
        <v>0</v>
      </c>
      <c r="N39" s="409">
        <f t="shared" si="11"/>
        <v>0</v>
      </c>
      <c r="O39" s="901"/>
      <c r="P39" s="5120"/>
      <c r="Q39" s="5120"/>
      <c r="R39" s="5120"/>
      <c r="U39" s="399">
        <f t="shared" si="16"/>
        <v>0</v>
      </c>
      <c r="V39" s="399">
        <f t="shared" si="17"/>
        <v>0</v>
      </c>
    </row>
    <row r="40" spans="1:24" ht="17.399999999999999" x14ac:dyDescent="0.3">
      <c r="B40" s="410" t="s">
        <v>922</v>
      </c>
      <c r="C40" s="413">
        <f>SUM(C41:C64)</f>
        <v>85.191460000000006</v>
      </c>
      <c r="D40" s="413">
        <f>SUM(D41:D64)</f>
        <v>52.116889999999998</v>
      </c>
      <c r="E40" s="413">
        <f>SUM(E41:E64)-3.1</f>
        <v>63.354449492753623</v>
      </c>
      <c r="F40" s="413">
        <f t="shared" ref="F40:N40" si="18">SUM(F41:F64)</f>
        <v>93.742026370302483</v>
      </c>
      <c r="G40" s="413">
        <f t="shared" si="18"/>
        <v>62.293079579789257</v>
      </c>
      <c r="H40" s="413">
        <f t="shared" si="18"/>
        <v>18.36358145241423</v>
      </c>
      <c r="I40" s="413">
        <f t="shared" si="18"/>
        <v>5.0770044082801027</v>
      </c>
      <c r="J40" s="413">
        <f t="shared" si="18"/>
        <v>13.286577044134127</v>
      </c>
      <c r="K40" s="413">
        <f t="shared" si="18"/>
        <v>0.78662694122727939</v>
      </c>
      <c r="L40" s="413">
        <f t="shared" si="18"/>
        <v>12.298738396871721</v>
      </c>
      <c r="M40" s="413">
        <f t="shared" si="18"/>
        <v>0</v>
      </c>
      <c r="N40" s="413">
        <f t="shared" si="18"/>
        <v>0</v>
      </c>
      <c r="O40" s="901" t="s">
        <v>1409</v>
      </c>
      <c r="P40" s="423"/>
      <c r="Q40" s="423"/>
      <c r="R40" s="414"/>
      <c r="S40" s="414"/>
      <c r="T40" s="414"/>
      <c r="U40" s="399">
        <f t="shared" si="16"/>
        <v>-5.3290705182007514E-15</v>
      </c>
      <c r="V40" s="399">
        <f t="shared" si="17"/>
        <v>0</v>
      </c>
      <c r="W40" s="414"/>
      <c r="X40" s="414"/>
    </row>
    <row r="41" spans="1:24" ht="18" x14ac:dyDescent="0.35">
      <c r="B41" s="415" t="s">
        <v>1408</v>
      </c>
      <c r="C41" s="407">
        <v>4.1770200000000006</v>
      </c>
      <c r="D41" s="407">
        <v>2.57375</v>
      </c>
      <c r="E41" s="407">
        <v>5.8503899999999991</v>
      </c>
      <c r="F41" s="407">
        <f>ОП!H4</f>
        <v>8.0015800000000006</v>
      </c>
      <c r="G41" s="409">
        <f t="shared" si="6"/>
        <v>5.3171782070838312</v>
      </c>
      <c r="H41" s="409">
        <f t="shared" si="7"/>
        <v>1.5674684212347962</v>
      </c>
      <c r="I41" s="409">
        <f t="shared" si="4"/>
        <v>0.43336013212186797</v>
      </c>
      <c r="J41" s="409">
        <f t="shared" si="5"/>
        <v>1.1341082891129284</v>
      </c>
      <c r="K41" s="409">
        <f t="shared" si="8"/>
        <v>6.7144467045352874E-2</v>
      </c>
      <c r="L41" s="409">
        <f t="shared" si="9"/>
        <v>1.0497889046360209</v>
      </c>
      <c r="M41" s="409">
        <f t="shared" si="10"/>
        <v>0</v>
      </c>
      <c r="N41" s="409">
        <f t="shared" si="11"/>
        <v>0</v>
      </c>
      <c r="O41" s="901" t="s">
        <v>1409</v>
      </c>
      <c r="P41" s="423"/>
      <c r="Q41" s="423"/>
      <c r="R41" s="414"/>
      <c r="S41" s="414"/>
      <c r="T41" s="414"/>
      <c r="U41" s="399">
        <f t="shared" si="16"/>
        <v>-6.6613381477509392E-16</v>
      </c>
      <c r="V41" s="399">
        <f t="shared" si="17"/>
        <v>0</v>
      </c>
      <c r="W41" s="414"/>
      <c r="X41" s="414"/>
    </row>
    <row r="42" spans="1:24" ht="18.75" customHeight="1" x14ac:dyDescent="0.35">
      <c r="B42" s="415" t="s">
        <v>1410</v>
      </c>
      <c r="C42" s="407">
        <v>8.8581199999999995</v>
      </c>
      <c r="D42" s="407">
        <v>7.1754899999999999</v>
      </c>
      <c r="E42" s="407">
        <v>2.3095599999999998</v>
      </c>
      <c r="F42" s="407">
        <f>ОП!H5</f>
        <v>9.9600000000000009</v>
      </c>
      <c r="G42" s="409">
        <f t="shared" si="6"/>
        <v>6.6185796983289498</v>
      </c>
      <c r="H42" s="409">
        <f t="shared" si="7"/>
        <v>1.9511128396514903</v>
      </c>
      <c r="I42" s="409">
        <f t="shared" si="4"/>
        <v>0.53942682769325623</v>
      </c>
      <c r="J42" s="409">
        <f t="shared" si="5"/>
        <v>1.4116860119582342</v>
      </c>
      <c r="K42" s="409">
        <f t="shared" si="8"/>
        <v>8.357835474640192E-2</v>
      </c>
      <c r="L42" s="409">
        <f t="shared" si="9"/>
        <v>1.3067291072731597</v>
      </c>
      <c r="M42" s="409">
        <f t="shared" si="10"/>
        <v>0</v>
      </c>
      <c r="N42" s="409">
        <f t="shared" si="11"/>
        <v>0</v>
      </c>
      <c r="O42" s="901" t="s">
        <v>1409</v>
      </c>
      <c r="U42" s="399">
        <f t="shared" si="16"/>
        <v>-8.8817841970012523E-16</v>
      </c>
      <c r="V42" s="399">
        <f t="shared" si="17"/>
        <v>0</v>
      </c>
    </row>
    <row r="43" spans="1:24" ht="18.75" customHeight="1" x14ac:dyDescent="0.35">
      <c r="B43" s="415" t="s">
        <v>1594</v>
      </c>
      <c r="C43" s="407"/>
      <c r="D43" s="407"/>
      <c r="E43" s="407">
        <v>0</v>
      </c>
      <c r="F43" s="407">
        <f>ОП!H7</f>
        <v>0</v>
      </c>
      <c r="G43" s="409">
        <f t="shared" si="6"/>
        <v>0</v>
      </c>
      <c r="H43" s="409">
        <f t="shared" si="7"/>
        <v>0</v>
      </c>
      <c r="I43" s="409">
        <f t="shared" si="4"/>
        <v>0</v>
      </c>
      <c r="J43" s="409">
        <f t="shared" si="5"/>
        <v>0</v>
      </c>
      <c r="K43" s="409">
        <f t="shared" si="8"/>
        <v>0</v>
      </c>
      <c r="L43" s="409">
        <f t="shared" si="9"/>
        <v>0</v>
      </c>
      <c r="M43" s="409">
        <f t="shared" si="10"/>
        <v>0</v>
      </c>
      <c r="N43" s="409">
        <f t="shared" si="11"/>
        <v>0</v>
      </c>
      <c r="O43" s="901" t="s">
        <v>1409</v>
      </c>
      <c r="U43" s="399">
        <f t="shared" si="16"/>
        <v>0</v>
      </c>
      <c r="V43" s="399">
        <f t="shared" si="17"/>
        <v>0</v>
      </c>
    </row>
    <row r="44" spans="1:24" ht="18.75" customHeight="1" x14ac:dyDescent="0.35">
      <c r="B44" s="415" t="s">
        <v>1593</v>
      </c>
      <c r="C44" s="407">
        <v>0</v>
      </c>
      <c r="D44" s="407">
        <v>0</v>
      </c>
      <c r="E44" s="407">
        <v>0</v>
      </c>
      <c r="F44" s="407">
        <v>0</v>
      </c>
      <c r="G44" s="409">
        <f t="shared" si="6"/>
        <v>0</v>
      </c>
      <c r="H44" s="409">
        <f t="shared" si="7"/>
        <v>0</v>
      </c>
      <c r="I44" s="409">
        <f t="shared" si="4"/>
        <v>0</v>
      </c>
      <c r="J44" s="409">
        <f t="shared" si="5"/>
        <v>0</v>
      </c>
      <c r="K44" s="409">
        <f t="shared" si="8"/>
        <v>0</v>
      </c>
      <c r="L44" s="409">
        <f t="shared" si="9"/>
        <v>0</v>
      </c>
      <c r="M44" s="409">
        <f t="shared" si="10"/>
        <v>0</v>
      </c>
      <c r="N44" s="409">
        <f t="shared" si="11"/>
        <v>0</v>
      </c>
      <c r="O44" s="901"/>
      <c r="U44" s="399">
        <f t="shared" si="16"/>
        <v>0</v>
      </c>
      <c r="V44" s="399">
        <f t="shared" si="17"/>
        <v>0</v>
      </c>
    </row>
    <row r="45" spans="1:24" ht="18.75" customHeight="1" x14ac:dyDescent="0.35">
      <c r="B45" s="415" t="s">
        <v>1411</v>
      </c>
      <c r="C45" s="407"/>
      <c r="D45" s="407"/>
      <c r="E45" s="407">
        <v>0.06</v>
      </c>
      <c r="F45" s="407">
        <f>(Утилизація!I24+Утилизація!H34)/1000</f>
        <v>7.4999999999999997E-2</v>
      </c>
      <c r="G45" s="409">
        <f t="shared" si="6"/>
        <v>4.9838702547657751E-2</v>
      </c>
      <c r="H45" s="409">
        <f t="shared" si="7"/>
        <v>1.4692114756411823E-2</v>
      </c>
      <c r="I45" s="409">
        <f t="shared" si="4"/>
        <v>4.0619490037142776E-3</v>
      </c>
      <c r="J45" s="409">
        <f t="shared" si="5"/>
        <v>1.0630165752697545E-2</v>
      </c>
      <c r="K45" s="409">
        <f t="shared" si="8"/>
        <v>6.2935508092170115E-4</v>
      </c>
      <c r="L45" s="409">
        <f t="shared" si="9"/>
        <v>9.8398276150087321E-3</v>
      </c>
      <c r="M45" s="409">
        <f t="shared" si="10"/>
        <v>0</v>
      </c>
      <c r="N45" s="409">
        <f t="shared" si="11"/>
        <v>0</v>
      </c>
      <c r="O45" s="901" t="s">
        <v>1879</v>
      </c>
      <c r="P45" s="391"/>
      <c r="U45" s="399">
        <f t="shared" si="16"/>
        <v>-1.0408340855860843E-17</v>
      </c>
      <c r="V45" s="399">
        <f t="shared" si="17"/>
        <v>0</v>
      </c>
    </row>
    <row r="46" spans="1:24" ht="18.75" customHeight="1" x14ac:dyDescent="0.35">
      <c r="B46" s="415" t="s">
        <v>1592</v>
      </c>
      <c r="C46" s="407">
        <v>3.1</v>
      </c>
      <c r="D46" s="407"/>
      <c r="E46" s="407">
        <v>0</v>
      </c>
      <c r="F46" s="407">
        <v>0</v>
      </c>
      <c r="G46" s="409">
        <f t="shared" si="6"/>
        <v>0</v>
      </c>
      <c r="H46" s="409">
        <f t="shared" si="7"/>
        <v>0</v>
      </c>
      <c r="I46" s="409">
        <f t="shared" si="4"/>
        <v>0</v>
      </c>
      <c r="J46" s="409">
        <f t="shared" si="5"/>
        <v>0</v>
      </c>
      <c r="K46" s="409">
        <f t="shared" si="8"/>
        <v>0</v>
      </c>
      <c r="L46" s="409">
        <f t="shared" si="9"/>
        <v>0</v>
      </c>
      <c r="M46" s="409">
        <f t="shared" si="10"/>
        <v>0</v>
      </c>
      <c r="N46" s="409">
        <f t="shared" si="11"/>
        <v>0</v>
      </c>
      <c r="O46" s="431" t="s">
        <v>1696</v>
      </c>
      <c r="P46" s="403"/>
      <c r="U46" s="399">
        <f t="shared" si="16"/>
        <v>0</v>
      </c>
      <c r="V46" s="399">
        <f t="shared" si="17"/>
        <v>0</v>
      </c>
    </row>
    <row r="47" spans="1:24" ht="18.75" customHeight="1" x14ac:dyDescent="0.35">
      <c r="B47" s="415" t="s">
        <v>1591</v>
      </c>
      <c r="C47" s="407"/>
      <c r="D47" s="407"/>
      <c r="E47" s="407">
        <v>6.9040000000000008</v>
      </c>
      <c r="F47" s="407">
        <f>8.2848/1.2</f>
        <v>6.9040000000000008</v>
      </c>
      <c r="G47" s="409">
        <f t="shared" si="6"/>
        <v>4.5878186985203886</v>
      </c>
      <c r="H47" s="409">
        <f t="shared" si="7"/>
        <v>1.3524581370435631</v>
      </c>
      <c r="I47" s="409">
        <f t="shared" si="4"/>
        <v>0.37391594562191172</v>
      </c>
      <c r="J47" s="409">
        <f t="shared" si="5"/>
        <v>0.97854219142165155</v>
      </c>
      <c r="K47" s="409">
        <f t="shared" si="8"/>
        <v>5.7934233049112334E-2</v>
      </c>
      <c r="L47" s="409">
        <f t="shared" si="9"/>
        <v>0.90578893138693728</v>
      </c>
      <c r="M47" s="409">
        <f t="shared" si="10"/>
        <v>0</v>
      </c>
      <c r="N47" s="409">
        <f t="shared" si="11"/>
        <v>0</v>
      </c>
      <c r="O47" s="431" t="s">
        <v>1673</v>
      </c>
      <c r="P47" s="403"/>
      <c r="U47" s="399">
        <f t="shared" si="16"/>
        <v>-5.5511151231257827E-16</v>
      </c>
      <c r="V47" s="399">
        <f t="shared" si="17"/>
        <v>0</v>
      </c>
    </row>
    <row r="48" spans="1:24" ht="18.75" customHeight="1" x14ac:dyDescent="0.35">
      <c r="B48" s="415" t="s">
        <v>1653</v>
      </c>
      <c r="C48" s="407"/>
      <c r="D48" s="407"/>
      <c r="E48" s="407"/>
      <c r="F48" s="407"/>
      <c r="G48" s="409">
        <f t="shared" si="6"/>
        <v>0</v>
      </c>
      <c r="H48" s="409">
        <f t="shared" si="7"/>
        <v>0</v>
      </c>
      <c r="I48" s="409">
        <f t="shared" si="4"/>
        <v>0</v>
      </c>
      <c r="J48" s="409">
        <f t="shared" si="5"/>
        <v>0</v>
      </c>
      <c r="K48" s="409">
        <f t="shared" si="8"/>
        <v>0</v>
      </c>
      <c r="L48" s="409">
        <f t="shared" si="9"/>
        <v>0</v>
      </c>
      <c r="M48" s="409">
        <f t="shared" si="10"/>
        <v>0</v>
      </c>
      <c r="N48" s="409">
        <f t="shared" si="11"/>
        <v>0</v>
      </c>
      <c r="O48" s="431" t="s">
        <v>1947</v>
      </c>
      <c r="P48" s="403"/>
      <c r="U48" s="399">
        <f t="shared" si="16"/>
        <v>0</v>
      </c>
      <c r="V48" s="399">
        <f t="shared" si="17"/>
        <v>0</v>
      </c>
    </row>
    <row r="49" spans="2:22" ht="22.2" customHeight="1" x14ac:dyDescent="0.35">
      <c r="B49" s="415" t="s">
        <v>1914</v>
      </c>
      <c r="C49" s="407"/>
      <c r="D49" s="407"/>
      <c r="E49" s="407">
        <v>0.6</v>
      </c>
      <c r="F49" s="407">
        <f>ТО!O18/1000</f>
        <v>0</v>
      </c>
      <c r="G49" s="409">
        <f t="shared" si="6"/>
        <v>0</v>
      </c>
      <c r="H49" s="409">
        <f t="shared" si="7"/>
        <v>0</v>
      </c>
      <c r="I49" s="409">
        <f t="shared" si="4"/>
        <v>0</v>
      </c>
      <c r="J49" s="409">
        <f t="shared" si="5"/>
        <v>0</v>
      </c>
      <c r="K49" s="409">
        <f t="shared" si="8"/>
        <v>0</v>
      </c>
      <c r="L49" s="409">
        <f t="shared" si="9"/>
        <v>0</v>
      </c>
      <c r="M49" s="409">
        <f t="shared" si="10"/>
        <v>0</v>
      </c>
      <c r="N49" s="409">
        <f t="shared" si="11"/>
        <v>0</v>
      </c>
      <c r="O49" s="431" t="s">
        <v>1672</v>
      </c>
      <c r="P49" s="391" t="s">
        <v>1683</v>
      </c>
      <c r="Q49" s="391"/>
      <c r="U49" s="399">
        <f>F49-G49-H49-K49-L49-M49-N49</f>
        <v>0</v>
      </c>
      <c r="V49" s="399">
        <f>H49-I49-J49</f>
        <v>0</v>
      </c>
    </row>
    <row r="50" spans="2:22" ht="18.75" customHeight="1" x14ac:dyDescent="0.35">
      <c r="B50" s="415" t="s">
        <v>1654</v>
      </c>
      <c r="C50" s="407"/>
      <c r="D50" s="407"/>
      <c r="E50" s="407">
        <v>0</v>
      </c>
      <c r="F50" s="407">
        <v>0</v>
      </c>
      <c r="G50" s="409">
        <f t="shared" si="6"/>
        <v>0</v>
      </c>
      <c r="H50" s="409">
        <f t="shared" si="7"/>
        <v>0</v>
      </c>
      <c r="I50" s="409">
        <f t="shared" si="4"/>
        <v>0</v>
      </c>
      <c r="J50" s="409">
        <f t="shared" si="5"/>
        <v>0</v>
      </c>
      <c r="K50" s="409">
        <f t="shared" si="8"/>
        <v>0</v>
      </c>
      <c r="L50" s="409">
        <f t="shared" si="9"/>
        <v>0</v>
      </c>
      <c r="M50" s="409">
        <f t="shared" si="10"/>
        <v>0</v>
      </c>
      <c r="N50" s="409">
        <f t="shared" si="11"/>
        <v>0</v>
      </c>
      <c r="O50" s="901"/>
      <c r="P50" s="403"/>
      <c r="U50" s="399">
        <f t="shared" ref="U50:U58" si="19">F50-G50-H50-K50-L50-M50-N50</f>
        <v>0</v>
      </c>
      <c r="V50" s="399">
        <f t="shared" ref="V50:V58" si="20">H50-I50-J50</f>
        <v>0</v>
      </c>
    </row>
    <row r="51" spans="2:22" ht="18.75" customHeight="1" x14ac:dyDescent="0.35">
      <c r="B51" s="415" t="s">
        <v>1900</v>
      </c>
      <c r="C51" s="407">
        <v>7.3666600000000004</v>
      </c>
      <c r="D51" s="407">
        <v>3.8166700000000002</v>
      </c>
      <c r="E51" s="407">
        <v>7.8</v>
      </c>
      <c r="F51" s="407">
        <f>Картріджі!E62/1000</f>
        <v>9.1</v>
      </c>
      <c r="G51" s="409">
        <f t="shared" si="6"/>
        <v>6.0470959091158072</v>
      </c>
      <c r="H51" s="409">
        <f t="shared" si="7"/>
        <v>1.7826432571113011</v>
      </c>
      <c r="I51" s="409">
        <f t="shared" si="4"/>
        <v>0.49284981245066573</v>
      </c>
      <c r="J51" s="409">
        <f t="shared" si="5"/>
        <v>1.2897934446606354</v>
      </c>
      <c r="K51" s="409">
        <f t="shared" si="8"/>
        <v>7.6361749818499733E-2</v>
      </c>
      <c r="L51" s="409">
        <f t="shared" si="9"/>
        <v>1.1938990839543928</v>
      </c>
      <c r="M51" s="409">
        <f t="shared" si="10"/>
        <v>0</v>
      </c>
      <c r="N51" s="409">
        <f t="shared" si="11"/>
        <v>0</v>
      </c>
      <c r="O51" s="901" t="s">
        <v>1536</v>
      </c>
      <c r="P51" s="391"/>
      <c r="U51" s="399">
        <f t="shared" si="19"/>
        <v>-1.1102230246251565E-15</v>
      </c>
      <c r="V51" s="399">
        <f t="shared" si="20"/>
        <v>0</v>
      </c>
    </row>
    <row r="52" spans="2:22" ht="18.75" customHeight="1" x14ac:dyDescent="0.35">
      <c r="B52" s="415" t="s">
        <v>1589</v>
      </c>
      <c r="C52" s="407"/>
      <c r="D52" s="407"/>
      <c r="E52" s="407">
        <v>0</v>
      </c>
      <c r="F52" s="407">
        <v>0</v>
      </c>
      <c r="G52" s="409">
        <f t="shared" si="6"/>
        <v>0</v>
      </c>
      <c r="H52" s="409">
        <f t="shared" si="7"/>
        <v>0</v>
      </c>
      <c r="I52" s="409">
        <f t="shared" si="4"/>
        <v>0</v>
      </c>
      <c r="J52" s="409">
        <f t="shared" si="5"/>
        <v>0</v>
      </c>
      <c r="K52" s="409">
        <f t="shared" si="8"/>
        <v>0</v>
      </c>
      <c r="L52" s="409">
        <f t="shared" si="9"/>
        <v>0</v>
      </c>
      <c r="M52" s="409">
        <f t="shared" si="10"/>
        <v>0</v>
      </c>
      <c r="N52" s="409">
        <f t="shared" si="11"/>
        <v>0</v>
      </c>
      <c r="O52" s="431"/>
      <c r="P52" s="403"/>
      <c r="U52" s="399">
        <f t="shared" si="19"/>
        <v>0</v>
      </c>
      <c r="V52" s="399">
        <f t="shared" si="20"/>
        <v>0</v>
      </c>
    </row>
    <row r="53" spans="2:22" ht="18.75" customHeight="1" x14ac:dyDescent="0.35">
      <c r="B53" s="415" t="s">
        <v>1543</v>
      </c>
      <c r="C53" s="407">
        <v>9.9821500000000007</v>
      </c>
      <c r="D53" s="407">
        <v>10.291040000000001</v>
      </c>
      <c r="E53" s="407">
        <v>0</v>
      </c>
      <c r="F53" s="407">
        <f>D53</f>
        <v>10.291040000000001</v>
      </c>
      <c r="G53" s="409">
        <f t="shared" si="6"/>
        <v>6.8385610862139714</v>
      </c>
      <c r="H53" s="409">
        <f t="shared" si="7"/>
        <v>2.0159618752376578</v>
      </c>
      <c r="I53" s="409">
        <f t="shared" si="4"/>
        <v>0.55735572900245045</v>
      </c>
      <c r="J53" s="409">
        <f t="shared" si="5"/>
        <v>1.4586061462352073</v>
      </c>
      <c r="K53" s="409">
        <f t="shared" si="8"/>
        <v>8.6356244159579515E-2</v>
      </c>
      <c r="L53" s="409">
        <f t="shared" si="9"/>
        <v>1.3501607943887928</v>
      </c>
      <c r="M53" s="409">
        <f t="shared" si="10"/>
        <v>0</v>
      </c>
      <c r="N53" s="409">
        <f t="shared" si="11"/>
        <v>0</v>
      </c>
      <c r="O53" s="431" t="s">
        <v>1574</v>
      </c>
      <c r="P53" s="529"/>
      <c r="Q53" s="529"/>
      <c r="U53" s="399">
        <f t="shared" si="19"/>
        <v>-8.8817841970012523E-16</v>
      </c>
      <c r="V53" s="399">
        <f t="shared" si="20"/>
        <v>0</v>
      </c>
    </row>
    <row r="54" spans="2:22" ht="18.75" customHeight="1" x14ac:dyDescent="0.35">
      <c r="B54" s="415" t="s">
        <v>1540</v>
      </c>
      <c r="C54" s="407"/>
      <c r="D54" s="407"/>
      <c r="E54" s="407">
        <v>0</v>
      </c>
      <c r="F54" s="407">
        <f>Адміністративні_1ст!C90/1000</f>
        <v>0</v>
      </c>
      <c r="G54" s="409">
        <f t="shared" si="6"/>
        <v>0</v>
      </c>
      <c r="H54" s="409">
        <f t="shared" si="7"/>
        <v>0</v>
      </c>
      <c r="I54" s="409">
        <f t="shared" si="4"/>
        <v>0</v>
      </c>
      <c r="J54" s="409">
        <f t="shared" si="5"/>
        <v>0</v>
      </c>
      <c r="K54" s="409">
        <f t="shared" si="8"/>
        <v>0</v>
      </c>
      <c r="L54" s="409">
        <f t="shared" si="9"/>
        <v>0</v>
      </c>
      <c r="M54" s="409">
        <f t="shared" si="10"/>
        <v>0</v>
      </c>
      <c r="N54" s="409">
        <f t="shared" si="11"/>
        <v>0</v>
      </c>
      <c r="O54" s="431" t="s">
        <v>1575</v>
      </c>
      <c r="P54" s="403"/>
      <c r="U54" s="399">
        <f t="shared" si="19"/>
        <v>0</v>
      </c>
      <c r="V54" s="399">
        <f t="shared" si="20"/>
        <v>0</v>
      </c>
    </row>
    <row r="55" spans="2:22" ht="18.75" customHeight="1" x14ac:dyDescent="0.35">
      <c r="B55" s="415" t="s">
        <v>3316</v>
      </c>
      <c r="C55" s="407"/>
      <c r="D55" s="407"/>
      <c r="E55" s="407">
        <v>3.1</v>
      </c>
      <c r="F55" s="407">
        <v>0</v>
      </c>
      <c r="G55" s="409">
        <f t="shared" si="6"/>
        <v>0</v>
      </c>
      <c r="H55" s="409">
        <f t="shared" si="7"/>
        <v>0</v>
      </c>
      <c r="I55" s="409">
        <f t="shared" si="4"/>
        <v>0</v>
      </c>
      <c r="J55" s="409">
        <f t="shared" si="5"/>
        <v>0</v>
      </c>
      <c r="K55" s="409">
        <f t="shared" si="8"/>
        <v>0</v>
      </c>
      <c r="L55" s="409">
        <f t="shared" si="9"/>
        <v>0</v>
      </c>
      <c r="M55" s="409">
        <f t="shared" si="10"/>
        <v>0</v>
      </c>
      <c r="N55" s="409">
        <f t="shared" si="11"/>
        <v>0</v>
      </c>
      <c r="O55" s="431" t="s">
        <v>1587</v>
      </c>
      <c r="P55" s="403"/>
      <c r="U55" s="399">
        <f t="shared" si="19"/>
        <v>0</v>
      </c>
      <c r="V55" s="399">
        <f t="shared" si="20"/>
        <v>0</v>
      </c>
    </row>
    <row r="56" spans="2:22" ht="18" x14ac:dyDescent="0.35">
      <c r="B56" s="406" t="s">
        <v>1583</v>
      </c>
      <c r="C56" s="407">
        <v>9.5950000000000006</v>
      </c>
      <c r="D56" s="407">
        <v>10.45</v>
      </c>
      <c r="E56" s="407">
        <v>17.363681159420292</v>
      </c>
      <c r="F56" s="407">
        <f>Профпослуги!F34/1000+Профпослуги2!K15/1000</f>
        <v>19.117681159420293</v>
      </c>
      <c r="G56" s="409">
        <f t="shared" si="6"/>
        <v>12.704005662737449</v>
      </c>
      <c r="H56" s="409">
        <f t="shared" si="7"/>
        <v>3.7450555396092691</v>
      </c>
      <c r="I56" s="409">
        <f t="shared" si="4"/>
        <v>1.035400612517793</v>
      </c>
      <c r="J56" s="409">
        <f t="shared" si="5"/>
        <v>2.709654927091476</v>
      </c>
      <c r="K56" s="409">
        <f t="shared" si="8"/>
        <v>0.16042413030829653</v>
      </c>
      <c r="L56" s="409">
        <f t="shared" si="9"/>
        <v>2.5081958267652795</v>
      </c>
      <c r="M56" s="409">
        <f t="shared" si="10"/>
        <v>0</v>
      </c>
      <c r="N56" s="409">
        <f t="shared" si="11"/>
        <v>0</v>
      </c>
      <c r="O56" s="901" t="s">
        <v>1588</v>
      </c>
      <c r="U56" s="399">
        <f t="shared" si="19"/>
        <v>-1.3322676295501878E-15</v>
      </c>
      <c r="V56" s="399">
        <f t="shared" si="20"/>
        <v>0</v>
      </c>
    </row>
    <row r="57" spans="2:22" ht="18" x14ac:dyDescent="0.35">
      <c r="B57" s="406" t="s">
        <v>1391</v>
      </c>
      <c r="C57" s="407"/>
      <c r="D57" s="407"/>
      <c r="E57" s="407"/>
      <c r="F57" s="461"/>
      <c r="G57" s="409"/>
      <c r="H57" s="409"/>
      <c r="I57" s="409"/>
      <c r="J57" s="409"/>
      <c r="K57" s="409"/>
      <c r="L57" s="409"/>
      <c r="M57" s="409"/>
      <c r="N57" s="409"/>
      <c r="O57" s="901"/>
      <c r="U57" s="399">
        <f t="shared" si="19"/>
        <v>0</v>
      </c>
      <c r="V57" s="399">
        <f t="shared" si="20"/>
        <v>0</v>
      </c>
    </row>
    <row r="58" spans="2:22" ht="18" x14ac:dyDescent="0.35">
      <c r="B58" s="463" t="s">
        <v>3194</v>
      </c>
      <c r="C58" s="461">
        <v>1.8128599999999999</v>
      </c>
      <c r="D58" s="461">
        <v>1.7074400000000001</v>
      </c>
      <c r="E58" s="461">
        <v>1.4342100000000002</v>
      </c>
      <c r="F58" s="461">
        <f>'Зв''язок'!K8/1000-'Зв''язок'!K49/1000</f>
        <v>4.9680299999999997</v>
      </c>
      <c r="G58" s="409">
        <f t="shared" si="6"/>
        <v>3.3013355922378684</v>
      </c>
      <c r="H58" s="409">
        <f t="shared" si="7"/>
        <v>0.97321155831062167</v>
      </c>
      <c r="I58" s="409">
        <f t="shared" si="4"/>
        <v>0.26906512678563527</v>
      </c>
      <c r="J58" s="409">
        <f t="shared" si="5"/>
        <v>0.70414643152498646</v>
      </c>
      <c r="K58" s="409">
        <f t="shared" si="8"/>
        <v>4.1688732302285848E-2</v>
      </c>
      <c r="L58" s="409">
        <f t="shared" si="9"/>
        <v>0.65179411714922431</v>
      </c>
      <c r="M58" s="409">
        <f t="shared" si="10"/>
        <v>0</v>
      </c>
      <c r="N58" s="409">
        <f t="shared" si="11"/>
        <v>0</v>
      </c>
      <c r="O58" s="901" t="s">
        <v>1576</v>
      </c>
      <c r="U58" s="399">
        <f t="shared" si="19"/>
        <v>-5.5511151231257827E-16</v>
      </c>
      <c r="V58" s="399">
        <f t="shared" si="20"/>
        <v>0</v>
      </c>
    </row>
    <row r="59" spans="2:22" ht="18" x14ac:dyDescent="0.35">
      <c r="B59" s="463" t="s">
        <v>3195</v>
      </c>
      <c r="C59" s="461"/>
      <c r="D59" s="461"/>
      <c r="E59" s="461">
        <v>0.98499999999999999</v>
      </c>
      <c r="F59" s="461">
        <f>'Зв''язок'!K49/1000</f>
        <v>0</v>
      </c>
      <c r="G59" s="409">
        <f t="shared" si="6"/>
        <v>0</v>
      </c>
      <c r="H59" s="409">
        <f t="shared" si="7"/>
        <v>0</v>
      </c>
      <c r="I59" s="409">
        <f t="shared" si="4"/>
        <v>0</v>
      </c>
      <c r="J59" s="409">
        <f t="shared" si="5"/>
        <v>0</v>
      </c>
      <c r="K59" s="409">
        <f t="shared" si="8"/>
        <v>0</v>
      </c>
      <c r="L59" s="409">
        <f t="shared" si="9"/>
        <v>0</v>
      </c>
      <c r="M59" s="409">
        <f t="shared" si="10"/>
        <v>0</v>
      </c>
      <c r="N59" s="409">
        <f t="shared" si="11"/>
        <v>0</v>
      </c>
      <c r="O59" s="901" t="s">
        <v>1667</v>
      </c>
      <c r="U59" s="399">
        <f t="shared" ref="U59:U64" si="21">F59-G59-H59-K59-L59-M59-N59</f>
        <v>0</v>
      </c>
      <c r="V59" s="399">
        <f t="shared" ref="V59:V64" si="22">H59-I59-J59</f>
        <v>0</v>
      </c>
    </row>
    <row r="60" spans="2:22" ht="19.2" customHeight="1" x14ac:dyDescent="0.35">
      <c r="B60" s="416" t="s">
        <v>1582</v>
      </c>
      <c r="C60" s="407"/>
      <c r="D60" s="407"/>
      <c r="E60" s="407">
        <v>0</v>
      </c>
      <c r="F60" s="407">
        <f>D60</f>
        <v>0</v>
      </c>
      <c r="G60" s="409">
        <f t="shared" si="6"/>
        <v>0</v>
      </c>
      <c r="H60" s="409">
        <f t="shared" si="7"/>
        <v>0</v>
      </c>
      <c r="I60" s="409">
        <f t="shared" si="4"/>
        <v>0</v>
      </c>
      <c r="J60" s="409">
        <f t="shared" si="5"/>
        <v>0</v>
      </c>
      <c r="K60" s="409">
        <f t="shared" si="8"/>
        <v>0</v>
      </c>
      <c r="L60" s="409">
        <f t="shared" si="9"/>
        <v>0</v>
      </c>
      <c r="M60" s="409">
        <f t="shared" si="10"/>
        <v>0</v>
      </c>
      <c r="N60" s="409">
        <f t="shared" si="11"/>
        <v>0</v>
      </c>
      <c r="O60" s="901"/>
      <c r="U60" s="399">
        <f t="shared" si="21"/>
        <v>0</v>
      </c>
      <c r="V60" s="399">
        <f t="shared" si="22"/>
        <v>0</v>
      </c>
    </row>
    <row r="61" spans="2:22" ht="20.25" customHeight="1" x14ac:dyDescent="0.35">
      <c r="B61" s="464" t="s">
        <v>1399</v>
      </c>
      <c r="C61" s="407"/>
      <c r="D61" s="407"/>
      <c r="E61" s="407">
        <v>0</v>
      </c>
      <c r="F61" s="407">
        <v>0</v>
      </c>
      <c r="G61" s="409">
        <f t="shared" si="6"/>
        <v>0</v>
      </c>
      <c r="H61" s="409">
        <f t="shared" si="7"/>
        <v>0</v>
      </c>
      <c r="I61" s="409">
        <f t="shared" si="4"/>
        <v>0</v>
      </c>
      <c r="J61" s="409">
        <f t="shared" si="5"/>
        <v>0</v>
      </c>
      <c r="K61" s="409">
        <f t="shared" si="8"/>
        <v>0</v>
      </c>
      <c r="L61" s="409">
        <f t="shared" si="9"/>
        <v>0</v>
      </c>
      <c r="M61" s="409">
        <f t="shared" si="10"/>
        <v>0</v>
      </c>
      <c r="N61" s="409">
        <f t="shared" si="11"/>
        <v>0</v>
      </c>
      <c r="O61" s="901" t="s">
        <v>1899</v>
      </c>
      <c r="U61" s="399">
        <f t="shared" si="21"/>
        <v>0</v>
      </c>
      <c r="V61" s="399">
        <f t="shared" si="22"/>
        <v>0</v>
      </c>
    </row>
    <row r="62" spans="2:22" ht="18" customHeight="1" x14ac:dyDescent="0.35">
      <c r="B62" s="464" t="s">
        <v>3196</v>
      </c>
      <c r="C62" s="461"/>
      <c r="D62" s="461"/>
      <c r="E62" s="461">
        <v>0</v>
      </c>
      <c r="F62" s="407">
        <v>0</v>
      </c>
      <c r="G62" s="409">
        <f t="shared" si="6"/>
        <v>0</v>
      </c>
      <c r="H62" s="409">
        <f t="shared" si="7"/>
        <v>0</v>
      </c>
      <c r="I62" s="409">
        <f t="shared" si="4"/>
        <v>0</v>
      </c>
      <c r="J62" s="409">
        <f t="shared" si="5"/>
        <v>0</v>
      </c>
      <c r="K62" s="409">
        <f t="shared" si="8"/>
        <v>0</v>
      </c>
      <c r="L62" s="409">
        <f t="shared" si="9"/>
        <v>0</v>
      </c>
      <c r="M62" s="409">
        <f t="shared" si="10"/>
        <v>0</v>
      </c>
      <c r="N62" s="409">
        <f t="shared" si="11"/>
        <v>0</v>
      </c>
      <c r="O62" s="901"/>
      <c r="U62" s="399">
        <f t="shared" si="21"/>
        <v>0</v>
      </c>
      <c r="V62" s="399">
        <f t="shared" si="22"/>
        <v>0</v>
      </c>
    </row>
    <row r="63" spans="2:22" ht="18" x14ac:dyDescent="0.35">
      <c r="B63" s="406" t="s">
        <v>3197</v>
      </c>
      <c r="C63" s="501"/>
      <c r="D63" s="501"/>
      <c r="E63" s="501">
        <v>20.047608333333333</v>
      </c>
      <c r="F63" s="500">
        <f>'Періодичні видання'!G3/1000</f>
        <v>25.324695210882179</v>
      </c>
      <c r="G63" s="409">
        <f t="shared" si="6"/>
        <v>16.828666023003329</v>
      </c>
      <c r="H63" s="409">
        <f t="shared" si="7"/>
        <v>4.9609777094591188</v>
      </c>
      <c r="I63" s="409">
        <f t="shared" si="4"/>
        <v>1.3715682730828083</v>
      </c>
      <c r="J63" s="409">
        <f t="shared" si="5"/>
        <v>3.5894094363763105</v>
      </c>
      <c r="K63" s="409">
        <f t="shared" si="8"/>
        <v>0.21250967471682894</v>
      </c>
      <c r="L63" s="409">
        <f t="shared" si="9"/>
        <v>3.3225418037029044</v>
      </c>
      <c r="M63" s="409">
        <f t="shared" si="10"/>
        <v>0</v>
      </c>
      <c r="N63" s="409">
        <f t="shared" si="11"/>
        <v>0</v>
      </c>
      <c r="O63" s="720" t="s">
        <v>2552</v>
      </c>
      <c r="U63" s="399">
        <f t="shared" si="21"/>
        <v>-1.7763568394002505E-15</v>
      </c>
      <c r="V63" s="399">
        <f t="shared" si="22"/>
        <v>0</v>
      </c>
    </row>
    <row r="64" spans="2:22" ht="18.600000000000001" thickBot="1" x14ac:dyDescent="0.4">
      <c r="B64" s="465" t="s">
        <v>1995</v>
      </c>
      <c r="C64" s="466">
        <v>40.29965</v>
      </c>
      <c r="D64" s="466">
        <v>16.102500000000003</v>
      </c>
      <c r="E64" s="2238"/>
      <c r="F64" s="466"/>
      <c r="G64" s="417">
        <f t="shared" si="6"/>
        <v>0</v>
      </c>
      <c r="H64" s="417">
        <f t="shared" si="7"/>
        <v>0</v>
      </c>
      <c r="I64" s="417">
        <f t="shared" si="4"/>
        <v>0</v>
      </c>
      <c r="J64" s="417">
        <f t="shared" si="5"/>
        <v>0</v>
      </c>
      <c r="K64" s="417">
        <f t="shared" si="8"/>
        <v>0</v>
      </c>
      <c r="L64" s="417">
        <f t="shared" si="9"/>
        <v>0</v>
      </c>
      <c r="M64" s="417">
        <f t="shared" si="10"/>
        <v>0</v>
      </c>
      <c r="N64" s="417">
        <f t="shared" si="11"/>
        <v>0</v>
      </c>
      <c r="O64" s="431" t="s">
        <v>1711</v>
      </c>
      <c r="P64" s="403"/>
      <c r="U64" s="399">
        <f t="shared" si="21"/>
        <v>0</v>
      </c>
      <c r="V64" s="399">
        <f t="shared" si="22"/>
        <v>0</v>
      </c>
    </row>
    <row r="65" spans="2:14" ht="24" customHeight="1" x14ac:dyDescent="0.25">
      <c r="E65" s="399">
        <f>6463.98-E8</f>
        <v>0.82230240489752759</v>
      </c>
      <c r="M65" s="418"/>
      <c r="N65" s="418"/>
    </row>
    <row r="66" spans="2:14" ht="24" customHeight="1" x14ac:dyDescent="0.25">
      <c r="M66" s="418"/>
      <c r="N66" s="418"/>
    </row>
    <row r="67" spans="2:14" ht="24" customHeight="1" x14ac:dyDescent="0.35">
      <c r="B67" s="419" t="str">
        <f>'Вхідні дані'!$B$13</f>
        <v>Директор підприємства</v>
      </c>
      <c r="C67" s="419"/>
      <c r="D67" s="419"/>
      <c r="E67" s="772" t="s">
        <v>1400</v>
      </c>
      <c r="G67" s="5119" t="str">
        <f>'Вхідні дані'!$F$13</f>
        <v>Анатолій ПАНШИН</v>
      </c>
      <c r="H67" s="5119"/>
      <c r="I67" s="5119"/>
      <c r="M67" s="418"/>
      <c r="N67" s="418"/>
    </row>
    <row r="68" spans="2:14" ht="24" customHeight="1" x14ac:dyDescent="0.35">
      <c r="B68" s="419"/>
      <c r="C68" s="419"/>
      <c r="D68" s="419"/>
      <c r="E68" s="772" t="s">
        <v>209</v>
      </c>
      <c r="G68" s="5115" t="s">
        <v>1985</v>
      </c>
      <c r="H68" s="5115"/>
      <c r="I68" s="5115"/>
      <c r="M68" s="418"/>
      <c r="N68" s="418"/>
    </row>
    <row r="69" spans="2:14" ht="24" customHeight="1" x14ac:dyDescent="0.35">
      <c r="B69" s="419" t="str">
        <f>'Вхідні дані'!$B$15</f>
        <v>Заступник директора з економіки</v>
      </c>
      <c r="C69" s="419"/>
      <c r="D69" s="419"/>
      <c r="E69" s="772" t="s">
        <v>1400</v>
      </c>
      <c r="G69" s="5119" t="str">
        <f>'Вхідні дані'!$F$15</f>
        <v>Олена ЛАВРОВА</v>
      </c>
      <c r="H69" s="5119"/>
      <c r="I69" s="5119"/>
      <c r="M69" s="418"/>
      <c r="N69" s="418"/>
    </row>
    <row r="70" spans="2:14" ht="24" customHeight="1" x14ac:dyDescent="0.35">
      <c r="B70" s="418"/>
      <c r="C70" s="418"/>
      <c r="D70" s="418"/>
      <c r="E70" s="772" t="s">
        <v>209</v>
      </c>
      <c r="G70" s="5115" t="s">
        <v>1985</v>
      </c>
      <c r="H70" s="5115"/>
      <c r="I70" s="5115"/>
      <c r="K70" s="418"/>
      <c r="L70" s="418"/>
      <c r="M70" s="418"/>
      <c r="N70" s="418"/>
    </row>
    <row r="72" spans="2:14" ht="15.6" x14ac:dyDescent="0.25">
      <c r="B72" s="5085" t="s">
        <v>2703</v>
      </c>
      <c r="C72" s="5085"/>
      <c r="D72" s="5085"/>
      <c r="E72" s="5085"/>
      <c r="F72" s="5085"/>
      <c r="G72" s="5085"/>
      <c r="H72" s="5085"/>
    </row>
    <row r="73" spans="2:14" ht="15.6" x14ac:dyDescent="0.3">
      <c r="B73" s="1124"/>
      <c r="C73" s="1124"/>
      <c r="D73" s="1124"/>
      <c r="E73" s="5100" t="s">
        <v>1780</v>
      </c>
      <c r="F73" s="5100"/>
      <c r="G73" s="1124"/>
      <c r="H73" s="1124"/>
    </row>
    <row r="74" spans="2:14" ht="15.6" x14ac:dyDescent="0.3">
      <c r="B74" s="1183" t="s">
        <v>357</v>
      </c>
      <c r="C74" s="5114" t="s">
        <v>2305</v>
      </c>
      <c r="D74" s="5114"/>
      <c r="E74" s="5114" t="s">
        <v>2306</v>
      </c>
      <c r="F74" s="5114"/>
      <c r="G74" s="1183" t="s">
        <v>2309</v>
      </c>
      <c r="H74" s="1183" t="s">
        <v>2308</v>
      </c>
    </row>
    <row r="75" spans="2:14" ht="15.6" x14ac:dyDescent="0.3">
      <c r="B75" s="778" t="s">
        <v>2294</v>
      </c>
      <c r="C75" s="3214">
        <f>D75/D$85</f>
        <v>0.7641256336806348</v>
      </c>
      <c r="D75" s="1148">
        <f>F21-L21</f>
        <v>5205.7199175136502</v>
      </c>
      <c r="E75" s="3214">
        <f>F75/F85</f>
        <v>0.72356495036483126</v>
      </c>
      <c r="F75" s="1148">
        <v>2942.1067897598869</v>
      </c>
      <c r="G75" s="1192">
        <f>C75-E75</f>
        <v>4.0560683315803536E-2</v>
      </c>
      <c r="H75" s="1148">
        <f>D75-F75</f>
        <v>2263.6131277537634</v>
      </c>
    </row>
    <row r="76" spans="2:14" ht="15.6" x14ac:dyDescent="0.3">
      <c r="B76" s="778" t="s">
        <v>2295</v>
      </c>
      <c r="C76" s="3214">
        <f t="shared" ref="C76:C84" si="23">D76/D$85</f>
        <v>0.16310455233501492</v>
      </c>
      <c r="D76" s="1148">
        <f>F23-L23</f>
        <v>1111.174104496022</v>
      </c>
      <c r="E76" s="3214">
        <f>F76/F85</f>
        <v>0.15382472376885456</v>
      </c>
      <c r="F76" s="1148">
        <v>625.47082194223856</v>
      </c>
      <c r="G76" s="1192">
        <f t="shared" ref="G76:H85" si="24">C76-E76</f>
        <v>9.2798285661603586E-3</v>
      </c>
      <c r="H76" s="1148">
        <f t="shared" si="24"/>
        <v>485.70328255378342</v>
      </c>
    </row>
    <row r="77" spans="2:14" ht="15.6" x14ac:dyDescent="0.3">
      <c r="B77" s="778" t="s">
        <v>2296</v>
      </c>
      <c r="C77" s="3214">
        <f t="shared" si="23"/>
        <v>0</v>
      </c>
      <c r="D77" s="1148"/>
      <c r="E77" s="3214">
        <f>F77/F85</f>
        <v>0</v>
      </c>
      <c r="F77" s="1148"/>
      <c r="G77" s="1192">
        <f t="shared" si="24"/>
        <v>0</v>
      </c>
      <c r="H77" s="1148">
        <f t="shared" si="24"/>
        <v>0</v>
      </c>
    </row>
    <row r="78" spans="2:14" ht="15.6" x14ac:dyDescent="0.3">
      <c r="B78" s="778" t="s">
        <v>43</v>
      </c>
      <c r="C78" s="3214">
        <f t="shared" si="23"/>
        <v>0</v>
      </c>
      <c r="D78" s="1148"/>
      <c r="E78" s="3214">
        <f>F78/F85</f>
        <v>0</v>
      </c>
      <c r="F78" s="1148"/>
      <c r="G78" s="1192">
        <f t="shared" si="24"/>
        <v>0</v>
      </c>
      <c r="H78" s="1148">
        <f t="shared" si="24"/>
        <v>0</v>
      </c>
    </row>
    <row r="79" spans="2:14" ht="15.6" x14ac:dyDescent="0.3">
      <c r="B79" s="778" t="s">
        <v>2297</v>
      </c>
      <c r="C79" s="3214">
        <f t="shared" si="23"/>
        <v>0</v>
      </c>
      <c r="D79" s="1148"/>
      <c r="E79" s="3214">
        <f>F79/F85</f>
        <v>0</v>
      </c>
      <c r="F79" s="1148"/>
      <c r="G79" s="1192">
        <f t="shared" si="24"/>
        <v>0</v>
      </c>
      <c r="H79" s="1148">
        <f t="shared" si="24"/>
        <v>0</v>
      </c>
    </row>
    <row r="80" spans="2:14" ht="15.6" x14ac:dyDescent="0.3">
      <c r="B80" s="778" t="s">
        <v>460</v>
      </c>
      <c r="C80" s="3214">
        <f t="shared" si="23"/>
        <v>4.7014750038953746E-3</v>
      </c>
      <c r="D80" s="1148">
        <f>F37+F39-L37-L39</f>
        <v>32.029500111888439</v>
      </c>
      <c r="E80" s="3214">
        <f>F80/F85</f>
        <v>4.9340989265405583E-3</v>
      </c>
      <c r="F80" s="1148">
        <v>20.06267156224532</v>
      </c>
      <c r="G80" s="1192">
        <f t="shared" si="24"/>
        <v>-2.3262392264518372E-4</v>
      </c>
      <c r="H80" s="1148">
        <f t="shared" si="24"/>
        <v>11.966828549643118</v>
      </c>
    </row>
    <row r="81" spans="2:8" ht="15.6" x14ac:dyDescent="0.3">
      <c r="B81" s="778" t="s">
        <v>2298</v>
      </c>
      <c r="C81" s="3214">
        <f t="shared" si="23"/>
        <v>0</v>
      </c>
      <c r="D81" s="1148"/>
      <c r="E81" s="3214">
        <f>F81/F85</f>
        <v>0</v>
      </c>
      <c r="F81" s="1148"/>
      <c r="G81" s="1192">
        <f t="shared" si="24"/>
        <v>0</v>
      </c>
      <c r="H81" s="1148">
        <f t="shared" si="24"/>
        <v>0</v>
      </c>
    </row>
    <row r="82" spans="2:8" ht="15.6" x14ac:dyDescent="0.3">
      <c r="B82" s="778" t="s">
        <v>2299</v>
      </c>
      <c r="C82" s="3214">
        <f t="shared" si="23"/>
        <v>2.0174722067247807E-3</v>
      </c>
      <c r="D82" s="1148">
        <f>F25+F26-L25-L26</f>
        <v>13.744330495745244</v>
      </c>
      <c r="E82" s="3214">
        <f>F82/F85</f>
        <v>4.1124326139054472E-2</v>
      </c>
      <c r="F82" s="1148">
        <v>167.21672200540706</v>
      </c>
      <c r="G82" s="1192">
        <f t="shared" si="24"/>
        <v>-3.910685393232969E-2</v>
      </c>
      <c r="H82" s="1148">
        <f t="shared" si="24"/>
        <v>-153.47239150966183</v>
      </c>
    </row>
    <row r="83" spans="2:8" ht="15.6" x14ac:dyDescent="0.3">
      <c r="B83" s="778" t="s">
        <v>2300</v>
      </c>
      <c r="C83" s="3214">
        <f t="shared" si="23"/>
        <v>6.6050866773730149E-2</v>
      </c>
      <c r="D83" s="1148">
        <f>D85-D75-D76-D77-D78-D79-D80-D81-D82</f>
        <v>449.98138732348303</v>
      </c>
      <c r="E83" s="3214">
        <f>F83/F85</f>
        <v>7.6551900800719289E-2</v>
      </c>
      <c r="F83" s="1148">
        <f>478.486452526849-F82</f>
        <v>311.26973052144194</v>
      </c>
      <c r="G83" s="1192">
        <f t="shared" si="24"/>
        <v>-1.0501034026989139E-2</v>
      </c>
      <c r="H83" s="1148">
        <f t="shared" si="24"/>
        <v>138.71165680204109</v>
      </c>
    </row>
    <row r="84" spans="2:8" ht="15.6" x14ac:dyDescent="0.3">
      <c r="B84" s="778" t="s">
        <v>2304</v>
      </c>
      <c r="C84" s="3214">
        <f t="shared" si="23"/>
        <v>0</v>
      </c>
      <c r="D84" s="1148"/>
      <c r="E84" s="3214">
        <f>F84/F85</f>
        <v>0</v>
      </c>
      <c r="F84" s="1148"/>
      <c r="G84" s="1192">
        <f t="shared" si="24"/>
        <v>0</v>
      </c>
      <c r="H84" s="1148">
        <f t="shared" si="24"/>
        <v>0</v>
      </c>
    </row>
    <row r="85" spans="2:8" ht="15.6" x14ac:dyDescent="0.3">
      <c r="B85" s="1160" t="s">
        <v>1934</v>
      </c>
      <c r="C85" s="1161">
        <f>SUM(C75:C84)</f>
        <v>1</v>
      </c>
      <c r="D85" s="1148">
        <f>F8-L8</f>
        <v>6812.6492399407889</v>
      </c>
      <c r="E85" s="1161">
        <f>SUM(E75:E84)</f>
        <v>1.0000000000000002</v>
      </c>
      <c r="F85" s="1148">
        <v>4066.1267357912193</v>
      </c>
      <c r="G85" s="1192">
        <f t="shared" si="24"/>
        <v>0</v>
      </c>
      <c r="H85" s="1148">
        <f t="shared" si="24"/>
        <v>2746.5225041495696</v>
      </c>
    </row>
  </sheetData>
  <mergeCells count="11">
    <mergeCell ref="B6:B7"/>
    <mergeCell ref="G6:M6"/>
    <mergeCell ref="P39:R39"/>
    <mergeCell ref="G67:I67"/>
    <mergeCell ref="G68:I68"/>
    <mergeCell ref="B72:H72"/>
    <mergeCell ref="E73:F73"/>
    <mergeCell ref="C74:D74"/>
    <mergeCell ref="E74:F74"/>
    <mergeCell ref="G69:I69"/>
    <mergeCell ref="G70:I70"/>
  </mergeCells>
  <conditionalFormatting sqref="B70:I70 M65:N70 K70:L70">
    <cfRule type="expression" dxfId="63" priority="6" stopIfTrue="1">
      <formula>ABS(#REF!-(#REF!+$D65+$M65+$O65))&gt;отклонение</formula>
    </cfRule>
  </conditionalFormatting>
  <conditionalFormatting sqref="G70:I70 B70:D70">
    <cfRule type="expression" dxfId="62" priority="2" stopIfTrue="1">
      <formula>ABS(#REF!-(#REF!+$D70+$M70+$O70))&gt;отклонение</formula>
    </cfRule>
  </conditionalFormatting>
  <conditionalFormatting sqref="G70:I70">
    <cfRule type="expression" dxfId="61" priority="1" stopIfTrue="1">
      <formula>ABS(#REF!-(#REF!+#REF!+$L70+$N70))&gt;отклонение</formula>
    </cfRule>
    <cfRule type="expression" dxfId="60" priority="3" stopIfTrue="1">
      <formula>ABS(#REF!-(#REF!+$E70+$L70+$N70))&gt;отклонение</formula>
    </cfRule>
    <cfRule type="expression" dxfId="59" priority="4" stopIfTrue="1">
      <formula>ABS(#REF!-(#REF!+$D70+$M70+$O70))&gt;отклонение</formula>
    </cfRule>
  </conditionalFormatting>
  <pageMargins left="0.31496062992125984" right="0.23622047244094491" top="0.74803149606299213" bottom="0.15748031496062992" header="0.31496062992125984" footer="0.31496062992125984"/>
  <pageSetup paperSize="9" scale="61" fitToHeight="2" orientation="landscape" r:id="rId1"/>
  <headerFooter alignWithMargins="0"/>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Лист43">
    <tabColor theme="7"/>
    <pageSetUpPr fitToPage="1"/>
  </sheetPr>
  <dimension ref="A1:Z110"/>
  <sheetViews>
    <sheetView topLeftCell="A25" zoomScale="75" zoomScaleNormal="75" workbookViewId="0">
      <selection activeCell="J12" sqref="J12"/>
    </sheetView>
  </sheetViews>
  <sheetFormatPr defaultColWidth="9.109375" defaultRowHeight="13.8" x14ac:dyDescent="0.25"/>
  <cols>
    <col min="1" max="1" width="4.6640625" style="391" customWidth="1"/>
    <col min="2" max="2" width="59.33203125" style="391" customWidth="1"/>
    <col min="3" max="3" width="14.44140625" style="391" customWidth="1"/>
    <col min="4" max="5" width="13.88671875" style="391" customWidth="1"/>
    <col min="6" max="6" width="12.88671875" style="770" customWidth="1"/>
    <col min="7" max="7" width="16.6640625" style="391" customWidth="1"/>
    <col min="8" max="8" width="16" style="391" customWidth="1"/>
    <col min="9" max="9" width="10.5546875" style="391" customWidth="1"/>
    <col min="10" max="10" width="11.88671875" style="391" customWidth="1"/>
    <col min="11" max="11" width="15.5546875" style="391" customWidth="1"/>
    <col min="12" max="12" width="16.44140625" style="391" customWidth="1"/>
    <col min="13" max="13" width="10.88671875" style="391" hidden="1" customWidth="1"/>
    <col min="14" max="14" width="14.88671875" style="391" customWidth="1"/>
    <col min="15" max="15" width="29.5546875" style="393" customWidth="1"/>
    <col min="16" max="16" width="16.5546875" style="399" customWidth="1"/>
    <col min="17" max="17" width="11" style="399" customWidth="1"/>
    <col min="18" max="18" width="11.33203125" style="391" customWidth="1"/>
    <col min="19" max="19" width="9.109375" style="391" customWidth="1"/>
    <col min="20" max="20" width="10" style="391" customWidth="1"/>
    <col min="21" max="21" width="9.109375" style="391" customWidth="1"/>
    <col min="22" max="22" width="10.44140625" style="391" customWidth="1"/>
    <col min="23" max="16384" width="9.109375" style="391"/>
  </cols>
  <sheetData>
    <row r="1" spans="2:26" ht="17.399999999999999" x14ac:dyDescent="0.3">
      <c r="B1" s="389"/>
      <c r="F1" s="391"/>
      <c r="L1" s="392" t="s">
        <v>821</v>
      </c>
      <c r="M1" s="392" t="s">
        <v>821</v>
      </c>
      <c r="O1" s="391"/>
      <c r="P1" s="399">
        <v>6137537.8300000001</v>
      </c>
      <c r="Q1" s="399">
        <v>7399421.4099999992</v>
      </c>
      <c r="R1" s="399">
        <v>5993603.4210175136</v>
      </c>
      <c r="S1" s="391">
        <v>5825487.3144089105</v>
      </c>
    </row>
    <row r="2" spans="2:26" ht="18" customHeight="1" x14ac:dyDescent="0.25">
      <c r="F2" s="391"/>
      <c r="O2" s="391"/>
      <c r="P2" s="4572">
        <f>P1/1000+C28-C8</f>
        <v>-1883.1302700000006</v>
      </c>
      <c r="Q2" s="399">
        <f>Q1/1000-D8</f>
        <v>-773.17939999999999</v>
      </c>
      <c r="R2" s="399">
        <f>R1/1000-E8</f>
        <v>-1636.9332393146078</v>
      </c>
      <c r="S2" s="399">
        <f>S1/1000-F8</f>
        <v>-3707.5972568075213</v>
      </c>
    </row>
    <row r="3" spans="2:26" ht="17.399999999999999" x14ac:dyDescent="0.3">
      <c r="B3" s="394" t="s">
        <v>929</v>
      </c>
      <c r="C3" s="395" t="str">
        <f>'Вхідні дані'!F5</f>
        <v>КП «КТЕ"</v>
      </c>
      <c r="D3" s="395"/>
      <c r="E3" s="395"/>
      <c r="G3" s="395" t="s">
        <v>461</v>
      </c>
      <c r="H3" s="395" t="str">
        <f>'Вхідні дані'!F6</f>
        <v>2023-2024</v>
      </c>
      <c r="I3" s="395" t="s">
        <v>661</v>
      </c>
      <c r="J3" s="395"/>
      <c r="L3" s="394"/>
      <c r="Q3" s="391"/>
    </row>
    <row r="4" spans="2:26" ht="17.399999999999999" x14ac:dyDescent="0.3">
      <c r="B4" s="394"/>
      <c r="G4" s="424"/>
      <c r="H4" s="425"/>
      <c r="I4" s="425"/>
      <c r="J4" s="425"/>
      <c r="K4" s="395"/>
      <c r="L4" s="394"/>
      <c r="O4" s="393">
        <f>ФОП!G49</f>
        <v>15</v>
      </c>
      <c r="P4" s="399" t="s">
        <v>144</v>
      </c>
      <c r="Q4" s="391"/>
    </row>
    <row r="5" spans="2:26" ht="18.600000000000001" thickBot="1" x14ac:dyDescent="0.4">
      <c r="B5" s="419" t="s">
        <v>906</v>
      </c>
      <c r="D5" s="399"/>
      <c r="F5" s="2630">
        <f>G5+H5+K5+L5+M5+N5</f>
        <v>1</v>
      </c>
      <c r="G5" s="749">
        <f>'БАЗИ РОЗПОДІЛУ'!$F$15</f>
        <v>0.66451603396877001</v>
      </c>
      <c r="H5" s="749">
        <f>'БАЗИ РОЗПОДІЛУ'!$G$15</f>
        <v>0.19589486341882431</v>
      </c>
      <c r="I5" s="749">
        <f>'БАЗИ РОЗПОДІЛУ'!$H$15</f>
        <v>5.4159320049523708E-2</v>
      </c>
      <c r="J5" s="749">
        <f>'БАЗИ РОЗПОДІЛУ'!$I$15</f>
        <v>0.14173554336930061</v>
      </c>
      <c r="K5" s="749">
        <f>'БАЗИ РОЗПОДІЛУ'!$J$15</f>
        <v>8.3914010789560151E-3</v>
      </c>
      <c r="L5" s="749">
        <f>'БАЗИ РОЗПОДІЛУ'!$K$15</f>
        <v>0.13119770153344976</v>
      </c>
      <c r="M5" s="749">
        <f>'БАЗИ РОЗПОДІЛУ'!$L$15</f>
        <v>0</v>
      </c>
      <c r="N5" s="749">
        <v>0</v>
      </c>
      <c r="O5" s="1594">
        <f>(21.9*7+15*5)/12</f>
        <v>19.024999999999999</v>
      </c>
      <c r="Q5" s="391"/>
    </row>
    <row r="6" spans="2:26" ht="18" thickBot="1" x14ac:dyDescent="0.3">
      <c r="B6" s="5089" t="s">
        <v>8</v>
      </c>
      <c r="C6" s="4567" t="s">
        <v>932</v>
      </c>
      <c r="D6" s="4567" t="s">
        <v>932</v>
      </c>
      <c r="E6" s="4567" t="s">
        <v>942</v>
      </c>
      <c r="F6" s="4576" t="s">
        <v>933</v>
      </c>
      <c r="G6" s="5116" t="s">
        <v>907</v>
      </c>
      <c r="H6" s="5117"/>
      <c r="I6" s="5117"/>
      <c r="J6" s="5117"/>
      <c r="K6" s="5117"/>
      <c r="L6" s="5117"/>
      <c r="M6" s="5118"/>
      <c r="N6" s="397"/>
      <c r="P6" s="399" t="s">
        <v>3309</v>
      </c>
    </row>
    <row r="7" spans="2:26" ht="67.95" customHeight="1" thickBot="1" x14ac:dyDescent="0.3">
      <c r="B7" s="5090"/>
      <c r="C7" s="4567">
        <f>'Вхідні дані'!F8</f>
        <v>2021</v>
      </c>
      <c r="D7" s="4567">
        <f>'Вхідні дані'!F7</f>
        <v>2022</v>
      </c>
      <c r="E7" s="4568" t="str">
        <f>'Вхідні дані'!F9</f>
        <v>Ріш. №296 від 25.10.2022</v>
      </c>
      <c r="F7" s="4576" t="str">
        <f>'Вхідні дані'!F6</f>
        <v>2023-2024</v>
      </c>
      <c r="G7" s="4567" t="s">
        <v>908</v>
      </c>
      <c r="H7" s="4567" t="s">
        <v>909</v>
      </c>
      <c r="I7" s="4567" t="s">
        <v>1955</v>
      </c>
      <c r="J7" s="4567" t="s">
        <v>1966</v>
      </c>
      <c r="K7" s="4567" t="s">
        <v>910</v>
      </c>
      <c r="L7" s="4567" t="s">
        <v>911</v>
      </c>
      <c r="M7" s="4569" t="s">
        <v>930</v>
      </c>
      <c r="N7" s="398" t="s">
        <v>931</v>
      </c>
      <c r="O7" s="2402" t="s">
        <v>3309</v>
      </c>
      <c r="P7" s="4577">
        <f>F8/D8-1</f>
        <v>0.16646888705878604</v>
      </c>
    </row>
    <row r="8" spans="2:26" ht="17.399999999999999" x14ac:dyDescent="0.3">
      <c r="B8" s="400" t="s">
        <v>912</v>
      </c>
      <c r="C8" s="401">
        <f>C9+C20+C39+C24+C36+C38+C37</f>
        <v>8055.7756800000006</v>
      </c>
      <c r="D8" s="401">
        <f>D9+D20+D39+D24+D36+D38+D37</f>
        <v>8172.600809999999</v>
      </c>
      <c r="E8" s="401">
        <f>E9+E20+E39+E24+E36+E38+E37</f>
        <v>7630.5366603321218</v>
      </c>
      <c r="F8" s="401">
        <f t="shared" ref="F8:N8" si="0">F9+F20+F39+F24+F36+F38+F37</f>
        <v>9533.0845712164319</v>
      </c>
      <c r="G8" s="401">
        <f t="shared" si="0"/>
        <v>6334.8875507536159</v>
      </c>
      <c r="H8" s="401">
        <f t="shared" si="0"/>
        <v>1867.4823000385445</v>
      </c>
      <c r="I8" s="401">
        <f t="shared" si="0"/>
        <v>516.3053783516873</v>
      </c>
      <c r="J8" s="401">
        <f t="shared" si="0"/>
        <v>1351.1769216868572</v>
      </c>
      <c r="K8" s="401">
        <f t="shared" si="0"/>
        <v>79.995936156684508</v>
      </c>
      <c r="L8" s="401">
        <f t="shared" si="0"/>
        <v>1250.7187842675887</v>
      </c>
      <c r="M8" s="401">
        <f t="shared" si="0"/>
        <v>0</v>
      </c>
      <c r="N8" s="401">
        <f t="shared" si="0"/>
        <v>0</v>
      </c>
      <c r="O8" s="403">
        <f>F8-9510.45</f>
        <v>22.634571216431141</v>
      </c>
      <c r="S8" s="399">
        <f>F8-G8-H8-K8-L8-M8-N8</f>
        <v>-1.8189894035458565E-12</v>
      </c>
      <c r="T8" s="399">
        <f>H8-I8-J8</f>
        <v>0</v>
      </c>
      <c r="Z8" s="391">
        <v>2019</v>
      </c>
    </row>
    <row r="9" spans="2:26" ht="17.399999999999999" x14ac:dyDescent="0.3">
      <c r="B9" s="404" t="s">
        <v>913</v>
      </c>
      <c r="C9" s="405">
        <f>SUM(C10:C19)</f>
        <v>353.78944999999999</v>
      </c>
      <c r="D9" s="405">
        <f>SUM(D10:D19)</f>
        <v>282.14715000000007</v>
      </c>
      <c r="E9" s="405">
        <f>SUM(E10:E19)</f>
        <v>167.70122278418418</v>
      </c>
      <c r="F9" s="405">
        <f>SUM(F10:F19)</f>
        <v>330.85895297500002</v>
      </c>
      <c r="G9" s="405">
        <f t="shared" ref="G9:N9" si="1">SUM(G10:G19)</f>
        <v>219.86107923400675</v>
      </c>
      <c r="H9" s="405">
        <f t="shared" si="1"/>
        <v>64.813569403932831</v>
      </c>
      <c r="I9" s="405">
        <f t="shared" si="1"/>
        <v>17.919095925423338</v>
      </c>
      <c r="J9" s="405">
        <f t="shared" si="1"/>
        <v>46.894473478509497</v>
      </c>
      <c r="K9" s="405">
        <f t="shared" si="1"/>
        <v>2.7763701749766718</v>
      </c>
      <c r="L9" s="405">
        <f t="shared" si="1"/>
        <v>43.407934162083741</v>
      </c>
      <c r="M9" s="405">
        <f t="shared" si="1"/>
        <v>0</v>
      </c>
      <c r="N9" s="405">
        <f t="shared" si="1"/>
        <v>0</v>
      </c>
      <c r="O9" s="403">
        <f>F28-84.52</f>
        <v>16.635074845568013</v>
      </c>
      <c r="S9" s="399">
        <f t="shared" ref="S9:S20" si="2">F9-G9-H9-K9-L9-M9-N9</f>
        <v>2.8421709430404007E-14</v>
      </c>
      <c r="T9" s="399">
        <f t="shared" ref="T9:T20" si="3">H9-I9-J9</f>
        <v>0</v>
      </c>
    </row>
    <row r="10" spans="2:26" ht="18" x14ac:dyDescent="0.35">
      <c r="B10" s="406" t="s">
        <v>934</v>
      </c>
      <c r="C10" s="407">
        <v>86.565010000000001</v>
      </c>
      <c r="D10" s="407">
        <v>113.67182000000001</v>
      </c>
      <c r="E10" s="407">
        <v>52.298519999999996</v>
      </c>
      <c r="F10" s="462">
        <f>ПММ!N17/1000</f>
        <v>149.13582</v>
      </c>
      <c r="G10" s="409">
        <f t="shared" ref="G10:G19" si="4">F10*$G$5</f>
        <v>99.103143629080364</v>
      </c>
      <c r="H10" s="409">
        <f t="shared" ref="H10:H19" si="5">F10*$H$5</f>
        <v>29.214941089754365</v>
      </c>
      <c r="I10" s="409">
        <f>F10*$I$5</f>
        <v>8.0770946062281581</v>
      </c>
      <c r="J10" s="409">
        <f>F10*$J$5</f>
        <v>21.137846483526207</v>
      </c>
      <c r="K10" s="409">
        <f t="shared" ref="K10:K19" si="6">F10*$K$5</f>
        <v>1.2514584808589899</v>
      </c>
      <c r="L10" s="409">
        <f t="shared" ref="L10:L19" si="7">F10*$L$5</f>
        <v>19.566276800306287</v>
      </c>
      <c r="M10" s="409">
        <f t="shared" ref="M10:M19" si="8">F10*$M$5</f>
        <v>0</v>
      </c>
      <c r="N10" s="409">
        <f t="shared" ref="N10:N19" si="9">F10*$N$5</f>
        <v>0</v>
      </c>
      <c r="O10" s="901" t="s">
        <v>914</v>
      </c>
      <c r="P10" s="399" t="s">
        <v>1387</v>
      </c>
      <c r="S10" s="399">
        <f t="shared" si="2"/>
        <v>-1.0658141036401503E-14</v>
      </c>
      <c r="T10" s="399">
        <f t="shared" si="3"/>
        <v>0</v>
      </c>
      <c r="Z10" s="419">
        <v>114.88186</v>
      </c>
    </row>
    <row r="11" spans="2:26" ht="18" x14ac:dyDescent="0.35">
      <c r="B11" s="406" t="s">
        <v>935</v>
      </c>
      <c r="C11" s="407">
        <v>1.87592</v>
      </c>
      <c r="D11" s="407">
        <v>0.4047</v>
      </c>
      <c r="E11" s="407">
        <v>5.7444145500000002E-2</v>
      </c>
      <c r="F11" s="462">
        <f>D11*'Вхідні дані'!$D$71</f>
        <v>0.42827377499999997</v>
      </c>
      <c r="G11" s="409">
        <f t="shared" si="4"/>
        <v>0.28459479041583335</v>
      </c>
      <c r="H11" s="409">
        <f t="shared" si="5"/>
        <v>8.3896632659489281E-2</v>
      </c>
      <c r="I11" s="409">
        <f t="shared" ref="I11:I19" si="10">F11*$I$5</f>
        <v>2.3195016449042705E-2</v>
      </c>
      <c r="J11" s="409">
        <f t="shared" ref="J11:J19" si="11">F11*$J$5</f>
        <v>6.0701616210446584E-2</v>
      </c>
      <c r="K11" s="409">
        <f t="shared" si="6"/>
        <v>3.5938170176235654E-3</v>
      </c>
      <c r="L11" s="409">
        <f t="shared" si="7"/>
        <v>5.6188534907053812E-2</v>
      </c>
      <c r="M11" s="409">
        <f t="shared" si="8"/>
        <v>0</v>
      </c>
      <c r="N11" s="409">
        <f t="shared" si="9"/>
        <v>0</v>
      </c>
      <c r="O11" s="901" t="s">
        <v>965</v>
      </c>
      <c r="S11" s="399">
        <f t="shared" si="2"/>
        <v>-4.8572257327350599E-17</v>
      </c>
      <c r="T11" s="399">
        <f t="shared" si="3"/>
        <v>0</v>
      </c>
      <c r="Z11" s="419">
        <v>4.9000000000000002E-2</v>
      </c>
    </row>
    <row r="12" spans="2:26" ht="18" x14ac:dyDescent="0.35">
      <c r="B12" s="406" t="s">
        <v>936</v>
      </c>
      <c r="C12" s="407">
        <v>47.041989999999998</v>
      </c>
      <c r="D12" s="407">
        <v>16.666919999999998</v>
      </c>
      <c r="E12" s="462">
        <v>17.579550000000001</v>
      </c>
      <c r="F12" s="462">
        <f>D12*'Вхідні дані'!$D$71</f>
        <v>17.637768089999994</v>
      </c>
      <c r="G12" s="409">
        <f t="shared" si="4"/>
        <v>11.720579699227724</v>
      </c>
      <c r="H12" s="409">
        <f t="shared" si="5"/>
        <v>3.4551481710034468</v>
      </c>
      <c r="I12" s="409">
        <f t="shared" si="10"/>
        <v>0.95524952694558618</v>
      </c>
      <c r="J12" s="409">
        <f t="shared" si="11"/>
        <v>2.4998986440578608</v>
      </c>
      <c r="K12" s="409">
        <f t="shared" si="6"/>
        <v>0.14800558618080192</v>
      </c>
      <c r="L12" s="409">
        <f t="shared" si="7"/>
        <v>2.3140346335880233</v>
      </c>
      <c r="M12" s="409">
        <f t="shared" si="8"/>
        <v>0</v>
      </c>
      <c r="N12" s="409">
        <f t="shared" si="9"/>
        <v>0</v>
      </c>
      <c r="O12" s="476" t="s">
        <v>1572</v>
      </c>
      <c r="P12" s="901"/>
      <c r="Q12" s="901"/>
      <c r="R12" s="431"/>
      <c r="S12" s="399">
        <f t="shared" si="2"/>
        <v>-1.3322676295501878E-15</v>
      </c>
      <c r="T12" s="399">
        <f t="shared" si="3"/>
        <v>0</v>
      </c>
      <c r="Z12" s="419">
        <v>36.686070000000001</v>
      </c>
    </row>
    <row r="13" spans="2:26" ht="18" customHeight="1" x14ac:dyDescent="0.35">
      <c r="B13" s="406" t="s">
        <v>2642</v>
      </c>
      <c r="C13" s="407">
        <v>96.370100000000008</v>
      </c>
      <c r="D13" s="407">
        <v>0.32166</v>
      </c>
      <c r="E13" s="407">
        <v>4.1398114650000002</v>
      </c>
      <c r="F13" s="462">
        <f>D13*'Вхідні дані'!$D$71</f>
        <v>0.34039669499999997</v>
      </c>
      <c r="G13" s="409">
        <f t="shared" si="4"/>
        <v>0.22619906173747703</v>
      </c>
      <c r="H13" s="409">
        <f t="shared" si="5"/>
        <v>6.6681964075244196E-2</v>
      </c>
      <c r="I13" s="409">
        <f t="shared" si="10"/>
        <v>1.8435653548305106E-2</v>
      </c>
      <c r="J13" s="409">
        <f t="shared" si="11"/>
        <v>4.824631052693909E-2</v>
      </c>
      <c r="K13" s="409">
        <f t="shared" si="6"/>
        <v>2.8564051936960612E-3</v>
      </c>
      <c r="L13" s="409">
        <f t="shared" si="7"/>
        <v>4.4659263993582728E-2</v>
      </c>
      <c r="M13" s="409">
        <f t="shared" si="8"/>
        <v>0</v>
      </c>
      <c r="N13" s="409">
        <f t="shared" si="9"/>
        <v>0</v>
      </c>
      <c r="O13" s="901" t="s">
        <v>965</v>
      </c>
      <c r="S13" s="399">
        <f t="shared" si="2"/>
        <v>-4.163336342344337E-17</v>
      </c>
      <c r="T13" s="399">
        <f t="shared" si="3"/>
        <v>0</v>
      </c>
      <c r="Z13" s="419">
        <v>0.73777999999999999</v>
      </c>
    </row>
    <row r="14" spans="2:26" ht="18" x14ac:dyDescent="0.35">
      <c r="B14" s="406" t="s">
        <v>915</v>
      </c>
      <c r="C14" s="407">
        <v>31.42764</v>
      </c>
      <c r="D14" s="407">
        <v>49.57114</v>
      </c>
      <c r="E14" s="407">
        <v>0</v>
      </c>
      <c r="F14" s="462">
        <f>D14*'Вхідні дані'!$D$71</f>
        <v>52.458658904999993</v>
      </c>
      <c r="G14" s="409">
        <f t="shared" si="4"/>
        <v>34.859619962871093</v>
      </c>
      <c r="H14" s="409">
        <f t="shared" si="5"/>
        <v>10.276381821329664</v>
      </c>
      <c r="I14" s="409">
        <f t="shared" si="10"/>
        <v>2.8411252970046914</v>
      </c>
      <c r="J14" s="409">
        <f t="shared" si="11"/>
        <v>7.4352565243249744</v>
      </c>
      <c r="K14" s="409">
        <f t="shared" si="6"/>
        <v>0.4402016469360025</v>
      </c>
      <c r="L14" s="409">
        <f t="shared" si="7"/>
        <v>6.8824554738632351</v>
      </c>
      <c r="M14" s="409">
        <f t="shared" si="8"/>
        <v>0</v>
      </c>
      <c r="N14" s="409">
        <f t="shared" si="9"/>
        <v>0</v>
      </c>
      <c r="O14" s="901" t="s">
        <v>966</v>
      </c>
      <c r="S14" s="399">
        <f t="shared" si="2"/>
        <v>-2.6645352591003757E-15</v>
      </c>
      <c r="T14" s="399">
        <f t="shared" si="3"/>
        <v>0</v>
      </c>
      <c r="Z14" s="419">
        <v>63.283700000000003</v>
      </c>
    </row>
    <row r="15" spans="2:26" ht="18" x14ac:dyDescent="0.35">
      <c r="B15" s="406" t="s">
        <v>937</v>
      </c>
      <c r="C15" s="407">
        <v>10.42562</v>
      </c>
      <c r="D15" s="407">
        <v>76.110749999999996</v>
      </c>
      <c r="E15" s="407">
        <v>46.203416810526306</v>
      </c>
      <c r="F15" s="462">
        <f>D15*'Вхідні дані'!$D$71</f>
        <v>80.544201187499993</v>
      </c>
      <c r="G15" s="409">
        <f t="shared" si="4"/>
        <v>53.522913132300189</v>
      </c>
      <c r="H15" s="409">
        <f t="shared" si="5"/>
        <v>15.778195290803618</v>
      </c>
      <c r="I15" s="409">
        <f t="shared" si="10"/>
        <v>4.3622191702470401</v>
      </c>
      <c r="J15" s="409">
        <f t="shared" si="11"/>
        <v>11.415976120556579</v>
      </c>
      <c r="K15" s="409">
        <f t="shared" si="6"/>
        <v>0.67587869674843781</v>
      </c>
      <c r="L15" s="409">
        <f t="shared" si="7"/>
        <v>10.567214067647754</v>
      </c>
      <c r="M15" s="409">
        <f t="shared" si="8"/>
        <v>0</v>
      </c>
      <c r="N15" s="409">
        <f t="shared" si="9"/>
        <v>0</v>
      </c>
      <c r="O15" s="476" t="s">
        <v>1572</v>
      </c>
      <c r="S15" s="399">
        <f t="shared" si="2"/>
        <v>-5.3290705182007514E-15</v>
      </c>
      <c r="T15" s="399">
        <f t="shared" si="3"/>
        <v>0</v>
      </c>
      <c r="Z15" s="419">
        <v>15.47383</v>
      </c>
    </row>
    <row r="16" spans="2:26" ht="18" x14ac:dyDescent="0.35">
      <c r="B16" s="406" t="s">
        <v>938</v>
      </c>
      <c r="C16" s="407">
        <v>13.84714</v>
      </c>
      <c r="D16" s="407">
        <v>5.9373399999999998</v>
      </c>
      <c r="E16" s="407">
        <v>13.922875882894738</v>
      </c>
      <c r="F16" s="462">
        <f>D16*'Вхідні дані'!$D$71</f>
        <v>6.2831900549999995</v>
      </c>
      <c r="G16" s="409">
        <f t="shared" si="4"/>
        <v>4.175280536020618</v>
      </c>
      <c r="H16" s="409">
        <f t="shared" si="5"/>
        <v>1.2308446576587402</v>
      </c>
      <c r="I16" s="409">
        <f t="shared" si="10"/>
        <v>0.34029330112072942</v>
      </c>
      <c r="J16" s="409">
        <f t="shared" si="11"/>
        <v>0.89055135653801076</v>
      </c>
      <c r="K16" s="409">
        <f t="shared" si="6"/>
        <v>5.2724767806812699E-2</v>
      </c>
      <c r="L16" s="409">
        <f t="shared" si="7"/>
        <v>0.82434009351382964</v>
      </c>
      <c r="M16" s="409">
        <f t="shared" si="8"/>
        <v>0</v>
      </c>
      <c r="N16" s="409">
        <f t="shared" si="9"/>
        <v>0</v>
      </c>
      <c r="O16" s="901" t="s">
        <v>965</v>
      </c>
      <c r="S16" s="399">
        <f t="shared" si="2"/>
        <v>-9.9920072216264089E-16</v>
      </c>
      <c r="T16" s="399">
        <f t="shared" si="3"/>
        <v>0</v>
      </c>
      <c r="Z16" s="419">
        <v>3.7607300000000001</v>
      </c>
    </row>
    <row r="17" spans="2:26" ht="18" x14ac:dyDescent="0.35">
      <c r="B17" s="406" t="s">
        <v>939</v>
      </c>
      <c r="C17" s="407">
        <v>62.346789999999999</v>
      </c>
      <c r="D17" s="407">
        <v>14.881790000000001</v>
      </c>
      <c r="E17" s="407">
        <v>27.005824480263154</v>
      </c>
      <c r="F17" s="462">
        <f>D17*'Вхідні дані'!$D$71</f>
        <v>15.748654267499999</v>
      </c>
      <c r="G17" s="409">
        <f t="shared" si="4"/>
        <v>10.465233274184444</v>
      </c>
      <c r="H17" s="409">
        <f t="shared" si="5"/>
        <v>3.0850804767621969</v>
      </c>
      <c r="I17" s="409">
        <f t="shared" si="10"/>
        <v>0.85293640682282978</v>
      </c>
      <c r="J17" s="409">
        <f t="shared" si="11"/>
        <v>2.2321440699393671</v>
      </c>
      <c r="K17" s="409">
        <f t="shared" si="6"/>
        <v>0.13215327441240474</v>
      </c>
      <c r="L17" s="409">
        <f t="shared" si="7"/>
        <v>2.0661872421409546</v>
      </c>
      <c r="M17" s="409">
        <f t="shared" si="8"/>
        <v>0</v>
      </c>
      <c r="N17" s="409">
        <f t="shared" si="9"/>
        <v>0</v>
      </c>
      <c r="O17" s="476" t="s">
        <v>1572</v>
      </c>
      <c r="S17" s="399">
        <f t="shared" si="2"/>
        <v>-4.4408920985006262E-16</v>
      </c>
      <c r="T17" s="399">
        <f t="shared" si="3"/>
        <v>0</v>
      </c>
      <c r="Z17" s="419">
        <v>37.761060000000001</v>
      </c>
    </row>
    <row r="18" spans="2:26" ht="18" x14ac:dyDescent="0.35">
      <c r="B18" s="406" t="s">
        <v>940</v>
      </c>
      <c r="C18" s="407">
        <v>3.8892399999999996</v>
      </c>
      <c r="D18" s="407">
        <v>4.5810300000000002</v>
      </c>
      <c r="E18" s="407">
        <v>6.4937800000000001</v>
      </c>
      <c r="F18" s="462">
        <f>ОП!I6</f>
        <v>8.2819900000000004</v>
      </c>
      <c r="G18" s="409">
        <f t="shared" si="4"/>
        <v>5.5035151481690141</v>
      </c>
      <c r="H18" s="409">
        <f t="shared" si="5"/>
        <v>1.6223992998860688</v>
      </c>
      <c r="I18" s="409">
        <f t="shared" si="10"/>
        <v>0.44854694705695486</v>
      </c>
      <c r="J18" s="409">
        <f t="shared" si="11"/>
        <v>1.173852352829114</v>
      </c>
      <c r="K18" s="409">
        <f t="shared" si="6"/>
        <v>6.9497499821902925E-2</v>
      </c>
      <c r="L18" s="409">
        <f t="shared" si="7"/>
        <v>1.0865780521230155</v>
      </c>
      <c r="M18" s="409">
        <f t="shared" si="8"/>
        <v>0</v>
      </c>
      <c r="N18" s="409">
        <f t="shared" si="9"/>
        <v>0</v>
      </c>
      <c r="O18" s="901" t="s">
        <v>1389</v>
      </c>
      <c r="S18" s="399">
        <f t="shared" si="2"/>
        <v>-8.8817841970012523E-16</v>
      </c>
      <c r="T18" s="399">
        <f t="shared" si="3"/>
        <v>0</v>
      </c>
      <c r="Z18" s="419">
        <v>4.5862800000000004</v>
      </c>
    </row>
    <row r="19" spans="2:26" ht="18" x14ac:dyDescent="0.35">
      <c r="B19" s="406" t="s">
        <v>941</v>
      </c>
      <c r="C19" s="407"/>
      <c r="D19" s="407"/>
      <c r="E19" s="407">
        <v>0</v>
      </c>
      <c r="F19" s="462">
        <f>ОП!I8</f>
        <v>0</v>
      </c>
      <c r="G19" s="409">
        <f t="shared" si="4"/>
        <v>0</v>
      </c>
      <c r="H19" s="409">
        <f t="shared" si="5"/>
        <v>0</v>
      </c>
      <c r="I19" s="409">
        <f t="shared" si="10"/>
        <v>0</v>
      </c>
      <c r="J19" s="409">
        <f t="shared" si="11"/>
        <v>0</v>
      </c>
      <c r="K19" s="409">
        <f t="shared" si="6"/>
        <v>0</v>
      </c>
      <c r="L19" s="409">
        <f t="shared" si="7"/>
        <v>0</v>
      </c>
      <c r="M19" s="409">
        <f t="shared" si="8"/>
        <v>0</v>
      </c>
      <c r="N19" s="409">
        <f t="shared" si="9"/>
        <v>0</v>
      </c>
      <c r="O19" s="901" t="s">
        <v>1942</v>
      </c>
      <c r="S19" s="399">
        <f t="shared" si="2"/>
        <v>0</v>
      </c>
      <c r="T19" s="399">
        <f t="shared" si="3"/>
        <v>0</v>
      </c>
      <c r="Z19" s="419">
        <v>2.8382800000000001</v>
      </c>
    </row>
    <row r="20" spans="2:26" ht="34.799999999999997" x14ac:dyDescent="0.3">
      <c r="B20" s="410" t="s">
        <v>916</v>
      </c>
      <c r="C20" s="405">
        <f>C21+C23</f>
        <v>6128.4409300000007</v>
      </c>
      <c r="D20" s="405">
        <f t="shared" ref="D20:N20" si="12">D21+D23</f>
        <v>7266.2331700000004</v>
      </c>
      <c r="E20" s="405">
        <f t="shared" si="12"/>
        <v>6889.6658529720007</v>
      </c>
      <c r="F20" s="405">
        <f t="shared" si="12"/>
        <v>8709.5618333142447</v>
      </c>
      <c r="G20" s="405">
        <f t="shared" si="12"/>
        <v>5787.643487079752</v>
      </c>
      <c r="H20" s="405">
        <f t="shared" si="12"/>
        <v>1706.1584257748993</v>
      </c>
      <c r="I20" s="405">
        <f t="shared" si="12"/>
        <v>471.70394682158269</v>
      </c>
      <c r="J20" s="405">
        <f t="shared" si="12"/>
        <v>1234.4544789533165</v>
      </c>
      <c r="K20" s="405">
        <f t="shared" si="12"/>
        <v>73.085426565307287</v>
      </c>
      <c r="L20" s="405">
        <f t="shared" si="12"/>
        <v>1142.6744938942879</v>
      </c>
      <c r="M20" s="405">
        <f t="shared" si="12"/>
        <v>0</v>
      </c>
      <c r="N20" s="405">
        <f t="shared" si="12"/>
        <v>0</v>
      </c>
      <c r="O20" s="901"/>
      <c r="P20" s="430"/>
      <c r="S20" s="399">
        <f t="shared" si="2"/>
        <v>-1.8189894035458565E-12</v>
      </c>
      <c r="T20" s="399">
        <f t="shared" si="3"/>
        <v>0</v>
      </c>
    </row>
    <row r="21" spans="2:26" ht="55.5" customHeight="1" x14ac:dyDescent="0.35">
      <c r="B21" s="406" t="s">
        <v>1699</v>
      </c>
      <c r="C21" s="407">
        <v>5030.3503000000001</v>
      </c>
      <c r="D21" s="407">
        <v>6082.8951900000002</v>
      </c>
      <c r="E21" s="407">
        <v>5647.267092600001</v>
      </c>
      <c r="F21" s="407">
        <f>ФОП!H49/1000</f>
        <v>7138.9851092739718</v>
      </c>
      <c r="G21" s="409">
        <f>F21*$G$5</f>
        <v>4743.9700713768461</v>
      </c>
      <c r="H21" s="409">
        <f>F21*$H$5</f>
        <v>1398.4905129302454</v>
      </c>
      <c r="I21" s="409">
        <f t="shared" ref="I21:I60" si="13">F21*$I$5</f>
        <v>386.64257936195304</v>
      </c>
      <c r="J21" s="409">
        <f t="shared" ref="J21:J60" si="14">F21*$J$5</f>
        <v>1011.8479335682923</v>
      </c>
      <c r="K21" s="409">
        <f>F21*$K$5</f>
        <v>59.90608734861253</v>
      </c>
      <c r="L21" s="409">
        <f>F21*$L$5</f>
        <v>936.61843761826879</v>
      </c>
      <c r="M21" s="409">
        <f>F21*$M$5</f>
        <v>0</v>
      </c>
      <c r="N21" s="409">
        <f>F21*$N$5</f>
        <v>0</v>
      </c>
      <c r="O21" s="431" t="s">
        <v>1008</v>
      </c>
      <c r="P21" s="430"/>
      <c r="S21" s="399">
        <f t="shared" ref="S21:S27" si="15">F21-G21-H21-K21-L21-M21-N21</f>
        <v>-1.0231815394945443E-12</v>
      </c>
      <c r="T21" s="399">
        <f t="shared" ref="T21:T27" si="16">H21-I21-J21</f>
        <v>0</v>
      </c>
    </row>
    <row r="22" spans="2:26" ht="18" x14ac:dyDescent="0.35">
      <c r="B22" s="463" t="s">
        <v>1698</v>
      </c>
      <c r="C22" s="407">
        <v>0</v>
      </c>
      <c r="D22" s="407">
        <v>0</v>
      </c>
      <c r="E22" s="407">
        <v>0</v>
      </c>
      <c r="F22" s="407">
        <f>ФОП!H50/1000</f>
        <v>0</v>
      </c>
      <c r="G22" s="409">
        <f t="shared" ref="G22:G60" si="17">F22*$G$5</f>
        <v>0</v>
      </c>
      <c r="H22" s="409">
        <f t="shared" ref="H22:H60" si="18">F22*$H$5</f>
        <v>0</v>
      </c>
      <c r="I22" s="409">
        <f t="shared" si="13"/>
        <v>0</v>
      </c>
      <c r="J22" s="409">
        <f t="shared" si="14"/>
        <v>0</v>
      </c>
      <c r="K22" s="409">
        <f t="shared" ref="K22:K60" si="19">F22*$K$5</f>
        <v>0</v>
      </c>
      <c r="L22" s="409">
        <f t="shared" ref="L22:L60" si="20">F22*$L$5</f>
        <v>0</v>
      </c>
      <c r="M22" s="409">
        <f t="shared" ref="M22:M60" si="21">F22*$M$5</f>
        <v>0</v>
      </c>
      <c r="N22" s="409">
        <f t="shared" ref="N22:N60" si="22">F22*$N$5</f>
        <v>0</v>
      </c>
      <c r="O22" s="431" t="s">
        <v>1008</v>
      </c>
      <c r="P22" s="430"/>
      <c r="S22" s="399">
        <f t="shared" si="15"/>
        <v>0</v>
      </c>
      <c r="T22" s="399">
        <f t="shared" si="16"/>
        <v>0</v>
      </c>
    </row>
    <row r="23" spans="2:26" ht="58.5" customHeight="1" x14ac:dyDescent="0.35">
      <c r="B23" s="406" t="s">
        <v>1700</v>
      </c>
      <c r="C23" s="407">
        <v>1098.0906300000001</v>
      </c>
      <c r="D23" s="407">
        <v>1183.33798</v>
      </c>
      <c r="E23" s="407">
        <v>1242.3987603720002</v>
      </c>
      <c r="F23" s="407">
        <f>(F21-F22)*'Вхідні дані'!D43+F22*'Вхідні дані'!D44</f>
        <v>1570.5767240402738</v>
      </c>
      <c r="G23" s="409">
        <f t="shared" si="17"/>
        <v>1043.6734157029061</v>
      </c>
      <c r="H23" s="409">
        <f t="shared" si="18"/>
        <v>307.66791284465398</v>
      </c>
      <c r="I23" s="409">
        <f t="shared" si="13"/>
        <v>85.061367459629665</v>
      </c>
      <c r="J23" s="409">
        <f t="shared" si="14"/>
        <v>222.6065453850243</v>
      </c>
      <c r="K23" s="409">
        <f t="shared" si="19"/>
        <v>13.179339216694757</v>
      </c>
      <c r="L23" s="409">
        <f t="shared" si="20"/>
        <v>206.05605627601912</v>
      </c>
      <c r="M23" s="409">
        <f t="shared" si="21"/>
        <v>0</v>
      </c>
      <c r="N23" s="409">
        <f t="shared" si="22"/>
        <v>0</v>
      </c>
      <c r="O23" s="431" t="s">
        <v>1008</v>
      </c>
      <c r="P23" s="430" t="s">
        <v>918</v>
      </c>
      <c r="S23" s="399">
        <f t="shared" si="15"/>
        <v>-1.9895196601282805E-13</v>
      </c>
      <c r="T23" s="399">
        <f t="shared" si="16"/>
        <v>0</v>
      </c>
    </row>
    <row r="24" spans="2:26" s="411" customFormat="1" ht="69.599999999999994" x14ac:dyDescent="0.3">
      <c r="B24" s="410" t="s">
        <v>919</v>
      </c>
      <c r="C24" s="405">
        <f>SUM(C25:C35)</f>
        <v>650.48208999999997</v>
      </c>
      <c r="D24" s="405">
        <f t="shared" ref="D24:N24" si="23">SUM(D25:D35)</f>
        <v>773.9391700000001</v>
      </c>
      <c r="E24" s="405">
        <f t="shared" si="23"/>
        <v>133.07923275245867</v>
      </c>
      <c r="F24" s="405">
        <f>SUM(F25:F35)</f>
        <v>150.19862834556801</v>
      </c>
      <c r="G24" s="405">
        <f t="shared" si="23"/>
        <v>99.80939681574614</v>
      </c>
      <c r="H24" s="405">
        <f t="shared" si="23"/>
        <v>29.423139785449795</v>
      </c>
      <c r="I24" s="405">
        <f t="shared" si="23"/>
        <v>8.1346555835670813</v>
      </c>
      <c r="J24" s="405">
        <f t="shared" si="23"/>
        <v>21.288484201882721</v>
      </c>
      <c r="K24" s="405">
        <f t="shared" si="23"/>
        <v>1.2603769319567129</v>
      </c>
      <c r="L24" s="405">
        <f t="shared" si="23"/>
        <v>19.70571481241538</v>
      </c>
      <c r="M24" s="405">
        <f t="shared" si="23"/>
        <v>0</v>
      </c>
      <c r="N24" s="405">
        <f t="shared" si="23"/>
        <v>0</v>
      </c>
      <c r="O24" s="901"/>
      <c r="P24" s="432"/>
      <c r="Q24" s="423"/>
      <c r="S24" s="399">
        <f t="shared" si="15"/>
        <v>-1.7763568394002505E-14</v>
      </c>
      <c r="T24" s="399">
        <f t="shared" si="16"/>
        <v>0</v>
      </c>
      <c r="U24" s="391"/>
      <c r="V24" s="391"/>
    </row>
    <row r="25" spans="2:26" ht="18" customHeight="1" x14ac:dyDescent="0.35">
      <c r="B25" s="412" t="s">
        <v>1390</v>
      </c>
      <c r="C25" s="461">
        <v>162.85691</v>
      </c>
      <c r="D25" s="461">
        <v>23.346</v>
      </c>
      <c r="E25" s="461">
        <v>62.5</v>
      </c>
      <c r="F25" s="461">
        <f>'Ремонт-план'!O5/1000</f>
        <v>0</v>
      </c>
      <c r="G25" s="409">
        <f t="shared" si="17"/>
        <v>0</v>
      </c>
      <c r="H25" s="409">
        <f t="shared" si="18"/>
        <v>0</v>
      </c>
      <c r="I25" s="409">
        <f t="shared" si="13"/>
        <v>0</v>
      </c>
      <c r="J25" s="409">
        <f t="shared" si="14"/>
        <v>0</v>
      </c>
      <c r="K25" s="409">
        <f t="shared" si="19"/>
        <v>0</v>
      </c>
      <c r="L25" s="409">
        <f t="shared" si="20"/>
        <v>0</v>
      </c>
      <c r="M25" s="409">
        <f t="shared" si="21"/>
        <v>0</v>
      </c>
      <c r="N25" s="409">
        <f t="shared" si="22"/>
        <v>0</v>
      </c>
      <c r="O25" s="430" t="s">
        <v>1577</v>
      </c>
      <c r="P25" s="430"/>
      <c r="Q25" s="423"/>
      <c r="S25" s="399">
        <f t="shared" si="15"/>
        <v>0</v>
      </c>
      <c r="T25" s="399">
        <f t="shared" si="16"/>
        <v>0</v>
      </c>
    </row>
    <row r="26" spans="2:26" ht="18" customHeight="1" x14ac:dyDescent="0.35">
      <c r="B26" s="412" t="s">
        <v>1542</v>
      </c>
      <c r="C26" s="461">
        <v>8.5</v>
      </c>
      <c r="D26" s="461">
        <v>0</v>
      </c>
      <c r="E26" s="461">
        <v>0</v>
      </c>
      <c r="F26" s="461">
        <v>0</v>
      </c>
      <c r="G26" s="409">
        <f t="shared" si="17"/>
        <v>0</v>
      </c>
      <c r="H26" s="409">
        <f t="shared" si="18"/>
        <v>0</v>
      </c>
      <c r="I26" s="409">
        <f t="shared" si="13"/>
        <v>0</v>
      </c>
      <c r="J26" s="409">
        <f t="shared" si="14"/>
        <v>0</v>
      </c>
      <c r="K26" s="409">
        <f t="shared" si="19"/>
        <v>0</v>
      </c>
      <c r="L26" s="409">
        <f t="shared" si="20"/>
        <v>0</v>
      </c>
      <c r="M26" s="409">
        <f t="shared" si="21"/>
        <v>0</v>
      </c>
      <c r="N26" s="409">
        <f t="shared" si="22"/>
        <v>0</v>
      </c>
      <c r="O26" s="901"/>
      <c r="P26" s="430"/>
      <c r="Q26" s="423"/>
      <c r="S26" s="399">
        <f t="shared" si="15"/>
        <v>0</v>
      </c>
      <c r="T26" s="399">
        <f t="shared" si="16"/>
        <v>0</v>
      </c>
    </row>
    <row r="27" spans="2:26" ht="36" x14ac:dyDescent="0.35">
      <c r="B27" s="412" t="s">
        <v>1394</v>
      </c>
      <c r="C27" s="407">
        <v>1.37754</v>
      </c>
      <c r="D27" s="407">
        <v>1.7771199999999998</v>
      </c>
      <c r="E27" s="407">
        <v>1.3228425000000001</v>
      </c>
      <c r="F27" s="407">
        <f>ВОДА!R88+ВОДА!S88</f>
        <v>1.7405535000000001</v>
      </c>
      <c r="G27" s="409">
        <f t="shared" si="17"/>
        <v>1.1566257087304617</v>
      </c>
      <c r="H27" s="409">
        <f t="shared" si="18"/>
        <v>0.34096549015565664</v>
      </c>
      <c r="I27" s="409">
        <f t="shared" si="13"/>
        <v>9.4267194069818663E-2</v>
      </c>
      <c r="J27" s="409">
        <f t="shared" si="14"/>
        <v>0.24669829608583799</v>
      </c>
      <c r="K27" s="409">
        <f t="shared" si="19"/>
        <v>1.4605682517880669E-2</v>
      </c>
      <c r="L27" s="409">
        <f t="shared" si="20"/>
        <v>0.22835661859600134</v>
      </c>
      <c r="M27" s="409">
        <f t="shared" si="21"/>
        <v>0</v>
      </c>
      <c r="N27" s="409">
        <f t="shared" si="22"/>
        <v>0</v>
      </c>
      <c r="O27" s="476" t="s">
        <v>1877</v>
      </c>
      <c r="P27" s="901"/>
      <c r="Q27" s="432"/>
      <c r="S27" s="399">
        <f t="shared" si="15"/>
        <v>-2.2204460492503131E-16</v>
      </c>
      <c r="T27" s="399">
        <f t="shared" si="16"/>
        <v>0</v>
      </c>
    </row>
    <row r="28" spans="2:26" ht="18" x14ac:dyDescent="0.35">
      <c r="B28" s="412" t="s">
        <v>920</v>
      </c>
      <c r="C28" s="409">
        <v>35.107579999999999</v>
      </c>
      <c r="D28" s="409">
        <v>41.579000000000001</v>
      </c>
      <c r="E28" s="409">
        <v>32.497890252458667</v>
      </c>
      <c r="F28" s="409">
        <f>'Д 9_ЕЕ'!D115</f>
        <v>101.15507484556801</v>
      </c>
      <c r="G28" s="409">
        <f t="shared" si="17"/>
        <v>67.219169152190943</v>
      </c>
      <c r="H28" s="409">
        <f t="shared" si="18"/>
        <v>19.815759570993496</v>
      </c>
      <c r="I28" s="409">
        <f t="shared" si="13"/>
        <v>5.4784900731946431</v>
      </c>
      <c r="J28" s="409">
        <f t="shared" si="14"/>
        <v>14.337269497798854</v>
      </c>
      <c r="K28" s="409">
        <f t="shared" si="19"/>
        <v>0.84883280420097584</v>
      </c>
      <c r="L28" s="409">
        <f t="shared" si="20"/>
        <v>13.271313318182603</v>
      </c>
      <c r="M28" s="409">
        <f t="shared" si="21"/>
        <v>0</v>
      </c>
      <c r="N28" s="409">
        <f t="shared" si="22"/>
        <v>0</v>
      </c>
      <c r="O28" s="529" t="s">
        <v>1701</v>
      </c>
      <c r="S28" s="399">
        <f t="shared" ref="S28:S38" si="24">F28-G28-H28-K28-L28-M28-N28</f>
        <v>-8.8817841970012523E-15</v>
      </c>
      <c r="T28" s="399">
        <f t="shared" ref="T28:T38" si="25">H28-I28-J28</f>
        <v>0</v>
      </c>
    </row>
    <row r="29" spans="2:26" ht="18" x14ac:dyDescent="0.35">
      <c r="B29" s="412" t="s">
        <v>921</v>
      </c>
      <c r="C29" s="409">
        <v>433.39176000000003</v>
      </c>
      <c r="D29" s="409">
        <v>697.87593000000004</v>
      </c>
      <c r="E29" s="409">
        <v>0</v>
      </c>
      <c r="F29" s="409">
        <v>0</v>
      </c>
      <c r="G29" s="409">
        <f t="shared" si="17"/>
        <v>0</v>
      </c>
      <c r="H29" s="409">
        <f t="shared" si="18"/>
        <v>0</v>
      </c>
      <c r="I29" s="409">
        <f t="shared" si="13"/>
        <v>0</v>
      </c>
      <c r="J29" s="409">
        <f t="shared" si="14"/>
        <v>0</v>
      </c>
      <c r="K29" s="409">
        <f t="shared" si="19"/>
        <v>0</v>
      </c>
      <c r="L29" s="409">
        <f t="shared" si="20"/>
        <v>0</v>
      </c>
      <c r="M29" s="409">
        <f t="shared" si="21"/>
        <v>0</v>
      </c>
      <c r="N29" s="409">
        <f t="shared" si="22"/>
        <v>0</v>
      </c>
      <c r="O29" s="529" t="s">
        <v>1573</v>
      </c>
      <c r="S29" s="399">
        <f t="shared" si="24"/>
        <v>0</v>
      </c>
      <c r="T29" s="399">
        <f t="shared" si="25"/>
        <v>0</v>
      </c>
    </row>
    <row r="30" spans="2:26" ht="18" x14ac:dyDescent="0.35">
      <c r="B30" s="412" t="s">
        <v>1401</v>
      </c>
      <c r="C30" s="409"/>
      <c r="D30" s="409">
        <v>0</v>
      </c>
      <c r="E30" s="409">
        <v>0</v>
      </c>
      <c r="F30" s="409">
        <v>0</v>
      </c>
      <c r="G30" s="409">
        <f t="shared" si="17"/>
        <v>0</v>
      </c>
      <c r="H30" s="409">
        <f t="shared" si="18"/>
        <v>0</v>
      </c>
      <c r="I30" s="409">
        <f t="shared" si="13"/>
        <v>0</v>
      </c>
      <c r="J30" s="409">
        <f t="shared" si="14"/>
        <v>0</v>
      </c>
      <c r="K30" s="409">
        <f t="shared" si="19"/>
        <v>0</v>
      </c>
      <c r="L30" s="409">
        <f t="shared" si="20"/>
        <v>0</v>
      </c>
      <c r="M30" s="409">
        <f t="shared" si="21"/>
        <v>0</v>
      </c>
      <c r="N30" s="409">
        <f t="shared" si="22"/>
        <v>0</v>
      </c>
      <c r="O30" s="529" t="s">
        <v>1407</v>
      </c>
      <c r="S30" s="399">
        <f t="shared" si="24"/>
        <v>0</v>
      </c>
      <c r="T30" s="399">
        <f t="shared" si="25"/>
        <v>0</v>
      </c>
    </row>
    <row r="31" spans="2:26" ht="18" x14ac:dyDescent="0.35">
      <c r="B31" s="412" t="s">
        <v>1402</v>
      </c>
      <c r="C31" s="409">
        <v>0.39400000000000002</v>
      </c>
      <c r="D31" s="409">
        <v>0.29549999999999998</v>
      </c>
      <c r="E31" s="409">
        <v>1.6895</v>
      </c>
      <c r="F31" s="409">
        <f>ТО!Q30/1000</f>
        <v>0.2</v>
      </c>
      <c r="G31" s="409">
        <f t="shared" si="17"/>
        <v>0.132903206793754</v>
      </c>
      <c r="H31" s="409">
        <f t="shared" si="18"/>
        <v>3.9178972683764864E-2</v>
      </c>
      <c r="I31" s="409">
        <f t="shared" si="13"/>
        <v>1.0831864009904742E-2</v>
      </c>
      <c r="J31" s="409">
        <f t="shared" si="14"/>
        <v>2.8347108673860123E-2</v>
      </c>
      <c r="K31" s="409">
        <f t="shared" si="19"/>
        <v>1.6782802157912031E-3</v>
      </c>
      <c r="L31" s="409">
        <f t="shared" si="20"/>
        <v>2.6239540306689953E-2</v>
      </c>
      <c r="M31" s="409">
        <f t="shared" si="21"/>
        <v>0</v>
      </c>
      <c r="N31" s="409">
        <f t="shared" si="22"/>
        <v>0</v>
      </c>
      <c r="O31" s="529"/>
      <c r="S31" s="399">
        <f t="shared" si="24"/>
        <v>-1.0408340855860843E-17</v>
      </c>
      <c r="T31" s="399">
        <f t="shared" si="25"/>
        <v>0</v>
      </c>
    </row>
    <row r="32" spans="2:26" ht="18" x14ac:dyDescent="0.35">
      <c r="B32" s="412" t="s">
        <v>1403</v>
      </c>
      <c r="C32" s="409">
        <v>6.62</v>
      </c>
      <c r="D32" s="409">
        <v>5.0376300000000001</v>
      </c>
      <c r="E32" s="409">
        <v>33</v>
      </c>
      <c r="F32" s="409">
        <f>'ТО ТЗ'!I41/1000</f>
        <v>46</v>
      </c>
      <c r="G32" s="409">
        <f t="shared" si="17"/>
        <v>30.567737562563419</v>
      </c>
      <c r="H32" s="409">
        <f t="shared" si="18"/>
        <v>9.0111637172659176</v>
      </c>
      <c r="I32" s="409">
        <f t="shared" si="13"/>
        <v>2.4913287222780904</v>
      </c>
      <c r="J32" s="409">
        <f t="shared" si="14"/>
        <v>6.5198349949878285</v>
      </c>
      <c r="K32" s="409">
        <f t="shared" si="19"/>
        <v>0.38600444963197666</v>
      </c>
      <c r="L32" s="409">
        <f t="shared" si="20"/>
        <v>6.0350942705386892</v>
      </c>
      <c r="M32" s="409">
        <f t="shared" si="21"/>
        <v>0</v>
      </c>
      <c r="N32" s="409">
        <f t="shared" si="22"/>
        <v>0</v>
      </c>
      <c r="O32" s="529" t="s">
        <v>2680</v>
      </c>
      <c r="S32" s="399">
        <f t="shared" si="24"/>
        <v>-2.6645352591003757E-15</v>
      </c>
      <c r="T32" s="399">
        <f t="shared" si="25"/>
        <v>0</v>
      </c>
    </row>
    <row r="33" spans="1:24" ht="18" x14ac:dyDescent="0.35">
      <c r="B33" s="412" t="s">
        <v>1404</v>
      </c>
      <c r="C33" s="409"/>
      <c r="D33" s="409">
        <v>0</v>
      </c>
      <c r="E33" s="409">
        <v>1.3</v>
      </c>
      <c r="F33" s="409">
        <f>'ТК ТЗ'!I15/1000</f>
        <v>0</v>
      </c>
      <c r="G33" s="409">
        <f t="shared" si="17"/>
        <v>0</v>
      </c>
      <c r="H33" s="409">
        <f t="shared" si="18"/>
        <v>0</v>
      </c>
      <c r="I33" s="409">
        <f t="shared" si="13"/>
        <v>0</v>
      </c>
      <c r="J33" s="409">
        <f t="shared" si="14"/>
        <v>0</v>
      </c>
      <c r="K33" s="409">
        <f t="shared" si="19"/>
        <v>0</v>
      </c>
      <c r="L33" s="409">
        <f t="shared" si="20"/>
        <v>0</v>
      </c>
      <c r="M33" s="409">
        <f t="shared" si="21"/>
        <v>0</v>
      </c>
      <c r="N33" s="409">
        <f t="shared" si="22"/>
        <v>0</v>
      </c>
      <c r="O33" s="529" t="s">
        <v>2679</v>
      </c>
      <c r="S33" s="399">
        <f t="shared" si="24"/>
        <v>0</v>
      </c>
      <c r="T33" s="399">
        <f t="shared" si="25"/>
        <v>0</v>
      </c>
    </row>
    <row r="34" spans="1:24" ht="18" x14ac:dyDescent="0.35">
      <c r="B34" s="412" t="s">
        <v>1405</v>
      </c>
      <c r="C34" s="409">
        <v>2.2343000000000002</v>
      </c>
      <c r="D34" s="409">
        <v>4.02799</v>
      </c>
      <c r="E34" s="409">
        <v>0.76900000000000002</v>
      </c>
      <c r="F34" s="409">
        <f>Страхування!P25/1000</f>
        <v>1.103</v>
      </c>
      <c r="G34" s="409">
        <f t="shared" si="17"/>
        <v>0.73296118546755329</v>
      </c>
      <c r="H34" s="409">
        <f t="shared" si="18"/>
        <v>0.2160720343509632</v>
      </c>
      <c r="I34" s="409">
        <f t="shared" si="13"/>
        <v>5.9737730014624651E-2</v>
      </c>
      <c r="J34" s="409">
        <f t="shared" si="14"/>
        <v>0.15633430433633858</v>
      </c>
      <c r="K34" s="409">
        <f t="shared" si="19"/>
        <v>9.2557153900884852E-3</v>
      </c>
      <c r="L34" s="409">
        <f t="shared" si="20"/>
        <v>0.14471106479139509</v>
      </c>
      <c r="M34" s="409">
        <f t="shared" si="21"/>
        <v>0</v>
      </c>
      <c r="N34" s="409">
        <f t="shared" si="22"/>
        <v>0</v>
      </c>
      <c r="O34" s="529" t="s">
        <v>2681</v>
      </c>
      <c r="S34" s="399">
        <f t="shared" si="24"/>
        <v>-8.3266726846886741E-17</v>
      </c>
      <c r="T34" s="399">
        <f t="shared" si="25"/>
        <v>0</v>
      </c>
    </row>
    <row r="35" spans="1:24" ht="18" x14ac:dyDescent="0.35">
      <c r="B35" s="412" t="s">
        <v>1406</v>
      </c>
      <c r="C35" s="407"/>
      <c r="D35" s="407"/>
      <c r="E35" s="407">
        <v>0</v>
      </c>
      <c r="F35" s="409">
        <v>0</v>
      </c>
      <c r="G35" s="409">
        <f t="shared" si="17"/>
        <v>0</v>
      </c>
      <c r="H35" s="409">
        <f t="shared" si="18"/>
        <v>0</v>
      </c>
      <c r="I35" s="409">
        <f t="shared" si="13"/>
        <v>0</v>
      </c>
      <c r="J35" s="409">
        <f t="shared" si="14"/>
        <v>0</v>
      </c>
      <c r="K35" s="409">
        <f t="shared" si="19"/>
        <v>0</v>
      </c>
      <c r="L35" s="409">
        <f t="shared" si="20"/>
        <v>0</v>
      </c>
      <c r="M35" s="409">
        <f t="shared" si="21"/>
        <v>0</v>
      </c>
      <c r="N35" s="409">
        <f t="shared" si="22"/>
        <v>0</v>
      </c>
      <c r="O35" s="529" t="s">
        <v>971</v>
      </c>
      <c r="S35" s="399">
        <f t="shared" si="24"/>
        <v>0</v>
      </c>
      <c r="T35" s="399">
        <f t="shared" si="25"/>
        <v>0</v>
      </c>
    </row>
    <row r="36" spans="1:24" s="411" customFormat="1" ht="35.4" x14ac:dyDescent="0.35">
      <c r="A36" s="391"/>
      <c r="B36" s="3283" t="s">
        <v>1710</v>
      </c>
      <c r="C36" s="413">
        <v>92.317350000000005</v>
      </c>
      <c r="D36" s="413">
        <v>104.29149</v>
      </c>
      <c r="E36" s="413">
        <v>92.575919999999982</v>
      </c>
      <c r="F36" s="413">
        <f>Амортизація!G18/1000</f>
        <v>90.049830000000014</v>
      </c>
      <c r="G36" s="409">
        <f t="shared" si="17"/>
        <v>59.839555891161972</v>
      </c>
      <c r="H36" s="409">
        <f t="shared" si="18"/>
        <v>17.64029914873835</v>
      </c>
      <c r="I36" s="409">
        <f t="shared" si="13"/>
        <v>4.8770375633752021</v>
      </c>
      <c r="J36" s="409">
        <f t="shared" si="14"/>
        <v>12.76326158536315</v>
      </c>
      <c r="K36" s="409">
        <f t="shared" si="19"/>
        <v>0.75564424062180591</v>
      </c>
      <c r="L36" s="409">
        <f t="shared" si="20"/>
        <v>11.814330719477892</v>
      </c>
      <c r="M36" s="409">
        <f t="shared" si="21"/>
        <v>0</v>
      </c>
      <c r="N36" s="409">
        <f t="shared" si="22"/>
        <v>0</v>
      </c>
      <c r="O36" s="528" t="s">
        <v>1727</v>
      </c>
      <c r="P36" s="529"/>
      <c r="Q36" s="529"/>
      <c r="R36" s="529"/>
      <c r="S36" s="399">
        <f t="shared" si="24"/>
        <v>-5.3290705182007514E-15</v>
      </c>
      <c r="T36" s="399">
        <f t="shared" si="25"/>
        <v>0</v>
      </c>
      <c r="U36" s="391"/>
    </row>
    <row r="37" spans="1:24" s="411" customFormat="1" ht="35.4" x14ac:dyDescent="0.35">
      <c r="A37" s="391"/>
      <c r="B37" s="3283" t="s">
        <v>3518</v>
      </c>
      <c r="C37" s="413">
        <v>30.181529999999999</v>
      </c>
      <c r="D37" s="413">
        <v>14.97343</v>
      </c>
      <c r="E37" s="413"/>
      <c r="F37" s="413">
        <v>0</v>
      </c>
      <c r="G37" s="409"/>
      <c r="H37" s="409"/>
      <c r="I37" s="409"/>
      <c r="J37" s="409"/>
      <c r="K37" s="409"/>
      <c r="L37" s="409"/>
      <c r="M37" s="409"/>
      <c r="N37" s="409"/>
      <c r="O37" s="529"/>
      <c r="P37" s="529"/>
      <c r="Q37" s="529"/>
      <c r="R37" s="529"/>
      <c r="S37" s="399"/>
      <c r="T37" s="399"/>
      <c r="U37" s="391"/>
    </row>
    <row r="38" spans="1:24" s="411" customFormat="1" ht="35.4" x14ac:dyDescent="0.35">
      <c r="A38" s="391"/>
      <c r="B38" s="3283" t="s">
        <v>3519</v>
      </c>
      <c r="C38" s="413">
        <v>0.1915</v>
      </c>
      <c r="D38" s="413">
        <v>34.230600000000003</v>
      </c>
      <c r="E38" s="413">
        <v>2.5</v>
      </c>
      <c r="F38" s="413">
        <v>0</v>
      </c>
      <c r="G38" s="409">
        <f t="shared" si="17"/>
        <v>0</v>
      </c>
      <c r="H38" s="409">
        <f t="shared" si="18"/>
        <v>0</v>
      </c>
      <c r="I38" s="409">
        <f t="shared" si="13"/>
        <v>0</v>
      </c>
      <c r="J38" s="409">
        <f t="shared" si="14"/>
        <v>0</v>
      </c>
      <c r="K38" s="409">
        <f t="shared" si="19"/>
        <v>0</v>
      </c>
      <c r="L38" s="409">
        <f t="shared" si="20"/>
        <v>0</v>
      </c>
      <c r="M38" s="409">
        <f t="shared" si="21"/>
        <v>0</v>
      </c>
      <c r="N38" s="409">
        <f t="shared" si="22"/>
        <v>0</v>
      </c>
      <c r="O38" s="403"/>
      <c r="P38" s="5120"/>
      <c r="Q38" s="5120"/>
      <c r="R38" s="5120"/>
      <c r="S38" s="399">
        <f t="shared" si="24"/>
        <v>0</v>
      </c>
      <c r="T38" s="399">
        <f t="shared" si="25"/>
        <v>0</v>
      </c>
      <c r="U38" s="391"/>
    </row>
    <row r="39" spans="1:24" ht="18" x14ac:dyDescent="0.35">
      <c r="B39" s="410" t="s">
        <v>922</v>
      </c>
      <c r="C39" s="413">
        <f>SUM(C40:C60)</f>
        <v>800.37283000000002</v>
      </c>
      <c r="D39" s="413">
        <f>SUM(D40:D60)</f>
        <v>-303.21419999999995</v>
      </c>
      <c r="E39" s="413">
        <f>SUM(E40:E60)</f>
        <v>345.01443182347822</v>
      </c>
      <c r="F39" s="413">
        <f>SUM(F40:F60)</f>
        <v>252.41532658161842</v>
      </c>
      <c r="G39" s="409">
        <f t="shared" si="17"/>
        <v>167.73403173294892</v>
      </c>
      <c r="H39" s="409">
        <f t="shared" si="18"/>
        <v>49.446865925524072</v>
      </c>
      <c r="I39" s="409">
        <f t="shared" si="13"/>
        <v>13.670642457738921</v>
      </c>
      <c r="J39" s="409">
        <f t="shared" si="14"/>
        <v>35.776223467785151</v>
      </c>
      <c r="K39" s="409">
        <f t="shared" si="19"/>
        <v>2.1181182438220278</v>
      </c>
      <c r="L39" s="409">
        <f t="shared" si="20"/>
        <v>33.116310679323419</v>
      </c>
      <c r="M39" s="409">
        <f t="shared" si="21"/>
        <v>0</v>
      </c>
      <c r="N39" s="409">
        <f t="shared" si="22"/>
        <v>0</v>
      </c>
      <c r="O39" s="403"/>
      <c r="P39" s="423"/>
      <c r="Q39" s="423"/>
      <c r="R39" s="414"/>
      <c r="S39" s="399">
        <f>F39-G39-H39-K39-L39-M39-N39</f>
        <v>-2.1316282072803006E-14</v>
      </c>
      <c r="T39" s="399">
        <f>H39-I39-J39</f>
        <v>0</v>
      </c>
      <c r="U39" s="414"/>
      <c r="V39" s="414"/>
      <c r="W39" s="414"/>
      <c r="X39" s="414"/>
    </row>
    <row r="40" spans="1:24" ht="18" x14ac:dyDescent="0.35">
      <c r="B40" s="415" t="s">
        <v>1408</v>
      </c>
      <c r="C40" s="407">
        <v>2.6548400000000001</v>
      </c>
      <c r="D40" s="407">
        <v>0.74463000000000001</v>
      </c>
      <c r="E40" s="407">
        <v>5.0408999999999997</v>
      </c>
      <c r="F40" s="407">
        <f>ОП!I4</f>
        <v>4.3256199999999998</v>
      </c>
      <c r="G40" s="409">
        <f t="shared" si="17"/>
        <v>2.874443846855991</v>
      </c>
      <c r="H40" s="409">
        <f t="shared" si="18"/>
        <v>0.84736673910173477</v>
      </c>
      <c r="I40" s="409">
        <f t="shared" si="13"/>
        <v>0.23427263799262074</v>
      </c>
      <c r="J40" s="409">
        <f t="shared" si="14"/>
        <v>0.61309410110911411</v>
      </c>
      <c r="K40" s="409">
        <f t="shared" si="19"/>
        <v>3.6298012335153715E-2</v>
      </c>
      <c r="L40" s="409">
        <f t="shared" si="20"/>
        <v>0.56751140170712089</v>
      </c>
      <c r="M40" s="409">
        <f t="shared" si="21"/>
        <v>0</v>
      </c>
      <c r="N40" s="409">
        <f t="shared" si="22"/>
        <v>0</v>
      </c>
      <c r="O40" s="529" t="s">
        <v>1409</v>
      </c>
      <c r="P40" s="423"/>
      <c r="Q40" s="423"/>
      <c r="R40" s="414"/>
      <c r="S40" s="399">
        <f t="shared" ref="S40:S51" si="26">F40-G40-H40-K40-L40-M40-N40</f>
        <v>-5.5511151231257827E-16</v>
      </c>
      <c r="T40" s="399">
        <f t="shared" ref="T40:T51" si="27">H40-I40-J40</f>
        <v>0</v>
      </c>
      <c r="U40" s="414"/>
      <c r="V40" s="414"/>
      <c r="W40" s="414"/>
      <c r="X40" s="414"/>
    </row>
    <row r="41" spans="1:24" ht="18.75" customHeight="1" x14ac:dyDescent="0.35">
      <c r="B41" s="415" t="s">
        <v>1410</v>
      </c>
      <c r="C41" s="407">
        <v>25.142569999999999</v>
      </c>
      <c r="D41" s="407">
        <v>1.83</v>
      </c>
      <c r="E41" s="407">
        <v>3.81</v>
      </c>
      <c r="F41" s="407">
        <f>ОП!I5</f>
        <v>22.08</v>
      </c>
      <c r="G41" s="409">
        <f t="shared" si="17"/>
        <v>14.67251403003044</v>
      </c>
      <c r="H41" s="409">
        <f t="shared" si="18"/>
        <v>4.3253585842876401</v>
      </c>
      <c r="I41" s="409">
        <f t="shared" si="13"/>
        <v>1.1958377866934833</v>
      </c>
      <c r="J41" s="409">
        <f t="shared" si="14"/>
        <v>3.1295207975941572</v>
      </c>
      <c r="K41" s="409">
        <f t="shared" si="19"/>
        <v>0.18528213582334879</v>
      </c>
      <c r="L41" s="409">
        <f t="shared" si="20"/>
        <v>2.8968452498585706</v>
      </c>
      <c r="M41" s="409">
        <f t="shared" si="21"/>
        <v>0</v>
      </c>
      <c r="N41" s="409">
        <f t="shared" si="22"/>
        <v>0</v>
      </c>
      <c r="O41" s="529" t="s">
        <v>1409</v>
      </c>
      <c r="S41" s="399">
        <f t="shared" si="26"/>
        <v>-1.3322676295501878E-15</v>
      </c>
      <c r="T41" s="399">
        <f t="shared" si="27"/>
        <v>0</v>
      </c>
    </row>
    <row r="42" spans="1:24" ht="18.75" customHeight="1" x14ac:dyDescent="0.35">
      <c r="B42" s="415" t="s">
        <v>1411</v>
      </c>
      <c r="C42" s="407">
        <v>3.5000000000000003E-2</v>
      </c>
      <c r="D42" s="407">
        <v>0</v>
      </c>
      <c r="E42" s="407">
        <v>0.1585</v>
      </c>
      <c r="F42" s="407">
        <f>(Утилизація!I25+Утилизація!I34)/1000</f>
        <v>0</v>
      </c>
      <c r="G42" s="409">
        <f t="shared" si="17"/>
        <v>0</v>
      </c>
      <c r="H42" s="409">
        <f t="shared" si="18"/>
        <v>0</v>
      </c>
      <c r="I42" s="409">
        <f t="shared" si="13"/>
        <v>0</v>
      </c>
      <c r="J42" s="409">
        <f t="shared" si="14"/>
        <v>0</v>
      </c>
      <c r="K42" s="409">
        <f t="shared" si="19"/>
        <v>0</v>
      </c>
      <c r="L42" s="409">
        <f t="shared" si="20"/>
        <v>0</v>
      </c>
      <c r="M42" s="409">
        <f t="shared" si="21"/>
        <v>0</v>
      </c>
      <c r="N42" s="409">
        <f t="shared" si="22"/>
        <v>0</v>
      </c>
      <c r="O42" s="529"/>
      <c r="P42" s="403" t="s">
        <v>1879</v>
      </c>
      <c r="S42" s="399">
        <f t="shared" si="26"/>
        <v>0</v>
      </c>
      <c r="T42" s="399">
        <f t="shared" si="27"/>
        <v>0</v>
      </c>
    </row>
    <row r="43" spans="1:24" ht="18.75" customHeight="1" x14ac:dyDescent="0.35">
      <c r="B43" s="415" t="s">
        <v>1591</v>
      </c>
      <c r="C43" s="407"/>
      <c r="D43" s="407">
        <v>0</v>
      </c>
      <c r="E43" s="407">
        <v>3.2650000000000001</v>
      </c>
      <c r="F43" s="407">
        <f>3.918/1.2</f>
        <v>3.2650000000000001</v>
      </c>
      <c r="G43" s="409">
        <f t="shared" si="17"/>
        <v>2.1696448509080342</v>
      </c>
      <c r="H43" s="409">
        <f t="shared" si="18"/>
        <v>0.63959672906246134</v>
      </c>
      <c r="I43" s="409">
        <f t="shared" si="13"/>
        <v>0.17683017996169492</v>
      </c>
      <c r="J43" s="409">
        <f t="shared" si="14"/>
        <v>0.46276654910076653</v>
      </c>
      <c r="K43" s="409">
        <f t="shared" si="19"/>
        <v>2.7397924522791391E-2</v>
      </c>
      <c r="L43" s="409">
        <f t="shared" si="20"/>
        <v>0.42836049550671346</v>
      </c>
      <c r="M43" s="409">
        <f t="shared" si="21"/>
        <v>0</v>
      </c>
      <c r="N43" s="409">
        <f t="shared" si="22"/>
        <v>0</v>
      </c>
      <c r="O43" s="391" t="s">
        <v>1673</v>
      </c>
      <c r="P43" s="403"/>
      <c r="S43" s="399">
        <f t="shared" si="26"/>
        <v>-2.2204460492503131E-16</v>
      </c>
      <c r="T43" s="399">
        <f t="shared" si="27"/>
        <v>0</v>
      </c>
    </row>
    <row r="44" spans="1:24" ht="18.75" customHeight="1" x14ac:dyDescent="0.35">
      <c r="B44" s="415" t="s">
        <v>1900</v>
      </c>
      <c r="C44" s="407">
        <v>9</v>
      </c>
      <c r="D44" s="407">
        <v>11.908329999999999</v>
      </c>
      <c r="E44" s="407">
        <v>1.8</v>
      </c>
      <c r="F44" s="407">
        <f>Картріджі!E63/1000</f>
        <v>2.1</v>
      </c>
      <c r="G44" s="409">
        <f t="shared" si="17"/>
        <v>1.3954836713344172</v>
      </c>
      <c r="H44" s="409">
        <f t="shared" si="18"/>
        <v>0.41137921317953108</v>
      </c>
      <c r="I44" s="409">
        <f t="shared" si="13"/>
        <v>0.11373457210399979</v>
      </c>
      <c r="J44" s="409">
        <f t="shared" si="14"/>
        <v>0.29764464107553129</v>
      </c>
      <c r="K44" s="409">
        <f t="shared" si="19"/>
        <v>1.7621942265807631E-2</v>
      </c>
      <c r="L44" s="409">
        <f t="shared" si="20"/>
        <v>0.27551517322024449</v>
      </c>
      <c r="M44" s="409">
        <f t="shared" si="21"/>
        <v>0</v>
      </c>
      <c r="N44" s="409">
        <f t="shared" si="22"/>
        <v>0</v>
      </c>
      <c r="O44" s="391"/>
      <c r="P44" s="403" t="s">
        <v>1702</v>
      </c>
      <c r="S44" s="399">
        <f t="shared" si="26"/>
        <v>-3.3306690738754696E-16</v>
      </c>
      <c r="T44" s="399">
        <f t="shared" si="27"/>
        <v>0</v>
      </c>
    </row>
    <row r="45" spans="1:24" ht="18.75" customHeight="1" x14ac:dyDescent="0.35">
      <c r="B45" s="415" t="s">
        <v>1538</v>
      </c>
      <c r="C45" s="407"/>
      <c r="D45" s="407">
        <v>0</v>
      </c>
      <c r="E45" s="407">
        <v>22.126159999999999</v>
      </c>
      <c r="F45" s="407">
        <f>D45</f>
        <v>0</v>
      </c>
      <c r="G45" s="409">
        <f t="shared" si="17"/>
        <v>0</v>
      </c>
      <c r="H45" s="409">
        <f t="shared" si="18"/>
        <v>0</v>
      </c>
      <c r="I45" s="409">
        <f t="shared" si="13"/>
        <v>0</v>
      </c>
      <c r="J45" s="409">
        <f t="shared" si="14"/>
        <v>0</v>
      </c>
      <c r="K45" s="409">
        <f t="shared" si="19"/>
        <v>0</v>
      </c>
      <c r="L45" s="409">
        <f t="shared" si="20"/>
        <v>0</v>
      </c>
      <c r="M45" s="409">
        <f t="shared" si="21"/>
        <v>0</v>
      </c>
      <c r="N45" s="409">
        <f t="shared" si="22"/>
        <v>0</v>
      </c>
      <c r="O45" s="391" t="s">
        <v>1574</v>
      </c>
      <c r="P45" s="403"/>
      <c r="S45" s="399">
        <f t="shared" si="26"/>
        <v>0</v>
      </c>
      <c r="T45" s="399">
        <f t="shared" si="27"/>
        <v>0</v>
      </c>
    </row>
    <row r="46" spans="1:24" ht="18.75" customHeight="1" x14ac:dyDescent="0.35">
      <c r="B46" s="415" t="s">
        <v>1539</v>
      </c>
      <c r="C46" s="407">
        <v>152.78779999999998</v>
      </c>
      <c r="D46" s="407">
        <v>102.92106</v>
      </c>
      <c r="E46" s="407">
        <v>0</v>
      </c>
      <c r="F46" s="407">
        <v>0</v>
      </c>
      <c r="G46" s="409">
        <f t="shared" si="17"/>
        <v>0</v>
      </c>
      <c r="H46" s="409">
        <f t="shared" si="18"/>
        <v>0</v>
      </c>
      <c r="I46" s="409">
        <f t="shared" si="13"/>
        <v>0</v>
      </c>
      <c r="J46" s="409">
        <f t="shared" si="14"/>
        <v>0</v>
      </c>
      <c r="K46" s="409">
        <f t="shared" si="19"/>
        <v>0</v>
      </c>
      <c r="L46" s="409">
        <f t="shared" si="20"/>
        <v>0</v>
      </c>
      <c r="M46" s="409">
        <f t="shared" si="21"/>
        <v>0</v>
      </c>
      <c r="N46" s="409">
        <f t="shared" si="22"/>
        <v>0</v>
      </c>
      <c r="O46" s="391"/>
      <c r="P46" s="403"/>
      <c r="S46" s="399">
        <f t="shared" si="26"/>
        <v>0</v>
      </c>
      <c r="T46" s="399">
        <f t="shared" si="27"/>
        <v>0</v>
      </c>
    </row>
    <row r="47" spans="1:24" ht="18.75" customHeight="1" x14ac:dyDescent="0.35">
      <c r="B47" s="415" t="s">
        <v>1543</v>
      </c>
      <c r="C47" s="407">
        <v>0.54291</v>
      </c>
      <c r="D47" s="407">
        <v>0.57628999999999997</v>
      </c>
      <c r="E47" s="407">
        <v>0.20041</v>
      </c>
      <c r="F47" s="407">
        <f>D47</f>
        <v>0.57628999999999997</v>
      </c>
      <c r="G47" s="409">
        <f t="shared" si="17"/>
        <v>0.38295394521586246</v>
      </c>
      <c r="H47" s="409">
        <f t="shared" si="18"/>
        <v>0.11289225083963425</v>
      </c>
      <c r="I47" s="409">
        <f t="shared" si="13"/>
        <v>3.1211474551340015E-2</v>
      </c>
      <c r="J47" s="409">
        <f t="shared" si="14"/>
        <v>8.1680776288294246E-2</v>
      </c>
      <c r="K47" s="409">
        <f t="shared" si="19"/>
        <v>4.8358805277915621E-3</v>
      </c>
      <c r="L47" s="409">
        <f t="shared" si="20"/>
        <v>7.5607923416711756E-2</v>
      </c>
      <c r="M47" s="409">
        <f t="shared" si="21"/>
        <v>0</v>
      </c>
      <c r="N47" s="409">
        <f t="shared" si="22"/>
        <v>0</v>
      </c>
      <c r="O47" s="391" t="s">
        <v>1574</v>
      </c>
      <c r="P47" s="403"/>
      <c r="S47" s="399">
        <f t="shared" si="26"/>
        <v>-5.5511151231257827E-17</v>
      </c>
      <c r="T47" s="399">
        <f t="shared" si="27"/>
        <v>0</v>
      </c>
    </row>
    <row r="48" spans="1:24" ht="18.75" customHeight="1" x14ac:dyDescent="0.35">
      <c r="B48" s="415" t="s">
        <v>1540</v>
      </c>
      <c r="C48" s="407">
        <v>5.4488000000000003</v>
      </c>
      <c r="D48" s="407">
        <v>0.64998999999999996</v>
      </c>
      <c r="E48" s="407">
        <v>0.9446</v>
      </c>
      <c r="F48" s="407">
        <f>D48</f>
        <v>0.64998999999999996</v>
      </c>
      <c r="G48" s="409">
        <f t="shared" si="17"/>
        <v>0.43192877691936077</v>
      </c>
      <c r="H48" s="409">
        <f t="shared" si="18"/>
        <v>0.1273297022736016</v>
      </c>
      <c r="I48" s="409">
        <f t="shared" si="13"/>
        <v>3.5203016438989911E-2</v>
      </c>
      <c r="J48" s="409">
        <f t="shared" si="14"/>
        <v>9.2126685834611699E-2</v>
      </c>
      <c r="K48" s="409">
        <f t="shared" si="19"/>
        <v>5.4543267873106201E-3</v>
      </c>
      <c r="L48" s="409">
        <f t="shared" si="20"/>
        <v>8.5277194019726998E-2</v>
      </c>
      <c r="M48" s="409">
        <f t="shared" si="21"/>
        <v>0</v>
      </c>
      <c r="N48" s="409">
        <f t="shared" si="22"/>
        <v>0</v>
      </c>
      <c r="O48" s="391" t="s">
        <v>2634</v>
      </c>
      <c r="P48" s="403"/>
      <c r="S48" s="399">
        <f t="shared" si="26"/>
        <v>-2.7755575615628914E-17</v>
      </c>
      <c r="T48" s="399">
        <f t="shared" si="27"/>
        <v>0</v>
      </c>
    </row>
    <row r="49" spans="2:20" ht="18.75" customHeight="1" x14ac:dyDescent="0.35">
      <c r="B49" s="415" t="s">
        <v>1541</v>
      </c>
      <c r="C49" s="407">
        <v>9.6641000000000012</v>
      </c>
      <c r="D49" s="407">
        <v>14.674989999999999</v>
      </c>
      <c r="E49" s="407">
        <v>27.140538780000004</v>
      </c>
      <c r="F49" s="407">
        <f>D49*'Вхідні дані'!D71</f>
        <v>15.529808167499999</v>
      </c>
      <c r="G49" s="409">
        <f t="shared" si="17"/>
        <v>10.319806531762911</v>
      </c>
      <c r="H49" s="409">
        <f t="shared" si="18"/>
        <v>3.0422096498929547</v>
      </c>
      <c r="I49" s="409">
        <f t="shared" si="13"/>
        <v>0.84108385085133974</v>
      </c>
      <c r="J49" s="409">
        <f t="shared" si="14"/>
        <v>2.2011257990416149</v>
      </c>
      <c r="K49" s="409">
        <f t="shared" si="19"/>
        <v>0.13031684901273943</v>
      </c>
      <c r="L49" s="409">
        <f t="shared" si="20"/>
        <v>2.0374751368313953</v>
      </c>
      <c r="M49" s="409">
        <f t="shared" si="21"/>
        <v>0</v>
      </c>
      <c r="N49" s="409">
        <f t="shared" si="22"/>
        <v>0</v>
      </c>
      <c r="O49" s="391" t="s">
        <v>965</v>
      </c>
      <c r="P49" s="403"/>
      <c r="S49" s="399">
        <f t="shared" si="26"/>
        <v>-1.3322676295501878E-15</v>
      </c>
      <c r="T49" s="399">
        <f t="shared" si="27"/>
        <v>0</v>
      </c>
    </row>
    <row r="50" spans="2:20" ht="36" x14ac:dyDescent="0.35">
      <c r="B50" s="406" t="s">
        <v>1566</v>
      </c>
      <c r="C50" s="407">
        <v>158.13</v>
      </c>
      <c r="D50" s="407">
        <v>40.470930000000003</v>
      </c>
      <c r="E50" s="407">
        <v>191.48391304347825</v>
      </c>
      <c r="F50" s="407">
        <f>Профпослуги!G34/1000+Профпослуги2!L15/1000</f>
        <v>93.940579710144917</v>
      </c>
      <c r="G50" s="409">
        <f t="shared" si="17"/>
        <v>62.42502145771261</v>
      </c>
      <c r="H50" s="409">
        <f t="shared" si="18"/>
        <v>18.402477031804018</v>
      </c>
      <c r="I50" s="409">
        <f t="shared" si="13"/>
        <v>5.0877579221595317</v>
      </c>
      <c r="J50" s="409">
        <f t="shared" si="14"/>
        <v>13.314719109644486</v>
      </c>
      <c r="K50" s="409">
        <f t="shared" si="19"/>
        <v>0.78829308193746361</v>
      </c>
      <c r="L50" s="409">
        <f t="shared" si="20"/>
        <v>12.324788138690838</v>
      </c>
      <c r="M50" s="409">
        <f t="shared" si="21"/>
        <v>0</v>
      </c>
      <c r="N50" s="409">
        <f t="shared" si="22"/>
        <v>0</v>
      </c>
      <c r="O50" s="529" t="s">
        <v>2633</v>
      </c>
      <c r="S50" s="399">
        <f t="shared" si="26"/>
        <v>-1.4210854715202004E-14</v>
      </c>
      <c r="T50" s="399">
        <f t="shared" si="27"/>
        <v>0</v>
      </c>
    </row>
    <row r="51" spans="2:20" ht="18" x14ac:dyDescent="0.35">
      <c r="B51" s="406" t="s">
        <v>1391</v>
      </c>
      <c r="C51" s="407"/>
      <c r="D51" s="407"/>
      <c r="E51" s="407"/>
      <c r="F51" s="461"/>
      <c r="G51" s="409">
        <f t="shared" si="17"/>
        <v>0</v>
      </c>
      <c r="H51" s="409">
        <f t="shared" si="18"/>
        <v>0</v>
      </c>
      <c r="I51" s="409">
        <f t="shared" si="13"/>
        <v>0</v>
      </c>
      <c r="J51" s="409">
        <f t="shared" si="14"/>
        <v>0</v>
      </c>
      <c r="K51" s="409">
        <f t="shared" si="19"/>
        <v>0</v>
      </c>
      <c r="L51" s="409">
        <f t="shared" si="20"/>
        <v>0</v>
      </c>
      <c r="M51" s="409">
        <f t="shared" si="21"/>
        <v>0</v>
      </c>
      <c r="N51" s="409">
        <f t="shared" si="22"/>
        <v>0</v>
      </c>
      <c r="O51" s="529"/>
      <c r="S51" s="399">
        <f t="shared" si="26"/>
        <v>0</v>
      </c>
      <c r="T51" s="399">
        <f t="shared" si="27"/>
        <v>0</v>
      </c>
    </row>
    <row r="52" spans="2:20" ht="18" x14ac:dyDescent="0.35">
      <c r="B52" s="463" t="s">
        <v>1392</v>
      </c>
      <c r="C52" s="461">
        <v>20.293080000000003</v>
      </c>
      <c r="D52" s="461">
        <v>18.438500000000001</v>
      </c>
      <c r="E52" s="461">
        <v>19.487310000000001</v>
      </c>
      <c r="F52" s="461">
        <f>'Зв''язок'!L8/1000-'Зв''язок'!L49/1000</f>
        <v>23.23218</v>
      </c>
      <c r="G52" s="409">
        <f t="shared" si="17"/>
        <v>15.43815611404858</v>
      </c>
      <c r="H52" s="409">
        <f t="shared" si="18"/>
        <v>4.5510647280215419</v>
      </c>
      <c r="I52" s="409">
        <f t="shared" si="13"/>
        <v>1.2582390720681438</v>
      </c>
      <c r="J52" s="409">
        <f t="shared" si="14"/>
        <v>3.2928256559533984</v>
      </c>
      <c r="K52" s="409">
        <f t="shared" si="19"/>
        <v>0.19495054031850034</v>
      </c>
      <c r="L52" s="409">
        <f t="shared" si="20"/>
        <v>3.0480086176113805</v>
      </c>
      <c r="M52" s="409">
        <f t="shared" si="21"/>
        <v>0</v>
      </c>
      <c r="N52" s="409">
        <f t="shared" si="22"/>
        <v>0</v>
      </c>
      <c r="O52" s="529" t="s">
        <v>1576</v>
      </c>
      <c r="S52" s="399">
        <f t="shared" ref="S52:S60" si="28">F52-G52-H52-K52-L52-M52-N52</f>
        <v>-3.1086244689504383E-15</v>
      </c>
      <c r="T52" s="399">
        <f t="shared" ref="T52:T60" si="29">H52-I52-J52</f>
        <v>0</v>
      </c>
    </row>
    <row r="53" spans="2:20" ht="18" x14ac:dyDescent="0.35">
      <c r="B53" s="463" t="s">
        <v>1393</v>
      </c>
      <c r="C53" s="461">
        <v>3.38083</v>
      </c>
      <c r="D53" s="461">
        <v>3.11998</v>
      </c>
      <c r="E53" s="461">
        <v>3.12</v>
      </c>
      <c r="F53" s="461">
        <f>'Зв''язок'!L49/1000</f>
        <v>3.12</v>
      </c>
      <c r="G53" s="409">
        <f t="shared" si="17"/>
        <v>2.0732900259825624</v>
      </c>
      <c r="H53" s="409">
        <f t="shared" si="18"/>
        <v>0.61119197386673185</v>
      </c>
      <c r="I53" s="409">
        <f t="shared" si="13"/>
        <v>0.16897707855451397</v>
      </c>
      <c r="J53" s="409">
        <f t="shared" si="14"/>
        <v>0.44221489531221791</v>
      </c>
      <c r="K53" s="409">
        <f t="shared" si="19"/>
        <v>2.6181171366342768E-2</v>
      </c>
      <c r="L53" s="409">
        <f t="shared" si="20"/>
        <v>0.40933682878436323</v>
      </c>
      <c r="M53" s="409">
        <f t="shared" si="21"/>
        <v>0</v>
      </c>
      <c r="N53" s="409">
        <f t="shared" si="22"/>
        <v>0</v>
      </c>
      <c r="O53" s="529" t="s">
        <v>1576</v>
      </c>
      <c r="S53" s="399">
        <f t="shared" si="28"/>
        <v>-1.6653345369377348E-16</v>
      </c>
      <c r="T53" s="399">
        <f t="shared" si="29"/>
        <v>0</v>
      </c>
    </row>
    <row r="54" spans="2:20" ht="18" x14ac:dyDescent="0.35">
      <c r="B54" s="416" t="s">
        <v>923</v>
      </c>
      <c r="C54" s="407">
        <v>38.771279999999997</v>
      </c>
      <c r="D54" s="407">
        <v>44.751940000000005</v>
      </c>
      <c r="E54" s="407">
        <v>30.878139999999998</v>
      </c>
      <c r="F54" s="407">
        <f>РКО!H5/1000</f>
        <v>39.989530000000002</v>
      </c>
      <c r="G54" s="409">
        <f t="shared" si="17"/>
        <v>26.573683875875147</v>
      </c>
      <c r="H54" s="409">
        <f t="shared" si="18"/>
        <v>7.8337435175329775</v>
      </c>
      <c r="I54" s="409">
        <f t="shared" si="13"/>
        <v>2.1658057539000297</v>
      </c>
      <c r="J54" s="409">
        <f t="shared" si="14"/>
        <v>5.6679377636329482</v>
      </c>
      <c r="K54" s="409">
        <f t="shared" si="19"/>
        <v>0.33556818518894393</v>
      </c>
      <c r="L54" s="409">
        <f t="shared" si="20"/>
        <v>5.2465344214029352</v>
      </c>
      <c r="M54" s="409">
        <f t="shared" si="21"/>
        <v>0</v>
      </c>
      <c r="N54" s="409">
        <f t="shared" si="22"/>
        <v>0</v>
      </c>
      <c r="O54" s="529" t="s">
        <v>1574</v>
      </c>
      <c r="S54" s="399">
        <f t="shared" si="28"/>
        <v>-1.7763568394002505E-15</v>
      </c>
      <c r="T54" s="399">
        <f t="shared" si="29"/>
        <v>0</v>
      </c>
    </row>
    <row r="55" spans="2:20" ht="18" x14ac:dyDescent="0.35">
      <c r="B55" s="464" t="s">
        <v>1399</v>
      </c>
      <c r="C55" s="407"/>
      <c r="D55" s="407"/>
      <c r="E55" s="407">
        <v>0</v>
      </c>
      <c r="F55" s="407">
        <v>0</v>
      </c>
      <c r="G55" s="409">
        <f t="shared" si="17"/>
        <v>0</v>
      </c>
      <c r="H55" s="409">
        <f t="shared" si="18"/>
        <v>0</v>
      </c>
      <c r="I55" s="409">
        <f t="shared" si="13"/>
        <v>0</v>
      </c>
      <c r="J55" s="409">
        <f t="shared" si="14"/>
        <v>0</v>
      </c>
      <c r="K55" s="409">
        <f t="shared" si="19"/>
        <v>0</v>
      </c>
      <c r="L55" s="409">
        <f t="shared" si="20"/>
        <v>0</v>
      </c>
      <c r="M55" s="409">
        <f t="shared" si="21"/>
        <v>0</v>
      </c>
      <c r="N55" s="409">
        <f t="shared" si="22"/>
        <v>0</v>
      </c>
      <c r="O55" s="529"/>
      <c r="S55" s="399">
        <f t="shared" si="28"/>
        <v>0</v>
      </c>
      <c r="T55" s="399">
        <f t="shared" si="29"/>
        <v>0</v>
      </c>
    </row>
    <row r="56" spans="2:20" ht="18" x14ac:dyDescent="0.35">
      <c r="B56" s="406" t="s">
        <v>924</v>
      </c>
      <c r="C56" s="461">
        <v>55.592140000000001</v>
      </c>
      <c r="D56" s="461">
        <v>54.108919999999998</v>
      </c>
      <c r="E56" s="461">
        <v>32.373959999999997</v>
      </c>
      <c r="F56" s="407">
        <f>'Періодичні видання'!H3/1000</f>
        <v>37.411088703973469</v>
      </c>
      <c r="G56" s="409">
        <f t="shared" si="17"/>
        <v>24.860268292018301</v>
      </c>
      <c r="H56" s="409">
        <f t="shared" si="18"/>
        <v>7.328640112014404</v>
      </c>
      <c r="I56" s="409">
        <f t="shared" si="13"/>
        <v>2.0261591265196204</v>
      </c>
      <c r="J56" s="409">
        <f t="shared" si="14"/>
        <v>5.3024809854947836</v>
      </c>
      <c r="K56" s="409">
        <f t="shared" si="19"/>
        <v>0.31393145011544216</v>
      </c>
      <c r="L56" s="409">
        <f t="shared" si="20"/>
        <v>4.9082488498253252</v>
      </c>
      <c r="M56" s="409">
        <f t="shared" si="21"/>
        <v>0</v>
      </c>
      <c r="N56" s="409">
        <f t="shared" si="22"/>
        <v>0</v>
      </c>
      <c r="O56" s="720" t="s">
        <v>2552</v>
      </c>
      <c r="S56" s="399">
        <f t="shared" si="28"/>
        <v>-2.6645352591003757E-15</v>
      </c>
      <c r="T56" s="399">
        <f t="shared" si="29"/>
        <v>0</v>
      </c>
    </row>
    <row r="57" spans="2:20" ht="18" x14ac:dyDescent="0.35">
      <c r="B57" s="715" t="s">
        <v>1943</v>
      </c>
      <c r="C57" s="501"/>
      <c r="D57" s="501">
        <v>0.02</v>
      </c>
      <c r="E57" s="501">
        <v>0.98499999999999999</v>
      </c>
      <c r="F57" s="500">
        <v>0.98499999999999999</v>
      </c>
      <c r="G57" s="409">
        <f>F57*$G$5</f>
        <v>0.65454829345923848</v>
      </c>
      <c r="H57" s="409">
        <f>F57*$H$5</f>
        <v>0.19295644046754196</v>
      </c>
      <c r="I57" s="409">
        <f t="shared" si="13"/>
        <v>5.3346930248780851E-2</v>
      </c>
      <c r="J57" s="409">
        <f t="shared" si="14"/>
        <v>0.13960951021876108</v>
      </c>
      <c r="K57" s="409">
        <f>F57*$K$5</f>
        <v>8.2655300627716751E-3</v>
      </c>
      <c r="L57" s="409">
        <f>F57*$L$5</f>
        <v>0.12922973601044802</v>
      </c>
      <c r="M57" s="409">
        <f>F57*$M$5</f>
        <v>0</v>
      </c>
      <c r="N57" s="409">
        <f t="shared" si="22"/>
        <v>0</v>
      </c>
      <c r="O57" s="399" t="s">
        <v>1944</v>
      </c>
      <c r="S57" s="399">
        <f t="shared" si="28"/>
        <v>-1.3877787807814457E-16</v>
      </c>
      <c r="T57" s="399">
        <f t="shared" si="29"/>
        <v>0</v>
      </c>
    </row>
    <row r="58" spans="2:20" ht="18" x14ac:dyDescent="0.35">
      <c r="B58" s="715" t="s">
        <v>1722</v>
      </c>
      <c r="C58" s="501">
        <v>2.2000000000000002</v>
      </c>
      <c r="D58" s="501">
        <v>0</v>
      </c>
      <c r="E58" s="501">
        <v>2.2000000000000002</v>
      </c>
      <c r="F58" s="500">
        <f>Профпослуги2!L12/1000</f>
        <v>4.5</v>
      </c>
      <c r="G58" s="409">
        <f>F58*$G$5</f>
        <v>2.990322152859465</v>
      </c>
      <c r="H58" s="409">
        <f>F58*$H$5</f>
        <v>0.88152688538470936</v>
      </c>
      <c r="I58" s="409">
        <f t="shared" si="13"/>
        <v>0.2437169402228567</v>
      </c>
      <c r="J58" s="409">
        <f t="shared" si="14"/>
        <v>0.63780994516185274</v>
      </c>
      <c r="K58" s="409">
        <f>F58*$K$5</f>
        <v>3.7761304855302068E-2</v>
      </c>
      <c r="L58" s="409">
        <f>F58*$L$5</f>
        <v>0.59038965690052392</v>
      </c>
      <c r="M58" s="409">
        <f>F58*$M$5</f>
        <v>0</v>
      </c>
      <c r="N58" s="409">
        <f t="shared" si="22"/>
        <v>0</v>
      </c>
      <c r="O58" s="399" t="s">
        <v>2616</v>
      </c>
      <c r="S58" s="399">
        <f t="shared" si="28"/>
        <v>-3.3306690738754696E-16</v>
      </c>
      <c r="T58" s="399">
        <f t="shared" si="29"/>
        <v>0</v>
      </c>
    </row>
    <row r="59" spans="2:20" ht="18" x14ac:dyDescent="0.35">
      <c r="B59" s="715" t="s">
        <v>3516</v>
      </c>
      <c r="C59" s="501"/>
      <c r="D59" s="501">
        <v>0.71023999999999998</v>
      </c>
      <c r="E59" s="501"/>
      <c r="F59" s="500">
        <f>D59</f>
        <v>0.71023999999999998</v>
      </c>
      <c r="G59" s="409">
        <f>F59*$G$5</f>
        <v>0.47196586796597922</v>
      </c>
      <c r="H59" s="409">
        <f>F59*$H$5</f>
        <v>0.13913236779458577</v>
      </c>
      <c r="I59" s="409">
        <f t="shared" si="13"/>
        <v>3.8466115471973719E-2</v>
      </c>
      <c r="J59" s="409">
        <f t="shared" si="14"/>
        <v>0.10066625232261206</v>
      </c>
      <c r="K59" s="409">
        <f>F59*$K$5</f>
        <v>5.9599087023177203E-3</v>
      </c>
      <c r="L59" s="409">
        <f>F59*$L$5</f>
        <v>9.3181855537117358E-2</v>
      </c>
      <c r="M59" s="409">
        <f>F59*$M$5</f>
        <v>0</v>
      </c>
      <c r="N59" s="409">
        <f t="shared" si="22"/>
        <v>0</v>
      </c>
      <c r="O59" s="399"/>
      <c r="S59" s="399"/>
      <c r="T59" s="399"/>
    </row>
    <row r="60" spans="2:20" ht="18.600000000000001" thickBot="1" x14ac:dyDescent="0.4">
      <c r="B60" s="465" t="s">
        <v>58</v>
      </c>
      <c r="C60" s="466">
        <v>316.72948000000002</v>
      </c>
      <c r="D60" s="466">
        <v>-598.14</v>
      </c>
      <c r="E60" s="466">
        <v>0</v>
      </c>
      <c r="F60" s="466">
        <v>0</v>
      </c>
      <c r="G60" s="417">
        <f t="shared" si="17"/>
        <v>0</v>
      </c>
      <c r="H60" s="417">
        <f t="shared" si="18"/>
        <v>0</v>
      </c>
      <c r="I60" s="417">
        <f t="shared" si="13"/>
        <v>0</v>
      </c>
      <c r="J60" s="417">
        <f t="shared" si="14"/>
        <v>0</v>
      </c>
      <c r="K60" s="417">
        <f t="shared" si="19"/>
        <v>0</v>
      </c>
      <c r="L60" s="417">
        <f t="shared" si="20"/>
        <v>0</v>
      </c>
      <c r="M60" s="417">
        <f t="shared" si="21"/>
        <v>0</v>
      </c>
      <c r="N60" s="417">
        <f t="shared" si="22"/>
        <v>0</v>
      </c>
      <c r="O60" s="391"/>
      <c r="P60" s="391"/>
      <c r="Q60" s="403" t="s">
        <v>1704</v>
      </c>
      <c r="S60" s="399">
        <f t="shared" si="28"/>
        <v>0</v>
      </c>
      <c r="T60" s="399">
        <f t="shared" si="29"/>
        <v>0</v>
      </c>
    </row>
    <row r="61" spans="2:20" ht="24" customHeight="1" x14ac:dyDescent="0.35">
      <c r="D61" s="419"/>
      <c r="M61" s="418"/>
      <c r="N61" s="418"/>
    </row>
    <row r="62" spans="2:20" ht="24" customHeight="1" x14ac:dyDescent="0.25">
      <c r="C62" s="1283"/>
      <c r="D62" s="399"/>
      <c r="M62" s="418"/>
      <c r="N62" s="418"/>
    </row>
    <row r="63" spans="2:20" ht="24" customHeight="1" x14ac:dyDescent="0.35">
      <c r="B63" s="419" t="str">
        <f>'Вхідні дані'!$B$13</f>
        <v>Директор підприємства</v>
      </c>
      <c r="C63" s="419"/>
      <c r="D63" s="419"/>
      <c r="E63" s="772" t="s">
        <v>1400</v>
      </c>
      <c r="F63" s="391"/>
      <c r="G63" s="5119" t="str">
        <f>'Вхідні дані'!$F$13</f>
        <v>Анатолій ПАНШИН</v>
      </c>
      <c r="H63" s="5119"/>
      <c r="I63" s="5119"/>
      <c r="M63" s="418"/>
      <c r="N63" s="418"/>
    </row>
    <row r="64" spans="2:20" ht="24" customHeight="1" x14ac:dyDescent="0.35">
      <c r="B64" s="419"/>
      <c r="C64" s="419"/>
      <c r="D64" s="419"/>
      <c r="E64" s="772" t="s">
        <v>209</v>
      </c>
      <c r="F64" s="391"/>
      <c r="G64" s="5115" t="s">
        <v>1985</v>
      </c>
      <c r="H64" s="5115"/>
      <c r="I64" s="5115"/>
      <c r="M64" s="418"/>
      <c r="N64" s="418"/>
    </row>
    <row r="65" spans="2:14" ht="24" customHeight="1" x14ac:dyDescent="0.35">
      <c r="B65" s="419" t="str">
        <f>'Вхідні дані'!$B$15</f>
        <v>Заступник директора з економіки</v>
      </c>
      <c r="C65" s="419"/>
      <c r="D65" s="419"/>
      <c r="E65" s="772" t="s">
        <v>1400</v>
      </c>
      <c r="F65" s="391"/>
      <c r="G65" s="5119" t="str">
        <f>'Вхідні дані'!$F$15</f>
        <v>Олена ЛАВРОВА</v>
      </c>
      <c r="H65" s="5119"/>
      <c r="I65" s="5119"/>
      <c r="M65" s="418"/>
      <c r="N65" s="418"/>
    </row>
    <row r="66" spans="2:14" ht="24" customHeight="1" x14ac:dyDescent="0.35">
      <c r="B66" s="418"/>
      <c r="C66" s="418"/>
      <c r="D66" s="418"/>
      <c r="E66" s="772" t="s">
        <v>209</v>
      </c>
      <c r="F66" s="391"/>
      <c r="G66" s="5115" t="s">
        <v>1985</v>
      </c>
      <c r="H66" s="5115"/>
      <c r="I66" s="5115"/>
      <c r="K66" s="418"/>
      <c r="L66" s="418"/>
      <c r="M66" s="418"/>
      <c r="N66" s="418"/>
    </row>
    <row r="67" spans="2:14" ht="18" x14ac:dyDescent="0.35">
      <c r="F67" s="889"/>
      <c r="G67" s="419"/>
      <c r="H67" s="419"/>
      <c r="I67" s="419"/>
    </row>
    <row r="71" spans="2:14" ht="31.2" x14ac:dyDescent="0.3">
      <c r="B71" s="665" t="s">
        <v>1887</v>
      </c>
      <c r="C71" s="389" t="str">
        <f>'Вхідні дані'!F6</f>
        <v>2023-2024</v>
      </c>
    </row>
    <row r="72" spans="2:14" ht="15.6" x14ac:dyDescent="0.3">
      <c r="B72" s="666" t="str">
        <f>'Вхідні дані'!F5</f>
        <v>КП «КТЕ"</v>
      </c>
      <c r="C72" s="692" t="s">
        <v>661</v>
      </c>
    </row>
    <row r="73" spans="2:14" ht="16.2" thickBot="1" x14ac:dyDescent="0.35">
      <c r="B73" s="389"/>
      <c r="C73" s="389"/>
    </row>
    <row r="74" spans="2:14" ht="16.2" thickBot="1" x14ac:dyDescent="0.35">
      <c r="B74" s="4578" t="s">
        <v>1945</v>
      </c>
      <c r="C74" s="716" t="s">
        <v>1946</v>
      </c>
    </row>
    <row r="75" spans="2:14" ht="15.6" x14ac:dyDescent="0.3">
      <c r="B75" s="4579" t="s">
        <v>1002</v>
      </c>
      <c r="C75" s="688"/>
    </row>
    <row r="76" spans="2:14" ht="15.6" x14ac:dyDescent="0.3">
      <c r="B76" s="4580"/>
      <c r="C76" s="648"/>
    </row>
    <row r="77" spans="2:14" ht="15.6" x14ac:dyDescent="0.3">
      <c r="B77" s="4580" t="s">
        <v>1002</v>
      </c>
      <c r="C77" s="648"/>
    </row>
    <row r="78" spans="2:14" ht="15.6" x14ac:dyDescent="0.3">
      <c r="B78" s="4580" t="s">
        <v>1002</v>
      </c>
      <c r="C78" s="648"/>
    </row>
    <row r="79" spans="2:14" ht="15.6" x14ac:dyDescent="0.3">
      <c r="B79" s="4580" t="s">
        <v>928</v>
      </c>
      <c r="C79" s="648"/>
    </row>
    <row r="80" spans="2:14" ht="15.6" x14ac:dyDescent="0.3">
      <c r="B80" s="4580" t="s">
        <v>1002</v>
      </c>
      <c r="C80" s="648"/>
    </row>
    <row r="81" spans="2:10" ht="16.2" thickBot="1" x14ac:dyDescent="0.35">
      <c r="B81" s="4581" t="s">
        <v>1002</v>
      </c>
      <c r="C81" s="689"/>
    </row>
    <row r="82" spans="2:10" ht="15.6" x14ac:dyDescent="0.3">
      <c r="B82" s="4579" t="s">
        <v>1571</v>
      </c>
      <c r="C82" s="688"/>
    </row>
    <row r="83" spans="2:10" ht="15.6" x14ac:dyDescent="0.3">
      <c r="B83" s="4580" t="s">
        <v>1571</v>
      </c>
      <c r="C83" s="648"/>
    </row>
    <row r="84" spans="2:10" ht="15.6" x14ac:dyDescent="0.3">
      <c r="B84" s="4580" t="s">
        <v>1571</v>
      </c>
      <c r="C84" s="648"/>
    </row>
    <row r="85" spans="2:10" ht="16.2" thickBot="1" x14ac:dyDescent="0.35">
      <c r="B85" s="4582" t="s">
        <v>1571</v>
      </c>
      <c r="C85" s="690"/>
    </row>
    <row r="86" spans="2:10" ht="15.6" x14ac:dyDescent="0.3">
      <c r="B86" s="4583" t="s">
        <v>1002</v>
      </c>
      <c r="C86" s="691"/>
    </row>
    <row r="87" spans="2:10" ht="15.6" x14ac:dyDescent="0.3">
      <c r="B87" s="4580" t="s">
        <v>1002</v>
      </c>
      <c r="C87" s="648"/>
    </row>
    <row r="88" spans="2:10" ht="16.2" thickBot="1" x14ac:dyDescent="0.35">
      <c r="B88" s="4584" t="s">
        <v>1537</v>
      </c>
      <c r="C88" s="652"/>
    </row>
    <row r="89" spans="2:10" ht="15.6" x14ac:dyDescent="0.3">
      <c r="B89" s="4579" t="s">
        <v>2022</v>
      </c>
      <c r="C89" s="649"/>
    </row>
    <row r="90" spans="2:10" ht="15.6" x14ac:dyDescent="0.3">
      <c r="B90" s="4585" t="s">
        <v>1586</v>
      </c>
      <c r="C90" s="650"/>
    </row>
    <row r="91" spans="2:10" ht="16.2" thickBot="1" x14ac:dyDescent="0.35">
      <c r="B91" s="4586" t="s">
        <v>1585</v>
      </c>
      <c r="C91" s="651"/>
    </row>
    <row r="94" spans="2:10" ht="18" x14ac:dyDescent="0.35">
      <c r="B94" s="419" t="str">
        <f>'Вхідні дані'!$B$15</f>
        <v>Заступник директора з економіки</v>
      </c>
      <c r="C94" s="498" t="s">
        <v>1400</v>
      </c>
      <c r="D94" s="419" t="str">
        <f>'Вхідні дані'!$F$15</f>
        <v>Олена ЛАВРОВА</v>
      </c>
      <c r="H94" s="419"/>
      <c r="I94" s="419"/>
      <c r="J94" s="419"/>
    </row>
    <row r="95" spans="2:10" ht="18" x14ac:dyDescent="0.35">
      <c r="B95" s="418"/>
      <c r="C95" s="498" t="s">
        <v>209</v>
      </c>
      <c r="D95" s="418"/>
      <c r="H95" s="418"/>
      <c r="I95" s="418"/>
      <c r="J95" s="418"/>
    </row>
    <row r="97" spans="2:8" ht="15.6" x14ac:dyDescent="0.25">
      <c r="B97" s="5085" t="s">
        <v>2707</v>
      </c>
      <c r="C97" s="5085"/>
      <c r="D97" s="5085"/>
      <c r="E97" s="5085"/>
      <c r="F97" s="5085"/>
      <c r="G97" s="5085"/>
      <c r="H97" s="5085"/>
    </row>
    <row r="98" spans="2:8" ht="15.6" x14ac:dyDescent="0.3">
      <c r="B98" s="1124"/>
      <c r="C98" s="1124"/>
      <c r="D98" s="1124"/>
      <c r="E98" s="5100" t="s">
        <v>1780</v>
      </c>
      <c r="F98" s="5100"/>
      <c r="G98" s="1124"/>
      <c r="H98" s="1124"/>
    </row>
    <row r="99" spans="2:8" ht="15.6" x14ac:dyDescent="0.3">
      <c r="B99" s="1183" t="s">
        <v>357</v>
      </c>
      <c r="C99" s="5114" t="s">
        <v>2305</v>
      </c>
      <c r="D99" s="5114"/>
      <c r="E99" s="5114" t="s">
        <v>2306</v>
      </c>
      <c r="F99" s="5114"/>
      <c r="G99" s="1183" t="s">
        <v>2309</v>
      </c>
      <c r="H99" s="1183" t="s">
        <v>2308</v>
      </c>
    </row>
    <row r="100" spans="2:8" ht="15.6" x14ac:dyDescent="0.3">
      <c r="B100" s="778" t="s">
        <v>2294</v>
      </c>
      <c r="C100" s="3214">
        <f>D100/D110</f>
        <v>0.74886413268890462</v>
      </c>
      <c r="D100" s="1148">
        <f>F21-L21</f>
        <v>6202.3666716557027</v>
      </c>
      <c r="E100" s="3214">
        <f>F100/F110</f>
        <v>0.72703223835326569</v>
      </c>
      <c r="F100" s="1148">
        <v>3845.9697504473706</v>
      </c>
      <c r="G100" s="1192">
        <f>C100-E100</f>
        <v>2.1831894335638924E-2</v>
      </c>
      <c r="H100" s="1148">
        <f>D100-F100</f>
        <v>2356.3969212083321</v>
      </c>
    </row>
    <row r="101" spans="2:8" ht="15.6" x14ac:dyDescent="0.3">
      <c r="B101" s="778" t="s">
        <v>2295</v>
      </c>
      <c r="C101" s="3214">
        <f>D101/D110</f>
        <v>0.16475010919155905</v>
      </c>
      <c r="D101" s="1148">
        <f>F23-L23</f>
        <v>1364.5206677642548</v>
      </c>
      <c r="E101" s="3214">
        <f>F101/F110</f>
        <v>0.15994709243771843</v>
      </c>
      <c r="F101" s="1148">
        <v>846.11334509842152</v>
      </c>
      <c r="G101" s="1192">
        <f t="shared" ref="G101:H110" si="30">C101-E101</f>
        <v>4.8030167538406221E-3</v>
      </c>
      <c r="H101" s="1148">
        <f t="shared" si="30"/>
        <v>518.40732266583325</v>
      </c>
    </row>
    <row r="102" spans="2:8" ht="15.6" x14ac:dyDescent="0.3">
      <c r="B102" s="778" t="s">
        <v>2296</v>
      </c>
      <c r="C102" s="3214">
        <f>D102/D110</f>
        <v>0</v>
      </c>
      <c r="D102" s="1148"/>
      <c r="E102" s="3214">
        <f>F102/F110</f>
        <v>0</v>
      </c>
      <c r="F102" s="1148"/>
      <c r="G102" s="1192">
        <f t="shared" si="30"/>
        <v>0</v>
      </c>
      <c r="H102" s="1148">
        <f t="shared" si="30"/>
        <v>0</v>
      </c>
    </row>
    <row r="103" spans="2:8" ht="15.6" x14ac:dyDescent="0.3">
      <c r="B103" s="778" t="s">
        <v>43</v>
      </c>
      <c r="C103" s="3214">
        <f>D103/D110</f>
        <v>0</v>
      </c>
      <c r="D103" s="1148"/>
      <c r="E103" s="3214">
        <f>F103/F110</f>
        <v>0</v>
      </c>
      <c r="F103" s="1148"/>
      <c r="G103" s="1192">
        <f t="shared" si="30"/>
        <v>0</v>
      </c>
      <c r="H103" s="1148">
        <f t="shared" si="30"/>
        <v>0</v>
      </c>
    </row>
    <row r="104" spans="2:8" ht="15.6" x14ac:dyDescent="0.3">
      <c r="B104" s="778" t="s">
        <v>2297</v>
      </c>
      <c r="C104" s="3214">
        <f>D104/D110</f>
        <v>0</v>
      </c>
      <c r="D104" s="1148"/>
      <c r="E104" s="3214">
        <f>F104/F110</f>
        <v>0</v>
      </c>
      <c r="F104" s="1148"/>
      <c r="G104" s="1192">
        <f t="shared" si="30"/>
        <v>0</v>
      </c>
      <c r="H104" s="1148">
        <f t="shared" si="30"/>
        <v>0</v>
      </c>
    </row>
    <row r="105" spans="2:8" ht="15.6" x14ac:dyDescent="0.3">
      <c r="B105" s="778" t="s">
        <v>460</v>
      </c>
      <c r="C105" s="3214">
        <f>D105/D110</f>
        <v>9.4460328477406503E-3</v>
      </c>
      <c r="D105" s="1148">
        <f>F36+F38-L36-L38</f>
        <v>78.23549928052212</v>
      </c>
      <c r="E105" s="3214">
        <f>F105/F110</f>
        <v>8.4326440749574062E-3</v>
      </c>
      <c r="F105" s="1148">
        <v>44.608330026786021</v>
      </c>
      <c r="G105" s="1192">
        <f t="shared" si="30"/>
        <v>1.0133887727832441E-3</v>
      </c>
      <c r="H105" s="1148">
        <f t="shared" si="30"/>
        <v>33.627169253736099</v>
      </c>
    </row>
    <row r="106" spans="2:8" ht="15.6" x14ac:dyDescent="0.3">
      <c r="B106" s="778" t="s">
        <v>2298</v>
      </c>
      <c r="C106" s="3214">
        <f>D106/D110</f>
        <v>0</v>
      </c>
      <c r="D106" s="1148"/>
      <c r="E106" s="3214">
        <f>F106/F110</f>
        <v>0</v>
      </c>
      <c r="F106" s="1148"/>
      <c r="G106" s="1192">
        <f t="shared" si="30"/>
        <v>0</v>
      </c>
      <c r="H106" s="1148">
        <f t="shared" si="30"/>
        <v>0</v>
      </c>
    </row>
    <row r="107" spans="2:8" ht="15.6" x14ac:dyDescent="0.3">
      <c r="B107" s="778" t="s">
        <v>2299</v>
      </c>
      <c r="C107" s="3214">
        <f>D107/D110</f>
        <v>0</v>
      </c>
      <c r="D107" s="1148">
        <f>F25+F26-L25-L26</f>
        <v>0</v>
      </c>
      <c r="E107" s="3214">
        <f>F107/F110</f>
        <v>1.1467522989242243E-2</v>
      </c>
      <c r="F107" s="1148">
        <v>60.662710953617193</v>
      </c>
      <c r="G107" s="1192">
        <f t="shared" si="30"/>
        <v>-1.1467522989242243E-2</v>
      </c>
      <c r="H107" s="1148">
        <f t="shared" si="30"/>
        <v>-60.662710953617193</v>
      </c>
    </row>
    <row r="108" spans="2:8" ht="15.6" x14ac:dyDescent="0.3">
      <c r="B108" s="778" t="s">
        <v>2300</v>
      </c>
      <c r="C108" s="3214">
        <f>D108/D110</f>
        <v>7.693972527179567E-2</v>
      </c>
      <c r="D108" s="1148">
        <f>D110-D100-D101-D102-D103-D104-D105-D106-D107</f>
        <v>637.24294824836375</v>
      </c>
      <c r="E108" s="3214">
        <f>F108/F110</f>
        <v>9.312050214481625E-2</v>
      </c>
      <c r="F108" s="1148">
        <v>492.60351261261803</v>
      </c>
      <c r="G108" s="1192">
        <f t="shared" si="30"/>
        <v>-1.618077687302058E-2</v>
      </c>
      <c r="H108" s="1148">
        <f t="shared" si="30"/>
        <v>144.63943563574571</v>
      </c>
    </row>
    <row r="109" spans="2:8" ht="15.6" x14ac:dyDescent="0.3">
      <c r="B109" s="778" t="s">
        <v>2304</v>
      </c>
      <c r="C109" s="3214">
        <f>D109/D110</f>
        <v>0</v>
      </c>
      <c r="D109" s="1148"/>
      <c r="E109" s="3214">
        <f>F109/F110</f>
        <v>0</v>
      </c>
      <c r="F109" s="1148"/>
      <c r="G109" s="1192">
        <f t="shared" si="30"/>
        <v>0</v>
      </c>
      <c r="H109" s="1148">
        <f t="shared" si="30"/>
        <v>0</v>
      </c>
    </row>
    <row r="110" spans="2:8" ht="15.6" x14ac:dyDescent="0.3">
      <c r="B110" s="1160" t="s">
        <v>1934</v>
      </c>
      <c r="C110" s="1161">
        <f>SUM(C100:C109)</f>
        <v>1</v>
      </c>
      <c r="D110" s="1148">
        <f>F8-L8</f>
        <v>8282.3657869488434</v>
      </c>
      <c r="E110" s="1161">
        <f>SUM(E100:E109)</f>
        <v>1</v>
      </c>
      <c r="F110" s="1148">
        <v>5289.9576491388134</v>
      </c>
      <c r="G110" s="1192">
        <f t="shared" si="30"/>
        <v>0</v>
      </c>
      <c r="H110" s="1148">
        <f t="shared" si="30"/>
        <v>2992.40813781003</v>
      </c>
    </row>
  </sheetData>
  <mergeCells count="11">
    <mergeCell ref="P38:R38"/>
    <mergeCell ref="G6:M6"/>
    <mergeCell ref="B6:B7"/>
    <mergeCell ref="G63:I63"/>
    <mergeCell ref="G64:I64"/>
    <mergeCell ref="B97:H97"/>
    <mergeCell ref="E98:F98"/>
    <mergeCell ref="C99:D99"/>
    <mergeCell ref="E99:F99"/>
    <mergeCell ref="G65:I65"/>
    <mergeCell ref="G66:I66"/>
  </mergeCells>
  <conditionalFormatting sqref="B95 D95 H95:J95">
    <cfRule type="expression" dxfId="58" priority="13" stopIfTrue="1">
      <formula>ABS(#REF!-(#REF!+#REF!+$M95+$O95))&gt;отклонение</formula>
    </cfRule>
  </conditionalFormatting>
  <conditionalFormatting sqref="G66:I66 M61:N66 B66:D66 K66:M66">
    <cfRule type="expression" dxfId="57" priority="12" stopIfTrue="1">
      <formula>ABS(#REF!-(#REF!+$D61+$M61+$O61))&gt;отклонение</formula>
    </cfRule>
  </conditionalFormatting>
  <conditionalFormatting sqref="G66:I66">
    <cfRule type="expression" dxfId="56" priority="1" stopIfTrue="1">
      <formula>ABS(#REF!-(#REF!+#REF!+$L66+$N66))&gt;отклонение</formula>
    </cfRule>
  </conditionalFormatting>
  <pageMargins left="0.23622047244094491" right="0.23622047244094491" top="0.55118110236220474" bottom="0.31496062992125984" header="0.59055118110236227" footer="0.31496062992125984"/>
  <pageSetup paperSize="9" scale="60" fitToHeight="2" orientation="landscape" r:id="rId1"/>
  <headerFooter alignWithMargins="0"/>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tabColor rgb="FFFF0000"/>
  </sheetPr>
  <dimension ref="B2:U43"/>
  <sheetViews>
    <sheetView topLeftCell="D16" workbookViewId="0">
      <selection activeCell="S4" sqref="S4"/>
    </sheetView>
  </sheetViews>
  <sheetFormatPr defaultRowHeight="14.4" x14ac:dyDescent="0.3"/>
  <cols>
    <col min="3" max="3" width="33.44140625" customWidth="1"/>
    <col min="4" max="4" width="10.33203125" customWidth="1"/>
    <col min="5" max="5" width="11.109375" customWidth="1"/>
    <col min="6" max="6" width="8.88671875" style="1513"/>
    <col min="7" max="7" width="2.6640625" customWidth="1"/>
    <col min="10" max="10" width="8.88671875" style="1513"/>
    <col min="13" max="13" width="22.6640625" customWidth="1"/>
    <col min="14" max="14" width="9.88671875" bestFit="1" customWidth="1"/>
    <col min="15" max="16" width="9.44140625" bestFit="1" customWidth="1"/>
    <col min="17" max="17" width="9.88671875" bestFit="1" customWidth="1"/>
    <col min="18" max="19" width="9.44140625" bestFit="1" customWidth="1"/>
  </cols>
  <sheetData>
    <row r="2" spans="2:21" x14ac:dyDescent="0.3">
      <c r="D2" s="5121" t="s">
        <v>1895</v>
      </c>
      <c r="E2" s="5121"/>
      <c r="F2" s="5121"/>
      <c r="H2" s="5121" t="s">
        <v>1895</v>
      </c>
      <c r="I2" s="5121"/>
      <c r="J2" s="5121"/>
      <c r="N2" s="5121" t="s">
        <v>1894</v>
      </c>
      <c r="O2" s="5121"/>
      <c r="P2" s="5121"/>
    </row>
    <row r="3" spans="2:21" ht="15" thickBot="1" x14ac:dyDescent="0.35">
      <c r="D3" s="5121" t="s">
        <v>2351</v>
      </c>
      <c r="E3" s="5121"/>
      <c r="F3" s="5121"/>
      <c r="I3" t="s">
        <v>2350</v>
      </c>
      <c r="J3"/>
      <c r="Q3" s="5121" t="s">
        <v>3</v>
      </c>
      <c r="R3" s="5121"/>
      <c r="S3" s="5121"/>
    </row>
    <row r="4" spans="2:21" x14ac:dyDescent="0.3">
      <c r="B4" s="17">
        <f>'Д 3_Т на Т з ЦТП'!A11</f>
        <v>1</v>
      </c>
      <c r="C4" s="17" t="str">
        <f>'Д 3_Т на Т з ЦТП'!B11</f>
        <v>Виробнича собівартість, зокрема:</v>
      </c>
      <c r="D4" s="1679">
        <f>'Д 3.1_Т на Т без ЦТП'!G11</f>
        <v>43350.858098990757</v>
      </c>
      <c r="E4" s="68">
        <f>'ТЕ_2ст_тариф_без ЦТП'!E86</f>
        <v>40327.169558129703</v>
      </c>
      <c r="F4" s="3922">
        <f>D4-E4</f>
        <v>3023.6885408610542</v>
      </c>
      <c r="H4" s="1679">
        <f>'Д 3_Т на Т з ЦТП'!G11</f>
        <v>14707.463085955644</v>
      </c>
      <c r="I4" s="68">
        <f>'ТЕ_2ст_тариф_з ЦТП'!E86</f>
        <v>14038.805079371376</v>
      </c>
      <c r="J4" s="3922">
        <f>H4-I4</f>
        <v>668.65800658426815</v>
      </c>
      <c r="K4" s="1679">
        <f>J4+F4</f>
        <v>3692.3465474453224</v>
      </c>
      <c r="L4" s="68">
        <f>'Покриття втрат в мережах'!C22</f>
        <v>3692.346547445326</v>
      </c>
      <c r="M4" s="68" t="str">
        <f>'Д 2_Т на В'!C12</f>
        <v>Виробнича собівартість, зокрема:</v>
      </c>
      <c r="N4" s="4482">
        <f>'Д 2_Т на В'!H12</f>
        <v>149071.37204744882</v>
      </c>
      <c r="O4" s="4483">
        <f>'ТЕ_2ст_тариф_з ЦТП'!E37</f>
        <v>149071.37204744888</v>
      </c>
      <c r="P4" s="4484">
        <f>'ТЕ_2ст_тариф_без ЦТП'!E37</f>
        <v>149071.37204744888</v>
      </c>
      <c r="Q4" s="1679">
        <f>'Д 2_Т на В'!L12</f>
        <v>108736.71495653845</v>
      </c>
      <c r="R4" s="68">
        <f>'ТЕ_2ст_тариф_з ЦТП'!H37</f>
        <v>108731.48457797602</v>
      </c>
      <c r="S4" s="68">
        <f>'ТЕ_2ст_тариф_без ЦТП'!H37</f>
        <v>108731.48457797602</v>
      </c>
      <c r="T4" s="3922">
        <f>Q4-R4</f>
        <v>5.2303785624244483</v>
      </c>
      <c r="U4" s="1597">
        <f>R4-S4</f>
        <v>0</v>
      </c>
    </row>
    <row r="5" spans="2:21" x14ac:dyDescent="0.3">
      <c r="B5" s="17" t="str">
        <f>'Д 3_Т на Т з ЦТП'!A12</f>
        <v>1.1</v>
      </c>
      <c r="D5" s="1679">
        <f>'Д 3.1_Т на Т без ЦТП'!G12</f>
        <v>23861.999303514553</v>
      </c>
      <c r="E5" s="68">
        <f>'ТЕ_2ст_тариф_без ЦТП'!E87</f>
        <v>20838.310762653495</v>
      </c>
      <c r="F5" s="3922">
        <f t="shared" ref="F5:F30" si="0">D5-E5</f>
        <v>3023.6885408610578</v>
      </c>
      <c r="H5" s="1679">
        <f>'Д 3_Т на Т з ЦТП'!G12</f>
        <v>6995.4459242393823</v>
      </c>
      <c r="I5" s="68">
        <f>'ТЕ_2ст_тариф_з ЦТП'!E87</f>
        <v>6326.7879176551123</v>
      </c>
      <c r="J5" s="3922">
        <f t="shared" ref="J5:J30" si="1">H5-I5</f>
        <v>668.65800658426997</v>
      </c>
      <c r="M5" s="68" t="str">
        <f>'Д 2_Т на В'!C13</f>
        <v>прямі матеріальні витрати, зокрема:</v>
      </c>
      <c r="N5" s="4485">
        <f>'Д 2_Т на В'!H13</f>
        <v>125398.03179983834</v>
      </c>
      <c r="O5" s="1265">
        <f>'ТЕ_2ст_тариф_з ЦТП'!E38</f>
        <v>125398.03179983835</v>
      </c>
      <c r="P5" s="1266">
        <f>'ТЕ_2ст_тариф_без ЦТП'!E38</f>
        <v>125398.03179983835</v>
      </c>
      <c r="Q5" s="1679">
        <f>'Д 2_Т на В'!L13</f>
        <v>89072.514505762592</v>
      </c>
      <c r="R5" s="68">
        <f>'ТЕ_2ст_тариф_з ЦТП'!H38</f>
        <v>89070.896160506556</v>
      </c>
      <c r="S5" s="68">
        <f>'ТЕ_2ст_тариф_без ЦТП'!H38</f>
        <v>89070.896160506556</v>
      </c>
      <c r="T5" s="3922">
        <f t="shared" ref="T5:T43" si="2">Q5-R5</f>
        <v>1.6183452560362639</v>
      </c>
      <c r="U5" s="1597">
        <f t="shared" ref="U5:U43" si="3">R5-S5</f>
        <v>0</v>
      </c>
    </row>
    <row r="6" spans="2:21" x14ac:dyDescent="0.3">
      <c r="B6" s="17" t="str">
        <f>'Д 3_Т на Т з ЦТП'!A13</f>
        <v>1.1.1</v>
      </c>
      <c r="D6" s="1679">
        <f>'Д 3.1_Т на Т без ЦТП'!G13</f>
        <v>11016.842326985552</v>
      </c>
      <c r="E6" s="68">
        <f>'ТЕ_2ст_тариф_без ЦТП'!E88</f>
        <v>11016.842326985552</v>
      </c>
      <c r="F6" s="3922">
        <f t="shared" si="0"/>
        <v>0</v>
      </c>
      <c r="H6" s="1679">
        <f>'Д 3_Т на Т з ЦТП'!G13</f>
        <v>4179.9292165489842</v>
      </c>
      <c r="I6" s="68">
        <f>'ТЕ_2ст_тариф_з ЦТП'!E88</f>
        <v>4179.9292165489842</v>
      </c>
      <c r="J6" s="3922">
        <f t="shared" si="1"/>
        <v>0</v>
      </c>
      <c r="M6" s="68" t="str">
        <f>'Д 2_Т на В'!C14</f>
        <v>паливо всього, у т.ч.:</v>
      </c>
      <c r="N6" s="4485">
        <f>'Д 2_Т на В'!H14</f>
        <v>118804.3607936293</v>
      </c>
      <c r="O6" s="1265">
        <f>'ТЕ_2ст_тариф_з ЦТП'!E39</f>
        <v>118804.36079362931</v>
      </c>
      <c r="P6" s="1266">
        <f>'ТЕ_2ст_тариф_без ЦТП'!E39</f>
        <v>118804.36079362931</v>
      </c>
      <c r="Q6" s="1679">
        <f>'Д 2_Т на В'!L14</f>
        <v>83595.498291895157</v>
      </c>
      <c r="R6" s="68">
        <f>'ТЕ_2ст_тариф_з ЦТП'!H39</f>
        <v>83593.980086793876</v>
      </c>
      <c r="S6" s="68">
        <f>'ТЕ_2ст_тариф_без ЦТП'!H39</f>
        <v>83593.980086793876</v>
      </c>
      <c r="T6" s="3922">
        <f t="shared" si="2"/>
        <v>1.5182051012816373</v>
      </c>
      <c r="U6" s="1597">
        <f t="shared" si="3"/>
        <v>0</v>
      </c>
    </row>
    <row r="7" spans="2:21" x14ac:dyDescent="0.3">
      <c r="B7" s="17" t="str">
        <f>'Д 3_Т на Т з ЦТП'!A14</f>
        <v>1.1.2</v>
      </c>
      <c r="D7" s="1679">
        <f>'Д 3.1_Т на Т без ЦТП'!G14</f>
        <v>0</v>
      </c>
      <c r="E7" s="68">
        <f>'ТЕ_2ст_тариф_без ЦТП'!E89</f>
        <v>0</v>
      </c>
      <c r="F7" s="3922">
        <f t="shared" si="0"/>
        <v>0</v>
      </c>
      <c r="H7" s="1679">
        <f>'Д 3_Т на Т з ЦТП'!G14</f>
        <v>0</v>
      </c>
      <c r="I7" s="68">
        <f>'ТЕ_2ст_тариф_з ЦТП'!E89</f>
        <v>0</v>
      </c>
      <c r="J7" s="3922">
        <f t="shared" si="1"/>
        <v>0</v>
      </c>
      <c r="M7" s="68" t="str">
        <f>'Д 2_Т на В'!C15</f>
        <v>природний газ</v>
      </c>
      <c r="N7" s="4485">
        <f>'Д 2_Т на В'!H15</f>
        <v>106894.19194377559</v>
      </c>
      <c r="O7" s="1265">
        <f>'ТЕ_2ст_тариф_з ЦТП'!E40</f>
        <v>106894.19194377559</v>
      </c>
      <c r="P7" s="1266">
        <f>'ТЕ_2ст_тариф_без ЦТП'!E40</f>
        <v>106894.19194377559</v>
      </c>
      <c r="Q7" s="1679">
        <f>'Д 2_Т на В'!L15</f>
        <v>73702.346534835888</v>
      </c>
      <c r="R7" s="68">
        <f>'ТЕ_2ст_тариф_з ЦТП'!H40</f>
        <v>73702.346534835888</v>
      </c>
      <c r="S7" s="68">
        <f>'ТЕ_2ст_тариф_без ЦТП'!H40</f>
        <v>73702.346534835888</v>
      </c>
      <c r="T7" s="3922">
        <f t="shared" si="2"/>
        <v>0</v>
      </c>
      <c r="U7" s="1597">
        <f t="shared" si="3"/>
        <v>0</v>
      </c>
    </row>
    <row r="8" spans="2:21" x14ac:dyDescent="0.3">
      <c r="B8" s="17" t="str">
        <f>'Д 3_Т на Т з ЦТП'!A15</f>
        <v>1.1.3</v>
      </c>
      <c r="D8" s="1679">
        <f>'Д 3.1_Т на Т без ЦТП'!G15</f>
        <v>543.62315145346668</v>
      </c>
      <c r="E8" s="68">
        <f>'ТЕ_2ст_тариф_без ЦТП'!E90</f>
        <v>543.62315145346668</v>
      </c>
      <c r="F8" s="3922">
        <f t="shared" si="0"/>
        <v>0</v>
      </c>
      <c r="H8" s="1679">
        <f>'Д 3_Т на Т з ЦТП'!G15</f>
        <v>108.58398240194796</v>
      </c>
      <c r="I8" s="68">
        <f>'ТЕ_2ст_тариф_з ЦТП'!E90</f>
        <v>108.58398240194796</v>
      </c>
      <c r="J8" s="3922">
        <f t="shared" si="1"/>
        <v>0</v>
      </c>
      <c r="M8" s="68" t="str">
        <f>'Д 2_Т на В'!C16</f>
        <v>транспортування природного газу</v>
      </c>
      <c r="N8" s="4485">
        <f>'Д 2_Т на В'!H16</f>
        <v>1959.8215398537277</v>
      </c>
      <c r="O8" s="1265">
        <f>'ТЕ_2ст_тариф_з ЦТП'!E41</f>
        <v>1959.8215398537277</v>
      </c>
      <c r="P8" s="1266">
        <f>'ТЕ_2ст_тариф_без ЦТП'!E41</f>
        <v>1959.8215398537277</v>
      </c>
      <c r="Q8" s="1679">
        <f>'Д 2_Т на В'!L16</f>
        <v>1627.9208258885981</v>
      </c>
      <c r="R8" s="68">
        <f>'ТЕ_2ст_тариф_з ЦТП'!H41</f>
        <v>1627.9208258885981</v>
      </c>
      <c r="S8" s="68">
        <f>'ТЕ_2ст_тариф_без ЦТП'!H41</f>
        <v>1627.9208258885981</v>
      </c>
      <c r="T8" s="3922">
        <f t="shared" si="2"/>
        <v>0</v>
      </c>
      <c r="U8" s="1597">
        <f t="shared" si="3"/>
        <v>0</v>
      </c>
    </row>
    <row r="9" spans="2:21" x14ac:dyDescent="0.3">
      <c r="B9" s="17" t="str">
        <f>'Д 3_Т на Т з ЦТП'!A16</f>
        <v>1.1.4</v>
      </c>
      <c r="D9" s="1679">
        <f>'Д 3.1_Т на Т без ЦТП'!G16</f>
        <v>12301.533825075534</v>
      </c>
      <c r="E9" s="68">
        <f>'ТЕ_2ст_тариф_без ЦТП'!E91</f>
        <v>9277.8452842144761</v>
      </c>
      <c r="F9" s="3922">
        <f t="shared" si="0"/>
        <v>3023.6885408610578</v>
      </c>
      <c r="H9" s="4472">
        <f>'Д 3_Т на Т з ЦТП'!G16</f>
        <v>2706.93272528845</v>
      </c>
      <c r="I9" s="68">
        <f>'ТЕ_2ст_тариф_з ЦТП'!E91</f>
        <v>2038.2747187041805</v>
      </c>
      <c r="J9" s="3922">
        <f t="shared" si="1"/>
        <v>668.65800658426951</v>
      </c>
      <c r="M9" s="68" t="str">
        <f>'Д 2_Т на В'!C17</f>
        <v>розподіл природного газу</v>
      </c>
      <c r="N9" s="4485">
        <f>'Д 2_Т на В'!H17</f>
        <v>9950.3473099999992</v>
      </c>
      <c r="O9" s="1265">
        <f>'ТЕ_2ст_тариф_з ЦТП'!E42</f>
        <v>9950.3473099999992</v>
      </c>
      <c r="P9" s="1266">
        <f>'ТЕ_2ст_тариф_без ЦТП'!E42</f>
        <v>9950.3473099999992</v>
      </c>
      <c r="Q9" s="3912">
        <f>'Д 2_Т на В'!L17</f>
        <v>8265.2309311706831</v>
      </c>
      <c r="R9" s="4480">
        <f>'ТЕ_2ст_тариф_з ЦТП'!H42</f>
        <v>8263.7127260693997</v>
      </c>
      <c r="S9" s="4480">
        <f>'ТЕ_2ст_тариф_без ЦТП'!H42</f>
        <v>8263.7127260693997</v>
      </c>
      <c r="T9" s="3922">
        <f t="shared" si="2"/>
        <v>1.5182051012834563</v>
      </c>
      <c r="U9" s="1597">
        <f t="shared" si="3"/>
        <v>0</v>
      </c>
    </row>
    <row r="10" spans="2:21" x14ac:dyDescent="0.3">
      <c r="B10" s="17" t="str">
        <f>'Д 3_Т на Т з ЦТП'!A17</f>
        <v>1.1.4.1</v>
      </c>
      <c r="D10" s="1679">
        <f>'Д 3.1_Т на Т без ЦТП'!G17</f>
        <v>11555.219110774409</v>
      </c>
      <c r="E10" s="68">
        <f>'ТЕ_2ст_тариф_без ЦТП'!E92</f>
        <v>8531.5305699133514</v>
      </c>
      <c r="F10" s="3922">
        <f t="shared" si="0"/>
        <v>3023.6885408610578</v>
      </c>
      <c r="H10" s="1679">
        <f>'Д 3_Т на Т з ЦТП'!G17</f>
        <v>2557.8628713145722</v>
      </c>
      <c r="I10" s="68">
        <f>'ТЕ_2ст_тариф_з ЦТП'!E92</f>
        <v>1889.2048647303027</v>
      </c>
      <c r="J10" s="3922">
        <f t="shared" si="1"/>
        <v>668.65800658426951</v>
      </c>
      <c r="M10" s="68" t="str">
        <f>'Д 2_Т на В'!C18</f>
        <v>електроенергія</v>
      </c>
      <c r="N10" s="4485">
        <f>'Д 2_Т на В'!H18</f>
        <v>5937.3503814675587</v>
      </c>
      <c r="O10" s="1265">
        <f>'ТЕ_2ст_тариф_з ЦТП'!E43</f>
        <v>5937.3503814675587</v>
      </c>
      <c r="P10" s="1266">
        <f>'ТЕ_2ст_тариф_без ЦТП'!E43</f>
        <v>5937.3503814675587</v>
      </c>
      <c r="Q10" s="1679">
        <f>'Д 2_Т на В'!L18</f>
        <v>4931.8451399967998</v>
      </c>
      <c r="R10" s="68">
        <f>'ТЕ_2ст_тариф_з ЦТП'!H43</f>
        <v>4931.8451399967998</v>
      </c>
      <c r="S10" s="68">
        <f>'ТЕ_2ст_тариф_без ЦТП'!H43</f>
        <v>4931.8451399967998</v>
      </c>
      <c r="T10" s="3922">
        <f t="shared" si="2"/>
        <v>0</v>
      </c>
      <c r="U10" s="1597">
        <f t="shared" si="3"/>
        <v>0</v>
      </c>
    </row>
    <row r="11" spans="2:21" x14ac:dyDescent="0.3">
      <c r="B11" s="17" t="str">
        <f>'Д 3_Т на Т з ЦТП'!A18</f>
        <v>1.2</v>
      </c>
      <c r="D11" s="1679">
        <f>'Д 3.1_Т на Т без ЦТП'!G18</f>
        <v>11054.820751237807</v>
      </c>
      <c r="E11" s="68">
        <f>'ТЕ_2ст_тариф_без ЦТП'!E93</f>
        <v>11054.820751237807</v>
      </c>
      <c r="F11" s="3922">
        <f t="shared" si="0"/>
        <v>0</v>
      </c>
      <c r="H11" s="1679">
        <f>'Д 3_Т на Т з ЦТП'!G18</f>
        <v>3466.1638017167252</v>
      </c>
      <c r="I11" s="68">
        <f>'ТЕ_2ст_тариф_з ЦТП'!E93</f>
        <v>3466.1638017167252</v>
      </c>
      <c r="J11" s="3922">
        <f t="shared" si="1"/>
        <v>0</v>
      </c>
      <c r="M11" s="68" t="str">
        <f>'Д 2_Т на В'!C19</f>
        <v>покупна теплова енергія та/або встановлена повна планована собівартість теплової енергії, виробленої  власними ТЕЦ, ТЕС, АЕС, КГУ та/або встановлена повна планована вартість теплової енергії, виробленої власними установками, що використовують НПДЕ</v>
      </c>
      <c r="N11" s="4485">
        <f>'Д 2_Т на В'!H19</f>
        <v>0</v>
      </c>
      <c r="O11" s="1265">
        <f>'ТЕ_2ст_тариф_з ЦТП'!E44</f>
        <v>0</v>
      </c>
      <c r="P11" s="1266">
        <f>'ТЕ_2ст_тариф_без ЦТП'!E44</f>
        <v>0</v>
      </c>
      <c r="Q11" s="1679">
        <f>'Д 2_Т на В'!L19</f>
        <v>0</v>
      </c>
      <c r="R11" s="68">
        <f>'ТЕ_2ст_тариф_з ЦТП'!H44</f>
        <v>0</v>
      </c>
      <c r="S11" s="68">
        <f>'ТЕ_2ст_тариф_без ЦТП'!H44</f>
        <v>0</v>
      </c>
      <c r="T11" s="3922">
        <f t="shared" si="2"/>
        <v>0</v>
      </c>
      <c r="U11" s="1597">
        <f t="shared" si="3"/>
        <v>0</v>
      </c>
    </row>
    <row r="12" spans="2:21" x14ac:dyDescent="0.3">
      <c r="B12" s="17" t="str">
        <f>'Д 3_Т на Т з ЦТП'!A19</f>
        <v>1.3</v>
      </c>
      <c r="D12" s="1679">
        <f>'Д 3.1_Т на Т без ЦТП'!G19</f>
        <v>7322.6292191101174</v>
      </c>
      <c r="E12" s="68">
        <f>'ТЕ_2ст_тариф_без ЦТП'!E94</f>
        <v>7322.6292191101174</v>
      </c>
      <c r="F12" s="3922">
        <f t="shared" si="0"/>
        <v>0</v>
      </c>
      <c r="H12" s="1679">
        <f>'Д 3_Т на Т з ЦТП'!G19</f>
        <v>3821.1670404279466</v>
      </c>
      <c r="I12" s="68">
        <f>'ТЕ_2ст_тариф_з ЦТП'!E94</f>
        <v>3821.1670404279466</v>
      </c>
      <c r="J12" s="3922">
        <f t="shared" si="1"/>
        <v>0</v>
      </c>
      <c r="M12" s="68" t="str">
        <f>'Д 2_Т на В'!C20</f>
        <v>покупна теплова енергія</v>
      </c>
      <c r="N12" s="4485">
        <f>'Д 2_Т на В'!H20</f>
        <v>0</v>
      </c>
      <c r="O12" s="1265">
        <f>'ТЕ_2ст_тариф_з ЦТП'!E45</f>
        <v>0</v>
      </c>
      <c r="P12" s="1266">
        <f>'ТЕ_2ст_тариф_без ЦТП'!E45</f>
        <v>0</v>
      </c>
      <c r="Q12" s="1679">
        <f>'Д 2_Т на В'!L20</f>
        <v>0</v>
      </c>
      <c r="R12" s="68">
        <f>'ТЕ_2ст_тариф_з ЦТП'!H45</f>
        <v>0</v>
      </c>
      <c r="S12" s="68">
        <f>'ТЕ_2ст_тариф_без ЦТП'!H45</f>
        <v>0</v>
      </c>
      <c r="T12" s="3922">
        <f t="shared" si="2"/>
        <v>0</v>
      </c>
      <c r="U12" s="1597">
        <f t="shared" si="3"/>
        <v>0</v>
      </c>
    </row>
    <row r="13" spans="2:21" x14ac:dyDescent="0.3">
      <c r="B13" s="17" t="str">
        <f>'Д 3_Т на Т з ЦТП'!A20</f>
        <v>1.3.1</v>
      </c>
      <c r="D13" s="1679">
        <f>'Д 3.1_Т на Т без ЦТП'!G20</f>
        <v>2399.1731656684565</v>
      </c>
      <c r="E13" s="68">
        <f>'ТЕ_2ст_тариф_без ЦТП'!E95</f>
        <v>2399.1731656684565</v>
      </c>
      <c r="F13" s="3922">
        <f t="shared" si="0"/>
        <v>0</v>
      </c>
      <c r="H13" s="1679">
        <f>'Д 3_Т на Т з ЦТП'!G20</f>
        <v>759.27155078294027</v>
      </c>
      <c r="I13" s="68">
        <f>'ТЕ_2ст_тариф_з ЦТП'!E95</f>
        <v>759.27155078294027</v>
      </c>
      <c r="J13" s="3922">
        <f t="shared" si="1"/>
        <v>0</v>
      </c>
      <c r="M13" s="68" t="str">
        <f>'Д 2_Т на В'!C21</f>
        <v>встановлена повна планована вартість теплової енергії, виробленої власними установками, що використовують НПДЕ</v>
      </c>
      <c r="N13" s="4485">
        <f>'Д 2_Т на В'!H21</f>
        <v>0</v>
      </c>
      <c r="O13" s="1265">
        <f>'ТЕ_2ст_тариф_з ЦТП'!E46</f>
        <v>0</v>
      </c>
      <c r="P13" s="1266">
        <f>'ТЕ_2ст_тариф_без ЦТП'!E46</f>
        <v>0</v>
      </c>
      <c r="Q13" s="1679">
        <f>'Д 2_Т на В'!L21</f>
        <v>0</v>
      </c>
      <c r="R13" s="68">
        <f>'ТЕ_2ст_тариф_з ЦТП'!H46</f>
        <v>0</v>
      </c>
      <c r="S13" s="68">
        <f>'ТЕ_2ст_тариф_без ЦТП'!H46</f>
        <v>0</v>
      </c>
      <c r="T13" s="3922">
        <f t="shared" si="2"/>
        <v>0</v>
      </c>
      <c r="U13" s="1597">
        <f t="shared" si="3"/>
        <v>0</v>
      </c>
    </row>
    <row r="14" spans="2:21" x14ac:dyDescent="0.3">
      <c r="B14" s="17" t="str">
        <f>'Д 3_Т на Т з ЦТП'!A21</f>
        <v>1.3.2</v>
      </c>
      <c r="D14" s="1679">
        <f>'Д 3.1_Т на Т без ЦТП'!G21</f>
        <v>2383.3709972632905</v>
      </c>
      <c r="E14" s="68">
        <f>'ТЕ_2ст_тариф_без ЦТП'!E96</f>
        <v>2383.3709972632905</v>
      </c>
      <c r="F14" s="3922">
        <f t="shared" si="0"/>
        <v>0</v>
      </c>
      <c r="H14" s="1679">
        <f>'Д 3_Т на Т з ЦТП'!G21</f>
        <v>2509.7584427367042</v>
      </c>
      <c r="I14" s="68">
        <f>'ТЕ_2ст_тариф_з ЦТП'!E96</f>
        <v>2509.7584427367042</v>
      </c>
      <c r="J14" s="3922">
        <f t="shared" si="1"/>
        <v>0</v>
      </c>
      <c r="M14" s="68" t="str">
        <f>'Д 2_Т на В'!C22</f>
        <v>холодна вода для технологічних потреб та водовідведення</v>
      </c>
      <c r="N14" s="4485">
        <f>'Д 2_Т на В'!H22</f>
        <v>33.313922123945588</v>
      </c>
      <c r="O14" s="1265">
        <f>'ТЕ_2ст_тариф_з ЦТП'!E47</f>
        <v>33.313922123945588</v>
      </c>
      <c r="P14" s="1266">
        <f>'ТЕ_2ст_тариф_без ЦТП'!E47</f>
        <v>33.313922123945588</v>
      </c>
      <c r="Q14" s="1679">
        <f>'Д 2_Т на В'!L22</f>
        <v>27.67212550467713</v>
      </c>
      <c r="R14" s="68">
        <f>'ТЕ_2ст_тариф_з ЦТП'!H47</f>
        <v>27.667042529692651</v>
      </c>
      <c r="S14" s="68">
        <f>'ТЕ_2ст_тариф_без ЦТП'!H47</f>
        <v>27.667042529692651</v>
      </c>
      <c r="T14" s="3922">
        <f t="shared" si="2"/>
        <v>5.0829749844787386E-3</v>
      </c>
      <c r="U14" s="1597">
        <f t="shared" si="3"/>
        <v>0</v>
      </c>
    </row>
    <row r="15" spans="2:21" x14ac:dyDescent="0.3">
      <c r="B15" s="17" t="str">
        <f>'Д 3_Т на Т з ЦТП'!A22</f>
        <v>1.3.3</v>
      </c>
      <c r="D15" s="1679">
        <f>'Д 3.1_Т на Т без ЦТП'!G22</f>
        <v>2540.0850561783709</v>
      </c>
      <c r="E15" s="68">
        <f>'ТЕ_2ст_тариф_без ЦТП'!E97</f>
        <v>2540.0850561783709</v>
      </c>
      <c r="F15" s="3922">
        <f t="shared" si="0"/>
        <v>0</v>
      </c>
      <c r="H15" s="1679">
        <f>'Д 3_Т на Т з ЦТП'!G22</f>
        <v>552.13704690830218</v>
      </c>
      <c r="I15" s="68">
        <f>'ТЕ_2ст_тариф_з ЦТП'!E97</f>
        <v>552.13704690830218</v>
      </c>
      <c r="J15" s="3922">
        <f t="shared" si="1"/>
        <v>0</v>
      </c>
      <c r="M15" s="68" t="str">
        <f>'Д 2_Т на В'!C23</f>
        <v>інші прямі матеріальні витрати</v>
      </c>
      <c r="N15" s="4485">
        <f>'Д 2_Т на В'!H23</f>
        <v>623.00670261753226</v>
      </c>
      <c r="O15" s="1265">
        <f>'ТЕ_2ст_тариф_з ЦТП'!E48</f>
        <v>623.00670261753226</v>
      </c>
      <c r="P15" s="1266">
        <f>'ТЕ_2ст_тариф_без ЦТП'!E48</f>
        <v>623.00670261753226</v>
      </c>
      <c r="Q15" s="1679">
        <f>'Д 2_Т на В'!L23</f>
        <v>517.49894836595797</v>
      </c>
      <c r="R15" s="68">
        <f>'ТЕ_2ст_тариф_з ЦТП'!H48</f>
        <v>517.40389118618089</v>
      </c>
      <c r="S15" s="68">
        <f>'ТЕ_2ст_тариф_без ЦТП'!H48</f>
        <v>517.40389118618089</v>
      </c>
      <c r="T15" s="3922">
        <f t="shared" si="2"/>
        <v>9.5057179777086276E-2</v>
      </c>
      <c r="U15" s="1597">
        <f t="shared" si="3"/>
        <v>0</v>
      </c>
    </row>
    <row r="16" spans="2:21" x14ac:dyDescent="0.3">
      <c r="B16" s="17" t="str">
        <f>'Д 3_Т на Т з ЦТП'!A23</f>
        <v>1.4</v>
      </c>
      <c r="D16" s="1679">
        <f>'Д 3.1_Т на Т без ЦТП'!G23</f>
        <v>1111.4088251282831</v>
      </c>
      <c r="E16" s="68">
        <f>'ТЕ_2ст_тариф_без ЦТП'!E98</f>
        <v>1111.4088251282831</v>
      </c>
      <c r="F16" s="3922">
        <f t="shared" si="0"/>
        <v>0</v>
      </c>
      <c r="H16" s="1679">
        <f>'Д 3_Т на Т з ЦТП'!G23</f>
        <v>424.6863195715905</v>
      </c>
      <c r="I16" s="68">
        <f>'ТЕ_2ст_тариф_з ЦТП'!E98</f>
        <v>424.6863195715905</v>
      </c>
      <c r="J16" s="3922">
        <f t="shared" si="1"/>
        <v>0</v>
      </c>
      <c r="M16" s="68" t="str">
        <f>'Д 2_Т на В'!C24</f>
        <v>прямі витрати на оплату праці</v>
      </c>
      <c r="N16" s="4485">
        <f>'Д 2_Т на В'!H24</f>
        <v>11228.939355305938</v>
      </c>
      <c r="O16" s="1265">
        <f>'ТЕ_2ст_тариф_з ЦТП'!E49</f>
        <v>11228.939355305938</v>
      </c>
      <c r="P16" s="1266">
        <f>'ТЕ_2ст_тариф_без ЦТП'!E49</f>
        <v>11228.939355305938</v>
      </c>
      <c r="Q16" s="1679">
        <f>'Д 2_Т на В'!L24</f>
        <v>9327.290193221852</v>
      </c>
      <c r="R16" s="68">
        <f>'ТЕ_2ст_тариф_з ЦТП'!H49</f>
        <v>9325.5769029754247</v>
      </c>
      <c r="S16" s="68">
        <f>'ТЕ_2ст_тариф_без ЦТП'!H49</f>
        <v>9325.5769029754247</v>
      </c>
      <c r="T16" s="3922">
        <f t="shared" si="2"/>
        <v>1.7132902464272775</v>
      </c>
      <c r="U16" s="1597">
        <f t="shared" si="3"/>
        <v>0</v>
      </c>
    </row>
    <row r="17" spans="2:21" x14ac:dyDescent="0.3">
      <c r="B17" s="17" t="str">
        <f>'Д 3_Т на Т з ЦТП'!A24</f>
        <v>1.4.1</v>
      </c>
      <c r="D17" s="1679">
        <f>'Д 3.1_Т на Т без ЦТП'!G24</f>
        <v>849.25597277939903</v>
      </c>
      <c r="E17" s="68">
        <f>'ТЕ_2ст_тариф_без ЦТП'!E99</f>
        <v>849.25597277939903</v>
      </c>
      <c r="F17" s="3922">
        <f t="shared" si="0"/>
        <v>0</v>
      </c>
      <c r="H17" s="1679">
        <f>'Д 3_Т на Т з ЦТП'!G24</f>
        <v>324.51370305813811</v>
      </c>
      <c r="I17" s="68">
        <f>'ТЕ_2ст_тариф_з ЦТП'!E99</f>
        <v>324.51370305813811</v>
      </c>
      <c r="J17" s="3922">
        <f t="shared" si="1"/>
        <v>0</v>
      </c>
      <c r="M17" s="68" t="str">
        <f>'Д 2_Т на В'!C25</f>
        <v>інші прямі витрати, зокрема:</v>
      </c>
      <c r="N17" s="4485">
        <f>'Д 2_Т на В'!H25</f>
        <v>7233.6473506343445</v>
      </c>
      <c r="O17" s="1265">
        <f>'ТЕ_2ст_тариф_з ЦТП'!E50</f>
        <v>7233.6473506343445</v>
      </c>
      <c r="P17" s="1266">
        <f>'ТЕ_2ст_тариф_без ЦТП'!E50</f>
        <v>7233.6473506343445</v>
      </c>
      <c r="Q17" s="3912">
        <f>'Д 2_Т на В'!L25</f>
        <v>6008.6109524596959</v>
      </c>
      <c r="R17" s="4480">
        <f>'ТЕ_2ст_тариф_з ЦТП'!H50</f>
        <v>6007.507256281473</v>
      </c>
      <c r="S17" s="4480">
        <f>'ТЕ_2ст_тариф_без ЦТП'!H50</f>
        <v>6007.507256281473</v>
      </c>
      <c r="T17" s="3922">
        <f t="shared" si="2"/>
        <v>1.10369617822289</v>
      </c>
      <c r="U17" s="1597">
        <f t="shared" si="3"/>
        <v>0</v>
      </c>
    </row>
    <row r="18" spans="2:21" x14ac:dyDescent="0.3">
      <c r="B18" s="17" t="str">
        <f>'Д 3_Т на Т з ЦТП'!A25</f>
        <v>1.4.2</v>
      </c>
      <c r="D18" s="1679">
        <f>'Д 3.1_Т на Т без ЦТП'!G25</f>
        <v>181.27583888373348</v>
      </c>
      <c r="E18" s="68">
        <f>'ТЕ_2ст_тариф_без ЦТП'!E100</f>
        <v>181.27583888373348</v>
      </c>
      <c r="F18" s="3922">
        <f t="shared" si="0"/>
        <v>0</v>
      </c>
      <c r="H18" s="1679">
        <f>'Д 3_Т на Т з ЦТП'!G25</f>
        <v>69.268272036529339</v>
      </c>
      <c r="I18" s="68">
        <f>'ТЕ_2ст_тариф_з ЦТП'!E100</f>
        <v>69.268272036529339</v>
      </c>
      <c r="J18" s="3922">
        <f t="shared" si="1"/>
        <v>0</v>
      </c>
      <c r="M18" s="68" t="str">
        <f>'Д 2_Т на В'!C26</f>
        <v>єдиний внесок на загальнообов’язкове державне соціальне страхування працівників</v>
      </c>
      <c r="N18" s="4485">
        <f>'Д 2_Т на В'!H26</f>
        <v>2470.366658167306</v>
      </c>
      <c r="O18" s="1265">
        <f>'ТЕ_2ст_тариф_з ЦТП'!E51</f>
        <v>2470.366658167306</v>
      </c>
      <c r="P18" s="1266">
        <f>'ТЕ_2ст_тариф_без ЦТП'!E51</f>
        <v>2470.366658167306</v>
      </c>
      <c r="Q18" s="3912">
        <f>'Д 2_Т на В'!L26</f>
        <v>2052.0038425088073</v>
      </c>
      <c r="R18" s="4480">
        <f>'ТЕ_2ст_тариф_з ЦТП'!H51</f>
        <v>2051.6269186545933</v>
      </c>
      <c r="S18" s="4480">
        <f>'ТЕ_2ст_тариф_без ЦТП'!H51</f>
        <v>2051.6269186545933</v>
      </c>
      <c r="T18" s="3922">
        <f t="shared" si="2"/>
        <v>0.37692385421405561</v>
      </c>
      <c r="U18" s="1597">
        <f t="shared" si="3"/>
        <v>0</v>
      </c>
    </row>
    <row r="19" spans="2:21" x14ac:dyDescent="0.3">
      <c r="B19" s="17" t="str">
        <f>'Д 3_Т на Т з ЦТП'!A26</f>
        <v>1.4.3</v>
      </c>
      <c r="D19" s="1679">
        <f>'Д 3.1_Т на Т без ЦТП'!G26</f>
        <v>80.877013465150554</v>
      </c>
      <c r="E19" s="68">
        <f>'ТЕ_2ст_тариф_без ЦТП'!E101</f>
        <v>80.877013465150554</v>
      </c>
      <c r="F19" s="3922">
        <f t="shared" si="0"/>
        <v>0</v>
      </c>
      <c r="H19" s="1679">
        <f>'Д 3_Т на Т з ЦТП'!G26</f>
        <v>30.904344476923058</v>
      </c>
      <c r="I19" s="68">
        <f>'ТЕ_2ст_тариф_з ЦТП'!E101</f>
        <v>30.904344476923058</v>
      </c>
      <c r="J19" s="3922">
        <f t="shared" si="1"/>
        <v>0</v>
      </c>
      <c r="M19" s="68" t="str">
        <f>'Д 2_Т на В'!C27</f>
        <v xml:space="preserve"> амортизація</v>
      </c>
      <c r="N19" s="4485">
        <f>'Д 2_Т на В'!H27</f>
        <v>2122.9628600000001</v>
      </c>
      <c r="O19" s="1265">
        <f>'ТЕ_2ст_тариф_з ЦТП'!E52</f>
        <v>2122.9628600000001</v>
      </c>
      <c r="P19" s="1266">
        <f>'ТЕ_2ст_тариф_без ЦТП'!E52</f>
        <v>2122.9628600000001</v>
      </c>
      <c r="Q19" s="1679">
        <f>'Д 2_Т на В'!L27</f>
        <v>1763.433752565023</v>
      </c>
      <c r="R19" s="68">
        <f>'ТЕ_2ст_тариф_з ЦТП'!H52</f>
        <v>1763.1098349227168</v>
      </c>
      <c r="S19" s="68">
        <f>'ТЕ_2ст_тариф_без ЦТП'!H52</f>
        <v>1763.1098349227168</v>
      </c>
      <c r="T19" s="3922">
        <f t="shared" si="2"/>
        <v>0.32391764230624176</v>
      </c>
      <c r="U19" s="1597">
        <f t="shared" si="3"/>
        <v>0</v>
      </c>
    </row>
    <row r="20" spans="2:21" x14ac:dyDescent="0.3">
      <c r="B20" s="17">
        <f>'Д 3_Т на Т з ЦТП'!A27</f>
        <v>2</v>
      </c>
      <c r="D20" s="1679">
        <f>'Д 3.1_Т на Т без ЦТП'!G27</f>
        <v>1351.1769216868572</v>
      </c>
      <c r="E20" s="68">
        <f>'ТЕ_2ст_тариф_без ЦТП'!E102</f>
        <v>1351.1769216868572</v>
      </c>
      <c r="F20" s="3922">
        <f t="shared" si="0"/>
        <v>0</v>
      </c>
      <c r="H20" s="1679">
        <f>'Д 3_Т на Т з ЦТП'!G27</f>
        <v>516.3053783516873</v>
      </c>
      <c r="I20" s="68">
        <f>'ТЕ_2ст_тариф_з ЦТП'!E102</f>
        <v>516.3053783516873</v>
      </c>
      <c r="J20" s="3922">
        <f t="shared" si="1"/>
        <v>0</v>
      </c>
      <c r="M20" s="68" t="str">
        <f>'Д 2_Т на В'!C28</f>
        <v xml:space="preserve"> інші прямі витрати</v>
      </c>
      <c r="N20" s="4485">
        <f>'Д 2_Т на В'!H28</f>
        <v>2640.3178324670394</v>
      </c>
      <c r="O20" s="1265">
        <f>'ТЕ_2ст_тариф_з ЦТП'!E53</f>
        <v>2640.3178324670394</v>
      </c>
      <c r="P20" s="1266">
        <f>'ТЕ_2ст_тариф_без ЦТП'!E53</f>
        <v>2640.3178324670394</v>
      </c>
      <c r="Q20" s="1679">
        <f>'Д 2_Т на В'!L28</f>
        <v>2193.1733573858655</v>
      </c>
      <c r="R20" s="68">
        <f>'ТЕ_2ст_тариф_з ЦТП'!H53</f>
        <v>2192.7705027041629</v>
      </c>
      <c r="S20" s="68">
        <f>'ТЕ_2ст_тариф_без ЦТП'!H53</f>
        <v>2192.7705027041629</v>
      </c>
      <c r="T20" s="3922">
        <f t="shared" si="2"/>
        <v>0.40285468170259264</v>
      </c>
      <c r="U20" s="1597">
        <f t="shared" si="3"/>
        <v>0</v>
      </c>
    </row>
    <row r="21" spans="2:21" x14ac:dyDescent="0.3">
      <c r="B21" s="17" t="str">
        <f>'Д 3_Т на Т з ЦТП'!A28</f>
        <v>2.1</v>
      </c>
      <c r="D21" s="1679">
        <f>'Д 3.1_Т на Т без ЦТП'!G28</f>
        <v>1011.8479335682923</v>
      </c>
      <c r="E21" s="68">
        <f>'ТЕ_2ст_тариф_без ЦТП'!E103</f>
        <v>1011.8479335682923</v>
      </c>
      <c r="F21" s="3922">
        <f t="shared" si="0"/>
        <v>0</v>
      </c>
      <c r="H21" s="1679">
        <f>'Д 3_Т на Т з ЦТП'!G28</f>
        <v>386.64257936195304</v>
      </c>
      <c r="I21" s="68">
        <f>'ТЕ_2ст_тариф_з ЦТП'!E103</f>
        <v>386.64257936195304</v>
      </c>
      <c r="J21" s="3922">
        <f t="shared" si="1"/>
        <v>0</v>
      </c>
      <c r="M21" s="68" t="str">
        <f>'Д 2_Т на В'!C29</f>
        <v>загальновиробничі витрати, зокрема:</v>
      </c>
      <c r="N21" s="4485">
        <f>'Д 2_Т на В'!H29</f>
        <v>5210.7535416702249</v>
      </c>
      <c r="O21" s="1265">
        <f>'ТЕ_2ст_тариф_з ЦТП'!E54</f>
        <v>5210.7535416702249</v>
      </c>
      <c r="P21" s="1266">
        <f>'ТЕ_2ст_тариф_без ЦТП'!E54</f>
        <v>5210.7535416702249</v>
      </c>
      <c r="Q21" s="1679">
        <f>'Д 2_Т на В'!L29</f>
        <v>4328.2993050943005</v>
      </c>
      <c r="R21" s="68">
        <f>'ТЕ_2ст_тариф_з ЦТП'!H54</f>
        <v>4327.504258212577</v>
      </c>
      <c r="S21" s="68">
        <f>'ТЕ_2ст_тариф_без ЦТП'!H54</f>
        <v>4327.504258212577</v>
      </c>
      <c r="T21" s="3922">
        <f t="shared" si="2"/>
        <v>0.79504688172346505</v>
      </c>
      <c r="U21" s="1597">
        <f t="shared" si="3"/>
        <v>0</v>
      </c>
    </row>
    <row r="22" spans="2:21" x14ac:dyDescent="0.3">
      <c r="B22" s="17" t="str">
        <f>'Д 3_Т на Т з ЦТП'!A29</f>
        <v>2.2</v>
      </c>
      <c r="D22" s="1679">
        <f>'Д 3.1_Т на Т без ЦТП'!G29</f>
        <v>222.6065453850243</v>
      </c>
      <c r="E22" s="68">
        <f>'ТЕ_2ст_тариф_без ЦТП'!E104</f>
        <v>222.6065453850243</v>
      </c>
      <c r="F22" s="3922">
        <f t="shared" si="0"/>
        <v>0</v>
      </c>
      <c r="H22" s="1679">
        <f>'Д 3_Т на Т з ЦТП'!G29</f>
        <v>85.061367459629665</v>
      </c>
      <c r="I22" s="68">
        <f>'ТЕ_2ст_тариф_з ЦТП'!E104</f>
        <v>85.061367459629665</v>
      </c>
      <c r="J22" s="3922">
        <f t="shared" si="1"/>
        <v>0</v>
      </c>
      <c r="M22" s="68" t="str">
        <f>'Д 2_Т на В'!C30</f>
        <v>витрати на оплату праці</v>
      </c>
      <c r="N22" s="4485">
        <f>'Д 2_Т на В'!H30</f>
        <v>3981.6703519823727</v>
      </c>
      <c r="O22" s="1265">
        <f>'ТЕ_2ст_тариф_з ЦТП'!E55</f>
        <v>3981.6703519823727</v>
      </c>
      <c r="P22" s="1266">
        <f>'ТЕ_2ст_тариф_без ЦТП'!E55</f>
        <v>3981.6703519823727</v>
      </c>
      <c r="Q22" s="1679">
        <f>'Д 2_Т на В'!L30</f>
        <v>3307.3644492646335</v>
      </c>
      <c r="R22" s="68">
        <f>'ТЕ_2ст_тариф_з ЦТП'!H55</f>
        <v>3306.7569335623311</v>
      </c>
      <c r="S22" s="68">
        <f>'ТЕ_2ст_тариф_без ЦТП'!H55</f>
        <v>3306.7569335623311</v>
      </c>
      <c r="T22" s="3922">
        <f t="shared" si="2"/>
        <v>0.60751570230240759</v>
      </c>
      <c r="U22" s="1597">
        <f t="shared" si="3"/>
        <v>0</v>
      </c>
    </row>
    <row r="23" spans="2:21" x14ac:dyDescent="0.3">
      <c r="B23" s="17" t="str">
        <f>'Д 3_Т на Т з ЦТП'!A30</f>
        <v>2.3</v>
      </c>
      <c r="D23" s="1679">
        <f>'Д 3.1_Т на Т без ЦТП'!G30</f>
        <v>116.72244273354059</v>
      </c>
      <c r="E23" s="68">
        <f>'ТЕ_2ст_тариф_без ЦТП'!E105</f>
        <v>116.72244273354059</v>
      </c>
      <c r="F23" s="3922">
        <f t="shared" si="0"/>
        <v>0</v>
      </c>
      <c r="H23" s="1679">
        <f>'Д 3_Т на Т з ЦТП'!G30</f>
        <v>44.601431530104591</v>
      </c>
      <c r="I23" s="68">
        <f>'ТЕ_2ст_тариф_з ЦТП'!E105</f>
        <v>44.601431530104591</v>
      </c>
      <c r="J23" s="3922">
        <f t="shared" si="1"/>
        <v>0</v>
      </c>
      <c r="M23" s="68" t="str">
        <f>'Д 2_Т на В'!C31</f>
        <v>єдиний внесок на загальнообов’язкове державне соціальне страхування працівників</v>
      </c>
      <c r="N23" s="4485">
        <f>'Д 2_Т на В'!H31</f>
        <v>849.8976237422155</v>
      </c>
      <c r="O23" s="1265">
        <f>'ТЕ_2ст_тариф_з ЦТП'!E56</f>
        <v>849.8976237422155</v>
      </c>
      <c r="P23" s="1266">
        <f>'ТЕ_2ст_тариф_без ЦТП'!E56</f>
        <v>849.8976237422155</v>
      </c>
      <c r="Q23" s="1679">
        <f>'Д 2_Т на В'!L31</f>
        <v>705.96532052936197</v>
      </c>
      <c r="R23" s="68">
        <f>'ТЕ_2ст_тариф_з ЦТП'!H56</f>
        <v>705.83564476363324</v>
      </c>
      <c r="S23" s="68">
        <f>'ТЕ_2ст_тариф_без ЦТП'!H56</f>
        <v>705.83564476363324</v>
      </c>
      <c r="T23" s="3922">
        <f t="shared" si="2"/>
        <v>0.1296757657287344</v>
      </c>
      <c r="U23" s="1597">
        <f t="shared" si="3"/>
        <v>0</v>
      </c>
    </row>
    <row r="24" spans="2:21" x14ac:dyDescent="0.3">
      <c r="B24" s="17" t="str">
        <f>'Д 3_Т на Т з ЦТП'!A31</f>
        <v>3</v>
      </c>
      <c r="D24" s="1679">
        <f>'Д 3.1_Т на Т без ЦТП'!G31</f>
        <v>0</v>
      </c>
      <c r="E24" s="68">
        <f>'ТЕ_2ст_тариф_без ЦТП'!E106</f>
        <v>0</v>
      </c>
      <c r="F24" s="3922">
        <f t="shared" si="0"/>
        <v>0</v>
      </c>
      <c r="H24" s="1679">
        <f>'Д 3_Т на Т з ЦТП'!G31</f>
        <v>0</v>
      </c>
      <c r="I24" s="68">
        <f>'ТЕ_2ст_тариф_з ЦТП'!E106</f>
        <v>0</v>
      </c>
      <c r="J24" s="3922">
        <f t="shared" si="1"/>
        <v>0</v>
      </c>
      <c r="M24" s="68" t="str">
        <f>'Д 2_Т на В'!C32</f>
        <v>інші витрати</v>
      </c>
      <c r="N24" s="4485">
        <f>'Д 2_Т на В'!H32</f>
        <v>379.18556594563665</v>
      </c>
      <c r="O24" s="1265">
        <f>'ТЕ_2ст_тариф_з ЦТП'!E57</f>
        <v>379.18556594563665</v>
      </c>
      <c r="P24" s="1266">
        <f>'ТЕ_2ст_тариф_без ЦТП'!E57</f>
        <v>379.18556594563665</v>
      </c>
      <c r="Q24" s="1679">
        <f>'Д 2_Т на В'!L32</f>
        <v>314.96953530030476</v>
      </c>
      <c r="R24" s="68">
        <f>'ТЕ_2ст_тариф_з ЦТП'!H57</f>
        <v>314.91167988661266</v>
      </c>
      <c r="S24" s="68">
        <f>'ТЕ_2ст_тариф_без ЦТП'!H57</f>
        <v>314.91167988661266</v>
      </c>
      <c r="T24" s="3922">
        <f t="shared" si="2"/>
        <v>5.7855413692095681E-2</v>
      </c>
      <c r="U24" s="1597">
        <f t="shared" si="3"/>
        <v>0</v>
      </c>
    </row>
    <row r="25" spans="2:21" x14ac:dyDescent="0.3">
      <c r="B25" s="17" t="str">
        <f>'Д 3_Т на Т з ЦТП'!A32</f>
        <v>3.1</v>
      </c>
      <c r="D25" s="1679">
        <f>'Д 3.1_Т на Т без ЦТП'!G32</f>
        <v>0</v>
      </c>
      <c r="E25" s="68">
        <f>'ТЕ_2ст_тариф_без ЦТП'!E107</f>
        <v>0</v>
      </c>
      <c r="F25" s="3922">
        <f t="shared" si="0"/>
        <v>0</v>
      </c>
      <c r="H25" s="1679">
        <f>'Д 3_Т на Т з ЦТП'!G32</f>
        <v>0</v>
      </c>
      <c r="I25" s="68">
        <f>'ТЕ_2ст_тариф_з ЦТП'!E107</f>
        <v>0</v>
      </c>
      <c r="J25" s="3922">
        <f t="shared" si="1"/>
        <v>0</v>
      </c>
      <c r="M25" s="68" t="str">
        <f>'Д 2_Т на В'!C33</f>
        <v>Адміністративні витрати, зокрема:</v>
      </c>
      <c r="N25" s="4485">
        <f>'Д 2_Т на В'!H33</f>
        <v>6334.8875507536159</v>
      </c>
      <c r="O25" s="1265">
        <f>'ТЕ_2ст_тариф_з ЦТП'!E58</f>
        <v>6334.8875507536159</v>
      </c>
      <c r="P25" s="1266">
        <f>'ТЕ_2ст_тариф_без ЦТП'!E58</f>
        <v>6334.8875507536159</v>
      </c>
      <c r="Q25" s="1679">
        <f>'Д 2_Т на В'!L33</f>
        <v>5262.0583883897507</v>
      </c>
      <c r="R25" s="68">
        <f>'ТЕ_2ст_тариф_з ЦТП'!H58</f>
        <v>5261.0918232753165</v>
      </c>
      <c r="S25" s="68">
        <f>'ТЕ_2ст_тариф_без ЦТП'!H58</f>
        <v>5261.0918232753165</v>
      </c>
      <c r="T25" s="3922">
        <f t="shared" si="2"/>
        <v>0.96656511443416093</v>
      </c>
      <c r="U25" s="1597">
        <f t="shared" si="3"/>
        <v>0</v>
      </c>
    </row>
    <row r="26" spans="2:21" x14ac:dyDescent="0.3">
      <c r="B26" s="17" t="str">
        <f>'Д 3_Т на Т з ЦТП'!A33</f>
        <v>3.2</v>
      </c>
      <c r="D26" s="1679">
        <f>'Д 3.1_Т на Т без ЦТП'!G33</f>
        <v>0</v>
      </c>
      <c r="E26" s="68">
        <f>'ТЕ_2ст_тариф_без ЦТП'!E108</f>
        <v>0</v>
      </c>
      <c r="F26" s="3922">
        <f t="shared" si="0"/>
        <v>0</v>
      </c>
      <c r="H26" s="1679">
        <f>'Д 3_Т на Т з ЦТП'!G33</f>
        <v>0</v>
      </c>
      <c r="I26" s="68">
        <f>'ТЕ_2ст_тариф_з ЦТП'!E108</f>
        <v>0</v>
      </c>
      <c r="J26" s="3922">
        <f t="shared" si="1"/>
        <v>0</v>
      </c>
      <c r="M26" s="68" t="str">
        <f>'Д 2_Т на В'!C34</f>
        <v>витрати на оплату праці</v>
      </c>
      <c r="N26" s="4485">
        <f>'Д 2_Т на В'!H34</f>
        <v>4743.9700713768461</v>
      </c>
      <c r="O26" s="1265">
        <f>'ТЕ_2ст_тариф_з ЦТП'!E59</f>
        <v>4743.9700713768461</v>
      </c>
      <c r="P26" s="1266">
        <f>'ТЕ_2ст_тариф_без ЦТП'!E59</f>
        <v>4743.9700713768461</v>
      </c>
      <c r="Q26" s="3912">
        <f>'Д 2_Т на В'!L34</f>
        <v>3940.566791179866</v>
      </c>
      <c r="R26" s="4480">
        <f>'ТЕ_2ст_тариф_з ЦТП'!H59</f>
        <v>3939.8429652337582</v>
      </c>
      <c r="S26" s="4480">
        <f>'ТЕ_2ст_тариф_без ЦТП'!H59</f>
        <v>3939.8429652337582</v>
      </c>
      <c r="T26" s="3922">
        <f t="shared" si="2"/>
        <v>0.7238259461078087</v>
      </c>
      <c r="U26" s="1597">
        <f t="shared" si="3"/>
        <v>0</v>
      </c>
    </row>
    <row r="27" spans="2:21" x14ac:dyDescent="0.3">
      <c r="B27" s="17" t="str">
        <f>'Д 3_Т на Т з ЦТП'!A34</f>
        <v>3.3</v>
      </c>
      <c r="D27" s="1679">
        <f>'Д 3.1_Т на Т без ЦТП'!G34</f>
        <v>0</v>
      </c>
      <c r="E27" s="68">
        <f>'ТЕ_2ст_тариф_без ЦТП'!E109</f>
        <v>0</v>
      </c>
      <c r="F27" s="3922">
        <f t="shared" si="0"/>
        <v>0</v>
      </c>
      <c r="H27" s="1679">
        <f>'Д 3_Т на Т з ЦТП'!G34</f>
        <v>0</v>
      </c>
      <c r="I27" s="68">
        <f>'ТЕ_2ст_тариф_з ЦТП'!E109</f>
        <v>0</v>
      </c>
      <c r="J27" s="3922">
        <f t="shared" si="1"/>
        <v>0</v>
      </c>
      <c r="M27" s="68" t="str">
        <f>'Д 2_Т на В'!C35</f>
        <v>єдиний внесок на загальнообов’язкове державне соціальне страхування працівників</v>
      </c>
      <c r="N27" s="4485">
        <f>'Д 2_Т на В'!H35</f>
        <v>1043.6734157029061</v>
      </c>
      <c r="O27" s="1265">
        <f>'ТЕ_2ст_тариф_з ЦТП'!E60</f>
        <v>1043.6734157029061</v>
      </c>
      <c r="P27" s="1266">
        <f>'ТЕ_2ст_тариф_без ЦТП'!E60</f>
        <v>1043.6734157029061</v>
      </c>
      <c r="Q27" s="1679">
        <f>'Д 2_Т на В'!L35</f>
        <v>866.92469405957058</v>
      </c>
      <c r="R27" s="68">
        <f>'ТЕ_2ст_тариф_з ЦТП'!H60</f>
        <v>866.7654523514268</v>
      </c>
      <c r="S27" s="68">
        <f>'ТЕ_2ст_тариф_без ЦТП'!H60</f>
        <v>866.7654523514268</v>
      </c>
      <c r="T27" s="3922">
        <f t="shared" si="2"/>
        <v>0.15924170814378158</v>
      </c>
      <c r="U27" s="1597">
        <f t="shared" si="3"/>
        <v>0</v>
      </c>
    </row>
    <row r="28" spans="2:21" x14ac:dyDescent="0.3">
      <c r="B28" s="17" t="str">
        <f>'Д 3_Т на Т з ЦТП'!A35</f>
        <v>4</v>
      </c>
      <c r="D28" s="1679">
        <f>'Д 3.1_Т на Т без ЦТП'!G35</f>
        <v>0</v>
      </c>
      <c r="E28" s="68">
        <f>'ТЕ_2ст_тариф_без ЦТП'!E110</f>
        <v>0</v>
      </c>
      <c r="F28" s="3922">
        <f t="shared" si="0"/>
        <v>0</v>
      </c>
      <c r="H28" s="1679">
        <f>'Д 3_Т на Т з ЦТП'!G35</f>
        <v>0</v>
      </c>
      <c r="I28" s="68">
        <f>'ТЕ_2ст_тариф_з ЦТП'!E110</f>
        <v>0</v>
      </c>
      <c r="J28" s="3922">
        <f t="shared" si="1"/>
        <v>0</v>
      </c>
      <c r="M28" s="68" t="str">
        <f>'Д 2_Т на В'!C36</f>
        <v>інші витрати</v>
      </c>
      <c r="N28" s="4485">
        <f>'Д 2_Т на В'!H36</f>
        <v>547.24406367386359</v>
      </c>
      <c r="O28" s="1265">
        <f>'ТЕ_2ст_тариф_з ЦТП'!E61</f>
        <v>547.24406367386359</v>
      </c>
      <c r="P28" s="1266">
        <f>'ТЕ_2ст_тариф_без ЦТП'!E61</f>
        <v>547.24406367386359</v>
      </c>
      <c r="Q28" s="1679">
        <f>'Д 2_Т на В'!L36</f>
        <v>454.56690315031398</v>
      </c>
      <c r="R28" s="68">
        <f>'ТЕ_2ст_тариф_з ЦТП'!H61</f>
        <v>454.48340569013158</v>
      </c>
      <c r="S28" s="68">
        <f>'ТЕ_2ст_тариф_без ЦТП'!H61</f>
        <v>454.48340569013158</v>
      </c>
      <c r="T28" s="3922">
        <f t="shared" si="2"/>
        <v>8.3497460182400118E-2</v>
      </c>
      <c r="U28" s="1597">
        <f t="shared" si="3"/>
        <v>0</v>
      </c>
    </row>
    <row r="29" spans="2:21" x14ac:dyDescent="0.3">
      <c r="B29" s="17" t="str">
        <f>'Д 3_Т на Т з ЦТП'!A36</f>
        <v>5</v>
      </c>
      <c r="D29" s="1679">
        <f>'Д 3.1_Т на Т без ЦТП'!G36</f>
        <v>0</v>
      </c>
      <c r="E29" s="68">
        <f>'ТЕ_2ст_тариф_без ЦТП'!E111</f>
        <v>0</v>
      </c>
      <c r="F29" s="3922">
        <f t="shared" si="0"/>
        <v>0</v>
      </c>
      <c r="H29" s="1679">
        <f>'Д 3_Т на Т з ЦТП'!G36</f>
        <v>0</v>
      </c>
      <c r="I29" s="68">
        <f>'ТЕ_2ст_тариф_з ЦТП'!E111</f>
        <v>0</v>
      </c>
      <c r="J29" s="3922">
        <f t="shared" si="1"/>
        <v>0</v>
      </c>
      <c r="M29" s="68" t="str">
        <f>'Д 2_Т на В'!C37</f>
        <v>Витрати на збут, зокрема:</v>
      </c>
      <c r="N29" s="4485">
        <f>'Д 2_Т на В'!H37</f>
        <v>0</v>
      </c>
      <c r="O29" s="1265">
        <f>'ТЕ_2ст_тариф_з ЦТП'!E62</f>
        <v>0</v>
      </c>
      <c r="P29" s="1266">
        <f>'ТЕ_2ст_тариф_без ЦТП'!E62</f>
        <v>0</v>
      </c>
      <c r="Q29" s="1679">
        <f>'Д 2_Т на В'!L37</f>
        <v>0</v>
      </c>
      <c r="R29" s="68">
        <f>'ТЕ_2ст_тариф_з ЦТП'!H62</f>
        <v>0</v>
      </c>
      <c r="S29" s="68">
        <f>'ТЕ_2ст_тариф_без ЦТП'!H62</f>
        <v>0</v>
      </c>
      <c r="T29" s="3922">
        <f t="shared" si="2"/>
        <v>0</v>
      </c>
      <c r="U29" s="1597">
        <f t="shared" si="3"/>
        <v>0</v>
      </c>
    </row>
    <row r="30" spans="2:21" x14ac:dyDescent="0.3">
      <c r="B30" s="17" t="str">
        <f>'Д 3_Т на Т з ЦТП'!A37</f>
        <v>6</v>
      </c>
      <c r="D30" s="1679">
        <f>'Д 3.1_Т на Т без ЦТП'!G37</f>
        <v>44702.035020677613</v>
      </c>
      <c r="E30" s="68">
        <f>'ТЕ_2ст_тариф_без ЦТП'!E112</f>
        <v>41678.346479816559</v>
      </c>
      <c r="F30" s="3922">
        <f t="shared" si="0"/>
        <v>3023.6885408610542</v>
      </c>
      <c r="H30" s="1679">
        <f>'Д 3_Т на Т з ЦТП'!G37</f>
        <v>15223.768464307332</v>
      </c>
      <c r="I30" s="68">
        <f>'ТЕ_2ст_тариф_з ЦТП'!E112</f>
        <v>14555.110457723064</v>
      </c>
      <c r="J30" s="3922">
        <f t="shared" si="1"/>
        <v>668.65800658426815</v>
      </c>
      <c r="M30" s="68" t="str">
        <f>'Д 2_Т на В'!C38</f>
        <v>витрати на оплату праці</v>
      </c>
      <c r="N30" s="4485">
        <f>'Д 2_Т на В'!H38</f>
        <v>0</v>
      </c>
      <c r="O30" s="1265">
        <f>'ТЕ_2ст_тариф_з ЦТП'!E63</f>
        <v>0</v>
      </c>
      <c r="P30" s="1266">
        <f>'ТЕ_2ст_тариф_без ЦТП'!E63</f>
        <v>0</v>
      </c>
      <c r="Q30" s="1679">
        <f>'Д 2_Т на В'!L38</f>
        <v>0</v>
      </c>
      <c r="R30" s="68">
        <f>'ТЕ_2ст_тариф_з ЦТП'!H63</f>
        <v>0</v>
      </c>
      <c r="S30" s="68">
        <f>'ТЕ_2ст_тариф_без ЦТП'!H63</f>
        <v>0</v>
      </c>
      <c r="T30" s="3922">
        <f t="shared" si="2"/>
        <v>0</v>
      </c>
      <c r="U30" s="1597">
        <f t="shared" si="3"/>
        <v>0</v>
      </c>
    </row>
    <row r="31" spans="2:21" x14ac:dyDescent="0.3">
      <c r="M31" s="68" t="str">
        <f>'Д 2_Т на В'!C39</f>
        <v>єдиний внесок на загальнообов’язкове державне соціальне страхування працівників</v>
      </c>
      <c r="N31" s="4485">
        <f>'Д 2_Т на В'!H39</f>
        <v>0</v>
      </c>
      <c r="O31" s="1265">
        <f>'ТЕ_2ст_тариф_з ЦТП'!E64</f>
        <v>0</v>
      </c>
      <c r="P31" s="1266">
        <f>'ТЕ_2ст_тариф_без ЦТП'!E64</f>
        <v>0</v>
      </c>
      <c r="Q31" s="1679">
        <f>'Д 2_Т на В'!L39</f>
        <v>0</v>
      </c>
      <c r="R31" s="68">
        <f>'ТЕ_2ст_тариф_з ЦТП'!H64</f>
        <v>0</v>
      </c>
      <c r="S31" s="68">
        <f>'ТЕ_2ст_тариф_без ЦТП'!H64</f>
        <v>0</v>
      </c>
      <c r="T31" s="3922">
        <f t="shared" si="2"/>
        <v>0</v>
      </c>
      <c r="U31" s="1597">
        <f t="shared" si="3"/>
        <v>0</v>
      </c>
    </row>
    <row r="32" spans="2:21" x14ac:dyDescent="0.3">
      <c r="M32" s="68" t="str">
        <f>'Д 2_Т на В'!C40</f>
        <v>інші витрати</v>
      </c>
      <c r="N32" s="4485">
        <f>'Д 2_Т на В'!H40</f>
        <v>0</v>
      </c>
      <c r="O32" s="1265">
        <f>'ТЕ_2ст_тариф_з ЦТП'!E65</f>
        <v>0</v>
      </c>
      <c r="P32" s="1266">
        <f>'ТЕ_2ст_тариф_без ЦТП'!E65</f>
        <v>0</v>
      </c>
      <c r="Q32" s="1679">
        <f>'Д 2_Т на В'!L40</f>
        <v>0</v>
      </c>
      <c r="R32" s="68">
        <f>'ТЕ_2ст_тариф_з ЦТП'!H65</f>
        <v>0</v>
      </c>
      <c r="S32" s="68">
        <f>'ТЕ_2ст_тариф_без ЦТП'!H65</f>
        <v>0</v>
      </c>
      <c r="T32" s="3922">
        <f t="shared" si="2"/>
        <v>0</v>
      </c>
      <c r="U32" s="1597">
        <f t="shared" si="3"/>
        <v>0</v>
      </c>
    </row>
    <row r="33" spans="13:21" x14ac:dyDescent="0.3">
      <c r="M33" s="68" t="str">
        <f>'Д 2_Т на В'!C41</f>
        <v>Інші операційні витрати**</v>
      </c>
      <c r="N33" s="4485">
        <f>'Д 2_Т на В'!H41</f>
        <v>0</v>
      </c>
      <c r="O33" s="1265">
        <f>'ТЕ_2ст_тариф_з ЦТП'!E66</f>
        <v>0</v>
      </c>
      <c r="P33" s="1266">
        <f>'ТЕ_2ст_тариф_без ЦТП'!E66</f>
        <v>0</v>
      </c>
      <c r="Q33" s="1679">
        <f>'Д 2_Т на В'!L41</f>
        <v>0</v>
      </c>
      <c r="R33" s="68">
        <f>'ТЕ_2ст_тариф_з ЦТП'!H66</f>
        <v>0</v>
      </c>
      <c r="S33" s="68">
        <f>'ТЕ_2ст_тариф_без ЦТП'!H66</f>
        <v>0</v>
      </c>
      <c r="T33" s="3922">
        <f t="shared" si="2"/>
        <v>0</v>
      </c>
      <c r="U33" s="1597">
        <f t="shared" si="3"/>
        <v>0</v>
      </c>
    </row>
    <row r="34" spans="13:21" x14ac:dyDescent="0.3">
      <c r="M34" s="68" t="str">
        <f>'Д 2_Т на В'!C42</f>
        <v>Фінансові витрати</v>
      </c>
      <c r="N34" s="4485">
        <f>'Д 2_Т на В'!H42</f>
        <v>0</v>
      </c>
      <c r="O34" s="1265">
        <f>'ТЕ_2ст_тариф_з ЦТП'!E67</f>
        <v>0</v>
      </c>
      <c r="P34" s="1266">
        <f>'ТЕ_2ст_тариф_без ЦТП'!E67</f>
        <v>0</v>
      </c>
      <c r="Q34" s="1679">
        <f>'Д 2_Т на В'!L42</f>
        <v>0</v>
      </c>
      <c r="R34" s="68">
        <f>'ТЕ_2ст_тариф_з ЦТП'!H67</f>
        <v>0</v>
      </c>
      <c r="S34" s="68">
        <f>'ТЕ_2ст_тариф_без ЦТП'!H67</f>
        <v>0</v>
      </c>
      <c r="T34" s="3922">
        <f t="shared" si="2"/>
        <v>0</v>
      </c>
      <c r="U34" s="1597">
        <f t="shared" si="3"/>
        <v>0</v>
      </c>
    </row>
    <row r="35" spans="13:21" x14ac:dyDescent="0.3">
      <c r="M35" s="68" t="str">
        <f>'Д 2_Т на В'!C43</f>
        <v>Повна собівартість**</v>
      </c>
      <c r="N35" s="4485">
        <f>'Д 2_Т на В'!H43</f>
        <v>155406.25959820245</v>
      </c>
      <c r="O35" s="1265">
        <f>'ТЕ_2ст_тариф_з ЦТП'!E68</f>
        <v>155406.25959820251</v>
      </c>
      <c r="P35" s="1266">
        <f>'ТЕ_2ст_тариф_без ЦТП'!E68</f>
        <v>155406.25959820251</v>
      </c>
      <c r="Q35" s="1679">
        <f>'Д 2_Т на В'!L43</f>
        <v>113998.7733449282</v>
      </c>
      <c r="R35" s="68">
        <f>'ТЕ_2ст_тариф_з ЦТП'!H68</f>
        <v>113992.57640125134</v>
      </c>
      <c r="S35" s="68">
        <f>'ТЕ_2ст_тариф_без ЦТП'!H68</f>
        <v>113992.57640125134</v>
      </c>
      <c r="T35" s="3922">
        <f t="shared" si="2"/>
        <v>6.1969436768558808</v>
      </c>
      <c r="U35" s="1597">
        <f t="shared" si="3"/>
        <v>0</v>
      </c>
    </row>
    <row r="36" spans="13:21" x14ac:dyDescent="0.3">
      <c r="M36" s="68" t="str">
        <f>'Д 2_Т на В'!C44</f>
        <v>Витрати на відшкодування втрат, коригування витрат</v>
      </c>
      <c r="N36" s="4485">
        <f>'Д 2_Т на В'!H44</f>
        <v>0</v>
      </c>
      <c r="O36" s="1265">
        <f>'ТЕ_2ст_тариф_з ЦТП'!E69</f>
        <v>0</v>
      </c>
      <c r="P36" s="1266">
        <f>'ТЕ_2ст_тариф_без ЦТП'!E69</f>
        <v>0</v>
      </c>
      <c r="Q36" s="1679">
        <f>'Д 2_Т на В'!L44</f>
        <v>0</v>
      </c>
      <c r="R36" s="68">
        <f>'ТЕ_2ст_тариф_з ЦТП'!H69</f>
        <v>0</v>
      </c>
      <c r="S36" s="68">
        <f>'ТЕ_2ст_тариф_без ЦТП'!H69</f>
        <v>0</v>
      </c>
      <c r="T36" s="3922">
        <f t="shared" si="2"/>
        <v>0</v>
      </c>
      <c r="U36" s="1597">
        <f t="shared" si="3"/>
        <v>0</v>
      </c>
    </row>
    <row r="37" spans="13:21" x14ac:dyDescent="0.3">
      <c r="M37" s="68" t="str">
        <f>'Д 2_Т на В'!C45</f>
        <v>Розрахунковий прибуток, усього**, зокрема:</v>
      </c>
      <c r="N37" s="4485">
        <f>'Д 2_Т на В'!H45</f>
        <v>7201.7534935752356</v>
      </c>
      <c r="O37" s="1265">
        <f>'ТЕ_2ст_тариф_з ЦТП'!E70</f>
        <v>7201.7534935752356</v>
      </c>
      <c r="P37" s="1266">
        <f>'ТЕ_2ст_тариф_без ЦТП'!E70</f>
        <v>7201.7534935752356</v>
      </c>
      <c r="Q37" s="1679">
        <f>'Д 2_Т на В'!L45</f>
        <v>5282.8699842771603</v>
      </c>
      <c r="R37" s="68">
        <f>'ТЕ_2ст_тариф_з ЦТП'!H70</f>
        <v>5282.582808838476</v>
      </c>
      <c r="S37" s="68">
        <f>'ТЕ_2ст_тариф_без ЦТП'!H70</f>
        <v>5282.582808838476</v>
      </c>
      <c r="T37" s="3922">
        <f t="shared" si="2"/>
        <v>0.287175438684244</v>
      </c>
      <c r="U37" s="1597">
        <f t="shared" si="3"/>
        <v>0</v>
      </c>
    </row>
    <row r="38" spans="13:21" x14ac:dyDescent="0.3">
      <c r="M38" s="68" t="str">
        <f>'Д 2_Т на В'!C46</f>
        <v>податок на прибуток</v>
      </c>
      <c r="N38" s="4485">
        <f>'Д 2_Т на В'!H46</f>
        <v>1296.3156288435421</v>
      </c>
      <c r="O38" s="1265">
        <f>'ТЕ_2ст_тариф_з ЦТП'!E71</f>
        <v>1296.3156288435421</v>
      </c>
      <c r="P38" s="1266">
        <f>'ТЕ_2ст_тариф_без ЦТП'!E71</f>
        <v>1296.3156288435421</v>
      </c>
      <c r="Q38" s="1679">
        <f>'Д 2_Т на В'!L46</f>
        <v>950.91659716988852</v>
      </c>
      <c r="R38" s="68">
        <f>'ТЕ_2ст_тариф_з ЦТП'!H71</f>
        <v>950.86490559092545</v>
      </c>
      <c r="S38" s="68">
        <f>'ТЕ_2ст_тариф_без ЦТП'!H71</f>
        <v>950.86490559092545</v>
      </c>
      <c r="T38" s="3922">
        <f t="shared" si="2"/>
        <v>5.1691578963072971E-2</v>
      </c>
      <c r="U38" s="1597">
        <f t="shared" si="3"/>
        <v>0</v>
      </c>
    </row>
    <row r="39" spans="13:21" x14ac:dyDescent="0.3">
      <c r="M39" s="68" t="str">
        <f>'Д 2_Т на В'!C47</f>
        <v xml:space="preserve"> дивіденди</v>
      </c>
      <c r="N39" s="4485">
        <f>'Д 2_Т на В'!H47</f>
        <v>0</v>
      </c>
      <c r="O39" s="1265">
        <f>'ТЕ_2ст_тариф_з ЦТП'!E72</f>
        <v>0</v>
      </c>
      <c r="P39" s="1266">
        <f>'ТЕ_2ст_тариф_без ЦТП'!E72</f>
        <v>0</v>
      </c>
      <c r="Q39" s="1679">
        <f>'Д 2_Т на В'!L47</f>
        <v>0</v>
      </c>
      <c r="R39" s="68">
        <f>'ТЕ_2ст_тариф_з ЦТП'!H72</f>
        <v>0</v>
      </c>
      <c r="S39" s="68">
        <f>'ТЕ_2ст_тариф_без ЦТП'!H72</f>
        <v>0</v>
      </c>
      <c r="T39" s="3922">
        <f t="shared" si="2"/>
        <v>0</v>
      </c>
      <c r="U39" s="1597">
        <f t="shared" si="3"/>
        <v>0</v>
      </c>
    </row>
    <row r="40" spans="13:21" x14ac:dyDescent="0.3">
      <c r="M40" s="68" t="str">
        <f>'Д 2_Т на В'!C48</f>
        <v xml:space="preserve"> резервний фонд (капітал)</v>
      </c>
      <c r="N40" s="4485">
        <f>'Д 2_Т на В'!H48</f>
        <v>0</v>
      </c>
      <c r="O40" s="1265">
        <f>'ТЕ_2ст_тариф_з ЦТП'!E73</f>
        <v>0</v>
      </c>
      <c r="P40" s="1266">
        <f>'ТЕ_2ст_тариф_без ЦТП'!E73</f>
        <v>0</v>
      </c>
      <c r="Q40" s="1679">
        <f>'Д 2_Т на В'!L48</f>
        <v>0</v>
      </c>
      <c r="R40" s="68">
        <f>'ТЕ_2ст_тариф_з ЦТП'!H73</f>
        <v>0</v>
      </c>
      <c r="S40" s="68">
        <f>'ТЕ_2ст_тариф_без ЦТП'!H73</f>
        <v>0</v>
      </c>
      <c r="T40" s="3922">
        <f t="shared" si="2"/>
        <v>0</v>
      </c>
      <c r="U40" s="1597">
        <f t="shared" si="3"/>
        <v>0</v>
      </c>
    </row>
    <row r="41" spans="13:21" x14ac:dyDescent="0.3">
      <c r="M41" s="68" t="str">
        <f>'Д 2_Т на В'!C49</f>
        <v>на розвиток виробництва (виробничі інвестиції)</v>
      </c>
      <c r="N41" s="4485">
        <f>'Д 2_Т на В'!H49</f>
        <v>0</v>
      </c>
      <c r="O41" s="1265">
        <f>'ТЕ_2ст_тариф_з ЦТП'!E74</f>
        <v>0</v>
      </c>
      <c r="P41" s="1266">
        <f>'ТЕ_2ст_тариф_без ЦТП'!E74</f>
        <v>0</v>
      </c>
      <c r="Q41" s="1679">
        <f>'Д 2_Т на В'!L49</f>
        <v>0</v>
      </c>
      <c r="R41" s="68">
        <f>'ТЕ_2ст_тариф_з ЦТП'!H74</f>
        <v>0</v>
      </c>
      <c r="S41" s="68">
        <f>'ТЕ_2ст_тариф_без ЦТП'!H74</f>
        <v>0</v>
      </c>
      <c r="T41" s="3922">
        <f t="shared" si="2"/>
        <v>0</v>
      </c>
      <c r="U41" s="1597">
        <f t="shared" si="3"/>
        <v>0</v>
      </c>
    </row>
    <row r="42" spans="13:21" x14ac:dyDescent="0.3">
      <c r="M42" s="68" t="str">
        <f>'Д 2_Т на В'!C50</f>
        <v>інше використання  прибутку</v>
      </c>
      <c r="N42" s="4485">
        <f>'Д 2_Т на В'!H50</f>
        <v>5905.4378647316935</v>
      </c>
      <c r="O42" s="1265">
        <f>'ТЕ_2ст_тариф_з ЦТП'!E75</f>
        <v>5905.4378647316935</v>
      </c>
      <c r="P42" s="1266">
        <f>'ТЕ_2ст_тариф_без ЦТП'!E75</f>
        <v>5905.4378647316935</v>
      </c>
      <c r="Q42" s="1679">
        <f>'Д 2_Т на В'!L50</f>
        <v>4331.9533871072717</v>
      </c>
      <c r="R42" s="68">
        <f>'ТЕ_2ст_тариф_з ЦТП'!H75</f>
        <v>4331.7179032475506</v>
      </c>
      <c r="S42" s="68">
        <f>'ТЕ_2ст_тариф_без ЦТП'!H75</f>
        <v>4331.7179032475506</v>
      </c>
      <c r="T42" s="3922">
        <f t="shared" si="2"/>
        <v>0.23548385972117103</v>
      </c>
      <c r="U42" s="1597">
        <f t="shared" si="3"/>
        <v>0</v>
      </c>
    </row>
    <row r="43" spans="13:21" ht="15" thickBot="1" x14ac:dyDescent="0.35">
      <c r="M43" s="68" t="str">
        <f>'Д 2_Т на В'!C51</f>
        <v>Вартість виробництва теплової енергії за відповідними тарифами</v>
      </c>
      <c r="N43" s="4486">
        <f>'Д 2_Т на В'!H51</f>
        <v>162608.01309177768</v>
      </c>
      <c r="O43" s="4487">
        <f>'ТЕ_2ст_тариф_з ЦТП'!E76</f>
        <v>162608.01309177774</v>
      </c>
      <c r="P43" s="4488">
        <f>'ТЕ_2ст_тариф_без ЦТП'!E76</f>
        <v>162608.01309177774</v>
      </c>
      <c r="Q43" s="1679">
        <f>'Д 2_Т на В'!L51</f>
        <v>119281.64332920536</v>
      </c>
      <c r="R43" s="68">
        <f>'ТЕ_2ст_тариф_з ЦТП'!H76</f>
        <v>119275.15921008981</v>
      </c>
      <c r="S43" s="68">
        <f>'ТЕ_2ст_тариф_без ЦТП'!H76</f>
        <v>119275.15921008981</v>
      </c>
      <c r="T43" s="3922">
        <f t="shared" si="2"/>
        <v>6.4841191155428533</v>
      </c>
      <c r="U43" s="1597">
        <f t="shared" si="3"/>
        <v>0</v>
      </c>
    </row>
  </sheetData>
  <mergeCells count="5">
    <mergeCell ref="D3:F3"/>
    <mergeCell ref="D2:F2"/>
    <mergeCell ref="H2:J2"/>
    <mergeCell ref="N2:P2"/>
    <mergeCell ref="Q3:S3"/>
  </mergeCells>
  <pageMargins left="0.7" right="0.7" top="0.75" bottom="0.75" header="0.3" footer="0.3"/>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Лист45">
    <tabColor theme="7"/>
    <pageSetUpPr fitToPage="1"/>
  </sheetPr>
  <dimension ref="B1:Q28"/>
  <sheetViews>
    <sheetView topLeftCell="A8" zoomScale="90" zoomScaleNormal="90" workbookViewId="0">
      <selection activeCell="D23" sqref="D23"/>
    </sheetView>
  </sheetViews>
  <sheetFormatPr defaultColWidth="9.109375" defaultRowHeight="13.8" x14ac:dyDescent="0.25"/>
  <cols>
    <col min="1" max="1" width="4.109375" style="10" customWidth="1"/>
    <col min="2" max="2" width="38.6640625" style="10" customWidth="1"/>
    <col min="3" max="3" width="8.5546875" style="693" customWidth="1"/>
    <col min="4" max="4" width="10.44140625" style="10" customWidth="1"/>
    <col min="5" max="5" width="11" style="10" bestFit="1" customWidth="1"/>
    <col min="6" max="6" width="13.88671875" style="10" customWidth="1"/>
    <col min="7" max="7" width="17.6640625" style="10" customWidth="1"/>
    <col min="8" max="8" width="9.33203125" style="10" bestFit="1" customWidth="1"/>
    <col min="9" max="9" width="10" style="10" bestFit="1" customWidth="1"/>
    <col min="10" max="10" width="12" style="10" bestFit="1" customWidth="1"/>
    <col min="11" max="11" width="16.6640625" style="10" customWidth="1"/>
    <col min="12" max="12" width="9.44140625" style="10" bestFit="1" customWidth="1"/>
    <col min="13" max="13" width="10.33203125" style="10" customWidth="1"/>
    <col min="14" max="14" width="12.6640625" style="10" bestFit="1" customWidth="1"/>
    <col min="15" max="15" width="9.44140625" style="10" bestFit="1" customWidth="1"/>
    <col min="16" max="17" width="9.33203125" style="10" bestFit="1" customWidth="1"/>
    <col min="18" max="16384" width="9.109375" style="10"/>
  </cols>
  <sheetData>
    <row r="1" spans="2:17" ht="15.6" x14ac:dyDescent="0.3">
      <c r="L1" s="45" t="s">
        <v>925</v>
      </c>
    </row>
    <row r="3" spans="2:17" ht="15.6" x14ac:dyDescent="0.3">
      <c r="B3" s="45" t="s">
        <v>1957</v>
      </c>
      <c r="C3" s="45"/>
      <c r="D3" s="45"/>
      <c r="E3" s="45"/>
      <c r="F3" s="45"/>
      <c r="G3" s="887" t="str">
        <f>'Вхідні дані'!F5</f>
        <v>КП «КТЕ"</v>
      </c>
      <c r="I3" s="45"/>
      <c r="J3" s="887" t="s">
        <v>461</v>
      </c>
      <c r="K3" s="887" t="str">
        <f>'Вхідні дані'!F6</f>
        <v>2023-2024</v>
      </c>
      <c r="L3" s="10" t="s">
        <v>661</v>
      </c>
      <c r="M3" s="45"/>
    </row>
    <row r="4" spans="2:17" ht="14.4" thickBot="1" x14ac:dyDescent="0.3"/>
    <row r="5" spans="2:17" ht="14.4" thickBot="1" x14ac:dyDescent="0.3">
      <c r="B5" s="5125" t="s">
        <v>8</v>
      </c>
      <c r="C5" s="5127" t="s">
        <v>9</v>
      </c>
      <c r="D5" s="5127" t="s">
        <v>503</v>
      </c>
      <c r="E5" s="4866" t="s">
        <v>1951</v>
      </c>
      <c r="F5" s="5124"/>
      <c r="G5" s="5124"/>
      <c r="H5" s="5124"/>
      <c r="I5" s="5124"/>
      <c r="J5" s="4867"/>
      <c r="K5" s="4866" t="s">
        <v>1953</v>
      </c>
      <c r="L5" s="5124"/>
      <c r="M5" s="4867"/>
    </row>
    <row r="6" spans="2:17" s="1445" customFormat="1" ht="28.2" thickBot="1" x14ac:dyDescent="0.35">
      <c r="B6" s="5126"/>
      <c r="C6" s="5128"/>
      <c r="D6" s="5128"/>
      <c r="E6" s="1595" t="s">
        <v>1952</v>
      </c>
      <c r="F6" s="1595" t="s">
        <v>869</v>
      </c>
      <c r="G6" s="1596" t="s">
        <v>1956</v>
      </c>
      <c r="H6" s="1595" t="s">
        <v>644</v>
      </c>
      <c r="I6" s="1595" t="s">
        <v>643</v>
      </c>
      <c r="J6" s="1595" t="s">
        <v>902</v>
      </c>
      <c r="K6" s="1596" t="s">
        <v>1880</v>
      </c>
      <c r="L6" s="1595" t="s">
        <v>871</v>
      </c>
      <c r="M6" s="1596" t="s">
        <v>1953</v>
      </c>
    </row>
    <row r="7" spans="2:17" x14ac:dyDescent="0.25">
      <c r="B7" s="730"/>
      <c r="C7" s="731"/>
      <c r="D7" s="730"/>
      <c r="E7" s="730"/>
      <c r="F7" s="730"/>
      <c r="G7" s="730"/>
      <c r="H7" s="730"/>
      <c r="I7" s="730"/>
      <c r="J7" s="730"/>
      <c r="K7" s="730"/>
      <c r="L7" s="730"/>
      <c r="M7" s="730"/>
    </row>
    <row r="8" spans="2:17" x14ac:dyDescent="0.25">
      <c r="B8" s="732" t="s">
        <v>1954</v>
      </c>
      <c r="C8" s="733" t="s">
        <v>1780</v>
      </c>
      <c r="D8" s="2440">
        <f>E8+K8+L8+M8</f>
        <v>30506.830602360471</v>
      </c>
      <c r="E8" s="2440">
        <f>F8+G8+J8</f>
        <v>26504.40454626047</v>
      </c>
      <c r="F8" s="734">
        <f>ФОП!H9/1000</f>
        <v>11228.939355305936</v>
      </c>
      <c r="G8" s="734">
        <f>H8+I8</f>
        <v>14520.984552954531</v>
      </c>
      <c r="H8" s="734">
        <f>Транспортування_1ст!G27</f>
        <v>3466.1638017167252</v>
      </c>
      <c r="I8" s="734">
        <f>Транспортування_1ст!H27</f>
        <v>11054.820751237807</v>
      </c>
      <c r="J8" s="734">
        <f>ФОП!H24/1000</f>
        <v>754.48063799999989</v>
      </c>
      <c r="K8" s="734">
        <f>ФОП!H29/1000</f>
        <v>4002.4260561000001</v>
      </c>
      <c r="L8" s="734">
        <f>ФОП!H39/1000</f>
        <v>0</v>
      </c>
      <c r="M8" s="734">
        <v>0</v>
      </c>
      <c r="N8" s="2088">
        <f>(ФОП!H54-ФОП!H44-ФОП!H49)/1000</f>
        <v>30506.830602360471</v>
      </c>
      <c r="O8" s="729">
        <f>D8-N8</f>
        <v>0</v>
      </c>
      <c r="P8" s="729">
        <f>'БАЗИ РОЗПОДІЛУ_2ст'!H8</f>
        <v>3466.1638017167252</v>
      </c>
      <c r="Q8" s="729">
        <f>'БАЗИ РОЗПОДІЛУ_2ст'!I8</f>
        <v>11054.820751237807</v>
      </c>
    </row>
    <row r="9" spans="2:17" x14ac:dyDescent="0.25">
      <c r="B9" s="732" t="s">
        <v>1954</v>
      </c>
      <c r="C9" s="733" t="s">
        <v>4</v>
      </c>
      <c r="D9" s="735">
        <f>D8/$D$8</f>
        <v>1</v>
      </c>
      <c r="E9" s="735">
        <f t="shared" ref="E9:M9" si="0">E8/$D$8</f>
        <v>0.86880229846655022</v>
      </c>
      <c r="F9" s="736"/>
      <c r="G9" s="736"/>
      <c r="H9" s="736"/>
      <c r="I9" s="736"/>
      <c r="J9" s="736"/>
      <c r="K9" s="735">
        <f t="shared" si="0"/>
        <v>0.13119770153344976</v>
      </c>
      <c r="L9" s="735">
        <f t="shared" si="0"/>
        <v>0</v>
      </c>
      <c r="M9" s="735">
        <f t="shared" si="0"/>
        <v>0</v>
      </c>
      <c r="P9" s="729">
        <f>'БАЗИ РОЗПОДІЛУ_2ст'!H9</f>
        <v>0</v>
      </c>
      <c r="Q9" s="729">
        <f>'БАЗИ РОЗПОДІЛУ_2ст'!I9</f>
        <v>0</v>
      </c>
    </row>
    <row r="10" spans="2:17" ht="41.4" x14ac:dyDescent="0.25">
      <c r="B10" s="737" t="s">
        <v>1958</v>
      </c>
      <c r="C10" s="733" t="s">
        <v>1780</v>
      </c>
      <c r="D10" s="736"/>
      <c r="E10" s="734">
        <f>F10+G10+J10</f>
        <v>188086.41120390769</v>
      </c>
      <c r="F10" s="734">
        <f>Виробництво_1ст!F10</f>
        <v>143860.61850577858</v>
      </c>
      <c r="G10" s="734">
        <f>H10+I10</f>
        <v>42409.144058157552</v>
      </c>
      <c r="H10" s="734">
        <f>SUM(Транспортування_1ст!G14:G25)+Транспортування_1ст!G27+Транспортування_1ст!G29</f>
        <v>11724.913895069481</v>
      </c>
      <c r="I10" s="734">
        <f>SUM(Транспортування_1ст!H14:H25)+Транспортування_1ст!H27+Транспортування_1ст!H29</f>
        <v>30684.230163088068</v>
      </c>
      <c r="J10" s="734">
        <f>Постачання_1ст!F9</f>
        <v>1816.6486399715736</v>
      </c>
      <c r="K10" s="4224">
        <v>5749.1978603739726</v>
      </c>
      <c r="L10" s="738"/>
      <c r="M10" s="738"/>
      <c r="N10" s="729">
        <f>F10+G10+J10</f>
        <v>188086.41120390769</v>
      </c>
      <c r="P10" s="729">
        <f>'БАЗИ РОЗПОДІЛУ_2ст'!H10</f>
        <v>11724.913895069481</v>
      </c>
      <c r="Q10" s="729">
        <f>'БАЗИ РОЗПОДІЛУ_2ст'!I10</f>
        <v>30684.230163088068</v>
      </c>
    </row>
    <row r="11" spans="2:17" ht="42" thickBot="1" x14ac:dyDescent="0.3">
      <c r="B11" s="739" t="s">
        <v>1958</v>
      </c>
      <c r="C11" s="740" t="s">
        <v>4</v>
      </c>
      <c r="D11" s="736"/>
      <c r="E11" s="741">
        <f t="shared" ref="E11:J11" si="1">E10/$E$10</f>
        <v>1</v>
      </c>
      <c r="F11" s="741">
        <f t="shared" si="1"/>
        <v>0.76486449810463353</v>
      </c>
      <c r="G11" s="741">
        <f t="shared" si="1"/>
        <v>0.22547691662945854</v>
      </c>
      <c r="H11" s="741">
        <f t="shared" si="1"/>
        <v>6.2337910644476607E-2</v>
      </c>
      <c r="I11" s="741">
        <f t="shared" si="1"/>
        <v>0.16313900598498193</v>
      </c>
      <c r="J11" s="741">
        <f t="shared" si="1"/>
        <v>9.6585852659079874E-3</v>
      </c>
      <c r="K11" s="742"/>
      <c r="L11" s="742"/>
      <c r="M11" s="742"/>
      <c r="P11" s="729">
        <f>'БАЗИ РОЗПОДІЛУ_2ст'!H11</f>
        <v>6.2337910644476607E-2</v>
      </c>
      <c r="Q11" s="729">
        <f>'БАЗИ РОЗПОДІЛУ_2ст'!I11</f>
        <v>0.16313900598498193</v>
      </c>
    </row>
    <row r="12" spans="2:17" ht="41.4" x14ac:dyDescent="0.25">
      <c r="B12" s="743" t="s">
        <v>1960</v>
      </c>
      <c r="C12" s="731" t="s">
        <v>1780</v>
      </c>
      <c r="D12" s="746">
        <f>ЗВВ_1ст!F8</f>
        <v>7841.4263543791521</v>
      </c>
      <c r="E12" s="744">
        <f>D12*E9</f>
        <v>6812.6492399407889</v>
      </c>
      <c r="F12" s="745"/>
      <c r="G12" s="745"/>
      <c r="H12" s="745"/>
      <c r="I12" s="745"/>
      <c r="J12" s="745"/>
      <c r="K12" s="744">
        <f>$D$12*K9</f>
        <v>1028.777114438363</v>
      </c>
      <c r="L12" s="744">
        <f>$D$12*L9</f>
        <v>0</v>
      </c>
      <c r="M12" s="744">
        <f>$D$12*M9</f>
        <v>0</v>
      </c>
      <c r="P12" s="729">
        <f>'БАЗИ РОЗПОДІЛУ_2ст'!H12</f>
        <v>0</v>
      </c>
      <c r="Q12" s="729">
        <f>'БАЗИ РОЗПОДІЛУ_2ст'!I12</f>
        <v>0</v>
      </c>
    </row>
    <row r="13" spans="2:17" ht="41.4" x14ac:dyDescent="0.25">
      <c r="B13" s="737" t="s">
        <v>1961</v>
      </c>
      <c r="C13" s="733" t="s">
        <v>1780</v>
      </c>
      <c r="D13" s="736"/>
      <c r="E13" s="734">
        <f>E12</f>
        <v>6812.6492399407889</v>
      </c>
      <c r="F13" s="734">
        <f>$E$13*F11</f>
        <v>5210.7535416702249</v>
      </c>
      <c r="G13" s="734">
        <f>$E$13*G11</f>
        <v>1536.0951446998733</v>
      </c>
      <c r="H13" s="734">
        <f>$E$13*H11</f>
        <v>424.68631957159039</v>
      </c>
      <c r="I13" s="734">
        <f>$E$13*I11</f>
        <v>1111.4088251282831</v>
      </c>
      <c r="J13" s="734">
        <f>$E$13*J11</f>
        <v>65.800553570691349</v>
      </c>
      <c r="K13" s="738"/>
      <c r="L13" s="738"/>
      <c r="M13" s="738"/>
      <c r="P13" s="729">
        <f>'БАЗИ РОЗПОДІЛУ_2ст'!H13</f>
        <v>424.68631957159039</v>
      </c>
      <c r="Q13" s="729">
        <f>'БАЗИ РОЗПОДІЛУ_2ст'!I13</f>
        <v>1111.4088251282831</v>
      </c>
    </row>
    <row r="14" spans="2:17" ht="27.6" x14ac:dyDescent="0.25">
      <c r="B14" s="737" t="s">
        <v>1962</v>
      </c>
      <c r="C14" s="733" t="s">
        <v>1780</v>
      </c>
      <c r="D14" s="734">
        <f>D12</f>
        <v>7841.4263543791521</v>
      </c>
      <c r="E14" s="734">
        <f>E12</f>
        <v>6812.6492399407889</v>
      </c>
      <c r="F14" s="734">
        <f>F13</f>
        <v>5210.7535416702249</v>
      </c>
      <c r="G14" s="734">
        <f>G13</f>
        <v>1536.0951446998733</v>
      </c>
      <c r="H14" s="734">
        <f>H13</f>
        <v>424.68631957159039</v>
      </c>
      <c r="I14" s="734">
        <f>I13</f>
        <v>1111.4088251282831</v>
      </c>
      <c r="J14" s="734">
        <f>J13</f>
        <v>65.800553570691349</v>
      </c>
      <c r="K14" s="734">
        <f>K12</f>
        <v>1028.777114438363</v>
      </c>
      <c r="L14" s="734">
        <f>L12</f>
        <v>0</v>
      </c>
      <c r="M14" s="734">
        <f>M12</f>
        <v>0</v>
      </c>
      <c r="P14" s="729">
        <f>'БАЗИ РОЗПОДІЛУ_2ст'!H14</f>
        <v>424.68631957159039</v>
      </c>
      <c r="Q14" s="729">
        <f>'БАЗИ РОЗПОДІЛУ_2ст'!I14</f>
        <v>1111.4088251282831</v>
      </c>
    </row>
    <row r="15" spans="2:17" ht="28.2" thickBot="1" x14ac:dyDescent="0.3">
      <c r="B15" s="739" t="s">
        <v>1963</v>
      </c>
      <c r="C15" s="740" t="s">
        <v>4</v>
      </c>
      <c r="D15" s="741">
        <f>D14/$D$14</f>
        <v>1</v>
      </c>
      <c r="E15" s="741">
        <f t="shared" ref="E15:M15" si="2">E14/$D$14</f>
        <v>0.86880229846655022</v>
      </c>
      <c r="F15" s="741">
        <f t="shared" si="2"/>
        <v>0.66451603396877001</v>
      </c>
      <c r="G15" s="741">
        <f t="shared" si="2"/>
        <v>0.19589486341882431</v>
      </c>
      <c r="H15" s="741">
        <f t="shared" si="2"/>
        <v>5.4159320049523708E-2</v>
      </c>
      <c r="I15" s="741">
        <f t="shared" si="2"/>
        <v>0.14173554336930061</v>
      </c>
      <c r="J15" s="741">
        <f t="shared" si="2"/>
        <v>8.3914010789560151E-3</v>
      </c>
      <c r="K15" s="741">
        <f t="shared" si="2"/>
        <v>0.13119770153344976</v>
      </c>
      <c r="L15" s="741">
        <f t="shared" si="2"/>
        <v>0</v>
      </c>
      <c r="M15" s="741">
        <f t="shared" si="2"/>
        <v>0</v>
      </c>
      <c r="P15" s="729">
        <f>'БАЗИ РОЗПОДІЛУ_2ст'!H15</f>
        <v>5.4159320049523708E-2</v>
      </c>
      <c r="Q15" s="729">
        <f>'БАЗИ РОЗПОДІЛУ_2ст'!I15</f>
        <v>0.14173554336930061</v>
      </c>
    </row>
    <row r="16" spans="2:17" ht="14.4" thickBot="1" x14ac:dyDescent="0.3">
      <c r="B16" s="725"/>
      <c r="D16" s="728"/>
      <c r="E16" s="728"/>
      <c r="F16" s="728"/>
      <c r="G16" s="728"/>
      <c r="H16" s="728"/>
      <c r="I16" s="728"/>
      <c r="J16" s="728"/>
      <c r="K16" s="728"/>
      <c r="L16" s="728"/>
      <c r="M16" s="728"/>
      <c r="P16" s="729">
        <f>'БАЗИ РОЗПОДІЛУ_2ст'!H16</f>
        <v>0</v>
      </c>
      <c r="Q16" s="729">
        <f>'БАЗИ РОЗПОДІЛУ_2ст'!I16</f>
        <v>0</v>
      </c>
    </row>
    <row r="17" spans="2:17" ht="41.4" x14ac:dyDescent="0.25">
      <c r="B17" s="743" t="s">
        <v>1964</v>
      </c>
      <c r="C17" s="731" t="s">
        <v>1780</v>
      </c>
      <c r="D17" s="745"/>
      <c r="E17" s="744">
        <f t="shared" ref="E17:J17" si="3">E10+E13</f>
        <v>194899.06044384849</v>
      </c>
      <c r="F17" s="744">
        <f t="shared" si="3"/>
        <v>149071.37204744879</v>
      </c>
      <c r="G17" s="744">
        <f t="shared" si="3"/>
        <v>43945.239202857425</v>
      </c>
      <c r="H17" s="744">
        <f t="shared" si="3"/>
        <v>12149.600214641072</v>
      </c>
      <c r="I17" s="744">
        <f t="shared" si="3"/>
        <v>31795.638988216353</v>
      </c>
      <c r="J17" s="744">
        <f t="shared" si="3"/>
        <v>1882.449193542265</v>
      </c>
      <c r="K17" s="748"/>
      <c r="L17" s="748"/>
      <c r="M17" s="748"/>
      <c r="P17" s="729">
        <f>'БАЗИ РОЗПОДІЛУ_2ст'!H17</f>
        <v>12149.600214641072</v>
      </c>
      <c r="Q17" s="729">
        <f>'БАЗИ РОЗПОДІЛУ_2ст'!I17</f>
        <v>31795.638988216353</v>
      </c>
    </row>
    <row r="18" spans="2:17" ht="41.4" x14ac:dyDescent="0.25">
      <c r="B18" s="747" t="s">
        <v>1964</v>
      </c>
      <c r="C18" s="733" t="s">
        <v>4</v>
      </c>
      <c r="D18" s="736"/>
      <c r="E18" s="735">
        <f t="shared" ref="E18:J18" si="4">E17/$E$17</f>
        <v>1</v>
      </c>
      <c r="F18" s="735">
        <f t="shared" si="4"/>
        <v>0.76486449810463342</v>
      </c>
      <c r="G18" s="735">
        <f t="shared" si="4"/>
        <v>0.22547691662945854</v>
      </c>
      <c r="H18" s="735">
        <f t="shared" si="4"/>
        <v>6.2337910644476607E-2</v>
      </c>
      <c r="I18" s="735">
        <f t="shared" si="4"/>
        <v>0.16313900598498193</v>
      </c>
      <c r="J18" s="735">
        <f t="shared" si="4"/>
        <v>9.6585852659079856E-3</v>
      </c>
      <c r="K18" s="736"/>
      <c r="L18" s="736"/>
      <c r="M18" s="736"/>
      <c r="P18" s="729">
        <f>'БАЗИ РОЗПОДІЛУ_2ст'!H18</f>
        <v>6.2337910644476607E-2</v>
      </c>
      <c r="Q18" s="729">
        <f>'БАЗИ РОЗПОДІЛУ_2ст'!I18</f>
        <v>0.16313900598498193</v>
      </c>
    </row>
    <row r="19" spans="2:17" ht="41.4" x14ac:dyDescent="0.25">
      <c r="B19" s="737" t="s">
        <v>1959</v>
      </c>
      <c r="C19" s="733" t="s">
        <v>1780</v>
      </c>
      <c r="D19" s="734">
        <f>Адміністративні_1ст!F8</f>
        <v>9533.0845712164319</v>
      </c>
      <c r="E19" s="734">
        <f>D19*E9</f>
        <v>8282.3657869488434</v>
      </c>
      <c r="F19" s="736"/>
      <c r="G19" s="736"/>
      <c r="H19" s="736"/>
      <c r="I19" s="736"/>
      <c r="J19" s="736"/>
      <c r="K19" s="734">
        <f>$D$19*K9</f>
        <v>1250.7187842675883</v>
      </c>
      <c r="L19" s="734">
        <f>$D$19*L9</f>
        <v>0</v>
      </c>
      <c r="M19" s="734">
        <f>$D$19*M9</f>
        <v>0</v>
      </c>
      <c r="P19" s="729">
        <f>'БАЗИ РОЗПОДІЛУ_2ст'!H19</f>
        <v>0</v>
      </c>
      <c r="Q19" s="729">
        <f>'БАЗИ РОЗПОДІЛУ_2ст'!I19</f>
        <v>0</v>
      </c>
    </row>
    <row r="20" spans="2:17" ht="41.4" x14ac:dyDescent="0.25">
      <c r="B20" s="737" t="s">
        <v>1965</v>
      </c>
      <c r="C20" s="733" t="s">
        <v>1780</v>
      </c>
      <c r="D20" s="736"/>
      <c r="E20" s="734">
        <f>E19</f>
        <v>8282.3657869488434</v>
      </c>
      <c r="F20" s="734">
        <f>$E$20*F18</f>
        <v>6334.8875507536141</v>
      </c>
      <c r="G20" s="734">
        <f>$E$20*G18</f>
        <v>1867.4823000385441</v>
      </c>
      <c r="H20" s="734">
        <f>$E$20*H18</f>
        <v>516.30537835168718</v>
      </c>
      <c r="I20" s="734">
        <f>$E$20*I18</f>
        <v>1351.176921686857</v>
      </c>
      <c r="J20" s="734">
        <f>$E$20*J18</f>
        <v>79.995936156684493</v>
      </c>
      <c r="K20" s="736"/>
      <c r="L20" s="736"/>
      <c r="M20" s="736"/>
      <c r="P20" s="729">
        <f>'БАЗИ РОЗПОДІЛУ_2ст'!H20</f>
        <v>516.30537835168718</v>
      </c>
      <c r="Q20" s="729">
        <f>'БАЗИ РОЗПОДІЛУ_2ст'!I20</f>
        <v>1351.176921686857</v>
      </c>
    </row>
    <row r="21" spans="2:17" ht="27.6" x14ac:dyDescent="0.25">
      <c r="B21" s="737" t="s">
        <v>1967</v>
      </c>
      <c r="C21" s="733" t="s">
        <v>1780</v>
      </c>
      <c r="D21" s="734">
        <f>D19</f>
        <v>9533.0845712164319</v>
      </c>
      <c r="E21" s="734">
        <f t="shared" ref="E21:M21" si="5">E19</f>
        <v>8282.3657869488434</v>
      </c>
      <c r="F21" s="734">
        <f>F20</f>
        <v>6334.8875507536141</v>
      </c>
      <c r="G21" s="734">
        <f>G20</f>
        <v>1867.4823000385441</v>
      </c>
      <c r="H21" s="734">
        <f>H20</f>
        <v>516.30537835168718</v>
      </c>
      <c r="I21" s="734">
        <f>I20</f>
        <v>1351.176921686857</v>
      </c>
      <c r="J21" s="734">
        <f>J20</f>
        <v>79.995936156684493</v>
      </c>
      <c r="K21" s="734">
        <f t="shared" si="5"/>
        <v>1250.7187842675883</v>
      </c>
      <c r="L21" s="734">
        <f t="shared" si="5"/>
        <v>0</v>
      </c>
      <c r="M21" s="734">
        <f t="shared" si="5"/>
        <v>0</v>
      </c>
      <c r="P21" s="729">
        <f>'БАЗИ РОЗПОДІЛУ_2ст'!H21</f>
        <v>516.30537835168718</v>
      </c>
      <c r="Q21" s="729">
        <f>'БАЗИ РОЗПОДІЛУ_2ст'!I21</f>
        <v>1351.176921686857</v>
      </c>
    </row>
    <row r="22" spans="2:17" ht="28.2" thickBot="1" x14ac:dyDescent="0.3">
      <c r="B22" s="739" t="s">
        <v>1984</v>
      </c>
      <c r="C22" s="740" t="s">
        <v>4</v>
      </c>
      <c r="D22" s="741">
        <f>D21/$D$21</f>
        <v>1</v>
      </c>
      <c r="E22" s="741">
        <f t="shared" ref="E22:M22" si="6">E21/$D$21</f>
        <v>0.86880229846655022</v>
      </c>
      <c r="F22" s="741">
        <f t="shared" si="6"/>
        <v>0.66451603396876979</v>
      </c>
      <c r="G22" s="741">
        <f t="shared" si="6"/>
        <v>0.19589486341882428</v>
      </c>
      <c r="H22" s="741">
        <f t="shared" si="6"/>
        <v>5.4159320049523701E-2</v>
      </c>
      <c r="I22" s="741">
        <f t="shared" si="6"/>
        <v>0.14173554336930061</v>
      </c>
      <c r="J22" s="741">
        <f t="shared" si="6"/>
        <v>8.3914010789560133E-3</v>
      </c>
      <c r="K22" s="741">
        <f t="shared" si="6"/>
        <v>0.13119770153344976</v>
      </c>
      <c r="L22" s="741">
        <f t="shared" si="6"/>
        <v>0</v>
      </c>
      <c r="M22" s="741">
        <f t="shared" si="6"/>
        <v>0</v>
      </c>
      <c r="P22" s="1221">
        <f>'БАЗИ РОЗПОДІЛУ_2ст'!H22</f>
        <v>5.4159320049523701E-2</v>
      </c>
      <c r="Q22" s="1221">
        <f>'БАЗИ РОЗПОДІЛУ_2ст'!I22</f>
        <v>0.14173554336930061</v>
      </c>
    </row>
    <row r="25" spans="2:17" ht="18" x14ac:dyDescent="0.35">
      <c r="B25" s="419" t="str">
        <f>'Вхідні дані'!$B$13</f>
        <v>Директор підприємства</v>
      </c>
      <c r="C25" s="419"/>
      <c r="D25" s="419"/>
      <c r="E25" s="498" t="s">
        <v>1400</v>
      </c>
      <c r="G25" s="5122" t="str">
        <f>'Вхідні дані'!$F$13</f>
        <v>Анатолій ПАНШИН</v>
      </c>
      <c r="H25" s="5122"/>
      <c r="I25" s="5122"/>
      <c r="J25" s="45"/>
    </row>
    <row r="26" spans="2:17" ht="18" x14ac:dyDescent="0.35">
      <c r="B26" s="419"/>
      <c r="C26" s="419"/>
      <c r="D26" s="419"/>
      <c r="E26" s="4587" t="s">
        <v>209</v>
      </c>
      <c r="G26" s="5123" t="s">
        <v>1985</v>
      </c>
      <c r="H26" s="5123"/>
      <c r="I26" s="5123"/>
      <c r="J26" s="45"/>
    </row>
    <row r="27" spans="2:17" ht="18.75" customHeight="1" x14ac:dyDescent="0.35">
      <c r="B27" s="419" t="str">
        <f>'Вхідні дані'!$B$15</f>
        <v>Заступник директора з економіки</v>
      </c>
      <c r="C27" s="419"/>
      <c r="D27" s="419"/>
      <c r="E27" s="498" t="s">
        <v>1400</v>
      </c>
      <c r="G27" s="5122" t="str">
        <f>'Вхідні дані'!$F$15</f>
        <v>Олена ЛАВРОВА</v>
      </c>
      <c r="H27" s="5122"/>
      <c r="I27" s="5122"/>
      <c r="J27" s="45"/>
    </row>
    <row r="28" spans="2:17" ht="15.6" x14ac:dyDescent="0.3">
      <c r="B28" s="418"/>
      <c r="C28" s="418"/>
      <c r="D28" s="418"/>
      <c r="E28" s="4587" t="s">
        <v>209</v>
      </c>
      <c r="G28" s="5123" t="s">
        <v>1985</v>
      </c>
      <c r="H28" s="5123"/>
      <c r="I28" s="5123"/>
      <c r="J28" s="45"/>
    </row>
  </sheetData>
  <mergeCells count="9">
    <mergeCell ref="G27:I27"/>
    <mergeCell ref="G28:I28"/>
    <mergeCell ref="E5:J5"/>
    <mergeCell ref="K5:M5"/>
    <mergeCell ref="B5:B6"/>
    <mergeCell ref="D5:D6"/>
    <mergeCell ref="C5:C6"/>
    <mergeCell ref="G25:I25"/>
    <mergeCell ref="G26:I26"/>
  </mergeCells>
  <conditionalFormatting sqref="B28:D28 G28:I28">
    <cfRule type="expression" dxfId="55" priority="2" stopIfTrue="1">
      <formula>ABS(#REF!-(#REF!+#REF!+$L28+$N28))&gt;отклонение</formula>
    </cfRule>
  </conditionalFormatting>
  <pageMargins left="0.77" right="0.27559055118110237" top="0.51" bottom="0.31496062992125984" header="0.31496062992125984" footer="0.31496062992125984"/>
  <pageSetup paperSize="9" scale="75" orientation="landscape" horizontalDpi="0" verticalDpi="0"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Лист21">
    <tabColor rgb="FF00B050"/>
    <pageSetUpPr fitToPage="1"/>
  </sheetPr>
  <dimension ref="A1:AF272"/>
  <sheetViews>
    <sheetView topLeftCell="B8" zoomScale="75" zoomScaleNormal="75" zoomScaleSheetLayoutView="55" workbookViewId="0">
      <pane xSplit="3" ySplit="28" topLeftCell="E202" activePane="bottomRight" state="frozen"/>
      <selection activeCell="B8" sqref="B8"/>
      <selection pane="topRight" activeCell="E8" sqref="E8"/>
      <selection pane="bottomLeft" activeCell="B36" sqref="B36"/>
      <selection pane="bottomRight" activeCell="C206" sqref="C206"/>
    </sheetView>
  </sheetViews>
  <sheetFormatPr defaultColWidth="29.5546875" defaultRowHeight="14.4" x14ac:dyDescent="0.3"/>
  <cols>
    <col min="1" max="1" width="4.109375" style="1005" customWidth="1"/>
    <col min="2" max="2" width="7.5546875" style="2145" customWidth="1"/>
    <col min="3" max="3" width="48" style="1005" customWidth="1"/>
    <col min="4" max="4" width="10.33203125" style="1005" customWidth="1"/>
    <col min="5" max="5" width="12.109375" style="1005" customWidth="1"/>
    <col min="6" max="6" width="11.6640625" style="1005" customWidth="1"/>
    <col min="7" max="8" width="12.33203125" style="1005" customWidth="1"/>
    <col min="9" max="9" width="11.6640625" style="1005" customWidth="1"/>
    <col min="10" max="10" width="12.33203125" style="1005" customWidth="1"/>
    <col min="11" max="11" width="11.33203125" style="1021" customWidth="1"/>
    <col min="12" max="12" width="10.88671875" style="1005" customWidth="1"/>
    <col min="13" max="13" width="11.33203125" style="1005" customWidth="1"/>
    <col min="14" max="14" width="12.5546875" style="1021" customWidth="1"/>
    <col min="15" max="15" width="11.6640625" style="1005" customWidth="1"/>
    <col min="16" max="16" width="12.5546875" style="1005" customWidth="1"/>
    <col min="17" max="17" width="11.6640625" style="1021" customWidth="1"/>
    <col min="18" max="18" width="11.109375" style="1005" customWidth="1"/>
    <col min="19" max="19" width="11.44140625" style="1005" customWidth="1"/>
    <col min="20" max="20" width="12.88671875" style="1005" customWidth="1"/>
    <col min="21" max="25" width="12.109375" style="1005" customWidth="1"/>
    <col min="26" max="26" width="13.109375" style="1005" customWidth="1"/>
    <col min="27" max="27" width="12.44140625" style="1005" customWidth="1"/>
    <col min="28" max="29" width="13.5546875" style="1005" bestFit="1" customWidth="1"/>
    <col min="30" max="30" width="29.5546875" style="1005"/>
    <col min="31" max="31" width="16" style="1005" customWidth="1"/>
    <col min="32" max="32" width="16.6640625" style="1005" customWidth="1"/>
    <col min="33" max="16384" width="29.5546875" style="1005"/>
  </cols>
  <sheetData>
    <row r="1" spans="2:26" ht="31.95" customHeight="1" x14ac:dyDescent="0.3">
      <c r="O1" s="2146"/>
      <c r="P1" s="5135" t="s">
        <v>3130</v>
      </c>
      <c r="Q1" s="5135"/>
      <c r="R1" s="5135"/>
      <c r="S1" s="5135"/>
    </row>
    <row r="2" spans="2:26" ht="16.2" customHeight="1" x14ac:dyDescent="0.3">
      <c r="O2" s="2146"/>
      <c r="P2" s="5148" t="str">
        <f>'Вхідні дані'!F1</f>
        <v>станом на 01.09.2023 року</v>
      </c>
      <c r="Q2" s="5148"/>
      <c r="R2" s="5148"/>
      <c r="S2" s="5148"/>
    </row>
    <row r="3" spans="2:26" ht="16.8" x14ac:dyDescent="0.3">
      <c r="L3" s="1021"/>
      <c r="O3" s="2146"/>
      <c r="P3" s="2147"/>
      <c r="Q3" s="2148"/>
      <c r="R3" s="2147"/>
    </row>
    <row r="4" spans="2:26" ht="18" x14ac:dyDescent="0.3">
      <c r="C4" s="5149" t="s">
        <v>2188</v>
      </c>
      <c r="D4" s="5150"/>
      <c r="E4" s="5150"/>
      <c r="F4" s="5150"/>
      <c r="G4" s="5150"/>
      <c r="H4" s="5150"/>
      <c r="I4" s="5150"/>
      <c r="J4" s="5150"/>
      <c r="K4" s="5150"/>
      <c r="L4" s="5150"/>
      <c r="M4" s="5150"/>
      <c r="N4" s="5150"/>
      <c r="O4" s="5150"/>
      <c r="P4" s="5150"/>
      <c r="Q4" s="5150"/>
      <c r="R4" s="5150"/>
      <c r="S4" s="5150"/>
    </row>
    <row r="5" spans="2:26" ht="17.399999999999999" customHeight="1" x14ac:dyDescent="0.3">
      <c r="C5" s="5151" t="s">
        <v>2216</v>
      </c>
      <c r="D5" s="5151"/>
      <c r="E5" s="5151"/>
      <c r="F5" s="5151"/>
      <c r="G5" s="5151"/>
      <c r="H5" s="5151"/>
      <c r="I5" s="5151"/>
      <c r="J5" s="5151"/>
      <c r="K5" s="5151"/>
      <c r="L5" s="5151"/>
      <c r="M5" s="5151"/>
      <c r="N5" s="5151"/>
      <c r="O5" s="5151"/>
      <c r="P5" s="5151"/>
      <c r="Q5" s="5151"/>
      <c r="R5" s="5151"/>
      <c r="S5" s="5151"/>
    </row>
    <row r="6" spans="2:26" ht="17.399999999999999" customHeight="1" x14ac:dyDescent="0.3">
      <c r="C6" s="5151" t="s">
        <v>2218</v>
      </c>
      <c r="D6" s="5149"/>
      <c r="E6" s="5149"/>
      <c r="F6" s="5149"/>
      <c r="G6" s="5149"/>
      <c r="H6" s="5149"/>
      <c r="I6" s="5149"/>
      <c r="J6" s="5149"/>
      <c r="K6" s="5149"/>
      <c r="L6" s="5149"/>
      <c r="M6" s="5149"/>
      <c r="N6" s="5149"/>
      <c r="O6" s="5149"/>
      <c r="P6" s="5149"/>
      <c r="Q6" s="5149"/>
      <c r="R6" s="5149"/>
      <c r="S6" s="5149"/>
    </row>
    <row r="7" spans="2:26" ht="15" thickBot="1" x14ac:dyDescent="0.35">
      <c r="C7" s="2149"/>
      <c r="D7" s="2150"/>
      <c r="E7" s="2150"/>
      <c r="F7" s="2150"/>
      <c r="G7" s="2150"/>
      <c r="H7" s="2150"/>
      <c r="I7" s="2150"/>
      <c r="J7" s="2150"/>
      <c r="K7" s="2151"/>
      <c r="L7" s="2150"/>
      <c r="M7" s="2150"/>
      <c r="N7" s="2151"/>
      <c r="O7" s="2150"/>
      <c r="P7" s="2150"/>
      <c r="Q7" s="2151"/>
      <c r="R7" s="2150"/>
      <c r="S7" s="2152"/>
    </row>
    <row r="8" spans="2:26" ht="23.25" customHeight="1" thickBot="1" x14ac:dyDescent="0.35">
      <c r="B8" s="5131" t="s">
        <v>7</v>
      </c>
      <c r="C8" s="5143" t="s">
        <v>2034</v>
      </c>
      <c r="D8" s="5145" t="s">
        <v>2152</v>
      </c>
      <c r="E8" s="5143" t="s">
        <v>2153</v>
      </c>
      <c r="F8" s="5144"/>
      <c r="G8" s="5145"/>
      <c r="H8" s="5140" t="s">
        <v>2154</v>
      </c>
      <c r="I8" s="5141"/>
      <c r="J8" s="5141"/>
      <c r="K8" s="5141"/>
      <c r="L8" s="5141"/>
      <c r="M8" s="5141"/>
      <c r="N8" s="5141"/>
      <c r="O8" s="5141"/>
      <c r="P8" s="5141"/>
      <c r="Q8" s="5141"/>
      <c r="R8" s="5141"/>
      <c r="S8" s="5142"/>
    </row>
    <row r="9" spans="2:26" ht="15.6" customHeight="1" x14ac:dyDescent="0.3">
      <c r="B9" s="5132"/>
      <c r="C9" s="5155"/>
      <c r="D9" s="5157"/>
      <c r="E9" s="5155"/>
      <c r="F9" s="5159"/>
      <c r="G9" s="5157"/>
      <c r="H9" s="5143" t="s">
        <v>2038</v>
      </c>
      <c r="I9" s="5144"/>
      <c r="J9" s="5145"/>
      <c r="K9" s="5143" t="s">
        <v>166</v>
      </c>
      <c r="L9" s="5144"/>
      <c r="M9" s="5145"/>
      <c r="N9" s="5143" t="s">
        <v>97</v>
      </c>
      <c r="O9" s="5144"/>
      <c r="P9" s="5145"/>
      <c r="Q9" s="5143" t="s">
        <v>2155</v>
      </c>
      <c r="R9" s="5144"/>
      <c r="S9" s="5145"/>
    </row>
    <row r="10" spans="2:26" ht="15.6" customHeight="1" x14ac:dyDescent="0.3">
      <c r="B10" s="5132"/>
      <c r="C10" s="5155"/>
      <c r="D10" s="5157"/>
      <c r="E10" s="5152" t="s">
        <v>2156</v>
      </c>
      <c r="F10" s="5136" t="s">
        <v>2157</v>
      </c>
      <c r="G10" s="5137"/>
      <c r="H10" s="5152" t="s">
        <v>2156</v>
      </c>
      <c r="I10" s="5136" t="s">
        <v>2157</v>
      </c>
      <c r="J10" s="5137"/>
      <c r="K10" s="5138" t="s">
        <v>2156</v>
      </c>
      <c r="L10" s="5136" t="s">
        <v>2157</v>
      </c>
      <c r="M10" s="5137"/>
      <c r="N10" s="5138" t="s">
        <v>2156</v>
      </c>
      <c r="O10" s="5136" t="s">
        <v>2157</v>
      </c>
      <c r="P10" s="5137"/>
      <c r="Q10" s="5138" t="s">
        <v>2156</v>
      </c>
      <c r="R10" s="5136" t="s">
        <v>2157</v>
      </c>
      <c r="S10" s="5137"/>
    </row>
    <row r="11" spans="2:26" ht="15.75" customHeight="1" x14ac:dyDescent="0.3">
      <c r="B11" s="5132"/>
      <c r="C11" s="5155"/>
      <c r="D11" s="5157"/>
      <c r="E11" s="5152"/>
      <c r="F11" s="5136" t="s">
        <v>2158</v>
      </c>
      <c r="G11" s="5137" t="s">
        <v>2159</v>
      </c>
      <c r="H11" s="5152"/>
      <c r="I11" s="5136" t="s">
        <v>2158</v>
      </c>
      <c r="J11" s="5137" t="s">
        <v>2159</v>
      </c>
      <c r="K11" s="5138"/>
      <c r="L11" s="5136" t="s">
        <v>2158</v>
      </c>
      <c r="M11" s="5137" t="s">
        <v>2159</v>
      </c>
      <c r="N11" s="5138"/>
      <c r="O11" s="5136" t="s">
        <v>2158</v>
      </c>
      <c r="P11" s="5137" t="s">
        <v>2159</v>
      </c>
      <c r="Q11" s="5138"/>
      <c r="R11" s="5136" t="s">
        <v>2158</v>
      </c>
      <c r="S11" s="5137" t="s">
        <v>2159</v>
      </c>
      <c r="W11" s="1021"/>
      <c r="X11" s="1021"/>
      <c r="Y11" s="1021"/>
      <c r="Z11" s="1021"/>
    </row>
    <row r="12" spans="2:26" ht="34.5" customHeight="1" thickBot="1" x14ac:dyDescent="0.35">
      <c r="B12" s="5132"/>
      <c r="C12" s="5156"/>
      <c r="D12" s="5158"/>
      <c r="E12" s="5153"/>
      <c r="F12" s="5147"/>
      <c r="G12" s="5146"/>
      <c r="H12" s="5153"/>
      <c r="I12" s="5147"/>
      <c r="J12" s="5146"/>
      <c r="K12" s="5139"/>
      <c r="L12" s="5147"/>
      <c r="M12" s="5146"/>
      <c r="N12" s="5139"/>
      <c r="O12" s="5147"/>
      <c r="P12" s="5146"/>
      <c r="Q12" s="5139"/>
      <c r="R12" s="5147"/>
      <c r="S12" s="5146"/>
    </row>
    <row r="13" spans="2:26" s="2153" customFormat="1" ht="19.5" customHeight="1" thickBot="1" x14ac:dyDescent="0.35">
      <c r="B13" s="2656">
        <v>1</v>
      </c>
      <c r="C13" s="2761">
        <v>2</v>
      </c>
      <c r="D13" s="2988">
        <v>3</v>
      </c>
      <c r="E13" s="2761">
        <v>4</v>
      </c>
      <c r="F13" s="2989">
        <v>5</v>
      </c>
      <c r="G13" s="2988">
        <v>6</v>
      </c>
      <c r="H13" s="2761">
        <v>7</v>
      </c>
      <c r="I13" s="2989">
        <v>8</v>
      </c>
      <c r="J13" s="2988">
        <v>9</v>
      </c>
      <c r="K13" s="2990">
        <v>10</v>
      </c>
      <c r="L13" s="2989">
        <v>11</v>
      </c>
      <c r="M13" s="2988">
        <v>12</v>
      </c>
      <c r="N13" s="2990">
        <v>13</v>
      </c>
      <c r="O13" s="2989">
        <v>14</v>
      </c>
      <c r="P13" s="2988">
        <v>15</v>
      </c>
      <c r="Q13" s="2990">
        <v>16</v>
      </c>
      <c r="R13" s="2989">
        <v>17</v>
      </c>
      <c r="S13" s="2988">
        <v>18</v>
      </c>
    </row>
    <row r="14" spans="2:26" ht="31.2" x14ac:dyDescent="0.3">
      <c r="B14" s="1101" t="s">
        <v>1747</v>
      </c>
      <c r="C14" s="2759" t="s">
        <v>2199</v>
      </c>
      <c r="D14" s="2760" t="s">
        <v>2160</v>
      </c>
      <c r="E14" s="3029">
        <f t="shared" ref="E14:F16" si="0">H14+K14+N14+Q14</f>
        <v>98.795806692118902</v>
      </c>
      <c r="F14" s="3030">
        <f t="shared" si="0"/>
        <v>98.795806692118902</v>
      </c>
      <c r="G14" s="3031" t="s">
        <v>317</v>
      </c>
      <c r="H14" s="3029">
        <f>I14</f>
        <v>82.049342543904487</v>
      </c>
      <c r="I14" s="3030">
        <f>ТЕ_2ст_вих!F15</f>
        <v>82.049342543904487</v>
      </c>
      <c r="J14" s="3031" t="s">
        <v>317</v>
      </c>
      <c r="K14" s="3029">
        <f>L14</f>
        <v>1.3291675959893333E-2</v>
      </c>
      <c r="L14" s="3030">
        <f>ТЕ_2ст_вих!G17</f>
        <v>1.3291675959893333E-2</v>
      </c>
      <c r="M14" s="3031" t="s">
        <v>317</v>
      </c>
      <c r="N14" s="3029">
        <f>O14</f>
        <v>12.519553368115806</v>
      </c>
      <c r="O14" s="3030">
        <f>ТЕ_2ст_вих!H17</f>
        <v>12.519553368115806</v>
      </c>
      <c r="P14" s="3031" t="s">
        <v>317</v>
      </c>
      <c r="Q14" s="3029">
        <f>R14</f>
        <v>4.2136191041387132</v>
      </c>
      <c r="R14" s="3030">
        <f>ТЕ_2ст_вих!I17</f>
        <v>4.2136191041387132</v>
      </c>
      <c r="S14" s="3031" t="s">
        <v>317</v>
      </c>
      <c r="T14" s="2154"/>
      <c r="U14" s="2154"/>
      <c r="V14" s="2154"/>
      <c r="W14" s="2154"/>
      <c r="X14" s="2154"/>
      <c r="Y14" s="2154"/>
    </row>
    <row r="15" spans="2:26" ht="15.6" x14ac:dyDescent="0.3">
      <c r="B15" s="1066" t="s">
        <v>23</v>
      </c>
      <c r="C15" s="1067" t="s">
        <v>644</v>
      </c>
      <c r="D15" s="3140" t="s">
        <v>1863</v>
      </c>
      <c r="E15" s="3029">
        <f t="shared" si="0"/>
        <v>16.448213425432204</v>
      </c>
      <c r="F15" s="3032">
        <f t="shared" si="0"/>
        <v>16.448213425432204</v>
      </c>
      <c r="G15" s="3031" t="s">
        <v>317</v>
      </c>
      <c r="H15" s="3029">
        <f>I15</f>
        <v>13.668480880354855</v>
      </c>
      <c r="I15" s="3032">
        <f>'Д 7_РП'!G77/1000</f>
        <v>13.668480880354855</v>
      </c>
      <c r="J15" s="3031" t="s">
        <v>317</v>
      </c>
      <c r="K15" s="3029">
        <f>L15</f>
        <v>0</v>
      </c>
      <c r="L15" s="3032">
        <f>'Д 7_РП'!G85/1000</f>
        <v>0</v>
      </c>
      <c r="M15" s="3031" t="s">
        <v>317</v>
      </c>
      <c r="N15" s="3029">
        <f>O15</f>
        <v>2.0104763849135998</v>
      </c>
      <c r="O15" s="3032">
        <f>'Д 7_РП'!G89/1000</f>
        <v>2.0104763849135998</v>
      </c>
      <c r="P15" s="3031" t="s">
        <v>317</v>
      </c>
      <c r="Q15" s="3029">
        <f>R15</f>
        <v>0.76925616016375076</v>
      </c>
      <c r="R15" s="3032">
        <f>'Д 7_РП'!G93/1000</f>
        <v>0.76925616016375076</v>
      </c>
      <c r="S15" s="3031" t="s">
        <v>317</v>
      </c>
      <c r="T15" s="2154"/>
      <c r="U15" s="2154"/>
      <c r="V15" s="2154"/>
      <c r="W15" s="2154"/>
      <c r="X15" s="2154"/>
      <c r="Y15" s="2154"/>
    </row>
    <row r="16" spans="2:26" ht="15.6" x14ac:dyDescent="0.3">
      <c r="B16" s="1066" t="s">
        <v>24</v>
      </c>
      <c r="C16" s="1067" t="s">
        <v>643</v>
      </c>
      <c r="D16" s="3140" t="s">
        <v>1863</v>
      </c>
      <c r="E16" s="3029">
        <f t="shared" si="0"/>
        <v>82.347593266686673</v>
      </c>
      <c r="F16" s="3032">
        <f t="shared" si="0"/>
        <v>82.347593266686673</v>
      </c>
      <c r="G16" s="3031" t="s">
        <v>317</v>
      </c>
      <c r="H16" s="3029">
        <f>I16</f>
        <v>68.380861663549609</v>
      </c>
      <c r="I16" s="3032">
        <f>'Д 7_РП'!G80/1000</f>
        <v>68.380861663549609</v>
      </c>
      <c r="J16" s="3031" t="s">
        <v>317</v>
      </c>
      <c r="K16" s="3029">
        <f>L16</f>
        <v>1.3291675959893333E-2</v>
      </c>
      <c r="L16" s="3032">
        <f>'Д 7_РП'!G86/1000</f>
        <v>1.3291675959893333E-2</v>
      </c>
      <c r="M16" s="3031" t="s">
        <v>317</v>
      </c>
      <c r="N16" s="3029">
        <f>O16</f>
        <v>10.509076983202204</v>
      </c>
      <c r="O16" s="3032">
        <f>'Д 7_РП'!G90/1000</f>
        <v>10.509076983202204</v>
      </c>
      <c r="P16" s="3031" t="s">
        <v>317</v>
      </c>
      <c r="Q16" s="3029">
        <f>R16</f>
        <v>3.4443629439749621</v>
      </c>
      <c r="R16" s="3032">
        <f>'Д 7_РП'!G94/1000</f>
        <v>3.4443629439749621</v>
      </c>
      <c r="S16" s="3031" t="s">
        <v>317</v>
      </c>
      <c r="T16" s="2154"/>
      <c r="U16" s="2154"/>
      <c r="V16" s="2154"/>
      <c r="W16" s="2154"/>
      <c r="X16" s="2154"/>
      <c r="Y16" s="2154"/>
    </row>
    <row r="17" spans="2:27" ht="15.6" x14ac:dyDescent="0.3">
      <c r="B17" s="1065" t="s">
        <v>1768</v>
      </c>
      <c r="C17" s="1016" t="s">
        <v>2189</v>
      </c>
      <c r="D17" s="3140" t="s">
        <v>31</v>
      </c>
      <c r="E17" s="3029">
        <f>H17+K17+N17+Q17</f>
        <v>71.594076517000005</v>
      </c>
      <c r="F17" s="3032" t="s">
        <v>317</v>
      </c>
      <c r="G17" s="2921">
        <f>J17+M17+P17+S17</f>
        <v>71.594076517000005</v>
      </c>
      <c r="H17" s="3029">
        <f>J17</f>
        <v>59.458515646999999</v>
      </c>
      <c r="I17" s="3032" t="s">
        <v>317</v>
      </c>
      <c r="J17" s="2921">
        <f>ROUND(ТЕ_2ст_вих!F10,9)</f>
        <v>59.458515646999999</v>
      </c>
      <c r="K17" s="3029">
        <f>M17</f>
        <v>9.6319999999999999E-3</v>
      </c>
      <c r="L17" s="3032" t="s">
        <v>317</v>
      </c>
      <c r="M17" s="2921">
        <f>ROUND(ТЕ_2ст_вих!G10,9)</f>
        <v>9.6319999999999999E-3</v>
      </c>
      <c r="N17" s="3029">
        <f>P17</f>
        <v>9.0724704999999997</v>
      </c>
      <c r="O17" s="3032" t="s">
        <v>317</v>
      </c>
      <c r="P17" s="2921">
        <f>ROUND(ТЕ_2ст_вих!H10,9)</f>
        <v>9.0724704999999997</v>
      </c>
      <c r="Q17" s="3029">
        <f>S17</f>
        <v>3.05345837</v>
      </c>
      <c r="R17" s="3032" t="s">
        <v>317</v>
      </c>
      <c r="S17" s="2921">
        <f>ROUND(ТЕ_2ст_вих!I10,9)</f>
        <v>3.05345837</v>
      </c>
      <c r="T17" s="2154"/>
      <c r="U17" s="2154"/>
      <c r="V17" s="2154"/>
      <c r="W17" s="2154"/>
      <c r="X17" s="2154"/>
      <c r="Y17" s="2154"/>
    </row>
    <row r="18" spans="2:27" ht="15.6" x14ac:dyDescent="0.3">
      <c r="B18" s="1066" t="s">
        <v>25</v>
      </c>
      <c r="C18" s="1067" t="s">
        <v>644</v>
      </c>
      <c r="D18" s="3140" t="s">
        <v>31</v>
      </c>
      <c r="E18" s="3029">
        <f>H18+K18+N18+Q18</f>
        <v>11.919578167000001</v>
      </c>
      <c r="F18" s="3032" t="s">
        <v>317</v>
      </c>
      <c r="G18" s="3031">
        <f>J18+M18+P18+S18</f>
        <v>11.919578167000001</v>
      </c>
      <c r="H18" s="3029">
        <f>J18</f>
        <v>9.9052058670000012</v>
      </c>
      <c r="I18" s="3032" t="s">
        <v>317</v>
      </c>
      <c r="J18" s="3031">
        <f>'Д 7_РП'!G97</f>
        <v>9.9052058670000012</v>
      </c>
      <c r="K18" s="3029">
        <f>M18</f>
        <v>0</v>
      </c>
      <c r="L18" s="3032" t="s">
        <v>317</v>
      </c>
      <c r="M18" s="3031">
        <f>'Д 7_РП'!G104</f>
        <v>0</v>
      </c>
      <c r="N18" s="3029">
        <f>P18</f>
        <v>1.45692</v>
      </c>
      <c r="O18" s="3032" t="s">
        <v>317</v>
      </c>
      <c r="P18" s="3031">
        <f>'Д 7_РП'!G107</f>
        <v>1.45692</v>
      </c>
      <c r="Q18" s="3029">
        <f>S18</f>
        <v>0.5574522999999999</v>
      </c>
      <c r="R18" s="3032" t="s">
        <v>317</v>
      </c>
      <c r="S18" s="3031">
        <f>'Д 7_РП'!G110</f>
        <v>0.5574522999999999</v>
      </c>
      <c r="T18" s="2154"/>
      <c r="U18" s="2154"/>
      <c r="V18" s="2154"/>
      <c r="W18" s="2154"/>
      <c r="X18" s="2154"/>
      <c r="Y18" s="2154"/>
      <c r="Z18" s="2154"/>
      <c r="AA18" s="2154"/>
    </row>
    <row r="19" spans="2:27" ht="15.6" x14ac:dyDescent="0.3">
      <c r="B19" s="1068" t="s">
        <v>26</v>
      </c>
      <c r="C19" s="1067" t="s">
        <v>643</v>
      </c>
      <c r="D19" s="3140" t="s">
        <v>31</v>
      </c>
      <c r="E19" s="3029">
        <f>H19+K19+N19+Q19</f>
        <v>59.674498350062137</v>
      </c>
      <c r="F19" s="3032" t="s">
        <v>317</v>
      </c>
      <c r="G19" s="3031">
        <f>J19+M19+P19+S19</f>
        <v>59.674498350062137</v>
      </c>
      <c r="H19" s="3029">
        <f>J19</f>
        <v>49.553309780062136</v>
      </c>
      <c r="I19" s="3032" t="s">
        <v>317</v>
      </c>
      <c r="J19" s="3031">
        <f>'Д 7_РП'!G100</f>
        <v>49.553309780062136</v>
      </c>
      <c r="K19" s="3029">
        <f>M19</f>
        <v>9.6319999999999999E-3</v>
      </c>
      <c r="L19" s="3032" t="s">
        <v>317</v>
      </c>
      <c r="M19" s="3031">
        <f>'Д 7_РП'!G105</f>
        <v>9.6319999999999999E-3</v>
      </c>
      <c r="N19" s="3029">
        <f>P19</f>
        <v>7.6155505000000003</v>
      </c>
      <c r="O19" s="3032" t="s">
        <v>317</v>
      </c>
      <c r="P19" s="3031">
        <f>'Д 7_РП'!G108</f>
        <v>7.6155505000000003</v>
      </c>
      <c r="Q19" s="3029">
        <f>S19</f>
        <v>2.4960060699999995</v>
      </c>
      <c r="R19" s="3032" t="s">
        <v>317</v>
      </c>
      <c r="S19" s="3031">
        <f>'Д 7_РП'!G111</f>
        <v>2.4960060699999995</v>
      </c>
      <c r="T19" s="2154"/>
      <c r="U19" s="1021"/>
      <c r="V19" s="1021">
        <f>S75/S17*1000/12</f>
        <v>10806.532267319802</v>
      </c>
      <c r="W19" s="2154"/>
      <c r="X19" s="2154"/>
      <c r="Y19" s="2154"/>
      <c r="Z19" s="2154"/>
      <c r="AA19" s="2154"/>
    </row>
    <row r="20" spans="2:27" ht="19.5" hidden="1" customHeight="1" x14ac:dyDescent="0.3">
      <c r="B20" s="3141"/>
      <c r="C20" s="1008" t="s">
        <v>2048</v>
      </c>
      <c r="D20" s="1014"/>
      <c r="E20" s="3029"/>
      <c r="F20" s="3032"/>
      <c r="G20" s="3031"/>
      <c r="H20" s="3029"/>
      <c r="I20" s="3032"/>
      <c r="J20" s="3031"/>
      <c r="K20" s="3029"/>
      <c r="L20" s="3032"/>
      <c r="M20" s="3031"/>
      <c r="N20" s="3029"/>
      <c r="O20" s="3032" t="s">
        <v>317</v>
      </c>
      <c r="P20" s="3031"/>
      <c r="Q20" s="3029"/>
      <c r="R20" s="3032"/>
      <c r="S20" s="3031"/>
    </row>
    <row r="21" spans="2:27" ht="31.2" hidden="1" customHeight="1" x14ac:dyDescent="0.3">
      <c r="B21" s="3138" t="s">
        <v>25</v>
      </c>
      <c r="C21" s="1009" t="s">
        <v>2161</v>
      </c>
      <c r="D21" s="1015" t="s">
        <v>2043</v>
      </c>
      <c r="E21" s="3029"/>
      <c r="F21" s="3032" t="s">
        <v>317</v>
      </c>
      <c r="G21" s="3031"/>
      <c r="H21" s="3029"/>
      <c r="I21" s="3032" t="s">
        <v>317</v>
      </c>
      <c r="J21" s="3031"/>
      <c r="K21" s="3029"/>
      <c r="L21" s="3032"/>
      <c r="M21" s="3031"/>
      <c r="N21" s="3029"/>
      <c r="O21" s="3032" t="s">
        <v>317</v>
      </c>
      <c r="P21" s="3031"/>
      <c r="Q21" s="3029"/>
      <c r="R21" s="3032" t="s">
        <v>317</v>
      </c>
      <c r="S21" s="3031"/>
    </row>
    <row r="22" spans="2:27" ht="15.6" hidden="1" customHeight="1" x14ac:dyDescent="0.3">
      <c r="B22" s="3138" t="s">
        <v>26</v>
      </c>
      <c r="C22" s="1009" t="s">
        <v>2162</v>
      </c>
      <c r="D22" s="1015" t="s">
        <v>2043</v>
      </c>
      <c r="E22" s="3029"/>
      <c r="F22" s="3032" t="s">
        <v>317</v>
      </c>
      <c r="G22" s="3031"/>
      <c r="H22" s="3029"/>
      <c r="I22" s="3032" t="s">
        <v>317</v>
      </c>
      <c r="J22" s="3031"/>
      <c r="K22" s="3029"/>
      <c r="L22" s="3032"/>
      <c r="M22" s="3031"/>
      <c r="N22" s="3029"/>
      <c r="O22" s="3032" t="s">
        <v>317</v>
      </c>
      <c r="P22" s="3031"/>
      <c r="Q22" s="3029"/>
      <c r="R22" s="3032" t="s">
        <v>317</v>
      </c>
      <c r="S22" s="3031"/>
    </row>
    <row r="23" spans="2:27" ht="15.6" hidden="1" customHeight="1" x14ac:dyDescent="0.3">
      <c r="B23" s="3138" t="s">
        <v>59</v>
      </c>
      <c r="C23" s="1009" t="s">
        <v>2163</v>
      </c>
      <c r="D23" s="1015" t="s">
        <v>2043</v>
      </c>
      <c r="E23" s="3029"/>
      <c r="F23" s="3032" t="s">
        <v>317</v>
      </c>
      <c r="G23" s="3031"/>
      <c r="H23" s="3029"/>
      <c r="I23" s="3032" t="s">
        <v>317</v>
      </c>
      <c r="J23" s="3031"/>
      <c r="K23" s="3029"/>
      <c r="L23" s="3032"/>
      <c r="M23" s="3031"/>
      <c r="N23" s="3029"/>
      <c r="O23" s="3032" t="s">
        <v>317</v>
      </c>
      <c r="P23" s="3031"/>
      <c r="Q23" s="3029"/>
      <c r="R23" s="3032" t="s">
        <v>317</v>
      </c>
      <c r="S23" s="3031"/>
    </row>
    <row r="24" spans="2:27" ht="46.95" hidden="1" customHeight="1" x14ac:dyDescent="0.3">
      <c r="B24" s="3138" t="s">
        <v>2052</v>
      </c>
      <c r="C24" s="1009" t="s">
        <v>2164</v>
      </c>
      <c r="D24" s="1015" t="s">
        <v>2043</v>
      </c>
      <c r="E24" s="3029"/>
      <c r="F24" s="3032" t="s">
        <v>317</v>
      </c>
      <c r="G24" s="3031"/>
      <c r="H24" s="3029"/>
      <c r="I24" s="3032" t="s">
        <v>317</v>
      </c>
      <c r="J24" s="3031"/>
      <c r="K24" s="3029"/>
      <c r="L24" s="3032"/>
      <c r="M24" s="3031"/>
      <c r="N24" s="3029"/>
      <c r="O24" s="3032" t="s">
        <v>317</v>
      </c>
      <c r="P24" s="3031"/>
      <c r="Q24" s="3029"/>
      <c r="R24" s="3032" t="s">
        <v>317</v>
      </c>
      <c r="S24" s="3031"/>
    </row>
    <row r="25" spans="2:27" ht="31.2" hidden="1" customHeight="1" x14ac:dyDescent="0.3">
      <c r="B25" s="1022" t="s">
        <v>1770</v>
      </c>
      <c r="C25" s="1069" t="s">
        <v>2165</v>
      </c>
      <c r="D25" s="1015" t="s">
        <v>2047</v>
      </c>
      <c r="E25" s="3033"/>
      <c r="F25" s="3034"/>
      <c r="G25" s="3031" t="s">
        <v>317</v>
      </c>
      <c r="H25" s="3033"/>
      <c r="I25" s="3034"/>
      <c r="J25" s="3031" t="s">
        <v>317</v>
      </c>
      <c r="K25" s="3029"/>
      <c r="L25" s="3032"/>
      <c r="M25" s="3031"/>
      <c r="N25" s="3029"/>
      <c r="O25" s="3032" t="s">
        <v>317</v>
      </c>
      <c r="P25" s="3031" t="s">
        <v>317</v>
      </c>
      <c r="Q25" s="3029"/>
      <c r="R25" s="3032"/>
      <c r="S25" s="3031" t="s">
        <v>2053</v>
      </c>
    </row>
    <row r="26" spans="2:27" ht="15.6" hidden="1" customHeight="1" x14ac:dyDescent="0.3">
      <c r="B26" s="5163" t="s">
        <v>60</v>
      </c>
      <c r="C26" s="1008" t="s">
        <v>2166</v>
      </c>
      <c r="D26" s="1014"/>
      <c r="E26" s="3035"/>
      <c r="F26" s="3036"/>
      <c r="G26" s="3037"/>
      <c r="H26" s="3035"/>
      <c r="I26" s="3036"/>
      <c r="J26" s="3037"/>
      <c r="K26" s="3029"/>
      <c r="L26" s="3036"/>
      <c r="M26" s="3031"/>
      <c r="N26" s="3035"/>
      <c r="O26" s="3032" t="s">
        <v>317</v>
      </c>
      <c r="P26" s="3037"/>
      <c r="Q26" s="3035"/>
      <c r="R26" s="3036"/>
      <c r="S26" s="3037"/>
    </row>
    <row r="27" spans="2:27" ht="32.25" hidden="1" customHeight="1" x14ac:dyDescent="0.3">
      <c r="B27" s="5164"/>
      <c r="C27" s="1009" t="s">
        <v>2167</v>
      </c>
      <c r="D27" s="1015" t="s">
        <v>2043</v>
      </c>
      <c r="E27" s="3029" t="s">
        <v>2049</v>
      </c>
      <c r="F27" s="3038"/>
      <c r="G27" s="3031" t="s">
        <v>2053</v>
      </c>
      <c r="H27" s="3029" t="s">
        <v>2049</v>
      </c>
      <c r="I27" s="3038"/>
      <c r="J27" s="3031" t="s">
        <v>2053</v>
      </c>
      <c r="K27" s="3029"/>
      <c r="L27" s="3038"/>
      <c r="M27" s="3031"/>
      <c r="N27" s="3029"/>
      <c r="O27" s="3032" t="s">
        <v>317</v>
      </c>
      <c r="P27" s="3031" t="s">
        <v>317</v>
      </c>
      <c r="Q27" s="3029" t="s">
        <v>2049</v>
      </c>
      <c r="R27" s="3038"/>
      <c r="S27" s="3031" t="s">
        <v>2053</v>
      </c>
    </row>
    <row r="28" spans="2:27" ht="46.95" hidden="1" customHeight="1" x14ac:dyDescent="0.3">
      <c r="B28" s="1022" t="s">
        <v>1773</v>
      </c>
      <c r="C28" s="1010" t="s">
        <v>2168</v>
      </c>
      <c r="D28" s="1015" t="s">
        <v>2169</v>
      </c>
      <c r="E28" s="3029"/>
      <c r="F28" s="3032" t="s">
        <v>317</v>
      </c>
      <c r="G28" s="3031"/>
      <c r="H28" s="3029"/>
      <c r="I28" s="3032" t="s">
        <v>317</v>
      </c>
      <c r="J28" s="3031"/>
      <c r="K28" s="3029"/>
      <c r="L28" s="3032"/>
      <c r="M28" s="3031"/>
      <c r="N28" s="3029" t="s">
        <v>2053</v>
      </c>
      <c r="O28" s="3032" t="s">
        <v>317</v>
      </c>
      <c r="P28" s="3031" t="s">
        <v>2053</v>
      </c>
      <c r="Q28" s="3029" t="s">
        <v>2053</v>
      </c>
      <c r="R28" s="3032" t="s">
        <v>2053</v>
      </c>
      <c r="S28" s="3031" t="s">
        <v>2053</v>
      </c>
    </row>
    <row r="29" spans="2:27" ht="47.4" hidden="1" customHeight="1" thickBot="1" x14ac:dyDescent="0.35">
      <c r="B29" s="1070" t="s">
        <v>1845</v>
      </c>
      <c r="C29" s="1071" t="s">
        <v>2170</v>
      </c>
      <c r="D29" s="1072" t="s">
        <v>2139</v>
      </c>
      <c r="E29" s="3039"/>
      <c r="F29" s="3040"/>
      <c r="G29" s="3041" t="s">
        <v>317</v>
      </c>
      <c r="H29" s="3039"/>
      <c r="I29" s="3040"/>
      <c r="J29" s="3041" t="s">
        <v>317</v>
      </c>
      <c r="K29" s="3039"/>
      <c r="L29" s="3040"/>
      <c r="M29" s="3041"/>
      <c r="N29" s="3039" t="s">
        <v>2053</v>
      </c>
      <c r="O29" s="3040" t="s">
        <v>317</v>
      </c>
      <c r="P29" s="3041" t="s">
        <v>2053</v>
      </c>
      <c r="Q29" s="3039" t="s">
        <v>2053</v>
      </c>
      <c r="R29" s="3040" t="s">
        <v>2053</v>
      </c>
      <c r="S29" s="3041" t="s">
        <v>2053</v>
      </c>
    </row>
    <row r="30" spans="2:27" ht="38.25" customHeight="1" thickBot="1" x14ac:dyDescent="0.35">
      <c r="B30" s="1073" t="s">
        <v>1770</v>
      </c>
      <c r="C30" s="2740" t="s">
        <v>2203</v>
      </c>
      <c r="D30" s="3145" t="s">
        <v>2160</v>
      </c>
      <c r="E30" s="3042">
        <f>H30+K30+N30+Q30</f>
        <v>108.67553267624618</v>
      </c>
      <c r="F30" s="4469">
        <f>I30+L30+O30+R30</f>
        <v>108.67553267624618</v>
      </c>
      <c r="G30" s="3044" t="s">
        <v>317</v>
      </c>
      <c r="H30" s="3045">
        <f>I30</f>
        <v>90.271057497103627</v>
      </c>
      <c r="I30" s="2922">
        <f>'Д 2_Т на В'!L58/1000</f>
        <v>90.271057497103627</v>
      </c>
      <c r="J30" s="3044" t="s">
        <v>317</v>
      </c>
      <c r="K30" s="3045">
        <f>L30</f>
        <v>1.4602989074179139E-2</v>
      </c>
      <c r="L30" s="2922">
        <f>'Д 2_Т на В'!P58/1000</f>
        <v>1.4602989074179139E-2</v>
      </c>
      <c r="M30" s="3044" t="s">
        <v>317</v>
      </c>
      <c r="N30" s="3045">
        <f>O30</f>
        <v>13.752767963175286</v>
      </c>
      <c r="O30" s="2922">
        <f>'Д 2_Т на В'!T58/1000</f>
        <v>13.752767963175286</v>
      </c>
      <c r="P30" s="3044" t="s">
        <v>317</v>
      </c>
      <c r="Q30" s="3045">
        <f>R30</f>
        <v>4.6371042268930927</v>
      </c>
      <c r="R30" s="2922">
        <f>'Д 2_Т на В'!X58/1000</f>
        <v>4.6371042268930927</v>
      </c>
      <c r="S30" s="3044" t="s">
        <v>317</v>
      </c>
      <c r="U30" s="1021">
        <f>G75-H75</f>
        <v>1573.7199614841429</v>
      </c>
      <c r="V30" s="1005">
        <f>U30/(S17+P17+M17)</f>
        <v>129.67838720783763</v>
      </c>
    </row>
    <row r="31" spans="2:27" ht="15.6" x14ac:dyDescent="0.3">
      <c r="B31" s="1101"/>
      <c r="C31" s="1067" t="s">
        <v>644</v>
      </c>
      <c r="D31" s="3140" t="s">
        <v>1863</v>
      </c>
      <c r="E31" s="3046">
        <f>'Д 7_РП'!D157/1000</f>
        <v>18.237362357436083</v>
      </c>
      <c r="F31" s="3032">
        <f>E31</f>
        <v>18.237362357436083</v>
      </c>
      <c r="G31" s="3047"/>
      <c r="H31" s="3048">
        <f>'Д 7_РП'!D158/1000</f>
        <v>15.155265331444637</v>
      </c>
      <c r="I31" s="3032">
        <f>H31</f>
        <v>15.155265331444637</v>
      </c>
      <c r="J31" s="3047"/>
      <c r="K31" s="3048">
        <f>'Д 7_РП'!D159/1000</f>
        <v>0</v>
      </c>
      <c r="L31" s="3032">
        <f>K31</f>
        <v>0</v>
      </c>
      <c r="M31" s="3047"/>
      <c r="N31" s="3048">
        <f>'Д 7_РП'!D160/1000</f>
        <v>2.2291652834520463</v>
      </c>
      <c r="O31" s="3032">
        <f>N31</f>
        <v>2.2291652834520463</v>
      </c>
      <c r="P31" s="3047"/>
      <c r="Q31" s="3046">
        <f>'Д 7_РП'!D161/1000</f>
        <v>0.85293174253939519</v>
      </c>
      <c r="R31" s="3032">
        <f>Q31</f>
        <v>0.85293174253939519</v>
      </c>
      <c r="S31" s="3047"/>
      <c r="U31" s="1021">
        <f>G119-H119</f>
        <v>102.8957635771215</v>
      </c>
      <c r="V31" s="1005">
        <f>U31/(S18+P18)</f>
        <v>51.080807444146004</v>
      </c>
    </row>
    <row r="32" spans="2:27" ht="16.2" thickBot="1" x14ac:dyDescent="0.35">
      <c r="B32" s="1065"/>
      <c r="C32" s="2741" t="s">
        <v>643</v>
      </c>
      <c r="D32" s="2742" t="s">
        <v>1863</v>
      </c>
      <c r="E32" s="3049">
        <f>'Д 7_РП'!D162/1000</f>
        <v>90.438170318810094</v>
      </c>
      <c r="F32" s="3050">
        <f>E32</f>
        <v>90.438170318810094</v>
      </c>
      <c r="G32" s="3051"/>
      <c r="H32" s="3052">
        <f>'Д 7_РП'!D163/1000</f>
        <v>75.115792165658988</v>
      </c>
      <c r="I32" s="3050">
        <f>H32</f>
        <v>75.115792165658988</v>
      </c>
      <c r="J32" s="3051"/>
      <c r="K32" s="3052">
        <f>'Д 7_РП'!D164/1000</f>
        <v>1.4602989074179139E-2</v>
      </c>
      <c r="L32" s="3050">
        <f>K32</f>
        <v>1.4602989074179139E-2</v>
      </c>
      <c r="M32" s="3051"/>
      <c r="N32" s="3052">
        <f>'Д 7_РП'!D165/1000</f>
        <v>11.523602679723238</v>
      </c>
      <c r="O32" s="3050">
        <f>N32</f>
        <v>11.523602679723238</v>
      </c>
      <c r="P32" s="3051"/>
      <c r="Q32" s="3049">
        <f>'Д 7_РП'!D166/1000</f>
        <v>3.7841724843536966</v>
      </c>
      <c r="R32" s="3050">
        <f>Q32</f>
        <v>3.7841724843536966</v>
      </c>
      <c r="S32" s="3051"/>
      <c r="X32" s="1021"/>
    </row>
    <row r="33" spans="1:32" ht="16.5" hidden="1" customHeight="1" x14ac:dyDescent="0.3">
      <c r="B33" s="1065"/>
      <c r="C33" s="2933"/>
      <c r="D33" s="2760"/>
      <c r="E33" s="2739"/>
      <c r="F33" s="1108"/>
      <c r="G33" s="2934"/>
      <c r="H33" s="2739"/>
      <c r="I33" s="1108"/>
      <c r="J33" s="2934"/>
      <c r="K33" s="2935"/>
      <c r="L33" s="1108"/>
      <c r="M33" s="2936"/>
      <c r="N33" s="2935"/>
      <c r="O33" s="2937"/>
      <c r="P33" s="2934"/>
      <c r="Q33" s="2938"/>
      <c r="R33" s="1108"/>
      <c r="S33" s="2934"/>
    </row>
    <row r="34" spans="1:32" ht="16.5" hidden="1" customHeight="1" x14ac:dyDescent="0.3">
      <c r="B34" s="1065"/>
      <c r="C34" s="2939"/>
      <c r="D34" s="3140"/>
      <c r="E34" s="2155"/>
      <c r="F34" s="3139"/>
      <c r="G34" s="2929"/>
      <c r="H34" s="2155"/>
      <c r="I34" s="3139"/>
      <c r="J34" s="2929"/>
      <c r="K34" s="2930"/>
      <c r="L34" s="3139"/>
      <c r="M34" s="2931"/>
      <c r="N34" s="2930"/>
      <c r="O34" s="1011"/>
      <c r="P34" s="2929"/>
      <c r="Q34" s="2932"/>
      <c r="R34" s="3139"/>
      <c r="S34" s="2929"/>
    </row>
    <row r="35" spans="1:32" ht="16.5" hidden="1" customHeight="1" thickTop="1" thickBot="1" x14ac:dyDescent="0.35">
      <c r="B35" s="1078"/>
      <c r="C35" s="2991"/>
      <c r="D35" s="1075"/>
      <c r="E35" s="2156"/>
      <c r="F35" s="2940"/>
      <c r="G35" s="2941"/>
      <c r="H35" s="2156"/>
      <c r="I35" s="2940"/>
      <c r="J35" s="2941"/>
      <c r="K35" s="2942"/>
      <c r="L35" s="2940"/>
      <c r="M35" s="2943"/>
      <c r="N35" s="2942"/>
      <c r="O35" s="2927"/>
      <c r="P35" s="2941"/>
      <c r="Q35" s="2944"/>
      <c r="R35" s="2940"/>
      <c r="S35" s="2941"/>
    </row>
    <row r="36" spans="1:32" ht="21.6" customHeight="1" thickTop="1" thickBot="1" x14ac:dyDescent="0.35">
      <c r="B36" s="5160"/>
      <c r="C36" s="5161"/>
      <c r="D36" s="5162"/>
      <c r="E36" s="5133" t="s">
        <v>0</v>
      </c>
      <c r="F36" s="5134"/>
      <c r="G36" s="5134"/>
      <c r="H36" s="4293"/>
      <c r="I36" s="4588"/>
      <c r="J36" s="4589">
        <f>'Д 7_РП'!E179</f>
        <v>0.83049490320462638</v>
      </c>
      <c r="K36" s="4588"/>
      <c r="L36" s="4588"/>
      <c r="M36" s="4589">
        <f>'Д 7_РП'!E180</f>
        <v>1.3453626987847974E-4</v>
      </c>
      <c r="N36" s="4588"/>
      <c r="O36" s="4588"/>
      <c r="P36" s="4589">
        <f>'Д 7_РП'!E181</f>
        <v>0.12672096549548859</v>
      </c>
      <c r="Q36" s="4590"/>
      <c r="R36" s="4590"/>
      <c r="S36" s="4591">
        <f>'Д 7_РП'!E182</f>
        <v>4.2649595030006517E-2</v>
      </c>
    </row>
    <row r="37" spans="1:32" ht="15.6" x14ac:dyDescent="0.3">
      <c r="B37" s="1065">
        <v>1</v>
      </c>
      <c r="C37" s="1102" t="s">
        <v>215</v>
      </c>
      <c r="D37" s="1076" t="s">
        <v>40</v>
      </c>
      <c r="E37" s="2945">
        <f>F37+G37</f>
        <v>149071.37204744888</v>
      </c>
      <c r="F37" s="1028">
        <f>F38+F49+F50+F54</f>
        <v>114791.36386509688</v>
      </c>
      <c r="G37" s="1029">
        <f>G38+G49+G50+G54</f>
        <v>34280.008182351987</v>
      </c>
      <c r="H37" s="1026">
        <f>I37+J37</f>
        <v>108731.48457797602</v>
      </c>
      <c r="I37" s="1028">
        <f>I38+I49+I50+I54</f>
        <v>80262.112500721283</v>
      </c>
      <c r="J37" s="1029">
        <f>J38+J49+J50+J54</f>
        <v>28469.372077254746</v>
      </c>
      <c r="K37" s="1026">
        <f>L37+M37</f>
        <v>32.00906058615945</v>
      </c>
      <c r="L37" s="1028">
        <f>L38+L49+L50+L54</f>
        <v>27.397156153900891</v>
      </c>
      <c r="M37" s="1029">
        <f>M38+M49+M50+M54</f>
        <v>4.6119044322585623</v>
      </c>
      <c r="N37" s="1026">
        <f>O37+P37</f>
        <v>30146.023628591429</v>
      </c>
      <c r="O37" s="1028">
        <f>O38+O49+O50+O54</f>
        <v>25802.027894529441</v>
      </c>
      <c r="P37" s="1029">
        <f>P38+P49+P50+P54</f>
        <v>4343.9957340619867</v>
      </c>
      <c r="Q37" s="1026">
        <f>R37+S37</f>
        <v>10161.854780295231</v>
      </c>
      <c r="R37" s="1028">
        <f>R38+R49+R50+R54</f>
        <v>8699.8263136922396</v>
      </c>
      <c r="S37" s="1029">
        <f>S38+S49+S50+S54</f>
        <v>1462.0284666029902</v>
      </c>
      <c r="T37" s="2157">
        <f>'Д 2_Т на В'!H12</f>
        <v>149071.37204744882</v>
      </c>
      <c r="U37" s="1021">
        <f>E37-T37</f>
        <v>0</v>
      </c>
      <c r="V37" s="1021"/>
      <c r="W37" s="1021">
        <f>J37/$J$17</f>
        <v>478.81067610693339</v>
      </c>
      <c r="X37" s="1021">
        <f>M37/$M$17</f>
        <v>478.81067610657828</v>
      </c>
      <c r="Y37" s="1021">
        <f>P37/$P$17</f>
        <v>478.81067610657834</v>
      </c>
      <c r="Z37" s="1021">
        <f>S37/$S$17</f>
        <v>478.81067610657817</v>
      </c>
      <c r="AA37" s="2158">
        <f>F37/$E$37</f>
        <v>0.77004298201910426</v>
      </c>
      <c r="AB37" s="2158">
        <f t="shared" ref="AB37:AB42" si="1">G37/E37</f>
        <v>0.22995701798089566</v>
      </c>
      <c r="AC37" s="2158">
        <f t="shared" ref="AC37:AC42" si="2">I37/H37</f>
        <v>0.73816809190314947</v>
      </c>
      <c r="AD37" s="2159">
        <f t="shared" ref="AD37:AD42" si="3">J37/H37</f>
        <v>0.26183190809685059</v>
      </c>
      <c r="AE37" s="2160"/>
      <c r="AF37" s="2160"/>
    </row>
    <row r="38" spans="1:32" ht="15.6" x14ac:dyDescent="0.3">
      <c r="B38" s="1065" t="s">
        <v>23</v>
      </c>
      <c r="C38" s="1083" t="s">
        <v>216</v>
      </c>
      <c r="D38" s="3145" t="s">
        <v>40</v>
      </c>
      <c r="E38" s="3142">
        <f t="shared" ref="E38:S38" si="4">E39+E43+E44+E47+E48</f>
        <v>125398.03179983835</v>
      </c>
      <c r="F38" s="1030">
        <f t="shared" si="4"/>
        <v>114791.36386509688</v>
      </c>
      <c r="G38" s="1019">
        <f t="shared" si="4"/>
        <v>10606.667934741477</v>
      </c>
      <c r="H38" s="3142">
        <f t="shared" si="4"/>
        <v>89070.896160506556</v>
      </c>
      <c r="I38" s="1030">
        <f t="shared" si="4"/>
        <v>80262.112500721283</v>
      </c>
      <c r="J38" s="1019">
        <f t="shared" si="4"/>
        <v>8808.7836597852729</v>
      </c>
      <c r="K38" s="3142">
        <f t="shared" si="4"/>
        <v>28.824137693681845</v>
      </c>
      <c r="L38" s="1030">
        <f t="shared" si="4"/>
        <v>27.397156153900891</v>
      </c>
      <c r="M38" s="1019">
        <f t="shared" si="4"/>
        <v>1.4269815397809584</v>
      </c>
      <c r="N38" s="3142">
        <f t="shared" si="4"/>
        <v>27146.115095911013</v>
      </c>
      <c r="O38" s="1030">
        <f t="shared" si="4"/>
        <v>25802.027894529441</v>
      </c>
      <c r="P38" s="1019">
        <f t="shared" si="4"/>
        <v>1344.0872013815742</v>
      </c>
      <c r="Q38" s="3142">
        <f t="shared" si="4"/>
        <v>9152.196405727087</v>
      </c>
      <c r="R38" s="1030">
        <f t="shared" si="4"/>
        <v>8699.8263136922396</v>
      </c>
      <c r="S38" s="1019">
        <f t="shared" si="4"/>
        <v>452.37009203484797</v>
      </c>
      <c r="T38" s="2157">
        <f>'Д 2_Т на В'!H13</f>
        <v>125398.03179983834</v>
      </c>
      <c r="U38" s="1021">
        <f t="shared" ref="U38:U77" si="5">E38-T38</f>
        <v>0</v>
      </c>
      <c r="V38" s="1021"/>
      <c r="W38" s="1021">
        <f t="shared" ref="W38:W44" si="6">J38/$J$17</f>
        <v>148.15007680451106</v>
      </c>
      <c r="X38" s="1021">
        <f t="shared" ref="X38:X44" si="7">M38/$M$17</f>
        <v>148.15007680450151</v>
      </c>
      <c r="Y38" s="1021">
        <f t="shared" ref="Y38:Y44" si="8">P38/$P$17</f>
        <v>148.15007680450151</v>
      </c>
      <c r="Z38" s="1021">
        <f t="shared" ref="Z38:Z44" si="9">S38/$S$17</f>
        <v>148.15007680450151</v>
      </c>
      <c r="AA38" s="2158">
        <f>F38/E38</f>
        <v>0.91541599351677261</v>
      </c>
      <c r="AB38" s="2158">
        <f t="shared" si="1"/>
        <v>8.458400648322735E-2</v>
      </c>
      <c r="AC38" s="2158">
        <f t="shared" si="2"/>
        <v>0.90110368212853986</v>
      </c>
      <c r="AD38" s="2159">
        <f t="shared" si="3"/>
        <v>9.8896317871460124E-2</v>
      </c>
      <c r="AE38" s="2160"/>
      <c r="AF38" s="2160"/>
    </row>
    <row r="39" spans="1:32" ht="15.6" x14ac:dyDescent="0.3">
      <c r="B39" s="1065" t="s">
        <v>41</v>
      </c>
      <c r="C39" s="1103" t="s">
        <v>454</v>
      </c>
      <c r="D39" s="3145" t="s">
        <v>40</v>
      </c>
      <c r="E39" s="3142">
        <f>E40+E41+E42</f>
        <v>118804.36079362931</v>
      </c>
      <c r="F39" s="1030">
        <f t="shared" ref="F39:S39" si="10">F40+F41+F42</f>
        <v>108854.01348362931</v>
      </c>
      <c r="G39" s="1019">
        <f t="shared" si="10"/>
        <v>9950.3473099999992</v>
      </c>
      <c r="H39" s="3142">
        <f t="shared" si="10"/>
        <v>83593.980086793876</v>
      </c>
      <c r="I39" s="1030">
        <f t="shared" si="10"/>
        <v>75330.26736072448</v>
      </c>
      <c r="J39" s="1019">
        <f t="shared" si="10"/>
        <v>8263.7127260693997</v>
      </c>
      <c r="K39" s="3142">
        <f t="shared" si="10"/>
        <v>27.938022912465005</v>
      </c>
      <c r="L39" s="1030">
        <f t="shared" si="10"/>
        <v>26.59934030138108</v>
      </c>
      <c r="M39" s="1019">
        <f t="shared" si="10"/>
        <v>1.3386826110839265</v>
      </c>
      <c r="N39" s="3142">
        <f t="shared" si="10"/>
        <v>26311.580416022709</v>
      </c>
      <c r="O39" s="1030">
        <f t="shared" si="10"/>
        <v>25050.662797882978</v>
      </c>
      <c r="P39" s="1019">
        <f t="shared" si="10"/>
        <v>1260.9176181397318</v>
      </c>
      <c r="Q39" s="3142">
        <f t="shared" si="10"/>
        <v>8870.8622679002474</v>
      </c>
      <c r="R39" s="1030">
        <f t="shared" si="10"/>
        <v>8446.4839847204639</v>
      </c>
      <c r="S39" s="1019">
        <f t="shared" si="10"/>
        <v>424.37828317978307</v>
      </c>
      <c r="T39" s="2157">
        <f>'Д 2_Т на В'!H14</f>
        <v>118804.3607936293</v>
      </c>
      <c r="U39" s="1021">
        <f t="shared" si="5"/>
        <v>0</v>
      </c>
      <c r="V39" s="1021"/>
      <c r="W39" s="1021">
        <f t="shared" si="6"/>
        <v>138.98282922382958</v>
      </c>
      <c r="X39" s="1021">
        <f t="shared" si="7"/>
        <v>138.98282922382958</v>
      </c>
      <c r="Y39" s="1021">
        <f t="shared" si="8"/>
        <v>138.98282922382958</v>
      </c>
      <c r="Z39" s="1021">
        <f t="shared" si="9"/>
        <v>138.98282922382958</v>
      </c>
      <c r="AA39" s="2158">
        <f>F39/E39</f>
        <v>0.91624594212257593</v>
      </c>
      <c r="AB39" s="2158">
        <f t="shared" si="1"/>
        <v>8.3754057877424057E-2</v>
      </c>
      <c r="AC39" s="2158">
        <f t="shared" si="2"/>
        <v>0.90114464322084731</v>
      </c>
      <c r="AD39" s="2159">
        <f t="shared" si="3"/>
        <v>9.8855356779152762E-2</v>
      </c>
      <c r="AE39" s="2160">
        <f>AC39-AA39</f>
        <v>-1.5101298901728621E-2</v>
      </c>
      <c r="AF39" s="2160">
        <f>AD39-AB39</f>
        <v>1.5101298901728705E-2</v>
      </c>
    </row>
    <row r="40" spans="1:32" ht="15.6" x14ac:dyDescent="0.3">
      <c r="B40" s="1065" t="s">
        <v>455</v>
      </c>
      <c r="C40" s="1104" t="s">
        <v>440</v>
      </c>
      <c r="D40" s="3145" t="s">
        <v>40</v>
      </c>
      <c r="E40" s="3142">
        <f>F40+G40</f>
        <v>106894.19194377559</v>
      </c>
      <c r="F40" s="1030">
        <f>I40+L40+O40+R40</f>
        <v>106894.19194377559</v>
      </c>
      <c r="G40" s="1019"/>
      <c r="H40" s="3142">
        <f>I40+J40</f>
        <v>73702.346534835888</v>
      </c>
      <c r="I40" s="1030">
        <f>'Д 8_Паливо'!I10</f>
        <v>73702.346534835888</v>
      </c>
      <c r="J40" s="1019"/>
      <c r="K40" s="3142">
        <f>L40+M40</f>
        <v>26.335994432913296</v>
      </c>
      <c r="L40" s="1030">
        <f>'Д 8_Паливо'!I11</f>
        <v>26.335994432913296</v>
      </c>
      <c r="M40" s="1019"/>
      <c r="N40" s="3142">
        <f>O40+P40</f>
        <v>24802.649558627585</v>
      </c>
      <c r="O40" s="1030">
        <f>'Д 8_Паливо'!I12</f>
        <v>24802.649558627585</v>
      </c>
      <c r="P40" s="1019"/>
      <c r="Q40" s="3142">
        <f>R40+S40</f>
        <v>8362.8598558791964</v>
      </c>
      <c r="R40" s="1030">
        <f>'Д 8_Паливо'!I13</f>
        <v>8362.8598558791964</v>
      </c>
      <c r="S40" s="1019"/>
      <c r="T40" s="2157">
        <f>'Д 2_Т на В'!H15</f>
        <v>106894.19194377559</v>
      </c>
      <c r="U40" s="1021">
        <f t="shared" si="5"/>
        <v>0</v>
      </c>
      <c r="V40" s="1021"/>
      <c r="W40" s="1021">
        <f>I40/$I$30</f>
        <v>816.45600016595188</v>
      </c>
      <c r="X40" s="1021">
        <f>L40/$L$30</f>
        <v>1803.4660095363861</v>
      </c>
      <c r="Y40" s="1021">
        <f>O40/$O$30</f>
        <v>1803.4660095363861</v>
      </c>
      <c r="Z40" s="1021">
        <f>R40/$R$30</f>
        <v>1803.4660095363865</v>
      </c>
      <c r="AA40" s="2158">
        <f>F40/E40</f>
        <v>1</v>
      </c>
      <c r="AB40" s="2158">
        <f t="shared" si="1"/>
        <v>0</v>
      </c>
      <c r="AC40" s="2158">
        <f t="shared" si="2"/>
        <v>1</v>
      </c>
      <c r="AD40" s="2159">
        <f t="shared" si="3"/>
        <v>0</v>
      </c>
      <c r="AE40" s="2158">
        <f>AC40-AA40</f>
        <v>0</v>
      </c>
      <c r="AF40" s="2158">
        <f>AD40-AB40</f>
        <v>0</v>
      </c>
    </row>
    <row r="41" spans="1:32" ht="15.6" x14ac:dyDescent="0.3">
      <c r="B41" s="1065" t="s">
        <v>456</v>
      </c>
      <c r="C41" s="1104" t="s">
        <v>1904</v>
      </c>
      <c r="D41" s="3145" t="s">
        <v>40</v>
      </c>
      <c r="E41" s="3142">
        <f>F41+G41</f>
        <v>1959.8215398537277</v>
      </c>
      <c r="F41" s="1030">
        <f>I41+L41+O41+R41</f>
        <v>1959.8215398537277</v>
      </c>
      <c r="G41" s="1019"/>
      <c r="H41" s="3142">
        <f>I41+J41</f>
        <v>1627.9208258885981</v>
      </c>
      <c r="I41" s="1030">
        <f>'Д 8_Паливо'!I16</f>
        <v>1627.9208258885981</v>
      </c>
      <c r="J41" s="1019"/>
      <c r="K41" s="3142">
        <f>L41+M41</f>
        <v>0.26334586846778241</v>
      </c>
      <c r="L41" s="1030">
        <f>'Д 8_Паливо'!I17</f>
        <v>0.26334586846778241</v>
      </c>
      <c r="M41" s="1019"/>
      <c r="N41" s="3142">
        <f>O41+P41</f>
        <v>248.01323925539364</v>
      </c>
      <c r="O41" s="1030">
        <f>'Д 8_Паливо'!I18</f>
        <v>248.01323925539364</v>
      </c>
      <c r="P41" s="1019"/>
      <c r="Q41" s="3142">
        <f>R41+S41</f>
        <v>83.624128841268089</v>
      </c>
      <c r="R41" s="1030">
        <f>'Д 8_Паливо'!I19</f>
        <v>83.624128841268089</v>
      </c>
      <c r="S41" s="1019"/>
      <c r="T41" s="2157">
        <f>'Д 2_Т на В'!H16</f>
        <v>1959.8215398537277</v>
      </c>
      <c r="U41" s="1021">
        <f t="shared" si="5"/>
        <v>0</v>
      </c>
      <c r="V41" s="1021"/>
      <c r="W41" s="1021">
        <f>I41/$I$30</f>
        <v>18.033696192612236</v>
      </c>
      <c r="X41" s="1021">
        <f>L41/$L$30</f>
        <v>18.033696192612236</v>
      </c>
      <c r="Y41" s="1021">
        <f>O41/$O$30</f>
        <v>18.033696192612233</v>
      </c>
      <c r="Z41" s="1021">
        <f>R41/$R$30</f>
        <v>18.03369619261224</v>
      </c>
      <c r="AA41" s="2158">
        <f>F41/E41</f>
        <v>1</v>
      </c>
      <c r="AB41" s="2158">
        <f t="shared" si="1"/>
        <v>0</v>
      </c>
      <c r="AC41" s="2158">
        <f t="shared" si="2"/>
        <v>1</v>
      </c>
      <c r="AD41" s="2159">
        <f t="shared" si="3"/>
        <v>0</v>
      </c>
      <c r="AE41" s="2158">
        <f t="shared" ref="AE41:AE51" si="11">AC41-AA41</f>
        <v>0</v>
      </c>
      <c r="AF41" s="2158">
        <f t="shared" ref="AF41:AF51" si="12">AD41-AB41</f>
        <v>0</v>
      </c>
    </row>
    <row r="42" spans="1:32" ht="15.6" x14ac:dyDescent="0.3">
      <c r="A42" s="1005">
        <f>I41/F41</f>
        <v>0.83064748130592481</v>
      </c>
      <c r="B42" s="1065" t="s">
        <v>457</v>
      </c>
      <c r="C42" s="1104" t="s">
        <v>1905</v>
      </c>
      <c r="D42" s="3145" t="s">
        <v>40</v>
      </c>
      <c r="E42" s="3142">
        <f>F42+G42</f>
        <v>9950.3473099999992</v>
      </c>
      <c r="F42" s="1030"/>
      <c r="G42" s="1019">
        <f>'Д 8_Паливо'!I21</f>
        <v>9950.3473099999992</v>
      </c>
      <c r="H42" s="3142">
        <f>I42+J42</f>
        <v>8263.7127260693997</v>
      </c>
      <c r="I42" s="1030"/>
      <c r="J42" s="1019">
        <f>$G$42/$E$17*J17</f>
        <v>8263.7127260693997</v>
      </c>
      <c r="K42" s="3142">
        <f>L42+M42</f>
        <v>1.3386826110839265</v>
      </c>
      <c r="L42" s="1030"/>
      <c r="M42" s="1019">
        <f>$G$42/$E$17*M17</f>
        <v>1.3386826110839265</v>
      </c>
      <c r="N42" s="3142">
        <f>O42+P42</f>
        <v>1260.9176181397318</v>
      </c>
      <c r="O42" s="1030"/>
      <c r="P42" s="1019">
        <f>$G$42/$E$17*P17</f>
        <v>1260.9176181397318</v>
      </c>
      <c r="Q42" s="3142">
        <f>R42+S42</f>
        <v>424.37828317978307</v>
      </c>
      <c r="R42" s="1030"/>
      <c r="S42" s="1019">
        <f>$G$42/$E$17*S17</f>
        <v>424.37828317978307</v>
      </c>
      <c r="T42" s="2157">
        <f>'Д 2_Т на В'!H17</f>
        <v>9950.3473099999992</v>
      </c>
      <c r="U42" s="1021">
        <f t="shared" si="5"/>
        <v>0</v>
      </c>
      <c r="V42" s="1021">
        <f>S42+P42+M42+J42-T42</f>
        <v>0</v>
      </c>
      <c r="W42" s="1021">
        <f t="shared" si="6"/>
        <v>138.98282922382958</v>
      </c>
      <c r="X42" s="1021">
        <f t="shared" si="7"/>
        <v>138.98282922382958</v>
      </c>
      <c r="Y42" s="1021">
        <f t="shared" si="8"/>
        <v>138.98282922382958</v>
      </c>
      <c r="Z42" s="1021">
        <f t="shared" si="9"/>
        <v>138.98282922382958</v>
      </c>
      <c r="AA42" s="2158">
        <f>F42/E42</f>
        <v>0</v>
      </c>
      <c r="AB42" s="2158">
        <f t="shared" si="1"/>
        <v>1</v>
      </c>
      <c r="AC42" s="2158">
        <f t="shared" si="2"/>
        <v>0</v>
      </c>
      <c r="AD42" s="2159">
        <f t="shared" si="3"/>
        <v>1</v>
      </c>
      <c r="AE42" s="2158">
        <f t="shared" si="11"/>
        <v>0</v>
      </c>
      <c r="AF42" s="2158">
        <f t="shared" si="12"/>
        <v>0</v>
      </c>
    </row>
    <row r="43" spans="1:32" ht="15.6" x14ac:dyDescent="0.3">
      <c r="A43" s="1005">
        <f>J42/E42</f>
        <v>0.83049490320447927</v>
      </c>
      <c r="B43" s="1065" t="s">
        <v>42</v>
      </c>
      <c r="C43" s="1087" t="s">
        <v>43</v>
      </c>
      <c r="D43" s="3145" t="s">
        <v>40</v>
      </c>
      <c r="E43" s="3142">
        <f>F43+G43</f>
        <v>5937.3503814675587</v>
      </c>
      <c r="F43" s="1030">
        <f>Виробництво_2ст!F16</f>
        <v>5937.3503814675587</v>
      </c>
      <c r="G43" s="1019"/>
      <c r="H43" s="3142">
        <f>I43+J43</f>
        <v>4931.8451399967998</v>
      </c>
      <c r="I43" s="1030">
        <f>'Д 2_Т на В'!L18</f>
        <v>4931.8451399967998</v>
      </c>
      <c r="J43" s="1019"/>
      <c r="K43" s="3142">
        <f>L43+M43</f>
        <v>0.79781585251981257</v>
      </c>
      <c r="L43" s="1030">
        <f>'Д 2_Т на В'!P18</f>
        <v>0.79781585251981257</v>
      </c>
      <c r="M43" s="1019"/>
      <c r="N43" s="3142">
        <f>O43+P43</f>
        <v>751.36509664646337</v>
      </c>
      <c r="O43" s="1030">
        <f>'Д 2_Т на В'!T18</f>
        <v>751.36509664646337</v>
      </c>
      <c r="P43" s="1019"/>
      <c r="Q43" s="3142">
        <f>R43+S43</f>
        <v>253.34232897177583</v>
      </c>
      <c r="R43" s="1030">
        <f>'Д 2_Т на В'!X18</f>
        <v>253.34232897177583</v>
      </c>
      <c r="S43" s="1019"/>
      <c r="T43" s="2157">
        <f>'Д 2_Т на В'!H18</f>
        <v>5937.3503814675587</v>
      </c>
      <c r="U43" s="1021">
        <f t="shared" si="5"/>
        <v>0</v>
      </c>
      <c r="V43" s="1021">
        <f>R43+O43+L43+I43-F43</f>
        <v>0</v>
      </c>
      <c r="W43" s="1021">
        <f t="shared" si="6"/>
        <v>0</v>
      </c>
      <c r="X43" s="1021">
        <f t="shared" si="7"/>
        <v>0</v>
      </c>
      <c r="Y43" s="1021">
        <f t="shared" si="8"/>
        <v>0</v>
      </c>
      <c r="Z43" s="1021">
        <f t="shared" si="9"/>
        <v>0</v>
      </c>
      <c r="AA43" s="2158">
        <f t="shared" ref="AA43:AA76" si="13">F43/E43</f>
        <v>1</v>
      </c>
      <c r="AB43" s="2158">
        <f t="shared" ref="AB43:AB76" si="14">G43/E43</f>
        <v>0</v>
      </c>
      <c r="AC43" s="2158">
        <f t="shared" ref="AC43:AC76" si="15">I43/H43</f>
        <v>1</v>
      </c>
      <c r="AD43" s="2159">
        <f t="shared" ref="AD43:AD76" si="16">J43/H43</f>
        <v>0</v>
      </c>
      <c r="AE43" s="2158">
        <f t="shared" si="11"/>
        <v>0</v>
      </c>
      <c r="AF43" s="2158">
        <f t="shared" si="12"/>
        <v>0</v>
      </c>
    </row>
    <row r="44" spans="1:32" ht="66" x14ac:dyDescent="0.3">
      <c r="B44" s="1065" t="s">
        <v>44</v>
      </c>
      <c r="C44" s="1105" t="s">
        <v>1972</v>
      </c>
      <c r="D44" s="3145" t="s">
        <v>40</v>
      </c>
      <c r="E44" s="3142">
        <f>F44+G44</f>
        <v>0</v>
      </c>
      <c r="F44" s="1030">
        <v>0</v>
      </c>
      <c r="G44" s="1019">
        <v>0</v>
      </c>
      <c r="H44" s="3142">
        <f>I44+J44</f>
        <v>0</v>
      </c>
      <c r="I44" s="1030">
        <v>0</v>
      </c>
      <c r="J44" s="1019">
        <v>0</v>
      </c>
      <c r="K44" s="3142">
        <f>L44+M44</f>
        <v>0</v>
      </c>
      <c r="L44" s="1030">
        <v>0</v>
      </c>
      <c r="M44" s="1019">
        <v>0</v>
      </c>
      <c r="N44" s="3142">
        <f>O44+P44</f>
        <v>0</v>
      </c>
      <c r="O44" s="1030">
        <v>0</v>
      </c>
      <c r="P44" s="1019">
        <v>0</v>
      </c>
      <c r="Q44" s="3142">
        <f>R44+S44</f>
        <v>0</v>
      </c>
      <c r="R44" s="1030">
        <v>0</v>
      </c>
      <c r="S44" s="1019">
        <v>0</v>
      </c>
      <c r="T44" s="2157">
        <f>'Д 2_Т на В'!H19</f>
        <v>0</v>
      </c>
      <c r="U44" s="1021">
        <f t="shared" si="5"/>
        <v>0</v>
      </c>
      <c r="V44" s="1021"/>
      <c r="W44" s="1021">
        <f t="shared" si="6"/>
        <v>0</v>
      </c>
      <c r="X44" s="1021">
        <f t="shared" si="7"/>
        <v>0</v>
      </c>
      <c r="Y44" s="1021">
        <f t="shared" si="8"/>
        <v>0</v>
      </c>
      <c r="Z44" s="1021">
        <f t="shared" si="9"/>
        <v>0</v>
      </c>
      <c r="AA44" s="2158" t="e">
        <f t="shared" si="13"/>
        <v>#DIV/0!</v>
      </c>
      <c r="AB44" s="2158" t="e">
        <f t="shared" si="14"/>
        <v>#DIV/0!</v>
      </c>
      <c r="AC44" s="2158" t="e">
        <f t="shared" si="15"/>
        <v>#DIV/0!</v>
      </c>
      <c r="AD44" s="2158" t="e">
        <f t="shared" si="16"/>
        <v>#DIV/0!</v>
      </c>
      <c r="AE44" s="2158" t="e">
        <f t="shared" si="11"/>
        <v>#DIV/0!</v>
      </c>
      <c r="AF44" s="2158" t="e">
        <f t="shared" si="12"/>
        <v>#DIV/0!</v>
      </c>
    </row>
    <row r="45" spans="1:32" ht="15.75" hidden="1" customHeight="1" x14ac:dyDescent="0.3">
      <c r="B45" s="1065" t="s">
        <v>570</v>
      </c>
      <c r="C45" s="1105" t="s">
        <v>571</v>
      </c>
      <c r="D45" s="3145" t="s">
        <v>40</v>
      </c>
      <c r="E45" s="3142"/>
      <c r="F45" s="1030"/>
      <c r="G45" s="1019"/>
      <c r="H45" s="3142"/>
      <c r="I45" s="1030"/>
      <c r="J45" s="1019"/>
      <c r="K45" s="3142"/>
      <c r="L45" s="1030"/>
      <c r="M45" s="1019"/>
      <c r="N45" s="3142"/>
      <c r="O45" s="1030"/>
      <c r="P45" s="1019"/>
      <c r="Q45" s="3142"/>
      <c r="R45" s="1030"/>
      <c r="S45" s="1019"/>
      <c r="T45" s="2157">
        <f>'Д 2_Т на В'!H20</f>
        <v>0</v>
      </c>
      <c r="U45" s="1021">
        <f t="shared" si="5"/>
        <v>0</v>
      </c>
      <c r="V45" s="1021"/>
      <c r="W45" s="1021">
        <f t="shared" ref="W45:W52" si="17">J45/$J$17</f>
        <v>0</v>
      </c>
      <c r="X45" s="1021">
        <f t="shared" ref="X45:X52" si="18">M45/$M$17</f>
        <v>0</v>
      </c>
      <c r="Y45" s="1021">
        <f t="shared" ref="Y45:Y52" si="19">P45/$P$17</f>
        <v>0</v>
      </c>
      <c r="Z45" s="1021">
        <f t="shared" ref="Z45:Z52" si="20">S45/$S$17</f>
        <v>0</v>
      </c>
      <c r="AA45" s="2158" t="e">
        <f t="shared" si="13"/>
        <v>#DIV/0!</v>
      </c>
      <c r="AB45" s="2158" t="e">
        <f t="shared" si="14"/>
        <v>#DIV/0!</v>
      </c>
      <c r="AC45" s="2158" t="e">
        <f t="shared" si="15"/>
        <v>#DIV/0!</v>
      </c>
      <c r="AD45" s="2158" t="e">
        <f t="shared" si="16"/>
        <v>#DIV/0!</v>
      </c>
      <c r="AE45" s="2158" t="e">
        <f t="shared" si="11"/>
        <v>#DIV/0!</v>
      </c>
      <c r="AF45" s="2158" t="e">
        <f t="shared" si="12"/>
        <v>#DIV/0!</v>
      </c>
    </row>
    <row r="46" spans="1:32" ht="38.25" hidden="1" customHeight="1" x14ac:dyDescent="0.3">
      <c r="B46" s="1065" t="s">
        <v>572</v>
      </c>
      <c r="C46" s="1105" t="s">
        <v>573</v>
      </c>
      <c r="D46" s="3145" t="s">
        <v>40</v>
      </c>
      <c r="E46" s="3142"/>
      <c r="F46" s="1030"/>
      <c r="G46" s="1019"/>
      <c r="H46" s="3142"/>
      <c r="I46" s="1030"/>
      <c r="J46" s="1019"/>
      <c r="K46" s="3142"/>
      <c r="L46" s="1030"/>
      <c r="M46" s="1019"/>
      <c r="N46" s="3142"/>
      <c r="O46" s="1030"/>
      <c r="P46" s="1019"/>
      <c r="Q46" s="3142"/>
      <c r="R46" s="1030"/>
      <c r="S46" s="1019"/>
      <c r="T46" s="2157">
        <f>'Д 2_Т на В'!H21</f>
        <v>0</v>
      </c>
      <c r="U46" s="1021">
        <f t="shared" si="5"/>
        <v>0</v>
      </c>
      <c r="V46" s="1021"/>
      <c r="W46" s="1021">
        <f t="shared" si="17"/>
        <v>0</v>
      </c>
      <c r="X46" s="1021">
        <f t="shared" si="18"/>
        <v>0</v>
      </c>
      <c r="Y46" s="1021">
        <f t="shared" si="19"/>
        <v>0</v>
      </c>
      <c r="Z46" s="1021">
        <f t="shared" si="20"/>
        <v>0</v>
      </c>
      <c r="AA46" s="2158" t="e">
        <f t="shared" si="13"/>
        <v>#DIV/0!</v>
      </c>
      <c r="AB46" s="2158" t="e">
        <f t="shared" si="14"/>
        <v>#DIV/0!</v>
      </c>
      <c r="AC46" s="2158" t="e">
        <f t="shared" si="15"/>
        <v>#DIV/0!</v>
      </c>
      <c r="AD46" s="2158" t="e">
        <f t="shared" si="16"/>
        <v>#DIV/0!</v>
      </c>
      <c r="AE46" s="2158" t="e">
        <f t="shared" si="11"/>
        <v>#DIV/0!</v>
      </c>
      <c r="AF46" s="2158" t="e">
        <f t="shared" si="12"/>
        <v>#DIV/0!</v>
      </c>
    </row>
    <row r="47" spans="1:32" ht="26.4" x14ac:dyDescent="0.3">
      <c r="B47" s="1065" t="s">
        <v>45</v>
      </c>
      <c r="C47" s="1083" t="s">
        <v>1689</v>
      </c>
      <c r="D47" s="3145" t="s">
        <v>40</v>
      </c>
      <c r="E47" s="3142">
        <f>F47+G47</f>
        <v>33.313922123945588</v>
      </c>
      <c r="F47" s="1030"/>
      <c r="G47" s="1019">
        <f>'Д 2_Т на В'!H22</f>
        <v>33.313922123945588</v>
      </c>
      <c r="H47" s="3142">
        <f>I47+J47</f>
        <v>27.667042529692651</v>
      </c>
      <c r="I47" s="1030"/>
      <c r="J47" s="1019">
        <f t="shared" ref="J47:J53" si="21">$G47*J$36</f>
        <v>27.667042529692651</v>
      </c>
      <c r="K47" s="3142">
        <f>L47+M47</f>
        <v>4.4819308175778009E-3</v>
      </c>
      <c r="L47" s="1030"/>
      <c r="M47" s="1019">
        <f>Виробництво_2ст!H17</f>
        <v>4.4819308175778009E-3</v>
      </c>
      <c r="N47" s="3142">
        <f>O47+P47</f>
        <v>4.2215723759879022</v>
      </c>
      <c r="O47" s="1030"/>
      <c r="P47" s="1019">
        <f t="shared" ref="P47:P53" si="22">$G47*P$36</f>
        <v>4.2215723759879022</v>
      </c>
      <c r="Q47" s="3142">
        <f>R47+S47</f>
        <v>1.4208252874474538</v>
      </c>
      <c r="R47" s="1030"/>
      <c r="S47" s="1019">
        <f t="shared" ref="S47:S53" si="23">$G47*S$36</f>
        <v>1.4208252874474538</v>
      </c>
      <c r="T47" s="2157">
        <f>'Д 2_Т на В'!H22</f>
        <v>33.313922123945588</v>
      </c>
      <c r="U47" s="1021">
        <f t="shared" si="5"/>
        <v>0</v>
      </c>
      <c r="V47" s="1021"/>
      <c r="W47" s="1021">
        <f t="shared" si="17"/>
        <v>0.46531673770582266</v>
      </c>
      <c r="X47" s="1021">
        <f t="shared" si="18"/>
        <v>0.46531673770533649</v>
      </c>
      <c r="Y47" s="1021">
        <f t="shared" si="19"/>
        <v>0.46531673770533644</v>
      </c>
      <c r="Z47" s="1021">
        <f t="shared" si="20"/>
        <v>0.46531673770533633</v>
      </c>
      <c r="AA47" s="2158">
        <f t="shared" si="13"/>
        <v>0</v>
      </c>
      <c r="AB47" s="2158">
        <f t="shared" si="14"/>
        <v>1</v>
      </c>
      <c r="AC47" s="2158">
        <f t="shared" si="15"/>
        <v>0</v>
      </c>
      <c r="AD47" s="2158">
        <f t="shared" si="16"/>
        <v>1</v>
      </c>
      <c r="AE47" s="2158">
        <f t="shared" si="11"/>
        <v>0</v>
      </c>
      <c r="AF47" s="2158">
        <f t="shared" si="12"/>
        <v>0</v>
      </c>
    </row>
    <row r="48" spans="1:32" ht="15.6" x14ac:dyDescent="0.3">
      <c r="B48" s="1065" t="s">
        <v>46</v>
      </c>
      <c r="C48" s="1083" t="s">
        <v>610</v>
      </c>
      <c r="D48" s="3145" t="s">
        <v>40</v>
      </c>
      <c r="E48" s="3142">
        <f>F48+G48</f>
        <v>623.00670261753226</v>
      </c>
      <c r="F48" s="1030"/>
      <c r="G48" s="1019">
        <f>'Д 2_Т на В'!H23</f>
        <v>623.00670261753226</v>
      </c>
      <c r="H48" s="3142">
        <f>I48+J48</f>
        <v>517.40389118618089</v>
      </c>
      <c r="I48" s="1030"/>
      <c r="J48" s="1019">
        <f t="shared" si="21"/>
        <v>517.40389118618089</v>
      </c>
      <c r="K48" s="3142">
        <f>L48+M48</f>
        <v>8.3816997879454083E-2</v>
      </c>
      <c r="L48" s="1030"/>
      <c r="M48" s="1019">
        <f t="shared" ref="M48:M53" si="24">$G48*M$36</f>
        <v>8.3816997879454083E-2</v>
      </c>
      <c r="N48" s="3142">
        <f>O48+P48</f>
        <v>78.948010865854428</v>
      </c>
      <c r="O48" s="1030"/>
      <c r="P48" s="1019">
        <f t="shared" si="22"/>
        <v>78.948010865854428</v>
      </c>
      <c r="Q48" s="3142">
        <f>R48+S48</f>
        <v>26.57098356761745</v>
      </c>
      <c r="R48" s="1030"/>
      <c r="S48" s="1019">
        <f t="shared" si="23"/>
        <v>26.57098356761745</v>
      </c>
      <c r="T48" s="2157">
        <f>'Д 2_Т на В'!H23</f>
        <v>623.00670261753226</v>
      </c>
      <c r="U48" s="1021">
        <f t="shared" si="5"/>
        <v>0</v>
      </c>
      <c r="V48" s="1021"/>
      <c r="W48" s="1021">
        <f t="shared" si="17"/>
        <v>8.7019308429756723</v>
      </c>
      <c r="X48" s="1021">
        <f t="shared" si="18"/>
        <v>8.7019308429665791</v>
      </c>
      <c r="Y48" s="1021">
        <f t="shared" si="19"/>
        <v>8.7019308429665809</v>
      </c>
      <c r="Z48" s="1021">
        <f t="shared" si="20"/>
        <v>8.7019308429665774</v>
      </c>
      <c r="AA48" s="2158">
        <f t="shared" si="13"/>
        <v>0</v>
      </c>
      <c r="AB48" s="2158">
        <f t="shared" si="14"/>
        <v>1</v>
      </c>
      <c r="AC48" s="2158">
        <f t="shared" si="15"/>
        <v>0</v>
      </c>
      <c r="AD48" s="2158">
        <f t="shared" si="16"/>
        <v>1</v>
      </c>
      <c r="AE48" s="2158">
        <f t="shared" si="11"/>
        <v>0</v>
      </c>
      <c r="AF48" s="2158">
        <f t="shared" si="12"/>
        <v>0</v>
      </c>
    </row>
    <row r="49" spans="2:32" ht="15.6" x14ac:dyDescent="0.3">
      <c r="B49" s="1065" t="s">
        <v>24</v>
      </c>
      <c r="C49" s="1083" t="s">
        <v>47</v>
      </c>
      <c r="D49" s="3145" t="s">
        <v>40</v>
      </c>
      <c r="E49" s="3142">
        <f>F49+G49</f>
        <v>11228.939355305938</v>
      </c>
      <c r="F49" s="1030"/>
      <c r="G49" s="1019">
        <f>'Д 2_Т на В'!H24</f>
        <v>11228.939355305938</v>
      </c>
      <c r="H49" s="3142">
        <f>I49+J49</f>
        <v>9325.5769029754247</v>
      </c>
      <c r="I49" s="1030"/>
      <c r="J49" s="1019">
        <f t="shared" si="21"/>
        <v>9325.5769029754247</v>
      </c>
      <c r="K49" s="3142">
        <f>L49+M49</f>
        <v>1.510699615554522</v>
      </c>
      <c r="L49" s="1030"/>
      <c r="M49" s="1019">
        <f t="shared" si="24"/>
        <v>1.510699615554522</v>
      </c>
      <c r="N49" s="3142">
        <f>O49+P49</f>
        <v>1422.9420365946576</v>
      </c>
      <c r="O49" s="1030"/>
      <c r="P49" s="1019">
        <f t="shared" si="22"/>
        <v>1422.9420365946576</v>
      </c>
      <c r="Q49" s="3142">
        <f>R49+S49</f>
        <v>478.90971612030074</v>
      </c>
      <c r="R49" s="1030"/>
      <c r="S49" s="1019">
        <f t="shared" si="23"/>
        <v>478.90971612030074</v>
      </c>
      <c r="T49" s="2157">
        <f>'Д 2_Т на В'!H24</f>
        <v>11228.939355305938</v>
      </c>
      <c r="U49" s="1021">
        <f t="shared" si="5"/>
        <v>0</v>
      </c>
      <c r="V49" s="1021"/>
      <c r="W49" s="1021">
        <f t="shared" si="17"/>
        <v>156.84173749544235</v>
      </c>
      <c r="X49" s="1021">
        <f t="shared" si="18"/>
        <v>156.84173749527847</v>
      </c>
      <c r="Y49" s="1021">
        <f t="shared" si="19"/>
        <v>156.84173749527844</v>
      </c>
      <c r="Z49" s="1021">
        <f t="shared" si="20"/>
        <v>156.84173749527844</v>
      </c>
      <c r="AA49" s="2158">
        <f t="shared" si="13"/>
        <v>0</v>
      </c>
      <c r="AB49" s="2158">
        <f t="shared" si="14"/>
        <v>1</v>
      </c>
      <c r="AC49" s="2158">
        <f t="shared" si="15"/>
        <v>0</v>
      </c>
      <c r="AD49" s="2158">
        <f t="shared" si="16"/>
        <v>1</v>
      </c>
      <c r="AE49" s="2158">
        <f t="shared" si="11"/>
        <v>0</v>
      </c>
      <c r="AF49" s="2158">
        <f t="shared" si="12"/>
        <v>0</v>
      </c>
    </row>
    <row r="50" spans="2:32" ht="15.6" x14ac:dyDescent="0.3">
      <c r="B50" s="1065" t="s">
        <v>48</v>
      </c>
      <c r="C50" s="1083" t="s">
        <v>217</v>
      </c>
      <c r="D50" s="3145" t="s">
        <v>40</v>
      </c>
      <c r="E50" s="3142">
        <f>E51+E52+E53</f>
        <v>7233.6473506343445</v>
      </c>
      <c r="F50" s="1030"/>
      <c r="G50" s="1019">
        <f>'Д 2_Т на В'!H25</f>
        <v>7233.6473506343445</v>
      </c>
      <c r="H50" s="3142">
        <f>H51+H52+H53</f>
        <v>6007.507256281473</v>
      </c>
      <c r="I50" s="1030"/>
      <c r="J50" s="1019">
        <f t="shared" si="21"/>
        <v>6007.5072562814721</v>
      </c>
      <c r="K50" s="3142">
        <f>K51+K52+K53</f>
        <v>0.97318793217069222</v>
      </c>
      <c r="L50" s="1030"/>
      <c r="M50" s="1019">
        <f t="shared" si="24"/>
        <v>0.9731879321706921</v>
      </c>
      <c r="N50" s="3142">
        <f>N51+N52+N53</f>
        <v>916.65477632626721</v>
      </c>
      <c r="O50" s="1030"/>
      <c r="P50" s="1019">
        <f t="shared" si="22"/>
        <v>916.65477632626721</v>
      </c>
      <c r="Q50" s="3142">
        <f>Q51+Q52+Q53</f>
        <v>308.51213009443438</v>
      </c>
      <c r="R50" s="1030"/>
      <c r="S50" s="1019">
        <f t="shared" si="23"/>
        <v>308.51213009443433</v>
      </c>
      <c r="T50" s="2157">
        <f>'Д 2_Т на В'!H25</f>
        <v>7233.6473506343445</v>
      </c>
      <c r="U50" s="1021">
        <f t="shared" si="5"/>
        <v>0</v>
      </c>
      <c r="V50" s="1021"/>
      <c r="W50" s="1021">
        <f t="shared" si="17"/>
        <v>101.03695309091664</v>
      </c>
      <c r="X50" s="1021">
        <f t="shared" si="18"/>
        <v>101.03695309081105</v>
      </c>
      <c r="Y50" s="1021">
        <f t="shared" si="19"/>
        <v>101.03695309081107</v>
      </c>
      <c r="Z50" s="1021">
        <f t="shared" si="20"/>
        <v>101.03695309081104</v>
      </c>
      <c r="AA50" s="2158">
        <f t="shared" si="13"/>
        <v>0</v>
      </c>
      <c r="AB50" s="2158">
        <f t="shared" si="14"/>
        <v>1</v>
      </c>
      <c r="AC50" s="2158">
        <f t="shared" si="15"/>
        <v>0</v>
      </c>
      <c r="AD50" s="2158">
        <f t="shared" si="16"/>
        <v>0.99999999999999989</v>
      </c>
      <c r="AE50" s="2158">
        <f t="shared" si="11"/>
        <v>0</v>
      </c>
      <c r="AF50" s="2158">
        <f t="shared" si="12"/>
        <v>0</v>
      </c>
    </row>
    <row r="51" spans="2:32" ht="26.4" x14ac:dyDescent="0.3">
      <c r="B51" s="1065" t="s">
        <v>49</v>
      </c>
      <c r="C51" s="1103" t="s">
        <v>452</v>
      </c>
      <c r="D51" s="3145" t="s">
        <v>40</v>
      </c>
      <c r="E51" s="3142">
        <f t="shared" ref="E51:E56" si="25">F51+G51</f>
        <v>2470.366658167306</v>
      </c>
      <c r="F51" s="1030"/>
      <c r="G51" s="1019">
        <f>'Д 2_Т на В'!H26</f>
        <v>2470.366658167306</v>
      </c>
      <c r="H51" s="3142">
        <f t="shared" ref="H51:H56" si="26">I51+J51</f>
        <v>2051.6269186545933</v>
      </c>
      <c r="I51" s="1030"/>
      <c r="J51" s="1019">
        <f t="shared" si="21"/>
        <v>2051.6269186545933</v>
      </c>
      <c r="K51" s="3142">
        <f t="shared" ref="K51:K56" si="27">L51+M51</f>
        <v>0.33235391542199477</v>
      </c>
      <c r="L51" s="1030"/>
      <c r="M51" s="1019">
        <f t="shared" si="24"/>
        <v>0.33235391542199477</v>
      </c>
      <c r="N51" s="3142">
        <f t="shared" ref="N51:N56" si="28">O51+P51</f>
        <v>313.04724805082463</v>
      </c>
      <c r="O51" s="1030"/>
      <c r="P51" s="1019">
        <f t="shared" si="22"/>
        <v>313.04724805082463</v>
      </c>
      <c r="Q51" s="3142">
        <f t="shared" ref="Q51:Q56" si="29">R51+S51</f>
        <v>105.36013754646615</v>
      </c>
      <c r="R51" s="1030"/>
      <c r="S51" s="1019">
        <f t="shared" si="23"/>
        <v>105.36013754646615</v>
      </c>
      <c r="T51" s="2157">
        <f>'Д 2_Т на В'!H26</f>
        <v>2470.366658167306</v>
      </c>
      <c r="U51" s="1021">
        <f t="shared" si="5"/>
        <v>0</v>
      </c>
      <c r="V51" s="1021"/>
      <c r="W51" s="1021">
        <f t="shared" si="17"/>
        <v>34.505182248997315</v>
      </c>
      <c r="X51" s="1021">
        <f t="shared" si="18"/>
        <v>34.505182248961255</v>
      </c>
      <c r="Y51" s="1021">
        <f t="shared" si="19"/>
        <v>34.505182248961255</v>
      </c>
      <c r="Z51" s="1021">
        <f t="shared" si="20"/>
        <v>34.505182248961248</v>
      </c>
      <c r="AA51" s="2158">
        <f t="shared" si="13"/>
        <v>0</v>
      </c>
      <c r="AB51" s="2158">
        <f t="shared" si="14"/>
        <v>1</v>
      </c>
      <c r="AC51" s="2158">
        <f t="shared" si="15"/>
        <v>0</v>
      </c>
      <c r="AD51" s="2158">
        <f t="shared" si="16"/>
        <v>1</v>
      </c>
      <c r="AE51" s="2158">
        <f t="shared" si="11"/>
        <v>0</v>
      </c>
      <c r="AF51" s="2158">
        <f t="shared" si="12"/>
        <v>0</v>
      </c>
    </row>
    <row r="52" spans="2:32" ht="15.6" x14ac:dyDescent="0.3">
      <c r="B52" s="1065" t="s">
        <v>50</v>
      </c>
      <c r="C52" s="1087" t="s">
        <v>453</v>
      </c>
      <c r="D52" s="3145" t="s">
        <v>40</v>
      </c>
      <c r="E52" s="3142">
        <f t="shared" si="25"/>
        <v>2122.9628600000001</v>
      </c>
      <c r="F52" s="1030"/>
      <c r="G52" s="1019">
        <f>'Д 2_Т на В'!H27</f>
        <v>2122.9628600000001</v>
      </c>
      <c r="H52" s="3142">
        <f t="shared" si="26"/>
        <v>1763.1098349227168</v>
      </c>
      <c r="I52" s="1030"/>
      <c r="J52" s="1019">
        <f t="shared" si="21"/>
        <v>1763.1098349227168</v>
      </c>
      <c r="K52" s="3142">
        <f t="shared" si="27"/>
        <v>0.28561550427494919</v>
      </c>
      <c r="L52" s="1030"/>
      <c r="M52" s="1019">
        <f t="shared" si="24"/>
        <v>0.28561550427494919</v>
      </c>
      <c r="N52" s="3142">
        <f t="shared" si="28"/>
        <v>269.02390333026375</v>
      </c>
      <c r="O52" s="1030"/>
      <c r="P52" s="1019">
        <f t="shared" si="22"/>
        <v>269.02390333026375</v>
      </c>
      <c r="Q52" s="3142">
        <f t="shared" si="29"/>
        <v>90.543506242744428</v>
      </c>
      <c r="R52" s="1030"/>
      <c r="S52" s="1019">
        <f t="shared" si="23"/>
        <v>90.543506242744428</v>
      </c>
      <c r="T52" s="2157">
        <f>'Д 2_Т на В'!H27</f>
        <v>2122.9628600000001</v>
      </c>
      <c r="U52" s="1021">
        <f t="shared" si="5"/>
        <v>0</v>
      </c>
      <c r="V52" s="1021"/>
      <c r="W52" s="1021">
        <f t="shared" si="17"/>
        <v>29.652772453825545</v>
      </c>
      <c r="X52" s="1021">
        <f t="shared" si="18"/>
        <v>29.652772453794558</v>
      </c>
      <c r="Y52" s="1021">
        <f t="shared" si="19"/>
        <v>29.652772453794562</v>
      </c>
      <c r="Z52" s="1021">
        <f t="shared" si="20"/>
        <v>29.652772453794558</v>
      </c>
      <c r="AA52" s="2158">
        <f t="shared" si="13"/>
        <v>0</v>
      </c>
      <c r="AB52" s="2158">
        <f t="shared" si="14"/>
        <v>1</v>
      </c>
      <c r="AC52" s="2158">
        <f t="shared" si="15"/>
        <v>0</v>
      </c>
      <c r="AD52" s="2158">
        <f t="shared" si="16"/>
        <v>1</v>
      </c>
      <c r="AE52" s="2158">
        <f t="shared" ref="AE52:AE74" si="30">AC52-AA52</f>
        <v>0</v>
      </c>
      <c r="AF52" s="2158">
        <f t="shared" ref="AF52:AF74" si="31">AD52-AB52</f>
        <v>0</v>
      </c>
    </row>
    <row r="53" spans="2:32" ht="15.6" x14ac:dyDescent="0.3">
      <c r="B53" s="1065" t="s">
        <v>51</v>
      </c>
      <c r="C53" s="1087" t="s">
        <v>52</v>
      </c>
      <c r="D53" s="3145" t="s">
        <v>40</v>
      </c>
      <c r="E53" s="3142">
        <f t="shared" si="25"/>
        <v>2640.3178324670394</v>
      </c>
      <c r="F53" s="1030"/>
      <c r="G53" s="1019">
        <f>'Д 2_Т на В'!H28</f>
        <v>2640.3178324670394</v>
      </c>
      <c r="H53" s="3142">
        <f t="shared" si="26"/>
        <v>2192.7705027041629</v>
      </c>
      <c r="I53" s="1030"/>
      <c r="J53" s="1019">
        <f t="shared" si="21"/>
        <v>2192.7705027041629</v>
      </c>
      <c r="K53" s="3142">
        <f t="shared" si="27"/>
        <v>0.35521851247374825</v>
      </c>
      <c r="L53" s="1030"/>
      <c r="M53" s="1019">
        <f t="shared" si="24"/>
        <v>0.35521851247374825</v>
      </c>
      <c r="N53" s="3142">
        <f t="shared" si="28"/>
        <v>334.58362494517888</v>
      </c>
      <c r="O53" s="1030"/>
      <c r="P53" s="1019">
        <f t="shared" si="22"/>
        <v>334.58362494517888</v>
      </c>
      <c r="Q53" s="3142">
        <f t="shared" si="29"/>
        <v>112.60848630522382</v>
      </c>
      <c r="R53" s="1030"/>
      <c r="S53" s="1019">
        <f t="shared" si="23"/>
        <v>112.60848630522382</v>
      </c>
      <c r="T53" s="2157">
        <f>'Д 2_Т на В'!H28</f>
        <v>2640.3178324670394</v>
      </c>
      <c r="U53" s="1021">
        <f t="shared" si="5"/>
        <v>0</v>
      </c>
      <c r="V53" s="1021"/>
      <c r="W53" s="1021">
        <f>J53/$J$17</f>
        <v>36.878998388093798</v>
      </c>
      <c r="X53" s="1021">
        <f>M53/$M$17</f>
        <v>36.878998388055258</v>
      </c>
      <c r="Y53" s="1021">
        <f>P53/$P$17</f>
        <v>36.878998388055258</v>
      </c>
      <c r="Z53" s="1021">
        <f>S53/$S$17</f>
        <v>36.878998388055251</v>
      </c>
      <c r="AA53" s="2158">
        <f t="shared" si="13"/>
        <v>0</v>
      </c>
      <c r="AB53" s="2158">
        <f t="shared" si="14"/>
        <v>1</v>
      </c>
      <c r="AC53" s="2158">
        <f t="shared" si="15"/>
        <v>0</v>
      </c>
      <c r="AD53" s="2158">
        <f t="shared" si="16"/>
        <v>1</v>
      </c>
      <c r="AE53" s="2158">
        <f t="shared" si="30"/>
        <v>0</v>
      </c>
      <c r="AF53" s="2158">
        <f t="shared" si="31"/>
        <v>0</v>
      </c>
    </row>
    <row r="54" spans="2:32" s="1897" customFormat="1" ht="15.6" x14ac:dyDescent="0.3">
      <c r="B54" s="1065" t="s">
        <v>53</v>
      </c>
      <c r="C54" s="1091" t="s">
        <v>218</v>
      </c>
      <c r="D54" s="3187" t="s">
        <v>40</v>
      </c>
      <c r="E54" s="2161">
        <f t="shared" si="25"/>
        <v>5210.7535416702249</v>
      </c>
      <c r="F54" s="2947"/>
      <c r="G54" s="2948">
        <f>ЗВВ_2ст!G8</f>
        <v>5210.7535416702249</v>
      </c>
      <c r="H54" s="2161">
        <f t="shared" si="26"/>
        <v>4327.504258212577</v>
      </c>
      <c r="I54" s="2947"/>
      <c r="J54" s="2948">
        <f>SUM(J55:J57)</f>
        <v>4327.504258212577</v>
      </c>
      <c r="K54" s="2161">
        <f t="shared" si="27"/>
        <v>0.70103534475238949</v>
      </c>
      <c r="L54" s="2947"/>
      <c r="M54" s="2948">
        <f>SUM(M55:M57)</f>
        <v>0.70103534475238949</v>
      </c>
      <c r="N54" s="2161">
        <f t="shared" si="28"/>
        <v>660.31171975948746</v>
      </c>
      <c r="O54" s="2947"/>
      <c r="P54" s="2948">
        <f>SUM(P55:P57)</f>
        <v>660.31171975948746</v>
      </c>
      <c r="Q54" s="2161">
        <f t="shared" si="29"/>
        <v>222.23652835340729</v>
      </c>
      <c r="R54" s="2947"/>
      <c r="S54" s="2948">
        <f>SUM(S55:S57)</f>
        <v>222.23652835340729</v>
      </c>
      <c r="T54" s="1895">
        <f>'Д 2_Т на В'!H29</f>
        <v>5210.7535416702249</v>
      </c>
      <c r="U54" s="1896">
        <f t="shared" si="5"/>
        <v>0</v>
      </c>
      <c r="V54" s="1896"/>
      <c r="W54" s="1896">
        <f t="shared" ref="W54:W59" si="32">J54/$J$17</f>
        <v>72.781908716063327</v>
      </c>
      <c r="X54" s="1896">
        <f t="shared" ref="X54:X59" si="33">M54/$M$17</f>
        <v>72.781908715987285</v>
      </c>
      <c r="Y54" s="1896">
        <f t="shared" ref="Y54:Y59" si="34">P54/$P$17</f>
        <v>72.781908715987285</v>
      </c>
      <c r="Z54" s="1896">
        <f t="shared" ref="Z54:Z59" si="35">S54/$S$17</f>
        <v>72.781908715987271</v>
      </c>
      <c r="AA54" s="2162">
        <f t="shared" si="13"/>
        <v>0</v>
      </c>
      <c r="AB54" s="2162">
        <f t="shared" si="14"/>
        <v>1</v>
      </c>
      <c r="AC54" s="2162">
        <f t="shared" si="15"/>
        <v>0</v>
      </c>
      <c r="AD54" s="2162">
        <f t="shared" si="16"/>
        <v>1</v>
      </c>
      <c r="AE54" s="2162">
        <f t="shared" si="30"/>
        <v>0</v>
      </c>
      <c r="AF54" s="2162">
        <f t="shared" si="31"/>
        <v>0</v>
      </c>
    </row>
    <row r="55" spans="2:32" ht="15.6" x14ac:dyDescent="0.3">
      <c r="B55" s="1065" t="s">
        <v>54</v>
      </c>
      <c r="C55" s="1087" t="s">
        <v>55</v>
      </c>
      <c r="D55" s="3145" t="s">
        <v>40</v>
      </c>
      <c r="E55" s="3142">
        <f t="shared" si="25"/>
        <v>3981.6703519823727</v>
      </c>
      <c r="F55" s="1030"/>
      <c r="G55" s="1019">
        <f>'Д 2_Т на В'!H30</f>
        <v>3981.6703519823727</v>
      </c>
      <c r="H55" s="3142">
        <f t="shared" si="26"/>
        <v>3306.7569335623311</v>
      </c>
      <c r="I55" s="1030"/>
      <c r="J55" s="1019">
        <f t="shared" ref="J55:J57" si="36">$G55*J$36</f>
        <v>3306.7569335623311</v>
      </c>
      <c r="K55" s="3142">
        <f t="shared" si="27"/>
        <v>0.53567907704144191</v>
      </c>
      <c r="L55" s="1030"/>
      <c r="M55" s="1019">
        <f t="shared" ref="M55:M57" si="37">$G55*M$36</f>
        <v>0.53567907704144191</v>
      </c>
      <c r="N55" s="3142">
        <f t="shared" si="28"/>
        <v>504.56111128796812</v>
      </c>
      <c r="O55" s="1030"/>
      <c r="P55" s="1019">
        <f t="shared" ref="P55:P57" si="38">$G55*P$36</f>
        <v>504.56111128796812</v>
      </c>
      <c r="Q55" s="3142">
        <f t="shared" si="29"/>
        <v>169.81662805503171</v>
      </c>
      <c r="R55" s="1030"/>
      <c r="S55" s="1019">
        <f t="shared" ref="S55:S57" si="39">$G55*S$36</f>
        <v>169.81662805503171</v>
      </c>
      <c r="T55" s="2157">
        <f>'Д 2_Т на В'!H30</f>
        <v>3981.6703519823727</v>
      </c>
      <c r="U55" s="1021">
        <f t="shared" si="5"/>
        <v>0</v>
      </c>
      <c r="V55" s="1021"/>
      <c r="W55" s="1021">
        <f t="shared" si="32"/>
        <v>55.61452211814801</v>
      </c>
      <c r="X55" s="1021">
        <f t="shared" si="33"/>
        <v>55.614522118089901</v>
      </c>
      <c r="Y55" s="1021">
        <f t="shared" si="34"/>
        <v>55.614522118089901</v>
      </c>
      <c r="Z55" s="1021">
        <f t="shared" si="35"/>
        <v>55.614522118089894</v>
      </c>
      <c r="AA55" s="2158">
        <f t="shared" si="13"/>
        <v>0</v>
      </c>
      <c r="AB55" s="2158">
        <f t="shared" si="14"/>
        <v>1</v>
      </c>
      <c r="AC55" s="2158">
        <f t="shared" si="15"/>
        <v>0</v>
      </c>
      <c r="AD55" s="2158">
        <f t="shared" si="16"/>
        <v>1</v>
      </c>
      <c r="AE55" s="2158">
        <f t="shared" si="30"/>
        <v>0</v>
      </c>
      <c r="AF55" s="2158">
        <f t="shared" si="31"/>
        <v>0</v>
      </c>
    </row>
    <row r="56" spans="2:32" ht="26.4" x14ac:dyDescent="0.3">
      <c r="B56" s="1065" t="s">
        <v>56</v>
      </c>
      <c r="C56" s="1103" t="s">
        <v>452</v>
      </c>
      <c r="D56" s="3145" t="s">
        <v>40</v>
      </c>
      <c r="E56" s="3142">
        <f t="shared" si="25"/>
        <v>849.8976237422155</v>
      </c>
      <c r="F56" s="1030"/>
      <c r="G56" s="1019">
        <f>'Д 2_Т на В'!H31</f>
        <v>849.8976237422155</v>
      </c>
      <c r="H56" s="3142">
        <f t="shared" si="26"/>
        <v>705.83564476363324</v>
      </c>
      <c r="I56" s="1030"/>
      <c r="J56" s="1019">
        <f t="shared" si="36"/>
        <v>705.83564476363324</v>
      </c>
      <c r="K56" s="3142">
        <f t="shared" si="27"/>
        <v>0.11434205607686133</v>
      </c>
      <c r="L56" s="1030"/>
      <c r="M56" s="1019">
        <f t="shared" si="37"/>
        <v>0.11434205607686133</v>
      </c>
      <c r="N56" s="3142">
        <f t="shared" si="28"/>
        <v>107.69984745293503</v>
      </c>
      <c r="O56" s="1030"/>
      <c r="P56" s="1019">
        <f t="shared" si="38"/>
        <v>107.69984745293503</v>
      </c>
      <c r="Q56" s="3142">
        <f t="shared" si="29"/>
        <v>36.247789469570343</v>
      </c>
      <c r="R56" s="1030"/>
      <c r="S56" s="1019">
        <f t="shared" si="39"/>
        <v>36.247789469570343</v>
      </c>
      <c r="T56" s="2157">
        <f>'Д 2_Т на В'!H31</f>
        <v>849.8976237422155</v>
      </c>
      <c r="U56" s="1021">
        <f>E56-T56</f>
        <v>0</v>
      </c>
      <c r="V56" s="1021"/>
      <c r="W56" s="1021">
        <f t="shared" si="32"/>
        <v>11.871060639221431</v>
      </c>
      <c r="X56" s="1021">
        <f t="shared" si="33"/>
        <v>11.871060639209025</v>
      </c>
      <c r="Y56" s="1021">
        <f t="shared" si="34"/>
        <v>11.871060639209027</v>
      </c>
      <c r="Z56" s="1021">
        <f t="shared" si="35"/>
        <v>11.871060639209023</v>
      </c>
      <c r="AA56" s="2158">
        <f t="shared" si="13"/>
        <v>0</v>
      </c>
      <c r="AB56" s="2158">
        <f t="shared" si="14"/>
        <v>1</v>
      </c>
      <c r="AC56" s="2158">
        <f t="shared" si="15"/>
        <v>0</v>
      </c>
      <c r="AD56" s="2158">
        <f t="shared" si="16"/>
        <v>1</v>
      </c>
      <c r="AE56" s="2158">
        <f t="shared" si="30"/>
        <v>0</v>
      </c>
      <c r="AF56" s="2158">
        <f t="shared" si="31"/>
        <v>0</v>
      </c>
    </row>
    <row r="57" spans="2:32" ht="15.6" x14ac:dyDescent="0.3">
      <c r="B57" s="1065" t="s">
        <v>57</v>
      </c>
      <c r="C57" s="1087" t="s">
        <v>58</v>
      </c>
      <c r="D57" s="3145" t="s">
        <v>40</v>
      </c>
      <c r="E57" s="3142">
        <f>E54-E55-E56</f>
        <v>379.18556594563665</v>
      </c>
      <c r="F57" s="1030"/>
      <c r="G57" s="1019">
        <f>'Д 2_Т на В'!H32</f>
        <v>379.18556594563665</v>
      </c>
      <c r="H57" s="3142">
        <f>H54-H55-H56</f>
        <v>314.91167988661266</v>
      </c>
      <c r="I57" s="1030"/>
      <c r="J57" s="1019">
        <f t="shared" si="36"/>
        <v>314.911679886613</v>
      </c>
      <c r="K57" s="3142">
        <f>K54-K55-K56</f>
        <v>5.1014211634086246E-2</v>
      </c>
      <c r="L57" s="1030"/>
      <c r="M57" s="1019">
        <f t="shared" si="37"/>
        <v>5.1014211634086253E-2</v>
      </c>
      <c r="N57" s="3142">
        <f>N54-N55-N56</f>
        <v>48.050761018584311</v>
      </c>
      <c r="O57" s="1030"/>
      <c r="P57" s="1019">
        <f t="shared" si="38"/>
        <v>48.050761018584332</v>
      </c>
      <c r="Q57" s="3142">
        <f>Q54-Q55-Q56</f>
        <v>16.172110828805238</v>
      </c>
      <c r="R57" s="1030"/>
      <c r="S57" s="1019">
        <f t="shared" si="39"/>
        <v>16.172110828805234</v>
      </c>
      <c r="T57" s="2157">
        <f>'Д 2_Т на В'!H32</f>
        <v>379.18556594563665</v>
      </c>
      <c r="U57" s="1021">
        <f t="shared" si="5"/>
        <v>0</v>
      </c>
      <c r="V57" s="1021"/>
      <c r="W57" s="1021">
        <f t="shared" si="32"/>
        <v>5.2963259586938909</v>
      </c>
      <c r="X57" s="1021">
        <f t="shared" si="33"/>
        <v>5.2963259586883566</v>
      </c>
      <c r="Y57" s="1021">
        <f t="shared" si="34"/>
        <v>5.2963259586883566</v>
      </c>
      <c r="Z57" s="1021">
        <f t="shared" si="35"/>
        <v>5.2963259586883558</v>
      </c>
      <c r="AA57" s="2158">
        <f t="shared" si="13"/>
        <v>0</v>
      </c>
      <c r="AB57" s="2158">
        <f t="shared" si="14"/>
        <v>1</v>
      </c>
      <c r="AC57" s="2158">
        <f t="shared" si="15"/>
        <v>0</v>
      </c>
      <c r="AD57" s="2158">
        <f t="shared" si="16"/>
        <v>1.0000000000000011</v>
      </c>
      <c r="AE57" s="2158">
        <f t="shared" si="30"/>
        <v>0</v>
      </c>
      <c r="AF57" s="2158">
        <f t="shared" si="31"/>
        <v>0</v>
      </c>
    </row>
    <row r="58" spans="2:32" s="1897" customFormat="1" ht="15.6" x14ac:dyDescent="0.3">
      <c r="B58" s="1065">
        <v>2</v>
      </c>
      <c r="C58" s="1091" t="s">
        <v>219</v>
      </c>
      <c r="D58" s="3187" t="s">
        <v>40</v>
      </c>
      <c r="E58" s="2161">
        <f>F58+G58</f>
        <v>6334.8875507536159</v>
      </c>
      <c r="F58" s="2947"/>
      <c r="G58" s="2948">
        <f>Адміністративні_2ст!G8</f>
        <v>6334.8875507536159</v>
      </c>
      <c r="H58" s="2161">
        <f>I58+J58</f>
        <v>5261.0918232753165</v>
      </c>
      <c r="I58" s="2947"/>
      <c r="J58" s="2948">
        <f>SUM(J59:J61)</f>
        <v>5261.0918232753165</v>
      </c>
      <c r="K58" s="2161">
        <f>L58+M58</f>
        <v>0.85227214117800998</v>
      </c>
      <c r="L58" s="2947"/>
      <c r="M58" s="2948">
        <f>SUM(M59:M61)</f>
        <v>0.85227214117800998</v>
      </c>
      <c r="N58" s="2161">
        <f>O58+P58</f>
        <v>802.76306673684917</v>
      </c>
      <c r="O58" s="2947"/>
      <c r="P58" s="2948">
        <f>SUM(P59:P61)</f>
        <v>802.76306673684917</v>
      </c>
      <c r="Q58" s="2161">
        <f>R58+S58</f>
        <v>270.18038860027156</v>
      </c>
      <c r="R58" s="2947"/>
      <c r="S58" s="2948">
        <f>SUM(S59:S61)</f>
        <v>270.18038860027156</v>
      </c>
      <c r="T58" s="1895">
        <f>'Д 2_Т на В'!H33</f>
        <v>6334.8875507536159</v>
      </c>
      <c r="U58" s="1896">
        <f t="shared" si="5"/>
        <v>0</v>
      </c>
      <c r="V58" s="1896"/>
      <c r="W58" s="1896">
        <f t="shared" si="32"/>
        <v>88.483403361596814</v>
      </c>
      <c r="X58" s="1896">
        <f t="shared" si="33"/>
        <v>88.483403361504358</v>
      </c>
      <c r="Y58" s="1896">
        <f t="shared" si="34"/>
        <v>88.483403361504372</v>
      </c>
      <c r="Z58" s="1896">
        <f t="shared" si="35"/>
        <v>88.483403361504344</v>
      </c>
      <c r="AA58" s="2162">
        <f t="shared" si="13"/>
        <v>0</v>
      </c>
      <c r="AB58" s="2162">
        <f t="shared" si="14"/>
        <v>1</v>
      </c>
      <c r="AC58" s="2162">
        <f t="shared" si="15"/>
        <v>0</v>
      </c>
      <c r="AD58" s="2162">
        <f t="shared" si="16"/>
        <v>1</v>
      </c>
      <c r="AE58" s="2162">
        <f t="shared" si="30"/>
        <v>0</v>
      </c>
      <c r="AF58" s="2162">
        <f t="shared" si="31"/>
        <v>0</v>
      </c>
    </row>
    <row r="59" spans="2:32" ht="15.6" x14ac:dyDescent="0.3">
      <c r="B59" s="1065" t="s">
        <v>25</v>
      </c>
      <c r="C59" s="1087" t="s">
        <v>55</v>
      </c>
      <c r="D59" s="3145" t="s">
        <v>40</v>
      </c>
      <c r="E59" s="3142">
        <f>F59+G59</f>
        <v>4743.9700713768461</v>
      </c>
      <c r="F59" s="1030"/>
      <c r="G59" s="1019">
        <f>'Д 2_Т на В'!H34</f>
        <v>4743.9700713768461</v>
      </c>
      <c r="H59" s="3142">
        <f>I59+J59</f>
        <v>3939.8429652337582</v>
      </c>
      <c r="I59" s="1030"/>
      <c r="J59" s="1019">
        <f t="shared" ref="J59:J61" si="40">$G59*J$36</f>
        <v>3939.8429652337582</v>
      </c>
      <c r="K59" s="3142">
        <f>L59+M59</f>
        <v>0.63823603781818616</v>
      </c>
      <c r="L59" s="1030"/>
      <c r="M59" s="1019">
        <f t="shared" ref="M59:M64" si="41">$G59*M$36</f>
        <v>0.63823603781818616</v>
      </c>
      <c r="N59" s="3142">
        <f>O59+P59</f>
        <v>601.1604677265758</v>
      </c>
      <c r="O59" s="1030"/>
      <c r="P59" s="1019">
        <f t="shared" ref="P59:P61" si="42">$G59*P$36</f>
        <v>601.1604677265758</v>
      </c>
      <c r="Q59" s="3142">
        <f>R59+S59</f>
        <v>202.3284023786936</v>
      </c>
      <c r="R59" s="1030"/>
      <c r="S59" s="1019">
        <f t="shared" ref="S59:S61" si="43">$G59*S$36</f>
        <v>202.3284023786936</v>
      </c>
      <c r="T59" s="2157">
        <f>'Д 2_Т на В'!H34</f>
        <v>4743.9700713768461</v>
      </c>
      <c r="U59" s="1021">
        <f t="shared" si="5"/>
        <v>0</v>
      </c>
      <c r="V59" s="1021"/>
      <c r="W59" s="1021">
        <f t="shared" si="32"/>
        <v>66.262047115744707</v>
      </c>
      <c r="X59" s="1021">
        <f t="shared" si="33"/>
        <v>66.262047115675472</v>
      </c>
      <c r="Y59" s="1021">
        <f t="shared" si="34"/>
        <v>66.262047115675472</v>
      </c>
      <c r="Z59" s="1021">
        <f t="shared" si="35"/>
        <v>66.262047115675458</v>
      </c>
      <c r="AA59" s="2158">
        <f t="shared" si="13"/>
        <v>0</v>
      </c>
      <c r="AB59" s="2158">
        <f t="shared" si="14"/>
        <v>1</v>
      </c>
      <c r="AC59" s="2158">
        <f t="shared" si="15"/>
        <v>0</v>
      </c>
      <c r="AD59" s="2158">
        <f t="shared" si="16"/>
        <v>1</v>
      </c>
      <c r="AE59" s="2158">
        <f t="shared" si="30"/>
        <v>0</v>
      </c>
      <c r="AF59" s="2158">
        <f t="shared" si="31"/>
        <v>0</v>
      </c>
    </row>
    <row r="60" spans="2:32" ht="26.4" x14ac:dyDescent="0.3">
      <c r="B60" s="1065" t="s">
        <v>26</v>
      </c>
      <c r="C60" s="1103" t="s">
        <v>452</v>
      </c>
      <c r="D60" s="3145" t="s">
        <v>40</v>
      </c>
      <c r="E60" s="3142">
        <f>F60+G60</f>
        <v>1043.6734157029061</v>
      </c>
      <c r="F60" s="1030"/>
      <c r="G60" s="1019">
        <f>'Д 2_Т на В'!H35</f>
        <v>1043.6734157029061</v>
      </c>
      <c r="H60" s="3142">
        <f>I60+J60</f>
        <v>866.7654523514268</v>
      </c>
      <c r="I60" s="1030"/>
      <c r="J60" s="1019">
        <f t="shared" si="40"/>
        <v>866.7654523514268</v>
      </c>
      <c r="K60" s="3142">
        <f>L60+M60</f>
        <v>0.14041192832000096</v>
      </c>
      <c r="L60" s="1030"/>
      <c r="M60" s="1019">
        <f t="shared" si="41"/>
        <v>0.14041192832000096</v>
      </c>
      <c r="N60" s="3142">
        <f>O60+P60</f>
        <v>132.2553028998467</v>
      </c>
      <c r="O60" s="1030"/>
      <c r="P60" s="1019">
        <f t="shared" si="42"/>
        <v>132.2553028998467</v>
      </c>
      <c r="Q60" s="3142">
        <f>R60+S60</f>
        <v>44.512248523312593</v>
      </c>
      <c r="R60" s="1030"/>
      <c r="S60" s="1019">
        <f t="shared" si="43"/>
        <v>44.512248523312593</v>
      </c>
      <c r="T60" s="2157">
        <f>'Д 2_Т на В'!H35</f>
        <v>1043.6734157029061</v>
      </c>
      <c r="U60" s="1021">
        <f t="shared" si="5"/>
        <v>0</v>
      </c>
      <c r="V60" s="1021"/>
      <c r="W60" s="1021">
        <f t="shared" ref="W60:W66" si="44">J60/$J$17</f>
        <v>14.577650365463837</v>
      </c>
      <c r="X60" s="1021">
        <f t="shared" ref="X60:X66" si="45">M60/$M$17</f>
        <v>14.577650365448605</v>
      </c>
      <c r="Y60" s="1021">
        <f t="shared" ref="Y60:Y66" si="46">P60/$P$17</f>
        <v>14.577650365448607</v>
      </c>
      <c r="Z60" s="1021">
        <f t="shared" ref="Z60:Z66" si="47">S60/$S$17</f>
        <v>14.577650365448601</v>
      </c>
      <c r="AA60" s="2158">
        <f t="shared" si="13"/>
        <v>0</v>
      </c>
      <c r="AB60" s="2158">
        <f t="shared" si="14"/>
        <v>1</v>
      </c>
      <c r="AC60" s="2158">
        <f t="shared" si="15"/>
        <v>0</v>
      </c>
      <c r="AD60" s="2158">
        <f t="shared" si="16"/>
        <v>1</v>
      </c>
      <c r="AE60" s="2158">
        <f t="shared" si="30"/>
        <v>0</v>
      </c>
      <c r="AF60" s="2158">
        <f t="shared" si="31"/>
        <v>0</v>
      </c>
    </row>
    <row r="61" spans="2:32" ht="15.6" x14ac:dyDescent="0.3">
      <c r="B61" s="1065" t="s">
        <v>59</v>
      </c>
      <c r="C61" s="1088" t="s">
        <v>58</v>
      </c>
      <c r="D61" s="3145" t="s">
        <v>40</v>
      </c>
      <c r="E61" s="3142">
        <f>E58-E59-E60</f>
        <v>547.24406367386359</v>
      </c>
      <c r="F61" s="1030"/>
      <c r="G61" s="1019">
        <f>'Д 2_Т на В'!H36</f>
        <v>547.24406367386359</v>
      </c>
      <c r="H61" s="3142">
        <f>H58-H59-H60</f>
        <v>454.48340569013158</v>
      </c>
      <c r="I61" s="1030"/>
      <c r="J61" s="1019">
        <f t="shared" si="40"/>
        <v>454.48340569013175</v>
      </c>
      <c r="K61" s="3142">
        <f>K58-K59-K60</f>
        <v>7.3624175039822853E-2</v>
      </c>
      <c r="L61" s="1030"/>
      <c r="M61" s="1019">
        <f t="shared" si="41"/>
        <v>7.3624175039822867E-2</v>
      </c>
      <c r="N61" s="3142">
        <f>N58-N59-N60</f>
        <v>69.347296110426669</v>
      </c>
      <c r="O61" s="1030"/>
      <c r="P61" s="1019">
        <f t="shared" si="42"/>
        <v>69.347296110426626</v>
      </c>
      <c r="Q61" s="3142">
        <f>Q58-Q59-Q60</f>
        <v>23.339737698265367</v>
      </c>
      <c r="R61" s="1030"/>
      <c r="S61" s="1019">
        <f t="shared" si="43"/>
        <v>23.339737698265381</v>
      </c>
      <c r="T61" s="2157">
        <f>'Д 2_Т на В'!H36</f>
        <v>547.24406367386359</v>
      </c>
      <c r="U61" s="1021">
        <f t="shared" si="5"/>
        <v>0</v>
      </c>
      <c r="V61" s="1021"/>
      <c r="W61" s="1021">
        <f t="shared" si="44"/>
        <v>7.6437058803882678</v>
      </c>
      <c r="X61" s="1021">
        <f t="shared" si="45"/>
        <v>7.6437058803802813</v>
      </c>
      <c r="Y61" s="1021">
        <f t="shared" si="46"/>
        <v>7.6437058803802813</v>
      </c>
      <c r="Z61" s="1021">
        <f t="shared" si="47"/>
        <v>7.6437058803802786</v>
      </c>
      <c r="AA61" s="2158">
        <f t="shared" si="13"/>
        <v>0</v>
      </c>
      <c r="AB61" s="2158">
        <f t="shared" si="14"/>
        <v>1</v>
      </c>
      <c r="AC61" s="2158">
        <f t="shared" si="15"/>
        <v>0</v>
      </c>
      <c r="AD61" s="2158">
        <f t="shared" si="16"/>
        <v>1.0000000000000004</v>
      </c>
      <c r="AE61" s="2158">
        <f t="shared" si="30"/>
        <v>0</v>
      </c>
      <c r="AF61" s="2158">
        <f t="shared" si="31"/>
        <v>0</v>
      </c>
    </row>
    <row r="62" spans="2:32" ht="15.6" x14ac:dyDescent="0.3">
      <c r="B62" s="1065" t="s">
        <v>173</v>
      </c>
      <c r="C62" s="1083" t="s">
        <v>220</v>
      </c>
      <c r="D62" s="3145" t="s">
        <v>40</v>
      </c>
      <c r="E62" s="3142">
        <f>F62+G62</f>
        <v>0</v>
      </c>
      <c r="F62" s="1030"/>
      <c r="G62" s="1019">
        <v>0</v>
      </c>
      <c r="H62" s="3142">
        <f>I62+J62</f>
        <v>0</v>
      </c>
      <c r="I62" s="1030"/>
      <c r="J62" s="1019">
        <f>E62*Виробництво_2ст!G$9</f>
        <v>0</v>
      </c>
      <c r="K62" s="3142">
        <f>L62+M62</f>
        <v>0</v>
      </c>
      <c r="L62" s="1030"/>
      <c r="M62" s="1019">
        <f t="shared" si="41"/>
        <v>0</v>
      </c>
      <c r="N62" s="3142">
        <f>O62+P62</f>
        <v>0</v>
      </c>
      <c r="O62" s="1030"/>
      <c r="P62" s="1019">
        <f>$E62*Виробництво_2ст!I$9</f>
        <v>0</v>
      </c>
      <c r="Q62" s="3142">
        <f>R62+S62</f>
        <v>0</v>
      </c>
      <c r="R62" s="1030"/>
      <c r="S62" s="1019">
        <f>$E62*Виробництво_2ст!J$9</f>
        <v>0</v>
      </c>
      <c r="T62" s="2157">
        <f>'Д 2_Т на В'!H37</f>
        <v>0</v>
      </c>
      <c r="U62" s="1021">
        <f t="shared" si="5"/>
        <v>0</v>
      </c>
      <c r="V62" s="1021"/>
      <c r="W62" s="1021">
        <f t="shared" si="44"/>
        <v>0</v>
      </c>
      <c r="X62" s="1021">
        <f t="shared" si="45"/>
        <v>0</v>
      </c>
      <c r="Y62" s="1021">
        <f t="shared" si="46"/>
        <v>0</v>
      </c>
      <c r="Z62" s="1021">
        <f t="shared" si="47"/>
        <v>0</v>
      </c>
      <c r="AA62" s="2158" t="e">
        <f t="shared" si="13"/>
        <v>#DIV/0!</v>
      </c>
      <c r="AB62" s="2158" t="e">
        <f t="shared" si="14"/>
        <v>#DIV/0!</v>
      </c>
      <c r="AC62" s="2158" t="e">
        <f t="shared" si="15"/>
        <v>#DIV/0!</v>
      </c>
      <c r="AD62" s="2158" t="e">
        <f t="shared" si="16"/>
        <v>#DIV/0!</v>
      </c>
      <c r="AE62" s="2158" t="e">
        <f t="shared" si="30"/>
        <v>#DIV/0!</v>
      </c>
      <c r="AF62" s="2158" t="e">
        <f t="shared" si="31"/>
        <v>#DIV/0!</v>
      </c>
    </row>
    <row r="63" spans="2:32" ht="15.6" x14ac:dyDescent="0.3">
      <c r="B63" s="1065" t="s">
        <v>60</v>
      </c>
      <c r="C63" s="1083" t="s">
        <v>55</v>
      </c>
      <c r="D63" s="3145" t="s">
        <v>40</v>
      </c>
      <c r="E63" s="3142">
        <f>F63+G63</f>
        <v>0</v>
      </c>
      <c r="F63" s="1030"/>
      <c r="G63" s="1019">
        <v>0</v>
      </c>
      <c r="H63" s="3142">
        <f>I63+J63</f>
        <v>0</v>
      </c>
      <c r="I63" s="1030"/>
      <c r="J63" s="1019">
        <f>E63*Виробництво_2ст!G$9</f>
        <v>0</v>
      </c>
      <c r="K63" s="3142">
        <f>L63+M63</f>
        <v>0</v>
      </c>
      <c r="L63" s="1030"/>
      <c r="M63" s="1019">
        <f t="shared" si="41"/>
        <v>0</v>
      </c>
      <c r="N63" s="3142">
        <f>O63+P63</f>
        <v>0</v>
      </c>
      <c r="O63" s="1030"/>
      <c r="P63" s="1019">
        <f>$E63*Виробництво_2ст!I$9</f>
        <v>0</v>
      </c>
      <c r="Q63" s="3142">
        <f>R63+S63</f>
        <v>0</v>
      </c>
      <c r="R63" s="1030"/>
      <c r="S63" s="1019">
        <f>$E63*Виробництво_2ст!J$9</f>
        <v>0</v>
      </c>
      <c r="T63" s="2157">
        <f>'Д 2_Т на В'!H38</f>
        <v>0</v>
      </c>
      <c r="U63" s="1021">
        <f t="shared" si="5"/>
        <v>0</v>
      </c>
      <c r="V63" s="1021"/>
      <c r="W63" s="1021">
        <f t="shared" si="44"/>
        <v>0</v>
      </c>
      <c r="X63" s="1021">
        <f t="shared" si="45"/>
        <v>0</v>
      </c>
      <c r="Y63" s="1021">
        <f t="shared" si="46"/>
        <v>0</v>
      </c>
      <c r="Z63" s="1021">
        <f t="shared" si="47"/>
        <v>0</v>
      </c>
      <c r="AA63" s="2158" t="e">
        <f t="shared" si="13"/>
        <v>#DIV/0!</v>
      </c>
      <c r="AB63" s="2158" t="e">
        <f t="shared" si="14"/>
        <v>#DIV/0!</v>
      </c>
      <c r="AC63" s="2158" t="e">
        <f t="shared" si="15"/>
        <v>#DIV/0!</v>
      </c>
      <c r="AD63" s="2158" t="e">
        <f t="shared" si="16"/>
        <v>#DIV/0!</v>
      </c>
      <c r="AE63" s="2158" t="e">
        <f t="shared" si="30"/>
        <v>#DIV/0!</v>
      </c>
      <c r="AF63" s="2158" t="e">
        <f t="shared" si="31"/>
        <v>#DIV/0!</v>
      </c>
    </row>
    <row r="64" spans="2:32" ht="26.4" x14ac:dyDescent="0.3">
      <c r="B64" s="1065" t="s">
        <v>61</v>
      </c>
      <c r="C64" s="1103" t="s">
        <v>452</v>
      </c>
      <c r="D64" s="3145" t="s">
        <v>40</v>
      </c>
      <c r="E64" s="3142">
        <f>F64+G64</f>
        <v>0</v>
      </c>
      <c r="F64" s="1030"/>
      <c r="G64" s="1019">
        <v>0</v>
      </c>
      <c r="H64" s="3142">
        <f>I64+J64</f>
        <v>0</v>
      </c>
      <c r="I64" s="1030"/>
      <c r="J64" s="1019">
        <f>E64*Виробництво_2ст!G$9</f>
        <v>0</v>
      </c>
      <c r="K64" s="3142">
        <f>L64+M64</f>
        <v>0</v>
      </c>
      <c r="L64" s="1030"/>
      <c r="M64" s="1019">
        <f t="shared" si="41"/>
        <v>0</v>
      </c>
      <c r="N64" s="3142">
        <f>O64+P64</f>
        <v>0</v>
      </c>
      <c r="O64" s="1030"/>
      <c r="P64" s="1019">
        <f>$E64*Виробництво_2ст!I$9</f>
        <v>0</v>
      </c>
      <c r="Q64" s="3142">
        <f>R64+S64</f>
        <v>0</v>
      </c>
      <c r="R64" s="1030"/>
      <c r="S64" s="1019">
        <f>$E64*Виробництво_2ст!J$9</f>
        <v>0</v>
      </c>
      <c r="T64" s="2157">
        <f>'Д 2_Т на В'!H39</f>
        <v>0</v>
      </c>
      <c r="U64" s="1021">
        <f>E64-T64</f>
        <v>0</v>
      </c>
      <c r="V64" s="1021"/>
      <c r="W64" s="1021">
        <f t="shared" si="44"/>
        <v>0</v>
      </c>
      <c r="X64" s="1021">
        <f t="shared" si="45"/>
        <v>0</v>
      </c>
      <c r="Y64" s="1021">
        <f t="shared" si="46"/>
        <v>0</v>
      </c>
      <c r="Z64" s="1021">
        <f t="shared" si="47"/>
        <v>0</v>
      </c>
      <c r="AA64" s="2158" t="e">
        <f t="shared" si="13"/>
        <v>#DIV/0!</v>
      </c>
      <c r="AB64" s="2158" t="e">
        <f t="shared" si="14"/>
        <v>#DIV/0!</v>
      </c>
      <c r="AC64" s="2158" t="e">
        <f t="shared" si="15"/>
        <v>#DIV/0!</v>
      </c>
      <c r="AD64" s="2158" t="e">
        <f t="shared" si="16"/>
        <v>#DIV/0!</v>
      </c>
      <c r="AE64" s="2158" t="e">
        <f t="shared" si="30"/>
        <v>#DIV/0!</v>
      </c>
      <c r="AF64" s="2158" t="e">
        <f t="shared" si="31"/>
        <v>#DIV/0!</v>
      </c>
    </row>
    <row r="65" spans="2:32" ht="15.6" x14ac:dyDescent="0.3">
      <c r="B65" s="1065" t="s">
        <v>62</v>
      </c>
      <c r="C65" s="1083" t="s">
        <v>58</v>
      </c>
      <c r="D65" s="3145" t="s">
        <v>40</v>
      </c>
      <c r="E65" s="3142">
        <f>E62-E63-E64</f>
        <v>0</v>
      </c>
      <c r="F65" s="1030"/>
      <c r="G65" s="1019">
        <f t="shared" ref="G65:R65" si="48">G62-G63-G64</f>
        <v>0</v>
      </c>
      <c r="H65" s="3142">
        <f t="shared" si="48"/>
        <v>0</v>
      </c>
      <c r="I65" s="1030">
        <f t="shared" si="48"/>
        <v>0</v>
      </c>
      <c r="J65" s="4596">
        <f>E65*Виробництво_2ст!G$9</f>
        <v>0</v>
      </c>
      <c r="K65" s="3142">
        <f t="shared" si="48"/>
        <v>0</v>
      </c>
      <c r="L65" s="1030">
        <f t="shared" si="48"/>
        <v>0</v>
      </c>
      <c r="M65" s="1019">
        <f>$E65*Виробництво_2ст!H$9</f>
        <v>0</v>
      </c>
      <c r="N65" s="3142">
        <f t="shared" si="48"/>
        <v>0</v>
      </c>
      <c r="O65" s="1030">
        <f t="shared" si="48"/>
        <v>0</v>
      </c>
      <c r="P65" s="1019">
        <f>$E65*Виробництво_2ст!I$9</f>
        <v>0</v>
      </c>
      <c r="Q65" s="3142">
        <f t="shared" si="48"/>
        <v>0</v>
      </c>
      <c r="R65" s="1030">
        <f t="shared" si="48"/>
        <v>0</v>
      </c>
      <c r="S65" s="1019">
        <f>$E65*Виробництво_2ст!J$9</f>
        <v>0</v>
      </c>
      <c r="T65" s="2157">
        <f>'Д 2_Т на В'!H40</f>
        <v>0</v>
      </c>
      <c r="U65" s="1021">
        <f t="shared" si="5"/>
        <v>0</v>
      </c>
      <c r="V65" s="1021"/>
      <c r="W65" s="1021">
        <f t="shared" si="44"/>
        <v>0</v>
      </c>
      <c r="X65" s="1021">
        <f t="shared" si="45"/>
        <v>0</v>
      </c>
      <c r="Y65" s="1021">
        <f t="shared" si="46"/>
        <v>0</v>
      </c>
      <c r="Z65" s="1021">
        <f t="shared" si="47"/>
        <v>0</v>
      </c>
      <c r="AA65" s="2158" t="e">
        <f t="shared" si="13"/>
        <v>#DIV/0!</v>
      </c>
      <c r="AB65" s="2158" t="e">
        <f t="shared" si="14"/>
        <v>#DIV/0!</v>
      </c>
      <c r="AC65" s="2158" t="e">
        <f t="shared" si="15"/>
        <v>#DIV/0!</v>
      </c>
      <c r="AD65" s="2158" t="e">
        <f t="shared" si="16"/>
        <v>#DIV/0!</v>
      </c>
      <c r="AE65" s="2158" t="e">
        <f t="shared" si="30"/>
        <v>#DIV/0!</v>
      </c>
      <c r="AF65" s="2158" t="e">
        <f t="shared" si="31"/>
        <v>#DIV/0!</v>
      </c>
    </row>
    <row r="66" spans="2:32" ht="15.6" x14ac:dyDescent="0.3">
      <c r="B66" s="1065" t="s">
        <v>174</v>
      </c>
      <c r="C66" s="1103" t="s">
        <v>175</v>
      </c>
      <c r="D66" s="3145" t="s">
        <v>40</v>
      </c>
      <c r="E66" s="3142">
        <f>F66+G66</f>
        <v>0</v>
      </c>
      <c r="F66" s="1030"/>
      <c r="G66" s="1019">
        <v>0</v>
      </c>
      <c r="H66" s="3142">
        <f>I66+J66</f>
        <v>0</v>
      </c>
      <c r="I66" s="1030"/>
      <c r="J66" s="4596">
        <f>E66*Виробництво_2ст!G$9</f>
        <v>0</v>
      </c>
      <c r="K66" s="3142">
        <f>L66+M66</f>
        <v>0</v>
      </c>
      <c r="L66" s="1030"/>
      <c r="M66" s="1019">
        <f>$E66*Виробництво_2ст!H$9</f>
        <v>0</v>
      </c>
      <c r="N66" s="3142">
        <f>O66+P66</f>
        <v>0</v>
      </c>
      <c r="O66" s="1030"/>
      <c r="P66" s="1019">
        <f>$E66*Виробництво_2ст!I$9</f>
        <v>0</v>
      </c>
      <c r="Q66" s="3142">
        <f>R66+S66</f>
        <v>0</v>
      </c>
      <c r="R66" s="1030"/>
      <c r="S66" s="1019">
        <f>$E66*Виробництво_2ст!J$9</f>
        <v>0</v>
      </c>
      <c r="T66" s="2157">
        <f>'Д 2_Т на В'!H41</f>
        <v>0</v>
      </c>
      <c r="U66" s="1021">
        <f t="shared" si="5"/>
        <v>0</v>
      </c>
      <c r="V66" s="1021"/>
      <c r="W66" s="1021">
        <f t="shared" si="44"/>
        <v>0</v>
      </c>
      <c r="X66" s="1021">
        <f t="shared" si="45"/>
        <v>0</v>
      </c>
      <c r="Y66" s="1021">
        <f t="shared" si="46"/>
        <v>0</v>
      </c>
      <c r="Z66" s="1021">
        <f t="shared" si="47"/>
        <v>0</v>
      </c>
      <c r="AA66" s="2158" t="e">
        <f t="shared" si="13"/>
        <v>#DIV/0!</v>
      </c>
      <c r="AB66" s="2158" t="e">
        <f t="shared" si="14"/>
        <v>#DIV/0!</v>
      </c>
      <c r="AC66" s="2158" t="e">
        <f t="shared" si="15"/>
        <v>#DIV/0!</v>
      </c>
      <c r="AD66" s="2158" t="e">
        <f t="shared" si="16"/>
        <v>#DIV/0!</v>
      </c>
      <c r="AE66" s="2158" t="e">
        <f t="shared" si="30"/>
        <v>#DIV/0!</v>
      </c>
      <c r="AF66" s="2158" t="e">
        <f t="shared" si="31"/>
        <v>#DIV/0!</v>
      </c>
    </row>
    <row r="67" spans="2:32" ht="15.6" x14ac:dyDescent="0.3">
      <c r="B67" s="1065" t="s">
        <v>169</v>
      </c>
      <c r="C67" s="1087" t="s">
        <v>5</v>
      </c>
      <c r="D67" s="3145" t="s">
        <v>40</v>
      </c>
      <c r="E67" s="2930">
        <f>F67+G67</f>
        <v>0</v>
      </c>
      <c r="F67" s="1030"/>
      <c r="G67" s="4596">
        <f>'Д 2_Т на В'!H42</f>
        <v>0</v>
      </c>
      <c r="H67" s="3142">
        <f>I67+J67</f>
        <v>0</v>
      </c>
      <c r="I67" s="1030"/>
      <c r="J67" s="4596">
        <f>'Д 2_Т на В'!L42</f>
        <v>0</v>
      </c>
      <c r="K67" s="3142">
        <f>L67+M67</f>
        <v>0</v>
      </c>
      <c r="L67" s="1030"/>
      <c r="M67" s="1019">
        <f>$E67*Виробництво_2ст!H$9</f>
        <v>0</v>
      </c>
      <c r="N67" s="3142">
        <f>O67+P67</f>
        <v>0</v>
      </c>
      <c r="O67" s="1030"/>
      <c r="P67" s="1019">
        <f>$E67*Виробництво_2ст!I$9</f>
        <v>0</v>
      </c>
      <c r="Q67" s="3142">
        <f>R67+S67</f>
        <v>0</v>
      </c>
      <c r="R67" s="1030"/>
      <c r="S67" s="1019">
        <f>$E67*Виробництво_2ст!J$9</f>
        <v>0</v>
      </c>
      <c r="T67" s="2157">
        <f>'Д 2_Т на В'!H42</f>
        <v>0</v>
      </c>
      <c r="U67" s="1021">
        <f t="shared" si="5"/>
        <v>0</v>
      </c>
      <c r="V67" s="1021"/>
      <c r="W67" s="1021">
        <f t="shared" ref="W67:W76" si="49">J67/$J$17</f>
        <v>0</v>
      </c>
      <c r="X67" s="1021">
        <f t="shared" ref="X67:X76" si="50">M67/$M$17</f>
        <v>0</v>
      </c>
      <c r="Y67" s="1021">
        <f t="shared" ref="Y67:Y76" si="51">P67/$P$17</f>
        <v>0</v>
      </c>
      <c r="Z67" s="1021">
        <f t="shared" ref="Z67:Z76" si="52">S67/$S$17</f>
        <v>0</v>
      </c>
      <c r="AA67" s="2158" t="e">
        <f t="shared" si="13"/>
        <v>#DIV/0!</v>
      </c>
      <c r="AB67" s="2158" t="e">
        <f t="shared" si="14"/>
        <v>#DIV/0!</v>
      </c>
      <c r="AC67" s="2158" t="e">
        <f t="shared" si="15"/>
        <v>#DIV/0!</v>
      </c>
      <c r="AD67" s="2158" t="e">
        <f t="shared" si="16"/>
        <v>#DIV/0!</v>
      </c>
      <c r="AE67" s="2158" t="e">
        <f t="shared" si="30"/>
        <v>#DIV/0!</v>
      </c>
      <c r="AF67" s="2158" t="e">
        <f t="shared" si="31"/>
        <v>#DIV/0!</v>
      </c>
    </row>
    <row r="68" spans="2:32" s="1897" customFormat="1" ht="15.6" x14ac:dyDescent="0.3">
      <c r="B68" s="1065" t="s">
        <v>170</v>
      </c>
      <c r="C68" s="1091" t="s">
        <v>176</v>
      </c>
      <c r="D68" s="3187" t="s">
        <v>40</v>
      </c>
      <c r="E68" s="4595">
        <f t="shared" ref="E68:S68" si="53">E67+E66+E62+E58+E37</f>
        <v>155406.25959820251</v>
      </c>
      <c r="F68" s="2947">
        <f t="shared" si="53"/>
        <v>114791.36386509688</v>
      </c>
      <c r="G68" s="4319">
        <f>G67+G66+G62+G58+G37</f>
        <v>40614.895733105601</v>
      </c>
      <c r="H68" s="2161">
        <f t="shared" si="53"/>
        <v>113992.57640125134</v>
      </c>
      <c r="I68" s="2947">
        <f t="shared" si="53"/>
        <v>80262.112500721283</v>
      </c>
      <c r="J68" s="4319">
        <f>J67+J66+J62+J58+J37</f>
        <v>33730.463900530063</v>
      </c>
      <c r="K68" s="2161">
        <f t="shared" si="53"/>
        <v>32.861332727337462</v>
      </c>
      <c r="L68" s="2947">
        <f t="shared" si="53"/>
        <v>27.397156153900891</v>
      </c>
      <c r="M68" s="2948">
        <f t="shared" si="53"/>
        <v>5.4641765734365721</v>
      </c>
      <c r="N68" s="2161">
        <f t="shared" si="53"/>
        <v>30948.786695328279</v>
      </c>
      <c r="O68" s="2947">
        <f t="shared" si="53"/>
        <v>25802.027894529441</v>
      </c>
      <c r="P68" s="2948">
        <f t="shared" si="53"/>
        <v>5146.7588007988361</v>
      </c>
      <c r="Q68" s="2161">
        <f t="shared" si="53"/>
        <v>10432.035168895502</v>
      </c>
      <c r="R68" s="2947">
        <f t="shared" si="53"/>
        <v>8699.8263136922396</v>
      </c>
      <c r="S68" s="2948">
        <f t="shared" si="53"/>
        <v>1732.2088552032617</v>
      </c>
      <c r="T68" s="2157">
        <f>'Д 2_Т на В'!H43</f>
        <v>155406.25959820245</v>
      </c>
      <c r="U68" s="1021">
        <f t="shared" si="5"/>
        <v>0</v>
      </c>
      <c r="V68" s="1021">
        <f>S68+R68+P68+O68+M68+L68+J68+I68</f>
        <v>155406.25959820248</v>
      </c>
      <c r="W68" s="1021">
        <f t="shared" si="49"/>
        <v>567.29407946853019</v>
      </c>
      <c r="X68" s="1021">
        <f t="shared" si="50"/>
        <v>567.29407946808271</v>
      </c>
      <c r="Y68" s="1021">
        <f t="shared" si="51"/>
        <v>567.29407946808271</v>
      </c>
      <c r="Z68" s="1021">
        <f t="shared" si="52"/>
        <v>567.29407946808249</v>
      </c>
      <c r="AA68" s="2158">
        <f t="shared" si="13"/>
        <v>0.73865341178589572</v>
      </c>
      <c r="AB68" s="2158">
        <f t="shared" si="14"/>
        <v>0.26134658821410417</v>
      </c>
      <c r="AC68" s="2158">
        <f t="shared" si="15"/>
        <v>0.70409946888295982</v>
      </c>
      <c r="AD68" s="2158">
        <f t="shared" si="16"/>
        <v>0.29590053111704029</v>
      </c>
      <c r="AE68" s="2160">
        <f t="shared" si="30"/>
        <v>-3.4553942902935897E-2</v>
      </c>
      <c r="AF68" s="2160">
        <f t="shared" si="31"/>
        <v>3.4553942902936119E-2</v>
      </c>
    </row>
    <row r="69" spans="2:32" s="1897" customFormat="1" ht="17.399999999999999" customHeight="1" x14ac:dyDescent="0.3">
      <c r="B69" s="1065" t="s">
        <v>171</v>
      </c>
      <c r="C69" s="1091" t="s">
        <v>2655</v>
      </c>
      <c r="D69" s="3187" t="s">
        <v>40</v>
      </c>
      <c r="E69" s="2974">
        <f>H69+K69+N69+Q69</f>
        <v>0</v>
      </c>
      <c r="F69" s="2947">
        <f>I69+L69+O69+R69</f>
        <v>0</v>
      </c>
      <c r="G69" s="4319">
        <f>J69+M69+P69+S69</f>
        <v>0</v>
      </c>
      <c r="H69" s="2161">
        <f>I69+J69</f>
        <v>0</v>
      </c>
      <c r="I69" s="2947">
        <v>0</v>
      </c>
      <c r="J69" s="4319">
        <f>'Д 2_Т на В'!L44</f>
        <v>0</v>
      </c>
      <c r="K69" s="2161">
        <f>L69+M69</f>
        <v>0</v>
      </c>
      <c r="L69" s="2947">
        <f>'Д 2_Т на В'!P44</f>
        <v>0</v>
      </c>
      <c r="M69" s="2948">
        <v>0</v>
      </c>
      <c r="N69" s="2161">
        <f>O69+P69</f>
        <v>0</v>
      </c>
      <c r="O69" s="2947">
        <f>'Д 2_Т на В'!T44</f>
        <v>0</v>
      </c>
      <c r="P69" s="2948">
        <v>0</v>
      </c>
      <c r="Q69" s="2161">
        <f>R69+S69</f>
        <v>0</v>
      </c>
      <c r="R69" s="2947">
        <v>0</v>
      </c>
      <c r="S69" s="2948">
        <f>'Д 2_Т на В'!X44</f>
        <v>0</v>
      </c>
      <c r="T69" s="2157">
        <f>'Д 2_Т на В'!H44</f>
        <v>0</v>
      </c>
      <c r="U69" s="1021">
        <f t="shared" si="5"/>
        <v>0</v>
      </c>
      <c r="V69" s="1021"/>
      <c r="W69" s="1021">
        <f t="shared" si="49"/>
        <v>0</v>
      </c>
      <c r="X69" s="1021">
        <f t="shared" si="50"/>
        <v>0</v>
      </c>
      <c r="Y69" s="1021">
        <f t="shared" si="51"/>
        <v>0</v>
      </c>
      <c r="Z69" s="1021">
        <f t="shared" si="52"/>
        <v>0</v>
      </c>
      <c r="AA69" s="2158" t="e">
        <f t="shared" si="13"/>
        <v>#DIV/0!</v>
      </c>
      <c r="AB69" s="2158" t="e">
        <f t="shared" si="14"/>
        <v>#DIV/0!</v>
      </c>
      <c r="AC69" s="2158" t="e">
        <f t="shared" si="15"/>
        <v>#DIV/0!</v>
      </c>
      <c r="AD69" s="2158" t="e">
        <f t="shared" si="16"/>
        <v>#DIV/0!</v>
      </c>
      <c r="AE69" s="2158" t="e">
        <f t="shared" si="30"/>
        <v>#DIV/0!</v>
      </c>
      <c r="AF69" s="2158" t="e">
        <f t="shared" si="31"/>
        <v>#DIV/0!</v>
      </c>
    </row>
    <row r="70" spans="2:32" s="1897" customFormat="1" ht="15.6" x14ac:dyDescent="0.3">
      <c r="B70" s="1065" t="s">
        <v>172</v>
      </c>
      <c r="C70" s="1106" t="s">
        <v>222</v>
      </c>
      <c r="D70" s="3187" t="s">
        <v>40</v>
      </c>
      <c r="E70" s="4595">
        <f>E71+E72+E73+E74+E75</f>
        <v>7201.7534935752356</v>
      </c>
      <c r="F70" s="2947">
        <f>F71+F72+F73+F74+F75</f>
        <v>0</v>
      </c>
      <c r="G70" s="4319">
        <f>E71+G72+G73+E74+G75</f>
        <v>7201.7534935752356</v>
      </c>
      <c r="H70" s="2161">
        <f t="shared" ref="H70:S70" si="54">H71+H72+H73+H74+H75</f>
        <v>5282.582808838476</v>
      </c>
      <c r="I70" s="2947">
        <f t="shared" si="54"/>
        <v>0</v>
      </c>
      <c r="J70" s="4319">
        <f t="shared" si="54"/>
        <v>5282.582808838476</v>
      </c>
      <c r="K70" s="2161">
        <f t="shared" si="54"/>
        <v>1.5232466165681611</v>
      </c>
      <c r="L70" s="2947">
        <f t="shared" si="54"/>
        <v>0</v>
      </c>
      <c r="M70" s="2948">
        <f t="shared" si="54"/>
        <v>1.5232466165681611</v>
      </c>
      <c r="N70" s="2161">
        <f t="shared" si="54"/>
        <v>1434.7601736959562</v>
      </c>
      <c r="O70" s="2947">
        <f t="shared" si="54"/>
        <v>0</v>
      </c>
      <c r="P70" s="2948">
        <f t="shared" si="54"/>
        <v>1434.7601736959562</v>
      </c>
      <c r="Q70" s="2161">
        <f t="shared" si="54"/>
        <v>482.88726442423501</v>
      </c>
      <c r="R70" s="2947">
        <f t="shared" si="54"/>
        <v>0</v>
      </c>
      <c r="S70" s="2948">
        <f t="shared" si="54"/>
        <v>482.88726442423501</v>
      </c>
      <c r="T70" s="2157">
        <f>'Д 2_Т на В'!H45</f>
        <v>7201.7534935752356</v>
      </c>
      <c r="U70" s="1021">
        <f t="shared" si="5"/>
        <v>0</v>
      </c>
      <c r="V70" s="1021"/>
      <c r="W70" s="1021">
        <f t="shared" si="49"/>
        <v>88.844848401542805</v>
      </c>
      <c r="X70" s="1021">
        <f t="shared" si="50"/>
        <v>158.14437464370442</v>
      </c>
      <c r="Y70" s="1021">
        <f t="shared" si="51"/>
        <v>158.1443746437044</v>
      </c>
      <c r="Z70" s="1021">
        <f t="shared" si="52"/>
        <v>158.14437464370442</v>
      </c>
      <c r="AA70" s="2158">
        <f t="shared" si="13"/>
        <v>0</v>
      </c>
      <c r="AB70" s="2158">
        <f t="shared" si="14"/>
        <v>1</v>
      </c>
      <c r="AC70" s="2158">
        <f t="shared" si="15"/>
        <v>0</v>
      </c>
      <c r="AD70" s="2158">
        <f t="shared" si="16"/>
        <v>1</v>
      </c>
      <c r="AE70" s="2158">
        <f t="shared" si="30"/>
        <v>0</v>
      </c>
      <c r="AF70" s="2158">
        <f t="shared" si="31"/>
        <v>0</v>
      </c>
    </row>
    <row r="71" spans="2:32" ht="15.6" x14ac:dyDescent="0.3">
      <c r="B71" s="1065" t="s">
        <v>115</v>
      </c>
      <c r="C71" s="1087" t="s">
        <v>65</v>
      </c>
      <c r="D71" s="3145" t="s">
        <v>40</v>
      </c>
      <c r="E71" s="2166">
        <f>(E72+E73+E74+E75)/(100%-'Вхідні дані'!$D$46)-(E72+E73+E74+E75)</f>
        <v>1296.3156288435421</v>
      </c>
      <c r="F71" s="1011"/>
      <c r="G71" s="2961">
        <f>(G72+G73+G74+G75)/(100%-'Вхідні дані'!$D$46)-(G72+G73+G74+G75)</f>
        <v>1296.3156288435421</v>
      </c>
      <c r="H71" s="3143">
        <f>(H72+H73+H74+H75)/(100%-'Вхідні дані'!$D$46)-(H72+H73+H74+H75)</f>
        <v>950.86490559092545</v>
      </c>
      <c r="I71" s="1011"/>
      <c r="J71" s="2961">
        <f>(J72+J73+J74+J75)/(100%-'Вхідні дані'!$D$46)-(J72+J73+J74+J75)</f>
        <v>950.86490559092545</v>
      </c>
      <c r="K71" s="3143">
        <f>(K72+K73+K74+K75)/(100%-'Вхідні дані'!$D$46)-(K72+K73+K74+K75)</f>
        <v>0.27418439098226899</v>
      </c>
      <c r="L71" s="1011"/>
      <c r="M71" s="2961">
        <f>(M72+M73+M74+M75)/(100%-'Вхідні дані'!$D$46)-(M72+M73+M74+M75)</f>
        <v>0.27418439098226899</v>
      </c>
      <c r="N71" s="3143">
        <f>(N72+N73+N74+N75)/(100%-'Вхідні дані'!$D$46)-(N72+N73+N74+N75)</f>
        <v>258.25683126527201</v>
      </c>
      <c r="O71" s="1011"/>
      <c r="P71" s="3143">
        <f>(P72+P73+P74+P75)/(100%-'Вхідні дані'!$D$46)-(P72+P73+P74+P75)</f>
        <v>258.25683126527201</v>
      </c>
      <c r="Q71" s="2166">
        <f>(Q72+Q73+Q74+Q75)/(100%-'Вхідні дані'!$D$46)-(Q72+Q73+Q74+Q75)</f>
        <v>86.919707596362286</v>
      </c>
      <c r="R71" s="1011"/>
      <c r="S71" s="2961">
        <f>(S72+S73+S74+S75)/(100%-'Вхідні дані'!$D$46)-(S72+S73+S74+S75)</f>
        <v>86.919707596362286</v>
      </c>
      <c r="T71" s="2157">
        <f>'Д 2_Т на В'!H46</f>
        <v>1296.3156288435421</v>
      </c>
      <c r="U71" s="1021">
        <f t="shared" si="5"/>
        <v>0</v>
      </c>
      <c r="V71" s="1021"/>
      <c r="W71" s="1021">
        <f t="shared" si="49"/>
        <v>15.992072712277702</v>
      </c>
      <c r="X71" s="1021">
        <f t="shared" si="50"/>
        <v>28.465987435866797</v>
      </c>
      <c r="Y71" s="1021">
        <f t="shared" si="51"/>
        <v>28.465987435866783</v>
      </c>
      <c r="Z71" s="1021">
        <f t="shared" si="52"/>
        <v>28.46598743586679</v>
      </c>
      <c r="AA71" s="2158">
        <f t="shared" si="13"/>
        <v>0</v>
      </c>
      <c r="AB71" s="2158">
        <f t="shared" si="14"/>
        <v>1</v>
      </c>
      <c r="AC71" s="2158">
        <f t="shared" si="15"/>
        <v>0</v>
      </c>
      <c r="AD71" s="2158">
        <f t="shared" si="16"/>
        <v>1</v>
      </c>
      <c r="AE71" s="2158">
        <f t="shared" si="30"/>
        <v>0</v>
      </c>
      <c r="AF71" s="2158">
        <f t="shared" si="31"/>
        <v>0</v>
      </c>
    </row>
    <row r="72" spans="2:32" ht="15.6" x14ac:dyDescent="0.3">
      <c r="B72" s="1065" t="s">
        <v>117</v>
      </c>
      <c r="C72" s="1087" t="s">
        <v>67</v>
      </c>
      <c r="D72" s="3145" t="s">
        <v>40</v>
      </c>
      <c r="E72" s="2930">
        <f>'Д 2_Т на В'!H47</f>
        <v>0</v>
      </c>
      <c r="F72" s="1030"/>
      <c r="G72" s="4596">
        <f>E72</f>
        <v>0</v>
      </c>
      <c r="H72" s="3142">
        <f>'Д 2_Т на В'!L47</f>
        <v>0</v>
      </c>
      <c r="I72" s="1030"/>
      <c r="J72" s="4596">
        <f>H72</f>
        <v>0</v>
      </c>
      <c r="K72" s="3142">
        <f>'Д 2_Т на В'!P47</f>
        <v>0</v>
      </c>
      <c r="L72" s="1030"/>
      <c r="M72" s="1019">
        <f>K72</f>
        <v>0</v>
      </c>
      <c r="N72" s="3142">
        <f>'Д 2_Т на В'!T47</f>
        <v>0</v>
      </c>
      <c r="O72" s="1030"/>
      <c r="P72" s="1019">
        <f>N72</f>
        <v>0</v>
      </c>
      <c r="Q72" s="2930">
        <f>'Д 2_Т на В'!X47</f>
        <v>0</v>
      </c>
      <c r="R72" s="1030"/>
      <c r="S72" s="4596">
        <f>Q72</f>
        <v>0</v>
      </c>
      <c r="T72" s="2157">
        <f>'Д 2_Т на В'!H47</f>
        <v>0</v>
      </c>
      <c r="U72" s="1021">
        <f t="shared" si="5"/>
        <v>0</v>
      </c>
      <c r="V72" s="1021"/>
      <c r="W72" s="1021">
        <f t="shared" si="49"/>
        <v>0</v>
      </c>
      <c r="X72" s="1021">
        <f t="shared" si="50"/>
        <v>0</v>
      </c>
      <c r="Y72" s="1021">
        <f t="shared" si="51"/>
        <v>0</v>
      </c>
      <c r="Z72" s="1021">
        <f t="shared" si="52"/>
        <v>0</v>
      </c>
      <c r="AA72" s="2158" t="e">
        <f t="shared" si="13"/>
        <v>#DIV/0!</v>
      </c>
      <c r="AB72" s="2158" t="e">
        <f t="shared" si="14"/>
        <v>#DIV/0!</v>
      </c>
      <c r="AC72" s="2158" t="e">
        <f t="shared" si="15"/>
        <v>#DIV/0!</v>
      </c>
      <c r="AD72" s="2158" t="e">
        <f t="shared" si="16"/>
        <v>#DIV/0!</v>
      </c>
      <c r="AE72" s="2158" t="e">
        <f t="shared" si="30"/>
        <v>#DIV/0!</v>
      </c>
      <c r="AF72" s="2158" t="e">
        <f t="shared" si="31"/>
        <v>#DIV/0!</v>
      </c>
    </row>
    <row r="73" spans="2:32" ht="15.6" x14ac:dyDescent="0.3">
      <c r="B73" s="1065" t="s">
        <v>119</v>
      </c>
      <c r="C73" s="1087" t="s">
        <v>69</v>
      </c>
      <c r="D73" s="3145" t="s">
        <v>40</v>
      </c>
      <c r="E73" s="3142">
        <f>'Д 2_Т на В'!H48</f>
        <v>0</v>
      </c>
      <c r="F73" s="1030"/>
      <c r="G73" s="1019">
        <f>E73</f>
        <v>0</v>
      </c>
      <c r="H73" s="3142">
        <f>'Д 2_Т на В'!L48</f>
        <v>0</v>
      </c>
      <c r="I73" s="1030"/>
      <c r="J73" s="4596">
        <f>H73</f>
        <v>0</v>
      </c>
      <c r="K73" s="3142">
        <f>'Д 2_Т на В'!P48</f>
        <v>0</v>
      </c>
      <c r="L73" s="1030"/>
      <c r="M73" s="1019">
        <f>K73</f>
        <v>0</v>
      </c>
      <c r="N73" s="3142">
        <f>'Д 2_Т на В'!T48</f>
        <v>0</v>
      </c>
      <c r="O73" s="1030"/>
      <c r="P73" s="1019">
        <f>N73</f>
        <v>0</v>
      </c>
      <c r="Q73" s="2930">
        <f>'Д 2_Т на В'!X48</f>
        <v>0</v>
      </c>
      <c r="R73" s="1030"/>
      <c r="S73" s="4596">
        <f>Q73</f>
        <v>0</v>
      </c>
      <c r="T73" s="2157">
        <f>'Д 2_Т на В'!H48</f>
        <v>0</v>
      </c>
      <c r="U73" s="1021">
        <f t="shared" si="5"/>
        <v>0</v>
      </c>
      <c r="V73" s="1021"/>
      <c r="W73" s="1021">
        <f t="shared" si="49"/>
        <v>0</v>
      </c>
      <c r="X73" s="1021">
        <f t="shared" si="50"/>
        <v>0</v>
      </c>
      <c r="Y73" s="1021">
        <f t="shared" si="51"/>
        <v>0</v>
      </c>
      <c r="Z73" s="1021">
        <f t="shared" si="52"/>
        <v>0</v>
      </c>
      <c r="AA73" s="2158" t="e">
        <f t="shared" si="13"/>
        <v>#DIV/0!</v>
      </c>
      <c r="AB73" s="2158" t="e">
        <f t="shared" si="14"/>
        <v>#DIV/0!</v>
      </c>
      <c r="AC73" s="2158" t="e">
        <f t="shared" si="15"/>
        <v>#DIV/0!</v>
      </c>
      <c r="AD73" s="2158" t="e">
        <f t="shared" si="16"/>
        <v>#DIV/0!</v>
      </c>
      <c r="AE73" s="2158" t="e">
        <f t="shared" si="30"/>
        <v>#DIV/0!</v>
      </c>
      <c r="AF73" s="2158" t="e">
        <f t="shared" si="31"/>
        <v>#DIV/0!</v>
      </c>
    </row>
    <row r="74" spans="2:32" ht="15.6" x14ac:dyDescent="0.3">
      <c r="B74" s="1065" t="s">
        <v>121</v>
      </c>
      <c r="C74" s="1087" t="s">
        <v>71</v>
      </c>
      <c r="D74" s="3145" t="s">
        <v>40</v>
      </c>
      <c r="E74" s="3142">
        <f>'Д 2_Т на В'!H49</f>
        <v>0</v>
      </c>
      <c r="F74" s="1030"/>
      <c r="G74" s="1019">
        <f>E74</f>
        <v>0</v>
      </c>
      <c r="H74" s="3142">
        <f>'Д 2_Т на В'!L49</f>
        <v>0</v>
      </c>
      <c r="I74" s="1030"/>
      <c r="J74" s="1019">
        <f>H74</f>
        <v>0</v>
      </c>
      <c r="K74" s="3142">
        <f>'Д 2_Т на В'!P49</f>
        <v>0</v>
      </c>
      <c r="L74" s="1030"/>
      <c r="M74" s="1019">
        <f>K74</f>
        <v>0</v>
      </c>
      <c r="N74" s="3142">
        <f>'Д 2_Т на В'!T49</f>
        <v>0</v>
      </c>
      <c r="O74" s="1030"/>
      <c r="P74" s="1019">
        <f>N74</f>
        <v>0</v>
      </c>
      <c r="Q74" s="2930">
        <f>'Д 2_Т на В'!X49</f>
        <v>0</v>
      </c>
      <c r="R74" s="1030"/>
      <c r="S74" s="4596">
        <f>Q74</f>
        <v>0</v>
      </c>
      <c r="T74" s="2157">
        <f>'Д 2_Т на В'!H49</f>
        <v>0</v>
      </c>
      <c r="U74" s="1021">
        <f t="shared" si="5"/>
        <v>0</v>
      </c>
      <c r="V74" s="1021"/>
      <c r="W74" s="1021">
        <f t="shared" si="49"/>
        <v>0</v>
      </c>
      <c r="X74" s="1021">
        <f t="shared" si="50"/>
        <v>0</v>
      </c>
      <c r="Y74" s="1021">
        <f t="shared" si="51"/>
        <v>0</v>
      </c>
      <c r="Z74" s="1021">
        <f t="shared" si="52"/>
        <v>0</v>
      </c>
      <c r="AA74" s="2158" t="e">
        <f t="shared" si="13"/>
        <v>#DIV/0!</v>
      </c>
      <c r="AB74" s="2158" t="e">
        <f t="shared" si="14"/>
        <v>#DIV/0!</v>
      </c>
      <c r="AC74" s="2158" t="e">
        <f t="shared" si="15"/>
        <v>#DIV/0!</v>
      </c>
      <c r="AD74" s="2158" t="e">
        <f t="shared" si="16"/>
        <v>#DIV/0!</v>
      </c>
      <c r="AE74" s="2158" t="e">
        <f t="shared" si="30"/>
        <v>#DIV/0!</v>
      </c>
      <c r="AF74" s="2158" t="e">
        <f t="shared" si="31"/>
        <v>#DIV/0!</v>
      </c>
    </row>
    <row r="75" spans="2:32" ht="15.6" x14ac:dyDescent="0.3">
      <c r="B75" s="1065" t="s">
        <v>223</v>
      </c>
      <c r="C75" s="1087" t="s">
        <v>86</v>
      </c>
      <c r="D75" s="3145" t="s">
        <v>40</v>
      </c>
      <c r="E75" s="3142">
        <f>G75</f>
        <v>5905.4378647316935</v>
      </c>
      <c r="F75" s="1030"/>
      <c r="G75" s="1019">
        <f>'Д 2_Т на В'!H50</f>
        <v>5905.4378647316935</v>
      </c>
      <c r="H75" s="3142">
        <f>J75</f>
        <v>4331.7179032475506</v>
      </c>
      <c r="I75" s="1030"/>
      <c r="J75" s="1019">
        <f>H68*'Вхідні дані'!$D$45</f>
        <v>4331.7179032475506</v>
      </c>
      <c r="K75" s="3142">
        <f>M75</f>
        <v>1.2490622255858921</v>
      </c>
      <c r="L75" s="1030"/>
      <c r="M75" s="1019">
        <f>M17*V30</f>
        <v>1.2490622255858921</v>
      </c>
      <c r="N75" s="3142">
        <f>P75</f>
        <v>1176.5033424306841</v>
      </c>
      <c r="O75" s="1030"/>
      <c r="P75" s="1019">
        <f>V30*P17</f>
        <v>1176.5033424306841</v>
      </c>
      <c r="Q75" s="2930">
        <f>S75</f>
        <v>395.96755682787273</v>
      </c>
      <c r="R75" s="1030"/>
      <c r="S75" s="4596">
        <f>V30*S17</f>
        <v>395.96755682787273</v>
      </c>
      <c r="T75" s="2157">
        <f>'Д 2_Т на В'!H50</f>
        <v>5905.4378647316935</v>
      </c>
      <c r="U75" s="1021">
        <f t="shared" si="5"/>
        <v>0</v>
      </c>
      <c r="V75" s="1021"/>
      <c r="W75" s="1021">
        <f t="shared" si="49"/>
        <v>72.852775689265115</v>
      </c>
      <c r="X75" s="1021">
        <f>M75/$M$17</f>
        <v>129.67838720783763</v>
      </c>
      <c r="Y75" s="1021">
        <f t="shared" si="51"/>
        <v>129.67838720783763</v>
      </c>
      <c r="Z75" s="1021">
        <f t="shared" si="52"/>
        <v>129.67838720783763</v>
      </c>
      <c r="AA75" s="2158">
        <f t="shared" si="13"/>
        <v>0</v>
      </c>
      <c r="AB75" s="2158">
        <f t="shared" si="14"/>
        <v>1</v>
      </c>
      <c r="AC75" s="2158">
        <f t="shared" si="15"/>
        <v>0</v>
      </c>
      <c r="AD75" s="2158">
        <f t="shared" si="16"/>
        <v>1</v>
      </c>
      <c r="AE75" s="2158">
        <f>AC75-AA75</f>
        <v>0</v>
      </c>
      <c r="AF75" s="2158">
        <f>AD75-AB75</f>
        <v>0</v>
      </c>
    </row>
    <row r="76" spans="2:32" s="1897" customFormat="1" ht="27" thickBot="1" x14ac:dyDescent="0.35">
      <c r="B76" s="1078" t="s">
        <v>187</v>
      </c>
      <c r="C76" s="1107" t="s">
        <v>73</v>
      </c>
      <c r="D76" s="1079" t="s">
        <v>40</v>
      </c>
      <c r="E76" s="2163">
        <f t="shared" ref="E76:S76" si="55">E70+E69+E68</f>
        <v>162608.01309177774</v>
      </c>
      <c r="F76" s="2949">
        <f t="shared" si="55"/>
        <v>114791.36386509688</v>
      </c>
      <c r="G76" s="2950">
        <f t="shared" si="55"/>
        <v>47816.649226680835</v>
      </c>
      <c r="H76" s="4318">
        <f>H70+H69+H68</f>
        <v>119275.15921008981</v>
      </c>
      <c r="I76" s="2949">
        <f t="shared" si="55"/>
        <v>80262.112500721283</v>
      </c>
      <c r="J76" s="2975">
        <f t="shared" si="55"/>
        <v>39013.046709368537</v>
      </c>
      <c r="K76" s="2163">
        <f>K70+K69+K68</f>
        <v>34.384579343905621</v>
      </c>
      <c r="L76" s="2163">
        <f t="shared" si="55"/>
        <v>27.397156153900891</v>
      </c>
      <c r="M76" s="2975">
        <f t="shared" si="55"/>
        <v>6.9874231900047334</v>
      </c>
      <c r="N76" s="4318">
        <f>N70+N69+N68</f>
        <v>32383.546869024234</v>
      </c>
      <c r="O76" s="2949">
        <f t="shared" si="55"/>
        <v>25802.027894529441</v>
      </c>
      <c r="P76" s="2975">
        <f t="shared" si="55"/>
        <v>6581.518974494792</v>
      </c>
      <c r="Q76" s="4318">
        <f>Q70+Q69+Q68</f>
        <v>10914.922433319736</v>
      </c>
      <c r="R76" s="2949">
        <f t="shared" si="55"/>
        <v>8699.8263136922396</v>
      </c>
      <c r="S76" s="2975">
        <f t="shared" si="55"/>
        <v>2215.0961196274966</v>
      </c>
      <c r="T76" s="2157">
        <f>'Д 2_Т на В'!H51</f>
        <v>162608.01309177768</v>
      </c>
      <c r="U76" s="1021">
        <f t="shared" si="5"/>
        <v>0</v>
      </c>
      <c r="V76" s="1021"/>
      <c r="W76" s="1021">
        <f t="shared" si="49"/>
        <v>656.13892787007296</v>
      </c>
      <c r="X76" s="1021">
        <f t="shared" si="50"/>
        <v>725.43845411178711</v>
      </c>
      <c r="Y76" s="1021">
        <f t="shared" si="51"/>
        <v>725.43845411178711</v>
      </c>
      <c r="Z76" s="1021">
        <f t="shared" si="52"/>
        <v>725.43845411178688</v>
      </c>
      <c r="AA76" s="2158">
        <f t="shared" si="13"/>
        <v>0.70593915811705643</v>
      </c>
      <c r="AB76" s="2158">
        <f t="shared" si="14"/>
        <v>0.29406084188294335</v>
      </c>
      <c r="AC76" s="2158">
        <f t="shared" si="15"/>
        <v>0.67291557632170984</v>
      </c>
      <c r="AD76" s="2158">
        <f t="shared" si="16"/>
        <v>0.32708442367829021</v>
      </c>
      <c r="AE76" s="2158">
        <f>AC76-AA76</f>
        <v>-3.302358179534659E-2</v>
      </c>
      <c r="AF76" s="2158">
        <f>AD76-AB76</f>
        <v>3.3023581795346868E-2</v>
      </c>
    </row>
    <row r="77" spans="2:32" ht="31.2" x14ac:dyDescent="0.3">
      <c r="B77" s="1080" t="s">
        <v>188</v>
      </c>
      <c r="C77" s="1081" t="s">
        <v>2200</v>
      </c>
      <c r="D77" s="1082" t="s">
        <v>74</v>
      </c>
      <c r="E77" s="2213">
        <f>'Д 5 Т на ТЕ з ЦТП'!D10</f>
        <v>1496.27</v>
      </c>
      <c r="F77" s="2937" t="s">
        <v>317</v>
      </c>
      <c r="G77" s="2951" t="s">
        <v>317</v>
      </c>
      <c r="H77" s="2213">
        <f>'Д 5 Т на ТЕ з ЦТП'!E10</f>
        <v>1321.37</v>
      </c>
      <c r="I77" s="2937" t="s">
        <v>317</v>
      </c>
      <c r="J77" s="2951" t="s">
        <v>317</v>
      </c>
      <c r="K77" s="2213">
        <f>'Д 5 Т на ТЕ з ЦТП'!F10</f>
        <v>0</v>
      </c>
      <c r="L77" s="2937" t="s">
        <v>317</v>
      </c>
      <c r="M77" s="2951" t="s">
        <v>317</v>
      </c>
      <c r="N77" s="2213">
        <f>'Д 5 Т на ТЕ з ЦТП'!G10</f>
        <v>2354.12</v>
      </c>
      <c r="O77" s="2937" t="s">
        <v>317</v>
      </c>
      <c r="P77" s="2951" t="s">
        <v>317</v>
      </c>
      <c r="Q77" s="2213">
        <f>'Д 5 Т на ТЕ з ЦТП'!H10</f>
        <v>2354.12</v>
      </c>
      <c r="R77" s="2937" t="s">
        <v>317</v>
      </c>
      <c r="S77" s="2951" t="s">
        <v>317</v>
      </c>
      <c r="T77" s="2157">
        <f>'Д 2_Т на В'!H52</f>
        <v>1496.2706792171982</v>
      </c>
      <c r="U77" s="1021">
        <f t="shared" si="5"/>
        <v>-6.7921719823971216E-4</v>
      </c>
      <c r="V77" s="1021"/>
      <c r="W77" s="1021"/>
      <c r="X77" s="1021"/>
      <c r="Y77" s="1021"/>
    </row>
    <row r="78" spans="2:32" ht="31.2" x14ac:dyDescent="0.3">
      <c r="B78" s="1022" t="s">
        <v>189</v>
      </c>
      <c r="C78" s="1023" t="s">
        <v>2201</v>
      </c>
      <c r="D78" s="3145" t="s">
        <v>74</v>
      </c>
      <c r="E78" s="3143">
        <f>E77*1.2</f>
        <v>1795.5239999999999</v>
      </c>
      <c r="F78" s="1011" t="s">
        <v>317</v>
      </c>
      <c r="G78" s="1111" t="s">
        <v>317</v>
      </c>
      <c r="H78" s="3143">
        <f>H77*1.2</f>
        <v>1585.6439999999998</v>
      </c>
      <c r="I78" s="1011" t="s">
        <v>317</v>
      </c>
      <c r="J78" s="1111" t="s">
        <v>317</v>
      </c>
      <c r="K78" s="3143">
        <f>K77*1.2</f>
        <v>0</v>
      </c>
      <c r="L78" s="1011" t="s">
        <v>317</v>
      </c>
      <c r="M78" s="1111" t="s">
        <v>317</v>
      </c>
      <c r="N78" s="3143">
        <f>N77*1.2</f>
        <v>2824.944</v>
      </c>
      <c r="O78" s="1011" t="s">
        <v>317</v>
      </c>
      <c r="P78" s="1111" t="s">
        <v>317</v>
      </c>
      <c r="Q78" s="3143">
        <f>Q77*1.2</f>
        <v>2824.944</v>
      </c>
      <c r="R78" s="1011" t="s">
        <v>317</v>
      </c>
      <c r="S78" s="1111" t="s">
        <v>317</v>
      </c>
      <c r="U78" s="2164"/>
      <c r="V78" s="2164"/>
      <c r="W78" s="2164"/>
      <c r="X78" s="2164"/>
      <c r="Y78" s="2164"/>
    </row>
    <row r="79" spans="2:32" ht="31.2" x14ac:dyDescent="0.3">
      <c r="B79" s="1022" t="s">
        <v>190</v>
      </c>
      <c r="C79" s="1023" t="s">
        <v>2202</v>
      </c>
      <c r="D79" s="3140" t="s">
        <v>2049</v>
      </c>
      <c r="E79" s="1018" t="s">
        <v>317</v>
      </c>
      <c r="F79" s="2952" t="s">
        <v>317</v>
      </c>
      <c r="G79" s="1111" t="s">
        <v>317</v>
      </c>
      <c r="H79" s="2165" t="s">
        <v>317</v>
      </c>
      <c r="I79" s="1011" t="s">
        <v>317</v>
      </c>
      <c r="J79" s="1111" t="s">
        <v>317</v>
      </c>
      <c r="K79" s="1018" t="s">
        <v>317</v>
      </c>
      <c r="L79" s="1011" t="s">
        <v>317</v>
      </c>
      <c r="M79" s="1111" t="s">
        <v>317</v>
      </c>
      <c r="N79" s="2165" t="s">
        <v>317</v>
      </c>
      <c r="O79" s="1011" t="s">
        <v>317</v>
      </c>
      <c r="P79" s="1111" t="s">
        <v>317</v>
      </c>
      <c r="Q79" s="1018" t="s">
        <v>317</v>
      </c>
      <c r="R79" s="1011" t="s">
        <v>317</v>
      </c>
      <c r="S79" s="1111" t="s">
        <v>317</v>
      </c>
    </row>
    <row r="80" spans="2:32" ht="15.6" x14ac:dyDescent="0.3">
      <c r="B80" s="1022" t="s">
        <v>93</v>
      </c>
      <c r="C80" s="1024" t="s">
        <v>2172</v>
      </c>
      <c r="D80" s="3140" t="s">
        <v>2190</v>
      </c>
      <c r="E80" s="3143">
        <f>F80</f>
        <v>1056.28</v>
      </c>
      <c r="F80" s="2953">
        <f>ROUND(F76/F30,2)</f>
        <v>1056.28</v>
      </c>
      <c r="G80" s="1111" t="s">
        <v>317</v>
      </c>
      <c r="H80" s="3143">
        <f>I80</f>
        <v>889.12</v>
      </c>
      <c r="I80" s="2953">
        <f>ROUND(I76/I30,2)</f>
        <v>889.12</v>
      </c>
      <c r="J80" s="1111" t="s">
        <v>317</v>
      </c>
      <c r="K80" s="3143">
        <f>L80</f>
        <v>0</v>
      </c>
      <c r="L80" s="2953">
        <f>ROUND(IF(L31=0,0,L76/L30),2)</f>
        <v>0</v>
      </c>
      <c r="M80" s="1111" t="s">
        <v>317</v>
      </c>
      <c r="N80" s="3143">
        <f>O80</f>
        <v>1876.13</v>
      </c>
      <c r="O80" s="2953">
        <f>ROUND(O76/O30,2)</f>
        <v>1876.13</v>
      </c>
      <c r="P80" s="1111" t="s">
        <v>317</v>
      </c>
      <c r="Q80" s="3143">
        <f>R80</f>
        <v>1876.13</v>
      </c>
      <c r="R80" s="2953">
        <f>ROUND(R76/R30,2)</f>
        <v>1876.13</v>
      </c>
      <c r="S80" s="1111" t="s">
        <v>317</v>
      </c>
    </row>
    <row r="81" spans="1:30" ht="31.2" x14ac:dyDescent="0.3">
      <c r="B81" s="1022" t="s">
        <v>94</v>
      </c>
      <c r="C81" s="2954" t="s">
        <v>2326</v>
      </c>
      <c r="D81" s="3140" t="s">
        <v>2194</v>
      </c>
      <c r="E81" s="3143">
        <f>G81</f>
        <v>55657.13</v>
      </c>
      <c r="F81" s="2952" t="s">
        <v>317</v>
      </c>
      <c r="G81" s="1112">
        <f>ROUND(G76/G17*1000/12,2)</f>
        <v>55657.13</v>
      </c>
      <c r="H81" s="3143">
        <f>J81</f>
        <v>54678.239999999998</v>
      </c>
      <c r="I81" s="2952" t="s">
        <v>317</v>
      </c>
      <c r="J81" s="1112">
        <f>ROUND(J76/J17*1000/12,2)</f>
        <v>54678.239999999998</v>
      </c>
      <c r="K81" s="3143">
        <v>0</v>
      </c>
      <c r="L81" s="2952" t="s">
        <v>317</v>
      </c>
      <c r="M81" s="1112">
        <f>ROUND(IF(M18=0,0,M76/M17*1000),2)</f>
        <v>0</v>
      </c>
      <c r="N81" s="2166">
        <f>P81</f>
        <v>60453.2</v>
      </c>
      <c r="O81" s="1011" t="s">
        <v>317</v>
      </c>
      <c r="P81" s="1112">
        <f>ROUND(P76/P17*1000/12,2)</f>
        <v>60453.2</v>
      </c>
      <c r="Q81" s="3143">
        <f>S81</f>
        <v>60453.2</v>
      </c>
      <c r="R81" s="2952" t="s">
        <v>317</v>
      </c>
      <c r="S81" s="1112">
        <f>ROUND(S76/S17*1000/12,2)</f>
        <v>60453.2</v>
      </c>
    </row>
    <row r="82" spans="1:30" ht="31.2" x14ac:dyDescent="0.3">
      <c r="B82" s="1022" t="s">
        <v>191</v>
      </c>
      <c r="C82" s="1023" t="s">
        <v>2209</v>
      </c>
      <c r="D82" s="3140" t="s">
        <v>2049</v>
      </c>
      <c r="E82" s="1018" t="s">
        <v>317</v>
      </c>
      <c r="F82" s="2952" t="s">
        <v>317</v>
      </c>
      <c r="G82" s="1111" t="s">
        <v>317</v>
      </c>
      <c r="H82" s="1018" t="s">
        <v>317</v>
      </c>
      <c r="I82" s="2952" t="s">
        <v>317</v>
      </c>
      <c r="J82" s="1111" t="s">
        <v>317</v>
      </c>
      <c r="K82" s="1018" t="s">
        <v>317</v>
      </c>
      <c r="L82" s="2952" t="s">
        <v>317</v>
      </c>
      <c r="M82" s="1111" t="s">
        <v>317</v>
      </c>
      <c r="N82" s="1018" t="s">
        <v>317</v>
      </c>
      <c r="O82" s="2952" t="s">
        <v>317</v>
      </c>
      <c r="P82" s="1111" t="s">
        <v>317</v>
      </c>
      <c r="Q82" s="1018" t="s">
        <v>317</v>
      </c>
      <c r="R82" s="2952" t="s">
        <v>317</v>
      </c>
      <c r="S82" s="1111" t="s">
        <v>317</v>
      </c>
    </row>
    <row r="83" spans="1:30" ht="15.6" x14ac:dyDescent="0.3">
      <c r="B83" s="1022" t="s">
        <v>236</v>
      </c>
      <c r="C83" s="1024" t="s">
        <v>2172</v>
      </c>
      <c r="D83" s="3140" t="s">
        <v>2190</v>
      </c>
      <c r="E83" s="2166">
        <f>E80*1.2</f>
        <v>1267.5359999999998</v>
      </c>
      <c r="F83" s="1030">
        <f>F80*1.2</f>
        <v>1267.5359999999998</v>
      </c>
      <c r="G83" s="1111" t="s">
        <v>317</v>
      </c>
      <c r="H83" s="2166">
        <f>H80*1.2</f>
        <v>1066.944</v>
      </c>
      <c r="I83" s="1030">
        <f>I80*1.2</f>
        <v>1066.944</v>
      </c>
      <c r="J83" s="1111" t="s">
        <v>317</v>
      </c>
      <c r="K83" s="2166">
        <f>K80*1.2</f>
        <v>0</v>
      </c>
      <c r="L83" s="1030">
        <f>L80*1.2</f>
        <v>0</v>
      </c>
      <c r="M83" s="1111" t="s">
        <v>317</v>
      </c>
      <c r="N83" s="2166">
        <f>N80*1.2</f>
        <v>2251.3560000000002</v>
      </c>
      <c r="O83" s="1030">
        <f>O80*1.2</f>
        <v>2251.3560000000002</v>
      </c>
      <c r="P83" s="1111" t="s">
        <v>317</v>
      </c>
      <c r="Q83" s="2166">
        <f>Q80*1.2</f>
        <v>2251.3560000000002</v>
      </c>
      <c r="R83" s="1030">
        <f>R80*1.2</f>
        <v>2251.3560000000002</v>
      </c>
      <c r="S83" s="1111" t="s">
        <v>317</v>
      </c>
    </row>
    <row r="84" spans="1:30" ht="31.8" thickBot="1" x14ac:dyDescent="0.35">
      <c r="B84" s="1022" t="s">
        <v>237</v>
      </c>
      <c r="C84" s="1025" t="s">
        <v>2173</v>
      </c>
      <c r="D84" s="1075" t="s">
        <v>2194</v>
      </c>
      <c r="E84" s="1027">
        <f>E81*1.2</f>
        <v>66788.555999999997</v>
      </c>
      <c r="F84" s="2955" t="s">
        <v>317</v>
      </c>
      <c r="G84" s="1032">
        <f>G81*1.2</f>
        <v>66788.555999999997</v>
      </c>
      <c r="H84" s="1027">
        <f>H81*1.2</f>
        <v>65613.887999999992</v>
      </c>
      <c r="I84" s="2955" t="s">
        <v>317</v>
      </c>
      <c r="J84" s="1032">
        <f>J81*1.2</f>
        <v>65613.887999999992</v>
      </c>
      <c r="K84" s="1027">
        <f>K81*1.2</f>
        <v>0</v>
      </c>
      <c r="L84" s="2955" t="s">
        <v>317</v>
      </c>
      <c r="M84" s="1032">
        <f>M81*1.2</f>
        <v>0</v>
      </c>
      <c r="N84" s="1027">
        <f>N81*1.2</f>
        <v>72543.839999999997</v>
      </c>
      <c r="O84" s="2955" t="s">
        <v>317</v>
      </c>
      <c r="P84" s="1032">
        <f>P81*1.2</f>
        <v>72543.839999999997</v>
      </c>
      <c r="Q84" s="1027">
        <f>Q81*1.2</f>
        <v>72543.839999999997</v>
      </c>
      <c r="R84" s="2955" t="s">
        <v>317</v>
      </c>
      <c r="S84" s="1032">
        <f>S81*1.2</f>
        <v>72543.839999999997</v>
      </c>
    </row>
    <row r="85" spans="1:30" ht="21" customHeight="1" thickBot="1" x14ac:dyDescent="0.35">
      <c r="B85" s="2167"/>
      <c r="C85" s="5168" t="s">
        <v>1</v>
      </c>
      <c r="D85" s="5134"/>
      <c r="E85" s="5134"/>
      <c r="F85" s="5134"/>
      <c r="G85" s="5134"/>
      <c r="H85" s="4298"/>
      <c r="I85" s="4298"/>
      <c r="J85" s="4592">
        <f>'Д 7_РП'!E184</f>
        <v>0.83100305465700974</v>
      </c>
      <c r="K85" s="4592"/>
      <c r="L85" s="4592"/>
      <c r="M85" s="4592">
        <f>'Д 7_РП'!E185</f>
        <v>0</v>
      </c>
      <c r="N85" s="4592"/>
      <c r="O85" s="4592"/>
      <c r="P85" s="4592">
        <f>'Д 7_РП'!E186</f>
        <v>0.12222915774264244</v>
      </c>
      <c r="Q85" s="4592"/>
      <c r="R85" s="4592"/>
      <c r="S85" s="4593">
        <f>'Д 7_РП'!E187</f>
        <v>4.6767787600347874E-2</v>
      </c>
    </row>
    <row r="86" spans="1:30" s="1897" customFormat="1" ht="15.6" x14ac:dyDescent="0.3">
      <c r="A86" s="1895"/>
      <c r="B86" s="1022">
        <v>1</v>
      </c>
      <c r="C86" s="1100" t="s">
        <v>215</v>
      </c>
      <c r="D86" s="2956" t="s">
        <v>40</v>
      </c>
      <c r="E86" s="2168">
        <f>E87+E93+E94+E98</f>
        <v>14038.805079371376</v>
      </c>
      <c r="F86" s="2957">
        <f t="shared" ref="F86:S86" si="56">F87+F93+F94+F98</f>
        <v>4179.9292165489842</v>
      </c>
      <c r="G86" s="2958">
        <f t="shared" si="56"/>
        <v>9858.8758628223914</v>
      </c>
      <c r="H86" s="2168">
        <f t="shared" si="56"/>
        <v>11418.275859147456</v>
      </c>
      <c r="I86" s="2957">
        <f t="shared" si="56"/>
        <v>3473.5251239686027</v>
      </c>
      <c r="J86" s="2958">
        <f t="shared" si="56"/>
        <v>7944.7507351788536</v>
      </c>
      <c r="K86" s="2168">
        <f t="shared" si="56"/>
        <v>0</v>
      </c>
      <c r="L86" s="2957">
        <f t="shared" si="56"/>
        <v>0</v>
      </c>
      <c r="M86" s="2958">
        <f t="shared" si="56"/>
        <v>0</v>
      </c>
      <c r="N86" s="2168">
        <f t="shared" si="56"/>
        <v>1895.330585874633</v>
      </c>
      <c r="O86" s="2957">
        <f t="shared" si="56"/>
        <v>510.91560907693645</v>
      </c>
      <c r="P86" s="2958">
        <f t="shared" si="56"/>
        <v>1384.4149767976967</v>
      </c>
      <c r="Q86" s="2168">
        <f t="shared" si="56"/>
        <v>725.19863434928607</v>
      </c>
      <c r="R86" s="2957">
        <f t="shared" si="56"/>
        <v>195.48848350344502</v>
      </c>
      <c r="S86" s="2958">
        <f t="shared" si="56"/>
        <v>529.71015084584099</v>
      </c>
      <c r="T86" s="1895">
        <f>'Д 3_Т на Т з ЦТП'!G11</f>
        <v>14707.463085955644</v>
      </c>
      <c r="U86" s="1896">
        <f>E86-T86</f>
        <v>-668.65800658426815</v>
      </c>
      <c r="V86" s="1896">
        <f>E86-H86-K86-N86-Q86</f>
        <v>0</v>
      </c>
      <c r="W86" s="1896">
        <f>E86-H86-K86-N86-Q86</f>
        <v>0</v>
      </c>
      <c r="X86" s="1896"/>
      <c r="Y86" s="1896"/>
      <c r="AA86" s="1897">
        <f>H86/E86</f>
        <v>0.8133367330475636</v>
      </c>
      <c r="AC86" s="1896" t="e">
        <f>Виробництво_2ст!#REF!</f>
        <v>#REF!</v>
      </c>
      <c r="AD86" s="1896"/>
    </row>
    <row r="87" spans="1:30" ht="15.6" x14ac:dyDescent="0.3">
      <c r="A87" s="1895"/>
      <c r="B87" s="1022" t="s">
        <v>23</v>
      </c>
      <c r="C87" s="1083" t="s">
        <v>216</v>
      </c>
      <c r="D87" s="3145" t="s">
        <v>40</v>
      </c>
      <c r="E87" s="3143">
        <f>E88+E89+E90+E91</f>
        <v>6326.7879176551123</v>
      </c>
      <c r="F87" s="2953">
        <f>F88+F89+F90+F91</f>
        <v>4179.9292165489842</v>
      </c>
      <c r="G87" s="1112">
        <f t="shared" ref="G87:S87" si="57">G88+G89+G90+G91</f>
        <v>2146.8587011061286</v>
      </c>
      <c r="H87" s="3143">
        <f t="shared" si="57"/>
        <v>5009.5660401939604</v>
      </c>
      <c r="I87" s="2953">
        <f t="shared" si="57"/>
        <v>3473.5251239686027</v>
      </c>
      <c r="J87" s="1112">
        <f t="shared" si="57"/>
        <v>1536.0409162253573</v>
      </c>
      <c r="K87" s="3143">
        <f t="shared" si="57"/>
        <v>0</v>
      </c>
      <c r="L87" s="2953">
        <f t="shared" si="57"/>
        <v>0</v>
      </c>
      <c r="M87" s="1112">
        <f t="shared" si="57"/>
        <v>0</v>
      </c>
      <c r="N87" s="3143">
        <f t="shared" si="57"/>
        <v>952.69722370125055</v>
      </c>
      <c r="O87" s="2953">
        <f t="shared" si="57"/>
        <v>510.91560907693645</v>
      </c>
      <c r="P87" s="1112">
        <f t="shared" si="57"/>
        <v>441.7816146243141</v>
      </c>
      <c r="Q87" s="3143">
        <f t="shared" si="57"/>
        <v>364.52465375990221</v>
      </c>
      <c r="R87" s="2953">
        <f t="shared" si="57"/>
        <v>195.48848350344502</v>
      </c>
      <c r="S87" s="1112">
        <f t="shared" si="57"/>
        <v>169.03617025645718</v>
      </c>
      <c r="T87" s="1895">
        <f>'Д 3_Т на Т з ЦТП'!G12</f>
        <v>6995.4459242393823</v>
      </c>
      <c r="U87" s="1896">
        <f t="shared" ref="U87:U112" si="58">E87-T87</f>
        <v>-668.65800658426997</v>
      </c>
      <c r="V87" s="1896">
        <f t="shared" ref="V87:V120" si="59">E87-H87-K87-N87-Q87</f>
        <v>-7.9580786405131221E-13</v>
      </c>
      <c r="W87" s="1896"/>
      <c r="X87" s="1896"/>
      <c r="Y87" s="1896"/>
      <c r="AA87" s="1897">
        <f t="shared" ref="AA87:AA119" si="60">H87/E87</f>
        <v>0.79180242887778796</v>
      </c>
      <c r="AC87" s="1896" t="e">
        <f>Виробництво_2ст!#REF!</f>
        <v>#REF!</v>
      </c>
    </row>
    <row r="88" spans="1:30" ht="15.6" x14ac:dyDescent="0.3">
      <c r="A88" s="1895"/>
      <c r="B88" s="1022" t="s">
        <v>41</v>
      </c>
      <c r="C88" s="1083" t="s">
        <v>43</v>
      </c>
      <c r="D88" s="3145" t="s">
        <v>40</v>
      </c>
      <c r="E88" s="3143">
        <f t="shared" ref="E88:E111" si="61">F88+G88</f>
        <v>4179.9292165489842</v>
      </c>
      <c r="F88" s="2953">
        <f>Транспортування_2ст!G14</f>
        <v>4179.9292165489842</v>
      </c>
      <c r="G88" s="1112">
        <v>0</v>
      </c>
      <c r="H88" s="3143">
        <f>I88+J88</f>
        <v>3473.5251239686027</v>
      </c>
      <c r="I88" s="2953">
        <f>F88*I15/E15</f>
        <v>3473.5251239686027</v>
      </c>
      <c r="J88" s="1112">
        <f>G88*$J$18/$G$18</f>
        <v>0</v>
      </c>
      <c r="K88" s="3143">
        <f t="shared" ref="K88:K105" si="62">L88+M88</f>
        <v>0</v>
      </c>
      <c r="L88" s="2953">
        <f>F88*L15/E15</f>
        <v>0</v>
      </c>
      <c r="M88" s="1112">
        <f>G88*$M$18/$E$18</f>
        <v>0</v>
      </c>
      <c r="N88" s="3143">
        <f t="shared" ref="N88:N105" si="63">O88+P88</f>
        <v>510.91560907693645</v>
      </c>
      <c r="O88" s="2953">
        <f>F88*O15/E15</f>
        <v>510.91560907693645</v>
      </c>
      <c r="P88" s="1112">
        <f>G88*$P$18/$E$18</f>
        <v>0</v>
      </c>
      <c r="Q88" s="3143">
        <f t="shared" ref="Q88:Q105" si="64">R88+S88</f>
        <v>195.48848350344502</v>
      </c>
      <c r="R88" s="2953">
        <f>F87*R15/E15</f>
        <v>195.48848350344502</v>
      </c>
      <c r="S88" s="1112">
        <f>G88*$S$18/$E$18</f>
        <v>0</v>
      </c>
      <c r="T88" s="1895">
        <f>'Д 3_Т на Т з ЦТП'!G13</f>
        <v>4179.9292165489842</v>
      </c>
      <c r="U88" s="1896">
        <f t="shared" si="58"/>
        <v>0</v>
      </c>
      <c r="V88" s="1896">
        <f t="shared" si="59"/>
        <v>0</v>
      </c>
      <c r="W88" s="1896"/>
      <c r="X88" s="1896"/>
      <c r="Y88" s="1896"/>
      <c r="AA88" s="1897">
        <f t="shared" si="60"/>
        <v>0.83100094379980916</v>
      </c>
      <c r="AC88" s="1896" t="e">
        <f>Виробництво_2ст!#REF!</f>
        <v>#REF!</v>
      </c>
    </row>
    <row r="89" spans="1:30" ht="26.4" x14ac:dyDescent="0.3">
      <c r="A89" s="1895"/>
      <c r="B89" s="1022" t="s">
        <v>42</v>
      </c>
      <c r="C89" s="1083" t="s">
        <v>608</v>
      </c>
      <c r="D89" s="3145" t="s">
        <v>40</v>
      </c>
      <c r="E89" s="3143">
        <v>0</v>
      </c>
      <c r="F89" s="2953">
        <v>0</v>
      </c>
      <c r="G89" s="1112">
        <v>0</v>
      </c>
      <c r="H89" s="3143">
        <v>0</v>
      </c>
      <c r="I89" s="2953">
        <v>0</v>
      </c>
      <c r="J89" s="1112">
        <f>G89*$J$18/$G$18</f>
        <v>0</v>
      </c>
      <c r="K89" s="3143">
        <v>0</v>
      </c>
      <c r="L89" s="2953">
        <v>0</v>
      </c>
      <c r="M89" s="1112">
        <v>0</v>
      </c>
      <c r="N89" s="3143">
        <v>0</v>
      </c>
      <c r="O89" s="2953">
        <v>0</v>
      </c>
      <c r="P89" s="1112">
        <f t="shared" ref="P89:P111" si="65">G89*$P$18/$E$18</f>
        <v>0</v>
      </c>
      <c r="Q89" s="3143">
        <v>0</v>
      </c>
      <c r="R89" s="2953">
        <v>0</v>
      </c>
      <c r="S89" s="1112">
        <v>0</v>
      </c>
      <c r="T89" s="1895">
        <f>'Д 3_Т на Т з ЦТП'!G14</f>
        <v>0</v>
      </c>
      <c r="U89" s="1896">
        <f t="shared" si="58"/>
        <v>0</v>
      </c>
      <c r="V89" s="1896">
        <f t="shared" si="59"/>
        <v>0</v>
      </c>
      <c r="W89" s="1896"/>
      <c r="X89" s="1896"/>
      <c r="Y89" s="1896"/>
      <c r="AA89" s="1897" t="e">
        <f t="shared" si="60"/>
        <v>#DIV/0!</v>
      </c>
      <c r="AC89" s="1896"/>
    </row>
    <row r="90" spans="1:30" ht="26.4" x14ac:dyDescent="0.3">
      <c r="A90" s="1895"/>
      <c r="B90" s="1022" t="s">
        <v>44</v>
      </c>
      <c r="C90" s="1083" t="s">
        <v>609</v>
      </c>
      <c r="D90" s="3145" t="s">
        <v>40</v>
      </c>
      <c r="E90" s="3143">
        <f t="shared" si="61"/>
        <v>108.58398240194796</v>
      </c>
      <c r="F90" s="2953"/>
      <c r="G90" s="1112">
        <f>'Д 3_Т на Т з ЦТП'!G15</f>
        <v>108.58398240194796</v>
      </c>
      <c r="H90" s="3143">
        <f t="shared" ref="H90:H105" si="66">I90+J90</f>
        <v>90.233621062841749</v>
      </c>
      <c r="I90" s="2953"/>
      <c r="J90" s="1019">
        <f>$G90*J$85</f>
        <v>90.233621062841749</v>
      </c>
      <c r="K90" s="3143">
        <f t="shared" si="62"/>
        <v>0</v>
      </c>
      <c r="L90" s="2953"/>
      <c r="M90" s="1019">
        <f t="shared" ref="M90:M111" si="67">$G90*M$85</f>
        <v>0</v>
      </c>
      <c r="N90" s="3143">
        <f t="shared" si="63"/>
        <v>13.272128713332009</v>
      </c>
      <c r="O90" s="2953"/>
      <c r="P90" s="1019">
        <f t="shared" ref="P90:P97" si="68">$G90*P$85</f>
        <v>13.272128713332009</v>
      </c>
      <c r="Q90" s="3143">
        <f t="shared" si="64"/>
        <v>5.0782326257742136</v>
      </c>
      <c r="R90" s="2953"/>
      <c r="S90" s="1019">
        <f t="shared" ref="S90:S97" si="69">$G90*S$85</f>
        <v>5.0782326257742136</v>
      </c>
      <c r="T90" s="1895">
        <f>'Д 3_Т на Т з ЦТП'!G15</f>
        <v>108.58398240194796</v>
      </c>
      <c r="U90" s="1896">
        <f t="shared" si="58"/>
        <v>0</v>
      </c>
      <c r="V90" s="1896">
        <f t="shared" si="59"/>
        <v>-7.9936057773011271E-15</v>
      </c>
      <c r="W90" s="1896"/>
      <c r="X90" s="1896"/>
      <c r="Y90" s="1896"/>
      <c r="AA90" s="1897">
        <f t="shared" si="60"/>
        <v>0.83100305465700974</v>
      </c>
      <c r="AC90" s="1896" t="e">
        <f>Виробництво_2ст!#REF!</f>
        <v>#REF!</v>
      </c>
    </row>
    <row r="91" spans="1:30" ht="15.6" x14ac:dyDescent="0.3">
      <c r="A91" s="1895"/>
      <c r="B91" s="1022" t="s">
        <v>45</v>
      </c>
      <c r="C91" s="1083" t="s">
        <v>610</v>
      </c>
      <c r="D91" s="3145" t="s">
        <v>40</v>
      </c>
      <c r="E91" s="3143">
        <f t="shared" si="61"/>
        <v>2038.2747187041805</v>
      </c>
      <c r="F91" s="2953"/>
      <c r="G91" s="1112">
        <f>'Д 3_Т на Т з ЦТП'!G16-'Д 3_Т на Т з ЦТП'!G17+G92</f>
        <v>2038.2747187041805</v>
      </c>
      <c r="H91" s="3143">
        <f t="shared" si="66"/>
        <v>1445.8072951625154</v>
      </c>
      <c r="I91" s="2953"/>
      <c r="J91" s="1019">
        <f>($G91-$G92)*J$85+J92</f>
        <v>1445.8072951625154</v>
      </c>
      <c r="K91" s="3143">
        <f t="shared" si="62"/>
        <v>0</v>
      </c>
      <c r="L91" s="2953"/>
      <c r="M91" s="1019">
        <f>($G91-$G92)*M$85+M92</f>
        <v>0</v>
      </c>
      <c r="N91" s="3143">
        <f t="shared" si="63"/>
        <v>428.50948591098211</v>
      </c>
      <c r="O91" s="2953"/>
      <c r="P91" s="1019">
        <f>($G91-$G92)*P$85+P92</f>
        <v>428.50948591098211</v>
      </c>
      <c r="Q91" s="3143">
        <f t="shared" si="64"/>
        <v>163.95793763068298</v>
      </c>
      <c r="R91" s="2953"/>
      <c r="S91" s="1019">
        <f>($G91-$G92)*S$85+S92</f>
        <v>163.95793763068298</v>
      </c>
      <c r="T91" s="1895">
        <f>'Д 3_Т на Т з ЦТП'!G16</f>
        <v>2706.93272528845</v>
      </c>
      <c r="U91" s="1896">
        <f t="shared" si="58"/>
        <v>-668.65800658426951</v>
      </c>
      <c r="V91" s="1896">
        <f t="shared" si="59"/>
        <v>0</v>
      </c>
      <c r="W91" s="1896"/>
      <c r="X91" s="1896">
        <f>S91+P91+M91+J91-G91</f>
        <v>0</v>
      </c>
      <c r="Y91" s="1896"/>
      <c r="AA91" s="1897">
        <f t="shared" si="60"/>
        <v>0.7093289642927415</v>
      </c>
      <c r="AC91" s="1896" t="e">
        <f>Виробництво_2ст!#REF!+Виробництво_2ст!#REF!+Виробництво_2ст!#REF!+Виробництво_2ст!#REF!+Виробництво_2ст!#REF!+Виробництво_2ст!#REF!+Виробництво_2ст!#REF!+Виробництво_2ст!#REF!+Виробництво_2ст!#REF!+Виробництво_2ст!#REF!+Виробництво_2ст!#REF!</f>
        <v>#REF!</v>
      </c>
    </row>
    <row r="92" spans="1:30" s="4310" customFormat="1" ht="26.4" x14ac:dyDescent="0.3">
      <c r="A92" s="4301"/>
      <c r="B92" s="4302" t="s">
        <v>1997</v>
      </c>
      <c r="C92" s="4303" t="s">
        <v>2731</v>
      </c>
      <c r="D92" s="4304" t="s">
        <v>40</v>
      </c>
      <c r="E92" s="4305">
        <f t="shared" si="61"/>
        <v>1889.2048647303027</v>
      </c>
      <c r="F92" s="4306"/>
      <c r="G92" s="4307">
        <f>'Покриття втрат в мережах'!C20</f>
        <v>1889.2048647303027</v>
      </c>
      <c r="H92" s="4305">
        <f t="shared" si="66"/>
        <v>1321.9297911529486</v>
      </c>
      <c r="I92" s="4306"/>
      <c r="J92" s="4308">
        <f>'Покриття втрат в мережах'!D20</f>
        <v>1321.9297911529486</v>
      </c>
      <c r="K92" s="4305">
        <f t="shared" si="62"/>
        <v>0</v>
      </c>
      <c r="L92" s="4306"/>
      <c r="M92" s="4308">
        <f>'Д 3_Т на Т з ЦТП'!I17</f>
        <v>0</v>
      </c>
      <c r="N92" s="4305">
        <f t="shared" si="63"/>
        <v>410.28880321493631</v>
      </c>
      <c r="O92" s="4306"/>
      <c r="P92" s="4308">
        <f>'Покриття втрат в мережах'!F20</f>
        <v>410.28880321493631</v>
      </c>
      <c r="Q92" s="4305">
        <f t="shared" si="64"/>
        <v>156.9862703624178</v>
      </c>
      <c r="R92" s="4306"/>
      <c r="S92" s="4308">
        <f>'Покриття втрат в мережах'!G20</f>
        <v>156.9862703624178</v>
      </c>
      <c r="T92" s="1895">
        <f>'Д 3_Т на Т з ЦТП'!G17</f>
        <v>2557.8628713145722</v>
      </c>
      <c r="U92" s="4309">
        <f t="shared" si="58"/>
        <v>-668.65800658426951</v>
      </c>
      <c r="V92" s="4309">
        <f t="shared" si="59"/>
        <v>0</v>
      </c>
      <c r="W92" s="4309"/>
      <c r="X92" s="4309" t="e">
        <f>'Покриття втрат в мережах'!C26-S92-P92-M92-J92</f>
        <v>#VALUE!</v>
      </c>
      <c r="Y92" s="4309"/>
      <c r="AA92" s="4311">
        <f t="shared" si="60"/>
        <v>0.6997281321005191</v>
      </c>
      <c r="AC92" s="4309" t="e">
        <f>Виробництво_2ст!#REF!</f>
        <v>#REF!</v>
      </c>
    </row>
    <row r="93" spans="1:30" ht="15.6" x14ac:dyDescent="0.3">
      <c r="A93" s="1895"/>
      <c r="B93" s="1022" t="s">
        <v>24</v>
      </c>
      <c r="C93" s="1084" t="s">
        <v>47</v>
      </c>
      <c r="D93" s="3145" t="s">
        <v>40</v>
      </c>
      <c r="E93" s="3143">
        <f t="shared" si="61"/>
        <v>3466.1638017167252</v>
      </c>
      <c r="F93" s="2953"/>
      <c r="G93" s="1112">
        <f>'Д 3_Т на Т з ЦТП'!G18</f>
        <v>3466.1638017167252</v>
      </c>
      <c r="H93" s="3143">
        <f t="shared" si="66"/>
        <v>2880.3927071681524</v>
      </c>
      <c r="I93" s="2953"/>
      <c r="J93" s="1019">
        <f t="shared" ref="J93:J105" si="70">$G93*J$85</f>
        <v>2880.3927071681524</v>
      </c>
      <c r="K93" s="3143">
        <f t="shared" si="62"/>
        <v>0</v>
      </c>
      <c r="L93" s="2953"/>
      <c r="M93" s="1019">
        <f t="shared" si="67"/>
        <v>0</v>
      </c>
      <c r="N93" s="3143">
        <f t="shared" si="63"/>
        <v>423.6662820818708</v>
      </c>
      <c r="O93" s="2953"/>
      <c r="P93" s="1019">
        <f t="shared" si="68"/>
        <v>423.6662820818708</v>
      </c>
      <c r="Q93" s="3143">
        <f t="shared" si="64"/>
        <v>162.1048124667021</v>
      </c>
      <c r="R93" s="2953"/>
      <c r="S93" s="1019">
        <f t="shared" si="69"/>
        <v>162.1048124667021</v>
      </c>
      <c r="T93" s="1895">
        <f>'Д 3_Т на Т з ЦТП'!G18</f>
        <v>3466.1638017167252</v>
      </c>
      <c r="U93" s="1896">
        <f t="shared" si="58"/>
        <v>0</v>
      </c>
      <c r="V93" s="1896">
        <f t="shared" si="59"/>
        <v>0</v>
      </c>
      <c r="W93" s="1896"/>
      <c r="X93" s="1896"/>
      <c r="Y93" s="1896"/>
      <c r="AA93" s="1897">
        <f t="shared" si="60"/>
        <v>0.83100305465700974</v>
      </c>
      <c r="AC93" s="1896" t="e">
        <f>Виробництво_2ст!#REF!</f>
        <v>#REF!</v>
      </c>
    </row>
    <row r="94" spans="1:30" ht="15.6" x14ac:dyDescent="0.3">
      <c r="A94" s="1895"/>
      <c r="B94" s="1022" t="s">
        <v>48</v>
      </c>
      <c r="C94" s="1083" t="s">
        <v>217</v>
      </c>
      <c r="D94" s="3145" t="s">
        <v>40</v>
      </c>
      <c r="E94" s="3143">
        <f>E95+E96+E97</f>
        <v>3821.1670404279466</v>
      </c>
      <c r="F94" s="2953">
        <f t="shared" ref="F94:R94" si="71">F95+F96+F97</f>
        <v>0</v>
      </c>
      <c r="G94" s="1112">
        <f>'Д 3_Т на Т з ЦТП'!G19</f>
        <v>3821.1670404279466</v>
      </c>
      <c r="H94" s="3143">
        <f t="shared" si="71"/>
        <v>3175.4014829503089</v>
      </c>
      <c r="I94" s="2953">
        <f t="shared" si="71"/>
        <v>0</v>
      </c>
      <c r="J94" s="1019">
        <f t="shared" si="70"/>
        <v>3175.4014829503089</v>
      </c>
      <c r="K94" s="3143">
        <f t="shared" si="71"/>
        <v>0</v>
      </c>
      <c r="L94" s="2953">
        <f t="shared" si="71"/>
        <v>0</v>
      </c>
      <c r="M94" s="1019">
        <f t="shared" si="67"/>
        <v>0</v>
      </c>
      <c r="N94" s="3143">
        <f t="shared" si="71"/>
        <v>467.05802894545366</v>
      </c>
      <c r="O94" s="2953">
        <f t="shared" si="71"/>
        <v>0</v>
      </c>
      <c r="P94" s="1019">
        <f t="shared" si="68"/>
        <v>467.05802894545366</v>
      </c>
      <c r="Q94" s="3143">
        <f t="shared" si="71"/>
        <v>178.70752853218411</v>
      </c>
      <c r="R94" s="2953">
        <f t="shared" si="71"/>
        <v>0</v>
      </c>
      <c r="S94" s="1019">
        <f t="shared" si="69"/>
        <v>178.70752853218411</v>
      </c>
      <c r="T94" s="1895">
        <f>'Д 3_Т на Т з ЦТП'!G19</f>
        <v>3821.1670404279466</v>
      </c>
      <c r="U94" s="1896">
        <f t="shared" si="58"/>
        <v>0</v>
      </c>
      <c r="V94" s="1896">
        <f t="shared" si="59"/>
        <v>0</v>
      </c>
      <c r="W94" s="1896"/>
      <c r="X94" s="1896"/>
      <c r="Y94" s="1896"/>
      <c r="AA94" s="1897">
        <f t="shared" si="60"/>
        <v>0.83100305465700974</v>
      </c>
      <c r="AC94" s="1896" t="e">
        <f>Виробництво_2ст!#REF!</f>
        <v>#REF!</v>
      </c>
    </row>
    <row r="95" spans="1:30" ht="26.4" x14ac:dyDescent="0.3">
      <c r="A95" s="1895"/>
      <c r="B95" s="1022" t="s">
        <v>49</v>
      </c>
      <c r="C95" s="1083" t="s">
        <v>452</v>
      </c>
      <c r="D95" s="3145" t="s">
        <v>40</v>
      </c>
      <c r="E95" s="3143">
        <f t="shared" si="61"/>
        <v>759.27155078294027</v>
      </c>
      <c r="F95" s="2953"/>
      <c r="G95" s="1112">
        <f>'Д 3_Т на Т з ЦТП'!G20</f>
        <v>759.27155078294027</v>
      </c>
      <c r="H95" s="3143">
        <f t="shared" si="66"/>
        <v>630.95697801478821</v>
      </c>
      <c r="I95" s="2953"/>
      <c r="J95" s="1019">
        <f t="shared" si="70"/>
        <v>630.95697801478821</v>
      </c>
      <c r="K95" s="3143">
        <f t="shared" si="62"/>
        <v>0</v>
      </c>
      <c r="L95" s="2953"/>
      <c r="M95" s="1019">
        <f t="shared" si="67"/>
        <v>0</v>
      </c>
      <c r="N95" s="3143">
        <f t="shared" si="63"/>
        <v>92.805122150148762</v>
      </c>
      <c r="O95" s="2953"/>
      <c r="P95" s="1019">
        <f t="shared" si="68"/>
        <v>92.805122150148762</v>
      </c>
      <c r="Q95" s="3143">
        <f t="shared" si="64"/>
        <v>35.509450618003292</v>
      </c>
      <c r="R95" s="2953"/>
      <c r="S95" s="1019">
        <f t="shared" si="69"/>
        <v>35.509450618003292</v>
      </c>
      <c r="T95" s="1895">
        <f>'Д 3_Т на Т з ЦТП'!G20</f>
        <v>759.27155078294027</v>
      </c>
      <c r="U95" s="1896">
        <f t="shared" si="58"/>
        <v>0</v>
      </c>
      <c r="V95" s="1896">
        <f t="shared" si="59"/>
        <v>0</v>
      </c>
      <c r="W95" s="1896"/>
      <c r="X95" s="1896"/>
      <c r="Y95" s="1896"/>
      <c r="AA95" s="1897">
        <f t="shared" si="60"/>
        <v>0.83100305465700963</v>
      </c>
      <c r="AC95" s="1896" t="e">
        <f>Виробництво_2ст!#REF!</f>
        <v>#REF!</v>
      </c>
    </row>
    <row r="96" spans="1:30" ht="15.6" x14ac:dyDescent="0.3">
      <c r="A96" s="1895"/>
      <c r="B96" s="1022" t="s">
        <v>50</v>
      </c>
      <c r="C96" s="1083" t="s">
        <v>460</v>
      </c>
      <c r="D96" s="3145" t="s">
        <v>40</v>
      </c>
      <c r="E96" s="3143">
        <f t="shared" si="61"/>
        <v>2509.7584427367042</v>
      </c>
      <c r="F96" s="2953"/>
      <c r="G96" s="1112">
        <f>'Д 3_Т на Т з ЦТП'!G21</f>
        <v>2509.7584427367042</v>
      </c>
      <c r="H96" s="3143">
        <f t="shared" si="66"/>
        <v>2085.6169323654212</v>
      </c>
      <c r="I96" s="2953"/>
      <c r="J96" s="1019">
        <f t="shared" si="70"/>
        <v>2085.6169323654212</v>
      </c>
      <c r="K96" s="3143">
        <f t="shared" si="62"/>
        <v>0</v>
      </c>
      <c r="L96" s="2953"/>
      <c r="M96" s="1019">
        <f t="shared" si="67"/>
        <v>0</v>
      </c>
      <c r="N96" s="3143">
        <f t="shared" si="63"/>
        <v>306.76566059319327</v>
      </c>
      <c r="O96" s="2953"/>
      <c r="P96" s="1019">
        <f t="shared" si="68"/>
        <v>306.76566059319327</v>
      </c>
      <c r="Q96" s="3143">
        <f t="shared" si="64"/>
        <v>117.37584977809003</v>
      </c>
      <c r="R96" s="2953"/>
      <c r="S96" s="1019">
        <f t="shared" si="69"/>
        <v>117.37584977809003</v>
      </c>
      <c r="T96" s="1895">
        <f>'Д 3_Т на Т з ЦТП'!G21</f>
        <v>2509.7584427367042</v>
      </c>
      <c r="U96" s="1896">
        <f t="shared" si="58"/>
        <v>0</v>
      </c>
      <c r="V96" s="1896">
        <f t="shared" si="59"/>
        <v>-3.5527136788005009E-13</v>
      </c>
      <c r="W96" s="1896"/>
      <c r="X96" s="1896"/>
      <c r="Y96" s="1896"/>
      <c r="AA96" s="1897">
        <f t="shared" si="60"/>
        <v>0.83100305465700985</v>
      </c>
      <c r="AC96" s="1896" t="e">
        <f>Виробництво_2ст!#REF!+Виробництво_2ст!#REF!</f>
        <v>#REF!</v>
      </c>
    </row>
    <row r="97" spans="1:29" ht="15.6" x14ac:dyDescent="0.3">
      <c r="A97" s="1895"/>
      <c r="B97" s="1022" t="s">
        <v>51</v>
      </c>
      <c r="C97" s="1085" t="s">
        <v>81</v>
      </c>
      <c r="D97" s="3145" t="s">
        <v>40</v>
      </c>
      <c r="E97" s="3143">
        <f t="shared" si="61"/>
        <v>552.13704690830218</v>
      </c>
      <c r="F97" s="2953"/>
      <c r="G97" s="1112">
        <f>'Д 3_Т на Т з ЦТП'!G22</f>
        <v>552.13704690830218</v>
      </c>
      <c r="H97" s="3143">
        <f t="shared" si="66"/>
        <v>458.82757257009979</v>
      </c>
      <c r="I97" s="2953"/>
      <c r="J97" s="1019">
        <f t="shared" si="70"/>
        <v>458.82757257009979</v>
      </c>
      <c r="K97" s="3143">
        <f t="shared" si="62"/>
        <v>0</v>
      </c>
      <c r="L97" s="2953"/>
      <c r="M97" s="1019">
        <f t="shared" si="67"/>
        <v>0</v>
      </c>
      <c r="N97" s="3143">
        <f t="shared" si="63"/>
        <v>67.487246202111635</v>
      </c>
      <c r="O97" s="2953"/>
      <c r="P97" s="1019">
        <f t="shared" si="68"/>
        <v>67.487246202111635</v>
      </c>
      <c r="Q97" s="3143">
        <f t="shared" si="64"/>
        <v>25.822228136090786</v>
      </c>
      <c r="R97" s="2953"/>
      <c r="S97" s="1019">
        <f t="shared" si="69"/>
        <v>25.822228136090786</v>
      </c>
      <c r="T97" s="1895">
        <f>'Д 3_Т на Т з ЦТП'!G22</f>
        <v>552.13704690830218</v>
      </c>
      <c r="U97" s="1896">
        <f t="shared" si="58"/>
        <v>0</v>
      </c>
      <c r="V97" s="1896">
        <f t="shared" si="59"/>
        <v>-2.8421709430404007E-14</v>
      </c>
      <c r="W97" s="1896"/>
      <c r="X97" s="1896"/>
      <c r="Y97" s="1896"/>
      <c r="AA97" s="1897">
        <f t="shared" si="60"/>
        <v>0.83100305465700974</v>
      </c>
      <c r="AC97" s="1896" t="e">
        <f>Виробництво_2ст!#REF!-Виробництво_2ст!#REF!-Виробництво_2ст!#REF!-Виробництво_2ст!#REF!</f>
        <v>#REF!</v>
      </c>
    </row>
    <row r="98" spans="1:29" ht="15.6" x14ac:dyDescent="0.3">
      <c r="A98" s="1895"/>
      <c r="B98" s="1022" t="s">
        <v>53</v>
      </c>
      <c r="C98" s="1083" t="s">
        <v>218</v>
      </c>
      <c r="D98" s="3145" t="s">
        <v>40</v>
      </c>
      <c r="E98" s="3143">
        <f>E99+E100+E101</f>
        <v>424.6863195715905</v>
      </c>
      <c r="F98" s="2953">
        <f t="shared" ref="F98:S98" si="72">F99+F100+F101</f>
        <v>0</v>
      </c>
      <c r="G98" s="2959">
        <f>ЗВВ_2ст!I8</f>
        <v>424.6863195715905</v>
      </c>
      <c r="H98" s="3143">
        <f t="shared" si="72"/>
        <v>352.91562883503474</v>
      </c>
      <c r="I98" s="2953">
        <f t="shared" si="72"/>
        <v>0</v>
      </c>
      <c r="J98" s="2959">
        <f t="shared" si="72"/>
        <v>352.91562883503474</v>
      </c>
      <c r="K98" s="3143">
        <f t="shared" si="72"/>
        <v>0</v>
      </c>
      <c r="L98" s="2953">
        <f t="shared" si="72"/>
        <v>0</v>
      </c>
      <c r="M98" s="2948">
        <f t="shared" si="67"/>
        <v>0</v>
      </c>
      <c r="N98" s="3143">
        <f t="shared" si="72"/>
        <v>51.909051146058196</v>
      </c>
      <c r="O98" s="2953">
        <f t="shared" si="72"/>
        <v>0</v>
      </c>
      <c r="P98" s="1112">
        <f t="shared" si="72"/>
        <v>51.909051146058196</v>
      </c>
      <c r="Q98" s="3143">
        <f t="shared" si="72"/>
        <v>19.861639590497607</v>
      </c>
      <c r="R98" s="2953">
        <f t="shared" si="72"/>
        <v>0</v>
      </c>
      <c r="S98" s="1112">
        <f t="shared" si="72"/>
        <v>19.861639590497607</v>
      </c>
      <c r="T98" s="1895">
        <f>'Д 3_Т на Т з ЦТП'!G23</f>
        <v>424.6863195715905</v>
      </c>
      <c r="U98" s="1896">
        <f t="shared" si="58"/>
        <v>0</v>
      </c>
      <c r="V98" s="1896">
        <f t="shared" si="59"/>
        <v>-3.907985046680551E-14</v>
      </c>
      <c r="W98" s="1896"/>
      <c r="X98" s="1896"/>
      <c r="Y98" s="1896"/>
      <c r="AA98" s="1897">
        <f t="shared" si="60"/>
        <v>0.83100305465700974</v>
      </c>
    </row>
    <row r="99" spans="1:29" ht="15.6" x14ac:dyDescent="0.3">
      <c r="A99" s="1895"/>
      <c r="B99" s="1022" t="s">
        <v>54</v>
      </c>
      <c r="C99" s="1083" t="s">
        <v>55</v>
      </c>
      <c r="D99" s="3145" t="s">
        <v>40</v>
      </c>
      <c r="E99" s="3143">
        <f t="shared" si="61"/>
        <v>324.51370305813811</v>
      </c>
      <c r="F99" s="2953"/>
      <c r="G99" s="1112">
        <f>'Д 3_Т на Т з ЦТП'!G24</f>
        <v>324.51370305813811</v>
      </c>
      <c r="H99" s="3143">
        <f t="shared" si="66"/>
        <v>269.67187851937058</v>
      </c>
      <c r="I99" s="2953"/>
      <c r="J99" s="1019">
        <f t="shared" si="70"/>
        <v>269.67187851937058</v>
      </c>
      <c r="K99" s="3143">
        <f t="shared" si="62"/>
        <v>0</v>
      </c>
      <c r="L99" s="2953"/>
      <c r="M99" s="1019">
        <f t="shared" si="67"/>
        <v>0</v>
      </c>
      <c r="N99" s="3143">
        <f t="shared" si="63"/>
        <v>39.665036600742191</v>
      </c>
      <c r="O99" s="2953"/>
      <c r="P99" s="1019">
        <f t="shared" ref="P99:P101" si="73">$G99*P$85</f>
        <v>39.665036600742191</v>
      </c>
      <c r="Q99" s="3143">
        <f t="shared" si="64"/>
        <v>15.176787938025363</v>
      </c>
      <c r="R99" s="2953"/>
      <c r="S99" s="1019">
        <f t="shared" ref="S99:S101" si="74">$G99*S$85</f>
        <v>15.176787938025363</v>
      </c>
      <c r="T99" s="1895">
        <f>'Д 3_Т на Т з ЦТП'!G24</f>
        <v>324.51370305813811</v>
      </c>
      <c r="U99" s="1896">
        <f t="shared" si="58"/>
        <v>0</v>
      </c>
      <c r="V99" s="1896">
        <f t="shared" si="59"/>
        <v>-2.8421709430404007E-14</v>
      </c>
      <c r="W99" s="1896"/>
      <c r="X99" s="1896"/>
      <c r="Y99" s="1896"/>
      <c r="AA99" s="1897">
        <f t="shared" si="60"/>
        <v>0.83100305465700974</v>
      </c>
    </row>
    <row r="100" spans="1:29" ht="26.4" x14ac:dyDescent="0.3">
      <c r="A100" s="1895"/>
      <c r="B100" s="1022" t="s">
        <v>56</v>
      </c>
      <c r="C100" s="1083" t="s">
        <v>452</v>
      </c>
      <c r="D100" s="3145" t="s">
        <v>40</v>
      </c>
      <c r="E100" s="3143">
        <f t="shared" si="61"/>
        <v>69.268272036529339</v>
      </c>
      <c r="F100" s="2953"/>
      <c r="G100" s="1112">
        <f>'Д 3_Т на Т з ЦТП'!G25</f>
        <v>69.268272036529339</v>
      </c>
      <c r="H100" s="3143">
        <f t="shared" si="66"/>
        <v>57.562145653168614</v>
      </c>
      <c r="I100" s="2953"/>
      <c r="J100" s="1019">
        <f t="shared" si="70"/>
        <v>57.562145653168614</v>
      </c>
      <c r="K100" s="3143">
        <f t="shared" si="62"/>
        <v>0</v>
      </c>
      <c r="L100" s="2953"/>
      <c r="M100" s="1019">
        <f t="shared" si="67"/>
        <v>0</v>
      </c>
      <c r="N100" s="3143">
        <f t="shared" si="63"/>
        <v>8.4666025493132135</v>
      </c>
      <c r="O100" s="2953"/>
      <c r="P100" s="1019">
        <f t="shared" si="73"/>
        <v>8.4666025493132135</v>
      </c>
      <c r="Q100" s="3143">
        <f t="shared" si="64"/>
        <v>3.2395238340475201</v>
      </c>
      <c r="R100" s="2953"/>
      <c r="S100" s="1019">
        <f t="shared" si="74"/>
        <v>3.2395238340475201</v>
      </c>
      <c r="T100" s="1895">
        <f>'Д 3_Т на Т з ЦТП'!G25</f>
        <v>69.268272036529339</v>
      </c>
      <c r="U100" s="1896">
        <f t="shared" si="58"/>
        <v>0</v>
      </c>
      <c r="V100" s="1896">
        <f t="shared" si="59"/>
        <v>-7.9936057773011271E-15</v>
      </c>
      <c r="W100" s="1896"/>
      <c r="X100" s="1896"/>
      <c r="Y100" s="1896"/>
      <c r="AA100" s="1897">
        <f t="shared" si="60"/>
        <v>0.83100305465700974</v>
      </c>
    </row>
    <row r="101" spans="1:29" ht="15.6" x14ac:dyDescent="0.3">
      <c r="A101" s="1895"/>
      <c r="B101" s="1022" t="s">
        <v>57</v>
      </c>
      <c r="C101" s="1083" t="s">
        <v>58</v>
      </c>
      <c r="D101" s="3145" t="s">
        <v>40</v>
      </c>
      <c r="E101" s="3143">
        <f t="shared" si="61"/>
        <v>30.904344476923058</v>
      </c>
      <c r="F101" s="2953"/>
      <c r="G101" s="1112">
        <f>'Д 3_Т на Т з ЦТП'!G26</f>
        <v>30.904344476923058</v>
      </c>
      <c r="H101" s="3143">
        <f t="shared" si="66"/>
        <v>25.681604662495548</v>
      </c>
      <c r="I101" s="2953"/>
      <c r="J101" s="1019">
        <f t="shared" si="70"/>
        <v>25.681604662495548</v>
      </c>
      <c r="K101" s="3143">
        <f t="shared" si="62"/>
        <v>0</v>
      </c>
      <c r="L101" s="2953"/>
      <c r="M101" s="1019">
        <f t="shared" si="67"/>
        <v>0</v>
      </c>
      <c r="N101" s="3143">
        <f t="shared" si="63"/>
        <v>3.777411996002789</v>
      </c>
      <c r="O101" s="2953"/>
      <c r="P101" s="1019">
        <f t="shared" si="73"/>
        <v>3.777411996002789</v>
      </c>
      <c r="Q101" s="3143">
        <f t="shared" si="64"/>
        <v>1.4453278184247214</v>
      </c>
      <c r="R101" s="2953"/>
      <c r="S101" s="1019">
        <f t="shared" si="74"/>
        <v>1.4453278184247214</v>
      </c>
      <c r="T101" s="1895">
        <f>'Д 3_Т на Т з ЦТП'!G26</f>
        <v>30.904344476923058</v>
      </c>
      <c r="U101" s="1896">
        <f t="shared" si="58"/>
        <v>0</v>
      </c>
      <c r="V101" s="1896">
        <f t="shared" si="59"/>
        <v>0</v>
      </c>
      <c r="W101" s="1896"/>
      <c r="X101" s="1896"/>
      <c r="Y101" s="1896"/>
      <c r="AA101" s="1897">
        <f t="shared" si="60"/>
        <v>0.83100305465700974</v>
      </c>
    </row>
    <row r="102" spans="1:29" s="1897" customFormat="1" ht="15.6" x14ac:dyDescent="0.3">
      <c r="A102" s="1895"/>
      <c r="B102" s="1022">
        <v>2</v>
      </c>
      <c r="C102" s="1086" t="s">
        <v>219</v>
      </c>
      <c r="D102" s="3187" t="s">
        <v>40</v>
      </c>
      <c r="E102" s="2169">
        <f>E103+E104+E105</f>
        <v>516.3053783516873</v>
      </c>
      <c r="F102" s="2960">
        <f t="shared" ref="F102:S102" si="75">F103+F104+F105</f>
        <v>0</v>
      </c>
      <c r="G102" s="2959">
        <f>Адміністративні_2ст!I8</f>
        <v>516.3053783516873</v>
      </c>
      <c r="H102" s="2169">
        <f t="shared" si="75"/>
        <v>429.05134654609526</v>
      </c>
      <c r="I102" s="2960">
        <f t="shared" si="75"/>
        <v>0</v>
      </c>
      <c r="J102" s="2959">
        <f t="shared" si="75"/>
        <v>429.05134654609526</v>
      </c>
      <c r="K102" s="2169">
        <f t="shared" si="75"/>
        <v>0</v>
      </c>
      <c r="L102" s="2960">
        <f t="shared" si="75"/>
        <v>0</v>
      </c>
      <c r="M102" s="2948">
        <f t="shared" si="67"/>
        <v>0</v>
      </c>
      <c r="N102" s="2169">
        <f t="shared" si="75"/>
        <v>63.107571533923078</v>
      </c>
      <c r="O102" s="2960">
        <f t="shared" si="75"/>
        <v>0</v>
      </c>
      <c r="P102" s="2959">
        <f t="shared" si="75"/>
        <v>63.107571533923078</v>
      </c>
      <c r="Q102" s="2169">
        <f t="shared" si="75"/>
        <v>24.14646027166896</v>
      </c>
      <c r="R102" s="2960">
        <f t="shared" si="75"/>
        <v>0</v>
      </c>
      <c r="S102" s="2959">
        <f t="shared" si="75"/>
        <v>24.14646027166896</v>
      </c>
      <c r="T102" s="1895">
        <f>'Д 3_Т на Т з ЦТП'!G27</f>
        <v>516.3053783516873</v>
      </c>
      <c r="U102" s="1896">
        <f t="shared" si="58"/>
        <v>0</v>
      </c>
      <c r="V102" s="1896">
        <f t="shared" si="59"/>
        <v>0</v>
      </c>
      <c r="W102" s="1896"/>
      <c r="X102" s="1896"/>
      <c r="Y102" s="1896"/>
      <c r="AA102" s="1897">
        <f t="shared" si="60"/>
        <v>0.83100305465700963</v>
      </c>
    </row>
    <row r="103" spans="1:29" ht="15.6" x14ac:dyDescent="0.3">
      <c r="A103" s="1895"/>
      <c r="B103" s="1022" t="s">
        <v>25</v>
      </c>
      <c r="C103" s="1087" t="s">
        <v>55</v>
      </c>
      <c r="D103" s="3145" t="s">
        <v>40</v>
      </c>
      <c r="E103" s="3143">
        <f t="shared" si="61"/>
        <v>386.64257936195304</v>
      </c>
      <c r="F103" s="2953"/>
      <c r="G103" s="1112">
        <f>'Д 3_Т на Т з ЦТП'!G28</f>
        <v>386.64257936195304</v>
      </c>
      <c r="H103" s="3143">
        <f t="shared" si="66"/>
        <v>321.30116451024827</v>
      </c>
      <c r="I103" s="2953"/>
      <c r="J103" s="1019">
        <f t="shared" si="70"/>
        <v>321.30116451024827</v>
      </c>
      <c r="K103" s="3143">
        <f t="shared" si="62"/>
        <v>0</v>
      </c>
      <c r="L103" s="2953"/>
      <c r="M103" s="1019">
        <f t="shared" si="67"/>
        <v>0</v>
      </c>
      <c r="N103" s="3143">
        <f t="shared" si="63"/>
        <v>47.258996822854307</v>
      </c>
      <c r="O103" s="2953"/>
      <c r="P103" s="1019">
        <f t="shared" ref="P103:P105" si="76">$G103*P$85</f>
        <v>47.258996822854307</v>
      </c>
      <c r="Q103" s="3143">
        <f t="shared" si="64"/>
        <v>18.082418028850466</v>
      </c>
      <c r="R103" s="2953"/>
      <c r="S103" s="1019">
        <f t="shared" ref="S103:S105" si="77">$G103*S$85</f>
        <v>18.082418028850466</v>
      </c>
      <c r="T103" s="1895">
        <f>'Д 3_Т на Т з ЦТП'!G28</f>
        <v>386.64257936195304</v>
      </c>
      <c r="U103" s="1896">
        <f t="shared" si="58"/>
        <v>0</v>
      </c>
      <c r="V103" s="1896">
        <f t="shared" si="59"/>
        <v>0</v>
      </c>
      <c r="W103" s="1896"/>
      <c r="X103" s="1896"/>
      <c r="Y103" s="1896"/>
      <c r="AA103" s="1897">
        <f t="shared" si="60"/>
        <v>0.83100305465700974</v>
      </c>
    </row>
    <row r="104" spans="1:29" ht="26.4" x14ac:dyDescent="0.3">
      <c r="A104" s="1895"/>
      <c r="B104" s="1022" t="s">
        <v>26</v>
      </c>
      <c r="C104" s="1087" t="s">
        <v>452</v>
      </c>
      <c r="D104" s="3145" t="s">
        <v>40</v>
      </c>
      <c r="E104" s="3143">
        <f t="shared" si="61"/>
        <v>85.061367459629665</v>
      </c>
      <c r="F104" s="2953"/>
      <c r="G104" s="1112">
        <f>'Д 3_Т на Т з ЦТП'!G29</f>
        <v>85.061367459629665</v>
      </c>
      <c r="H104" s="3143">
        <f t="shared" si="66"/>
        <v>70.686256192254618</v>
      </c>
      <c r="I104" s="2953"/>
      <c r="J104" s="1019">
        <f t="shared" si="70"/>
        <v>70.686256192254618</v>
      </c>
      <c r="K104" s="3143">
        <f t="shared" si="62"/>
        <v>0</v>
      </c>
      <c r="L104" s="2953"/>
      <c r="M104" s="1019">
        <f t="shared" si="67"/>
        <v>0</v>
      </c>
      <c r="N104" s="3143">
        <f t="shared" si="63"/>
        <v>10.396979301027947</v>
      </c>
      <c r="O104" s="2953"/>
      <c r="P104" s="1019">
        <f t="shared" si="76"/>
        <v>10.396979301027947</v>
      </c>
      <c r="Q104" s="3143">
        <f t="shared" si="64"/>
        <v>3.9781319663471022</v>
      </c>
      <c r="R104" s="2953"/>
      <c r="S104" s="1019">
        <f t="shared" si="77"/>
        <v>3.9781319663471022</v>
      </c>
      <c r="T104" s="1895">
        <f>'Д 3_Т на Т з ЦТП'!G29</f>
        <v>85.061367459629665</v>
      </c>
      <c r="U104" s="1896">
        <f t="shared" si="58"/>
        <v>0</v>
      </c>
      <c r="V104" s="1896">
        <f t="shared" si="59"/>
        <v>0</v>
      </c>
      <c r="W104" s="1896"/>
      <c r="X104" s="1896"/>
      <c r="Y104" s="1896"/>
      <c r="AA104" s="1897">
        <f t="shared" si="60"/>
        <v>0.83100305465700974</v>
      </c>
    </row>
    <row r="105" spans="1:29" ht="15.6" x14ac:dyDescent="0.3">
      <c r="A105" s="1895"/>
      <c r="B105" s="1022" t="s">
        <v>59</v>
      </c>
      <c r="C105" s="1088" t="s">
        <v>58</v>
      </c>
      <c r="D105" s="3145" t="s">
        <v>40</v>
      </c>
      <c r="E105" s="3143">
        <f t="shared" si="61"/>
        <v>44.601431530104591</v>
      </c>
      <c r="F105" s="2953"/>
      <c r="G105" s="1112">
        <f>'Д 3_Т на Т з ЦТП'!G30</f>
        <v>44.601431530104591</v>
      </c>
      <c r="H105" s="3143">
        <f t="shared" si="66"/>
        <v>37.063925843592386</v>
      </c>
      <c r="I105" s="2953"/>
      <c r="J105" s="1019">
        <f t="shared" si="70"/>
        <v>37.063925843592386</v>
      </c>
      <c r="K105" s="3143">
        <f t="shared" si="62"/>
        <v>0</v>
      </c>
      <c r="L105" s="2953"/>
      <c r="M105" s="1019">
        <f t="shared" si="67"/>
        <v>0</v>
      </c>
      <c r="N105" s="3143">
        <f t="shared" si="63"/>
        <v>5.4515954100408202</v>
      </c>
      <c r="O105" s="2953"/>
      <c r="P105" s="1019">
        <f t="shared" si="76"/>
        <v>5.4515954100408202</v>
      </c>
      <c r="Q105" s="3143">
        <f t="shared" si="64"/>
        <v>2.0859102764713904</v>
      </c>
      <c r="R105" s="2953"/>
      <c r="S105" s="1019">
        <f t="shared" si="77"/>
        <v>2.0859102764713904</v>
      </c>
      <c r="T105" s="1895">
        <f>'Д 3_Т на Т з ЦТП'!G30</f>
        <v>44.601431530104591</v>
      </c>
      <c r="U105" s="1896">
        <f t="shared" si="58"/>
        <v>0</v>
      </c>
      <c r="V105" s="1896">
        <f t="shared" si="59"/>
        <v>-5.773159728050814E-15</v>
      </c>
      <c r="W105" s="1896"/>
      <c r="X105" s="1896"/>
      <c r="Y105" s="1896"/>
      <c r="AA105" s="1897">
        <f t="shared" si="60"/>
        <v>0.83100305465700985</v>
      </c>
    </row>
    <row r="106" spans="1:29" s="1897" customFormat="1" ht="15.6" x14ac:dyDescent="0.3">
      <c r="A106" s="1895"/>
      <c r="B106" s="1022" t="s">
        <v>173</v>
      </c>
      <c r="C106" s="1089" t="s">
        <v>220</v>
      </c>
      <c r="D106" s="3187" t="s">
        <v>40</v>
      </c>
      <c r="E106" s="2169">
        <f>E107+E108+E109</f>
        <v>0</v>
      </c>
      <c r="F106" s="2960">
        <f t="shared" ref="F106:S106" si="78">F107+F108+F109</f>
        <v>0</v>
      </c>
      <c r="G106" s="2959">
        <f t="shared" si="78"/>
        <v>0</v>
      </c>
      <c r="H106" s="2169">
        <f t="shared" si="78"/>
        <v>0</v>
      </c>
      <c r="I106" s="2960">
        <f t="shared" si="78"/>
        <v>0</v>
      </c>
      <c r="J106" s="2959">
        <f t="shared" si="78"/>
        <v>0</v>
      </c>
      <c r="K106" s="2169">
        <f t="shared" si="78"/>
        <v>0</v>
      </c>
      <c r="L106" s="2960">
        <f t="shared" si="78"/>
        <v>0</v>
      </c>
      <c r="M106" s="2948">
        <f t="shared" si="67"/>
        <v>0</v>
      </c>
      <c r="N106" s="2169">
        <f t="shared" si="78"/>
        <v>0</v>
      </c>
      <c r="O106" s="2960">
        <f t="shared" si="78"/>
        <v>0</v>
      </c>
      <c r="P106" s="2959">
        <f t="shared" si="78"/>
        <v>0</v>
      </c>
      <c r="Q106" s="2169">
        <f t="shared" si="78"/>
        <v>0</v>
      </c>
      <c r="R106" s="2960">
        <f t="shared" si="78"/>
        <v>0</v>
      </c>
      <c r="S106" s="2959">
        <f t="shared" si="78"/>
        <v>0</v>
      </c>
      <c r="T106" s="1895">
        <f>'Д 3_Т на Т з ЦТП'!G31</f>
        <v>0</v>
      </c>
      <c r="U106" s="1896">
        <f t="shared" si="58"/>
        <v>0</v>
      </c>
      <c r="V106" s="1896">
        <f t="shared" si="59"/>
        <v>0</v>
      </c>
      <c r="W106" s="1896"/>
      <c r="X106" s="1896"/>
      <c r="Y106" s="1896"/>
      <c r="AA106" s="1897" t="e">
        <f>H106/E106</f>
        <v>#DIV/0!</v>
      </c>
    </row>
    <row r="107" spans="1:29" ht="15.6" x14ac:dyDescent="0.3">
      <c r="A107" s="1895"/>
      <c r="B107" s="1022" t="s">
        <v>60</v>
      </c>
      <c r="C107" s="1083" t="s">
        <v>55</v>
      </c>
      <c r="D107" s="3145" t="s">
        <v>40</v>
      </c>
      <c r="E107" s="3143">
        <v>0</v>
      </c>
      <c r="F107" s="2953"/>
      <c r="G107" s="1112">
        <v>0</v>
      </c>
      <c r="H107" s="3143">
        <v>0</v>
      </c>
      <c r="I107" s="2953"/>
      <c r="J107" s="1112">
        <f>G107*$J$18/$G$18</f>
        <v>0</v>
      </c>
      <c r="K107" s="3143">
        <v>0</v>
      </c>
      <c r="L107" s="2953"/>
      <c r="M107" s="1019">
        <f t="shared" si="67"/>
        <v>0</v>
      </c>
      <c r="N107" s="3143">
        <v>0</v>
      </c>
      <c r="O107" s="2953"/>
      <c r="P107" s="1112">
        <f t="shared" si="65"/>
        <v>0</v>
      </c>
      <c r="Q107" s="3143">
        <v>0</v>
      </c>
      <c r="R107" s="2953"/>
      <c r="S107" s="1112">
        <f t="shared" ref="S107:S111" si="79">G107*$S$18/$E$18</f>
        <v>0</v>
      </c>
      <c r="T107" s="1895">
        <f>'Д 3_Т на Т з ЦТП'!G32</f>
        <v>0</v>
      </c>
      <c r="U107" s="1896">
        <f t="shared" si="58"/>
        <v>0</v>
      </c>
      <c r="V107" s="1896">
        <f t="shared" si="59"/>
        <v>0</v>
      </c>
      <c r="W107" s="1896"/>
      <c r="X107" s="1896"/>
      <c r="Y107" s="1896"/>
      <c r="AA107" s="1897" t="e">
        <f t="shared" si="60"/>
        <v>#DIV/0!</v>
      </c>
    </row>
    <row r="108" spans="1:29" ht="26.4" x14ac:dyDescent="0.3">
      <c r="A108" s="1895"/>
      <c r="B108" s="1022" t="s">
        <v>61</v>
      </c>
      <c r="C108" s="1087" t="s">
        <v>452</v>
      </c>
      <c r="D108" s="3145" t="s">
        <v>40</v>
      </c>
      <c r="E108" s="3143">
        <v>0</v>
      </c>
      <c r="F108" s="2953"/>
      <c r="G108" s="1112">
        <v>0</v>
      </c>
      <c r="H108" s="3143">
        <v>0</v>
      </c>
      <c r="I108" s="2953"/>
      <c r="J108" s="1112">
        <f>G108*$J$18/$G$18</f>
        <v>0</v>
      </c>
      <c r="K108" s="3143">
        <v>0</v>
      </c>
      <c r="L108" s="2953"/>
      <c r="M108" s="1019">
        <f t="shared" si="67"/>
        <v>0</v>
      </c>
      <c r="N108" s="3143">
        <v>0</v>
      </c>
      <c r="O108" s="2953"/>
      <c r="P108" s="1112">
        <f t="shared" si="65"/>
        <v>0</v>
      </c>
      <c r="Q108" s="3143">
        <v>0</v>
      </c>
      <c r="R108" s="2953"/>
      <c r="S108" s="1112">
        <f t="shared" si="79"/>
        <v>0</v>
      </c>
      <c r="T108" s="1895">
        <f>'Д 3_Т на Т з ЦТП'!G33</f>
        <v>0</v>
      </c>
      <c r="U108" s="1896">
        <f t="shared" si="58"/>
        <v>0</v>
      </c>
      <c r="V108" s="1896">
        <f t="shared" si="59"/>
        <v>0</v>
      </c>
      <c r="W108" s="1896"/>
      <c r="X108" s="1896"/>
      <c r="Y108" s="1896"/>
      <c r="AA108" s="1897" t="e">
        <f t="shared" si="60"/>
        <v>#DIV/0!</v>
      </c>
    </row>
    <row r="109" spans="1:29" ht="15.6" x14ac:dyDescent="0.3">
      <c r="A109" s="1895"/>
      <c r="B109" s="1022" t="s">
        <v>62</v>
      </c>
      <c r="C109" s="1090" t="s">
        <v>233</v>
      </c>
      <c r="D109" s="3145" t="s">
        <v>40</v>
      </c>
      <c r="E109" s="3143">
        <v>0</v>
      </c>
      <c r="F109" s="2953"/>
      <c r="G109" s="1112">
        <v>0</v>
      </c>
      <c r="H109" s="3143">
        <v>0</v>
      </c>
      <c r="I109" s="2953"/>
      <c r="J109" s="1112">
        <f>G109*$J$18/$G$18</f>
        <v>0</v>
      </c>
      <c r="K109" s="3143">
        <v>0</v>
      </c>
      <c r="L109" s="2953"/>
      <c r="M109" s="1019">
        <f t="shared" si="67"/>
        <v>0</v>
      </c>
      <c r="N109" s="3143">
        <v>0</v>
      </c>
      <c r="O109" s="2953"/>
      <c r="P109" s="1112">
        <f t="shared" si="65"/>
        <v>0</v>
      </c>
      <c r="Q109" s="3143">
        <v>0</v>
      </c>
      <c r="R109" s="2953"/>
      <c r="S109" s="1112">
        <f t="shared" si="79"/>
        <v>0</v>
      </c>
      <c r="T109" s="1895">
        <f>'Д 3_Т на Т з ЦТП'!G34</f>
        <v>0</v>
      </c>
      <c r="U109" s="1896">
        <f t="shared" si="58"/>
        <v>0</v>
      </c>
      <c r="V109" s="1896">
        <f t="shared" si="59"/>
        <v>0</v>
      </c>
      <c r="W109" s="1896"/>
      <c r="X109" s="1896"/>
      <c r="Y109" s="1896"/>
      <c r="AA109" s="1897" t="e">
        <f t="shared" si="60"/>
        <v>#DIV/0!</v>
      </c>
    </row>
    <row r="110" spans="1:29" s="1897" customFormat="1" ht="15.6" x14ac:dyDescent="0.3">
      <c r="A110" s="1895"/>
      <c r="B110" s="1022" t="s">
        <v>174</v>
      </c>
      <c r="C110" s="1091" t="s">
        <v>82</v>
      </c>
      <c r="D110" s="3187" t="s">
        <v>40</v>
      </c>
      <c r="E110" s="2169">
        <v>0</v>
      </c>
      <c r="F110" s="2953"/>
      <c r="G110" s="2959">
        <v>0</v>
      </c>
      <c r="H110" s="2169">
        <v>0</v>
      </c>
      <c r="I110" s="2953"/>
      <c r="J110" s="2959">
        <v>0</v>
      </c>
      <c r="K110" s="2169">
        <v>0</v>
      </c>
      <c r="L110" s="2953"/>
      <c r="M110" s="1019">
        <f t="shared" si="67"/>
        <v>0</v>
      </c>
      <c r="N110" s="2169">
        <v>0</v>
      </c>
      <c r="O110" s="2953"/>
      <c r="P110" s="2959">
        <f t="shared" si="65"/>
        <v>0</v>
      </c>
      <c r="Q110" s="2169">
        <v>0</v>
      </c>
      <c r="R110" s="2953"/>
      <c r="S110" s="1112">
        <f t="shared" si="79"/>
        <v>0</v>
      </c>
      <c r="T110" s="1895">
        <f>'Д 3_Т на Т з ЦТП'!G35</f>
        <v>0</v>
      </c>
      <c r="U110" s="1896">
        <f t="shared" si="58"/>
        <v>0</v>
      </c>
      <c r="V110" s="1896">
        <f t="shared" si="59"/>
        <v>0</v>
      </c>
      <c r="W110" s="1896"/>
      <c r="X110" s="1896"/>
      <c r="Y110" s="1896"/>
      <c r="AA110" s="1897" t="e">
        <f t="shared" si="60"/>
        <v>#DIV/0!</v>
      </c>
    </row>
    <row r="111" spans="1:29" s="1897" customFormat="1" ht="15.6" x14ac:dyDescent="0.3">
      <c r="A111" s="1895"/>
      <c r="B111" s="1022" t="s">
        <v>169</v>
      </c>
      <c r="C111" s="1091" t="s">
        <v>5</v>
      </c>
      <c r="D111" s="3187" t="s">
        <v>40</v>
      </c>
      <c r="E111" s="2169">
        <f t="shared" si="61"/>
        <v>0</v>
      </c>
      <c r="F111" s="2953"/>
      <c r="G111" s="2959">
        <v>0</v>
      </c>
      <c r="H111" s="2169">
        <v>0</v>
      </c>
      <c r="I111" s="2953"/>
      <c r="J111" s="2959">
        <v>0</v>
      </c>
      <c r="K111" s="2169">
        <v>0</v>
      </c>
      <c r="L111" s="2953"/>
      <c r="M111" s="1019">
        <f t="shared" si="67"/>
        <v>0</v>
      </c>
      <c r="N111" s="2169">
        <v>0</v>
      </c>
      <c r="O111" s="2953"/>
      <c r="P111" s="2959">
        <f t="shared" si="65"/>
        <v>0</v>
      </c>
      <c r="Q111" s="2169">
        <v>0</v>
      </c>
      <c r="R111" s="2953"/>
      <c r="S111" s="1112">
        <f t="shared" si="79"/>
        <v>0</v>
      </c>
      <c r="T111" s="1895">
        <f>'Д 3_Т на Т з ЦТП'!G36</f>
        <v>0</v>
      </c>
      <c r="U111" s="1896">
        <f t="shared" si="58"/>
        <v>0</v>
      </c>
      <c r="V111" s="1896">
        <f t="shared" si="59"/>
        <v>0</v>
      </c>
      <c r="W111" s="1896"/>
      <c r="X111" s="1896"/>
      <c r="Y111" s="1896"/>
      <c r="AA111" s="1897" t="e">
        <f t="shared" si="60"/>
        <v>#DIV/0!</v>
      </c>
    </row>
    <row r="112" spans="1:29" ht="15.6" x14ac:dyDescent="0.3">
      <c r="A112" s="1895"/>
      <c r="B112" s="1022" t="s">
        <v>170</v>
      </c>
      <c r="C112" s="1091" t="s">
        <v>63</v>
      </c>
      <c r="D112" s="3145" t="s">
        <v>40</v>
      </c>
      <c r="E112" s="2169">
        <f>E111+E110+E106+E102+E86</f>
        <v>14555.110457723064</v>
      </c>
      <c r="F112" s="2960">
        <f t="shared" ref="F112:S112" si="80">F111+F110+F106+F102+F86</f>
        <v>4179.9292165489842</v>
      </c>
      <c r="G112" s="2959">
        <f t="shared" si="80"/>
        <v>10375.181241174079</v>
      </c>
      <c r="H112" s="2169">
        <f t="shared" si="80"/>
        <v>11847.327205693551</v>
      </c>
      <c r="I112" s="2960">
        <f t="shared" si="80"/>
        <v>3473.5251239686027</v>
      </c>
      <c r="J112" s="2959">
        <f t="shared" si="80"/>
        <v>8373.8020817249489</v>
      </c>
      <c r="K112" s="2169">
        <f t="shared" si="80"/>
        <v>0</v>
      </c>
      <c r="L112" s="2960">
        <f t="shared" si="80"/>
        <v>0</v>
      </c>
      <c r="M112" s="2959">
        <f t="shared" si="80"/>
        <v>0</v>
      </c>
      <c r="N112" s="2169">
        <f t="shared" si="80"/>
        <v>1958.438157408556</v>
      </c>
      <c r="O112" s="2960">
        <f t="shared" si="80"/>
        <v>510.91560907693645</v>
      </c>
      <c r="P112" s="2959">
        <f t="shared" si="80"/>
        <v>1447.5225483316199</v>
      </c>
      <c r="Q112" s="2169">
        <f t="shared" si="80"/>
        <v>749.34509462095502</v>
      </c>
      <c r="R112" s="2960">
        <f t="shared" si="80"/>
        <v>195.48848350344502</v>
      </c>
      <c r="S112" s="2959">
        <f t="shared" si="80"/>
        <v>553.85661111750994</v>
      </c>
      <c r="T112" s="1895">
        <f>'Д 3_Т на Т з ЦТП'!G37</f>
        <v>15223.768464307332</v>
      </c>
      <c r="U112" s="1896">
        <f t="shared" si="58"/>
        <v>-668.65800658426815</v>
      </c>
      <c r="V112" s="1896">
        <f>E112-H112-K112-N112-Q112</f>
        <v>1.3642420526593924E-12</v>
      </c>
      <c r="W112" s="1896"/>
      <c r="X112" s="1896"/>
      <c r="Y112" s="1896"/>
      <c r="AA112" s="1897">
        <f t="shared" si="60"/>
        <v>0.81396340069733097</v>
      </c>
    </row>
    <row r="113" spans="1:27" ht="19.95" customHeight="1" x14ac:dyDescent="0.3">
      <c r="A113" s="1895"/>
      <c r="B113" s="1022" t="s">
        <v>171</v>
      </c>
      <c r="C113" s="1091" t="s">
        <v>2655</v>
      </c>
      <c r="D113" s="3145" t="s">
        <v>40</v>
      </c>
      <c r="E113" s="3143">
        <f>F113+G113</f>
        <v>0</v>
      </c>
      <c r="F113" s="2953">
        <f>I113+L113+O113+R113</f>
        <v>0</v>
      </c>
      <c r="G113" s="1112">
        <f>J113+M113+P113+S113</f>
        <v>0</v>
      </c>
      <c r="H113" s="3143">
        <f>I113+J113</f>
        <v>0</v>
      </c>
      <c r="I113" s="2953">
        <v>0</v>
      </c>
      <c r="J113" s="1112">
        <v>0</v>
      </c>
      <c r="K113" s="3143">
        <f>L113+M113</f>
        <v>0</v>
      </c>
      <c r="L113" s="2953">
        <v>0</v>
      </c>
      <c r="M113" s="1112">
        <v>0</v>
      </c>
      <c r="N113" s="3143">
        <f>O113+P113</f>
        <v>0</v>
      </c>
      <c r="O113" s="2953">
        <f>'Д 3_Т на Т з ЦТП'!J38</f>
        <v>0</v>
      </c>
      <c r="P113" s="1112">
        <v>0</v>
      </c>
      <c r="Q113" s="3143">
        <f>R113+S113</f>
        <v>0</v>
      </c>
      <c r="R113" s="2953">
        <v>0</v>
      </c>
      <c r="S113" s="1112">
        <v>0</v>
      </c>
      <c r="T113" s="1895">
        <f>'Д 3_Т на Т з ЦТП'!G38</f>
        <v>0</v>
      </c>
      <c r="U113" s="1896">
        <f t="shared" ref="U113:U121" si="81">E113-T113</f>
        <v>0</v>
      </c>
      <c r="V113" s="1896">
        <f t="shared" si="59"/>
        <v>0</v>
      </c>
      <c r="W113" s="1896"/>
      <c r="X113" s="1896"/>
      <c r="Y113" s="1896"/>
      <c r="AA113" s="1897" t="e">
        <f t="shared" si="60"/>
        <v>#DIV/0!</v>
      </c>
    </row>
    <row r="114" spans="1:27" s="1897" customFormat="1" ht="15.6" x14ac:dyDescent="0.3">
      <c r="A114" s="1895"/>
      <c r="B114" s="1022" t="s">
        <v>172</v>
      </c>
      <c r="C114" s="1091" t="s">
        <v>235</v>
      </c>
      <c r="D114" s="3187" t="s">
        <v>40</v>
      </c>
      <c r="E114" s="2169">
        <f>E115+E116+E117+E118+E119</f>
        <v>674.50511877253211</v>
      </c>
      <c r="F114" s="2960">
        <f t="shared" ref="F114:S114" si="82">F115+F116+F117+F118+F119</f>
        <v>0</v>
      </c>
      <c r="G114" s="2959">
        <f t="shared" si="82"/>
        <v>674.50511877253211</v>
      </c>
      <c r="H114" s="2169">
        <f t="shared" si="82"/>
        <v>549.02248026384746</v>
      </c>
      <c r="I114" s="2960">
        <f t="shared" si="82"/>
        <v>0</v>
      </c>
      <c r="J114" s="2959">
        <f t="shared" si="82"/>
        <v>549.02248026384746</v>
      </c>
      <c r="K114" s="2169">
        <f t="shared" si="82"/>
        <v>0</v>
      </c>
      <c r="L114" s="2960">
        <f t="shared" si="82"/>
        <v>0</v>
      </c>
      <c r="M114" s="2959">
        <f t="shared" si="82"/>
        <v>0</v>
      </c>
      <c r="N114" s="2169">
        <f t="shared" si="82"/>
        <v>90.756890221372188</v>
      </c>
      <c r="O114" s="2960">
        <f t="shared" si="82"/>
        <v>0</v>
      </c>
      <c r="P114" s="2959">
        <f t="shared" si="82"/>
        <v>90.756890221372188</v>
      </c>
      <c r="Q114" s="2169">
        <f t="shared" si="82"/>
        <v>34.725748287312562</v>
      </c>
      <c r="R114" s="2960">
        <f t="shared" si="82"/>
        <v>0</v>
      </c>
      <c r="S114" s="2959">
        <f t="shared" si="82"/>
        <v>34.725748287312562</v>
      </c>
      <c r="T114" s="1895">
        <f>'Д 3_Т на Т з ЦТП'!G39</f>
        <v>705.49170932155926</v>
      </c>
      <c r="U114" s="1896">
        <f t="shared" si="81"/>
        <v>-30.986590549027142</v>
      </c>
      <c r="V114" s="1896">
        <f t="shared" si="59"/>
        <v>-9.2370555648813024E-14</v>
      </c>
      <c r="W114" s="1896"/>
      <c r="X114" s="1896"/>
      <c r="Y114" s="1896"/>
      <c r="AA114" s="1897">
        <f t="shared" si="60"/>
        <v>0.81396340069733109</v>
      </c>
    </row>
    <row r="115" spans="1:27" ht="15.6" x14ac:dyDescent="0.3">
      <c r="A115" s="1895"/>
      <c r="B115" s="1022" t="s">
        <v>115</v>
      </c>
      <c r="C115" s="1087" t="s">
        <v>65</v>
      </c>
      <c r="D115" s="3145" t="s">
        <v>40</v>
      </c>
      <c r="E115" s="3143">
        <f>(E116+E117+E118+E119)/(100%-'Вхідні дані'!$D$46)-(E116+E117+E118+E119)</f>
        <v>121.41092137905571</v>
      </c>
      <c r="F115" s="1011"/>
      <c r="G115" s="2961">
        <f>(G116+G117+G118+G119)/(100%-'Вхідні дані'!$D$46)-(G116+G117+G118+G119)</f>
        <v>121.41092137905571</v>
      </c>
      <c r="H115" s="3143">
        <f>(H116+H117+H118+H119)/(100%-'Вхідні дані'!$D$46)-(H116+H117+H118+H119)</f>
        <v>98.824046447492549</v>
      </c>
      <c r="I115" s="1011"/>
      <c r="J115" s="2961">
        <f>(J116+J117+J118+J119)/(100%-'Вхідні дані'!$D$46)-(J116+J117+J118+J119)</f>
        <v>98.824046447492549</v>
      </c>
      <c r="K115" s="3143">
        <f>(K116+K117+K118+K119)/(100%-'Вхідні дані'!$D$46)-(K116+K117+K118+K119)</f>
        <v>0</v>
      </c>
      <c r="L115" s="1011"/>
      <c r="M115" s="2961">
        <f>(M116+M117+M118+M119)/(100%-'Вхідні дані'!$D$46)-(M116+M117+M118+M119)</f>
        <v>0</v>
      </c>
      <c r="N115" s="3143">
        <f>(N116+N117+N118+N119)/(100%-'Вхідні дані'!$D$46)-(N116+N117+N118+N119)</f>
        <v>16.336240239846987</v>
      </c>
      <c r="O115" s="1011"/>
      <c r="P115" s="2961">
        <f>(P116+P117+P118+P119)/(100%-'Вхідні дані'!$D$46)-(P116+P117+P118+P119)</f>
        <v>16.336240239846987</v>
      </c>
      <c r="Q115" s="3143">
        <f>(Q116+Q117+Q118+Q119)/(100%-'Вхідні дані'!$D$46)-(Q116+Q117+Q118+Q119)</f>
        <v>6.2506346917162574</v>
      </c>
      <c r="R115" s="1011"/>
      <c r="S115" s="4594">
        <f>(S116+S117+S118+S119)/(100%-'Вхідні дані'!$D$46)-(S116+S117+S118+S119)</f>
        <v>6.2506346917162574</v>
      </c>
      <c r="T115" s="1895">
        <f>'Д 3_Т на Т з ЦТП'!G40</f>
        <v>126.98850767788065</v>
      </c>
      <c r="U115" s="1896">
        <f t="shared" si="81"/>
        <v>-5.5775862988249401</v>
      </c>
      <c r="V115" s="1896">
        <f t="shared" si="59"/>
        <v>-8.5265128291212022E-14</v>
      </c>
      <c r="W115" s="1896"/>
      <c r="X115" s="1896"/>
      <c r="Y115" s="1896"/>
      <c r="AA115" s="1897">
        <f t="shared" si="60"/>
        <v>0.81396340069733164</v>
      </c>
    </row>
    <row r="116" spans="1:27" ht="15.6" x14ac:dyDescent="0.3">
      <c r="A116" s="1895"/>
      <c r="B116" s="1022" t="s">
        <v>117</v>
      </c>
      <c r="C116" s="1087" t="s">
        <v>84</v>
      </c>
      <c r="D116" s="3145" t="s">
        <v>40</v>
      </c>
      <c r="E116" s="3143">
        <f>'Д 3_Т на Т з ЦТП'!G41</f>
        <v>0</v>
      </c>
      <c r="F116" s="2953"/>
      <c r="G116" s="2961">
        <f>E116</f>
        <v>0</v>
      </c>
      <c r="H116" s="3143">
        <f>(H117+H118+H119)/(100%-'Вхідні дані'!$D$47)*'Вхідні дані'!$D$47</f>
        <v>0</v>
      </c>
      <c r="I116" s="2953"/>
      <c r="J116" s="1112">
        <f>'Д 3_Т на Т з ЦТП'!H41</f>
        <v>0</v>
      </c>
      <c r="K116" s="3143">
        <f>(K117+K118+K119)/(100%-'Вхідні дані'!$D$47)*'Вхідні дані'!$D$47</f>
        <v>0</v>
      </c>
      <c r="L116" s="2953"/>
      <c r="M116" s="1112">
        <f>'Д 3_Т на Т з ЦТП'!I41</f>
        <v>0</v>
      </c>
      <c r="N116" s="3143">
        <f>(N117+N118+N119)/(100%-'Вхідні дані'!$D$47)*'Вхідні дані'!$D$47</f>
        <v>0</v>
      </c>
      <c r="O116" s="2953"/>
      <c r="P116" s="1112">
        <f>'Д 3_Т на Т з ЦТП'!J41</f>
        <v>0</v>
      </c>
      <c r="Q116" s="3143">
        <f>(Q117+Q118+Q119)/(100%-'Вхідні дані'!$D$47)*'Вхідні дані'!$D$47</f>
        <v>0</v>
      </c>
      <c r="R116" s="2953"/>
      <c r="S116" s="1112">
        <f>'Д 3_Т на Т з ЦТП'!K41</f>
        <v>0</v>
      </c>
      <c r="T116" s="1895">
        <f>'Д 3_Т на Т з ЦТП'!G41</f>
        <v>0</v>
      </c>
      <c r="U116" s="1896">
        <f t="shared" si="81"/>
        <v>0</v>
      </c>
      <c r="V116" s="1896">
        <f t="shared" si="59"/>
        <v>0</v>
      </c>
      <c r="W116" s="1896"/>
      <c r="X116" s="1896"/>
      <c r="Y116" s="1896"/>
      <c r="AA116" s="1897" t="e">
        <f t="shared" si="60"/>
        <v>#DIV/0!</v>
      </c>
    </row>
    <row r="117" spans="1:27" ht="15.6" x14ac:dyDescent="0.3">
      <c r="A117" s="1895"/>
      <c r="B117" s="1022" t="s">
        <v>119</v>
      </c>
      <c r="C117" s="1087" t="s">
        <v>85</v>
      </c>
      <c r="D117" s="3145" t="s">
        <v>40</v>
      </c>
      <c r="E117" s="3143">
        <f>'Д 3_Т на Т з ЦТП'!G42</f>
        <v>0</v>
      </c>
      <c r="F117" s="2953"/>
      <c r="G117" s="2961">
        <f>E117</f>
        <v>0</v>
      </c>
      <c r="H117" s="3143">
        <f>I117+J117</f>
        <v>0</v>
      </c>
      <c r="I117" s="2953"/>
      <c r="J117" s="1112">
        <f>'Д 3_Т на Т з ЦТП'!H42</f>
        <v>0</v>
      </c>
      <c r="K117" s="3143">
        <f>L117+M117</f>
        <v>0</v>
      </c>
      <c r="L117" s="2953"/>
      <c r="M117" s="1112">
        <f>'Д 3_Т на Т з ЦТП'!I42</f>
        <v>0</v>
      </c>
      <c r="N117" s="3143">
        <f>O117+P117</f>
        <v>0</v>
      </c>
      <c r="O117" s="2953"/>
      <c r="P117" s="1112">
        <f>'Д 3_Т на Т з ЦТП'!J42</f>
        <v>0</v>
      </c>
      <c r="Q117" s="3143">
        <f>R117+S117</f>
        <v>0</v>
      </c>
      <c r="R117" s="2953"/>
      <c r="S117" s="1112">
        <f>'Д 3_Т на Т з ЦТП'!K42</f>
        <v>0</v>
      </c>
      <c r="T117" s="1895">
        <f>'Д 3_Т на Т з ЦТП'!G42</f>
        <v>0</v>
      </c>
      <c r="U117" s="1896">
        <f t="shared" si="81"/>
        <v>0</v>
      </c>
      <c r="V117" s="1896">
        <f t="shared" si="59"/>
        <v>0</v>
      </c>
      <c r="W117" s="1896"/>
      <c r="X117" s="1896"/>
      <c r="Y117" s="1896"/>
      <c r="AA117" s="1897" t="e">
        <f t="shared" si="60"/>
        <v>#DIV/0!</v>
      </c>
    </row>
    <row r="118" spans="1:27" ht="15.6" x14ac:dyDescent="0.3">
      <c r="A118" s="1895"/>
      <c r="B118" s="1022" t="s">
        <v>121</v>
      </c>
      <c r="C118" s="1087" t="s">
        <v>71</v>
      </c>
      <c r="D118" s="3145" t="s">
        <v>40</v>
      </c>
      <c r="E118" s="3143">
        <f>'Д 3_Т на Т з ЦТП'!G43</f>
        <v>0</v>
      </c>
      <c r="F118" s="2953"/>
      <c r="G118" s="2961">
        <f>E118</f>
        <v>0</v>
      </c>
      <c r="H118" s="3143">
        <f>I118+J118</f>
        <v>0</v>
      </c>
      <c r="I118" s="2953"/>
      <c r="J118" s="1112">
        <f>'Д 3_Т на Т з ЦТП'!H43</f>
        <v>0</v>
      </c>
      <c r="K118" s="3143">
        <f>L118+M118</f>
        <v>0</v>
      </c>
      <c r="L118" s="2953"/>
      <c r="M118" s="1112">
        <f>'Д 3_Т на Т з ЦТП'!I43</f>
        <v>0</v>
      </c>
      <c r="N118" s="3143">
        <f>O118+P118</f>
        <v>0</v>
      </c>
      <c r="O118" s="2953"/>
      <c r="P118" s="1112">
        <f>'Д 3_Т на Т з ЦТП'!J43</f>
        <v>0</v>
      </c>
      <c r="Q118" s="3143">
        <f>R118+S118</f>
        <v>0</v>
      </c>
      <c r="R118" s="2953"/>
      <c r="S118" s="1112">
        <f>'Д 3_Т на Т з ЦТП'!K43</f>
        <v>0</v>
      </c>
      <c r="T118" s="1895">
        <f>'Д 3_Т на Т з ЦТП'!G43</f>
        <v>0</v>
      </c>
      <c r="U118" s="1896">
        <f t="shared" si="81"/>
        <v>0</v>
      </c>
      <c r="V118" s="1896">
        <f t="shared" si="59"/>
        <v>0</v>
      </c>
      <c r="W118" s="1896"/>
      <c r="X118" s="1896"/>
      <c r="Y118" s="1896"/>
      <c r="AA118" s="1897" t="e">
        <f t="shared" si="60"/>
        <v>#DIV/0!</v>
      </c>
    </row>
    <row r="119" spans="1:27" ht="15.6" x14ac:dyDescent="0.3">
      <c r="A119" s="1895"/>
      <c r="B119" s="1022" t="s">
        <v>223</v>
      </c>
      <c r="C119" s="1087" t="s">
        <v>86</v>
      </c>
      <c r="D119" s="3145" t="s">
        <v>40</v>
      </c>
      <c r="E119" s="3142">
        <f>G119</f>
        <v>553.09419739347641</v>
      </c>
      <c r="F119" s="1030"/>
      <c r="G119" s="1112">
        <f>E112*'Вхідні дані'!$D$45</f>
        <v>553.09419739347641</v>
      </c>
      <c r="H119" s="3142">
        <f>J119</f>
        <v>450.19843381635491</v>
      </c>
      <c r="I119" s="1030"/>
      <c r="J119" s="1112">
        <f>H112*'Вхідні дані'!$D$45</f>
        <v>450.19843381635491</v>
      </c>
      <c r="K119" s="3142">
        <f>M119</f>
        <v>0</v>
      </c>
      <c r="L119" s="1030"/>
      <c r="M119" s="1112">
        <f>K112*'Вхідні дані'!$D$45</f>
        <v>0</v>
      </c>
      <c r="N119" s="3142">
        <f>P119</f>
        <v>74.420649981525202</v>
      </c>
      <c r="O119" s="1030"/>
      <c r="P119" s="1112">
        <f>V31*P18</f>
        <v>74.420649981525202</v>
      </c>
      <c r="Q119" s="3142">
        <f>S119</f>
        <v>28.475113595596305</v>
      </c>
      <c r="R119" s="1030"/>
      <c r="S119" s="1112">
        <f>V31*S18</f>
        <v>28.475113595596305</v>
      </c>
      <c r="T119" s="1895">
        <f>'Д 3_Т на Т з ЦТП'!G44</f>
        <v>578.50320164367861</v>
      </c>
      <c r="U119" s="1896">
        <f>E119-T119</f>
        <v>-25.409004250202202</v>
      </c>
      <c r="V119" s="1896">
        <f t="shared" si="59"/>
        <v>0</v>
      </c>
      <c r="W119" s="1896"/>
      <c r="X119" s="1896"/>
      <c r="Y119" s="1896"/>
      <c r="AA119" s="1897">
        <f t="shared" si="60"/>
        <v>0.81396340069733097</v>
      </c>
    </row>
    <row r="120" spans="1:27" ht="27" thickBot="1" x14ac:dyDescent="0.35">
      <c r="A120" s="1895"/>
      <c r="B120" s="1070" t="s">
        <v>187</v>
      </c>
      <c r="C120" s="1092" t="s">
        <v>576</v>
      </c>
      <c r="D120" s="3145" t="s">
        <v>40</v>
      </c>
      <c r="E120" s="2169">
        <f>E114+E113+E112</f>
        <v>15229.615576495595</v>
      </c>
      <c r="F120" s="2960">
        <f t="shared" ref="F120:S120" si="83">F114+F113+F112</f>
        <v>4179.9292165489842</v>
      </c>
      <c r="G120" s="2959">
        <f t="shared" si="83"/>
        <v>11049.686359946612</v>
      </c>
      <c r="H120" s="2169">
        <f>ROUND(H114+H113+H112,2)</f>
        <v>12396.35</v>
      </c>
      <c r="I120" s="2960">
        <f t="shared" si="83"/>
        <v>3473.5251239686027</v>
      </c>
      <c r="J120" s="2959">
        <f t="shared" si="83"/>
        <v>8922.8245619887966</v>
      </c>
      <c r="K120" s="2169">
        <f t="shared" si="83"/>
        <v>0</v>
      </c>
      <c r="L120" s="2960">
        <f t="shared" si="83"/>
        <v>0</v>
      </c>
      <c r="M120" s="2959">
        <f t="shared" si="83"/>
        <v>0</v>
      </c>
      <c r="N120" s="2169">
        <f t="shared" si="83"/>
        <v>2049.195047629928</v>
      </c>
      <c r="O120" s="2960">
        <f t="shared" si="83"/>
        <v>510.91560907693645</v>
      </c>
      <c r="P120" s="2959">
        <f t="shared" si="83"/>
        <v>1538.2794385529921</v>
      </c>
      <c r="Q120" s="2163">
        <f t="shared" si="83"/>
        <v>784.07084290826754</v>
      </c>
      <c r="R120" s="2949">
        <f t="shared" si="83"/>
        <v>195.48848350344502</v>
      </c>
      <c r="S120" s="2950">
        <f t="shared" si="83"/>
        <v>588.58235940482245</v>
      </c>
      <c r="T120" s="1895">
        <f>'Д 3_Т на Т з ЦТП'!G45</f>
        <v>15929.260173628891</v>
      </c>
      <c r="U120" s="1896">
        <f t="shared" si="81"/>
        <v>-699.64459713329597</v>
      </c>
      <c r="V120" s="1896">
        <f t="shared" si="59"/>
        <v>-3.1404260118961247E-4</v>
      </c>
      <c r="W120" s="1896"/>
      <c r="X120" s="1896"/>
      <c r="Y120" s="1896"/>
    </row>
    <row r="121" spans="1:27" ht="32.25" customHeight="1" x14ac:dyDescent="0.3">
      <c r="B121" s="2170" t="s">
        <v>188</v>
      </c>
      <c r="C121" s="1064" t="s">
        <v>2196</v>
      </c>
      <c r="D121" s="1076" t="s">
        <v>74</v>
      </c>
      <c r="E121" s="2171">
        <f>'Д 5 Т на ТЕ з ЦТП'!D14</f>
        <v>968.45</v>
      </c>
      <c r="F121" s="2962" t="s">
        <v>317</v>
      </c>
      <c r="G121" s="2963" t="s">
        <v>317</v>
      </c>
      <c r="H121" s="2171">
        <f>'Д 5 Т на ТЕ з ЦТП'!E14</f>
        <v>949.46</v>
      </c>
      <c r="I121" s="2962" t="s">
        <v>317</v>
      </c>
      <c r="J121" s="2963" t="s">
        <v>317</v>
      </c>
      <c r="K121" s="2171">
        <f>'Д 5 Т на ТЕ з ЦТП'!F14</f>
        <v>0</v>
      </c>
      <c r="L121" s="2962" t="s">
        <v>317</v>
      </c>
      <c r="M121" s="2963" t="s">
        <v>317</v>
      </c>
      <c r="N121" s="2171">
        <f>'Д 3_Т на Т з ЦТП'!J46</f>
        <v>1061.8014015792946</v>
      </c>
      <c r="O121" s="2962" t="s">
        <v>317</v>
      </c>
      <c r="P121" s="2963" t="s">
        <v>317</v>
      </c>
      <c r="Q121" s="2171">
        <f>'Д 3_Т на Т з ЦТП'!K46</f>
        <v>1061.8014015792946</v>
      </c>
      <c r="R121" s="2962" t="s">
        <v>317</v>
      </c>
      <c r="S121" s="2963" t="s">
        <v>317</v>
      </c>
      <c r="T121" s="2157">
        <f>'Д 3_Т на Т з ЦТП'!G46</f>
        <v>968.44926324941105</v>
      </c>
      <c r="U121" s="1896">
        <f t="shared" si="81"/>
        <v>7.3675058899880241E-4</v>
      </c>
      <c r="V121" s="1896"/>
      <c r="W121" s="1896"/>
      <c r="X121" s="1896"/>
      <c r="Y121" s="1896"/>
    </row>
    <row r="122" spans="1:27" ht="36" customHeight="1" x14ac:dyDescent="0.3">
      <c r="B122" s="2172" t="s">
        <v>189</v>
      </c>
      <c r="C122" s="1023" t="s">
        <v>2197</v>
      </c>
      <c r="D122" s="3145" t="s">
        <v>74</v>
      </c>
      <c r="E122" s="3143">
        <f>E121*1.2</f>
        <v>1162.1400000000001</v>
      </c>
      <c r="F122" s="1011" t="s">
        <v>317</v>
      </c>
      <c r="G122" s="1111" t="s">
        <v>317</v>
      </c>
      <c r="H122" s="3143">
        <f>H121*1.2</f>
        <v>1139.3520000000001</v>
      </c>
      <c r="I122" s="1011" t="s">
        <v>317</v>
      </c>
      <c r="J122" s="1111" t="s">
        <v>317</v>
      </c>
      <c r="K122" s="3143">
        <v>0</v>
      </c>
      <c r="L122" s="1011" t="s">
        <v>317</v>
      </c>
      <c r="M122" s="1111" t="s">
        <v>317</v>
      </c>
      <c r="N122" s="3143">
        <f>N121*1.2</f>
        <v>1274.1616818951536</v>
      </c>
      <c r="O122" s="1011" t="s">
        <v>317</v>
      </c>
      <c r="P122" s="1111" t="s">
        <v>317</v>
      </c>
      <c r="Q122" s="3143">
        <f>Q121*1.2</f>
        <v>1274.1616818951536</v>
      </c>
      <c r="R122" s="1011" t="s">
        <v>317</v>
      </c>
      <c r="S122" s="1111" t="s">
        <v>317</v>
      </c>
    </row>
    <row r="123" spans="1:27" ht="36" customHeight="1" x14ac:dyDescent="0.3">
      <c r="B123" s="2172" t="s">
        <v>190</v>
      </c>
      <c r="C123" s="1023" t="s">
        <v>2198</v>
      </c>
      <c r="D123" s="3140" t="s">
        <v>2049</v>
      </c>
      <c r="E123" s="1018" t="s">
        <v>317</v>
      </c>
      <c r="F123" s="2952" t="s">
        <v>317</v>
      </c>
      <c r="G123" s="1111" t="s">
        <v>317</v>
      </c>
      <c r="H123" s="2165" t="s">
        <v>317</v>
      </c>
      <c r="I123" s="1011" t="s">
        <v>317</v>
      </c>
      <c r="J123" s="1111" t="s">
        <v>317</v>
      </c>
      <c r="K123" s="1018" t="s">
        <v>317</v>
      </c>
      <c r="L123" s="1011" t="s">
        <v>317</v>
      </c>
      <c r="M123" s="1111" t="s">
        <v>317</v>
      </c>
      <c r="N123" s="2165" t="s">
        <v>317</v>
      </c>
      <c r="O123" s="1011" t="s">
        <v>317</v>
      </c>
      <c r="P123" s="1111" t="s">
        <v>317</v>
      </c>
      <c r="Q123" s="1018" t="s">
        <v>317</v>
      </c>
      <c r="R123" s="1011" t="s">
        <v>317</v>
      </c>
      <c r="S123" s="1111" t="s">
        <v>317</v>
      </c>
    </row>
    <row r="124" spans="1:27" ht="15.6" x14ac:dyDescent="0.3">
      <c r="B124" s="2172" t="s">
        <v>93</v>
      </c>
      <c r="C124" s="1024" t="s">
        <v>2172</v>
      </c>
      <c r="D124" s="3140" t="s">
        <v>2190</v>
      </c>
      <c r="E124" s="3143">
        <f>F124</f>
        <v>254.13</v>
      </c>
      <c r="F124" s="2953">
        <f>ROUND(F120/F15,2)</f>
        <v>254.13</v>
      </c>
      <c r="G124" s="1111" t="s">
        <v>317</v>
      </c>
      <c r="H124" s="3143">
        <f>I124</f>
        <v>254.13</v>
      </c>
      <c r="I124" s="2953">
        <f>ROUND(I120/I15,2)</f>
        <v>254.13</v>
      </c>
      <c r="J124" s="1111" t="s">
        <v>317</v>
      </c>
      <c r="K124" s="3143">
        <v>0</v>
      </c>
      <c r="L124" s="2953">
        <v>0</v>
      </c>
      <c r="M124" s="1111" t="s">
        <v>317</v>
      </c>
      <c r="N124" s="2166">
        <f>O124</f>
        <v>254.13</v>
      </c>
      <c r="O124" s="2953">
        <f>ROUND(O120/O15,2)</f>
        <v>254.13</v>
      </c>
      <c r="P124" s="1111" t="s">
        <v>317</v>
      </c>
      <c r="Q124" s="3143">
        <f>R124</f>
        <v>254.13</v>
      </c>
      <c r="R124" s="2953">
        <f>ROUND(R120/R15,2)</f>
        <v>254.13</v>
      </c>
      <c r="S124" s="1111" t="s">
        <v>317</v>
      </c>
    </row>
    <row r="125" spans="1:27" ht="31.2" x14ac:dyDescent="0.3">
      <c r="B125" s="2172" t="s">
        <v>94</v>
      </c>
      <c r="C125" s="1024" t="s">
        <v>2326</v>
      </c>
      <c r="D125" s="3140" t="s">
        <v>2194</v>
      </c>
      <c r="E125" s="3143">
        <f>G125</f>
        <v>77251.66</v>
      </c>
      <c r="F125" s="2952" t="s">
        <v>317</v>
      </c>
      <c r="G125" s="1112">
        <f>ROUND(G120/G18*1000/12,2)</f>
        <v>77251.66</v>
      </c>
      <c r="H125" s="3143">
        <f>J125</f>
        <v>75068.479999999996</v>
      </c>
      <c r="I125" s="2952" t="s">
        <v>317</v>
      </c>
      <c r="J125" s="1112">
        <f>ROUND(J120/J18*1000/12,2)</f>
        <v>75068.479999999996</v>
      </c>
      <c r="K125" s="3143">
        <v>0</v>
      </c>
      <c r="L125" s="2952" t="s">
        <v>317</v>
      </c>
      <c r="M125" s="1112">
        <v>0</v>
      </c>
      <c r="N125" s="2166">
        <f>P125</f>
        <v>87986.95</v>
      </c>
      <c r="O125" s="1011" t="s">
        <v>317</v>
      </c>
      <c r="P125" s="1112">
        <f>ROUND(P120/P18*1000/12,2)</f>
        <v>87986.95</v>
      </c>
      <c r="Q125" s="3143">
        <f>S125</f>
        <v>87986.95</v>
      </c>
      <c r="R125" s="2952" t="s">
        <v>317</v>
      </c>
      <c r="S125" s="1112">
        <f>ROUND(S120/S18*1000/12,2)</f>
        <v>87986.95</v>
      </c>
      <c r="T125" s="1021">
        <f>S125</f>
        <v>87986.95</v>
      </c>
      <c r="U125" s="1005" t="s">
        <v>2245</v>
      </c>
      <c r="W125" s="1005">
        <f>G125/12</f>
        <v>6437.6383333333333</v>
      </c>
    </row>
    <row r="126" spans="1:27" ht="36" customHeight="1" x14ac:dyDescent="0.3">
      <c r="B126" s="2172" t="s">
        <v>191</v>
      </c>
      <c r="C126" s="1023" t="s">
        <v>2210</v>
      </c>
      <c r="D126" s="3140" t="s">
        <v>2049</v>
      </c>
      <c r="E126" s="1018" t="s">
        <v>317</v>
      </c>
      <c r="F126" s="2952" t="s">
        <v>317</v>
      </c>
      <c r="G126" s="1111" t="s">
        <v>317</v>
      </c>
      <c r="H126" s="1018" t="s">
        <v>317</v>
      </c>
      <c r="I126" s="2952" t="s">
        <v>317</v>
      </c>
      <c r="J126" s="1111" t="s">
        <v>317</v>
      </c>
      <c r="K126" s="1018" t="s">
        <v>317</v>
      </c>
      <c r="L126" s="2952" t="s">
        <v>317</v>
      </c>
      <c r="M126" s="1111" t="s">
        <v>317</v>
      </c>
      <c r="N126" s="1018" t="s">
        <v>317</v>
      </c>
      <c r="O126" s="2952" t="s">
        <v>317</v>
      </c>
      <c r="P126" s="1111" t="s">
        <v>317</v>
      </c>
      <c r="Q126" s="1018" t="s">
        <v>317</v>
      </c>
      <c r="R126" s="2952" t="s">
        <v>317</v>
      </c>
      <c r="S126" s="1111" t="s">
        <v>317</v>
      </c>
    </row>
    <row r="127" spans="1:27" ht="15.6" x14ac:dyDescent="0.3">
      <c r="B127" s="2172" t="s">
        <v>236</v>
      </c>
      <c r="C127" s="1024" t="s">
        <v>2172</v>
      </c>
      <c r="D127" s="3140" t="s">
        <v>2190</v>
      </c>
      <c r="E127" s="2166">
        <f>E124*1.2</f>
        <v>304.95599999999996</v>
      </c>
      <c r="F127" s="1030">
        <f>F124*1.2</f>
        <v>304.95599999999996</v>
      </c>
      <c r="G127" s="1111" t="s">
        <v>317</v>
      </c>
      <c r="H127" s="2166">
        <f>H124*1.2</f>
        <v>304.95599999999996</v>
      </c>
      <c r="I127" s="1030">
        <f>I124*1.2</f>
        <v>304.95599999999996</v>
      </c>
      <c r="J127" s="1111" t="s">
        <v>317</v>
      </c>
      <c r="K127" s="2166">
        <f>K124*1.2</f>
        <v>0</v>
      </c>
      <c r="L127" s="1030">
        <f>L124*1.2</f>
        <v>0</v>
      </c>
      <c r="M127" s="1111" t="s">
        <v>317</v>
      </c>
      <c r="N127" s="2166">
        <f>N124*1.2</f>
        <v>304.95599999999996</v>
      </c>
      <c r="O127" s="1030">
        <f>O124*1.2</f>
        <v>304.95599999999996</v>
      </c>
      <c r="P127" s="1111" t="s">
        <v>317</v>
      </c>
      <c r="Q127" s="2166">
        <f>Q124*1.2</f>
        <v>304.95599999999996</v>
      </c>
      <c r="R127" s="1030">
        <f>R124*1.2</f>
        <v>304.95599999999996</v>
      </c>
      <c r="S127" s="1111" t="s">
        <v>317</v>
      </c>
    </row>
    <row r="128" spans="1:27" ht="31.8" thickBot="1" x14ac:dyDescent="0.35">
      <c r="B128" s="1078" t="s">
        <v>237</v>
      </c>
      <c r="C128" s="1025" t="s">
        <v>2326</v>
      </c>
      <c r="D128" s="1075" t="s">
        <v>2194</v>
      </c>
      <c r="E128" s="1027">
        <f>E125*1.2</f>
        <v>92701.991999999998</v>
      </c>
      <c r="F128" s="2955" t="s">
        <v>317</v>
      </c>
      <c r="G128" s="1032">
        <f>G125*1.2</f>
        <v>92701.991999999998</v>
      </c>
      <c r="H128" s="1027">
        <f>H125*1.2</f>
        <v>90082.175999999992</v>
      </c>
      <c r="I128" s="2955" t="s">
        <v>317</v>
      </c>
      <c r="J128" s="1032">
        <f>J125*1.2</f>
        <v>90082.175999999992</v>
      </c>
      <c r="K128" s="1027">
        <f>K125*1.2</f>
        <v>0</v>
      </c>
      <c r="L128" s="2955" t="s">
        <v>317</v>
      </c>
      <c r="M128" s="1032">
        <f>M125*1.2</f>
        <v>0</v>
      </c>
      <c r="N128" s="1027">
        <f>N125*1.2</f>
        <v>105584.34</v>
      </c>
      <c r="O128" s="2955" t="s">
        <v>317</v>
      </c>
      <c r="P128" s="1032">
        <f>P125*1.2</f>
        <v>105584.34</v>
      </c>
      <c r="Q128" s="1027">
        <f>Q125*1.2</f>
        <v>105584.34</v>
      </c>
      <c r="R128" s="2955" t="s">
        <v>317</v>
      </c>
      <c r="S128" s="1032">
        <f>S125*1.2</f>
        <v>105584.34</v>
      </c>
      <c r="T128" s="1021">
        <f>S128</f>
        <v>105584.34</v>
      </c>
      <c r="U128" s="1005" t="s">
        <v>2245</v>
      </c>
    </row>
    <row r="129" spans="2:27" ht="21.75" customHeight="1" thickBot="1" x14ac:dyDescent="0.35">
      <c r="B129" s="2173"/>
      <c r="C129" s="5134" t="s">
        <v>2</v>
      </c>
      <c r="D129" s="5134"/>
      <c r="E129" s="5134"/>
      <c r="F129" s="5134"/>
      <c r="G129" s="5134"/>
      <c r="H129" s="5134"/>
      <c r="I129" s="5134"/>
      <c r="J129" s="5134"/>
      <c r="K129" s="5134"/>
      <c r="L129" s="5134"/>
      <c r="M129" s="5134"/>
      <c r="N129" s="5134"/>
      <c r="O129" s="5134"/>
      <c r="P129" s="5134"/>
      <c r="Q129" s="5134"/>
      <c r="R129" s="5134"/>
      <c r="S129" s="5169"/>
    </row>
    <row r="130" spans="2:27" ht="15.6" x14ac:dyDescent="0.3">
      <c r="B130" s="2174">
        <v>1</v>
      </c>
      <c r="C130" s="1093" t="s">
        <v>215</v>
      </c>
      <c r="D130" s="2760" t="s">
        <v>40</v>
      </c>
      <c r="E130" s="2175">
        <f>E131+E132+E133+E137</f>
        <v>1882.449193542265</v>
      </c>
      <c r="F130" s="2937"/>
      <c r="G130" s="2964">
        <f t="shared" ref="G130:S130" si="84">G131+G132+G133+G137</f>
        <v>1882.449193542265</v>
      </c>
      <c r="H130" s="2175">
        <f t="shared" si="84"/>
        <v>1563.3644607782335</v>
      </c>
      <c r="I130" s="2937"/>
      <c r="J130" s="2964">
        <f t="shared" si="84"/>
        <v>1563.3644607782335</v>
      </c>
      <c r="K130" s="2965">
        <f t="shared" si="84"/>
        <v>0.25325769273514848</v>
      </c>
      <c r="L130" s="2937"/>
      <c r="M130" s="2964">
        <f t="shared" si="84"/>
        <v>0.25325769273514848</v>
      </c>
      <c r="N130" s="2965">
        <f t="shared" si="84"/>
        <v>238.54577930208666</v>
      </c>
      <c r="O130" s="2937"/>
      <c r="P130" s="2964">
        <f t="shared" si="84"/>
        <v>238.54577930208666</v>
      </c>
      <c r="Q130" s="2965">
        <f t="shared" si="84"/>
        <v>80.285695769209624</v>
      </c>
      <c r="R130" s="2937"/>
      <c r="S130" s="2964">
        <f t="shared" si="84"/>
        <v>80.285695769209624</v>
      </c>
      <c r="T130" s="2158">
        <f>T14-T17</f>
        <v>0</v>
      </c>
      <c r="U130" s="2158">
        <f>U14-U17</f>
        <v>0</v>
      </c>
      <c r="V130" s="2158"/>
      <c r="W130" s="2158"/>
      <c r="X130" s="2158"/>
      <c r="Y130" s="2158"/>
      <c r="Z130" s="2158">
        <f>V14-V17</f>
        <v>0</v>
      </c>
      <c r="AA130" s="2158">
        <f>W14-W17</f>
        <v>0</v>
      </c>
    </row>
    <row r="131" spans="2:27" ht="15.6" x14ac:dyDescent="0.3">
      <c r="B131" s="2176" t="s">
        <v>23</v>
      </c>
      <c r="C131" s="1094" t="s">
        <v>102</v>
      </c>
      <c r="D131" s="3140" t="s">
        <v>40</v>
      </c>
      <c r="E131" s="2177">
        <f>'Д 4_Т на П'!G12</f>
        <v>16.205225647500001</v>
      </c>
      <c r="F131" s="1011"/>
      <c r="G131" s="2966">
        <f>E131</f>
        <v>16.205225647500001</v>
      </c>
      <c r="H131" s="3142">
        <f>E131*$H$17/$E$17</f>
        <v>13.458357305527256</v>
      </c>
      <c r="I131" s="1011"/>
      <c r="J131" s="2966">
        <f>H131</f>
        <v>13.458357305527256</v>
      </c>
      <c r="K131" s="3142">
        <f>E131*$K$17/$E$17</f>
        <v>2.1801906111556133E-3</v>
      </c>
      <c r="L131" s="1011"/>
      <c r="M131" s="2966">
        <f>K131</f>
        <v>2.1801906111556133E-3</v>
      </c>
      <c r="N131" s="3142">
        <f>E131*$N$17/$E$17</f>
        <v>2.0535418401252361</v>
      </c>
      <c r="O131" s="1011"/>
      <c r="P131" s="2966">
        <f>N131</f>
        <v>2.0535418401252361</v>
      </c>
      <c r="Q131" s="3142">
        <f>E131*$Q$17/$E$17</f>
        <v>0.69114631123635006</v>
      </c>
      <c r="R131" s="1011"/>
      <c r="S131" s="2966">
        <f>Q131</f>
        <v>0.69114631123635006</v>
      </c>
    </row>
    <row r="132" spans="2:27" ht="15.6" x14ac:dyDescent="0.3">
      <c r="B132" s="2176" t="s">
        <v>24</v>
      </c>
      <c r="C132" s="1094" t="s">
        <v>47</v>
      </c>
      <c r="D132" s="3140" t="s">
        <v>40</v>
      </c>
      <c r="E132" s="2177">
        <f>'Д 4_Т на П'!G13</f>
        <v>754.48063799999989</v>
      </c>
      <c r="F132" s="1011"/>
      <c r="G132" s="2966">
        <f>E132</f>
        <v>754.48063799999989</v>
      </c>
      <c r="H132" s="3142">
        <f>E132*$H$17/$E$17</f>
        <v>626.59232442546363</v>
      </c>
      <c r="I132" s="1011"/>
      <c r="J132" s="2966">
        <f>H132</f>
        <v>626.59232442546363</v>
      </c>
      <c r="K132" s="3142">
        <f>E132*$K$17/$E$17</f>
        <v>0.10150501073214364</v>
      </c>
      <c r="L132" s="1011"/>
      <c r="M132" s="2966">
        <f>K132</f>
        <v>0.10150501073214364</v>
      </c>
      <c r="N132" s="3142">
        <f>E132*$N$17/$E$17</f>
        <v>95.608514895095155</v>
      </c>
      <c r="O132" s="1011"/>
      <c r="P132" s="2966">
        <f>N132</f>
        <v>95.608514895095155</v>
      </c>
      <c r="Q132" s="3142">
        <f>E132*$Q$17/$E$17</f>
        <v>32.178293668708868</v>
      </c>
      <c r="R132" s="1011"/>
      <c r="S132" s="2966">
        <f>Q132</f>
        <v>32.178293668708868</v>
      </c>
    </row>
    <row r="133" spans="2:27" ht="15.6" x14ac:dyDescent="0.3">
      <c r="B133" s="2176" t="s">
        <v>48</v>
      </c>
      <c r="C133" s="1094" t="s">
        <v>217</v>
      </c>
      <c r="D133" s="3140" t="s">
        <v>40</v>
      </c>
      <c r="E133" s="2177">
        <f>E134+E135+E136</f>
        <v>1045.9627763240737</v>
      </c>
      <c r="F133" s="1011"/>
      <c r="G133" s="2966">
        <f t="shared" ref="G133:S133" si="85">G134+G135+G136</f>
        <v>1045.9627763240737</v>
      </c>
      <c r="H133" s="2177">
        <f t="shared" si="85"/>
        <v>868.66675467875007</v>
      </c>
      <c r="I133" s="1011"/>
      <c r="J133" s="2966">
        <f t="shared" si="85"/>
        <v>868.66675467875007</v>
      </c>
      <c r="K133" s="3142">
        <f t="shared" si="85"/>
        <v>0.14071993035850164</v>
      </c>
      <c r="L133" s="1011"/>
      <c r="M133" s="2966">
        <f t="shared" si="85"/>
        <v>0.14071993035850164</v>
      </c>
      <c r="N133" s="3142">
        <f t="shared" si="85"/>
        <v>132.54541288824342</v>
      </c>
      <c r="O133" s="1011"/>
      <c r="P133" s="2966">
        <f t="shared" si="85"/>
        <v>132.54541288824342</v>
      </c>
      <c r="Q133" s="3142">
        <f t="shared" si="85"/>
        <v>44.609888826721743</v>
      </c>
      <c r="R133" s="1011"/>
      <c r="S133" s="2966">
        <f t="shared" si="85"/>
        <v>44.609888826721743</v>
      </c>
    </row>
    <row r="134" spans="2:27" ht="26.4" x14ac:dyDescent="0.3">
      <c r="B134" s="2176" t="s">
        <v>49</v>
      </c>
      <c r="C134" s="1094" t="s">
        <v>452</v>
      </c>
      <c r="D134" s="3140" t="s">
        <v>40</v>
      </c>
      <c r="E134" s="2177">
        <f>'Д 4_Т на П'!G15</f>
        <v>165.98574035999997</v>
      </c>
      <c r="F134" s="1011"/>
      <c r="G134" s="2966">
        <f>E134</f>
        <v>165.98574035999997</v>
      </c>
      <c r="H134" s="3142">
        <f>E134*$H$17/$E$17</f>
        <v>137.85031137360201</v>
      </c>
      <c r="I134" s="1011"/>
      <c r="J134" s="2966">
        <f>H134</f>
        <v>137.85031137360201</v>
      </c>
      <c r="K134" s="3142">
        <f>E134*$K$17/$E$17</f>
        <v>2.2331102361071602E-2</v>
      </c>
      <c r="L134" s="1011"/>
      <c r="M134" s="2966">
        <f>K134</f>
        <v>2.2331102361071602E-2</v>
      </c>
      <c r="N134" s="3142">
        <f>E134*$N$17/$E$17</f>
        <v>21.033873276920936</v>
      </c>
      <c r="O134" s="1011"/>
      <c r="P134" s="2966">
        <f>N134</f>
        <v>21.033873276920936</v>
      </c>
      <c r="Q134" s="3142">
        <f>E134*$Q$17/$E$17</f>
        <v>7.0792246071159504</v>
      </c>
      <c r="R134" s="1011"/>
      <c r="S134" s="2966">
        <f>Q134</f>
        <v>7.0792246071159504</v>
      </c>
    </row>
    <row r="135" spans="2:27" ht="15.6" x14ac:dyDescent="0.3">
      <c r="B135" s="2176" t="s">
        <v>50</v>
      </c>
      <c r="C135" s="1094" t="s">
        <v>460</v>
      </c>
      <c r="D135" s="3140" t="s">
        <v>40</v>
      </c>
      <c r="E135" s="2177">
        <f>'Д 4_Т на П'!G16</f>
        <v>843.99335000000065</v>
      </c>
      <c r="F135" s="1011"/>
      <c r="G135" s="2966">
        <f>E135</f>
        <v>843.99335000000065</v>
      </c>
      <c r="H135" s="3142">
        <f>E135*$H$17/$E$17</f>
        <v>700.9321755134747</v>
      </c>
      <c r="I135" s="1011"/>
      <c r="J135" s="2966">
        <f>H135</f>
        <v>700.9321755134747</v>
      </c>
      <c r="K135" s="3142">
        <f>E135*$K$17/$E$17</f>
        <v>0.11354771711134083</v>
      </c>
      <c r="L135" s="1011"/>
      <c r="M135" s="2966">
        <f>K135</f>
        <v>0.11354771711134083</v>
      </c>
      <c r="N135" s="3142">
        <f>E135*$N$17/$E$17</f>
        <v>106.95165218386471</v>
      </c>
      <c r="O135" s="1011"/>
      <c r="P135" s="2966">
        <f>N135</f>
        <v>106.95165218386471</v>
      </c>
      <c r="Q135" s="3142">
        <f>E135*$Q$17/$E$17</f>
        <v>35.995974585549817</v>
      </c>
      <c r="R135" s="1011"/>
      <c r="S135" s="2966">
        <f>Q135</f>
        <v>35.995974585549817</v>
      </c>
    </row>
    <row r="136" spans="2:27" ht="15.6" x14ac:dyDescent="0.3">
      <c r="B136" s="2176" t="s">
        <v>51</v>
      </c>
      <c r="C136" s="1094" t="s">
        <v>52</v>
      </c>
      <c r="D136" s="3140" t="s">
        <v>40</v>
      </c>
      <c r="E136" s="2177">
        <f>'Д 4_Т на П'!G17</f>
        <v>35.983685964073175</v>
      </c>
      <c r="F136" s="1011"/>
      <c r="G136" s="2966">
        <f>E136</f>
        <v>35.983685964073175</v>
      </c>
      <c r="H136" s="3142">
        <f>E136*$H$17/$E$17</f>
        <v>29.884267791673331</v>
      </c>
      <c r="I136" s="1011"/>
      <c r="J136" s="2966">
        <f>H136</f>
        <v>29.884267791673331</v>
      </c>
      <c r="K136" s="3142">
        <f>E136*$K$17/$E$17</f>
        <v>4.8411108860892133E-3</v>
      </c>
      <c r="L136" s="1011"/>
      <c r="M136" s="2966">
        <f>K136</f>
        <v>4.8411108860892133E-3</v>
      </c>
      <c r="N136" s="3142">
        <f>E136*$N$17/$E$17</f>
        <v>4.5598874274577703</v>
      </c>
      <c r="O136" s="1011"/>
      <c r="P136" s="2966">
        <f>N136</f>
        <v>4.5598874274577703</v>
      </c>
      <c r="Q136" s="3142">
        <f>E136*$Q$17/$E$17</f>
        <v>1.5346896340559826</v>
      </c>
      <c r="R136" s="1011"/>
      <c r="S136" s="2966">
        <f>Q136</f>
        <v>1.5346896340559826</v>
      </c>
    </row>
    <row r="137" spans="2:27" ht="15.6" x14ac:dyDescent="0.3">
      <c r="B137" s="2176" t="s">
        <v>53</v>
      </c>
      <c r="C137" s="1095" t="s">
        <v>218</v>
      </c>
      <c r="D137" s="3186" t="s">
        <v>40</v>
      </c>
      <c r="E137" s="2178">
        <f>E138+E139+E140</f>
        <v>65.800553570691349</v>
      </c>
      <c r="F137" s="1011"/>
      <c r="G137" s="2967">
        <f t="shared" ref="G137:S137" si="86">G138+G139+G140</f>
        <v>65.800553570691349</v>
      </c>
      <c r="H137" s="2178">
        <f t="shared" si="86"/>
        <v>54.647024368492467</v>
      </c>
      <c r="I137" s="1011"/>
      <c r="J137" s="2967">
        <f t="shared" si="86"/>
        <v>54.647024368492467</v>
      </c>
      <c r="K137" s="2161">
        <f t="shared" si="86"/>
        <v>8.8525610333475765E-3</v>
      </c>
      <c r="L137" s="1011"/>
      <c r="M137" s="2967">
        <f t="shared" si="86"/>
        <v>8.8525610333475765E-3</v>
      </c>
      <c r="N137" s="2161">
        <f t="shared" si="86"/>
        <v>8.3383096786228617</v>
      </c>
      <c r="O137" s="1011"/>
      <c r="P137" s="2967">
        <f t="shared" si="86"/>
        <v>8.3383096786228617</v>
      </c>
      <c r="Q137" s="2161">
        <f t="shared" si="86"/>
        <v>2.806366962542671</v>
      </c>
      <c r="R137" s="1011"/>
      <c r="S137" s="2967">
        <f t="shared" si="86"/>
        <v>2.806366962542671</v>
      </c>
    </row>
    <row r="138" spans="2:27" ht="15.6" x14ac:dyDescent="0.3">
      <c r="B138" s="2176" t="s">
        <v>54</v>
      </c>
      <c r="C138" s="1094" t="s">
        <v>55</v>
      </c>
      <c r="D138" s="3140" t="s">
        <v>40</v>
      </c>
      <c r="E138" s="2177">
        <f>'Д 4_Т на П'!G19</f>
        <v>50.279889693741083</v>
      </c>
      <c r="F138" s="1011"/>
      <c r="G138" s="2966">
        <f>E138</f>
        <v>50.279889693741083</v>
      </c>
      <c r="H138" s="3142">
        <f>E138*$H$17/$E$17</f>
        <v>41.757192124335397</v>
      </c>
      <c r="I138" s="1011"/>
      <c r="J138" s="2966">
        <f>H138</f>
        <v>41.757192124335397</v>
      </c>
      <c r="K138" s="3142">
        <f>E138*$K$17/$E$17</f>
        <v>6.7644688093032122E-3</v>
      </c>
      <c r="L138" s="1011"/>
      <c r="M138" s="2966">
        <f>K138</f>
        <v>6.7644688093032122E-3</v>
      </c>
      <c r="N138" s="3142">
        <f>E138*$N$17/$E$17</f>
        <v>6.3715161670030644</v>
      </c>
      <c r="O138" s="1011"/>
      <c r="P138" s="2966">
        <f>N138</f>
        <v>6.3715161670030644</v>
      </c>
      <c r="Q138" s="3142">
        <f>E138*$Q$17/$E$17</f>
        <v>2.144416933593317</v>
      </c>
      <c r="R138" s="1011"/>
      <c r="S138" s="2966">
        <f>Q138</f>
        <v>2.144416933593317</v>
      </c>
    </row>
    <row r="139" spans="2:27" ht="26.4" x14ac:dyDescent="0.3">
      <c r="B139" s="2176" t="s">
        <v>56</v>
      </c>
      <c r="C139" s="1094" t="s">
        <v>452</v>
      </c>
      <c r="D139" s="3140" t="s">
        <v>40</v>
      </c>
      <c r="E139" s="2177">
        <f>'Д 4_Т на П'!G20</f>
        <v>10.73236983354378</v>
      </c>
      <c r="F139" s="1011"/>
      <c r="G139" s="2966">
        <f>E139</f>
        <v>10.73236983354378</v>
      </c>
      <c r="H139" s="3142">
        <f>E139*$H$17/$E$17</f>
        <v>8.9131784460636148</v>
      </c>
      <c r="I139" s="1011"/>
      <c r="J139" s="2966">
        <f>H139</f>
        <v>8.9131784460636148</v>
      </c>
      <c r="K139" s="3142">
        <f>E139*$K$17/$E$17</f>
        <v>1.4438930043625536E-3</v>
      </c>
      <c r="L139" s="1011"/>
      <c r="M139" s="2966">
        <f>K139</f>
        <v>1.4438930043625536E-3</v>
      </c>
      <c r="N139" s="3142">
        <f>E139*$N$17/$E$17</f>
        <v>1.360016267362504</v>
      </c>
      <c r="O139" s="1011"/>
      <c r="P139" s="2966">
        <f>N139</f>
        <v>1.360016267362504</v>
      </c>
      <c r="Q139" s="3142">
        <f>E139*$Q$17/$E$17</f>
        <v>0.45773122711329789</v>
      </c>
      <c r="R139" s="1011"/>
      <c r="S139" s="2966">
        <f>Q139</f>
        <v>0.45773122711329789</v>
      </c>
    </row>
    <row r="140" spans="2:27" ht="15.6" x14ac:dyDescent="0.3">
      <c r="B140" s="2176" t="s">
        <v>57</v>
      </c>
      <c r="C140" s="1094" t="s">
        <v>58</v>
      </c>
      <c r="D140" s="3140" t="s">
        <v>40</v>
      </c>
      <c r="E140" s="2177">
        <f>'Д 4_Т на П'!G21</f>
        <v>4.788294043406486</v>
      </c>
      <c r="F140" s="1011"/>
      <c r="G140" s="2966">
        <f>E140</f>
        <v>4.788294043406486</v>
      </c>
      <c r="H140" s="3142">
        <f>E140*$H$17/$E$17</f>
        <v>3.9766537980934542</v>
      </c>
      <c r="I140" s="1011"/>
      <c r="J140" s="2966">
        <f>H140</f>
        <v>3.9766537980934542</v>
      </c>
      <c r="K140" s="3142">
        <f>E140*$K$17/$E$17</f>
        <v>6.4419921968181097E-4</v>
      </c>
      <c r="L140" s="1011"/>
      <c r="M140" s="2966">
        <f>K140</f>
        <v>6.4419921968181097E-4</v>
      </c>
      <c r="N140" s="3142">
        <f>E140*$N$17/$E$17</f>
        <v>0.6067772442572934</v>
      </c>
      <c r="O140" s="1011"/>
      <c r="P140" s="2966">
        <f>N140</f>
        <v>0.6067772442572934</v>
      </c>
      <c r="Q140" s="3142">
        <f>E140*$Q$17/$E$17</f>
        <v>0.20421880183605631</v>
      </c>
      <c r="R140" s="1011"/>
      <c r="S140" s="2966">
        <f>Q140</f>
        <v>0.20421880183605631</v>
      </c>
    </row>
    <row r="141" spans="2:27" ht="15.6" x14ac:dyDescent="0.3">
      <c r="B141" s="2176">
        <v>2</v>
      </c>
      <c r="C141" s="1095" t="s">
        <v>219</v>
      </c>
      <c r="D141" s="3140" t="s">
        <v>40</v>
      </c>
      <c r="E141" s="2178">
        <f>E142+E143+E144</f>
        <v>79.995936156684508</v>
      </c>
      <c r="F141" s="1011"/>
      <c r="G141" s="2967">
        <f t="shared" ref="G141:S141" si="87">G142+G143+G144</f>
        <v>79.995936156684508</v>
      </c>
      <c r="H141" s="2178">
        <f t="shared" si="87"/>
        <v>66.436217255197406</v>
      </c>
      <c r="I141" s="1011"/>
      <c r="J141" s="2967">
        <f t="shared" si="87"/>
        <v>66.436217255197406</v>
      </c>
      <c r="K141" s="2161">
        <f t="shared" si="87"/>
        <v>1.0762354855966681E-2</v>
      </c>
      <c r="L141" s="1011"/>
      <c r="M141" s="2967">
        <f t="shared" si="87"/>
        <v>1.0762354855966681E-2</v>
      </c>
      <c r="N141" s="2161">
        <f t="shared" si="87"/>
        <v>10.137162265499322</v>
      </c>
      <c r="O141" s="1011"/>
      <c r="P141" s="2967">
        <f t="shared" si="87"/>
        <v>10.137162265499322</v>
      </c>
      <c r="Q141" s="2178">
        <f t="shared" si="87"/>
        <v>3.4117942811318116</v>
      </c>
      <c r="R141" s="1011"/>
      <c r="S141" s="2967">
        <f t="shared" si="87"/>
        <v>3.4117942811318116</v>
      </c>
    </row>
    <row r="142" spans="2:27" ht="15.6" x14ac:dyDescent="0.3">
      <c r="B142" s="2176" t="s">
        <v>25</v>
      </c>
      <c r="C142" s="1094" t="s">
        <v>55</v>
      </c>
      <c r="D142" s="3140" t="s">
        <v>40</v>
      </c>
      <c r="E142" s="2177">
        <f>'Д 4_Т на П'!G23</f>
        <v>59.90608734861253</v>
      </c>
      <c r="F142" s="1011"/>
      <c r="G142" s="2966">
        <f>E142</f>
        <v>59.90608734861253</v>
      </c>
      <c r="H142" s="3142">
        <f>E142*$H$17/$E$17</f>
        <v>49.751700213945043</v>
      </c>
      <c r="I142" s="1011"/>
      <c r="J142" s="2966">
        <f>H142</f>
        <v>49.751700213945043</v>
      </c>
      <c r="K142" s="3142">
        <f>E142*$K$17/$E$17</f>
        <v>8.0595415349037098E-3</v>
      </c>
      <c r="L142" s="1011"/>
      <c r="M142" s="2966">
        <f>K142</f>
        <v>8.0595415349037098E-3</v>
      </c>
      <c r="N142" s="3142">
        <f>E142*$N$17/$E$17</f>
        <v>7.5913572278798416</v>
      </c>
      <c r="O142" s="1011"/>
      <c r="P142" s="2966">
        <f>N142</f>
        <v>7.5913572278798416</v>
      </c>
      <c r="Q142" s="3142">
        <f>E142*$Q$17/$E$17</f>
        <v>2.5549703652527387</v>
      </c>
      <c r="R142" s="1011"/>
      <c r="S142" s="2966">
        <f>Q142</f>
        <v>2.5549703652527387</v>
      </c>
    </row>
    <row r="143" spans="2:27" ht="26.4" x14ac:dyDescent="0.3">
      <c r="B143" s="2176" t="s">
        <v>26</v>
      </c>
      <c r="C143" s="1094" t="s">
        <v>452</v>
      </c>
      <c r="D143" s="3140" t="s">
        <v>40</v>
      </c>
      <c r="E143" s="2177">
        <f>'Д 4_Т на П'!G24</f>
        <v>13.179339216694757</v>
      </c>
      <c r="F143" s="1011"/>
      <c r="G143" s="2966">
        <f>E143</f>
        <v>13.179339216694757</v>
      </c>
      <c r="H143" s="3142">
        <f>E143*$H$17/$E$17</f>
        <v>10.94537404706791</v>
      </c>
      <c r="I143" s="1011"/>
      <c r="J143" s="2966">
        <f>H143</f>
        <v>10.94537404706791</v>
      </c>
      <c r="K143" s="3142">
        <f>E143*$K$17/$E$17</f>
        <v>1.7730991376788165E-3</v>
      </c>
      <c r="L143" s="1011"/>
      <c r="M143" s="2966">
        <f>K143</f>
        <v>1.7730991376788165E-3</v>
      </c>
      <c r="N143" s="3142">
        <f>E143*$N$17/$E$17</f>
        <v>1.670098590133565</v>
      </c>
      <c r="O143" s="1011"/>
      <c r="P143" s="2966">
        <f>N143</f>
        <v>1.670098590133565</v>
      </c>
      <c r="Q143" s="3142">
        <f>E143*$Q$17/$E$17</f>
        <v>0.56209348035560258</v>
      </c>
      <c r="R143" s="1011"/>
      <c r="S143" s="2966">
        <f>Q143</f>
        <v>0.56209348035560258</v>
      </c>
    </row>
    <row r="144" spans="2:27" ht="15.6" x14ac:dyDescent="0.3">
      <c r="B144" s="2176" t="s">
        <v>59</v>
      </c>
      <c r="C144" s="1094" t="s">
        <v>58</v>
      </c>
      <c r="D144" s="3140" t="s">
        <v>40</v>
      </c>
      <c r="E144" s="2177">
        <f>'Д 4_Т на П'!G25</f>
        <v>6.9105095913772203</v>
      </c>
      <c r="F144" s="1011"/>
      <c r="G144" s="2966">
        <f>E144</f>
        <v>6.9105095913772203</v>
      </c>
      <c r="H144" s="3142">
        <f>E144*$H$17/$E$17</f>
        <v>5.7391429941844496</v>
      </c>
      <c r="I144" s="1011"/>
      <c r="J144" s="2966">
        <f>H144</f>
        <v>5.7391429941844496</v>
      </c>
      <c r="K144" s="3142">
        <f>E144*$K$17/$E$17</f>
        <v>9.297141833841553E-4</v>
      </c>
      <c r="L144" s="1011"/>
      <c r="M144" s="2966">
        <f>K144</f>
        <v>9.297141833841553E-4</v>
      </c>
      <c r="N144" s="3142">
        <f>E144*$N$17/$E$17</f>
        <v>0.87570644748591553</v>
      </c>
      <c r="O144" s="1011"/>
      <c r="P144" s="2966">
        <f>N144</f>
        <v>0.87570644748591553</v>
      </c>
      <c r="Q144" s="3142">
        <f>E144*$Q$17/$E$17</f>
        <v>0.29473043552347011</v>
      </c>
      <c r="R144" s="1011"/>
      <c r="S144" s="2966">
        <f>Q144</f>
        <v>0.29473043552347011</v>
      </c>
    </row>
    <row r="145" spans="2:20" ht="15.6" x14ac:dyDescent="0.3">
      <c r="B145" s="2176" t="s">
        <v>173</v>
      </c>
      <c r="C145" s="1096" t="s">
        <v>220</v>
      </c>
      <c r="D145" s="3140" t="s">
        <v>40</v>
      </c>
      <c r="E145" s="2178">
        <f>E146+E147+E148</f>
        <v>0</v>
      </c>
      <c r="F145" s="1011"/>
      <c r="G145" s="2967">
        <f t="shared" ref="G145:S145" si="88">G146+G147+G148</f>
        <v>0</v>
      </c>
      <c r="H145" s="2178">
        <f t="shared" si="88"/>
        <v>0</v>
      </c>
      <c r="I145" s="1011"/>
      <c r="J145" s="2967">
        <f t="shared" si="88"/>
        <v>0</v>
      </c>
      <c r="K145" s="2161">
        <f t="shared" si="88"/>
        <v>0</v>
      </c>
      <c r="L145" s="1011"/>
      <c r="M145" s="2967">
        <f t="shared" si="88"/>
        <v>0</v>
      </c>
      <c r="N145" s="2161">
        <f t="shared" si="88"/>
        <v>0</v>
      </c>
      <c r="O145" s="1011"/>
      <c r="P145" s="2967">
        <f t="shared" si="88"/>
        <v>0</v>
      </c>
      <c r="Q145" s="2161">
        <f t="shared" si="88"/>
        <v>0</v>
      </c>
      <c r="R145" s="1011"/>
      <c r="S145" s="2967">
        <f t="shared" si="88"/>
        <v>0</v>
      </c>
    </row>
    <row r="146" spans="2:20" ht="15.6" x14ac:dyDescent="0.3">
      <c r="B146" s="2176" t="s">
        <v>60</v>
      </c>
      <c r="C146" s="1097" t="s">
        <v>55</v>
      </c>
      <c r="D146" s="3140" t="s">
        <v>40</v>
      </c>
      <c r="E146" s="2178">
        <f>'Д 4_Т на П'!G27</f>
        <v>0</v>
      </c>
      <c r="F146" s="1011"/>
      <c r="G146" s="2966">
        <f>E146</f>
        <v>0</v>
      </c>
      <c r="H146" s="3142">
        <f t="shared" ref="H146:H152" si="89">E146*$H$17/$E$17</f>
        <v>0</v>
      </c>
      <c r="I146" s="1011"/>
      <c r="J146" s="2966">
        <f>H146</f>
        <v>0</v>
      </c>
      <c r="K146" s="3142">
        <f t="shared" ref="K146:K152" si="90">E146*$K$17/$E$17</f>
        <v>0</v>
      </c>
      <c r="L146" s="1011"/>
      <c r="M146" s="2966">
        <f>K146</f>
        <v>0</v>
      </c>
      <c r="N146" s="3142">
        <f t="shared" ref="N146:N152" si="91">E146*$N$17/$E$17</f>
        <v>0</v>
      </c>
      <c r="O146" s="1011"/>
      <c r="P146" s="2966">
        <f>N146</f>
        <v>0</v>
      </c>
      <c r="Q146" s="3142">
        <f t="shared" ref="Q146:Q152" si="92">E146*$Q$17/$E$17</f>
        <v>0</v>
      </c>
      <c r="R146" s="1011"/>
      <c r="S146" s="2966">
        <f>Q146</f>
        <v>0</v>
      </c>
    </row>
    <row r="147" spans="2:20" ht="26.4" x14ac:dyDescent="0.3">
      <c r="B147" s="2176" t="s">
        <v>61</v>
      </c>
      <c r="C147" s="1097" t="s">
        <v>452</v>
      </c>
      <c r="D147" s="3140" t="s">
        <v>40</v>
      </c>
      <c r="E147" s="2178">
        <f>'Д 4_Т на П'!G28</f>
        <v>0</v>
      </c>
      <c r="F147" s="1011"/>
      <c r="G147" s="2966">
        <f t="shared" ref="G147:G157" si="93">E147</f>
        <v>0</v>
      </c>
      <c r="H147" s="3142">
        <f t="shared" si="89"/>
        <v>0</v>
      </c>
      <c r="I147" s="1011"/>
      <c r="J147" s="2966">
        <f t="shared" ref="J147:J157" si="94">H147</f>
        <v>0</v>
      </c>
      <c r="K147" s="3142">
        <f t="shared" si="90"/>
        <v>0</v>
      </c>
      <c r="L147" s="1011"/>
      <c r="M147" s="2966">
        <f t="shared" ref="M147:M157" si="95">K147</f>
        <v>0</v>
      </c>
      <c r="N147" s="3142">
        <f t="shared" si="91"/>
        <v>0</v>
      </c>
      <c r="O147" s="1011"/>
      <c r="P147" s="2966">
        <f t="shared" ref="P147:P157" si="96">N147</f>
        <v>0</v>
      </c>
      <c r="Q147" s="3142">
        <f t="shared" si="92"/>
        <v>0</v>
      </c>
      <c r="R147" s="1011"/>
      <c r="S147" s="2966">
        <f t="shared" ref="S147:S157" si="97">Q147</f>
        <v>0</v>
      </c>
    </row>
    <row r="148" spans="2:20" ht="15.6" x14ac:dyDescent="0.3">
      <c r="B148" s="2176" t="s">
        <v>62</v>
      </c>
      <c r="C148" s="1098" t="s">
        <v>233</v>
      </c>
      <c r="D148" s="3140" t="s">
        <v>40</v>
      </c>
      <c r="E148" s="2178">
        <f>'Д 4_Т на П'!G29</f>
        <v>0</v>
      </c>
      <c r="F148" s="1011"/>
      <c r="G148" s="2966">
        <f t="shared" si="93"/>
        <v>0</v>
      </c>
      <c r="H148" s="3142">
        <f t="shared" si="89"/>
        <v>0</v>
      </c>
      <c r="I148" s="1011"/>
      <c r="J148" s="2966">
        <f t="shared" si="94"/>
        <v>0</v>
      </c>
      <c r="K148" s="3142">
        <f t="shared" si="90"/>
        <v>0</v>
      </c>
      <c r="L148" s="1011"/>
      <c r="M148" s="2966">
        <f t="shared" si="95"/>
        <v>0</v>
      </c>
      <c r="N148" s="3142">
        <f t="shared" si="91"/>
        <v>0</v>
      </c>
      <c r="O148" s="1011"/>
      <c r="P148" s="2966">
        <f t="shared" si="96"/>
        <v>0</v>
      </c>
      <c r="Q148" s="3142">
        <f t="shared" si="92"/>
        <v>0</v>
      </c>
      <c r="R148" s="1011"/>
      <c r="S148" s="2966">
        <f t="shared" si="97"/>
        <v>0</v>
      </c>
    </row>
    <row r="149" spans="2:20" ht="15.6" x14ac:dyDescent="0.3">
      <c r="B149" s="2176" t="s">
        <v>174</v>
      </c>
      <c r="C149" s="1095" t="s">
        <v>105</v>
      </c>
      <c r="D149" s="3140" t="s">
        <v>40</v>
      </c>
      <c r="E149" s="2178">
        <f>'Д 4_Т на П'!G30</f>
        <v>0</v>
      </c>
      <c r="F149" s="1011"/>
      <c r="G149" s="2966">
        <f t="shared" si="93"/>
        <v>0</v>
      </c>
      <c r="H149" s="3142">
        <f t="shared" si="89"/>
        <v>0</v>
      </c>
      <c r="I149" s="1011"/>
      <c r="J149" s="2966">
        <f t="shared" si="94"/>
        <v>0</v>
      </c>
      <c r="K149" s="3142">
        <f t="shared" si="90"/>
        <v>0</v>
      </c>
      <c r="L149" s="1011"/>
      <c r="M149" s="2966">
        <f t="shared" si="95"/>
        <v>0</v>
      </c>
      <c r="N149" s="3142">
        <f t="shared" si="91"/>
        <v>0</v>
      </c>
      <c r="O149" s="1011"/>
      <c r="P149" s="2966">
        <f t="shared" si="96"/>
        <v>0</v>
      </c>
      <c r="Q149" s="3142">
        <f t="shared" si="92"/>
        <v>0</v>
      </c>
      <c r="R149" s="1011"/>
      <c r="S149" s="2966">
        <f t="shared" si="97"/>
        <v>0</v>
      </c>
    </row>
    <row r="150" spans="2:20" ht="15.6" x14ac:dyDescent="0.3">
      <c r="B150" s="2176" t="s">
        <v>169</v>
      </c>
      <c r="C150" s="1095" t="s">
        <v>5</v>
      </c>
      <c r="D150" s="3140" t="s">
        <v>40</v>
      </c>
      <c r="E150" s="2178">
        <f>'Д 4_Т на П'!G31</f>
        <v>0</v>
      </c>
      <c r="F150" s="1011"/>
      <c r="G150" s="2966">
        <f t="shared" si="93"/>
        <v>0</v>
      </c>
      <c r="H150" s="3142">
        <f t="shared" si="89"/>
        <v>0</v>
      </c>
      <c r="I150" s="1011"/>
      <c r="J150" s="2966">
        <f t="shared" si="94"/>
        <v>0</v>
      </c>
      <c r="K150" s="3142">
        <f t="shared" si="90"/>
        <v>0</v>
      </c>
      <c r="L150" s="1011"/>
      <c r="M150" s="2966">
        <f t="shared" si="95"/>
        <v>0</v>
      </c>
      <c r="N150" s="3142">
        <f t="shared" si="91"/>
        <v>0</v>
      </c>
      <c r="O150" s="1011"/>
      <c r="P150" s="2966">
        <f t="shared" si="96"/>
        <v>0</v>
      </c>
      <c r="Q150" s="3142">
        <f t="shared" si="92"/>
        <v>0</v>
      </c>
      <c r="R150" s="1011"/>
      <c r="S150" s="2966">
        <f t="shared" si="97"/>
        <v>0</v>
      </c>
    </row>
    <row r="151" spans="2:20" ht="15.6" x14ac:dyDescent="0.3">
      <c r="B151" s="2176" t="s">
        <v>170</v>
      </c>
      <c r="C151" s="1095" t="s">
        <v>63</v>
      </c>
      <c r="D151" s="3186" t="s">
        <v>40</v>
      </c>
      <c r="E151" s="2178">
        <f>E150+E149+E145+E141+E130</f>
        <v>1962.4451296989496</v>
      </c>
      <c r="F151" s="2926"/>
      <c r="G151" s="2967">
        <f t="shared" si="93"/>
        <v>1962.4451296989496</v>
      </c>
      <c r="H151" s="2161">
        <f t="shared" si="89"/>
        <v>1629.8006780334308</v>
      </c>
      <c r="I151" s="2926"/>
      <c r="J151" s="2967">
        <f t="shared" si="94"/>
        <v>1629.8006780334308</v>
      </c>
      <c r="K151" s="2161">
        <f t="shared" si="90"/>
        <v>0.26402004759111519</v>
      </c>
      <c r="L151" s="2926"/>
      <c r="M151" s="2967">
        <f t="shared" si="95"/>
        <v>0.26402004759111519</v>
      </c>
      <c r="N151" s="2161">
        <f t="shared" si="91"/>
        <v>248.682941567586</v>
      </c>
      <c r="O151" s="2926"/>
      <c r="P151" s="2967">
        <f t="shared" si="96"/>
        <v>248.682941567586</v>
      </c>
      <c r="Q151" s="2161">
        <f t="shared" si="92"/>
        <v>83.697490050341457</v>
      </c>
      <c r="R151" s="2926"/>
      <c r="S151" s="2967">
        <f t="shared" si="97"/>
        <v>83.697490050341457</v>
      </c>
      <c r="T151" s="2157">
        <f>'Д 4_Т на П'!G32</f>
        <v>1962.4451296989496</v>
      </c>
    </row>
    <row r="152" spans="2:20" ht="18.600000000000001" customHeight="1" x14ac:dyDescent="0.3">
      <c r="B152" s="2176" t="s">
        <v>171</v>
      </c>
      <c r="C152" s="1091" t="s">
        <v>2655</v>
      </c>
      <c r="D152" s="3140" t="s">
        <v>40</v>
      </c>
      <c r="E152" s="2178">
        <f>'Д 4_Т на П'!G33</f>
        <v>0</v>
      </c>
      <c r="F152" s="1011"/>
      <c r="G152" s="2966">
        <f t="shared" si="93"/>
        <v>0</v>
      </c>
      <c r="H152" s="3142">
        <f t="shared" si="89"/>
        <v>0</v>
      </c>
      <c r="I152" s="1011"/>
      <c r="J152" s="2966">
        <f t="shared" si="94"/>
        <v>0</v>
      </c>
      <c r="K152" s="3142">
        <f t="shared" si="90"/>
        <v>0</v>
      </c>
      <c r="L152" s="1011"/>
      <c r="M152" s="2966">
        <f t="shared" si="95"/>
        <v>0</v>
      </c>
      <c r="N152" s="3142">
        <f t="shared" si="91"/>
        <v>0</v>
      </c>
      <c r="O152" s="1011"/>
      <c r="P152" s="2966">
        <f t="shared" si="96"/>
        <v>0</v>
      </c>
      <c r="Q152" s="3142">
        <f t="shared" si="92"/>
        <v>0</v>
      </c>
      <c r="R152" s="1011"/>
      <c r="S152" s="2966">
        <f t="shared" si="97"/>
        <v>0</v>
      </c>
    </row>
    <row r="153" spans="2:20" ht="15.6" x14ac:dyDescent="0.3">
      <c r="B153" s="2176" t="s">
        <v>172</v>
      </c>
      <c r="C153" s="1095" t="s">
        <v>242</v>
      </c>
      <c r="D153" s="3140" t="s">
        <v>40</v>
      </c>
      <c r="E153" s="2178">
        <f>E154+E155+E156+E157+E158</f>
        <v>90.942579181170828</v>
      </c>
      <c r="F153" s="1011"/>
      <c r="G153" s="2967">
        <f t="shared" ref="G153:S153" si="98">G154+G155+G156+G157+G158</f>
        <v>90.942579181170828</v>
      </c>
      <c r="H153" s="2178">
        <f t="shared" si="98"/>
        <v>75.527348494232143</v>
      </c>
      <c r="I153" s="1011"/>
      <c r="J153" s="2967">
        <f t="shared" si="98"/>
        <v>75.527348494232143</v>
      </c>
      <c r="K153" s="2161">
        <f t="shared" si="98"/>
        <v>1.2235075376173628E-2</v>
      </c>
      <c r="L153" s="1011"/>
      <c r="M153" s="2967">
        <f t="shared" si="98"/>
        <v>1.2235075376173628E-2</v>
      </c>
      <c r="N153" s="2161">
        <f t="shared" si="98"/>
        <v>11.524331438497887</v>
      </c>
      <c r="O153" s="1011"/>
      <c r="P153" s="2967">
        <f t="shared" si="98"/>
        <v>11.524331438497887</v>
      </c>
      <c r="Q153" s="2161">
        <f t="shared" si="98"/>
        <v>3.8786641730646036</v>
      </c>
      <c r="R153" s="1011"/>
      <c r="S153" s="2967">
        <f t="shared" si="98"/>
        <v>3.8786641730646036</v>
      </c>
    </row>
    <row r="154" spans="2:20" ht="15.6" x14ac:dyDescent="0.3">
      <c r="B154" s="2176" t="s">
        <v>115</v>
      </c>
      <c r="C154" s="1094" t="s">
        <v>65</v>
      </c>
      <c r="D154" s="3140" t="s">
        <v>40</v>
      </c>
      <c r="E154" s="3143">
        <f>(E155+E156+E157+E158)/(100%-'Вхідні дані'!$D$46)-(E155+E156+E157+E158)</f>
        <v>16.369664252610747</v>
      </c>
      <c r="F154" s="1011"/>
      <c r="G154" s="2961">
        <f>(G155+G156+G157+G158)/(100%-'Вхідні дані'!$D$46)-(G155+G156+G157+G158)</f>
        <v>16.369664252610747</v>
      </c>
      <c r="H154" s="3143">
        <f>(H155+H156+H157+H158)/(100%-'Вхідні дані'!$D$46)-(H155+H156+H157+H158)</f>
        <v>13.594922728961777</v>
      </c>
      <c r="I154" s="1011"/>
      <c r="J154" s="2961">
        <f>(J155+J156+J157+J158)/(100%-'Вхідні дані'!$D$46)-(J155+J156+J157+J158)</f>
        <v>13.594922728961777</v>
      </c>
      <c r="K154" s="3143">
        <f>(K155+K156+K157+K158)/(100%-'Вхідні дані'!$D$46)-(K155+K156+K157+K158)</f>
        <v>2.2023135677112522E-3</v>
      </c>
      <c r="L154" s="1011"/>
      <c r="M154" s="2961">
        <f>(M155+M156+M157+M158)/(100%-'Вхідні дані'!$D$46)-(M155+M156+M157+M158)</f>
        <v>2.2023135677112522E-3</v>
      </c>
      <c r="N154" s="3143">
        <f>(N155+N156+N157+N158)/(100%-'Вхідні дані'!$D$46)-(N155+N156+N157+N158)</f>
        <v>2.0743796589296188</v>
      </c>
      <c r="O154" s="1011"/>
      <c r="P154" s="2961">
        <f>(P155+P156+P157+P158)/(100%-'Вхідні дані'!$D$46)-(P155+P156+P157+P158)</f>
        <v>2.0743796589296188</v>
      </c>
      <c r="Q154" s="3143">
        <f>(Q155+Q156+Q157+Q158)/(100%-'Вхідні дані'!$D$46)-(Q155+Q156+Q157+Q158)</f>
        <v>0.69815955115162831</v>
      </c>
      <c r="R154" s="1011"/>
      <c r="S154" s="2961">
        <f>(S155+S156+S157+S158)/(100%-'Вхідні дані'!$D$46)-(S155+S156+S157+S158)</f>
        <v>0.69815955115162831</v>
      </c>
    </row>
    <row r="155" spans="2:20" ht="15.6" x14ac:dyDescent="0.3">
      <c r="B155" s="2176" t="s">
        <v>117</v>
      </c>
      <c r="C155" s="1094" t="s">
        <v>84</v>
      </c>
      <c r="D155" s="3140" t="s">
        <v>40</v>
      </c>
      <c r="E155" s="3143">
        <f>(E156+E157+E158)/(100%-'Вхідні дані'!$D$47)*'Вхідні дані'!$D$47</f>
        <v>0</v>
      </c>
      <c r="F155" s="1011"/>
      <c r="G155" s="2966">
        <f t="shared" si="93"/>
        <v>0</v>
      </c>
      <c r="H155" s="3143">
        <f>(H156+H157+H158)/(100%-'Вхідні дані'!$D$47)*'Вхідні дані'!$D$47</f>
        <v>0</v>
      </c>
      <c r="I155" s="1011"/>
      <c r="J155" s="2966">
        <f t="shared" si="94"/>
        <v>0</v>
      </c>
      <c r="K155" s="3143">
        <f>(K156+K157+K158)/(100%-'Вхідні дані'!$D$47)*'Вхідні дані'!$D$47</f>
        <v>0</v>
      </c>
      <c r="L155" s="1011"/>
      <c r="M155" s="2966">
        <f t="shared" si="95"/>
        <v>0</v>
      </c>
      <c r="N155" s="3143">
        <f>(N156+N157+N158)/(100%-'Вхідні дані'!$D$47)*'Вхідні дані'!$D$47</f>
        <v>0</v>
      </c>
      <c r="O155" s="1011"/>
      <c r="P155" s="2966">
        <f t="shared" si="96"/>
        <v>0</v>
      </c>
      <c r="Q155" s="3143">
        <f>(Q156+Q157+Q158)/(100%-'Вхідні дані'!$D$47)*'Вхідні дані'!$D$47</f>
        <v>0</v>
      </c>
      <c r="R155" s="1011"/>
      <c r="S155" s="2966">
        <f t="shared" si="97"/>
        <v>0</v>
      </c>
    </row>
    <row r="156" spans="2:20" ht="15.6" x14ac:dyDescent="0.3">
      <c r="B156" s="2176" t="s">
        <v>119</v>
      </c>
      <c r="C156" s="1094" t="s">
        <v>85</v>
      </c>
      <c r="D156" s="3140" t="s">
        <v>40</v>
      </c>
      <c r="E156" s="3143">
        <v>0</v>
      </c>
      <c r="F156" s="1011"/>
      <c r="G156" s="2966">
        <f t="shared" si="93"/>
        <v>0</v>
      </c>
      <c r="H156" s="3143">
        <v>0</v>
      </c>
      <c r="I156" s="1011"/>
      <c r="J156" s="2966">
        <f t="shared" si="94"/>
        <v>0</v>
      </c>
      <c r="K156" s="3143">
        <v>0</v>
      </c>
      <c r="L156" s="1011"/>
      <c r="M156" s="2966">
        <f t="shared" si="95"/>
        <v>0</v>
      </c>
      <c r="N156" s="3143">
        <v>0</v>
      </c>
      <c r="O156" s="1011"/>
      <c r="P156" s="2966">
        <f t="shared" si="96"/>
        <v>0</v>
      </c>
      <c r="Q156" s="3143">
        <v>0</v>
      </c>
      <c r="R156" s="1011"/>
      <c r="S156" s="2966">
        <f t="shared" si="97"/>
        <v>0</v>
      </c>
    </row>
    <row r="157" spans="2:20" ht="15.6" x14ac:dyDescent="0.3">
      <c r="B157" s="2176" t="s">
        <v>121</v>
      </c>
      <c r="C157" s="1094" t="s">
        <v>71</v>
      </c>
      <c r="D157" s="3140" t="s">
        <v>40</v>
      </c>
      <c r="E157" s="3143">
        <v>0</v>
      </c>
      <c r="F157" s="1011"/>
      <c r="G157" s="2966">
        <f t="shared" si="93"/>
        <v>0</v>
      </c>
      <c r="H157" s="3143">
        <v>0</v>
      </c>
      <c r="I157" s="1011"/>
      <c r="J157" s="2966">
        <f t="shared" si="94"/>
        <v>0</v>
      </c>
      <c r="K157" s="3143">
        <v>0</v>
      </c>
      <c r="L157" s="1011"/>
      <c r="M157" s="2966">
        <f t="shared" si="95"/>
        <v>0</v>
      </c>
      <c r="N157" s="3143">
        <v>0</v>
      </c>
      <c r="O157" s="1011"/>
      <c r="P157" s="2966">
        <f t="shared" si="96"/>
        <v>0</v>
      </c>
      <c r="Q157" s="3143">
        <v>0</v>
      </c>
      <c r="R157" s="1011"/>
      <c r="S157" s="2966">
        <f t="shared" si="97"/>
        <v>0</v>
      </c>
    </row>
    <row r="158" spans="2:20" ht="15.6" x14ac:dyDescent="0.3">
      <c r="B158" s="2176" t="s">
        <v>223</v>
      </c>
      <c r="C158" s="1094" t="s">
        <v>86</v>
      </c>
      <c r="D158" s="3140" t="s">
        <v>40</v>
      </c>
      <c r="E158" s="3142">
        <f>G158</f>
        <v>74.572914928560081</v>
      </c>
      <c r="F158" s="1030"/>
      <c r="G158" s="1019">
        <f>E151*'Вхідні дані'!$D$45</f>
        <v>74.572914928560081</v>
      </c>
      <c r="H158" s="3142">
        <f>J158</f>
        <v>61.932425765270366</v>
      </c>
      <c r="I158" s="1030"/>
      <c r="J158" s="1019">
        <f>H151*'Вхідні дані'!$D$45</f>
        <v>61.932425765270366</v>
      </c>
      <c r="K158" s="3142">
        <f>M158</f>
        <v>1.0032761808462376E-2</v>
      </c>
      <c r="L158" s="1030"/>
      <c r="M158" s="1019">
        <f>K151*'Вхідні дані'!$D$45</f>
        <v>1.0032761808462376E-2</v>
      </c>
      <c r="N158" s="3142">
        <f>P158</f>
        <v>9.4499517795682682</v>
      </c>
      <c r="O158" s="1030"/>
      <c r="P158" s="1019">
        <f>N151*'Вхідні дані'!$D$45</f>
        <v>9.4499517795682682</v>
      </c>
      <c r="Q158" s="3142">
        <f>S158</f>
        <v>3.1805046219129753</v>
      </c>
      <c r="R158" s="1030"/>
      <c r="S158" s="1019">
        <f>Q151*'Вхідні дані'!$D$45</f>
        <v>3.1805046219129753</v>
      </c>
    </row>
    <row r="159" spans="2:20" ht="27" thickBot="1" x14ac:dyDescent="0.35">
      <c r="B159" s="2176" t="s">
        <v>187</v>
      </c>
      <c r="C159" s="1099" t="s">
        <v>106</v>
      </c>
      <c r="D159" s="3145" t="s">
        <v>40</v>
      </c>
      <c r="E159" s="2214">
        <f>E151+E152+E153</f>
        <v>2053.3877088801205</v>
      </c>
      <c r="F159" s="2928"/>
      <c r="G159" s="2968">
        <f t="shared" ref="G159:Q159" si="99">G151+G152+G153</f>
        <v>2053.3877088801205</v>
      </c>
      <c r="H159" s="2214">
        <f t="shared" si="99"/>
        <v>1705.328026527663</v>
      </c>
      <c r="I159" s="2928"/>
      <c r="J159" s="2968">
        <f>J151+J152+J153</f>
        <v>1705.328026527663</v>
      </c>
      <c r="K159" s="2169">
        <f t="shared" si="99"/>
        <v>0.27625512296728882</v>
      </c>
      <c r="L159" s="2928"/>
      <c r="M159" s="2968">
        <f>M151+M152+M153</f>
        <v>0.27625512296728882</v>
      </c>
      <c r="N159" s="2169">
        <f t="shared" si="99"/>
        <v>260.20727300608388</v>
      </c>
      <c r="O159" s="2928"/>
      <c r="P159" s="2968">
        <f>P151+P152+P153</f>
        <v>260.20727300608388</v>
      </c>
      <c r="Q159" s="2169">
        <f t="shared" si="99"/>
        <v>87.576154223406064</v>
      </c>
      <c r="R159" s="2928"/>
      <c r="S159" s="2968">
        <f>S151+S152+S153</f>
        <v>87.576154223406064</v>
      </c>
    </row>
    <row r="160" spans="2:20" ht="40.5" customHeight="1" x14ac:dyDescent="0.3">
      <c r="B160" s="2176" t="s">
        <v>188</v>
      </c>
      <c r="C160" s="2969" t="s">
        <v>2191</v>
      </c>
      <c r="D160" s="1076" t="s">
        <v>74</v>
      </c>
      <c r="E160" s="1026">
        <f>E159/E14</f>
        <v>20.784158534978818</v>
      </c>
      <c r="F160" s="1028" t="s">
        <v>317</v>
      </c>
      <c r="G160" s="1029" t="s">
        <v>317</v>
      </c>
      <c r="H160" s="1026">
        <f>H159/H14</f>
        <v>20.784176614396934</v>
      </c>
      <c r="I160" s="1028" t="s">
        <v>317</v>
      </c>
      <c r="J160" s="1029" t="s">
        <v>317</v>
      </c>
      <c r="K160" s="1026">
        <f>IF(K15=0,0,K159/K14)</f>
        <v>0</v>
      </c>
      <c r="L160" s="1028" t="s">
        <v>317</v>
      </c>
      <c r="M160" s="1029" t="s">
        <v>317</v>
      </c>
      <c r="N160" s="1026">
        <f>N159/N14</f>
        <v>20.784069954825</v>
      </c>
      <c r="O160" s="1028" t="s">
        <v>317</v>
      </c>
      <c r="P160" s="1029" t="s">
        <v>317</v>
      </c>
      <c r="Q160" s="1026">
        <f>Q159/Q14</f>
        <v>20.784069954825</v>
      </c>
      <c r="R160" s="2962" t="s">
        <v>317</v>
      </c>
      <c r="S160" s="2963" t="s">
        <v>317</v>
      </c>
      <c r="T160" s="2157"/>
    </row>
    <row r="161" spans="2:21" ht="31.2" x14ac:dyDescent="0.3">
      <c r="B161" s="2179" t="s">
        <v>189</v>
      </c>
      <c r="C161" s="2970" t="s">
        <v>2192</v>
      </c>
      <c r="D161" s="3145" t="s">
        <v>74</v>
      </c>
      <c r="E161" s="3142">
        <f>E160*1.2</f>
        <v>24.940990241974582</v>
      </c>
      <c r="F161" s="1011" t="s">
        <v>317</v>
      </c>
      <c r="G161" s="1111" t="s">
        <v>317</v>
      </c>
      <c r="H161" s="3142">
        <f>H160*1.2</f>
        <v>24.941011937276318</v>
      </c>
      <c r="I161" s="1011" t="s">
        <v>317</v>
      </c>
      <c r="J161" s="1111" t="s">
        <v>317</v>
      </c>
      <c r="K161" s="3142">
        <f>K160*1.2</f>
        <v>0</v>
      </c>
      <c r="L161" s="1011" t="s">
        <v>317</v>
      </c>
      <c r="M161" s="1111" t="s">
        <v>317</v>
      </c>
      <c r="N161" s="3142">
        <f>N160*1.2</f>
        <v>24.940883945789999</v>
      </c>
      <c r="O161" s="1011" t="s">
        <v>317</v>
      </c>
      <c r="P161" s="1111" t="s">
        <v>317</v>
      </c>
      <c r="Q161" s="3142">
        <f>Q160*1.2</f>
        <v>24.940883945789999</v>
      </c>
      <c r="R161" s="1011" t="s">
        <v>317</v>
      </c>
      <c r="S161" s="1111" t="s">
        <v>317</v>
      </c>
    </row>
    <row r="162" spans="2:21" ht="31.2" x14ac:dyDescent="0.3">
      <c r="B162" s="2179" t="s">
        <v>190</v>
      </c>
      <c r="C162" s="2970" t="s">
        <v>2193</v>
      </c>
      <c r="D162" s="3140" t="s">
        <v>2049</v>
      </c>
      <c r="E162" s="3188"/>
      <c r="F162" s="3139"/>
      <c r="G162" s="3140"/>
      <c r="H162" s="3188"/>
      <c r="I162" s="3139"/>
      <c r="J162" s="3140"/>
      <c r="K162" s="3142"/>
      <c r="L162" s="3139"/>
      <c r="M162" s="3140"/>
      <c r="N162" s="3142"/>
      <c r="O162" s="3139"/>
      <c r="P162" s="3140"/>
      <c r="Q162" s="3142"/>
      <c r="R162" s="3139"/>
      <c r="S162" s="3140"/>
    </row>
    <row r="163" spans="2:21" ht="15.6" x14ac:dyDescent="0.3">
      <c r="B163" s="1068" t="s">
        <v>93</v>
      </c>
      <c r="C163" s="2971" t="s">
        <v>2172</v>
      </c>
      <c r="D163" s="3140" t="s">
        <v>2190</v>
      </c>
      <c r="E163" s="1018" t="s">
        <v>317</v>
      </c>
      <c r="F163" s="1011" t="s">
        <v>317</v>
      </c>
      <c r="G163" s="1111" t="s">
        <v>317</v>
      </c>
      <c r="H163" s="1018" t="s">
        <v>317</v>
      </c>
      <c r="I163" s="1011" t="s">
        <v>317</v>
      </c>
      <c r="J163" s="1111" t="s">
        <v>317</v>
      </c>
      <c r="K163" s="1018" t="s">
        <v>317</v>
      </c>
      <c r="L163" s="1011" t="s">
        <v>317</v>
      </c>
      <c r="M163" s="1111" t="s">
        <v>317</v>
      </c>
      <c r="N163" s="1018" t="s">
        <v>317</v>
      </c>
      <c r="O163" s="1011" t="s">
        <v>317</v>
      </c>
      <c r="P163" s="1111" t="s">
        <v>317</v>
      </c>
      <c r="Q163" s="1018" t="s">
        <v>317</v>
      </c>
      <c r="R163" s="1011" t="s">
        <v>317</v>
      </c>
      <c r="S163" s="1111" t="s">
        <v>317</v>
      </c>
    </row>
    <row r="164" spans="2:21" ht="31.2" x14ac:dyDescent="0.3">
      <c r="B164" s="1068" t="s">
        <v>94</v>
      </c>
      <c r="C164" s="2971" t="s">
        <v>2173</v>
      </c>
      <c r="D164" s="3140" t="s">
        <v>2194</v>
      </c>
      <c r="E164" s="3142">
        <f>ROUND(E159/E17*1000/12,2)</f>
        <v>2390.08</v>
      </c>
      <c r="F164" s="1011" t="s">
        <v>317</v>
      </c>
      <c r="G164" s="1019">
        <f>ROUND(G159/G17*1000/12,2)</f>
        <v>2390.08</v>
      </c>
      <c r="H164" s="3142">
        <f>ROUND(H159/H17*1000/12,2)</f>
        <v>2390.08</v>
      </c>
      <c r="I164" s="1011" t="s">
        <v>317</v>
      </c>
      <c r="J164" s="1019">
        <f>ROUND(J159/J17*1000/12,2)</f>
        <v>2390.08</v>
      </c>
      <c r="K164" s="3142">
        <f>ROUND(IF(K18=0,0,K159/K17*1000),2)</f>
        <v>0</v>
      </c>
      <c r="L164" s="1011" t="s">
        <v>317</v>
      </c>
      <c r="M164" s="1019">
        <f>ROUND(IF(M18=0,0,M159/M17*1000)/12,2)</f>
        <v>0</v>
      </c>
      <c r="N164" s="3142">
        <f>ROUND(N159/N17*1000/12,2)</f>
        <v>2390.08</v>
      </c>
      <c r="O164" s="1011" t="s">
        <v>317</v>
      </c>
      <c r="P164" s="1019">
        <f>ROUND(P159/P17*1000/12,2)</f>
        <v>2390.08</v>
      </c>
      <c r="Q164" s="3142">
        <f>ROUND(Q159/Q17*1000/12,2)</f>
        <v>2390.08</v>
      </c>
      <c r="R164" s="1011" t="s">
        <v>317</v>
      </c>
      <c r="S164" s="1019">
        <f>ROUND(S159/S17*1000/12,2)</f>
        <v>2390.08</v>
      </c>
      <c r="T164" s="4481">
        <f>S164</f>
        <v>2390.08</v>
      </c>
      <c r="U164" s="1005" t="s">
        <v>2245</v>
      </c>
    </row>
    <row r="165" spans="2:21" ht="31.2" x14ac:dyDescent="0.3">
      <c r="B165" s="2179" t="s">
        <v>191</v>
      </c>
      <c r="C165" s="2970" t="s">
        <v>2211</v>
      </c>
      <c r="D165" s="3140" t="s">
        <v>2049</v>
      </c>
      <c r="E165" s="1018"/>
      <c r="F165" s="1011"/>
      <c r="G165" s="1111"/>
      <c r="H165" s="1018"/>
      <c r="I165" s="1011"/>
      <c r="J165" s="1111"/>
      <c r="K165" s="1018"/>
      <c r="L165" s="1011"/>
      <c r="M165" s="1111"/>
      <c r="N165" s="1018"/>
      <c r="O165" s="1011"/>
      <c r="P165" s="1111"/>
      <c r="Q165" s="1018"/>
      <c r="R165" s="1011"/>
      <c r="S165" s="1111"/>
    </row>
    <row r="166" spans="2:21" ht="15.6" x14ac:dyDescent="0.3">
      <c r="B166" s="1068" t="s">
        <v>236</v>
      </c>
      <c r="C166" s="2971" t="s">
        <v>2172</v>
      </c>
      <c r="D166" s="3140" t="s">
        <v>2190</v>
      </c>
      <c r="E166" s="1018" t="s">
        <v>317</v>
      </c>
      <c r="F166" s="1011" t="s">
        <v>317</v>
      </c>
      <c r="G166" s="1111" t="s">
        <v>317</v>
      </c>
      <c r="H166" s="1018" t="s">
        <v>317</v>
      </c>
      <c r="I166" s="1011" t="s">
        <v>317</v>
      </c>
      <c r="J166" s="1111" t="s">
        <v>317</v>
      </c>
      <c r="K166" s="1018" t="s">
        <v>317</v>
      </c>
      <c r="L166" s="1011" t="s">
        <v>317</v>
      </c>
      <c r="M166" s="1111" t="s">
        <v>317</v>
      </c>
      <c r="N166" s="1018" t="s">
        <v>317</v>
      </c>
      <c r="O166" s="1011" t="s">
        <v>317</v>
      </c>
      <c r="P166" s="1111" t="s">
        <v>317</v>
      </c>
      <c r="Q166" s="1018" t="s">
        <v>317</v>
      </c>
      <c r="R166" s="1011" t="s">
        <v>317</v>
      </c>
      <c r="S166" s="1111" t="s">
        <v>317</v>
      </c>
    </row>
    <row r="167" spans="2:21" ht="31.8" thickBot="1" x14ac:dyDescent="0.35">
      <c r="B167" s="2180" t="s">
        <v>237</v>
      </c>
      <c r="C167" s="2972" t="s">
        <v>2325</v>
      </c>
      <c r="D167" s="1075" t="s">
        <v>2194</v>
      </c>
      <c r="E167" s="1027">
        <f>E164*1.2</f>
        <v>2868.096</v>
      </c>
      <c r="F167" s="2927" t="s">
        <v>317</v>
      </c>
      <c r="G167" s="1032">
        <f t="shared" ref="G167:S167" si="100">G164*1.2</f>
        <v>2868.096</v>
      </c>
      <c r="H167" s="1027">
        <f t="shared" si="100"/>
        <v>2868.096</v>
      </c>
      <c r="I167" s="2927" t="s">
        <v>317</v>
      </c>
      <c r="J167" s="1032">
        <f t="shared" si="100"/>
        <v>2868.096</v>
      </c>
      <c r="K167" s="1027">
        <f t="shared" si="100"/>
        <v>0</v>
      </c>
      <c r="L167" s="2927" t="s">
        <v>317</v>
      </c>
      <c r="M167" s="1032">
        <f t="shared" si="100"/>
        <v>0</v>
      </c>
      <c r="N167" s="1027">
        <f t="shared" si="100"/>
        <v>2868.096</v>
      </c>
      <c r="O167" s="2927" t="s">
        <v>317</v>
      </c>
      <c r="P167" s="1032">
        <f t="shared" si="100"/>
        <v>2868.096</v>
      </c>
      <c r="Q167" s="1027">
        <f t="shared" si="100"/>
        <v>2868.096</v>
      </c>
      <c r="R167" s="2927" t="s">
        <v>317</v>
      </c>
      <c r="S167" s="1032">
        <f t="shared" si="100"/>
        <v>2868.096</v>
      </c>
      <c r="T167" s="4481">
        <f>S167</f>
        <v>2868.096</v>
      </c>
      <c r="U167" s="1005" t="s">
        <v>2245</v>
      </c>
    </row>
    <row r="168" spans="2:21" ht="23.25" customHeight="1" thickBot="1" x14ac:dyDescent="0.35">
      <c r="B168" s="2181"/>
      <c r="C168" s="5141" t="s">
        <v>2171</v>
      </c>
      <c r="D168" s="5141"/>
      <c r="E168" s="5141"/>
      <c r="F168" s="5141"/>
      <c r="G168" s="5141"/>
      <c r="H168" s="5141"/>
      <c r="I168" s="5141"/>
      <c r="J168" s="5141"/>
      <c r="K168" s="5141"/>
      <c r="L168" s="5141"/>
      <c r="M168" s="5141"/>
      <c r="N168" s="5141"/>
      <c r="O168" s="5141"/>
      <c r="P168" s="5141"/>
      <c r="Q168" s="5141"/>
      <c r="R168" s="5141"/>
      <c r="S168" s="5142"/>
    </row>
    <row r="169" spans="2:21" ht="15.6" x14ac:dyDescent="0.3">
      <c r="B169" s="4778">
        <v>1</v>
      </c>
      <c r="C169" s="4779" t="s">
        <v>215</v>
      </c>
      <c r="D169" s="4780" t="s">
        <v>40</v>
      </c>
      <c r="E169" s="4781">
        <f t="shared" ref="E169:G201" si="101">H169+K169+N169+Q169</f>
        <v>39316.759015317759</v>
      </c>
      <c r="F169" s="4782">
        <f t="shared" si="101"/>
        <v>23437.25605074866</v>
      </c>
      <c r="G169" s="4783">
        <f t="shared" si="101"/>
        <v>15879.502964569092</v>
      </c>
      <c r="H169" s="4781">
        <f t="shared" ref="H169:H210" si="102">I169+J169</f>
        <v>29896.336904178846</v>
      </c>
      <c r="I169" s="4782">
        <f t="shared" ref="I169:J169" si="103">I170+I183+I184+I188</f>
        <v>16948.426656497111</v>
      </c>
      <c r="J169" s="4784">
        <f t="shared" si="103"/>
        <v>12947.910247681735</v>
      </c>
      <c r="K169" s="4781">
        <f t="shared" ref="K169:K210" si="104">L169+M169</f>
        <v>0</v>
      </c>
      <c r="L169" s="4782">
        <f t="shared" ref="L169:M169" si="105">L170+L183+L184+L188</f>
        <v>0</v>
      </c>
      <c r="M169" s="4784">
        <f t="shared" si="105"/>
        <v>0</v>
      </c>
      <c r="N169" s="4781">
        <f t="shared" ref="N169:N210" si="106">O169+P169</f>
        <v>6813.4383014304221</v>
      </c>
      <c r="O169" s="4782">
        <f t="shared" ref="O169:P169" si="107">O170+O183+O184+O188</f>
        <v>4693.1271449041296</v>
      </c>
      <c r="P169" s="4784">
        <f t="shared" si="107"/>
        <v>2120.311156526293</v>
      </c>
      <c r="Q169" s="4785">
        <f t="shared" ref="Q169:Q210" si="108">R169+S169</f>
        <v>2606.983809708483</v>
      </c>
      <c r="R169" s="4782">
        <f t="shared" ref="R169:S169" si="109">R170+R183+R184+R188</f>
        <v>1795.702249347419</v>
      </c>
      <c r="S169" s="4784">
        <f t="shared" si="109"/>
        <v>811.28156036106429</v>
      </c>
      <c r="T169" s="2182">
        <f>'Д 2_Т на В'!H12+'Д 3_Т на Т з ЦТП'!G11+'Д 4_Т на П'!G11</f>
        <v>165661.28432694674</v>
      </c>
      <c r="U169" s="2157"/>
    </row>
    <row r="170" spans="2:21" ht="15.6" x14ac:dyDescent="0.3">
      <c r="B170" s="4778" t="s">
        <v>23</v>
      </c>
      <c r="C170" s="4786" t="s">
        <v>216</v>
      </c>
      <c r="D170" s="4787" t="s">
        <v>40</v>
      </c>
      <c r="E170" s="4788">
        <f t="shared" si="101"/>
        <v>27352.699153712623</v>
      </c>
      <c r="F170" s="4789">
        <f t="shared" si="101"/>
        <v>23437.25605074866</v>
      </c>
      <c r="G170" s="4790">
        <f t="shared" si="101"/>
        <v>3915.4431029639663</v>
      </c>
      <c r="H170" s="4788">
        <f t="shared" si="102"/>
        <v>19954.166613085086</v>
      </c>
      <c r="I170" s="4789">
        <f t="shared" ref="I170:J170" si="110">I171+I175+I176+I180+I181</f>
        <v>16948.426656497111</v>
      </c>
      <c r="J170" s="4791">
        <f t="shared" si="110"/>
        <v>3005.7399565879768</v>
      </c>
      <c r="K170" s="4788">
        <f t="shared" si="104"/>
        <v>0</v>
      </c>
      <c r="L170" s="4789">
        <f t="shared" ref="L170:M170" si="111">L171+L175+L176+L180+L181</f>
        <v>0</v>
      </c>
      <c r="M170" s="4791">
        <f t="shared" si="111"/>
        <v>0</v>
      </c>
      <c r="N170" s="4788">
        <f t="shared" si="106"/>
        <v>5351.0813413642909</v>
      </c>
      <c r="O170" s="4789">
        <f t="shared" ref="O170:P170" si="112">O171+O175+O176+O180+O181</f>
        <v>4693.1271449041296</v>
      </c>
      <c r="P170" s="4791">
        <f t="shared" si="112"/>
        <v>657.95419646016114</v>
      </c>
      <c r="Q170" s="4792">
        <f t="shared" si="108"/>
        <v>2047.4511992632474</v>
      </c>
      <c r="R170" s="4789">
        <f t="shared" ref="R170:S170" si="113">R171+R175+R176+R180+R181</f>
        <v>1795.702249347419</v>
      </c>
      <c r="S170" s="4791">
        <f t="shared" si="113"/>
        <v>251.74894991582843</v>
      </c>
      <c r="T170" s="2183">
        <f>E39</f>
        <v>118804.36079362931</v>
      </c>
    </row>
    <row r="171" spans="2:21" ht="15.6" x14ac:dyDescent="0.3">
      <c r="B171" s="4778" t="s">
        <v>41</v>
      </c>
      <c r="C171" s="4793" t="s">
        <v>454</v>
      </c>
      <c r="D171" s="4787" t="s">
        <v>40</v>
      </c>
      <c r="E171" s="4788">
        <f t="shared" si="101"/>
        <v>19917.568287346592</v>
      </c>
      <c r="F171" s="4789">
        <f t="shared" si="101"/>
        <v>18260.95159054234</v>
      </c>
      <c r="G171" s="4790">
        <f t="shared" si="101"/>
        <v>1656.6166968042489</v>
      </c>
      <c r="H171" s="4788">
        <f t="shared" si="102"/>
        <v>14023.566300110846</v>
      </c>
      <c r="I171" s="4789">
        <f t="shared" ref="I171:J171" si="114">I172+I173+I174</f>
        <v>12646.912764670709</v>
      </c>
      <c r="J171" s="4791">
        <f t="shared" si="114"/>
        <v>1376.653535440136</v>
      </c>
      <c r="K171" s="4788">
        <f t="shared" si="104"/>
        <v>0</v>
      </c>
      <c r="L171" s="4789">
        <f t="shared" ref="L171:M171" si="115">L172+L173+L174</f>
        <v>0</v>
      </c>
      <c r="M171" s="4791">
        <f t="shared" si="115"/>
        <v>0</v>
      </c>
      <c r="N171" s="4788">
        <f t="shared" si="106"/>
        <v>4262.9107713819831</v>
      </c>
      <c r="O171" s="4789">
        <f t="shared" ref="O171:P171" si="116">O172+O173+O174</f>
        <v>4060.4239078292017</v>
      </c>
      <c r="P171" s="4791">
        <f t="shared" si="116"/>
        <v>202.48686355278178</v>
      </c>
      <c r="Q171" s="4792">
        <f t="shared" si="108"/>
        <v>1631.0912158537615</v>
      </c>
      <c r="R171" s="4789">
        <f t="shared" ref="R171:S171" si="117">R172+R173+R174</f>
        <v>1553.6149180424304</v>
      </c>
      <c r="S171" s="4791">
        <f t="shared" si="117"/>
        <v>77.476297811331008</v>
      </c>
      <c r="T171" s="2183"/>
    </row>
    <row r="172" spans="2:21" ht="15.6" x14ac:dyDescent="0.3">
      <c r="B172" s="4778" t="s">
        <v>455</v>
      </c>
      <c r="C172" s="4794" t="s">
        <v>440</v>
      </c>
      <c r="D172" s="4787" t="s">
        <v>40</v>
      </c>
      <c r="E172" s="4795">
        <f t="shared" si="101"/>
        <v>17932.064538433755</v>
      </c>
      <c r="F172" s="4796">
        <f t="shared" si="101"/>
        <v>17932.064538433755</v>
      </c>
      <c r="G172" s="4797">
        <f t="shared" si="101"/>
        <v>0</v>
      </c>
      <c r="H172" s="4795">
        <f t="shared" si="102"/>
        <v>12373.607313965007</v>
      </c>
      <c r="I172" s="4796">
        <f>I40/I$30*I$31</f>
        <v>12373.607313965007</v>
      </c>
      <c r="J172" s="4797">
        <f t="shared" ref="J172:J173" si="118">J40</f>
        <v>0</v>
      </c>
      <c r="K172" s="4795">
        <f t="shared" si="104"/>
        <v>0</v>
      </c>
      <c r="L172" s="4796">
        <f>L40/L$30*L$31</f>
        <v>0</v>
      </c>
      <c r="M172" s="4797">
        <f t="shared" ref="M172:M173" si="119">M40</f>
        <v>0</v>
      </c>
      <c r="N172" s="4795">
        <f t="shared" si="106"/>
        <v>4020.2238183443092</v>
      </c>
      <c r="O172" s="4796">
        <f>O40/O$30*O$31</f>
        <v>4020.2238183443092</v>
      </c>
      <c r="P172" s="4797">
        <f t="shared" ref="P172:P173" si="120">P40</f>
        <v>0</v>
      </c>
      <c r="Q172" s="4798">
        <f t="shared" si="108"/>
        <v>1538.2334061244396</v>
      </c>
      <c r="R172" s="4796">
        <f>R40/R$30*R$31</f>
        <v>1538.2334061244396</v>
      </c>
      <c r="S172" s="4797">
        <f t="shared" ref="S172:S173" si="121">S40</f>
        <v>0</v>
      </c>
      <c r="T172" s="2183"/>
    </row>
    <row r="173" spans="2:21" ht="15.6" x14ac:dyDescent="0.3">
      <c r="B173" s="4778" t="s">
        <v>456</v>
      </c>
      <c r="C173" s="4794" t="s">
        <v>1904</v>
      </c>
      <c r="D173" s="4787" t="s">
        <v>40</v>
      </c>
      <c r="E173" s="4795">
        <f t="shared" si="101"/>
        <v>328.88705210858473</v>
      </c>
      <c r="F173" s="4796">
        <f t="shared" si="101"/>
        <v>328.88705210858473</v>
      </c>
      <c r="G173" s="4797">
        <f t="shared" si="101"/>
        <v>0</v>
      </c>
      <c r="H173" s="4795">
        <f t="shared" si="102"/>
        <v>273.30545070570139</v>
      </c>
      <c r="I173" s="4796">
        <f>I41/I$30*I$31</f>
        <v>273.30545070570139</v>
      </c>
      <c r="J173" s="4797">
        <f t="shared" si="118"/>
        <v>0</v>
      </c>
      <c r="K173" s="4795">
        <f t="shared" si="104"/>
        <v>0</v>
      </c>
      <c r="L173" s="4796">
        <f>L41/L$30*L$31</f>
        <v>0</v>
      </c>
      <c r="M173" s="4797">
        <f t="shared" si="119"/>
        <v>0</v>
      </c>
      <c r="N173" s="4795">
        <f t="shared" si="106"/>
        <v>40.200089484892537</v>
      </c>
      <c r="O173" s="4796">
        <f>O41/O$30*O$31</f>
        <v>40.200089484892537</v>
      </c>
      <c r="P173" s="4797">
        <f t="shared" si="120"/>
        <v>0</v>
      </c>
      <c r="Q173" s="4798">
        <f t="shared" si="108"/>
        <v>15.381511917990814</v>
      </c>
      <c r="R173" s="4796">
        <f>R41/R$30*R$31</f>
        <v>15.381511917990814</v>
      </c>
      <c r="S173" s="4797">
        <f t="shared" si="121"/>
        <v>0</v>
      </c>
      <c r="T173" s="2183"/>
    </row>
    <row r="174" spans="2:21" ht="15.6" x14ac:dyDescent="0.3">
      <c r="B174" s="4778" t="s">
        <v>457</v>
      </c>
      <c r="C174" s="4794" t="s">
        <v>1905</v>
      </c>
      <c r="D174" s="4787" t="s">
        <v>40</v>
      </c>
      <c r="E174" s="4795">
        <f t="shared" si="101"/>
        <v>1656.6166968042489</v>
      </c>
      <c r="F174" s="4796">
        <f t="shared" si="101"/>
        <v>0</v>
      </c>
      <c r="G174" s="4797">
        <f t="shared" si="101"/>
        <v>1656.6166968042489</v>
      </c>
      <c r="H174" s="4795">
        <f t="shared" si="102"/>
        <v>1376.653535440136</v>
      </c>
      <c r="I174" s="4796">
        <f t="shared" ref="I174" si="122">I42</f>
        <v>0</v>
      </c>
      <c r="J174" s="4797">
        <f>J42/J$17*J$18</f>
        <v>1376.653535440136</v>
      </c>
      <c r="K174" s="4795">
        <f t="shared" si="104"/>
        <v>0</v>
      </c>
      <c r="L174" s="4796">
        <f t="shared" ref="L174" si="123">L42</f>
        <v>0</v>
      </c>
      <c r="M174" s="4797">
        <f>M42/M$17*M$18</f>
        <v>0</v>
      </c>
      <c r="N174" s="4795">
        <f t="shared" si="106"/>
        <v>202.48686355278178</v>
      </c>
      <c r="O174" s="4796">
        <f t="shared" ref="O174" si="124">O42</f>
        <v>0</v>
      </c>
      <c r="P174" s="4797">
        <f>P42/P$17*P$18</f>
        <v>202.48686355278178</v>
      </c>
      <c r="Q174" s="4798">
        <f t="shared" si="108"/>
        <v>77.476297811331008</v>
      </c>
      <c r="R174" s="4796">
        <f t="shared" ref="R174" si="125">R42</f>
        <v>0</v>
      </c>
      <c r="S174" s="4797">
        <f>S42/S$17*S$18</f>
        <v>77.476297811331008</v>
      </c>
      <c r="T174" s="2183"/>
    </row>
    <row r="175" spans="2:21" ht="15.6" x14ac:dyDescent="0.3">
      <c r="B175" s="4778" t="s">
        <v>42</v>
      </c>
      <c r="C175" s="4799" t="s">
        <v>43</v>
      </c>
      <c r="D175" s="4787" t="s">
        <v>40</v>
      </c>
      <c r="E175" s="4788">
        <f t="shared" si="101"/>
        <v>5176.3044602063164</v>
      </c>
      <c r="F175" s="4789">
        <f t="shared" si="101"/>
        <v>5176.3044602063164</v>
      </c>
      <c r="G175" s="4790">
        <f t="shared" si="101"/>
        <v>0</v>
      </c>
      <c r="H175" s="4788">
        <f t="shared" si="102"/>
        <v>4301.5138918264001</v>
      </c>
      <c r="I175" s="4789">
        <f>I43/I$30*I$31+I88</f>
        <v>4301.5138918264001</v>
      </c>
      <c r="J175" s="4791">
        <f t="shared" ref="J175" si="126">J43+J88</f>
        <v>0</v>
      </c>
      <c r="K175" s="4788">
        <f t="shared" si="104"/>
        <v>0</v>
      </c>
      <c r="L175" s="4789">
        <f>L43/L$30*L$31+L88</f>
        <v>0</v>
      </c>
      <c r="M175" s="4791">
        <f t="shared" ref="M175" si="127">M43+M88</f>
        <v>0</v>
      </c>
      <c r="N175" s="4788">
        <f t="shared" si="106"/>
        <v>632.70323707492798</v>
      </c>
      <c r="O175" s="4789">
        <f>O43/O$30*O$31+O88</f>
        <v>632.70323707492798</v>
      </c>
      <c r="P175" s="4791">
        <f t="shared" ref="P175" si="128">P43+P88</f>
        <v>0</v>
      </c>
      <c r="Q175" s="4792">
        <f t="shared" si="108"/>
        <v>242.08733130498857</v>
      </c>
      <c r="R175" s="4789">
        <f>R43/R$30*R$31+R88</f>
        <v>242.08733130498857</v>
      </c>
      <c r="S175" s="4791">
        <f t="shared" ref="S175" si="129">S43+S88</f>
        <v>0</v>
      </c>
      <c r="T175" s="2184">
        <f>E43+E88</f>
        <v>10117.279598016543</v>
      </c>
    </row>
    <row r="176" spans="2:21" ht="66" x14ac:dyDescent="0.3">
      <c r="B176" s="4778" t="s">
        <v>44</v>
      </c>
      <c r="C176" s="4800" t="s">
        <v>1972</v>
      </c>
      <c r="D176" s="4787" t="s">
        <v>40</v>
      </c>
      <c r="E176" s="4788">
        <f t="shared" si="101"/>
        <v>0</v>
      </c>
      <c r="F176" s="4789">
        <f t="shared" si="101"/>
        <v>0</v>
      </c>
      <c r="G176" s="4790">
        <f t="shared" si="101"/>
        <v>0</v>
      </c>
      <c r="H176" s="4788">
        <f t="shared" si="102"/>
        <v>0</v>
      </c>
      <c r="I176" s="4789">
        <f t="shared" ref="I176:J178" si="130">I44</f>
        <v>0</v>
      </c>
      <c r="J176" s="4791">
        <f t="shared" si="130"/>
        <v>0</v>
      </c>
      <c r="K176" s="4788">
        <f t="shared" si="104"/>
        <v>0</v>
      </c>
      <c r="L176" s="4789">
        <f t="shared" ref="L176:M176" si="131">L44</f>
        <v>0</v>
      </c>
      <c r="M176" s="4791">
        <f t="shared" si="131"/>
        <v>0</v>
      </c>
      <c r="N176" s="4788">
        <f t="shared" si="106"/>
        <v>0</v>
      </c>
      <c r="O176" s="4789">
        <f t="shared" ref="O176:P176" si="132">O44</f>
        <v>0</v>
      </c>
      <c r="P176" s="4791">
        <f t="shared" si="132"/>
        <v>0</v>
      </c>
      <c r="Q176" s="4792">
        <f t="shared" si="108"/>
        <v>0</v>
      </c>
      <c r="R176" s="4789">
        <f t="shared" ref="R176:S176" si="133">R44</f>
        <v>0</v>
      </c>
      <c r="S176" s="4791">
        <f t="shared" si="133"/>
        <v>0</v>
      </c>
      <c r="T176" s="2183"/>
      <c r="U176" s="1021"/>
    </row>
    <row r="177" spans="2:21" ht="15.6" x14ac:dyDescent="0.3">
      <c r="B177" s="4801" t="s">
        <v>570</v>
      </c>
      <c r="C177" s="4800" t="s">
        <v>571</v>
      </c>
      <c r="D177" s="4787" t="s">
        <v>40</v>
      </c>
      <c r="E177" s="4788">
        <f t="shared" si="101"/>
        <v>0</v>
      </c>
      <c r="F177" s="4789">
        <f t="shared" si="101"/>
        <v>0</v>
      </c>
      <c r="G177" s="4790">
        <f t="shared" si="101"/>
        <v>0</v>
      </c>
      <c r="H177" s="4788">
        <f t="shared" si="102"/>
        <v>0</v>
      </c>
      <c r="I177" s="4789">
        <f t="shared" si="130"/>
        <v>0</v>
      </c>
      <c r="J177" s="4791">
        <f t="shared" si="130"/>
        <v>0</v>
      </c>
      <c r="K177" s="4788">
        <f t="shared" si="104"/>
        <v>0</v>
      </c>
      <c r="L177" s="4789">
        <f t="shared" ref="L177:M177" si="134">L45</f>
        <v>0</v>
      </c>
      <c r="M177" s="4791">
        <f t="shared" si="134"/>
        <v>0</v>
      </c>
      <c r="N177" s="4788">
        <f t="shared" si="106"/>
        <v>0</v>
      </c>
      <c r="O177" s="4789">
        <f t="shared" ref="O177:P177" si="135">O45</f>
        <v>0</v>
      </c>
      <c r="P177" s="4791">
        <f t="shared" si="135"/>
        <v>0</v>
      </c>
      <c r="Q177" s="4792">
        <f t="shared" si="108"/>
        <v>0</v>
      </c>
      <c r="R177" s="4789">
        <f t="shared" ref="R177:S177" si="136">R45</f>
        <v>0</v>
      </c>
      <c r="S177" s="4791">
        <f t="shared" si="136"/>
        <v>0</v>
      </c>
      <c r="T177" s="2183"/>
    </row>
    <row r="178" spans="2:21" ht="39.6" x14ac:dyDescent="0.3">
      <c r="B178" s="4801" t="s">
        <v>572</v>
      </c>
      <c r="C178" s="4800" t="s">
        <v>573</v>
      </c>
      <c r="D178" s="4787" t="s">
        <v>40</v>
      </c>
      <c r="E178" s="4788">
        <f t="shared" si="101"/>
        <v>0</v>
      </c>
      <c r="F178" s="4789">
        <f t="shared" si="101"/>
        <v>0</v>
      </c>
      <c r="G178" s="4790">
        <f t="shared" si="101"/>
        <v>0</v>
      </c>
      <c r="H178" s="4788">
        <f t="shared" si="102"/>
        <v>0</v>
      </c>
      <c r="I178" s="4789">
        <f t="shared" si="130"/>
        <v>0</v>
      </c>
      <c r="J178" s="4791">
        <f t="shared" si="130"/>
        <v>0</v>
      </c>
      <c r="K178" s="4788">
        <f t="shared" si="104"/>
        <v>0</v>
      </c>
      <c r="L178" s="4789">
        <f t="shared" ref="L178:M178" si="137">L46</f>
        <v>0</v>
      </c>
      <c r="M178" s="4791">
        <f t="shared" si="137"/>
        <v>0</v>
      </c>
      <c r="N178" s="4788">
        <f t="shared" si="106"/>
        <v>0</v>
      </c>
      <c r="O178" s="4789">
        <f t="shared" ref="O178:P178" si="138">O46</f>
        <v>0</v>
      </c>
      <c r="P178" s="4791">
        <f t="shared" si="138"/>
        <v>0</v>
      </c>
      <c r="Q178" s="4792">
        <f t="shared" si="108"/>
        <v>0</v>
      </c>
      <c r="R178" s="4789">
        <f t="shared" ref="R178:S178" si="139">R46</f>
        <v>0</v>
      </c>
      <c r="S178" s="4791">
        <f t="shared" si="139"/>
        <v>0</v>
      </c>
      <c r="T178" s="2183"/>
    </row>
    <row r="179" spans="2:21" ht="26.4" x14ac:dyDescent="0.3">
      <c r="B179" s="4801" t="s">
        <v>44</v>
      </c>
      <c r="C179" s="4786" t="s">
        <v>608</v>
      </c>
      <c r="D179" s="4787" t="s">
        <v>40</v>
      </c>
      <c r="E179" s="4788">
        <f t="shared" si="101"/>
        <v>0</v>
      </c>
      <c r="F179" s="4789">
        <f t="shared" si="101"/>
        <v>0</v>
      </c>
      <c r="G179" s="4790">
        <f t="shared" si="101"/>
        <v>0</v>
      </c>
      <c r="H179" s="4788">
        <f t="shared" si="102"/>
        <v>0</v>
      </c>
      <c r="I179" s="4789">
        <f t="shared" ref="I179:J179" si="140">I89</f>
        <v>0</v>
      </c>
      <c r="J179" s="4791">
        <f t="shared" si="140"/>
        <v>0</v>
      </c>
      <c r="K179" s="4788">
        <f t="shared" si="104"/>
        <v>0</v>
      </c>
      <c r="L179" s="4789">
        <f t="shared" ref="L179:M179" si="141">L89</f>
        <v>0</v>
      </c>
      <c r="M179" s="4791">
        <f t="shared" si="141"/>
        <v>0</v>
      </c>
      <c r="N179" s="4788">
        <f t="shared" si="106"/>
        <v>0</v>
      </c>
      <c r="O179" s="4789">
        <f t="shared" ref="O179:P179" si="142">O89</f>
        <v>0</v>
      </c>
      <c r="P179" s="4791">
        <f t="shared" si="142"/>
        <v>0</v>
      </c>
      <c r="Q179" s="4792">
        <f t="shared" si="108"/>
        <v>0</v>
      </c>
      <c r="R179" s="4789">
        <f t="shared" ref="R179:S179" si="143">R89</f>
        <v>0</v>
      </c>
      <c r="S179" s="4791">
        <f t="shared" si="143"/>
        <v>0</v>
      </c>
      <c r="T179" s="2183"/>
    </row>
    <row r="180" spans="2:21" ht="26.4" x14ac:dyDescent="0.3">
      <c r="B180" s="4801" t="s">
        <v>45</v>
      </c>
      <c r="C180" s="4786" t="s">
        <v>1689</v>
      </c>
      <c r="D180" s="4787" t="s">
        <v>40</v>
      </c>
      <c r="E180" s="4788">
        <f t="shared" si="101"/>
        <v>114.13036162944498</v>
      </c>
      <c r="F180" s="4789">
        <f t="shared" si="101"/>
        <v>0</v>
      </c>
      <c r="G180" s="4790">
        <f t="shared" si="101"/>
        <v>114.13036162944498</v>
      </c>
      <c r="H180" s="4788">
        <f t="shared" si="102"/>
        <v>94.842679143178771</v>
      </c>
      <c r="I180" s="4789">
        <f t="shared" ref="I180" si="144">I47+I90</f>
        <v>0</v>
      </c>
      <c r="J180" s="4791">
        <f>J47/J$17*J$18+J90</f>
        <v>94.842679143178771</v>
      </c>
      <c r="K180" s="4788">
        <f t="shared" si="104"/>
        <v>0</v>
      </c>
      <c r="L180" s="4789">
        <f t="shared" ref="L180" si="145">L47+L90</f>
        <v>0</v>
      </c>
      <c r="M180" s="4791">
        <f>M47/M$17*M$18+M90</f>
        <v>0</v>
      </c>
      <c r="N180" s="4788">
        <f t="shared" si="106"/>
        <v>13.950057974829667</v>
      </c>
      <c r="O180" s="4789">
        <f t="shared" ref="O180" si="146">O47+O90</f>
        <v>0</v>
      </c>
      <c r="P180" s="4791">
        <f>P47/P$17*P$18+P90</f>
        <v>13.950057974829667</v>
      </c>
      <c r="Q180" s="4792">
        <f t="shared" si="108"/>
        <v>5.3376245114365499</v>
      </c>
      <c r="R180" s="4789">
        <f t="shared" ref="R180" si="147">R47+R90</f>
        <v>0</v>
      </c>
      <c r="S180" s="4791">
        <f>S47/S$17*S$18+S90</f>
        <v>5.3376245114365499</v>
      </c>
      <c r="T180" s="2185">
        <f>E90+E47</f>
        <v>141.89790452589355</v>
      </c>
    </row>
    <row r="181" spans="2:21" ht="15.6" x14ac:dyDescent="0.3">
      <c r="B181" s="4801" t="s">
        <v>46</v>
      </c>
      <c r="C181" s="4786" t="s">
        <v>610</v>
      </c>
      <c r="D181" s="4787" t="s">
        <v>40</v>
      </c>
      <c r="E181" s="4788">
        <f t="shared" si="101"/>
        <v>2144.696044530273</v>
      </c>
      <c r="F181" s="4789">
        <f t="shared" si="101"/>
        <v>0</v>
      </c>
      <c r="G181" s="4790">
        <f t="shared" si="101"/>
        <v>2144.696044530273</v>
      </c>
      <c r="H181" s="4788">
        <f t="shared" si="102"/>
        <v>1534.2437420046624</v>
      </c>
      <c r="I181" s="4789">
        <f t="shared" ref="I181" si="148">I48+I91+I131</f>
        <v>0</v>
      </c>
      <c r="J181" s="4791">
        <f>J48/J$17*J$18+J91+J131/J$17*J$18</f>
        <v>1534.2437420046624</v>
      </c>
      <c r="K181" s="4788">
        <f t="shared" si="104"/>
        <v>0</v>
      </c>
      <c r="L181" s="4789">
        <f t="shared" ref="L181" si="149">L48+L91+L131</f>
        <v>0</v>
      </c>
      <c r="M181" s="4791">
        <f>M48/M$17*M$18+M91+M131/M$17*M$18</f>
        <v>0</v>
      </c>
      <c r="N181" s="4788">
        <f t="shared" si="106"/>
        <v>441.5172749325497</v>
      </c>
      <c r="O181" s="4789">
        <f t="shared" ref="O181" si="150">O48+O91+O131</f>
        <v>0</v>
      </c>
      <c r="P181" s="4791">
        <f>P48/P$17*P$18+P91+P131/P$17*P$18</f>
        <v>441.5172749325497</v>
      </c>
      <c r="Q181" s="4792">
        <f t="shared" si="108"/>
        <v>168.93502759306088</v>
      </c>
      <c r="R181" s="4789">
        <f t="shared" ref="R181" si="151">R48+R91+R131</f>
        <v>0</v>
      </c>
      <c r="S181" s="4791">
        <f>S48/S$17*S$18+S91+S131/S$17*S$18</f>
        <v>168.93502759306088</v>
      </c>
      <c r="T181" s="2185">
        <f>E131+E91+E48</f>
        <v>2677.4866469692124</v>
      </c>
    </row>
    <row r="182" spans="2:21" ht="26.4" x14ac:dyDescent="0.3">
      <c r="B182" s="4801" t="s">
        <v>2226</v>
      </c>
      <c r="C182" s="4802" t="s">
        <v>1998</v>
      </c>
      <c r="D182" s="4787" t="s">
        <v>40</v>
      </c>
      <c r="E182" s="4788">
        <f t="shared" si="101"/>
        <v>1889.2048647303027</v>
      </c>
      <c r="F182" s="4789">
        <f t="shared" si="101"/>
        <v>0</v>
      </c>
      <c r="G182" s="4790">
        <f t="shared" si="101"/>
        <v>1889.2048647303027</v>
      </c>
      <c r="H182" s="4788">
        <f t="shared" si="102"/>
        <v>1321.9297911529486</v>
      </c>
      <c r="I182" s="4789">
        <f t="shared" ref="I182:J182" si="152">I92</f>
        <v>0</v>
      </c>
      <c r="J182" s="4791">
        <f t="shared" si="152"/>
        <v>1321.9297911529486</v>
      </c>
      <c r="K182" s="4788">
        <f t="shared" si="104"/>
        <v>0</v>
      </c>
      <c r="L182" s="4789">
        <f t="shared" ref="L182:M182" si="153">L92</f>
        <v>0</v>
      </c>
      <c r="M182" s="4791">
        <f t="shared" si="153"/>
        <v>0</v>
      </c>
      <c r="N182" s="4788">
        <f t="shared" si="106"/>
        <v>410.28880321493631</v>
      </c>
      <c r="O182" s="4789">
        <f t="shared" ref="O182:P182" si="154">O92</f>
        <v>0</v>
      </c>
      <c r="P182" s="4791">
        <f t="shared" si="154"/>
        <v>410.28880321493631</v>
      </c>
      <c r="Q182" s="4792">
        <f t="shared" si="108"/>
        <v>156.9862703624178</v>
      </c>
      <c r="R182" s="4789">
        <f t="shared" ref="R182:S182" si="155">R92</f>
        <v>0</v>
      </c>
      <c r="S182" s="4791">
        <f t="shared" si="155"/>
        <v>156.9862703624178</v>
      </c>
      <c r="T182" s="2183"/>
    </row>
    <row r="183" spans="2:21" ht="15.6" x14ac:dyDescent="0.3">
      <c r="B183" s="4803" t="s">
        <v>24</v>
      </c>
      <c r="C183" s="4786" t="s">
        <v>47</v>
      </c>
      <c r="D183" s="4787" t="s">
        <v>40</v>
      </c>
      <c r="E183" s="4788">
        <f t="shared" si="101"/>
        <v>5461.2633723395011</v>
      </c>
      <c r="F183" s="4789">
        <f t="shared" si="101"/>
        <v>0</v>
      </c>
      <c r="G183" s="4790">
        <f t="shared" si="101"/>
        <v>5461.2633723395011</v>
      </c>
      <c r="H183" s="4788">
        <f t="shared" si="102"/>
        <v>4538.3265447008416</v>
      </c>
      <c r="I183" s="4789">
        <f t="shared" ref="I183:I198" si="156">I49+I93+I132</f>
        <v>0</v>
      </c>
      <c r="J183" s="4791">
        <f t="shared" ref="J183:J201" si="157">J49/J$17*J$18+J93+J132/J$17*J$18</f>
        <v>4538.3265447008416</v>
      </c>
      <c r="K183" s="4788">
        <f t="shared" si="104"/>
        <v>0</v>
      </c>
      <c r="L183" s="4789">
        <f t="shared" ref="L183" si="158">L49+L93+L132</f>
        <v>0</v>
      </c>
      <c r="M183" s="4791">
        <f t="shared" ref="M183:M201" si="159">M49/M$17*M$18+M93+M132/M$17*M$18</f>
        <v>0</v>
      </c>
      <c r="N183" s="4788">
        <f t="shared" si="106"/>
        <v>667.52562221160179</v>
      </c>
      <c r="O183" s="4789">
        <f t="shared" ref="O183" si="160">O49+O93+O132</f>
        <v>0</v>
      </c>
      <c r="P183" s="4791">
        <f t="shared" ref="P183:P201" si="161">P49/P$17*P$18+P93+P132/P$17*P$18</f>
        <v>667.52562221160179</v>
      </c>
      <c r="Q183" s="4792">
        <f t="shared" si="108"/>
        <v>255.41120542705738</v>
      </c>
      <c r="R183" s="4789">
        <f t="shared" ref="R183" si="162">R49+R93+R132</f>
        <v>0</v>
      </c>
      <c r="S183" s="4791">
        <f t="shared" ref="S183:S201" si="163">S49/S$17*S$18+S93+S132/S$17*S$18</f>
        <v>255.41120542705738</v>
      </c>
      <c r="T183" s="2185">
        <f>E132+E93+E49</f>
        <v>15449.583795022663</v>
      </c>
    </row>
    <row r="184" spans="2:21" ht="15.6" x14ac:dyDescent="0.3">
      <c r="B184" s="4803" t="s">
        <v>48</v>
      </c>
      <c r="C184" s="4786" t="s">
        <v>217</v>
      </c>
      <c r="D184" s="4787" t="s">
        <v>40</v>
      </c>
      <c r="E184" s="4788">
        <f t="shared" si="101"/>
        <v>5199.6254953970792</v>
      </c>
      <c r="F184" s="4789">
        <f t="shared" si="101"/>
        <v>0</v>
      </c>
      <c r="G184" s="4790">
        <f t="shared" si="101"/>
        <v>5199.6254953970792</v>
      </c>
      <c r="H184" s="4788">
        <f t="shared" si="102"/>
        <v>4320.9046697476169</v>
      </c>
      <c r="I184" s="4789">
        <f t="shared" si="156"/>
        <v>0</v>
      </c>
      <c r="J184" s="4791">
        <f t="shared" si="157"/>
        <v>4320.9046697476169</v>
      </c>
      <c r="K184" s="4788">
        <f t="shared" si="104"/>
        <v>0</v>
      </c>
      <c r="L184" s="4789">
        <f t="shared" ref="L184" si="164">L50+L94+L133</f>
        <v>0</v>
      </c>
      <c r="M184" s="4791">
        <f t="shared" si="159"/>
        <v>0</v>
      </c>
      <c r="N184" s="4788">
        <f t="shared" si="106"/>
        <v>635.54584487942725</v>
      </c>
      <c r="O184" s="4789">
        <f t="shared" ref="O184" si="165">O50+O94+O133</f>
        <v>0</v>
      </c>
      <c r="P184" s="4791">
        <f t="shared" si="161"/>
        <v>635.54584487942725</v>
      </c>
      <c r="Q184" s="4792">
        <f t="shared" si="108"/>
        <v>243.17498077003529</v>
      </c>
      <c r="R184" s="4789">
        <f t="shared" ref="R184" si="166">R50+R94+R133</f>
        <v>0</v>
      </c>
      <c r="S184" s="4791">
        <f t="shared" si="163"/>
        <v>243.17498077003529</v>
      </c>
      <c r="T184" s="2185">
        <f>E133+E94+E50</f>
        <v>12100.777167386364</v>
      </c>
    </row>
    <row r="185" spans="2:21" ht="26.4" x14ac:dyDescent="0.3">
      <c r="B185" s="4803" t="s">
        <v>49</v>
      </c>
      <c r="C185" s="4793" t="s">
        <v>452</v>
      </c>
      <c r="D185" s="4787" t="s">
        <v>40</v>
      </c>
      <c r="E185" s="4788">
        <f t="shared" si="101"/>
        <v>1198.1934563199509</v>
      </c>
      <c r="F185" s="4789">
        <f t="shared" si="101"/>
        <v>0</v>
      </c>
      <c r="G185" s="4790">
        <f t="shared" si="101"/>
        <v>1198.1934563199509</v>
      </c>
      <c r="H185" s="4788">
        <f t="shared" si="102"/>
        <v>995.7024222719798</v>
      </c>
      <c r="I185" s="4789">
        <f t="shared" si="156"/>
        <v>0</v>
      </c>
      <c r="J185" s="4791">
        <f t="shared" si="157"/>
        <v>995.7024222719798</v>
      </c>
      <c r="K185" s="4788">
        <f t="shared" si="104"/>
        <v>0</v>
      </c>
      <c r="L185" s="4789">
        <f t="shared" ref="L185" si="167">L51+L95+L134</f>
        <v>0</v>
      </c>
      <c r="M185" s="4791">
        <f t="shared" si="159"/>
        <v>0</v>
      </c>
      <c r="N185" s="4788">
        <f t="shared" si="106"/>
        <v>146.45417697868956</v>
      </c>
      <c r="O185" s="4789">
        <f t="shared" ref="O185" si="168">O51+O95+O134</f>
        <v>0</v>
      </c>
      <c r="P185" s="4791">
        <f t="shared" si="161"/>
        <v>146.45417697868956</v>
      </c>
      <c r="Q185" s="4792">
        <f t="shared" si="108"/>
        <v>56.036857069281446</v>
      </c>
      <c r="R185" s="4789">
        <f t="shared" ref="R185" si="169">R51+R95+R134</f>
        <v>0</v>
      </c>
      <c r="S185" s="4791">
        <f t="shared" si="163"/>
        <v>56.036857069281446</v>
      </c>
      <c r="T185" s="2185">
        <f>E134+E95+E51</f>
        <v>3395.6239493102462</v>
      </c>
    </row>
    <row r="186" spans="2:21" ht="15.6" x14ac:dyDescent="0.3">
      <c r="B186" s="4803" t="s">
        <v>50</v>
      </c>
      <c r="C186" s="4799" t="s">
        <v>453</v>
      </c>
      <c r="D186" s="4787" t="s">
        <v>40</v>
      </c>
      <c r="E186" s="4788">
        <f t="shared" si="101"/>
        <v>3003.7220244132377</v>
      </c>
      <c r="F186" s="4789">
        <f t="shared" si="101"/>
        <v>0</v>
      </c>
      <c r="G186" s="4790">
        <f t="shared" si="101"/>
        <v>3003.7220244132377</v>
      </c>
      <c r="H186" s="4788">
        <f t="shared" si="102"/>
        <v>2496.1021776279895</v>
      </c>
      <c r="I186" s="4789">
        <f t="shared" si="156"/>
        <v>0</v>
      </c>
      <c r="J186" s="4791">
        <f t="shared" si="157"/>
        <v>2496.1021776279895</v>
      </c>
      <c r="K186" s="4788">
        <f t="shared" si="104"/>
        <v>0</v>
      </c>
      <c r="L186" s="4789">
        <f t="shared" ref="L186" si="170">L52+L96+L135</f>
        <v>0</v>
      </c>
      <c r="M186" s="4791">
        <f t="shared" si="159"/>
        <v>0</v>
      </c>
      <c r="N186" s="4788">
        <f t="shared" si="106"/>
        <v>367.1424131370174</v>
      </c>
      <c r="O186" s="4789">
        <f t="shared" ref="O186" si="171">O52+O96+O135</f>
        <v>0</v>
      </c>
      <c r="P186" s="4791">
        <f t="shared" si="161"/>
        <v>367.1424131370174</v>
      </c>
      <c r="Q186" s="4792">
        <f t="shared" si="108"/>
        <v>140.47743364823086</v>
      </c>
      <c r="R186" s="4789">
        <f t="shared" ref="R186" si="172">R52+R96+R135</f>
        <v>0</v>
      </c>
      <c r="S186" s="4791">
        <f t="shared" si="163"/>
        <v>140.47743364823086</v>
      </c>
      <c r="T186" s="2185">
        <f>E135+E96+E52</f>
        <v>5476.7146527367049</v>
      </c>
    </row>
    <row r="187" spans="2:21" ht="15.6" x14ac:dyDescent="0.3">
      <c r="B187" s="4803" t="s">
        <v>51</v>
      </c>
      <c r="C187" s="4799" t="s">
        <v>52</v>
      </c>
      <c r="D187" s="4787" t="s">
        <v>40</v>
      </c>
      <c r="E187" s="4788">
        <f t="shared" si="101"/>
        <v>997.71001466389191</v>
      </c>
      <c r="F187" s="4789">
        <f t="shared" si="101"/>
        <v>0</v>
      </c>
      <c r="G187" s="4790">
        <f t="shared" si="101"/>
        <v>997.71001466389191</v>
      </c>
      <c r="H187" s="4788">
        <f t="shared" si="102"/>
        <v>829.10006984764857</v>
      </c>
      <c r="I187" s="4789">
        <f t="shared" si="156"/>
        <v>0</v>
      </c>
      <c r="J187" s="4791">
        <f t="shared" si="157"/>
        <v>829.10006984764857</v>
      </c>
      <c r="K187" s="4788">
        <f t="shared" si="104"/>
        <v>0</v>
      </c>
      <c r="L187" s="4789">
        <f t="shared" ref="L187" si="173">L53+L97+L136</f>
        <v>0</v>
      </c>
      <c r="M187" s="4791">
        <f t="shared" si="159"/>
        <v>0</v>
      </c>
      <c r="N187" s="4788">
        <f t="shared" si="106"/>
        <v>121.94925476372028</v>
      </c>
      <c r="O187" s="4789">
        <f t="shared" ref="O187" si="174">O53+O97+O136</f>
        <v>0</v>
      </c>
      <c r="P187" s="4791">
        <f t="shared" si="161"/>
        <v>121.94925476372028</v>
      </c>
      <c r="Q187" s="4792">
        <f t="shared" si="108"/>
        <v>46.660690052522995</v>
      </c>
      <c r="R187" s="4789">
        <f t="shared" ref="R187" si="175">R53+R97+R136</f>
        <v>0</v>
      </c>
      <c r="S187" s="4791">
        <f t="shared" si="163"/>
        <v>46.660690052522995</v>
      </c>
      <c r="T187" s="2185">
        <f>E136+E97+E53</f>
        <v>3228.4385653394147</v>
      </c>
      <c r="U187" s="2157">
        <f>T187+T186++T185+T183+T181+T180+T175+T170</f>
        <v>159291.38590554998</v>
      </c>
    </row>
    <row r="188" spans="2:21" ht="15.6" x14ac:dyDescent="0.3">
      <c r="B188" s="4803" t="s">
        <v>53</v>
      </c>
      <c r="C188" s="4799" t="s">
        <v>218</v>
      </c>
      <c r="D188" s="4787" t="s">
        <v>40</v>
      </c>
      <c r="E188" s="4788">
        <f t="shared" si="101"/>
        <v>1303.1709938685465</v>
      </c>
      <c r="F188" s="4789">
        <f t="shared" si="101"/>
        <v>0</v>
      </c>
      <c r="G188" s="4790">
        <f t="shared" si="101"/>
        <v>1303.1709938685465</v>
      </c>
      <c r="H188" s="4788">
        <f t="shared" si="102"/>
        <v>1082.9390766453007</v>
      </c>
      <c r="I188" s="4789">
        <f t="shared" si="156"/>
        <v>0</v>
      </c>
      <c r="J188" s="4791">
        <f t="shared" si="157"/>
        <v>1082.9390766453007</v>
      </c>
      <c r="K188" s="4788">
        <f t="shared" si="104"/>
        <v>0</v>
      </c>
      <c r="L188" s="4789">
        <f t="shared" ref="L188" si="176">L54+L98+L137</f>
        <v>0</v>
      </c>
      <c r="M188" s="4791">
        <f t="shared" si="159"/>
        <v>0</v>
      </c>
      <c r="N188" s="4788">
        <f t="shared" si="106"/>
        <v>159.28549297510264</v>
      </c>
      <c r="O188" s="4789">
        <f t="shared" ref="O188" si="177">O54+O98+O137</f>
        <v>0</v>
      </c>
      <c r="P188" s="4791">
        <f t="shared" si="161"/>
        <v>159.28549297510264</v>
      </c>
      <c r="Q188" s="4792">
        <f t="shared" si="108"/>
        <v>60.946424248143188</v>
      </c>
      <c r="R188" s="4789">
        <f t="shared" ref="R188" si="178">R54+R98+R137</f>
        <v>0</v>
      </c>
      <c r="S188" s="4791">
        <f t="shared" si="163"/>
        <v>60.946424248143188</v>
      </c>
      <c r="T188" s="2184">
        <f>'БАЗИ РОЗПОДІЛУ_2ст'!F14+'БАЗИ РОЗПОДІЛУ_2ст'!H14+'БАЗИ РОЗПОДІЛУ_2ст'!J14</f>
        <v>5701.240414812507</v>
      </c>
    </row>
    <row r="189" spans="2:21" ht="15.6" x14ac:dyDescent="0.3">
      <c r="B189" s="4803" t="s">
        <v>54</v>
      </c>
      <c r="C189" s="4799" t="s">
        <v>55</v>
      </c>
      <c r="D189" s="4787" t="s">
        <v>40</v>
      </c>
      <c r="E189" s="4788">
        <f t="shared" si="101"/>
        <v>995.78636148402575</v>
      </c>
      <c r="F189" s="4789">
        <f t="shared" si="101"/>
        <v>0</v>
      </c>
      <c r="G189" s="4790">
        <f t="shared" si="101"/>
        <v>995.78636148402575</v>
      </c>
      <c r="H189" s="4788">
        <f t="shared" si="102"/>
        <v>827.50150817911197</v>
      </c>
      <c r="I189" s="4789">
        <f t="shared" si="156"/>
        <v>0</v>
      </c>
      <c r="J189" s="4791">
        <f t="shared" si="157"/>
        <v>827.50150817911197</v>
      </c>
      <c r="K189" s="4788">
        <f t="shared" si="104"/>
        <v>0</v>
      </c>
      <c r="L189" s="4789">
        <f t="shared" ref="L189" si="179">L55+L99+L138</f>
        <v>0</v>
      </c>
      <c r="M189" s="4791">
        <f t="shared" si="159"/>
        <v>0</v>
      </c>
      <c r="N189" s="4788">
        <f t="shared" si="106"/>
        <v>121.71412825573262</v>
      </c>
      <c r="O189" s="4789">
        <f t="shared" ref="O189" si="180">O55+O99+O138</f>
        <v>0</v>
      </c>
      <c r="P189" s="4791">
        <f t="shared" si="161"/>
        <v>121.71412825573262</v>
      </c>
      <c r="Q189" s="4792">
        <f t="shared" si="108"/>
        <v>46.570725049181227</v>
      </c>
      <c r="R189" s="4789">
        <f t="shared" ref="R189" si="181">R55+R99+R138</f>
        <v>0</v>
      </c>
      <c r="S189" s="4791">
        <f t="shared" si="163"/>
        <v>46.570725049181227</v>
      </c>
      <c r="T189" s="2184"/>
    </row>
    <row r="190" spans="2:21" ht="26.4" x14ac:dyDescent="0.3">
      <c r="B190" s="4803" t="s">
        <v>56</v>
      </c>
      <c r="C190" s="4793" t="s">
        <v>452</v>
      </c>
      <c r="D190" s="4787" t="s">
        <v>40</v>
      </c>
      <c r="E190" s="4788">
        <f t="shared" si="101"/>
        <v>212.5531215709058</v>
      </c>
      <c r="F190" s="4789">
        <f t="shared" si="101"/>
        <v>0</v>
      </c>
      <c r="G190" s="4790">
        <f t="shared" si="101"/>
        <v>212.5531215709058</v>
      </c>
      <c r="H190" s="4788">
        <f t="shared" si="102"/>
        <v>176.63229330232622</v>
      </c>
      <c r="I190" s="4789">
        <f t="shared" si="156"/>
        <v>0</v>
      </c>
      <c r="J190" s="4791">
        <f t="shared" si="157"/>
        <v>176.63229330232622</v>
      </c>
      <c r="K190" s="4788">
        <f t="shared" si="104"/>
        <v>0</v>
      </c>
      <c r="L190" s="4789">
        <f t="shared" ref="L190" si="182">L56+L100+L139</f>
        <v>0</v>
      </c>
      <c r="M190" s="4791">
        <f t="shared" si="159"/>
        <v>0</v>
      </c>
      <c r="N190" s="4788">
        <f t="shared" si="106"/>
        <v>25.980189025166279</v>
      </c>
      <c r="O190" s="4789">
        <f t="shared" ref="O190" si="183">O56+O100+O139</f>
        <v>0</v>
      </c>
      <c r="P190" s="4791">
        <f t="shared" si="161"/>
        <v>25.980189025166279</v>
      </c>
      <c r="Q190" s="4792">
        <f t="shared" si="108"/>
        <v>9.940639243413294</v>
      </c>
      <c r="R190" s="4789">
        <f t="shared" ref="R190" si="184">R56+R100+R139</f>
        <v>0</v>
      </c>
      <c r="S190" s="4791">
        <f t="shared" si="163"/>
        <v>9.940639243413294</v>
      </c>
      <c r="T190" s="2183"/>
    </row>
    <row r="191" spans="2:21" ht="15.6" x14ac:dyDescent="0.3">
      <c r="B191" s="4803" t="s">
        <v>57</v>
      </c>
      <c r="C191" s="4799" t="s">
        <v>58</v>
      </c>
      <c r="D191" s="4787" t="s">
        <v>40</v>
      </c>
      <c r="E191" s="4788">
        <f t="shared" si="101"/>
        <v>94.831510813615083</v>
      </c>
      <c r="F191" s="4789">
        <f t="shared" si="101"/>
        <v>0</v>
      </c>
      <c r="G191" s="4790">
        <f t="shared" si="101"/>
        <v>94.831510813615083</v>
      </c>
      <c r="H191" s="4788">
        <f t="shared" si="102"/>
        <v>78.805275163862646</v>
      </c>
      <c r="I191" s="4789">
        <f t="shared" si="156"/>
        <v>0</v>
      </c>
      <c r="J191" s="4791">
        <f t="shared" si="157"/>
        <v>78.805275163862646</v>
      </c>
      <c r="K191" s="4788">
        <f t="shared" si="104"/>
        <v>0</v>
      </c>
      <c r="L191" s="4789">
        <f t="shared" ref="L191" si="185">L57+L101+L140</f>
        <v>0</v>
      </c>
      <c r="M191" s="4791">
        <f t="shared" si="159"/>
        <v>0</v>
      </c>
      <c r="N191" s="4788">
        <f t="shared" si="106"/>
        <v>11.591175694203761</v>
      </c>
      <c r="O191" s="4789">
        <f t="shared" ref="O191" si="186">O57+O101+O140</f>
        <v>0</v>
      </c>
      <c r="P191" s="4791">
        <f t="shared" si="161"/>
        <v>11.591175694203761</v>
      </c>
      <c r="Q191" s="4792">
        <f t="shared" si="108"/>
        <v>4.4350599555486792</v>
      </c>
      <c r="R191" s="4789">
        <f t="shared" ref="R191" si="187">R57+R101+R140</f>
        <v>0</v>
      </c>
      <c r="S191" s="4791">
        <f t="shared" si="163"/>
        <v>4.4350599555486792</v>
      </c>
      <c r="T191" s="2183"/>
    </row>
    <row r="192" spans="2:21" ht="15.6" x14ac:dyDescent="0.3">
      <c r="B192" s="4803">
        <v>2</v>
      </c>
      <c r="C192" s="4799" t="s">
        <v>219</v>
      </c>
      <c r="D192" s="4787" t="s">
        <v>40</v>
      </c>
      <c r="E192" s="4788">
        <f t="shared" si="101"/>
        <v>1584.3086109413114</v>
      </c>
      <c r="F192" s="4789">
        <f t="shared" si="101"/>
        <v>0</v>
      </c>
      <c r="G192" s="4790">
        <f t="shared" si="101"/>
        <v>1584.3086109413114</v>
      </c>
      <c r="H192" s="4788">
        <f t="shared" si="102"/>
        <v>1316.5652952117885</v>
      </c>
      <c r="I192" s="4789">
        <f t="shared" si="156"/>
        <v>0</v>
      </c>
      <c r="J192" s="4791">
        <f t="shared" si="157"/>
        <v>1316.5652952117885</v>
      </c>
      <c r="K192" s="4788">
        <f t="shared" si="104"/>
        <v>0</v>
      </c>
      <c r="L192" s="4789">
        <f t="shared" ref="L192" si="188">L58+L102+L141</f>
        <v>0</v>
      </c>
      <c r="M192" s="4791">
        <f t="shared" si="159"/>
        <v>0</v>
      </c>
      <c r="N192" s="4788">
        <f t="shared" si="106"/>
        <v>193.64870711966034</v>
      </c>
      <c r="O192" s="4789">
        <f t="shared" ref="O192" si="189">O58+O102+O141</f>
        <v>0</v>
      </c>
      <c r="P192" s="4791">
        <f t="shared" si="161"/>
        <v>193.64870711966034</v>
      </c>
      <c r="Q192" s="4792">
        <f t="shared" si="108"/>
        <v>74.09460860986259</v>
      </c>
      <c r="R192" s="4789">
        <f t="shared" ref="R192" si="190">R58+R102+R141</f>
        <v>0</v>
      </c>
      <c r="S192" s="4791">
        <f t="shared" si="163"/>
        <v>74.09460860986259</v>
      </c>
      <c r="T192" s="2183"/>
    </row>
    <row r="193" spans="2:21" ht="15.6" x14ac:dyDescent="0.3">
      <c r="B193" s="4803" t="s">
        <v>25</v>
      </c>
      <c r="C193" s="4799" t="s">
        <v>55</v>
      </c>
      <c r="D193" s="4787" t="s">
        <v>40</v>
      </c>
      <c r="E193" s="4788">
        <f t="shared" si="101"/>
        <v>1186.4318938441284</v>
      </c>
      <c r="F193" s="4789">
        <f t="shared" si="101"/>
        <v>0</v>
      </c>
      <c r="G193" s="4790">
        <f t="shared" si="101"/>
        <v>1186.4318938441284</v>
      </c>
      <c r="H193" s="4788">
        <f t="shared" si="102"/>
        <v>985.92852792708766</v>
      </c>
      <c r="I193" s="4789">
        <f t="shared" si="156"/>
        <v>0</v>
      </c>
      <c r="J193" s="4791">
        <f t="shared" si="157"/>
        <v>985.92852792708766</v>
      </c>
      <c r="K193" s="4788">
        <f t="shared" si="104"/>
        <v>0</v>
      </c>
      <c r="L193" s="4789">
        <f t="shared" ref="L193" si="191">L59+L103+L142</f>
        <v>0</v>
      </c>
      <c r="M193" s="4791">
        <f t="shared" si="159"/>
        <v>0</v>
      </c>
      <c r="N193" s="4788">
        <f t="shared" si="106"/>
        <v>145.01657110349214</v>
      </c>
      <c r="O193" s="4789">
        <f t="shared" ref="O193" si="192">O59+O103+O142</f>
        <v>0</v>
      </c>
      <c r="P193" s="4791">
        <f t="shared" si="161"/>
        <v>145.01657110349214</v>
      </c>
      <c r="Q193" s="4792">
        <f t="shared" si="108"/>
        <v>55.486794813548585</v>
      </c>
      <c r="R193" s="4789">
        <f t="shared" ref="R193" si="193">R59+R103+R142</f>
        <v>0</v>
      </c>
      <c r="S193" s="4791">
        <f t="shared" si="163"/>
        <v>55.486794813548585</v>
      </c>
      <c r="T193" s="2183"/>
    </row>
    <row r="194" spans="2:21" ht="29.25" customHeight="1" x14ac:dyDescent="0.3">
      <c r="B194" s="4803" t="s">
        <v>26</v>
      </c>
      <c r="C194" s="4793" t="s">
        <v>452</v>
      </c>
      <c r="D194" s="4787" t="s">
        <v>40</v>
      </c>
      <c r="E194" s="4788">
        <f t="shared" si="101"/>
        <v>261.01501664570827</v>
      </c>
      <c r="F194" s="4789">
        <f t="shared" si="101"/>
        <v>0</v>
      </c>
      <c r="G194" s="4790">
        <f t="shared" si="101"/>
        <v>261.01501664570827</v>
      </c>
      <c r="H194" s="4788">
        <f t="shared" si="102"/>
        <v>216.90427614395929</v>
      </c>
      <c r="I194" s="4789">
        <f t="shared" si="156"/>
        <v>0</v>
      </c>
      <c r="J194" s="4791">
        <f t="shared" si="157"/>
        <v>216.90427614395929</v>
      </c>
      <c r="K194" s="4788">
        <f t="shared" si="104"/>
        <v>0</v>
      </c>
      <c r="L194" s="4789">
        <f t="shared" ref="L194" si="194">L60+L104+L143</f>
        <v>0</v>
      </c>
      <c r="M194" s="4791">
        <f t="shared" si="159"/>
        <v>0</v>
      </c>
      <c r="N194" s="4788">
        <f t="shared" si="106"/>
        <v>31.903645642768275</v>
      </c>
      <c r="O194" s="4789">
        <f t="shared" ref="O194" si="195">O60+O104+O143</f>
        <v>0</v>
      </c>
      <c r="P194" s="4791">
        <f t="shared" si="161"/>
        <v>31.903645642768275</v>
      </c>
      <c r="Q194" s="4792">
        <f t="shared" si="108"/>
        <v>12.207094858980691</v>
      </c>
      <c r="R194" s="4789">
        <f t="shared" ref="R194" si="196">R60+R104+R143</f>
        <v>0</v>
      </c>
      <c r="S194" s="4791">
        <f t="shared" si="163"/>
        <v>12.207094858980691</v>
      </c>
      <c r="T194" s="2183"/>
    </row>
    <row r="195" spans="2:21" ht="15.6" x14ac:dyDescent="0.3">
      <c r="B195" s="4803" t="s">
        <v>59</v>
      </c>
      <c r="C195" s="4804" t="s">
        <v>58</v>
      </c>
      <c r="D195" s="4787" t="s">
        <v>40</v>
      </c>
      <c r="E195" s="4788">
        <f t="shared" si="101"/>
        <v>136.86170045147472</v>
      </c>
      <c r="F195" s="4789">
        <f t="shared" si="101"/>
        <v>0</v>
      </c>
      <c r="G195" s="4790">
        <f t="shared" si="101"/>
        <v>136.86170045147472</v>
      </c>
      <c r="H195" s="4788">
        <f t="shared" si="102"/>
        <v>113.73249114074152</v>
      </c>
      <c r="I195" s="4789">
        <f t="shared" si="156"/>
        <v>0</v>
      </c>
      <c r="J195" s="4791">
        <f t="shared" si="157"/>
        <v>113.73249114074152</v>
      </c>
      <c r="K195" s="4788">
        <f t="shared" si="104"/>
        <v>0</v>
      </c>
      <c r="L195" s="4789">
        <f t="shared" ref="L195" si="197">L61+L105+L144</f>
        <v>0</v>
      </c>
      <c r="M195" s="4791">
        <f t="shared" si="159"/>
        <v>0</v>
      </c>
      <c r="N195" s="4788">
        <f t="shared" si="106"/>
        <v>16.728490373399911</v>
      </c>
      <c r="O195" s="4789">
        <f t="shared" ref="O195" si="198">O61+O105+O144</f>
        <v>0</v>
      </c>
      <c r="P195" s="4791">
        <f t="shared" si="161"/>
        <v>16.728490373399911</v>
      </c>
      <c r="Q195" s="4792">
        <f t="shared" si="108"/>
        <v>6.4007189373333038</v>
      </c>
      <c r="R195" s="4789">
        <f t="shared" ref="R195" si="199">R61+R105+R144</f>
        <v>0</v>
      </c>
      <c r="S195" s="4791">
        <f t="shared" si="163"/>
        <v>6.4007189373333038</v>
      </c>
      <c r="T195" s="2183"/>
    </row>
    <row r="196" spans="2:21" ht="15.6" x14ac:dyDescent="0.3">
      <c r="B196" s="4803" t="s">
        <v>173</v>
      </c>
      <c r="C196" s="4786" t="s">
        <v>220</v>
      </c>
      <c r="D196" s="4787" t="s">
        <v>40</v>
      </c>
      <c r="E196" s="4788">
        <f t="shared" si="101"/>
        <v>0</v>
      </c>
      <c r="F196" s="4789">
        <f t="shared" si="101"/>
        <v>0</v>
      </c>
      <c r="G196" s="4790">
        <f t="shared" si="101"/>
        <v>0</v>
      </c>
      <c r="H196" s="4788">
        <f t="shared" si="102"/>
        <v>0</v>
      </c>
      <c r="I196" s="4789">
        <f t="shared" si="156"/>
        <v>0</v>
      </c>
      <c r="J196" s="4791">
        <f t="shared" si="157"/>
        <v>0</v>
      </c>
      <c r="K196" s="4788">
        <f t="shared" si="104"/>
        <v>0</v>
      </c>
      <c r="L196" s="4789">
        <f t="shared" ref="L196" si="200">L62+L106+L145</f>
        <v>0</v>
      </c>
      <c r="M196" s="4791">
        <f t="shared" si="159"/>
        <v>0</v>
      </c>
      <c r="N196" s="4788">
        <f t="shared" si="106"/>
        <v>0</v>
      </c>
      <c r="O196" s="4789">
        <f t="shared" ref="O196" si="201">O62+O106+O145</f>
        <v>0</v>
      </c>
      <c r="P196" s="4791">
        <f t="shared" si="161"/>
        <v>0</v>
      </c>
      <c r="Q196" s="4792">
        <f t="shared" si="108"/>
        <v>0</v>
      </c>
      <c r="R196" s="4789">
        <f t="shared" ref="R196" si="202">R62+R106+R145</f>
        <v>0</v>
      </c>
      <c r="S196" s="4791">
        <f t="shared" si="163"/>
        <v>0</v>
      </c>
      <c r="T196" s="2183"/>
    </row>
    <row r="197" spans="2:21" ht="15.6" x14ac:dyDescent="0.3">
      <c r="B197" s="4803" t="s">
        <v>60</v>
      </c>
      <c r="C197" s="4786" t="s">
        <v>55</v>
      </c>
      <c r="D197" s="4787" t="s">
        <v>40</v>
      </c>
      <c r="E197" s="4788">
        <f t="shared" si="101"/>
        <v>0</v>
      </c>
      <c r="F197" s="4789">
        <f t="shared" si="101"/>
        <v>0</v>
      </c>
      <c r="G197" s="4790">
        <f t="shared" si="101"/>
        <v>0</v>
      </c>
      <c r="H197" s="4788">
        <f t="shared" si="102"/>
        <v>0</v>
      </c>
      <c r="I197" s="4789">
        <f t="shared" si="156"/>
        <v>0</v>
      </c>
      <c r="J197" s="4791">
        <f t="shared" si="157"/>
        <v>0</v>
      </c>
      <c r="K197" s="4788">
        <f t="shared" si="104"/>
        <v>0</v>
      </c>
      <c r="L197" s="4789">
        <f t="shared" ref="L197" si="203">L63+L107+L146</f>
        <v>0</v>
      </c>
      <c r="M197" s="4791">
        <f t="shared" si="159"/>
        <v>0</v>
      </c>
      <c r="N197" s="4788">
        <f t="shared" si="106"/>
        <v>0</v>
      </c>
      <c r="O197" s="4789">
        <f t="shared" ref="O197" si="204">O63+O107+O146</f>
        <v>0</v>
      </c>
      <c r="P197" s="4791">
        <f t="shared" si="161"/>
        <v>0</v>
      </c>
      <c r="Q197" s="4792">
        <f t="shared" si="108"/>
        <v>0</v>
      </c>
      <c r="R197" s="4789">
        <f t="shared" ref="R197" si="205">R63+R107+R146</f>
        <v>0</v>
      </c>
      <c r="S197" s="4791">
        <f t="shared" si="163"/>
        <v>0</v>
      </c>
      <c r="T197" s="2183"/>
    </row>
    <row r="198" spans="2:21" ht="26.4" x14ac:dyDescent="0.3">
      <c r="B198" s="4803" t="s">
        <v>61</v>
      </c>
      <c r="C198" s="4793" t="s">
        <v>452</v>
      </c>
      <c r="D198" s="4787" t="s">
        <v>40</v>
      </c>
      <c r="E198" s="4788">
        <f t="shared" si="101"/>
        <v>0</v>
      </c>
      <c r="F198" s="4789">
        <f t="shared" si="101"/>
        <v>0</v>
      </c>
      <c r="G198" s="4790">
        <f t="shared" si="101"/>
        <v>0</v>
      </c>
      <c r="H198" s="4788">
        <f t="shared" si="102"/>
        <v>0</v>
      </c>
      <c r="I198" s="4789">
        <f t="shared" si="156"/>
        <v>0</v>
      </c>
      <c r="J198" s="4791">
        <f t="shared" si="157"/>
        <v>0</v>
      </c>
      <c r="K198" s="4788">
        <f t="shared" si="104"/>
        <v>0</v>
      </c>
      <c r="L198" s="4789">
        <f t="shared" ref="L198" si="206">L64+L108+L147</f>
        <v>0</v>
      </c>
      <c r="M198" s="4791">
        <f t="shared" si="159"/>
        <v>0</v>
      </c>
      <c r="N198" s="4788">
        <f t="shared" si="106"/>
        <v>0</v>
      </c>
      <c r="O198" s="4789">
        <f t="shared" ref="O198" si="207">O64+O108+O147</f>
        <v>0</v>
      </c>
      <c r="P198" s="4791">
        <f t="shared" si="161"/>
        <v>0</v>
      </c>
      <c r="Q198" s="4792">
        <f t="shared" si="108"/>
        <v>0</v>
      </c>
      <c r="R198" s="4789">
        <f t="shared" ref="R198" si="208">R64+R108+R147</f>
        <v>0</v>
      </c>
      <c r="S198" s="4791">
        <f t="shared" si="163"/>
        <v>0</v>
      </c>
      <c r="T198" s="2183"/>
    </row>
    <row r="199" spans="2:21" ht="15.6" x14ac:dyDescent="0.3">
      <c r="B199" s="4803" t="s">
        <v>62</v>
      </c>
      <c r="C199" s="4786" t="s">
        <v>58</v>
      </c>
      <c r="D199" s="4787" t="s">
        <v>40</v>
      </c>
      <c r="E199" s="4788">
        <f t="shared" si="101"/>
        <v>0</v>
      </c>
      <c r="F199" s="4789">
        <f t="shared" si="101"/>
        <v>0</v>
      </c>
      <c r="G199" s="4790">
        <f t="shared" si="101"/>
        <v>0</v>
      </c>
      <c r="H199" s="4788">
        <f t="shared" si="102"/>
        <v>0</v>
      </c>
      <c r="I199" s="4789">
        <f t="shared" ref="I199:I201" si="209">I65+I109+I148</f>
        <v>0</v>
      </c>
      <c r="J199" s="4791">
        <f t="shared" si="157"/>
        <v>0</v>
      </c>
      <c r="K199" s="4788">
        <f t="shared" si="104"/>
        <v>0</v>
      </c>
      <c r="L199" s="4789">
        <f t="shared" ref="L199" si="210">L65+L109+L148</f>
        <v>0</v>
      </c>
      <c r="M199" s="4791">
        <f t="shared" si="159"/>
        <v>0</v>
      </c>
      <c r="N199" s="4788">
        <f t="shared" si="106"/>
        <v>0</v>
      </c>
      <c r="O199" s="4789">
        <f t="shared" ref="O199" si="211">O65+O109+O148</f>
        <v>0</v>
      </c>
      <c r="P199" s="4791">
        <f t="shared" si="161"/>
        <v>0</v>
      </c>
      <c r="Q199" s="4792">
        <f t="shared" si="108"/>
        <v>0</v>
      </c>
      <c r="R199" s="4789">
        <f t="shared" ref="R199" si="212">R65+R109+R148</f>
        <v>0</v>
      </c>
      <c r="S199" s="4791">
        <f t="shared" si="163"/>
        <v>0</v>
      </c>
      <c r="T199" s="2183"/>
    </row>
    <row r="200" spans="2:21" ht="15.6" x14ac:dyDescent="0.3">
      <c r="B200" s="4803" t="s">
        <v>174</v>
      </c>
      <c r="C200" s="4793" t="s">
        <v>175</v>
      </c>
      <c r="D200" s="4787" t="s">
        <v>40</v>
      </c>
      <c r="E200" s="4788">
        <f t="shared" si="101"/>
        <v>0</v>
      </c>
      <c r="F200" s="4789">
        <f t="shared" si="101"/>
        <v>0</v>
      </c>
      <c r="G200" s="4790">
        <f t="shared" si="101"/>
        <v>0</v>
      </c>
      <c r="H200" s="4788">
        <f t="shared" si="102"/>
        <v>0</v>
      </c>
      <c r="I200" s="4789">
        <f t="shared" si="209"/>
        <v>0</v>
      </c>
      <c r="J200" s="4791">
        <f t="shared" si="157"/>
        <v>0</v>
      </c>
      <c r="K200" s="4788">
        <f t="shared" si="104"/>
        <v>0</v>
      </c>
      <c r="L200" s="4789">
        <f t="shared" ref="L200" si="213">L66+L110+L149</f>
        <v>0</v>
      </c>
      <c r="M200" s="4791">
        <f t="shared" si="159"/>
        <v>0</v>
      </c>
      <c r="N200" s="4788">
        <f t="shared" si="106"/>
        <v>0</v>
      </c>
      <c r="O200" s="4789">
        <f t="shared" ref="O200" si="214">O66+O110+O149</f>
        <v>0</v>
      </c>
      <c r="P200" s="4791">
        <f t="shared" si="161"/>
        <v>0</v>
      </c>
      <c r="Q200" s="4792">
        <f t="shared" si="108"/>
        <v>0</v>
      </c>
      <c r="R200" s="4789">
        <f t="shared" ref="R200" si="215">R66+R110+R149</f>
        <v>0</v>
      </c>
      <c r="S200" s="4791">
        <f t="shared" si="163"/>
        <v>0</v>
      </c>
      <c r="T200" s="2183"/>
    </row>
    <row r="201" spans="2:21" ht="15.6" x14ac:dyDescent="0.3">
      <c r="B201" s="4803" t="s">
        <v>169</v>
      </c>
      <c r="C201" s="4799" t="s">
        <v>5</v>
      </c>
      <c r="D201" s="4787" t="s">
        <v>40</v>
      </c>
      <c r="E201" s="4788">
        <f t="shared" si="101"/>
        <v>0</v>
      </c>
      <c r="F201" s="4789">
        <f t="shared" si="101"/>
        <v>0</v>
      </c>
      <c r="G201" s="4790">
        <f t="shared" si="101"/>
        <v>0</v>
      </c>
      <c r="H201" s="4788">
        <f t="shared" si="102"/>
        <v>0</v>
      </c>
      <c r="I201" s="4789">
        <f t="shared" si="209"/>
        <v>0</v>
      </c>
      <c r="J201" s="4791">
        <f t="shared" si="157"/>
        <v>0</v>
      </c>
      <c r="K201" s="4788">
        <f t="shared" si="104"/>
        <v>0</v>
      </c>
      <c r="L201" s="4789">
        <f t="shared" ref="L201" si="216">L67+L111+L150</f>
        <v>0</v>
      </c>
      <c r="M201" s="4791">
        <f t="shared" si="159"/>
        <v>0</v>
      </c>
      <c r="N201" s="4788">
        <f t="shared" si="106"/>
        <v>0</v>
      </c>
      <c r="O201" s="4789">
        <f t="shared" ref="O201" si="217">O67+O111+O150</f>
        <v>0</v>
      </c>
      <c r="P201" s="4791">
        <f t="shared" si="161"/>
        <v>0</v>
      </c>
      <c r="Q201" s="4792">
        <f t="shared" si="108"/>
        <v>0</v>
      </c>
      <c r="R201" s="4789">
        <f t="shared" ref="R201" si="218">R67+R111+R150</f>
        <v>0</v>
      </c>
      <c r="S201" s="4791">
        <f t="shared" si="163"/>
        <v>0</v>
      </c>
      <c r="T201" s="2183"/>
    </row>
    <row r="202" spans="2:21" ht="15.6" x14ac:dyDescent="0.3">
      <c r="B202" s="4803" t="s">
        <v>170</v>
      </c>
      <c r="C202" s="4805" t="s">
        <v>176</v>
      </c>
      <c r="D202" s="4806" t="s">
        <v>40</v>
      </c>
      <c r="E202" s="4807">
        <f>E201+E200+E196+E192+E169</f>
        <v>40901.067626259071</v>
      </c>
      <c r="F202" s="4808">
        <f t="shared" ref="F202:J202" si="219">F201+F200+F196+F192+F169</f>
        <v>23437.25605074866</v>
      </c>
      <c r="G202" s="4809">
        <f t="shared" ref="E202:G209" si="220">J202+M202+P202+S202</f>
        <v>17463.811575510405</v>
      </c>
      <c r="H202" s="4807">
        <f t="shared" si="102"/>
        <v>31212.902199390635</v>
      </c>
      <c r="I202" s="4808">
        <f t="shared" si="219"/>
        <v>16948.426656497111</v>
      </c>
      <c r="J202" s="4810">
        <f t="shared" si="219"/>
        <v>14264.475542893524</v>
      </c>
      <c r="K202" s="4807">
        <f t="shared" si="104"/>
        <v>0</v>
      </c>
      <c r="L202" s="4808">
        <f t="shared" ref="L202:M202" si="221">L201+L200+L196+L192+L169</f>
        <v>0</v>
      </c>
      <c r="M202" s="4810">
        <f t="shared" si="221"/>
        <v>0</v>
      </c>
      <c r="N202" s="4807">
        <f t="shared" si="106"/>
        <v>7007.0870085500828</v>
      </c>
      <c r="O202" s="4808">
        <f t="shared" ref="O202:P202" si="222">O201+O200+O196+O192+O169</f>
        <v>4693.1271449041296</v>
      </c>
      <c r="P202" s="4810">
        <f t="shared" si="222"/>
        <v>2313.9598636459532</v>
      </c>
      <c r="Q202" s="4811">
        <f t="shared" si="108"/>
        <v>2681.0784183183459</v>
      </c>
      <c r="R202" s="4808">
        <f t="shared" ref="R202:S202" si="223">R201+R200+R196+R192+R169</f>
        <v>1795.702249347419</v>
      </c>
      <c r="S202" s="4810">
        <f t="shared" si="223"/>
        <v>885.37616897092687</v>
      </c>
      <c r="T202" s="2185">
        <f>T151+T112+T68</f>
        <v>172592.47319220874</v>
      </c>
      <c r="U202" s="2157">
        <f>T202-E202</f>
        <v>131691.40556594968</v>
      </c>
    </row>
    <row r="203" spans="2:21" ht="18.600000000000001" customHeight="1" x14ac:dyDescent="0.3">
      <c r="B203" s="4803" t="s">
        <v>171</v>
      </c>
      <c r="C203" s="4812" t="s">
        <v>2655</v>
      </c>
      <c r="D203" s="4806" t="s">
        <v>40</v>
      </c>
      <c r="E203" s="4788">
        <f t="shared" si="220"/>
        <v>0</v>
      </c>
      <c r="F203" s="4789">
        <f t="shared" ref="F203:J209" si="224">F152+F113+F69</f>
        <v>0</v>
      </c>
      <c r="G203" s="4790">
        <f t="shared" si="224"/>
        <v>0</v>
      </c>
      <c r="H203" s="4788">
        <f t="shared" si="102"/>
        <v>0</v>
      </c>
      <c r="I203" s="4789">
        <f t="shared" si="224"/>
        <v>0</v>
      </c>
      <c r="J203" s="4791">
        <f t="shared" si="224"/>
        <v>0</v>
      </c>
      <c r="K203" s="4788">
        <f t="shared" si="104"/>
        <v>0</v>
      </c>
      <c r="L203" s="4789">
        <f t="shared" ref="L203:M203" si="225">L152+L113+L69</f>
        <v>0</v>
      </c>
      <c r="M203" s="4791">
        <f t="shared" si="225"/>
        <v>0</v>
      </c>
      <c r="N203" s="4788">
        <f t="shared" si="106"/>
        <v>0</v>
      </c>
      <c r="O203" s="4789">
        <f t="shared" ref="O203:P203" si="226">O152+O113+O69</f>
        <v>0</v>
      </c>
      <c r="P203" s="4791">
        <f t="shared" si="226"/>
        <v>0</v>
      </c>
      <c r="Q203" s="4792">
        <f t="shared" si="108"/>
        <v>0</v>
      </c>
      <c r="R203" s="4789">
        <f t="shared" ref="R203:S203" si="227">R152+R113+R69</f>
        <v>0</v>
      </c>
      <c r="S203" s="4791">
        <f t="shared" si="227"/>
        <v>0</v>
      </c>
      <c r="T203" s="2184"/>
    </row>
    <row r="204" spans="2:21" ht="15.6" x14ac:dyDescent="0.3">
      <c r="B204" s="4803" t="s">
        <v>172</v>
      </c>
      <c r="C204" s="4813" t="s">
        <v>222</v>
      </c>
      <c r="D204" s="4806" t="s">
        <v>40</v>
      </c>
      <c r="E204" s="4814">
        <f t="shared" si="220"/>
        <v>1888.2341581399048</v>
      </c>
      <c r="F204" s="4815">
        <f t="shared" si="224"/>
        <v>0</v>
      </c>
      <c r="G204" s="4816">
        <f t="shared" si="220"/>
        <v>1888.2341581399048</v>
      </c>
      <c r="H204" s="4814">
        <f t="shared" si="102"/>
        <v>1441.631109808774</v>
      </c>
      <c r="I204" s="4815">
        <f t="shared" si="224"/>
        <v>0</v>
      </c>
      <c r="J204" s="4817">
        <f>J153/J$17*J$18+J114+J70/J$17*J$18</f>
        <v>1441.631109808774</v>
      </c>
      <c r="K204" s="4814">
        <f t="shared" si="104"/>
        <v>0</v>
      </c>
      <c r="L204" s="4815">
        <f t="shared" ref="L204" si="228">L153+L114+L70</f>
        <v>0</v>
      </c>
      <c r="M204" s="4817">
        <f>M153/M$17*M$18+M114+M70/M$17*M$18</f>
        <v>0</v>
      </c>
      <c r="N204" s="4814">
        <f t="shared" si="106"/>
        <v>323.0112492981516</v>
      </c>
      <c r="O204" s="4815">
        <f t="shared" ref="O204" si="229">O153+O114+O70</f>
        <v>0</v>
      </c>
      <c r="P204" s="4817">
        <f>P153/P$17*P$18+P114+P70/P$17*P$18</f>
        <v>323.0112492981516</v>
      </c>
      <c r="Q204" s="4818">
        <f t="shared" si="108"/>
        <v>123.59179903297915</v>
      </c>
      <c r="R204" s="4815">
        <f t="shared" ref="R204" si="230">R153+R114+R70</f>
        <v>0</v>
      </c>
      <c r="S204" s="4817">
        <f>S153/S$17*S$18+S114+S70/S$17*S$18</f>
        <v>123.59179903297915</v>
      </c>
      <c r="T204" s="2184"/>
    </row>
    <row r="205" spans="2:21" ht="15.6" x14ac:dyDescent="0.3">
      <c r="B205" s="4803" t="s">
        <v>115</v>
      </c>
      <c r="C205" s="4799" t="s">
        <v>65</v>
      </c>
      <c r="D205" s="4787" t="s">
        <v>40</v>
      </c>
      <c r="E205" s="4788">
        <f t="shared" si="220"/>
        <v>339.88214846518281</v>
      </c>
      <c r="F205" s="4789">
        <f t="shared" si="224"/>
        <v>0</v>
      </c>
      <c r="G205" s="4790">
        <f t="shared" si="220"/>
        <v>339.88214846518281</v>
      </c>
      <c r="H205" s="4788">
        <f t="shared" si="102"/>
        <v>259.49359976557929</v>
      </c>
      <c r="I205" s="4789">
        <f t="shared" si="224"/>
        <v>0</v>
      </c>
      <c r="J205" s="4791">
        <f>J154/J$17*J$18+J115+J71/J$17*J$18</f>
        <v>259.49359976557929</v>
      </c>
      <c r="K205" s="4788">
        <f t="shared" si="104"/>
        <v>0</v>
      </c>
      <c r="L205" s="4789">
        <f t="shared" ref="L205" si="231">L154+L115+L71</f>
        <v>0</v>
      </c>
      <c r="M205" s="4791">
        <f>M154/M$17*M$18+M115+M71/M$17*M$18</f>
        <v>0</v>
      </c>
      <c r="N205" s="4788">
        <f t="shared" si="106"/>
        <v>58.142024873667275</v>
      </c>
      <c r="O205" s="4789">
        <f t="shared" ref="O205" si="232">O154+O115+O71</f>
        <v>0</v>
      </c>
      <c r="P205" s="4791">
        <f>P154/P$17*P$18+P115+P71/P$17*P$18</f>
        <v>58.142024873667275</v>
      </c>
      <c r="Q205" s="4792">
        <f t="shared" si="108"/>
        <v>22.246523825936244</v>
      </c>
      <c r="R205" s="4789">
        <f t="shared" ref="R205" si="233">R154+R115+R71</f>
        <v>0</v>
      </c>
      <c r="S205" s="4791">
        <f>S154/S$17*S$18+S115+S71/S$17*S$18</f>
        <v>22.246523825936244</v>
      </c>
      <c r="T205" s="2183"/>
    </row>
    <row r="206" spans="2:21" ht="15.6" x14ac:dyDescent="0.3">
      <c r="B206" s="4803" t="s">
        <v>117</v>
      </c>
      <c r="C206" s="4799" t="s">
        <v>67</v>
      </c>
      <c r="D206" s="4787" t="s">
        <v>40</v>
      </c>
      <c r="E206" s="4788">
        <f t="shared" si="220"/>
        <v>0</v>
      </c>
      <c r="F206" s="4789">
        <f t="shared" si="224"/>
        <v>0</v>
      </c>
      <c r="G206" s="4790">
        <f t="shared" si="220"/>
        <v>0</v>
      </c>
      <c r="H206" s="4788">
        <f t="shared" si="102"/>
        <v>0</v>
      </c>
      <c r="I206" s="4789">
        <f t="shared" si="224"/>
        <v>0</v>
      </c>
      <c r="J206" s="4791">
        <f t="shared" si="224"/>
        <v>0</v>
      </c>
      <c r="K206" s="4788">
        <f t="shared" si="104"/>
        <v>0</v>
      </c>
      <c r="L206" s="4789">
        <f t="shared" ref="L206:M206" si="234">L155+L116+L72</f>
        <v>0</v>
      </c>
      <c r="M206" s="4791">
        <f t="shared" si="234"/>
        <v>0</v>
      </c>
      <c r="N206" s="4788">
        <f t="shared" si="106"/>
        <v>0</v>
      </c>
      <c r="O206" s="4789">
        <f t="shared" ref="O206:P206" si="235">O155+O116+O72</f>
        <v>0</v>
      </c>
      <c r="P206" s="4791">
        <f t="shared" si="235"/>
        <v>0</v>
      </c>
      <c r="Q206" s="4792">
        <f t="shared" si="108"/>
        <v>0</v>
      </c>
      <c r="R206" s="4789">
        <f t="shared" ref="R206:S206" si="236">R155+R116+R72</f>
        <v>0</v>
      </c>
      <c r="S206" s="4791">
        <f t="shared" si="236"/>
        <v>0</v>
      </c>
      <c r="T206" s="2183"/>
    </row>
    <row r="207" spans="2:21" ht="15.6" x14ac:dyDescent="0.3">
      <c r="B207" s="4803" t="s">
        <v>119</v>
      </c>
      <c r="C207" s="4799" t="s">
        <v>69</v>
      </c>
      <c r="D207" s="4787" t="s">
        <v>40</v>
      </c>
      <c r="E207" s="4788">
        <f t="shared" si="220"/>
        <v>0</v>
      </c>
      <c r="F207" s="4789">
        <f t="shared" si="224"/>
        <v>0</v>
      </c>
      <c r="G207" s="4790">
        <f t="shared" si="220"/>
        <v>0</v>
      </c>
      <c r="H207" s="4788">
        <f t="shared" si="102"/>
        <v>0</v>
      </c>
      <c r="I207" s="4789">
        <f t="shared" si="224"/>
        <v>0</v>
      </c>
      <c r="J207" s="4791">
        <f t="shared" si="224"/>
        <v>0</v>
      </c>
      <c r="K207" s="4788">
        <f t="shared" si="104"/>
        <v>0</v>
      </c>
      <c r="L207" s="4789">
        <f t="shared" ref="L207:M207" si="237">L156+L117+L73</f>
        <v>0</v>
      </c>
      <c r="M207" s="4791">
        <f t="shared" si="237"/>
        <v>0</v>
      </c>
      <c r="N207" s="4788">
        <f t="shared" si="106"/>
        <v>0</v>
      </c>
      <c r="O207" s="4789">
        <f t="shared" ref="O207:P207" si="238">O156+O117+O73</f>
        <v>0</v>
      </c>
      <c r="P207" s="4791">
        <f t="shared" si="238"/>
        <v>0</v>
      </c>
      <c r="Q207" s="4792">
        <f t="shared" si="108"/>
        <v>0</v>
      </c>
      <c r="R207" s="4789">
        <f t="shared" ref="R207:S207" si="239">R156+R117+R73</f>
        <v>0</v>
      </c>
      <c r="S207" s="4791">
        <f t="shared" si="239"/>
        <v>0</v>
      </c>
      <c r="T207" s="2183"/>
    </row>
    <row r="208" spans="2:21" ht="19.95" customHeight="1" x14ac:dyDescent="0.3">
      <c r="B208" s="4803" t="s">
        <v>121</v>
      </c>
      <c r="C208" s="4799" t="s">
        <v>71</v>
      </c>
      <c r="D208" s="4787" t="s">
        <v>40</v>
      </c>
      <c r="E208" s="4788">
        <f t="shared" si="220"/>
        <v>0</v>
      </c>
      <c r="F208" s="4789">
        <f t="shared" si="224"/>
        <v>0</v>
      </c>
      <c r="G208" s="4790">
        <f t="shared" si="220"/>
        <v>0</v>
      </c>
      <c r="H208" s="4788">
        <f t="shared" si="102"/>
        <v>0</v>
      </c>
      <c r="I208" s="4789">
        <f t="shared" si="224"/>
        <v>0</v>
      </c>
      <c r="J208" s="4791">
        <f t="shared" si="224"/>
        <v>0</v>
      </c>
      <c r="K208" s="4788">
        <f t="shared" si="104"/>
        <v>0</v>
      </c>
      <c r="L208" s="4789">
        <f t="shared" ref="L208:M208" si="240">L157+L118+L74</f>
        <v>0</v>
      </c>
      <c r="M208" s="4791">
        <f t="shared" si="240"/>
        <v>0</v>
      </c>
      <c r="N208" s="4788">
        <f t="shared" si="106"/>
        <v>0</v>
      </c>
      <c r="O208" s="4789">
        <f t="shared" ref="O208:P208" si="241">O157+O118+O74</f>
        <v>0</v>
      </c>
      <c r="P208" s="4791">
        <f t="shared" si="241"/>
        <v>0</v>
      </c>
      <c r="Q208" s="4792">
        <f t="shared" si="108"/>
        <v>0</v>
      </c>
      <c r="R208" s="4789">
        <f t="shared" ref="R208:S208" si="242">R157+R118+R74</f>
        <v>0</v>
      </c>
      <c r="S208" s="4791">
        <f t="shared" si="242"/>
        <v>0</v>
      </c>
      <c r="T208" s="2183"/>
    </row>
    <row r="209" spans="2:21" ht="15.6" x14ac:dyDescent="0.3">
      <c r="B209" s="4803" t="s">
        <v>223</v>
      </c>
      <c r="C209" s="4799" t="s">
        <v>86</v>
      </c>
      <c r="D209" s="4787" t="s">
        <v>40</v>
      </c>
      <c r="E209" s="4788">
        <f t="shared" si="220"/>
        <v>1548.3520096747222</v>
      </c>
      <c r="F209" s="4789">
        <f t="shared" si="224"/>
        <v>0</v>
      </c>
      <c r="G209" s="4790">
        <f>J209+M209+P209+S209</f>
        <v>1548.3520096747222</v>
      </c>
      <c r="H209" s="4788">
        <f t="shared" si="102"/>
        <v>1182.1375100431949</v>
      </c>
      <c r="I209" s="4789">
        <f t="shared" si="224"/>
        <v>0</v>
      </c>
      <c r="J209" s="4791">
        <f>J158/J$17*J$18+J119+J75/J$17*J$18</f>
        <v>1182.1375100431949</v>
      </c>
      <c r="K209" s="4788">
        <f t="shared" si="104"/>
        <v>0</v>
      </c>
      <c r="L209" s="4789">
        <f t="shared" ref="L209" si="243">L158+L119+L75</f>
        <v>0</v>
      </c>
      <c r="M209" s="4791">
        <f>M158/M$17*M$18+M119+M75/M$17*M$18</f>
        <v>0</v>
      </c>
      <c r="N209" s="4788">
        <f t="shared" si="106"/>
        <v>264.8692244244844</v>
      </c>
      <c r="O209" s="4789">
        <f t="shared" ref="O209" si="244">O158+O119+O75</f>
        <v>0</v>
      </c>
      <c r="P209" s="4791">
        <f>P158/P$17*P$18+P119+P75/P$17*P$18</f>
        <v>264.8692244244844</v>
      </c>
      <c r="Q209" s="4792">
        <f t="shared" si="108"/>
        <v>101.34527520704292</v>
      </c>
      <c r="R209" s="4789">
        <f t="shared" ref="R209" si="245">R158+R119+R75</f>
        <v>0</v>
      </c>
      <c r="S209" s="4791">
        <f>S158/S$17*S$18+S119+S75/S$17*S$18</f>
        <v>101.34527520704292</v>
      </c>
      <c r="T209" s="2183"/>
    </row>
    <row r="210" spans="2:21" ht="33" customHeight="1" thickBot="1" x14ac:dyDescent="0.35">
      <c r="B210" s="4803" t="s">
        <v>187</v>
      </c>
      <c r="C210" s="4819" t="s">
        <v>2204</v>
      </c>
      <c r="D210" s="4820" t="s">
        <v>40</v>
      </c>
      <c r="E210" s="4821">
        <f>E204+E203+E202</f>
        <v>42789.301784398973</v>
      </c>
      <c r="F210" s="4822">
        <f t="shared" ref="F210:G210" si="246">F204+F203+F202</f>
        <v>23437.25605074866</v>
      </c>
      <c r="G210" s="4823">
        <f t="shared" si="246"/>
        <v>19352.04573365031</v>
      </c>
      <c r="H210" s="4821">
        <f t="shared" si="102"/>
        <v>32654.533309199411</v>
      </c>
      <c r="I210" s="4822">
        <f>I204+I202</f>
        <v>16948.426656497111</v>
      </c>
      <c r="J210" s="4824">
        <f>J202+J204</f>
        <v>15706.106652702298</v>
      </c>
      <c r="K210" s="4821">
        <f t="shared" si="104"/>
        <v>0</v>
      </c>
      <c r="L210" s="4822">
        <f>L204+L202</f>
        <v>0</v>
      </c>
      <c r="M210" s="4824">
        <f>M202+M204</f>
        <v>0</v>
      </c>
      <c r="N210" s="4821">
        <f t="shared" si="106"/>
        <v>7330.0982578482344</v>
      </c>
      <c r="O210" s="4822">
        <f>O204+O202</f>
        <v>4693.1271449041296</v>
      </c>
      <c r="P210" s="4824">
        <f>P202+P204</f>
        <v>2636.9711129441048</v>
      </c>
      <c r="Q210" s="4825">
        <f t="shared" si="108"/>
        <v>2804.6702173513249</v>
      </c>
      <c r="R210" s="4822">
        <f>R204+R202</f>
        <v>1795.702249347419</v>
      </c>
      <c r="S210" s="4824">
        <f>S202+S204</f>
        <v>1008.967968003906</v>
      </c>
      <c r="T210" s="2186">
        <f>'Д 2_Т на В'!H51+'Д 3_Т на Т з ЦТП'!G45+'Д 4_Т на П'!G40</f>
        <v>180590.6609742867</v>
      </c>
      <c r="U210" s="1021">
        <f>T210-E210</f>
        <v>137801.35918988773</v>
      </c>
    </row>
    <row r="211" spans="2:21" ht="31.2" x14ac:dyDescent="0.3">
      <c r="B211" s="2187" t="s">
        <v>188</v>
      </c>
      <c r="C211" s="2976" t="s">
        <v>2205</v>
      </c>
      <c r="D211" s="1076" t="s">
        <v>74</v>
      </c>
      <c r="E211" s="2945">
        <f>'Д 5 Т на ТЕ з ЦТП'!D22</f>
        <v>2485.5000000000005</v>
      </c>
      <c r="F211" s="2962" t="s">
        <v>317</v>
      </c>
      <c r="G211" s="2977" t="s">
        <v>317</v>
      </c>
      <c r="H211" s="1026">
        <f>'Д 5 Т на ТЕ з ЦТП'!E22</f>
        <v>2291.61</v>
      </c>
      <c r="I211" s="2962" t="s">
        <v>317</v>
      </c>
      <c r="J211" s="2963" t="s">
        <v>317</v>
      </c>
      <c r="K211" s="1026">
        <v>0</v>
      </c>
      <c r="L211" s="2962" t="s">
        <v>317</v>
      </c>
      <c r="M211" s="2963" t="s">
        <v>317</v>
      </c>
      <c r="N211" s="1026">
        <f>'Д 5 Т на ТЕ з ЦТП'!G22</f>
        <v>3436.71</v>
      </c>
      <c r="O211" s="2962" t="s">
        <v>317</v>
      </c>
      <c r="P211" s="2963" t="s">
        <v>317</v>
      </c>
      <c r="Q211" s="1026">
        <f>'Д 5 Т на ТЕ з ЦТП'!H22</f>
        <v>3436.71</v>
      </c>
      <c r="R211" s="2962" t="s">
        <v>317</v>
      </c>
      <c r="S211" s="2963" t="s">
        <v>317</v>
      </c>
      <c r="T211" s="1021">
        <f>'Д 5 Т на ТЕ з ЦТП'!D22</f>
        <v>2485.5000000000005</v>
      </c>
    </row>
    <row r="212" spans="2:21" ht="31.2" x14ac:dyDescent="0.3">
      <c r="B212" s="3138" t="s">
        <v>189</v>
      </c>
      <c r="C212" s="2978" t="s">
        <v>2206</v>
      </c>
      <c r="D212" s="3145" t="s">
        <v>74</v>
      </c>
      <c r="E212" s="2973">
        <f>E211*1.2</f>
        <v>2982.6000000000004</v>
      </c>
      <c r="F212" s="1011" t="s">
        <v>317</v>
      </c>
      <c r="G212" s="2952" t="s">
        <v>317</v>
      </c>
      <c r="H212" s="3142">
        <f>H211*1.2</f>
        <v>2749.9320000000002</v>
      </c>
      <c r="I212" s="1011" t="s">
        <v>317</v>
      </c>
      <c r="J212" s="1111" t="s">
        <v>317</v>
      </c>
      <c r="K212" s="3142">
        <v>0</v>
      </c>
      <c r="L212" s="1011" t="s">
        <v>317</v>
      </c>
      <c r="M212" s="1111" t="s">
        <v>317</v>
      </c>
      <c r="N212" s="3142">
        <f>N211*1.2</f>
        <v>4124.0519999999997</v>
      </c>
      <c r="O212" s="1011" t="s">
        <v>317</v>
      </c>
      <c r="P212" s="1111" t="s">
        <v>317</v>
      </c>
      <c r="Q212" s="3142">
        <f>Q211*1.2</f>
        <v>4124.0519999999997</v>
      </c>
      <c r="R212" s="1011" t="s">
        <v>317</v>
      </c>
      <c r="S212" s="1111" t="s">
        <v>317</v>
      </c>
    </row>
    <row r="213" spans="2:21" ht="31.2" x14ac:dyDescent="0.3">
      <c r="B213" s="3138" t="s">
        <v>190</v>
      </c>
      <c r="C213" s="2978" t="s">
        <v>2207</v>
      </c>
      <c r="D213" s="3140" t="s">
        <v>2049</v>
      </c>
      <c r="E213" s="2979" t="s">
        <v>317</v>
      </c>
      <c r="F213" s="1011" t="s">
        <v>317</v>
      </c>
      <c r="G213" s="2952" t="s">
        <v>317</v>
      </c>
      <c r="H213" s="1018" t="s">
        <v>317</v>
      </c>
      <c r="I213" s="1011" t="s">
        <v>317</v>
      </c>
      <c r="J213" s="1111" t="s">
        <v>317</v>
      </c>
      <c r="K213" s="1018" t="s">
        <v>317</v>
      </c>
      <c r="L213" s="1011" t="s">
        <v>317</v>
      </c>
      <c r="M213" s="1111" t="s">
        <v>317</v>
      </c>
      <c r="N213" s="1018" t="s">
        <v>317</v>
      </c>
      <c r="O213" s="1011" t="s">
        <v>317</v>
      </c>
      <c r="P213" s="1111" t="s">
        <v>317</v>
      </c>
      <c r="Q213" s="1018" t="s">
        <v>317</v>
      </c>
      <c r="R213" s="1011" t="s">
        <v>317</v>
      </c>
      <c r="S213" s="1111" t="s">
        <v>317</v>
      </c>
    </row>
    <row r="214" spans="2:21" ht="15.6" x14ac:dyDescent="0.3">
      <c r="B214" s="3138" t="s">
        <v>93</v>
      </c>
      <c r="C214" s="1009" t="s">
        <v>2172</v>
      </c>
      <c r="D214" s="3140" t="s">
        <v>2190</v>
      </c>
      <c r="E214" s="2961">
        <f>F214</f>
        <v>1310.4099999999999</v>
      </c>
      <c r="F214" s="2953">
        <f>F80+F124</f>
        <v>1310.4099999999999</v>
      </c>
      <c r="G214" s="2952" t="s">
        <v>317</v>
      </c>
      <c r="H214" s="3143">
        <f>I214</f>
        <v>1143.25</v>
      </c>
      <c r="I214" s="2953">
        <f>I80+I124</f>
        <v>1143.25</v>
      </c>
      <c r="J214" s="1111" t="s">
        <v>317</v>
      </c>
      <c r="K214" s="3143">
        <v>0</v>
      </c>
      <c r="L214" s="2953">
        <v>0</v>
      </c>
      <c r="M214" s="1111" t="s">
        <v>317</v>
      </c>
      <c r="N214" s="3143">
        <f>O214</f>
        <v>2130.2600000000002</v>
      </c>
      <c r="O214" s="2953">
        <f>O80+O124</f>
        <v>2130.2600000000002</v>
      </c>
      <c r="P214" s="1111" t="s">
        <v>317</v>
      </c>
      <c r="Q214" s="3143">
        <f>R214</f>
        <v>2130.2600000000002</v>
      </c>
      <c r="R214" s="2953">
        <f>R80+R124</f>
        <v>2130.2600000000002</v>
      </c>
      <c r="S214" s="1111" t="s">
        <v>317</v>
      </c>
    </row>
    <row r="215" spans="2:21" ht="31.2" x14ac:dyDescent="0.3">
      <c r="B215" s="3138" t="s">
        <v>94</v>
      </c>
      <c r="C215" s="1009" t="s">
        <v>2326</v>
      </c>
      <c r="D215" s="3140" t="s">
        <v>2194</v>
      </c>
      <c r="E215" s="2961">
        <f>G215</f>
        <v>135298.87</v>
      </c>
      <c r="F215" s="1011" t="s">
        <v>317</v>
      </c>
      <c r="G215" s="2980">
        <f>ROUND(G81+G125+G164,2)</f>
        <v>135298.87</v>
      </c>
      <c r="H215" s="3143">
        <f>J215</f>
        <v>132136.79999999999</v>
      </c>
      <c r="I215" s="1011" t="s">
        <v>317</v>
      </c>
      <c r="J215" s="1112">
        <f>ROUND(J81+J125+J164,2)</f>
        <v>132136.79999999999</v>
      </c>
      <c r="K215" s="3143">
        <v>0</v>
      </c>
      <c r="L215" s="1011" t="s">
        <v>317</v>
      </c>
      <c r="M215" s="1112">
        <v>0</v>
      </c>
      <c r="N215" s="3143">
        <f>P215</f>
        <v>150830.23000000001</v>
      </c>
      <c r="O215" s="1011" t="s">
        <v>317</v>
      </c>
      <c r="P215" s="1112">
        <f>ROUND(P81+P125+P164,2)</f>
        <v>150830.23000000001</v>
      </c>
      <c r="Q215" s="3143">
        <f>S215</f>
        <v>150830.23000000001</v>
      </c>
      <c r="R215" s="1011" t="s">
        <v>317</v>
      </c>
      <c r="S215" s="1112">
        <f>ROUND(S81+S125+S164,2)</f>
        <v>150830.23000000001</v>
      </c>
    </row>
    <row r="216" spans="2:21" ht="31.2" x14ac:dyDescent="0.3">
      <c r="B216" s="3138" t="s">
        <v>191</v>
      </c>
      <c r="C216" s="2978" t="s">
        <v>2208</v>
      </c>
      <c r="D216" s="3140" t="s">
        <v>2049</v>
      </c>
      <c r="E216" s="2979" t="s">
        <v>317</v>
      </c>
      <c r="F216" s="1011" t="s">
        <v>317</v>
      </c>
      <c r="G216" s="2952" t="s">
        <v>317</v>
      </c>
      <c r="H216" s="1018" t="s">
        <v>317</v>
      </c>
      <c r="I216" s="1011" t="s">
        <v>317</v>
      </c>
      <c r="J216" s="1111" t="s">
        <v>317</v>
      </c>
      <c r="K216" s="1018" t="s">
        <v>317</v>
      </c>
      <c r="L216" s="1011" t="s">
        <v>317</v>
      </c>
      <c r="M216" s="1111" t="s">
        <v>317</v>
      </c>
      <c r="N216" s="1018" t="s">
        <v>317</v>
      </c>
      <c r="O216" s="1011" t="s">
        <v>317</v>
      </c>
      <c r="P216" s="1111" t="s">
        <v>317</v>
      </c>
      <c r="Q216" s="1018" t="s">
        <v>317</v>
      </c>
      <c r="R216" s="1011" t="s">
        <v>317</v>
      </c>
      <c r="S216" s="1111" t="s">
        <v>317</v>
      </c>
    </row>
    <row r="217" spans="2:21" ht="15.6" x14ac:dyDescent="0.3">
      <c r="B217" s="3138" t="s">
        <v>236</v>
      </c>
      <c r="C217" s="1009" t="s">
        <v>2172</v>
      </c>
      <c r="D217" s="3140" t="s">
        <v>2190</v>
      </c>
      <c r="E217" s="2961">
        <f>E214*1.2</f>
        <v>1572.4919999999997</v>
      </c>
      <c r="F217" s="1030">
        <f>F214*1.2</f>
        <v>1572.4919999999997</v>
      </c>
      <c r="G217" s="2952" t="s">
        <v>317</v>
      </c>
      <c r="H217" s="3143">
        <f>H214*1.2</f>
        <v>1371.8999999999999</v>
      </c>
      <c r="I217" s="1030">
        <f>I214*1.2</f>
        <v>1371.8999999999999</v>
      </c>
      <c r="J217" s="1111" t="s">
        <v>317</v>
      </c>
      <c r="K217" s="3143">
        <f>K214*1.2</f>
        <v>0</v>
      </c>
      <c r="L217" s="1030">
        <f>L214*1.2</f>
        <v>0</v>
      </c>
      <c r="M217" s="1111" t="s">
        <v>317</v>
      </c>
      <c r="N217" s="3143">
        <f>N214*1.2</f>
        <v>2556.3120000000004</v>
      </c>
      <c r="O217" s="1030">
        <f>O214*1.2</f>
        <v>2556.3120000000004</v>
      </c>
      <c r="P217" s="1111" t="s">
        <v>317</v>
      </c>
      <c r="Q217" s="3143">
        <f>Q214*1.2</f>
        <v>2556.3120000000004</v>
      </c>
      <c r="R217" s="1030">
        <f>R214*1.2</f>
        <v>2556.3120000000004</v>
      </c>
      <c r="S217" s="1111" t="s">
        <v>317</v>
      </c>
    </row>
    <row r="218" spans="2:21" ht="31.8" thickBot="1" x14ac:dyDescent="0.35">
      <c r="B218" s="2188" t="s">
        <v>237</v>
      </c>
      <c r="C218" s="1009" t="s">
        <v>2326</v>
      </c>
      <c r="D218" s="1075" t="s">
        <v>2194</v>
      </c>
      <c r="E218" s="2981">
        <f>E215*1.2</f>
        <v>162358.644</v>
      </c>
      <c r="F218" s="2927" t="s">
        <v>317</v>
      </c>
      <c r="G218" s="2982">
        <f>G215*1.2</f>
        <v>162358.644</v>
      </c>
      <c r="H218" s="1027">
        <f>H215*1.2</f>
        <v>158564.15999999997</v>
      </c>
      <c r="I218" s="2927" t="s">
        <v>317</v>
      </c>
      <c r="J218" s="1032">
        <f>J215*1.2</f>
        <v>158564.15999999997</v>
      </c>
      <c r="K218" s="1027">
        <f>K215*1.2</f>
        <v>0</v>
      </c>
      <c r="L218" s="2927" t="s">
        <v>317</v>
      </c>
      <c r="M218" s="1032">
        <f>M215*1.2</f>
        <v>0</v>
      </c>
      <c r="N218" s="1027">
        <f>N215*1.2</f>
        <v>180996.27600000001</v>
      </c>
      <c r="O218" s="2927" t="s">
        <v>317</v>
      </c>
      <c r="P218" s="1032">
        <f>P215*1.2</f>
        <v>180996.27600000001</v>
      </c>
      <c r="Q218" s="1027">
        <f>Q215*1.2</f>
        <v>180996.27600000001</v>
      </c>
      <c r="R218" s="2927" t="s">
        <v>317</v>
      </c>
      <c r="S218" s="1032">
        <f>S215*1.2</f>
        <v>180996.27600000001</v>
      </c>
    </row>
    <row r="219" spans="2:21" ht="21" customHeight="1" thickBot="1" x14ac:dyDescent="0.35">
      <c r="B219" s="2189"/>
      <c r="C219" s="5159" t="s">
        <v>2176</v>
      </c>
      <c r="D219" s="5159"/>
      <c r="E219" s="5159"/>
      <c r="F219" s="5159"/>
      <c r="G219" s="5159"/>
      <c r="H219" s="5159"/>
      <c r="I219" s="5159"/>
      <c r="J219" s="5159"/>
      <c r="K219" s="5159"/>
      <c r="L219" s="5159"/>
      <c r="M219" s="5159"/>
      <c r="N219" s="5159"/>
      <c r="O219" s="5159"/>
      <c r="P219" s="5159"/>
      <c r="Q219" s="5159"/>
      <c r="R219" s="5159"/>
      <c r="S219" s="5159"/>
    </row>
    <row r="220" spans="2:21" ht="31.2" x14ac:dyDescent="0.3">
      <c r="B220" s="2187" t="s">
        <v>192</v>
      </c>
      <c r="C220" s="2983" t="s">
        <v>2212</v>
      </c>
      <c r="D220" s="2984" t="s">
        <v>74</v>
      </c>
      <c r="E220" s="1026">
        <f>E211</f>
        <v>2485.5000000000005</v>
      </c>
      <c r="F220" s="1028" t="str">
        <f t="shared" ref="F220:S220" si="247">F211</f>
        <v>х</v>
      </c>
      <c r="G220" s="1029" t="str">
        <f t="shared" si="247"/>
        <v>х</v>
      </c>
      <c r="H220" s="1026">
        <f t="shared" si="247"/>
        <v>2291.61</v>
      </c>
      <c r="I220" s="1028" t="str">
        <f t="shared" si="247"/>
        <v>х</v>
      </c>
      <c r="J220" s="1029" t="str">
        <f t="shared" si="247"/>
        <v>х</v>
      </c>
      <c r="K220" s="1026">
        <f t="shared" si="247"/>
        <v>0</v>
      </c>
      <c r="L220" s="1028" t="str">
        <f t="shared" si="247"/>
        <v>х</v>
      </c>
      <c r="M220" s="1029" t="str">
        <f t="shared" si="247"/>
        <v>х</v>
      </c>
      <c r="N220" s="1026">
        <f t="shared" si="247"/>
        <v>3436.71</v>
      </c>
      <c r="O220" s="1028" t="str">
        <f t="shared" si="247"/>
        <v>х</v>
      </c>
      <c r="P220" s="1029" t="str">
        <f t="shared" si="247"/>
        <v>х</v>
      </c>
      <c r="Q220" s="1026">
        <f t="shared" si="247"/>
        <v>3436.71</v>
      </c>
      <c r="R220" s="1028" t="str">
        <f t="shared" si="247"/>
        <v>х</v>
      </c>
      <c r="S220" s="1029" t="str">
        <f t="shared" si="247"/>
        <v>х</v>
      </c>
    </row>
    <row r="221" spans="2:21" ht="31.2" x14ac:dyDescent="0.3">
      <c r="B221" s="3138" t="s">
        <v>193</v>
      </c>
      <c r="C221" s="2985" t="s">
        <v>2213</v>
      </c>
      <c r="D221" s="3140" t="s">
        <v>74</v>
      </c>
      <c r="E221" s="3142">
        <f t="shared" ref="E221:S227" si="248">E212</f>
        <v>2982.6000000000004</v>
      </c>
      <c r="F221" s="1030" t="str">
        <f t="shared" si="248"/>
        <v>х</v>
      </c>
      <c r="G221" s="1019" t="str">
        <f t="shared" si="248"/>
        <v>х</v>
      </c>
      <c r="H221" s="3142">
        <f t="shared" si="248"/>
        <v>2749.9320000000002</v>
      </c>
      <c r="I221" s="1030" t="str">
        <f t="shared" si="248"/>
        <v>х</v>
      </c>
      <c r="J221" s="1019" t="str">
        <f t="shared" si="248"/>
        <v>х</v>
      </c>
      <c r="K221" s="3142">
        <f t="shared" si="248"/>
        <v>0</v>
      </c>
      <c r="L221" s="1030" t="str">
        <f t="shared" si="248"/>
        <v>х</v>
      </c>
      <c r="M221" s="1019" t="str">
        <f t="shared" si="248"/>
        <v>х</v>
      </c>
      <c r="N221" s="3142">
        <f t="shared" si="248"/>
        <v>4124.0519999999997</v>
      </c>
      <c r="O221" s="1030" t="str">
        <f t="shared" si="248"/>
        <v>х</v>
      </c>
      <c r="P221" s="1019" t="str">
        <f t="shared" si="248"/>
        <v>х</v>
      </c>
      <c r="Q221" s="3142">
        <f t="shared" si="248"/>
        <v>4124.0519999999997</v>
      </c>
      <c r="R221" s="1030" t="str">
        <f t="shared" si="248"/>
        <v>х</v>
      </c>
      <c r="S221" s="1019" t="str">
        <f t="shared" si="248"/>
        <v>х</v>
      </c>
    </row>
    <row r="222" spans="2:21" ht="36" customHeight="1" x14ac:dyDescent="0.3">
      <c r="B222" s="3138" t="s">
        <v>688</v>
      </c>
      <c r="C222" s="2985" t="s">
        <v>2214</v>
      </c>
      <c r="D222" s="3140" t="s">
        <v>2049</v>
      </c>
      <c r="E222" s="3142" t="str">
        <f t="shared" si="248"/>
        <v>х</v>
      </c>
      <c r="F222" s="1030" t="str">
        <f t="shared" si="248"/>
        <v>х</v>
      </c>
      <c r="G222" s="1019" t="str">
        <f t="shared" si="248"/>
        <v>х</v>
      </c>
      <c r="H222" s="3142" t="str">
        <f t="shared" si="248"/>
        <v>х</v>
      </c>
      <c r="I222" s="1030" t="str">
        <f t="shared" si="248"/>
        <v>х</v>
      </c>
      <c r="J222" s="1019" t="str">
        <f t="shared" si="248"/>
        <v>х</v>
      </c>
      <c r="K222" s="3142" t="str">
        <f t="shared" si="248"/>
        <v>х</v>
      </c>
      <c r="L222" s="1030" t="str">
        <f t="shared" si="248"/>
        <v>х</v>
      </c>
      <c r="M222" s="1019" t="str">
        <f t="shared" si="248"/>
        <v>х</v>
      </c>
      <c r="N222" s="3142" t="str">
        <f t="shared" si="248"/>
        <v>х</v>
      </c>
      <c r="O222" s="1030" t="str">
        <f t="shared" si="248"/>
        <v>х</v>
      </c>
      <c r="P222" s="1019" t="str">
        <f t="shared" si="248"/>
        <v>х</v>
      </c>
      <c r="Q222" s="3142" t="str">
        <f t="shared" si="248"/>
        <v>х</v>
      </c>
      <c r="R222" s="1030" t="str">
        <f t="shared" si="248"/>
        <v>х</v>
      </c>
      <c r="S222" s="1019" t="str">
        <f t="shared" si="248"/>
        <v>х</v>
      </c>
    </row>
    <row r="223" spans="2:21" ht="15.6" x14ac:dyDescent="0.3">
      <c r="B223" s="3138" t="s">
        <v>194</v>
      </c>
      <c r="C223" s="2971" t="s">
        <v>2172</v>
      </c>
      <c r="D223" s="3140" t="s">
        <v>2190</v>
      </c>
      <c r="E223" s="3142">
        <f t="shared" si="248"/>
        <v>1310.4099999999999</v>
      </c>
      <c r="F223" s="1030">
        <f t="shared" si="248"/>
        <v>1310.4099999999999</v>
      </c>
      <c r="G223" s="1019" t="str">
        <f t="shared" si="248"/>
        <v>х</v>
      </c>
      <c r="H223" s="3142">
        <f t="shared" si="248"/>
        <v>1143.25</v>
      </c>
      <c r="I223" s="1030">
        <f t="shared" si="248"/>
        <v>1143.25</v>
      </c>
      <c r="J223" s="1019" t="str">
        <f t="shared" si="248"/>
        <v>х</v>
      </c>
      <c r="K223" s="3142">
        <f t="shared" si="248"/>
        <v>0</v>
      </c>
      <c r="L223" s="1030">
        <f t="shared" si="248"/>
        <v>0</v>
      </c>
      <c r="M223" s="1019" t="str">
        <f t="shared" si="248"/>
        <v>х</v>
      </c>
      <c r="N223" s="3142">
        <f t="shared" si="248"/>
        <v>2130.2600000000002</v>
      </c>
      <c r="O223" s="1030">
        <f t="shared" si="248"/>
        <v>2130.2600000000002</v>
      </c>
      <c r="P223" s="1019" t="str">
        <f t="shared" si="248"/>
        <v>х</v>
      </c>
      <c r="Q223" s="3142">
        <f t="shared" si="248"/>
        <v>2130.2600000000002</v>
      </c>
      <c r="R223" s="1030">
        <f t="shared" si="248"/>
        <v>2130.2600000000002</v>
      </c>
      <c r="S223" s="1019" t="str">
        <f t="shared" si="248"/>
        <v>х</v>
      </c>
    </row>
    <row r="224" spans="2:21" ht="34.950000000000003" customHeight="1" x14ac:dyDescent="0.3">
      <c r="B224" s="3138" t="s">
        <v>195</v>
      </c>
      <c r="C224" s="1009" t="s">
        <v>2325</v>
      </c>
      <c r="D224" s="3140" t="s">
        <v>2194</v>
      </c>
      <c r="E224" s="3142">
        <f t="shared" si="248"/>
        <v>135298.87</v>
      </c>
      <c r="F224" s="1030" t="str">
        <f t="shared" si="248"/>
        <v>х</v>
      </c>
      <c r="G224" s="1019">
        <f>G215</f>
        <v>135298.87</v>
      </c>
      <c r="H224" s="3142">
        <f>H215</f>
        <v>132136.79999999999</v>
      </c>
      <c r="I224" s="1030" t="str">
        <f t="shared" si="248"/>
        <v>х</v>
      </c>
      <c r="J224" s="1019">
        <f t="shared" si="248"/>
        <v>132136.79999999999</v>
      </c>
      <c r="K224" s="3142">
        <f t="shared" si="248"/>
        <v>0</v>
      </c>
      <c r="L224" s="1030" t="str">
        <f t="shared" si="248"/>
        <v>х</v>
      </c>
      <c r="M224" s="1019">
        <f t="shared" si="248"/>
        <v>0</v>
      </c>
      <c r="N224" s="3142">
        <f>N215</f>
        <v>150830.23000000001</v>
      </c>
      <c r="O224" s="1030" t="str">
        <f t="shared" si="248"/>
        <v>х</v>
      </c>
      <c r="P224" s="1019">
        <f t="shared" si="248"/>
        <v>150830.23000000001</v>
      </c>
      <c r="Q224" s="3142">
        <f>Q215</f>
        <v>150830.23000000001</v>
      </c>
      <c r="R224" s="1030" t="str">
        <f t="shared" si="248"/>
        <v>х</v>
      </c>
      <c r="S224" s="1019">
        <f t="shared" si="248"/>
        <v>150830.23000000001</v>
      </c>
    </row>
    <row r="225" spans="2:21" ht="33" customHeight="1" x14ac:dyDescent="0.3">
      <c r="B225" s="3138" t="s">
        <v>689</v>
      </c>
      <c r="C225" s="2985" t="s">
        <v>2215</v>
      </c>
      <c r="D225" s="3140" t="s">
        <v>2049</v>
      </c>
      <c r="E225" s="3142" t="str">
        <f t="shared" si="248"/>
        <v>х</v>
      </c>
      <c r="F225" s="1030" t="str">
        <f t="shared" si="248"/>
        <v>х</v>
      </c>
      <c r="G225" s="1019" t="str">
        <f t="shared" si="248"/>
        <v>х</v>
      </c>
      <c r="H225" s="3142" t="str">
        <f t="shared" si="248"/>
        <v>х</v>
      </c>
      <c r="I225" s="1030" t="str">
        <f t="shared" si="248"/>
        <v>х</v>
      </c>
      <c r="J225" s="1019" t="str">
        <f t="shared" si="248"/>
        <v>х</v>
      </c>
      <c r="K225" s="3142" t="str">
        <f t="shared" si="248"/>
        <v>х</v>
      </c>
      <c r="L225" s="1030" t="str">
        <f t="shared" si="248"/>
        <v>х</v>
      </c>
      <c r="M225" s="1019" t="str">
        <f t="shared" si="248"/>
        <v>х</v>
      </c>
      <c r="N225" s="3142" t="str">
        <f t="shared" si="248"/>
        <v>х</v>
      </c>
      <c r="O225" s="1030" t="str">
        <f t="shared" si="248"/>
        <v>х</v>
      </c>
      <c r="P225" s="1019" t="str">
        <f t="shared" si="248"/>
        <v>х</v>
      </c>
      <c r="Q225" s="3142" t="str">
        <f t="shared" si="248"/>
        <v>х</v>
      </c>
      <c r="R225" s="1030" t="str">
        <f t="shared" si="248"/>
        <v>х</v>
      </c>
      <c r="S225" s="1019" t="str">
        <f t="shared" si="248"/>
        <v>х</v>
      </c>
    </row>
    <row r="226" spans="2:21" ht="16.95" customHeight="1" x14ac:dyDescent="0.3">
      <c r="B226" s="3138" t="s">
        <v>2227</v>
      </c>
      <c r="C226" s="2971" t="s">
        <v>2172</v>
      </c>
      <c r="D226" s="3140" t="s">
        <v>2190</v>
      </c>
      <c r="E226" s="3142">
        <f t="shared" si="248"/>
        <v>1572.4919999999997</v>
      </c>
      <c r="F226" s="1030">
        <f t="shared" si="248"/>
        <v>1572.4919999999997</v>
      </c>
      <c r="G226" s="1019" t="str">
        <f t="shared" si="248"/>
        <v>х</v>
      </c>
      <c r="H226" s="3142">
        <f t="shared" si="248"/>
        <v>1371.8999999999999</v>
      </c>
      <c r="I226" s="1030">
        <f t="shared" si="248"/>
        <v>1371.8999999999999</v>
      </c>
      <c r="J226" s="1019" t="str">
        <f t="shared" si="248"/>
        <v>х</v>
      </c>
      <c r="K226" s="3142">
        <f t="shared" si="248"/>
        <v>0</v>
      </c>
      <c r="L226" s="1030">
        <f t="shared" si="248"/>
        <v>0</v>
      </c>
      <c r="M226" s="1019" t="str">
        <f t="shared" si="248"/>
        <v>х</v>
      </c>
      <c r="N226" s="3142">
        <f t="shared" si="248"/>
        <v>2556.3120000000004</v>
      </c>
      <c r="O226" s="1030">
        <f t="shared" si="248"/>
        <v>2556.3120000000004</v>
      </c>
      <c r="P226" s="1019" t="str">
        <f t="shared" si="248"/>
        <v>х</v>
      </c>
      <c r="Q226" s="3142">
        <f t="shared" si="248"/>
        <v>2556.3120000000004</v>
      </c>
      <c r="R226" s="1030">
        <f t="shared" si="248"/>
        <v>2556.3120000000004</v>
      </c>
      <c r="S226" s="1019" t="str">
        <f t="shared" si="248"/>
        <v>х</v>
      </c>
    </row>
    <row r="227" spans="2:21" ht="31.8" thickBot="1" x14ac:dyDescent="0.35">
      <c r="B227" s="2188" t="s">
        <v>2228</v>
      </c>
      <c r="C227" s="1009" t="s">
        <v>2326</v>
      </c>
      <c r="D227" s="1075" t="s">
        <v>2194</v>
      </c>
      <c r="E227" s="1027">
        <f t="shared" si="248"/>
        <v>162358.644</v>
      </c>
      <c r="F227" s="1031" t="str">
        <f t="shared" si="248"/>
        <v>х</v>
      </c>
      <c r="G227" s="1032">
        <f t="shared" si="248"/>
        <v>162358.644</v>
      </c>
      <c r="H227" s="1027">
        <f t="shared" si="248"/>
        <v>158564.15999999997</v>
      </c>
      <c r="I227" s="1031" t="str">
        <f t="shared" si="248"/>
        <v>х</v>
      </c>
      <c r="J227" s="1032">
        <f t="shared" si="248"/>
        <v>158564.15999999997</v>
      </c>
      <c r="K227" s="1027">
        <f t="shared" si="248"/>
        <v>0</v>
      </c>
      <c r="L227" s="1031" t="str">
        <f t="shared" si="248"/>
        <v>х</v>
      </c>
      <c r="M227" s="1032">
        <f t="shared" si="248"/>
        <v>0</v>
      </c>
      <c r="N227" s="1027">
        <f t="shared" si="248"/>
        <v>180996.27600000001</v>
      </c>
      <c r="O227" s="1031" t="str">
        <f t="shared" si="248"/>
        <v>х</v>
      </c>
      <c r="P227" s="1032">
        <f t="shared" si="248"/>
        <v>180996.27600000001</v>
      </c>
      <c r="Q227" s="1027">
        <f t="shared" si="248"/>
        <v>180996.27600000001</v>
      </c>
      <c r="R227" s="1031" t="str">
        <f t="shared" si="248"/>
        <v>х</v>
      </c>
      <c r="S227" s="1032">
        <f t="shared" si="248"/>
        <v>180996.27600000001</v>
      </c>
    </row>
    <row r="228" spans="2:21" ht="15.6" x14ac:dyDescent="0.3">
      <c r="C228" s="2190"/>
      <c r="D228" s="2191"/>
      <c r="E228" s="2191"/>
      <c r="F228" s="2191"/>
      <c r="G228" s="2191"/>
      <c r="H228" s="2191"/>
      <c r="I228" s="2191"/>
      <c r="J228" s="2191"/>
      <c r="K228" s="2192"/>
      <c r="L228" s="2191"/>
      <c r="M228" s="2191"/>
      <c r="N228" s="2192"/>
      <c r="O228" s="2191"/>
      <c r="P228" s="2191"/>
      <c r="Q228" s="2192"/>
      <c r="R228" s="2191"/>
      <c r="S228" s="2191"/>
    </row>
    <row r="229" spans="2:21" ht="25.5" hidden="1" customHeight="1" x14ac:dyDescent="0.3">
      <c r="B229" s="2193" t="s">
        <v>2177</v>
      </c>
      <c r="C229" s="5167" t="s">
        <v>2178</v>
      </c>
      <c r="D229" s="5167"/>
      <c r="E229" s="5167"/>
      <c r="F229" s="5167"/>
      <c r="G229" s="5167"/>
      <c r="H229" s="5167"/>
      <c r="I229" s="5167"/>
      <c r="J229" s="5167"/>
      <c r="K229" s="5167"/>
      <c r="L229" s="5167"/>
      <c r="M229" s="5167"/>
      <c r="N229" s="5167"/>
      <c r="O229" s="5167"/>
      <c r="P229" s="5167"/>
      <c r="Q229" s="5167"/>
      <c r="R229" s="5167"/>
      <c r="S229" s="5167"/>
    </row>
    <row r="230" spans="2:21" ht="13.5" hidden="1" customHeight="1" x14ac:dyDescent="0.3">
      <c r="B230" s="2194"/>
      <c r="C230" s="3144" t="s">
        <v>2179</v>
      </c>
      <c r="D230" s="3144"/>
      <c r="E230" s="3144"/>
      <c r="F230" s="3144"/>
      <c r="G230" s="3144"/>
      <c r="H230" s="3144"/>
      <c r="I230" s="3144"/>
      <c r="J230" s="3144"/>
      <c r="K230" s="2195"/>
      <c r="L230" s="3144"/>
      <c r="M230" s="3144"/>
      <c r="N230" s="2195"/>
      <c r="O230" s="3144"/>
      <c r="P230" s="3144"/>
      <c r="Q230" s="2195"/>
      <c r="R230" s="3144"/>
      <c r="S230" s="3144"/>
    </row>
    <row r="231" spans="2:21" ht="15.75" hidden="1" customHeight="1" x14ac:dyDescent="0.3">
      <c r="B231" s="2145" t="s">
        <v>2180</v>
      </c>
      <c r="C231" s="5165" t="s">
        <v>2181</v>
      </c>
      <c r="D231" s="5165"/>
      <c r="E231" s="2150"/>
      <c r="F231" s="2150"/>
      <c r="G231" s="2150"/>
      <c r="H231" s="2150"/>
      <c r="I231" s="2150"/>
      <c r="J231" s="5166"/>
      <c r="K231" s="5166"/>
      <c r="L231" s="2150"/>
      <c r="M231" s="2150"/>
      <c r="N231" s="2151"/>
      <c r="O231" s="2150"/>
      <c r="P231" s="5165"/>
      <c r="Q231" s="5165"/>
      <c r="R231" s="5165"/>
      <c r="S231" s="5165"/>
    </row>
    <row r="232" spans="2:21" ht="15.75" customHeight="1" x14ac:dyDescent="0.3">
      <c r="C232" s="5154" t="s">
        <v>2182</v>
      </c>
      <c r="D232" s="5154"/>
      <c r="E232" s="2150"/>
      <c r="F232" s="2150"/>
      <c r="G232" s="2150"/>
      <c r="H232" s="2150"/>
      <c r="I232" s="2150"/>
      <c r="J232" s="5154"/>
      <c r="K232" s="5154"/>
      <c r="L232" s="2150"/>
      <c r="M232" s="2150"/>
      <c r="N232" s="2151"/>
      <c r="O232" s="2150"/>
      <c r="P232" s="2150"/>
      <c r="Q232" s="5154"/>
      <c r="R232" s="5154"/>
      <c r="S232" s="2150"/>
    </row>
    <row r="233" spans="2:21" ht="15.75" customHeight="1" x14ac:dyDescent="0.3">
      <c r="C233" s="3054"/>
      <c r="D233" s="3054"/>
      <c r="E233" s="2150"/>
      <c r="F233" s="2150"/>
      <c r="G233" s="2150"/>
      <c r="H233" s="2150"/>
      <c r="I233" s="2150"/>
      <c r="J233" s="3054"/>
      <c r="K233" s="3054"/>
      <c r="L233" s="2150"/>
      <c r="M233" s="2150"/>
      <c r="N233" s="2151"/>
      <c r="O233" s="2150"/>
      <c r="P233" s="2150"/>
      <c r="Q233" s="3054"/>
      <c r="R233" s="3054"/>
      <c r="S233" s="2150"/>
    </row>
    <row r="234" spans="2:21" s="2153" customFormat="1" ht="15.6" customHeight="1" x14ac:dyDescent="0.3">
      <c r="B234" s="3707"/>
      <c r="C234" s="4418" t="str">
        <f>'Вхідні дані'!B13</f>
        <v>Директор підприємства</v>
      </c>
      <c r="D234" s="2191"/>
      <c r="E234" s="4419"/>
      <c r="F234" s="4419"/>
      <c r="G234" s="4419"/>
      <c r="H234" s="4419"/>
      <c r="I234" s="4419"/>
      <c r="J234" s="2191" t="s">
        <v>339</v>
      </c>
      <c r="K234" s="2191"/>
      <c r="L234" s="4419"/>
      <c r="M234" s="4419"/>
      <c r="N234" s="4420"/>
      <c r="O234" s="4419"/>
      <c r="P234" s="5129" t="str">
        <f>'Вхідні дані'!F13</f>
        <v>Анатолій ПАНШИН</v>
      </c>
      <c r="Q234" s="5129"/>
      <c r="R234" s="5129"/>
      <c r="S234" s="4419"/>
    </row>
    <row r="235" spans="2:21" ht="24" customHeight="1" x14ac:dyDescent="0.3">
      <c r="C235" s="4417" t="s">
        <v>232</v>
      </c>
      <c r="D235" s="3054"/>
      <c r="E235" s="2150"/>
      <c r="F235" s="2150"/>
      <c r="G235" s="2150"/>
      <c r="H235" s="2150"/>
      <c r="I235" s="2150"/>
      <c r="J235" s="4417" t="s">
        <v>209</v>
      </c>
      <c r="K235" s="3054"/>
      <c r="L235" s="2150"/>
      <c r="M235" s="2150"/>
      <c r="N235" s="2151"/>
      <c r="O235" s="2150"/>
      <c r="P235" s="5130" t="s">
        <v>2183</v>
      </c>
      <c r="Q235" s="5130"/>
      <c r="R235" s="5130"/>
      <c r="S235" s="2150"/>
    </row>
    <row r="236" spans="2:21" x14ac:dyDescent="0.3">
      <c r="C236" s="1897"/>
      <c r="D236" s="2196"/>
      <c r="E236" s="2196"/>
      <c r="F236" s="2196"/>
      <c r="G236" s="1021"/>
      <c r="H236" s="3146"/>
      <c r="I236" s="3146"/>
      <c r="J236" s="3146"/>
      <c r="L236" s="1896"/>
      <c r="M236" s="1021"/>
      <c r="O236" s="1021"/>
      <c r="T236" s="1021"/>
    </row>
    <row r="237" spans="2:21" x14ac:dyDescent="0.3">
      <c r="C237" s="3066"/>
      <c r="D237" s="2196"/>
      <c r="E237" s="2196"/>
      <c r="F237" s="2196"/>
      <c r="H237" s="3146"/>
      <c r="I237" s="2196"/>
      <c r="J237" s="2196"/>
      <c r="L237" s="1021"/>
      <c r="M237" s="1021"/>
      <c r="O237" s="3068"/>
      <c r="P237" s="1021"/>
      <c r="R237" s="1021"/>
    </row>
    <row r="238" spans="2:21" x14ac:dyDescent="0.3">
      <c r="C238" s="3066"/>
      <c r="D238" s="2196"/>
      <c r="E238" s="2196"/>
      <c r="F238" s="2196"/>
      <c r="H238" s="3146"/>
      <c r="I238" s="2196"/>
      <c r="J238" s="2196"/>
      <c r="L238" s="1021"/>
      <c r="M238" s="1021"/>
      <c r="O238" s="1021"/>
      <c r="P238" s="1021"/>
      <c r="R238" s="1021"/>
    </row>
    <row r="239" spans="2:21" x14ac:dyDescent="0.3">
      <c r="C239" s="3067"/>
      <c r="D239" s="2196"/>
      <c r="E239" s="2196"/>
      <c r="F239" s="2196"/>
      <c r="H239" s="3146"/>
      <c r="I239" s="2196"/>
      <c r="J239" s="2196"/>
      <c r="L239" s="1021"/>
      <c r="M239" s="1021"/>
      <c r="P239" s="1021"/>
      <c r="R239" s="1021"/>
      <c r="S239" s="3063"/>
      <c r="T239" s="1021"/>
      <c r="U239" s="3063"/>
    </row>
    <row r="240" spans="2:21" x14ac:dyDescent="0.3">
      <c r="C240" s="1897"/>
      <c r="D240" s="2196"/>
      <c r="E240" s="2196"/>
      <c r="F240" s="2196"/>
      <c r="H240" s="3146"/>
      <c r="I240" s="3146"/>
      <c r="J240" s="3146"/>
      <c r="L240" s="1021"/>
      <c r="M240" s="1021"/>
      <c r="P240" s="1896"/>
      <c r="R240" s="1021"/>
      <c r="T240" s="1021"/>
    </row>
    <row r="241" spans="2:21" x14ac:dyDescent="0.3">
      <c r="C241" s="3066"/>
      <c r="D241" s="2196"/>
      <c r="E241" s="2196"/>
      <c r="F241" s="2196"/>
      <c r="H241" s="3146"/>
      <c r="I241" s="2196"/>
      <c r="J241" s="2196"/>
      <c r="L241" s="1021"/>
      <c r="M241" s="1021"/>
      <c r="P241" s="1021"/>
      <c r="R241" s="1021"/>
      <c r="S241" s="3063"/>
      <c r="T241" s="1021"/>
    </row>
    <row r="242" spans="2:21" x14ac:dyDescent="0.3">
      <c r="C242" s="3066"/>
      <c r="D242" s="2196"/>
      <c r="E242" s="2196"/>
      <c r="F242" s="2196"/>
      <c r="H242" s="3146"/>
      <c r="I242" s="2196"/>
      <c r="J242" s="2196"/>
      <c r="L242" s="1021"/>
      <c r="M242" s="1021"/>
      <c r="P242" s="1021"/>
      <c r="R242" s="1021"/>
      <c r="S242" s="3063"/>
      <c r="T242" s="1021"/>
      <c r="U242" s="3063"/>
    </row>
    <row r="243" spans="2:21" x14ac:dyDescent="0.3">
      <c r="C243" s="3067"/>
      <c r="D243" s="2196"/>
      <c r="E243" s="2196"/>
      <c r="F243" s="2196"/>
      <c r="H243" s="2196"/>
      <c r="I243" s="2196"/>
      <c r="J243" s="2196"/>
      <c r="L243" s="1021"/>
      <c r="M243" s="1021"/>
      <c r="O243" s="3063"/>
      <c r="P243" s="1021"/>
      <c r="R243" s="1021"/>
      <c r="S243" s="3063"/>
      <c r="T243" s="1021"/>
    </row>
    <row r="244" spans="2:21" x14ac:dyDescent="0.3">
      <c r="C244" s="3063"/>
      <c r="D244" s="2196"/>
      <c r="E244" s="2196"/>
      <c r="F244" s="2196"/>
      <c r="G244" s="1021"/>
      <c r="H244" s="3146"/>
      <c r="I244" s="3146"/>
      <c r="J244" s="3146"/>
      <c r="L244" s="1021"/>
      <c r="O244" s="1021"/>
      <c r="Q244" s="1005"/>
      <c r="R244" s="1021"/>
    </row>
    <row r="245" spans="2:21" x14ac:dyDescent="0.3">
      <c r="C245" s="3066"/>
      <c r="D245" s="2196"/>
      <c r="E245" s="2196"/>
      <c r="F245" s="2196"/>
      <c r="H245" s="3146"/>
      <c r="I245" s="3146"/>
      <c r="J245" s="3146"/>
      <c r="Q245" s="1005"/>
      <c r="R245" s="1021"/>
    </row>
    <row r="246" spans="2:21" x14ac:dyDescent="0.3">
      <c r="C246" s="3066"/>
      <c r="D246" s="2196"/>
      <c r="E246" s="2196"/>
      <c r="F246" s="2196"/>
      <c r="H246" s="2196"/>
      <c r="I246" s="3146"/>
      <c r="J246" s="3146"/>
      <c r="L246" s="1021"/>
      <c r="O246" s="3063"/>
      <c r="P246" s="1021"/>
      <c r="Q246" s="1005"/>
      <c r="R246" s="1021"/>
      <c r="S246" s="3063"/>
      <c r="T246" s="1021"/>
    </row>
    <row r="247" spans="2:21" s="4406" customFormat="1" ht="17.399999999999999" customHeight="1" x14ac:dyDescent="0.3">
      <c r="B247" s="4407"/>
      <c r="C247" s="4413"/>
      <c r="D247" s="4413"/>
      <c r="E247" s="4414">
        <f>E223</f>
        <v>1310.4099999999999</v>
      </c>
      <c r="F247" s="4413"/>
      <c r="G247" s="4413"/>
      <c r="H247" s="4414">
        <f>H223</f>
        <v>1143.25</v>
      </c>
      <c r="I247" s="4413"/>
      <c r="J247" s="4413"/>
      <c r="K247" s="4415">
        <f>K223</f>
        <v>0</v>
      </c>
      <c r="N247" s="4415">
        <f>N223</f>
        <v>2130.2600000000002</v>
      </c>
      <c r="Q247" s="4415">
        <f>Q223</f>
        <v>2130.2600000000002</v>
      </c>
      <c r="R247" s="4416"/>
    </row>
    <row r="248" spans="2:21" ht="17.399999999999999" customHeight="1" x14ac:dyDescent="0.3">
      <c r="C248" s="3054"/>
      <c r="D248" s="3054"/>
      <c r="E248" s="4314">
        <f>E224</f>
        <v>135298.87</v>
      </c>
      <c r="F248" s="2150"/>
      <c r="G248" s="2150"/>
      <c r="H248" s="4314">
        <f>H224</f>
        <v>132136.79999999999</v>
      </c>
      <c r="I248" s="2150"/>
      <c r="J248" s="3054"/>
      <c r="K248" s="4314">
        <f>K224</f>
        <v>0</v>
      </c>
      <c r="L248" s="2150"/>
      <c r="M248" s="2150"/>
      <c r="N248" s="4314">
        <f>N224</f>
        <v>150830.23000000001</v>
      </c>
      <c r="O248" s="2150"/>
      <c r="P248" s="2150"/>
      <c r="Q248" s="4314">
        <f>Q224</f>
        <v>150830.23000000001</v>
      </c>
      <c r="R248" s="3054"/>
      <c r="S248" s="2150"/>
    </row>
    <row r="249" spans="2:21" ht="17.399999999999999" customHeight="1" x14ac:dyDescent="0.3">
      <c r="C249" s="3054"/>
      <c r="D249" s="3055"/>
      <c r="E249" s="3055"/>
      <c r="F249" s="3055"/>
      <c r="G249" s="3055"/>
      <c r="H249" s="2946">
        <f>H248-H251-H253-H255</f>
        <v>0</v>
      </c>
      <c r="I249" s="3056"/>
      <c r="J249" s="3057"/>
      <c r="K249" s="3054"/>
      <c r="L249" s="4376"/>
      <c r="M249" s="2150"/>
      <c r="N249" s="2946">
        <f>N248-N251-N253-N255</f>
        <v>1.6370904631912708E-11</v>
      </c>
      <c r="O249" s="2150"/>
      <c r="P249" s="2150"/>
      <c r="Q249" s="2946">
        <f>Q248-Q251-Q253-Q255</f>
        <v>1.6370904631912708E-11</v>
      </c>
      <c r="R249" s="3054"/>
      <c r="S249" s="2150"/>
    </row>
    <row r="250" spans="2:21" s="4409" customFormat="1" ht="15" customHeight="1" x14ac:dyDescent="0.3">
      <c r="B250" s="4410"/>
      <c r="D250" s="4411" t="s">
        <v>2830</v>
      </c>
      <c r="E250" s="4411">
        <f>E80</f>
        <v>1056.28</v>
      </c>
      <c r="F250" s="4411"/>
      <c r="G250" s="4411"/>
      <c r="H250" s="4412">
        <f>H80</f>
        <v>889.12</v>
      </c>
      <c r="I250" s="4412"/>
      <c r="J250" s="4412"/>
      <c r="K250" s="4412">
        <f>K80</f>
        <v>0</v>
      </c>
      <c r="L250" s="4412"/>
      <c r="M250" s="4412"/>
      <c r="N250" s="4412">
        <f>N80</f>
        <v>1876.13</v>
      </c>
      <c r="O250" s="4412"/>
      <c r="P250" s="4412"/>
      <c r="Q250" s="4412">
        <f>Q80</f>
        <v>1876.13</v>
      </c>
    </row>
    <row r="251" spans="2:21" x14ac:dyDescent="0.3">
      <c r="C251" s="3058"/>
      <c r="D251" s="3059"/>
      <c r="E251" s="1021">
        <f>E81</f>
        <v>55657.13</v>
      </c>
      <c r="F251" s="1021"/>
      <c r="G251" s="1021"/>
      <c r="H251" s="2157">
        <f>H81</f>
        <v>54678.239999999998</v>
      </c>
      <c r="I251" s="2157"/>
      <c r="J251" s="2157"/>
      <c r="K251" s="2157">
        <f>K81</f>
        <v>0</v>
      </c>
      <c r="L251" s="4376"/>
      <c r="M251" s="4376"/>
      <c r="N251" s="2157">
        <f>N81</f>
        <v>60453.2</v>
      </c>
      <c r="O251" s="4376"/>
      <c r="P251" s="4376"/>
      <c r="Q251" s="2157">
        <f>Q81</f>
        <v>60453.2</v>
      </c>
      <c r="R251" s="2150"/>
      <c r="S251" s="2150"/>
    </row>
    <row r="252" spans="2:21" s="4409" customFormat="1" x14ac:dyDescent="0.3">
      <c r="B252" s="4410"/>
      <c r="D252" s="4411" t="s">
        <v>3114</v>
      </c>
      <c r="E252" s="4411">
        <f>E124</f>
        <v>254.13</v>
      </c>
      <c r="F252" s="4411"/>
      <c r="G252" s="4411"/>
      <c r="H252" s="4412">
        <f>H124</f>
        <v>254.13</v>
      </c>
      <c r="I252" s="4412"/>
      <c r="J252" s="4412"/>
      <c r="K252" s="4412">
        <f>K124</f>
        <v>0</v>
      </c>
      <c r="L252" s="4412"/>
      <c r="M252" s="4412"/>
      <c r="N252" s="4412">
        <f>N124</f>
        <v>254.13</v>
      </c>
      <c r="O252" s="4412"/>
      <c r="P252" s="4412"/>
      <c r="Q252" s="4412">
        <f>Q124</f>
        <v>254.13</v>
      </c>
    </row>
    <row r="253" spans="2:21" ht="15.6" x14ac:dyDescent="0.3">
      <c r="C253" s="3060"/>
      <c r="E253" s="1021">
        <f>E125</f>
        <v>77251.66</v>
      </c>
      <c r="H253" s="2157">
        <f>H125</f>
        <v>75068.479999999996</v>
      </c>
      <c r="I253" s="2157"/>
      <c r="J253" s="2157"/>
      <c r="K253" s="2157">
        <f>K125</f>
        <v>0</v>
      </c>
      <c r="L253" s="2157"/>
      <c r="M253" s="2157"/>
      <c r="N253" s="2157">
        <f>N125</f>
        <v>87986.95</v>
      </c>
      <c r="O253" s="2157"/>
      <c r="P253" s="2157"/>
      <c r="Q253" s="2157">
        <f>Q125</f>
        <v>87986.95</v>
      </c>
    </row>
    <row r="254" spans="2:21" x14ac:dyDescent="0.3">
      <c r="D254" s="4316" t="s">
        <v>3115</v>
      </c>
      <c r="E254" s="1005">
        <f>0</f>
        <v>0</v>
      </c>
      <c r="H254" s="2157">
        <f>0</f>
        <v>0</v>
      </c>
      <c r="I254" s="2157"/>
      <c r="J254" s="2157"/>
      <c r="K254" s="2157">
        <f>0</f>
        <v>0</v>
      </c>
      <c r="L254" s="2157"/>
      <c r="M254" s="2157"/>
      <c r="N254" s="2157">
        <f>0</f>
        <v>0</v>
      </c>
      <c r="O254" s="2157"/>
      <c r="P254" s="2157"/>
      <c r="Q254" s="2157">
        <f>0</f>
        <v>0</v>
      </c>
    </row>
    <row r="255" spans="2:21" s="4406" customFormat="1" x14ac:dyDescent="0.3">
      <c r="B255" s="4407"/>
      <c r="E255" s="4377">
        <f>E164</f>
        <v>2390.08</v>
      </c>
      <c r="H255" s="4408">
        <f>H164</f>
        <v>2390.08</v>
      </c>
      <c r="I255" s="4408"/>
      <c r="J255" s="4408"/>
      <c r="K255" s="4408">
        <f>K164</f>
        <v>0</v>
      </c>
      <c r="L255" s="4408"/>
      <c r="M255" s="4408"/>
      <c r="N255" s="4408">
        <f>N164</f>
        <v>2390.08</v>
      </c>
      <c r="O255" s="4408"/>
      <c r="P255" s="4408"/>
      <c r="Q255" s="4408">
        <f>Q164</f>
        <v>2390.08</v>
      </c>
    </row>
    <row r="256" spans="2:21" x14ac:dyDescent="0.3">
      <c r="D256" s="1021"/>
      <c r="P256" s="1021"/>
    </row>
    <row r="257" spans="4:18" x14ac:dyDescent="0.3">
      <c r="I257" s="1021"/>
    </row>
    <row r="258" spans="4:18" x14ac:dyDescent="0.3">
      <c r="D258" s="1021"/>
    </row>
    <row r="259" spans="4:18" x14ac:dyDescent="0.3">
      <c r="D259" s="1021"/>
      <c r="F259" s="1021"/>
      <c r="R259" s="1021"/>
    </row>
    <row r="260" spans="4:18" x14ac:dyDescent="0.3">
      <c r="F260" s="1021"/>
    </row>
    <row r="261" spans="4:18" x14ac:dyDescent="0.3">
      <c r="F261" s="1021"/>
      <c r="P261" s="1021"/>
    </row>
    <row r="263" spans="4:18" x14ac:dyDescent="0.3">
      <c r="D263" s="1021"/>
    </row>
    <row r="267" spans="4:18" x14ac:dyDescent="0.3">
      <c r="H267" s="1021"/>
      <c r="J267" s="1021"/>
    </row>
    <row r="268" spans="4:18" x14ac:dyDescent="0.3">
      <c r="H268" s="1021"/>
      <c r="J268" s="1021"/>
    </row>
    <row r="269" spans="4:18" x14ac:dyDescent="0.3">
      <c r="H269" s="1021"/>
      <c r="J269" s="1021"/>
    </row>
    <row r="270" spans="4:18" x14ac:dyDescent="0.3">
      <c r="H270" s="1021"/>
      <c r="I270" s="1021"/>
      <c r="J270" s="1021"/>
    </row>
    <row r="271" spans="4:18" x14ac:dyDescent="0.3">
      <c r="I271" s="2203"/>
      <c r="J271" s="2203"/>
    </row>
    <row r="272" spans="4:18" x14ac:dyDescent="0.3">
      <c r="J272" s="2203"/>
    </row>
  </sheetData>
  <mergeCells count="50">
    <mergeCell ref="C85:G85"/>
    <mergeCell ref="C129:S129"/>
    <mergeCell ref="C219:S219"/>
    <mergeCell ref="M11:M12"/>
    <mergeCell ref="O11:O12"/>
    <mergeCell ref="C168:S168"/>
    <mergeCell ref="S11:S12"/>
    <mergeCell ref="C232:D232"/>
    <mergeCell ref="J232:K232"/>
    <mergeCell ref="Q232:R232"/>
    <mergeCell ref="C8:C12"/>
    <mergeCell ref="D8:D12"/>
    <mergeCell ref="E8:G9"/>
    <mergeCell ref="E10:E12"/>
    <mergeCell ref="B36:D36"/>
    <mergeCell ref="B26:B27"/>
    <mergeCell ref="O10:P10"/>
    <mergeCell ref="Q10:Q12"/>
    <mergeCell ref="R10:S10"/>
    <mergeCell ref="C231:D231"/>
    <mergeCell ref="J231:K231"/>
    <mergeCell ref="P231:S231"/>
    <mergeCell ref="C229:S229"/>
    <mergeCell ref="P2:S2"/>
    <mergeCell ref="C4:S4"/>
    <mergeCell ref="C5:S5"/>
    <mergeCell ref="I11:I12"/>
    <mergeCell ref="J11:J12"/>
    <mergeCell ref="L11:L12"/>
    <mergeCell ref="C6:S6"/>
    <mergeCell ref="F11:F12"/>
    <mergeCell ref="G11:G12"/>
    <mergeCell ref="F10:G10"/>
    <mergeCell ref="H10:H12"/>
    <mergeCell ref="P234:R234"/>
    <mergeCell ref="P235:R235"/>
    <mergeCell ref="B8:B12"/>
    <mergeCell ref="E36:G36"/>
    <mergeCell ref="P1:S1"/>
    <mergeCell ref="I10:J10"/>
    <mergeCell ref="K10:K12"/>
    <mergeCell ref="L10:M10"/>
    <mergeCell ref="N10:N12"/>
    <mergeCell ref="H8:S8"/>
    <mergeCell ref="H9:J9"/>
    <mergeCell ref="K9:M9"/>
    <mergeCell ref="N9:P9"/>
    <mergeCell ref="Q9:S9"/>
    <mergeCell ref="P11:P12"/>
    <mergeCell ref="R11:R12"/>
  </mergeCells>
  <pageMargins left="0.31496062992125984" right="0.27559055118110237" top="0.9055118110236221" bottom="0.43307086614173229" header="0.70866141732283472" footer="0.39370078740157483"/>
  <pageSetup paperSize="9" scale="56" fitToHeight="6" orientation="landscape" r:id="rId1"/>
  <headerFooter differentFirst="1">
    <oddHeader>&amp;R&amp;"Times New Roman,обычный"&amp;10продовження додатку 14</oddHeader>
  </headerFooter>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Лист22">
    <tabColor rgb="FF00B050"/>
    <pageSetUpPr fitToPage="1"/>
  </sheetPr>
  <dimension ref="A1:AF318"/>
  <sheetViews>
    <sheetView topLeftCell="B8" zoomScale="75" zoomScaleNormal="75" zoomScaleSheetLayoutView="55" workbookViewId="0">
      <pane xSplit="3" ySplit="28" topLeftCell="E232" activePane="bottomRight" state="frozen"/>
      <selection activeCell="B8" sqref="B8"/>
      <selection pane="topRight" activeCell="E8" sqref="E8"/>
      <selection pane="bottomLeft" activeCell="B36" sqref="B36"/>
      <selection pane="bottomRight" activeCell="E245" sqref="E245"/>
    </sheetView>
  </sheetViews>
  <sheetFormatPr defaultColWidth="29.5546875" defaultRowHeight="14.4" x14ac:dyDescent="0.3"/>
  <cols>
    <col min="1" max="1" width="4.109375" style="1005" customWidth="1"/>
    <col min="2" max="2" width="8.33203125" style="2145" customWidth="1"/>
    <col min="3" max="3" width="48" style="1005" customWidth="1"/>
    <col min="4" max="4" width="11.109375" style="1005" customWidth="1"/>
    <col min="5" max="10" width="11.6640625" style="1005" customWidth="1"/>
    <col min="11" max="11" width="11.6640625" style="1021" customWidth="1"/>
    <col min="12" max="13" width="11.6640625" style="1005" customWidth="1"/>
    <col min="14" max="14" width="11.6640625" style="1021" customWidth="1"/>
    <col min="15" max="16" width="11.6640625" style="1005" customWidth="1"/>
    <col min="17" max="17" width="11.6640625" style="1021" customWidth="1"/>
    <col min="18" max="19" width="11.6640625" style="1005" customWidth="1"/>
    <col min="20" max="20" width="12.88671875" style="1005" customWidth="1"/>
    <col min="21" max="25" width="12.109375" style="1005" customWidth="1"/>
    <col min="26" max="26" width="13.109375" style="1005" customWidth="1"/>
    <col min="27" max="27" width="12.44140625" style="1005" customWidth="1"/>
    <col min="28" max="29" width="13.5546875" style="1005" bestFit="1" customWidth="1"/>
    <col min="30" max="30" width="29.5546875" style="1005"/>
    <col min="31" max="31" width="16" style="1005" customWidth="1"/>
    <col min="32" max="32" width="16.6640625" style="1005" customWidth="1"/>
    <col min="33" max="16384" width="29.5546875" style="1005"/>
  </cols>
  <sheetData>
    <row r="1" spans="2:26" ht="31.95" customHeight="1" x14ac:dyDescent="0.3">
      <c r="O1" s="2146"/>
      <c r="P1" s="5135" t="s">
        <v>3131</v>
      </c>
      <c r="Q1" s="5135"/>
      <c r="R1" s="5135"/>
      <c r="S1" s="5135"/>
    </row>
    <row r="2" spans="2:26" ht="15.6" customHeight="1" x14ac:dyDescent="0.3">
      <c r="O2" s="2146"/>
      <c r="P2" s="5148" t="str">
        <f>'Вхідні дані'!F1</f>
        <v>станом на 01.09.2023 року</v>
      </c>
      <c r="Q2" s="5148"/>
      <c r="R2" s="5148"/>
      <c r="S2" s="5148"/>
    </row>
    <row r="3" spans="2:26" ht="16.8" x14ac:dyDescent="0.3">
      <c r="L3" s="1021"/>
      <c r="O3" s="2146"/>
      <c r="P3" s="2147"/>
      <c r="Q3" s="2148"/>
      <c r="R3" s="2147"/>
    </row>
    <row r="4" spans="2:26" ht="18" x14ac:dyDescent="0.3">
      <c r="C4" s="5149" t="s">
        <v>2188</v>
      </c>
      <c r="D4" s="5150"/>
      <c r="E4" s="5150"/>
      <c r="F4" s="5150"/>
      <c r="G4" s="5150"/>
      <c r="H4" s="5150"/>
      <c r="I4" s="5150"/>
      <c r="J4" s="5150"/>
      <c r="K4" s="5150"/>
      <c r="L4" s="5150"/>
      <c r="M4" s="5150"/>
      <c r="N4" s="5150"/>
      <c r="O4" s="5150"/>
      <c r="P4" s="5150"/>
      <c r="Q4" s="5150"/>
      <c r="R4" s="5150"/>
      <c r="S4" s="5150"/>
    </row>
    <row r="5" spans="2:26" ht="17.399999999999999" x14ac:dyDescent="0.3">
      <c r="C5" s="5151" t="s">
        <v>2216</v>
      </c>
      <c r="D5" s="5151"/>
      <c r="E5" s="5151"/>
      <c r="F5" s="5151"/>
      <c r="G5" s="5151"/>
      <c r="H5" s="5151"/>
      <c r="I5" s="5151"/>
      <c r="J5" s="5151"/>
      <c r="K5" s="5151"/>
      <c r="L5" s="5151"/>
      <c r="M5" s="5151"/>
      <c r="N5" s="5151"/>
      <c r="O5" s="5151"/>
      <c r="P5" s="5151"/>
      <c r="Q5" s="5151"/>
      <c r="R5" s="5151"/>
      <c r="S5" s="5151"/>
    </row>
    <row r="6" spans="2:26" ht="17.399999999999999" x14ac:dyDescent="0.3">
      <c r="C6" s="5151" t="s">
        <v>2217</v>
      </c>
      <c r="D6" s="5149"/>
      <c r="E6" s="5149"/>
      <c r="F6" s="5149"/>
      <c r="G6" s="5149"/>
      <c r="H6" s="5149"/>
      <c r="I6" s="5149"/>
      <c r="J6" s="5149"/>
      <c r="K6" s="5149"/>
      <c r="L6" s="5149"/>
      <c r="M6" s="5149"/>
      <c r="N6" s="5149"/>
      <c r="O6" s="5149"/>
      <c r="P6" s="5149"/>
      <c r="Q6" s="5149"/>
      <c r="R6" s="5149"/>
      <c r="S6" s="5149"/>
    </row>
    <row r="7" spans="2:26" ht="15" thickBot="1" x14ac:dyDescent="0.35">
      <c r="C7" s="2149"/>
      <c r="D7" s="2150"/>
      <c r="E7" s="2150"/>
      <c r="F7" s="2150"/>
      <c r="G7" s="2150"/>
      <c r="H7" s="2150"/>
      <c r="I7" s="2150"/>
      <c r="J7" s="2150"/>
      <c r="K7" s="2151"/>
      <c r="L7" s="2150"/>
      <c r="M7" s="2150"/>
      <c r="N7" s="2151"/>
      <c r="O7" s="2150"/>
      <c r="P7" s="2150"/>
      <c r="Q7" s="2151"/>
      <c r="R7" s="2150"/>
      <c r="S7" s="2152">
        <f>S92/Q16</f>
        <v>182.10195729017948</v>
      </c>
    </row>
    <row r="8" spans="2:26" ht="23.25" customHeight="1" thickBot="1" x14ac:dyDescent="0.35">
      <c r="B8" s="5131" t="s">
        <v>7</v>
      </c>
      <c r="C8" s="5143" t="s">
        <v>2034</v>
      </c>
      <c r="D8" s="5145" t="s">
        <v>2152</v>
      </c>
      <c r="E8" s="5143" t="s">
        <v>2153</v>
      </c>
      <c r="F8" s="5144"/>
      <c r="G8" s="5145"/>
      <c r="H8" s="5140" t="s">
        <v>2154</v>
      </c>
      <c r="I8" s="5141"/>
      <c r="J8" s="5141"/>
      <c r="K8" s="5141"/>
      <c r="L8" s="5141"/>
      <c r="M8" s="5141"/>
      <c r="N8" s="5141"/>
      <c r="O8" s="5141"/>
      <c r="P8" s="5141"/>
      <c r="Q8" s="5141"/>
      <c r="R8" s="5141"/>
      <c r="S8" s="5142"/>
    </row>
    <row r="9" spans="2:26" ht="45" customHeight="1" x14ac:dyDescent="0.3">
      <c r="B9" s="5132"/>
      <c r="C9" s="5155"/>
      <c r="D9" s="5157"/>
      <c r="E9" s="5155"/>
      <c r="F9" s="5159"/>
      <c r="G9" s="5157"/>
      <c r="H9" s="5143" t="s">
        <v>2038</v>
      </c>
      <c r="I9" s="5144"/>
      <c r="J9" s="5145"/>
      <c r="K9" s="5143" t="s">
        <v>166</v>
      </c>
      <c r="L9" s="5144"/>
      <c r="M9" s="5145"/>
      <c r="N9" s="5143" t="s">
        <v>97</v>
      </c>
      <c r="O9" s="5144"/>
      <c r="P9" s="5145"/>
      <c r="Q9" s="5143" t="s">
        <v>2155</v>
      </c>
      <c r="R9" s="5144"/>
      <c r="S9" s="5145"/>
    </row>
    <row r="10" spans="2:26" ht="15.6" customHeight="1" x14ac:dyDescent="0.3">
      <c r="B10" s="5132"/>
      <c r="C10" s="5155"/>
      <c r="D10" s="5157"/>
      <c r="E10" s="5152" t="s">
        <v>2156</v>
      </c>
      <c r="F10" s="5136" t="s">
        <v>2157</v>
      </c>
      <c r="G10" s="5137"/>
      <c r="H10" s="5152" t="s">
        <v>2156</v>
      </c>
      <c r="I10" s="5136" t="s">
        <v>2157</v>
      </c>
      <c r="J10" s="5137"/>
      <c r="K10" s="5138" t="s">
        <v>2156</v>
      </c>
      <c r="L10" s="5136" t="s">
        <v>2157</v>
      </c>
      <c r="M10" s="5137"/>
      <c r="N10" s="5138" t="s">
        <v>2156</v>
      </c>
      <c r="O10" s="5136" t="s">
        <v>2157</v>
      </c>
      <c r="P10" s="5137"/>
      <c r="Q10" s="5138" t="s">
        <v>2156</v>
      </c>
      <c r="R10" s="5136" t="s">
        <v>2157</v>
      </c>
      <c r="S10" s="5137"/>
    </row>
    <row r="11" spans="2:26" ht="15.75" customHeight="1" x14ac:dyDescent="0.3">
      <c r="B11" s="5132"/>
      <c r="C11" s="5155"/>
      <c r="D11" s="5157"/>
      <c r="E11" s="5152"/>
      <c r="F11" s="5136" t="s">
        <v>2158</v>
      </c>
      <c r="G11" s="5137" t="s">
        <v>2159</v>
      </c>
      <c r="H11" s="5152"/>
      <c r="I11" s="5136" t="s">
        <v>2158</v>
      </c>
      <c r="J11" s="5137" t="s">
        <v>2159</v>
      </c>
      <c r="K11" s="5138"/>
      <c r="L11" s="5136" t="s">
        <v>2158</v>
      </c>
      <c r="M11" s="5137" t="s">
        <v>2159</v>
      </c>
      <c r="N11" s="5138"/>
      <c r="O11" s="5136" t="s">
        <v>2158</v>
      </c>
      <c r="P11" s="5137" t="s">
        <v>2159</v>
      </c>
      <c r="Q11" s="5138"/>
      <c r="R11" s="5136" t="s">
        <v>2158</v>
      </c>
      <c r="S11" s="5137" t="s">
        <v>2159</v>
      </c>
      <c r="W11" s="1021">
        <f>'ТЕ_2ст_тариф_з ЦТП'!W70</f>
        <v>88.844848401542805</v>
      </c>
      <c r="X11" s="1021">
        <f>'ТЕ_2ст_тариф_з ЦТП'!X70</f>
        <v>158.14437464370442</v>
      </c>
      <c r="Y11" s="1021">
        <f>'ТЕ_2ст_тариф_з ЦТП'!Y70</f>
        <v>158.1443746437044</v>
      </c>
      <c r="Z11" s="1021">
        <f>'ТЕ_2ст_тариф_з ЦТП'!Z70</f>
        <v>158.14437464370442</v>
      </c>
    </row>
    <row r="12" spans="2:26" ht="34.5" customHeight="1" thickBot="1" x14ac:dyDescent="0.35">
      <c r="B12" s="5132"/>
      <c r="C12" s="5156"/>
      <c r="D12" s="5158"/>
      <c r="E12" s="5153"/>
      <c r="F12" s="5147"/>
      <c r="G12" s="5146"/>
      <c r="H12" s="5153"/>
      <c r="I12" s="5147"/>
      <c r="J12" s="5146"/>
      <c r="K12" s="5139"/>
      <c r="L12" s="5147"/>
      <c r="M12" s="5146"/>
      <c r="N12" s="5139"/>
      <c r="O12" s="5147"/>
      <c r="P12" s="5146"/>
      <c r="Q12" s="5139"/>
      <c r="R12" s="5147"/>
      <c r="S12" s="5146"/>
    </row>
    <row r="13" spans="2:26" s="2153" customFormat="1" ht="19.5" customHeight="1" thickBot="1" x14ac:dyDescent="0.35">
      <c r="B13" s="2656">
        <v>1</v>
      </c>
      <c r="C13" s="2761">
        <v>2</v>
      </c>
      <c r="D13" s="2988">
        <v>3</v>
      </c>
      <c r="E13" s="2761">
        <v>4</v>
      </c>
      <c r="F13" s="2989">
        <v>5</v>
      </c>
      <c r="G13" s="2988">
        <v>6</v>
      </c>
      <c r="H13" s="2761">
        <v>7</v>
      </c>
      <c r="I13" s="2989">
        <v>8</v>
      </c>
      <c r="J13" s="2988">
        <v>9</v>
      </c>
      <c r="K13" s="2990">
        <v>10</v>
      </c>
      <c r="L13" s="2989">
        <v>11</v>
      </c>
      <c r="M13" s="2988">
        <v>12</v>
      </c>
      <c r="N13" s="2990">
        <v>13</v>
      </c>
      <c r="O13" s="2989">
        <v>14</v>
      </c>
      <c r="P13" s="2988">
        <v>15</v>
      </c>
      <c r="Q13" s="2990">
        <v>16</v>
      </c>
      <c r="R13" s="2989">
        <v>17</v>
      </c>
      <c r="S13" s="2988">
        <v>18</v>
      </c>
    </row>
    <row r="14" spans="2:26" ht="31.2" x14ac:dyDescent="0.3">
      <c r="B14" s="1101" t="s">
        <v>1747</v>
      </c>
      <c r="C14" s="2759" t="s">
        <v>2199</v>
      </c>
      <c r="D14" s="2760" t="s">
        <v>2160</v>
      </c>
      <c r="E14" s="3029">
        <f t="shared" ref="E14:F16" si="0">H14+K14+N14+Q14</f>
        <v>98.795806692118902</v>
      </c>
      <c r="F14" s="3030">
        <f t="shared" si="0"/>
        <v>98.795806692118902</v>
      </c>
      <c r="G14" s="3031" t="s">
        <v>317</v>
      </c>
      <c r="H14" s="3029">
        <f>I14</f>
        <v>82.049342543904487</v>
      </c>
      <c r="I14" s="3030">
        <f>ТЕ_2ст_вих!F15</f>
        <v>82.049342543904487</v>
      </c>
      <c r="J14" s="3031" t="s">
        <v>317</v>
      </c>
      <c r="K14" s="3029">
        <f>L14</f>
        <v>1.3291675959893333E-2</v>
      </c>
      <c r="L14" s="3030">
        <f>ТЕ_2ст_вих!G17</f>
        <v>1.3291675959893333E-2</v>
      </c>
      <c r="M14" s="3031" t="s">
        <v>317</v>
      </c>
      <c r="N14" s="3029">
        <f>O14</f>
        <v>12.519553368115806</v>
      </c>
      <c r="O14" s="3030">
        <f>ТЕ_2ст_вих!H17</f>
        <v>12.519553368115806</v>
      </c>
      <c r="P14" s="3031" t="s">
        <v>317</v>
      </c>
      <c r="Q14" s="3029">
        <f>R14</f>
        <v>4.2136191041387132</v>
      </c>
      <c r="R14" s="3030">
        <f>ТЕ_2ст_вих!I17</f>
        <v>4.2136191041387132</v>
      </c>
      <c r="S14" s="3031" t="s">
        <v>317</v>
      </c>
      <c r="T14" s="2154">
        <f>H14/E14</f>
        <v>0.8304941807864169</v>
      </c>
      <c r="U14" s="2154">
        <f>K14/E14</f>
        <v>1.3453684326213039E-4</v>
      </c>
      <c r="V14" s="2154">
        <f>N14/E14</f>
        <v>0.12672150557088888</v>
      </c>
      <c r="W14" s="2154">
        <f>Q14/E14</f>
        <v>4.2649776799432118E-2</v>
      </c>
      <c r="X14" s="2154"/>
      <c r="Y14" s="2154"/>
    </row>
    <row r="15" spans="2:26" ht="15.6" x14ac:dyDescent="0.3">
      <c r="B15" s="1066" t="s">
        <v>23</v>
      </c>
      <c r="C15" s="1067" t="s">
        <v>644</v>
      </c>
      <c r="D15" s="3140" t="s">
        <v>1863</v>
      </c>
      <c r="E15" s="3029">
        <f t="shared" si="0"/>
        <v>16.448213425432204</v>
      </c>
      <c r="F15" s="3032">
        <f t="shared" si="0"/>
        <v>16.448213425432204</v>
      </c>
      <c r="G15" s="3031" t="s">
        <v>317</v>
      </c>
      <c r="H15" s="3029">
        <f>I15</f>
        <v>13.668480880354855</v>
      </c>
      <c r="I15" s="3032">
        <f>'Д 7_РП'!G77/1000</f>
        <v>13.668480880354855</v>
      </c>
      <c r="J15" s="3031" t="s">
        <v>317</v>
      </c>
      <c r="K15" s="3029">
        <f>L15</f>
        <v>0</v>
      </c>
      <c r="L15" s="3032">
        <f>'Д 7_РП'!G85/1000</f>
        <v>0</v>
      </c>
      <c r="M15" s="3031" t="s">
        <v>317</v>
      </c>
      <c r="N15" s="3029">
        <f>O15</f>
        <v>2.0104763849135998</v>
      </c>
      <c r="O15" s="3032">
        <f>'Д 7_РП'!G89/1000</f>
        <v>2.0104763849135998</v>
      </c>
      <c r="P15" s="3031" t="s">
        <v>317</v>
      </c>
      <c r="Q15" s="3029">
        <f>R15</f>
        <v>0.76925616016375076</v>
      </c>
      <c r="R15" s="3032">
        <f>'Д 7_РП'!G93/1000</f>
        <v>0.76925616016375076</v>
      </c>
      <c r="S15" s="3031" t="s">
        <v>317</v>
      </c>
      <c r="T15" s="2154"/>
      <c r="U15" s="2154"/>
      <c r="V15" s="2154"/>
      <c r="W15" s="2154"/>
      <c r="X15" s="2154"/>
      <c r="Y15" s="2154"/>
    </row>
    <row r="16" spans="2:26" ht="15.6" x14ac:dyDescent="0.3">
      <c r="B16" s="1066" t="s">
        <v>24</v>
      </c>
      <c r="C16" s="1067" t="s">
        <v>643</v>
      </c>
      <c r="D16" s="3140" t="s">
        <v>1863</v>
      </c>
      <c r="E16" s="3029">
        <f t="shared" si="0"/>
        <v>82.347593266686673</v>
      </c>
      <c r="F16" s="3032">
        <f t="shared" si="0"/>
        <v>82.347593266686673</v>
      </c>
      <c r="G16" s="3031" t="s">
        <v>317</v>
      </c>
      <c r="H16" s="3029">
        <f>I16</f>
        <v>68.380861663549609</v>
      </c>
      <c r="I16" s="3032">
        <f>'Д 7_РП'!G80/1000</f>
        <v>68.380861663549609</v>
      </c>
      <c r="J16" s="3031" t="s">
        <v>317</v>
      </c>
      <c r="K16" s="3029">
        <f>L16</f>
        <v>1.3291675959893333E-2</v>
      </c>
      <c r="L16" s="3032">
        <f>'Д 7_РП'!G86/1000</f>
        <v>1.3291675959893333E-2</v>
      </c>
      <c r="M16" s="3031" t="s">
        <v>317</v>
      </c>
      <c r="N16" s="3029">
        <f>O16</f>
        <v>10.509076983202204</v>
      </c>
      <c r="O16" s="3032">
        <f>'Д 7_РП'!G90/1000</f>
        <v>10.509076983202204</v>
      </c>
      <c r="P16" s="3031" t="s">
        <v>317</v>
      </c>
      <c r="Q16" s="3029">
        <f>R16</f>
        <v>3.4443629439749621</v>
      </c>
      <c r="R16" s="3032">
        <f>'Д 7_РП'!G94/1000</f>
        <v>3.4443629439749621</v>
      </c>
      <c r="S16" s="3031" t="s">
        <v>317</v>
      </c>
      <c r="T16" s="2154"/>
      <c r="U16" s="2154"/>
      <c r="V16" s="2154"/>
      <c r="W16" s="2154"/>
      <c r="X16" s="2154"/>
      <c r="Y16" s="2154"/>
    </row>
    <row r="17" spans="2:27" ht="15.6" x14ac:dyDescent="0.3">
      <c r="B17" s="1065" t="s">
        <v>1768</v>
      </c>
      <c r="C17" s="1016" t="s">
        <v>2189</v>
      </c>
      <c r="D17" s="3140" t="s">
        <v>31</v>
      </c>
      <c r="E17" s="3029">
        <f>H17+K17+N17+Q17</f>
        <v>71.594076517000005</v>
      </c>
      <c r="F17" s="3032" t="s">
        <v>317</v>
      </c>
      <c r="G17" s="2921">
        <f>J17+M17+P17+S17</f>
        <v>71.594076517000005</v>
      </c>
      <c r="H17" s="3029">
        <f>J17</f>
        <v>59.458515646999999</v>
      </c>
      <c r="I17" s="3032" t="s">
        <v>317</v>
      </c>
      <c r="J17" s="2921">
        <f>ROUND(ТЕ_2ст_вих!F10,9)</f>
        <v>59.458515646999999</v>
      </c>
      <c r="K17" s="3029">
        <f>M17</f>
        <v>9.6319999999999999E-3</v>
      </c>
      <c r="L17" s="3032" t="s">
        <v>317</v>
      </c>
      <c r="M17" s="2921">
        <f>ROUND(ТЕ_2ст_вих!G10,9)</f>
        <v>9.6319999999999999E-3</v>
      </c>
      <c r="N17" s="3029">
        <f>P17</f>
        <v>9.0724704999999997</v>
      </c>
      <c r="O17" s="3032" t="s">
        <v>317</v>
      </c>
      <c r="P17" s="2921">
        <f>ROUND(ТЕ_2ст_вих!H10,9)</f>
        <v>9.0724704999999997</v>
      </c>
      <c r="Q17" s="3029">
        <f>S17</f>
        <v>3.05345837</v>
      </c>
      <c r="R17" s="3032" t="s">
        <v>317</v>
      </c>
      <c r="S17" s="2921">
        <f>ROUND(ТЕ_2ст_вих!I10,9)</f>
        <v>3.05345837</v>
      </c>
      <c r="T17" s="2154">
        <f>H17/E17</f>
        <v>0.83049490320447927</v>
      </c>
      <c r="U17" s="2154">
        <f>K17/E17</f>
        <v>1.3453626987859648E-4</v>
      </c>
      <c r="V17" s="2154">
        <f>N17/E17</f>
        <v>0.12672096549559855</v>
      </c>
      <c r="W17" s="2154">
        <f>Q17/E17</f>
        <v>4.2649595030043536E-2</v>
      </c>
      <c r="X17" s="2154"/>
      <c r="Y17" s="2154"/>
    </row>
    <row r="18" spans="2:27" ht="15.6" x14ac:dyDescent="0.3">
      <c r="B18" s="1066" t="s">
        <v>25</v>
      </c>
      <c r="C18" s="1067" t="s">
        <v>644</v>
      </c>
      <c r="D18" s="3140" t="s">
        <v>31</v>
      </c>
      <c r="E18" s="3029">
        <f>H18+K18+N18+Q18</f>
        <v>11.919578167000001</v>
      </c>
      <c r="F18" s="3032" t="s">
        <v>317</v>
      </c>
      <c r="G18" s="3031">
        <f>J18+M18+P18+S18</f>
        <v>11.919578167000001</v>
      </c>
      <c r="H18" s="3029">
        <f>J18</f>
        <v>9.9052058670000012</v>
      </c>
      <c r="I18" s="3032" t="s">
        <v>317</v>
      </c>
      <c r="J18" s="3031">
        <f>'Д 7_РП'!G97</f>
        <v>9.9052058670000012</v>
      </c>
      <c r="K18" s="3029">
        <f>M18</f>
        <v>0</v>
      </c>
      <c r="L18" s="3032" t="s">
        <v>317</v>
      </c>
      <c r="M18" s="3031">
        <f>'Д 7_РП'!G104</f>
        <v>0</v>
      </c>
      <c r="N18" s="3029">
        <f>P18</f>
        <v>1.45692</v>
      </c>
      <c r="O18" s="3032" t="s">
        <v>317</v>
      </c>
      <c r="P18" s="3031">
        <f>'Д 7_РП'!G107</f>
        <v>1.45692</v>
      </c>
      <c r="Q18" s="3029">
        <f>S18</f>
        <v>0.5574522999999999</v>
      </c>
      <c r="R18" s="3032" t="s">
        <v>317</v>
      </c>
      <c r="S18" s="3031">
        <f>'Д 7_РП'!G110</f>
        <v>0.5574522999999999</v>
      </c>
      <c r="T18" s="2154"/>
      <c r="U18" s="2154"/>
      <c r="V18" s="2154"/>
      <c r="W18" s="2154"/>
      <c r="X18" s="2154"/>
      <c r="Y18" s="2154"/>
      <c r="Z18" s="2154"/>
      <c r="AA18" s="2154"/>
    </row>
    <row r="19" spans="2:27" ht="15.6" x14ac:dyDescent="0.3">
      <c r="B19" s="1068" t="s">
        <v>26</v>
      </c>
      <c r="C19" s="1067" t="s">
        <v>643</v>
      </c>
      <c r="D19" s="3140" t="s">
        <v>31</v>
      </c>
      <c r="E19" s="3029">
        <f>H19+K19+N19+Q19</f>
        <v>59.674498350062137</v>
      </c>
      <c r="F19" s="3032" t="s">
        <v>317</v>
      </c>
      <c r="G19" s="3031">
        <f>J19+M19+P19+S19</f>
        <v>59.674498350062137</v>
      </c>
      <c r="H19" s="3029">
        <f>J19</f>
        <v>49.553309780062136</v>
      </c>
      <c r="I19" s="3032" t="s">
        <v>317</v>
      </c>
      <c r="J19" s="3031">
        <f>'Д 7_РП'!G100</f>
        <v>49.553309780062136</v>
      </c>
      <c r="K19" s="3029">
        <f>M19</f>
        <v>9.6319999999999999E-3</v>
      </c>
      <c r="L19" s="3032" t="s">
        <v>317</v>
      </c>
      <c r="M19" s="3031">
        <f>'Д 7_РП'!G105</f>
        <v>9.6319999999999999E-3</v>
      </c>
      <c r="N19" s="3029">
        <f>P19</f>
        <v>7.6155505000000003</v>
      </c>
      <c r="O19" s="3032" t="s">
        <v>317</v>
      </c>
      <c r="P19" s="3031">
        <f>'Д 7_РП'!G108</f>
        <v>7.6155505000000003</v>
      </c>
      <c r="Q19" s="3029">
        <f>S19</f>
        <v>2.4960060699999995</v>
      </c>
      <c r="R19" s="3032" t="s">
        <v>317</v>
      </c>
      <c r="S19" s="3031">
        <f>'Д 7_РП'!G111</f>
        <v>2.4960060699999995</v>
      </c>
      <c r="T19" s="2154"/>
      <c r="U19" s="2154"/>
      <c r="V19" s="2154"/>
      <c r="W19" s="2154"/>
      <c r="X19" s="2154"/>
      <c r="Y19" s="2154"/>
      <c r="Z19" s="2154"/>
      <c r="AA19" s="2154"/>
    </row>
    <row r="20" spans="2:27" ht="19.5" hidden="1" customHeight="1" x14ac:dyDescent="0.3">
      <c r="B20" s="3141"/>
      <c r="C20" s="1008" t="s">
        <v>2048</v>
      </c>
      <c r="D20" s="1014"/>
      <c r="E20" s="3029"/>
      <c r="F20" s="3032"/>
      <c r="G20" s="3031"/>
      <c r="H20" s="3029"/>
      <c r="I20" s="3032"/>
      <c r="J20" s="3031"/>
      <c r="K20" s="3029"/>
      <c r="L20" s="3032"/>
      <c r="M20" s="3031"/>
      <c r="N20" s="3029"/>
      <c r="O20" s="3032" t="s">
        <v>317</v>
      </c>
      <c r="P20" s="3031"/>
      <c r="Q20" s="3029"/>
      <c r="R20" s="3032"/>
      <c r="S20" s="3031"/>
    </row>
    <row r="21" spans="2:27" ht="31.5" hidden="1" customHeight="1" x14ac:dyDescent="0.3">
      <c r="B21" s="3138" t="s">
        <v>25</v>
      </c>
      <c r="C21" s="1009" t="s">
        <v>2161</v>
      </c>
      <c r="D21" s="1015" t="s">
        <v>2043</v>
      </c>
      <c r="E21" s="3029"/>
      <c r="F21" s="3032" t="s">
        <v>317</v>
      </c>
      <c r="G21" s="3031"/>
      <c r="H21" s="3029"/>
      <c r="I21" s="3032" t="s">
        <v>317</v>
      </c>
      <c r="J21" s="3031"/>
      <c r="K21" s="3029"/>
      <c r="L21" s="3032"/>
      <c r="M21" s="3031"/>
      <c r="N21" s="3029"/>
      <c r="O21" s="3032" t="s">
        <v>317</v>
      </c>
      <c r="P21" s="3031"/>
      <c r="Q21" s="3029"/>
      <c r="R21" s="3032" t="s">
        <v>317</v>
      </c>
      <c r="S21" s="3031"/>
    </row>
    <row r="22" spans="2:27" ht="15.75" hidden="1" customHeight="1" x14ac:dyDescent="0.3">
      <c r="B22" s="3138" t="s">
        <v>26</v>
      </c>
      <c r="C22" s="1009" t="s">
        <v>2162</v>
      </c>
      <c r="D22" s="1015" t="s">
        <v>2043</v>
      </c>
      <c r="E22" s="3029"/>
      <c r="F22" s="3032" t="s">
        <v>317</v>
      </c>
      <c r="G22" s="3031"/>
      <c r="H22" s="3029"/>
      <c r="I22" s="3032" t="s">
        <v>317</v>
      </c>
      <c r="J22" s="3031"/>
      <c r="K22" s="3029"/>
      <c r="L22" s="3032"/>
      <c r="M22" s="3031"/>
      <c r="N22" s="3029"/>
      <c r="O22" s="3032" t="s">
        <v>317</v>
      </c>
      <c r="P22" s="3031"/>
      <c r="Q22" s="3029"/>
      <c r="R22" s="3032" t="s">
        <v>317</v>
      </c>
      <c r="S22" s="3031"/>
    </row>
    <row r="23" spans="2:27" ht="15.75" hidden="1" customHeight="1" x14ac:dyDescent="0.3">
      <c r="B23" s="3138" t="s">
        <v>59</v>
      </c>
      <c r="C23" s="1009" t="s">
        <v>2163</v>
      </c>
      <c r="D23" s="1015" t="s">
        <v>2043</v>
      </c>
      <c r="E23" s="3029"/>
      <c r="F23" s="3032" t="s">
        <v>317</v>
      </c>
      <c r="G23" s="3031"/>
      <c r="H23" s="3029"/>
      <c r="I23" s="3032" t="s">
        <v>317</v>
      </c>
      <c r="J23" s="3031"/>
      <c r="K23" s="3029"/>
      <c r="L23" s="3032"/>
      <c r="M23" s="3031"/>
      <c r="N23" s="3029"/>
      <c r="O23" s="3032" t="s">
        <v>317</v>
      </c>
      <c r="P23" s="3031"/>
      <c r="Q23" s="3029"/>
      <c r="R23" s="3032" t="s">
        <v>317</v>
      </c>
      <c r="S23" s="3031"/>
    </row>
    <row r="24" spans="2:27" ht="47.25" hidden="1" customHeight="1" x14ac:dyDescent="0.3">
      <c r="B24" s="3138" t="s">
        <v>2052</v>
      </c>
      <c r="C24" s="1009" t="s">
        <v>2164</v>
      </c>
      <c r="D24" s="1015" t="s">
        <v>2043</v>
      </c>
      <c r="E24" s="3029"/>
      <c r="F24" s="3032" t="s">
        <v>317</v>
      </c>
      <c r="G24" s="3031"/>
      <c r="H24" s="3029"/>
      <c r="I24" s="3032" t="s">
        <v>317</v>
      </c>
      <c r="J24" s="3031"/>
      <c r="K24" s="3029"/>
      <c r="L24" s="3032"/>
      <c r="M24" s="3031"/>
      <c r="N24" s="3029"/>
      <c r="O24" s="3032" t="s">
        <v>317</v>
      </c>
      <c r="P24" s="3031"/>
      <c r="Q24" s="3029"/>
      <c r="R24" s="3032" t="s">
        <v>317</v>
      </c>
      <c r="S24" s="3031"/>
    </row>
    <row r="25" spans="2:27" ht="47.25" hidden="1" customHeight="1" x14ac:dyDescent="0.3">
      <c r="B25" s="1022" t="s">
        <v>1770</v>
      </c>
      <c r="C25" s="1069" t="s">
        <v>2165</v>
      </c>
      <c r="D25" s="1015" t="s">
        <v>2047</v>
      </c>
      <c r="E25" s="3033"/>
      <c r="F25" s="3034"/>
      <c r="G25" s="3031" t="s">
        <v>317</v>
      </c>
      <c r="H25" s="3033"/>
      <c r="I25" s="3034"/>
      <c r="J25" s="3031" t="s">
        <v>317</v>
      </c>
      <c r="K25" s="3029"/>
      <c r="L25" s="3032"/>
      <c r="M25" s="3031"/>
      <c r="N25" s="3029"/>
      <c r="O25" s="3032" t="s">
        <v>317</v>
      </c>
      <c r="P25" s="3031" t="s">
        <v>317</v>
      </c>
      <c r="Q25" s="3029"/>
      <c r="R25" s="3032"/>
      <c r="S25" s="3031" t="s">
        <v>2053</v>
      </c>
    </row>
    <row r="26" spans="2:27" ht="15.75" hidden="1" customHeight="1" x14ac:dyDescent="0.3">
      <c r="B26" s="5163" t="s">
        <v>60</v>
      </c>
      <c r="C26" s="1008" t="s">
        <v>2166</v>
      </c>
      <c r="D26" s="1014"/>
      <c r="E26" s="3035"/>
      <c r="F26" s="3036"/>
      <c r="G26" s="3037"/>
      <c r="H26" s="3035"/>
      <c r="I26" s="3036"/>
      <c r="J26" s="3037"/>
      <c r="K26" s="3029"/>
      <c r="L26" s="3036"/>
      <c r="M26" s="3031"/>
      <c r="N26" s="3035"/>
      <c r="O26" s="3032" t="s">
        <v>317</v>
      </c>
      <c r="P26" s="3037"/>
      <c r="Q26" s="3035"/>
      <c r="R26" s="3036"/>
      <c r="S26" s="3037"/>
    </row>
    <row r="27" spans="2:27" ht="32.25" hidden="1" customHeight="1" x14ac:dyDescent="0.3">
      <c r="B27" s="5164"/>
      <c r="C27" s="1009" t="s">
        <v>2167</v>
      </c>
      <c r="D27" s="1015" t="s">
        <v>2043</v>
      </c>
      <c r="E27" s="3029" t="s">
        <v>2049</v>
      </c>
      <c r="F27" s="3038"/>
      <c r="G27" s="3031" t="s">
        <v>2053</v>
      </c>
      <c r="H27" s="3029" t="s">
        <v>2049</v>
      </c>
      <c r="I27" s="3038"/>
      <c r="J27" s="3031" t="s">
        <v>2053</v>
      </c>
      <c r="K27" s="3029"/>
      <c r="L27" s="3038"/>
      <c r="M27" s="3031"/>
      <c r="N27" s="3029"/>
      <c r="O27" s="3032" t="s">
        <v>317</v>
      </c>
      <c r="P27" s="3031" t="s">
        <v>317</v>
      </c>
      <c r="Q27" s="3029" t="s">
        <v>2049</v>
      </c>
      <c r="R27" s="3038"/>
      <c r="S27" s="3031" t="s">
        <v>2053</v>
      </c>
    </row>
    <row r="28" spans="2:27" ht="47.25" hidden="1" customHeight="1" x14ac:dyDescent="0.3">
      <c r="B28" s="1022" t="s">
        <v>1773</v>
      </c>
      <c r="C28" s="1010" t="s">
        <v>2168</v>
      </c>
      <c r="D28" s="1015" t="s">
        <v>2169</v>
      </c>
      <c r="E28" s="3029"/>
      <c r="F28" s="3032" t="s">
        <v>317</v>
      </c>
      <c r="G28" s="3031"/>
      <c r="H28" s="3029"/>
      <c r="I28" s="3032" t="s">
        <v>317</v>
      </c>
      <c r="J28" s="3031"/>
      <c r="K28" s="3029"/>
      <c r="L28" s="3032"/>
      <c r="M28" s="3031"/>
      <c r="N28" s="3029" t="s">
        <v>2053</v>
      </c>
      <c r="O28" s="3032" t="s">
        <v>317</v>
      </c>
      <c r="P28" s="3031" t="s">
        <v>2053</v>
      </c>
      <c r="Q28" s="3029" t="s">
        <v>2053</v>
      </c>
      <c r="R28" s="3032" t="s">
        <v>2053</v>
      </c>
      <c r="S28" s="3031" t="s">
        <v>2053</v>
      </c>
    </row>
    <row r="29" spans="2:27" ht="48" hidden="1" customHeight="1" thickBot="1" x14ac:dyDescent="0.35">
      <c r="B29" s="1070" t="s">
        <v>1845</v>
      </c>
      <c r="C29" s="1071" t="s">
        <v>2170</v>
      </c>
      <c r="D29" s="1072" t="s">
        <v>2139</v>
      </c>
      <c r="E29" s="3039"/>
      <c r="F29" s="3040"/>
      <c r="G29" s="3041" t="s">
        <v>317</v>
      </c>
      <c r="H29" s="3039"/>
      <c r="I29" s="3040"/>
      <c r="J29" s="3041" t="s">
        <v>317</v>
      </c>
      <c r="K29" s="3039"/>
      <c r="L29" s="3040"/>
      <c r="M29" s="3041"/>
      <c r="N29" s="3039" t="s">
        <v>2053</v>
      </c>
      <c r="O29" s="3040" t="s">
        <v>317</v>
      </c>
      <c r="P29" s="3041" t="s">
        <v>2053</v>
      </c>
      <c r="Q29" s="3039" t="s">
        <v>2053</v>
      </c>
      <c r="R29" s="3040" t="s">
        <v>2053</v>
      </c>
      <c r="S29" s="3041" t="s">
        <v>2053</v>
      </c>
    </row>
    <row r="30" spans="2:27" ht="38.25" customHeight="1" thickBot="1" x14ac:dyDescent="0.35">
      <c r="B30" s="1073" t="s">
        <v>1770</v>
      </c>
      <c r="C30" s="2740" t="s">
        <v>2203</v>
      </c>
      <c r="D30" s="3145" t="s">
        <v>2160</v>
      </c>
      <c r="E30" s="3042">
        <f>H30+K30+N30+Q30</f>
        <v>108.67553267624618</v>
      </c>
      <c r="F30" s="3043">
        <f>I30+L30+O30+R30</f>
        <v>108.67553267624618</v>
      </c>
      <c r="G30" s="3044" t="s">
        <v>317</v>
      </c>
      <c r="H30" s="3045">
        <f>I30</f>
        <v>90.271057497103627</v>
      </c>
      <c r="I30" s="2922">
        <f>'Д 2_Т на В'!L58/1000</f>
        <v>90.271057497103627</v>
      </c>
      <c r="J30" s="3044" t="s">
        <v>317</v>
      </c>
      <c r="K30" s="3045">
        <f>L30</f>
        <v>1.4602989074179139E-2</v>
      </c>
      <c r="L30" s="2922">
        <f>'Д 2_Т на В'!P58/1000</f>
        <v>1.4602989074179139E-2</v>
      </c>
      <c r="M30" s="3044" t="s">
        <v>317</v>
      </c>
      <c r="N30" s="3045">
        <f>O30</f>
        <v>13.752767963175286</v>
      </c>
      <c r="O30" s="2922">
        <f>'Д 2_Т на В'!T58/1000</f>
        <v>13.752767963175286</v>
      </c>
      <c r="P30" s="3044" t="s">
        <v>317</v>
      </c>
      <c r="Q30" s="3045">
        <f>R30</f>
        <v>4.6371042268930927</v>
      </c>
      <c r="R30" s="2922">
        <f>'Д 2_Т на В'!X58/1000</f>
        <v>4.6371042268930927</v>
      </c>
      <c r="S30" s="3044" t="s">
        <v>317</v>
      </c>
      <c r="U30" s="1021">
        <f>G119-J119</f>
        <v>310.28112220102821</v>
      </c>
      <c r="V30" s="1005">
        <f>U30/(S19+P19+M19)</f>
        <v>30.656589397091754</v>
      </c>
    </row>
    <row r="31" spans="2:27" ht="15.6" x14ac:dyDescent="0.3">
      <c r="B31" s="1101"/>
      <c r="C31" s="1067" t="s">
        <v>644</v>
      </c>
      <c r="D31" s="3140" t="s">
        <v>1863</v>
      </c>
      <c r="E31" s="3046">
        <f>'Д 7_РП'!D157/1000</f>
        <v>18.237362357436083</v>
      </c>
      <c r="F31" s="3032">
        <f>E31</f>
        <v>18.237362357436083</v>
      </c>
      <c r="G31" s="3047"/>
      <c r="H31" s="3048">
        <f>'Д 7_РП'!D158/1000</f>
        <v>15.155265331444637</v>
      </c>
      <c r="I31" s="3032">
        <f>H31</f>
        <v>15.155265331444637</v>
      </c>
      <c r="J31" s="3047"/>
      <c r="K31" s="3048">
        <f>'Д 7_РП'!D159/1000</f>
        <v>0</v>
      </c>
      <c r="L31" s="3032">
        <f>K31</f>
        <v>0</v>
      </c>
      <c r="M31" s="3047"/>
      <c r="N31" s="3048">
        <f>'Д 7_РП'!D160/1000</f>
        <v>2.2291652834520463</v>
      </c>
      <c r="O31" s="3032">
        <f>N31</f>
        <v>2.2291652834520463</v>
      </c>
      <c r="P31" s="3047"/>
      <c r="Q31" s="3046">
        <f>'Д 7_РП'!D161/1000</f>
        <v>0.85293174253939519</v>
      </c>
      <c r="R31" s="3032">
        <f>Q31</f>
        <v>0.85293174253939519</v>
      </c>
      <c r="S31" s="3047"/>
    </row>
    <row r="32" spans="2:27" ht="16.2" thickBot="1" x14ac:dyDescent="0.35">
      <c r="B32" s="1065"/>
      <c r="C32" s="2741" t="s">
        <v>643</v>
      </c>
      <c r="D32" s="2742" t="s">
        <v>1863</v>
      </c>
      <c r="E32" s="3049">
        <f>'Д 7_РП'!D162/1000</f>
        <v>90.438170318810094</v>
      </c>
      <c r="F32" s="3050">
        <f>E32</f>
        <v>90.438170318810094</v>
      </c>
      <c r="G32" s="3051"/>
      <c r="H32" s="3052">
        <f>'Д 7_РП'!D163/1000</f>
        <v>75.115792165658988</v>
      </c>
      <c r="I32" s="3050">
        <f>H32</f>
        <v>75.115792165658988</v>
      </c>
      <c r="J32" s="3051"/>
      <c r="K32" s="3052">
        <f>'Д 7_РП'!D164/1000</f>
        <v>1.4602989074179139E-2</v>
      </c>
      <c r="L32" s="3050">
        <f>K32</f>
        <v>1.4602989074179139E-2</v>
      </c>
      <c r="M32" s="3051"/>
      <c r="N32" s="3052">
        <f>'Д 7_РП'!D165/1000</f>
        <v>11.523602679723238</v>
      </c>
      <c r="O32" s="3050">
        <f>N32</f>
        <v>11.523602679723238</v>
      </c>
      <c r="P32" s="3051"/>
      <c r="Q32" s="3049">
        <f>'Д 7_РП'!D166/1000</f>
        <v>3.7841724843536966</v>
      </c>
      <c r="R32" s="3050">
        <f>Q32</f>
        <v>3.7841724843536966</v>
      </c>
      <c r="S32" s="3051"/>
      <c r="X32" s="1021"/>
    </row>
    <row r="33" spans="1:32" ht="16.5" hidden="1" customHeight="1" x14ac:dyDescent="0.3">
      <c r="B33" s="1065"/>
      <c r="C33" s="2933"/>
      <c r="D33" s="2760"/>
      <c r="E33" s="2739"/>
      <c r="F33" s="1108"/>
      <c r="G33" s="2934"/>
      <c r="H33" s="2739"/>
      <c r="I33" s="1108"/>
      <c r="J33" s="2934"/>
      <c r="K33" s="2935"/>
      <c r="L33" s="1108"/>
      <c r="M33" s="2936"/>
      <c r="N33" s="2935"/>
      <c r="O33" s="2937"/>
      <c r="P33" s="2934"/>
      <c r="Q33" s="2938"/>
      <c r="R33" s="1108"/>
      <c r="S33" s="2934"/>
    </row>
    <row r="34" spans="1:32" ht="16.5" hidden="1" customHeight="1" x14ac:dyDescent="0.3">
      <c r="B34" s="1065"/>
      <c r="C34" s="2939"/>
      <c r="D34" s="3140"/>
      <c r="E34" s="2155"/>
      <c r="F34" s="3139"/>
      <c r="G34" s="2929"/>
      <c r="H34" s="2155"/>
      <c r="I34" s="3139"/>
      <c r="J34" s="2929"/>
      <c r="K34" s="2930"/>
      <c r="L34" s="3139"/>
      <c r="M34" s="2931"/>
      <c r="N34" s="2930"/>
      <c r="O34" s="1011"/>
      <c r="P34" s="2929"/>
      <c r="Q34" s="2932"/>
      <c r="R34" s="3139"/>
      <c r="S34" s="2929"/>
    </row>
    <row r="35" spans="1:32" ht="16.5" hidden="1" customHeight="1" thickBot="1" x14ac:dyDescent="0.35">
      <c r="B35" s="1078"/>
      <c r="C35" s="2991"/>
      <c r="D35" s="1075"/>
      <c r="E35" s="2156"/>
      <c r="F35" s="2940"/>
      <c r="G35" s="2941"/>
      <c r="H35" s="2156"/>
      <c r="I35" s="2940"/>
      <c r="J35" s="2941"/>
      <c r="K35" s="2942"/>
      <c r="L35" s="2940"/>
      <c r="M35" s="2943"/>
      <c r="N35" s="2942"/>
      <c r="O35" s="2927"/>
      <c r="P35" s="2941"/>
      <c r="Q35" s="2944"/>
      <c r="R35" s="2940"/>
      <c r="S35" s="2941"/>
    </row>
    <row r="36" spans="1:32" ht="21.6" customHeight="1" thickTop="1" thickBot="1" x14ac:dyDescent="0.35">
      <c r="B36" s="5160"/>
      <c r="C36" s="5161"/>
      <c r="D36" s="5162"/>
      <c r="E36" s="5133" t="s">
        <v>0</v>
      </c>
      <c r="F36" s="5134"/>
      <c r="G36" s="5134"/>
      <c r="H36" s="4293"/>
      <c r="I36" s="4293"/>
      <c r="J36" s="4295">
        <f>'Д 7_РП'!E179</f>
        <v>0.83049490320462638</v>
      </c>
      <c r="K36" s="4293"/>
      <c r="L36" s="4293"/>
      <c r="M36" s="4295">
        <f>'Д 7_РП'!E180</f>
        <v>1.3453626987847974E-4</v>
      </c>
      <c r="N36" s="4293"/>
      <c r="O36" s="4293"/>
      <c r="P36" s="4295">
        <f>'Д 7_РП'!E181</f>
        <v>0.12672096549548859</v>
      </c>
      <c r="Q36" s="4294"/>
      <c r="R36" s="4294"/>
      <c r="S36" s="4296">
        <f>'Д 7_РП'!E182</f>
        <v>4.2649595030006517E-2</v>
      </c>
    </row>
    <row r="37" spans="1:32" ht="15.6" x14ac:dyDescent="0.3">
      <c r="B37" s="1065">
        <v>1</v>
      </c>
      <c r="C37" s="1102" t="s">
        <v>215</v>
      </c>
      <c r="D37" s="1076" t="s">
        <v>40</v>
      </c>
      <c r="E37" s="2945">
        <f>F37+G37</f>
        <v>149071.37204744888</v>
      </c>
      <c r="F37" s="1028">
        <f>F38+F49+F50+F54</f>
        <v>114791.36386509688</v>
      </c>
      <c r="G37" s="1029">
        <f>G38+G49+G50+G54</f>
        <v>34280.008182351987</v>
      </c>
      <c r="H37" s="1026">
        <f>I37+J37</f>
        <v>108731.48457797602</v>
      </c>
      <c r="I37" s="1028">
        <f>I38+I49+I50+I54</f>
        <v>80262.112500721283</v>
      </c>
      <c r="J37" s="1029">
        <f>J38+J49+J50+J54</f>
        <v>28469.372077254746</v>
      </c>
      <c r="K37" s="1026">
        <f>L37+M37</f>
        <v>32.00906058615945</v>
      </c>
      <c r="L37" s="1028">
        <f>L38+L49+L50+L54</f>
        <v>27.397156153900891</v>
      </c>
      <c r="M37" s="1029">
        <f>M38+M49+M50+M54</f>
        <v>4.6119044322585623</v>
      </c>
      <c r="N37" s="1026">
        <f>O37+P37</f>
        <v>30146.023628591429</v>
      </c>
      <c r="O37" s="1028">
        <f>O38+O49+O50+O54</f>
        <v>25802.027894529441</v>
      </c>
      <c r="P37" s="1029">
        <f>P38+P49+P50+P54</f>
        <v>4343.9957340619867</v>
      </c>
      <c r="Q37" s="1026">
        <f>R37+S37</f>
        <v>10161.854780295231</v>
      </c>
      <c r="R37" s="1028">
        <f>R38+R49+R50+R54</f>
        <v>8699.8263136922396</v>
      </c>
      <c r="S37" s="1029">
        <f>S38+S49+S50+S54</f>
        <v>1462.0284666029902</v>
      </c>
      <c r="T37" s="2157">
        <f>'Д 2_Т на В'!H12</f>
        <v>149071.37204744882</v>
      </c>
      <c r="U37" s="1021">
        <f>E37-T37</f>
        <v>0</v>
      </c>
      <c r="V37" s="1021"/>
      <c r="W37" s="1021">
        <f>J37/$J$17</f>
        <v>478.81067610693339</v>
      </c>
      <c r="X37" s="1021">
        <f>M37/$M$17</f>
        <v>478.81067610657828</v>
      </c>
      <c r="Y37" s="1021">
        <f>P37/$P$17</f>
        <v>478.81067610657834</v>
      </c>
      <c r="Z37" s="1021">
        <f>S37/$S$17</f>
        <v>478.81067610657817</v>
      </c>
      <c r="AA37" s="2158">
        <f>F37/$E$37</f>
        <v>0.77004298201910426</v>
      </c>
      <c r="AB37" s="2158">
        <f>G37/E37</f>
        <v>0.22995701798089566</v>
      </c>
      <c r="AC37" s="2158">
        <f>I37/H37</f>
        <v>0.73816809190314947</v>
      </c>
      <c r="AD37" s="2159">
        <f>J37/H37</f>
        <v>0.26183190809685059</v>
      </c>
      <c r="AE37" s="2160"/>
      <c r="AF37" s="2160"/>
    </row>
    <row r="38" spans="1:32" ht="15.6" x14ac:dyDescent="0.3">
      <c r="B38" s="1065" t="s">
        <v>23</v>
      </c>
      <c r="C38" s="1083" t="s">
        <v>216</v>
      </c>
      <c r="D38" s="3145" t="s">
        <v>40</v>
      </c>
      <c r="E38" s="3142">
        <f t="shared" ref="E38:S38" si="1">E39+E43+E44+E47+E48</f>
        <v>125398.03179983835</v>
      </c>
      <c r="F38" s="1030">
        <f t="shared" si="1"/>
        <v>114791.36386509688</v>
      </c>
      <c r="G38" s="1019">
        <f t="shared" si="1"/>
        <v>10606.667934741477</v>
      </c>
      <c r="H38" s="3142">
        <f t="shared" si="1"/>
        <v>89070.896160506556</v>
      </c>
      <c r="I38" s="1030">
        <f t="shared" si="1"/>
        <v>80262.112500721283</v>
      </c>
      <c r="J38" s="1019">
        <f t="shared" si="1"/>
        <v>8808.7836597852729</v>
      </c>
      <c r="K38" s="3142">
        <f t="shared" si="1"/>
        <v>28.824137693681845</v>
      </c>
      <c r="L38" s="1030">
        <f t="shared" si="1"/>
        <v>27.397156153900891</v>
      </c>
      <c r="M38" s="1019">
        <f t="shared" si="1"/>
        <v>1.4269815397809584</v>
      </c>
      <c r="N38" s="3142">
        <f t="shared" si="1"/>
        <v>27146.115095911013</v>
      </c>
      <c r="O38" s="1030">
        <f t="shared" si="1"/>
        <v>25802.027894529441</v>
      </c>
      <c r="P38" s="1019">
        <f t="shared" si="1"/>
        <v>1344.0872013815742</v>
      </c>
      <c r="Q38" s="3142">
        <f t="shared" si="1"/>
        <v>9152.196405727087</v>
      </c>
      <c r="R38" s="1030">
        <f t="shared" si="1"/>
        <v>8699.8263136922396</v>
      </c>
      <c r="S38" s="1019">
        <f t="shared" si="1"/>
        <v>452.37009203484797</v>
      </c>
      <c r="T38" s="2157">
        <f>'Д 2_Т на В'!H13</f>
        <v>125398.03179983834</v>
      </c>
      <c r="U38" s="1021">
        <f t="shared" ref="U38:U77" si="2">E38-T38</f>
        <v>0</v>
      </c>
      <c r="V38" s="1021"/>
      <c r="W38" s="1021">
        <f t="shared" ref="W38:W52" si="3">J38/$J$17</f>
        <v>148.15007680451106</v>
      </c>
      <c r="X38" s="1021">
        <f t="shared" ref="X38:X52" si="4">M38/$M$17</f>
        <v>148.15007680450151</v>
      </c>
      <c r="Y38" s="1021">
        <f t="shared" ref="Y38:Y52" si="5">P38/$P$17</f>
        <v>148.15007680450151</v>
      </c>
      <c r="Z38" s="1021">
        <f t="shared" ref="Z38:Z52" si="6">S38/$S$17</f>
        <v>148.15007680450151</v>
      </c>
      <c r="AA38" s="2158">
        <f>F38/E38</f>
        <v>0.91541599351677261</v>
      </c>
      <c r="AB38" s="2158">
        <f t="shared" ref="AB38:AB76" si="7">G38/E38</f>
        <v>8.458400648322735E-2</v>
      </c>
      <c r="AC38" s="2158">
        <f t="shared" ref="AC38:AC76" si="8">I38/H38</f>
        <v>0.90110368212853986</v>
      </c>
      <c r="AD38" s="2159">
        <f t="shared" ref="AD38:AD76" si="9">J38/H38</f>
        <v>9.8896317871460124E-2</v>
      </c>
      <c r="AE38" s="2160"/>
      <c r="AF38" s="2160"/>
    </row>
    <row r="39" spans="1:32" ht="15.6" x14ac:dyDescent="0.3">
      <c r="B39" s="1065" t="s">
        <v>41</v>
      </c>
      <c r="C39" s="1103" t="s">
        <v>454</v>
      </c>
      <c r="D39" s="3145" t="s">
        <v>40</v>
      </c>
      <c r="E39" s="3142">
        <f>E40+E41+E42</f>
        <v>118804.36079362931</v>
      </c>
      <c r="F39" s="1030">
        <f t="shared" ref="F39:S39" si="10">F40+F41+F42</f>
        <v>108854.01348362931</v>
      </c>
      <c r="G39" s="1019">
        <f t="shared" si="10"/>
        <v>9950.3473099999992</v>
      </c>
      <c r="H39" s="3142">
        <f t="shared" si="10"/>
        <v>83593.980086793876</v>
      </c>
      <c r="I39" s="1030">
        <f t="shared" si="10"/>
        <v>75330.26736072448</v>
      </c>
      <c r="J39" s="1019">
        <f t="shared" si="10"/>
        <v>8263.7127260693997</v>
      </c>
      <c r="K39" s="3142">
        <f t="shared" si="10"/>
        <v>27.938022912465005</v>
      </c>
      <c r="L39" s="1030">
        <f t="shared" si="10"/>
        <v>26.59934030138108</v>
      </c>
      <c r="M39" s="1019">
        <f t="shared" si="10"/>
        <v>1.3386826110839265</v>
      </c>
      <c r="N39" s="3142">
        <f t="shared" si="10"/>
        <v>26311.580416022709</v>
      </c>
      <c r="O39" s="1030">
        <f t="shared" si="10"/>
        <v>25050.662797882978</v>
      </c>
      <c r="P39" s="1019">
        <f t="shared" si="10"/>
        <v>1260.9176181397318</v>
      </c>
      <c r="Q39" s="3142">
        <f t="shared" si="10"/>
        <v>8870.8622679002474</v>
      </c>
      <c r="R39" s="1030">
        <f t="shared" si="10"/>
        <v>8446.4839847204639</v>
      </c>
      <c r="S39" s="1019">
        <f t="shared" si="10"/>
        <v>424.37828317978307</v>
      </c>
      <c r="T39" s="2157">
        <f>'Д 2_Т на В'!H14</f>
        <v>118804.3607936293</v>
      </c>
      <c r="U39" s="1021">
        <f t="shared" si="2"/>
        <v>0</v>
      </c>
      <c r="V39" s="1021"/>
      <c r="W39" s="1021">
        <f t="shared" si="3"/>
        <v>138.98282922382958</v>
      </c>
      <c r="X39" s="1021">
        <f t="shared" si="4"/>
        <v>138.98282922382958</v>
      </c>
      <c r="Y39" s="1021">
        <f t="shared" si="5"/>
        <v>138.98282922382958</v>
      </c>
      <c r="Z39" s="1021">
        <f t="shared" si="6"/>
        <v>138.98282922382958</v>
      </c>
      <c r="AA39" s="2158">
        <f>F39/E39</f>
        <v>0.91624594212257593</v>
      </c>
      <c r="AB39" s="2158">
        <f t="shared" si="7"/>
        <v>8.3754057877424057E-2</v>
      </c>
      <c r="AC39" s="2158">
        <f t="shared" si="8"/>
        <v>0.90114464322084731</v>
      </c>
      <c r="AD39" s="2159">
        <f t="shared" si="9"/>
        <v>9.8855356779152762E-2</v>
      </c>
      <c r="AE39" s="2160">
        <f t="shared" ref="AE39:AF54" si="11">AC39-AA39</f>
        <v>-1.5101298901728621E-2</v>
      </c>
      <c r="AF39" s="2160">
        <f t="shared" si="11"/>
        <v>1.5101298901728705E-2</v>
      </c>
    </row>
    <row r="40" spans="1:32" ht="15.6" x14ac:dyDescent="0.3">
      <c r="B40" s="1065" t="s">
        <v>455</v>
      </c>
      <c r="C40" s="1104" t="s">
        <v>440</v>
      </c>
      <c r="D40" s="3145" t="s">
        <v>40</v>
      </c>
      <c r="E40" s="3142">
        <f>F40+G40</f>
        <v>106894.19194377559</v>
      </c>
      <c r="F40" s="1030">
        <f>I40+L40+O40+R40</f>
        <v>106894.19194377559</v>
      </c>
      <c r="G40" s="1019"/>
      <c r="H40" s="3142">
        <f>I40+J40</f>
        <v>73702.346534835888</v>
      </c>
      <c r="I40" s="1030">
        <f>'Д 8_Паливо'!I10</f>
        <v>73702.346534835888</v>
      </c>
      <c r="J40" s="1019"/>
      <c r="K40" s="3142">
        <f>L40+M40</f>
        <v>26.335994432913296</v>
      </c>
      <c r="L40" s="1030">
        <f>'Д 8_Паливо'!I11</f>
        <v>26.335994432913296</v>
      </c>
      <c r="M40" s="1019"/>
      <c r="N40" s="3142">
        <f>O40+P40</f>
        <v>24802.649558627585</v>
      </c>
      <c r="O40" s="1030">
        <f>'Д 8_Паливо'!I12</f>
        <v>24802.649558627585</v>
      </c>
      <c r="P40" s="1019"/>
      <c r="Q40" s="3142">
        <f>R40+S40</f>
        <v>8362.8598558791964</v>
      </c>
      <c r="R40" s="1030">
        <f>'Д 8_Паливо'!I13</f>
        <v>8362.8598558791964</v>
      </c>
      <c r="S40" s="1019"/>
      <c r="T40" s="2157">
        <f>'Д 2_Т на В'!H15</f>
        <v>106894.19194377559</v>
      </c>
      <c r="U40" s="1021">
        <f t="shared" si="2"/>
        <v>0</v>
      </c>
      <c r="V40" s="1021"/>
      <c r="W40" s="1021">
        <f t="shared" si="3"/>
        <v>0</v>
      </c>
      <c r="X40" s="1021">
        <f t="shared" si="4"/>
        <v>0</v>
      </c>
      <c r="Y40" s="1021">
        <f t="shared" si="5"/>
        <v>0</v>
      </c>
      <c r="Z40" s="1021">
        <f t="shared" si="6"/>
        <v>0</v>
      </c>
      <c r="AA40" s="2158">
        <f>F40/E40</f>
        <v>1</v>
      </c>
      <c r="AB40" s="2158">
        <f t="shared" si="7"/>
        <v>0</v>
      </c>
      <c r="AC40" s="2158">
        <f t="shared" si="8"/>
        <v>1</v>
      </c>
      <c r="AD40" s="2159">
        <f t="shared" si="9"/>
        <v>0</v>
      </c>
      <c r="AE40" s="2158">
        <f t="shared" si="11"/>
        <v>0</v>
      </c>
      <c r="AF40" s="2158">
        <f t="shared" si="11"/>
        <v>0</v>
      </c>
    </row>
    <row r="41" spans="1:32" ht="15.6" x14ac:dyDescent="0.3">
      <c r="B41" s="1065" t="s">
        <v>456</v>
      </c>
      <c r="C41" s="1104" t="s">
        <v>1904</v>
      </c>
      <c r="D41" s="3145" t="s">
        <v>40</v>
      </c>
      <c r="E41" s="3142">
        <f>F41+G41</f>
        <v>1959.8215398537277</v>
      </c>
      <c r="F41" s="1030">
        <f>I41+L41+O41+R41</f>
        <v>1959.8215398537277</v>
      </c>
      <c r="G41" s="1019"/>
      <c r="H41" s="3142">
        <f>I41+J41</f>
        <v>1627.9208258885981</v>
      </c>
      <c r="I41" s="1030">
        <f>'Д 8_Паливо'!I16</f>
        <v>1627.9208258885981</v>
      </c>
      <c r="J41" s="1019"/>
      <c r="K41" s="3142">
        <f>L41+M41</f>
        <v>0.26334586846778241</v>
      </c>
      <c r="L41" s="1030">
        <f>'Д 8_Паливо'!I17</f>
        <v>0.26334586846778241</v>
      </c>
      <c r="M41" s="1019"/>
      <c r="N41" s="3142">
        <f>O41+P41</f>
        <v>248.01323925539364</v>
      </c>
      <c r="O41" s="1030">
        <f>'Д 8_Паливо'!I18</f>
        <v>248.01323925539364</v>
      </c>
      <c r="P41" s="1019"/>
      <c r="Q41" s="3142">
        <f>R41+S41</f>
        <v>83.624128841268089</v>
      </c>
      <c r="R41" s="1030">
        <f>'Д 8_Паливо'!I19</f>
        <v>83.624128841268089</v>
      </c>
      <c r="S41" s="1019"/>
      <c r="T41" s="2157">
        <f>'Д 2_Т на В'!H16</f>
        <v>1959.8215398537277</v>
      </c>
      <c r="U41" s="1021">
        <f t="shared" si="2"/>
        <v>0</v>
      </c>
      <c r="V41" s="1021"/>
      <c r="W41" s="1021">
        <f t="shared" si="3"/>
        <v>0</v>
      </c>
      <c r="X41" s="1021">
        <f t="shared" si="4"/>
        <v>0</v>
      </c>
      <c r="Y41" s="1021">
        <f t="shared" si="5"/>
        <v>0</v>
      </c>
      <c r="Z41" s="1021">
        <f t="shared" si="6"/>
        <v>0</v>
      </c>
      <c r="AA41" s="2158">
        <f>F41/E41</f>
        <v>1</v>
      </c>
      <c r="AB41" s="2158">
        <f t="shared" si="7"/>
        <v>0</v>
      </c>
      <c r="AC41" s="2158">
        <f t="shared" si="8"/>
        <v>1</v>
      </c>
      <c r="AD41" s="2159">
        <f t="shared" si="9"/>
        <v>0</v>
      </c>
      <c r="AE41" s="2158">
        <f t="shared" si="11"/>
        <v>0</v>
      </c>
      <c r="AF41" s="2158">
        <f t="shared" si="11"/>
        <v>0</v>
      </c>
    </row>
    <row r="42" spans="1:32" ht="15.6" x14ac:dyDescent="0.3">
      <c r="A42" s="1005">
        <f>I41/F41</f>
        <v>0.83064748130592481</v>
      </c>
      <c r="B42" s="1065" t="s">
        <v>457</v>
      </c>
      <c r="C42" s="1104" t="s">
        <v>1905</v>
      </c>
      <c r="D42" s="3145" t="s">
        <v>40</v>
      </c>
      <c r="E42" s="3142">
        <f>F42+G42</f>
        <v>9950.3473099999992</v>
      </c>
      <c r="F42" s="1030"/>
      <c r="G42" s="1019">
        <f>'Д 8_Паливо'!I21</f>
        <v>9950.3473099999992</v>
      </c>
      <c r="H42" s="3142">
        <f>I42+J42</f>
        <v>8263.7127260693997</v>
      </c>
      <c r="I42" s="1030"/>
      <c r="J42" s="1019">
        <f>$G$42/$E$17*J17</f>
        <v>8263.7127260693997</v>
      </c>
      <c r="K42" s="3142">
        <f>L42+M42</f>
        <v>1.3386826110839265</v>
      </c>
      <c r="L42" s="1030"/>
      <c r="M42" s="1019">
        <f>$G$42/$E$17*M17</f>
        <v>1.3386826110839265</v>
      </c>
      <c r="N42" s="3142">
        <f>O42+P42</f>
        <v>1260.9176181397318</v>
      </c>
      <c r="O42" s="1030"/>
      <c r="P42" s="1019">
        <f>$G$42/$E$17*P17</f>
        <v>1260.9176181397318</v>
      </c>
      <c r="Q42" s="3142">
        <f>R42+S42</f>
        <v>424.37828317978307</v>
      </c>
      <c r="R42" s="1030"/>
      <c r="S42" s="1019">
        <f>$G$42/$E$17*S17</f>
        <v>424.37828317978307</v>
      </c>
      <c r="T42" s="2157">
        <f>'Д 2_Т на В'!H17</f>
        <v>9950.3473099999992</v>
      </c>
      <c r="U42" s="1021">
        <f t="shared" si="2"/>
        <v>0</v>
      </c>
      <c r="V42" s="1021"/>
      <c r="W42" s="1021">
        <f t="shared" si="3"/>
        <v>138.98282922382958</v>
      </c>
      <c r="X42" s="1021">
        <f t="shared" si="4"/>
        <v>138.98282922382958</v>
      </c>
      <c r="Y42" s="1021">
        <f t="shared" si="5"/>
        <v>138.98282922382958</v>
      </c>
      <c r="Z42" s="1021">
        <f t="shared" si="6"/>
        <v>138.98282922382958</v>
      </c>
      <c r="AA42" s="2158">
        <f>F42/E42</f>
        <v>0</v>
      </c>
      <c r="AB42" s="2158">
        <f t="shared" si="7"/>
        <v>1</v>
      </c>
      <c r="AC42" s="2158">
        <f t="shared" si="8"/>
        <v>0</v>
      </c>
      <c r="AD42" s="2159">
        <f t="shared" si="9"/>
        <v>1</v>
      </c>
      <c r="AE42" s="2158">
        <f t="shared" si="11"/>
        <v>0</v>
      </c>
      <c r="AF42" s="2158">
        <f t="shared" si="11"/>
        <v>0</v>
      </c>
    </row>
    <row r="43" spans="1:32" ht="15.6" x14ac:dyDescent="0.3">
      <c r="A43" s="1005">
        <f>J42/E42</f>
        <v>0.83049490320447927</v>
      </c>
      <c r="B43" s="1065" t="s">
        <v>42</v>
      </c>
      <c r="C43" s="1087" t="s">
        <v>43</v>
      </c>
      <c r="D43" s="3145" t="s">
        <v>40</v>
      </c>
      <c r="E43" s="3142">
        <f>F43+G43</f>
        <v>5937.3503814675587</v>
      </c>
      <c r="F43" s="1030">
        <f>'Д 2_Т на В'!H18</f>
        <v>5937.3503814675587</v>
      </c>
      <c r="G43" s="1019"/>
      <c r="H43" s="3142">
        <f>I43+J43</f>
        <v>4931.8451399967998</v>
      </c>
      <c r="I43" s="1030">
        <f>'Д 2_Т на В'!L18</f>
        <v>4931.8451399967998</v>
      </c>
      <c r="J43" s="1019"/>
      <c r="K43" s="1018">
        <f>L43+M43</f>
        <v>0.79781585251981257</v>
      </c>
      <c r="L43" s="1011">
        <f>'Д 2_Т на В'!P18</f>
        <v>0.79781585251981257</v>
      </c>
      <c r="M43" s="1111"/>
      <c r="N43" s="3142">
        <f>O43+P43</f>
        <v>751.36509664646337</v>
      </c>
      <c r="O43" s="1030">
        <f>'Д 2_Т на В'!T18</f>
        <v>751.36509664646337</v>
      </c>
      <c r="P43" s="1019"/>
      <c r="Q43" s="3142">
        <f>R43+S43</f>
        <v>253.34232897177583</v>
      </c>
      <c r="R43" s="1030">
        <f>'Д 2_Т на В'!X18</f>
        <v>253.34232897177583</v>
      </c>
      <c r="S43" s="1019"/>
      <c r="T43" s="2157">
        <f>'Д 2_Т на В'!H18</f>
        <v>5937.3503814675587</v>
      </c>
      <c r="U43" s="1021">
        <f t="shared" si="2"/>
        <v>0</v>
      </c>
      <c r="V43" s="1021"/>
      <c r="W43" s="1021">
        <f t="shared" si="3"/>
        <v>0</v>
      </c>
      <c r="X43" s="1021">
        <f t="shared" si="4"/>
        <v>0</v>
      </c>
      <c r="Y43" s="1021">
        <f t="shared" si="5"/>
        <v>0</v>
      </c>
      <c r="Z43" s="1021">
        <f t="shared" si="6"/>
        <v>0</v>
      </c>
      <c r="AA43" s="2158">
        <f t="shared" ref="AA43:AA76" si="12">F43/E43</f>
        <v>1</v>
      </c>
      <c r="AB43" s="2158">
        <f t="shared" si="7"/>
        <v>0</v>
      </c>
      <c r="AC43" s="2158">
        <f t="shared" si="8"/>
        <v>1</v>
      </c>
      <c r="AD43" s="2159">
        <f t="shared" si="9"/>
        <v>0</v>
      </c>
      <c r="AE43" s="2158">
        <f t="shared" si="11"/>
        <v>0</v>
      </c>
      <c r="AF43" s="2158">
        <f t="shared" si="11"/>
        <v>0</v>
      </c>
    </row>
    <row r="44" spans="1:32" ht="66" x14ac:dyDescent="0.3">
      <c r="B44" s="1065" t="s">
        <v>44</v>
      </c>
      <c r="C44" s="1105" t="s">
        <v>1972</v>
      </c>
      <c r="D44" s="3145" t="s">
        <v>40</v>
      </c>
      <c r="E44" s="3142">
        <f>F44+G44</f>
        <v>0</v>
      </c>
      <c r="F44" s="1030">
        <v>0</v>
      </c>
      <c r="G44" s="1019">
        <v>0</v>
      </c>
      <c r="H44" s="3142">
        <f>I44+J44</f>
        <v>0</v>
      </c>
      <c r="I44" s="1030">
        <v>0</v>
      </c>
      <c r="J44" s="1019">
        <v>0</v>
      </c>
      <c r="K44" s="1018">
        <f>L44+M44</f>
        <v>0</v>
      </c>
      <c r="L44" s="1011">
        <v>0</v>
      </c>
      <c r="M44" s="1111">
        <v>0</v>
      </c>
      <c r="N44" s="3142">
        <f>O44+P44</f>
        <v>0</v>
      </c>
      <c r="O44" s="1030">
        <v>0</v>
      </c>
      <c r="P44" s="1019">
        <v>0</v>
      </c>
      <c r="Q44" s="3142">
        <f>R44+S44</f>
        <v>0</v>
      </c>
      <c r="R44" s="1030">
        <v>0</v>
      </c>
      <c r="S44" s="1019">
        <v>0</v>
      </c>
      <c r="T44" s="2157">
        <f>'Д 2_Т на В'!H19</f>
        <v>0</v>
      </c>
      <c r="U44" s="1021">
        <f t="shared" si="2"/>
        <v>0</v>
      </c>
      <c r="V44" s="1021"/>
      <c r="W44" s="1021">
        <f t="shared" si="3"/>
        <v>0</v>
      </c>
      <c r="X44" s="1021">
        <f t="shared" si="4"/>
        <v>0</v>
      </c>
      <c r="Y44" s="1021">
        <f t="shared" si="5"/>
        <v>0</v>
      </c>
      <c r="Z44" s="1021">
        <f t="shared" si="6"/>
        <v>0</v>
      </c>
      <c r="AA44" s="2158" t="e">
        <f t="shared" si="12"/>
        <v>#DIV/0!</v>
      </c>
      <c r="AB44" s="2158" t="e">
        <f t="shared" si="7"/>
        <v>#DIV/0!</v>
      </c>
      <c r="AC44" s="2158" t="e">
        <f t="shared" si="8"/>
        <v>#DIV/0!</v>
      </c>
      <c r="AD44" s="2158" t="e">
        <f t="shared" si="9"/>
        <v>#DIV/0!</v>
      </c>
      <c r="AE44" s="2158" t="e">
        <f t="shared" si="11"/>
        <v>#DIV/0!</v>
      </c>
      <c r="AF44" s="2158" t="e">
        <f t="shared" si="11"/>
        <v>#DIV/0!</v>
      </c>
    </row>
    <row r="45" spans="1:32" ht="15.75" hidden="1" customHeight="1" x14ac:dyDescent="0.3">
      <c r="B45" s="1065" t="s">
        <v>570</v>
      </c>
      <c r="C45" s="1105" t="s">
        <v>571</v>
      </c>
      <c r="D45" s="3145" t="s">
        <v>40</v>
      </c>
      <c r="E45" s="3142"/>
      <c r="F45" s="1030"/>
      <c r="G45" s="1019"/>
      <c r="H45" s="3142"/>
      <c r="I45" s="1030"/>
      <c r="J45" s="1019"/>
      <c r="K45" s="1018"/>
      <c r="L45" s="1011"/>
      <c r="M45" s="1111"/>
      <c r="N45" s="3142"/>
      <c r="O45" s="1030"/>
      <c r="P45" s="1019"/>
      <c r="Q45" s="3142"/>
      <c r="R45" s="1030"/>
      <c r="S45" s="1019"/>
      <c r="T45" s="2157">
        <f>'Д 2_Т на В'!H20</f>
        <v>0</v>
      </c>
      <c r="U45" s="1021">
        <f t="shared" si="2"/>
        <v>0</v>
      </c>
      <c r="V45" s="1021"/>
      <c r="W45" s="1021">
        <f t="shared" si="3"/>
        <v>0</v>
      </c>
      <c r="X45" s="1021">
        <f t="shared" si="4"/>
        <v>0</v>
      </c>
      <c r="Y45" s="1021">
        <f t="shared" si="5"/>
        <v>0</v>
      </c>
      <c r="Z45" s="1021">
        <f t="shared" si="6"/>
        <v>0</v>
      </c>
      <c r="AA45" s="2158" t="e">
        <f t="shared" si="12"/>
        <v>#DIV/0!</v>
      </c>
      <c r="AB45" s="2158" t="e">
        <f t="shared" si="7"/>
        <v>#DIV/0!</v>
      </c>
      <c r="AC45" s="2158" t="e">
        <f t="shared" si="8"/>
        <v>#DIV/0!</v>
      </c>
      <c r="AD45" s="2158" t="e">
        <f t="shared" si="9"/>
        <v>#DIV/0!</v>
      </c>
      <c r="AE45" s="2158" t="e">
        <f t="shared" si="11"/>
        <v>#DIV/0!</v>
      </c>
      <c r="AF45" s="2158" t="e">
        <f t="shared" si="11"/>
        <v>#DIV/0!</v>
      </c>
    </row>
    <row r="46" spans="1:32" ht="38.25" hidden="1" customHeight="1" x14ac:dyDescent="0.3">
      <c r="B46" s="1065" t="s">
        <v>572</v>
      </c>
      <c r="C46" s="1105" t="s">
        <v>573</v>
      </c>
      <c r="D46" s="3145" t="s">
        <v>40</v>
      </c>
      <c r="E46" s="3142"/>
      <c r="F46" s="1030"/>
      <c r="G46" s="1019"/>
      <c r="H46" s="3142"/>
      <c r="I46" s="1030"/>
      <c r="J46" s="1019"/>
      <c r="K46" s="1018"/>
      <c r="L46" s="1011"/>
      <c r="M46" s="1111"/>
      <c r="N46" s="3142"/>
      <c r="O46" s="1030"/>
      <c r="P46" s="1019"/>
      <c r="Q46" s="3142"/>
      <c r="R46" s="1030"/>
      <c r="S46" s="1019"/>
      <c r="T46" s="2157">
        <f>'Д 2_Т на В'!H21</f>
        <v>0</v>
      </c>
      <c r="U46" s="1021">
        <f t="shared" si="2"/>
        <v>0</v>
      </c>
      <c r="V46" s="1021"/>
      <c r="W46" s="1021">
        <f t="shared" si="3"/>
        <v>0</v>
      </c>
      <c r="X46" s="1021">
        <f t="shared" si="4"/>
        <v>0</v>
      </c>
      <c r="Y46" s="1021">
        <f t="shared" si="5"/>
        <v>0</v>
      </c>
      <c r="Z46" s="1021">
        <f t="shared" si="6"/>
        <v>0</v>
      </c>
      <c r="AA46" s="2158" t="e">
        <f t="shared" si="12"/>
        <v>#DIV/0!</v>
      </c>
      <c r="AB46" s="2158" t="e">
        <f t="shared" si="7"/>
        <v>#DIV/0!</v>
      </c>
      <c r="AC46" s="2158" t="e">
        <f t="shared" si="8"/>
        <v>#DIV/0!</v>
      </c>
      <c r="AD46" s="2158" t="e">
        <f t="shared" si="9"/>
        <v>#DIV/0!</v>
      </c>
      <c r="AE46" s="2158" t="e">
        <f t="shared" si="11"/>
        <v>#DIV/0!</v>
      </c>
      <c r="AF46" s="2158" t="e">
        <f t="shared" si="11"/>
        <v>#DIV/0!</v>
      </c>
    </row>
    <row r="47" spans="1:32" ht="26.4" x14ac:dyDescent="0.3">
      <c r="B47" s="1065" t="s">
        <v>45</v>
      </c>
      <c r="C47" s="1083" t="s">
        <v>1689</v>
      </c>
      <c r="D47" s="3145" t="s">
        <v>40</v>
      </c>
      <c r="E47" s="3142">
        <f>F47+G47</f>
        <v>33.313922123945588</v>
      </c>
      <c r="F47" s="1030"/>
      <c r="G47" s="1019">
        <f>'Д 2_Т на В'!H22</f>
        <v>33.313922123945588</v>
      </c>
      <c r="H47" s="3142">
        <f>I47+J47</f>
        <v>27.667042529692651</v>
      </c>
      <c r="I47" s="1030"/>
      <c r="J47" s="1019">
        <f t="shared" ref="J47:J53" si="13">$G47*J$36</f>
        <v>27.667042529692651</v>
      </c>
      <c r="K47" s="1018">
        <f>L47+M47</f>
        <v>4.4819308175778009E-3</v>
      </c>
      <c r="L47" s="1011"/>
      <c r="M47" s="1111">
        <f>Виробництво_2ст!H17</f>
        <v>4.4819308175778009E-3</v>
      </c>
      <c r="N47" s="3142">
        <f>O47+P47</f>
        <v>4.2215723759879022</v>
      </c>
      <c r="O47" s="1030"/>
      <c r="P47" s="1019">
        <f t="shared" ref="P47:P53" si="14">$G47*P$36</f>
        <v>4.2215723759879022</v>
      </c>
      <c r="Q47" s="3142">
        <f>R47+S47</f>
        <v>1.4208252874474538</v>
      </c>
      <c r="R47" s="1030"/>
      <c r="S47" s="1019">
        <f t="shared" ref="S47:S53" si="15">$G47*S$36</f>
        <v>1.4208252874474538</v>
      </c>
      <c r="T47" s="2157">
        <f>'Д 2_Т на В'!H22</f>
        <v>33.313922123945588</v>
      </c>
      <c r="U47" s="1021">
        <f t="shared" si="2"/>
        <v>0</v>
      </c>
      <c r="V47" s="1021"/>
      <c r="W47" s="1021">
        <f t="shared" si="3"/>
        <v>0.46531673770582266</v>
      </c>
      <c r="X47" s="1021">
        <f t="shared" si="4"/>
        <v>0.46531673770533649</v>
      </c>
      <c r="Y47" s="1021">
        <f t="shared" si="5"/>
        <v>0.46531673770533644</v>
      </c>
      <c r="Z47" s="1021">
        <f t="shared" si="6"/>
        <v>0.46531673770533633</v>
      </c>
      <c r="AA47" s="2158">
        <f t="shared" si="12"/>
        <v>0</v>
      </c>
      <c r="AB47" s="2158">
        <f t="shared" si="7"/>
        <v>1</v>
      </c>
      <c r="AC47" s="2158">
        <f t="shared" si="8"/>
        <v>0</v>
      </c>
      <c r="AD47" s="2158">
        <f t="shared" si="9"/>
        <v>1</v>
      </c>
      <c r="AE47" s="2158">
        <f t="shared" si="11"/>
        <v>0</v>
      </c>
      <c r="AF47" s="2158">
        <f t="shared" si="11"/>
        <v>0</v>
      </c>
    </row>
    <row r="48" spans="1:32" ht="15.6" x14ac:dyDescent="0.3">
      <c r="B48" s="1065" t="s">
        <v>46</v>
      </c>
      <c r="C48" s="1083" t="s">
        <v>610</v>
      </c>
      <c r="D48" s="3145" t="s">
        <v>40</v>
      </c>
      <c r="E48" s="3142">
        <f>F48+G48</f>
        <v>623.00670261753226</v>
      </c>
      <c r="F48" s="1030"/>
      <c r="G48" s="1019">
        <f>'Д 2_Т на В'!H23</f>
        <v>623.00670261753226</v>
      </c>
      <c r="H48" s="3142">
        <f>I48+J48</f>
        <v>517.40389118618089</v>
      </c>
      <c r="I48" s="1030"/>
      <c r="J48" s="1019">
        <f t="shared" si="13"/>
        <v>517.40389118618089</v>
      </c>
      <c r="K48" s="1018">
        <f>L48+M48</f>
        <v>8.3816997879454083E-2</v>
      </c>
      <c r="L48" s="1011"/>
      <c r="M48" s="1111">
        <f t="shared" ref="M48:M53" si="16">$G48*M$36</f>
        <v>8.3816997879454083E-2</v>
      </c>
      <c r="N48" s="3142">
        <f>O48+P48</f>
        <v>78.948010865854428</v>
      </c>
      <c r="O48" s="1030"/>
      <c r="P48" s="1019">
        <f t="shared" si="14"/>
        <v>78.948010865854428</v>
      </c>
      <c r="Q48" s="3142">
        <f>R48+S48</f>
        <v>26.57098356761745</v>
      </c>
      <c r="R48" s="1030"/>
      <c r="S48" s="1019">
        <f t="shared" si="15"/>
        <v>26.57098356761745</v>
      </c>
      <c r="T48" s="2157">
        <f>'Д 2_Т на В'!H23</f>
        <v>623.00670261753226</v>
      </c>
      <c r="U48" s="1021">
        <f t="shared" si="2"/>
        <v>0</v>
      </c>
      <c r="V48" s="1021"/>
      <c r="W48" s="1021">
        <f t="shared" si="3"/>
        <v>8.7019308429756723</v>
      </c>
      <c r="X48" s="1021">
        <f t="shared" si="4"/>
        <v>8.7019308429665791</v>
      </c>
      <c r="Y48" s="1021">
        <f t="shared" si="5"/>
        <v>8.7019308429665809</v>
      </c>
      <c r="Z48" s="1021">
        <f t="shared" si="6"/>
        <v>8.7019308429665774</v>
      </c>
      <c r="AA48" s="2158">
        <f t="shared" si="12"/>
        <v>0</v>
      </c>
      <c r="AB48" s="2158">
        <f t="shared" si="7"/>
        <v>1</v>
      </c>
      <c r="AC48" s="2158">
        <f t="shared" si="8"/>
        <v>0</v>
      </c>
      <c r="AD48" s="2158">
        <f t="shared" si="9"/>
        <v>1</v>
      </c>
      <c r="AE48" s="2158">
        <f t="shared" si="11"/>
        <v>0</v>
      </c>
      <c r="AF48" s="2158">
        <f t="shared" si="11"/>
        <v>0</v>
      </c>
    </row>
    <row r="49" spans="2:32" ht="15.6" x14ac:dyDescent="0.3">
      <c r="B49" s="1065" t="s">
        <v>24</v>
      </c>
      <c r="C49" s="1083" t="s">
        <v>47</v>
      </c>
      <c r="D49" s="3145" t="s">
        <v>40</v>
      </c>
      <c r="E49" s="3142">
        <f>F49+G49</f>
        <v>11228.939355305938</v>
      </c>
      <c r="F49" s="1030"/>
      <c r="G49" s="1019">
        <f>'Д 2_Т на В'!H24</f>
        <v>11228.939355305938</v>
      </c>
      <c r="H49" s="3142">
        <f>I49+J49</f>
        <v>9325.5769029754247</v>
      </c>
      <c r="I49" s="1030"/>
      <c r="J49" s="1019">
        <f t="shared" si="13"/>
        <v>9325.5769029754247</v>
      </c>
      <c r="K49" s="1018">
        <f>L49+M49</f>
        <v>1.510699615554522</v>
      </c>
      <c r="L49" s="1011"/>
      <c r="M49" s="1111">
        <f t="shared" si="16"/>
        <v>1.510699615554522</v>
      </c>
      <c r="N49" s="3142">
        <f>O49+P49</f>
        <v>1422.9420365946576</v>
      </c>
      <c r="O49" s="1030"/>
      <c r="P49" s="1019">
        <f t="shared" si="14"/>
        <v>1422.9420365946576</v>
      </c>
      <c r="Q49" s="3142">
        <f>R49+S49</f>
        <v>478.90971612030074</v>
      </c>
      <c r="R49" s="1030"/>
      <c r="S49" s="1019">
        <f t="shared" si="15"/>
        <v>478.90971612030074</v>
      </c>
      <c r="T49" s="2157">
        <f>'Д 2_Т на В'!H24</f>
        <v>11228.939355305938</v>
      </c>
      <c r="U49" s="1021">
        <f t="shared" si="2"/>
        <v>0</v>
      </c>
      <c r="V49" s="1021"/>
      <c r="W49" s="1021">
        <f t="shared" si="3"/>
        <v>156.84173749544235</v>
      </c>
      <c r="X49" s="1021">
        <f t="shared" si="4"/>
        <v>156.84173749527847</v>
      </c>
      <c r="Y49" s="1021">
        <f t="shared" si="5"/>
        <v>156.84173749527844</v>
      </c>
      <c r="Z49" s="1021">
        <f t="shared" si="6"/>
        <v>156.84173749527844</v>
      </c>
      <c r="AA49" s="2158">
        <f t="shared" si="12"/>
        <v>0</v>
      </c>
      <c r="AB49" s="2158">
        <f t="shared" si="7"/>
        <v>1</v>
      </c>
      <c r="AC49" s="2158">
        <f t="shared" si="8"/>
        <v>0</v>
      </c>
      <c r="AD49" s="2158">
        <f t="shared" si="9"/>
        <v>1</v>
      </c>
      <c r="AE49" s="2158">
        <f t="shared" si="11"/>
        <v>0</v>
      </c>
      <c r="AF49" s="2158">
        <f t="shared" si="11"/>
        <v>0</v>
      </c>
    </row>
    <row r="50" spans="2:32" ht="15.6" x14ac:dyDescent="0.3">
      <c r="B50" s="1065" t="s">
        <v>48</v>
      </c>
      <c r="C50" s="1083" t="s">
        <v>217</v>
      </c>
      <c r="D50" s="3145" t="s">
        <v>40</v>
      </c>
      <c r="E50" s="3142">
        <f>E51+E52+E53</f>
        <v>7233.6473506343445</v>
      </c>
      <c r="F50" s="1030"/>
      <c r="G50" s="1019">
        <f>'Д 2_Т на В'!H25</f>
        <v>7233.6473506343445</v>
      </c>
      <c r="H50" s="3142">
        <f>H51+H52+H53</f>
        <v>6007.507256281473</v>
      </c>
      <c r="I50" s="1030"/>
      <c r="J50" s="1019">
        <f t="shared" si="13"/>
        <v>6007.5072562814721</v>
      </c>
      <c r="K50" s="1018">
        <f>K51+K52+K53</f>
        <v>0.97318793217069222</v>
      </c>
      <c r="L50" s="1011"/>
      <c r="M50" s="1111">
        <f t="shared" si="16"/>
        <v>0.9731879321706921</v>
      </c>
      <c r="N50" s="3142">
        <f>N51+N52+N53</f>
        <v>916.65477632626721</v>
      </c>
      <c r="O50" s="1030"/>
      <c r="P50" s="1019">
        <f t="shared" si="14"/>
        <v>916.65477632626721</v>
      </c>
      <c r="Q50" s="3142">
        <f>Q51+Q52+Q53</f>
        <v>308.51213009443438</v>
      </c>
      <c r="R50" s="1030"/>
      <c r="S50" s="1019">
        <f t="shared" si="15"/>
        <v>308.51213009443433</v>
      </c>
      <c r="T50" s="2157">
        <f>'Д 2_Т на В'!H25</f>
        <v>7233.6473506343445</v>
      </c>
      <c r="U50" s="1021">
        <f t="shared" si="2"/>
        <v>0</v>
      </c>
      <c r="V50" s="1021"/>
      <c r="W50" s="1021">
        <f t="shared" si="3"/>
        <v>101.03695309091664</v>
      </c>
      <c r="X50" s="1021">
        <f t="shared" si="4"/>
        <v>101.03695309081105</v>
      </c>
      <c r="Y50" s="1021">
        <f t="shared" si="5"/>
        <v>101.03695309081107</v>
      </c>
      <c r="Z50" s="1021">
        <f t="shared" si="6"/>
        <v>101.03695309081104</v>
      </c>
      <c r="AA50" s="2158">
        <f t="shared" si="12"/>
        <v>0</v>
      </c>
      <c r="AB50" s="2158">
        <f t="shared" si="7"/>
        <v>1</v>
      </c>
      <c r="AC50" s="2158">
        <f t="shared" si="8"/>
        <v>0</v>
      </c>
      <c r="AD50" s="2158">
        <f t="shared" si="9"/>
        <v>0.99999999999999989</v>
      </c>
      <c r="AE50" s="2158">
        <f t="shared" si="11"/>
        <v>0</v>
      </c>
      <c r="AF50" s="2158">
        <f t="shared" si="11"/>
        <v>0</v>
      </c>
    </row>
    <row r="51" spans="2:32" ht="26.4" x14ac:dyDescent="0.3">
      <c r="B51" s="1065" t="s">
        <v>49</v>
      </c>
      <c r="C51" s="1103" t="s">
        <v>452</v>
      </c>
      <c r="D51" s="3145" t="s">
        <v>40</v>
      </c>
      <c r="E51" s="3142">
        <f t="shared" ref="E51:E56" si="17">F51+G51</f>
        <v>2470.366658167306</v>
      </c>
      <c r="F51" s="1030"/>
      <c r="G51" s="1019">
        <f>'Д 2_Т на В'!H26</f>
        <v>2470.366658167306</v>
      </c>
      <c r="H51" s="3142">
        <f t="shared" ref="H51:H56" si="18">I51+J51</f>
        <v>2051.6269186545933</v>
      </c>
      <c r="I51" s="1030"/>
      <c r="J51" s="1019">
        <f t="shared" si="13"/>
        <v>2051.6269186545933</v>
      </c>
      <c r="K51" s="1018">
        <f t="shared" ref="K51:K54" si="19">L51+M51</f>
        <v>0.33235391542199477</v>
      </c>
      <c r="L51" s="1011"/>
      <c r="M51" s="1111">
        <f t="shared" si="16"/>
        <v>0.33235391542199477</v>
      </c>
      <c r="N51" s="3142">
        <f t="shared" ref="N51:N56" si="20">O51+P51</f>
        <v>313.04724805082463</v>
      </c>
      <c r="O51" s="1030"/>
      <c r="P51" s="1019">
        <f t="shared" si="14"/>
        <v>313.04724805082463</v>
      </c>
      <c r="Q51" s="3142">
        <f t="shared" ref="Q51:Q56" si="21">R51+S51</f>
        <v>105.36013754646615</v>
      </c>
      <c r="R51" s="1030"/>
      <c r="S51" s="1019">
        <f t="shared" si="15"/>
        <v>105.36013754646615</v>
      </c>
      <c r="T51" s="2157">
        <f>'Д 2_Т на В'!H26</f>
        <v>2470.366658167306</v>
      </c>
      <c r="U51" s="1021">
        <f t="shared" si="2"/>
        <v>0</v>
      </c>
      <c r="V51" s="1021"/>
      <c r="W51" s="1021">
        <f t="shared" si="3"/>
        <v>34.505182248997315</v>
      </c>
      <c r="X51" s="1021">
        <f t="shared" si="4"/>
        <v>34.505182248961255</v>
      </c>
      <c r="Y51" s="1021">
        <f t="shared" si="5"/>
        <v>34.505182248961255</v>
      </c>
      <c r="Z51" s="1021">
        <f t="shared" si="6"/>
        <v>34.505182248961248</v>
      </c>
      <c r="AA51" s="2158">
        <f t="shared" si="12"/>
        <v>0</v>
      </c>
      <c r="AB51" s="2158">
        <f t="shared" si="7"/>
        <v>1</v>
      </c>
      <c r="AC51" s="2158">
        <f t="shared" si="8"/>
        <v>0</v>
      </c>
      <c r="AD51" s="2158">
        <f t="shared" si="9"/>
        <v>1</v>
      </c>
      <c r="AE51" s="2158">
        <f t="shared" si="11"/>
        <v>0</v>
      </c>
      <c r="AF51" s="2158">
        <f t="shared" si="11"/>
        <v>0</v>
      </c>
    </row>
    <row r="52" spans="2:32" ht="15.6" x14ac:dyDescent="0.3">
      <c r="B52" s="1065" t="s">
        <v>50</v>
      </c>
      <c r="C52" s="1087" t="s">
        <v>453</v>
      </c>
      <c r="D52" s="3145" t="s">
        <v>40</v>
      </c>
      <c r="E52" s="3142">
        <f t="shared" si="17"/>
        <v>2122.9628600000001</v>
      </c>
      <c r="F52" s="1030"/>
      <c r="G52" s="1019">
        <f>'Д 2_Т на В'!H27</f>
        <v>2122.9628600000001</v>
      </c>
      <c r="H52" s="3142">
        <f t="shared" si="18"/>
        <v>1763.1098349227168</v>
      </c>
      <c r="I52" s="1030"/>
      <c r="J52" s="1019">
        <f t="shared" si="13"/>
        <v>1763.1098349227168</v>
      </c>
      <c r="K52" s="1018">
        <f t="shared" si="19"/>
        <v>0.28561550427494919</v>
      </c>
      <c r="L52" s="1011"/>
      <c r="M52" s="1111">
        <f t="shared" si="16"/>
        <v>0.28561550427494919</v>
      </c>
      <c r="N52" s="3142">
        <f t="shared" si="20"/>
        <v>269.02390333026375</v>
      </c>
      <c r="O52" s="1030"/>
      <c r="P52" s="1019">
        <f t="shared" si="14"/>
        <v>269.02390333026375</v>
      </c>
      <c r="Q52" s="3142">
        <f t="shared" si="21"/>
        <v>90.543506242744428</v>
      </c>
      <c r="R52" s="1030"/>
      <c r="S52" s="1019">
        <f t="shared" si="15"/>
        <v>90.543506242744428</v>
      </c>
      <c r="T52" s="2157">
        <f>'Д 2_Т на В'!H27</f>
        <v>2122.9628600000001</v>
      </c>
      <c r="U52" s="1021">
        <f t="shared" si="2"/>
        <v>0</v>
      </c>
      <c r="V52" s="1021"/>
      <c r="W52" s="1021">
        <f t="shared" si="3"/>
        <v>29.652772453825545</v>
      </c>
      <c r="X52" s="1021">
        <f t="shared" si="4"/>
        <v>29.652772453794558</v>
      </c>
      <c r="Y52" s="1021">
        <f t="shared" si="5"/>
        <v>29.652772453794562</v>
      </c>
      <c r="Z52" s="1021">
        <f t="shared" si="6"/>
        <v>29.652772453794558</v>
      </c>
      <c r="AA52" s="2158">
        <f t="shared" si="12"/>
        <v>0</v>
      </c>
      <c r="AB52" s="2158">
        <f t="shared" si="7"/>
        <v>1</v>
      </c>
      <c r="AC52" s="2158">
        <f t="shared" si="8"/>
        <v>0</v>
      </c>
      <c r="AD52" s="2158">
        <f t="shared" si="9"/>
        <v>1</v>
      </c>
      <c r="AE52" s="2158">
        <f t="shared" si="11"/>
        <v>0</v>
      </c>
      <c r="AF52" s="2158">
        <f t="shared" si="11"/>
        <v>0</v>
      </c>
    </row>
    <row r="53" spans="2:32" ht="15.6" x14ac:dyDescent="0.3">
      <c r="B53" s="1065" t="s">
        <v>51</v>
      </c>
      <c r="C53" s="1087" t="s">
        <v>52</v>
      </c>
      <c r="D53" s="3145" t="s">
        <v>40</v>
      </c>
      <c r="E53" s="3142">
        <f t="shared" si="17"/>
        <v>2640.3178324670394</v>
      </c>
      <c r="F53" s="1030"/>
      <c r="G53" s="1019">
        <f>'Д 2_Т на В'!H28</f>
        <v>2640.3178324670394</v>
      </c>
      <c r="H53" s="3142">
        <f t="shared" si="18"/>
        <v>2192.7705027041629</v>
      </c>
      <c r="I53" s="1030"/>
      <c r="J53" s="1019">
        <f t="shared" si="13"/>
        <v>2192.7705027041629</v>
      </c>
      <c r="K53" s="1018">
        <f t="shared" si="19"/>
        <v>0.35521851247374825</v>
      </c>
      <c r="L53" s="1011"/>
      <c r="M53" s="1111">
        <f t="shared" si="16"/>
        <v>0.35521851247374825</v>
      </c>
      <c r="N53" s="3142">
        <f t="shared" si="20"/>
        <v>334.58362494517888</v>
      </c>
      <c r="O53" s="1030"/>
      <c r="P53" s="1019">
        <f t="shared" si="14"/>
        <v>334.58362494517888</v>
      </c>
      <c r="Q53" s="3142">
        <f t="shared" si="21"/>
        <v>112.60848630522382</v>
      </c>
      <c r="R53" s="1030"/>
      <c r="S53" s="1019">
        <f t="shared" si="15"/>
        <v>112.60848630522382</v>
      </c>
      <c r="T53" s="2157">
        <f>'Д 2_Т на В'!H28</f>
        <v>2640.3178324670394</v>
      </c>
      <c r="U53" s="1021">
        <f t="shared" si="2"/>
        <v>0</v>
      </c>
      <c r="V53" s="1021"/>
      <c r="W53" s="1021">
        <f>J53/$J$17</f>
        <v>36.878998388093798</v>
      </c>
      <c r="X53" s="1021">
        <f>M53/$M$17</f>
        <v>36.878998388055258</v>
      </c>
      <c r="Y53" s="1021">
        <f>P53/$P$17</f>
        <v>36.878998388055258</v>
      </c>
      <c r="Z53" s="1021">
        <f>S53/$S$17</f>
        <v>36.878998388055251</v>
      </c>
      <c r="AA53" s="2158">
        <f t="shared" si="12"/>
        <v>0</v>
      </c>
      <c r="AB53" s="2158">
        <f t="shared" si="7"/>
        <v>1</v>
      </c>
      <c r="AC53" s="2158">
        <f t="shared" si="8"/>
        <v>0</v>
      </c>
      <c r="AD53" s="2158">
        <f t="shared" si="9"/>
        <v>1</v>
      </c>
      <c r="AE53" s="2158">
        <f t="shared" si="11"/>
        <v>0</v>
      </c>
      <c r="AF53" s="2158">
        <f t="shared" si="11"/>
        <v>0</v>
      </c>
    </row>
    <row r="54" spans="2:32" s="1897" customFormat="1" ht="15.6" x14ac:dyDescent="0.3">
      <c r="B54" s="1065" t="s">
        <v>53</v>
      </c>
      <c r="C54" s="1091" t="s">
        <v>218</v>
      </c>
      <c r="D54" s="3187" t="s">
        <v>40</v>
      </c>
      <c r="E54" s="2161">
        <f t="shared" si="17"/>
        <v>5210.7535416702249</v>
      </c>
      <c r="F54" s="2947"/>
      <c r="G54" s="2948">
        <f>ЗВВ_2ст!G8</f>
        <v>5210.7535416702249</v>
      </c>
      <c r="H54" s="2161">
        <f t="shared" si="18"/>
        <v>4327.504258212577</v>
      </c>
      <c r="I54" s="2947"/>
      <c r="J54" s="2948">
        <f>SUM(J55:J57)</f>
        <v>4327.504258212577</v>
      </c>
      <c r="K54" s="4370">
        <f t="shared" si="19"/>
        <v>0.70103534475238949</v>
      </c>
      <c r="L54" s="2926"/>
      <c r="M54" s="4371">
        <f>SUM(M55:M57)</f>
        <v>0.70103534475238949</v>
      </c>
      <c r="N54" s="2161">
        <f t="shared" si="20"/>
        <v>660.31171975948746</v>
      </c>
      <c r="O54" s="2947"/>
      <c r="P54" s="2948">
        <f>SUM(P55:P57)</f>
        <v>660.31171975948746</v>
      </c>
      <c r="Q54" s="2161">
        <f t="shared" si="21"/>
        <v>222.23652835340729</v>
      </c>
      <c r="R54" s="2947"/>
      <c r="S54" s="2948">
        <f>SUM(S55:S57)</f>
        <v>222.23652835340729</v>
      </c>
      <c r="T54" s="1895">
        <f>'Д 2_Т на В'!H29</f>
        <v>5210.7535416702249</v>
      </c>
      <c r="U54" s="1896">
        <f t="shared" si="2"/>
        <v>0</v>
      </c>
      <c r="V54" s="1896"/>
      <c r="W54" s="1896">
        <f t="shared" ref="W54:W59" si="22">J54/$J$17</f>
        <v>72.781908716063327</v>
      </c>
      <c r="X54" s="1896">
        <f t="shared" ref="X54:X59" si="23">M54/$M$17</f>
        <v>72.781908715987285</v>
      </c>
      <c r="Y54" s="1896">
        <f t="shared" ref="Y54:Y59" si="24">P54/$P$17</f>
        <v>72.781908715987285</v>
      </c>
      <c r="Z54" s="1896">
        <f t="shared" ref="Z54:Z59" si="25">S54/$S$17</f>
        <v>72.781908715987271</v>
      </c>
      <c r="AA54" s="2162">
        <f t="shared" si="12"/>
        <v>0</v>
      </c>
      <c r="AB54" s="2162">
        <f t="shared" si="7"/>
        <v>1</v>
      </c>
      <c r="AC54" s="2162">
        <f t="shared" si="8"/>
        <v>0</v>
      </c>
      <c r="AD54" s="2162">
        <f t="shared" si="9"/>
        <v>1</v>
      </c>
      <c r="AE54" s="2162">
        <f t="shared" si="11"/>
        <v>0</v>
      </c>
      <c r="AF54" s="2162">
        <f t="shared" si="11"/>
        <v>0</v>
      </c>
    </row>
    <row r="55" spans="2:32" ht="15.6" x14ac:dyDescent="0.3">
      <c r="B55" s="1065" t="s">
        <v>54</v>
      </c>
      <c r="C55" s="1087" t="s">
        <v>55</v>
      </c>
      <c r="D55" s="3145" t="s">
        <v>40</v>
      </c>
      <c r="E55" s="3142">
        <f t="shared" si="17"/>
        <v>3981.6703519823727</v>
      </c>
      <c r="F55" s="1030"/>
      <c r="G55" s="1019">
        <f>'Д 2_Т на В'!H30</f>
        <v>3981.6703519823727</v>
      </c>
      <c r="H55" s="3142">
        <f t="shared" si="18"/>
        <v>3306.7569335623311</v>
      </c>
      <c r="I55" s="1030"/>
      <c r="J55" s="1019">
        <f t="shared" ref="J55:J57" si="26">$G55*J$36</f>
        <v>3306.7569335623311</v>
      </c>
      <c r="K55" s="1018">
        <f t="shared" ref="K55:K56" si="27">M55+L55</f>
        <v>0.53567907704144191</v>
      </c>
      <c r="L55" s="1011"/>
      <c r="M55" s="1111">
        <f t="shared" ref="M55:M57" si="28">$G55*M$36</f>
        <v>0.53567907704144191</v>
      </c>
      <c r="N55" s="3142">
        <f t="shared" si="20"/>
        <v>504.56111128796812</v>
      </c>
      <c r="O55" s="1030"/>
      <c r="P55" s="1019">
        <f t="shared" ref="P55:P57" si="29">$G55*P$36</f>
        <v>504.56111128796812</v>
      </c>
      <c r="Q55" s="3142">
        <f t="shared" si="21"/>
        <v>169.81662805503171</v>
      </c>
      <c r="R55" s="1030"/>
      <c r="S55" s="1019">
        <f t="shared" ref="S55:S57" si="30">$G55*S$36</f>
        <v>169.81662805503171</v>
      </c>
      <c r="T55" s="2157">
        <f>'Д 2_Т на В'!H30</f>
        <v>3981.6703519823727</v>
      </c>
      <c r="U55" s="1021">
        <f t="shared" si="2"/>
        <v>0</v>
      </c>
      <c r="V55" s="1021"/>
      <c r="W55" s="1021">
        <f t="shared" si="22"/>
        <v>55.61452211814801</v>
      </c>
      <c r="X55" s="1021">
        <f t="shared" si="23"/>
        <v>55.614522118089901</v>
      </c>
      <c r="Y55" s="1021">
        <f t="shared" si="24"/>
        <v>55.614522118089901</v>
      </c>
      <c r="Z55" s="1021">
        <f t="shared" si="25"/>
        <v>55.614522118089894</v>
      </c>
      <c r="AA55" s="2158">
        <f t="shared" si="12"/>
        <v>0</v>
      </c>
      <c r="AB55" s="2158">
        <f t="shared" si="7"/>
        <v>1</v>
      </c>
      <c r="AC55" s="2158">
        <f t="shared" si="8"/>
        <v>0</v>
      </c>
      <c r="AD55" s="2158">
        <f t="shared" si="9"/>
        <v>1</v>
      </c>
      <c r="AE55" s="2158">
        <f t="shared" ref="AE55:AF76" si="31">AC55-AA55</f>
        <v>0</v>
      </c>
      <c r="AF55" s="2158">
        <f t="shared" si="31"/>
        <v>0</v>
      </c>
    </row>
    <row r="56" spans="2:32" ht="26.4" x14ac:dyDescent="0.3">
      <c r="B56" s="1065" t="s">
        <v>56</v>
      </c>
      <c r="C56" s="1103" t="s">
        <v>452</v>
      </c>
      <c r="D56" s="3145" t="s">
        <v>40</v>
      </c>
      <c r="E56" s="3142">
        <f t="shared" si="17"/>
        <v>849.8976237422155</v>
      </c>
      <c r="F56" s="1030"/>
      <c r="G56" s="1019">
        <f>'Д 2_Т на В'!H31</f>
        <v>849.8976237422155</v>
      </c>
      <c r="H56" s="3142">
        <f t="shared" si="18"/>
        <v>705.83564476363324</v>
      </c>
      <c r="I56" s="1030"/>
      <c r="J56" s="1019">
        <f t="shared" si="26"/>
        <v>705.83564476363324</v>
      </c>
      <c r="K56" s="1018">
        <f t="shared" si="27"/>
        <v>0.11434205607686133</v>
      </c>
      <c r="L56" s="1011"/>
      <c r="M56" s="1111">
        <f t="shared" si="28"/>
        <v>0.11434205607686133</v>
      </c>
      <c r="N56" s="3142">
        <f t="shared" si="20"/>
        <v>107.69984745293503</v>
      </c>
      <c r="O56" s="1030"/>
      <c r="P56" s="1019">
        <f t="shared" si="29"/>
        <v>107.69984745293503</v>
      </c>
      <c r="Q56" s="3142">
        <f t="shared" si="21"/>
        <v>36.247789469570343</v>
      </c>
      <c r="R56" s="1030"/>
      <c r="S56" s="1019">
        <f t="shared" si="30"/>
        <v>36.247789469570343</v>
      </c>
      <c r="T56" s="2157">
        <f>'Д 2_Т на В'!H31</f>
        <v>849.8976237422155</v>
      </c>
      <c r="U56" s="1021">
        <f>E56-T56</f>
        <v>0</v>
      </c>
      <c r="V56" s="1021"/>
      <c r="W56" s="1021">
        <f t="shared" si="22"/>
        <v>11.871060639221431</v>
      </c>
      <c r="X56" s="1021">
        <f t="shared" si="23"/>
        <v>11.871060639209025</v>
      </c>
      <c r="Y56" s="1021">
        <f t="shared" si="24"/>
        <v>11.871060639209027</v>
      </c>
      <c r="Z56" s="1021">
        <f t="shared" si="25"/>
        <v>11.871060639209023</v>
      </c>
      <c r="AA56" s="2158">
        <f t="shared" si="12"/>
        <v>0</v>
      </c>
      <c r="AB56" s="2158">
        <f t="shared" si="7"/>
        <v>1</v>
      </c>
      <c r="AC56" s="2158">
        <f t="shared" si="8"/>
        <v>0</v>
      </c>
      <c r="AD56" s="2158">
        <f t="shared" si="9"/>
        <v>1</v>
      </c>
      <c r="AE56" s="2158">
        <f t="shared" si="31"/>
        <v>0</v>
      </c>
      <c r="AF56" s="2158">
        <f t="shared" si="31"/>
        <v>0</v>
      </c>
    </row>
    <row r="57" spans="2:32" ht="15.6" x14ac:dyDescent="0.3">
      <c r="B57" s="1065" t="s">
        <v>57</v>
      </c>
      <c r="C57" s="1087" t="s">
        <v>58</v>
      </c>
      <c r="D57" s="3145" t="s">
        <v>40</v>
      </c>
      <c r="E57" s="3142">
        <f>E54-E55-E56</f>
        <v>379.18556594563665</v>
      </c>
      <c r="F57" s="1030"/>
      <c r="G57" s="1019">
        <f>'Д 2_Т на В'!H32</f>
        <v>379.18556594563665</v>
      </c>
      <c r="H57" s="3142">
        <f>H54-H55-H56</f>
        <v>314.91167988661266</v>
      </c>
      <c r="I57" s="1030"/>
      <c r="J57" s="1019">
        <f t="shared" si="26"/>
        <v>314.911679886613</v>
      </c>
      <c r="K57" s="1018">
        <f>M57+L57</f>
        <v>5.1014211634086253E-2</v>
      </c>
      <c r="L57" s="1011"/>
      <c r="M57" s="1111">
        <f t="shared" si="28"/>
        <v>5.1014211634086253E-2</v>
      </c>
      <c r="N57" s="3142">
        <f>N54-N55-N56</f>
        <v>48.050761018584311</v>
      </c>
      <c r="O57" s="1030"/>
      <c r="P57" s="1019">
        <f t="shared" si="29"/>
        <v>48.050761018584332</v>
      </c>
      <c r="Q57" s="3142">
        <f>Q54-Q55-Q56</f>
        <v>16.172110828805238</v>
      </c>
      <c r="R57" s="1030"/>
      <c r="S57" s="1019">
        <f t="shared" si="30"/>
        <v>16.172110828805234</v>
      </c>
      <c r="T57" s="2157">
        <f>'Д 2_Т на В'!H32</f>
        <v>379.18556594563665</v>
      </c>
      <c r="U57" s="1021">
        <f t="shared" si="2"/>
        <v>0</v>
      </c>
      <c r="V57" s="1021"/>
      <c r="W57" s="1021">
        <f t="shared" si="22"/>
        <v>5.2963259586938909</v>
      </c>
      <c r="X57" s="1021">
        <f t="shared" si="23"/>
        <v>5.2963259586883566</v>
      </c>
      <c r="Y57" s="1021">
        <f t="shared" si="24"/>
        <v>5.2963259586883566</v>
      </c>
      <c r="Z57" s="1021">
        <f t="shared" si="25"/>
        <v>5.2963259586883558</v>
      </c>
      <c r="AA57" s="2158">
        <f t="shared" si="12"/>
        <v>0</v>
      </c>
      <c r="AB57" s="2158">
        <f t="shared" si="7"/>
        <v>1</v>
      </c>
      <c r="AC57" s="2158">
        <f t="shared" si="8"/>
        <v>0</v>
      </c>
      <c r="AD57" s="2158">
        <f t="shared" si="9"/>
        <v>1.0000000000000011</v>
      </c>
      <c r="AE57" s="2158">
        <f t="shared" si="31"/>
        <v>0</v>
      </c>
      <c r="AF57" s="2158">
        <f t="shared" si="31"/>
        <v>0</v>
      </c>
    </row>
    <row r="58" spans="2:32" s="1897" customFormat="1" ht="15.6" x14ac:dyDescent="0.3">
      <c r="B58" s="1065">
        <v>2</v>
      </c>
      <c r="C58" s="1091" t="s">
        <v>219</v>
      </c>
      <c r="D58" s="3187" t="s">
        <v>40</v>
      </c>
      <c r="E58" s="2161">
        <f>F58+G58</f>
        <v>6334.8875507536159</v>
      </c>
      <c r="F58" s="2947"/>
      <c r="G58" s="2948">
        <f>Адміністративні_2ст!G8</f>
        <v>6334.8875507536159</v>
      </c>
      <c r="H58" s="2161">
        <f>I58+J58</f>
        <v>5261.0918232753165</v>
      </c>
      <c r="I58" s="2947"/>
      <c r="J58" s="2948">
        <f>SUM(J59:J61)</f>
        <v>5261.0918232753165</v>
      </c>
      <c r="K58" s="4370">
        <f>L58+M58</f>
        <v>0.85227214117800998</v>
      </c>
      <c r="L58" s="2926"/>
      <c r="M58" s="4371">
        <f>SUM(M59:M61)</f>
        <v>0.85227214117800998</v>
      </c>
      <c r="N58" s="2161">
        <f>O58+P58</f>
        <v>802.76306673684917</v>
      </c>
      <c r="O58" s="2947"/>
      <c r="P58" s="2948">
        <f>SUM(P59:P61)</f>
        <v>802.76306673684917</v>
      </c>
      <c r="Q58" s="2161">
        <f>R58+S58</f>
        <v>270.18038860027156</v>
      </c>
      <c r="R58" s="2947"/>
      <c r="S58" s="2948">
        <f>SUM(S59:S61)</f>
        <v>270.18038860027156</v>
      </c>
      <c r="T58" s="1895">
        <f>'Д 2_Т на В'!H33</f>
        <v>6334.8875507536159</v>
      </c>
      <c r="U58" s="1896">
        <f t="shared" si="2"/>
        <v>0</v>
      </c>
      <c r="V58" s="1896"/>
      <c r="W58" s="1896">
        <f t="shared" si="22"/>
        <v>88.483403361596814</v>
      </c>
      <c r="X58" s="1896">
        <f t="shared" si="23"/>
        <v>88.483403361504358</v>
      </c>
      <c r="Y58" s="1896">
        <f t="shared" si="24"/>
        <v>88.483403361504372</v>
      </c>
      <c r="Z58" s="1896">
        <f t="shared" si="25"/>
        <v>88.483403361504344</v>
      </c>
      <c r="AA58" s="2162">
        <f t="shared" si="12"/>
        <v>0</v>
      </c>
      <c r="AB58" s="2162">
        <f t="shared" si="7"/>
        <v>1</v>
      </c>
      <c r="AC58" s="2162">
        <f t="shared" si="8"/>
        <v>0</v>
      </c>
      <c r="AD58" s="2162">
        <f t="shared" si="9"/>
        <v>1</v>
      </c>
      <c r="AE58" s="2162">
        <f t="shared" si="31"/>
        <v>0</v>
      </c>
      <c r="AF58" s="2162">
        <f t="shared" si="31"/>
        <v>0</v>
      </c>
    </row>
    <row r="59" spans="2:32" ht="15.6" x14ac:dyDescent="0.3">
      <c r="B59" s="1065" t="s">
        <v>25</v>
      </c>
      <c r="C59" s="1087" t="s">
        <v>55</v>
      </c>
      <c r="D59" s="3145" t="s">
        <v>40</v>
      </c>
      <c r="E59" s="3142">
        <f>F59+G59</f>
        <v>4743.9700713768461</v>
      </c>
      <c r="F59" s="1030"/>
      <c r="G59" s="1019">
        <f>'Д 2_Т на В'!H34</f>
        <v>4743.9700713768461</v>
      </c>
      <c r="H59" s="3142">
        <f>I59+J59</f>
        <v>3939.8429652337582</v>
      </c>
      <c r="I59" s="1030"/>
      <c r="J59" s="1019">
        <f t="shared" ref="J59:J61" si="32">$G59*J$36</f>
        <v>3939.8429652337582</v>
      </c>
      <c r="K59" s="1018">
        <f t="shared" ref="K59:K60" si="33">M59+L59</f>
        <v>0.63823603781818616</v>
      </c>
      <c r="L59" s="1011"/>
      <c r="M59" s="1111">
        <f t="shared" ref="M59:M64" si="34">$G59*M$36</f>
        <v>0.63823603781818616</v>
      </c>
      <c r="N59" s="3142">
        <f>O59+P59</f>
        <v>601.1604677265758</v>
      </c>
      <c r="O59" s="1030"/>
      <c r="P59" s="1019">
        <f t="shared" ref="P59:P61" si="35">$G59*P$36</f>
        <v>601.1604677265758</v>
      </c>
      <c r="Q59" s="3142">
        <f>R59+S59</f>
        <v>202.3284023786936</v>
      </c>
      <c r="R59" s="1030"/>
      <c r="S59" s="1019">
        <f t="shared" ref="S59:S61" si="36">$G59*S$36</f>
        <v>202.3284023786936</v>
      </c>
      <c r="T59" s="2157">
        <f>'Д 2_Т на В'!H34</f>
        <v>4743.9700713768461</v>
      </c>
      <c r="U59" s="1021">
        <f t="shared" si="2"/>
        <v>0</v>
      </c>
      <c r="V59" s="1021"/>
      <c r="W59" s="1021">
        <f t="shared" si="22"/>
        <v>66.262047115744707</v>
      </c>
      <c r="X59" s="1021">
        <f t="shared" si="23"/>
        <v>66.262047115675472</v>
      </c>
      <c r="Y59" s="1021">
        <f t="shared" si="24"/>
        <v>66.262047115675472</v>
      </c>
      <c r="Z59" s="1021">
        <f t="shared" si="25"/>
        <v>66.262047115675458</v>
      </c>
      <c r="AA59" s="2158">
        <f t="shared" si="12"/>
        <v>0</v>
      </c>
      <c r="AB59" s="2158">
        <f t="shared" si="7"/>
        <v>1</v>
      </c>
      <c r="AC59" s="2158">
        <f t="shared" si="8"/>
        <v>0</v>
      </c>
      <c r="AD59" s="2158">
        <f t="shared" si="9"/>
        <v>1</v>
      </c>
      <c r="AE59" s="2158">
        <f t="shared" si="31"/>
        <v>0</v>
      </c>
      <c r="AF59" s="2158">
        <f t="shared" si="31"/>
        <v>0</v>
      </c>
    </row>
    <row r="60" spans="2:32" ht="26.4" x14ac:dyDescent="0.3">
      <c r="B60" s="1065" t="s">
        <v>26</v>
      </c>
      <c r="C60" s="1103" t="s">
        <v>452</v>
      </c>
      <c r="D60" s="3145" t="s">
        <v>40</v>
      </c>
      <c r="E60" s="3142">
        <f>F60+G60</f>
        <v>1043.6734157029061</v>
      </c>
      <c r="F60" s="1030"/>
      <c r="G60" s="1019">
        <f>'Д 2_Т на В'!H35</f>
        <v>1043.6734157029061</v>
      </c>
      <c r="H60" s="3142">
        <f>I60+J60</f>
        <v>866.7654523514268</v>
      </c>
      <c r="I60" s="1030"/>
      <c r="J60" s="1019">
        <f t="shared" si="32"/>
        <v>866.7654523514268</v>
      </c>
      <c r="K60" s="1018">
        <f t="shared" si="33"/>
        <v>0.14041192832000096</v>
      </c>
      <c r="L60" s="1011"/>
      <c r="M60" s="1111">
        <f t="shared" si="34"/>
        <v>0.14041192832000096</v>
      </c>
      <c r="N60" s="3142">
        <f>O60+P60</f>
        <v>132.2553028998467</v>
      </c>
      <c r="O60" s="1030"/>
      <c r="P60" s="1019">
        <f t="shared" si="35"/>
        <v>132.2553028998467</v>
      </c>
      <c r="Q60" s="3142">
        <f>R60+S60</f>
        <v>44.512248523312593</v>
      </c>
      <c r="R60" s="1030"/>
      <c r="S60" s="1019">
        <f t="shared" si="36"/>
        <v>44.512248523312593</v>
      </c>
      <c r="T60" s="2157">
        <f>'Д 2_Т на В'!H35</f>
        <v>1043.6734157029061</v>
      </c>
      <c r="U60" s="1021">
        <f t="shared" si="2"/>
        <v>0</v>
      </c>
      <c r="V60" s="1021"/>
      <c r="W60" s="1021">
        <f t="shared" ref="W60:W66" si="37">J60/$J$17</f>
        <v>14.577650365463837</v>
      </c>
      <c r="X60" s="1021">
        <f t="shared" ref="X60:X66" si="38">M60/$M$17</f>
        <v>14.577650365448605</v>
      </c>
      <c r="Y60" s="1021">
        <f t="shared" ref="Y60:Y66" si="39">P60/$P$17</f>
        <v>14.577650365448607</v>
      </c>
      <c r="Z60" s="1021">
        <f t="shared" ref="Z60:Z66" si="40">S60/$S$17</f>
        <v>14.577650365448601</v>
      </c>
      <c r="AA60" s="2158">
        <f t="shared" si="12"/>
        <v>0</v>
      </c>
      <c r="AB60" s="2158">
        <f t="shared" si="7"/>
        <v>1</v>
      </c>
      <c r="AC60" s="2158">
        <f t="shared" si="8"/>
        <v>0</v>
      </c>
      <c r="AD60" s="2158">
        <f t="shared" si="9"/>
        <v>1</v>
      </c>
      <c r="AE60" s="2158">
        <f t="shared" si="31"/>
        <v>0</v>
      </c>
      <c r="AF60" s="2158">
        <f t="shared" si="31"/>
        <v>0</v>
      </c>
    </row>
    <row r="61" spans="2:32" ht="15.6" x14ac:dyDescent="0.3">
      <c r="B61" s="1065" t="s">
        <v>59</v>
      </c>
      <c r="C61" s="1088" t="s">
        <v>58</v>
      </c>
      <c r="D61" s="3145" t="s">
        <v>40</v>
      </c>
      <c r="E61" s="3142">
        <f>E58-E59-E60</f>
        <v>547.24406367386359</v>
      </c>
      <c r="F61" s="1030"/>
      <c r="G61" s="1019">
        <f>'Д 2_Т на В'!H36</f>
        <v>547.24406367386359</v>
      </c>
      <c r="H61" s="3142">
        <f>H58-H59-H60</f>
        <v>454.48340569013158</v>
      </c>
      <c r="I61" s="1030"/>
      <c r="J61" s="1019">
        <f t="shared" si="32"/>
        <v>454.48340569013175</v>
      </c>
      <c r="K61" s="1018">
        <f>M61+L61</f>
        <v>7.3624175039822867E-2</v>
      </c>
      <c r="L61" s="1011"/>
      <c r="M61" s="1111">
        <f t="shared" si="34"/>
        <v>7.3624175039822867E-2</v>
      </c>
      <c r="N61" s="3142">
        <f>N58-N59-N60</f>
        <v>69.347296110426669</v>
      </c>
      <c r="O61" s="1030"/>
      <c r="P61" s="1019">
        <f t="shared" si="35"/>
        <v>69.347296110426626</v>
      </c>
      <c r="Q61" s="3142">
        <f>Q58-Q59-Q60</f>
        <v>23.339737698265367</v>
      </c>
      <c r="R61" s="1030"/>
      <c r="S61" s="1019">
        <f t="shared" si="36"/>
        <v>23.339737698265381</v>
      </c>
      <c r="T61" s="2157">
        <f>'Д 2_Т на В'!H36</f>
        <v>547.24406367386359</v>
      </c>
      <c r="U61" s="1021">
        <f t="shared" si="2"/>
        <v>0</v>
      </c>
      <c r="V61" s="1021"/>
      <c r="W61" s="1021">
        <f t="shared" si="37"/>
        <v>7.6437058803882678</v>
      </c>
      <c r="X61" s="1021">
        <f t="shared" si="38"/>
        <v>7.6437058803802813</v>
      </c>
      <c r="Y61" s="1021">
        <f t="shared" si="39"/>
        <v>7.6437058803802813</v>
      </c>
      <c r="Z61" s="1021">
        <f t="shared" si="40"/>
        <v>7.6437058803802786</v>
      </c>
      <c r="AA61" s="2158">
        <f t="shared" si="12"/>
        <v>0</v>
      </c>
      <c r="AB61" s="2158">
        <f t="shared" si="7"/>
        <v>1</v>
      </c>
      <c r="AC61" s="2158">
        <f t="shared" si="8"/>
        <v>0</v>
      </c>
      <c r="AD61" s="2158">
        <f t="shared" si="9"/>
        <v>1.0000000000000004</v>
      </c>
      <c r="AE61" s="2158">
        <f t="shared" si="31"/>
        <v>0</v>
      </c>
      <c r="AF61" s="2158">
        <f t="shared" si="31"/>
        <v>0</v>
      </c>
    </row>
    <row r="62" spans="2:32" ht="15.6" x14ac:dyDescent="0.3">
      <c r="B62" s="1065" t="s">
        <v>173</v>
      </c>
      <c r="C62" s="1083" t="s">
        <v>220</v>
      </c>
      <c r="D62" s="3145" t="s">
        <v>40</v>
      </c>
      <c r="E62" s="3142">
        <f>F62+G62</f>
        <v>0</v>
      </c>
      <c r="F62" s="1030"/>
      <c r="G62" s="1019">
        <v>0</v>
      </c>
      <c r="H62" s="3142">
        <f>I62+J62</f>
        <v>0</v>
      </c>
      <c r="I62" s="1030"/>
      <c r="J62" s="1019">
        <f>E62*Виробництво_2ст!G$9</f>
        <v>0</v>
      </c>
      <c r="K62" s="1018">
        <f>L62+M62</f>
        <v>0</v>
      </c>
      <c r="L62" s="1011"/>
      <c r="M62" s="1111">
        <f t="shared" si="34"/>
        <v>0</v>
      </c>
      <c r="N62" s="3142">
        <f>O62+P62</f>
        <v>0</v>
      </c>
      <c r="O62" s="1030"/>
      <c r="P62" s="1019">
        <f>$E62*Виробництво_2ст!I$9</f>
        <v>0</v>
      </c>
      <c r="Q62" s="3142">
        <f>R62+S62</f>
        <v>0</v>
      </c>
      <c r="R62" s="1030"/>
      <c r="S62" s="1019">
        <f>$E62*Виробництво_2ст!J$9</f>
        <v>0</v>
      </c>
      <c r="T62" s="2157">
        <f>'Д 2_Т на В'!H37</f>
        <v>0</v>
      </c>
      <c r="U62" s="1021">
        <f t="shared" si="2"/>
        <v>0</v>
      </c>
      <c r="V62" s="1021"/>
      <c r="W62" s="1021">
        <f t="shared" si="37"/>
        <v>0</v>
      </c>
      <c r="X62" s="1021">
        <f t="shared" si="38"/>
        <v>0</v>
      </c>
      <c r="Y62" s="1021">
        <f t="shared" si="39"/>
        <v>0</v>
      </c>
      <c r="Z62" s="1021">
        <f t="shared" si="40"/>
        <v>0</v>
      </c>
      <c r="AA62" s="2158" t="e">
        <f t="shared" si="12"/>
        <v>#DIV/0!</v>
      </c>
      <c r="AB62" s="2158" t="e">
        <f t="shared" si="7"/>
        <v>#DIV/0!</v>
      </c>
      <c r="AC62" s="2158" t="e">
        <f t="shared" si="8"/>
        <v>#DIV/0!</v>
      </c>
      <c r="AD62" s="2158" t="e">
        <f t="shared" si="9"/>
        <v>#DIV/0!</v>
      </c>
      <c r="AE62" s="2158" t="e">
        <f t="shared" si="31"/>
        <v>#DIV/0!</v>
      </c>
      <c r="AF62" s="2158" t="e">
        <f t="shared" si="31"/>
        <v>#DIV/0!</v>
      </c>
    </row>
    <row r="63" spans="2:32" ht="15.6" x14ac:dyDescent="0.3">
      <c r="B63" s="1065" t="s">
        <v>60</v>
      </c>
      <c r="C63" s="1083" t="s">
        <v>55</v>
      </c>
      <c r="D63" s="3145" t="s">
        <v>40</v>
      </c>
      <c r="E63" s="3142">
        <f>F63+G63</f>
        <v>0</v>
      </c>
      <c r="F63" s="1030"/>
      <c r="G63" s="1019">
        <v>0</v>
      </c>
      <c r="H63" s="3142">
        <f>I63+J63</f>
        <v>0</v>
      </c>
      <c r="I63" s="1030"/>
      <c r="J63" s="1019">
        <f>E63*Виробництво_2ст!G$9</f>
        <v>0</v>
      </c>
      <c r="K63" s="1018">
        <f>L63+M63</f>
        <v>0</v>
      </c>
      <c r="L63" s="1011"/>
      <c r="M63" s="1111">
        <f t="shared" si="34"/>
        <v>0</v>
      </c>
      <c r="N63" s="3142">
        <f>O63+P63</f>
        <v>0</v>
      </c>
      <c r="O63" s="1030"/>
      <c r="P63" s="1019">
        <f>$E63*Виробництво_2ст!I$9</f>
        <v>0</v>
      </c>
      <c r="Q63" s="3142">
        <f>R63+S63</f>
        <v>0</v>
      </c>
      <c r="R63" s="1030"/>
      <c r="S63" s="1019">
        <f>$E63*Виробництво_2ст!J$9</f>
        <v>0</v>
      </c>
      <c r="T63" s="2157">
        <f>'Д 2_Т на В'!H38</f>
        <v>0</v>
      </c>
      <c r="U63" s="1021">
        <f t="shared" si="2"/>
        <v>0</v>
      </c>
      <c r="V63" s="1021"/>
      <c r="W63" s="1021">
        <f t="shared" si="37"/>
        <v>0</v>
      </c>
      <c r="X63" s="1021">
        <f t="shared" si="38"/>
        <v>0</v>
      </c>
      <c r="Y63" s="1021">
        <f t="shared" si="39"/>
        <v>0</v>
      </c>
      <c r="Z63" s="1021">
        <f t="shared" si="40"/>
        <v>0</v>
      </c>
      <c r="AA63" s="2158" t="e">
        <f t="shared" si="12"/>
        <v>#DIV/0!</v>
      </c>
      <c r="AB63" s="2158" t="e">
        <f t="shared" si="7"/>
        <v>#DIV/0!</v>
      </c>
      <c r="AC63" s="2158" t="e">
        <f t="shared" si="8"/>
        <v>#DIV/0!</v>
      </c>
      <c r="AD63" s="2158" t="e">
        <f t="shared" si="9"/>
        <v>#DIV/0!</v>
      </c>
      <c r="AE63" s="2158" t="e">
        <f t="shared" si="31"/>
        <v>#DIV/0!</v>
      </c>
      <c r="AF63" s="2158" t="e">
        <f t="shared" si="31"/>
        <v>#DIV/0!</v>
      </c>
    </row>
    <row r="64" spans="2:32" ht="26.4" x14ac:dyDescent="0.3">
      <c r="B64" s="1065" t="s">
        <v>61</v>
      </c>
      <c r="C64" s="1103" t="s">
        <v>452</v>
      </c>
      <c r="D64" s="3145" t="s">
        <v>40</v>
      </c>
      <c r="E64" s="3142">
        <f>F64+G64</f>
        <v>0</v>
      </c>
      <c r="F64" s="1030"/>
      <c r="G64" s="1019">
        <v>0</v>
      </c>
      <c r="H64" s="3142">
        <f>I64+J64</f>
        <v>0</v>
      </c>
      <c r="I64" s="1030"/>
      <c r="J64" s="1019">
        <f>E64*Виробництво_2ст!G$9</f>
        <v>0</v>
      </c>
      <c r="K64" s="1018">
        <f>L64+M64</f>
        <v>0</v>
      </c>
      <c r="L64" s="1011"/>
      <c r="M64" s="1111">
        <f t="shared" si="34"/>
        <v>0</v>
      </c>
      <c r="N64" s="3142">
        <f>O64+P64</f>
        <v>0</v>
      </c>
      <c r="O64" s="1030"/>
      <c r="P64" s="1019">
        <f>$E64*Виробництво_2ст!I$9</f>
        <v>0</v>
      </c>
      <c r="Q64" s="3142">
        <f>R64+S64</f>
        <v>0</v>
      </c>
      <c r="R64" s="1030"/>
      <c r="S64" s="1019">
        <f>$E64*Виробництво_2ст!J$9</f>
        <v>0</v>
      </c>
      <c r="T64" s="2157">
        <f>'Д 2_Т на В'!H39</f>
        <v>0</v>
      </c>
      <c r="U64" s="1021">
        <f>E64-T64</f>
        <v>0</v>
      </c>
      <c r="V64" s="1021"/>
      <c r="W64" s="1021">
        <f t="shared" si="37"/>
        <v>0</v>
      </c>
      <c r="X64" s="1021">
        <f t="shared" si="38"/>
        <v>0</v>
      </c>
      <c r="Y64" s="1021">
        <f t="shared" si="39"/>
        <v>0</v>
      </c>
      <c r="Z64" s="1021">
        <f t="shared" si="40"/>
        <v>0</v>
      </c>
      <c r="AA64" s="2158" t="e">
        <f t="shared" si="12"/>
        <v>#DIV/0!</v>
      </c>
      <c r="AB64" s="2158" t="e">
        <f t="shared" si="7"/>
        <v>#DIV/0!</v>
      </c>
      <c r="AC64" s="2158" t="e">
        <f t="shared" si="8"/>
        <v>#DIV/0!</v>
      </c>
      <c r="AD64" s="2158" t="e">
        <f t="shared" si="9"/>
        <v>#DIV/0!</v>
      </c>
      <c r="AE64" s="2158" t="e">
        <f t="shared" si="31"/>
        <v>#DIV/0!</v>
      </c>
      <c r="AF64" s="2158" t="e">
        <f t="shared" si="31"/>
        <v>#DIV/0!</v>
      </c>
    </row>
    <row r="65" spans="2:32" ht="15.6" x14ac:dyDescent="0.3">
      <c r="B65" s="1065" t="s">
        <v>62</v>
      </c>
      <c r="C65" s="1083" t="s">
        <v>58</v>
      </c>
      <c r="D65" s="3145" t="s">
        <v>40</v>
      </c>
      <c r="E65" s="3142">
        <f>E62-E63-E64</f>
        <v>0</v>
      </c>
      <c r="F65" s="1030"/>
      <c r="G65" s="1019">
        <f t="shared" ref="G65:R65" si="41">G62-G63-G64</f>
        <v>0</v>
      </c>
      <c r="H65" s="3142">
        <f t="shared" si="41"/>
        <v>0</v>
      </c>
      <c r="I65" s="1030">
        <f t="shared" si="41"/>
        <v>0</v>
      </c>
      <c r="J65" s="1019">
        <f>E65*Виробництво_2ст!G$9</f>
        <v>0</v>
      </c>
      <c r="K65" s="1018">
        <f t="shared" si="41"/>
        <v>0</v>
      </c>
      <c r="L65" s="1011">
        <f t="shared" si="41"/>
        <v>0</v>
      </c>
      <c r="M65" s="1111">
        <f>$E65*Виробництво_2ст!H$9</f>
        <v>0</v>
      </c>
      <c r="N65" s="3142">
        <f t="shared" si="41"/>
        <v>0</v>
      </c>
      <c r="O65" s="1030">
        <f t="shared" si="41"/>
        <v>0</v>
      </c>
      <c r="P65" s="1019">
        <f>$E65*Виробництво_2ст!I$9</f>
        <v>0</v>
      </c>
      <c r="Q65" s="3142">
        <f t="shared" si="41"/>
        <v>0</v>
      </c>
      <c r="R65" s="1030">
        <f t="shared" si="41"/>
        <v>0</v>
      </c>
      <c r="S65" s="1019">
        <f>$E65*Виробництво_2ст!J$9</f>
        <v>0</v>
      </c>
      <c r="T65" s="2157">
        <f>'Д 2_Т на В'!H40</f>
        <v>0</v>
      </c>
      <c r="U65" s="1021">
        <f t="shared" si="2"/>
        <v>0</v>
      </c>
      <c r="V65" s="1021"/>
      <c r="W65" s="1021">
        <f t="shared" si="37"/>
        <v>0</v>
      </c>
      <c r="X65" s="1021">
        <f t="shared" si="38"/>
        <v>0</v>
      </c>
      <c r="Y65" s="1021">
        <f t="shared" si="39"/>
        <v>0</v>
      </c>
      <c r="Z65" s="1021">
        <f t="shared" si="40"/>
        <v>0</v>
      </c>
      <c r="AA65" s="2158" t="e">
        <f t="shared" si="12"/>
        <v>#DIV/0!</v>
      </c>
      <c r="AB65" s="2158" t="e">
        <f t="shared" si="7"/>
        <v>#DIV/0!</v>
      </c>
      <c r="AC65" s="2158" t="e">
        <f t="shared" si="8"/>
        <v>#DIV/0!</v>
      </c>
      <c r="AD65" s="2158" t="e">
        <f t="shared" si="9"/>
        <v>#DIV/0!</v>
      </c>
      <c r="AE65" s="2158" t="e">
        <f t="shared" si="31"/>
        <v>#DIV/0!</v>
      </c>
      <c r="AF65" s="2158" t="e">
        <f t="shared" si="31"/>
        <v>#DIV/0!</v>
      </c>
    </row>
    <row r="66" spans="2:32" ht="15.6" x14ac:dyDescent="0.3">
      <c r="B66" s="1065" t="s">
        <v>174</v>
      </c>
      <c r="C66" s="1103" t="s">
        <v>175</v>
      </c>
      <c r="D66" s="3145" t="s">
        <v>40</v>
      </c>
      <c r="E66" s="3142">
        <f>F66+G66</f>
        <v>0</v>
      </c>
      <c r="F66" s="1030"/>
      <c r="G66" s="1019">
        <v>0</v>
      </c>
      <c r="H66" s="3142">
        <f>I66+J66</f>
        <v>0</v>
      </c>
      <c r="I66" s="1030"/>
      <c r="J66" s="1019">
        <f>E66*Виробництво_2ст!G$9</f>
        <v>0</v>
      </c>
      <c r="K66" s="1018">
        <f>L66+M66</f>
        <v>0</v>
      </c>
      <c r="L66" s="1011"/>
      <c r="M66" s="1111">
        <f>$E66*Виробництво_2ст!H$9</f>
        <v>0</v>
      </c>
      <c r="N66" s="3142">
        <f>O66+P66</f>
        <v>0</v>
      </c>
      <c r="O66" s="1030"/>
      <c r="P66" s="1019">
        <f>$E66*Виробництво_2ст!I$9</f>
        <v>0</v>
      </c>
      <c r="Q66" s="3142">
        <f>R66+S66</f>
        <v>0</v>
      </c>
      <c r="R66" s="1030"/>
      <c r="S66" s="1019">
        <f>$E66*Виробництво_2ст!J$9</f>
        <v>0</v>
      </c>
      <c r="T66" s="2157">
        <f>'Д 2_Т на В'!H41</f>
        <v>0</v>
      </c>
      <c r="U66" s="1021">
        <f t="shared" si="2"/>
        <v>0</v>
      </c>
      <c r="V66" s="1021"/>
      <c r="W66" s="1021">
        <f t="shared" si="37"/>
        <v>0</v>
      </c>
      <c r="X66" s="1021">
        <f t="shared" si="38"/>
        <v>0</v>
      </c>
      <c r="Y66" s="1021">
        <f t="shared" si="39"/>
        <v>0</v>
      </c>
      <c r="Z66" s="1021">
        <f t="shared" si="40"/>
        <v>0</v>
      </c>
      <c r="AA66" s="2158" t="e">
        <f t="shared" si="12"/>
        <v>#DIV/0!</v>
      </c>
      <c r="AB66" s="2158" t="e">
        <f t="shared" si="7"/>
        <v>#DIV/0!</v>
      </c>
      <c r="AC66" s="2158" t="e">
        <f t="shared" si="8"/>
        <v>#DIV/0!</v>
      </c>
      <c r="AD66" s="2158" t="e">
        <f t="shared" si="9"/>
        <v>#DIV/0!</v>
      </c>
      <c r="AE66" s="2158" t="e">
        <f t="shared" si="31"/>
        <v>#DIV/0!</v>
      </c>
      <c r="AF66" s="2158" t="e">
        <f t="shared" si="31"/>
        <v>#DIV/0!</v>
      </c>
    </row>
    <row r="67" spans="2:32" ht="15.6" x14ac:dyDescent="0.3">
      <c r="B67" s="1065" t="s">
        <v>169</v>
      </c>
      <c r="C67" s="1087" t="s">
        <v>5</v>
      </c>
      <c r="D67" s="3145" t="s">
        <v>40</v>
      </c>
      <c r="E67" s="3142">
        <f>F67+G67</f>
        <v>0</v>
      </c>
      <c r="F67" s="1030"/>
      <c r="G67" s="1019">
        <f>'Д 2_Т на В'!H42</f>
        <v>0</v>
      </c>
      <c r="H67" s="3142">
        <f>I67+J67</f>
        <v>0</v>
      </c>
      <c r="I67" s="1030"/>
      <c r="J67" s="1019">
        <f>'Д 2_Т на В'!L42</f>
        <v>0</v>
      </c>
      <c r="K67" s="1018">
        <f>L67+M67</f>
        <v>0</v>
      </c>
      <c r="L67" s="1011"/>
      <c r="M67" s="1111">
        <f>$E67*Виробництво_2ст!H$9</f>
        <v>0</v>
      </c>
      <c r="N67" s="3142">
        <f>O67+P67</f>
        <v>0</v>
      </c>
      <c r="O67" s="1030"/>
      <c r="P67" s="1019">
        <f>$E67*Виробництво_2ст!I$9</f>
        <v>0</v>
      </c>
      <c r="Q67" s="3142">
        <f>R67+S67</f>
        <v>0</v>
      </c>
      <c r="R67" s="1030"/>
      <c r="S67" s="1019">
        <f>$E67*Виробництво_2ст!J$9</f>
        <v>0</v>
      </c>
      <c r="T67" s="2157">
        <f>'Д 2_Т на В'!H42</f>
        <v>0</v>
      </c>
      <c r="U67" s="1021">
        <f t="shared" si="2"/>
        <v>0</v>
      </c>
      <c r="V67" s="1021"/>
      <c r="W67" s="1021">
        <f t="shared" ref="W67:W76" si="42">J67/$J$17</f>
        <v>0</v>
      </c>
      <c r="X67" s="1021">
        <f t="shared" ref="X67:X76" si="43">M67/$M$17</f>
        <v>0</v>
      </c>
      <c r="Y67" s="1021">
        <f t="shared" ref="Y67:Y76" si="44">P67/$P$17</f>
        <v>0</v>
      </c>
      <c r="Z67" s="1021">
        <f t="shared" ref="Z67:Z76" si="45">S67/$S$17</f>
        <v>0</v>
      </c>
      <c r="AA67" s="2158" t="e">
        <f t="shared" si="12"/>
        <v>#DIV/0!</v>
      </c>
      <c r="AB67" s="2158" t="e">
        <f t="shared" si="7"/>
        <v>#DIV/0!</v>
      </c>
      <c r="AC67" s="2158" t="e">
        <f t="shared" si="8"/>
        <v>#DIV/0!</v>
      </c>
      <c r="AD67" s="2158" t="e">
        <f t="shared" si="9"/>
        <v>#DIV/0!</v>
      </c>
      <c r="AE67" s="2158" t="e">
        <f t="shared" si="31"/>
        <v>#DIV/0!</v>
      </c>
      <c r="AF67" s="2158" t="e">
        <f t="shared" si="31"/>
        <v>#DIV/0!</v>
      </c>
    </row>
    <row r="68" spans="2:32" s="1897" customFormat="1" ht="15.6" x14ac:dyDescent="0.3">
      <c r="B68" s="1065" t="s">
        <v>170</v>
      </c>
      <c r="C68" s="1091" t="s">
        <v>176</v>
      </c>
      <c r="D68" s="3187" t="s">
        <v>40</v>
      </c>
      <c r="E68" s="2161">
        <f t="shared" ref="E68:S68" si="46">E67+E66+E62+E58+E37</f>
        <v>155406.25959820251</v>
      </c>
      <c r="F68" s="2947">
        <f t="shared" si="46"/>
        <v>114791.36386509688</v>
      </c>
      <c r="G68" s="2948">
        <f>G67+G66+G62+G58+G37</f>
        <v>40614.895733105601</v>
      </c>
      <c r="H68" s="2161">
        <f t="shared" si="46"/>
        <v>113992.57640125134</v>
      </c>
      <c r="I68" s="2947">
        <f t="shared" si="46"/>
        <v>80262.112500721283</v>
      </c>
      <c r="J68" s="2948">
        <f>J67+J66+J62+J58+J37</f>
        <v>33730.463900530063</v>
      </c>
      <c r="K68" s="4370">
        <f t="shared" si="46"/>
        <v>32.861332727337462</v>
      </c>
      <c r="L68" s="2926">
        <f t="shared" si="46"/>
        <v>27.397156153900891</v>
      </c>
      <c r="M68" s="4371">
        <f t="shared" si="46"/>
        <v>5.4641765734365721</v>
      </c>
      <c r="N68" s="2161">
        <f t="shared" si="46"/>
        <v>30948.786695328279</v>
      </c>
      <c r="O68" s="2947">
        <f t="shared" si="46"/>
        <v>25802.027894529441</v>
      </c>
      <c r="P68" s="2948">
        <f t="shared" si="46"/>
        <v>5146.7588007988361</v>
      </c>
      <c r="Q68" s="2161">
        <f t="shared" si="46"/>
        <v>10432.035168895502</v>
      </c>
      <c r="R68" s="2947">
        <f t="shared" si="46"/>
        <v>8699.8263136922396</v>
      </c>
      <c r="S68" s="2948">
        <f t="shared" si="46"/>
        <v>1732.2088552032617</v>
      </c>
      <c r="T68" s="2157">
        <f>'Д 2_Т на В'!H43</f>
        <v>155406.25959820245</v>
      </c>
      <c r="U68" s="1021">
        <f t="shared" si="2"/>
        <v>0</v>
      </c>
      <c r="V68" s="1021"/>
      <c r="W68" s="1021">
        <f t="shared" si="42"/>
        <v>567.29407946853019</v>
      </c>
      <c r="X68" s="1021">
        <f t="shared" si="43"/>
        <v>567.29407946808271</v>
      </c>
      <c r="Y68" s="1021">
        <f t="shared" si="44"/>
        <v>567.29407946808271</v>
      </c>
      <c r="Z68" s="1021">
        <f t="shared" si="45"/>
        <v>567.29407946808249</v>
      </c>
      <c r="AA68" s="2158">
        <f t="shared" si="12"/>
        <v>0.73865341178589572</v>
      </c>
      <c r="AB68" s="2158">
        <f t="shared" si="7"/>
        <v>0.26134658821410417</v>
      </c>
      <c r="AC68" s="2158">
        <f t="shared" si="8"/>
        <v>0.70409946888295982</v>
      </c>
      <c r="AD68" s="2158">
        <f t="shared" si="9"/>
        <v>0.29590053111704029</v>
      </c>
      <c r="AE68" s="2160">
        <f t="shared" si="31"/>
        <v>-3.4553942902935897E-2</v>
      </c>
      <c r="AF68" s="2160">
        <f t="shared" si="31"/>
        <v>3.4553942902936119E-2</v>
      </c>
    </row>
    <row r="69" spans="2:32" s="1897" customFormat="1" ht="17.399999999999999" customHeight="1" x14ac:dyDescent="0.3">
      <c r="B69" s="1065" t="s">
        <v>171</v>
      </c>
      <c r="C69" s="1091" t="s">
        <v>2655</v>
      </c>
      <c r="D69" s="3187" t="s">
        <v>40</v>
      </c>
      <c r="E69" s="2974">
        <f>H69+K69+N69+Q69</f>
        <v>0</v>
      </c>
      <c r="F69" s="2947">
        <f>I69+L69+O69+R69</f>
        <v>0</v>
      </c>
      <c r="G69" s="4319">
        <f>J69+M69+P69+S69</f>
        <v>0</v>
      </c>
      <c r="H69" s="2161">
        <f>I69+J69</f>
        <v>0</v>
      </c>
      <c r="I69" s="2947">
        <v>0</v>
      </c>
      <c r="J69" s="2948">
        <f>'Д 2_Т на В'!L44</f>
        <v>0</v>
      </c>
      <c r="K69" s="4370">
        <f>L69+M69</f>
        <v>0</v>
      </c>
      <c r="L69" s="2926">
        <f>'Д 2_Т на В'!P44</f>
        <v>0</v>
      </c>
      <c r="M69" s="4371">
        <v>0</v>
      </c>
      <c r="N69" s="2161">
        <f>O69+P69</f>
        <v>0</v>
      </c>
      <c r="O69" s="2947">
        <f>'Д 2_Т на В'!T44</f>
        <v>0</v>
      </c>
      <c r="P69" s="4319">
        <v>0</v>
      </c>
      <c r="Q69" s="2161">
        <f>R69+S69</f>
        <v>0</v>
      </c>
      <c r="R69" s="2947">
        <v>0</v>
      </c>
      <c r="S69" s="4319">
        <f>'Д 2_Т на В'!X44</f>
        <v>0</v>
      </c>
      <c r="T69" s="2157">
        <f>'Д 2_Т на В'!H44</f>
        <v>0</v>
      </c>
      <c r="U69" s="1021">
        <f t="shared" si="2"/>
        <v>0</v>
      </c>
      <c r="V69" s="1021"/>
      <c r="W69" s="1021">
        <f t="shared" si="42"/>
        <v>0</v>
      </c>
      <c r="X69" s="1021">
        <f t="shared" si="43"/>
        <v>0</v>
      </c>
      <c r="Y69" s="1021">
        <f t="shared" si="44"/>
        <v>0</v>
      </c>
      <c r="Z69" s="1021">
        <f t="shared" si="45"/>
        <v>0</v>
      </c>
      <c r="AA69" s="2158" t="e">
        <f t="shared" si="12"/>
        <v>#DIV/0!</v>
      </c>
      <c r="AB69" s="2158" t="e">
        <f t="shared" si="7"/>
        <v>#DIV/0!</v>
      </c>
      <c r="AC69" s="2158" t="e">
        <f t="shared" si="8"/>
        <v>#DIV/0!</v>
      </c>
      <c r="AD69" s="2158" t="e">
        <f t="shared" si="9"/>
        <v>#DIV/0!</v>
      </c>
      <c r="AE69" s="2158" t="e">
        <f t="shared" si="31"/>
        <v>#DIV/0!</v>
      </c>
      <c r="AF69" s="2158" t="e">
        <f t="shared" si="31"/>
        <v>#DIV/0!</v>
      </c>
    </row>
    <row r="70" spans="2:32" s="1897" customFormat="1" ht="15.6" x14ac:dyDescent="0.3">
      <c r="B70" s="1065" t="s">
        <v>172</v>
      </c>
      <c r="C70" s="1106" t="s">
        <v>222</v>
      </c>
      <c r="D70" s="3187" t="s">
        <v>40</v>
      </c>
      <c r="E70" s="2161">
        <f>E71+E72+E73+E74+E75</f>
        <v>7201.7534935752356</v>
      </c>
      <c r="F70" s="2947">
        <f>F71+F72+F73+F74+F75</f>
        <v>0</v>
      </c>
      <c r="G70" s="2948">
        <f>E71+G72+G73+E74+G75</f>
        <v>7201.7534935752356</v>
      </c>
      <c r="H70" s="2161">
        <f t="shared" ref="H70:S70" si="47">H71+H72+H73+H74+H75</f>
        <v>5282.582808838476</v>
      </c>
      <c r="I70" s="2947">
        <f t="shared" si="47"/>
        <v>0</v>
      </c>
      <c r="J70" s="2948">
        <f t="shared" si="47"/>
        <v>5282.582808838476</v>
      </c>
      <c r="K70" s="4370">
        <f t="shared" si="47"/>
        <v>1.5232466165681611</v>
      </c>
      <c r="L70" s="2926">
        <f t="shared" si="47"/>
        <v>0</v>
      </c>
      <c r="M70" s="4371">
        <f t="shared" si="47"/>
        <v>1.5232466165681611</v>
      </c>
      <c r="N70" s="2161">
        <f t="shared" si="47"/>
        <v>1434.7601736959562</v>
      </c>
      <c r="O70" s="2947">
        <f t="shared" si="47"/>
        <v>0</v>
      </c>
      <c r="P70" s="4319">
        <f t="shared" si="47"/>
        <v>1434.7601736959562</v>
      </c>
      <c r="Q70" s="2161">
        <f t="shared" si="47"/>
        <v>482.88726442423501</v>
      </c>
      <c r="R70" s="2947">
        <f t="shared" si="47"/>
        <v>0</v>
      </c>
      <c r="S70" s="4319">
        <f t="shared" si="47"/>
        <v>482.88726442423501</v>
      </c>
      <c r="T70" s="2157">
        <f>'Д 2_Т на В'!H45</f>
        <v>7201.7534935752356</v>
      </c>
      <c r="U70" s="1021">
        <f t="shared" si="2"/>
        <v>0</v>
      </c>
      <c r="V70" s="1021"/>
      <c r="W70" s="1021">
        <f t="shared" si="42"/>
        <v>88.844848401542805</v>
      </c>
      <c r="X70" s="1021">
        <f t="shared" si="43"/>
        <v>158.14437464370442</v>
      </c>
      <c r="Y70" s="1021">
        <f t="shared" si="44"/>
        <v>158.1443746437044</v>
      </c>
      <c r="Z70" s="1021">
        <f t="shared" si="45"/>
        <v>158.14437464370442</v>
      </c>
      <c r="AA70" s="2158">
        <f t="shared" si="12"/>
        <v>0</v>
      </c>
      <c r="AB70" s="2158">
        <f t="shared" si="7"/>
        <v>1</v>
      </c>
      <c r="AC70" s="2158">
        <f t="shared" si="8"/>
        <v>0</v>
      </c>
      <c r="AD70" s="2158">
        <f t="shared" si="9"/>
        <v>1</v>
      </c>
      <c r="AE70" s="2158">
        <f t="shared" si="31"/>
        <v>0</v>
      </c>
      <c r="AF70" s="2158">
        <f t="shared" si="31"/>
        <v>0</v>
      </c>
    </row>
    <row r="71" spans="2:32" ht="15.6" x14ac:dyDescent="0.3">
      <c r="B71" s="1065" t="s">
        <v>115</v>
      </c>
      <c r="C71" s="1087" t="s">
        <v>65</v>
      </c>
      <c r="D71" s="3145" t="s">
        <v>40</v>
      </c>
      <c r="E71" s="3143">
        <f>(E72+E73+E74+E75)/(100%-'Вхідні дані'!$D$46)-(E72+E73+E74+E75)</f>
        <v>1296.3156288435421</v>
      </c>
      <c r="F71" s="1011"/>
      <c r="G71" s="2961">
        <f>(G72+G73+G74+G75)/(100%-'Вхідні дані'!$D$46)-(G72+G73+G74+G75)</f>
        <v>1296.3156288435421</v>
      </c>
      <c r="H71" s="3143">
        <f>(H72+H73+H74+H75)/(100%-'Вхідні дані'!$D$46)-(H72+H73+H74+H75)</f>
        <v>950.86490559092545</v>
      </c>
      <c r="I71" s="1011"/>
      <c r="J71" s="2961">
        <f>(J72+J73+J74+J75)/(100%-'Вхідні дані'!$D$46)-(J72+J73+J74+J75)</f>
        <v>950.86490559092545</v>
      </c>
      <c r="K71" s="4372">
        <f>(K72+K73+K74+K75)/(100%-'Вхідні дані'!$D$46)-(K72+K73+K74+K75)</f>
        <v>0.27418439098226899</v>
      </c>
      <c r="L71" s="1011"/>
      <c r="M71" s="4373">
        <f>(M72+M73+M74+M75)/(100%-'Вхідні дані'!$D$46)-(M72+M73+M74+M75)</f>
        <v>0.27418439098226899</v>
      </c>
      <c r="N71" s="3143">
        <f>(N72+N73+N74+N75)/(100%-'Вхідні дані'!$D$46)-(N72+N73+N74+N75)</f>
        <v>258.25683126527201</v>
      </c>
      <c r="O71" s="1011"/>
      <c r="P71" s="2961">
        <f>(P72+P73+P74+P75)/(100%-'Вхідні дані'!$D$46)-(P72+P73+P74+P75)</f>
        <v>258.25683126527201</v>
      </c>
      <c r="Q71" s="3143">
        <f>(Q72+Q73+Q74+Q75)/(100%-'Вхідні дані'!$D$46)-(Q72+Q73+Q74+Q75)</f>
        <v>86.919707596362286</v>
      </c>
      <c r="R71" s="1011"/>
      <c r="S71" s="2961">
        <f>(S72+S73+S74+S75)/(100%-'Вхідні дані'!$D$46)-(S72+S73+S74+S75)</f>
        <v>86.919707596362286</v>
      </c>
      <c r="T71" s="2157">
        <f>'Д 2_Т на В'!H46</f>
        <v>1296.3156288435421</v>
      </c>
      <c r="U71" s="1021">
        <f t="shared" si="2"/>
        <v>0</v>
      </c>
      <c r="V71" s="1021"/>
      <c r="W71" s="1021">
        <f t="shared" si="42"/>
        <v>15.992072712277702</v>
      </c>
      <c r="X71" s="1021">
        <f t="shared" si="43"/>
        <v>28.465987435866797</v>
      </c>
      <c r="Y71" s="1021">
        <f t="shared" si="44"/>
        <v>28.465987435866783</v>
      </c>
      <c r="Z71" s="1021">
        <f t="shared" si="45"/>
        <v>28.46598743586679</v>
      </c>
      <c r="AA71" s="2158">
        <f t="shared" si="12"/>
        <v>0</v>
      </c>
      <c r="AB71" s="2158">
        <f t="shared" si="7"/>
        <v>1</v>
      </c>
      <c r="AC71" s="2158">
        <f t="shared" si="8"/>
        <v>0</v>
      </c>
      <c r="AD71" s="2158">
        <f t="shared" si="9"/>
        <v>1</v>
      </c>
      <c r="AE71" s="2158">
        <f t="shared" si="31"/>
        <v>0</v>
      </c>
      <c r="AF71" s="2158">
        <f t="shared" si="31"/>
        <v>0</v>
      </c>
    </row>
    <row r="72" spans="2:32" ht="15.6" x14ac:dyDescent="0.3">
      <c r="B72" s="1065" t="s">
        <v>117</v>
      </c>
      <c r="C72" s="1087" t="s">
        <v>67</v>
      </c>
      <c r="D72" s="3145" t="s">
        <v>40</v>
      </c>
      <c r="E72" s="3142">
        <f>'Д 2_Т на В'!H47</f>
        <v>0</v>
      </c>
      <c r="F72" s="1030"/>
      <c r="G72" s="1019">
        <f>E72</f>
        <v>0</v>
      </c>
      <c r="H72" s="3142">
        <f>'Д 2_Т на В'!L47</f>
        <v>0</v>
      </c>
      <c r="I72" s="1030"/>
      <c r="J72" s="1019">
        <f>H72</f>
        <v>0</v>
      </c>
      <c r="K72" s="1018">
        <f>'Д 2_Т на В'!P47</f>
        <v>0</v>
      </c>
      <c r="L72" s="1011"/>
      <c r="M72" s="1111">
        <f>K72</f>
        <v>0</v>
      </c>
      <c r="N72" s="3142">
        <f>'Д 2_Т на В'!T47</f>
        <v>0</v>
      </c>
      <c r="O72" s="1030"/>
      <c r="P72" s="1019">
        <f>N72</f>
        <v>0</v>
      </c>
      <c r="Q72" s="3142">
        <f>'Д 2_Т на В'!X47</f>
        <v>0</v>
      </c>
      <c r="R72" s="1030"/>
      <c r="S72" s="1019">
        <f>Q72</f>
        <v>0</v>
      </c>
      <c r="T72" s="2157">
        <f>'Д 2_Т на В'!H47</f>
        <v>0</v>
      </c>
      <c r="U72" s="1021">
        <f t="shared" si="2"/>
        <v>0</v>
      </c>
      <c r="V72" s="1021"/>
      <c r="W72" s="1021">
        <f t="shared" si="42"/>
        <v>0</v>
      </c>
      <c r="X72" s="1021">
        <f t="shared" si="43"/>
        <v>0</v>
      </c>
      <c r="Y72" s="1021">
        <f t="shared" si="44"/>
        <v>0</v>
      </c>
      <c r="Z72" s="1021">
        <f t="shared" si="45"/>
        <v>0</v>
      </c>
      <c r="AA72" s="2158" t="e">
        <f t="shared" si="12"/>
        <v>#DIV/0!</v>
      </c>
      <c r="AB72" s="2158" t="e">
        <f t="shared" si="7"/>
        <v>#DIV/0!</v>
      </c>
      <c r="AC72" s="2158" t="e">
        <f t="shared" si="8"/>
        <v>#DIV/0!</v>
      </c>
      <c r="AD72" s="2158" t="e">
        <f t="shared" si="9"/>
        <v>#DIV/0!</v>
      </c>
      <c r="AE72" s="2158" t="e">
        <f t="shared" si="31"/>
        <v>#DIV/0!</v>
      </c>
      <c r="AF72" s="2158" t="e">
        <f t="shared" si="31"/>
        <v>#DIV/0!</v>
      </c>
    </row>
    <row r="73" spans="2:32" ht="15.6" x14ac:dyDescent="0.3">
      <c r="B73" s="1065" t="s">
        <v>119</v>
      </c>
      <c r="C73" s="1087" t="s">
        <v>69</v>
      </c>
      <c r="D73" s="3145" t="s">
        <v>40</v>
      </c>
      <c r="E73" s="3142">
        <f>'Д 2_Т на В'!H48</f>
        <v>0</v>
      </c>
      <c r="F73" s="1030"/>
      <c r="G73" s="1019">
        <f>E73</f>
        <v>0</v>
      </c>
      <c r="H73" s="3142">
        <f>'Д 2_Т на В'!L48</f>
        <v>0</v>
      </c>
      <c r="I73" s="1030"/>
      <c r="J73" s="1019">
        <f>H73</f>
        <v>0</v>
      </c>
      <c r="K73" s="1018">
        <f>'Д 2_Т на В'!P48</f>
        <v>0</v>
      </c>
      <c r="L73" s="1011"/>
      <c r="M73" s="1111">
        <f>K73</f>
        <v>0</v>
      </c>
      <c r="N73" s="3142">
        <f>'Д 2_Т на В'!T48</f>
        <v>0</v>
      </c>
      <c r="O73" s="1030"/>
      <c r="P73" s="1019">
        <f>N73</f>
        <v>0</v>
      </c>
      <c r="Q73" s="3142">
        <f>'Д 2_Т на В'!X48</f>
        <v>0</v>
      </c>
      <c r="R73" s="1030"/>
      <c r="S73" s="1019">
        <f>Q73</f>
        <v>0</v>
      </c>
      <c r="T73" s="2157">
        <f>'Д 2_Т на В'!H48</f>
        <v>0</v>
      </c>
      <c r="U73" s="1021">
        <f t="shared" si="2"/>
        <v>0</v>
      </c>
      <c r="V73" s="1021"/>
      <c r="W73" s="1021">
        <f t="shared" si="42"/>
        <v>0</v>
      </c>
      <c r="X73" s="1021">
        <f t="shared" si="43"/>
        <v>0</v>
      </c>
      <c r="Y73" s="1021">
        <f t="shared" si="44"/>
        <v>0</v>
      </c>
      <c r="Z73" s="1021">
        <f t="shared" si="45"/>
        <v>0</v>
      </c>
      <c r="AA73" s="2158" t="e">
        <f t="shared" si="12"/>
        <v>#DIV/0!</v>
      </c>
      <c r="AB73" s="2158" t="e">
        <f t="shared" si="7"/>
        <v>#DIV/0!</v>
      </c>
      <c r="AC73" s="2158" t="e">
        <f t="shared" si="8"/>
        <v>#DIV/0!</v>
      </c>
      <c r="AD73" s="2158" t="e">
        <f t="shared" si="9"/>
        <v>#DIV/0!</v>
      </c>
      <c r="AE73" s="2158" t="e">
        <f t="shared" si="31"/>
        <v>#DIV/0!</v>
      </c>
      <c r="AF73" s="2158" t="e">
        <f t="shared" si="31"/>
        <v>#DIV/0!</v>
      </c>
    </row>
    <row r="74" spans="2:32" ht="15.6" x14ac:dyDescent="0.3">
      <c r="B74" s="1065" t="s">
        <v>121</v>
      </c>
      <c r="C74" s="1087" t="s">
        <v>71</v>
      </c>
      <c r="D74" s="3145" t="s">
        <v>40</v>
      </c>
      <c r="E74" s="3142">
        <f>'Д 2_Т на В'!H49</f>
        <v>0</v>
      </c>
      <c r="F74" s="1030"/>
      <c r="G74" s="1019">
        <f>E74</f>
        <v>0</v>
      </c>
      <c r="H74" s="3142">
        <f>'Д 2_Т на В'!L49</f>
        <v>0</v>
      </c>
      <c r="I74" s="1030"/>
      <c r="J74" s="1019">
        <f>H74</f>
        <v>0</v>
      </c>
      <c r="K74" s="1018">
        <f>'Д 2_Т на В'!P49</f>
        <v>0</v>
      </c>
      <c r="L74" s="1011"/>
      <c r="M74" s="1111">
        <f>K74</f>
        <v>0</v>
      </c>
      <c r="N74" s="3142">
        <f>'Д 2_Т на В'!T49</f>
        <v>0</v>
      </c>
      <c r="O74" s="1030"/>
      <c r="P74" s="1019">
        <f>N74</f>
        <v>0</v>
      </c>
      <c r="Q74" s="3142">
        <f>'Д 2_Т на В'!X49</f>
        <v>0</v>
      </c>
      <c r="R74" s="1030"/>
      <c r="S74" s="1019">
        <f>Q74</f>
        <v>0</v>
      </c>
      <c r="T74" s="2157">
        <f>'Д 2_Т на В'!H49</f>
        <v>0</v>
      </c>
      <c r="U74" s="1021">
        <f t="shared" si="2"/>
        <v>0</v>
      </c>
      <c r="V74" s="1021"/>
      <c r="W74" s="1021">
        <f t="shared" si="42"/>
        <v>0</v>
      </c>
      <c r="X74" s="1021">
        <f t="shared" si="43"/>
        <v>0</v>
      </c>
      <c r="Y74" s="1021">
        <f t="shared" si="44"/>
        <v>0</v>
      </c>
      <c r="Z74" s="1021">
        <f t="shared" si="45"/>
        <v>0</v>
      </c>
      <c r="AA74" s="2158" t="e">
        <f t="shared" si="12"/>
        <v>#DIV/0!</v>
      </c>
      <c r="AB74" s="2158" t="e">
        <f t="shared" si="7"/>
        <v>#DIV/0!</v>
      </c>
      <c r="AC74" s="2158" t="e">
        <f t="shared" si="8"/>
        <v>#DIV/0!</v>
      </c>
      <c r="AD74" s="2158" t="e">
        <f t="shared" si="9"/>
        <v>#DIV/0!</v>
      </c>
      <c r="AE74" s="2158" t="e">
        <f t="shared" si="31"/>
        <v>#DIV/0!</v>
      </c>
      <c r="AF74" s="2158" t="e">
        <f t="shared" si="31"/>
        <v>#DIV/0!</v>
      </c>
    </row>
    <row r="75" spans="2:32" ht="15.6" x14ac:dyDescent="0.3">
      <c r="B75" s="1065" t="s">
        <v>223</v>
      </c>
      <c r="C75" s="1087" t="s">
        <v>86</v>
      </c>
      <c r="D75" s="3145" t="s">
        <v>40</v>
      </c>
      <c r="E75" s="3142">
        <f>G75</f>
        <v>5905.4378647316935</v>
      </c>
      <c r="F75" s="1030"/>
      <c r="G75" s="1019">
        <f>'ТЕ_2ст_тариф_з ЦТП'!G75</f>
        <v>5905.4378647316935</v>
      </c>
      <c r="H75" s="3142">
        <f>J75</f>
        <v>4331.7179032475506</v>
      </c>
      <c r="I75" s="1030"/>
      <c r="J75" s="1019">
        <f>'ТЕ_2ст_тариф_з ЦТП'!J75</f>
        <v>4331.7179032475506</v>
      </c>
      <c r="K75" s="1018">
        <f>M75</f>
        <v>1.2490622255858921</v>
      </c>
      <c r="L75" s="1011"/>
      <c r="M75" s="1111">
        <f>'ТЕ_2ст_тариф_з ЦТП'!M75</f>
        <v>1.2490622255858921</v>
      </c>
      <c r="N75" s="3142">
        <f>P75</f>
        <v>1176.5033424306841</v>
      </c>
      <c r="O75" s="1030"/>
      <c r="P75" s="1019">
        <f>'ТЕ_2ст_тариф_з ЦТП'!P75</f>
        <v>1176.5033424306841</v>
      </c>
      <c r="Q75" s="3142">
        <f>S75</f>
        <v>395.96755682787273</v>
      </c>
      <c r="R75" s="1030"/>
      <c r="S75" s="1019">
        <f>'ТЕ_2ст_тариф_з ЦТП'!S75</f>
        <v>395.96755682787273</v>
      </c>
      <c r="T75" s="2157">
        <f>'Д 2_Т на В'!H50</f>
        <v>5905.4378647316935</v>
      </c>
      <c r="U75" s="1021">
        <f t="shared" si="2"/>
        <v>0</v>
      </c>
      <c r="V75" s="1021"/>
      <c r="W75" s="1021">
        <f t="shared" si="42"/>
        <v>72.852775689265115</v>
      </c>
      <c r="X75" s="1021">
        <f>M75/$M$17</f>
        <v>129.67838720783763</v>
      </c>
      <c r="Y75" s="1021">
        <f t="shared" si="44"/>
        <v>129.67838720783763</v>
      </c>
      <c r="Z75" s="1021">
        <f t="shared" si="45"/>
        <v>129.67838720783763</v>
      </c>
      <c r="AA75" s="2158">
        <f t="shared" si="12"/>
        <v>0</v>
      </c>
      <c r="AB75" s="2158">
        <f t="shared" si="7"/>
        <v>1</v>
      </c>
      <c r="AC75" s="2158">
        <f t="shared" si="8"/>
        <v>0</v>
      </c>
      <c r="AD75" s="2158">
        <f t="shared" si="9"/>
        <v>1</v>
      </c>
      <c r="AE75" s="2158">
        <f>AC75-AA75</f>
        <v>0</v>
      </c>
      <c r="AF75" s="2158">
        <f>AD75-AB75</f>
        <v>0</v>
      </c>
    </row>
    <row r="76" spans="2:32" s="1897" customFormat="1" ht="27" thickBot="1" x14ac:dyDescent="0.35">
      <c r="B76" s="1078" t="s">
        <v>187</v>
      </c>
      <c r="C76" s="1107" t="s">
        <v>73</v>
      </c>
      <c r="D76" s="1079" t="s">
        <v>40</v>
      </c>
      <c r="E76" s="2163">
        <f t="shared" ref="E76:S76" si="48">E70+E69+E68</f>
        <v>162608.01309177774</v>
      </c>
      <c r="F76" s="2949">
        <f t="shared" si="48"/>
        <v>114791.36386509688</v>
      </c>
      <c r="G76" s="2950">
        <f t="shared" si="48"/>
        <v>47816.649226680835</v>
      </c>
      <c r="H76" s="4318">
        <f>H70+H69+H68</f>
        <v>119275.15921008981</v>
      </c>
      <c r="I76" s="2949">
        <f t="shared" si="48"/>
        <v>80262.112500721283</v>
      </c>
      <c r="J76" s="2975">
        <f t="shared" si="48"/>
        <v>39013.046709368537</v>
      </c>
      <c r="K76" s="4374">
        <f>K70+K69+K68</f>
        <v>34.384579343905621</v>
      </c>
      <c r="L76" s="4608">
        <f>L70+L69+L68</f>
        <v>27.397156153900891</v>
      </c>
      <c r="M76" s="4375">
        <f t="shared" si="48"/>
        <v>6.9874231900047334</v>
      </c>
      <c r="N76" s="4318">
        <f>N70+N69+N68</f>
        <v>32383.546869024234</v>
      </c>
      <c r="O76" s="2949">
        <f>O70+O69+O68</f>
        <v>25802.027894529441</v>
      </c>
      <c r="P76" s="2975">
        <f t="shared" si="48"/>
        <v>6581.518974494792</v>
      </c>
      <c r="Q76" s="4318">
        <f>Q70+Q69+Q68</f>
        <v>10914.922433319736</v>
      </c>
      <c r="R76" s="2949">
        <f t="shared" si="48"/>
        <v>8699.8263136922396</v>
      </c>
      <c r="S76" s="2975">
        <f t="shared" si="48"/>
        <v>2215.0961196274966</v>
      </c>
      <c r="T76" s="2157">
        <f>'Д 2_Т на В'!H51</f>
        <v>162608.01309177768</v>
      </c>
      <c r="U76" s="1021">
        <f t="shared" si="2"/>
        <v>0</v>
      </c>
      <c r="V76" s="1021"/>
      <c r="W76" s="1021">
        <f t="shared" si="42"/>
        <v>656.13892787007296</v>
      </c>
      <c r="X76" s="1021">
        <f t="shared" si="43"/>
        <v>725.43845411178711</v>
      </c>
      <c r="Y76" s="1021">
        <f t="shared" si="44"/>
        <v>725.43845411178711</v>
      </c>
      <c r="Z76" s="1021">
        <f t="shared" si="45"/>
        <v>725.43845411178688</v>
      </c>
      <c r="AA76" s="2158">
        <f t="shared" si="12"/>
        <v>0.70593915811705643</v>
      </c>
      <c r="AB76" s="2158">
        <f t="shared" si="7"/>
        <v>0.29406084188294335</v>
      </c>
      <c r="AC76" s="2158">
        <f t="shared" si="8"/>
        <v>0.67291557632170984</v>
      </c>
      <c r="AD76" s="2158">
        <f t="shared" si="9"/>
        <v>0.32708442367829021</v>
      </c>
      <c r="AE76" s="2158">
        <f t="shared" si="31"/>
        <v>-3.302358179534659E-2</v>
      </c>
      <c r="AF76" s="2158">
        <f t="shared" si="31"/>
        <v>3.3023581795346868E-2</v>
      </c>
    </row>
    <row r="77" spans="2:32" ht="31.2" x14ac:dyDescent="0.3">
      <c r="B77" s="1080" t="s">
        <v>188</v>
      </c>
      <c r="C77" s="1081" t="s">
        <v>2200</v>
      </c>
      <c r="D77" s="1082" t="s">
        <v>74</v>
      </c>
      <c r="E77" s="2213">
        <f>'Д 5 Т на ТЕ з ЦТП'!D10</f>
        <v>1496.27</v>
      </c>
      <c r="F77" s="2937" t="s">
        <v>317</v>
      </c>
      <c r="G77" s="2951" t="s">
        <v>317</v>
      </c>
      <c r="H77" s="2213">
        <f>'Д 5 Т на ТЕ з ЦТП'!E10</f>
        <v>1321.37</v>
      </c>
      <c r="I77" s="2937" t="s">
        <v>317</v>
      </c>
      <c r="J77" s="2951" t="s">
        <v>317</v>
      </c>
      <c r="K77" s="2213">
        <f>'Д 5.1 Т на ТЕ без ЦТП'!F10</f>
        <v>2354.1200000000003</v>
      </c>
      <c r="L77" s="2937" t="s">
        <v>317</v>
      </c>
      <c r="M77" s="2951" t="s">
        <v>317</v>
      </c>
      <c r="N77" s="2213">
        <f>'Д 5 Т на ТЕ з ЦТП'!G10</f>
        <v>2354.12</v>
      </c>
      <c r="O77" s="2937" t="s">
        <v>317</v>
      </c>
      <c r="P77" s="2951" t="s">
        <v>317</v>
      </c>
      <c r="Q77" s="2213">
        <f>'Д 5 Т на ТЕ з ЦТП'!H10</f>
        <v>2354.12</v>
      </c>
      <c r="R77" s="2937" t="s">
        <v>317</v>
      </c>
      <c r="S77" s="2951" t="s">
        <v>317</v>
      </c>
      <c r="T77" s="2157">
        <f>'Д 2_Т на В'!H52</f>
        <v>1496.2706792171982</v>
      </c>
      <c r="U77" s="1021">
        <f t="shared" si="2"/>
        <v>-6.7921719823971216E-4</v>
      </c>
      <c r="V77" s="1021"/>
      <c r="W77" s="1021"/>
      <c r="X77" s="1021"/>
      <c r="Y77" s="1021"/>
    </row>
    <row r="78" spans="2:32" ht="31.2" x14ac:dyDescent="0.3">
      <c r="B78" s="1022" t="s">
        <v>189</v>
      </c>
      <c r="C78" s="1023" t="s">
        <v>2201</v>
      </c>
      <c r="D78" s="3145" t="s">
        <v>74</v>
      </c>
      <c r="E78" s="3143">
        <f>E77*1.2</f>
        <v>1795.5239999999999</v>
      </c>
      <c r="F78" s="1011" t="s">
        <v>317</v>
      </c>
      <c r="G78" s="1111" t="s">
        <v>317</v>
      </c>
      <c r="H78" s="3143">
        <f>H77*1.2</f>
        <v>1585.6439999999998</v>
      </c>
      <c r="I78" s="1011" t="s">
        <v>317</v>
      </c>
      <c r="J78" s="1111" t="s">
        <v>317</v>
      </c>
      <c r="K78" s="3143">
        <f>K77*1.2</f>
        <v>2824.9440000000004</v>
      </c>
      <c r="L78" s="1011" t="s">
        <v>317</v>
      </c>
      <c r="M78" s="1111" t="s">
        <v>317</v>
      </c>
      <c r="N78" s="3143">
        <f>N77*1.2</f>
        <v>2824.944</v>
      </c>
      <c r="O78" s="1011" t="s">
        <v>317</v>
      </c>
      <c r="P78" s="1111" t="s">
        <v>317</v>
      </c>
      <c r="Q78" s="3143">
        <f>Q77*1.2</f>
        <v>2824.944</v>
      </c>
      <c r="R78" s="1011" t="s">
        <v>317</v>
      </c>
      <c r="S78" s="1111" t="s">
        <v>317</v>
      </c>
      <c r="U78" s="2164"/>
      <c r="V78" s="2164"/>
      <c r="W78" s="2164"/>
      <c r="X78" s="2164"/>
      <c r="Y78" s="2164"/>
    </row>
    <row r="79" spans="2:32" ht="31.2" x14ac:dyDescent="0.3">
      <c r="B79" s="1022" t="s">
        <v>190</v>
      </c>
      <c r="C79" s="1023" t="s">
        <v>2202</v>
      </c>
      <c r="D79" s="3140" t="s">
        <v>2049</v>
      </c>
      <c r="E79" s="1018" t="s">
        <v>317</v>
      </c>
      <c r="F79" s="2952" t="s">
        <v>317</v>
      </c>
      <c r="G79" s="1111" t="s">
        <v>317</v>
      </c>
      <c r="H79" s="2165" t="s">
        <v>317</v>
      </c>
      <c r="I79" s="1011" t="s">
        <v>317</v>
      </c>
      <c r="J79" s="1111" t="s">
        <v>317</v>
      </c>
      <c r="K79" s="1018" t="s">
        <v>317</v>
      </c>
      <c r="L79" s="1011" t="s">
        <v>317</v>
      </c>
      <c r="M79" s="1111" t="s">
        <v>317</v>
      </c>
      <c r="N79" s="2165" t="s">
        <v>317</v>
      </c>
      <c r="O79" s="1011" t="s">
        <v>317</v>
      </c>
      <c r="P79" s="1111" t="s">
        <v>317</v>
      </c>
      <c r="Q79" s="1018" t="s">
        <v>317</v>
      </c>
      <c r="R79" s="1011" t="s">
        <v>317</v>
      </c>
      <c r="S79" s="1111" t="s">
        <v>317</v>
      </c>
    </row>
    <row r="80" spans="2:32" ht="15.6" x14ac:dyDescent="0.3">
      <c r="B80" s="1022" t="s">
        <v>93</v>
      </c>
      <c r="C80" s="1024" t="s">
        <v>2172</v>
      </c>
      <c r="D80" s="3140" t="s">
        <v>2190</v>
      </c>
      <c r="E80" s="3143">
        <f>F80</f>
        <v>1056.28</v>
      </c>
      <c r="F80" s="2953">
        <f>ROUND(F76/F30,2)</f>
        <v>1056.28</v>
      </c>
      <c r="G80" s="1111" t="s">
        <v>317</v>
      </c>
      <c r="H80" s="3143">
        <f>I80</f>
        <v>889.12</v>
      </c>
      <c r="I80" s="2953">
        <f>ROUND(I76/I30,2)</f>
        <v>889.12</v>
      </c>
      <c r="J80" s="1111" t="s">
        <v>317</v>
      </c>
      <c r="K80" s="3143">
        <f>L80</f>
        <v>1876.13</v>
      </c>
      <c r="L80" s="2928">
        <f>ROUND(L76/L30,2)</f>
        <v>1876.13</v>
      </c>
      <c r="M80" s="1111" t="s">
        <v>317</v>
      </c>
      <c r="N80" s="3143">
        <f>O80</f>
        <v>1876.13</v>
      </c>
      <c r="O80" s="2928">
        <f>ROUND(O76/O30,2)</f>
        <v>1876.13</v>
      </c>
      <c r="P80" s="1111" t="s">
        <v>317</v>
      </c>
      <c r="Q80" s="3143">
        <f>R80</f>
        <v>1876.13</v>
      </c>
      <c r="R80" s="2928">
        <f>ROUND(R76/R30,2)</f>
        <v>1876.13</v>
      </c>
      <c r="S80" s="1111" t="s">
        <v>317</v>
      </c>
    </row>
    <row r="81" spans="1:30" ht="31.2" x14ac:dyDescent="0.3">
      <c r="B81" s="1022" t="s">
        <v>94</v>
      </c>
      <c r="C81" s="2954" t="s">
        <v>2326</v>
      </c>
      <c r="D81" s="3140" t="s">
        <v>2194</v>
      </c>
      <c r="E81" s="3143">
        <f>G81</f>
        <v>55657.13</v>
      </c>
      <c r="F81" s="2952" t="s">
        <v>317</v>
      </c>
      <c r="G81" s="1112">
        <f>ROUND(G76/G17*1000/12,2)</f>
        <v>55657.13</v>
      </c>
      <c r="H81" s="3143">
        <f>J81</f>
        <v>54678.239999999998</v>
      </c>
      <c r="I81" s="2952" t="s">
        <v>317</v>
      </c>
      <c r="J81" s="1112">
        <f>ROUND(J76/J17*1000/12,2)</f>
        <v>54678.239999999998</v>
      </c>
      <c r="K81" s="2166">
        <f>M81</f>
        <v>60453.2</v>
      </c>
      <c r="L81" s="2952" t="s">
        <v>317</v>
      </c>
      <c r="M81" s="1112">
        <f>ROUND(M76/M17*1000/12,2)</f>
        <v>60453.2</v>
      </c>
      <c r="N81" s="2166">
        <f>P81</f>
        <v>60453.2</v>
      </c>
      <c r="O81" s="1011" t="s">
        <v>317</v>
      </c>
      <c r="P81" s="1112">
        <f>ROUND(P76/P17*1000/12,2)</f>
        <v>60453.2</v>
      </c>
      <c r="Q81" s="3143">
        <f>S81</f>
        <v>60453.2</v>
      </c>
      <c r="R81" s="2952" t="s">
        <v>317</v>
      </c>
      <c r="S81" s="1112">
        <f>ROUND(S76/S17*1000/12,2)</f>
        <v>60453.2</v>
      </c>
    </row>
    <row r="82" spans="1:30" ht="31.2" x14ac:dyDescent="0.3">
      <c r="B82" s="1022" t="s">
        <v>191</v>
      </c>
      <c r="C82" s="1023" t="s">
        <v>2209</v>
      </c>
      <c r="D82" s="3140" t="s">
        <v>2049</v>
      </c>
      <c r="E82" s="1018" t="s">
        <v>317</v>
      </c>
      <c r="F82" s="2952" t="s">
        <v>317</v>
      </c>
      <c r="G82" s="1111" t="s">
        <v>317</v>
      </c>
      <c r="H82" s="1018" t="s">
        <v>317</v>
      </c>
      <c r="I82" s="2952" t="s">
        <v>317</v>
      </c>
      <c r="J82" s="1111" t="s">
        <v>317</v>
      </c>
      <c r="K82" s="1018" t="s">
        <v>317</v>
      </c>
      <c r="L82" s="2952" t="s">
        <v>317</v>
      </c>
      <c r="M82" s="1111" t="s">
        <v>317</v>
      </c>
      <c r="N82" s="1018" t="s">
        <v>317</v>
      </c>
      <c r="O82" s="2952" t="s">
        <v>317</v>
      </c>
      <c r="P82" s="1111" t="s">
        <v>317</v>
      </c>
      <c r="Q82" s="1018" t="s">
        <v>317</v>
      </c>
      <c r="R82" s="2952" t="s">
        <v>317</v>
      </c>
      <c r="S82" s="1111" t="s">
        <v>317</v>
      </c>
    </row>
    <row r="83" spans="1:30" ht="15.6" x14ac:dyDescent="0.3">
      <c r="B83" s="1022" t="s">
        <v>236</v>
      </c>
      <c r="C83" s="1024" t="s">
        <v>2172</v>
      </c>
      <c r="D83" s="3140" t="s">
        <v>2190</v>
      </c>
      <c r="E83" s="2166">
        <f>E80*1.2</f>
        <v>1267.5359999999998</v>
      </c>
      <c r="F83" s="1030">
        <f>F80*1.2</f>
        <v>1267.5359999999998</v>
      </c>
      <c r="G83" s="1111" t="s">
        <v>317</v>
      </c>
      <c r="H83" s="2166">
        <f>H80*1.2</f>
        <v>1066.944</v>
      </c>
      <c r="I83" s="1030">
        <f>I80*1.2</f>
        <v>1066.944</v>
      </c>
      <c r="J83" s="1111" t="s">
        <v>317</v>
      </c>
      <c r="K83" s="2166">
        <f>K80*1.2</f>
        <v>2251.3560000000002</v>
      </c>
      <c r="L83" s="1030">
        <f>L80*1.2</f>
        <v>2251.3560000000002</v>
      </c>
      <c r="M83" s="1111" t="s">
        <v>317</v>
      </c>
      <c r="N83" s="2166">
        <f>N80*1.2</f>
        <v>2251.3560000000002</v>
      </c>
      <c r="O83" s="1030">
        <f>O80*1.2</f>
        <v>2251.3560000000002</v>
      </c>
      <c r="P83" s="1111" t="s">
        <v>317</v>
      </c>
      <c r="Q83" s="2166">
        <f>Q80*1.2</f>
        <v>2251.3560000000002</v>
      </c>
      <c r="R83" s="1030">
        <f>R80*1.2</f>
        <v>2251.3560000000002</v>
      </c>
      <c r="S83" s="1111" t="s">
        <v>317</v>
      </c>
    </row>
    <row r="84" spans="1:30" ht="31.8" thickBot="1" x14ac:dyDescent="0.35">
      <c r="B84" s="1022" t="s">
        <v>237</v>
      </c>
      <c r="C84" s="1025" t="s">
        <v>2173</v>
      </c>
      <c r="D84" s="1075" t="s">
        <v>2194</v>
      </c>
      <c r="E84" s="1027">
        <f>E81*1.2</f>
        <v>66788.555999999997</v>
      </c>
      <c r="F84" s="2955" t="s">
        <v>317</v>
      </c>
      <c r="G84" s="1032">
        <f>G81*1.2</f>
        <v>66788.555999999997</v>
      </c>
      <c r="H84" s="1027">
        <f>H81*1.2</f>
        <v>65613.887999999992</v>
      </c>
      <c r="I84" s="2955" t="s">
        <v>317</v>
      </c>
      <c r="J84" s="1032">
        <f>J81*1.2</f>
        <v>65613.887999999992</v>
      </c>
      <c r="K84" s="1027">
        <f>K81*1.2</f>
        <v>72543.839999999997</v>
      </c>
      <c r="L84" s="2955" t="s">
        <v>317</v>
      </c>
      <c r="M84" s="1032">
        <f>M81*1.2</f>
        <v>72543.839999999997</v>
      </c>
      <c r="N84" s="1027">
        <f>N81*1.2</f>
        <v>72543.839999999997</v>
      </c>
      <c r="O84" s="2955" t="s">
        <v>317</v>
      </c>
      <c r="P84" s="1032">
        <f>P81*1.2</f>
        <v>72543.839999999997</v>
      </c>
      <c r="Q84" s="1027">
        <f>Q81*1.2</f>
        <v>72543.839999999997</v>
      </c>
      <c r="R84" s="2955" t="s">
        <v>317</v>
      </c>
      <c r="S84" s="1032">
        <f>S81*1.2</f>
        <v>72543.839999999997</v>
      </c>
    </row>
    <row r="85" spans="1:30" ht="16.2" thickBot="1" x14ac:dyDescent="0.35">
      <c r="B85" s="2167"/>
      <c r="C85" s="4297" t="s">
        <v>1</v>
      </c>
      <c r="D85" s="4298"/>
      <c r="E85" s="4298"/>
      <c r="F85" s="4298"/>
      <c r="G85" s="4298"/>
      <c r="H85" s="4298"/>
      <c r="I85" s="4299">
        <f>'Д 7_РП'!E174</f>
        <v>0.83039295929505652</v>
      </c>
      <c r="J85" s="4299">
        <f>'Д 7_РП'!E189</f>
        <v>0.83039340338267864</v>
      </c>
      <c r="K85" s="4299"/>
      <c r="L85" s="4299">
        <f>'Д 7_РП'!E175</f>
        <v>1.6140940412001593E-4</v>
      </c>
      <c r="M85" s="4299">
        <f>'Д 7_РП'!E190</f>
        <v>1.6140898149653185E-4</v>
      </c>
      <c r="N85" s="4299"/>
      <c r="O85" s="4299">
        <f>'Д 7_РП'!E176</f>
        <v>0.12761850791641294</v>
      </c>
      <c r="P85" s="4299">
        <f>'Д 7_РП'!E191</f>
        <v>0.12761817376872964</v>
      </c>
      <c r="Q85" s="4299"/>
      <c r="R85" s="4299">
        <f>'Д 7_РП'!E177</f>
        <v>4.1827123384410587E-2</v>
      </c>
      <c r="S85" s="4300">
        <f>'Д 7_РП'!E192</f>
        <v>4.1827013867095211E-2</v>
      </c>
      <c r="T85" s="4377">
        <f>G92-J92</f>
        <v>2543.3691618778657</v>
      </c>
    </row>
    <row r="86" spans="1:30" s="1897" customFormat="1" ht="15.6" x14ac:dyDescent="0.3">
      <c r="A86" s="1895"/>
      <c r="B86" s="1022">
        <v>1</v>
      </c>
      <c r="C86" s="1100" t="s">
        <v>215</v>
      </c>
      <c r="D86" s="2956" t="s">
        <v>40</v>
      </c>
      <c r="E86" s="2168">
        <f>E87+E93+E94+E98</f>
        <v>40327.169558129703</v>
      </c>
      <c r="F86" s="2957">
        <f t="shared" ref="F86:S86" si="49">F87+F93+F94+F98</f>
        <v>11016.842326985552</v>
      </c>
      <c r="G86" s="2958">
        <f t="shared" si="49"/>
        <v>29310.327231144151</v>
      </c>
      <c r="H86" s="2168">
        <f t="shared" si="49"/>
        <v>32391.045387744136</v>
      </c>
      <c r="I86" s="2957">
        <f t="shared" si="49"/>
        <v>9148.3083019925689</v>
      </c>
      <c r="J86" s="2958">
        <f t="shared" si="49"/>
        <v>23242.737085751567</v>
      </c>
      <c r="K86" s="4699">
        <f t="shared" si="49"/>
        <v>7.5525465690591096</v>
      </c>
      <c r="L86" s="4700">
        <f t="shared" si="49"/>
        <v>1.7782219552829077</v>
      </c>
      <c r="M86" s="4701">
        <f t="shared" si="49"/>
        <v>5.7743246137762014</v>
      </c>
      <c r="N86" s="2168">
        <f t="shared" si="49"/>
        <v>5971.4285506926262</v>
      </c>
      <c r="O86" s="2957">
        <f t="shared" si="49"/>
        <v>1405.9529797202788</v>
      </c>
      <c r="P86" s="2958">
        <f t="shared" si="49"/>
        <v>4565.4755709723477</v>
      </c>
      <c r="Q86" s="2168">
        <f t="shared" si="49"/>
        <v>1957.1430731238795</v>
      </c>
      <c r="R86" s="2957">
        <f t="shared" si="49"/>
        <v>460.80282331742171</v>
      </c>
      <c r="S86" s="2958">
        <f t="shared" si="49"/>
        <v>1496.3402498064577</v>
      </c>
      <c r="T86" s="1895">
        <f>'Д 3.1_Т на Т без ЦТП'!G11</f>
        <v>43350.858098990757</v>
      </c>
      <c r="U86" s="1896">
        <f>E86-T86</f>
        <v>-3023.6885408610542</v>
      </c>
      <c r="V86" s="1896">
        <f>E86-H86-K86-N86-Q86</f>
        <v>2.0463630789890885E-12</v>
      </c>
      <c r="W86" s="1896"/>
      <c r="X86" s="1896"/>
      <c r="Y86" s="1896"/>
      <c r="AA86" s="1897">
        <f>H86/E86</f>
        <v>0.80320651666499876</v>
      </c>
      <c r="AC86" s="1896" t="e">
        <f>Виробництво_2ст!#REF!</f>
        <v>#REF!</v>
      </c>
      <c r="AD86" s="1896" t="e">
        <f>E86-AC86</f>
        <v>#REF!</v>
      </c>
    </row>
    <row r="87" spans="1:30" ht="15.6" x14ac:dyDescent="0.3">
      <c r="A87" s="1895"/>
      <c r="B87" s="1022" t="s">
        <v>23</v>
      </c>
      <c r="C87" s="1083" t="s">
        <v>216</v>
      </c>
      <c r="D87" s="3145" t="s">
        <v>40</v>
      </c>
      <c r="E87" s="3143">
        <f>E88+E89+E90+E91</f>
        <v>20838.310762653495</v>
      </c>
      <c r="F87" s="2953">
        <f>F88+F89+F90+F91</f>
        <v>11016.842326985552</v>
      </c>
      <c r="G87" s="1112">
        <f t="shared" ref="G87:S87" si="50">G88+G89+G90+G91</f>
        <v>9821.4684356679427</v>
      </c>
      <c r="H87" s="3143">
        <f t="shared" si="50"/>
        <v>16207.625604524197</v>
      </c>
      <c r="I87" s="2953">
        <f t="shared" si="50"/>
        <v>9148.3083019925689</v>
      </c>
      <c r="J87" s="1112">
        <f t="shared" si="50"/>
        <v>7059.3173025316291</v>
      </c>
      <c r="K87" s="4372">
        <f t="shared" si="50"/>
        <v>4.4068697203515681</v>
      </c>
      <c r="L87" s="2928">
        <f t="shared" si="50"/>
        <v>1.7782219552829077</v>
      </c>
      <c r="M87" s="4702">
        <f t="shared" si="50"/>
        <v>2.6286477650686604</v>
      </c>
      <c r="N87" s="3143">
        <f t="shared" si="50"/>
        <v>3484.295982377309</v>
      </c>
      <c r="O87" s="2953">
        <f t="shared" si="50"/>
        <v>1405.9529797202788</v>
      </c>
      <c r="P87" s="1112">
        <f t="shared" si="50"/>
        <v>2078.3430026570304</v>
      </c>
      <c r="Q87" s="3143">
        <f t="shared" si="50"/>
        <v>1141.9823060316355</v>
      </c>
      <c r="R87" s="2953">
        <f t="shared" si="50"/>
        <v>460.80282331742171</v>
      </c>
      <c r="S87" s="1112">
        <f t="shared" si="50"/>
        <v>681.17948271421392</v>
      </c>
      <c r="T87" s="1895">
        <f>'Д 3.1_Т на Т без ЦТП'!G12</f>
        <v>23861.999303514553</v>
      </c>
      <c r="U87" s="1896">
        <f t="shared" ref="U87:U121" si="51">E87-T87</f>
        <v>-3023.6885408610578</v>
      </c>
      <c r="V87" s="1896">
        <f t="shared" ref="V87:V120" si="52">E87-H87-K87-N87-Q87</f>
        <v>0</v>
      </c>
      <c r="W87" s="1896"/>
      <c r="X87" s="1896"/>
      <c r="Y87" s="1896"/>
      <c r="AA87" s="1897">
        <f t="shared" ref="AA87:AA119" si="53">H87/E87</f>
        <v>0.77778020440944617</v>
      </c>
      <c r="AC87" s="1896" t="e">
        <f>Виробництво_2ст!#REF!</f>
        <v>#REF!</v>
      </c>
    </row>
    <row r="88" spans="1:30" ht="15.6" x14ac:dyDescent="0.3">
      <c r="A88" s="1895"/>
      <c r="B88" s="1022" t="s">
        <v>41</v>
      </c>
      <c r="C88" s="1083" t="s">
        <v>43</v>
      </c>
      <c r="D88" s="3145" t="s">
        <v>40</v>
      </c>
      <c r="E88" s="3143">
        <f t="shared" ref="E88:E111" si="54">F88+G88</f>
        <v>11016.842326985552</v>
      </c>
      <c r="F88" s="2953">
        <f>'Д 3.1_Т на Т без ЦТП'!G13</f>
        <v>11016.842326985552</v>
      </c>
      <c r="G88" s="1112">
        <f>0</f>
        <v>0</v>
      </c>
      <c r="H88" s="3143">
        <f>I88+J88</f>
        <v>9148.3083019925689</v>
      </c>
      <c r="I88" s="2953">
        <f>$F88*I85</f>
        <v>9148.3083019925689</v>
      </c>
      <c r="J88" s="1112">
        <f>G88*$J$18/$G$18</f>
        <v>0</v>
      </c>
      <c r="K88" s="4372">
        <f t="shared" ref="K88:K105" si="55">L88+M88</f>
        <v>1.7782219552829077</v>
      </c>
      <c r="L88" s="2928">
        <f>$F88*L85</f>
        <v>1.7782219552829077</v>
      </c>
      <c r="M88" s="4702">
        <f>G88*$M$18/$E$18</f>
        <v>0</v>
      </c>
      <c r="N88" s="3143">
        <f t="shared" ref="N88:N105" si="56">O88+P88</f>
        <v>1405.9529797202788</v>
      </c>
      <c r="O88" s="2953">
        <f>$F88*O85</f>
        <v>1405.9529797202788</v>
      </c>
      <c r="P88" s="1112">
        <f>G88*$P$18/$E$18</f>
        <v>0</v>
      </c>
      <c r="Q88" s="3143">
        <f t="shared" ref="Q88:Q105" si="57">R88+S88</f>
        <v>460.80282331742171</v>
      </c>
      <c r="R88" s="2953">
        <f>$F88*R85</f>
        <v>460.80282331742171</v>
      </c>
      <c r="S88" s="1112">
        <f>G88*$S$18/$E$18</f>
        <v>0</v>
      </c>
      <c r="T88" s="1895">
        <f>'Д 3.1_Т на Т без ЦТП'!G13</f>
        <v>11016.842326985552</v>
      </c>
      <c r="U88" s="1896">
        <f t="shared" si="51"/>
        <v>0</v>
      </c>
      <c r="V88" s="1896">
        <f t="shared" si="52"/>
        <v>0</v>
      </c>
      <c r="W88" s="1896"/>
      <c r="X88" s="1896"/>
      <c r="Y88" s="1896"/>
      <c r="AA88" s="1897">
        <f t="shared" si="53"/>
        <v>0.83039295929505652</v>
      </c>
      <c r="AC88" s="1896" t="e">
        <f>Виробництво_2ст!#REF!</f>
        <v>#REF!</v>
      </c>
    </row>
    <row r="89" spans="1:30" ht="26.4" x14ac:dyDescent="0.3">
      <c r="A89" s="1895"/>
      <c r="B89" s="1022" t="s">
        <v>42</v>
      </c>
      <c r="C89" s="1083" t="s">
        <v>608</v>
      </c>
      <c r="D89" s="3145" t="s">
        <v>40</v>
      </c>
      <c r="E89" s="3143">
        <v>0</v>
      </c>
      <c r="F89" s="2953">
        <v>0</v>
      </c>
      <c r="G89" s="1112">
        <v>0</v>
      </c>
      <c r="H89" s="3143">
        <v>0</v>
      </c>
      <c r="I89" s="2953">
        <v>0</v>
      </c>
      <c r="J89" s="1112">
        <f>G89*$J$18/$G$18</f>
        <v>0</v>
      </c>
      <c r="K89" s="4372">
        <v>0</v>
      </c>
      <c r="L89" s="2928">
        <v>0</v>
      </c>
      <c r="M89" s="4702">
        <v>0</v>
      </c>
      <c r="N89" s="3143">
        <v>0</v>
      </c>
      <c r="O89" s="2953">
        <v>0</v>
      </c>
      <c r="P89" s="1112">
        <f t="shared" ref="P89:P111" si="58">G89*$P$18/$E$18</f>
        <v>0</v>
      </c>
      <c r="Q89" s="3143">
        <v>0</v>
      </c>
      <c r="R89" s="2953">
        <v>0</v>
      </c>
      <c r="S89" s="1112">
        <v>0</v>
      </c>
      <c r="T89" s="1895">
        <f>'Д 3.1_Т на Т без ЦТП'!G14</f>
        <v>0</v>
      </c>
      <c r="U89" s="1896">
        <f t="shared" si="51"/>
        <v>0</v>
      </c>
      <c r="V89" s="1896">
        <f t="shared" si="52"/>
        <v>0</v>
      </c>
      <c r="W89" s="1896"/>
      <c r="X89" s="1896"/>
      <c r="Y89" s="1896"/>
      <c r="AA89" s="1897" t="e">
        <f t="shared" si="53"/>
        <v>#DIV/0!</v>
      </c>
      <c r="AC89" s="1896"/>
    </row>
    <row r="90" spans="1:30" ht="26.4" x14ac:dyDescent="0.3">
      <c r="A90" s="1895"/>
      <c r="B90" s="1022" t="s">
        <v>44</v>
      </c>
      <c r="C90" s="1083" t="s">
        <v>609</v>
      </c>
      <c r="D90" s="3145" t="s">
        <v>40</v>
      </c>
      <c r="E90" s="3143">
        <f t="shared" si="54"/>
        <v>543.62315145346668</v>
      </c>
      <c r="F90" s="2953"/>
      <c r="G90" s="1112">
        <f>'Д 3.1_Т на Т без ЦТП'!G15</f>
        <v>543.62315145346668</v>
      </c>
      <c r="H90" s="3143">
        <f t="shared" ref="H90:H105" si="59">I90+J90</f>
        <v>451.42107889306158</v>
      </c>
      <c r="I90" s="2953"/>
      <c r="J90" s="1019">
        <f>$G90*J$85</f>
        <v>451.42107889306158</v>
      </c>
      <c r="K90" s="4372">
        <f t="shared" si="55"/>
        <v>8.7745659194038927E-2</v>
      </c>
      <c r="L90" s="2928"/>
      <c r="M90" s="1111">
        <f t="shared" ref="M90:M111" si="60">$G90*M$85</f>
        <v>8.7745659194038927E-2</v>
      </c>
      <c r="N90" s="3143">
        <f t="shared" si="56"/>
        <v>69.376193806892942</v>
      </c>
      <c r="O90" s="2953"/>
      <c r="P90" s="1019">
        <f t="shared" ref="P90:P97" si="61">$G90*P$85</f>
        <v>69.376193806892942</v>
      </c>
      <c r="Q90" s="3143">
        <f t="shared" si="57"/>
        <v>22.738133094318151</v>
      </c>
      <c r="R90" s="2953"/>
      <c r="S90" s="1019">
        <f t="shared" ref="S90:S97" si="62">$G90*S$85</f>
        <v>22.738133094318151</v>
      </c>
      <c r="T90" s="1895">
        <f>'Д 3.1_Т на Т без ЦТП'!G15</f>
        <v>543.62315145346668</v>
      </c>
      <c r="U90" s="1896">
        <f t="shared" si="51"/>
        <v>0</v>
      </c>
      <c r="V90" s="1896">
        <f t="shared" si="52"/>
        <v>-3.5527136788005009E-14</v>
      </c>
      <c r="W90" s="1896"/>
      <c r="X90" s="1896"/>
      <c r="Y90" s="1896"/>
      <c r="AA90" s="1897">
        <f t="shared" si="53"/>
        <v>0.83039340338267864</v>
      </c>
      <c r="AC90" s="1896" t="e">
        <f>Виробництво_2ст!#REF!</f>
        <v>#REF!</v>
      </c>
    </row>
    <row r="91" spans="1:30" ht="15.6" x14ac:dyDescent="0.3">
      <c r="A91" s="1895"/>
      <c r="B91" s="1022" t="s">
        <v>45</v>
      </c>
      <c r="C91" s="1083" t="s">
        <v>610</v>
      </c>
      <c r="D91" s="3145" t="s">
        <v>40</v>
      </c>
      <c r="E91" s="3143">
        <f t="shared" si="54"/>
        <v>9277.8452842144761</v>
      </c>
      <c r="F91" s="2953"/>
      <c r="G91" s="1112">
        <f>'Д 3.1_Т на Т без ЦТП'!G16-'Д 3.1_Т на Т без ЦТП'!G17+G92</f>
        <v>9277.8452842144761</v>
      </c>
      <c r="H91" s="3143">
        <f t="shared" si="59"/>
        <v>6607.8962236385678</v>
      </c>
      <c r="I91" s="2953"/>
      <c r="J91" s="1019">
        <f>($G91-$G92)*J$85+J92</f>
        <v>6607.8962236385678</v>
      </c>
      <c r="K91" s="4372">
        <f t="shared" si="55"/>
        <v>2.5409021058746215</v>
      </c>
      <c r="L91" s="2928"/>
      <c r="M91" s="1111">
        <f>($G91-$G92)*M$85+M92</f>
        <v>2.5409021058746215</v>
      </c>
      <c r="N91" s="3143">
        <f t="shared" si="56"/>
        <v>2008.9668088501376</v>
      </c>
      <c r="O91" s="2953"/>
      <c r="P91" s="1019">
        <f>($G91-$G92)*P$85+P92</f>
        <v>2008.9668088501376</v>
      </c>
      <c r="Q91" s="3143">
        <f t="shared" si="57"/>
        <v>658.44134961989573</v>
      </c>
      <c r="R91" s="2953"/>
      <c r="S91" s="1019">
        <f>($G91-$G92)*S$85+S92</f>
        <v>658.44134961989573</v>
      </c>
      <c r="T91" s="1895">
        <f>'Д 3.1_Т на Т без ЦТП'!G16</f>
        <v>12301.533825075534</v>
      </c>
      <c r="U91" s="1896">
        <f t="shared" si="51"/>
        <v>-3023.6885408610578</v>
      </c>
      <c r="V91" s="1896">
        <f t="shared" si="52"/>
        <v>0</v>
      </c>
      <c r="W91" s="1896"/>
      <c r="X91" s="1896"/>
      <c r="Y91" s="1896"/>
      <c r="AA91" s="1897">
        <f t="shared" si="53"/>
        <v>0.71222315324457752</v>
      </c>
      <c r="AC91" s="1896" t="e">
        <f>Виробництво_2ст!#REF!+Виробництво_2ст!#REF!+Виробництво_2ст!#REF!+Виробництво_2ст!#REF!+Виробництво_2ст!#REF!+Виробництво_2ст!#REF!+Виробництво_2ст!#REF!+Виробництво_2ст!#REF!+Виробництво_2ст!#REF!+Виробництво_2ст!#REF!+Виробництво_2ст!#REF!</f>
        <v>#REF!</v>
      </c>
    </row>
    <row r="92" spans="1:30" s="2150" customFormat="1" ht="26.4" x14ac:dyDescent="0.3">
      <c r="A92" s="3021"/>
      <c r="B92" s="4302" t="s">
        <v>1997</v>
      </c>
      <c r="C92" s="4303" t="s">
        <v>2731</v>
      </c>
      <c r="D92" s="4304" t="s">
        <v>40</v>
      </c>
      <c r="E92" s="4305">
        <f t="shared" si="54"/>
        <v>8531.5305699133514</v>
      </c>
      <c r="F92" s="4306"/>
      <c r="G92" s="1112">
        <f>'Покриття втрат в мережах'!C21</f>
        <v>8531.5305699133514</v>
      </c>
      <c r="H92" s="4305">
        <f t="shared" si="59"/>
        <v>5988.1614080354857</v>
      </c>
      <c r="I92" s="4306"/>
      <c r="J92" s="4308">
        <f>'Покриття втрат в мережах'!D21</f>
        <v>5988.1614080354857</v>
      </c>
      <c r="K92" s="4703">
        <f t="shared" si="55"/>
        <v>2.4204402079634018</v>
      </c>
      <c r="L92" s="4704"/>
      <c r="M92" s="4705">
        <f>'Покриття втрат в мережах'!E21</f>
        <v>2.4204402079634018</v>
      </c>
      <c r="N92" s="4305">
        <f t="shared" si="56"/>
        <v>1913.7234879542968</v>
      </c>
      <c r="O92" s="4306"/>
      <c r="P92" s="4308">
        <f>'Покриття втрат в мережах'!F21</f>
        <v>1913.7234879542968</v>
      </c>
      <c r="Q92" s="4305">
        <f t="shared" si="57"/>
        <v>627.22523371560544</v>
      </c>
      <c r="R92" s="4306"/>
      <c r="S92" s="4308">
        <f>'Покриття втрат в мережах'!G21</f>
        <v>627.22523371560544</v>
      </c>
      <c r="T92" s="3021">
        <f>'Покриття втрат в мережах'!C21</f>
        <v>8531.5305699133514</v>
      </c>
      <c r="U92" s="3022">
        <f t="shared" si="51"/>
        <v>0</v>
      </c>
      <c r="V92" s="3022">
        <f t="shared" si="52"/>
        <v>0</v>
      </c>
      <c r="W92" s="3022" t="e">
        <f>'Покриття втрат в мережах'!C27-'ТЕ_2ст_тариф_без ЦТП'!S92-'ТЕ_2ст_тариф_без ЦТП'!P92-'ТЕ_2ст_тариф_без ЦТП'!M92-'ТЕ_2ст_тариф_без ЦТП'!J92</f>
        <v>#VALUE!</v>
      </c>
      <c r="X92" s="3022"/>
      <c r="Y92" s="3022"/>
      <c r="AA92" s="3023">
        <f t="shared" si="53"/>
        <v>0.70188594636850765</v>
      </c>
      <c r="AC92" s="3022" t="e">
        <f>Виробництво_2ст!#REF!</f>
        <v>#REF!</v>
      </c>
    </row>
    <row r="93" spans="1:30" ht="15.6" x14ac:dyDescent="0.3">
      <c r="A93" s="1895"/>
      <c r="B93" s="1022" t="s">
        <v>24</v>
      </c>
      <c r="C93" s="1084" t="s">
        <v>47</v>
      </c>
      <c r="D93" s="3145" t="s">
        <v>40</v>
      </c>
      <c r="E93" s="3143">
        <f t="shared" si="54"/>
        <v>11054.820751237807</v>
      </c>
      <c r="F93" s="2953"/>
      <c r="G93" s="1112">
        <f>'Д 3.1_Т на Т без ЦТП'!G18</f>
        <v>11054.820751237807</v>
      </c>
      <c r="H93" s="3143">
        <f t="shared" si="59"/>
        <v>9179.8502274058228</v>
      </c>
      <c r="I93" s="2953"/>
      <c r="J93" s="1019">
        <f t="shared" ref="J93:J105" si="63">$G93*J$85</f>
        <v>9179.8502274058228</v>
      </c>
      <c r="K93" s="4372">
        <f t="shared" si="55"/>
        <v>1.7843473580840195</v>
      </c>
      <c r="L93" s="2928"/>
      <c r="M93" s="1111">
        <f t="shared" si="60"/>
        <v>1.7843473580840195</v>
      </c>
      <c r="N93" s="3143">
        <f t="shared" si="56"/>
        <v>1410.7960356136248</v>
      </c>
      <c r="O93" s="2953"/>
      <c r="P93" s="1019">
        <f t="shared" si="61"/>
        <v>1410.7960356136248</v>
      </c>
      <c r="Q93" s="3143">
        <f t="shared" si="57"/>
        <v>462.39014086027566</v>
      </c>
      <c r="R93" s="2953"/>
      <c r="S93" s="1019">
        <f t="shared" si="62"/>
        <v>462.39014086027566</v>
      </c>
      <c r="T93" s="1895">
        <f>'Д 3.1_Т на Т без ЦТП'!G18</f>
        <v>11054.820751237807</v>
      </c>
      <c r="U93" s="1896">
        <f t="shared" si="51"/>
        <v>0</v>
      </c>
      <c r="V93" s="1896">
        <f t="shared" si="52"/>
        <v>-5.6843418860808015E-13</v>
      </c>
      <c r="W93" s="1896"/>
      <c r="X93" s="1896"/>
      <c r="Y93" s="1896"/>
      <c r="AA93" s="1897">
        <f t="shared" si="53"/>
        <v>0.83039340338267864</v>
      </c>
      <c r="AC93" s="1896" t="e">
        <f>Виробництво_2ст!#REF!</f>
        <v>#REF!</v>
      </c>
    </row>
    <row r="94" spans="1:30" ht="15.6" x14ac:dyDescent="0.3">
      <c r="A94" s="1895"/>
      <c r="B94" s="1022" t="s">
        <v>48</v>
      </c>
      <c r="C94" s="1083" t="s">
        <v>217</v>
      </c>
      <c r="D94" s="3145" t="s">
        <v>40</v>
      </c>
      <c r="E94" s="3143">
        <f>E95+E96+E97</f>
        <v>7322.6292191101174</v>
      </c>
      <c r="F94" s="2953">
        <f t="shared" ref="F94:R94" si="64">F95+F96+F97</f>
        <v>0</v>
      </c>
      <c r="G94" s="1112">
        <f>'Д 3.1_Т на Т без ЦТП'!G19</f>
        <v>7322.6292191101174</v>
      </c>
      <c r="H94" s="3143">
        <f t="shared" si="64"/>
        <v>6080.6629989662979</v>
      </c>
      <c r="I94" s="2953">
        <f t="shared" si="64"/>
        <v>0</v>
      </c>
      <c r="J94" s="1019">
        <f t="shared" si="63"/>
        <v>6080.662998966297</v>
      </c>
      <c r="K94" s="4372">
        <f t="shared" si="64"/>
        <v>1.1819381241333085</v>
      </c>
      <c r="L94" s="2928">
        <f t="shared" si="64"/>
        <v>0</v>
      </c>
      <c r="M94" s="1111">
        <f t="shared" si="60"/>
        <v>1.1819381241333085</v>
      </c>
      <c r="N94" s="3143">
        <f t="shared" si="64"/>
        <v>934.50056812837192</v>
      </c>
      <c r="O94" s="2953">
        <f t="shared" si="64"/>
        <v>0</v>
      </c>
      <c r="P94" s="1019">
        <f t="shared" si="61"/>
        <v>934.50056812837192</v>
      </c>
      <c r="Q94" s="3143">
        <f t="shared" si="64"/>
        <v>306.28371389131547</v>
      </c>
      <c r="R94" s="2953">
        <f t="shared" si="64"/>
        <v>0</v>
      </c>
      <c r="S94" s="1019">
        <f t="shared" si="62"/>
        <v>306.28371389131547</v>
      </c>
      <c r="T94" s="1895">
        <f>'Д 3.1_Т на Т без ЦТП'!G19</f>
        <v>7322.6292191101174</v>
      </c>
      <c r="U94" s="1896">
        <f t="shared" si="51"/>
        <v>0</v>
      </c>
      <c r="V94" s="1896">
        <f t="shared" si="52"/>
        <v>-1.0800249583553523E-12</v>
      </c>
      <c r="W94" s="1896"/>
      <c r="X94" s="1896"/>
      <c r="Y94" s="1896"/>
      <c r="AA94" s="1897">
        <f t="shared" si="53"/>
        <v>0.83039340338267875</v>
      </c>
      <c r="AC94" s="1896" t="e">
        <f>Виробництво_2ст!#REF!</f>
        <v>#REF!</v>
      </c>
    </row>
    <row r="95" spans="1:30" ht="26.4" x14ac:dyDescent="0.3">
      <c r="A95" s="1895"/>
      <c r="B95" s="1022" t="s">
        <v>49</v>
      </c>
      <c r="C95" s="1083" t="s">
        <v>452</v>
      </c>
      <c r="D95" s="3145" t="s">
        <v>40</v>
      </c>
      <c r="E95" s="3143">
        <f t="shared" si="54"/>
        <v>2399.1731656684565</v>
      </c>
      <c r="F95" s="2953"/>
      <c r="G95" s="1112">
        <f>'Д 3.1_Т на Т без ЦТП'!G20</f>
        <v>2399.1731656684565</v>
      </c>
      <c r="H95" s="3143">
        <f t="shared" si="59"/>
        <v>1992.2575703438247</v>
      </c>
      <c r="I95" s="2953"/>
      <c r="J95" s="1019">
        <f t="shared" si="63"/>
        <v>1992.2575703438247</v>
      </c>
      <c r="K95" s="4372">
        <f t="shared" si="55"/>
        <v>0.38724809710435565</v>
      </c>
      <c r="L95" s="2928"/>
      <c r="M95" s="1111">
        <f t="shared" si="60"/>
        <v>0.38724809710435565</v>
      </c>
      <c r="N95" s="3143">
        <f t="shared" si="56"/>
        <v>306.17809795755028</v>
      </c>
      <c r="O95" s="2953"/>
      <c r="P95" s="1019">
        <f t="shared" si="61"/>
        <v>306.17809795755028</v>
      </c>
      <c r="Q95" s="3143">
        <f t="shared" si="57"/>
        <v>100.35024926997724</v>
      </c>
      <c r="R95" s="2953"/>
      <c r="S95" s="1019">
        <f t="shared" si="62"/>
        <v>100.35024926997724</v>
      </c>
      <c r="T95" s="1895">
        <f>'Д 3.1_Т на Т без ЦТП'!G20</f>
        <v>2399.1731656684565</v>
      </c>
      <c r="U95" s="1896">
        <f t="shared" si="51"/>
        <v>0</v>
      </c>
      <c r="V95" s="1896">
        <f t="shared" si="52"/>
        <v>0</v>
      </c>
      <c r="W95" s="1896"/>
      <c r="X95" s="1896"/>
      <c r="Y95" s="1896"/>
      <c r="AA95" s="1897">
        <f t="shared" si="53"/>
        <v>0.83039340338267864</v>
      </c>
      <c r="AC95" s="1896" t="e">
        <f>Виробництво_2ст!#REF!</f>
        <v>#REF!</v>
      </c>
    </row>
    <row r="96" spans="1:30" ht="15.6" x14ac:dyDescent="0.3">
      <c r="A96" s="1895"/>
      <c r="B96" s="1022" t="s">
        <v>50</v>
      </c>
      <c r="C96" s="1083" t="s">
        <v>460</v>
      </c>
      <c r="D96" s="3145" t="s">
        <v>40</v>
      </c>
      <c r="E96" s="3143">
        <f t="shared" si="54"/>
        <v>2383.3709972632905</v>
      </c>
      <c r="F96" s="2953"/>
      <c r="G96" s="1112">
        <f>'Д 3.1_Т на Т без ЦТП'!G21</f>
        <v>2383.3709972632905</v>
      </c>
      <c r="H96" s="3143">
        <f t="shared" si="59"/>
        <v>1979.1355539410326</v>
      </c>
      <c r="I96" s="2953"/>
      <c r="J96" s="1019">
        <f t="shared" si="63"/>
        <v>1979.1355539410326</v>
      </c>
      <c r="K96" s="4372">
        <f t="shared" si="55"/>
        <v>0.3846974851966411</v>
      </c>
      <c r="L96" s="2928"/>
      <c r="M96" s="1111">
        <f t="shared" si="60"/>
        <v>0.3846974851966411</v>
      </c>
      <c r="N96" s="3143">
        <f t="shared" si="56"/>
        <v>304.16145408409704</v>
      </c>
      <c r="O96" s="2953"/>
      <c r="P96" s="1019">
        <f t="shared" si="61"/>
        <v>304.16145408409704</v>
      </c>
      <c r="Q96" s="3143">
        <f t="shared" si="57"/>
        <v>99.689291752964195</v>
      </c>
      <c r="R96" s="2953"/>
      <c r="S96" s="1019">
        <f t="shared" si="62"/>
        <v>99.689291752964195</v>
      </c>
      <c r="T96" s="1895">
        <f>'Д 3.1_Т на Т без ЦТП'!G21</f>
        <v>2383.3709972632905</v>
      </c>
      <c r="U96" s="1896">
        <f t="shared" si="51"/>
        <v>0</v>
      </c>
      <c r="V96" s="1896">
        <f t="shared" si="52"/>
        <v>0</v>
      </c>
      <c r="W96" s="1896"/>
      <c r="X96" s="1896"/>
      <c r="Y96" s="1896"/>
      <c r="AA96" s="1897">
        <f t="shared" si="53"/>
        <v>0.83039340338267864</v>
      </c>
      <c r="AC96" s="1896" t="e">
        <f>Виробництво_2ст!#REF!+Виробництво_2ст!#REF!</f>
        <v>#REF!</v>
      </c>
    </row>
    <row r="97" spans="1:29" ht="15.6" x14ac:dyDescent="0.3">
      <c r="A97" s="1895"/>
      <c r="B97" s="1022" t="s">
        <v>51</v>
      </c>
      <c r="C97" s="1085" t="s">
        <v>81</v>
      </c>
      <c r="D97" s="3145" t="s">
        <v>40</v>
      </c>
      <c r="E97" s="3143">
        <f t="shared" si="54"/>
        <v>2540.0850561783709</v>
      </c>
      <c r="F97" s="2953"/>
      <c r="G97" s="1112">
        <f>'Д 3.1_Т на Т без ЦТП'!G22</f>
        <v>2540.0850561783709</v>
      </c>
      <c r="H97" s="3143">
        <f t="shared" si="59"/>
        <v>2109.2698746814399</v>
      </c>
      <c r="I97" s="2953"/>
      <c r="J97" s="1019">
        <f t="shared" si="63"/>
        <v>2109.2698746814399</v>
      </c>
      <c r="K97" s="4372">
        <f t="shared" si="55"/>
        <v>0.40999254183231171</v>
      </c>
      <c r="L97" s="2928"/>
      <c r="M97" s="1111">
        <f t="shared" si="60"/>
        <v>0.40999254183231171</v>
      </c>
      <c r="N97" s="3143">
        <f t="shared" si="56"/>
        <v>324.16101608672471</v>
      </c>
      <c r="O97" s="2953"/>
      <c r="P97" s="1019">
        <f t="shared" si="61"/>
        <v>324.16101608672471</v>
      </c>
      <c r="Q97" s="3143">
        <f t="shared" si="57"/>
        <v>106.24417286837404</v>
      </c>
      <c r="R97" s="2953"/>
      <c r="S97" s="1019">
        <f t="shared" si="62"/>
        <v>106.24417286837404</v>
      </c>
      <c r="T97" s="1895">
        <f>'Д 3.1_Т на Т без ЦТП'!G22</f>
        <v>2540.0850561783709</v>
      </c>
      <c r="U97" s="1896">
        <f t="shared" si="51"/>
        <v>0</v>
      </c>
      <c r="V97" s="1896">
        <f t="shared" si="52"/>
        <v>0</v>
      </c>
      <c r="W97" s="1896"/>
      <c r="X97" s="1896"/>
      <c r="Y97" s="1896"/>
      <c r="AA97" s="1897">
        <f t="shared" si="53"/>
        <v>0.83039340338267864</v>
      </c>
      <c r="AC97" s="1896" t="e">
        <f>Виробництво_2ст!#REF!-Виробництво_2ст!#REF!-Виробництво_2ст!#REF!-Виробництво_2ст!#REF!</f>
        <v>#REF!</v>
      </c>
    </row>
    <row r="98" spans="1:29" ht="15.6" x14ac:dyDescent="0.3">
      <c r="A98" s="1895"/>
      <c r="B98" s="1022" t="s">
        <v>53</v>
      </c>
      <c r="C98" s="1083" t="s">
        <v>218</v>
      </c>
      <c r="D98" s="3145" t="s">
        <v>40</v>
      </c>
      <c r="E98" s="3143">
        <f>E99+E100+E101</f>
        <v>1111.4088251282831</v>
      </c>
      <c r="F98" s="2953">
        <f t="shared" ref="F98:S98" si="65">F99+F100+F101</f>
        <v>0</v>
      </c>
      <c r="G98" s="2959">
        <f>SUM(G99:G101)</f>
        <v>1111.4088251282831</v>
      </c>
      <c r="H98" s="3143">
        <f t="shared" si="65"/>
        <v>922.90655684781927</v>
      </c>
      <c r="I98" s="2953">
        <f t="shared" si="65"/>
        <v>0</v>
      </c>
      <c r="J98" s="2959">
        <f t="shared" si="65"/>
        <v>922.90655684781927</v>
      </c>
      <c r="K98" s="4372">
        <f t="shared" si="65"/>
        <v>0.17939136649021323</v>
      </c>
      <c r="L98" s="2928">
        <f t="shared" si="65"/>
        <v>0</v>
      </c>
      <c r="M98" s="4371">
        <f t="shared" si="60"/>
        <v>0.17939136649021323</v>
      </c>
      <c r="N98" s="3143">
        <f t="shared" si="65"/>
        <v>141.83596457332089</v>
      </c>
      <c r="O98" s="2953">
        <f t="shared" si="65"/>
        <v>0</v>
      </c>
      <c r="P98" s="1112">
        <f t="shared" si="65"/>
        <v>141.83596457332089</v>
      </c>
      <c r="Q98" s="3143">
        <f t="shared" si="65"/>
        <v>46.486912340652701</v>
      </c>
      <c r="R98" s="2953">
        <f t="shared" si="65"/>
        <v>0</v>
      </c>
      <c r="S98" s="1112">
        <f t="shared" si="65"/>
        <v>46.486912340652701</v>
      </c>
      <c r="T98" s="1895">
        <f>'Д 3.1_Т на Т без ЦТП'!G23</f>
        <v>1111.4088251282831</v>
      </c>
      <c r="U98" s="1896">
        <f t="shared" si="51"/>
        <v>0</v>
      </c>
      <c r="V98" s="1896">
        <f t="shared" si="52"/>
        <v>0</v>
      </c>
      <c r="W98" s="1896"/>
      <c r="X98" s="1896"/>
      <c r="Y98" s="1896"/>
      <c r="AA98" s="1897">
        <f t="shared" si="53"/>
        <v>0.83039340338267864</v>
      </c>
    </row>
    <row r="99" spans="1:29" ht="15.6" x14ac:dyDescent="0.3">
      <c r="A99" s="1895"/>
      <c r="B99" s="1022" t="s">
        <v>54</v>
      </c>
      <c r="C99" s="1083" t="s">
        <v>55</v>
      </c>
      <c r="D99" s="3145" t="s">
        <v>40</v>
      </c>
      <c r="E99" s="3143">
        <f t="shared" si="54"/>
        <v>849.25597277939903</v>
      </c>
      <c r="F99" s="2953"/>
      <c r="G99" s="1112">
        <f>'Д 3.1_Т на Т без ЦТП'!G24</f>
        <v>849.25597277939903</v>
      </c>
      <c r="H99" s="3143">
        <f t="shared" si="59"/>
        <v>705.21655757935264</v>
      </c>
      <c r="I99" s="2953"/>
      <c r="J99" s="1019">
        <f t="shared" si="63"/>
        <v>705.21655757935264</v>
      </c>
      <c r="K99" s="4372">
        <f t="shared" si="55"/>
        <v>0.13707754159616917</v>
      </c>
      <c r="L99" s="2928"/>
      <c r="M99" s="1111">
        <f t="shared" si="60"/>
        <v>0.13707754159616917</v>
      </c>
      <c r="N99" s="3143">
        <f t="shared" si="56"/>
        <v>108.38049630829288</v>
      </c>
      <c r="O99" s="2953"/>
      <c r="P99" s="1019">
        <f t="shared" ref="P99:P101" si="66">$G99*P$85</f>
        <v>108.38049630829288</v>
      </c>
      <c r="Q99" s="3143">
        <f t="shared" si="57"/>
        <v>35.521841350157359</v>
      </c>
      <c r="R99" s="2953"/>
      <c r="S99" s="1019">
        <f t="shared" ref="S99:S101" si="67">$G99*S$85</f>
        <v>35.521841350157359</v>
      </c>
      <c r="T99" s="1895">
        <f>'Д 3.1_Т на Т без ЦТП'!G24</f>
        <v>849.25597277939903</v>
      </c>
      <c r="U99" s="1896">
        <f t="shared" si="51"/>
        <v>0</v>
      </c>
      <c r="V99" s="1896">
        <f t="shared" si="52"/>
        <v>0</v>
      </c>
      <c r="W99" s="1896"/>
      <c r="X99" s="1896"/>
      <c r="Y99" s="1896"/>
      <c r="AA99" s="1897">
        <f t="shared" si="53"/>
        <v>0.83039340338267864</v>
      </c>
    </row>
    <row r="100" spans="1:29" ht="26.4" x14ac:dyDescent="0.3">
      <c r="A100" s="1895"/>
      <c r="B100" s="1022" t="s">
        <v>56</v>
      </c>
      <c r="C100" s="1083" t="s">
        <v>452</v>
      </c>
      <c r="D100" s="3145" t="s">
        <v>40</v>
      </c>
      <c r="E100" s="3143">
        <f t="shared" si="54"/>
        <v>181.27583888373348</v>
      </c>
      <c r="F100" s="2953"/>
      <c r="G100" s="1112">
        <f>'Д 3.1_Т на Т без ЦТП'!G25</f>
        <v>181.27583888373348</v>
      </c>
      <c r="H100" s="3143">
        <f t="shared" si="59"/>
        <v>150.53026080171355</v>
      </c>
      <c r="I100" s="2953"/>
      <c r="J100" s="1019">
        <f t="shared" si="63"/>
        <v>150.53026080171355</v>
      </c>
      <c r="K100" s="4372">
        <f t="shared" si="55"/>
        <v>2.9259548524152825E-2</v>
      </c>
      <c r="L100" s="2928"/>
      <c r="M100" s="1111">
        <f t="shared" si="60"/>
        <v>2.9259548524152825E-2</v>
      </c>
      <c r="N100" s="3143">
        <f t="shared" si="56"/>
        <v>23.134091506736535</v>
      </c>
      <c r="O100" s="2953"/>
      <c r="P100" s="1019">
        <f t="shared" si="66"/>
        <v>23.134091506736535</v>
      </c>
      <c r="Q100" s="3143">
        <f t="shared" si="57"/>
        <v>7.582227026759238</v>
      </c>
      <c r="R100" s="2953"/>
      <c r="S100" s="1019">
        <f t="shared" si="67"/>
        <v>7.582227026759238</v>
      </c>
      <c r="T100" s="1895">
        <f>'Д 3.1_Т на Т без ЦТП'!G25</f>
        <v>181.27583888373348</v>
      </c>
      <c r="U100" s="1896">
        <f t="shared" si="51"/>
        <v>0</v>
      </c>
      <c r="V100" s="1896">
        <f t="shared" si="52"/>
        <v>7.1054273576010019E-15</v>
      </c>
      <c r="W100" s="1896"/>
      <c r="X100" s="1896"/>
      <c r="Y100" s="1896"/>
      <c r="AA100" s="1897">
        <f t="shared" si="53"/>
        <v>0.83039340338267864</v>
      </c>
    </row>
    <row r="101" spans="1:29" ht="15.6" x14ac:dyDescent="0.3">
      <c r="A101" s="1895"/>
      <c r="B101" s="1022" t="s">
        <v>57</v>
      </c>
      <c r="C101" s="1083" t="s">
        <v>58</v>
      </c>
      <c r="D101" s="3145" t="s">
        <v>40</v>
      </c>
      <c r="E101" s="3143">
        <f t="shared" si="54"/>
        <v>80.877013465150554</v>
      </c>
      <c r="F101" s="2953"/>
      <c r="G101" s="1112">
        <f>'Д 3.1_Т на Т без ЦТП'!G26</f>
        <v>80.877013465150554</v>
      </c>
      <c r="H101" s="3143">
        <f t="shared" si="59"/>
        <v>67.159738466753097</v>
      </c>
      <c r="I101" s="2953"/>
      <c r="J101" s="1019">
        <f t="shared" si="63"/>
        <v>67.159738466753097</v>
      </c>
      <c r="K101" s="4372">
        <f t="shared" si="55"/>
        <v>1.3054276369891243E-2</v>
      </c>
      <c r="L101" s="2928"/>
      <c r="M101" s="1111">
        <f t="shared" si="60"/>
        <v>1.3054276369891243E-2</v>
      </c>
      <c r="N101" s="3143">
        <f t="shared" si="56"/>
        <v>10.321376758291469</v>
      </c>
      <c r="O101" s="2953"/>
      <c r="P101" s="1019">
        <f t="shared" si="66"/>
        <v>10.321376758291469</v>
      </c>
      <c r="Q101" s="3143">
        <f t="shared" si="57"/>
        <v>3.3828439637360983</v>
      </c>
      <c r="R101" s="2953"/>
      <c r="S101" s="1019">
        <f t="shared" si="67"/>
        <v>3.3828439637360983</v>
      </c>
      <c r="T101" s="1895">
        <f>'Д 3.1_Т на Т без ЦТП'!G26</f>
        <v>80.877013465150554</v>
      </c>
      <c r="U101" s="1896">
        <f t="shared" si="51"/>
        <v>0</v>
      </c>
      <c r="V101" s="1896">
        <f t="shared" si="52"/>
        <v>0</v>
      </c>
      <c r="W101" s="1896"/>
      <c r="X101" s="1896"/>
      <c r="Y101" s="1896"/>
      <c r="AA101" s="1897">
        <f t="shared" si="53"/>
        <v>0.83039340338267864</v>
      </c>
    </row>
    <row r="102" spans="1:29" s="1897" customFormat="1" ht="15.6" x14ac:dyDescent="0.3">
      <c r="A102" s="1895"/>
      <c r="B102" s="1022">
        <v>2</v>
      </c>
      <c r="C102" s="1086" t="s">
        <v>219</v>
      </c>
      <c r="D102" s="3187" t="s">
        <v>40</v>
      </c>
      <c r="E102" s="2169">
        <f>E103+E104+E105</f>
        <v>1351.1769216868572</v>
      </c>
      <c r="F102" s="2960">
        <f t="shared" ref="F102:S102" si="68">F103+F104+F105</f>
        <v>0</v>
      </c>
      <c r="G102" s="2959">
        <f>SUM(G103:G105)</f>
        <v>1351.1769216868572</v>
      </c>
      <c r="H102" s="2169">
        <f t="shared" si="68"/>
        <v>1122.0084025716803</v>
      </c>
      <c r="I102" s="2960">
        <f t="shared" si="68"/>
        <v>0</v>
      </c>
      <c r="J102" s="2959">
        <f t="shared" si="68"/>
        <v>1122.0084025716803</v>
      </c>
      <c r="K102" s="4706">
        <f t="shared" si="68"/>
        <v>0.21809209075109479</v>
      </c>
      <c r="L102" s="4707">
        <f t="shared" si="68"/>
        <v>0</v>
      </c>
      <c r="M102" s="4371">
        <f t="shared" si="60"/>
        <v>0.21809209075109479</v>
      </c>
      <c r="N102" s="2169">
        <f t="shared" si="68"/>
        <v>172.43473118413053</v>
      </c>
      <c r="O102" s="2960">
        <f t="shared" si="68"/>
        <v>0</v>
      </c>
      <c r="P102" s="2959">
        <f t="shared" si="68"/>
        <v>172.43473118413053</v>
      </c>
      <c r="Q102" s="2169">
        <f t="shared" si="68"/>
        <v>56.515695840295201</v>
      </c>
      <c r="R102" s="2960">
        <f t="shared" si="68"/>
        <v>0</v>
      </c>
      <c r="S102" s="2959">
        <f t="shared" si="68"/>
        <v>56.515695840295201</v>
      </c>
      <c r="T102" s="1895">
        <f>'Д 3.1_Т на Т без ЦТП'!G27</f>
        <v>1351.1769216868572</v>
      </c>
      <c r="U102" s="1896">
        <f t="shared" si="51"/>
        <v>0</v>
      </c>
      <c r="V102" s="1896">
        <f t="shared" si="52"/>
        <v>0</v>
      </c>
      <c r="W102" s="1896"/>
      <c r="X102" s="1896"/>
      <c r="Y102" s="1896"/>
      <c r="AA102" s="1897">
        <f t="shared" si="53"/>
        <v>0.83039340338267864</v>
      </c>
    </row>
    <row r="103" spans="1:29" ht="15.6" x14ac:dyDescent="0.3">
      <c r="A103" s="1895"/>
      <c r="B103" s="1022" t="s">
        <v>25</v>
      </c>
      <c r="C103" s="1087" t="s">
        <v>55</v>
      </c>
      <c r="D103" s="3145" t="s">
        <v>40</v>
      </c>
      <c r="E103" s="3143">
        <f t="shared" si="54"/>
        <v>1011.8479335682923</v>
      </c>
      <c r="F103" s="2953"/>
      <c r="G103" s="1112">
        <f>'Д 3.1_Т на Т без ЦТП'!G28</f>
        <v>1011.8479335682923</v>
      </c>
      <c r="H103" s="3143">
        <f t="shared" si="59"/>
        <v>840.23184926150475</v>
      </c>
      <c r="I103" s="2953"/>
      <c r="J103" s="1019">
        <f t="shared" si="63"/>
        <v>840.23184926150475</v>
      </c>
      <c r="K103" s="4372">
        <f t="shared" si="55"/>
        <v>0.16332134438662849</v>
      </c>
      <c r="L103" s="2928"/>
      <c r="M103" s="1111">
        <f t="shared" si="60"/>
        <v>0.16332134438662849</v>
      </c>
      <c r="N103" s="3143">
        <f t="shared" si="56"/>
        <v>129.13018541364832</v>
      </c>
      <c r="O103" s="2953"/>
      <c r="P103" s="1019">
        <f t="shared" ref="P103:P105" si="69">$G103*P$85</f>
        <v>129.13018541364832</v>
      </c>
      <c r="Q103" s="3143">
        <f t="shared" si="57"/>
        <v>42.322577548752598</v>
      </c>
      <c r="R103" s="2953"/>
      <c r="S103" s="1019">
        <f t="shared" ref="S103:S105" si="70">$G103*S$85</f>
        <v>42.322577548752598</v>
      </c>
      <c r="T103" s="1895">
        <f>'Д 3.1_Т на Т без ЦТП'!G28</f>
        <v>1011.8479335682923</v>
      </c>
      <c r="U103" s="1896">
        <f t="shared" si="51"/>
        <v>0</v>
      </c>
      <c r="V103" s="1896">
        <f t="shared" si="52"/>
        <v>0</v>
      </c>
      <c r="W103" s="1896"/>
      <c r="X103" s="1896"/>
      <c r="Y103" s="1896"/>
      <c r="AA103" s="1897">
        <f t="shared" si="53"/>
        <v>0.83039340338267864</v>
      </c>
    </row>
    <row r="104" spans="1:29" ht="26.4" x14ac:dyDescent="0.3">
      <c r="A104" s="1895"/>
      <c r="B104" s="1022" t="s">
        <v>26</v>
      </c>
      <c r="C104" s="1087" t="s">
        <v>452</v>
      </c>
      <c r="D104" s="3145" t="s">
        <v>40</v>
      </c>
      <c r="E104" s="3143">
        <f t="shared" si="54"/>
        <v>222.6065453850243</v>
      </c>
      <c r="F104" s="2953"/>
      <c r="G104" s="1112">
        <f>'Д 3.1_Т на Т без ЦТП'!G29</f>
        <v>222.6065453850243</v>
      </c>
      <c r="H104" s="3143">
        <f t="shared" si="59"/>
        <v>184.85100683753106</v>
      </c>
      <c r="I104" s="2953"/>
      <c r="J104" s="1019">
        <f t="shared" si="63"/>
        <v>184.85100683753106</v>
      </c>
      <c r="K104" s="4372">
        <f t="shared" si="55"/>
        <v>3.5930695765058265E-2</v>
      </c>
      <c r="L104" s="2928"/>
      <c r="M104" s="1111">
        <f t="shared" si="60"/>
        <v>3.5930695765058265E-2</v>
      </c>
      <c r="N104" s="3143">
        <f t="shared" si="56"/>
        <v>28.408640791002632</v>
      </c>
      <c r="O104" s="2953"/>
      <c r="P104" s="1019">
        <f t="shared" si="69"/>
        <v>28.408640791002632</v>
      </c>
      <c r="Q104" s="3143">
        <f t="shared" si="57"/>
        <v>9.3109670607255719</v>
      </c>
      <c r="R104" s="2953"/>
      <c r="S104" s="1019">
        <f t="shared" si="70"/>
        <v>9.3109670607255719</v>
      </c>
      <c r="T104" s="1895">
        <f>'Д 3.1_Т на Т без ЦТП'!G29</f>
        <v>222.6065453850243</v>
      </c>
      <c r="U104" s="1896">
        <f t="shared" si="51"/>
        <v>0</v>
      </c>
      <c r="V104" s="1896">
        <f t="shared" si="52"/>
        <v>-1.9539925233402755E-14</v>
      </c>
      <c r="W104" s="1896"/>
      <c r="X104" s="1896"/>
      <c r="Y104" s="1896"/>
      <c r="AA104" s="1897">
        <f t="shared" si="53"/>
        <v>0.83039340338267864</v>
      </c>
    </row>
    <row r="105" spans="1:29" ht="15.6" x14ac:dyDescent="0.3">
      <c r="A105" s="1895"/>
      <c r="B105" s="1022" t="s">
        <v>59</v>
      </c>
      <c r="C105" s="1088" t="s">
        <v>58</v>
      </c>
      <c r="D105" s="3145" t="s">
        <v>40</v>
      </c>
      <c r="E105" s="3143">
        <f t="shared" si="54"/>
        <v>116.72244273354059</v>
      </c>
      <c r="F105" s="2953"/>
      <c r="G105" s="1112">
        <f>'Д 3.1_Т на Т без ЦТП'!G30</f>
        <v>116.72244273354059</v>
      </c>
      <c r="H105" s="3143">
        <f t="shared" si="59"/>
        <v>96.925546472644584</v>
      </c>
      <c r="I105" s="2953"/>
      <c r="J105" s="1019">
        <f t="shared" si="63"/>
        <v>96.925546472644584</v>
      </c>
      <c r="K105" s="4372">
        <f t="shared" si="55"/>
        <v>1.8840050599408052E-2</v>
      </c>
      <c r="L105" s="2928"/>
      <c r="M105" s="1111">
        <f t="shared" si="60"/>
        <v>1.8840050599408052E-2</v>
      </c>
      <c r="N105" s="3143">
        <f t="shared" si="56"/>
        <v>14.895904979479576</v>
      </c>
      <c r="O105" s="2953"/>
      <c r="P105" s="1019">
        <f t="shared" si="69"/>
        <v>14.895904979479576</v>
      </c>
      <c r="Q105" s="3143">
        <f t="shared" si="57"/>
        <v>4.882151230817029</v>
      </c>
      <c r="R105" s="2953"/>
      <c r="S105" s="1019">
        <f t="shared" si="70"/>
        <v>4.882151230817029</v>
      </c>
      <c r="T105" s="1895">
        <f>'Д 3.1_Т на Т без ЦТП'!G30</f>
        <v>116.72244273354059</v>
      </c>
      <c r="U105" s="1896">
        <f t="shared" si="51"/>
        <v>0</v>
      </c>
      <c r="V105" s="1896">
        <f t="shared" si="52"/>
        <v>-7.9936057773011271E-15</v>
      </c>
      <c r="W105" s="1896"/>
      <c r="X105" s="1896"/>
      <c r="Y105" s="1896"/>
      <c r="AA105" s="1897">
        <f t="shared" si="53"/>
        <v>0.83039340338267864</v>
      </c>
    </row>
    <row r="106" spans="1:29" s="1897" customFormat="1" ht="15.6" x14ac:dyDescent="0.3">
      <c r="A106" s="1895"/>
      <c r="B106" s="1022" t="s">
        <v>173</v>
      </c>
      <c r="C106" s="1089" t="s">
        <v>220</v>
      </c>
      <c r="D106" s="3187" t="s">
        <v>40</v>
      </c>
      <c r="E106" s="2169">
        <f>E107+E108+E109</f>
        <v>0</v>
      </c>
      <c r="F106" s="2960">
        <f t="shared" ref="F106:S106" si="71">F107+F108+F109</f>
        <v>0</v>
      </c>
      <c r="G106" s="2959">
        <f t="shared" si="71"/>
        <v>0</v>
      </c>
      <c r="H106" s="2169">
        <f t="shared" si="71"/>
        <v>0</v>
      </c>
      <c r="I106" s="2960">
        <f t="shared" si="71"/>
        <v>0</v>
      </c>
      <c r="J106" s="2959">
        <f t="shared" si="71"/>
        <v>0</v>
      </c>
      <c r="K106" s="4706">
        <f t="shared" si="71"/>
        <v>0</v>
      </c>
      <c r="L106" s="4707">
        <f t="shared" si="71"/>
        <v>0</v>
      </c>
      <c r="M106" s="4371">
        <f t="shared" si="60"/>
        <v>0</v>
      </c>
      <c r="N106" s="2169">
        <f t="shared" si="71"/>
        <v>0</v>
      </c>
      <c r="O106" s="2960">
        <f t="shared" si="71"/>
        <v>0</v>
      </c>
      <c r="P106" s="2959">
        <f t="shared" si="71"/>
        <v>0</v>
      </c>
      <c r="Q106" s="2169">
        <f t="shared" si="71"/>
        <v>0</v>
      </c>
      <c r="R106" s="2960">
        <f t="shared" si="71"/>
        <v>0</v>
      </c>
      <c r="S106" s="2959">
        <f t="shared" si="71"/>
        <v>0</v>
      </c>
      <c r="T106" s="1895">
        <f>'Д 3.1_Т на Т без ЦТП'!G31</f>
        <v>0</v>
      </c>
      <c r="U106" s="1896">
        <f t="shared" si="51"/>
        <v>0</v>
      </c>
      <c r="V106" s="1896">
        <f t="shared" si="52"/>
        <v>0</v>
      </c>
      <c r="W106" s="1896"/>
      <c r="X106" s="1896"/>
      <c r="Y106" s="1896"/>
      <c r="AA106" s="1897" t="e">
        <f>H106/E106</f>
        <v>#DIV/0!</v>
      </c>
    </row>
    <row r="107" spans="1:29" ht="15.6" x14ac:dyDescent="0.3">
      <c r="A107" s="1895"/>
      <c r="B107" s="1022" t="s">
        <v>60</v>
      </c>
      <c r="C107" s="1083" t="s">
        <v>55</v>
      </c>
      <c r="D107" s="3145" t="s">
        <v>40</v>
      </c>
      <c r="E107" s="3143">
        <v>0</v>
      </c>
      <c r="F107" s="2953"/>
      <c r="G107" s="1112">
        <v>0</v>
      </c>
      <c r="H107" s="3143">
        <v>0</v>
      </c>
      <c r="I107" s="2953"/>
      <c r="J107" s="1112">
        <f>G107*$J$18/$G$18</f>
        <v>0</v>
      </c>
      <c r="K107" s="4372">
        <v>0</v>
      </c>
      <c r="L107" s="2928"/>
      <c r="M107" s="1111">
        <f t="shared" si="60"/>
        <v>0</v>
      </c>
      <c r="N107" s="3143">
        <v>0</v>
      </c>
      <c r="O107" s="2953"/>
      <c r="P107" s="1112">
        <f t="shared" si="58"/>
        <v>0</v>
      </c>
      <c r="Q107" s="3143">
        <v>0</v>
      </c>
      <c r="R107" s="2953"/>
      <c r="S107" s="1112">
        <f t="shared" ref="S107:S111" si="72">G107*$S$18/$E$18</f>
        <v>0</v>
      </c>
      <c r="T107" s="1895">
        <f>'Д 3.1_Т на Т без ЦТП'!G32</f>
        <v>0</v>
      </c>
      <c r="U107" s="1896">
        <f t="shared" si="51"/>
        <v>0</v>
      </c>
      <c r="V107" s="1896">
        <f t="shared" si="52"/>
        <v>0</v>
      </c>
      <c r="W107" s="1896"/>
      <c r="X107" s="1896"/>
      <c r="Y107" s="1896"/>
      <c r="AA107" s="1897" t="e">
        <f t="shared" si="53"/>
        <v>#DIV/0!</v>
      </c>
    </row>
    <row r="108" spans="1:29" ht="26.4" x14ac:dyDescent="0.3">
      <c r="A108" s="1895"/>
      <c r="B108" s="1022" t="s">
        <v>61</v>
      </c>
      <c r="C108" s="1087" t="s">
        <v>452</v>
      </c>
      <c r="D108" s="3145" t="s">
        <v>40</v>
      </c>
      <c r="E108" s="3143">
        <v>0</v>
      </c>
      <c r="F108" s="2953"/>
      <c r="G108" s="1112">
        <v>0</v>
      </c>
      <c r="H108" s="3143">
        <v>0</v>
      </c>
      <c r="I108" s="2953"/>
      <c r="J108" s="1112">
        <f>G108*$J$18/$G$18</f>
        <v>0</v>
      </c>
      <c r="K108" s="4372">
        <v>0</v>
      </c>
      <c r="L108" s="2928"/>
      <c r="M108" s="1111">
        <f t="shared" si="60"/>
        <v>0</v>
      </c>
      <c r="N108" s="3143">
        <v>0</v>
      </c>
      <c r="O108" s="2953"/>
      <c r="P108" s="1112">
        <f t="shared" si="58"/>
        <v>0</v>
      </c>
      <c r="Q108" s="3143">
        <v>0</v>
      </c>
      <c r="R108" s="2953"/>
      <c r="S108" s="1112">
        <f t="shared" si="72"/>
        <v>0</v>
      </c>
      <c r="T108" s="1895">
        <f>'Д 3.1_Т на Т без ЦТП'!G33</f>
        <v>0</v>
      </c>
      <c r="U108" s="1896">
        <f t="shared" si="51"/>
        <v>0</v>
      </c>
      <c r="V108" s="1896">
        <f t="shared" si="52"/>
        <v>0</v>
      </c>
      <c r="W108" s="1896"/>
      <c r="X108" s="1896"/>
      <c r="Y108" s="1896"/>
      <c r="AA108" s="1897" t="e">
        <f t="shared" si="53"/>
        <v>#DIV/0!</v>
      </c>
    </row>
    <row r="109" spans="1:29" ht="15.6" x14ac:dyDescent="0.3">
      <c r="A109" s="1895"/>
      <c r="B109" s="1022" t="s">
        <v>62</v>
      </c>
      <c r="C109" s="1090" t="s">
        <v>233</v>
      </c>
      <c r="D109" s="3145" t="s">
        <v>40</v>
      </c>
      <c r="E109" s="3143">
        <v>0</v>
      </c>
      <c r="F109" s="2953"/>
      <c r="G109" s="1112">
        <v>0</v>
      </c>
      <c r="H109" s="3143">
        <v>0</v>
      </c>
      <c r="I109" s="2953"/>
      <c r="J109" s="1112">
        <f>G109*$J$18/$G$18</f>
        <v>0</v>
      </c>
      <c r="K109" s="4372">
        <v>0</v>
      </c>
      <c r="L109" s="2928"/>
      <c r="M109" s="1111">
        <f t="shared" si="60"/>
        <v>0</v>
      </c>
      <c r="N109" s="3143">
        <v>0</v>
      </c>
      <c r="O109" s="2953"/>
      <c r="P109" s="1112">
        <f t="shared" si="58"/>
        <v>0</v>
      </c>
      <c r="Q109" s="3143">
        <v>0</v>
      </c>
      <c r="R109" s="2953"/>
      <c r="S109" s="1112">
        <f t="shared" si="72"/>
        <v>0</v>
      </c>
      <c r="T109" s="1895">
        <f>'Д 3.1_Т на Т без ЦТП'!G34</f>
        <v>0</v>
      </c>
      <c r="U109" s="1896">
        <f t="shared" si="51"/>
        <v>0</v>
      </c>
      <c r="V109" s="1896">
        <f t="shared" si="52"/>
        <v>0</v>
      </c>
      <c r="W109" s="1896"/>
      <c r="X109" s="1896"/>
      <c r="Y109" s="1896"/>
      <c r="AA109" s="1897" t="e">
        <f t="shared" si="53"/>
        <v>#DIV/0!</v>
      </c>
    </row>
    <row r="110" spans="1:29" s="1897" customFormat="1" ht="15.6" x14ac:dyDescent="0.3">
      <c r="A110" s="1895"/>
      <c r="B110" s="1022" t="s">
        <v>174</v>
      </c>
      <c r="C110" s="1091" t="s">
        <v>82</v>
      </c>
      <c r="D110" s="3187" t="s">
        <v>40</v>
      </c>
      <c r="E110" s="2169">
        <v>0</v>
      </c>
      <c r="F110" s="2953"/>
      <c r="G110" s="2959">
        <v>0</v>
      </c>
      <c r="H110" s="2169">
        <v>0</v>
      </c>
      <c r="I110" s="2953"/>
      <c r="J110" s="2959">
        <v>0</v>
      </c>
      <c r="K110" s="4706">
        <v>0</v>
      </c>
      <c r="L110" s="2928"/>
      <c r="M110" s="1111">
        <f t="shared" si="60"/>
        <v>0</v>
      </c>
      <c r="N110" s="2169">
        <v>0</v>
      </c>
      <c r="O110" s="2953"/>
      <c r="P110" s="2959">
        <f t="shared" si="58"/>
        <v>0</v>
      </c>
      <c r="Q110" s="2169">
        <v>0</v>
      </c>
      <c r="R110" s="2953"/>
      <c r="S110" s="1112">
        <f t="shared" si="72"/>
        <v>0</v>
      </c>
      <c r="T110" s="1895">
        <f>'Д 3.1_Т на Т без ЦТП'!G35</f>
        <v>0</v>
      </c>
      <c r="U110" s="1896">
        <f t="shared" si="51"/>
        <v>0</v>
      </c>
      <c r="V110" s="1896">
        <f t="shared" si="52"/>
        <v>0</v>
      </c>
      <c r="W110" s="1896"/>
      <c r="X110" s="1896"/>
      <c r="Y110" s="1896"/>
      <c r="AA110" s="1897" t="e">
        <f t="shared" si="53"/>
        <v>#DIV/0!</v>
      </c>
    </row>
    <row r="111" spans="1:29" s="1897" customFormat="1" ht="15.6" x14ac:dyDescent="0.3">
      <c r="A111" s="1895"/>
      <c r="B111" s="1022" t="s">
        <v>169</v>
      </c>
      <c r="C111" s="1091" t="s">
        <v>5</v>
      </c>
      <c r="D111" s="3187" t="s">
        <v>40</v>
      </c>
      <c r="E111" s="2169">
        <f t="shared" si="54"/>
        <v>0</v>
      </c>
      <c r="F111" s="2953"/>
      <c r="G111" s="2959">
        <v>0</v>
      </c>
      <c r="H111" s="2169">
        <v>0</v>
      </c>
      <c r="I111" s="2953"/>
      <c r="J111" s="2959">
        <v>0</v>
      </c>
      <c r="K111" s="4706">
        <v>0</v>
      </c>
      <c r="L111" s="2928"/>
      <c r="M111" s="1111">
        <f t="shared" si="60"/>
        <v>0</v>
      </c>
      <c r="N111" s="2169">
        <v>0</v>
      </c>
      <c r="O111" s="2953"/>
      <c r="P111" s="2959">
        <f t="shared" si="58"/>
        <v>0</v>
      </c>
      <c r="Q111" s="2169">
        <v>0</v>
      </c>
      <c r="R111" s="2953"/>
      <c r="S111" s="1112">
        <f t="shared" si="72"/>
        <v>0</v>
      </c>
      <c r="T111" s="1895">
        <f>'Д 3.1_Т на Т без ЦТП'!G36</f>
        <v>0</v>
      </c>
      <c r="U111" s="1896">
        <f t="shared" si="51"/>
        <v>0</v>
      </c>
      <c r="V111" s="1896">
        <f t="shared" si="52"/>
        <v>0</v>
      </c>
      <c r="W111" s="1896"/>
      <c r="X111" s="1896"/>
      <c r="Y111" s="1896"/>
      <c r="AA111" s="1897" t="e">
        <f t="shared" si="53"/>
        <v>#DIV/0!</v>
      </c>
    </row>
    <row r="112" spans="1:29" ht="15.6" x14ac:dyDescent="0.3">
      <c r="A112" s="1895"/>
      <c r="B112" s="1022" t="s">
        <v>170</v>
      </c>
      <c r="C112" s="1091" t="s">
        <v>63</v>
      </c>
      <c r="D112" s="3145" t="s">
        <v>40</v>
      </c>
      <c r="E112" s="2169">
        <f>E111+E110+E106+E102+E86</f>
        <v>41678.346479816559</v>
      </c>
      <c r="F112" s="2960">
        <f t="shared" ref="F112:S112" si="73">F111+F110+F106+F102+F86</f>
        <v>11016.842326985552</v>
      </c>
      <c r="G112" s="2959">
        <f t="shared" si="73"/>
        <v>30661.504152831007</v>
      </c>
      <c r="H112" s="2169">
        <f t="shared" si="73"/>
        <v>33513.053790315818</v>
      </c>
      <c r="I112" s="2960">
        <f t="shared" si="73"/>
        <v>9148.3083019925689</v>
      </c>
      <c r="J112" s="2959">
        <f t="shared" si="73"/>
        <v>24364.745488323246</v>
      </c>
      <c r="K112" s="4706">
        <f t="shared" si="73"/>
        <v>7.7706386598102046</v>
      </c>
      <c r="L112" s="4707">
        <f t="shared" si="73"/>
        <v>1.7782219552829077</v>
      </c>
      <c r="M112" s="4708">
        <f t="shared" si="73"/>
        <v>5.9924167045272965</v>
      </c>
      <c r="N112" s="2169">
        <f t="shared" si="73"/>
        <v>6143.8632818767564</v>
      </c>
      <c r="O112" s="2960">
        <f t="shared" si="73"/>
        <v>1405.9529797202788</v>
      </c>
      <c r="P112" s="2959">
        <f t="shared" si="73"/>
        <v>4737.9103021564779</v>
      </c>
      <c r="Q112" s="2169">
        <f t="shared" si="73"/>
        <v>2013.6587689641747</v>
      </c>
      <c r="R112" s="2960">
        <f t="shared" si="73"/>
        <v>460.80282331742171</v>
      </c>
      <c r="S112" s="2959">
        <f t="shared" si="73"/>
        <v>1552.8559456467528</v>
      </c>
      <c r="T112" s="1895">
        <f>'Д 3.1_Т на Т без ЦТП'!G37</f>
        <v>44702.035020677613</v>
      </c>
      <c r="U112" s="1896">
        <f t="shared" si="51"/>
        <v>-3023.6885408610542</v>
      </c>
      <c r="V112" s="1896">
        <f t="shared" si="52"/>
        <v>0</v>
      </c>
      <c r="W112" s="1896"/>
      <c r="X112" s="1896"/>
      <c r="Y112" s="1896"/>
      <c r="AA112" s="1897">
        <f t="shared" si="53"/>
        <v>0.80408789265536429</v>
      </c>
    </row>
    <row r="113" spans="1:27" ht="16.2" customHeight="1" x14ac:dyDescent="0.3">
      <c r="A113" s="1895"/>
      <c r="B113" s="1022" t="s">
        <v>171</v>
      </c>
      <c r="C113" s="1091" t="s">
        <v>2655</v>
      </c>
      <c r="D113" s="3145" t="s">
        <v>40</v>
      </c>
      <c r="E113" s="3143">
        <f>F113+G113</f>
        <v>0</v>
      </c>
      <c r="F113" s="2953">
        <f>I113+L113+O113+R113</f>
        <v>0</v>
      </c>
      <c r="G113" s="1112">
        <f>J113+M113+P113+S113</f>
        <v>0</v>
      </c>
      <c r="H113" s="3143">
        <f>I113+J113</f>
        <v>0</v>
      </c>
      <c r="I113" s="2953">
        <v>0</v>
      </c>
      <c r="J113" s="1112">
        <v>0</v>
      </c>
      <c r="K113" s="4372">
        <f>L113+M113</f>
        <v>0</v>
      </c>
      <c r="L113" s="2928">
        <v>0</v>
      </c>
      <c r="M113" s="4702">
        <v>0</v>
      </c>
      <c r="N113" s="3143">
        <f>O113+P113</f>
        <v>0</v>
      </c>
      <c r="O113" s="2953">
        <f>'Д 3_Т на Т з ЦТП'!J38</f>
        <v>0</v>
      </c>
      <c r="P113" s="1112">
        <v>0</v>
      </c>
      <c r="Q113" s="3143">
        <f>R113+S113</f>
        <v>0</v>
      </c>
      <c r="R113" s="2953">
        <v>0</v>
      </c>
      <c r="S113" s="1112">
        <v>0</v>
      </c>
      <c r="T113" s="1895">
        <f>'Д 3.1_Т на Т без ЦТП'!G38</f>
        <v>0</v>
      </c>
      <c r="U113" s="1896">
        <f t="shared" si="51"/>
        <v>0</v>
      </c>
      <c r="V113" s="1896">
        <f t="shared" si="52"/>
        <v>0</v>
      </c>
      <c r="W113" s="1896"/>
      <c r="X113" s="1896"/>
      <c r="Y113" s="1896"/>
      <c r="AA113" s="1897" t="e">
        <f t="shared" si="53"/>
        <v>#DIV/0!</v>
      </c>
    </row>
    <row r="114" spans="1:27" s="1897" customFormat="1" ht="15.6" x14ac:dyDescent="0.3">
      <c r="A114" s="1895"/>
      <c r="B114" s="1022" t="s">
        <v>172</v>
      </c>
      <c r="C114" s="1091" t="s">
        <v>235</v>
      </c>
      <c r="D114" s="3187" t="s">
        <v>40</v>
      </c>
      <c r="E114" s="2169">
        <f>E115+E116+E117+E118+E119</f>
        <v>1931.4355685768649</v>
      </c>
      <c r="F114" s="2960">
        <f t="shared" ref="F114:S114" si="74">F115+F116+F117+F118+F119</f>
        <v>0</v>
      </c>
      <c r="G114" s="2959">
        <f t="shared" si="74"/>
        <v>1931.4355685768649</v>
      </c>
      <c r="H114" s="2169">
        <f t="shared" si="74"/>
        <v>1553.0439561365865</v>
      </c>
      <c r="I114" s="2960">
        <f t="shared" si="74"/>
        <v>0</v>
      </c>
      <c r="J114" s="2959">
        <f t="shared" si="74"/>
        <v>1553.0439561365865</v>
      </c>
      <c r="K114" s="4706">
        <f t="shared" si="74"/>
        <v>0.36010276716193629</v>
      </c>
      <c r="L114" s="4707">
        <f t="shared" si="74"/>
        <v>0</v>
      </c>
      <c r="M114" s="4708">
        <f t="shared" si="74"/>
        <v>0.36010276716193629</v>
      </c>
      <c r="N114" s="2169">
        <f t="shared" si="74"/>
        <v>284.71561550160584</v>
      </c>
      <c r="O114" s="2960">
        <f t="shared" si="74"/>
        <v>0</v>
      </c>
      <c r="P114" s="2959">
        <f t="shared" si="74"/>
        <v>284.71561550160584</v>
      </c>
      <c r="Q114" s="2169">
        <f t="shared" si="74"/>
        <v>93.315894171510536</v>
      </c>
      <c r="R114" s="2960">
        <f t="shared" si="74"/>
        <v>0</v>
      </c>
      <c r="S114" s="2959">
        <f t="shared" si="74"/>
        <v>93.315894171510536</v>
      </c>
      <c r="T114" s="1895">
        <f>'Д 3.1_Т на Т без ЦТП'!G39</f>
        <v>2071.5577204704259</v>
      </c>
      <c r="U114" s="1896">
        <f t="shared" si="51"/>
        <v>-140.12215189356107</v>
      </c>
      <c r="V114" s="1896">
        <f t="shared" si="52"/>
        <v>0</v>
      </c>
      <c r="W114" s="1896"/>
      <c r="X114" s="1896"/>
      <c r="Y114" s="1896"/>
      <c r="AA114" s="1897">
        <f t="shared" si="53"/>
        <v>0.80408789265536429</v>
      </c>
    </row>
    <row r="115" spans="1:27" ht="15.6" x14ac:dyDescent="0.3">
      <c r="A115" s="1895"/>
      <c r="B115" s="1022" t="s">
        <v>115</v>
      </c>
      <c r="C115" s="1087" t="s">
        <v>65</v>
      </c>
      <c r="D115" s="3145" t="s">
        <v>40</v>
      </c>
      <c r="E115" s="3143">
        <f>(E116+E117+E118+E119)/(100%-'Вхідні дані'!$D$46)-(E116+E117+E118+E119)</f>
        <v>347.65840234383563</v>
      </c>
      <c r="F115" s="1011"/>
      <c r="G115" s="2961">
        <f>(G116+G117+G118+G119)/(100%-'Вхідні дані'!$D$46)-(G116+G117+G118+G119)</f>
        <v>347.65840234383563</v>
      </c>
      <c r="H115" s="3143">
        <f>(H116+H117+H118+H119)/(100%-'Вхідні дані'!$D$46)-(H116+H117+H118+H119)</f>
        <v>279.54791210458552</v>
      </c>
      <c r="I115" s="1011"/>
      <c r="J115" s="2961">
        <f>(J116+J117+J118+J119)/(100%-'Вхідні дані'!$D$46)-(J116+J117+J118+J119)</f>
        <v>279.54791210458552</v>
      </c>
      <c r="K115" s="4372">
        <f>(K116+K117+K118+K119)/(100%-'Вхідні дані'!$D$46)-(K116+K117+K118+K119)</f>
        <v>6.4818498089148524E-2</v>
      </c>
      <c r="L115" s="1011"/>
      <c r="M115" s="4373">
        <f>(M116+M117+M118+M119)/(100%-'Вхідні дані'!$D$46)-(M116+M117+M118+M119)</f>
        <v>6.4818498089148524E-2</v>
      </c>
      <c r="N115" s="3143">
        <f>(N116+N117+N118+N119)/(100%-'Вхідні дані'!$D$46)-(N116+N117+N118+N119)</f>
        <v>51.248810790289014</v>
      </c>
      <c r="O115" s="1011"/>
      <c r="P115" s="2961">
        <f>(P116+P117+P118+P119)/(100%-'Вхідні дані'!$D$46)-(P116+P117+P118+P119)</f>
        <v>51.248810790289014</v>
      </c>
      <c r="Q115" s="3143">
        <f>(Q116+Q117+Q118+Q119)/(100%-'Вхідні дані'!$D$46)-(Q116+Q117+Q118+Q119)</f>
        <v>16.796860950871888</v>
      </c>
      <c r="R115" s="1011"/>
      <c r="S115" s="2961">
        <f>(S116+S117+S118+S119)/(100%-'Вхідні дані'!$D$46)-(S116+S117+S118+S119)</f>
        <v>16.796860950871888</v>
      </c>
      <c r="T115" s="1895">
        <f>'Д 3.1_Т на Т без ЦТП'!G40</f>
        <v>372.88038968467663</v>
      </c>
      <c r="U115" s="1896">
        <f t="shared" si="51"/>
        <v>-25.221987340840997</v>
      </c>
      <c r="V115" s="1896">
        <f t="shared" si="52"/>
        <v>5.6843418860808015E-14</v>
      </c>
      <c r="W115" s="1896"/>
      <c r="X115" s="1896"/>
      <c r="Y115" s="1896"/>
      <c r="AA115" s="1897">
        <f t="shared" si="53"/>
        <v>0.80408789265536418</v>
      </c>
    </row>
    <row r="116" spans="1:27" ht="15.6" x14ac:dyDescent="0.3">
      <c r="A116" s="1895"/>
      <c r="B116" s="1022" t="s">
        <v>117</v>
      </c>
      <c r="C116" s="1087" t="s">
        <v>84</v>
      </c>
      <c r="D116" s="3145" t="s">
        <v>40</v>
      </c>
      <c r="E116" s="3143">
        <f>'Д 3_Т на Т з ЦТП'!G41</f>
        <v>0</v>
      </c>
      <c r="F116" s="2953"/>
      <c r="G116" s="2961">
        <f>E116</f>
        <v>0</v>
      </c>
      <c r="H116" s="3143">
        <f>(H117+H118+H119)/(100%-'Вхідні дані'!$D$47)*'Вхідні дані'!$D$47</f>
        <v>0</v>
      </c>
      <c r="I116" s="2953"/>
      <c r="J116" s="1112">
        <f>'Д 3_Т на Т з ЦТП'!H41</f>
        <v>0</v>
      </c>
      <c r="K116" s="4372">
        <f>(K117+K118+K119)/(100%-'Вхідні дані'!$D$47)*'Вхідні дані'!$D$47</f>
        <v>0</v>
      </c>
      <c r="L116" s="2928"/>
      <c r="M116" s="4702">
        <f>'Д 3_Т на Т з ЦТП'!I41</f>
        <v>0</v>
      </c>
      <c r="N116" s="3143">
        <f>(N117+N118+N119)/(100%-'Вхідні дані'!$D$47)*'Вхідні дані'!$D$47</f>
        <v>0</v>
      </c>
      <c r="O116" s="2953"/>
      <c r="P116" s="1112">
        <f>'Д 3_Т на Т з ЦТП'!J41</f>
        <v>0</v>
      </c>
      <c r="Q116" s="3143">
        <f>(Q117+Q118+Q119)/(100%-'Вхідні дані'!$D$47)*'Вхідні дані'!$D$47</f>
        <v>0</v>
      </c>
      <c r="R116" s="2953"/>
      <c r="S116" s="1112">
        <f>'Д 3_Т на Т з ЦТП'!K41</f>
        <v>0</v>
      </c>
      <c r="T116" s="1895">
        <f>'Д 3.1_Т на Т без ЦТП'!G41</f>
        <v>0</v>
      </c>
      <c r="U116" s="1896">
        <f t="shared" si="51"/>
        <v>0</v>
      </c>
      <c r="V116" s="1896">
        <f t="shared" si="52"/>
        <v>0</v>
      </c>
      <c r="W116" s="1896"/>
      <c r="X116" s="1896"/>
      <c r="Y116" s="1896"/>
      <c r="AA116" s="1897" t="e">
        <f t="shared" si="53"/>
        <v>#DIV/0!</v>
      </c>
    </row>
    <row r="117" spans="1:27" ht="15.6" x14ac:dyDescent="0.3">
      <c r="A117" s="1895"/>
      <c r="B117" s="1022" t="s">
        <v>119</v>
      </c>
      <c r="C117" s="1087" t="s">
        <v>85</v>
      </c>
      <c r="D117" s="3145" t="s">
        <v>40</v>
      </c>
      <c r="E117" s="3143">
        <f>'Д 3_Т на Т з ЦТП'!G42</f>
        <v>0</v>
      </c>
      <c r="F117" s="2953"/>
      <c r="G117" s="2961">
        <f>E117</f>
        <v>0</v>
      </c>
      <c r="H117" s="3143">
        <f>I117+J117</f>
        <v>0</v>
      </c>
      <c r="I117" s="2953"/>
      <c r="J117" s="1112">
        <f>'Д 3_Т на Т з ЦТП'!H42</f>
        <v>0</v>
      </c>
      <c r="K117" s="4372">
        <f>L117+M117</f>
        <v>0</v>
      </c>
      <c r="L117" s="2928"/>
      <c r="M117" s="4702">
        <f>'Д 3_Т на Т з ЦТП'!I42</f>
        <v>0</v>
      </c>
      <c r="N117" s="3143">
        <f>O117+P117</f>
        <v>0</v>
      </c>
      <c r="O117" s="2953"/>
      <c r="P117" s="1112">
        <f>'Д 3_Т на Т з ЦТП'!J42</f>
        <v>0</v>
      </c>
      <c r="Q117" s="3143">
        <f>R117+S117</f>
        <v>0</v>
      </c>
      <c r="R117" s="2953"/>
      <c r="S117" s="1112">
        <f>'Д 3_Т на Т з ЦТП'!K42</f>
        <v>0</v>
      </c>
      <c r="T117" s="1895">
        <f>'Д 3.1_Т на Т без ЦТП'!G42</f>
        <v>0</v>
      </c>
      <c r="U117" s="1896">
        <f t="shared" si="51"/>
        <v>0</v>
      </c>
      <c r="V117" s="1896">
        <f t="shared" si="52"/>
        <v>0</v>
      </c>
      <c r="W117" s="1896"/>
      <c r="X117" s="1896"/>
      <c r="Y117" s="1896"/>
      <c r="AA117" s="1897" t="e">
        <f t="shared" si="53"/>
        <v>#DIV/0!</v>
      </c>
    </row>
    <row r="118" spans="1:27" ht="15.6" x14ac:dyDescent="0.3">
      <c r="A118" s="1895"/>
      <c r="B118" s="1022" t="s">
        <v>121</v>
      </c>
      <c r="C118" s="1087" t="s">
        <v>71</v>
      </c>
      <c r="D118" s="3145" t="s">
        <v>40</v>
      </c>
      <c r="E118" s="3143">
        <f>'Д 3_Т на Т з ЦТП'!G43</f>
        <v>0</v>
      </c>
      <c r="F118" s="2953"/>
      <c r="G118" s="2961">
        <f>E118</f>
        <v>0</v>
      </c>
      <c r="H118" s="3143">
        <f>I118+J118</f>
        <v>0</v>
      </c>
      <c r="I118" s="2953"/>
      <c r="J118" s="1112">
        <f>'Д 3_Т на Т з ЦТП'!H43</f>
        <v>0</v>
      </c>
      <c r="K118" s="4372">
        <f>L118+M118</f>
        <v>0</v>
      </c>
      <c r="L118" s="2928"/>
      <c r="M118" s="4702">
        <f>'Д 3_Т на Т з ЦТП'!I43</f>
        <v>0</v>
      </c>
      <c r="N118" s="3143">
        <f>O118+P118</f>
        <v>0</v>
      </c>
      <c r="O118" s="2953"/>
      <c r="P118" s="1112">
        <f>'Д 3_Т на Т з ЦТП'!J43</f>
        <v>0</v>
      </c>
      <c r="Q118" s="3143">
        <f>R118+S118</f>
        <v>0</v>
      </c>
      <c r="R118" s="2953"/>
      <c r="S118" s="1112">
        <f>'Д 3_Т на Т з ЦТП'!K43</f>
        <v>0</v>
      </c>
      <c r="T118" s="1895">
        <f>'Д 3.1_Т на Т без ЦТП'!G43</f>
        <v>0</v>
      </c>
      <c r="U118" s="1896">
        <f t="shared" si="51"/>
        <v>0</v>
      </c>
      <c r="V118" s="1896">
        <f t="shared" si="52"/>
        <v>0</v>
      </c>
      <c r="W118" s="1896"/>
      <c r="X118" s="1896"/>
      <c r="Y118" s="1896"/>
      <c r="AA118" s="1897" t="e">
        <f t="shared" si="53"/>
        <v>#DIV/0!</v>
      </c>
    </row>
    <row r="119" spans="1:27" ht="15.6" x14ac:dyDescent="0.3">
      <c r="A119" s="1895"/>
      <c r="B119" s="1022" t="s">
        <v>223</v>
      </c>
      <c r="C119" s="1087" t="s">
        <v>86</v>
      </c>
      <c r="D119" s="3145" t="s">
        <v>40</v>
      </c>
      <c r="E119" s="3142">
        <f>G119</f>
        <v>1583.7771662330292</v>
      </c>
      <c r="F119" s="1030"/>
      <c r="G119" s="1112">
        <f>E112*'Вхідні дані'!$D$45</f>
        <v>1583.7771662330292</v>
      </c>
      <c r="H119" s="3142">
        <f>J119</f>
        <v>1273.496044032001</v>
      </c>
      <c r="I119" s="1030"/>
      <c r="J119" s="1112">
        <f>H112*'Вхідні дані'!$D$45</f>
        <v>1273.496044032001</v>
      </c>
      <c r="K119" s="1018">
        <f>M119</f>
        <v>0.29528426907278776</v>
      </c>
      <c r="L119" s="1011"/>
      <c r="M119" s="1111">
        <f>M19*V30</f>
        <v>0.29528426907278776</v>
      </c>
      <c r="N119" s="3142">
        <f>P119</f>
        <v>233.46680471131683</v>
      </c>
      <c r="O119" s="1030"/>
      <c r="P119" s="1112">
        <f>V30*P19</f>
        <v>233.46680471131683</v>
      </c>
      <c r="Q119" s="3142">
        <f>S119</f>
        <v>76.519033220638647</v>
      </c>
      <c r="R119" s="1030"/>
      <c r="S119" s="1112">
        <f>S19*V30</f>
        <v>76.519033220638647</v>
      </c>
      <c r="T119" s="1895">
        <f>'Д 3.1_Т на Т без ЦТП'!G44</f>
        <v>1698.6773307857493</v>
      </c>
      <c r="U119" s="1896">
        <f t="shared" si="51"/>
        <v>-114.90016455272007</v>
      </c>
      <c r="V119" s="1896">
        <f t="shared" si="52"/>
        <v>0</v>
      </c>
      <c r="W119" s="1896"/>
      <c r="X119" s="1896"/>
      <c r="Y119" s="1896"/>
      <c r="AA119" s="1897">
        <f t="shared" si="53"/>
        <v>0.80408789265536429</v>
      </c>
    </row>
    <row r="120" spans="1:27" ht="27" thickBot="1" x14ac:dyDescent="0.35">
      <c r="A120" s="1895"/>
      <c r="B120" s="1070" t="s">
        <v>187</v>
      </c>
      <c r="C120" s="1092" t="s">
        <v>576</v>
      </c>
      <c r="D120" s="3145" t="s">
        <v>40</v>
      </c>
      <c r="E120" s="2169">
        <f>E114+E113+E112</f>
        <v>43609.782048393427</v>
      </c>
      <c r="F120" s="2960">
        <f t="shared" ref="F120:S120" si="75">F114+F113+F112</f>
        <v>11016.842326985552</v>
      </c>
      <c r="G120" s="2959">
        <f t="shared" si="75"/>
        <v>32592.939721407871</v>
      </c>
      <c r="H120" s="2169">
        <f>ROUND(H114+H113+H112,2)</f>
        <v>35066.1</v>
      </c>
      <c r="I120" s="2960">
        <f t="shared" si="75"/>
        <v>9148.3083019925689</v>
      </c>
      <c r="J120" s="2959">
        <f t="shared" si="75"/>
        <v>25917.789444459831</v>
      </c>
      <c r="K120" s="4706">
        <f t="shared" si="75"/>
        <v>8.1307414269721416</v>
      </c>
      <c r="L120" s="4707">
        <f t="shared" si="75"/>
        <v>1.7782219552829077</v>
      </c>
      <c r="M120" s="4708">
        <f t="shared" si="75"/>
        <v>6.3525194716892326</v>
      </c>
      <c r="N120" s="2169">
        <f t="shared" si="75"/>
        <v>6428.5788973783619</v>
      </c>
      <c r="O120" s="2960">
        <f t="shared" si="75"/>
        <v>1405.9529797202788</v>
      </c>
      <c r="P120" s="2959">
        <f t="shared" si="75"/>
        <v>5022.6259176580834</v>
      </c>
      <c r="Q120" s="2169">
        <f t="shared" si="75"/>
        <v>2106.9746631356852</v>
      </c>
      <c r="R120" s="2960">
        <f t="shared" si="75"/>
        <v>460.80282331742171</v>
      </c>
      <c r="S120" s="2959">
        <f t="shared" si="75"/>
        <v>1646.1718398182634</v>
      </c>
      <c r="T120" s="1895">
        <f>'Д 3.1_Т на Т без ЦТП'!G45</f>
        <v>46773.592741148037</v>
      </c>
      <c r="U120" s="1896">
        <f t="shared" si="51"/>
        <v>-3163.8106927546105</v>
      </c>
      <c r="V120" s="1896">
        <f t="shared" si="52"/>
        <v>-2.2535475914082781E-3</v>
      </c>
      <c r="W120" s="1896"/>
      <c r="X120" s="1896"/>
      <c r="Y120" s="1896"/>
    </row>
    <row r="121" spans="1:27" ht="32.25" customHeight="1" x14ac:dyDescent="0.3">
      <c r="B121" s="2170" t="s">
        <v>188</v>
      </c>
      <c r="C121" s="1064" t="s">
        <v>2196</v>
      </c>
      <c r="D121" s="1076" t="s">
        <v>74</v>
      </c>
      <c r="E121" s="2171">
        <f>'Д 3.1_Т на Т без ЦТП'!G46</f>
        <v>568.00194013769772</v>
      </c>
      <c r="F121" s="2962" t="s">
        <v>317</v>
      </c>
      <c r="G121" s="2963" t="s">
        <v>317</v>
      </c>
      <c r="H121" s="2171">
        <f>'Д 3.1_Т на Т без ЦТП'!H46</f>
        <v>551.32054832629467</v>
      </c>
      <c r="I121" s="2962" t="s">
        <v>317</v>
      </c>
      <c r="J121" s="2963" t="s">
        <v>317</v>
      </c>
      <c r="K121" s="2171">
        <f>'Д 3.1_Т на Т без ЦТП'!I46</f>
        <v>649.6737283715903</v>
      </c>
      <c r="L121" s="2962" t="s">
        <v>317</v>
      </c>
      <c r="M121" s="2963" t="s">
        <v>317</v>
      </c>
      <c r="N121" s="2171">
        <f>'Д 3.1_Т на Т без ЦТП'!J46</f>
        <v>649.67372837159041</v>
      </c>
      <c r="O121" s="2962" t="s">
        <v>317</v>
      </c>
      <c r="P121" s="2963" t="s">
        <v>317</v>
      </c>
      <c r="Q121" s="2171">
        <f>'Д 3.1_Т на Т без ЦТП'!K46</f>
        <v>649.67372837159019</v>
      </c>
      <c r="R121" s="2962" t="s">
        <v>317</v>
      </c>
      <c r="S121" s="2963" t="s">
        <v>317</v>
      </c>
      <c r="T121" s="2157">
        <f>'Д 3.1_Т на Т без ЦТП'!G46</f>
        <v>568.00194013769772</v>
      </c>
      <c r="U121" s="1896">
        <f t="shared" si="51"/>
        <v>0</v>
      </c>
      <c r="V121" s="1896"/>
      <c r="W121" s="1896"/>
      <c r="X121" s="1896"/>
      <c r="Y121" s="1896"/>
    </row>
    <row r="122" spans="1:27" ht="36" customHeight="1" x14ac:dyDescent="0.3">
      <c r="B122" s="2172" t="s">
        <v>189</v>
      </c>
      <c r="C122" s="1023" t="s">
        <v>2197</v>
      </c>
      <c r="D122" s="3145" t="s">
        <v>74</v>
      </c>
      <c r="E122" s="3143">
        <f>E121*1.2</f>
        <v>681.60232816523728</v>
      </c>
      <c r="F122" s="1011" t="s">
        <v>317</v>
      </c>
      <c r="G122" s="1111" t="s">
        <v>317</v>
      </c>
      <c r="H122" s="3143">
        <f>H121*1.2</f>
        <v>661.58465799155363</v>
      </c>
      <c r="I122" s="1011" t="s">
        <v>317</v>
      </c>
      <c r="J122" s="1111" t="s">
        <v>317</v>
      </c>
      <c r="K122" s="4372">
        <f>K121*1.2</f>
        <v>779.60847404590834</v>
      </c>
      <c r="L122" s="1011" t="s">
        <v>317</v>
      </c>
      <c r="M122" s="1111" t="s">
        <v>317</v>
      </c>
      <c r="N122" s="4372">
        <f>N121*1.2</f>
        <v>779.60847404590845</v>
      </c>
      <c r="O122" s="1011" t="s">
        <v>317</v>
      </c>
      <c r="P122" s="1111" t="s">
        <v>317</v>
      </c>
      <c r="Q122" s="4372">
        <f>Q121*1.2</f>
        <v>779.60847404590822</v>
      </c>
      <c r="R122" s="1011" t="s">
        <v>317</v>
      </c>
      <c r="S122" s="1111" t="s">
        <v>317</v>
      </c>
      <c r="U122" s="1005">
        <f>(P112+O112)*'Вхідні дані'!D45</f>
        <v>233.46680471131674</v>
      </c>
    </row>
    <row r="123" spans="1:27" ht="36" customHeight="1" x14ac:dyDescent="0.3">
      <c r="B123" s="2172" t="s">
        <v>190</v>
      </c>
      <c r="C123" s="1023" t="s">
        <v>2198</v>
      </c>
      <c r="D123" s="3140" t="s">
        <v>2049</v>
      </c>
      <c r="E123" s="1018" t="s">
        <v>317</v>
      </c>
      <c r="F123" s="2952" t="s">
        <v>317</v>
      </c>
      <c r="G123" s="1111" t="s">
        <v>317</v>
      </c>
      <c r="H123" s="2165" t="s">
        <v>317</v>
      </c>
      <c r="I123" s="1011" t="s">
        <v>317</v>
      </c>
      <c r="J123" s="1111" t="s">
        <v>317</v>
      </c>
      <c r="K123" s="1018" t="s">
        <v>317</v>
      </c>
      <c r="L123" s="1011" t="s">
        <v>317</v>
      </c>
      <c r="M123" s="1111" t="s">
        <v>317</v>
      </c>
      <c r="N123" s="2165" t="s">
        <v>317</v>
      </c>
      <c r="O123" s="1011" t="s">
        <v>317</v>
      </c>
      <c r="P123" s="1111" t="s">
        <v>317</v>
      </c>
      <c r="Q123" s="1018" t="s">
        <v>317</v>
      </c>
      <c r="R123" s="1011" t="s">
        <v>317</v>
      </c>
      <c r="S123" s="1111" t="s">
        <v>317</v>
      </c>
    </row>
    <row r="124" spans="1:27" ht="15.6" x14ac:dyDescent="0.3">
      <c r="B124" s="2172" t="s">
        <v>93</v>
      </c>
      <c r="C124" s="1024" t="s">
        <v>2172</v>
      </c>
      <c r="D124" s="3140" t="s">
        <v>2190</v>
      </c>
      <c r="E124" s="3143">
        <f>F124</f>
        <v>133.78</v>
      </c>
      <c r="F124" s="2953">
        <f>ROUND(F120/F16,2)</f>
        <v>133.78</v>
      </c>
      <c r="G124" s="1111" t="s">
        <v>317</v>
      </c>
      <c r="H124" s="3143">
        <f>I124</f>
        <v>133.78</v>
      </c>
      <c r="I124" s="2953">
        <f>ROUND(I120/I16,2)</f>
        <v>133.78</v>
      </c>
      <c r="J124" s="1111" t="s">
        <v>317</v>
      </c>
      <c r="K124" s="3143">
        <f>L124</f>
        <v>133.78</v>
      </c>
      <c r="L124" s="2953">
        <f>ROUND(L120/L16,2)</f>
        <v>133.78</v>
      </c>
      <c r="M124" s="1111" t="s">
        <v>317</v>
      </c>
      <c r="N124" s="2166">
        <f>O124</f>
        <v>133.78</v>
      </c>
      <c r="O124" s="2953">
        <f>ROUND(O120/O16,2)</f>
        <v>133.78</v>
      </c>
      <c r="P124" s="1111" t="s">
        <v>317</v>
      </c>
      <c r="Q124" s="3143">
        <f>R124</f>
        <v>133.78</v>
      </c>
      <c r="R124" s="2953">
        <f>ROUND(R120/R16,2)</f>
        <v>133.78</v>
      </c>
      <c r="S124" s="1111" t="s">
        <v>317</v>
      </c>
    </row>
    <row r="125" spans="1:27" ht="31.2" x14ac:dyDescent="0.3">
      <c r="B125" s="2172" t="s">
        <v>94</v>
      </c>
      <c r="C125" s="1024" t="s">
        <v>2326</v>
      </c>
      <c r="D125" s="3140" t="s">
        <v>2194</v>
      </c>
      <c r="E125" s="3143">
        <f>G125</f>
        <v>45514.89</v>
      </c>
      <c r="F125" s="2952" t="s">
        <v>317</v>
      </c>
      <c r="G125" s="1112">
        <f>ROUND(G120/G19*1000/12,2)</f>
        <v>45514.89</v>
      </c>
      <c r="H125" s="3143">
        <f>J125</f>
        <v>43585.7</v>
      </c>
      <c r="I125" s="2952" t="s">
        <v>317</v>
      </c>
      <c r="J125" s="1112">
        <f>ROUND(J120/J19*1000/12,2)</f>
        <v>43585.7</v>
      </c>
      <c r="K125" s="3143">
        <f>M125</f>
        <v>54960.2</v>
      </c>
      <c r="L125" s="2952" t="s">
        <v>317</v>
      </c>
      <c r="M125" s="1112">
        <f>ROUND(M120/M19*1000/12,2)</f>
        <v>54960.2</v>
      </c>
      <c r="N125" s="2166">
        <f>P125</f>
        <v>54960.2</v>
      </c>
      <c r="O125" s="1011" t="s">
        <v>317</v>
      </c>
      <c r="P125" s="1112">
        <f>ROUND(P120/P19*1000/12,2)</f>
        <v>54960.2</v>
      </c>
      <c r="Q125" s="3143">
        <f>S125</f>
        <v>54960.2</v>
      </c>
      <c r="R125" s="2952" t="s">
        <v>317</v>
      </c>
      <c r="S125" s="1112">
        <f>ROUND(S120/S19*1000/12,2)</f>
        <v>54960.2</v>
      </c>
      <c r="T125" s="4312">
        <f>G125</f>
        <v>45514.89</v>
      </c>
      <c r="U125" s="1005">
        <f>'ТЕ_2ст_тариф_з ЦТП'!W125-'ТЕ_2ст_тариф_без ЦТП'!T125</f>
        <v>-39077.251666666663</v>
      </c>
    </row>
    <row r="126" spans="1:27" ht="36" customHeight="1" x14ac:dyDescent="0.3">
      <c r="B126" s="2172" t="s">
        <v>191</v>
      </c>
      <c r="C126" s="1023" t="s">
        <v>2210</v>
      </c>
      <c r="D126" s="3140" t="s">
        <v>2049</v>
      </c>
      <c r="E126" s="1018" t="s">
        <v>317</v>
      </c>
      <c r="F126" s="2952" t="s">
        <v>317</v>
      </c>
      <c r="G126" s="1111" t="s">
        <v>317</v>
      </c>
      <c r="H126" s="1018" t="s">
        <v>317</v>
      </c>
      <c r="I126" s="2952" t="s">
        <v>317</v>
      </c>
      <c r="J126" s="1111" t="s">
        <v>317</v>
      </c>
      <c r="K126" s="1018" t="s">
        <v>317</v>
      </c>
      <c r="L126" s="2952" t="s">
        <v>317</v>
      </c>
      <c r="M126" s="1111" t="s">
        <v>317</v>
      </c>
      <c r="N126" s="1018" t="s">
        <v>317</v>
      </c>
      <c r="O126" s="2952" t="s">
        <v>317</v>
      </c>
      <c r="P126" s="1111" t="s">
        <v>317</v>
      </c>
      <c r="Q126" s="1018" t="s">
        <v>317</v>
      </c>
      <c r="R126" s="2952" t="s">
        <v>317</v>
      </c>
      <c r="S126" s="1111" t="s">
        <v>317</v>
      </c>
    </row>
    <row r="127" spans="1:27" ht="15.6" x14ac:dyDescent="0.3">
      <c r="B127" s="2172" t="s">
        <v>236</v>
      </c>
      <c r="C127" s="1024" t="s">
        <v>2172</v>
      </c>
      <c r="D127" s="3140" t="s">
        <v>2190</v>
      </c>
      <c r="E127" s="2166">
        <f>E124*1.2</f>
        <v>160.536</v>
      </c>
      <c r="F127" s="1030">
        <f>F124*1.2</f>
        <v>160.536</v>
      </c>
      <c r="G127" s="1111" t="s">
        <v>317</v>
      </c>
      <c r="H127" s="2166">
        <f>H124*1.2</f>
        <v>160.536</v>
      </c>
      <c r="I127" s="1030">
        <f>I124*1.2</f>
        <v>160.536</v>
      </c>
      <c r="J127" s="1111" t="s">
        <v>317</v>
      </c>
      <c r="K127" s="2166">
        <f>K124*1.2</f>
        <v>160.536</v>
      </c>
      <c r="L127" s="1030">
        <f>L124*1.2</f>
        <v>160.536</v>
      </c>
      <c r="M127" s="1111" t="s">
        <v>317</v>
      </c>
      <c r="N127" s="2166">
        <f>N124*1.2</f>
        <v>160.536</v>
      </c>
      <c r="O127" s="1030">
        <f>O124*1.2</f>
        <v>160.536</v>
      </c>
      <c r="P127" s="1111" t="s">
        <v>317</v>
      </c>
      <c r="Q127" s="2166">
        <f>Q124*1.2</f>
        <v>160.536</v>
      </c>
      <c r="R127" s="1030">
        <f>R124*1.2</f>
        <v>160.536</v>
      </c>
      <c r="S127" s="1111" t="s">
        <v>317</v>
      </c>
    </row>
    <row r="128" spans="1:27" ht="31.8" thickBot="1" x14ac:dyDescent="0.35">
      <c r="B128" s="1078" t="s">
        <v>237</v>
      </c>
      <c r="C128" s="1025" t="s">
        <v>2326</v>
      </c>
      <c r="D128" s="1075" t="s">
        <v>2194</v>
      </c>
      <c r="E128" s="1027">
        <f>E125*1.2</f>
        <v>54617.867999999995</v>
      </c>
      <c r="F128" s="2955" t="s">
        <v>317</v>
      </c>
      <c r="G128" s="1032">
        <f>G125*1.2</f>
        <v>54617.867999999995</v>
      </c>
      <c r="H128" s="1027">
        <f>H125*1.2</f>
        <v>52302.84</v>
      </c>
      <c r="I128" s="2955" t="s">
        <v>317</v>
      </c>
      <c r="J128" s="1032">
        <f>J125*1.2</f>
        <v>52302.84</v>
      </c>
      <c r="K128" s="1027">
        <f>K125*1.2</f>
        <v>65952.239999999991</v>
      </c>
      <c r="L128" s="2955" t="s">
        <v>317</v>
      </c>
      <c r="M128" s="1032">
        <f>M125*1.2</f>
        <v>65952.239999999991</v>
      </c>
      <c r="N128" s="1027">
        <f>N125*1.2</f>
        <v>65952.239999999991</v>
      </c>
      <c r="O128" s="2955" t="s">
        <v>317</v>
      </c>
      <c r="P128" s="1032">
        <f>P125*1.2</f>
        <v>65952.239999999991</v>
      </c>
      <c r="Q128" s="1027">
        <f>Q125*1.2</f>
        <v>65952.239999999991</v>
      </c>
      <c r="R128" s="2955" t="s">
        <v>317</v>
      </c>
      <c r="S128" s="1032">
        <f>S125*1.2</f>
        <v>65952.239999999991</v>
      </c>
    </row>
    <row r="129" spans="2:27" ht="16.2" thickBot="1" x14ac:dyDescent="0.35">
      <c r="B129" s="2173"/>
      <c r="C129" s="5134" t="s">
        <v>2</v>
      </c>
      <c r="D129" s="5134"/>
      <c r="E129" s="5134"/>
      <c r="F129" s="5134"/>
      <c r="G129" s="5134"/>
      <c r="H129" s="5134"/>
      <c r="I129" s="5134"/>
      <c r="J129" s="5134"/>
      <c r="K129" s="5134"/>
      <c r="L129" s="5134"/>
      <c r="M129" s="5134"/>
      <c r="N129" s="5134"/>
      <c r="O129" s="5134"/>
      <c r="P129" s="5134"/>
      <c r="Q129" s="5134"/>
      <c r="R129" s="5134"/>
      <c r="S129" s="5169"/>
    </row>
    <row r="130" spans="2:27" ht="15.6" x14ac:dyDescent="0.3">
      <c r="B130" s="2174">
        <v>1</v>
      </c>
      <c r="C130" s="1093" t="s">
        <v>215</v>
      </c>
      <c r="D130" s="2760" t="s">
        <v>40</v>
      </c>
      <c r="E130" s="2175">
        <f>E131+E132+E133+E137</f>
        <v>1882.449193542265</v>
      </c>
      <c r="F130" s="2937"/>
      <c r="G130" s="2964">
        <f t="shared" ref="G130:S130" si="76">G131+G132+G133+G137</f>
        <v>1882.449193542265</v>
      </c>
      <c r="H130" s="2175">
        <f t="shared" si="76"/>
        <v>1563.3644607782335</v>
      </c>
      <c r="I130" s="2937"/>
      <c r="J130" s="2964">
        <f t="shared" si="76"/>
        <v>1563.3644607782335</v>
      </c>
      <c r="K130" s="4709">
        <f t="shared" si="76"/>
        <v>0.25325769273514848</v>
      </c>
      <c r="L130" s="2937"/>
      <c r="M130" s="4710">
        <f t="shared" si="76"/>
        <v>0.25325769273514848</v>
      </c>
      <c r="N130" s="2965">
        <f t="shared" si="76"/>
        <v>238.54577930208666</v>
      </c>
      <c r="O130" s="2937"/>
      <c r="P130" s="2964">
        <f t="shared" si="76"/>
        <v>238.54577930208666</v>
      </c>
      <c r="Q130" s="2965">
        <f t="shared" si="76"/>
        <v>80.285695769209624</v>
      </c>
      <c r="R130" s="2937"/>
      <c r="S130" s="2964">
        <f t="shared" si="76"/>
        <v>80.285695769209624</v>
      </c>
      <c r="T130" s="2158">
        <f>T14-T17</f>
        <v>-7.2241806237105521E-7</v>
      </c>
      <c r="U130" s="2158">
        <f>U14-U17</f>
        <v>5.7338353390366109E-10</v>
      </c>
      <c r="V130" s="2158"/>
      <c r="W130" s="2158"/>
      <c r="X130" s="2158"/>
      <c r="Y130" s="2158"/>
      <c r="Z130" s="2158">
        <f>V14-V17</f>
        <v>5.4007529032285007E-7</v>
      </c>
      <c r="AA130" s="2158">
        <f>W14-W17</f>
        <v>1.817693885824978E-7</v>
      </c>
    </row>
    <row r="131" spans="2:27" ht="15.6" x14ac:dyDescent="0.3">
      <c r="B131" s="2176" t="s">
        <v>23</v>
      </c>
      <c r="C131" s="1094" t="s">
        <v>102</v>
      </c>
      <c r="D131" s="3140" t="s">
        <v>40</v>
      </c>
      <c r="E131" s="2177">
        <f>'Д 4_Т на П'!G12</f>
        <v>16.205225647500001</v>
      </c>
      <c r="F131" s="1011"/>
      <c r="G131" s="2966">
        <f>E131</f>
        <v>16.205225647500001</v>
      </c>
      <c r="H131" s="3142">
        <f>E131*$H$17/$E$17</f>
        <v>13.458357305527256</v>
      </c>
      <c r="I131" s="1011"/>
      <c r="J131" s="2966">
        <f>H131</f>
        <v>13.458357305527256</v>
      </c>
      <c r="K131" s="1018">
        <f>E131*$K$17/$E$17</f>
        <v>2.1801906111556133E-3</v>
      </c>
      <c r="L131" s="1011"/>
      <c r="M131" s="1111">
        <f>K131</f>
        <v>2.1801906111556133E-3</v>
      </c>
      <c r="N131" s="3142">
        <f>E131*$N$17/$E$17</f>
        <v>2.0535418401252361</v>
      </c>
      <c r="O131" s="1011"/>
      <c r="P131" s="2966">
        <f>N131</f>
        <v>2.0535418401252361</v>
      </c>
      <c r="Q131" s="3142">
        <f>E131*$Q$17/$E$17</f>
        <v>0.69114631123635006</v>
      </c>
      <c r="R131" s="1011"/>
      <c r="S131" s="2966">
        <f>Q131</f>
        <v>0.69114631123635006</v>
      </c>
    </row>
    <row r="132" spans="2:27" ht="15.6" x14ac:dyDescent="0.3">
      <c r="B132" s="2176" t="s">
        <v>24</v>
      </c>
      <c r="C132" s="1094" t="s">
        <v>47</v>
      </c>
      <c r="D132" s="3140" t="s">
        <v>40</v>
      </c>
      <c r="E132" s="2177">
        <f>'Д 4_Т на П'!G13</f>
        <v>754.48063799999989</v>
      </c>
      <c r="F132" s="1011"/>
      <c r="G132" s="2966">
        <f>E132</f>
        <v>754.48063799999989</v>
      </c>
      <c r="H132" s="3142">
        <f>E132*$H$17/$E$17</f>
        <v>626.59232442546363</v>
      </c>
      <c r="I132" s="1011"/>
      <c r="J132" s="2966">
        <f>H132</f>
        <v>626.59232442546363</v>
      </c>
      <c r="K132" s="1018">
        <f>E132*$K$17/$E$17</f>
        <v>0.10150501073214364</v>
      </c>
      <c r="L132" s="1011"/>
      <c r="M132" s="1111">
        <f>K132</f>
        <v>0.10150501073214364</v>
      </c>
      <c r="N132" s="3142">
        <f>E132*$N$17/$E$17</f>
        <v>95.608514895095155</v>
      </c>
      <c r="O132" s="1011"/>
      <c r="P132" s="2966">
        <f>N132</f>
        <v>95.608514895095155</v>
      </c>
      <c r="Q132" s="3142">
        <f>E132*$Q$17/$E$17</f>
        <v>32.178293668708868</v>
      </c>
      <c r="R132" s="1011"/>
      <c r="S132" s="2966">
        <f>Q132</f>
        <v>32.178293668708868</v>
      </c>
    </row>
    <row r="133" spans="2:27" ht="15.6" x14ac:dyDescent="0.3">
      <c r="B133" s="2176" t="s">
        <v>48</v>
      </c>
      <c r="C133" s="1094" t="s">
        <v>217</v>
      </c>
      <c r="D133" s="3140" t="s">
        <v>40</v>
      </c>
      <c r="E133" s="2177">
        <f>E134+E135+E136</f>
        <v>1045.9627763240737</v>
      </c>
      <c r="F133" s="1011"/>
      <c r="G133" s="2966">
        <f t="shared" ref="G133:S133" si="77">G134+G135+G136</f>
        <v>1045.9627763240737</v>
      </c>
      <c r="H133" s="2177">
        <f t="shared" si="77"/>
        <v>868.66675467875007</v>
      </c>
      <c r="I133" s="1011"/>
      <c r="J133" s="2966">
        <f t="shared" si="77"/>
        <v>868.66675467875007</v>
      </c>
      <c r="K133" s="1018">
        <f t="shared" si="77"/>
        <v>0.14071993035850164</v>
      </c>
      <c r="L133" s="1011"/>
      <c r="M133" s="1111">
        <f t="shared" si="77"/>
        <v>0.14071993035850164</v>
      </c>
      <c r="N133" s="3142">
        <f t="shared" si="77"/>
        <v>132.54541288824342</v>
      </c>
      <c r="O133" s="1011"/>
      <c r="P133" s="2966">
        <f t="shared" si="77"/>
        <v>132.54541288824342</v>
      </c>
      <c r="Q133" s="3142">
        <f t="shared" si="77"/>
        <v>44.609888826721743</v>
      </c>
      <c r="R133" s="1011"/>
      <c r="S133" s="2966">
        <f t="shared" si="77"/>
        <v>44.609888826721743</v>
      </c>
    </row>
    <row r="134" spans="2:27" ht="26.4" x14ac:dyDescent="0.3">
      <c r="B134" s="2176" t="s">
        <v>49</v>
      </c>
      <c r="C134" s="1094" t="s">
        <v>452</v>
      </c>
      <c r="D134" s="3140" t="s">
        <v>40</v>
      </c>
      <c r="E134" s="2177">
        <f>'Д 4_Т на П'!G15</f>
        <v>165.98574035999997</v>
      </c>
      <c r="F134" s="1011"/>
      <c r="G134" s="2966">
        <f>E134</f>
        <v>165.98574035999997</v>
      </c>
      <c r="H134" s="3142">
        <f>E134*$H$17/$E$17</f>
        <v>137.85031137360201</v>
      </c>
      <c r="I134" s="1011"/>
      <c r="J134" s="2966">
        <f>H134</f>
        <v>137.85031137360201</v>
      </c>
      <c r="K134" s="1018">
        <f>E134*$K$17/$E$17</f>
        <v>2.2331102361071602E-2</v>
      </c>
      <c r="L134" s="1011"/>
      <c r="M134" s="1111">
        <f>K134</f>
        <v>2.2331102361071602E-2</v>
      </c>
      <c r="N134" s="3142">
        <f>E134*$N$17/$E$17</f>
        <v>21.033873276920936</v>
      </c>
      <c r="O134" s="1011"/>
      <c r="P134" s="2966">
        <f>N134</f>
        <v>21.033873276920936</v>
      </c>
      <c r="Q134" s="3142">
        <f>E134*$Q$17/$E$17</f>
        <v>7.0792246071159504</v>
      </c>
      <c r="R134" s="1011"/>
      <c r="S134" s="2966">
        <f>Q134</f>
        <v>7.0792246071159504</v>
      </c>
    </row>
    <row r="135" spans="2:27" ht="15.6" x14ac:dyDescent="0.3">
      <c r="B135" s="2176" t="s">
        <v>50</v>
      </c>
      <c r="C135" s="1094" t="s">
        <v>460</v>
      </c>
      <c r="D135" s="3140" t="s">
        <v>40</v>
      </c>
      <c r="E135" s="2177">
        <f>'Д 4_Т на П'!G16</f>
        <v>843.99335000000065</v>
      </c>
      <c r="F135" s="1011"/>
      <c r="G135" s="2966">
        <f>E135</f>
        <v>843.99335000000065</v>
      </c>
      <c r="H135" s="3142">
        <f>E135*$H$17/$E$17</f>
        <v>700.9321755134747</v>
      </c>
      <c r="I135" s="1011"/>
      <c r="J135" s="2966">
        <f>H135</f>
        <v>700.9321755134747</v>
      </c>
      <c r="K135" s="1018">
        <f>E135*$K$17/$E$17</f>
        <v>0.11354771711134083</v>
      </c>
      <c r="L135" s="1011"/>
      <c r="M135" s="1111">
        <f>K135</f>
        <v>0.11354771711134083</v>
      </c>
      <c r="N135" s="3142">
        <f>E135*$N$17/$E$17</f>
        <v>106.95165218386471</v>
      </c>
      <c r="O135" s="1011"/>
      <c r="P135" s="2966">
        <f>N135</f>
        <v>106.95165218386471</v>
      </c>
      <c r="Q135" s="3142">
        <f>E135*$Q$17/$E$17</f>
        <v>35.995974585549817</v>
      </c>
      <c r="R135" s="1011"/>
      <c r="S135" s="2966">
        <f>Q135</f>
        <v>35.995974585549817</v>
      </c>
    </row>
    <row r="136" spans="2:27" ht="15.6" x14ac:dyDescent="0.3">
      <c r="B136" s="2176" t="s">
        <v>51</v>
      </c>
      <c r="C136" s="1094" t="s">
        <v>52</v>
      </c>
      <c r="D136" s="3140" t="s">
        <v>40</v>
      </c>
      <c r="E136" s="2177">
        <f>'Д 4_Т на П'!G17</f>
        <v>35.983685964073175</v>
      </c>
      <c r="F136" s="1011"/>
      <c r="G136" s="2966">
        <f>E136</f>
        <v>35.983685964073175</v>
      </c>
      <c r="H136" s="3142">
        <f>E136*$H$17/$E$17</f>
        <v>29.884267791673331</v>
      </c>
      <c r="I136" s="1011"/>
      <c r="J136" s="2966">
        <f>H136</f>
        <v>29.884267791673331</v>
      </c>
      <c r="K136" s="1018">
        <f>E136*$K$17/$E$17</f>
        <v>4.8411108860892133E-3</v>
      </c>
      <c r="L136" s="1011"/>
      <c r="M136" s="1111">
        <f>K136</f>
        <v>4.8411108860892133E-3</v>
      </c>
      <c r="N136" s="3142">
        <f>E136*$N$17/$E$17</f>
        <v>4.5598874274577703</v>
      </c>
      <c r="O136" s="1011"/>
      <c r="P136" s="2966">
        <f>N136</f>
        <v>4.5598874274577703</v>
      </c>
      <c r="Q136" s="3142">
        <f>E136*$Q$17/$E$17</f>
        <v>1.5346896340559826</v>
      </c>
      <c r="R136" s="1011"/>
      <c r="S136" s="2966">
        <f>Q136</f>
        <v>1.5346896340559826</v>
      </c>
    </row>
    <row r="137" spans="2:27" ht="15.6" x14ac:dyDescent="0.3">
      <c r="B137" s="2176" t="s">
        <v>53</v>
      </c>
      <c r="C137" s="1095" t="s">
        <v>218</v>
      </c>
      <c r="D137" s="3186" t="s">
        <v>40</v>
      </c>
      <c r="E137" s="2178">
        <f>E138+E139+E140</f>
        <v>65.800553570691349</v>
      </c>
      <c r="F137" s="1011"/>
      <c r="G137" s="2967">
        <f t="shared" ref="G137:S137" si="78">G138+G139+G140</f>
        <v>65.800553570691349</v>
      </c>
      <c r="H137" s="2178">
        <f t="shared" si="78"/>
        <v>54.647024368492467</v>
      </c>
      <c r="I137" s="1011"/>
      <c r="J137" s="2967">
        <f t="shared" si="78"/>
        <v>54.647024368492467</v>
      </c>
      <c r="K137" s="4370">
        <f t="shared" si="78"/>
        <v>8.8525610333475765E-3</v>
      </c>
      <c r="L137" s="1011"/>
      <c r="M137" s="4371">
        <f t="shared" si="78"/>
        <v>8.8525610333475765E-3</v>
      </c>
      <c r="N137" s="2161">
        <f t="shared" si="78"/>
        <v>8.3383096786228617</v>
      </c>
      <c r="O137" s="1011"/>
      <c r="P137" s="2967">
        <f t="shared" si="78"/>
        <v>8.3383096786228617</v>
      </c>
      <c r="Q137" s="2161">
        <f t="shared" si="78"/>
        <v>2.806366962542671</v>
      </c>
      <c r="R137" s="1011"/>
      <c r="S137" s="2967">
        <f t="shared" si="78"/>
        <v>2.806366962542671</v>
      </c>
    </row>
    <row r="138" spans="2:27" ht="15.6" x14ac:dyDescent="0.3">
      <c r="B138" s="2176" t="s">
        <v>54</v>
      </c>
      <c r="C138" s="1094" t="s">
        <v>55</v>
      </c>
      <c r="D138" s="3140" t="s">
        <v>40</v>
      </c>
      <c r="E138" s="2177">
        <f>'Д 4_Т на П'!G19</f>
        <v>50.279889693741083</v>
      </c>
      <c r="F138" s="1011"/>
      <c r="G138" s="2966">
        <f>E138</f>
        <v>50.279889693741083</v>
      </c>
      <c r="H138" s="3142">
        <f>E138*$H$17/$E$17</f>
        <v>41.757192124335397</v>
      </c>
      <c r="I138" s="1011"/>
      <c r="J138" s="2966">
        <f>H138</f>
        <v>41.757192124335397</v>
      </c>
      <c r="K138" s="1018">
        <f>E138*$K$17/$E$17</f>
        <v>6.7644688093032122E-3</v>
      </c>
      <c r="L138" s="1011"/>
      <c r="M138" s="1111">
        <f>K138</f>
        <v>6.7644688093032122E-3</v>
      </c>
      <c r="N138" s="3142">
        <f>E138*$N$17/$E$17</f>
        <v>6.3715161670030644</v>
      </c>
      <c r="O138" s="1011"/>
      <c r="P138" s="2966">
        <f>N138</f>
        <v>6.3715161670030644</v>
      </c>
      <c r="Q138" s="3142">
        <f>E138*$Q$17/$E$17</f>
        <v>2.144416933593317</v>
      </c>
      <c r="R138" s="1011"/>
      <c r="S138" s="2966">
        <f>Q138</f>
        <v>2.144416933593317</v>
      </c>
    </row>
    <row r="139" spans="2:27" ht="26.4" x14ac:dyDescent="0.3">
      <c r="B139" s="2176" t="s">
        <v>56</v>
      </c>
      <c r="C139" s="1094" t="s">
        <v>452</v>
      </c>
      <c r="D139" s="3140" t="s">
        <v>40</v>
      </c>
      <c r="E139" s="2177">
        <f>'Д 4_Т на П'!G20</f>
        <v>10.73236983354378</v>
      </c>
      <c r="F139" s="1011"/>
      <c r="G139" s="2966">
        <f>E139</f>
        <v>10.73236983354378</v>
      </c>
      <c r="H139" s="3142">
        <f>E139*$H$17/$E$17</f>
        <v>8.9131784460636148</v>
      </c>
      <c r="I139" s="1011"/>
      <c r="J139" s="2966">
        <f>H139</f>
        <v>8.9131784460636148</v>
      </c>
      <c r="K139" s="1018">
        <f>E139*$K$17/$E$17</f>
        <v>1.4438930043625536E-3</v>
      </c>
      <c r="L139" s="1011"/>
      <c r="M139" s="1111">
        <f>K139</f>
        <v>1.4438930043625536E-3</v>
      </c>
      <c r="N139" s="3142">
        <f>E139*$N$17/$E$17</f>
        <v>1.360016267362504</v>
      </c>
      <c r="O139" s="1011"/>
      <c r="P139" s="2966">
        <f>N139</f>
        <v>1.360016267362504</v>
      </c>
      <c r="Q139" s="3142">
        <f>E139*$Q$17/$E$17</f>
        <v>0.45773122711329789</v>
      </c>
      <c r="R139" s="1011"/>
      <c r="S139" s="2966">
        <f>Q139</f>
        <v>0.45773122711329789</v>
      </c>
    </row>
    <row r="140" spans="2:27" ht="15.6" x14ac:dyDescent="0.3">
      <c r="B140" s="2176" t="s">
        <v>57</v>
      </c>
      <c r="C140" s="1094" t="s">
        <v>58</v>
      </c>
      <c r="D140" s="3140" t="s">
        <v>40</v>
      </c>
      <c r="E140" s="2177">
        <f>'Д 4_Т на П'!G21</f>
        <v>4.788294043406486</v>
      </c>
      <c r="F140" s="1011"/>
      <c r="G140" s="2966">
        <f>E140</f>
        <v>4.788294043406486</v>
      </c>
      <c r="H140" s="3142">
        <f>E140*$H$17/$E$17</f>
        <v>3.9766537980934542</v>
      </c>
      <c r="I140" s="1011"/>
      <c r="J140" s="2966">
        <f>H140</f>
        <v>3.9766537980934542</v>
      </c>
      <c r="K140" s="1018">
        <f>E140*$K$17/$E$17</f>
        <v>6.4419921968181097E-4</v>
      </c>
      <c r="L140" s="1011"/>
      <c r="M140" s="1111">
        <f>K140</f>
        <v>6.4419921968181097E-4</v>
      </c>
      <c r="N140" s="3142">
        <f>E140*$N$17/$E$17</f>
        <v>0.6067772442572934</v>
      </c>
      <c r="O140" s="1011"/>
      <c r="P140" s="2966">
        <f>N140</f>
        <v>0.6067772442572934</v>
      </c>
      <c r="Q140" s="3142">
        <f>E140*$Q$17/$E$17</f>
        <v>0.20421880183605631</v>
      </c>
      <c r="R140" s="1011"/>
      <c r="S140" s="2966">
        <f>Q140</f>
        <v>0.20421880183605631</v>
      </c>
    </row>
    <row r="141" spans="2:27" ht="15.6" x14ac:dyDescent="0.3">
      <c r="B141" s="2176">
        <v>2</v>
      </c>
      <c r="C141" s="1095" t="s">
        <v>219</v>
      </c>
      <c r="D141" s="3140" t="s">
        <v>40</v>
      </c>
      <c r="E141" s="2178">
        <f>E142+E143+E144</f>
        <v>79.995936156684508</v>
      </c>
      <c r="F141" s="1011"/>
      <c r="G141" s="2967">
        <f t="shared" ref="G141:S141" si="79">G142+G143+G144</f>
        <v>79.995936156684508</v>
      </c>
      <c r="H141" s="2178">
        <f t="shared" si="79"/>
        <v>66.436217255197406</v>
      </c>
      <c r="I141" s="1011"/>
      <c r="J141" s="2967">
        <f t="shared" si="79"/>
        <v>66.436217255197406</v>
      </c>
      <c r="K141" s="4370">
        <f t="shared" si="79"/>
        <v>1.0762354855966681E-2</v>
      </c>
      <c r="L141" s="1011"/>
      <c r="M141" s="4371">
        <f t="shared" si="79"/>
        <v>1.0762354855966681E-2</v>
      </c>
      <c r="N141" s="2161">
        <f t="shared" si="79"/>
        <v>10.137162265499322</v>
      </c>
      <c r="O141" s="1011"/>
      <c r="P141" s="2967">
        <f t="shared" si="79"/>
        <v>10.137162265499322</v>
      </c>
      <c r="Q141" s="2178">
        <f t="shared" si="79"/>
        <v>3.4117942811318116</v>
      </c>
      <c r="R141" s="1011"/>
      <c r="S141" s="2967">
        <f t="shared" si="79"/>
        <v>3.4117942811318116</v>
      </c>
    </row>
    <row r="142" spans="2:27" ht="15.6" x14ac:dyDescent="0.3">
      <c r="B142" s="2176" t="s">
        <v>25</v>
      </c>
      <c r="C142" s="1094" t="s">
        <v>55</v>
      </c>
      <c r="D142" s="3140" t="s">
        <v>40</v>
      </c>
      <c r="E142" s="2177">
        <f>'Д 4_Т на П'!G23</f>
        <v>59.90608734861253</v>
      </c>
      <c r="F142" s="1011"/>
      <c r="G142" s="2966">
        <f>E142</f>
        <v>59.90608734861253</v>
      </c>
      <c r="H142" s="3142">
        <f>E142*$H$17/$E$17</f>
        <v>49.751700213945043</v>
      </c>
      <c r="I142" s="1011"/>
      <c r="J142" s="2966">
        <f>H142</f>
        <v>49.751700213945043</v>
      </c>
      <c r="K142" s="1018">
        <f>E142*$K$17/$E$17</f>
        <v>8.0595415349037098E-3</v>
      </c>
      <c r="L142" s="1011"/>
      <c r="M142" s="1111">
        <f>K142</f>
        <v>8.0595415349037098E-3</v>
      </c>
      <c r="N142" s="3142">
        <f>E142*$N$17/$E$17</f>
        <v>7.5913572278798416</v>
      </c>
      <c r="O142" s="1011"/>
      <c r="P142" s="2966">
        <f>N142</f>
        <v>7.5913572278798416</v>
      </c>
      <c r="Q142" s="3142">
        <f>E142*$Q$17/$E$17</f>
        <v>2.5549703652527387</v>
      </c>
      <c r="R142" s="1011"/>
      <c r="S142" s="2966">
        <f>Q142</f>
        <v>2.5549703652527387</v>
      </c>
    </row>
    <row r="143" spans="2:27" ht="26.4" x14ac:dyDescent="0.3">
      <c r="B143" s="2176" t="s">
        <v>26</v>
      </c>
      <c r="C143" s="1094" t="s">
        <v>452</v>
      </c>
      <c r="D143" s="3140" t="s">
        <v>40</v>
      </c>
      <c r="E143" s="2177">
        <f>'Д 4_Т на П'!G24</f>
        <v>13.179339216694757</v>
      </c>
      <c r="F143" s="1011"/>
      <c r="G143" s="2966">
        <f>E143</f>
        <v>13.179339216694757</v>
      </c>
      <c r="H143" s="3142">
        <f>E143*$H$17/$E$17</f>
        <v>10.94537404706791</v>
      </c>
      <c r="I143" s="1011"/>
      <c r="J143" s="2966">
        <f>H143</f>
        <v>10.94537404706791</v>
      </c>
      <c r="K143" s="1018">
        <f>E143*$K$17/$E$17</f>
        <v>1.7730991376788165E-3</v>
      </c>
      <c r="L143" s="1011"/>
      <c r="M143" s="1111">
        <f>K143</f>
        <v>1.7730991376788165E-3</v>
      </c>
      <c r="N143" s="3142">
        <f>E143*$N$17/$E$17</f>
        <v>1.670098590133565</v>
      </c>
      <c r="O143" s="1011"/>
      <c r="P143" s="2966">
        <f>N143</f>
        <v>1.670098590133565</v>
      </c>
      <c r="Q143" s="3142">
        <f>E143*$Q$17/$E$17</f>
        <v>0.56209348035560258</v>
      </c>
      <c r="R143" s="1011"/>
      <c r="S143" s="2966">
        <f>Q143</f>
        <v>0.56209348035560258</v>
      </c>
    </row>
    <row r="144" spans="2:27" ht="15.6" x14ac:dyDescent="0.3">
      <c r="B144" s="2176" t="s">
        <v>59</v>
      </c>
      <c r="C144" s="1094" t="s">
        <v>58</v>
      </c>
      <c r="D144" s="3140" t="s">
        <v>40</v>
      </c>
      <c r="E144" s="2177">
        <f>'Д 4_Т на П'!G25</f>
        <v>6.9105095913772203</v>
      </c>
      <c r="F144" s="1011"/>
      <c r="G144" s="2966">
        <f>E144</f>
        <v>6.9105095913772203</v>
      </c>
      <c r="H144" s="3142">
        <f>E144*$H$17/$E$17</f>
        <v>5.7391429941844496</v>
      </c>
      <c r="I144" s="1011"/>
      <c r="J144" s="2966">
        <f>H144</f>
        <v>5.7391429941844496</v>
      </c>
      <c r="K144" s="1018">
        <f>E144*$K$17/$E$17</f>
        <v>9.297141833841553E-4</v>
      </c>
      <c r="L144" s="1011"/>
      <c r="M144" s="1111">
        <f>K144</f>
        <v>9.297141833841553E-4</v>
      </c>
      <c r="N144" s="3142">
        <f>E144*$N$17/$E$17</f>
        <v>0.87570644748591553</v>
      </c>
      <c r="O144" s="1011"/>
      <c r="P144" s="2966">
        <f>N144</f>
        <v>0.87570644748591553</v>
      </c>
      <c r="Q144" s="3142">
        <f>E144*$Q$17/$E$17</f>
        <v>0.29473043552347011</v>
      </c>
      <c r="R144" s="1011"/>
      <c r="S144" s="2966">
        <f>Q144</f>
        <v>0.29473043552347011</v>
      </c>
    </row>
    <row r="145" spans="2:20" ht="15.6" x14ac:dyDescent="0.3">
      <c r="B145" s="2176" t="s">
        <v>173</v>
      </c>
      <c r="C145" s="1096" t="s">
        <v>220</v>
      </c>
      <c r="D145" s="3140" t="s">
        <v>40</v>
      </c>
      <c r="E145" s="2178">
        <f>E146+E147+E148</f>
        <v>0</v>
      </c>
      <c r="F145" s="1011"/>
      <c r="G145" s="2967">
        <f t="shared" ref="G145:S145" si="80">G146+G147+G148</f>
        <v>0</v>
      </c>
      <c r="H145" s="2178">
        <f t="shared" si="80"/>
        <v>0</v>
      </c>
      <c r="I145" s="1011"/>
      <c r="J145" s="2967">
        <f t="shared" si="80"/>
        <v>0</v>
      </c>
      <c r="K145" s="4370">
        <f t="shared" si="80"/>
        <v>0</v>
      </c>
      <c r="L145" s="1011"/>
      <c r="M145" s="4371">
        <f t="shared" si="80"/>
        <v>0</v>
      </c>
      <c r="N145" s="2161">
        <f t="shared" si="80"/>
        <v>0</v>
      </c>
      <c r="O145" s="1011"/>
      <c r="P145" s="2967">
        <f t="shared" si="80"/>
        <v>0</v>
      </c>
      <c r="Q145" s="2161">
        <f t="shared" si="80"/>
        <v>0</v>
      </c>
      <c r="R145" s="1011"/>
      <c r="S145" s="2967">
        <f t="shared" si="80"/>
        <v>0</v>
      </c>
    </row>
    <row r="146" spans="2:20" ht="15.6" x14ac:dyDescent="0.3">
      <c r="B146" s="2176" t="s">
        <v>60</v>
      </c>
      <c r="C146" s="1097" t="s">
        <v>55</v>
      </c>
      <c r="D146" s="3140" t="s">
        <v>40</v>
      </c>
      <c r="E146" s="2178">
        <f>'Д 4_Т на П'!G27</f>
        <v>0</v>
      </c>
      <c r="F146" s="1011"/>
      <c r="G146" s="2966">
        <f>E146</f>
        <v>0</v>
      </c>
      <c r="H146" s="3142">
        <f t="shared" ref="H146:H152" si="81">E146*$H$17/$E$17</f>
        <v>0</v>
      </c>
      <c r="I146" s="1011"/>
      <c r="J146" s="2966">
        <f>H146</f>
        <v>0</v>
      </c>
      <c r="K146" s="1018">
        <f t="shared" ref="K146:K152" si="82">E146*$K$17/$E$17</f>
        <v>0</v>
      </c>
      <c r="L146" s="1011"/>
      <c r="M146" s="1111">
        <f>K146</f>
        <v>0</v>
      </c>
      <c r="N146" s="3142">
        <f t="shared" ref="N146:N152" si="83">E146*$N$17/$E$17</f>
        <v>0</v>
      </c>
      <c r="O146" s="1011"/>
      <c r="P146" s="2966">
        <f>N146</f>
        <v>0</v>
      </c>
      <c r="Q146" s="3142">
        <f t="shared" ref="Q146:Q152" si="84">E146*$Q$17/$E$17</f>
        <v>0</v>
      </c>
      <c r="R146" s="1011"/>
      <c r="S146" s="2966">
        <f>Q146</f>
        <v>0</v>
      </c>
    </row>
    <row r="147" spans="2:20" ht="26.4" x14ac:dyDescent="0.3">
      <c r="B147" s="2176" t="s">
        <v>61</v>
      </c>
      <c r="C147" s="1097" t="s">
        <v>452</v>
      </c>
      <c r="D147" s="3140" t="s">
        <v>40</v>
      </c>
      <c r="E147" s="2178">
        <f>'Д 4_Т на П'!G28</f>
        <v>0</v>
      </c>
      <c r="F147" s="1011"/>
      <c r="G147" s="2966">
        <f t="shared" ref="G147:G157" si="85">E147</f>
        <v>0</v>
      </c>
      <c r="H147" s="3142">
        <f t="shared" si="81"/>
        <v>0</v>
      </c>
      <c r="I147" s="1011"/>
      <c r="J147" s="2966">
        <f t="shared" ref="J147:J157" si="86">H147</f>
        <v>0</v>
      </c>
      <c r="K147" s="1018">
        <f t="shared" si="82"/>
        <v>0</v>
      </c>
      <c r="L147" s="1011"/>
      <c r="M147" s="1111">
        <f t="shared" ref="M147:M157" si="87">K147</f>
        <v>0</v>
      </c>
      <c r="N147" s="3142">
        <f t="shared" si="83"/>
        <v>0</v>
      </c>
      <c r="O147" s="1011"/>
      <c r="P147" s="2966">
        <f t="shared" ref="P147:P157" si="88">N147</f>
        <v>0</v>
      </c>
      <c r="Q147" s="3142">
        <f t="shared" si="84"/>
        <v>0</v>
      </c>
      <c r="R147" s="1011"/>
      <c r="S147" s="2966">
        <f t="shared" ref="S147:S157" si="89">Q147</f>
        <v>0</v>
      </c>
    </row>
    <row r="148" spans="2:20" ht="15.6" x14ac:dyDescent="0.3">
      <c r="B148" s="2176" t="s">
        <v>62</v>
      </c>
      <c r="C148" s="1098" t="s">
        <v>233</v>
      </c>
      <c r="D148" s="3140" t="s">
        <v>40</v>
      </c>
      <c r="E148" s="2178">
        <f>'Д 4_Т на П'!G29</f>
        <v>0</v>
      </c>
      <c r="F148" s="1011"/>
      <c r="G148" s="2966">
        <f t="shared" si="85"/>
        <v>0</v>
      </c>
      <c r="H148" s="3142">
        <f t="shared" si="81"/>
        <v>0</v>
      </c>
      <c r="I148" s="1011"/>
      <c r="J148" s="2966">
        <f t="shared" si="86"/>
        <v>0</v>
      </c>
      <c r="K148" s="1018">
        <f t="shared" si="82"/>
        <v>0</v>
      </c>
      <c r="L148" s="1011"/>
      <c r="M148" s="1111">
        <f t="shared" si="87"/>
        <v>0</v>
      </c>
      <c r="N148" s="3142">
        <f t="shared" si="83"/>
        <v>0</v>
      </c>
      <c r="O148" s="1011"/>
      <c r="P148" s="2966">
        <f t="shared" si="88"/>
        <v>0</v>
      </c>
      <c r="Q148" s="3142">
        <f t="shared" si="84"/>
        <v>0</v>
      </c>
      <c r="R148" s="1011"/>
      <c r="S148" s="2966">
        <f t="shared" si="89"/>
        <v>0</v>
      </c>
    </row>
    <row r="149" spans="2:20" ht="15.6" x14ac:dyDescent="0.3">
      <c r="B149" s="2176" t="s">
        <v>174</v>
      </c>
      <c r="C149" s="1095" t="s">
        <v>105</v>
      </c>
      <c r="D149" s="3140" t="s">
        <v>40</v>
      </c>
      <c r="E149" s="2178">
        <f>'Д 4_Т на П'!G30</f>
        <v>0</v>
      </c>
      <c r="F149" s="1011"/>
      <c r="G149" s="2966">
        <f t="shared" si="85"/>
        <v>0</v>
      </c>
      <c r="H149" s="3142">
        <f t="shared" si="81"/>
        <v>0</v>
      </c>
      <c r="I149" s="1011"/>
      <c r="J149" s="2966">
        <f t="shared" si="86"/>
        <v>0</v>
      </c>
      <c r="K149" s="1018">
        <f t="shared" si="82"/>
        <v>0</v>
      </c>
      <c r="L149" s="1011"/>
      <c r="M149" s="1111">
        <f t="shared" si="87"/>
        <v>0</v>
      </c>
      <c r="N149" s="3142">
        <f t="shared" si="83"/>
        <v>0</v>
      </c>
      <c r="O149" s="1011"/>
      <c r="P149" s="2966">
        <f t="shared" si="88"/>
        <v>0</v>
      </c>
      <c r="Q149" s="3142">
        <f t="shared" si="84"/>
        <v>0</v>
      </c>
      <c r="R149" s="1011"/>
      <c r="S149" s="2966">
        <f t="shared" si="89"/>
        <v>0</v>
      </c>
    </row>
    <row r="150" spans="2:20" ht="15.6" x14ac:dyDescent="0.3">
      <c r="B150" s="2176" t="s">
        <v>169</v>
      </c>
      <c r="C150" s="1095" t="s">
        <v>5</v>
      </c>
      <c r="D150" s="3140" t="s">
        <v>40</v>
      </c>
      <c r="E150" s="2178">
        <f>'Д 4_Т на П'!G31</f>
        <v>0</v>
      </c>
      <c r="F150" s="1011"/>
      <c r="G150" s="2966">
        <f t="shared" si="85"/>
        <v>0</v>
      </c>
      <c r="H150" s="3142">
        <f t="shared" si="81"/>
        <v>0</v>
      </c>
      <c r="I150" s="1011"/>
      <c r="J150" s="2966">
        <f t="shared" si="86"/>
        <v>0</v>
      </c>
      <c r="K150" s="1018">
        <f t="shared" si="82"/>
        <v>0</v>
      </c>
      <c r="L150" s="1011"/>
      <c r="M150" s="1111">
        <f t="shared" si="87"/>
        <v>0</v>
      </c>
      <c r="N150" s="3142">
        <f t="shared" si="83"/>
        <v>0</v>
      </c>
      <c r="O150" s="1011"/>
      <c r="P150" s="2966">
        <f t="shared" si="88"/>
        <v>0</v>
      </c>
      <c r="Q150" s="3142">
        <f t="shared" si="84"/>
        <v>0</v>
      </c>
      <c r="R150" s="1011"/>
      <c r="S150" s="2966">
        <f t="shared" si="89"/>
        <v>0</v>
      </c>
    </row>
    <row r="151" spans="2:20" ht="15.6" x14ac:dyDescent="0.3">
      <c r="B151" s="2176" t="s">
        <v>170</v>
      </c>
      <c r="C151" s="1095" t="s">
        <v>63</v>
      </c>
      <c r="D151" s="3186" t="s">
        <v>40</v>
      </c>
      <c r="E151" s="2178">
        <f>E150+E149+E145+E141+E130</f>
        <v>1962.4451296989496</v>
      </c>
      <c r="F151" s="2926"/>
      <c r="G151" s="2967">
        <f t="shared" si="85"/>
        <v>1962.4451296989496</v>
      </c>
      <c r="H151" s="2161">
        <f t="shared" si="81"/>
        <v>1629.8006780334308</v>
      </c>
      <c r="I151" s="2926"/>
      <c r="J151" s="2967">
        <f t="shared" si="86"/>
        <v>1629.8006780334308</v>
      </c>
      <c r="K151" s="4370">
        <f t="shared" si="82"/>
        <v>0.26402004759111519</v>
      </c>
      <c r="L151" s="2926"/>
      <c r="M151" s="4371">
        <f t="shared" si="87"/>
        <v>0.26402004759111519</v>
      </c>
      <c r="N151" s="2161">
        <f t="shared" si="83"/>
        <v>248.682941567586</v>
      </c>
      <c r="O151" s="2926"/>
      <c r="P151" s="2967">
        <f t="shared" si="88"/>
        <v>248.682941567586</v>
      </c>
      <c r="Q151" s="2161">
        <f t="shared" si="84"/>
        <v>83.697490050341457</v>
      </c>
      <c r="R151" s="2926"/>
      <c r="S151" s="2967">
        <f t="shared" si="89"/>
        <v>83.697490050341457</v>
      </c>
      <c r="T151" s="2157">
        <f>'Д 4_Т на П'!G32</f>
        <v>1962.4451296989496</v>
      </c>
    </row>
    <row r="152" spans="2:20" ht="20.399999999999999" customHeight="1" x14ac:dyDescent="0.3">
      <c r="B152" s="2176" t="s">
        <v>171</v>
      </c>
      <c r="C152" s="1091" t="s">
        <v>2655</v>
      </c>
      <c r="D152" s="3140" t="s">
        <v>40</v>
      </c>
      <c r="E152" s="2178">
        <f>'Д 4_Т на П'!G33</f>
        <v>0</v>
      </c>
      <c r="F152" s="1011"/>
      <c r="G152" s="2966">
        <f t="shared" si="85"/>
        <v>0</v>
      </c>
      <c r="H152" s="3142">
        <f t="shared" si="81"/>
        <v>0</v>
      </c>
      <c r="I152" s="1011"/>
      <c r="J152" s="2966">
        <f t="shared" si="86"/>
        <v>0</v>
      </c>
      <c r="K152" s="1018">
        <f t="shared" si="82"/>
        <v>0</v>
      </c>
      <c r="L152" s="1011"/>
      <c r="M152" s="1111">
        <f t="shared" si="87"/>
        <v>0</v>
      </c>
      <c r="N152" s="3142">
        <f t="shared" si="83"/>
        <v>0</v>
      </c>
      <c r="O152" s="1011"/>
      <c r="P152" s="2966">
        <f t="shared" si="88"/>
        <v>0</v>
      </c>
      <c r="Q152" s="3142">
        <f t="shared" si="84"/>
        <v>0</v>
      </c>
      <c r="R152" s="1011"/>
      <c r="S152" s="2966">
        <f t="shared" si="89"/>
        <v>0</v>
      </c>
    </row>
    <row r="153" spans="2:20" ht="15.6" x14ac:dyDescent="0.3">
      <c r="B153" s="2176" t="s">
        <v>172</v>
      </c>
      <c r="C153" s="1095" t="s">
        <v>242</v>
      </c>
      <c r="D153" s="3140" t="s">
        <v>40</v>
      </c>
      <c r="E153" s="2178">
        <f>E154+E155+E156+E157+E158</f>
        <v>90.942579181170828</v>
      </c>
      <c r="F153" s="1011"/>
      <c r="G153" s="2967">
        <f t="shared" ref="G153:S153" si="90">G154+G155+G156+G157+G158</f>
        <v>90.942579181170828</v>
      </c>
      <c r="H153" s="2178">
        <f t="shared" si="90"/>
        <v>75.527348494232143</v>
      </c>
      <c r="I153" s="1011"/>
      <c r="J153" s="2967">
        <f t="shared" si="90"/>
        <v>75.527348494232143</v>
      </c>
      <c r="K153" s="4370">
        <f t="shared" si="90"/>
        <v>1.2235075376173628E-2</v>
      </c>
      <c r="L153" s="1011"/>
      <c r="M153" s="4371">
        <f t="shared" si="90"/>
        <v>1.2235075376173628E-2</v>
      </c>
      <c r="N153" s="2161">
        <f t="shared" si="90"/>
        <v>11.524331438497887</v>
      </c>
      <c r="O153" s="1011"/>
      <c r="P153" s="4607">
        <f t="shared" si="90"/>
        <v>11.524331438497887</v>
      </c>
      <c r="Q153" s="2161">
        <f t="shared" si="90"/>
        <v>3.8786641730646036</v>
      </c>
      <c r="R153" s="1011"/>
      <c r="S153" s="2967">
        <f t="shared" si="90"/>
        <v>3.8786641730646036</v>
      </c>
    </row>
    <row r="154" spans="2:20" ht="15.6" x14ac:dyDescent="0.3">
      <c r="B154" s="2176" t="s">
        <v>115</v>
      </c>
      <c r="C154" s="1094" t="s">
        <v>65</v>
      </c>
      <c r="D154" s="3140" t="s">
        <v>40</v>
      </c>
      <c r="E154" s="3143">
        <f>(E155+E156+E157+E158)/(100%-'Вхідні дані'!$D$46)-(E155+E156+E157+E158)</f>
        <v>16.369664252610747</v>
      </c>
      <c r="F154" s="1011"/>
      <c r="G154" s="2961">
        <f>(G155+G156+G157+G158)/(100%-'Вхідні дані'!$D$46)-(G155+G156+G157+G158)</f>
        <v>16.369664252610747</v>
      </c>
      <c r="H154" s="3143">
        <f>(H155+H156+H157+H158)/(100%-'Вхідні дані'!$D$46)-(H155+H156+H157+H158)</f>
        <v>13.594922728961777</v>
      </c>
      <c r="I154" s="1011"/>
      <c r="J154" s="2961">
        <f>(J155+J156+J157+J158)/(100%-'Вхідні дані'!$D$46)-(J155+J156+J157+J158)</f>
        <v>13.594922728961777</v>
      </c>
      <c r="K154" s="4372">
        <f>(K155+K156+K157+K158)/(100%-'Вхідні дані'!$D$46)-(K155+K156+K157+K158)</f>
        <v>2.2023135677112522E-3</v>
      </c>
      <c r="L154" s="1011"/>
      <c r="M154" s="4373">
        <f>(M155+M156+M157+M158)/(100%-'Вхідні дані'!$D$46)-(M155+M156+M157+M158)</f>
        <v>2.2023135677112522E-3</v>
      </c>
      <c r="N154" s="3143">
        <f>(N155+N156+N157+N158)/(100%-'Вхідні дані'!$D$46)-(N155+N156+N157+N158)</f>
        <v>2.0743796589296188</v>
      </c>
      <c r="O154" s="1011"/>
      <c r="P154" s="2961">
        <f>(P155+P156+P157+P158)/(100%-'Вхідні дані'!$D$46)-(P155+P156+P157+P158)</f>
        <v>2.0743796589296188</v>
      </c>
      <c r="Q154" s="3143">
        <f>(Q155+Q156+Q157+Q158)/(100%-'Вхідні дані'!$D$46)-(Q155+Q156+Q157+Q158)</f>
        <v>0.69815955115162831</v>
      </c>
      <c r="R154" s="1011"/>
      <c r="S154" s="2961">
        <f>(S155+S156+S157+S158)/(100%-'Вхідні дані'!$D$46)-(S155+S156+S157+S158)</f>
        <v>0.69815955115162831</v>
      </c>
    </row>
    <row r="155" spans="2:20" ht="15.6" x14ac:dyDescent="0.3">
      <c r="B155" s="2176" t="s">
        <v>117</v>
      </c>
      <c r="C155" s="1094" t="s">
        <v>84</v>
      </c>
      <c r="D155" s="3140" t="s">
        <v>40</v>
      </c>
      <c r="E155" s="3143">
        <f>(E156+E157+E158)/(100%-'Вхідні дані'!$D$47)*'Вхідні дані'!$D$47</f>
        <v>0</v>
      </c>
      <c r="F155" s="1011"/>
      <c r="G155" s="2966">
        <f t="shared" si="85"/>
        <v>0</v>
      </c>
      <c r="H155" s="3143">
        <f>(H156+H157+H158)/(100%-'Вхідні дані'!$D$47)*'Вхідні дані'!$D$47</f>
        <v>0</v>
      </c>
      <c r="I155" s="1011"/>
      <c r="J155" s="2966">
        <f t="shared" si="86"/>
        <v>0</v>
      </c>
      <c r="K155" s="4372">
        <f>(K156+K157+K158)/(100%-'Вхідні дані'!$D$47)*'Вхідні дані'!$D$47</f>
        <v>0</v>
      </c>
      <c r="L155" s="1011"/>
      <c r="M155" s="1111">
        <f t="shared" si="87"/>
        <v>0</v>
      </c>
      <c r="N155" s="3143">
        <f>(N156+N157+N158)/(100%-'Вхідні дані'!$D$47)*'Вхідні дані'!$D$47</f>
        <v>0</v>
      </c>
      <c r="O155" s="1011"/>
      <c r="P155" s="2966">
        <f t="shared" si="88"/>
        <v>0</v>
      </c>
      <c r="Q155" s="3143">
        <f>(Q156+Q157+Q158)/(100%-'Вхідні дані'!$D$47)*'Вхідні дані'!$D$47</f>
        <v>0</v>
      </c>
      <c r="R155" s="1011"/>
      <c r="S155" s="2966">
        <f t="shared" si="89"/>
        <v>0</v>
      </c>
    </row>
    <row r="156" spans="2:20" ht="15.6" x14ac:dyDescent="0.3">
      <c r="B156" s="2176" t="s">
        <v>119</v>
      </c>
      <c r="C156" s="1094" t="s">
        <v>85</v>
      </c>
      <c r="D156" s="3140" t="s">
        <v>40</v>
      </c>
      <c r="E156" s="3143">
        <v>0</v>
      </c>
      <c r="F156" s="1011"/>
      <c r="G156" s="2966">
        <f t="shared" si="85"/>
        <v>0</v>
      </c>
      <c r="H156" s="3143">
        <v>0</v>
      </c>
      <c r="I156" s="1011"/>
      <c r="J156" s="2966">
        <f t="shared" si="86"/>
        <v>0</v>
      </c>
      <c r="K156" s="4372">
        <v>0</v>
      </c>
      <c r="L156" s="1011"/>
      <c r="M156" s="1111">
        <f t="shared" si="87"/>
        <v>0</v>
      </c>
      <c r="N156" s="3143">
        <v>0</v>
      </c>
      <c r="O156" s="1011"/>
      <c r="P156" s="2966">
        <f t="shared" si="88"/>
        <v>0</v>
      </c>
      <c r="Q156" s="3143">
        <v>0</v>
      </c>
      <c r="R156" s="1011"/>
      <c r="S156" s="2966">
        <f t="shared" si="89"/>
        <v>0</v>
      </c>
    </row>
    <row r="157" spans="2:20" ht="15.6" x14ac:dyDescent="0.3">
      <c r="B157" s="2176" t="s">
        <v>121</v>
      </c>
      <c r="C157" s="1094" t="s">
        <v>71</v>
      </c>
      <c r="D157" s="3140" t="s">
        <v>40</v>
      </c>
      <c r="E157" s="3143">
        <v>0</v>
      </c>
      <c r="F157" s="1011"/>
      <c r="G157" s="2966">
        <f t="shared" si="85"/>
        <v>0</v>
      </c>
      <c r="H157" s="3143">
        <v>0</v>
      </c>
      <c r="I157" s="1011"/>
      <c r="J157" s="2966">
        <f t="shared" si="86"/>
        <v>0</v>
      </c>
      <c r="K157" s="4372">
        <v>0</v>
      </c>
      <c r="L157" s="1011"/>
      <c r="M157" s="1111">
        <f t="shared" si="87"/>
        <v>0</v>
      </c>
      <c r="N157" s="3143">
        <v>0</v>
      </c>
      <c r="O157" s="1011"/>
      <c r="P157" s="2966">
        <f t="shared" si="88"/>
        <v>0</v>
      </c>
      <c r="Q157" s="3143">
        <v>0</v>
      </c>
      <c r="R157" s="1011"/>
      <c r="S157" s="2966">
        <f t="shared" si="89"/>
        <v>0</v>
      </c>
    </row>
    <row r="158" spans="2:20" ht="15.6" x14ac:dyDescent="0.3">
      <c r="B158" s="2176" t="s">
        <v>223</v>
      </c>
      <c r="C158" s="1094" t="s">
        <v>86</v>
      </c>
      <c r="D158" s="3140" t="s">
        <v>40</v>
      </c>
      <c r="E158" s="3142">
        <f>G158</f>
        <v>74.572914928560081</v>
      </c>
      <c r="F158" s="1030"/>
      <c r="G158" s="1019">
        <f>E151*'Вхідні дані'!$D$45</f>
        <v>74.572914928560081</v>
      </c>
      <c r="H158" s="3142">
        <f>J158</f>
        <v>61.932425765270366</v>
      </c>
      <c r="I158" s="1030"/>
      <c r="J158" s="1019">
        <f>H151*'Вхідні дані'!$D$45</f>
        <v>61.932425765270366</v>
      </c>
      <c r="K158" s="1018">
        <f>M158</f>
        <v>1.0032761808462376E-2</v>
      </c>
      <c r="L158" s="1011"/>
      <c r="M158" s="1111">
        <f>K151*'Вхідні дані'!$D$45</f>
        <v>1.0032761808462376E-2</v>
      </c>
      <c r="N158" s="3142">
        <f>P158</f>
        <v>9.4499517795682682</v>
      </c>
      <c r="O158" s="1030"/>
      <c r="P158" s="1019">
        <f>N151*'Вхідні дані'!$D$45</f>
        <v>9.4499517795682682</v>
      </c>
      <c r="Q158" s="3142">
        <f>S158</f>
        <v>3.1805046219129753</v>
      </c>
      <c r="R158" s="1030"/>
      <c r="S158" s="1019">
        <f>Q151*'Вхідні дані'!$D$45</f>
        <v>3.1805046219129753</v>
      </c>
    </row>
    <row r="159" spans="2:20" ht="27" thickBot="1" x14ac:dyDescent="0.35">
      <c r="B159" s="2176" t="s">
        <v>187</v>
      </c>
      <c r="C159" s="1099" t="s">
        <v>106</v>
      </c>
      <c r="D159" s="3145" t="s">
        <v>40</v>
      </c>
      <c r="E159" s="2214">
        <f>E151+E152+E153</f>
        <v>2053.3877088801205</v>
      </c>
      <c r="F159" s="2928"/>
      <c r="G159" s="2968">
        <f t="shared" ref="G159:Q159" si="91">G151+G152+G153</f>
        <v>2053.3877088801205</v>
      </c>
      <c r="H159" s="2214">
        <f t="shared" si="91"/>
        <v>1705.328026527663</v>
      </c>
      <c r="I159" s="2928"/>
      <c r="J159" s="2968">
        <f>J151+J152+J153</f>
        <v>1705.328026527663</v>
      </c>
      <c r="K159" s="4706">
        <f t="shared" si="91"/>
        <v>0.27625512296728882</v>
      </c>
      <c r="L159" s="2928"/>
      <c r="M159" s="4708">
        <f>M151+M152+M153</f>
        <v>0.27625512296728882</v>
      </c>
      <c r="N159" s="2169">
        <f t="shared" si="91"/>
        <v>260.20727300608388</v>
      </c>
      <c r="O159" s="2928"/>
      <c r="P159" s="2968">
        <f>P151+P152+P153</f>
        <v>260.20727300608388</v>
      </c>
      <c r="Q159" s="2169">
        <f t="shared" si="91"/>
        <v>87.576154223406064</v>
      </c>
      <c r="R159" s="2928"/>
      <c r="S159" s="2968">
        <f>S151+S152+S153</f>
        <v>87.576154223406064</v>
      </c>
    </row>
    <row r="160" spans="2:20" ht="34.200000000000003" customHeight="1" x14ac:dyDescent="0.3">
      <c r="B160" s="2176" t="s">
        <v>188</v>
      </c>
      <c r="C160" s="2969" t="s">
        <v>2191</v>
      </c>
      <c r="D160" s="1076" t="s">
        <v>74</v>
      </c>
      <c r="E160" s="1026">
        <f>E159/E14</f>
        <v>20.784158534978818</v>
      </c>
      <c r="F160" s="1028" t="s">
        <v>317</v>
      </c>
      <c r="G160" s="1029" t="s">
        <v>317</v>
      </c>
      <c r="H160" s="1026">
        <f>H159/H14</f>
        <v>20.784176614396934</v>
      </c>
      <c r="I160" s="1028" t="s">
        <v>317</v>
      </c>
      <c r="J160" s="1029" t="s">
        <v>317</v>
      </c>
      <c r="K160" s="1026">
        <f>K159/K14</f>
        <v>20.784069954825004</v>
      </c>
      <c r="L160" s="1028" t="s">
        <v>317</v>
      </c>
      <c r="M160" s="1029" t="s">
        <v>317</v>
      </c>
      <c r="N160" s="1026">
        <f>N159/N14</f>
        <v>20.784069954825</v>
      </c>
      <c r="O160" s="1028" t="s">
        <v>317</v>
      </c>
      <c r="P160" s="1029" t="s">
        <v>317</v>
      </c>
      <c r="Q160" s="1026">
        <f>Q159/Q14</f>
        <v>20.784069954825</v>
      </c>
      <c r="R160" s="2962" t="s">
        <v>317</v>
      </c>
      <c r="S160" s="2963" t="s">
        <v>317</v>
      </c>
      <c r="T160" s="2157"/>
    </row>
    <row r="161" spans="2:21" ht="31.2" x14ac:dyDescent="0.3">
      <c r="B161" s="2179" t="s">
        <v>189</v>
      </c>
      <c r="C161" s="2970" t="s">
        <v>2192</v>
      </c>
      <c r="D161" s="3145" t="s">
        <v>74</v>
      </c>
      <c r="E161" s="3142">
        <f>E160*1.2</f>
        <v>24.940990241974582</v>
      </c>
      <c r="F161" s="1011" t="s">
        <v>317</v>
      </c>
      <c r="G161" s="1111" t="s">
        <v>317</v>
      </c>
      <c r="H161" s="3142">
        <f>H160*1.2</f>
        <v>24.941011937276318</v>
      </c>
      <c r="I161" s="1011" t="s">
        <v>317</v>
      </c>
      <c r="J161" s="1111" t="s">
        <v>317</v>
      </c>
      <c r="K161" s="1018">
        <f>K160*1.2</f>
        <v>24.940883945790002</v>
      </c>
      <c r="L161" s="1011" t="s">
        <v>317</v>
      </c>
      <c r="M161" s="1111" t="s">
        <v>317</v>
      </c>
      <c r="N161" s="1018">
        <f>N160*1.2</f>
        <v>24.940883945789999</v>
      </c>
      <c r="O161" s="1011" t="s">
        <v>317</v>
      </c>
      <c r="P161" s="1111" t="s">
        <v>317</v>
      </c>
      <c r="Q161" s="1018">
        <f>Q160*1.2</f>
        <v>24.940883945789999</v>
      </c>
      <c r="R161" s="1011" t="s">
        <v>317</v>
      </c>
      <c r="S161" s="1111" t="s">
        <v>317</v>
      </c>
    </row>
    <row r="162" spans="2:21" ht="34.5" customHeight="1" x14ac:dyDescent="0.3">
      <c r="B162" s="2179" t="s">
        <v>190</v>
      </c>
      <c r="C162" s="2970" t="s">
        <v>2193</v>
      </c>
      <c r="D162" s="3140" t="s">
        <v>2049</v>
      </c>
      <c r="E162" s="3188"/>
      <c r="F162" s="3139"/>
      <c r="G162" s="3140"/>
      <c r="H162" s="3188"/>
      <c r="I162" s="3139"/>
      <c r="J162" s="3140"/>
      <c r="K162" s="3142"/>
      <c r="L162" s="3139"/>
      <c r="M162" s="3140"/>
      <c r="N162" s="3142"/>
      <c r="O162" s="3139"/>
      <c r="P162" s="3140"/>
      <c r="Q162" s="3142"/>
      <c r="R162" s="3139"/>
      <c r="S162" s="3140"/>
    </row>
    <row r="163" spans="2:21" ht="15.6" x14ac:dyDescent="0.3">
      <c r="B163" s="1068" t="s">
        <v>93</v>
      </c>
      <c r="C163" s="2971" t="s">
        <v>2172</v>
      </c>
      <c r="D163" s="3140" t="s">
        <v>2190</v>
      </c>
      <c r="E163" s="1018" t="s">
        <v>317</v>
      </c>
      <c r="F163" s="1011" t="s">
        <v>317</v>
      </c>
      <c r="G163" s="1111" t="s">
        <v>317</v>
      </c>
      <c r="H163" s="1018" t="s">
        <v>317</v>
      </c>
      <c r="I163" s="1011" t="s">
        <v>317</v>
      </c>
      <c r="J163" s="1111" t="s">
        <v>317</v>
      </c>
      <c r="K163" s="1018" t="s">
        <v>317</v>
      </c>
      <c r="L163" s="1011" t="s">
        <v>317</v>
      </c>
      <c r="M163" s="1111" t="s">
        <v>317</v>
      </c>
      <c r="N163" s="1018" t="s">
        <v>317</v>
      </c>
      <c r="O163" s="1011" t="s">
        <v>317</v>
      </c>
      <c r="P163" s="1111" t="s">
        <v>317</v>
      </c>
      <c r="Q163" s="1018" t="s">
        <v>317</v>
      </c>
      <c r="R163" s="1011" t="s">
        <v>317</v>
      </c>
      <c r="S163" s="1111" t="s">
        <v>317</v>
      </c>
    </row>
    <row r="164" spans="2:21" ht="33.75" customHeight="1" x14ac:dyDescent="0.3">
      <c r="B164" s="1068" t="s">
        <v>94</v>
      </c>
      <c r="C164" s="2971" t="s">
        <v>2173</v>
      </c>
      <c r="D164" s="3140" t="s">
        <v>2194</v>
      </c>
      <c r="E164" s="3142">
        <f>ROUND(E159/E17*1000/12,2)</f>
        <v>2390.08</v>
      </c>
      <c r="F164" s="1011" t="s">
        <v>317</v>
      </c>
      <c r="G164" s="1019">
        <f>ROUND(G159/G17*1000/12,2)</f>
        <v>2390.08</v>
      </c>
      <c r="H164" s="3142">
        <f>ROUND(H159/H17*1000/12,2)</f>
        <v>2390.08</v>
      </c>
      <c r="I164" s="1011" t="s">
        <v>317</v>
      </c>
      <c r="J164" s="1019">
        <f>ROUND(J159/J17*1000/12,2)</f>
        <v>2390.08</v>
      </c>
      <c r="K164" s="3142">
        <f>ROUND(K159/K17*1000/12,2)</f>
        <v>2390.08</v>
      </c>
      <c r="L164" s="1011" t="s">
        <v>317</v>
      </c>
      <c r="M164" s="1019">
        <f>ROUND(IF(M19=0,0,M159/M17*1000)/12,2)</f>
        <v>2390.08</v>
      </c>
      <c r="N164" s="3142">
        <f>ROUND(N159/N17*1000/12,2)</f>
        <v>2390.08</v>
      </c>
      <c r="O164" s="1011" t="s">
        <v>317</v>
      </c>
      <c r="P164" s="1019">
        <f>ROUND(P159/P17*1000/12,2)</f>
        <v>2390.08</v>
      </c>
      <c r="Q164" s="3142">
        <f>ROUND(Q159/Q17*1000/12,2)</f>
        <v>2390.08</v>
      </c>
      <c r="R164" s="1011" t="s">
        <v>317</v>
      </c>
      <c r="S164" s="1019">
        <f>ROUND(S159/S17*1000/12,2)</f>
        <v>2390.08</v>
      </c>
    </row>
    <row r="165" spans="2:21" ht="31.2" x14ac:dyDescent="0.3">
      <c r="B165" s="2179" t="s">
        <v>191</v>
      </c>
      <c r="C165" s="2970" t="s">
        <v>2211</v>
      </c>
      <c r="D165" s="3140" t="s">
        <v>2049</v>
      </c>
      <c r="E165" s="1018"/>
      <c r="F165" s="1011"/>
      <c r="G165" s="1111"/>
      <c r="H165" s="1018"/>
      <c r="I165" s="1011"/>
      <c r="J165" s="1111"/>
      <c r="K165" s="1018"/>
      <c r="L165" s="1011"/>
      <c r="M165" s="1111"/>
      <c r="N165" s="1018"/>
      <c r="O165" s="1011"/>
      <c r="P165" s="1111"/>
      <c r="Q165" s="1018"/>
      <c r="R165" s="1011"/>
      <c r="S165" s="1111"/>
    </row>
    <row r="166" spans="2:21" ht="15.6" x14ac:dyDescent="0.3">
      <c r="B166" s="1068" t="s">
        <v>236</v>
      </c>
      <c r="C166" s="2971" t="s">
        <v>2172</v>
      </c>
      <c r="D166" s="3140" t="s">
        <v>2190</v>
      </c>
      <c r="E166" s="1018" t="s">
        <v>317</v>
      </c>
      <c r="F166" s="1011" t="s">
        <v>317</v>
      </c>
      <c r="G166" s="1111" t="s">
        <v>317</v>
      </c>
      <c r="H166" s="1018" t="s">
        <v>317</v>
      </c>
      <c r="I166" s="1011" t="s">
        <v>317</v>
      </c>
      <c r="J166" s="1111" t="s">
        <v>317</v>
      </c>
      <c r="K166" s="1018" t="s">
        <v>317</v>
      </c>
      <c r="L166" s="1011" t="s">
        <v>317</v>
      </c>
      <c r="M166" s="1111" t="s">
        <v>317</v>
      </c>
      <c r="N166" s="1018" t="s">
        <v>317</v>
      </c>
      <c r="O166" s="1011" t="s">
        <v>317</v>
      </c>
      <c r="P166" s="1111" t="s">
        <v>317</v>
      </c>
      <c r="Q166" s="1018" t="s">
        <v>317</v>
      </c>
      <c r="R166" s="1011" t="s">
        <v>317</v>
      </c>
      <c r="S166" s="1111" t="s">
        <v>317</v>
      </c>
    </row>
    <row r="167" spans="2:21" ht="31.8" thickBot="1" x14ac:dyDescent="0.35">
      <c r="B167" s="2180" t="s">
        <v>237</v>
      </c>
      <c r="C167" s="2972" t="s">
        <v>2325</v>
      </c>
      <c r="D167" s="1075" t="s">
        <v>2194</v>
      </c>
      <c r="E167" s="1027">
        <f>E164*1.2</f>
        <v>2868.096</v>
      </c>
      <c r="F167" s="2927" t="s">
        <v>317</v>
      </c>
      <c r="G167" s="1032">
        <f t="shared" ref="G167:S167" si="92">G164*1.2</f>
        <v>2868.096</v>
      </c>
      <c r="H167" s="1027">
        <f t="shared" si="92"/>
        <v>2868.096</v>
      </c>
      <c r="I167" s="2927" t="s">
        <v>317</v>
      </c>
      <c r="J167" s="1032">
        <f t="shared" si="92"/>
        <v>2868.096</v>
      </c>
      <c r="K167" s="1027">
        <f t="shared" si="92"/>
        <v>2868.096</v>
      </c>
      <c r="L167" s="2927" t="s">
        <v>317</v>
      </c>
      <c r="M167" s="1032">
        <f t="shared" si="92"/>
        <v>2868.096</v>
      </c>
      <c r="N167" s="1027">
        <f t="shared" si="92"/>
        <v>2868.096</v>
      </c>
      <c r="O167" s="2927" t="s">
        <v>317</v>
      </c>
      <c r="P167" s="1032">
        <f t="shared" si="92"/>
        <v>2868.096</v>
      </c>
      <c r="Q167" s="1027">
        <f t="shared" si="92"/>
        <v>2868.096</v>
      </c>
      <c r="R167" s="2927" t="s">
        <v>317</v>
      </c>
      <c r="S167" s="1032">
        <f t="shared" si="92"/>
        <v>2868.096</v>
      </c>
    </row>
    <row r="168" spans="2:21" ht="16.2" customHeight="1" thickBot="1" x14ac:dyDescent="0.35">
      <c r="B168" s="2181"/>
      <c r="C168" s="5141" t="s">
        <v>2171</v>
      </c>
      <c r="D168" s="5141"/>
      <c r="E168" s="5174"/>
      <c r="F168" s="5174"/>
      <c r="G168" s="5174"/>
      <c r="H168" s="5141"/>
      <c r="I168" s="5141"/>
      <c r="J168" s="5141"/>
      <c r="K168" s="5141"/>
      <c r="L168" s="5141"/>
      <c r="M168" s="5141"/>
      <c r="N168" s="5141"/>
      <c r="O168" s="5141"/>
      <c r="P168" s="5141"/>
      <c r="Q168" s="5141"/>
      <c r="R168" s="5141"/>
      <c r="S168" s="5142"/>
    </row>
    <row r="169" spans="2:21" ht="15.6" x14ac:dyDescent="0.3">
      <c r="B169" s="4723">
        <v>1</v>
      </c>
      <c r="C169" s="4724" t="s">
        <v>215</v>
      </c>
      <c r="D169" s="4725" t="s">
        <v>40</v>
      </c>
      <c r="E169" s="4726">
        <f t="shared" ref="E169:E201" si="93">H169+K169+N169+Q169</f>
        <v>166003.03686320584</v>
      </c>
      <c r="F169" s="4727">
        <f t="shared" ref="F169:F201" si="94">I169+L169+O169+R169</f>
        <v>106550.87935788275</v>
      </c>
      <c r="G169" s="4728">
        <f t="shared" ref="G169:G201" si="95">J169+M169+P169+S169</f>
        <v>59452.157505323077</v>
      </c>
      <c r="H169" s="4726">
        <f t="shared" ref="H169:H210" si="96">I169+J169</f>
        <v>124207.83338149841</v>
      </c>
      <c r="I169" s="4727">
        <f t="shared" ref="I169" si="97">I170+I183+I184+I188</f>
        <v>75935.519270185352</v>
      </c>
      <c r="J169" s="4728">
        <f t="shared" ref="J169" si="98">J170+J183+J184+J188</f>
        <v>48272.314111313048</v>
      </c>
      <c r="K169" s="4760">
        <f t="shared" ref="K169:K210" si="99">L169+M169</f>
        <v>39.814864847953714</v>
      </c>
      <c r="L169" s="4761">
        <f t="shared" ref="L169:M169" si="100">L170+L183+L184+L188</f>
        <v>29.1753781091838</v>
      </c>
      <c r="M169" s="4762">
        <f t="shared" si="100"/>
        <v>10.639486738769913</v>
      </c>
      <c r="N169" s="4726">
        <f t="shared" ref="N169:N210" si="101">O169+P169</f>
        <v>31437.89024303035</v>
      </c>
      <c r="O169" s="4727">
        <f t="shared" ref="O169:P169" si="102">O170+O183+O184+O188</f>
        <v>23025.769338422524</v>
      </c>
      <c r="P169" s="4728">
        <f t="shared" si="102"/>
        <v>8412.1209046078257</v>
      </c>
      <c r="Q169" s="4726">
        <f t="shared" ref="Q169:Q210" si="103">R169+S169</f>
        <v>10317.498373829121</v>
      </c>
      <c r="R169" s="4727">
        <f t="shared" ref="R169:S169" si="104">R170+R183+R184+R188</f>
        <v>7560.4153711656872</v>
      </c>
      <c r="S169" s="4728">
        <f t="shared" si="104"/>
        <v>2757.0830026634344</v>
      </c>
      <c r="T169" s="2157">
        <f>'Д 2_Т на В'!H12+'Д 3.1_Т на Т без ЦТП'!G11+'Д 4_Т на П'!G11</f>
        <v>194304.67933998184</v>
      </c>
      <c r="U169" s="2157"/>
    </row>
    <row r="170" spans="2:21" ht="15.6" x14ac:dyDescent="0.3">
      <c r="B170" s="4723" t="s">
        <v>23</v>
      </c>
      <c r="C170" s="4729" t="s">
        <v>216</v>
      </c>
      <c r="D170" s="4730" t="s">
        <v>40</v>
      </c>
      <c r="E170" s="4731">
        <f t="shared" si="93"/>
        <v>125226.63655209105</v>
      </c>
      <c r="F170" s="4732">
        <f t="shared" si="94"/>
        <v>106550.87935788275</v>
      </c>
      <c r="G170" s="4733">
        <f t="shared" si="95"/>
        <v>18675.757194208301</v>
      </c>
      <c r="H170" s="4731">
        <f t="shared" si="96"/>
        <v>90347.379549454388</v>
      </c>
      <c r="I170" s="4732">
        <f t="shared" ref="I170" si="105">I171+I175+I176+I180+I181</f>
        <v>75935.519270185352</v>
      </c>
      <c r="J170" s="4733">
        <f t="shared" ref="J170" si="106">J171+J175+J176+J180+J181</f>
        <v>14411.860279269031</v>
      </c>
      <c r="K170" s="4763">
        <f t="shared" si="99"/>
        <v>33.233187604644577</v>
      </c>
      <c r="L170" s="4764">
        <f t="shared" ref="L170:M170" si="107">L171+L175+L176+L180+L181</f>
        <v>29.1753781091838</v>
      </c>
      <c r="M170" s="4765">
        <f t="shared" si="107"/>
        <v>4.0578094954607753</v>
      </c>
      <c r="N170" s="4731">
        <f t="shared" si="101"/>
        <v>26234.080502465407</v>
      </c>
      <c r="O170" s="4732">
        <f t="shared" ref="O170:P170" si="108">O171+O175+O176+O180+O181</f>
        <v>23025.769338422524</v>
      </c>
      <c r="P170" s="4733">
        <f t="shared" si="108"/>
        <v>3208.3111640428829</v>
      </c>
      <c r="Q170" s="4731">
        <f t="shared" si="103"/>
        <v>8611.9433125666146</v>
      </c>
      <c r="R170" s="4732">
        <f t="shared" ref="R170:S170" si="109">R171+R175+R176+R180+R181</f>
        <v>7560.4153711656872</v>
      </c>
      <c r="S170" s="4733">
        <f t="shared" si="109"/>
        <v>1051.5279414009269</v>
      </c>
    </row>
    <row r="171" spans="2:21" ht="15.6" x14ac:dyDescent="0.3">
      <c r="B171" s="4723" t="s">
        <v>41</v>
      </c>
      <c r="C171" s="4734" t="s">
        <v>454</v>
      </c>
      <c r="D171" s="4730" t="s">
        <v>40</v>
      </c>
      <c r="E171" s="4731">
        <f t="shared" si="93"/>
        <v>98886.792506291371</v>
      </c>
      <c r="F171" s="4732">
        <f t="shared" si="94"/>
        <v>90593.061893086968</v>
      </c>
      <c r="G171" s="4733">
        <f t="shared" si="95"/>
        <v>8293.730613204385</v>
      </c>
      <c r="H171" s="4731">
        <f t="shared" si="96"/>
        <v>69570.413786691686</v>
      </c>
      <c r="I171" s="4732">
        <f t="shared" ref="I171" si="110">I172+I173+I174</f>
        <v>62683.354596053781</v>
      </c>
      <c r="J171" s="4733">
        <f t="shared" ref="J171" si="111">J172+J173+J174</f>
        <v>6887.0591906379004</v>
      </c>
      <c r="K171" s="4763">
        <f t="shared" si="99"/>
        <v>27.938022912465005</v>
      </c>
      <c r="L171" s="4764">
        <f t="shared" ref="L171:M171" si="112">L172+L173+L174</f>
        <v>26.59934030138108</v>
      </c>
      <c r="M171" s="4765">
        <f t="shared" si="112"/>
        <v>1.3386826110839265</v>
      </c>
      <c r="N171" s="4731">
        <f t="shared" si="101"/>
        <v>22048.669644640722</v>
      </c>
      <c r="O171" s="4732">
        <f t="shared" ref="O171:P171" si="113">O172+O173+O174</f>
        <v>20990.238890053774</v>
      </c>
      <c r="P171" s="4733">
        <f t="shared" si="113"/>
        <v>1058.4307545869501</v>
      </c>
      <c r="Q171" s="4731">
        <f t="shared" si="103"/>
        <v>7239.7710520464852</v>
      </c>
      <c r="R171" s="4732">
        <f t="shared" ref="R171:S171" si="114">R172+R173+R174</f>
        <v>6892.8690666780331</v>
      </c>
      <c r="S171" s="4733">
        <f t="shared" si="114"/>
        <v>346.90198536845196</v>
      </c>
    </row>
    <row r="172" spans="2:21" ht="15.6" x14ac:dyDescent="0.3">
      <c r="B172" s="4723" t="s">
        <v>455</v>
      </c>
      <c r="C172" s="4735" t="s">
        <v>440</v>
      </c>
      <c r="D172" s="4730" t="s">
        <v>40</v>
      </c>
      <c r="E172" s="4731">
        <f t="shared" si="93"/>
        <v>88962.127405341831</v>
      </c>
      <c r="F172" s="4736">
        <f t="shared" si="94"/>
        <v>88962.127405341831</v>
      </c>
      <c r="G172" s="4737">
        <f t="shared" si="95"/>
        <v>0</v>
      </c>
      <c r="H172" s="4738">
        <f t="shared" si="96"/>
        <v>61328.739220870884</v>
      </c>
      <c r="I172" s="4736">
        <f>I40/I$30*I$32</f>
        <v>61328.739220870884</v>
      </c>
      <c r="J172" s="4737">
        <f t="shared" ref="J172" si="115">J40</f>
        <v>0</v>
      </c>
      <c r="K172" s="4766">
        <f t="shared" si="99"/>
        <v>26.335994432913296</v>
      </c>
      <c r="L172" s="4767">
        <f>L40/L$30*L$32</f>
        <v>26.335994432913296</v>
      </c>
      <c r="M172" s="4768">
        <f t="shared" ref="M172:M173" si="116">M40</f>
        <v>0</v>
      </c>
      <c r="N172" s="4738">
        <f t="shared" si="101"/>
        <v>20782.425740283274</v>
      </c>
      <c r="O172" s="4736">
        <f>O40/O$30*O$32</f>
        <v>20782.425740283274</v>
      </c>
      <c r="P172" s="4737">
        <f t="shared" ref="P172:P173" si="117">P40</f>
        <v>0</v>
      </c>
      <c r="Q172" s="4738">
        <f t="shared" si="103"/>
        <v>6824.6264497547554</v>
      </c>
      <c r="R172" s="4736">
        <f>R40/R$30*R$32</f>
        <v>6824.6264497547554</v>
      </c>
      <c r="S172" s="4737">
        <f t="shared" ref="S172:S173" si="118">S40</f>
        <v>0</v>
      </c>
    </row>
    <row r="173" spans="2:21" ht="15.6" x14ac:dyDescent="0.3">
      <c r="B173" s="4723" t="s">
        <v>456</v>
      </c>
      <c r="C173" s="4735" t="s">
        <v>1904</v>
      </c>
      <c r="D173" s="4730" t="s">
        <v>40</v>
      </c>
      <c r="E173" s="4731">
        <f t="shared" si="93"/>
        <v>1630.9344877451424</v>
      </c>
      <c r="F173" s="4736">
        <f t="shared" si="94"/>
        <v>1630.9344877451424</v>
      </c>
      <c r="G173" s="4737">
        <f t="shared" si="95"/>
        <v>0</v>
      </c>
      <c r="H173" s="4738">
        <f t="shared" si="96"/>
        <v>1354.6153751828965</v>
      </c>
      <c r="I173" s="4736">
        <f>I41/I$30*I$32</f>
        <v>1354.6153751828965</v>
      </c>
      <c r="J173" s="4737">
        <f t="shared" ref="J173" si="119">J41</f>
        <v>0</v>
      </c>
      <c r="K173" s="4766">
        <f t="shared" si="99"/>
        <v>0.26334586846778241</v>
      </c>
      <c r="L173" s="4767">
        <f>L41/L$30*L$32</f>
        <v>0.26334586846778241</v>
      </c>
      <c r="M173" s="4768">
        <f t="shared" si="116"/>
        <v>0</v>
      </c>
      <c r="N173" s="4738">
        <f t="shared" si="101"/>
        <v>207.81314977050107</v>
      </c>
      <c r="O173" s="4736">
        <f>O41/O$30*O$32</f>
        <v>207.81314977050107</v>
      </c>
      <c r="P173" s="4737">
        <f t="shared" si="117"/>
        <v>0</v>
      </c>
      <c r="Q173" s="4738">
        <f t="shared" si="103"/>
        <v>68.242616923277254</v>
      </c>
      <c r="R173" s="4736">
        <f>R41/R$30*R$32</f>
        <v>68.242616923277254</v>
      </c>
      <c r="S173" s="4737">
        <f t="shared" si="118"/>
        <v>0</v>
      </c>
    </row>
    <row r="174" spans="2:21" ht="15.6" x14ac:dyDescent="0.3">
      <c r="B174" s="4723" t="s">
        <v>457</v>
      </c>
      <c r="C174" s="4735" t="s">
        <v>1905</v>
      </c>
      <c r="D174" s="4730" t="s">
        <v>40</v>
      </c>
      <c r="E174" s="4731">
        <f t="shared" si="93"/>
        <v>8293.730613204385</v>
      </c>
      <c r="F174" s="4736">
        <f t="shared" si="94"/>
        <v>0</v>
      </c>
      <c r="G174" s="4737">
        <f t="shared" si="95"/>
        <v>8293.730613204385</v>
      </c>
      <c r="H174" s="4738">
        <f t="shared" si="96"/>
        <v>6887.0591906379004</v>
      </c>
      <c r="I174" s="4736">
        <f t="shared" ref="I174" si="120">I42</f>
        <v>0</v>
      </c>
      <c r="J174" s="4737">
        <f>J42/J$17*J$19</f>
        <v>6887.0591906379004</v>
      </c>
      <c r="K174" s="4766">
        <f t="shared" si="99"/>
        <v>1.3386826110839265</v>
      </c>
      <c r="L174" s="4767">
        <f t="shared" ref="L174" si="121">L42</f>
        <v>0</v>
      </c>
      <c r="M174" s="4768">
        <f>M42/M$17*M$19</f>
        <v>1.3386826110839265</v>
      </c>
      <c r="N174" s="4738">
        <f t="shared" si="101"/>
        <v>1058.4307545869501</v>
      </c>
      <c r="O174" s="4736">
        <f t="shared" ref="O174" si="122">O42</f>
        <v>0</v>
      </c>
      <c r="P174" s="4737">
        <f>P42/P$17*P$19</f>
        <v>1058.4307545869501</v>
      </c>
      <c r="Q174" s="4738">
        <f t="shared" si="103"/>
        <v>346.90198536845196</v>
      </c>
      <c r="R174" s="4736">
        <f t="shared" ref="R174" si="123">R42</f>
        <v>0</v>
      </c>
      <c r="S174" s="4737">
        <f>S42/S$17*S$19</f>
        <v>346.90198536845196</v>
      </c>
    </row>
    <row r="175" spans="2:21" ht="15.6" x14ac:dyDescent="0.3">
      <c r="B175" s="4723" t="s">
        <v>42</v>
      </c>
      <c r="C175" s="4739" t="s">
        <v>43</v>
      </c>
      <c r="D175" s="4730" t="s">
        <v>40</v>
      </c>
      <c r="E175" s="4731">
        <f t="shared" si="93"/>
        <v>15957.817464795779</v>
      </c>
      <c r="F175" s="4732">
        <f t="shared" si="94"/>
        <v>15957.817464795779</v>
      </c>
      <c r="G175" s="4733">
        <f t="shared" si="95"/>
        <v>0</v>
      </c>
      <c r="H175" s="4731">
        <f t="shared" si="96"/>
        <v>13252.164674131571</v>
      </c>
      <c r="I175" s="4732">
        <f>I43/I$30*I$32+I88</f>
        <v>13252.164674131571</v>
      </c>
      <c r="J175" s="4733">
        <f t="shared" ref="J175" si="124">J43+J88</f>
        <v>0</v>
      </c>
      <c r="K175" s="4763">
        <f t="shared" si="99"/>
        <v>2.5760378078027202</v>
      </c>
      <c r="L175" s="4764">
        <f>L43/L$30*L$32+L88</f>
        <v>2.5760378078027202</v>
      </c>
      <c r="M175" s="4765">
        <f t="shared" ref="M175" si="125">M43+M88</f>
        <v>0</v>
      </c>
      <c r="N175" s="4731">
        <f t="shared" si="101"/>
        <v>2035.5304483687505</v>
      </c>
      <c r="O175" s="4732">
        <f>O43/O$30*O$32+O88</f>
        <v>2035.5304483687505</v>
      </c>
      <c r="P175" s="4733">
        <f t="shared" ref="P175" si="126">P43+P88</f>
        <v>0</v>
      </c>
      <c r="Q175" s="4731">
        <f t="shared" si="103"/>
        <v>667.54630448765397</v>
      </c>
      <c r="R175" s="4732">
        <f>R43/R$30*R$32+R88</f>
        <v>667.54630448765397</v>
      </c>
      <c r="S175" s="4733">
        <f t="shared" ref="S175" si="127">S43+S88</f>
        <v>0</v>
      </c>
      <c r="T175" s="1021"/>
    </row>
    <row r="176" spans="2:21" ht="66" x14ac:dyDescent="0.3">
      <c r="B176" s="4723" t="s">
        <v>44</v>
      </c>
      <c r="C176" s="4740" t="s">
        <v>1972</v>
      </c>
      <c r="D176" s="4730" t="s">
        <v>40</v>
      </c>
      <c r="E176" s="4731">
        <f t="shared" si="93"/>
        <v>0</v>
      </c>
      <c r="F176" s="4732">
        <f t="shared" si="94"/>
        <v>0</v>
      </c>
      <c r="G176" s="4733">
        <f t="shared" si="95"/>
        <v>0</v>
      </c>
      <c r="H176" s="4731">
        <f t="shared" si="96"/>
        <v>0</v>
      </c>
      <c r="I176" s="4732">
        <f t="shared" ref="I176" si="128">I44</f>
        <v>0</v>
      </c>
      <c r="J176" s="4733">
        <f t="shared" ref="J176" si="129">J44</f>
        <v>0</v>
      </c>
      <c r="K176" s="4763">
        <f t="shared" si="99"/>
        <v>0</v>
      </c>
      <c r="L176" s="4764">
        <f t="shared" ref="L176:M178" si="130">L44</f>
        <v>0</v>
      </c>
      <c r="M176" s="4765">
        <f t="shared" si="130"/>
        <v>0</v>
      </c>
      <c r="N176" s="4731">
        <f t="shared" si="101"/>
        <v>0</v>
      </c>
      <c r="O176" s="4732">
        <f t="shared" ref="O176:P178" si="131">O44</f>
        <v>0</v>
      </c>
      <c r="P176" s="4733">
        <f t="shared" si="131"/>
        <v>0</v>
      </c>
      <c r="Q176" s="4731">
        <f t="shared" si="103"/>
        <v>0</v>
      </c>
      <c r="R176" s="4732">
        <f t="shared" ref="R176:S178" si="132">R44</f>
        <v>0</v>
      </c>
      <c r="S176" s="4733">
        <f t="shared" si="132"/>
        <v>0</v>
      </c>
      <c r="U176" s="1021"/>
    </row>
    <row r="177" spans="2:21" ht="15.6" x14ac:dyDescent="0.3">
      <c r="B177" s="4741" t="s">
        <v>570</v>
      </c>
      <c r="C177" s="4740" t="s">
        <v>571</v>
      </c>
      <c r="D177" s="4730" t="s">
        <v>40</v>
      </c>
      <c r="E177" s="4731">
        <f t="shared" si="93"/>
        <v>0</v>
      </c>
      <c r="F177" s="4732">
        <f t="shared" si="94"/>
        <v>0</v>
      </c>
      <c r="G177" s="4733">
        <f t="shared" si="95"/>
        <v>0</v>
      </c>
      <c r="H177" s="4731">
        <f t="shared" si="96"/>
        <v>0</v>
      </c>
      <c r="I177" s="4732">
        <f t="shared" ref="I177:I178" si="133">I45</f>
        <v>0</v>
      </c>
      <c r="J177" s="4733">
        <f t="shared" ref="J177" si="134">J45</f>
        <v>0</v>
      </c>
      <c r="K177" s="4763">
        <f t="shared" si="99"/>
        <v>0</v>
      </c>
      <c r="L177" s="4764">
        <f t="shared" ref="L177" si="135">L45</f>
        <v>0</v>
      </c>
      <c r="M177" s="4765">
        <f t="shared" si="130"/>
        <v>0</v>
      </c>
      <c r="N177" s="4731">
        <f t="shared" si="101"/>
        <v>0</v>
      </c>
      <c r="O177" s="4732">
        <f t="shared" ref="O177" si="136">O45</f>
        <v>0</v>
      </c>
      <c r="P177" s="4733">
        <f t="shared" si="131"/>
        <v>0</v>
      </c>
      <c r="Q177" s="4731">
        <f t="shared" si="103"/>
        <v>0</v>
      </c>
      <c r="R177" s="4732">
        <f t="shared" ref="R177" si="137">R45</f>
        <v>0</v>
      </c>
      <c r="S177" s="4733">
        <f t="shared" si="132"/>
        <v>0</v>
      </c>
    </row>
    <row r="178" spans="2:21" ht="39.6" x14ac:dyDescent="0.3">
      <c r="B178" s="4741" t="s">
        <v>572</v>
      </c>
      <c r="C178" s="4740" t="s">
        <v>573</v>
      </c>
      <c r="D178" s="4730" t="s">
        <v>40</v>
      </c>
      <c r="E178" s="4731">
        <f t="shared" si="93"/>
        <v>0</v>
      </c>
      <c r="F178" s="4732">
        <f t="shared" si="94"/>
        <v>0</v>
      </c>
      <c r="G178" s="4733">
        <f t="shared" si="95"/>
        <v>0</v>
      </c>
      <c r="H178" s="4731">
        <f t="shared" si="96"/>
        <v>0</v>
      </c>
      <c r="I178" s="4732">
        <f t="shared" si="133"/>
        <v>0</v>
      </c>
      <c r="J178" s="4733">
        <f t="shared" ref="J178" si="138">J46</f>
        <v>0</v>
      </c>
      <c r="K178" s="4763">
        <f t="shared" si="99"/>
        <v>0</v>
      </c>
      <c r="L178" s="4764">
        <f t="shared" ref="L178" si="139">L46</f>
        <v>0</v>
      </c>
      <c r="M178" s="4765">
        <f t="shared" si="130"/>
        <v>0</v>
      </c>
      <c r="N178" s="4731">
        <f t="shared" si="101"/>
        <v>0</v>
      </c>
      <c r="O178" s="4732">
        <f t="shared" ref="O178" si="140">O46</f>
        <v>0</v>
      </c>
      <c r="P178" s="4733">
        <f t="shared" si="131"/>
        <v>0</v>
      </c>
      <c r="Q178" s="4731">
        <f t="shared" si="103"/>
        <v>0</v>
      </c>
      <c r="R178" s="4732">
        <f t="shared" ref="R178" si="141">R46</f>
        <v>0</v>
      </c>
      <c r="S178" s="4733">
        <f t="shared" si="132"/>
        <v>0</v>
      </c>
    </row>
    <row r="179" spans="2:21" ht="26.4" x14ac:dyDescent="0.3">
      <c r="B179" s="4741" t="s">
        <v>44</v>
      </c>
      <c r="C179" s="4729" t="s">
        <v>608</v>
      </c>
      <c r="D179" s="4730" t="s">
        <v>40</v>
      </c>
      <c r="E179" s="4731">
        <f t="shared" si="93"/>
        <v>0</v>
      </c>
      <c r="F179" s="4732">
        <f t="shared" si="94"/>
        <v>0</v>
      </c>
      <c r="G179" s="4733">
        <f t="shared" si="95"/>
        <v>0</v>
      </c>
      <c r="H179" s="4731">
        <f t="shared" si="96"/>
        <v>0</v>
      </c>
      <c r="I179" s="4732">
        <f t="shared" ref="I179" si="142">I89</f>
        <v>0</v>
      </c>
      <c r="J179" s="4733">
        <f t="shared" ref="J179" si="143">J89</f>
        <v>0</v>
      </c>
      <c r="K179" s="4763">
        <f t="shared" si="99"/>
        <v>0</v>
      </c>
      <c r="L179" s="4764">
        <f t="shared" ref="L179:M179" si="144">L89</f>
        <v>0</v>
      </c>
      <c r="M179" s="4765">
        <f t="shared" si="144"/>
        <v>0</v>
      </c>
      <c r="N179" s="4731">
        <f t="shared" si="101"/>
        <v>0</v>
      </c>
      <c r="O179" s="4732">
        <f t="shared" ref="O179:P179" si="145">O89</f>
        <v>0</v>
      </c>
      <c r="P179" s="4733">
        <f t="shared" si="145"/>
        <v>0</v>
      </c>
      <c r="Q179" s="4731">
        <f t="shared" si="103"/>
        <v>0</v>
      </c>
      <c r="R179" s="4732">
        <f t="shared" ref="R179:S179" si="146">R89</f>
        <v>0</v>
      </c>
      <c r="S179" s="4733">
        <f t="shared" si="146"/>
        <v>0</v>
      </c>
    </row>
    <row r="180" spans="2:21" ht="26.4" x14ac:dyDescent="0.3">
      <c r="B180" s="4741" t="s">
        <v>45</v>
      </c>
      <c r="C180" s="4729" t="s">
        <v>1689</v>
      </c>
      <c r="D180" s="4730" t="s">
        <v>40</v>
      </c>
      <c r="E180" s="4731">
        <f t="shared" si="93"/>
        <v>571.39069434994417</v>
      </c>
      <c r="F180" s="4732">
        <f t="shared" si="94"/>
        <v>0</v>
      </c>
      <c r="G180" s="4733">
        <f t="shared" si="95"/>
        <v>571.39069434994417</v>
      </c>
      <c r="H180" s="4731">
        <f t="shared" si="96"/>
        <v>474.47906334244612</v>
      </c>
      <c r="I180" s="4732">
        <f t="shared" ref="I180" si="147">I47+I90</f>
        <v>0</v>
      </c>
      <c r="J180" s="4733">
        <f>J47/J$17*J$19+J90</f>
        <v>474.47906334244612</v>
      </c>
      <c r="K180" s="4763">
        <f t="shared" si="99"/>
        <v>9.2227590011616734E-2</v>
      </c>
      <c r="L180" s="4764">
        <f t="shared" ref="L180" si="148">L47+L90</f>
        <v>0</v>
      </c>
      <c r="M180" s="4765">
        <f>M47/M$17*M$19+M90</f>
        <v>9.2227590011616734E-2</v>
      </c>
      <c r="N180" s="4731">
        <f t="shared" si="101"/>
        <v>72.91983692138318</v>
      </c>
      <c r="O180" s="4732">
        <f t="shared" ref="O180" si="149">O47+O90</f>
        <v>0</v>
      </c>
      <c r="P180" s="4733">
        <f>P47/P$17*P$19+P90</f>
        <v>72.91983692138318</v>
      </c>
      <c r="Q180" s="4731">
        <f t="shared" si="103"/>
        <v>23.899566496103269</v>
      </c>
      <c r="R180" s="4732">
        <f t="shared" ref="R180" si="150">R47+R90</f>
        <v>0</v>
      </c>
      <c r="S180" s="4733">
        <f>S47/S$17*S$19+S90</f>
        <v>23.899566496103269</v>
      </c>
      <c r="T180" s="2157"/>
    </row>
    <row r="181" spans="2:21" ht="15.6" x14ac:dyDescent="0.3">
      <c r="B181" s="4741" t="s">
        <v>46</v>
      </c>
      <c r="C181" s="4729" t="s">
        <v>610</v>
      </c>
      <c r="D181" s="4730" t="s">
        <v>40</v>
      </c>
      <c r="E181" s="4731">
        <f t="shared" si="93"/>
        <v>9810.6358866539704</v>
      </c>
      <c r="F181" s="4732">
        <f t="shared" si="94"/>
        <v>0</v>
      </c>
      <c r="G181" s="4733">
        <f t="shared" si="95"/>
        <v>9810.6358866539704</v>
      </c>
      <c r="H181" s="4731">
        <f t="shared" si="96"/>
        <v>7050.322025288684</v>
      </c>
      <c r="I181" s="4732">
        <f t="shared" ref="I181" si="151">I48+I91+I131</f>
        <v>0</v>
      </c>
      <c r="J181" s="4733">
        <f>J48/J$17*J$19+J91+J131/J$17*J$19</f>
        <v>7050.322025288684</v>
      </c>
      <c r="K181" s="4763">
        <f t="shared" si="99"/>
        <v>2.6268992943652316</v>
      </c>
      <c r="L181" s="4764">
        <f t="shared" ref="L181" si="152">L48+L91+L131</f>
        <v>0</v>
      </c>
      <c r="M181" s="4765">
        <f>M48/M$17*M$19+M91+M131/M$17*M$19</f>
        <v>2.6268992943652316</v>
      </c>
      <c r="N181" s="4731">
        <f t="shared" si="101"/>
        <v>2076.9605725345496</v>
      </c>
      <c r="O181" s="4732">
        <f t="shared" ref="O181" si="153">O48+O91+O131</f>
        <v>0</v>
      </c>
      <c r="P181" s="4733">
        <f>P48/P$17*P$19+P91+P131/P$17*P$19</f>
        <v>2076.9605725345496</v>
      </c>
      <c r="Q181" s="4731">
        <f t="shared" si="103"/>
        <v>680.72638953637158</v>
      </c>
      <c r="R181" s="4732">
        <f t="shared" ref="R181" si="154">R48+R91+R131</f>
        <v>0</v>
      </c>
      <c r="S181" s="4733">
        <f>S48/S$17*S$19+S91+S131/S$17*S$19</f>
        <v>680.72638953637158</v>
      </c>
      <c r="T181" s="2157"/>
    </row>
    <row r="182" spans="2:21" ht="26.4" x14ac:dyDescent="0.3">
      <c r="B182" s="4741" t="s">
        <v>2226</v>
      </c>
      <c r="C182" s="4742" t="s">
        <v>1998</v>
      </c>
      <c r="D182" s="4730" t="s">
        <v>40</v>
      </c>
      <c r="E182" s="4731">
        <f t="shared" si="93"/>
        <v>8531.5305699133514</v>
      </c>
      <c r="F182" s="4732">
        <f t="shared" si="94"/>
        <v>0</v>
      </c>
      <c r="G182" s="4733">
        <f t="shared" si="95"/>
        <v>8531.5305699133514</v>
      </c>
      <c r="H182" s="4731">
        <f t="shared" si="96"/>
        <v>5988.1614080354857</v>
      </c>
      <c r="I182" s="4732">
        <f t="shared" ref="I182" si="155">I92</f>
        <v>0</v>
      </c>
      <c r="J182" s="4733">
        <f t="shared" ref="J182" si="156">J92</f>
        <v>5988.1614080354857</v>
      </c>
      <c r="K182" s="4763">
        <f t="shared" si="99"/>
        <v>2.4204402079634018</v>
      </c>
      <c r="L182" s="4764">
        <f t="shared" ref="L182:M182" si="157">L92</f>
        <v>0</v>
      </c>
      <c r="M182" s="4765">
        <f t="shared" si="157"/>
        <v>2.4204402079634018</v>
      </c>
      <c r="N182" s="4731">
        <f t="shared" si="101"/>
        <v>1913.7234879542968</v>
      </c>
      <c r="O182" s="4732">
        <f t="shared" ref="O182:P182" si="158">O92</f>
        <v>0</v>
      </c>
      <c r="P182" s="4733">
        <f t="shared" si="158"/>
        <v>1913.7234879542968</v>
      </c>
      <c r="Q182" s="4731">
        <f t="shared" si="103"/>
        <v>627.22523371560544</v>
      </c>
      <c r="R182" s="4732">
        <f t="shared" ref="R182:S182" si="159">R92</f>
        <v>0</v>
      </c>
      <c r="S182" s="4733">
        <f t="shared" si="159"/>
        <v>627.22523371560544</v>
      </c>
    </row>
    <row r="183" spans="2:21" ht="15.6" x14ac:dyDescent="0.3">
      <c r="B183" s="4743" t="s">
        <v>24</v>
      </c>
      <c r="C183" s="4729" t="s">
        <v>47</v>
      </c>
      <c r="D183" s="4730" t="s">
        <v>40</v>
      </c>
      <c r="E183" s="4731">
        <f t="shared" si="93"/>
        <v>21043.14117393137</v>
      </c>
      <c r="F183" s="4732">
        <f t="shared" si="94"/>
        <v>0</v>
      </c>
      <c r="G183" s="4733">
        <f t="shared" si="95"/>
        <v>21043.14117393137</v>
      </c>
      <c r="H183" s="4731">
        <f t="shared" si="96"/>
        <v>17474.085617284421</v>
      </c>
      <c r="I183" s="4732">
        <f t="shared" ref="I183:I198" si="160">I49+I93+I132</f>
        <v>0</v>
      </c>
      <c r="J183" s="4733">
        <f t="shared" ref="J183:J201" si="161">J49/J$17*J$19+J93+J132/J$17*J$19</f>
        <v>17474.085617284421</v>
      </c>
      <c r="K183" s="4763">
        <f t="shared" si="99"/>
        <v>3.3965519843706851</v>
      </c>
      <c r="L183" s="4764">
        <f t="shared" ref="L183" si="162">L49+L93+L132</f>
        <v>0</v>
      </c>
      <c r="M183" s="4765">
        <f t="shared" ref="M183:M201" si="163">M49/M$17*M$19+M93+M132/M$17*M$19</f>
        <v>3.3965519843706851</v>
      </c>
      <c r="N183" s="4731">
        <f t="shared" si="101"/>
        <v>2685.4872469736465</v>
      </c>
      <c r="O183" s="4732">
        <f t="shared" ref="O183" si="164">O49+O93+O132</f>
        <v>0</v>
      </c>
      <c r="P183" s="4733">
        <f t="shared" ref="P183:P201" si="165">P49/P$17*P$19+P93+P132/P$17*P$19</f>
        <v>2685.4872469736465</v>
      </c>
      <c r="Q183" s="4731">
        <f t="shared" si="103"/>
        <v>880.17175768892992</v>
      </c>
      <c r="R183" s="4732">
        <f t="shared" ref="R183" si="166">R49+R93+R132</f>
        <v>0</v>
      </c>
      <c r="S183" s="4733">
        <f t="shared" ref="S183:S201" si="167">S49/S$17*S$19+S93+S132/S$17*S$19</f>
        <v>880.17175768892992</v>
      </c>
      <c r="T183" s="2157"/>
    </row>
    <row r="184" spans="2:21" ht="15.6" x14ac:dyDescent="0.3">
      <c r="B184" s="4743" t="s">
        <v>48</v>
      </c>
      <c r="C184" s="4729" t="s">
        <v>217</v>
      </c>
      <c r="D184" s="4730" t="s">
        <v>40</v>
      </c>
      <c r="E184" s="4731">
        <f t="shared" si="93"/>
        <v>14223.780891106588</v>
      </c>
      <c r="F184" s="4732">
        <f t="shared" si="94"/>
        <v>0</v>
      </c>
      <c r="G184" s="4733">
        <f t="shared" si="95"/>
        <v>14223.780891106588</v>
      </c>
      <c r="H184" s="4731">
        <f t="shared" si="96"/>
        <v>11811.333823136396</v>
      </c>
      <c r="I184" s="4732">
        <f t="shared" si="160"/>
        <v>0</v>
      </c>
      <c r="J184" s="4733">
        <f t="shared" si="161"/>
        <v>11811.333823136396</v>
      </c>
      <c r="K184" s="4763">
        <f t="shared" si="99"/>
        <v>2.2958459866625023</v>
      </c>
      <c r="L184" s="4764">
        <f t="shared" ref="L184" si="168">L50+L94+L133</f>
        <v>0</v>
      </c>
      <c r="M184" s="4765">
        <f t="shared" si="163"/>
        <v>2.2958459866625023</v>
      </c>
      <c r="N184" s="4731">
        <f t="shared" si="101"/>
        <v>1815.2129414089093</v>
      </c>
      <c r="O184" s="4732">
        <f t="shared" ref="O184" si="169">O50+O94+O133</f>
        <v>0</v>
      </c>
      <c r="P184" s="4733">
        <f t="shared" si="165"/>
        <v>1815.2129414089093</v>
      </c>
      <c r="Q184" s="4731">
        <f t="shared" si="103"/>
        <v>594.93828057462031</v>
      </c>
      <c r="R184" s="4732">
        <f t="shared" ref="R184" si="170">R50+R94+R133</f>
        <v>0</v>
      </c>
      <c r="S184" s="4733">
        <f t="shared" si="167"/>
        <v>594.93828057462031</v>
      </c>
      <c r="T184" s="2157"/>
    </row>
    <row r="185" spans="2:21" ht="26.4" x14ac:dyDescent="0.3">
      <c r="B185" s="4743" t="s">
        <v>49</v>
      </c>
      <c r="C185" s="4734" t="s">
        <v>452</v>
      </c>
      <c r="D185" s="4730" t="s">
        <v>40</v>
      </c>
      <c r="E185" s="4731">
        <f t="shared" si="93"/>
        <v>4596.6036586610408</v>
      </c>
      <c r="F185" s="4732">
        <f t="shared" si="94"/>
        <v>0</v>
      </c>
      <c r="G185" s="4733">
        <f t="shared" si="95"/>
        <v>4596.6036586610408</v>
      </c>
      <c r="H185" s="4731">
        <f t="shared" si="96"/>
        <v>3816.9893561171166</v>
      </c>
      <c r="I185" s="4732">
        <f t="shared" si="160"/>
        <v>0</v>
      </c>
      <c r="J185" s="4733">
        <f t="shared" si="161"/>
        <v>3816.9893561171166</v>
      </c>
      <c r="K185" s="4763">
        <f t="shared" si="99"/>
        <v>0.74193311488742208</v>
      </c>
      <c r="L185" s="4764">
        <f t="shared" ref="L185" si="171">L51+L95+L134</f>
        <v>0</v>
      </c>
      <c r="M185" s="4765">
        <f t="shared" si="163"/>
        <v>0.74193311488742208</v>
      </c>
      <c r="N185" s="4731">
        <f t="shared" si="101"/>
        <v>586.610164456755</v>
      </c>
      <c r="O185" s="4732">
        <f t="shared" ref="O185" si="172">O51+O95+O134</f>
        <v>0</v>
      </c>
      <c r="P185" s="4733">
        <f t="shared" si="165"/>
        <v>586.610164456755</v>
      </c>
      <c r="Q185" s="4731">
        <f t="shared" si="103"/>
        <v>192.26220497228115</v>
      </c>
      <c r="R185" s="4732">
        <f t="shared" ref="R185" si="173">R51+R95+R134</f>
        <v>0</v>
      </c>
      <c r="S185" s="4733">
        <f t="shared" si="167"/>
        <v>192.26220497228115</v>
      </c>
      <c r="T185" s="2157"/>
    </row>
    <row r="186" spans="2:21" ht="15.6" x14ac:dyDescent="0.3">
      <c r="B186" s="4743" t="s">
        <v>50</v>
      </c>
      <c r="C186" s="4739" t="s">
        <v>453</v>
      </c>
      <c r="D186" s="4730" t="s">
        <v>40</v>
      </c>
      <c r="E186" s="4731">
        <f t="shared" si="93"/>
        <v>4856.3636255893334</v>
      </c>
      <c r="F186" s="4732">
        <f t="shared" si="94"/>
        <v>0</v>
      </c>
      <c r="G186" s="4733">
        <f t="shared" si="95"/>
        <v>4856.3636255893334</v>
      </c>
      <c r="H186" s="4731">
        <f t="shared" si="96"/>
        <v>4032.6923191172309</v>
      </c>
      <c r="I186" s="4732">
        <f t="shared" si="160"/>
        <v>0</v>
      </c>
      <c r="J186" s="4733">
        <f t="shared" si="161"/>
        <v>4032.6923191172309</v>
      </c>
      <c r="K186" s="4763">
        <f t="shared" si="99"/>
        <v>0.78386070658293105</v>
      </c>
      <c r="L186" s="4764">
        <f t="shared" ref="L186" si="174">L52+L96+L135</f>
        <v>0</v>
      </c>
      <c r="M186" s="4765">
        <f t="shared" si="163"/>
        <v>0.78386070658293105</v>
      </c>
      <c r="N186" s="4731">
        <f t="shared" si="101"/>
        <v>619.76025705440145</v>
      </c>
      <c r="O186" s="4732">
        <f t="shared" ref="O186" si="175">O52+O96+O135</f>
        <v>0</v>
      </c>
      <c r="P186" s="4733">
        <f t="shared" si="165"/>
        <v>619.76025705440145</v>
      </c>
      <c r="Q186" s="4731">
        <f t="shared" si="103"/>
        <v>203.12718871111758</v>
      </c>
      <c r="R186" s="4732">
        <f t="shared" ref="R186" si="176">R52+R96+R135</f>
        <v>0</v>
      </c>
      <c r="S186" s="4733">
        <f t="shared" si="167"/>
        <v>203.12718871111758</v>
      </c>
      <c r="T186" s="2157"/>
    </row>
    <row r="187" spans="2:21" ht="15.6" x14ac:dyDescent="0.3">
      <c r="B187" s="4743" t="s">
        <v>51</v>
      </c>
      <c r="C187" s="4739" t="s">
        <v>52</v>
      </c>
      <c r="D187" s="4730" t="s">
        <v>40</v>
      </c>
      <c r="E187" s="4731">
        <f t="shared" si="93"/>
        <v>4770.8136068562171</v>
      </c>
      <c r="F187" s="4732">
        <f t="shared" si="94"/>
        <v>0</v>
      </c>
      <c r="G187" s="4733">
        <f t="shared" si="95"/>
        <v>4770.8136068562171</v>
      </c>
      <c r="H187" s="4731">
        <f t="shared" si="96"/>
        <v>3961.6521479020503</v>
      </c>
      <c r="I187" s="4732">
        <f t="shared" si="160"/>
        <v>0</v>
      </c>
      <c r="J187" s="4733">
        <f t="shared" si="161"/>
        <v>3961.6521479020503</v>
      </c>
      <c r="K187" s="4763">
        <f t="shared" si="99"/>
        <v>0.77005216519214914</v>
      </c>
      <c r="L187" s="4764">
        <f t="shared" ref="L187" si="177">L53+L97+L136</f>
        <v>0</v>
      </c>
      <c r="M187" s="4765">
        <f t="shared" si="163"/>
        <v>0.77005216519214914</v>
      </c>
      <c r="N187" s="4731">
        <f t="shared" si="101"/>
        <v>608.84251989775271</v>
      </c>
      <c r="O187" s="4732">
        <f t="shared" ref="O187" si="178">O53+O97+O136</f>
        <v>0</v>
      </c>
      <c r="P187" s="4733">
        <f t="shared" si="165"/>
        <v>608.84251989775271</v>
      </c>
      <c r="Q187" s="4731">
        <f t="shared" si="103"/>
        <v>199.5488868912216</v>
      </c>
      <c r="R187" s="4732">
        <f t="shared" ref="R187" si="179">R53+R97+R136</f>
        <v>0</v>
      </c>
      <c r="S187" s="4733">
        <f t="shared" si="167"/>
        <v>199.5488868912216</v>
      </c>
      <c r="T187" s="2157"/>
      <c r="U187" s="2157"/>
    </row>
    <row r="188" spans="2:21" ht="15.6" x14ac:dyDescent="0.3">
      <c r="B188" s="4743" t="s">
        <v>53</v>
      </c>
      <c r="C188" s="4739" t="s">
        <v>218</v>
      </c>
      <c r="D188" s="4730" t="s">
        <v>40</v>
      </c>
      <c r="E188" s="4731">
        <f t="shared" si="93"/>
        <v>5509.4782460768229</v>
      </c>
      <c r="F188" s="4732">
        <f t="shared" si="94"/>
        <v>0</v>
      </c>
      <c r="G188" s="4733">
        <f t="shared" si="95"/>
        <v>5509.4782460768229</v>
      </c>
      <c r="H188" s="4731">
        <f t="shared" si="96"/>
        <v>4575.0343916232023</v>
      </c>
      <c r="I188" s="4732">
        <f t="shared" si="160"/>
        <v>0</v>
      </c>
      <c r="J188" s="4733">
        <f t="shared" si="161"/>
        <v>4575.0343916232023</v>
      </c>
      <c r="K188" s="4763">
        <f t="shared" si="99"/>
        <v>0.88927927227595027</v>
      </c>
      <c r="L188" s="4764">
        <f t="shared" ref="L188" si="180">L54+L98+L137</f>
        <v>0</v>
      </c>
      <c r="M188" s="4765">
        <f t="shared" si="163"/>
        <v>0.88927927227595027</v>
      </c>
      <c r="N188" s="4731">
        <f t="shared" si="101"/>
        <v>703.10955218238689</v>
      </c>
      <c r="O188" s="4732">
        <f t="shared" ref="O188" si="181">O54+O98+O137</f>
        <v>0</v>
      </c>
      <c r="P188" s="4733">
        <f t="shared" si="165"/>
        <v>703.10955218238689</v>
      </c>
      <c r="Q188" s="4731">
        <f t="shared" si="103"/>
        <v>230.44502299895703</v>
      </c>
      <c r="R188" s="4732">
        <f t="shared" ref="R188" si="182">R54+R98+R137</f>
        <v>0</v>
      </c>
      <c r="S188" s="4733">
        <f t="shared" si="167"/>
        <v>230.44502299895703</v>
      </c>
      <c r="T188" s="1021"/>
    </row>
    <row r="189" spans="2:21" ht="15.6" x14ac:dyDescent="0.3">
      <c r="B189" s="4743" t="s">
        <v>54</v>
      </c>
      <c r="C189" s="4739" t="s">
        <v>55</v>
      </c>
      <c r="D189" s="4730" t="s">
        <v>40</v>
      </c>
      <c r="E189" s="4731">
        <f t="shared" si="93"/>
        <v>4209.9335560331247</v>
      </c>
      <c r="F189" s="4732">
        <f t="shared" si="94"/>
        <v>0</v>
      </c>
      <c r="G189" s="4733">
        <f t="shared" si="95"/>
        <v>4209.9335560331247</v>
      </c>
      <c r="H189" s="4731">
        <f t="shared" si="96"/>
        <v>3495.9010536097776</v>
      </c>
      <c r="I189" s="4732">
        <f t="shared" si="160"/>
        <v>0</v>
      </c>
      <c r="J189" s="4733">
        <f t="shared" si="161"/>
        <v>3495.9010536097776</v>
      </c>
      <c r="K189" s="4763">
        <f t="shared" si="99"/>
        <v>0.67952108744691431</v>
      </c>
      <c r="L189" s="4764">
        <f t="shared" ref="L189" si="183">L55+L99+L138</f>
        <v>0</v>
      </c>
      <c r="M189" s="4765">
        <f t="shared" si="163"/>
        <v>0.67952108744691431</v>
      </c>
      <c r="N189" s="4731">
        <f t="shared" si="101"/>
        <v>537.26403210827368</v>
      </c>
      <c r="O189" s="4732">
        <f t="shared" ref="O189" si="184">O55+O99+O138</f>
        <v>0</v>
      </c>
      <c r="P189" s="4733">
        <f t="shared" si="165"/>
        <v>537.26403210827368</v>
      </c>
      <c r="Q189" s="4731">
        <f t="shared" si="103"/>
        <v>176.0889492276265</v>
      </c>
      <c r="R189" s="4732">
        <f t="shared" ref="R189" si="185">R55+R99+R138</f>
        <v>0</v>
      </c>
      <c r="S189" s="4733">
        <f t="shared" si="167"/>
        <v>176.0889492276265</v>
      </c>
      <c r="T189" s="1021"/>
    </row>
    <row r="190" spans="2:21" ht="26.4" x14ac:dyDescent="0.3">
      <c r="B190" s="4743" t="s">
        <v>56</v>
      </c>
      <c r="C190" s="4734" t="s">
        <v>452</v>
      </c>
      <c r="D190" s="4730" t="s">
        <v>40</v>
      </c>
      <c r="E190" s="4731">
        <f t="shared" si="93"/>
        <v>898.62098292586325</v>
      </c>
      <c r="F190" s="4732">
        <f t="shared" si="94"/>
        <v>0</v>
      </c>
      <c r="G190" s="4733">
        <f t="shared" si="95"/>
        <v>898.62098292586325</v>
      </c>
      <c r="H190" s="4731">
        <f t="shared" si="96"/>
        <v>746.20893636299979</v>
      </c>
      <c r="I190" s="4732">
        <f t="shared" si="160"/>
        <v>0</v>
      </c>
      <c r="J190" s="4733">
        <f t="shared" si="161"/>
        <v>746.20893636299979</v>
      </c>
      <c r="K190" s="4763">
        <f t="shared" si="99"/>
        <v>0.14504549760537672</v>
      </c>
      <c r="L190" s="4764">
        <f t="shared" ref="L190" si="186">L56+L100+L139</f>
        <v>0</v>
      </c>
      <c r="M190" s="4765">
        <f t="shared" si="163"/>
        <v>0.14504549760537672</v>
      </c>
      <c r="N190" s="4731">
        <f t="shared" si="101"/>
        <v>114.68036875118102</v>
      </c>
      <c r="O190" s="4732">
        <f t="shared" ref="O190" si="187">O56+O100+O139</f>
        <v>0</v>
      </c>
      <c r="P190" s="4733">
        <f t="shared" si="165"/>
        <v>114.68036875118102</v>
      </c>
      <c r="Q190" s="4731">
        <f t="shared" si="103"/>
        <v>37.586632314077093</v>
      </c>
      <c r="R190" s="4732">
        <f t="shared" ref="R190" si="188">R56+R100+R139</f>
        <v>0</v>
      </c>
      <c r="S190" s="4733">
        <f t="shared" si="167"/>
        <v>37.586632314077093</v>
      </c>
    </row>
    <row r="191" spans="2:21" ht="15.6" x14ac:dyDescent="0.3">
      <c r="B191" s="4743" t="s">
        <v>57</v>
      </c>
      <c r="C191" s="4739" t="s">
        <v>58</v>
      </c>
      <c r="D191" s="4730" t="s">
        <v>40</v>
      </c>
      <c r="E191" s="4731">
        <f t="shared" si="93"/>
        <v>400.92370711783485</v>
      </c>
      <c r="F191" s="4732">
        <f t="shared" si="94"/>
        <v>0</v>
      </c>
      <c r="G191" s="4733">
        <f t="shared" si="95"/>
        <v>400.92370711783485</v>
      </c>
      <c r="H191" s="4731">
        <f t="shared" si="96"/>
        <v>332.92440165042564</v>
      </c>
      <c r="I191" s="4732">
        <f t="shared" si="160"/>
        <v>0</v>
      </c>
      <c r="J191" s="4733">
        <f t="shared" si="161"/>
        <v>332.92440165042564</v>
      </c>
      <c r="K191" s="4763">
        <f t="shared" si="99"/>
        <v>6.4712687223659304E-2</v>
      </c>
      <c r="L191" s="4764">
        <f t="shared" ref="L191" si="189">L57+L101+L140</f>
        <v>0</v>
      </c>
      <c r="M191" s="4765">
        <f t="shared" si="163"/>
        <v>6.4712687223659304E-2</v>
      </c>
      <c r="N191" s="4731">
        <f t="shared" si="101"/>
        <v>51.165151322932125</v>
      </c>
      <c r="O191" s="4732">
        <f t="shared" ref="O191" si="190">O57+O101+O140</f>
        <v>0</v>
      </c>
      <c r="P191" s="4733">
        <f t="shared" si="165"/>
        <v>51.165151322932125</v>
      </c>
      <c r="Q191" s="4731">
        <f t="shared" si="103"/>
        <v>16.769441457253428</v>
      </c>
      <c r="R191" s="4732">
        <f t="shared" ref="R191" si="191">R57+R101+R140</f>
        <v>0</v>
      </c>
      <c r="S191" s="4733">
        <f t="shared" si="167"/>
        <v>16.769441457253428</v>
      </c>
    </row>
    <row r="192" spans="2:21" ht="15.6" x14ac:dyDescent="0.3">
      <c r="B192" s="4743">
        <v>2</v>
      </c>
      <c r="C192" s="4739" t="s">
        <v>219</v>
      </c>
      <c r="D192" s="4730" t="s">
        <v>40</v>
      </c>
      <c r="E192" s="4731">
        <f t="shared" si="93"/>
        <v>6698.0571760131006</v>
      </c>
      <c r="F192" s="4732">
        <f t="shared" si="94"/>
        <v>0</v>
      </c>
      <c r="G192" s="4733">
        <f t="shared" si="95"/>
        <v>6698.0571760131006</v>
      </c>
      <c r="H192" s="4731">
        <f t="shared" si="96"/>
        <v>5562.0224944420688</v>
      </c>
      <c r="I192" s="4732">
        <f t="shared" si="160"/>
        <v>0</v>
      </c>
      <c r="J192" s="4733">
        <f t="shared" si="161"/>
        <v>5562.0224944420688</v>
      </c>
      <c r="K192" s="4763">
        <f t="shared" si="99"/>
        <v>1.0811265867850715</v>
      </c>
      <c r="L192" s="4764">
        <f t="shared" ref="L192" si="192">L58+L102+L141</f>
        <v>0</v>
      </c>
      <c r="M192" s="4765">
        <f t="shared" si="163"/>
        <v>1.0811265867850715</v>
      </c>
      <c r="N192" s="4731">
        <f t="shared" si="101"/>
        <v>854.7938246007418</v>
      </c>
      <c r="O192" s="4732">
        <f t="shared" ref="O192" si="193">O58+O102+O141</f>
        <v>0</v>
      </c>
      <c r="P192" s="4733">
        <f t="shared" si="165"/>
        <v>854.7938246007418</v>
      </c>
      <c r="Q192" s="4731">
        <f t="shared" si="103"/>
        <v>280.15973038350495</v>
      </c>
      <c r="R192" s="4732">
        <f t="shared" ref="R192" si="194">R58+R102+R141</f>
        <v>0</v>
      </c>
      <c r="S192" s="4733">
        <f t="shared" si="167"/>
        <v>280.15973038350495</v>
      </c>
    </row>
    <row r="193" spans="2:21" ht="15.6" x14ac:dyDescent="0.3">
      <c r="B193" s="4743" t="s">
        <v>25</v>
      </c>
      <c r="C193" s="4739" t="s">
        <v>55</v>
      </c>
      <c r="D193" s="4730" t="s">
        <v>40</v>
      </c>
      <c r="E193" s="4731">
        <f t="shared" si="93"/>
        <v>5015.9347778157444</v>
      </c>
      <c r="F193" s="4732">
        <f t="shared" si="94"/>
        <v>0</v>
      </c>
      <c r="G193" s="4733">
        <f t="shared" si="95"/>
        <v>5015.9347778157444</v>
      </c>
      <c r="H193" s="4731">
        <f t="shared" si="96"/>
        <v>4165.1991512965378</v>
      </c>
      <c r="I193" s="4732">
        <f t="shared" si="160"/>
        <v>0</v>
      </c>
      <c r="J193" s="4733">
        <f t="shared" si="161"/>
        <v>4165.1991512965378</v>
      </c>
      <c r="K193" s="4763">
        <f t="shared" si="99"/>
        <v>0.80961692373971839</v>
      </c>
      <c r="L193" s="4764">
        <f t="shared" ref="L193" si="195">L59+L103+L142</f>
        <v>0</v>
      </c>
      <c r="M193" s="4765">
        <f t="shared" si="163"/>
        <v>0.80961692373971839</v>
      </c>
      <c r="N193" s="4731">
        <f t="shared" si="101"/>
        <v>640.12443608746617</v>
      </c>
      <c r="O193" s="4732">
        <f t="shared" ref="O193" si="196">O59+O103+O142</f>
        <v>0</v>
      </c>
      <c r="P193" s="4733">
        <f t="shared" si="165"/>
        <v>640.12443608746617</v>
      </c>
      <c r="Q193" s="4731">
        <f t="shared" si="103"/>
        <v>209.80157350800079</v>
      </c>
      <c r="R193" s="4732">
        <f t="shared" ref="R193" si="197">R59+R103+R142</f>
        <v>0</v>
      </c>
      <c r="S193" s="4733">
        <f t="shared" si="167"/>
        <v>209.80157350800079</v>
      </c>
    </row>
    <row r="194" spans="2:21" ht="29.25" customHeight="1" x14ac:dyDescent="0.3">
      <c r="B194" s="4743" t="s">
        <v>26</v>
      </c>
      <c r="C194" s="4734" t="s">
        <v>452</v>
      </c>
      <c r="D194" s="4730" t="s">
        <v>40</v>
      </c>
      <c r="E194" s="4731">
        <f t="shared" si="93"/>
        <v>1103.5056511194637</v>
      </c>
      <c r="F194" s="4732">
        <f t="shared" si="94"/>
        <v>0</v>
      </c>
      <c r="G194" s="4733">
        <f t="shared" si="95"/>
        <v>1103.5056511194637</v>
      </c>
      <c r="H194" s="4731">
        <f t="shared" si="96"/>
        <v>916.3438132852383</v>
      </c>
      <c r="I194" s="4732">
        <f t="shared" si="160"/>
        <v>0</v>
      </c>
      <c r="J194" s="4733">
        <f t="shared" si="161"/>
        <v>916.3438132852383</v>
      </c>
      <c r="K194" s="4763">
        <f t="shared" si="99"/>
        <v>0.17811572322273805</v>
      </c>
      <c r="L194" s="4764">
        <f t="shared" ref="L194" si="198">L60+L104+L143</f>
        <v>0</v>
      </c>
      <c r="M194" s="4765">
        <f t="shared" si="163"/>
        <v>0.17811572322273805</v>
      </c>
      <c r="N194" s="4731">
        <f t="shared" si="101"/>
        <v>140.82737593924259</v>
      </c>
      <c r="O194" s="4732">
        <f t="shared" ref="O194" si="199">O60+O104+O143</f>
        <v>0</v>
      </c>
      <c r="P194" s="4733">
        <f t="shared" si="165"/>
        <v>140.82737593924259</v>
      </c>
      <c r="Q194" s="4731">
        <f t="shared" si="103"/>
        <v>46.156346171760177</v>
      </c>
      <c r="R194" s="4732">
        <f t="shared" ref="R194" si="200">R60+R104+R143</f>
        <v>0</v>
      </c>
      <c r="S194" s="4733">
        <f t="shared" si="167"/>
        <v>46.156346171760177</v>
      </c>
    </row>
    <row r="195" spans="2:21" ht="15.6" x14ac:dyDescent="0.3">
      <c r="B195" s="4743" t="s">
        <v>59</v>
      </c>
      <c r="C195" s="4744" t="s">
        <v>58</v>
      </c>
      <c r="D195" s="4730" t="s">
        <v>40</v>
      </c>
      <c r="E195" s="4731">
        <f t="shared" si="93"/>
        <v>578.61674707789211</v>
      </c>
      <c r="F195" s="4732">
        <f t="shared" si="94"/>
        <v>0</v>
      </c>
      <c r="G195" s="4733">
        <f t="shared" si="95"/>
        <v>578.61674707789211</v>
      </c>
      <c r="H195" s="4731">
        <f t="shared" si="96"/>
        <v>480.47952986029259</v>
      </c>
      <c r="I195" s="4732">
        <f t="shared" si="160"/>
        <v>0</v>
      </c>
      <c r="J195" s="4733">
        <f t="shared" si="161"/>
        <v>480.47952986029259</v>
      </c>
      <c r="K195" s="4763">
        <f t="shared" si="99"/>
        <v>9.3393939822615069E-2</v>
      </c>
      <c r="L195" s="4764">
        <f t="shared" ref="L195" si="201">L61+L105+L144</f>
        <v>0</v>
      </c>
      <c r="M195" s="4765">
        <f t="shared" si="163"/>
        <v>9.3393939822615069E-2</v>
      </c>
      <c r="N195" s="4731">
        <f t="shared" si="101"/>
        <v>73.842012574033035</v>
      </c>
      <c r="O195" s="4732">
        <f t="shared" ref="O195" si="202">O61+O105+O144</f>
        <v>0</v>
      </c>
      <c r="P195" s="4733">
        <f t="shared" si="165"/>
        <v>73.842012574033035</v>
      </c>
      <c r="Q195" s="4731">
        <f t="shared" si="103"/>
        <v>24.201810703743963</v>
      </c>
      <c r="R195" s="4732">
        <f t="shared" ref="R195" si="203">R61+R105+R144</f>
        <v>0</v>
      </c>
      <c r="S195" s="4733">
        <f t="shared" si="167"/>
        <v>24.201810703743963</v>
      </c>
    </row>
    <row r="196" spans="2:21" ht="15.6" x14ac:dyDescent="0.3">
      <c r="B196" s="4743" t="s">
        <v>173</v>
      </c>
      <c r="C196" s="4729" t="s">
        <v>220</v>
      </c>
      <c r="D196" s="4730" t="s">
        <v>40</v>
      </c>
      <c r="E196" s="4731">
        <f t="shared" si="93"/>
        <v>0</v>
      </c>
      <c r="F196" s="4732">
        <f t="shared" si="94"/>
        <v>0</v>
      </c>
      <c r="G196" s="4733">
        <f t="shared" si="95"/>
        <v>0</v>
      </c>
      <c r="H196" s="4731">
        <f t="shared" si="96"/>
        <v>0</v>
      </c>
      <c r="I196" s="4732">
        <f t="shared" si="160"/>
        <v>0</v>
      </c>
      <c r="J196" s="4733">
        <f t="shared" si="161"/>
        <v>0</v>
      </c>
      <c r="K196" s="4763">
        <f t="shared" si="99"/>
        <v>0</v>
      </c>
      <c r="L196" s="4764">
        <f t="shared" ref="L196" si="204">L62+L106+L145</f>
        <v>0</v>
      </c>
      <c r="M196" s="4765">
        <f t="shared" si="163"/>
        <v>0</v>
      </c>
      <c r="N196" s="4731">
        <f t="shared" si="101"/>
        <v>0</v>
      </c>
      <c r="O196" s="4732">
        <f t="shared" ref="O196" si="205">O62+O106+O145</f>
        <v>0</v>
      </c>
      <c r="P196" s="4733">
        <f t="shared" si="165"/>
        <v>0</v>
      </c>
      <c r="Q196" s="4731">
        <f t="shared" si="103"/>
        <v>0</v>
      </c>
      <c r="R196" s="4732">
        <f t="shared" ref="R196" si="206">R62+R106+R145</f>
        <v>0</v>
      </c>
      <c r="S196" s="4733">
        <f t="shared" si="167"/>
        <v>0</v>
      </c>
    </row>
    <row r="197" spans="2:21" ht="15.6" x14ac:dyDescent="0.3">
      <c r="B197" s="4743" t="s">
        <v>60</v>
      </c>
      <c r="C197" s="4729" t="s">
        <v>55</v>
      </c>
      <c r="D197" s="4730" t="s">
        <v>40</v>
      </c>
      <c r="E197" s="4731">
        <f t="shared" si="93"/>
        <v>0</v>
      </c>
      <c r="F197" s="4732">
        <f t="shared" si="94"/>
        <v>0</v>
      </c>
      <c r="G197" s="4733">
        <f t="shared" si="95"/>
        <v>0</v>
      </c>
      <c r="H197" s="4731">
        <f t="shared" si="96"/>
        <v>0</v>
      </c>
      <c r="I197" s="4732">
        <f t="shared" si="160"/>
        <v>0</v>
      </c>
      <c r="J197" s="4733">
        <f t="shared" si="161"/>
        <v>0</v>
      </c>
      <c r="K197" s="4763">
        <f t="shared" si="99"/>
        <v>0</v>
      </c>
      <c r="L197" s="4764">
        <f t="shared" ref="L197" si="207">L63+L107+L146</f>
        <v>0</v>
      </c>
      <c r="M197" s="4765">
        <f t="shared" si="163"/>
        <v>0</v>
      </c>
      <c r="N197" s="4731">
        <f t="shared" si="101"/>
        <v>0</v>
      </c>
      <c r="O197" s="4732">
        <f t="shared" ref="O197" si="208">O63+O107+O146</f>
        <v>0</v>
      </c>
      <c r="P197" s="4733">
        <f t="shared" si="165"/>
        <v>0</v>
      </c>
      <c r="Q197" s="4731">
        <f t="shared" si="103"/>
        <v>0</v>
      </c>
      <c r="R197" s="4732">
        <f t="shared" ref="R197" si="209">R63+R107+R146</f>
        <v>0</v>
      </c>
      <c r="S197" s="4733">
        <f t="shared" si="167"/>
        <v>0</v>
      </c>
    </row>
    <row r="198" spans="2:21" ht="26.4" x14ac:dyDescent="0.3">
      <c r="B198" s="4743" t="s">
        <v>61</v>
      </c>
      <c r="C198" s="4734" t="s">
        <v>452</v>
      </c>
      <c r="D198" s="4730" t="s">
        <v>40</v>
      </c>
      <c r="E198" s="4731">
        <f t="shared" si="93"/>
        <v>0</v>
      </c>
      <c r="F198" s="4732">
        <f t="shared" si="94"/>
        <v>0</v>
      </c>
      <c r="G198" s="4733">
        <f t="shared" si="95"/>
        <v>0</v>
      </c>
      <c r="H198" s="4731">
        <f t="shared" si="96"/>
        <v>0</v>
      </c>
      <c r="I198" s="4732">
        <f t="shared" si="160"/>
        <v>0</v>
      </c>
      <c r="J198" s="4733">
        <f t="shared" si="161"/>
        <v>0</v>
      </c>
      <c r="K198" s="4763">
        <f t="shared" si="99"/>
        <v>0</v>
      </c>
      <c r="L198" s="4764">
        <f t="shared" ref="L198" si="210">L64+L108+L147</f>
        <v>0</v>
      </c>
      <c r="M198" s="4765">
        <f t="shared" si="163"/>
        <v>0</v>
      </c>
      <c r="N198" s="4731">
        <f t="shared" si="101"/>
        <v>0</v>
      </c>
      <c r="O198" s="4732">
        <f t="shared" ref="O198" si="211">O64+O108+O147</f>
        <v>0</v>
      </c>
      <c r="P198" s="4733">
        <f t="shared" si="165"/>
        <v>0</v>
      </c>
      <c r="Q198" s="4731">
        <f t="shared" si="103"/>
        <v>0</v>
      </c>
      <c r="R198" s="4732">
        <f t="shared" ref="R198" si="212">R64+R108+R147</f>
        <v>0</v>
      </c>
      <c r="S198" s="4733">
        <f t="shared" si="167"/>
        <v>0</v>
      </c>
    </row>
    <row r="199" spans="2:21" ht="15.6" x14ac:dyDescent="0.3">
      <c r="B199" s="4743" t="s">
        <v>62</v>
      </c>
      <c r="C199" s="4729" t="s">
        <v>58</v>
      </c>
      <c r="D199" s="4730" t="s">
        <v>40</v>
      </c>
      <c r="E199" s="4731">
        <f t="shared" si="93"/>
        <v>0</v>
      </c>
      <c r="F199" s="4732">
        <f t="shared" si="94"/>
        <v>0</v>
      </c>
      <c r="G199" s="4733">
        <f t="shared" si="95"/>
        <v>0</v>
      </c>
      <c r="H199" s="4731">
        <f t="shared" si="96"/>
        <v>0</v>
      </c>
      <c r="I199" s="4732">
        <f t="shared" ref="I199:I201" si="213">I65+I109+I148</f>
        <v>0</v>
      </c>
      <c r="J199" s="4733">
        <f t="shared" si="161"/>
        <v>0</v>
      </c>
      <c r="K199" s="4763">
        <f t="shared" si="99"/>
        <v>0</v>
      </c>
      <c r="L199" s="4764">
        <f t="shared" ref="L199" si="214">L65+L109+L148</f>
        <v>0</v>
      </c>
      <c r="M199" s="4765">
        <f t="shared" si="163"/>
        <v>0</v>
      </c>
      <c r="N199" s="4731">
        <f t="shared" si="101"/>
        <v>0</v>
      </c>
      <c r="O199" s="4732">
        <f t="shared" ref="O199" si="215">O65+O109+O148</f>
        <v>0</v>
      </c>
      <c r="P199" s="4733">
        <f t="shared" si="165"/>
        <v>0</v>
      </c>
      <c r="Q199" s="4731">
        <f t="shared" si="103"/>
        <v>0</v>
      </c>
      <c r="R199" s="4732">
        <f t="shared" ref="R199" si="216">R65+R109+R148</f>
        <v>0</v>
      </c>
      <c r="S199" s="4733">
        <f t="shared" si="167"/>
        <v>0</v>
      </c>
    </row>
    <row r="200" spans="2:21" ht="15.6" x14ac:dyDescent="0.3">
      <c r="B200" s="4743" t="s">
        <v>174</v>
      </c>
      <c r="C200" s="4734" t="s">
        <v>175</v>
      </c>
      <c r="D200" s="4730" t="s">
        <v>40</v>
      </c>
      <c r="E200" s="4731">
        <f t="shared" si="93"/>
        <v>0</v>
      </c>
      <c r="F200" s="4732">
        <f t="shared" si="94"/>
        <v>0</v>
      </c>
      <c r="G200" s="4733">
        <f t="shared" si="95"/>
        <v>0</v>
      </c>
      <c r="H200" s="4731">
        <f t="shared" si="96"/>
        <v>0</v>
      </c>
      <c r="I200" s="4732">
        <f t="shared" si="213"/>
        <v>0</v>
      </c>
      <c r="J200" s="4733">
        <f t="shared" si="161"/>
        <v>0</v>
      </c>
      <c r="K200" s="4763">
        <f t="shared" si="99"/>
        <v>0</v>
      </c>
      <c r="L200" s="4764">
        <f t="shared" ref="L200" si="217">L66+L110+L149</f>
        <v>0</v>
      </c>
      <c r="M200" s="4765">
        <f t="shared" si="163"/>
        <v>0</v>
      </c>
      <c r="N200" s="4731">
        <f t="shared" si="101"/>
        <v>0</v>
      </c>
      <c r="O200" s="4732">
        <f t="shared" ref="O200" si="218">O66+O110+O149</f>
        <v>0</v>
      </c>
      <c r="P200" s="4733">
        <f t="shared" si="165"/>
        <v>0</v>
      </c>
      <c r="Q200" s="4731">
        <f t="shared" si="103"/>
        <v>0</v>
      </c>
      <c r="R200" s="4732">
        <f t="shared" ref="R200" si="219">R66+R110+R149</f>
        <v>0</v>
      </c>
      <c r="S200" s="4733">
        <f t="shared" si="167"/>
        <v>0</v>
      </c>
    </row>
    <row r="201" spans="2:21" ht="15.6" x14ac:dyDescent="0.3">
      <c r="B201" s="4743" t="s">
        <v>169</v>
      </c>
      <c r="C201" s="4739" t="s">
        <v>5</v>
      </c>
      <c r="D201" s="4730" t="s">
        <v>40</v>
      </c>
      <c r="E201" s="4731">
        <f t="shared" si="93"/>
        <v>0</v>
      </c>
      <c r="F201" s="4732">
        <f t="shared" si="94"/>
        <v>0</v>
      </c>
      <c r="G201" s="4733">
        <f t="shared" si="95"/>
        <v>0</v>
      </c>
      <c r="H201" s="4731">
        <f t="shared" si="96"/>
        <v>0</v>
      </c>
      <c r="I201" s="4732">
        <f t="shared" si="213"/>
        <v>0</v>
      </c>
      <c r="J201" s="4733">
        <f t="shared" si="161"/>
        <v>0</v>
      </c>
      <c r="K201" s="4763">
        <f t="shared" si="99"/>
        <v>0</v>
      </c>
      <c r="L201" s="4764">
        <f t="shared" ref="L201" si="220">L67+L111+L150</f>
        <v>0</v>
      </c>
      <c r="M201" s="4765">
        <f t="shared" si="163"/>
        <v>0</v>
      </c>
      <c r="N201" s="4731">
        <f t="shared" si="101"/>
        <v>0</v>
      </c>
      <c r="O201" s="4732">
        <f t="shared" ref="O201" si="221">O67+O111+O150</f>
        <v>0</v>
      </c>
      <c r="P201" s="4733">
        <f t="shared" si="165"/>
        <v>0</v>
      </c>
      <c r="Q201" s="4731">
        <f t="shared" si="103"/>
        <v>0</v>
      </c>
      <c r="R201" s="4732">
        <f t="shared" ref="R201" si="222">R67+R111+R150</f>
        <v>0</v>
      </c>
      <c r="S201" s="4733">
        <f t="shared" si="167"/>
        <v>0</v>
      </c>
    </row>
    <row r="202" spans="2:21" ht="15.6" x14ac:dyDescent="0.3">
      <c r="B202" s="4743" t="s">
        <v>170</v>
      </c>
      <c r="C202" s="4745" t="s">
        <v>176</v>
      </c>
      <c r="D202" s="4746" t="s">
        <v>40</v>
      </c>
      <c r="E202" s="4747">
        <f>E201+E200+E196+E192+E169</f>
        <v>172701.09403921894</v>
      </c>
      <c r="F202" s="4748">
        <f t="shared" ref="F202:J202" si="223">F201+F200+F196+F192+F169</f>
        <v>106550.87935788275</v>
      </c>
      <c r="G202" s="4749">
        <f t="shared" ref="E202:G209" si="224">J202+M202+P202+S202</f>
        <v>66150.214681336176</v>
      </c>
      <c r="H202" s="4747">
        <f t="shared" si="96"/>
        <v>129769.85587594047</v>
      </c>
      <c r="I202" s="4748">
        <f t="shared" si="223"/>
        <v>75935.519270185352</v>
      </c>
      <c r="J202" s="4750">
        <f t="shared" si="223"/>
        <v>53834.336605755117</v>
      </c>
      <c r="K202" s="4769">
        <f t="shared" si="99"/>
        <v>40.895991434738782</v>
      </c>
      <c r="L202" s="4770">
        <f t="shared" ref="L202:M202" si="225">L201+L200+L196+L192+L169</f>
        <v>29.1753781091838</v>
      </c>
      <c r="M202" s="4771">
        <f t="shared" si="225"/>
        <v>11.720613325554984</v>
      </c>
      <c r="N202" s="4747">
        <f t="shared" si="101"/>
        <v>32292.684067631089</v>
      </c>
      <c r="O202" s="4748">
        <f t="shared" ref="O202:P202" si="226">O201+O200+O196+O192+O169</f>
        <v>23025.769338422524</v>
      </c>
      <c r="P202" s="4750">
        <f t="shared" si="226"/>
        <v>9266.9147292085672</v>
      </c>
      <c r="Q202" s="4747">
        <f t="shared" si="103"/>
        <v>10597.658104212627</v>
      </c>
      <c r="R202" s="4748">
        <f t="shared" ref="R202:S202" si="227">R201+R200+R196+R192+R169</f>
        <v>7560.4153711656872</v>
      </c>
      <c r="S202" s="4750">
        <f t="shared" si="227"/>
        <v>3037.2427330469395</v>
      </c>
      <c r="T202" s="2157">
        <f>T151+T112+T68</f>
        <v>202070.73974857901</v>
      </c>
      <c r="U202" s="2157">
        <f>T202-E202</f>
        <v>29369.645709360077</v>
      </c>
    </row>
    <row r="203" spans="2:21" ht="16.2" customHeight="1" x14ac:dyDescent="0.3">
      <c r="B203" s="4743" t="s">
        <v>171</v>
      </c>
      <c r="C203" s="4751" t="s">
        <v>2655</v>
      </c>
      <c r="D203" s="4746" t="s">
        <v>40</v>
      </c>
      <c r="E203" s="4731">
        <f t="shared" si="224"/>
        <v>0</v>
      </c>
      <c r="F203" s="4732">
        <f t="shared" ref="F203:J209" si="228">F152+F113+F69</f>
        <v>0</v>
      </c>
      <c r="G203" s="4733">
        <f t="shared" si="228"/>
        <v>0</v>
      </c>
      <c r="H203" s="4731">
        <f t="shared" si="96"/>
        <v>0</v>
      </c>
      <c r="I203" s="4732">
        <f t="shared" si="228"/>
        <v>0</v>
      </c>
      <c r="J203" s="4733">
        <f t="shared" si="228"/>
        <v>0</v>
      </c>
      <c r="K203" s="4763">
        <f t="shared" si="99"/>
        <v>0</v>
      </c>
      <c r="L203" s="4764">
        <f t="shared" ref="L203:M203" si="229">L152+L113+L69</f>
        <v>0</v>
      </c>
      <c r="M203" s="4765">
        <f t="shared" si="229"/>
        <v>0</v>
      </c>
      <c r="N203" s="4731">
        <f t="shared" si="101"/>
        <v>0</v>
      </c>
      <c r="O203" s="4732">
        <f t="shared" ref="O203:P203" si="230">O152+O113+O69</f>
        <v>0</v>
      </c>
      <c r="P203" s="4733">
        <f t="shared" si="230"/>
        <v>0</v>
      </c>
      <c r="Q203" s="4731">
        <f t="shared" si="103"/>
        <v>0</v>
      </c>
      <c r="R203" s="4732">
        <f t="shared" ref="R203:S203" si="231">R152+R113+R69</f>
        <v>0</v>
      </c>
      <c r="S203" s="4733">
        <f t="shared" si="231"/>
        <v>0</v>
      </c>
      <c r="T203" s="1021"/>
    </row>
    <row r="204" spans="2:21" ht="15.6" x14ac:dyDescent="0.3">
      <c r="B204" s="4743" t="s">
        <v>172</v>
      </c>
      <c r="C204" s="4752" t="s">
        <v>222</v>
      </c>
      <c r="D204" s="4746" t="s">
        <v>40</v>
      </c>
      <c r="E204" s="4753">
        <f t="shared" si="224"/>
        <v>8010.4026019714975</v>
      </c>
      <c r="F204" s="4754">
        <f t="shared" si="228"/>
        <v>0</v>
      </c>
      <c r="G204" s="4749">
        <f t="shared" si="224"/>
        <v>8010.4026019714975</v>
      </c>
      <c r="H204" s="4753">
        <f t="shared" si="96"/>
        <v>6018.5454839299673</v>
      </c>
      <c r="I204" s="4754">
        <f t="shared" si="228"/>
        <v>0</v>
      </c>
      <c r="J204" s="4749">
        <f>J153/J$17*J$19+J114+J70/J$17*J$19</f>
        <v>6018.5454839299673</v>
      </c>
      <c r="K204" s="4772">
        <f t="shared" si="99"/>
        <v>1.8955844591062709</v>
      </c>
      <c r="L204" s="4773">
        <f t="shared" ref="L204" si="232">L153+L114+L70</f>
        <v>0</v>
      </c>
      <c r="M204" s="4774">
        <f>M153/M$17*M$19+M114+M70/M$17*M$19</f>
        <v>1.8955844591062709</v>
      </c>
      <c r="N204" s="4753">
        <f t="shared" si="101"/>
        <v>1498.7457615592803</v>
      </c>
      <c r="O204" s="4754">
        <f t="shared" ref="O204" si="233">O153+O114+O70</f>
        <v>0</v>
      </c>
      <c r="P204" s="4749">
        <f>P153/P$17*P$19+P114+P70/P$17*P$19</f>
        <v>1498.7457615592803</v>
      </c>
      <c r="Q204" s="4753">
        <f t="shared" si="103"/>
        <v>491.21577202314347</v>
      </c>
      <c r="R204" s="4754">
        <f t="shared" ref="R204" si="234">R153+R114+R70</f>
        <v>0</v>
      </c>
      <c r="S204" s="4749">
        <f>S153/S$17*S$19+S114+S70/S$17*S$19</f>
        <v>491.21577202314347</v>
      </c>
      <c r="T204" s="1021"/>
    </row>
    <row r="205" spans="2:21" ht="15.6" x14ac:dyDescent="0.3">
      <c r="B205" s="4743" t="s">
        <v>115</v>
      </c>
      <c r="C205" s="4739" t="s">
        <v>65</v>
      </c>
      <c r="D205" s="4730" t="s">
        <v>40</v>
      </c>
      <c r="E205" s="4731">
        <f t="shared" si="224"/>
        <v>1441.8724683548694</v>
      </c>
      <c r="F205" s="4732">
        <f t="shared" si="228"/>
        <v>0</v>
      </c>
      <c r="G205" s="4733">
        <f t="shared" si="224"/>
        <v>1441.8724683548694</v>
      </c>
      <c r="H205" s="4731">
        <f t="shared" si="96"/>
        <v>1083.3381871073939</v>
      </c>
      <c r="I205" s="4732">
        <f t="shared" si="228"/>
        <v>0</v>
      </c>
      <c r="J205" s="4733">
        <f>J154/J$17*J$19+J115+J71/J$17*J$19</f>
        <v>1083.3381871073939</v>
      </c>
      <c r="K205" s="4763">
        <f t="shared" si="99"/>
        <v>0.34120520263912879</v>
      </c>
      <c r="L205" s="4764">
        <f t="shared" ref="L205" si="235">L154+L115+L71</f>
        <v>0</v>
      </c>
      <c r="M205" s="4765">
        <f>M154/M$17*M$19+M115+M71/M$17*M$19</f>
        <v>0.34120520263912879</v>
      </c>
      <c r="N205" s="4731">
        <f t="shared" si="101"/>
        <v>269.77423708067039</v>
      </c>
      <c r="O205" s="4732">
        <f t="shared" ref="O205" si="236">O154+O115+O71</f>
        <v>0</v>
      </c>
      <c r="P205" s="4733">
        <f>P154/P$17*P$19+P115+P71/P$17*P$19</f>
        <v>269.77423708067039</v>
      </c>
      <c r="Q205" s="4731">
        <f t="shared" si="103"/>
        <v>88.418838964165801</v>
      </c>
      <c r="R205" s="4732">
        <f t="shared" ref="R205" si="237">R154+R115+R71</f>
        <v>0</v>
      </c>
      <c r="S205" s="4733">
        <f>S154/S$17*S$19+S115+S71/S$17*S$19</f>
        <v>88.418838964165801</v>
      </c>
    </row>
    <row r="206" spans="2:21" ht="15.6" x14ac:dyDescent="0.3">
      <c r="B206" s="4743" t="s">
        <v>117</v>
      </c>
      <c r="C206" s="4739" t="s">
        <v>67</v>
      </c>
      <c r="D206" s="4730" t="s">
        <v>40</v>
      </c>
      <c r="E206" s="4731">
        <f t="shared" si="224"/>
        <v>0</v>
      </c>
      <c r="F206" s="4732">
        <f t="shared" si="228"/>
        <v>0</v>
      </c>
      <c r="G206" s="4733">
        <f t="shared" si="224"/>
        <v>0</v>
      </c>
      <c r="H206" s="4731">
        <f t="shared" si="96"/>
        <v>0</v>
      </c>
      <c r="I206" s="4732">
        <f t="shared" si="228"/>
        <v>0</v>
      </c>
      <c r="J206" s="4733">
        <f t="shared" si="228"/>
        <v>0</v>
      </c>
      <c r="K206" s="4763">
        <f t="shared" si="99"/>
        <v>0</v>
      </c>
      <c r="L206" s="4764">
        <f t="shared" ref="L206:M206" si="238">L155+L116+L72</f>
        <v>0</v>
      </c>
      <c r="M206" s="4765">
        <f t="shared" si="238"/>
        <v>0</v>
      </c>
      <c r="N206" s="4731">
        <f t="shared" si="101"/>
        <v>0</v>
      </c>
      <c r="O206" s="4732">
        <f t="shared" ref="O206:P206" si="239">O155+O116+O72</f>
        <v>0</v>
      </c>
      <c r="P206" s="4733">
        <f t="shared" si="239"/>
        <v>0</v>
      </c>
      <c r="Q206" s="4731">
        <f t="shared" si="103"/>
        <v>0</v>
      </c>
      <c r="R206" s="4732">
        <f t="shared" ref="R206:S206" si="240">R155+R116+R72</f>
        <v>0</v>
      </c>
      <c r="S206" s="4733">
        <f t="shared" si="240"/>
        <v>0</v>
      </c>
    </row>
    <row r="207" spans="2:21" ht="15.6" x14ac:dyDescent="0.3">
      <c r="B207" s="4743" t="s">
        <v>119</v>
      </c>
      <c r="C207" s="4739" t="s">
        <v>69</v>
      </c>
      <c r="D207" s="4730" t="s">
        <v>40</v>
      </c>
      <c r="E207" s="4731">
        <f t="shared" si="224"/>
        <v>0</v>
      </c>
      <c r="F207" s="4732">
        <f t="shared" si="228"/>
        <v>0</v>
      </c>
      <c r="G207" s="4733">
        <f t="shared" si="224"/>
        <v>0</v>
      </c>
      <c r="H207" s="4731">
        <f t="shared" si="96"/>
        <v>0</v>
      </c>
      <c r="I207" s="4732">
        <f t="shared" si="228"/>
        <v>0</v>
      </c>
      <c r="J207" s="4733">
        <f t="shared" si="228"/>
        <v>0</v>
      </c>
      <c r="K207" s="4763">
        <f t="shared" si="99"/>
        <v>0</v>
      </c>
      <c r="L207" s="4764">
        <f t="shared" ref="L207:M207" si="241">L156+L117+L73</f>
        <v>0</v>
      </c>
      <c r="M207" s="4765">
        <f t="shared" si="241"/>
        <v>0</v>
      </c>
      <c r="N207" s="4731">
        <f t="shared" si="101"/>
        <v>0</v>
      </c>
      <c r="O207" s="4732">
        <f t="shared" ref="O207:P207" si="242">O156+O117+O73</f>
        <v>0</v>
      </c>
      <c r="P207" s="4733">
        <f t="shared" si="242"/>
        <v>0</v>
      </c>
      <c r="Q207" s="4731">
        <f t="shared" si="103"/>
        <v>0</v>
      </c>
      <c r="R207" s="4732">
        <f t="shared" ref="R207:S207" si="243">R156+R117+R73</f>
        <v>0</v>
      </c>
      <c r="S207" s="4733">
        <f t="shared" si="243"/>
        <v>0</v>
      </c>
    </row>
    <row r="208" spans="2:21" ht="16.2" customHeight="1" x14ac:dyDescent="0.3">
      <c r="B208" s="4743" t="s">
        <v>121</v>
      </c>
      <c r="C208" s="4739" t="s">
        <v>71</v>
      </c>
      <c r="D208" s="4730" t="s">
        <v>40</v>
      </c>
      <c r="E208" s="4731">
        <f t="shared" si="224"/>
        <v>0</v>
      </c>
      <c r="F208" s="4732">
        <f t="shared" si="228"/>
        <v>0</v>
      </c>
      <c r="G208" s="4733">
        <f t="shared" si="224"/>
        <v>0</v>
      </c>
      <c r="H208" s="4731">
        <f t="shared" si="96"/>
        <v>0</v>
      </c>
      <c r="I208" s="4732">
        <f t="shared" si="228"/>
        <v>0</v>
      </c>
      <c r="J208" s="4733">
        <f t="shared" si="228"/>
        <v>0</v>
      </c>
      <c r="K208" s="4763">
        <f t="shared" si="99"/>
        <v>0</v>
      </c>
      <c r="L208" s="4764">
        <f t="shared" ref="L208:M208" si="244">L157+L118+L74</f>
        <v>0</v>
      </c>
      <c r="M208" s="4765">
        <f t="shared" si="244"/>
        <v>0</v>
      </c>
      <c r="N208" s="4731">
        <f t="shared" si="101"/>
        <v>0</v>
      </c>
      <c r="O208" s="4732">
        <f t="shared" ref="O208:P208" si="245">O157+O118+O74</f>
        <v>0</v>
      </c>
      <c r="P208" s="4733">
        <f t="shared" si="245"/>
        <v>0</v>
      </c>
      <c r="Q208" s="4731">
        <f t="shared" si="103"/>
        <v>0</v>
      </c>
      <c r="R208" s="4732">
        <f t="shared" ref="R208:S208" si="246">R157+R118+R74</f>
        <v>0</v>
      </c>
      <c r="S208" s="4733">
        <f t="shared" si="246"/>
        <v>0</v>
      </c>
    </row>
    <row r="209" spans="2:21" ht="15.6" x14ac:dyDescent="0.3">
      <c r="B209" s="4743" t="s">
        <v>223</v>
      </c>
      <c r="C209" s="4739" t="s">
        <v>86</v>
      </c>
      <c r="D209" s="4730" t="s">
        <v>40</v>
      </c>
      <c r="E209" s="4731">
        <f t="shared" si="224"/>
        <v>6568.5301336166285</v>
      </c>
      <c r="F209" s="4732">
        <f t="shared" si="228"/>
        <v>0</v>
      </c>
      <c r="G209" s="4733">
        <f>J209+M209+P209+S209</f>
        <v>6568.5301336166285</v>
      </c>
      <c r="H209" s="4731">
        <f t="shared" si="96"/>
        <v>4935.2072968225739</v>
      </c>
      <c r="I209" s="4732">
        <f t="shared" si="228"/>
        <v>0</v>
      </c>
      <c r="J209" s="4733">
        <f>J158/J$17*J$19+J119+J75/J$17*J$19</f>
        <v>4935.2072968225739</v>
      </c>
      <c r="K209" s="4763">
        <f t="shared" si="99"/>
        <v>1.5543792564671421</v>
      </c>
      <c r="L209" s="4764">
        <f t="shared" ref="L209" si="247">L158+L119+L75</f>
        <v>0</v>
      </c>
      <c r="M209" s="4765">
        <f>M158/M$17*M$19+M119+M75/M$17*M$19</f>
        <v>1.5543792564671421</v>
      </c>
      <c r="N209" s="4731">
        <f t="shared" si="101"/>
        <v>1228.9715244786103</v>
      </c>
      <c r="O209" s="4732">
        <f t="shared" ref="O209" si="248">O158+O119+O75</f>
        <v>0</v>
      </c>
      <c r="P209" s="4733">
        <f>P158/P$17*P$19+P119+P75/P$17*P$19</f>
        <v>1228.9715244786103</v>
      </c>
      <c r="Q209" s="4731">
        <f t="shared" si="103"/>
        <v>402.79693305897763</v>
      </c>
      <c r="R209" s="4732">
        <f t="shared" ref="R209" si="249">R158+R119+R75</f>
        <v>0</v>
      </c>
      <c r="S209" s="4733">
        <f>S158/S$17*S$19+S119+S75/S$17*S$19</f>
        <v>402.79693305897763</v>
      </c>
    </row>
    <row r="210" spans="2:21" ht="31.95" customHeight="1" thickBot="1" x14ac:dyDescent="0.35">
      <c r="B210" s="4743" t="s">
        <v>187</v>
      </c>
      <c r="C210" s="4755" t="s">
        <v>2204</v>
      </c>
      <c r="D210" s="4756" t="s">
        <v>40</v>
      </c>
      <c r="E210" s="4757">
        <f>E204+E203+E202</f>
        <v>180711.49664119043</v>
      </c>
      <c r="F210" s="4758">
        <f t="shared" ref="F210:G210" si="250">F204+F203+F202</f>
        <v>106550.87935788275</v>
      </c>
      <c r="G210" s="4759">
        <f t="shared" si="250"/>
        <v>74160.617283307671</v>
      </c>
      <c r="H210" s="4757">
        <f t="shared" si="96"/>
        <v>135788.40135987045</v>
      </c>
      <c r="I210" s="4758">
        <f>I204+I202</f>
        <v>75935.519270185352</v>
      </c>
      <c r="J210" s="4759">
        <f>J202+J204</f>
        <v>59852.882089685081</v>
      </c>
      <c r="K210" s="4775">
        <f t="shared" si="99"/>
        <v>42.791575893845057</v>
      </c>
      <c r="L210" s="4776">
        <f>L204+L202</f>
        <v>29.1753781091838</v>
      </c>
      <c r="M210" s="4777">
        <f>M202+M204</f>
        <v>13.616197784661255</v>
      </c>
      <c r="N210" s="4757">
        <f t="shared" si="101"/>
        <v>33791.429829190369</v>
      </c>
      <c r="O210" s="4758">
        <f>O204+O202</f>
        <v>23025.769338422524</v>
      </c>
      <c r="P210" s="4759">
        <f>P202+P204</f>
        <v>10765.660490767848</v>
      </c>
      <c r="Q210" s="4757">
        <f t="shared" si="103"/>
        <v>11088.87387623577</v>
      </c>
      <c r="R210" s="4758">
        <f>R204+R202</f>
        <v>7560.4153711656872</v>
      </c>
      <c r="S210" s="4759">
        <f>S202+S204</f>
        <v>3528.458505070083</v>
      </c>
      <c r="T210" s="4606">
        <f>'Д 2_Т на В'!H51+'Д 3.1_Т на Т без ЦТП'!G45+'Д 4_Т на П'!G40</f>
        <v>211434.99354180583</v>
      </c>
      <c r="U210" s="1021">
        <f>T210-E210</f>
        <v>30723.496900615399</v>
      </c>
    </row>
    <row r="211" spans="2:21" ht="31.2" x14ac:dyDescent="0.3">
      <c r="B211" s="2187" t="s">
        <v>188</v>
      </c>
      <c r="C211" s="2976" t="s">
        <v>2205</v>
      </c>
      <c r="D211" s="1076" t="s">
        <v>74</v>
      </c>
      <c r="E211" s="2945">
        <f>'Д 5.1 Т на ТЕ без ЦТП'!D22</f>
        <v>2085.0605105178661</v>
      </c>
      <c r="F211" s="2962" t="s">
        <v>317</v>
      </c>
      <c r="G211" s="2977" t="s">
        <v>317</v>
      </c>
      <c r="H211" s="1026">
        <f>'Д 5.1 Т на ТЕ без ЦТП'!E22</f>
        <v>1893.4705105178662</v>
      </c>
      <c r="I211" s="2962" t="s">
        <v>317</v>
      </c>
      <c r="J211" s="2963" t="s">
        <v>317</v>
      </c>
      <c r="K211" s="1026">
        <f>'Д 5.1 Т на ТЕ без ЦТП'!F22</f>
        <v>3024.5705105178668</v>
      </c>
      <c r="L211" s="2962" t="s">
        <v>317</v>
      </c>
      <c r="M211" s="2963" t="s">
        <v>317</v>
      </c>
      <c r="N211" s="1026">
        <f>'Д 5.1 Т на ТЕ без ЦТП'!G22</f>
        <v>3024.5705105178668</v>
      </c>
      <c r="O211" s="2962" t="s">
        <v>317</v>
      </c>
      <c r="P211" s="2963" t="s">
        <v>317</v>
      </c>
      <c r="Q211" s="1026">
        <f>'Д 5.1 Т на ТЕ без ЦТП'!H22</f>
        <v>3024.5705105178668</v>
      </c>
      <c r="R211" s="2962" t="s">
        <v>317</v>
      </c>
      <c r="S211" s="2963" t="s">
        <v>317</v>
      </c>
      <c r="T211" s="1021">
        <f>'Д 5.1 Т на ТЕ без ЦТП'!D22</f>
        <v>2085.0605105178661</v>
      </c>
    </row>
    <row r="212" spans="2:21" ht="31.2" x14ac:dyDescent="0.3">
      <c r="B212" s="3138" t="s">
        <v>189</v>
      </c>
      <c r="C212" s="2978" t="s">
        <v>2206</v>
      </c>
      <c r="D212" s="3145" t="s">
        <v>74</v>
      </c>
      <c r="E212" s="2973">
        <f>E211*1.2</f>
        <v>2502.072612621439</v>
      </c>
      <c r="F212" s="1011" t="s">
        <v>317</v>
      </c>
      <c r="G212" s="2952" t="s">
        <v>317</v>
      </c>
      <c r="H212" s="3142">
        <f>H211*1.2</f>
        <v>2272.1646126214391</v>
      </c>
      <c r="I212" s="1011" t="s">
        <v>317</v>
      </c>
      <c r="J212" s="1111" t="s">
        <v>317</v>
      </c>
      <c r="K212" s="3142">
        <f>K211*1.2</f>
        <v>3629.4846126214402</v>
      </c>
      <c r="L212" s="1011" t="s">
        <v>317</v>
      </c>
      <c r="M212" s="1111" t="s">
        <v>317</v>
      </c>
      <c r="N212" s="3142">
        <f>N211*1.2</f>
        <v>3629.4846126214402</v>
      </c>
      <c r="O212" s="1011" t="s">
        <v>317</v>
      </c>
      <c r="P212" s="1111" t="s">
        <v>317</v>
      </c>
      <c r="Q212" s="3142">
        <f>Q211*1.2</f>
        <v>3629.4846126214402</v>
      </c>
      <c r="R212" s="1011" t="s">
        <v>317</v>
      </c>
      <c r="S212" s="1111" t="s">
        <v>317</v>
      </c>
    </row>
    <row r="213" spans="2:21" ht="31.2" x14ac:dyDescent="0.3">
      <c r="B213" s="3138" t="s">
        <v>190</v>
      </c>
      <c r="C213" s="2978" t="s">
        <v>2207</v>
      </c>
      <c r="D213" s="3140" t="s">
        <v>2049</v>
      </c>
      <c r="E213" s="2979" t="s">
        <v>317</v>
      </c>
      <c r="F213" s="1011" t="s">
        <v>317</v>
      </c>
      <c r="G213" s="2952" t="s">
        <v>317</v>
      </c>
      <c r="H213" s="1018" t="s">
        <v>317</v>
      </c>
      <c r="I213" s="1011" t="s">
        <v>317</v>
      </c>
      <c r="J213" s="1111" t="s">
        <v>317</v>
      </c>
      <c r="K213" s="1018" t="s">
        <v>317</v>
      </c>
      <c r="L213" s="1011" t="s">
        <v>317</v>
      </c>
      <c r="M213" s="1111" t="s">
        <v>317</v>
      </c>
      <c r="N213" s="1018" t="s">
        <v>317</v>
      </c>
      <c r="O213" s="1011" t="s">
        <v>317</v>
      </c>
      <c r="P213" s="1111" t="s">
        <v>317</v>
      </c>
      <c r="Q213" s="1018" t="s">
        <v>317</v>
      </c>
      <c r="R213" s="1011" t="s">
        <v>317</v>
      </c>
      <c r="S213" s="1111" t="s">
        <v>317</v>
      </c>
    </row>
    <row r="214" spans="2:21" ht="15.6" x14ac:dyDescent="0.3">
      <c r="B214" s="3138" t="s">
        <v>93</v>
      </c>
      <c r="C214" s="1009" t="s">
        <v>2172</v>
      </c>
      <c r="D214" s="3140" t="s">
        <v>2190</v>
      </c>
      <c r="E214" s="2961">
        <f>F214</f>
        <v>1190.06</v>
      </c>
      <c r="F214" s="2953">
        <f>F80+F124</f>
        <v>1190.06</v>
      </c>
      <c r="G214" s="2952" t="s">
        <v>317</v>
      </c>
      <c r="H214" s="3143">
        <f>I214</f>
        <v>1022.9</v>
      </c>
      <c r="I214" s="2953">
        <f>I80+I124</f>
        <v>1022.9</v>
      </c>
      <c r="J214" s="1111" t="s">
        <v>317</v>
      </c>
      <c r="K214" s="3143">
        <f>L214</f>
        <v>2009.91</v>
      </c>
      <c r="L214" s="2953">
        <f>L80+L124</f>
        <v>2009.91</v>
      </c>
      <c r="M214" s="1111" t="s">
        <v>317</v>
      </c>
      <c r="N214" s="3143">
        <f>O214</f>
        <v>2009.91</v>
      </c>
      <c r="O214" s="2953">
        <f>O80+O124</f>
        <v>2009.91</v>
      </c>
      <c r="P214" s="1111" t="s">
        <v>317</v>
      </c>
      <c r="Q214" s="3143">
        <f>R214</f>
        <v>2009.91</v>
      </c>
      <c r="R214" s="2953">
        <f>R80+R124</f>
        <v>2009.91</v>
      </c>
      <c r="S214" s="1111" t="s">
        <v>317</v>
      </c>
    </row>
    <row r="215" spans="2:21" ht="31.2" x14ac:dyDescent="0.3">
      <c r="B215" s="3138" t="s">
        <v>94</v>
      </c>
      <c r="C215" s="1009" t="s">
        <v>2326</v>
      </c>
      <c r="D215" s="3140" t="s">
        <v>2194</v>
      </c>
      <c r="E215" s="2961">
        <f>G215</f>
        <v>103562.1</v>
      </c>
      <c r="F215" s="1011" t="s">
        <v>317</v>
      </c>
      <c r="G215" s="2980">
        <f>ROUND(G81+G125+G164,2)</f>
        <v>103562.1</v>
      </c>
      <c r="H215" s="3143">
        <f>J215</f>
        <v>100654.02</v>
      </c>
      <c r="I215" s="1011" t="s">
        <v>317</v>
      </c>
      <c r="J215" s="1112">
        <f>ROUND(J81+J125+J164,2)</f>
        <v>100654.02</v>
      </c>
      <c r="K215" s="3143">
        <f>M215</f>
        <v>117803.48</v>
      </c>
      <c r="L215" s="1011" t="s">
        <v>317</v>
      </c>
      <c r="M215" s="1112">
        <f>ROUND(M81+M125+M164,2)</f>
        <v>117803.48</v>
      </c>
      <c r="N215" s="3143">
        <f>P215</f>
        <v>117803.48</v>
      </c>
      <c r="O215" s="1011" t="s">
        <v>317</v>
      </c>
      <c r="P215" s="1112">
        <f>ROUND(P81+P125+P164,2)</f>
        <v>117803.48</v>
      </c>
      <c r="Q215" s="3143">
        <f>S215</f>
        <v>117803.48</v>
      </c>
      <c r="R215" s="1011" t="s">
        <v>317</v>
      </c>
      <c r="S215" s="1112">
        <f>ROUND(S81+S125+S164,2)</f>
        <v>117803.48</v>
      </c>
    </row>
    <row r="216" spans="2:21" ht="31.2" x14ac:dyDescent="0.3">
      <c r="B216" s="3138" t="s">
        <v>191</v>
      </c>
      <c r="C216" s="2978" t="s">
        <v>2208</v>
      </c>
      <c r="D216" s="3140" t="s">
        <v>2049</v>
      </c>
      <c r="E216" s="2979" t="s">
        <v>317</v>
      </c>
      <c r="F216" s="1011" t="s">
        <v>317</v>
      </c>
      <c r="G216" s="2952" t="s">
        <v>317</v>
      </c>
      <c r="H216" s="1018" t="s">
        <v>317</v>
      </c>
      <c r="I216" s="1011" t="s">
        <v>317</v>
      </c>
      <c r="J216" s="1111" t="s">
        <v>317</v>
      </c>
      <c r="K216" s="1018" t="s">
        <v>317</v>
      </c>
      <c r="L216" s="1011" t="s">
        <v>317</v>
      </c>
      <c r="M216" s="1111" t="s">
        <v>317</v>
      </c>
      <c r="N216" s="1018" t="s">
        <v>317</v>
      </c>
      <c r="O216" s="1011" t="s">
        <v>317</v>
      </c>
      <c r="P216" s="1111" t="s">
        <v>317</v>
      </c>
      <c r="Q216" s="1018" t="s">
        <v>317</v>
      </c>
      <c r="R216" s="1011" t="s">
        <v>317</v>
      </c>
      <c r="S216" s="1111" t="s">
        <v>317</v>
      </c>
    </row>
    <row r="217" spans="2:21" ht="15.6" x14ac:dyDescent="0.3">
      <c r="B217" s="3138" t="s">
        <v>236</v>
      </c>
      <c r="C217" s="1009" t="s">
        <v>2172</v>
      </c>
      <c r="D217" s="3140" t="s">
        <v>2190</v>
      </c>
      <c r="E217" s="2961">
        <f>E214*1.2</f>
        <v>1428.0719999999999</v>
      </c>
      <c r="F217" s="1030">
        <f>F214*1.2</f>
        <v>1428.0719999999999</v>
      </c>
      <c r="G217" s="2952" t="s">
        <v>317</v>
      </c>
      <c r="H217" s="3143">
        <f>H214*1.2</f>
        <v>1227.48</v>
      </c>
      <c r="I217" s="1030">
        <f>I214*1.2</f>
        <v>1227.48</v>
      </c>
      <c r="J217" s="1111" t="s">
        <v>317</v>
      </c>
      <c r="K217" s="3143">
        <f>K214*1.2-0.005</f>
        <v>2411.8869999999997</v>
      </c>
      <c r="L217" s="1030">
        <f>L214*1.2-0.005</f>
        <v>2411.8869999999997</v>
      </c>
      <c r="M217" s="1111" t="s">
        <v>317</v>
      </c>
      <c r="N217" s="3143">
        <f>N214*1.2</f>
        <v>2411.8919999999998</v>
      </c>
      <c r="O217" s="1030">
        <f>O214*1.2</f>
        <v>2411.8919999999998</v>
      </c>
      <c r="P217" s="1111" t="s">
        <v>317</v>
      </c>
      <c r="Q217" s="3143">
        <f>Q214*1.2</f>
        <v>2411.8919999999998</v>
      </c>
      <c r="R217" s="1030">
        <f>R214*1.2</f>
        <v>2411.8919999999998</v>
      </c>
      <c r="S217" s="1111" t="s">
        <v>317</v>
      </c>
    </row>
    <row r="218" spans="2:21" ht="31.8" thickBot="1" x14ac:dyDescent="0.35">
      <c r="B218" s="2188" t="s">
        <v>237</v>
      </c>
      <c r="C218" s="1009" t="s">
        <v>2326</v>
      </c>
      <c r="D218" s="1075" t="s">
        <v>2194</v>
      </c>
      <c r="E218" s="2981">
        <f>E215*1.2</f>
        <v>124274.52</v>
      </c>
      <c r="F218" s="2927" t="s">
        <v>317</v>
      </c>
      <c r="G218" s="2982">
        <f>G215*1.2</f>
        <v>124274.52</v>
      </c>
      <c r="H218" s="1027">
        <f>H215*1.2</f>
        <v>120784.82399999999</v>
      </c>
      <c r="I218" s="2927" t="s">
        <v>317</v>
      </c>
      <c r="J218" s="1032">
        <f>J215*1.2</f>
        <v>120784.82399999999</v>
      </c>
      <c r="K218" s="1027">
        <f>K215*1.2</f>
        <v>141364.17599999998</v>
      </c>
      <c r="L218" s="2927" t="s">
        <v>317</v>
      </c>
      <c r="M218" s="1032">
        <f>M215*1.2</f>
        <v>141364.17599999998</v>
      </c>
      <c r="N218" s="1027">
        <f>N215*1.2</f>
        <v>141364.17599999998</v>
      </c>
      <c r="O218" s="2927" t="s">
        <v>317</v>
      </c>
      <c r="P218" s="1032">
        <f>P215*1.2</f>
        <v>141364.17599999998</v>
      </c>
      <c r="Q218" s="1027">
        <f>Q215*1.2</f>
        <v>141364.17599999998</v>
      </c>
      <c r="R218" s="2927" t="s">
        <v>317</v>
      </c>
      <c r="S218" s="1032">
        <f>S215*1.2</f>
        <v>141364.17599999998</v>
      </c>
    </row>
    <row r="219" spans="2:21" ht="16.2" thickBot="1" x14ac:dyDescent="0.35">
      <c r="B219" s="2189"/>
      <c r="C219" s="5159" t="s">
        <v>2176</v>
      </c>
      <c r="D219" s="5159"/>
      <c r="E219" s="5159"/>
      <c r="F219" s="5159"/>
      <c r="G219" s="5159"/>
      <c r="H219" s="5159"/>
      <c r="I219" s="5159"/>
      <c r="J219" s="5159"/>
      <c r="K219" s="5159"/>
      <c r="L219" s="5159"/>
      <c r="M219" s="5159"/>
      <c r="N219" s="5159"/>
      <c r="O219" s="5159"/>
      <c r="P219" s="5159"/>
      <c r="Q219" s="5159"/>
      <c r="R219" s="5159"/>
      <c r="S219" s="5159"/>
    </row>
    <row r="220" spans="2:21" ht="31.2" x14ac:dyDescent="0.3">
      <c r="B220" s="2187" t="s">
        <v>192</v>
      </c>
      <c r="C220" s="2983" t="s">
        <v>2212</v>
      </c>
      <c r="D220" s="2984" t="s">
        <v>74</v>
      </c>
      <c r="E220" s="1026">
        <f>E211</f>
        <v>2085.0605105178661</v>
      </c>
      <c r="F220" s="1028" t="str">
        <f t="shared" ref="F220:S220" si="251">F211</f>
        <v>х</v>
      </c>
      <c r="G220" s="1029" t="str">
        <f t="shared" si="251"/>
        <v>х</v>
      </c>
      <c r="H220" s="1026">
        <f t="shared" si="251"/>
        <v>1893.4705105178662</v>
      </c>
      <c r="I220" s="1028" t="str">
        <f t="shared" si="251"/>
        <v>х</v>
      </c>
      <c r="J220" s="1029" t="str">
        <f t="shared" si="251"/>
        <v>х</v>
      </c>
      <c r="K220" s="1026">
        <f t="shared" si="251"/>
        <v>3024.5705105178668</v>
      </c>
      <c r="L220" s="1028" t="str">
        <f t="shared" si="251"/>
        <v>х</v>
      </c>
      <c r="M220" s="1029" t="str">
        <f t="shared" si="251"/>
        <v>х</v>
      </c>
      <c r="N220" s="1026">
        <f t="shared" si="251"/>
        <v>3024.5705105178668</v>
      </c>
      <c r="O220" s="1028" t="str">
        <f t="shared" si="251"/>
        <v>х</v>
      </c>
      <c r="P220" s="1029" t="str">
        <f t="shared" si="251"/>
        <v>х</v>
      </c>
      <c r="Q220" s="1026">
        <f t="shared" si="251"/>
        <v>3024.5705105178668</v>
      </c>
      <c r="R220" s="1028" t="str">
        <f t="shared" si="251"/>
        <v>х</v>
      </c>
      <c r="S220" s="1029" t="str">
        <f t="shared" si="251"/>
        <v>х</v>
      </c>
    </row>
    <row r="221" spans="2:21" ht="31.2" x14ac:dyDescent="0.3">
      <c r="B221" s="3138" t="s">
        <v>193</v>
      </c>
      <c r="C221" s="2985" t="s">
        <v>2213</v>
      </c>
      <c r="D221" s="3140" t="s">
        <v>74</v>
      </c>
      <c r="E221" s="3142">
        <f t="shared" ref="E221:S227" si="252">E212</f>
        <v>2502.072612621439</v>
      </c>
      <c r="F221" s="1030" t="str">
        <f t="shared" si="252"/>
        <v>х</v>
      </c>
      <c r="G221" s="1019" t="str">
        <f t="shared" si="252"/>
        <v>х</v>
      </c>
      <c r="H221" s="3142">
        <f t="shared" si="252"/>
        <v>2272.1646126214391</v>
      </c>
      <c r="I221" s="1030" t="str">
        <f t="shared" si="252"/>
        <v>х</v>
      </c>
      <c r="J221" s="1019" t="str">
        <f t="shared" si="252"/>
        <v>х</v>
      </c>
      <c r="K221" s="3142">
        <f>K220*1.2</f>
        <v>3629.4846126214402</v>
      </c>
      <c r="L221" s="1030" t="str">
        <f t="shared" si="252"/>
        <v>х</v>
      </c>
      <c r="M221" s="1019" t="str">
        <f t="shared" si="252"/>
        <v>х</v>
      </c>
      <c r="N221" s="3142">
        <f t="shared" si="252"/>
        <v>3629.4846126214402</v>
      </c>
      <c r="O221" s="1030" t="str">
        <f t="shared" si="252"/>
        <v>х</v>
      </c>
      <c r="P221" s="1019" t="str">
        <f t="shared" si="252"/>
        <v>х</v>
      </c>
      <c r="Q221" s="3142">
        <f t="shared" si="252"/>
        <v>3629.4846126214402</v>
      </c>
      <c r="R221" s="1030" t="str">
        <f t="shared" si="252"/>
        <v>х</v>
      </c>
      <c r="S221" s="1019" t="str">
        <f t="shared" si="252"/>
        <v>х</v>
      </c>
    </row>
    <row r="222" spans="2:21" ht="36" customHeight="1" x14ac:dyDescent="0.3">
      <c r="B222" s="3138" t="s">
        <v>688</v>
      </c>
      <c r="C222" s="2985" t="s">
        <v>2214</v>
      </c>
      <c r="D222" s="3140" t="s">
        <v>2049</v>
      </c>
      <c r="E222" s="3142" t="str">
        <f t="shared" si="252"/>
        <v>х</v>
      </c>
      <c r="F222" s="1030" t="str">
        <f t="shared" si="252"/>
        <v>х</v>
      </c>
      <c r="G222" s="1019" t="str">
        <f t="shared" si="252"/>
        <v>х</v>
      </c>
      <c r="H222" s="3142" t="str">
        <f t="shared" si="252"/>
        <v>х</v>
      </c>
      <c r="I222" s="1030" t="str">
        <f t="shared" si="252"/>
        <v>х</v>
      </c>
      <c r="J222" s="1019" t="str">
        <f t="shared" si="252"/>
        <v>х</v>
      </c>
      <c r="K222" s="3142" t="str">
        <f t="shared" si="252"/>
        <v>х</v>
      </c>
      <c r="L222" s="1030" t="str">
        <f t="shared" si="252"/>
        <v>х</v>
      </c>
      <c r="M222" s="1019" t="str">
        <f t="shared" si="252"/>
        <v>х</v>
      </c>
      <c r="N222" s="3142" t="str">
        <f t="shared" si="252"/>
        <v>х</v>
      </c>
      <c r="O222" s="1030" t="str">
        <f t="shared" si="252"/>
        <v>х</v>
      </c>
      <c r="P222" s="1019" t="str">
        <f t="shared" si="252"/>
        <v>х</v>
      </c>
      <c r="Q222" s="3142" t="str">
        <f t="shared" si="252"/>
        <v>х</v>
      </c>
      <c r="R222" s="1030" t="str">
        <f t="shared" si="252"/>
        <v>х</v>
      </c>
      <c r="S222" s="1019" t="str">
        <f t="shared" si="252"/>
        <v>х</v>
      </c>
    </row>
    <row r="223" spans="2:21" ht="15.6" x14ac:dyDescent="0.3">
      <c r="B223" s="3138" t="s">
        <v>194</v>
      </c>
      <c r="C223" s="2971" t="s">
        <v>2172</v>
      </c>
      <c r="D223" s="3140" t="s">
        <v>2190</v>
      </c>
      <c r="E223" s="3142">
        <f t="shared" si="252"/>
        <v>1190.06</v>
      </c>
      <c r="F223" s="1030">
        <f t="shared" si="252"/>
        <v>1190.06</v>
      </c>
      <c r="G223" s="1019" t="str">
        <f t="shared" si="252"/>
        <v>х</v>
      </c>
      <c r="H223" s="3142">
        <f t="shared" si="252"/>
        <v>1022.9</v>
      </c>
      <c r="I223" s="1030">
        <f t="shared" si="252"/>
        <v>1022.9</v>
      </c>
      <c r="J223" s="1019" t="str">
        <f t="shared" si="252"/>
        <v>х</v>
      </c>
      <c r="K223" s="3142">
        <f>L223</f>
        <v>2009.91</v>
      </c>
      <c r="L223" s="1030">
        <f t="shared" si="252"/>
        <v>2009.91</v>
      </c>
      <c r="M223" s="1019" t="str">
        <f t="shared" si="252"/>
        <v>х</v>
      </c>
      <c r="N223" s="3142">
        <f t="shared" si="252"/>
        <v>2009.91</v>
      </c>
      <c r="O223" s="1030">
        <f t="shared" si="252"/>
        <v>2009.91</v>
      </c>
      <c r="P223" s="1019" t="str">
        <f t="shared" si="252"/>
        <v>х</v>
      </c>
      <c r="Q223" s="3142">
        <f t="shared" si="252"/>
        <v>2009.91</v>
      </c>
      <c r="R223" s="1030">
        <f t="shared" si="252"/>
        <v>2009.91</v>
      </c>
      <c r="S223" s="1019" t="str">
        <f t="shared" si="252"/>
        <v>х</v>
      </c>
    </row>
    <row r="224" spans="2:21" ht="31.2" customHeight="1" x14ac:dyDescent="0.3">
      <c r="B224" s="3138" t="s">
        <v>195</v>
      </c>
      <c r="C224" s="1009" t="s">
        <v>2325</v>
      </c>
      <c r="D224" s="3140" t="s">
        <v>2194</v>
      </c>
      <c r="E224" s="3142">
        <f t="shared" si="252"/>
        <v>103562.1</v>
      </c>
      <c r="F224" s="1030" t="str">
        <f t="shared" si="252"/>
        <v>х</v>
      </c>
      <c r="G224" s="1019">
        <f>G215</f>
        <v>103562.1</v>
      </c>
      <c r="H224" s="3142">
        <f>H215</f>
        <v>100654.02</v>
      </c>
      <c r="I224" s="1030" t="str">
        <f t="shared" si="252"/>
        <v>х</v>
      </c>
      <c r="J224" s="1019">
        <f t="shared" si="252"/>
        <v>100654.02</v>
      </c>
      <c r="K224" s="3142">
        <f>M224</f>
        <v>117803.48</v>
      </c>
      <c r="L224" s="1030" t="str">
        <f t="shared" si="252"/>
        <v>х</v>
      </c>
      <c r="M224" s="1019">
        <f t="shared" si="252"/>
        <v>117803.48</v>
      </c>
      <c r="N224" s="3142">
        <f>N215</f>
        <v>117803.48</v>
      </c>
      <c r="O224" s="1030" t="str">
        <f t="shared" si="252"/>
        <v>х</v>
      </c>
      <c r="P224" s="1019">
        <f t="shared" si="252"/>
        <v>117803.48</v>
      </c>
      <c r="Q224" s="3142">
        <f>Q215</f>
        <v>117803.48</v>
      </c>
      <c r="R224" s="1030" t="str">
        <f t="shared" si="252"/>
        <v>х</v>
      </c>
      <c r="S224" s="1019">
        <f t="shared" si="252"/>
        <v>117803.48</v>
      </c>
    </row>
    <row r="225" spans="2:19" ht="31.2" x14ac:dyDescent="0.3">
      <c r="B225" s="3138" t="s">
        <v>689</v>
      </c>
      <c r="C225" s="2985" t="s">
        <v>2215</v>
      </c>
      <c r="D225" s="3140" t="s">
        <v>2049</v>
      </c>
      <c r="E225" s="3142" t="str">
        <f t="shared" si="252"/>
        <v>х</v>
      </c>
      <c r="F225" s="1030" t="str">
        <f t="shared" si="252"/>
        <v>х</v>
      </c>
      <c r="G225" s="1019" t="str">
        <f t="shared" si="252"/>
        <v>х</v>
      </c>
      <c r="H225" s="3142" t="str">
        <f t="shared" si="252"/>
        <v>х</v>
      </c>
      <c r="I225" s="1030" t="str">
        <f t="shared" si="252"/>
        <v>х</v>
      </c>
      <c r="J225" s="1019" t="str">
        <f t="shared" si="252"/>
        <v>х</v>
      </c>
      <c r="K225" s="3142" t="str">
        <f t="shared" si="252"/>
        <v>х</v>
      </c>
      <c r="L225" s="1030" t="str">
        <f t="shared" si="252"/>
        <v>х</v>
      </c>
      <c r="M225" s="1019" t="str">
        <f t="shared" si="252"/>
        <v>х</v>
      </c>
      <c r="N225" s="3142" t="str">
        <f t="shared" si="252"/>
        <v>х</v>
      </c>
      <c r="O225" s="1030" t="str">
        <f t="shared" si="252"/>
        <v>х</v>
      </c>
      <c r="P225" s="1019" t="str">
        <f t="shared" si="252"/>
        <v>х</v>
      </c>
      <c r="Q225" s="3142" t="str">
        <f t="shared" si="252"/>
        <v>х</v>
      </c>
      <c r="R225" s="1030" t="str">
        <f t="shared" si="252"/>
        <v>х</v>
      </c>
      <c r="S225" s="1019" t="str">
        <f t="shared" si="252"/>
        <v>х</v>
      </c>
    </row>
    <row r="226" spans="2:19" ht="19.95" customHeight="1" x14ac:dyDescent="0.3">
      <c r="B226" s="3138" t="s">
        <v>2227</v>
      </c>
      <c r="C226" s="2971" t="s">
        <v>2172</v>
      </c>
      <c r="D226" s="3140" t="s">
        <v>2190</v>
      </c>
      <c r="E226" s="3142">
        <f t="shared" si="252"/>
        <v>1428.0719999999999</v>
      </c>
      <c r="F226" s="1030">
        <f t="shared" si="252"/>
        <v>1428.0719999999999</v>
      </c>
      <c r="G226" s="1019" t="str">
        <f t="shared" si="252"/>
        <v>х</v>
      </c>
      <c r="H226" s="3142">
        <f t="shared" si="252"/>
        <v>1227.48</v>
      </c>
      <c r="I226" s="1030">
        <f t="shared" si="252"/>
        <v>1227.48</v>
      </c>
      <c r="J226" s="1019" t="str">
        <f t="shared" si="252"/>
        <v>х</v>
      </c>
      <c r="K226" s="3142">
        <f>L226</f>
        <v>2411.8869999999997</v>
      </c>
      <c r="L226" s="1030">
        <f t="shared" si="252"/>
        <v>2411.8869999999997</v>
      </c>
      <c r="M226" s="1019" t="str">
        <f t="shared" si="252"/>
        <v>х</v>
      </c>
      <c r="N226" s="3142">
        <f t="shared" si="252"/>
        <v>2411.8919999999998</v>
      </c>
      <c r="O226" s="1030">
        <f t="shared" si="252"/>
        <v>2411.8919999999998</v>
      </c>
      <c r="P226" s="1019" t="str">
        <f t="shared" si="252"/>
        <v>х</v>
      </c>
      <c r="Q226" s="3142">
        <f t="shared" si="252"/>
        <v>2411.8919999999998</v>
      </c>
      <c r="R226" s="1030">
        <f t="shared" si="252"/>
        <v>2411.8919999999998</v>
      </c>
      <c r="S226" s="1019" t="str">
        <f t="shared" si="252"/>
        <v>х</v>
      </c>
    </row>
    <row r="227" spans="2:19" ht="31.8" thickBot="1" x14ac:dyDescent="0.35">
      <c r="B227" s="2188" t="s">
        <v>2228</v>
      </c>
      <c r="C227" s="1009" t="s">
        <v>2326</v>
      </c>
      <c r="D227" s="1075" t="s">
        <v>2194</v>
      </c>
      <c r="E227" s="1027">
        <f t="shared" si="252"/>
        <v>124274.52</v>
      </c>
      <c r="F227" s="1031" t="str">
        <f t="shared" si="252"/>
        <v>х</v>
      </c>
      <c r="G227" s="1032">
        <f t="shared" si="252"/>
        <v>124274.52</v>
      </c>
      <c r="H227" s="1027">
        <f t="shared" si="252"/>
        <v>120784.82399999999</v>
      </c>
      <c r="I227" s="1031" t="str">
        <f t="shared" si="252"/>
        <v>х</v>
      </c>
      <c r="J227" s="1032">
        <f t="shared" si="252"/>
        <v>120784.82399999999</v>
      </c>
      <c r="K227" s="1027">
        <f>M227</f>
        <v>141364.17599999998</v>
      </c>
      <c r="L227" s="1031" t="str">
        <f t="shared" si="252"/>
        <v>х</v>
      </c>
      <c r="M227" s="1032">
        <f t="shared" si="252"/>
        <v>141364.17599999998</v>
      </c>
      <c r="N227" s="1027">
        <f t="shared" si="252"/>
        <v>141364.17599999998</v>
      </c>
      <c r="O227" s="1031" t="str">
        <f t="shared" si="252"/>
        <v>х</v>
      </c>
      <c r="P227" s="1032">
        <f t="shared" si="252"/>
        <v>141364.17599999998</v>
      </c>
      <c r="Q227" s="1027">
        <f t="shared" si="252"/>
        <v>141364.17599999998</v>
      </c>
      <c r="R227" s="1031" t="str">
        <f t="shared" si="252"/>
        <v>х</v>
      </c>
      <c r="S227" s="1032">
        <f t="shared" si="252"/>
        <v>141364.17599999998</v>
      </c>
    </row>
    <row r="228" spans="2:19" ht="3" customHeight="1" x14ac:dyDescent="0.3">
      <c r="C228" s="2190"/>
      <c r="D228" s="2191"/>
      <c r="E228" s="2191"/>
      <c r="F228" s="2191"/>
      <c r="G228" s="2191"/>
      <c r="H228" s="2191"/>
      <c r="I228" s="2191"/>
      <c r="J228" s="2191"/>
      <c r="K228" s="2192"/>
      <c r="L228" s="2191"/>
      <c r="M228" s="2191"/>
      <c r="N228" s="2192"/>
      <c r="O228" s="2191"/>
      <c r="P228" s="2191"/>
      <c r="Q228" s="2192"/>
      <c r="R228" s="2191"/>
      <c r="S228" s="2191"/>
    </row>
    <row r="229" spans="2:19" ht="25.5" customHeight="1" x14ac:dyDescent="0.3">
      <c r="B229" s="2193" t="s">
        <v>2177</v>
      </c>
      <c r="C229" s="5167" t="s">
        <v>2182</v>
      </c>
      <c r="D229" s="5167"/>
      <c r="E229" s="5167"/>
      <c r="F229" s="5167"/>
      <c r="G229" s="5167"/>
      <c r="H229" s="5167"/>
      <c r="I229" s="5167"/>
      <c r="J229" s="5167"/>
      <c r="K229" s="5167"/>
      <c r="L229" s="5167"/>
      <c r="M229" s="5167"/>
      <c r="N229" s="5167"/>
      <c r="O229" s="5167"/>
      <c r="P229" s="5167"/>
      <c r="Q229" s="5167"/>
      <c r="R229" s="5167"/>
      <c r="S229" s="5167"/>
    </row>
    <row r="230" spans="2:19" ht="15.75" customHeight="1" x14ac:dyDescent="0.3">
      <c r="B230" s="2194"/>
      <c r="C230" s="3144"/>
      <c r="D230" s="3144"/>
      <c r="E230" s="3144"/>
      <c r="F230" s="3144"/>
      <c r="G230" s="3144"/>
      <c r="H230" s="3144"/>
      <c r="I230" s="3144"/>
      <c r="J230" s="3144"/>
      <c r="K230" s="2195"/>
      <c r="L230" s="3144"/>
      <c r="M230" s="3144"/>
      <c r="N230" s="2195"/>
      <c r="O230" s="3144"/>
      <c r="P230" s="3144"/>
      <c r="Q230" s="2195"/>
      <c r="R230" s="3144"/>
      <c r="S230" s="3144"/>
    </row>
    <row r="231" spans="2:19" ht="15.6" x14ac:dyDescent="0.3">
      <c r="C231" s="5165" t="str">
        <f>'Вхідні дані'!B13</f>
        <v>Директор підприємства</v>
      </c>
      <c r="D231" s="5165"/>
      <c r="E231" s="2150"/>
      <c r="F231" s="2150"/>
      <c r="G231" s="2150"/>
      <c r="H231" s="2150"/>
      <c r="I231" s="2150"/>
      <c r="J231" s="5166" t="s">
        <v>339</v>
      </c>
      <c r="K231" s="5166"/>
      <c r="L231" s="2150"/>
      <c r="M231" s="2150"/>
      <c r="N231" s="2151"/>
      <c r="O231" s="2150"/>
      <c r="P231" s="5165" t="str">
        <f>'Вхідні дані'!F13</f>
        <v>Анатолій ПАНШИН</v>
      </c>
      <c r="Q231" s="5165"/>
      <c r="R231" s="5165"/>
      <c r="S231" s="5165"/>
    </row>
    <row r="232" spans="2:19" ht="17.399999999999999" customHeight="1" x14ac:dyDescent="0.3">
      <c r="C232" s="5154" t="s">
        <v>232</v>
      </c>
      <c r="D232" s="5154"/>
      <c r="E232" s="2150"/>
      <c r="F232" s="2150"/>
      <c r="G232" s="2150"/>
      <c r="H232" s="2150"/>
      <c r="I232" s="2150"/>
      <c r="J232" s="5154" t="s">
        <v>209</v>
      </c>
      <c r="K232" s="5154"/>
      <c r="L232" s="2150"/>
      <c r="M232" s="2150"/>
      <c r="N232" s="2151"/>
      <c r="O232" s="2150"/>
      <c r="P232" s="2150"/>
      <c r="Q232" s="5154" t="s">
        <v>2183</v>
      </c>
      <c r="R232" s="5154"/>
      <c r="S232" s="2150"/>
    </row>
    <row r="233" spans="2:19" ht="24" customHeight="1" x14ac:dyDescent="0.3">
      <c r="C233" s="3054"/>
      <c r="D233" s="3054"/>
      <c r="E233" s="2150"/>
      <c r="F233" s="2150"/>
      <c r="G233" s="2150"/>
      <c r="H233" s="2150"/>
      <c r="I233" s="2150"/>
      <c r="J233" s="3054"/>
      <c r="K233" s="3054"/>
      <c r="L233" s="2150"/>
      <c r="M233" s="2150"/>
      <c r="N233" s="2151"/>
      <c r="O233" s="2150"/>
      <c r="P233" s="2150"/>
      <c r="Q233" s="3054"/>
      <c r="R233" s="3054"/>
      <c r="S233" s="2150"/>
    </row>
    <row r="234" spans="2:19" ht="24" customHeight="1" x14ac:dyDescent="0.3">
      <c r="C234" s="3054"/>
      <c r="D234" s="3054"/>
      <c r="E234" s="2150"/>
      <c r="F234" s="2150"/>
      <c r="G234" s="2150"/>
      <c r="H234" s="2150"/>
      <c r="I234" s="2150"/>
      <c r="J234" s="3054"/>
      <c r="K234" s="3054"/>
      <c r="L234" s="2150"/>
      <c r="M234" s="2150"/>
      <c r="N234" s="2151"/>
      <c r="O234" s="2150"/>
      <c r="P234" s="2150"/>
      <c r="Q234" s="3054"/>
      <c r="R234" s="3054"/>
      <c r="S234" s="2150"/>
    </row>
    <row r="235" spans="2:19" ht="24" customHeight="1" x14ac:dyDescent="0.3">
      <c r="C235" s="3054"/>
      <c r="D235" s="3054"/>
      <c r="E235" s="4857">
        <f>E236-E243</f>
        <v>-4.2520696297287941E-8</v>
      </c>
      <c r="F235" s="5170">
        <f>F236+G236</f>
        <v>223500.79842554685</v>
      </c>
      <c r="G235" s="5171"/>
      <c r="H235" s="4857">
        <f>H236-H243</f>
        <v>2.5675476063042879E-3</v>
      </c>
      <c r="I235" s="5170">
        <f>I236+J236</f>
        <v>168442.93466902728</v>
      </c>
      <c r="J235" s="5171"/>
      <c r="K235" s="4857">
        <f>K236-K243</f>
        <v>0</v>
      </c>
      <c r="L235" s="5170">
        <f>L236+M236</f>
        <v>42.791575893845057</v>
      </c>
      <c r="M235" s="5171"/>
      <c r="N235" s="4857">
        <f>N236-N243</f>
        <v>0</v>
      </c>
      <c r="O235" s="5170">
        <f>O236+P236</f>
        <v>41121.528087038605</v>
      </c>
      <c r="P235" s="5171"/>
      <c r="Q235" s="4857">
        <f>Q236-Q243</f>
        <v>0</v>
      </c>
      <c r="R235" s="5170">
        <f>R236+S236</f>
        <v>13893.544093587094</v>
      </c>
      <c r="S235" s="5171"/>
    </row>
    <row r="236" spans="2:19" ht="15.6" x14ac:dyDescent="0.3">
      <c r="C236" s="2197" t="s">
        <v>2223</v>
      </c>
      <c r="D236" s="2198"/>
      <c r="E236" s="4844">
        <f>SUM(E237:E240)</f>
        <v>223500.79842554688</v>
      </c>
      <c r="F236" s="4844">
        <f t="shared" ref="F236:S236" si="253">SUM(F237:F240)</f>
        <v>129988.13540863142</v>
      </c>
      <c r="G236" s="4844">
        <f t="shared" si="253"/>
        <v>93512.663016915438</v>
      </c>
      <c r="H236" s="4844">
        <f t="shared" si="253"/>
        <v>168442.93723661746</v>
      </c>
      <c r="I236" s="4844">
        <f t="shared" si="253"/>
        <v>92883.945926682456</v>
      </c>
      <c r="J236" s="4844">
        <f t="shared" si="253"/>
        <v>75558.988742344838</v>
      </c>
      <c r="K236" s="4844">
        <f t="shared" si="253"/>
        <v>42.791575893845057</v>
      </c>
      <c r="L236" s="4844">
        <f t="shared" si="253"/>
        <v>29.1753781091838</v>
      </c>
      <c r="M236" s="4844">
        <f t="shared" si="253"/>
        <v>13.616197784661255</v>
      </c>
      <c r="N236" s="4844">
        <f t="shared" si="253"/>
        <v>41121.528087038612</v>
      </c>
      <c r="O236" s="4844">
        <f t="shared" si="253"/>
        <v>27718.896483326655</v>
      </c>
      <c r="P236" s="4844">
        <f t="shared" si="253"/>
        <v>13402.631603711952</v>
      </c>
      <c r="Q236" s="4844">
        <f t="shared" si="253"/>
        <v>13893.544093587096</v>
      </c>
      <c r="R236" s="4844">
        <f t="shared" si="253"/>
        <v>9356.1176205131051</v>
      </c>
      <c r="S236" s="4844">
        <f t="shared" si="253"/>
        <v>4537.4264730739878</v>
      </c>
    </row>
    <row r="237" spans="2:19" ht="15.6" x14ac:dyDescent="0.3">
      <c r="C237" s="2197" t="s">
        <v>1894</v>
      </c>
      <c r="D237" s="2986"/>
      <c r="E237" s="2992">
        <f>E76</f>
        <v>162608.01309177774</v>
      </c>
      <c r="F237" s="2992">
        <f t="shared" ref="F237:G237" si="254">F76</f>
        <v>114791.36386509688</v>
      </c>
      <c r="G237" s="2992">
        <f t="shared" si="254"/>
        <v>47816.649226680835</v>
      </c>
      <c r="H237" s="2992">
        <f>H76</f>
        <v>119275.15921008981</v>
      </c>
      <c r="I237" s="2992">
        <f t="shared" ref="I237:J237" si="255">I76</f>
        <v>80262.112500721283</v>
      </c>
      <c r="J237" s="2992">
        <f t="shared" si="255"/>
        <v>39013.046709368537</v>
      </c>
      <c r="K237" s="2992">
        <f>K76</f>
        <v>34.384579343905621</v>
      </c>
      <c r="L237" s="2992">
        <f t="shared" ref="L237:M237" si="256">L76</f>
        <v>27.397156153900891</v>
      </c>
      <c r="M237" s="2992">
        <f t="shared" si="256"/>
        <v>6.9874231900047334</v>
      </c>
      <c r="N237" s="2992">
        <f>N76</f>
        <v>32383.546869024234</v>
      </c>
      <c r="O237" s="2992">
        <f t="shared" ref="O237:P237" si="257">O76</f>
        <v>25802.027894529441</v>
      </c>
      <c r="P237" s="2992">
        <f t="shared" si="257"/>
        <v>6581.518974494792</v>
      </c>
      <c r="Q237" s="2992">
        <f>Q76</f>
        <v>10914.922433319736</v>
      </c>
      <c r="R237" s="2992">
        <f t="shared" ref="R237:S237" si="258">R76</f>
        <v>8699.8263136922396</v>
      </c>
      <c r="S237" s="2992">
        <f t="shared" si="258"/>
        <v>2215.0961196274966</v>
      </c>
    </row>
    <row r="238" spans="2:19" x14ac:dyDescent="0.3">
      <c r="C238" s="4313" t="s">
        <v>2648</v>
      </c>
      <c r="D238" s="2986"/>
      <c r="E238" s="2992">
        <f>'ТЕ_2ст_тариф_з ЦТП'!E120</f>
        <v>15229.615576495595</v>
      </c>
      <c r="F238" s="2992">
        <f>'ТЕ_2ст_тариф_з ЦТП'!F120</f>
        <v>4179.9292165489842</v>
      </c>
      <c r="G238" s="2992">
        <f>'ТЕ_2ст_тариф_з ЦТП'!G120</f>
        <v>11049.686359946612</v>
      </c>
      <c r="H238" s="2992">
        <f>'ТЕ_2ст_тариф_з ЦТП'!H120</f>
        <v>12396.35</v>
      </c>
      <c r="I238" s="2992">
        <f>'ТЕ_2ст_тариф_з ЦТП'!I120</f>
        <v>3473.5251239686027</v>
      </c>
      <c r="J238" s="2992">
        <f>'ТЕ_2ст_тариф_з ЦТП'!J120</f>
        <v>8922.8245619887966</v>
      </c>
      <c r="K238" s="2992">
        <f>'ТЕ_2ст_тариф_з ЦТП'!K120</f>
        <v>0</v>
      </c>
      <c r="L238" s="2992">
        <f>'ТЕ_2ст_тариф_з ЦТП'!L120</f>
        <v>0</v>
      </c>
      <c r="M238" s="2992">
        <f>'ТЕ_2ст_тариф_з ЦТП'!M120</f>
        <v>0</v>
      </c>
      <c r="N238" s="2992">
        <f>'ТЕ_2ст_тариф_з ЦТП'!N120</f>
        <v>2049.195047629928</v>
      </c>
      <c r="O238" s="2992">
        <f>'ТЕ_2ст_тариф_з ЦТП'!O120</f>
        <v>510.91560907693645</v>
      </c>
      <c r="P238" s="2992">
        <f>'ТЕ_2ст_тариф_з ЦТП'!P120</f>
        <v>1538.2794385529921</v>
      </c>
      <c r="Q238" s="2992">
        <f>'ТЕ_2ст_тариф_з ЦТП'!Q120</f>
        <v>784.07084290826754</v>
      </c>
      <c r="R238" s="2992">
        <f>'ТЕ_2ст_тариф_з ЦТП'!R120</f>
        <v>195.48848350344502</v>
      </c>
      <c r="S238" s="2992">
        <f>'ТЕ_2ст_тариф_з ЦТП'!S120</f>
        <v>588.58235940482245</v>
      </c>
    </row>
    <row r="239" spans="2:19" x14ac:dyDescent="0.3">
      <c r="C239" s="4313" t="s">
        <v>2257</v>
      </c>
      <c r="D239" s="2986"/>
      <c r="E239" s="2992">
        <f>E120</f>
        <v>43609.782048393427</v>
      </c>
      <c r="F239" s="2992">
        <f t="shared" ref="F239:G239" si="259">F120</f>
        <v>11016.842326985552</v>
      </c>
      <c r="G239" s="2992">
        <f t="shared" si="259"/>
        <v>32592.939721407871</v>
      </c>
      <c r="H239" s="2992">
        <f>H120</f>
        <v>35066.1</v>
      </c>
      <c r="I239" s="2992">
        <f t="shared" ref="I239:J239" si="260">I120</f>
        <v>9148.3083019925689</v>
      </c>
      <c r="J239" s="2992">
        <f t="shared" si="260"/>
        <v>25917.789444459831</v>
      </c>
      <c r="K239" s="2992">
        <f>K120</f>
        <v>8.1307414269721416</v>
      </c>
      <c r="L239" s="2992">
        <f t="shared" ref="L239:M239" si="261">L120</f>
        <v>1.7782219552829077</v>
      </c>
      <c r="M239" s="2992">
        <f t="shared" si="261"/>
        <v>6.3525194716892326</v>
      </c>
      <c r="N239" s="2992">
        <f>N120</f>
        <v>6428.5788973783619</v>
      </c>
      <c r="O239" s="2992">
        <f t="shared" ref="O239:P239" si="262">O120</f>
        <v>1405.9529797202788</v>
      </c>
      <c r="P239" s="2992">
        <f t="shared" si="262"/>
        <v>5022.6259176580834</v>
      </c>
      <c r="Q239" s="2992">
        <f>Q120</f>
        <v>2106.9746631356852</v>
      </c>
      <c r="R239" s="2992">
        <f t="shared" ref="R239:S239" si="263">R120</f>
        <v>460.80282331742171</v>
      </c>
      <c r="S239" s="2992">
        <f t="shared" si="263"/>
        <v>1646.1718398182634</v>
      </c>
    </row>
    <row r="240" spans="2:19" ht="15" thickBot="1" x14ac:dyDescent="0.35">
      <c r="C240" s="4829" t="s">
        <v>2233</v>
      </c>
      <c r="D240" s="4830"/>
      <c r="E240" s="4831">
        <f>E159</f>
        <v>2053.3877088801205</v>
      </c>
      <c r="F240" s="4831">
        <f t="shared" ref="F240:G240" si="264">F159</f>
        <v>0</v>
      </c>
      <c r="G240" s="4831">
        <f t="shared" si="264"/>
        <v>2053.3877088801205</v>
      </c>
      <c r="H240" s="4831">
        <f>H159</f>
        <v>1705.328026527663</v>
      </c>
      <c r="I240" s="4831">
        <f t="shared" ref="I240:J240" si="265">I159</f>
        <v>0</v>
      </c>
      <c r="J240" s="4831">
        <f t="shared" si="265"/>
        <v>1705.328026527663</v>
      </c>
      <c r="K240" s="4831">
        <f>K159</f>
        <v>0.27625512296728882</v>
      </c>
      <c r="L240" s="4831">
        <f t="shared" ref="L240:M240" si="266">L159</f>
        <v>0</v>
      </c>
      <c r="M240" s="4831">
        <f t="shared" si="266"/>
        <v>0.27625512296728882</v>
      </c>
      <c r="N240" s="4831">
        <f>N159</f>
        <v>260.20727300608388</v>
      </c>
      <c r="O240" s="4831">
        <f t="shared" ref="O240:P240" si="267">O159</f>
        <v>0</v>
      </c>
      <c r="P240" s="4831">
        <f t="shared" si="267"/>
        <v>260.20727300608388</v>
      </c>
      <c r="Q240" s="4831">
        <f>Q159</f>
        <v>87.576154223406064</v>
      </c>
      <c r="R240" s="4831">
        <f t="shared" ref="R240:S240" si="268">R159</f>
        <v>0</v>
      </c>
      <c r="S240" s="4831">
        <f t="shared" si="268"/>
        <v>87.576154223406064</v>
      </c>
    </row>
    <row r="241" spans="2:19" s="2150" customFormat="1" x14ac:dyDescent="0.3">
      <c r="B241" s="4826"/>
      <c r="C241" s="4835" t="s">
        <v>3070</v>
      </c>
      <c r="D241" s="4836"/>
      <c r="E241" s="4837">
        <f>'ТЕ_2ст_тариф_з ЦТП'!E210</f>
        <v>42789.301784398973</v>
      </c>
      <c r="F241" s="4837">
        <f>'ТЕ_2ст_тариф_з ЦТП'!F210</f>
        <v>23437.25605074866</v>
      </c>
      <c r="G241" s="4837">
        <f>'ТЕ_2ст_тариф_з ЦТП'!G210</f>
        <v>19352.04573365031</v>
      </c>
      <c r="H241" s="4837">
        <f>'ТЕ_2ст_тариф_з ЦТП'!H210</f>
        <v>32654.533309199411</v>
      </c>
      <c r="I241" s="4837">
        <f>'ТЕ_2ст_тариф_з ЦТП'!I210</f>
        <v>16948.426656497111</v>
      </c>
      <c r="J241" s="4837">
        <f>'ТЕ_2ст_тариф_з ЦТП'!J210</f>
        <v>15706.106652702298</v>
      </c>
      <c r="K241" s="4837">
        <f>'ТЕ_2ст_тариф_з ЦТП'!K210</f>
        <v>0</v>
      </c>
      <c r="L241" s="4837">
        <f>'ТЕ_2ст_тариф_з ЦТП'!L210</f>
        <v>0</v>
      </c>
      <c r="M241" s="4837">
        <f>'ТЕ_2ст_тариф_з ЦТП'!M210</f>
        <v>0</v>
      </c>
      <c r="N241" s="4837">
        <f>'ТЕ_2ст_тариф_з ЦТП'!N210</f>
        <v>7330.0982578482344</v>
      </c>
      <c r="O241" s="4837">
        <f>'ТЕ_2ст_тариф_з ЦТП'!O210</f>
        <v>4693.1271449041296</v>
      </c>
      <c r="P241" s="4837">
        <f>'ТЕ_2ст_тариф_з ЦТП'!P210</f>
        <v>2636.9711129441048</v>
      </c>
      <c r="Q241" s="4837">
        <f>'ТЕ_2ст_тариф_з ЦТП'!Q210</f>
        <v>2804.6702173513249</v>
      </c>
      <c r="R241" s="4837">
        <f>'ТЕ_2ст_тариф_з ЦТП'!R210</f>
        <v>1795.702249347419</v>
      </c>
      <c r="S241" s="4838">
        <f>'ТЕ_2ст_тариф_з ЦТП'!S210</f>
        <v>1008.967968003906</v>
      </c>
    </row>
    <row r="242" spans="2:19" s="2150" customFormat="1" x14ac:dyDescent="0.3">
      <c r="B242" s="4826"/>
      <c r="C242" s="4839" t="s">
        <v>4167</v>
      </c>
      <c r="D242" s="4827"/>
      <c r="E242" s="4828">
        <f>E210</f>
        <v>180711.49664119043</v>
      </c>
      <c r="F242" s="4828">
        <f t="shared" ref="F242:S242" si="269">F210</f>
        <v>106550.87935788275</v>
      </c>
      <c r="G242" s="4828">
        <f t="shared" si="269"/>
        <v>74160.617283307671</v>
      </c>
      <c r="H242" s="4828">
        <f t="shared" si="269"/>
        <v>135788.40135987045</v>
      </c>
      <c r="I242" s="4828">
        <f t="shared" si="269"/>
        <v>75935.519270185352</v>
      </c>
      <c r="J242" s="4828">
        <f t="shared" si="269"/>
        <v>59852.882089685081</v>
      </c>
      <c r="K242" s="4828">
        <f t="shared" si="269"/>
        <v>42.791575893845057</v>
      </c>
      <c r="L242" s="4828">
        <f t="shared" si="269"/>
        <v>29.1753781091838</v>
      </c>
      <c r="M242" s="4828">
        <f t="shared" si="269"/>
        <v>13.616197784661255</v>
      </c>
      <c r="N242" s="4828">
        <f t="shared" si="269"/>
        <v>33791.429829190369</v>
      </c>
      <c r="O242" s="4828">
        <f t="shared" si="269"/>
        <v>23025.769338422524</v>
      </c>
      <c r="P242" s="4828">
        <f t="shared" si="269"/>
        <v>10765.660490767848</v>
      </c>
      <c r="Q242" s="4828">
        <f t="shared" si="269"/>
        <v>11088.87387623577</v>
      </c>
      <c r="R242" s="4828">
        <f t="shared" si="269"/>
        <v>7560.4153711656872</v>
      </c>
      <c r="S242" s="4840">
        <f t="shared" si="269"/>
        <v>3528.458505070083</v>
      </c>
    </row>
    <row r="243" spans="2:19" s="2150" customFormat="1" ht="15" thickBot="1" x14ac:dyDescent="0.35">
      <c r="B243" s="4826"/>
      <c r="C243" s="4841" t="s">
        <v>250</v>
      </c>
      <c r="D243" s="4842"/>
      <c r="E243" s="4843">
        <f>E241+E242</f>
        <v>223500.7984255894</v>
      </c>
      <c r="F243" s="4843">
        <f t="shared" ref="F243:S243" si="270">F241+F242</f>
        <v>129988.13540863141</v>
      </c>
      <c r="G243" s="4843">
        <f t="shared" si="270"/>
        <v>93512.663016957988</v>
      </c>
      <c r="H243" s="4843">
        <f t="shared" si="270"/>
        <v>168442.93466906986</v>
      </c>
      <c r="I243" s="4843">
        <f t="shared" si="270"/>
        <v>92883.945926682471</v>
      </c>
      <c r="J243" s="4843">
        <f t="shared" si="270"/>
        <v>75558.988742387373</v>
      </c>
      <c r="K243" s="4843">
        <f t="shared" si="270"/>
        <v>42.791575893845057</v>
      </c>
      <c r="L243" s="4843">
        <f t="shared" si="270"/>
        <v>29.1753781091838</v>
      </c>
      <c r="M243" s="4843">
        <f t="shared" si="270"/>
        <v>13.616197784661255</v>
      </c>
      <c r="N243" s="4843">
        <f t="shared" si="270"/>
        <v>41121.528087038605</v>
      </c>
      <c r="O243" s="4843">
        <f t="shared" si="270"/>
        <v>27718.896483326655</v>
      </c>
      <c r="P243" s="4843">
        <f t="shared" si="270"/>
        <v>13402.631603711954</v>
      </c>
      <c r="Q243" s="4843">
        <f t="shared" si="270"/>
        <v>13893.544093587094</v>
      </c>
      <c r="R243" s="4843">
        <f t="shared" si="270"/>
        <v>9356.1176205131069</v>
      </c>
      <c r="S243" s="4843">
        <f t="shared" si="270"/>
        <v>4537.4264730739887</v>
      </c>
    </row>
    <row r="244" spans="2:19" x14ac:dyDescent="0.3">
      <c r="C244" s="4832" t="s">
        <v>4119</v>
      </c>
      <c r="D244" s="4833"/>
      <c r="E244" s="4834">
        <f>'Д 5.1 Т на ТЕ без ЦТП'!D55</f>
        <v>212596.47168412193</v>
      </c>
      <c r="F244" s="4834"/>
      <c r="G244" s="4834"/>
      <c r="H244" s="4834">
        <f>'Д 5.1 Т на ТЕ без ЦТП'!E55</f>
        <v>160799.97251396286</v>
      </c>
      <c r="I244" s="4834"/>
      <c r="J244" s="4834"/>
      <c r="K244" s="4834">
        <f>'Д 5.1 Т на ТЕ без ЦТП'!F55</f>
        <v>40.201611143652627</v>
      </c>
      <c r="L244" s="4834"/>
      <c r="M244" s="4834"/>
      <c r="N244" s="4834">
        <f>'Д 5.1 Т на ТЕ без ЦТП'!G55</f>
        <v>38694.868632951875</v>
      </c>
      <c r="O244" s="4834"/>
      <c r="P244" s="4834"/>
      <c r="Q244" s="4834">
        <f>'Д 5.1 Т на ТЕ без ЦТП'!H55</f>
        <v>13061.428926063538</v>
      </c>
      <c r="R244" s="4834"/>
      <c r="S244" s="4834"/>
    </row>
    <row r="245" spans="2:19" x14ac:dyDescent="0.3">
      <c r="C245" s="4313" t="s">
        <v>4166</v>
      </c>
      <c r="D245" s="2198"/>
      <c r="E245" s="2992">
        <f>SUM(F245:G245)</f>
        <v>213065.14206718263</v>
      </c>
      <c r="F245" s="2992">
        <f>F223*F16+'ТЕ_2ст_тариф_з ЦТП'!F223*'ТЕ_2ст_тариф_з ЦТП'!F15</f>
        <v>119552.48019777375</v>
      </c>
      <c r="G245" s="2992">
        <f>G224*G19/1000*12+'ТЕ_2ст_тариф_з ЦТП'!G18*'ТЕ_2ст_тариф_з ЦТП'!G224/1000*12</f>
        <v>93512.661869408897</v>
      </c>
      <c r="H245" s="2992">
        <f>SUM(I245:J245)</f>
        <v>161132.25864541269</v>
      </c>
      <c r="I245" s="2992">
        <f>I223*I16+'ТЕ_2ст_тариф_з ЦТП'!I223*'ТЕ_2ст_тариф_з ЦТП'!I15</f>
        <v>85573.274162110582</v>
      </c>
      <c r="J245" s="2992">
        <f>J224*J19/1000*12+'ТЕ_2ст_тариф_з ЦТП'!J18*'ТЕ_2ст_тариф_з ЦТП'!J224/1000*12</f>
        <v>75558.984483302105</v>
      </c>
      <c r="K245" s="2992">
        <f>SUM(L245:M245)</f>
        <v>40.331269860869206</v>
      </c>
      <c r="L245" s="2992">
        <f>L223*L16+'ТЕ_2ст_тариф_з ЦТП'!L223*'ТЕ_2ст_тариф_з ЦТП'!L15</f>
        <v>26.71507242854921</v>
      </c>
      <c r="M245" s="2992">
        <f>M224*M19/1000*12+'ТЕ_2ст_тариф_з ЦТП'!M18*'ТЕ_2ст_тариф_з ЦТП'!M224/1000*12</f>
        <v>13.616197432319996</v>
      </c>
      <c r="N245" s="2992">
        <f>SUM(O245:P245)</f>
        <v>38807.767499522073</v>
      </c>
      <c r="O245" s="2992">
        <f>O223*O16+'ТЕ_2ст_тариф_з ЦТП'!O223*'ТЕ_2ст_тариф_з ЦТП'!O15</f>
        <v>25405.136343033992</v>
      </c>
      <c r="P245" s="2992">
        <f>P224*P19/1000*12+'ТЕ_2ст_тариф_з ЦТП'!P18*'ТЕ_2ст_тариф_з ЦТП'!P224/1000*12</f>
        <v>13402.63115648808</v>
      </c>
      <c r="Q245" s="2992">
        <f>SUM(R245:S245)</f>
        <v>13099.001469716979</v>
      </c>
      <c r="R245" s="2992">
        <f>R223*R16+'ТЕ_2ст_тариф_з ЦТП'!R223*'ТЕ_2ст_тариф_з ЦТП'!R15</f>
        <v>8561.5751524751486</v>
      </c>
      <c r="S245" s="2992">
        <f>S224*S19/1000*12+'ТЕ_2ст_тариф_з ЦТП'!S18*'ТЕ_2ст_тариф_з ЦТП'!S224/1000*12</f>
        <v>4537.4263172418296</v>
      </c>
    </row>
    <row r="246" spans="2:19" x14ac:dyDescent="0.3">
      <c r="D246" s="4316"/>
      <c r="E246" s="4317">
        <f>E244-E245</f>
        <v>-468.67038306070026</v>
      </c>
      <c r="F246" s="2987"/>
      <c r="G246" s="2987"/>
      <c r="H246" s="4317">
        <f>H244-H245</f>
        <v>-332.28613144982955</v>
      </c>
      <c r="K246" s="4317">
        <f>K244-K245</f>
        <v>-0.12965871721657862</v>
      </c>
      <c r="N246" s="4317">
        <f>N244-N245</f>
        <v>-112.89886657019815</v>
      </c>
      <c r="Q246" s="4317">
        <f>Q244-Q245</f>
        <v>-37.572543653441244</v>
      </c>
    </row>
    <row r="247" spans="2:19" x14ac:dyDescent="0.3">
      <c r="E247" s="2946"/>
      <c r="F247" s="2946"/>
      <c r="G247" s="2946"/>
      <c r="H247" s="2946"/>
      <c r="I247" s="2946"/>
      <c r="J247" s="2946"/>
      <c r="K247" s="2946"/>
      <c r="L247" s="2946"/>
      <c r="M247" s="2946"/>
      <c r="N247" s="2946"/>
      <c r="O247" s="2946"/>
      <c r="P247" s="2946"/>
      <c r="Q247" s="2946"/>
      <c r="R247" s="2946"/>
      <c r="S247" s="2946"/>
    </row>
    <row r="248" spans="2:19" ht="17.399999999999999" customHeight="1" thickBot="1" x14ac:dyDescent="0.35">
      <c r="C248" s="3054"/>
      <c r="D248" s="3054"/>
      <c r="E248" s="2150"/>
      <c r="F248" s="2150"/>
      <c r="G248" s="2150"/>
      <c r="H248" s="2150"/>
      <c r="I248" s="2150"/>
      <c r="J248" s="3054"/>
      <c r="K248" s="3054"/>
      <c r="L248" s="2150"/>
      <c r="M248" s="2150"/>
      <c r="N248" s="2151"/>
      <c r="O248" s="2150"/>
      <c r="P248" s="2150"/>
      <c r="Q248" s="3054"/>
      <c r="R248" s="3054"/>
      <c r="S248" s="2150"/>
    </row>
    <row r="249" spans="2:19" s="4406" customFormat="1" ht="17.399999999999999" customHeight="1" x14ac:dyDescent="0.3">
      <c r="B249" s="4407"/>
      <c r="C249" s="4413"/>
      <c r="D249" s="4712"/>
      <c r="E249" s="4713">
        <f>E223</f>
        <v>1190.06</v>
      </c>
      <c r="F249" s="4714"/>
      <c r="G249" s="4714"/>
      <c r="H249" s="4713">
        <f>H223</f>
        <v>1022.9</v>
      </c>
      <c r="I249" s="4714"/>
      <c r="J249" s="4714"/>
      <c r="K249" s="4715">
        <f>K223</f>
        <v>2009.91</v>
      </c>
      <c r="L249" s="4716"/>
      <c r="M249" s="4716"/>
      <c r="N249" s="4715">
        <f>N223</f>
        <v>2009.91</v>
      </c>
      <c r="O249" s="4716"/>
      <c r="P249" s="4716"/>
      <c r="Q249" s="4717">
        <f>Q223</f>
        <v>2009.91</v>
      </c>
      <c r="R249" s="4416"/>
    </row>
    <row r="250" spans="2:19" ht="17.399999999999999" customHeight="1" thickBot="1" x14ac:dyDescent="0.35">
      <c r="C250" s="3054"/>
      <c r="D250" s="4718"/>
      <c r="E250" s="4719">
        <f>E224</f>
        <v>103562.1</v>
      </c>
      <c r="F250" s="4720"/>
      <c r="G250" s="4720"/>
      <c r="H250" s="4719">
        <f>H224</f>
        <v>100654.02</v>
      </c>
      <c r="I250" s="4720"/>
      <c r="J250" s="4721"/>
      <c r="K250" s="4719">
        <f>K224</f>
        <v>117803.48</v>
      </c>
      <c r="L250" s="4720"/>
      <c r="M250" s="4720"/>
      <c r="N250" s="4719">
        <f>N224</f>
        <v>117803.48</v>
      </c>
      <c r="O250" s="4720"/>
      <c r="P250" s="4720"/>
      <c r="Q250" s="4722">
        <f>Q224</f>
        <v>117803.48</v>
      </c>
      <c r="R250" s="3054"/>
      <c r="S250" s="2150"/>
    </row>
    <row r="251" spans="2:19" ht="17.399999999999999" customHeight="1" x14ac:dyDescent="0.3">
      <c r="C251" s="3054"/>
      <c r="D251" s="3055"/>
      <c r="E251" s="2946">
        <f>E250-E253-E255-E257</f>
        <v>9.0949470177292824E-12</v>
      </c>
      <c r="F251" s="3055"/>
      <c r="G251" s="3055"/>
      <c r="H251" s="2946">
        <f>H250-H253-H255-H257</f>
        <v>9.0949470177292824E-12</v>
      </c>
      <c r="I251" s="2946"/>
      <c r="J251" s="2946"/>
      <c r="K251" s="2946">
        <f t="shared" ref="K251" si="271">K250-K253-K255-K257</f>
        <v>0</v>
      </c>
      <c r="L251" s="4376"/>
      <c r="M251" s="2150"/>
      <c r="N251" s="2946">
        <f>N250-N253-N255-N257</f>
        <v>0</v>
      </c>
      <c r="O251" s="2150"/>
      <c r="P251" s="2150"/>
      <c r="Q251" s="2946">
        <f>Q250-Q253-Q255-Q257</f>
        <v>0</v>
      </c>
      <c r="R251" s="3054"/>
      <c r="S251" s="2150"/>
    </row>
    <row r="252" spans="2:19" s="4409" customFormat="1" ht="15" customHeight="1" x14ac:dyDescent="0.3">
      <c r="B252" s="4410"/>
      <c r="D252" s="4411" t="s">
        <v>2830</v>
      </c>
      <c r="E252" s="4411">
        <f>E80</f>
        <v>1056.28</v>
      </c>
      <c r="F252" s="4411"/>
      <c r="G252" s="4411"/>
      <c r="H252" s="4412">
        <f>H80</f>
        <v>889.12</v>
      </c>
      <c r="I252" s="4412"/>
      <c r="J252" s="4412"/>
      <c r="K252" s="4412">
        <f>K80</f>
        <v>1876.13</v>
      </c>
      <c r="L252" s="4412"/>
      <c r="M252" s="4412"/>
      <c r="N252" s="4412">
        <f>N80</f>
        <v>1876.13</v>
      </c>
      <c r="O252" s="4412"/>
      <c r="P252" s="4412"/>
      <c r="Q252" s="4412">
        <f>Q80</f>
        <v>1876.13</v>
      </c>
    </row>
    <row r="253" spans="2:19" x14ac:dyDescent="0.3">
      <c r="C253" s="3058"/>
      <c r="D253" s="3059"/>
      <c r="E253" s="1021">
        <f>E81</f>
        <v>55657.13</v>
      </c>
      <c r="F253" s="1021"/>
      <c r="G253" s="1021"/>
      <c r="H253" s="2157">
        <f>H81</f>
        <v>54678.239999999998</v>
      </c>
      <c r="I253" s="2157"/>
      <c r="J253" s="2157"/>
      <c r="K253" s="2157">
        <f>K81</f>
        <v>60453.2</v>
      </c>
      <c r="L253" s="4376"/>
      <c r="M253" s="4376"/>
      <c r="N253" s="2157">
        <f>N81</f>
        <v>60453.2</v>
      </c>
      <c r="O253" s="4376"/>
      <c r="P253" s="4376"/>
      <c r="Q253" s="2157">
        <f>Q81</f>
        <v>60453.2</v>
      </c>
      <c r="R253" s="2150"/>
      <c r="S253" s="2150"/>
    </row>
    <row r="254" spans="2:19" s="4409" customFormat="1" x14ac:dyDescent="0.3">
      <c r="B254" s="4410"/>
      <c r="D254" s="4411" t="s">
        <v>3114</v>
      </c>
      <c r="E254" s="4411">
        <f>E124</f>
        <v>133.78</v>
      </c>
      <c r="F254" s="4411"/>
      <c r="G254" s="4411"/>
      <c r="H254" s="4412">
        <f>H124</f>
        <v>133.78</v>
      </c>
      <c r="I254" s="4412"/>
      <c r="J254" s="4412"/>
      <c r="K254" s="4412">
        <f>K124</f>
        <v>133.78</v>
      </c>
      <c r="L254" s="4412"/>
      <c r="M254" s="4412"/>
      <c r="N254" s="4412">
        <f>N124</f>
        <v>133.78</v>
      </c>
      <c r="O254" s="4412"/>
      <c r="P254" s="4412"/>
      <c r="Q254" s="4412">
        <f>Q124</f>
        <v>133.78</v>
      </c>
    </row>
    <row r="255" spans="2:19" ht="15.6" x14ac:dyDescent="0.3">
      <c r="C255" s="3060"/>
      <c r="E255" s="1021">
        <f>E125</f>
        <v>45514.89</v>
      </c>
      <c r="H255" s="2157">
        <f>H125</f>
        <v>43585.7</v>
      </c>
      <c r="I255" s="2157"/>
      <c r="J255" s="2157"/>
      <c r="K255" s="2157">
        <f>K125</f>
        <v>54960.2</v>
      </c>
      <c r="L255" s="2157"/>
      <c r="M255" s="2157"/>
      <c r="N255" s="2157">
        <f>N125</f>
        <v>54960.2</v>
      </c>
      <c r="O255" s="2157"/>
      <c r="P255" s="2157"/>
      <c r="Q255" s="2157">
        <f>Q125</f>
        <v>54960.2</v>
      </c>
    </row>
    <row r="256" spans="2:19" x14ac:dyDescent="0.3">
      <c r="D256" s="4316" t="s">
        <v>3115</v>
      </c>
      <c r="E256" s="1005">
        <f>0</f>
        <v>0</v>
      </c>
      <c r="H256" s="2157">
        <f>0</f>
        <v>0</v>
      </c>
      <c r="I256" s="2157"/>
      <c r="J256" s="2157"/>
      <c r="K256" s="2157">
        <f>0</f>
        <v>0</v>
      </c>
      <c r="L256" s="2157"/>
      <c r="M256" s="2157"/>
      <c r="N256" s="2157">
        <f>0</f>
        <v>0</v>
      </c>
      <c r="O256" s="2157"/>
      <c r="P256" s="2157"/>
      <c r="Q256" s="2157">
        <f>0</f>
        <v>0</v>
      </c>
    </row>
    <row r="257" spans="2:21" s="4406" customFormat="1" x14ac:dyDescent="0.3">
      <c r="B257" s="4407"/>
      <c r="E257" s="4377">
        <f>E164</f>
        <v>2390.08</v>
      </c>
      <c r="H257" s="4408">
        <f>H164</f>
        <v>2390.08</v>
      </c>
      <c r="I257" s="4408"/>
      <c r="J257" s="4408"/>
      <c r="K257" s="4408">
        <f>K164</f>
        <v>2390.08</v>
      </c>
      <c r="L257" s="4408"/>
      <c r="M257" s="4408"/>
      <c r="N257" s="4408">
        <f>N164</f>
        <v>2390.08</v>
      </c>
      <c r="O257" s="4408"/>
      <c r="P257" s="4408"/>
      <c r="Q257" s="4408">
        <f>Q164</f>
        <v>2390.08</v>
      </c>
    </row>
    <row r="258" spans="2:21" hidden="1" x14ac:dyDescent="0.3">
      <c r="E258" s="3061"/>
      <c r="J258" s="1021"/>
      <c r="P258" s="1021"/>
    </row>
    <row r="259" spans="2:21" hidden="1" x14ac:dyDescent="0.3">
      <c r="C259" s="3061"/>
      <c r="D259" s="2164"/>
    </row>
    <row r="260" spans="2:21" hidden="1" x14ac:dyDescent="0.3">
      <c r="C260" s="3062"/>
      <c r="J260" s="1021"/>
    </row>
    <row r="261" spans="2:21" hidden="1" x14ac:dyDescent="0.3">
      <c r="C261" s="3062"/>
    </row>
    <row r="262" spans="2:21" x14ac:dyDescent="0.3">
      <c r="D262" s="1021"/>
      <c r="L262" s="3063"/>
      <c r="M262" s="4108"/>
      <c r="N262" s="4108"/>
    </row>
    <row r="263" spans="2:21" x14ac:dyDescent="0.3">
      <c r="J263" s="3063"/>
      <c r="L263" s="3064"/>
      <c r="M263" s="3146"/>
      <c r="N263" s="3146"/>
      <c r="P263" s="1021"/>
    </row>
    <row r="264" spans="2:21" x14ac:dyDescent="0.3">
      <c r="J264" s="3063"/>
      <c r="L264" s="3146"/>
      <c r="M264" s="3064"/>
      <c r="N264" s="3064"/>
    </row>
    <row r="265" spans="2:21" x14ac:dyDescent="0.3">
      <c r="J265" s="3063"/>
      <c r="L265" s="3146"/>
      <c r="M265" s="3064"/>
      <c r="N265" s="3064"/>
    </row>
    <row r="267" spans="2:21" x14ac:dyDescent="0.3">
      <c r="H267" s="3065"/>
      <c r="I267" s="3146"/>
      <c r="J267" s="3146"/>
      <c r="L267" s="5172"/>
      <c r="M267" s="5173"/>
      <c r="N267" s="5173"/>
      <c r="P267" s="5172"/>
      <c r="Q267" s="5173"/>
      <c r="R267" s="5173"/>
    </row>
    <row r="268" spans="2:21" x14ac:dyDescent="0.3">
      <c r="C268" s="3063"/>
      <c r="D268" s="4108"/>
      <c r="E268" s="4108"/>
      <c r="F268" s="4108"/>
      <c r="H268" s="4108"/>
      <c r="I268" s="4108"/>
      <c r="J268" s="4108"/>
      <c r="L268" s="4108"/>
      <c r="M268" s="4108"/>
      <c r="N268" s="4108"/>
      <c r="P268" s="4108"/>
      <c r="Q268" s="4108"/>
      <c r="R268" s="4108"/>
    </row>
    <row r="269" spans="2:21" x14ac:dyDescent="0.3">
      <c r="C269" s="3063"/>
      <c r="D269" s="2196"/>
      <c r="E269" s="2196"/>
      <c r="F269" s="2196"/>
      <c r="H269" s="2196"/>
      <c r="I269" s="2196"/>
      <c r="J269" s="2196"/>
      <c r="L269" s="1021"/>
      <c r="M269" s="1021"/>
      <c r="O269" s="3063"/>
      <c r="P269" s="1021"/>
      <c r="R269" s="1021"/>
      <c r="S269" s="3063"/>
      <c r="T269" s="2164"/>
    </row>
    <row r="270" spans="2:21" x14ac:dyDescent="0.3">
      <c r="C270" s="1897"/>
      <c r="D270" s="2196"/>
      <c r="E270" s="2196"/>
      <c r="F270" s="2196"/>
      <c r="G270" s="1021"/>
      <c r="H270" s="3146"/>
      <c r="I270" s="3146"/>
      <c r="J270" s="3146"/>
      <c r="L270" s="1021"/>
      <c r="M270" s="1021"/>
      <c r="O270" s="2164"/>
      <c r="P270" s="1021"/>
      <c r="R270" s="1021"/>
    </row>
    <row r="271" spans="2:21" x14ac:dyDescent="0.3">
      <c r="C271" s="3066"/>
      <c r="D271" s="2196"/>
      <c r="E271" s="2196"/>
      <c r="F271" s="2196"/>
      <c r="H271" s="2196"/>
      <c r="I271" s="3146"/>
      <c r="J271" s="3146"/>
      <c r="L271" s="1021"/>
      <c r="M271" s="1021"/>
      <c r="O271" s="1021"/>
      <c r="P271" s="1021"/>
      <c r="R271" s="1021"/>
      <c r="S271" s="3063"/>
      <c r="T271" s="1021"/>
      <c r="U271" s="3063"/>
    </row>
    <row r="272" spans="2:21" x14ac:dyDescent="0.3">
      <c r="C272" s="3066"/>
      <c r="D272" s="2196"/>
      <c r="E272" s="2196"/>
      <c r="F272" s="2196"/>
      <c r="H272" s="2196"/>
      <c r="I272" s="3146"/>
      <c r="J272" s="3146"/>
      <c r="L272" s="1021"/>
      <c r="M272" s="1021"/>
      <c r="P272" s="1021"/>
      <c r="R272" s="1021"/>
      <c r="S272" s="3063"/>
      <c r="T272" s="1021"/>
      <c r="U272" s="3063"/>
    </row>
    <row r="273" spans="3:21" x14ac:dyDescent="0.3">
      <c r="C273" s="3067"/>
      <c r="D273" s="2196"/>
      <c r="E273" s="2196"/>
      <c r="F273" s="2196"/>
      <c r="H273" s="3146"/>
      <c r="I273" s="2196"/>
      <c r="J273" s="2196"/>
      <c r="L273" s="1021"/>
      <c r="M273" s="1021"/>
      <c r="O273" s="3063"/>
      <c r="U273" s="1021"/>
    </row>
    <row r="274" spans="3:21" x14ac:dyDescent="0.3">
      <c r="C274" s="1897"/>
      <c r="D274" s="2196"/>
      <c r="E274" s="2196"/>
      <c r="F274" s="2196"/>
      <c r="G274" s="1021"/>
      <c r="H274" s="3146"/>
      <c r="I274" s="3146"/>
      <c r="J274" s="3146"/>
      <c r="L274" s="1896"/>
      <c r="M274" s="1021"/>
      <c r="O274" s="1021"/>
      <c r="T274" s="1021"/>
    </row>
    <row r="275" spans="3:21" x14ac:dyDescent="0.3">
      <c r="C275" s="3066"/>
      <c r="D275" s="2196"/>
      <c r="E275" s="2196"/>
      <c r="F275" s="2196"/>
      <c r="H275" s="3146"/>
      <c r="I275" s="2196"/>
      <c r="J275" s="2196"/>
      <c r="L275" s="1021"/>
      <c r="M275" s="1021"/>
      <c r="O275" s="3068"/>
      <c r="P275" s="1021"/>
      <c r="R275" s="1021"/>
    </row>
    <row r="276" spans="3:21" x14ac:dyDescent="0.3">
      <c r="C276" s="3066"/>
      <c r="D276" s="2196"/>
      <c r="E276" s="2196"/>
      <c r="F276" s="2196"/>
      <c r="H276" s="3146"/>
      <c r="I276" s="2196"/>
      <c r="J276" s="2196"/>
      <c r="L276" s="1021"/>
      <c r="M276" s="1021"/>
      <c r="O276" s="1021"/>
      <c r="P276" s="1021"/>
      <c r="R276" s="1021"/>
    </row>
    <row r="277" spans="3:21" x14ac:dyDescent="0.3">
      <c r="C277" s="3067"/>
      <c r="D277" s="2196"/>
      <c r="E277" s="2196"/>
      <c r="F277" s="2196"/>
      <c r="H277" s="3146"/>
      <c r="I277" s="2196"/>
      <c r="J277" s="2196"/>
      <c r="L277" s="1021"/>
      <c r="M277" s="1021"/>
      <c r="P277" s="1021"/>
      <c r="R277" s="1021"/>
      <c r="S277" s="3063"/>
      <c r="T277" s="1021"/>
      <c r="U277" s="3063"/>
    </row>
    <row r="278" spans="3:21" x14ac:dyDescent="0.3">
      <c r="C278" s="1897"/>
      <c r="D278" s="2196"/>
      <c r="E278" s="2196"/>
      <c r="F278" s="2196"/>
      <c r="H278" s="3146"/>
      <c r="I278" s="3146"/>
      <c r="J278" s="3146"/>
      <c r="L278" s="1021"/>
      <c r="M278" s="1021"/>
      <c r="P278" s="1896"/>
      <c r="R278" s="1021"/>
      <c r="T278" s="1021"/>
    </row>
    <row r="279" spans="3:21" x14ac:dyDescent="0.3">
      <c r="C279" s="3066"/>
      <c r="D279" s="2196"/>
      <c r="E279" s="2196"/>
      <c r="F279" s="2196"/>
      <c r="H279" s="3146"/>
      <c r="I279" s="2196"/>
      <c r="J279" s="2196"/>
      <c r="L279" s="1021"/>
      <c r="M279" s="1021"/>
      <c r="P279" s="1021"/>
      <c r="R279" s="1021"/>
      <c r="S279" s="3063"/>
      <c r="T279" s="1021"/>
    </row>
    <row r="280" spans="3:21" x14ac:dyDescent="0.3">
      <c r="C280" s="3066"/>
      <c r="D280" s="2196"/>
      <c r="E280" s="2196"/>
      <c r="F280" s="2196"/>
      <c r="H280" s="3146"/>
      <c r="I280" s="2196"/>
      <c r="J280" s="2196"/>
      <c r="L280" s="1021"/>
      <c r="M280" s="1021"/>
      <c r="P280" s="1021"/>
      <c r="R280" s="1021"/>
      <c r="S280" s="3063"/>
      <c r="T280" s="1021"/>
      <c r="U280" s="3063"/>
    </row>
    <row r="281" spans="3:21" x14ac:dyDescent="0.3">
      <c r="C281" s="3067"/>
      <c r="D281" s="2196"/>
      <c r="E281" s="2196"/>
      <c r="F281" s="2196"/>
      <c r="H281" s="2196"/>
      <c r="I281" s="2196"/>
      <c r="J281" s="2196"/>
      <c r="L281" s="1021"/>
      <c r="M281" s="1021"/>
      <c r="O281" s="3063"/>
      <c r="P281" s="1021"/>
      <c r="R281" s="1021"/>
      <c r="S281" s="3063"/>
      <c r="T281" s="1021"/>
    </row>
    <row r="282" spans="3:21" x14ac:dyDescent="0.3">
      <c r="C282" s="3063"/>
      <c r="D282" s="2196"/>
      <c r="E282" s="2196"/>
      <c r="F282" s="2196"/>
      <c r="G282" s="1021"/>
      <c r="H282" s="3146"/>
      <c r="I282" s="3146"/>
      <c r="J282" s="3146"/>
      <c r="L282" s="1021"/>
      <c r="O282" s="1021"/>
      <c r="Q282" s="1005"/>
      <c r="R282" s="1021"/>
    </row>
    <row r="283" spans="3:21" x14ac:dyDescent="0.3">
      <c r="C283" s="3066"/>
      <c r="D283" s="2196"/>
      <c r="E283" s="2196"/>
      <c r="F283" s="2196"/>
      <c r="H283" s="3146"/>
      <c r="I283" s="3146"/>
      <c r="J283" s="3146"/>
      <c r="Q283" s="1005"/>
      <c r="R283" s="1021"/>
    </row>
    <row r="284" spans="3:21" x14ac:dyDescent="0.3">
      <c r="C284" s="3066"/>
      <c r="D284" s="2196"/>
      <c r="E284" s="2196"/>
      <c r="F284" s="2196"/>
      <c r="H284" s="2196"/>
      <c r="I284" s="3146"/>
      <c r="J284" s="3146"/>
      <c r="L284" s="1021"/>
      <c r="O284" s="3063"/>
      <c r="P284" s="1021"/>
      <c r="Q284" s="1005"/>
      <c r="R284" s="1021"/>
      <c r="S284" s="3063"/>
      <c r="T284" s="1021"/>
    </row>
    <row r="285" spans="3:21" x14ac:dyDescent="0.3">
      <c r="K285" s="1005"/>
      <c r="N285" s="1005"/>
      <c r="O285" s="1021"/>
      <c r="Q285" s="1005"/>
      <c r="R285" s="1021"/>
    </row>
    <row r="286" spans="3:21" x14ac:dyDescent="0.3">
      <c r="K286" s="1005"/>
      <c r="N286" s="1005"/>
      <c r="O286" s="1021"/>
      <c r="Q286" s="1005"/>
      <c r="R286" s="1021"/>
    </row>
    <row r="287" spans="3:21" x14ac:dyDescent="0.3">
      <c r="C287" s="3058"/>
      <c r="D287" s="1021"/>
      <c r="I287" s="1021"/>
      <c r="J287" s="1021"/>
      <c r="L287" s="1021"/>
      <c r="O287" s="1021"/>
      <c r="Q287" s="1005"/>
      <c r="R287" s="1021"/>
    </row>
    <row r="288" spans="3:21" x14ac:dyDescent="0.3">
      <c r="C288" s="3058"/>
      <c r="D288" s="1021"/>
      <c r="L288" s="1021"/>
      <c r="O288" s="1021"/>
      <c r="Q288" s="1005"/>
      <c r="R288" s="1021"/>
    </row>
    <row r="289" spans="3:19" x14ac:dyDescent="0.3">
      <c r="Q289" s="1005"/>
      <c r="R289" s="1021"/>
    </row>
    <row r="290" spans="3:19" x14ac:dyDescent="0.3">
      <c r="C290" s="3058"/>
      <c r="D290" s="1021"/>
      <c r="P290" s="1021"/>
      <c r="Q290" s="1005"/>
      <c r="R290" s="1021"/>
      <c r="S290" s="1021"/>
    </row>
    <row r="291" spans="3:19" x14ac:dyDescent="0.3">
      <c r="C291" s="3058"/>
      <c r="D291" s="1021"/>
      <c r="P291" s="1021"/>
      <c r="Q291" s="1005"/>
      <c r="R291" s="1021"/>
      <c r="S291" s="1021"/>
    </row>
    <row r="292" spans="3:19" x14ac:dyDescent="0.3">
      <c r="K292" s="1005"/>
      <c r="N292" s="1005"/>
      <c r="Q292" s="1005"/>
    </row>
    <row r="293" spans="3:19" x14ac:dyDescent="0.3">
      <c r="D293" s="1021"/>
      <c r="E293" s="1021"/>
      <c r="F293" s="1021"/>
    </row>
    <row r="294" spans="3:19" x14ac:dyDescent="0.3">
      <c r="D294" s="1021"/>
      <c r="P294" s="1021"/>
    </row>
    <row r="295" spans="3:19" x14ac:dyDescent="0.3">
      <c r="I295" s="1021"/>
    </row>
    <row r="296" spans="3:19" x14ac:dyDescent="0.3">
      <c r="D296" s="1021"/>
    </row>
    <row r="297" spans="3:19" x14ac:dyDescent="0.3">
      <c r="D297" s="1021"/>
      <c r="F297" s="1021"/>
      <c r="R297" s="1021"/>
    </row>
    <row r="298" spans="3:19" x14ac:dyDescent="0.3">
      <c r="F298" s="1021"/>
    </row>
    <row r="299" spans="3:19" x14ac:dyDescent="0.3">
      <c r="F299" s="1021"/>
      <c r="P299" s="1021"/>
    </row>
    <row r="301" spans="3:19" x14ac:dyDescent="0.3">
      <c r="D301" s="1021"/>
    </row>
    <row r="304" spans="3:19" ht="15.6" x14ac:dyDescent="0.3">
      <c r="C304" s="2197" t="s">
        <v>2311</v>
      </c>
      <c r="D304" s="2198"/>
      <c r="E304" s="2199" t="s">
        <v>2312</v>
      </c>
      <c r="F304" s="2199" t="s">
        <v>2251</v>
      </c>
      <c r="G304" s="2199" t="s">
        <v>2252</v>
      </c>
    </row>
    <row r="305" spans="3:19" ht="15.6" x14ac:dyDescent="0.3">
      <c r="C305" s="2197" t="s">
        <v>869</v>
      </c>
      <c r="D305" s="2198"/>
      <c r="E305" s="2200">
        <f>E68/(E30)</f>
        <v>1430.0022808369499</v>
      </c>
      <c r="F305" s="2200">
        <f>F68/F30</f>
        <v>1056.2760636018256</v>
      </c>
      <c r="G305" s="2200">
        <f>G68/G17/12*1000</f>
        <v>47274.506622371198</v>
      </c>
      <c r="H305" s="2200">
        <f>H68/(H30)</f>
        <v>1262.7810015952105</v>
      </c>
      <c r="I305" s="2200">
        <f>I68/I30</f>
        <v>889.12343253867959</v>
      </c>
      <c r="J305" s="2200">
        <f>J68/J17/12*1000</f>
        <v>47274.506622377514</v>
      </c>
      <c r="K305" s="2200">
        <f>K68/(K30)</f>
        <v>2250.3155046142265</v>
      </c>
      <c r="L305" s="2200">
        <f>L68/L30</f>
        <v>1876.1334419091138</v>
      </c>
      <c r="M305" s="2200">
        <f>M68/M17/12*1000</f>
        <v>47274.506622340225</v>
      </c>
      <c r="N305" s="2200">
        <f>N68/(N30)</f>
        <v>2250.3678370926805</v>
      </c>
      <c r="O305" s="2200">
        <f>O68/O30</f>
        <v>1876.1334419091138</v>
      </c>
      <c r="P305" s="2200">
        <f>P68/P17/12*1000</f>
        <v>47274.506622340225</v>
      </c>
      <c r="Q305" s="2200">
        <f>Q68/(Q30)</f>
        <v>2249.68744683254</v>
      </c>
      <c r="R305" s="2200">
        <f>R68/R30</f>
        <v>1876.133441909114</v>
      </c>
      <c r="S305" s="2200">
        <f>S68/S17/12*1000</f>
        <v>47274.506622340203</v>
      </c>
    </row>
    <row r="306" spans="3:19" x14ac:dyDescent="0.3">
      <c r="C306" s="2201" t="s">
        <v>1895</v>
      </c>
      <c r="D306" s="2198"/>
      <c r="E306" s="2200">
        <f>E112/E16</f>
        <v>506.12707459268682</v>
      </c>
      <c r="F306" s="2200">
        <f>F112/F16</f>
        <v>133.78463036930506</v>
      </c>
      <c r="G306" s="2200">
        <f>G112/G19/12*1000</f>
        <v>42817.709686982053</v>
      </c>
      <c r="H306" s="2200">
        <f>H112/H16</f>
        <v>490.09405519351532</v>
      </c>
      <c r="I306" s="2200">
        <f>I112/I16</f>
        <v>133.78463036930509</v>
      </c>
      <c r="J306" s="2200">
        <f>J112/J19/12*1000</f>
        <v>40973.962513745224</v>
      </c>
      <c r="K306" s="2200">
        <f>K112/K16</f>
        <v>584.62444339280785</v>
      </c>
      <c r="L306" s="2200">
        <f>L112/L16</f>
        <v>133.78463036930506</v>
      </c>
      <c r="M306" s="2200">
        <f>M112/M19/12*1000</f>
        <v>51844.690480752499</v>
      </c>
      <c r="N306" s="2200">
        <f>N112/N16</f>
        <v>584.62444339280785</v>
      </c>
      <c r="O306" s="2200">
        <f>O112/O16</f>
        <v>133.78463036930509</v>
      </c>
      <c r="P306" s="2200">
        <f>P112/P19/12*1000</f>
        <v>51844.690480752484</v>
      </c>
      <c r="Q306" s="2200">
        <f>Q112/Q16</f>
        <v>584.62444339280773</v>
      </c>
      <c r="R306" s="2200">
        <f>R112/R16</f>
        <v>133.78463036930506</v>
      </c>
      <c r="S306" s="2200">
        <f>S112/S19/12*1000</f>
        <v>51844.690480752492</v>
      </c>
    </row>
    <row r="307" spans="3:19" x14ac:dyDescent="0.3">
      <c r="C307" s="2201" t="s">
        <v>2233</v>
      </c>
      <c r="D307" s="2198"/>
      <c r="E307" s="2200">
        <f>E151/E14</f>
        <v>19.863648017112624</v>
      </c>
      <c r="F307" s="2202">
        <v>0</v>
      </c>
      <c r="G307" s="2200">
        <f>G151/G17/12*1000</f>
        <v>2284.2266022210265</v>
      </c>
      <c r="H307" s="2200">
        <f>H151/H14</f>
        <v>19.863665295810588</v>
      </c>
      <c r="I307" s="2202">
        <v>0</v>
      </c>
      <c r="J307" s="2200">
        <f>J151/J17/12*1000</f>
        <v>2284.2266022210265</v>
      </c>
      <c r="K307" s="2200">
        <f>K151/K14</f>
        <v>19.863563360089167</v>
      </c>
      <c r="L307" s="2202">
        <v>0</v>
      </c>
      <c r="M307" s="2200">
        <f>M151/M17/12*1000</f>
        <v>2284.226602221027</v>
      </c>
      <c r="N307" s="2200">
        <f>N151/N14</f>
        <v>19.863563360089163</v>
      </c>
      <c r="O307" s="2202">
        <v>0</v>
      </c>
      <c r="P307" s="2200">
        <f>P151/P17/12*1000</f>
        <v>2284.2266022210265</v>
      </c>
      <c r="Q307" s="2200">
        <f>Q151/Q14</f>
        <v>19.863563360089159</v>
      </c>
      <c r="R307" s="2202">
        <v>0</v>
      </c>
      <c r="S307" s="2200">
        <f>S151/S17/12*1000</f>
        <v>2284.2266022210265</v>
      </c>
    </row>
    <row r="308" spans="3:19" x14ac:dyDescent="0.3">
      <c r="C308" s="2201" t="s">
        <v>2315</v>
      </c>
      <c r="D308" s="2198"/>
      <c r="E308" s="2200">
        <f t="shared" ref="E308:S308" si="272">E305+E306+E307</f>
        <v>1955.9930034467493</v>
      </c>
      <c r="F308" s="2200">
        <f t="shared" si="272"/>
        <v>1190.0606939711306</v>
      </c>
      <c r="G308" s="2200">
        <f t="shared" si="272"/>
        <v>92376.442911574268</v>
      </c>
      <c r="H308" s="2200">
        <f t="shared" si="272"/>
        <v>1772.7387220845362</v>
      </c>
      <c r="I308" s="2200">
        <f t="shared" si="272"/>
        <v>1022.9080629079847</v>
      </c>
      <c r="J308" s="2200">
        <f t="shared" si="272"/>
        <v>90532.695738343755</v>
      </c>
      <c r="K308" s="2200">
        <f t="shared" si="272"/>
        <v>2854.8035113671235</v>
      </c>
      <c r="L308" s="2200">
        <f t="shared" si="272"/>
        <v>2009.9180722784188</v>
      </c>
      <c r="M308" s="2200">
        <f t="shared" si="272"/>
        <v>101403.42370531375</v>
      </c>
      <c r="N308" s="2200">
        <f t="shared" si="272"/>
        <v>2854.8558438455775</v>
      </c>
      <c r="O308" s="2200">
        <f t="shared" si="272"/>
        <v>2009.918072278419</v>
      </c>
      <c r="P308" s="2200">
        <f t="shared" si="272"/>
        <v>101403.42370531373</v>
      </c>
      <c r="Q308" s="2200">
        <f t="shared" si="272"/>
        <v>2854.175453585437</v>
      </c>
      <c r="R308" s="2200">
        <f t="shared" si="272"/>
        <v>2009.918072278419</v>
      </c>
      <c r="S308" s="2200">
        <f t="shared" si="272"/>
        <v>101403.42370531372</v>
      </c>
    </row>
    <row r="309" spans="3:19" x14ac:dyDescent="0.3">
      <c r="C309" s="2201" t="s">
        <v>2314</v>
      </c>
      <c r="D309" s="2198"/>
      <c r="E309" s="2200">
        <f>E211</f>
        <v>2085.0605105178661</v>
      </c>
      <c r="F309" s="2200">
        <f>F214</f>
        <v>1190.06</v>
      </c>
      <c r="G309" s="2200">
        <f>G224/12</f>
        <v>8630.1750000000011</v>
      </c>
      <c r="H309" s="2200">
        <f>H211</f>
        <v>1893.4705105178662</v>
      </c>
      <c r="I309" s="2200">
        <f>I214</f>
        <v>1022.9</v>
      </c>
      <c r="J309" s="2200">
        <f>J224/12</f>
        <v>8387.8350000000009</v>
      </c>
      <c r="K309" s="2200">
        <f>K211</f>
        <v>3024.5705105178668</v>
      </c>
      <c r="L309" s="2200">
        <f>L214</f>
        <v>2009.91</v>
      </c>
      <c r="M309" s="2200">
        <f>M224/12</f>
        <v>9816.9566666666669</v>
      </c>
      <c r="N309" s="2200">
        <f>N211</f>
        <v>3024.5705105178668</v>
      </c>
      <c r="O309" s="2200">
        <f>O214</f>
        <v>2009.91</v>
      </c>
      <c r="P309" s="2200">
        <f>P224/12</f>
        <v>9816.9566666666669</v>
      </c>
      <c r="Q309" s="2200">
        <f>Q211</f>
        <v>3024.5705105178668</v>
      </c>
      <c r="R309" s="2200">
        <f>R214</f>
        <v>2009.91</v>
      </c>
      <c r="S309" s="2200">
        <f>S224/12</f>
        <v>9816.9566666666669</v>
      </c>
    </row>
    <row r="310" spans="3:19" x14ac:dyDescent="0.3">
      <c r="C310" s="2201" t="s">
        <v>2313</v>
      </c>
      <c r="D310" s="2198"/>
      <c r="E310" s="2200">
        <f t="shared" ref="E310:S310" si="273">E309-E308</f>
        <v>129.06750707111678</v>
      </c>
      <c r="F310" s="2200">
        <f t="shared" si="273"/>
        <v>-6.9397113065861049E-4</v>
      </c>
      <c r="G310" s="2200">
        <f t="shared" si="273"/>
        <v>-83746.267911574265</v>
      </c>
      <c r="H310" s="2200">
        <f t="shared" si="273"/>
        <v>120.73178843332994</v>
      </c>
      <c r="I310" s="2200">
        <f t="shared" si="273"/>
        <v>-8.062907984708545E-3</v>
      </c>
      <c r="J310" s="2200">
        <f t="shared" si="273"/>
        <v>-82144.860738343748</v>
      </c>
      <c r="K310" s="2200">
        <f t="shared" si="273"/>
        <v>169.76699915074323</v>
      </c>
      <c r="L310" s="2200">
        <f t="shared" si="273"/>
        <v>-8.0722784186946228E-3</v>
      </c>
      <c r="M310" s="2200">
        <f t="shared" si="273"/>
        <v>-91586.467038647083</v>
      </c>
      <c r="N310" s="2200">
        <f t="shared" si="273"/>
        <v>169.71466667228924</v>
      </c>
      <c r="O310" s="2200">
        <f t="shared" si="273"/>
        <v>-8.0722784189219965E-3</v>
      </c>
      <c r="P310" s="2200">
        <f t="shared" si="273"/>
        <v>-91586.467038647068</v>
      </c>
      <c r="Q310" s="2200">
        <f t="shared" si="273"/>
        <v>170.39505693242972</v>
      </c>
      <c r="R310" s="2200">
        <f t="shared" si="273"/>
        <v>-8.0722784189219965E-3</v>
      </c>
      <c r="S310" s="2200">
        <f t="shared" si="273"/>
        <v>-91586.467038647053</v>
      </c>
    </row>
    <row r="311" spans="3:19" x14ac:dyDescent="0.3">
      <c r="C311" s="2201" t="s">
        <v>2316</v>
      </c>
      <c r="D311" s="2198"/>
      <c r="E311" s="2200">
        <f>E310*1.2</f>
        <v>154.88100848534012</v>
      </c>
      <c r="F311" s="2200">
        <f>F310*1.2</f>
        <v>-8.3276535679033259E-4</v>
      </c>
      <c r="G311" s="2200">
        <f>G310*1.2</f>
        <v>-100495.52149388911</v>
      </c>
      <c r="H311" s="2200">
        <f>H309*1.2</f>
        <v>2272.1646126214391</v>
      </c>
      <c r="I311" s="2200">
        <f t="shared" ref="I311:S311" si="274">I309*1.2</f>
        <v>1227.48</v>
      </c>
      <c r="J311" s="2200">
        <f t="shared" si="274"/>
        <v>10065.402</v>
      </c>
      <c r="K311" s="2200">
        <f t="shared" si="274"/>
        <v>3629.4846126214402</v>
      </c>
      <c r="L311" s="2200">
        <f t="shared" si="274"/>
        <v>2411.8919999999998</v>
      </c>
      <c r="M311" s="2200">
        <f t="shared" si="274"/>
        <v>11780.348</v>
      </c>
      <c r="N311" s="2200">
        <f t="shared" si="274"/>
        <v>3629.4846126214402</v>
      </c>
      <c r="O311" s="2200">
        <f t="shared" si="274"/>
        <v>2411.8919999999998</v>
      </c>
      <c r="P311" s="2200">
        <f t="shared" si="274"/>
        <v>11780.348</v>
      </c>
      <c r="Q311" s="2200">
        <f t="shared" si="274"/>
        <v>3629.4846126214402</v>
      </c>
      <c r="R311" s="2200">
        <f t="shared" si="274"/>
        <v>2411.8919999999998</v>
      </c>
      <c r="S311" s="2200">
        <f t="shared" si="274"/>
        <v>11780.348</v>
      </c>
    </row>
    <row r="313" spans="3:19" x14ac:dyDescent="0.3">
      <c r="H313" s="1021">
        <f>J313+I305-H305</f>
        <v>0</v>
      </c>
      <c r="J313" s="1021">
        <f>J68/H30</f>
        <v>373.6575690565308</v>
      </c>
    </row>
    <row r="314" spans="3:19" x14ac:dyDescent="0.3">
      <c r="H314" s="1021">
        <f>J314+I306-H306</f>
        <v>0</v>
      </c>
      <c r="J314" s="1021">
        <f>J112/I16</f>
        <v>356.30942482421017</v>
      </c>
    </row>
    <row r="315" spans="3:19" x14ac:dyDescent="0.3">
      <c r="H315" s="1021">
        <f>J315+I307-H307</f>
        <v>0</v>
      </c>
      <c r="J315" s="1021">
        <f>J151/I14</f>
        <v>19.863665295810588</v>
      </c>
    </row>
    <row r="316" spans="3:19" x14ac:dyDescent="0.3">
      <c r="H316" s="1021">
        <f>SUM(I316:J316)</f>
        <v>1772.7387220845362</v>
      </c>
      <c r="I316" s="1021">
        <f>I308</f>
        <v>1022.9080629079847</v>
      </c>
      <c r="J316" s="1021">
        <f>SUM(J313:J315)</f>
        <v>749.83065917655165</v>
      </c>
    </row>
    <row r="317" spans="3:19" x14ac:dyDescent="0.3">
      <c r="I317" s="2203">
        <f>I316/H316</f>
        <v>0.57702133437078806</v>
      </c>
      <c r="J317" s="2203">
        <f>J316/H316</f>
        <v>0.42297866562921199</v>
      </c>
    </row>
    <row r="318" spans="3:19" x14ac:dyDescent="0.3">
      <c r="J318" s="2203"/>
    </row>
  </sheetData>
  <mergeCells count="54">
    <mergeCell ref="F235:G235"/>
    <mergeCell ref="I235:J235"/>
    <mergeCell ref="L235:M235"/>
    <mergeCell ref="P2:S2"/>
    <mergeCell ref="J231:K231"/>
    <mergeCell ref="F10:G10"/>
    <mergeCell ref="O11:O12"/>
    <mergeCell ref="E8:G9"/>
    <mergeCell ref="C129:S129"/>
    <mergeCell ref="H8:S8"/>
    <mergeCell ref="M11:M12"/>
    <mergeCell ref="Q232:R232"/>
    <mergeCell ref="C231:D231"/>
    <mergeCell ref="C168:S168"/>
    <mergeCell ref="E36:G36"/>
    <mergeCell ref="C232:D232"/>
    <mergeCell ref="E10:E12"/>
    <mergeCell ref="B36:D36"/>
    <mergeCell ref="B8:B12"/>
    <mergeCell ref="C8:C12"/>
    <mergeCell ref="D8:D12"/>
    <mergeCell ref="B26:B27"/>
    <mergeCell ref="L267:N267"/>
    <mergeCell ref="P267:R267"/>
    <mergeCell ref="P231:S231"/>
    <mergeCell ref="P1:S1"/>
    <mergeCell ref="C4:S4"/>
    <mergeCell ref="C5:S5"/>
    <mergeCell ref="C6:S6"/>
    <mergeCell ref="O10:P10"/>
    <mergeCell ref="Q10:Q12"/>
    <mergeCell ref="R10:S10"/>
    <mergeCell ref="F11:F12"/>
    <mergeCell ref="G11:G12"/>
    <mergeCell ref="I11:I12"/>
    <mergeCell ref="J11:J12"/>
    <mergeCell ref="L11:L12"/>
    <mergeCell ref="J232:K232"/>
    <mergeCell ref="O235:P235"/>
    <mergeCell ref="R235:S235"/>
    <mergeCell ref="H9:J9"/>
    <mergeCell ref="N9:P9"/>
    <mergeCell ref="Q9:S9"/>
    <mergeCell ref="K9:M9"/>
    <mergeCell ref="P11:P12"/>
    <mergeCell ref="R11:R12"/>
    <mergeCell ref="S11:S12"/>
    <mergeCell ref="L10:M10"/>
    <mergeCell ref="N10:N12"/>
    <mergeCell ref="H10:H12"/>
    <mergeCell ref="I10:J10"/>
    <mergeCell ref="K10:K12"/>
    <mergeCell ref="C219:S219"/>
    <mergeCell ref="C229:S229"/>
  </mergeCells>
  <pageMargins left="0.35433070866141736" right="0.19685039370078741" top="0.9055118110236221" bottom="0.43307086614173229" header="0.70866141732283472" footer="0.39370078740157483"/>
  <pageSetup paperSize="9" scale="58" fitToHeight="6" orientation="landscape" r:id="rId1"/>
  <headerFooter differentFirst="1">
    <oddHeader>&amp;R&amp;"Times New Roman,обычный"&amp;10продовження додатку  14.1</oddHeader>
  </headerFooter>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Лист23">
    <tabColor rgb="FF00B050"/>
    <pageSetUpPr fitToPage="1"/>
  </sheetPr>
  <dimension ref="A1:S220"/>
  <sheetViews>
    <sheetView topLeftCell="A22" zoomScale="75" zoomScaleNormal="75" workbookViewId="0">
      <selection activeCell="F40" sqref="F40"/>
    </sheetView>
  </sheetViews>
  <sheetFormatPr defaultColWidth="9.109375" defaultRowHeight="15.6" x14ac:dyDescent="0.3"/>
  <cols>
    <col min="1" max="1" width="3.33203125" style="391" customWidth="1"/>
    <col min="2" max="2" width="62.44140625" style="391" customWidth="1"/>
    <col min="3" max="3" width="14.44140625" style="390" customWidth="1"/>
    <col min="4" max="5" width="13.88671875" style="390" customWidth="1"/>
    <col min="6" max="6" width="17.109375" style="390" customWidth="1"/>
    <col min="7" max="7" width="16.44140625" style="391" customWidth="1"/>
    <col min="8" max="9" width="15.33203125" style="391" customWidth="1"/>
    <col min="10" max="10" width="14" style="391" customWidth="1"/>
    <col min="11" max="11" width="18.6640625" style="720" customWidth="1"/>
    <col min="12" max="12" width="21.6640625" style="899" customWidth="1"/>
    <col min="13" max="13" width="12.6640625" style="391" customWidth="1"/>
    <col min="14" max="14" width="8.5546875" style="706" customWidth="1"/>
    <col min="15" max="15" width="9.6640625" style="706" customWidth="1"/>
    <col min="16" max="16" width="11" style="391" customWidth="1"/>
    <col min="17" max="17" width="10.5546875" style="391" customWidth="1"/>
    <col min="18" max="18" width="10.44140625" style="391" customWidth="1"/>
    <col min="19" max="19" width="10.6640625" style="391" customWidth="1"/>
    <col min="20" max="16384" width="9.109375" style="391"/>
  </cols>
  <sheetData>
    <row r="1" spans="2:19" x14ac:dyDescent="0.3">
      <c r="G1" s="1617">
        <f>Виробництво_1ст!G6</f>
        <v>0</v>
      </c>
      <c r="H1" s="1617">
        <f>Виробництво_1ст!H6</f>
        <v>0</v>
      </c>
      <c r="I1" s="1617">
        <f>Виробництво_1ст!I6</f>
        <v>0</v>
      </c>
      <c r="J1" s="1617">
        <f>Виробництво_1ст!J6</f>
        <v>0</v>
      </c>
      <c r="M1" s="899"/>
      <c r="P1" s="399"/>
    </row>
    <row r="2" spans="2:19" ht="17.399999999999999" x14ac:dyDescent="0.3">
      <c r="B2" s="389"/>
      <c r="C2" s="391"/>
      <c r="D2" s="391"/>
      <c r="E2" s="391"/>
      <c r="F2" s="391"/>
      <c r="G2" s="399"/>
      <c r="I2" s="392" t="s">
        <v>821</v>
      </c>
      <c r="L2" s="391"/>
      <c r="M2" s="893"/>
    </row>
    <row r="3" spans="2:19" ht="18" customHeight="1" x14ac:dyDescent="0.3">
      <c r="C3" s="391"/>
      <c r="D3" s="391"/>
      <c r="E3" s="391"/>
      <c r="F3" s="391"/>
      <c r="I3" s="391" t="str">
        <f>'Вхідні дані'!F1</f>
        <v>станом на 01.09.2023 року</v>
      </c>
      <c r="L3" s="893"/>
    </row>
    <row r="4" spans="2:19" ht="19.2" x14ac:dyDescent="0.35">
      <c r="B4" s="509" t="s">
        <v>1666</v>
      </c>
      <c r="C4" s="1284"/>
      <c r="D4" s="510" t="str">
        <f>'Вхідні дані'!$F$5</f>
        <v>КП «КТЕ"</v>
      </c>
      <c r="E4" s="510"/>
      <c r="F4" s="510"/>
      <c r="G4" s="2588" t="s">
        <v>461</v>
      </c>
      <c r="H4" s="510" t="str">
        <f>'Вхідні дані'!$F$6</f>
        <v>2023-2024</v>
      </c>
      <c r="I4" s="510" t="s">
        <v>661</v>
      </c>
      <c r="J4" s="394"/>
      <c r="K4" s="511"/>
      <c r="L4" s="894"/>
    </row>
    <row r="5" spans="2:19" ht="18.600000000000001" thickBot="1" x14ac:dyDescent="0.4">
      <c r="B5" s="419"/>
      <c r="C5" s="391"/>
      <c r="D5" s="391"/>
      <c r="E5" s="391"/>
      <c r="F5" s="1680"/>
      <c r="G5" s="497"/>
      <c r="H5" s="497"/>
      <c r="I5" s="497"/>
      <c r="J5" s="497"/>
      <c r="K5" s="721"/>
      <c r="L5" s="895"/>
    </row>
    <row r="6" spans="2:19" ht="18" thickBot="1" x14ac:dyDescent="0.3">
      <c r="B6" s="5176" t="s">
        <v>2432</v>
      </c>
      <c r="C6" s="494" t="s">
        <v>932</v>
      </c>
      <c r="D6" s="494" t="s">
        <v>932</v>
      </c>
      <c r="E6" s="494" t="s">
        <v>942</v>
      </c>
      <c r="F6" s="494" t="s">
        <v>933</v>
      </c>
      <c r="G6" s="5178" t="s">
        <v>907</v>
      </c>
      <c r="H6" s="5179"/>
      <c r="I6" s="5179"/>
      <c r="J6" s="5180"/>
      <c r="K6" s="722"/>
      <c r="L6" s="507"/>
    </row>
    <row r="7" spans="2:19" ht="51" thickBot="1" x14ac:dyDescent="0.3">
      <c r="B7" s="5177"/>
      <c r="C7" s="494">
        <f>'Вхідні дані'!$F$8</f>
        <v>2021</v>
      </c>
      <c r="D7" s="494">
        <f>'Вхідні дані'!$F$7</f>
        <v>2022</v>
      </c>
      <c r="E7" s="496" t="str">
        <f>'Вхідні дані'!$F$9</f>
        <v>Ріш. №296 від 25.10.2022</v>
      </c>
      <c r="F7" s="494" t="str">
        <f>'Вхідні дані'!$F$6</f>
        <v>2023-2024</v>
      </c>
      <c r="G7" s="495" t="str">
        <f>'Вхідні дані'!$C$11</f>
        <v>населення</v>
      </c>
      <c r="H7" s="495" t="str">
        <f>'Вхідні дані'!$D$11</f>
        <v>релігійні організації</v>
      </c>
      <c r="I7" s="495" t="str">
        <f>'Вхідні дані'!$E$11</f>
        <v>бюджетні установи</v>
      </c>
      <c r="J7" s="495" t="str">
        <f>'Вхідні дані'!$F$11</f>
        <v>інші споживачі</v>
      </c>
      <c r="K7" s="722"/>
      <c r="L7" s="508"/>
    </row>
    <row r="8" spans="2:19" s="393" customFormat="1" ht="14.4" thickBot="1" x14ac:dyDescent="0.3">
      <c r="B8" s="2386" t="s">
        <v>2230</v>
      </c>
      <c r="C8" s="2387"/>
      <c r="D8" s="2387"/>
      <c r="E8" s="2388"/>
      <c r="F8" s="2389">
        <f>G8+H8+I8+J8</f>
        <v>1</v>
      </c>
      <c r="G8" s="2389">
        <f>'Д 7_РП'!E153</f>
        <v>0.83064748130592492</v>
      </c>
      <c r="H8" s="2745">
        <f>'Д 7_РП'!E154</f>
        <v>1.3437237172494665E-4</v>
      </c>
      <c r="I8" s="2389">
        <f>'Д 7_РП'!E155</f>
        <v>0.12654888938199155</v>
      </c>
      <c r="J8" s="2389">
        <f>'Д 7_РП'!E156</f>
        <v>4.2669256940358669E-2</v>
      </c>
      <c r="K8" s="2390"/>
      <c r="L8" s="2391"/>
      <c r="N8" s="2392"/>
      <c r="O8" s="2392"/>
    </row>
    <row r="9" spans="2:19" s="393" customFormat="1" ht="14.4" thickBot="1" x14ac:dyDescent="0.3">
      <c r="B9" s="2393" t="s">
        <v>2231</v>
      </c>
      <c r="C9" s="2387"/>
      <c r="D9" s="2387"/>
      <c r="E9" s="2388"/>
      <c r="F9" s="2389">
        <f>G9+H9+I9+J9</f>
        <v>1</v>
      </c>
      <c r="G9" s="2389">
        <f>'Д 7_РП'!E179</f>
        <v>0.83049490320462638</v>
      </c>
      <c r="H9" s="2745">
        <f>'Д 7_РП'!E180</f>
        <v>1.3453626987847974E-4</v>
      </c>
      <c r="I9" s="2389">
        <f>'Д 7_РП'!E181</f>
        <v>0.12672096549548859</v>
      </c>
      <c r="J9" s="2389">
        <f>'Д 7_РП'!E182</f>
        <v>4.2649595030006517E-2</v>
      </c>
      <c r="K9" s="2390"/>
      <c r="L9" s="2391"/>
      <c r="N9" s="2392"/>
      <c r="O9" s="2392"/>
    </row>
    <row r="10" spans="2:19" ht="34.799999999999997" x14ac:dyDescent="0.3">
      <c r="B10" s="400" t="str">
        <f>Виробництво_1ст!B10</f>
        <v>Прямі витрати на виробництво теплової енергії всього, у т.ч.:</v>
      </c>
      <c r="C10" s="401">
        <f>Виробництво_1ст!C10</f>
        <v>113102.30962550636</v>
      </c>
      <c r="D10" s="401">
        <f>Виробництво_1ст!D10</f>
        <v>99460.556329999992</v>
      </c>
      <c r="E10" s="401">
        <f>Виробництво_1ст!E10</f>
        <v>264453.01604563743</v>
      </c>
      <c r="F10" s="401">
        <f>Виробництво_1ст!F10</f>
        <v>143860.61850577858</v>
      </c>
      <c r="G10" s="401">
        <f>G11+G29+G31</f>
        <v>104405.49852486473</v>
      </c>
      <c r="H10" s="3183">
        <f>H11+H29+H31</f>
        <v>31.306394397854778</v>
      </c>
      <c r="I10" s="401">
        <f>I11+I29+I31</f>
        <v>29483.999691737801</v>
      </c>
      <c r="J10" s="401">
        <f>J11+J29+J31</f>
        <v>9939.8138947782336</v>
      </c>
      <c r="K10" s="514"/>
      <c r="L10" s="504"/>
      <c r="M10" s="399">
        <f>Виробництво_1ст!F10</f>
        <v>143860.61850577858</v>
      </c>
      <c r="N10" s="706">
        <f>F10-G10-H10-I10-J10</f>
        <v>-4.1836756281554699E-11</v>
      </c>
      <c r="O10" s="706">
        <f>F10-M10</f>
        <v>0</v>
      </c>
      <c r="P10" s="2753">
        <f>Виробництво_1ст!G10-G10</f>
        <v>2.917126579413889</v>
      </c>
      <c r="Q10" s="2615">
        <f>Виробництво_1ст!H10-H10</f>
        <v>-3.1335536090821847E-3</v>
      </c>
      <c r="R10" s="2753">
        <f>Виробництво_1ст!I10-I10</f>
        <v>-3.2899072677719232</v>
      </c>
      <c r="S10" s="2753">
        <f>Виробництво_1ст!J10-J10</f>
        <v>0.3759142419694399</v>
      </c>
    </row>
    <row r="11" spans="2:19" ht="17.399999999999999" x14ac:dyDescent="0.3">
      <c r="B11" s="2220" t="str">
        <f>Виробництво_1ст!B11</f>
        <v>Прямі матеріальні витрати всього, у т.ч.:</v>
      </c>
      <c r="C11" s="413">
        <f>Виробництво_1ст!C11</f>
        <v>100857.97878550636</v>
      </c>
      <c r="D11" s="413">
        <f>Виробництво_1ст!D11</f>
        <v>85927.459129999988</v>
      </c>
      <c r="E11" s="413">
        <f>Виробництво_1ст!E11</f>
        <v>247349.40255608209</v>
      </c>
      <c r="F11" s="413">
        <f>Виробництво_1ст!F11</f>
        <v>125398.03179983831</v>
      </c>
      <c r="G11" s="413">
        <f>SUM(G12:G28)-G13-G14-G15</f>
        <v>89072.414365607823</v>
      </c>
      <c r="H11" s="3184">
        <f>SUM(H12:H28)-H13-H14-H15</f>
        <v>28.822506850129564</v>
      </c>
      <c r="I11" s="413">
        <f>SUM(I12:I28)-I13-I14-I15</f>
        <v>27144.402878816876</v>
      </c>
      <c r="J11" s="413">
        <f>SUM(J12:J28)-J13-J14-J15</f>
        <v>9152.392048563499</v>
      </c>
      <c r="K11" s="514"/>
      <c r="L11" s="504"/>
      <c r="M11" s="399">
        <f>Виробництво_1ст!F11</f>
        <v>125398.03179983831</v>
      </c>
      <c r="N11" s="706">
        <f t="shared" ref="N11:N49" si="0">F11-G11-H11-I11-J11</f>
        <v>-1.4551915228366852E-11</v>
      </c>
      <c r="O11" s="706">
        <f t="shared" ref="O11:O74" si="1">F11-M11</f>
        <v>0</v>
      </c>
      <c r="P11" s="2753">
        <f>Виробництво_1ст!G11-G11</f>
        <v>0.10014015476917848</v>
      </c>
      <c r="Q11" s="2615">
        <f>Виробництво_1ст!H11-H11</f>
        <v>-1.0756973853176532E-4</v>
      </c>
      <c r="R11" s="2753">
        <f>Виробництво_1ст!I11-I11</f>
        <v>-0.11293710231257137</v>
      </c>
      <c r="S11" s="2753">
        <f>Виробництво_1ст!J11-J11</f>
        <v>1.2904517287097406E-2</v>
      </c>
    </row>
    <row r="12" spans="2:19" ht="36" x14ac:dyDescent="0.35">
      <c r="B12" s="2222" t="str">
        <f>Виробництво_1ст!B12</f>
        <v>придбання палива (природний газ) на технологічні потреби всього, у т.ч.:</v>
      </c>
      <c r="C12" s="407">
        <f>Виробництво_1ст!C12</f>
        <v>97718.766315506393</v>
      </c>
      <c r="D12" s="407">
        <f>Виробництво_1ст!D12</f>
        <v>82691.585459999988</v>
      </c>
      <c r="E12" s="407">
        <f>Виробництво_1ст!E12</f>
        <v>243029.48255653607</v>
      </c>
      <c r="F12" s="407">
        <f>Виробництво_1ст!F12</f>
        <v>118804.3607936293</v>
      </c>
      <c r="G12" s="407">
        <f>'Д 8_Паливо'!I48</f>
        <v>83595.498291895157</v>
      </c>
      <c r="H12" s="3185">
        <f>'Д 8_Паливо'!I49</f>
        <v>27.936392068912724</v>
      </c>
      <c r="I12" s="407">
        <f>'Д 8_Паливо'!I50</f>
        <v>26309.868198928565</v>
      </c>
      <c r="J12" s="407">
        <f>'Д 8_Паливо'!I51</f>
        <v>8871.0579107366611</v>
      </c>
      <c r="K12" s="1754" t="s">
        <v>1690</v>
      </c>
      <c r="L12" s="2596"/>
      <c r="M12" s="399">
        <f>Виробництво_1ст!F12</f>
        <v>118804.3607936293</v>
      </c>
      <c r="N12" s="706">
        <f t="shared" si="0"/>
        <v>0</v>
      </c>
      <c r="O12" s="706">
        <f t="shared" si="1"/>
        <v>0</v>
      </c>
      <c r="P12" s="2753">
        <f>Виробництво_1ст!G12-G12</f>
        <v>0</v>
      </c>
      <c r="Q12" s="2615">
        <f>Виробництво_1ст!H12-H12</f>
        <v>0</v>
      </c>
      <c r="R12" s="2753">
        <f>Виробництво_1ст!I12-I12</f>
        <v>0</v>
      </c>
      <c r="S12" s="2753">
        <f>Виробництво_1ст!J12-J12</f>
        <v>0</v>
      </c>
    </row>
    <row r="13" spans="2:19" ht="18" x14ac:dyDescent="0.35">
      <c r="B13" s="2222" t="str">
        <f>Виробництво_1ст!B13</f>
        <v>природний газ</v>
      </c>
      <c r="C13" s="407">
        <f>Виробництво_1ст!C13</f>
        <v>86395.614407179979</v>
      </c>
      <c r="D13" s="407">
        <f>Виробництво_1ст!D13</f>
        <v>67426.365059999996</v>
      </c>
      <c r="E13" s="407">
        <f>Виробництво_1ст!E13</f>
        <v>228734.5094662818</v>
      </c>
      <c r="F13" s="407">
        <f>Виробництво_1ст!F13</f>
        <v>106894.19194377559</v>
      </c>
      <c r="G13" s="407">
        <f>'Д 8_Паливо'!I10</f>
        <v>73702.346534835888</v>
      </c>
      <c r="H13" s="3185">
        <f>'Д 8_Паливо'!I11</f>
        <v>26.335994432913296</v>
      </c>
      <c r="I13" s="407">
        <f>'Д 8_Паливо'!I12</f>
        <v>24802.649558627585</v>
      </c>
      <c r="J13" s="407">
        <f>'Д 8_Паливо'!I13</f>
        <v>8362.8598558791964</v>
      </c>
      <c r="K13" s="1754" t="s">
        <v>1690</v>
      </c>
      <c r="L13" s="504"/>
      <c r="M13" s="399">
        <f>Виробництво_1ст!F13</f>
        <v>106894.19194377559</v>
      </c>
      <c r="N13" s="706">
        <f t="shared" si="0"/>
        <v>0</v>
      </c>
      <c r="O13" s="706">
        <f t="shared" si="1"/>
        <v>0</v>
      </c>
      <c r="P13" s="2753">
        <f>Виробництво_1ст!G13-G13</f>
        <v>0</v>
      </c>
      <c r="Q13" s="2615">
        <f>Виробництво_1ст!H13-H13</f>
        <v>0</v>
      </c>
      <c r="R13" s="2753">
        <f>Виробництво_1ст!I13-I13</f>
        <v>0</v>
      </c>
      <c r="S13" s="2753">
        <f>Виробництво_1ст!J13-J13</f>
        <v>0</v>
      </c>
    </row>
    <row r="14" spans="2:19" ht="18" x14ac:dyDescent="0.35">
      <c r="B14" s="2222" t="str">
        <f>Виробництво_1ст!B14</f>
        <v>транспортування природного газу</v>
      </c>
      <c r="C14" s="407">
        <f>Виробництво_1ст!C14</f>
        <v>1619.3601883264</v>
      </c>
      <c r="D14" s="407">
        <f>Виробництво_1ст!D14</f>
        <v>1293.5088000000001</v>
      </c>
      <c r="E14" s="407">
        <f>Виробництво_1ст!E14</f>
        <v>2054.2531541542667</v>
      </c>
      <c r="F14" s="407">
        <f>Виробництво_1ст!F14</f>
        <v>1959.8215398537277</v>
      </c>
      <c r="G14" s="407">
        <f>'Д 8_Паливо'!I16</f>
        <v>1627.9208258885981</v>
      </c>
      <c r="H14" s="3185">
        <f>'Д 8_Паливо'!I17</f>
        <v>0.26334586846778241</v>
      </c>
      <c r="I14" s="407">
        <f>'Д 8_Паливо'!I18</f>
        <v>248.01323925539364</v>
      </c>
      <c r="J14" s="407">
        <f>'Д 8_Паливо'!I19</f>
        <v>83.624128841268089</v>
      </c>
      <c r="K14" s="1754" t="s">
        <v>1690</v>
      </c>
      <c r="L14" s="504"/>
      <c r="M14" s="399">
        <f>Виробництво_1ст!F14</f>
        <v>1959.8215398537277</v>
      </c>
      <c r="N14" s="706">
        <f t="shared" si="0"/>
        <v>0</v>
      </c>
      <c r="O14" s="706">
        <f t="shared" si="1"/>
        <v>0</v>
      </c>
      <c r="P14" s="2753">
        <f>Виробництво_1ст!G14-G14</f>
        <v>0</v>
      </c>
      <c r="Q14" s="2615">
        <f>Виробництво_1ст!H14-H14</f>
        <v>0</v>
      </c>
      <c r="R14" s="2753">
        <f>Виробництво_1ст!I14-I14</f>
        <v>0</v>
      </c>
      <c r="S14" s="2753">
        <f>Виробництво_1ст!J14-J14</f>
        <v>0</v>
      </c>
    </row>
    <row r="15" spans="2:19" ht="18" x14ac:dyDescent="0.35">
      <c r="B15" s="2222" t="str">
        <f>Виробництво_1ст!B15</f>
        <v>розподіл природного газу</v>
      </c>
      <c r="C15" s="407">
        <f>Виробництво_1ст!C15</f>
        <v>9703.7917200000011</v>
      </c>
      <c r="D15" s="407">
        <f>Виробництво_1ст!D15</f>
        <v>13971.711599999999</v>
      </c>
      <c r="E15" s="407">
        <f>Виробництво_1ст!E15</f>
        <v>12240.7199361</v>
      </c>
      <c r="F15" s="407">
        <f>Виробництво_1ст!F15</f>
        <v>9950.3473099999992</v>
      </c>
      <c r="G15" s="407">
        <f>'Д 8_Паливо'!I22</f>
        <v>8265.2309311706831</v>
      </c>
      <c r="H15" s="3185">
        <f>'Д 8_Паливо'!I23</f>
        <v>1.3370517675316425</v>
      </c>
      <c r="I15" s="407">
        <f>'Д 8_Паливо'!I24</f>
        <v>1259.205401045587</v>
      </c>
      <c r="J15" s="407">
        <f>'Д 8_Паливо'!I25</f>
        <v>424.57392601619659</v>
      </c>
      <c r="K15" s="1754" t="s">
        <v>1690</v>
      </c>
      <c r="L15" s="2597"/>
      <c r="M15" s="399">
        <f>Виробництво_1ст!F15</f>
        <v>9950.3473099999992</v>
      </c>
      <c r="N15" s="706">
        <f t="shared" si="0"/>
        <v>8.5265128291212022E-13</v>
      </c>
      <c r="O15" s="706">
        <f t="shared" si="1"/>
        <v>0</v>
      </c>
      <c r="P15" s="2753">
        <f>Виробництво_1ст!G15-G15</f>
        <v>0</v>
      </c>
      <c r="Q15" s="2615">
        <f>Виробництво_1ст!H15-H15</f>
        <v>0</v>
      </c>
      <c r="R15" s="2753">
        <f>Виробництво_1ст!I15-I15</f>
        <v>0</v>
      </c>
      <c r="S15" s="2753">
        <f>Виробництво_1ст!J15-J15</f>
        <v>0</v>
      </c>
    </row>
    <row r="16" spans="2:19" ht="19.5" customHeight="1" x14ac:dyDescent="0.35">
      <c r="B16" s="2222" t="str">
        <f>Виробництво_1ст!B16</f>
        <v>придбання електроенергії на технологічні потреби</v>
      </c>
      <c r="C16" s="407">
        <f>Виробництво_1ст!C16</f>
        <v>2813.79909</v>
      </c>
      <c r="D16" s="407">
        <f>Виробництво_1ст!D16</f>
        <v>2831.3806500000001</v>
      </c>
      <c r="E16" s="407">
        <f>Виробництво_1ст!E16</f>
        <v>3835.5365105267629</v>
      </c>
      <c r="F16" s="407">
        <f>Виробництво_1ст!F16</f>
        <v>5937.3503814675587</v>
      </c>
      <c r="G16" s="407">
        <f>F16*$G$8</f>
        <v>4931.8451399967998</v>
      </c>
      <c r="H16" s="3185">
        <f>F16*$H$8</f>
        <v>0.79781585251981257</v>
      </c>
      <c r="I16" s="407">
        <f>F16*$I$8</f>
        <v>751.36509664646337</v>
      </c>
      <c r="J16" s="407">
        <f>F16*$J$8</f>
        <v>253.34232897177583</v>
      </c>
      <c r="K16" s="1754" t="s">
        <v>1691</v>
      </c>
      <c r="L16" s="504"/>
      <c r="M16" s="399">
        <f>Виробництво_1ст!F16</f>
        <v>5937.3503814675587</v>
      </c>
      <c r="N16" s="706">
        <f t="shared" si="0"/>
        <v>0</v>
      </c>
      <c r="O16" s="706">
        <f t="shared" si="1"/>
        <v>0</v>
      </c>
      <c r="P16" s="2753">
        <f>Виробництво_1ст!G16-G16</f>
        <v>0</v>
      </c>
      <c r="Q16" s="2615">
        <f>Виробництво_1ст!H16-H16</f>
        <v>0</v>
      </c>
      <c r="R16" s="2753">
        <f>Виробництво_1ст!I16-I16</f>
        <v>0</v>
      </c>
      <c r="S16" s="2753">
        <f>Виробництво_1ст!J16-J16</f>
        <v>0</v>
      </c>
    </row>
    <row r="17" spans="1:19" ht="36" x14ac:dyDescent="0.35">
      <c r="B17" s="2222" t="str">
        <f>Виробництво_1ст!B17</f>
        <v>холодна вода для технологічних потреб та водовідведення</v>
      </c>
      <c r="C17" s="407">
        <f>Виробництво_1ст!C17</f>
        <v>30.959239999999998</v>
      </c>
      <c r="D17" s="407">
        <f>Виробництво_1ст!D17</f>
        <v>34.119480000000003</v>
      </c>
      <c r="E17" s="407">
        <f>Виробництво_1ст!E17</f>
        <v>37.583397437391703</v>
      </c>
      <c r="F17" s="407">
        <f>Виробництво_1ст!F17</f>
        <v>33.313922123945588</v>
      </c>
      <c r="G17" s="407">
        <f t="shared" ref="G17:G30" si="2">F17*$G$9</f>
        <v>27.667042529692651</v>
      </c>
      <c r="H17" s="2598">
        <f t="shared" ref="H17:J30" si="3">$F17*H$9</f>
        <v>4.4819308175778009E-3</v>
      </c>
      <c r="I17" s="407">
        <f t="shared" si="3"/>
        <v>4.2215723759879022</v>
      </c>
      <c r="J17" s="407">
        <f t="shared" si="3"/>
        <v>1.4208252874474538</v>
      </c>
      <c r="K17" s="528" t="s">
        <v>1877</v>
      </c>
      <c r="L17" s="2596"/>
      <c r="M17" s="399">
        <f>Виробництво_1ст!F17</f>
        <v>33.313922123945588</v>
      </c>
      <c r="N17" s="706">
        <f t="shared" si="0"/>
        <v>2.886579864025407E-15</v>
      </c>
      <c r="O17" s="706">
        <f t="shared" si="1"/>
        <v>0</v>
      </c>
      <c r="P17" s="2753">
        <f>Виробництво_1ст!G17-G17</f>
        <v>5.0829749844787386E-3</v>
      </c>
      <c r="Q17" s="2615">
        <f>Виробництво_1ст!H17-H17</f>
        <v>-5.4600903230603293E-6</v>
      </c>
      <c r="R17" s="2753">
        <f>Виробництво_1ст!I17-I17</f>
        <v>-5.732530244431544E-3</v>
      </c>
      <c r="S17" s="2753">
        <f>Виробництво_1ст!J17-J17</f>
        <v>6.5501535027956415E-4</v>
      </c>
    </row>
    <row r="18" spans="1:19" ht="18" x14ac:dyDescent="0.35">
      <c r="B18" s="2222" t="str">
        <f>Виробництво_1ст!B18</f>
        <v>сіль</v>
      </c>
      <c r="C18" s="407">
        <f>Виробництво_1ст!C18</f>
        <v>41.594999999999999</v>
      </c>
      <c r="D18" s="407">
        <f>Виробництво_1ст!D18</f>
        <v>37.799999999999997</v>
      </c>
      <c r="E18" s="407">
        <f>Виробництво_1ст!E18</f>
        <v>75.967392000000004</v>
      </c>
      <c r="F18" s="407">
        <f>Виробництво_1ст!F18</f>
        <v>192.58500000000001</v>
      </c>
      <c r="G18" s="407">
        <f t="shared" si="2"/>
        <v>159.94086093366298</v>
      </c>
      <c r="H18" s="2598">
        <f t="shared" si="3"/>
        <v>2.5909667534547022E-2</v>
      </c>
      <c r="I18" s="407">
        <f t="shared" si="3"/>
        <v>24.404557139948672</v>
      </c>
      <c r="J18" s="407">
        <f t="shared" si="3"/>
        <v>8.2136722588538049</v>
      </c>
      <c r="K18" s="528" t="s">
        <v>1713</v>
      </c>
      <c r="L18" s="391"/>
      <c r="M18" s="399">
        <f>Виробництво_1ст!F18</f>
        <v>192.58500000000001</v>
      </c>
      <c r="N18" s="706">
        <f t="shared" si="0"/>
        <v>0</v>
      </c>
      <c r="O18" s="706">
        <f t="shared" si="1"/>
        <v>0</v>
      </c>
      <c r="P18" s="2753">
        <f>Виробництво_1ст!G18-G18</f>
        <v>2.9384253638568225E-2</v>
      </c>
      <c r="Q18" s="2615">
        <f>Виробництво_1ст!H18-H18</f>
        <v>-3.1564325898170847E-5</v>
      </c>
      <c r="R18" s="2753">
        <f>Виробництво_1ст!I18-I18</f>
        <v>-3.3139278317829479E-2</v>
      </c>
      <c r="S18" s="2753">
        <f>Виробництво_1ст!J18-J18</f>
        <v>3.7865890051698159E-3</v>
      </c>
    </row>
    <row r="19" spans="1:19" ht="18" x14ac:dyDescent="0.35">
      <c r="B19" s="2222" t="str">
        <f>Виробництво_1ст!B19</f>
        <v>ПММ</v>
      </c>
      <c r="C19" s="407">
        <f>Виробництво_1ст!C19</f>
        <v>1.45834</v>
      </c>
      <c r="D19" s="407">
        <f>Виробництво_1ст!D19</f>
        <v>5.5727500000000001</v>
      </c>
      <c r="E19" s="407">
        <f>Виробництво_1ст!E19</f>
        <v>13.931749999999999</v>
      </c>
      <c r="F19" s="462">
        <f>Виробництво_1ст!F19</f>
        <v>14.317770000000001</v>
      </c>
      <c r="G19" s="407">
        <f t="shared" si="2"/>
        <v>11.890835010256104</v>
      </c>
      <c r="H19" s="2598">
        <f t="shared" si="3"/>
        <v>1.926259368778001E-3</v>
      </c>
      <c r="I19" s="407">
        <f t="shared" si="3"/>
        <v>1.8143616381423417</v>
      </c>
      <c r="J19" s="407">
        <f t="shared" si="3"/>
        <v>0.61064709223277647</v>
      </c>
      <c r="K19" s="528" t="s">
        <v>914</v>
      </c>
      <c r="L19" s="391"/>
      <c r="M19" s="399">
        <f>Виробництво_1ст!F19</f>
        <v>14.317770000000001</v>
      </c>
      <c r="N19" s="706">
        <f t="shared" si="0"/>
        <v>0</v>
      </c>
      <c r="O19" s="706">
        <f t="shared" si="1"/>
        <v>0</v>
      </c>
      <c r="P19" s="2753">
        <f>Виробництво_1ст!G19-G19</f>
        <v>2.1845781614295845E-3</v>
      </c>
      <c r="Q19" s="2615">
        <f>Виробництво_1ст!H19-H19</f>
        <v>-2.3466560657113816E-6</v>
      </c>
      <c r="R19" s="2753">
        <f>Виробництво_1ст!I19-I19</f>
        <v>-2.4637462155445711E-3</v>
      </c>
      <c r="S19" s="2753">
        <f>Виробництво_1ст!J19-J19</f>
        <v>2.8151471018267316E-4</v>
      </c>
    </row>
    <row r="20" spans="1:19" ht="18" x14ac:dyDescent="0.35">
      <c r="B20" s="2222" t="str">
        <f>Виробництво_1ст!B20</f>
        <v>матеріали</v>
      </c>
      <c r="C20" s="407">
        <f>Виробництво_1ст!C20</f>
        <v>4.8175799999999995</v>
      </c>
      <c r="D20" s="407">
        <f>Виробництво_1ст!D20</f>
        <v>52.129199999999997</v>
      </c>
      <c r="E20" s="407">
        <f>Виробництво_1ст!E20</f>
        <v>5.1162699599999995</v>
      </c>
      <c r="F20" s="462">
        <f>Виробництво_1ст!F20</f>
        <v>55.165725899999991</v>
      </c>
      <c r="G20" s="407">
        <f t="shared" si="2"/>
        <v>45.814854191533442</v>
      </c>
      <c r="H20" s="2598">
        <f t="shared" si="3"/>
        <v>7.4217909877246383E-3</v>
      </c>
      <c r="I20" s="407">
        <f t="shared" si="3"/>
        <v>6.9906540483074799</v>
      </c>
      <c r="J20" s="407">
        <f t="shared" si="3"/>
        <v>2.3527958691713415</v>
      </c>
      <c r="K20" s="1754" t="s">
        <v>965</v>
      </c>
      <c r="L20" s="2596"/>
      <c r="M20" s="399">
        <f>Виробництво_1ст!F20</f>
        <v>55.165725899999991</v>
      </c>
      <c r="N20" s="706">
        <f t="shared" si="0"/>
        <v>3.5527136788005009E-15</v>
      </c>
      <c r="O20" s="706">
        <f t="shared" si="1"/>
        <v>0</v>
      </c>
      <c r="P20" s="2753">
        <f>Виробництво_1ст!G20-G20</f>
        <v>8.4170817145761134E-3</v>
      </c>
      <c r="Q20" s="2615">
        <f>Виробництво_1ст!H20-H20</f>
        <v>-9.0415606133226883E-6</v>
      </c>
      <c r="R20" s="2753">
        <f>Виробництво_1ст!I20-I20</f>
        <v>-9.4927037111149914E-3</v>
      </c>
      <c r="S20" s="2753">
        <f>Виробництво_1ст!J20-J20</f>
        <v>1.0846635571568619E-3</v>
      </c>
    </row>
    <row r="21" spans="1:19" ht="18" x14ac:dyDescent="0.35">
      <c r="B21" s="2222" t="str">
        <f>Виробництво_1ст!B21</f>
        <v>матеріали на техніку безпеки</v>
      </c>
      <c r="C21" s="407">
        <f>Виробництво_1ст!C21</f>
        <v>49.902470000000001</v>
      </c>
      <c r="D21" s="407">
        <f>Виробництво_1ст!D21</f>
        <v>46.223970000000001</v>
      </c>
      <c r="E21" s="407">
        <f>Виробництво_1ст!E21</f>
        <v>52.996423140000005</v>
      </c>
      <c r="F21" s="407">
        <f>Виробництво_1ст!F21</f>
        <v>48.916516252499996</v>
      </c>
      <c r="G21" s="407">
        <f t="shared" si="2"/>
        <v>40.624917430227519</v>
      </c>
      <c r="H21" s="2598">
        <f t="shared" si="3"/>
        <v>6.5810456320613796E-3</v>
      </c>
      <c r="I21" s="407">
        <f t="shared" si="3"/>
        <v>6.1987481681925587</v>
      </c>
      <c r="J21" s="407">
        <f t="shared" si="3"/>
        <v>2.0862696084478567</v>
      </c>
      <c r="K21" s="1754" t="s">
        <v>965</v>
      </c>
      <c r="L21" s="2596"/>
      <c r="M21" s="399">
        <f>Виробництво_1ст!F21</f>
        <v>48.916516252499996</v>
      </c>
      <c r="N21" s="706">
        <f t="shared" si="0"/>
        <v>0</v>
      </c>
      <c r="O21" s="706">
        <f t="shared" si="1"/>
        <v>0</v>
      </c>
      <c r="P21" s="2753">
        <f>Виробництво_1ст!G21-G21</f>
        <v>7.4635891719410097E-3</v>
      </c>
      <c r="Q21" s="2615">
        <f>Виробництво_1ст!H21-H21</f>
        <v>-8.0173266910560717E-6</v>
      </c>
      <c r="R21" s="2753">
        <f>Виробництво_1ст!I21-I21</f>
        <v>-8.4173640025451135E-3</v>
      </c>
      <c r="S21" s="2753">
        <f>Виробництво_1ст!J21-J21</f>
        <v>9.6179215729641498E-4</v>
      </c>
    </row>
    <row r="22" spans="1:19" ht="18" customHeight="1" x14ac:dyDescent="0.35">
      <c r="B22" s="2222" t="str">
        <f>Виробництво_1ст!B22</f>
        <v>матеріали на технічне обслуговування</v>
      </c>
      <c r="C22" s="407">
        <f>Виробництво_1ст!C22</f>
        <v>42.709510000000002</v>
      </c>
      <c r="D22" s="407">
        <f>Виробництво_1ст!D22</f>
        <v>45.36</v>
      </c>
      <c r="E22" s="407">
        <f>Виробництво_1ст!E22</f>
        <v>45.357499620000006</v>
      </c>
      <c r="F22" s="407">
        <f>Виробництво_1ст!F22</f>
        <v>48.002219999999994</v>
      </c>
      <c r="G22" s="407">
        <f t="shared" si="2"/>
        <v>39.865599052507179</v>
      </c>
      <c r="H22" s="2598">
        <f t="shared" si="3"/>
        <v>6.4580396246861566E-3</v>
      </c>
      <c r="I22" s="407">
        <f t="shared" si="3"/>
        <v>6.0828876643268517</v>
      </c>
      <c r="J22" s="407">
        <f t="shared" si="3"/>
        <v>2.0472752435412791</v>
      </c>
      <c r="K22" s="1754" t="s">
        <v>965</v>
      </c>
      <c r="L22" s="2596"/>
      <c r="M22" s="399">
        <f>Виробництво_1ст!F22</f>
        <v>48.002219999999994</v>
      </c>
      <c r="N22" s="706">
        <f t="shared" si="0"/>
        <v>0</v>
      </c>
      <c r="O22" s="706">
        <f t="shared" si="1"/>
        <v>0</v>
      </c>
      <c r="P22" s="2753">
        <f>Виробництво_1ст!G22-G22</f>
        <v>7.3240875857152332E-3</v>
      </c>
      <c r="Q22" s="2615">
        <f>Виробництво_1ст!H22-H22</f>
        <v>-7.8674752234889761E-6</v>
      </c>
      <c r="R22" s="2753">
        <f>Виробництво_1ст!I22-I22</f>
        <v>-8.2600354568302947E-3</v>
      </c>
      <c r="S22" s="2753">
        <f>Виробництво_1ст!J22-J22</f>
        <v>9.4381534634413455E-4</v>
      </c>
    </row>
    <row r="23" spans="1:19" ht="18" x14ac:dyDescent="0.35">
      <c r="B23" s="2222" t="str">
        <f>Виробництво_1ст!B23</f>
        <v>запчастини</v>
      </c>
      <c r="C23" s="407">
        <f>Виробництво_1ст!C23</f>
        <v>0.20899999999999999</v>
      </c>
      <c r="D23" s="407">
        <f>Виробництво_1ст!D23</f>
        <v>0</v>
      </c>
      <c r="E23" s="407">
        <f>Виробництво_1ст!E23</f>
        <v>0</v>
      </c>
      <c r="F23" s="462">
        <f>Виробництво_1ст!F23</f>
        <v>0</v>
      </c>
      <c r="G23" s="407">
        <f t="shared" si="2"/>
        <v>0</v>
      </c>
      <c r="H23" s="2598">
        <f t="shared" si="3"/>
        <v>0</v>
      </c>
      <c r="I23" s="407">
        <f t="shared" si="3"/>
        <v>0</v>
      </c>
      <c r="J23" s="407">
        <f t="shared" si="3"/>
        <v>0</v>
      </c>
      <c r="K23" s="1754" t="s">
        <v>2021</v>
      </c>
      <c r="L23" s="2596"/>
      <c r="M23" s="399">
        <f>Виробництво_1ст!F23</f>
        <v>0</v>
      </c>
      <c r="N23" s="706">
        <f t="shared" si="0"/>
        <v>0</v>
      </c>
      <c r="O23" s="706">
        <f t="shared" si="1"/>
        <v>0</v>
      </c>
      <c r="P23" s="2753">
        <f>Виробництво_1ст!G23-G23</f>
        <v>0</v>
      </c>
      <c r="Q23" s="2615">
        <f>Виробництво_1ст!H23-H23</f>
        <v>0</v>
      </c>
      <c r="R23" s="2753">
        <f>Виробництво_1ст!I23-I23</f>
        <v>0</v>
      </c>
      <c r="S23" s="2753">
        <f>Виробництво_1ст!J23-J23</f>
        <v>0</v>
      </c>
    </row>
    <row r="24" spans="1:19" ht="18" x14ac:dyDescent="0.35">
      <c r="B24" s="2222" t="str">
        <f>Виробництво_1ст!B24</f>
        <v>МШП</v>
      </c>
      <c r="C24" s="407">
        <f>Виробництво_1ст!C24</f>
        <v>54.08</v>
      </c>
      <c r="D24" s="407">
        <f>Виробництво_1ст!D24</f>
        <v>33.32685</v>
      </c>
      <c r="E24" s="407">
        <f>Виробництво_1ст!E24</f>
        <v>57.432960000000001</v>
      </c>
      <c r="F24" s="407">
        <f>Виробництво_1ст!F24</f>
        <v>35.268139012500001</v>
      </c>
      <c r="G24" s="407">
        <f t="shared" si="2"/>
        <v>29.290009695393497</v>
      </c>
      <c r="H24" s="2598">
        <f t="shared" si="3"/>
        <v>4.7448438682974403E-3</v>
      </c>
      <c r="I24" s="407">
        <f t="shared" si="3"/>
        <v>4.4692126268931078</v>
      </c>
      <c r="J24" s="407">
        <f t="shared" si="3"/>
        <v>1.504171846345099</v>
      </c>
      <c r="K24" s="1754" t="s">
        <v>965</v>
      </c>
      <c r="L24" s="2596"/>
      <c r="M24" s="399">
        <f>Виробництво_1ст!F24</f>
        <v>35.268139012500001</v>
      </c>
      <c r="N24" s="706">
        <f t="shared" si="0"/>
        <v>0</v>
      </c>
      <c r="O24" s="706">
        <f t="shared" si="1"/>
        <v>0</v>
      </c>
      <c r="P24" s="2753">
        <f>Виробництво_1ст!G24-G24</f>
        <v>5.381145686857991E-3</v>
      </c>
      <c r="Q24" s="2615">
        <f>Виробництво_1ст!H24-H24</f>
        <v>-5.7803828626976431E-6</v>
      </c>
      <c r="R24" s="2753">
        <f>Виробництво_1ст!I24-I24</f>
        <v>-6.0688042915444385E-3</v>
      </c>
      <c r="S24" s="2753">
        <f>Виробництво_1ст!J24-J24</f>
        <v>6.9343898755103162E-4</v>
      </c>
    </row>
    <row r="25" spans="1:19" ht="18" x14ac:dyDescent="0.35">
      <c r="B25" s="2222" t="str">
        <f>Виробництво_1ст!B25</f>
        <v>МШП техніка безпеки</v>
      </c>
      <c r="C25" s="407">
        <f>Виробництво_1ст!C25</f>
        <v>28.831159999999997</v>
      </c>
      <c r="D25" s="407">
        <f>Виробництво_1ст!D25</f>
        <v>42.066470000000002</v>
      </c>
      <c r="E25" s="407">
        <f>Виробництво_1ст!E25</f>
        <v>30.61869192</v>
      </c>
      <c r="F25" s="407">
        <f>Виробництво_1ст!F25</f>
        <v>44.516841877499999</v>
      </c>
      <c r="G25" s="407">
        <f t="shared" si="2"/>
        <v>36.971010286030022</v>
      </c>
      <c r="H25" s="2598">
        <f t="shared" si="3"/>
        <v>5.9891298529689482E-3</v>
      </c>
      <c r="I25" s="407">
        <f t="shared" si="3"/>
        <v>5.6412171835267984</v>
      </c>
      <c r="J25" s="407">
        <f t="shared" si="3"/>
        <v>1.89862527809021</v>
      </c>
      <c r="K25" s="1754" t="s">
        <v>965</v>
      </c>
      <c r="L25" s="2596"/>
      <c r="M25" s="399">
        <f>Виробництво_1ст!F25</f>
        <v>44.516841877499999</v>
      </c>
      <c r="N25" s="706">
        <f>F25-G25-H25-I25-J25</f>
        <v>0</v>
      </c>
      <c r="O25" s="706">
        <f t="shared" si="1"/>
        <v>0</v>
      </c>
      <c r="P25" s="2753">
        <f>Виробництво_1ст!G25-G25</f>
        <v>6.792295209471888E-3</v>
      </c>
      <c r="Q25" s="2615">
        <f>Виробництво_1ст!H25-H25</f>
        <v>-7.2962281848464039E-6</v>
      </c>
      <c r="R25" s="2753">
        <f>Виробництво_1ст!I25-I25</f>
        <v>-7.6602851354419244E-3</v>
      </c>
      <c r="S25" s="2753">
        <f>Виробництво_1ст!J25-J25</f>
        <v>8.7528615415632949E-4</v>
      </c>
    </row>
    <row r="26" spans="1:19" ht="18" x14ac:dyDescent="0.35">
      <c r="B26" s="2222" t="str">
        <f>Виробництво_1ст!B26</f>
        <v>канцтовари, бланки</v>
      </c>
      <c r="C26" s="407">
        <f>Виробництво_1ст!C26</f>
        <v>6.6407700000000007</v>
      </c>
      <c r="D26" s="407">
        <f>Виробництво_1ст!D26</f>
        <v>7.1750999999999996</v>
      </c>
      <c r="E26" s="407">
        <f>Виробництво_1ст!E26</f>
        <v>7.0524977400000015</v>
      </c>
      <c r="F26" s="407">
        <f>Виробництво_1ст!F26</f>
        <v>7.5930495749999993</v>
      </c>
      <c r="G26" s="407">
        <f t="shared" si="2"/>
        <v>6.3059889718175537</v>
      </c>
      <c r="H26" s="2598">
        <f t="shared" si="3"/>
        <v>1.0215405668228758E-3</v>
      </c>
      <c r="I26" s="407">
        <f t="shared" si="3"/>
        <v>0.96219857319910918</v>
      </c>
      <c r="J26" s="407">
        <f t="shared" si="3"/>
        <v>0.32384048941651306</v>
      </c>
      <c r="K26" s="1754" t="s">
        <v>965</v>
      </c>
      <c r="L26" s="2596"/>
      <c r="M26" s="399">
        <f>Виробництво_1ст!F26</f>
        <v>7.5930495749999993</v>
      </c>
      <c r="N26" s="706">
        <f t="shared" si="0"/>
        <v>6.106226635438361E-16</v>
      </c>
      <c r="O26" s="706">
        <f t="shared" si="1"/>
        <v>0</v>
      </c>
      <c r="P26" s="2753">
        <f>Виробництво_1ст!G26-G26</f>
        <v>1.1585330872190269E-3</v>
      </c>
      <c r="Q26" s="2615">
        <f>Виробництво_1ст!H26-H26</f>
        <v>-1.2444868050277835E-6</v>
      </c>
      <c r="R26" s="2753">
        <f>Виробництво_1ст!I26-I26</f>
        <v>-1.3065824604563403E-3</v>
      </c>
      <c r="S26" s="2753">
        <f>Виробництво_1ст!J26-J26</f>
        <v>1.4929386004308709E-4</v>
      </c>
    </row>
    <row r="27" spans="1:19" ht="18" x14ac:dyDescent="0.35">
      <c r="B27" s="2222" t="str">
        <f>Виробництво_1ст!B27</f>
        <v>спецодяг та спецвзуття</v>
      </c>
      <c r="C27" s="407">
        <f>Виробництво_1ст!C27</f>
        <v>36.403400000000005</v>
      </c>
      <c r="D27" s="407">
        <f>Виробництво_1ст!D27</f>
        <v>68.109380000000002</v>
      </c>
      <c r="E27" s="407">
        <f>Виробництво_1ст!E27</f>
        <v>128.50968999999998</v>
      </c>
      <c r="F27" s="462">
        <f>Виробництво_1ст!F27</f>
        <v>139.53451999999999</v>
      </c>
      <c r="G27" s="407">
        <f t="shared" si="2"/>
        <v>115.88270768110399</v>
      </c>
      <c r="H27" s="2598">
        <f t="shared" si="3"/>
        <v>1.8772453840084129E-2</v>
      </c>
      <c r="I27" s="407">
        <f t="shared" si="3"/>
        <v>17.681949094349559</v>
      </c>
      <c r="J27" s="407">
        <f t="shared" si="3"/>
        <v>5.9510907707063447</v>
      </c>
      <c r="K27" s="1754" t="s">
        <v>1409</v>
      </c>
      <c r="L27" s="2596"/>
      <c r="M27" s="399">
        <f>Виробництво_1ст!F27</f>
        <v>139.53451999999999</v>
      </c>
      <c r="N27" s="706">
        <f t="shared" si="0"/>
        <v>0</v>
      </c>
      <c r="O27" s="706">
        <f t="shared" si="1"/>
        <v>0</v>
      </c>
      <c r="P27" s="2753">
        <f>Виробництво_1ст!G27-G27</f>
        <v>2.128991212720166E-2</v>
      </c>
      <c r="Q27" s="2615">
        <f>Виробництво_1ст!H27-H27</f>
        <v>-2.2869450182129436E-5</v>
      </c>
      <c r="R27" s="2753">
        <f>Виробництво_1ст!I27-I27</f>
        <v>-2.4010557900272289E-2</v>
      </c>
      <c r="S27" s="2753">
        <f>Виробництво_1ст!J27-J27</f>
        <v>2.7435152232699878E-3</v>
      </c>
    </row>
    <row r="28" spans="1:19" ht="18" x14ac:dyDescent="0.35">
      <c r="B28" s="2222" t="str">
        <f>Виробництво_1ст!B28</f>
        <v>спецхарчування</v>
      </c>
      <c r="C28" s="407">
        <f>Виробництво_1ст!C28</f>
        <v>27.806909999999995</v>
      </c>
      <c r="D28" s="407">
        <f>Виробництво_1ст!D28</f>
        <v>32.609819999999999</v>
      </c>
      <c r="E28" s="407">
        <f>Виробництво_1ст!E28</f>
        <v>29.816917201800003</v>
      </c>
      <c r="F28" s="407">
        <f>Виробництво_1ст!F28</f>
        <v>37.106920000000002</v>
      </c>
      <c r="G28" s="407">
        <f t="shared" si="2"/>
        <v>30.817107933621816</v>
      </c>
      <c r="H28" s="2598">
        <f t="shared" si="3"/>
        <v>4.9922266034791579E-3</v>
      </c>
      <c r="I28" s="407">
        <f t="shared" si="3"/>
        <v>4.7022247289638557</v>
      </c>
      <c r="J28" s="407">
        <f t="shared" si="3"/>
        <v>1.5825951108108496</v>
      </c>
      <c r="K28" s="1754" t="s">
        <v>1409</v>
      </c>
      <c r="L28" s="2596"/>
      <c r="M28" s="399">
        <f>Виробництво_1ст!F28</f>
        <v>37.106920000000002</v>
      </c>
      <c r="N28" s="706">
        <f t="shared" si="0"/>
        <v>1.9984014443252818E-15</v>
      </c>
      <c r="O28" s="706">
        <f t="shared" si="1"/>
        <v>0</v>
      </c>
      <c r="P28" s="2753">
        <f>Виробництво_1ст!G28-G28</f>
        <v>5.6617033986370302E-3</v>
      </c>
      <c r="Q28" s="2615">
        <f>Виробництво_1ст!H28-H28</f>
        <v>-6.0817556713005025E-6</v>
      </c>
      <c r="R28" s="2753">
        <f>Виробництво_1ст!I28-I28</f>
        <v>-6.3852145774454527E-3</v>
      </c>
      <c r="S28" s="2753">
        <f>Виробництво_1ст!J28-J28</f>
        <v>7.295929344843799E-4</v>
      </c>
    </row>
    <row r="29" spans="1:19" ht="18" x14ac:dyDescent="0.35">
      <c r="B29" s="2599" t="str">
        <f>Виробництво_1ст!B29</f>
        <v>Прямі витрати на оплату праці всього, у т.ч.:</v>
      </c>
      <c r="C29" s="413">
        <f>Виробництво_1ст!C29</f>
        <v>7334.8339500000002</v>
      </c>
      <c r="D29" s="413">
        <f>Виробництво_1ст!D29</f>
        <v>8106.6893399999999</v>
      </c>
      <c r="E29" s="413">
        <f>Виробництво_1ст!E29</f>
        <v>10366.7803628</v>
      </c>
      <c r="F29" s="2600">
        <f>Виробництво_1ст!F29</f>
        <v>11228.939355305936</v>
      </c>
      <c r="G29" s="413">
        <f t="shared" si="2"/>
        <v>9325.5769029754229</v>
      </c>
      <c r="H29" s="2600">
        <f t="shared" si="3"/>
        <v>1.5106996155545218</v>
      </c>
      <c r="I29" s="413">
        <f t="shared" si="3"/>
        <v>1422.9420365946573</v>
      </c>
      <c r="J29" s="413">
        <f t="shared" si="3"/>
        <v>478.90971612030063</v>
      </c>
      <c r="K29" s="389" t="s">
        <v>1663</v>
      </c>
      <c r="L29" s="2596"/>
      <c r="M29" s="770">
        <f>Виробництво_1ст!F29</f>
        <v>11228.939355305936</v>
      </c>
      <c r="N29" s="706">
        <f t="shared" si="0"/>
        <v>8.5265128291212022E-13</v>
      </c>
      <c r="O29" s="706">
        <f t="shared" si="1"/>
        <v>0</v>
      </c>
      <c r="P29" s="2753">
        <f>Виробництво_1ст!G29-G29</f>
        <v>1.7132902464290964</v>
      </c>
      <c r="Q29" s="2615">
        <f>Виробництво_1ст!H29-H29</f>
        <v>-1.8404024264697671E-3</v>
      </c>
      <c r="R29" s="2753">
        <f>Виробництво_1ст!I29-I29</f>
        <v>-1.932232242955024</v>
      </c>
      <c r="S29" s="2753">
        <f>Виробництво_1ст!J29-J29</f>
        <v>0.22078239895375873</v>
      </c>
    </row>
    <row r="30" spans="1:19" ht="18" x14ac:dyDescent="0.35">
      <c r="B30" s="2222" t="str">
        <f>Виробництво_1ст!B30</f>
        <v>працюючих інвалідів</v>
      </c>
      <c r="C30" s="407">
        <f>Виробництво_1ст!C30</f>
        <v>35.318730000000002</v>
      </c>
      <c r="D30" s="407">
        <f>Виробництво_1ст!D30</f>
        <v>0</v>
      </c>
      <c r="E30" s="407">
        <f>Виробництво_1ст!E30</f>
        <v>0</v>
      </c>
      <c r="F30" s="407">
        <f>Виробництво_1ст!F30</f>
        <v>0</v>
      </c>
      <c r="G30" s="407">
        <f t="shared" si="2"/>
        <v>0</v>
      </c>
      <c r="H30" s="2598">
        <f t="shared" si="3"/>
        <v>0</v>
      </c>
      <c r="I30" s="407">
        <f t="shared" si="3"/>
        <v>0</v>
      </c>
      <c r="J30" s="407">
        <f t="shared" si="3"/>
        <v>0</v>
      </c>
      <c r="K30" s="389" t="s">
        <v>1663</v>
      </c>
      <c r="L30" s="2596"/>
      <c r="M30" s="399">
        <f>Виробництво_1ст!F30</f>
        <v>0</v>
      </c>
      <c r="N30" s="706">
        <f t="shared" si="0"/>
        <v>0</v>
      </c>
      <c r="O30" s="706">
        <f t="shared" si="1"/>
        <v>0</v>
      </c>
      <c r="P30" s="2753">
        <f>Виробництво_1ст!G30-G30</f>
        <v>0</v>
      </c>
      <c r="Q30" s="2615">
        <f>Виробництво_1ст!H30-H30</f>
        <v>0</v>
      </c>
      <c r="R30" s="2753">
        <f>Виробництво_1ст!I30-I30</f>
        <v>0</v>
      </c>
      <c r="S30" s="2753">
        <f>Виробництво_1ст!J30-J30</f>
        <v>0</v>
      </c>
    </row>
    <row r="31" spans="1:19" ht="17.399999999999999" x14ac:dyDescent="0.3">
      <c r="A31" s="2599"/>
      <c r="B31" s="2599" t="str">
        <f>Виробництво_1ст!B31</f>
        <v>Інші прямі витрати:</v>
      </c>
      <c r="C31" s="413">
        <f>Виробництво_1ст!C31</f>
        <v>4909.4968899999994</v>
      </c>
      <c r="D31" s="413">
        <f>Виробництво_1ст!D31</f>
        <v>5426.4078600000021</v>
      </c>
      <c r="E31" s="413">
        <f>Виробництво_1ст!E31</f>
        <v>6736.8331267553576</v>
      </c>
      <c r="F31" s="413">
        <f>Виробництво_1ст!F31</f>
        <v>7233.6473506343445</v>
      </c>
      <c r="G31" s="413">
        <f>SUM(G32:G81)</f>
        <v>6007.507256281473</v>
      </c>
      <c r="H31" s="3184">
        <f>SUM(H32:H81)</f>
        <v>0.97318793217069233</v>
      </c>
      <c r="I31" s="413">
        <f>SUM(I32:I81)</f>
        <v>916.65477632626732</v>
      </c>
      <c r="J31" s="413">
        <f>SUM(J32:J81)</f>
        <v>308.51213009443444</v>
      </c>
      <c r="K31" s="389"/>
      <c r="L31" s="504"/>
      <c r="M31" s="399">
        <f>Виробництво_1ст!F31</f>
        <v>7233.6473506343445</v>
      </c>
      <c r="N31" s="706">
        <f t="shared" si="0"/>
        <v>-9.6633812063373625E-13</v>
      </c>
      <c r="O31" s="706">
        <f t="shared" si="1"/>
        <v>0</v>
      </c>
      <c r="P31" s="2753">
        <f>Виробництво_1ст!G31-G31</f>
        <v>1.10369617822289</v>
      </c>
      <c r="Q31" s="2615">
        <f>Виробництво_1ст!H31-H31</f>
        <v>-1.1855814440787649E-3</v>
      </c>
      <c r="R31" s="2753">
        <f>Виробництво_1ст!I31-I31</f>
        <v>-1.2447379225055784</v>
      </c>
      <c r="S31" s="2753">
        <f>Виробництво_1ст!J31-J31</f>
        <v>0.14222732572710584</v>
      </c>
    </row>
    <row r="32" spans="1:19" ht="36" x14ac:dyDescent="0.35">
      <c r="A32" s="2222"/>
      <c r="B32" s="2222" t="str">
        <f>Виробництво_1ст!B32</f>
        <v>єдиний внесок на загальнообов’язкове державне соціальне страхування</v>
      </c>
      <c r="C32" s="407">
        <f>Виробництво_1ст!C32</f>
        <v>1608.3573699999999</v>
      </c>
      <c r="D32" s="407">
        <f>Виробництво_1ст!D32</f>
        <v>1788.1156299999998</v>
      </c>
      <c r="E32" s="407">
        <f>Виробництво_1ст!E32</f>
        <v>2280.691679816</v>
      </c>
      <c r="F32" s="407">
        <f>Виробництво_1ст!F32</f>
        <v>2470.366658167306</v>
      </c>
      <c r="G32" s="407">
        <f t="shared" ref="G32:G63" si="4">F32*$G$9</f>
        <v>2051.6269186545933</v>
      </c>
      <c r="H32" s="2598">
        <f t="shared" ref="H32:J51" si="5">$F32*H$9</f>
        <v>0.33235391542199477</v>
      </c>
      <c r="I32" s="407">
        <f t="shared" si="5"/>
        <v>313.04724805082463</v>
      </c>
      <c r="J32" s="407">
        <f t="shared" si="5"/>
        <v>105.36013754646615</v>
      </c>
      <c r="K32" s="389" t="s">
        <v>1663</v>
      </c>
      <c r="L32" s="2596"/>
      <c r="M32" s="399">
        <f>Виробництво_1ст!F32</f>
        <v>2470.366658167306</v>
      </c>
      <c r="N32" s="706">
        <f t="shared" si="0"/>
        <v>0</v>
      </c>
      <c r="O32" s="706">
        <f t="shared" si="1"/>
        <v>0</v>
      </c>
      <c r="P32" s="2753">
        <f>Виробництво_1ст!G32-G32</f>
        <v>0.37692385421405561</v>
      </c>
      <c r="Q32" s="2615">
        <f>Виробництво_1ст!H32-H32</f>
        <v>-4.0488853382331103E-4</v>
      </c>
      <c r="R32" s="2753">
        <f>Виробництво_1ст!I32-I32</f>
        <v>-0.42509109345007801</v>
      </c>
      <c r="S32" s="2753">
        <f>Виробництво_1ст!J32-J32</f>
        <v>4.8572127769830331E-2</v>
      </c>
    </row>
    <row r="33" spans="1:19" s="411" customFormat="1" ht="36" x14ac:dyDescent="0.35">
      <c r="A33" s="2222"/>
      <c r="B33" s="2222" t="str">
        <f>Виробництво_1ст!B33</f>
        <v>амортизація  основних засобів загальногосподарського призначення</v>
      </c>
      <c r="C33" s="407">
        <f>Виробництво_1ст!C33</f>
        <v>2065.88202</v>
      </c>
      <c r="D33" s="407">
        <f>Виробництво_1ст!D33</f>
        <v>2301.1614399999999</v>
      </c>
      <c r="E33" s="407">
        <f>Виробництво_1ст!E33</f>
        <v>2299.5848500000002</v>
      </c>
      <c r="F33" s="407">
        <f>Виробництво_1ст!F33</f>
        <v>2122.9628600000001</v>
      </c>
      <c r="G33" s="407">
        <f t="shared" si="4"/>
        <v>1763.1098349227168</v>
      </c>
      <c r="H33" s="2598">
        <f t="shared" si="5"/>
        <v>0.28561550427494919</v>
      </c>
      <c r="I33" s="407">
        <f t="shared" si="5"/>
        <v>269.02390333026375</v>
      </c>
      <c r="J33" s="407">
        <f t="shared" si="5"/>
        <v>90.543506242744428</v>
      </c>
      <c r="K33" s="528" t="s">
        <v>1727</v>
      </c>
      <c r="L33" s="2596"/>
      <c r="M33" s="399">
        <f>Виробництво_1ст!F33</f>
        <v>2122.9628600000001</v>
      </c>
      <c r="N33" s="706">
        <f t="shared" si="0"/>
        <v>1.4210854715202004E-13</v>
      </c>
      <c r="O33" s="706">
        <f t="shared" si="1"/>
        <v>0</v>
      </c>
      <c r="P33" s="2753">
        <f>Виробництво_1ст!G33-G33</f>
        <v>0.32391764230624176</v>
      </c>
      <c r="Q33" s="2615">
        <f>Виробництво_1ст!H33-H33</f>
        <v>-3.4794969277329724E-4</v>
      </c>
      <c r="R33" s="2753">
        <f>Виробництво_1ст!I33-I33</f>
        <v>-0.3653111980473227</v>
      </c>
      <c r="S33" s="2753">
        <f>Виробництво_1ст!J33-J33</f>
        <v>4.1741505434259807E-2</v>
      </c>
    </row>
    <row r="34" spans="1:19" s="411" customFormat="1" ht="36.6" customHeight="1" x14ac:dyDescent="0.35">
      <c r="A34" s="2222"/>
      <c r="B34" s="2222" t="str">
        <f>Виробництво_1ст!B34</f>
        <v>амортизація інших необоротних матеріальних активів загальногосподарського призначення призначення</v>
      </c>
      <c r="C34" s="407">
        <f>Виробництво_1ст!C34</f>
        <v>0</v>
      </c>
      <c r="D34" s="407">
        <f>Виробництво_1ст!D34</f>
        <v>0</v>
      </c>
      <c r="E34" s="407">
        <f>Виробництво_1ст!E34</f>
        <v>0</v>
      </c>
      <c r="F34" s="407">
        <f>Виробництво_1ст!F34</f>
        <v>0</v>
      </c>
      <c r="G34" s="407">
        <f t="shared" si="4"/>
        <v>0</v>
      </c>
      <c r="H34" s="2598">
        <f t="shared" si="5"/>
        <v>0</v>
      </c>
      <c r="I34" s="407">
        <f t="shared" si="5"/>
        <v>0</v>
      </c>
      <c r="J34" s="407">
        <f t="shared" si="5"/>
        <v>0</v>
      </c>
      <c r="K34" s="1754"/>
      <c r="L34" s="2596"/>
      <c r="M34" s="399">
        <f>Виробництво_1ст!F34</f>
        <v>0</v>
      </c>
      <c r="N34" s="706">
        <f t="shared" si="0"/>
        <v>0</v>
      </c>
      <c r="O34" s="706">
        <f t="shared" si="1"/>
        <v>0</v>
      </c>
      <c r="P34" s="2753">
        <f>Виробництво_1ст!G34-G34</f>
        <v>0</v>
      </c>
      <c r="Q34" s="2615">
        <f>Виробництво_1ст!H34-H34</f>
        <v>0</v>
      </c>
      <c r="R34" s="2753">
        <f>Виробництво_1ст!I34-I34</f>
        <v>0</v>
      </c>
      <c r="S34" s="2753">
        <f>Виробництво_1ст!J34-J34</f>
        <v>0</v>
      </c>
    </row>
    <row r="35" spans="1:19" ht="18" customHeight="1" x14ac:dyDescent="0.35">
      <c r="A35" s="2223"/>
      <c r="B35" s="2222" t="str">
        <f>Виробництво_1ст!B35</f>
        <v>ремонт</v>
      </c>
      <c r="C35" s="407">
        <f>Виробництво_1ст!C35</f>
        <v>485.08694000000003</v>
      </c>
      <c r="D35" s="407">
        <f>Виробництво_1ст!D35</f>
        <v>269.56459000000001</v>
      </c>
      <c r="E35" s="407">
        <f>Виробництво_1ст!E35</f>
        <v>610.07500000000005</v>
      </c>
      <c r="F35" s="407">
        <f>Виробництво_1ст!F35</f>
        <v>1244.7175333333332</v>
      </c>
      <c r="G35" s="407">
        <f t="shared" si="4"/>
        <v>1033.7315673627679</v>
      </c>
      <c r="H35" s="2598">
        <f t="shared" si="5"/>
        <v>0.16745965398700893</v>
      </c>
      <c r="I35" s="407">
        <f t="shared" si="5"/>
        <v>157.73180759316298</v>
      </c>
      <c r="J35" s="407">
        <f t="shared" si="5"/>
        <v>53.086698723415296</v>
      </c>
      <c r="K35" s="1754" t="s">
        <v>1676</v>
      </c>
      <c r="L35" s="2596"/>
      <c r="M35" s="399">
        <f>Виробництво_1ст!F35</f>
        <v>1244.7175333333332</v>
      </c>
      <c r="N35" s="706">
        <f>F35-G35-H35-I35-J35</f>
        <v>0</v>
      </c>
      <c r="O35" s="706">
        <f t="shared" si="1"/>
        <v>0</v>
      </c>
      <c r="P35" s="2753">
        <f>Виробництво_1ст!G35-G35</f>
        <v>0.18991663788892765</v>
      </c>
      <c r="Q35" s="2615">
        <f>Виробництво_1ст!H35-H35</f>
        <v>-2.0400690538360799E-4</v>
      </c>
      <c r="R35" s="2753">
        <f>Виробництво_1ст!I35-I35</f>
        <v>-0.21418615553761811</v>
      </c>
      <c r="S35" s="2753">
        <f>Виробництво_1ст!J35-J35</f>
        <v>2.4473524554153414E-2</v>
      </c>
    </row>
    <row r="36" spans="1:19" ht="18" customHeight="1" x14ac:dyDescent="0.35">
      <c r="A36" s="2223"/>
      <c r="B36" s="2222" t="str">
        <f>Виробництво_1ст!B36</f>
        <v>відрядження</v>
      </c>
      <c r="C36" s="407">
        <f>Виробництво_1ст!C36</f>
        <v>0</v>
      </c>
      <c r="D36" s="407">
        <f>Виробництво_1ст!D36</f>
        <v>1.28</v>
      </c>
      <c r="E36" s="407">
        <f>Виробництво_1ст!E36</f>
        <v>0</v>
      </c>
      <c r="F36" s="407">
        <f>Виробництво_1ст!F36</f>
        <v>0</v>
      </c>
      <c r="G36" s="407">
        <f t="shared" si="4"/>
        <v>0</v>
      </c>
      <c r="H36" s="2598">
        <f t="shared" si="5"/>
        <v>0</v>
      </c>
      <c r="I36" s="407">
        <f t="shared" si="5"/>
        <v>0</v>
      </c>
      <c r="J36" s="407">
        <f t="shared" si="5"/>
        <v>0</v>
      </c>
      <c r="K36" s="1754"/>
      <c r="L36" s="2596"/>
      <c r="M36" s="399">
        <f>Виробництво_1ст!F36</f>
        <v>0</v>
      </c>
      <c r="N36" s="706">
        <f t="shared" si="0"/>
        <v>0</v>
      </c>
      <c r="O36" s="706">
        <f t="shared" si="1"/>
        <v>0</v>
      </c>
      <c r="P36" s="2753">
        <f>Виробництво_1ст!G36-G36</f>
        <v>0</v>
      </c>
      <c r="Q36" s="2615">
        <f>Виробництво_1ст!H36-H36</f>
        <v>0</v>
      </c>
      <c r="R36" s="2753">
        <f>Виробництво_1ст!I36-I36</f>
        <v>0</v>
      </c>
      <c r="S36" s="2753">
        <f>Виробництво_1ст!J36-J36</f>
        <v>0</v>
      </c>
    </row>
    <row r="37" spans="1:19" ht="36" x14ac:dyDescent="0.35">
      <c r="A37" s="2223"/>
      <c r="B37" s="2222" t="str">
        <f>Виробництво_1ст!B37</f>
        <v>централізоване водопостачання, централізоване водовідведення (господарсько-питні потреби)</v>
      </c>
      <c r="C37" s="407">
        <f>Виробництво_1ст!C37</f>
        <v>0</v>
      </c>
      <c r="D37" s="407">
        <f>Виробництво_1ст!D37</f>
        <v>0</v>
      </c>
      <c r="E37" s="407">
        <f>Виробництво_1ст!E37</f>
        <v>10.275594703125</v>
      </c>
      <c r="F37" s="407">
        <f>Виробництво_1ст!F37</f>
        <v>10.788953664140625</v>
      </c>
      <c r="G37" s="407">
        <f t="shared" si="4"/>
        <v>8.9601710289796674</v>
      </c>
      <c r="H37" s="2598">
        <f t="shared" si="5"/>
        <v>1.451505581865236E-3</v>
      </c>
      <c r="I37" s="407">
        <f t="shared" si="5"/>
        <v>1.3671866250059892</v>
      </c>
      <c r="J37" s="407">
        <f t="shared" si="5"/>
        <v>0.46014450457310258</v>
      </c>
      <c r="K37" s="528" t="s">
        <v>1877</v>
      </c>
      <c r="L37" s="2596"/>
      <c r="M37" s="399">
        <f>Виробництво_1ст!F37</f>
        <v>10.788953664140625</v>
      </c>
      <c r="N37" s="706">
        <f t="shared" si="0"/>
        <v>0</v>
      </c>
      <c r="O37" s="706">
        <f t="shared" si="1"/>
        <v>0</v>
      </c>
      <c r="P37" s="2753">
        <f>Виробництво_1ст!G37-G37</f>
        <v>1.6461580650712904E-3</v>
      </c>
      <c r="Q37" s="2615">
        <f>Виробництво_1ст!H37-H37</f>
        <v>-1.7682895841067761E-6</v>
      </c>
      <c r="R37" s="2753">
        <f>Виробництво_1ст!I37-I37</f>
        <v>-1.8565212152248378E-3</v>
      </c>
      <c r="S37" s="2753">
        <f>Виробництво_1ст!J37-J37</f>
        <v>2.1213143973786153E-4</v>
      </c>
    </row>
    <row r="38" spans="1:19" ht="18" x14ac:dyDescent="0.35">
      <c r="A38" s="2223"/>
      <c r="B38" s="2222" t="str">
        <f>Виробництво_1ст!B38</f>
        <v>освітлення та робота оргтехніки</v>
      </c>
      <c r="C38" s="407">
        <f>Виробництво_1ст!C38</f>
        <v>0</v>
      </c>
      <c r="D38" s="407">
        <f>Виробництво_1ст!D38</f>
        <v>0</v>
      </c>
      <c r="E38" s="407">
        <f>Виробництво_1ст!E38</f>
        <v>0</v>
      </c>
      <c r="F38" s="407">
        <f>Виробництво_1ст!F38</f>
        <v>0</v>
      </c>
      <c r="G38" s="407">
        <f t="shared" si="4"/>
        <v>0</v>
      </c>
      <c r="H38" s="2598">
        <f t="shared" si="5"/>
        <v>0</v>
      </c>
      <c r="I38" s="407">
        <f t="shared" si="5"/>
        <v>0</v>
      </c>
      <c r="J38" s="407">
        <f t="shared" si="5"/>
        <v>0</v>
      </c>
      <c r="K38" s="389"/>
      <c r="L38" s="2596"/>
      <c r="M38" s="399">
        <f>Виробництво_1ст!F38</f>
        <v>0</v>
      </c>
      <c r="N38" s="706">
        <f t="shared" si="0"/>
        <v>0</v>
      </c>
      <c r="O38" s="706">
        <f t="shared" si="1"/>
        <v>0</v>
      </c>
      <c r="P38" s="2753">
        <f>Виробництво_1ст!G38-G38</f>
        <v>0</v>
      </c>
      <c r="Q38" s="2615">
        <f>Виробництво_1ст!H38-H38</f>
        <v>0</v>
      </c>
      <c r="R38" s="2753">
        <f>Виробництво_1ст!I38-I38</f>
        <v>0</v>
      </c>
      <c r="S38" s="2753">
        <f>Виробництво_1ст!J38-J38</f>
        <v>0</v>
      </c>
    </row>
    <row r="39" spans="1:19" ht="18" x14ac:dyDescent="0.35">
      <c r="A39" s="2223"/>
      <c r="B39" s="2222" t="str">
        <f>Виробництво_1ст!B39</f>
        <v>транспортні послуги</v>
      </c>
      <c r="C39" s="407">
        <f>Виробництво_1ст!C39</f>
        <v>0</v>
      </c>
      <c r="D39" s="407">
        <f>Виробництво_1ст!D39</f>
        <v>0</v>
      </c>
      <c r="E39" s="407">
        <f>Виробництво_1ст!E39</f>
        <v>0</v>
      </c>
      <c r="F39" s="407">
        <f>Виробництво_1ст!F39</f>
        <v>0</v>
      </c>
      <c r="G39" s="407">
        <f t="shared" si="4"/>
        <v>0</v>
      </c>
      <c r="H39" s="2598">
        <f t="shared" si="5"/>
        <v>0</v>
      </c>
      <c r="I39" s="407">
        <f t="shared" si="5"/>
        <v>0</v>
      </c>
      <c r="J39" s="407">
        <f t="shared" si="5"/>
        <v>0</v>
      </c>
      <c r="K39" s="1754"/>
      <c r="L39" s="2596"/>
      <c r="M39" s="399">
        <f>Виробництво_1ст!F39</f>
        <v>0</v>
      </c>
      <c r="N39" s="706">
        <f t="shared" si="0"/>
        <v>0</v>
      </c>
      <c r="O39" s="706">
        <f t="shared" si="1"/>
        <v>0</v>
      </c>
      <c r="P39" s="2753">
        <f>Виробництво_1ст!G39-G39</f>
        <v>0</v>
      </c>
      <c r="Q39" s="2615">
        <f>Виробництво_1ст!H39-H39</f>
        <v>0</v>
      </c>
      <c r="R39" s="2753">
        <f>Виробництво_1ст!I39-I39</f>
        <v>0</v>
      </c>
      <c r="S39" s="2753">
        <f>Виробництво_1ст!J39-J39</f>
        <v>0</v>
      </c>
    </row>
    <row r="40" spans="1:19" ht="18" x14ac:dyDescent="0.35">
      <c r="A40" s="2223"/>
      <c r="B40" s="2222" t="str">
        <f>Виробництво_1ст!B40</f>
        <v>вивезення сміття</v>
      </c>
      <c r="C40" s="407">
        <f>Виробництво_1ст!C40</f>
        <v>7.0124400000000007</v>
      </c>
      <c r="D40" s="407">
        <f>Виробництво_1ст!D40</f>
        <v>8.9012000000000011</v>
      </c>
      <c r="E40" s="407">
        <f>Виробництво_1ст!E40</f>
        <v>7.7970599999999992</v>
      </c>
      <c r="F40" s="407">
        <f>Виробництво_1ст!F40</f>
        <v>9.3563999999999989</v>
      </c>
      <c r="G40" s="407">
        <f t="shared" si="4"/>
        <v>7.7704425123437657</v>
      </c>
      <c r="H40" s="2598">
        <f t="shared" si="5"/>
        <v>1.2587751554910076E-3</v>
      </c>
      <c r="I40" s="407">
        <f t="shared" si="5"/>
        <v>1.1856520415619893</v>
      </c>
      <c r="J40" s="407">
        <f t="shared" si="5"/>
        <v>0.3990466709387529</v>
      </c>
      <c r="K40" s="1754" t="s">
        <v>1938</v>
      </c>
      <c r="L40" s="2596"/>
      <c r="M40" s="399">
        <f>Виробництво_1ст!F40</f>
        <v>9.3563999999999989</v>
      </c>
      <c r="N40" s="706">
        <f t="shared" si="0"/>
        <v>0</v>
      </c>
      <c r="O40" s="706">
        <f t="shared" si="1"/>
        <v>0</v>
      </c>
      <c r="P40" s="2753">
        <f>Виробництво_1ст!G40-G40</f>
        <v>1.4275817469888707E-3</v>
      </c>
      <c r="Q40" s="2615">
        <f>Виробництво_1ст!H40-H40</f>
        <v>-1.5334966837169013E-6</v>
      </c>
      <c r="R40" s="2753">
        <f>Виробництво_1ст!I40-I40</f>
        <v>-1.6100129483238579E-3</v>
      </c>
      <c r="S40" s="2753">
        <f>Виробництво_1ст!J40-J40</f>
        <v>1.8396469801890136E-4</v>
      </c>
    </row>
    <row r="41" spans="1:19" ht="18" x14ac:dyDescent="0.35">
      <c r="A41" s="2223"/>
      <c r="B41" s="2222" t="str">
        <f>Виробництво_1ст!B41</f>
        <v>технічне освідотствування</v>
      </c>
      <c r="C41" s="407">
        <f>Виробництво_1ст!C41</f>
        <v>0</v>
      </c>
      <c r="D41" s="407">
        <f>Виробництво_1ст!D41</f>
        <v>48.081890000000001</v>
      </c>
      <c r="E41" s="407">
        <f>Виробництво_1ст!E41</f>
        <v>48.422190000000001</v>
      </c>
      <c r="F41" s="407">
        <f>Виробництво_1ст!F41</f>
        <v>49.095780000000005</v>
      </c>
      <c r="G41" s="407">
        <f t="shared" si="4"/>
        <v>40.773795058855633</v>
      </c>
      <c r="H41" s="2598">
        <f t="shared" si="5"/>
        <v>6.6051631079744686E-3</v>
      </c>
      <c r="I41" s="407">
        <f t="shared" si="5"/>
        <v>6.221464643354099</v>
      </c>
      <c r="J41" s="407">
        <f t="shared" si="5"/>
        <v>2.0939151346822937</v>
      </c>
      <c r="K41" s="389" t="s">
        <v>1651</v>
      </c>
      <c r="L41" s="391"/>
      <c r="M41" s="399">
        <f>Виробництво_1ст!F41</f>
        <v>49.095780000000005</v>
      </c>
      <c r="N41" s="706">
        <f t="shared" si="0"/>
        <v>5.3290705182007514E-15</v>
      </c>
      <c r="O41" s="706">
        <f t="shared" si="1"/>
        <v>0</v>
      </c>
      <c r="P41" s="2753">
        <f>Виробництво_1ст!G41-G41</f>
        <v>7.4909408941721267E-3</v>
      </c>
      <c r="Q41" s="2615">
        <f>Виробництво_1ст!H41-H41</f>
        <v>-8.0467076882667632E-6</v>
      </c>
      <c r="R41" s="2753">
        <f>Виробництво_1ст!I41-I41</f>
        <v>-8.448211011505613E-3</v>
      </c>
      <c r="S41" s="2753">
        <f>Виробництво_1ст!J41-J41</f>
        <v>9.6531682502876137E-4</v>
      </c>
    </row>
    <row r="42" spans="1:19" ht="18" x14ac:dyDescent="0.35">
      <c r="A42" s="2223"/>
      <c r="B42" s="2222" t="str">
        <f>Виробництво_1ст!B42</f>
        <v>технічне обслуговування</v>
      </c>
      <c r="C42" s="407">
        <f>Виробництво_1ст!C42</f>
        <v>182.68467999999999</v>
      </c>
      <c r="D42" s="407">
        <f>Виробництво_1ст!D42</f>
        <v>129.54193999999998</v>
      </c>
      <c r="E42" s="407">
        <f>Виробництво_1ст!E42</f>
        <v>133.60115666666667</v>
      </c>
      <c r="F42" s="407">
        <f>Виробництво_1ст!F42</f>
        <v>180.79783166666667</v>
      </c>
      <c r="G42" s="407">
        <f t="shared" si="4"/>
        <v>150.15167770961466</v>
      </c>
      <c r="H42" s="2598">
        <f t="shared" si="5"/>
        <v>2.4323865874550616E-2</v>
      </c>
      <c r="I42" s="407">
        <f t="shared" si="5"/>
        <v>22.91087578829082</v>
      </c>
      <c r="J42" s="407">
        <f t="shared" si="5"/>
        <v>7.7109543028866216</v>
      </c>
      <c r="K42" s="389" t="s">
        <v>1651</v>
      </c>
      <c r="L42" s="391"/>
      <c r="M42" s="399">
        <f>Виробництво_1ст!F42</f>
        <v>180.79783166666667</v>
      </c>
      <c r="N42" s="706">
        <f t="shared" si="0"/>
        <v>1.5987211554602254E-14</v>
      </c>
      <c r="O42" s="706">
        <f t="shared" si="1"/>
        <v>0</v>
      </c>
      <c r="P42" s="2753">
        <f>Виробництво_1ст!G42-G42</f>
        <v>2.7585789874592592E-2</v>
      </c>
      <c r="Q42" s="2615">
        <f>Виробництво_1ст!H42-H42</f>
        <v>-2.9632430772953688E-5</v>
      </c>
      <c r="R42" s="2753">
        <f>Виробництво_1ст!I42-I42</f>
        <v>-3.1110988201891843E-2</v>
      </c>
      <c r="S42" s="2753">
        <f>Виробництво_1ст!J42-J42</f>
        <v>3.5548307580937077E-3</v>
      </c>
    </row>
    <row r="43" spans="1:19" ht="18" x14ac:dyDescent="0.35">
      <c r="A43" s="2223"/>
      <c r="B43" s="2222" t="str">
        <f>Виробництво_1ст!B43</f>
        <v>техобслуговування засобів</v>
      </c>
      <c r="C43" s="407">
        <f>Виробництво_1ст!C43</f>
        <v>0</v>
      </c>
      <c r="D43" s="407">
        <f>Виробництво_1ст!D43</f>
        <v>0</v>
      </c>
      <c r="E43" s="407">
        <f>Виробництво_1ст!E43</f>
        <v>0</v>
      </c>
      <c r="F43" s="407">
        <f>Виробництво_1ст!F43</f>
        <v>2</v>
      </c>
      <c r="G43" s="407">
        <f t="shared" si="4"/>
        <v>1.6609898064092528</v>
      </c>
      <c r="H43" s="2598">
        <f t="shared" si="5"/>
        <v>2.6907253975695948E-4</v>
      </c>
      <c r="I43" s="407">
        <f t="shared" si="5"/>
        <v>0.25344193099097717</v>
      </c>
      <c r="J43" s="407">
        <f t="shared" si="5"/>
        <v>8.5299190060013033E-2</v>
      </c>
      <c r="K43" s="389" t="s">
        <v>1714</v>
      </c>
      <c r="L43" s="391"/>
      <c r="M43" s="399">
        <f>Виробництво_1ст!F43</f>
        <v>2</v>
      </c>
      <c r="N43" s="706">
        <f t="shared" si="0"/>
        <v>0</v>
      </c>
      <c r="O43" s="706">
        <f t="shared" si="1"/>
        <v>0</v>
      </c>
      <c r="P43" s="2753">
        <f>Виробництво_1ст!G43-G43</f>
        <v>3.0515620259707887E-4</v>
      </c>
      <c r="Q43" s="2615">
        <f>Виробництво_1ст!H43-H43</f>
        <v>-3.2779630706618367E-7</v>
      </c>
      <c r="R43" s="2753">
        <f>Виробництво_1ст!I43-I43</f>
        <v>-3.4415222699407666E-4</v>
      </c>
      <c r="S43" s="2753">
        <f>Виробництво_1ст!J43-J43</f>
        <v>3.9323820704303958E-5</v>
      </c>
    </row>
    <row r="44" spans="1:19" ht="18" x14ac:dyDescent="0.35">
      <c r="A44" s="2223"/>
      <c r="B44" s="2222" t="str">
        <f>Виробництво_1ст!B44</f>
        <v>пожежна автоматика</v>
      </c>
      <c r="C44" s="407">
        <f>Виробництво_1ст!C44</f>
        <v>0</v>
      </c>
      <c r="D44" s="407">
        <f>Виробництво_1ст!D44</f>
        <v>0.6</v>
      </c>
      <c r="E44" s="407">
        <f>Виробництво_1ст!E44</f>
        <v>3</v>
      </c>
      <c r="F44" s="407">
        <f>Виробництво_1ст!F44</f>
        <v>3</v>
      </c>
      <c r="G44" s="407">
        <f t="shared" si="4"/>
        <v>2.491484709613879</v>
      </c>
      <c r="H44" s="2598">
        <f t="shared" si="5"/>
        <v>4.0360880963543922E-4</v>
      </c>
      <c r="I44" s="407">
        <f t="shared" si="5"/>
        <v>0.38016289648646573</v>
      </c>
      <c r="J44" s="407">
        <f t="shared" si="5"/>
        <v>0.12794878509001956</v>
      </c>
      <c r="K44" s="1754"/>
      <c r="L44" s="2596"/>
      <c r="M44" s="399">
        <f>Виробництво_1ст!F44</f>
        <v>3</v>
      </c>
      <c r="N44" s="706">
        <f t="shared" si="0"/>
        <v>2.7755575615628914E-16</v>
      </c>
      <c r="O44" s="706">
        <f t="shared" si="1"/>
        <v>0</v>
      </c>
      <c r="P44" s="2753">
        <f>Виробництво_1ст!G44-G44</f>
        <v>4.5773430389584036E-4</v>
      </c>
      <c r="Q44" s="2615">
        <f>Виробництво_1ст!H44-H44</f>
        <v>-4.916944605992484E-7</v>
      </c>
      <c r="R44" s="2753">
        <f>Виробництво_1ст!I44-I44</f>
        <v>-5.1622834049108723E-4</v>
      </c>
      <c r="S44" s="2753">
        <f>Виробництво_1ст!J44-J44</f>
        <v>5.8985731056448998E-5</v>
      </c>
    </row>
    <row r="45" spans="1:19" ht="17.399999999999999" customHeight="1" x14ac:dyDescent="0.35">
      <c r="A45" s="2223"/>
      <c r="B45" s="2222" t="str">
        <f>Виробництво_1ст!B45</f>
        <v>страхування</v>
      </c>
      <c r="C45" s="407">
        <f>Виробництво_1ст!C45</f>
        <v>6.069</v>
      </c>
      <c r="D45" s="407">
        <f>Виробництво_1ст!D45</f>
        <v>6.069</v>
      </c>
      <c r="E45" s="407">
        <f>Виробництво_1ст!E45</f>
        <v>7.069</v>
      </c>
      <c r="F45" s="407">
        <f>Виробництво_1ст!F45</f>
        <v>7.069</v>
      </c>
      <c r="G45" s="407">
        <f t="shared" si="4"/>
        <v>5.8707684707535037</v>
      </c>
      <c r="H45" s="2598">
        <f t="shared" si="5"/>
        <v>9.510368917709733E-4</v>
      </c>
      <c r="I45" s="407">
        <f t="shared" si="5"/>
        <v>0.89579050508760882</v>
      </c>
      <c r="J45" s="407">
        <f t="shared" si="5"/>
        <v>0.30148998726711607</v>
      </c>
      <c r="K45" s="389" t="s">
        <v>1601</v>
      </c>
      <c r="L45" s="391"/>
      <c r="M45" s="399">
        <f>Виробництво_1ст!F45</f>
        <v>7.069</v>
      </c>
      <c r="N45" s="706">
        <f t="shared" si="0"/>
        <v>4.4408920985006262E-16</v>
      </c>
      <c r="O45" s="706">
        <f t="shared" si="1"/>
        <v>0</v>
      </c>
      <c r="P45" s="2753">
        <f>Виробництво_1ст!G45-G45</f>
        <v>1.0785745980799177E-3</v>
      </c>
      <c r="Q45" s="2615">
        <f>Виробництво_1ст!H45-H45</f>
        <v>-1.158596047325447E-6</v>
      </c>
      <c r="R45" s="2753">
        <f>Виробництво_1ст!I45-I45</f>
        <v>-1.2164060463105697E-3</v>
      </c>
      <c r="S45" s="2753">
        <f>Виробництво_1ст!J45-J45</f>
        <v>1.3899004427936346E-4</v>
      </c>
    </row>
    <row r="46" spans="1:19" ht="54" x14ac:dyDescent="0.35">
      <c r="A46" s="2223"/>
      <c r="B46" s="2569" t="str">
        <f>Виробництво_1ст!B46</f>
        <v>послуги з виконання комплексних робіт з впровадження моніторінгу, звітності і варифікації викидів парникових газів</v>
      </c>
      <c r="C46" s="407">
        <f>Виробництво_1ст!C46</f>
        <v>0</v>
      </c>
      <c r="D46" s="407">
        <f>Виробництво_1ст!D46</f>
        <v>0</v>
      </c>
      <c r="E46" s="407">
        <f>Виробництво_1ст!E46</f>
        <v>0</v>
      </c>
      <c r="F46" s="407">
        <f>Виробництво_1ст!F46</f>
        <v>30</v>
      </c>
      <c r="G46" s="407">
        <f t="shared" si="4"/>
        <v>24.914847096138793</v>
      </c>
      <c r="H46" s="2598">
        <f t="shared" si="5"/>
        <v>4.0360880963543925E-3</v>
      </c>
      <c r="I46" s="407">
        <f t="shared" si="5"/>
        <v>3.8016289648646575</v>
      </c>
      <c r="J46" s="407">
        <f t="shared" si="5"/>
        <v>1.2794878509001955</v>
      </c>
      <c r="K46" s="1754"/>
      <c r="L46" s="2596"/>
      <c r="M46" s="399">
        <f>Виробництво_1ст!F46</f>
        <v>30</v>
      </c>
      <c r="N46" s="706">
        <f t="shared" si="0"/>
        <v>0</v>
      </c>
      <c r="O46" s="706">
        <f t="shared" si="1"/>
        <v>0</v>
      </c>
      <c r="P46" s="2753">
        <f>Виробництво_1ст!G46-G46</f>
        <v>4.5773430389530745E-3</v>
      </c>
      <c r="Q46" s="2615">
        <f>Виробництво_1ст!H46-H46</f>
        <v>-4.9169446059930261E-6</v>
      </c>
      <c r="R46" s="2753">
        <f>Виробництво_1ст!I46-I46</f>
        <v>-5.1622834049109834E-3</v>
      </c>
      <c r="S46" s="2753">
        <f>Виробництво_1ст!J46-J46</f>
        <v>5.8985731056471202E-4</v>
      </c>
    </row>
    <row r="47" spans="1:19" ht="18" x14ac:dyDescent="0.35">
      <c r="A47" s="2223"/>
      <c r="B47" s="2223" t="str">
        <f>Виробництво_1ст!B47</f>
        <v>державна повірка, юстування</v>
      </c>
      <c r="C47" s="407">
        <f>Виробництво_1ст!C47</f>
        <v>77.480779999999996</v>
      </c>
      <c r="D47" s="407">
        <f>Виробництво_1ст!D47</f>
        <v>111.68705</v>
      </c>
      <c r="E47" s="407">
        <f>Виробництво_1ст!E47</f>
        <v>104.39480833333333</v>
      </c>
      <c r="F47" s="407">
        <f>Виробництво_1ст!F47</f>
        <v>84.305020000000013</v>
      </c>
      <c r="G47" s="407">
        <f t="shared" si="4"/>
        <v>70.014889424564103</v>
      </c>
      <c r="H47" s="2598">
        <f t="shared" si="5"/>
        <v>1.1342082922830633E-2</v>
      </c>
      <c r="I47" s="407">
        <f t="shared" si="5"/>
        <v>10.683213530516477</v>
      </c>
      <c r="J47" s="407">
        <f t="shared" si="5"/>
        <v>3.5955749619966006</v>
      </c>
      <c r="K47" s="389" t="s">
        <v>1715</v>
      </c>
      <c r="L47" s="391"/>
      <c r="M47" s="399">
        <f>Виробництво_1ст!F47</f>
        <v>84.305020000000013</v>
      </c>
      <c r="N47" s="706">
        <f t="shared" si="0"/>
        <v>0</v>
      </c>
      <c r="O47" s="706">
        <f t="shared" si="1"/>
        <v>0</v>
      </c>
      <c r="P47" s="2753">
        <f>Виробництво_1ст!G47-G47</f>
        <v>1.2863099881528228E-2</v>
      </c>
      <c r="Q47" s="2615">
        <f>Виробництво_1ст!H47-H47</f>
        <v>-1.3817437111570199E-5</v>
      </c>
      <c r="R47" s="2753">
        <f>Виробництво_1ст!I47-I47</f>
        <v>-1.450688018988977E-2</v>
      </c>
      <c r="S47" s="2753">
        <f>Виробництво_1ст!J47-J47</f>
        <v>1.657597745476469E-3</v>
      </c>
    </row>
    <row r="48" spans="1:19" ht="18" x14ac:dyDescent="0.35">
      <c r="A48" s="2224"/>
      <c r="B48" s="2223" t="str">
        <f>Виробництво_1ст!B48</f>
        <v>медогляд</v>
      </c>
      <c r="C48" s="407">
        <f>Виробництво_1ст!C48</f>
        <v>11.556050000000001</v>
      </c>
      <c r="D48" s="407">
        <f>Виробництво_1ст!D48</f>
        <v>10.51713</v>
      </c>
      <c r="E48" s="407">
        <f>Виробництво_1ст!E48</f>
        <v>12.113010000000001</v>
      </c>
      <c r="F48" s="407">
        <f>Виробництво_1ст!F48</f>
        <v>20.826779999999999</v>
      </c>
      <c r="G48" s="407">
        <f t="shared" si="4"/>
        <v>17.296534640164047</v>
      </c>
      <c r="H48" s="2598">
        <f t="shared" si="5"/>
        <v>2.8019572947797244E-3</v>
      </c>
      <c r="I48" s="407">
        <f t="shared" si="5"/>
        <v>2.6391896697621315</v>
      </c>
      <c r="J48" s="407">
        <f t="shared" si="5"/>
        <v>0.88825373277903907</v>
      </c>
      <c r="K48" s="389" t="s">
        <v>1409</v>
      </c>
      <c r="L48" s="391"/>
      <c r="M48" s="399">
        <f>Виробництво_1ст!F48</f>
        <v>20.826779999999999</v>
      </c>
      <c r="N48" s="706">
        <f t="shared" si="0"/>
        <v>1.6653345369377348E-15</v>
      </c>
      <c r="O48" s="706">
        <f t="shared" si="1"/>
        <v>0</v>
      </c>
      <c r="P48" s="2753">
        <f>Виробництво_1ст!G48-G48</f>
        <v>3.1777105485630841E-3</v>
      </c>
      <c r="Q48" s="2615">
        <f>Виробництво_1ст!H48-H48</f>
        <v>-3.4134707860402139E-6</v>
      </c>
      <c r="R48" s="2753">
        <f>Виробництво_1ст!I48-I48</f>
        <v>-3.5837913590577308E-3</v>
      </c>
      <c r="S48" s="2753">
        <f>Виробництво_1ст!J48-J48</f>
        <v>4.0949428128400633E-4</v>
      </c>
    </row>
    <row r="49" spans="1:19" ht="18.75" customHeight="1" x14ac:dyDescent="0.35">
      <c r="A49" s="2224"/>
      <c r="B49" s="2223" t="str">
        <f>Виробництво_1ст!B49</f>
        <v>підготовка та перепідготовка кадрів</v>
      </c>
      <c r="C49" s="407">
        <f>Виробництво_1ст!C49</f>
        <v>3.5481099999999999</v>
      </c>
      <c r="D49" s="407">
        <f>Виробництво_1ст!D49</f>
        <v>30.31</v>
      </c>
      <c r="E49" s="407">
        <f>Виробництво_1ст!E49</f>
        <v>0.94925000000000004</v>
      </c>
      <c r="F49" s="407">
        <f>Виробництво_1ст!F49</f>
        <v>0.35549999999999998</v>
      </c>
      <c r="G49" s="407">
        <f t="shared" si="4"/>
        <v>0.29524093808924468</v>
      </c>
      <c r="H49" s="2598">
        <f t="shared" si="5"/>
        <v>4.7827643941799543E-5</v>
      </c>
      <c r="I49" s="407">
        <f t="shared" si="5"/>
        <v>4.5049303233646192E-2</v>
      </c>
      <c r="J49" s="407">
        <f t="shared" si="5"/>
        <v>1.5161931033167316E-2</v>
      </c>
      <c r="K49" s="389" t="s">
        <v>1409</v>
      </c>
      <c r="L49" s="391"/>
      <c r="M49" s="399">
        <f>Виробництво_1ст!F49</f>
        <v>0.35549999999999998</v>
      </c>
      <c r="N49" s="706">
        <f t="shared" si="0"/>
        <v>0</v>
      </c>
      <c r="O49" s="706">
        <f t="shared" si="1"/>
        <v>0</v>
      </c>
      <c r="P49" s="2753">
        <f>Виробництво_1ст!G49-G49</f>
        <v>5.4241515011599351E-5</v>
      </c>
      <c r="Q49" s="2615">
        <f>Виробництво_1ст!H49-H49</f>
        <v>-5.8265793581011071E-8</v>
      </c>
      <c r="R49" s="2753">
        <f>Виробництво_1ст!I49-I49</f>
        <v>-6.1173058348198972E-5</v>
      </c>
      <c r="S49" s="2753">
        <f>Виробництво_1ст!J49-J49</f>
        <v>6.9898091301905801E-6</v>
      </c>
    </row>
    <row r="50" spans="1:19" ht="18.75" customHeight="1" x14ac:dyDescent="0.35">
      <c r="A50" s="2224"/>
      <c r="B50" s="2223" t="str">
        <f>Виробництво_1ст!B50</f>
        <v>атестація робочих місць</v>
      </c>
      <c r="C50" s="407">
        <f>Виробництво_1ст!C50</f>
        <v>0</v>
      </c>
      <c r="D50" s="407">
        <f>Виробництво_1ст!D50</f>
        <v>1.75</v>
      </c>
      <c r="E50" s="407">
        <f>Виробництво_1ст!E50</f>
        <v>14.599920000000003</v>
      </c>
      <c r="F50" s="407">
        <f>Виробництво_1ст!F50</f>
        <v>2.4</v>
      </c>
      <c r="G50" s="407">
        <f t="shared" si="4"/>
        <v>1.9931877676911032</v>
      </c>
      <c r="H50" s="2598">
        <f t="shared" si="5"/>
        <v>3.2288704770835138E-4</v>
      </c>
      <c r="I50" s="407">
        <f t="shared" si="5"/>
        <v>0.30413031718917261</v>
      </c>
      <c r="J50" s="407">
        <f t="shared" si="5"/>
        <v>0.10235902807201563</v>
      </c>
      <c r="K50" s="389" t="s">
        <v>1409</v>
      </c>
      <c r="L50" s="391"/>
      <c r="M50" s="399">
        <f>Виробництво_1ст!F50</f>
        <v>2.4</v>
      </c>
      <c r="N50" s="706">
        <f t="shared" ref="N50:N81" si="6">F50-G50-H50-I50-J50</f>
        <v>1.6653345369377348E-16</v>
      </c>
      <c r="O50" s="706">
        <f t="shared" si="1"/>
        <v>0</v>
      </c>
      <c r="P50" s="2753">
        <f>Виробництво_1ст!G50-G50</f>
        <v>3.6618744311645024E-4</v>
      </c>
      <c r="Q50" s="2615">
        <f>Виробництво_1ст!H50-H50</f>
        <v>-3.9335556847945293E-7</v>
      </c>
      <c r="R50" s="2753">
        <f>Виробництво_1ст!I50-I50</f>
        <v>-4.129826723929253E-4</v>
      </c>
      <c r="S50" s="2753">
        <f>Виробництво_1ст!J50-J50</f>
        <v>4.7188584845161974E-5</v>
      </c>
    </row>
    <row r="51" spans="1:19" ht="18.75" customHeight="1" x14ac:dyDescent="0.35">
      <c r="A51" s="2224"/>
      <c r="B51" s="2223" t="str">
        <f>Виробництво_1ст!B51</f>
        <v>виготовлення проектної документації</v>
      </c>
      <c r="C51" s="407">
        <f>Виробництво_1ст!C51</f>
        <v>0</v>
      </c>
      <c r="D51" s="407">
        <f>Виробництво_1ст!D51</f>
        <v>0</v>
      </c>
      <c r="E51" s="407">
        <f>Виробництво_1ст!E51</f>
        <v>10.285299999999999</v>
      </c>
      <c r="F51" s="407">
        <f>Виробництво_1ст!F51</f>
        <v>0</v>
      </c>
      <c r="G51" s="407">
        <f t="shared" si="4"/>
        <v>0</v>
      </c>
      <c r="H51" s="2598">
        <f t="shared" si="5"/>
        <v>0</v>
      </c>
      <c r="I51" s="407">
        <f t="shared" si="5"/>
        <v>0</v>
      </c>
      <c r="J51" s="407">
        <f t="shared" si="5"/>
        <v>0</v>
      </c>
      <c r="K51" s="1754"/>
      <c r="L51" s="2596"/>
      <c r="M51" s="399">
        <f>Виробництво_1ст!F51</f>
        <v>0</v>
      </c>
      <c r="N51" s="706">
        <f t="shared" si="6"/>
        <v>0</v>
      </c>
      <c r="O51" s="706">
        <f t="shared" si="1"/>
        <v>0</v>
      </c>
      <c r="P51" s="2753">
        <f>Виробництво_1ст!G51-G51</f>
        <v>0</v>
      </c>
      <c r="Q51" s="2615">
        <f>Виробництво_1ст!H51-H51</f>
        <v>0</v>
      </c>
      <c r="R51" s="2753">
        <f>Виробництво_1ст!I51-I51</f>
        <v>0</v>
      </c>
      <c r="S51" s="2753">
        <f>Виробництво_1ст!J51-J51</f>
        <v>0</v>
      </c>
    </row>
    <row r="52" spans="1:19" ht="18.75" customHeight="1" x14ac:dyDescent="0.35">
      <c r="A52" s="2224"/>
      <c r="B52" s="2223" t="str">
        <f>Виробництво_1ст!B52</f>
        <v>утилізація відходів, устаткування, обладнання</v>
      </c>
      <c r="C52" s="407">
        <f>Виробництво_1ст!C52</f>
        <v>0.64449999999999996</v>
      </c>
      <c r="D52" s="407">
        <f>Виробництво_1ст!D52</f>
        <v>0</v>
      </c>
      <c r="E52" s="407">
        <f>Виробництво_1ст!E52</f>
        <v>0.49249999999999999</v>
      </c>
      <c r="F52" s="407">
        <f>Виробництво_1ст!F52</f>
        <v>1.5309999999999999</v>
      </c>
      <c r="G52" s="407">
        <f t="shared" si="4"/>
        <v>1.2714876968062829</v>
      </c>
      <c r="H52" s="2598">
        <f t="shared" ref="H52:J71" si="7">$F52*H$9</f>
        <v>2.0597502918395246E-4</v>
      </c>
      <c r="I52" s="407">
        <f t="shared" si="7"/>
        <v>0.19400979817359301</v>
      </c>
      <c r="J52" s="407">
        <f t="shared" si="7"/>
        <v>6.5296529990939975E-2</v>
      </c>
      <c r="K52" s="389" t="s">
        <v>1906</v>
      </c>
      <c r="L52" s="2596"/>
      <c r="M52" s="399">
        <f>Виробництво_1ст!F52</f>
        <v>1.5309999999999999</v>
      </c>
      <c r="N52" s="706">
        <f t="shared" si="6"/>
        <v>0</v>
      </c>
      <c r="O52" s="706">
        <f t="shared" si="1"/>
        <v>0</v>
      </c>
      <c r="P52" s="2753">
        <f>Виробництво_1ст!G52-G52</f>
        <v>2.3359707308800992E-4</v>
      </c>
      <c r="Q52" s="2615">
        <f>Виробництво_1ст!H52-H52</f>
        <v>-2.5092807305916449E-7</v>
      </c>
      <c r="R52" s="2753">
        <f>Виробництво_1ст!I52-I52</f>
        <v>-2.6344852976395439E-4</v>
      </c>
      <c r="S52" s="2753">
        <f>Виробництво_1ст!J52-J52</f>
        <v>3.0102384749139399E-5</v>
      </c>
    </row>
    <row r="53" spans="1:19" ht="18.75" customHeight="1" x14ac:dyDescent="0.35">
      <c r="A53" s="2224"/>
      <c r="B53" s="2223" t="str">
        <f>Виробництво_1ст!B53</f>
        <v>лабораторні випробування захисних засобів</v>
      </c>
      <c r="C53" s="407">
        <f>Виробництво_1ст!C53</f>
        <v>18</v>
      </c>
      <c r="D53" s="407">
        <f>Виробництво_1ст!D53</f>
        <v>5.77</v>
      </c>
      <c r="E53" s="407">
        <f>Виробництво_1ст!E53</f>
        <v>7.42</v>
      </c>
      <c r="F53" s="407">
        <f>Виробництво_1ст!F53</f>
        <v>5.49</v>
      </c>
      <c r="G53" s="407">
        <f t="shared" si="4"/>
        <v>4.5594170185933987</v>
      </c>
      <c r="H53" s="2598">
        <f t="shared" si="7"/>
        <v>7.3860412163285376E-4</v>
      </c>
      <c r="I53" s="407">
        <f t="shared" si="7"/>
        <v>0.6956981005702324</v>
      </c>
      <c r="J53" s="407">
        <f t="shared" si="7"/>
        <v>0.23414627671473578</v>
      </c>
      <c r="K53" s="1754" t="s">
        <v>1938</v>
      </c>
      <c r="L53" s="2596"/>
      <c r="M53" s="399">
        <f>Виробництво_1ст!F53</f>
        <v>5.49</v>
      </c>
      <c r="N53" s="706">
        <f t="shared" si="6"/>
        <v>5.2735593669694936E-16</v>
      </c>
      <c r="O53" s="706">
        <f t="shared" si="1"/>
        <v>0</v>
      </c>
      <c r="P53" s="2753">
        <f>Виробництво_1ст!G53-G53</f>
        <v>8.3765377612898817E-4</v>
      </c>
      <c r="Q53" s="2615">
        <f>Виробництво_1ст!H53-H53</f>
        <v>-8.9980086289667607E-7</v>
      </c>
      <c r="R53" s="2753">
        <f>Виробництво_1ст!I53-I53</f>
        <v>-9.4469786309880899E-4</v>
      </c>
      <c r="S53" s="2753">
        <f>Виробництво_1ст!J53-J53</f>
        <v>1.0794388783330611E-4</v>
      </c>
    </row>
    <row r="54" spans="1:19" ht="18.75" customHeight="1" x14ac:dyDescent="0.35">
      <c r="A54" s="2224"/>
      <c r="B54" s="2223" t="str">
        <f>Виробництво_1ст!B54</f>
        <v>надання графіка навантаження</v>
      </c>
      <c r="C54" s="407">
        <f>Виробництво_1ст!C54</f>
        <v>0</v>
      </c>
      <c r="D54" s="407">
        <f>Виробництво_1ст!D54</f>
        <v>0</v>
      </c>
      <c r="E54" s="407">
        <f>Виробництво_1ст!E54</f>
        <v>0.29166666666666669</v>
      </c>
      <c r="F54" s="407">
        <f>Виробництво_1ст!F54</f>
        <v>0.29166666666666669</v>
      </c>
      <c r="G54" s="407">
        <f t="shared" si="4"/>
        <v>0.24222768010134937</v>
      </c>
      <c r="H54" s="2598">
        <f t="shared" si="7"/>
        <v>3.9239745381223257E-5</v>
      </c>
      <c r="I54" s="407">
        <f t="shared" si="7"/>
        <v>3.6960281602850843E-2</v>
      </c>
      <c r="J54" s="407">
        <f t="shared" si="7"/>
        <v>1.2439465217085235E-2</v>
      </c>
      <c r="K54" s="1754" t="s">
        <v>1938</v>
      </c>
      <c r="L54" s="2596"/>
      <c r="M54" s="399">
        <f>Виробництво_1ст!F54</f>
        <v>0.29166666666666669</v>
      </c>
      <c r="N54" s="706">
        <f t="shared" si="6"/>
        <v>0</v>
      </c>
      <c r="O54" s="706">
        <f t="shared" si="1"/>
        <v>0</v>
      </c>
      <c r="P54" s="2753">
        <f>Виробництво_1ст!G54-G54</f>
        <v>4.4501946212083254E-5</v>
      </c>
      <c r="Q54" s="2615">
        <f>Виробництво_1ст!H54-H54</f>
        <v>-4.7803628113817322E-8</v>
      </c>
      <c r="R54" s="2753">
        <f>Виробництво_1ст!I54-I54</f>
        <v>-5.0188866436637336E-5</v>
      </c>
      <c r="S54" s="2753">
        <f>Виробництво_1ст!J54-J54</f>
        <v>5.7347238527107047E-6</v>
      </c>
    </row>
    <row r="55" spans="1:19" ht="18.75" customHeight="1" x14ac:dyDescent="0.35">
      <c r="A55" s="2224"/>
      <c r="B55" s="2223" t="str">
        <f>Виробництво_1ст!B55</f>
        <v>послуги з проведення інструментально-лабораторних вимірів для здійснення контролю забруднюючих речовин в навколішному середовищу</v>
      </c>
      <c r="C55" s="407">
        <f>Виробництво_1ст!C55</f>
        <v>0</v>
      </c>
      <c r="D55" s="407">
        <f>Виробництво_1ст!D55</f>
        <v>0</v>
      </c>
      <c r="E55" s="407">
        <f>Виробництво_1ст!E55</f>
        <v>18</v>
      </c>
      <c r="F55" s="407">
        <f>Виробництво_1ст!F55</f>
        <v>0</v>
      </c>
      <c r="G55" s="407">
        <f t="shared" si="4"/>
        <v>0</v>
      </c>
      <c r="H55" s="2598">
        <f t="shared" si="7"/>
        <v>0</v>
      </c>
      <c r="I55" s="407">
        <f t="shared" si="7"/>
        <v>0</v>
      </c>
      <c r="J55" s="407">
        <f t="shared" si="7"/>
        <v>0</v>
      </c>
      <c r="K55" s="1754" t="s">
        <v>1938</v>
      </c>
      <c r="L55" s="2596"/>
      <c r="M55" s="399">
        <f>Виробництво_1ст!F55</f>
        <v>0</v>
      </c>
      <c r="N55" s="706">
        <f t="shared" si="6"/>
        <v>0</v>
      </c>
      <c r="O55" s="706">
        <f t="shared" si="1"/>
        <v>0</v>
      </c>
      <c r="P55" s="2753">
        <f>Виробництво_1ст!G55-G55</f>
        <v>0</v>
      </c>
      <c r="Q55" s="2615">
        <f>Виробництво_1ст!H55-H55</f>
        <v>0</v>
      </c>
      <c r="R55" s="2753">
        <f>Виробництво_1ст!I55-I55</f>
        <v>0</v>
      </c>
      <c r="S55" s="2753">
        <f>Виробництво_1ст!J55-J55</f>
        <v>0</v>
      </c>
    </row>
    <row r="56" spans="1:19" ht="18.75" customHeight="1" x14ac:dyDescent="0.35">
      <c r="A56" s="2224"/>
      <c r="B56" s="2223" t="str">
        <f>Виробництво_1ст!B56</f>
        <v>вимірювання опору заземлення</v>
      </c>
      <c r="C56" s="407">
        <f>Виробництво_1ст!C56</f>
        <v>48.140999999999998</v>
      </c>
      <c r="D56" s="407">
        <f>Виробництво_1ст!D56</f>
        <v>31.347000000000001</v>
      </c>
      <c r="E56" s="407">
        <f>Виробництво_1ст!E56</f>
        <v>31.263300000000001</v>
      </c>
      <c r="F56" s="407">
        <f>Виробництво_1ст!F56</f>
        <v>31.347000000000001</v>
      </c>
      <c r="G56" s="407">
        <f t="shared" si="4"/>
        <v>26.033523730755423</v>
      </c>
      <c r="H56" s="2598">
        <f t="shared" si="7"/>
        <v>4.2173084518807042E-3</v>
      </c>
      <c r="I56" s="407">
        <f t="shared" si="7"/>
        <v>3.972322105387081</v>
      </c>
      <c r="J56" s="407">
        <f t="shared" si="7"/>
        <v>1.3369368554056142</v>
      </c>
      <c r="K56" s="389" t="s">
        <v>1717</v>
      </c>
      <c r="L56" s="391"/>
      <c r="M56" s="399">
        <f>Виробництво_1ст!F56</f>
        <v>31.347000000000001</v>
      </c>
      <c r="N56" s="706">
        <f t="shared" si="6"/>
        <v>2.4424906541753444E-15</v>
      </c>
      <c r="O56" s="706">
        <f t="shared" si="1"/>
        <v>0</v>
      </c>
      <c r="P56" s="2753">
        <f>Виробництво_1ст!G56-G56</f>
        <v>4.7828657414079601E-3</v>
      </c>
      <c r="Q56" s="2615">
        <f>Виробництво_1ст!H56-H56</f>
        <v>-5.1377154188011337E-6</v>
      </c>
      <c r="R56" s="2753">
        <f>Виробництво_1ст!I56-I56</f>
        <v>-5.3940699297916339E-3</v>
      </c>
      <c r="S56" s="2753">
        <f>Виробництво_1ст!J56-J56</f>
        <v>6.1634190380899234E-4</v>
      </c>
    </row>
    <row r="57" spans="1:19" ht="18.75" customHeight="1" x14ac:dyDescent="0.35">
      <c r="A57" s="2224"/>
      <c r="B57" s="2223" t="str">
        <f>Виробництво_1ст!B57</f>
        <v>експетне обстеження стану охорони праці</v>
      </c>
      <c r="C57" s="407">
        <f>Виробництво_1ст!C57</f>
        <v>0</v>
      </c>
      <c r="D57" s="407">
        <f>Виробництво_1ст!D57</f>
        <v>0</v>
      </c>
      <c r="E57" s="407">
        <f>Виробництво_1ст!E57</f>
        <v>55.77</v>
      </c>
      <c r="F57" s="407">
        <f>Виробництво_1ст!F57</f>
        <v>0</v>
      </c>
      <c r="G57" s="407">
        <f t="shared" si="4"/>
        <v>0</v>
      </c>
      <c r="H57" s="2598">
        <f t="shared" si="7"/>
        <v>0</v>
      </c>
      <c r="I57" s="407">
        <f t="shared" si="7"/>
        <v>0</v>
      </c>
      <c r="J57" s="407">
        <f t="shared" si="7"/>
        <v>0</v>
      </c>
      <c r="K57" s="389" t="s">
        <v>1949</v>
      </c>
      <c r="L57" s="391"/>
      <c r="M57" s="399">
        <f>Виробництво_1ст!F57</f>
        <v>0</v>
      </c>
      <c r="N57" s="706">
        <f t="shared" si="6"/>
        <v>0</v>
      </c>
      <c r="O57" s="706">
        <f t="shared" si="1"/>
        <v>0</v>
      </c>
      <c r="P57" s="2753">
        <f>Виробництво_1ст!G57-G57</f>
        <v>0</v>
      </c>
      <c r="Q57" s="2615">
        <f>Виробництво_1ст!H57-H57</f>
        <v>0</v>
      </c>
      <c r="R57" s="2753">
        <f>Виробництво_1ст!I57-I57</f>
        <v>0</v>
      </c>
      <c r="S57" s="2753">
        <f>Виробництво_1ст!J57-J57</f>
        <v>0</v>
      </c>
    </row>
    <row r="58" spans="1:19" ht="18.75" customHeight="1" x14ac:dyDescent="0.35">
      <c r="A58" s="2224"/>
      <c r="B58" s="2223" t="str">
        <f>Виробництво_1ст!B58</f>
        <v>послуги гідрометео</v>
      </c>
      <c r="C58" s="407">
        <f>Виробництво_1ст!C58</f>
        <v>11.87209</v>
      </c>
      <c r="D58" s="407">
        <f>Виробництво_1ст!D58</f>
        <v>7.7733800000000031</v>
      </c>
      <c r="E58" s="407">
        <f>Виробництво_1ст!E58</f>
        <v>10.986858333333334</v>
      </c>
      <c r="F58" s="407">
        <f>Виробництво_1ст!F58</f>
        <v>11.282719999999999</v>
      </c>
      <c r="G58" s="407">
        <f t="shared" si="4"/>
        <v>9.3702414542849013</v>
      </c>
      <c r="H58" s="2598">
        <f t="shared" si="7"/>
        <v>1.5179350628833209E-3</v>
      </c>
      <c r="I58" s="407">
        <f t="shared" si="7"/>
        <v>1.4297571718152589</v>
      </c>
      <c r="J58" s="407">
        <f t="shared" si="7"/>
        <v>0.4812034388369551</v>
      </c>
      <c r="K58" s="1754" t="s">
        <v>1938</v>
      </c>
      <c r="L58" s="2596"/>
      <c r="M58" s="399">
        <f>Виробництво_1ст!F58</f>
        <v>11.282719999999999</v>
      </c>
      <c r="N58" s="706">
        <f t="shared" si="6"/>
        <v>8.3266726846886741E-16</v>
      </c>
      <c r="O58" s="706">
        <f t="shared" si="1"/>
        <v>0</v>
      </c>
      <c r="P58" s="2753">
        <f>Виробництво_1ст!G58-G58</f>
        <v>1.7214959950830888E-3</v>
      </c>
      <c r="Q58" s="2615">
        <f>Виробництво_1ст!H58-H58</f>
        <v>-1.8492169748310621E-6</v>
      </c>
      <c r="R58" s="2753">
        <f>Виробництво_1ст!I58-I58</f>
        <v>-1.9414866072753334E-3</v>
      </c>
      <c r="S58" s="2753">
        <f>Виробництво_1ст!J58-J58</f>
        <v>2.2183982916845757E-4</v>
      </c>
    </row>
    <row r="59" spans="1:19" ht="37.950000000000003" customHeight="1" x14ac:dyDescent="0.35">
      <c r="A59" s="2224"/>
      <c r="B59" s="2567" t="str">
        <f>Виробництво_1ст!B59</f>
        <v>експертне обстеження та технічне опосвідчення електричного обладнання</v>
      </c>
      <c r="C59" s="407">
        <f>Виробництво_1ст!C59</f>
        <v>0</v>
      </c>
      <c r="D59" s="407">
        <f>Виробництво_1ст!D59</f>
        <v>0</v>
      </c>
      <c r="E59" s="407">
        <f>Виробництво_1ст!E59</f>
        <v>0</v>
      </c>
      <c r="F59" s="407">
        <f>Виробництво_1ст!F59</f>
        <v>0</v>
      </c>
      <c r="G59" s="407">
        <f t="shared" si="4"/>
        <v>0</v>
      </c>
      <c r="H59" s="2598">
        <f t="shared" si="7"/>
        <v>0</v>
      </c>
      <c r="I59" s="407">
        <f t="shared" si="7"/>
        <v>0</v>
      </c>
      <c r="J59" s="407">
        <f t="shared" si="7"/>
        <v>0</v>
      </c>
      <c r="K59" s="1754"/>
      <c r="L59" s="2596"/>
      <c r="M59" s="399">
        <f>Виробництво_1ст!F59</f>
        <v>0</v>
      </c>
      <c r="N59" s="706">
        <f t="shared" si="6"/>
        <v>0</v>
      </c>
      <c r="O59" s="706">
        <f t="shared" si="1"/>
        <v>0</v>
      </c>
      <c r="P59" s="2753">
        <f>Виробництво_1ст!G59-G59</f>
        <v>0</v>
      </c>
      <c r="Q59" s="2615">
        <f>Виробництво_1ст!H59-H59</f>
        <v>0</v>
      </c>
      <c r="R59" s="2753">
        <f>Виробництво_1ст!I59-I59</f>
        <v>0</v>
      </c>
      <c r="S59" s="2753">
        <f>Виробництво_1ст!J59-J59</f>
        <v>0</v>
      </c>
    </row>
    <row r="60" spans="1:19" ht="18.75" customHeight="1" x14ac:dyDescent="0.35">
      <c r="A60" s="2224"/>
      <c r="B60" s="2224" t="str">
        <f>Виробництво_1ст!B60</f>
        <v>заправка картріджів</v>
      </c>
      <c r="C60" s="407">
        <f>Виробництво_1ст!C60</f>
        <v>0</v>
      </c>
      <c r="D60" s="407">
        <f>Виробництво_1ст!D60</f>
        <v>0.35</v>
      </c>
      <c r="E60" s="407">
        <f>Виробництво_1ст!E60</f>
        <v>0.6</v>
      </c>
      <c r="F60" s="407">
        <f>Виробництво_1ст!F60</f>
        <v>0.7</v>
      </c>
      <c r="G60" s="407">
        <f t="shared" si="4"/>
        <v>0.58134643224323845</v>
      </c>
      <c r="H60" s="2598">
        <f t="shared" si="7"/>
        <v>9.4175388914935818E-5</v>
      </c>
      <c r="I60" s="407">
        <f t="shared" si="7"/>
        <v>8.870467584684201E-2</v>
      </c>
      <c r="J60" s="407">
        <f t="shared" si="7"/>
        <v>2.9854716521004559E-2</v>
      </c>
      <c r="K60" s="389" t="s">
        <v>1536</v>
      </c>
      <c r="L60" s="389"/>
      <c r="M60" s="399">
        <f>Виробництво_1ст!F60</f>
        <v>0.7</v>
      </c>
      <c r="N60" s="706">
        <f t="shared" si="6"/>
        <v>0</v>
      </c>
      <c r="O60" s="706">
        <f t="shared" si="1"/>
        <v>0</v>
      </c>
      <c r="P60" s="2753">
        <f>Виробництво_1ст!G60-G60</f>
        <v>1.068046709089554E-4</v>
      </c>
      <c r="Q60" s="2615">
        <f>Виробництво_1ст!H60-H60</f>
        <v>-1.1472870747316699E-7</v>
      </c>
      <c r="R60" s="2753">
        <f>Виробництво_1ст!I60-I60</f>
        <v>-1.2045327944792961E-4</v>
      </c>
      <c r="S60" s="2753">
        <f>Виробництво_1ст!J60-J60</f>
        <v>1.3763337246508467E-5</v>
      </c>
    </row>
    <row r="61" spans="1:19" ht="18.75" customHeight="1" x14ac:dyDescent="0.35">
      <c r="A61" s="2224"/>
      <c r="B61" s="2224" t="str">
        <f>Виробництво_1ст!B61</f>
        <v>ППЗ для захисту від вірусів</v>
      </c>
      <c r="C61" s="407">
        <f>Виробництво_1ст!C61</f>
        <v>0</v>
      </c>
      <c r="D61" s="407">
        <f>Виробництво_1ст!D61</f>
        <v>0</v>
      </c>
      <c r="E61" s="407">
        <f>Виробництво_1ст!E61</f>
        <v>1.811594202898551</v>
      </c>
      <c r="F61" s="407">
        <f>Виробництво_1ст!F61</f>
        <v>1.811594202898551</v>
      </c>
      <c r="G61" s="407">
        <f t="shared" si="4"/>
        <v>1.5045197521822944</v>
      </c>
      <c r="H61" s="2598">
        <f t="shared" si="7"/>
        <v>2.4372512659144883E-4</v>
      </c>
      <c r="I61" s="407">
        <f t="shared" si="7"/>
        <v>0.22956696647733443</v>
      </c>
      <c r="J61" s="407">
        <f t="shared" si="7"/>
        <v>7.726375911233066E-2</v>
      </c>
      <c r="K61" s="389"/>
      <c r="L61" s="389"/>
      <c r="M61" s="399">
        <f>Виробництво_1ст!F61</f>
        <v>1.811594202898551</v>
      </c>
      <c r="N61" s="706">
        <f t="shared" si="6"/>
        <v>0</v>
      </c>
      <c r="O61" s="706">
        <f t="shared" si="1"/>
        <v>0</v>
      </c>
      <c r="P61" s="2753">
        <f>Виробництво_1ст!G61-G61</f>
        <v>2.7640960380170831E-4</v>
      </c>
      <c r="Q61" s="2615">
        <f>Виробництво_1ст!H61-H61</f>
        <v>-2.9691694480632382E-7</v>
      </c>
      <c r="R61" s="2753">
        <f>Виробництво_1ст!I61-I61</f>
        <v>-3.1173208966855936E-4</v>
      </c>
      <c r="S61" s="2753">
        <f>Виробництво_1ст!J61-J61</f>
        <v>3.5619402811867817E-5</v>
      </c>
    </row>
    <row r="62" spans="1:19" ht="18.75" customHeight="1" x14ac:dyDescent="0.35">
      <c r="A62" s="2224"/>
      <c r="B62" s="2224" t="str">
        <f>Виробництво_1ст!B62</f>
        <v>оцінка обсягів водокористування</v>
      </c>
      <c r="C62" s="407">
        <f>Виробництво_1ст!C62</f>
        <v>0</v>
      </c>
      <c r="D62" s="407">
        <f>Виробництво_1ст!D62</f>
        <v>0</v>
      </c>
      <c r="E62" s="407">
        <f>Виробництво_1ст!E62</f>
        <v>0</v>
      </c>
      <c r="F62" s="407">
        <f>Виробництво_1ст!F62</f>
        <v>0</v>
      </c>
      <c r="G62" s="407">
        <f t="shared" si="4"/>
        <v>0</v>
      </c>
      <c r="H62" s="2598">
        <f t="shared" si="7"/>
        <v>0</v>
      </c>
      <c r="I62" s="407">
        <f t="shared" si="7"/>
        <v>0</v>
      </c>
      <c r="J62" s="407">
        <f t="shared" si="7"/>
        <v>0</v>
      </c>
      <c r="K62" s="389"/>
      <c r="L62" s="2596"/>
      <c r="M62" s="399">
        <f>Виробництво_1ст!F62</f>
        <v>0</v>
      </c>
      <c r="N62" s="706">
        <f t="shared" si="6"/>
        <v>0</v>
      </c>
      <c r="O62" s="706">
        <f t="shared" si="1"/>
        <v>0</v>
      </c>
      <c r="P62" s="2753">
        <f>Виробництво_1ст!G62-G62</f>
        <v>0</v>
      </c>
      <c r="Q62" s="2615">
        <f>Виробництво_1ст!H62-H62</f>
        <v>0</v>
      </c>
      <c r="R62" s="2753">
        <f>Виробництво_1ст!I62-I62</f>
        <v>0</v>
      </c>
      <c r="S62" s="2753">
        <f>Виробництво_1ст!J62-J62</f>
        <v>0</v>
      </c>
    </row>
    <row r="63" spans="1:19" ht="18.75" customHeight="1" x14ac:dyDescent="0.35">
      <c r="A63" s="2224"/>
      <c r="B63" s="2224" t="str">
        <f>Виробництво_1ст!B63</f>
        <v>організація перевезень, відправлень</v>
      </c>
      <c r="C63" s="407">
        <f>Виробництво_1ст!C63</f>
        <v>2.31874</v>
      </c>
      <c r="D63" s="407">
        <f>Виробництво_1ст!D63</f>
        <v>0.38936999999999999</v>
      </c>
      <c r="E63" s="407">
        <f>Виробництво_1ст!E63</f>
        <v>2.31874</v>
      </c>
      <c r="F63" s="407">
        <f>Виробництво_1ст!F63</f>
        <v>0.38936999999999999</v>
      </c>
      <c r="G63" s="407">
        <f t="shared" si="4"/>
        <v>0.32336980046078539</v>
      </c>
      <c r="H63" s="2598">
        <f t="shared" si="7"/>
        <v>5.2384387402583657E-5</v>
      </c>
      <c r="I63" s="407">
        <f t="shared" si="7"/>
        <v>4.9341342334978389E-2</v>
      </c>
      <c r="J63" s="407">
        <f t="shared" si="7"/>
        <v>1.6606472816833636E-2</v>
      </c>
      <c r="K63" s="389"/>
      <c r="L63" s="2596"/>
      <c r="M63" s="399">
        <f>Виробництво_1ст!F63</f>
        <v>0.38936999999999999</v>
      </c>
      <c r="N63" s="706">
        <f t="shared" si="6"/>
        <v>0</v>
      </c>
      <c r="O63" s="706">
        <f t="shared" si="1"/>
        <v>0</v>
      </c>
      <c r="P63" s="2753">
        <f>Виробництво_1ст!G63-G63</f>
        <v>5.9409335302573751E-5</v>
      </c>
      <c r="Q63" s="2615">
        <f>Виробництво_1ст!H63-H63</f>
        <v>-6.3817024041184492E-8</v>
      </c>
      <c r="R63" s="2753">
        <f>Виробництво_1ст!I63-I63</f>
        <v>-6.7001276312338154E-5</v>
      </c>
      <c r="S63" s="2753">
        <f>Виробництво_1ст!J63-J63</f>
        <v>7.6557580338185161E-6</v>
      </c>
    </row>
    <row r="64" spans="1:19" ht="18.75" customHeight="1" x14ac:dyDescent="0.35">
      <c r="A64" s="2224"/>
      <c r="B64" s="2224" t="str">
        <f>Виробництво_1ст!B64</f>
        <v>дератизація та дезінсекція</v>
      </c>
      <c r="C64" s="407">
        <f>Виробництво_1ст!C64</f>
        <v>0</v>
      </c>
      <c r="D64" s="407">
        <f>Виробництво_1ст!D64</f>
        <v>6.9607200000000002</v>
      </c>
      <c r="E64" s="407">
        <f>Виробництво_1ст!E64</f>
        <v>0</v>
      </c>
      <c r="F64" s="407">
        <f>Виробництво_1ст!F64</f>
        <v>6.9607200000000002</v>
      </c>
      <c r="G64" s="407">
        <f t="shared" ref="G64:G81" si="8">F64*$G$9</f>
        <v>5.7808424826345073</v>
      </c>
      <c r="H64" s="2598">
        <f t="shared" si="7"/>
        <v>9.3646930446853154E-4</v>
      </c>
      <c r="I64" s="407">
        <f t="shared" si="7"/>
        <v>0.88206915894375737</v>
      </c>
      <c r="J64" s="407">
        <f t="shared" si="7"/>
        <v>0.29687188911726697</v>
      </c>
      <c r="K64" s="389"/>
      <c r="L64" s="2596"/>
      <c r="M64" s="399">
        <f>Виробництво_1ст!F64</f>
        <v>6.9607200000000002</v>
      </c>
      <c r="N64" s="706">
        <f t="shared" si="6"/>
        <v>0</v>
      </c>
      <c r="O64" s="706">
        <f t="shared" si="1"/>
        <v>0</v>
      </c>
      <c r="P64" s="2753">
        <f>Виробництво_1ст!G64-G64</f>
        <v>1.0620534412701943E-3</v>
      </c>
      <c r="Q64" s="2615">
        <f>Виробництво_1ст!H64-H64</f>
        <v>-1.1408491552609241E-6</v>
      </c>
      <c r="R64" s="2753">
        <f>Виробництво_1ст!I64-I64</f>
        <v>-1.1977736447411624E-3</v>
      </c>
      <c r="S64" s="2753">
        <f>Виробництво_1ст!J64-J64</f>
        <v>1.3686105262644688E-4</v>
      </c>
    </row>
    <row r="65" spans="1:19" ht="18.75" customHeight="1" x14ac:dyDescent="0.35">
      <c r="A65" s="2224"/>
      <c r="B65" s="2601" t="str">
        <f>Виробництво_1ст!B65</f>
        <v>високовольтні випробування трансформаторів</v>
      </c>
      <c r="C65" s="407">
        <f>Виробництво_1ст!C65</f>
        <v>0</v>
      </c>
      <c r="D65" s="407">
        <f>Виробництво_1ст!D65</f>
        <v>0</v>
      </c>
      <c r="E65" s="407">
        <f>Виробництво_1ст!E65</f>
        <v>18.481000000000002</v>
      </c>
      <c r="F65" s="407">
        <f>Виробництво_1ст!F65</f>
        <v>0</v>
      </c>
      <c r="G65" s="407">
        <f t="shared" si="8"/>
        <v>0</v>
      </c>
      <c r="H65" s="2598">
        <f t="shared" si="7"/>
        <v>0</v>
      </c>
      <c r="I65" s="407">
        <f t="shared" si="7"/>
        <v>0</v>
      </c>
      <c r="J65" s="407">
        <f t="shared" si="7"/>
        <v>0</v>
      </c>
      <c r="K65" s="1754"/>
      <c r="L65" s="2596"/>
      <c r="M65" s="399">
        <f>Виробництво_1ст!F65</f>
        <v>0</v>
      </c>
      <c r="N65" s="706">
        <f t="shared" si="6"/>
        <v>0</v>
      </c>
      <c r="O65" s="706">
        <f t="shared" si="1"/>
        <v>0</v>
      </c>
      <c r="P65" s="2753">
        <f>Виробництво_1ст!G65-G65</f>
        <v>0</v>
      </c>
      <c r="Q65" s="2615">
        <f>Виробництво_1ст!H65-H65</f>
        <v>0</v>
      </c>
      <c r="R65" s="2753">
        <f>Виробництво_1ст!I65-I65</f>
        <v>0</v>
      </c>
      <c r="S65" s="2753">
        <f>Виробництво_1ст!J65-J65</f>
        <v>0</v>
      </c>
    </row>
    <row r="66" spans="1:19" ht="18" x14ac:dyDescent="0.35">
      <c r="A66" s="2222"/>
      <c r="B66" s="2222" t="str">
        <f>Виробництво_1ст!B66</f>
        <v>витрати на професійні послуги</v>
      </c>
      <c r="C66" s="407">
        <f>Виробництво_1ст!C66</f>
        <v>0</v>
      </c>
      <c r="D66" s="407">
        <f>Виробництво_1ст!D66</f>
        <v>0</v>
      </c>
      <c r="E66" s="407">
        <f>Виробництво_1ст!E66</f>
        <v>0</v>
      </c>
      <c r="F66" s="407">
        <f>Виробництво_1ст!F66</f>
        <v>0</v>
      </c>
      <c r="G66" s="407">
        <f t="shared" si="8"/>
        <v>0</v>
      </c>
      <c r="H66" s="2598">
        <f t="shared" si="7"/>
        <v>0</v>
      </c>
      <c r="I66" s="407">
        <f t="shared" si="7"/>
        <v>0</v>
      </c>
      <c r="J66" s="407">
        <f t="shared" si="7"/>
        <v>0</v>
      </c>
      <c r="K66" s="1754"/>
      <c r="L66" s="2596"/>
      <c r="M66" s="399">
        <f>Виробництво_1ст!F66</f>
        <v>0</v>
      </c>
      <c r="N66" s="706">
        <f t="shared" si="6"/>
        <v>0</v>
      </c>
      <c r="O66" s="706">
        <f t="shared" si="1"/>
        <v>0</v>
      </c>
      <c r="P66" s="2753">
        <f>Виробництво_1ст!G66-G66</f>
        <v>0</v>
      </c>
      <c r="Q66" s="2615">
        <f>Виробництво_1ст!H66-H66</f>
        <v>0</v>
      </c>
      <c r="R66" s="2753">
        <f>Виробництво_1ст!I66-I66</f>
        <v>0</v>
      </c>
      <c r="S66" s="2753">
        <f>Виробництво_1ст!J66-J66</f>
        <v>0</v>
      </c>
    </row>
    <row r="67" spans="1:19" ht="18" x14ac:dyDescent="0.35">
      <c r="A67" s="2222"/>
      <c r="B67" s="2222" t="str">
        <f>Виробництво_1ст!B67</f>
        <v>аудит охорони праці</v>
      </c>
      <c r="C67" s="407">
        <f>Виробництво_1ст!C67</f>
        <v>0</v>
      </c>
      <c r="D67" s="407">
        <f>Виробництво_1ст!D67</f>
        <v>0</v>
      </c>
      <c r="E67" s="407">
        <f>Виробництво_1ст!E67</f>
        <v>0</v>
      </c>
      <c r="F67" s="407">
        <f>Виробництво_1ст!F67</f>
        <v>8.3333300000000001</v>
      </c>
      <c r="G67" s="407">
        <f t="shared" si="8"/>
        <v>6.9207880917222093</v>
      </c>
      <c r="H67" s="2598">
        <f t="shared" si="7"/>
        <v>1.1211351338664315E-3</v>
      </c>
      <c r="I67" s="407">
        <f t="shared" si="7"/>
        <v>1.05600762339252</v>
      </c>
      <c r="J67" s="407">
        <f t="shared" si="7"/>
        <v>0.3554131497514042</v>
      </c>
      <c r="K67" s="1754"/>
      <c r="L67" s="2596"/>
      <c r="M67" s="399">
        <f>Виробництво_1ст!F67</f>
        <v>8.3333300000000001</v>
      </c>
      <c r="N67" s="706">
        <f t="shared" si="6"/>
        <v>0</v>
      </c>
      <c r="O67" s="706">
        <f t="shared" si="1"/>
        <v>0</v>
      </c>
      <c r="P67" s="2753">
        <f>Виробництво_1ст!G67-G67</f>
        <v>1.271483668894291E-3</v>
      </c>
      <c r="Q67" s="2615">
        <f>Виробництво_1ст!H67-H67</f>
        <v>-1.3658173997818917E-6</v>
      </c>
      <c r="R67" s="2753">
        <f>Виробництво_1ст!I67-I67</f>
        <v>-1.4339670388883174E-3</v>
      </c>
      <c r="S67" s="2753">
        <f>Виробництво_1ст!J67-J67</f>
        <v>1.638491873949266E-4</v>
      </c>
    </row>
    <row r="68" spans="1:19" ht="18" x14ac:dyDescent="0.35">
      <c r="A68" s="2222"/>
      <c r="B68" s="2222" t="str">
        <f>Виробництво_1ст!B68</f>
        <v>зв'язок</v>
      </c>
      <c r="C68" s="407">
        <f>Виробництво_1ст!C68</f>
        <v>3.2546200000000001</v>
      </c>
      <c r="D68" s="407">
        <f>Виробництво_1ст!D68</f>
        <v>2.1948699999999999</v>
      </c>
      <c r="E68" s="407">
        <f>Виробництво_1ст!E68</f>
        <v>3.5682299999999998</v>
      </c>
      <c r="F68" s="407">
        <f>Виробництво_1ст!F68</f>
        <v>3.6863595999999994</v>
      </c>
      <c r="G68" s="407">
        <f t="shared" si="8"/>
        <v>3.0615028591794449</v>
      </c>
      <c r="H68" s="2598">
        <f t="shared" si="7"/>
        <v>4.9594907001472457E-4</v>
      </c>
      <c r="I68" s="407">
        <f t="shared" si="7"/>
        <v>0.46713904767556302</v>
      </c>
      <c r="J68" s="407">
        <f t="shared" si="7"/>
        <v>0.15722174407497677</v>
      </c>
      <c r="K68" s="389" t="s">
        <v>1576</v>
      </c>
      <c r="L68" s="2596"/>
      <c r="M68" s="399">
        <f>Виробництво_1ст!F68</f>
        <v>3.6863595999999994</v>
      </c>
      <c r="N68" s="706">
        <f t="shared" si="6"/>
        <v>0</v>
      </c>
      <c r="O68" s="706">
        <f t="shared" si="1"/>
        <v>0</v>
      </c>
      <c r="P68" s="2753">
        <f>Виробництво_1ст!G68-G68</f>
        <v>5.6245774847152319E-4</v>
      </c>
      <c r="Q68" s="2615">
        <f>Виробництво_1ст!H68-H68</f>
        <v>-6.0418753169901463E-7</v>
      </c>
      <c r="R68" s="2753">
        <f>Виробництво_1ст!I68-I68</f>
        <v>-6.3433443292049141E-4</v>
      </c>
      <c r="S68" s="2753">
        <f>Виробництво_1ст!J68-J68</f>
        <v>7.248087198100106E-5</v>
      </c>
    </row>
    <row r="69" spans="1:19" ht="18" x14ac:dyDescent="0.35">
      <c r="A69" s="2222"/>
      <c r="B69" s="2222" t="str">
        <f>Виробництво_1ст!B69</f>
        <v>інтернет</v>
      </c>
      <c r="C69" s="407">
        <f>Виробництво_1ст!C69</f>
        <v>3.38</v>
      </c>
      <c r="D69" s="407">
        <f>Виробництво_1ст!D69</f>
        <v>3.12</v>
      </c>
      <c r="E69" s="407">
        <f>Виробництво_1ст!E69</f>
        <v>3.38</v>
      </c>
      <c r="F69" s="407">
        <f>Виробництво_1ст!F69</f>
        <v>3.12</v>
      </c>
      <c r="G69" s="407">
        <f t="shared" si="8"/>
        <v>2.5911440979984346</v>
      </c>
      <c r="H69" s="2598">
        <f t="shared" si="7"/>
        <v>4.1975316202085678E-4</v>
      </c>
      <c r="I69" s="407">
        <f t="shared" si="7"/>
        <v>0.39536941234592438</v>
      </c>
      <c r="J69" s="407">
        <f t="shared" si="7"/>
        <v>0.13306673649362033</v>
      </c>
      <c r="K69" s="389" t="s">
        <v>1576</v>
      </c>
      <c r="L69" s="2596"/>
      <c r="M69" s="399">
        <f>Виробництво_1ст!F69</f>
        <v>3.12</v>
      </c>
      <c r="N69" s="706">
        <f t="shared" si="6"/>
        <v>0</v>
      </c>
      <c r="O69" s="706">
        <f t="shared" si="1"/>
        <v>0</v>
      </c>
      <c r="P69" s="2753">
        <f>Виробництво_1ст!G69-G69</f>
        <v>4.7604367605114106E-4</v>
      </c>
      <c r="Q69" s="2615">
        <f>Виробництво_1ст!H69-H69</f>
        <v>-5.1136223902319665E-7</v>
      </c>
      <c r="R69" s="2753">
        <f>Виробництво_1ст!I69-I69</f>
        <v>-5.3687747411074183E-4</v>
      </c>
      <c r="S69" s="2753">
        <f>Виробництво_1ст!J69-J69</f>
        <v>6.1345160298709178E-5</v>
      </c>
    </row>
    <row r="70" spans="1:19" ht="36" x14ac:dyDescent="0.35">
      <c r="A70" s="2602"/>
      <c r="B70" s="2602" t="str">
        <f>Виробництво_1ст!B70</f>
        <v>розробка декларації, планів локалізації аварій та їх експертиза</v>
      </c>
      <c r="C70" s="407">
        <f>Виробництво_1ст!C70</f>
        <v>0</v>
      </c>
      <c r="D70" s="407">
        <f>Виробництво_1ст!D70</f>
        <v>0</v>
      </c>
      <c r="E70" s="407">
        <f>Виробництво_1ст!E70</f>
        <v>80</v>
      </c>
      <c r="F70" s="407">
        <f>Виробництво_1ст!F70</f>
        <v>0</v>
      </c>
      <c r="G70" s="407">
        <f t="shared" si="8"/>
        <v>0</v>
      </c>
      <c r="H70" s="2598">
        <f t="shared" si="7"/>
        <v>0</v>
      </c>
      <c r="I70" s="407">
        <f t="shared" si="7"/>
        <v>0</v>
      </c>
      <c r="J70" s="407">
        <f t="shared" si="7"/>
        <v>0</v>
      </c>
      <c r="K70" s="1754"/>
      <c r="L70" s="2596"/>
      <c r="M70" s="399">
        <f>Виробництво_1ст!F70</f>
        <v>0</v>
      </c>
      <c r="N70" s="706">
        <f t="shared" si="6"/>
        <v>0</v>
      </c>
      <c r="O70" s="706">
        <f t="shared" si="1"/>
        <v>0</v>
      </c>
      <c r="P70" s="2753">
        <f>Виробництво_1ст!G70-G70</f>
        <v>0</v>
      </c>
      <c r="Q70" s="2615">
        <f>Виробництво_1ст!H70-H70</f>
        <v>0</v>
      </c>
      <c r="R70" s="2753">
        <f>Виробництво_1ст!I70-I70</f>
        <v>0</v>
      </c>
      <c r="S70" s="2753">
        <f>Виробництво_1ст!J70-J70</f>
        <v>0</v>
      </c>
    </row>
    <row r="71" spans="1:19" ht="18" x14ac:dyDescent="0.35">
      <c r="A71" s="2223"/>
      <c r="B71" s="2223" t="str">
        <f>Виробництво_1ст!B71</f>
        <v>податки, збори, обов'язкові платежі</v>
      </c>
      <c r="C71" s="407">
        <f>Виробництво_1ст!C71</f>
        <v>304.15017</v>
      </c>
      <c r="D71" s="407">
        <f>Виробництво_1ст!D71</f>
        <v>604.37774999999999</v>
      </c>
      <c r="E71" s="407">
        <f>Виробництво_1ст!E71</f>
        <v>942.16534000000001</v>
      </c>
      <c r="F71" s="407">
        <f>Виробництво_1ст!F71</f>
        <v>904.22609</v>
      </c>
      <c r="G71" s="407">
        <f t="shared" si="8"/>
        <v>750.95515908964774</v>
      </c>
      <c r="H71" s="2598">
        <f t="shared" si="7"/>
        <v>0.1216512052754025</v>
      </c>
      <c r="I71" s="407">
        <f t="shared" si="7"/>
        <v>114.58440315101056</v>
      </c>
      <c r="J71" s="407">
        <f t="shared" si="7"/>
        <v>38.564876554066224</v>
      </c>
      <c r="K71" s="389" t="s">
        <v>3359</v>
      </c>
      <c r="L71" s="2596"/>
      <c r="M71" s="399">
        <f>Виробництво_1ст!F71</f>
        <v>904.22609</v>
      </c>
      <c r="N71" s="706">
        <f t="shared" si="6"/>
        <v>6.3948846218409017E-14</v>
      </c>
      <c r="O71" s="706">
        <f t="shared" si="1"/>
        <v>0</v>
      </c>
      <c r="P71" s="2753">
        <f>Виробництво_1ст!G71-G71</f>
        <v>0.13796509995688666</v>
      </c>
      <c r="Q71" s="2615">
        <f>Виробництво_1ст!H71-H71</f>
        <v>-1.4820098652744418E-4</v>
      </c>
      <c r="R71" s="2753">
        <f>Виробництво_1ст!I71-I71</f>
        <v>-0.15559571128983407</v>
      </c>
      <c r="S71" s="2753">
        <f>Виробництво_1ст!J71-J71</f>
        <v>1.7778812319654946E-2</v>
      </c>
    </row>
    <row r="72" spans="1:19" ht="36" x14ac:dyDescent="0.35">
      <c r="A72" s="2223"/>
      <c r="B72" s="2223" t="str">
        <f>Виробництво_1ст!B72</f>
        <v>заміна кінцевої муфти (прямолінійних ділянок газопроводу перед комерційними шайбами)</v>
      </c>
      <c r="C72" s="407">
        <f>Виробництво_1ст!C72</f>
        <v>0</v>
      </c>
      <c r="D72" s="407">
        <f>Виробництво_1ст!D72</f>
        <v>0</v>
      </c>
      <c r="E72" s="407">
        <f>Виробництво_1ст!E72</f>
        <v>0</v>
      </c>
      <c r="F72" s="407">
        <f>Виробництво_1ст!F72</f>
        <v>0</v>
      </c>
      <c r="G72" s="407">
        <f t="shared" si="8"/>
        <v>0</v>
      </c>
      <c r="H72" s="2598">
        <f t="shared" ref="H72:J81" si="9">$F72*H$9</f>
        <v>0</v>
      </c>
      <c r="I72" s="407">
        <f t="shared" si="9"/>
        <v>0</v>
      </c>
      <c r="J72" s="407">
        <f t="shared" si="9"/>
        <v>0</v>
      </c>
      <c r="K72" s="1754" t="s">
        <v>1938</v>
      </c>
      <c r="L72" s="2596"/>
      <c r="M72" s="399">
        <f>Виробництво_1ст!F72</f>
        <v>0</v>
      </c>
      <c r="N72" s="706">
        <f t="shared" si="6"/>
        <v>0</v>
      </c>
      <c r="O72" s="706">
        <f t="shared" si="1"/>
        <v>0</v>
      </c>
      <c r="P72" s="2753">
        <f>Виробництво_1ст!G72-G72</f>
        <v>0</v>
      </c>
      <c r="Q72" s="2615">
        <f>Виробництво_1ст!H72-H72</f>
        <v>0</v>
      </c>
      <c r="R72" s="2753">
        <f>Виробництво_1ст!I72-I72</f>
        <v>0</v>
      </c>
      <c r="S72" s="2753">
        <f>Виробництво_1ст!J72-J72</f>
        <v>0</v>
      </c>
    </row>
    <row r="73" spans="1:19" ht="18" customHeight="1" x14ac:dyDescent="0.35">
      <c r="A73" s="2222"/>
      <c r="B73" s="2222" t="str">
        <f>Виробництво_1ст!B73</f>
        <v>обстеження технічного стану та паспортизація</v>
      </c>
      <c r="C73" s="407">
        <f>Виробництво_1ст!C73</f>
        <v>0</v>
      </c>
      <c r="D73" s="407">
        <f>Виробництво_1ст!D73</f>
        <v>2.5255999999999998</v>
      </c>
      <c r="E73" s="407">
        <f>Виробництво_1ст!E73</f>
        <v>0</v>
      </c>
      <c r="F73" s="407">
        <f>Виробництво_1ст!F73</f>
        <v>0</v>
      </c>
      <c r="G73" s="407">
        <f t="shared" si="8"/>
        <v>0</v>
      </c>
      <c r="H73" s="2598">
        <f t="shared" si="9"/>
        <v>0</v>
      </c>
      <c r="I73" s="407">
        <f t="shared" si="9"/>
        <v>0</v>
      </c>
      <c r="J73" s="407">
        <f t="shared" si="9"/>
        <v>0</v>
      </c>
      <c r="K73" s="1754"/>
      <c r="L73" s="2596"/>
      <c r="M73" s="399">
        <f>Виробництво_1ст!F73</f>
        <v>0</v>
      </c>
      <c r="N73" s="706">
        <f t="shared" si="6"/>
        <v>0</v>
      </c>
      <c r="O73" s="706">
        <f t="shared" si="1"/>
        <v>0</v>
      </c>
      <c r="P73" s="2753">
        <f>Виробництво_1ст!G73-G73</f>
        <v>0</v>
      </c>
      <c r="Q73" s="2615">
        <f>Виробництво_1ст!H73-H73</f>
        <v>0</v>
      </c>
      <c r="R73" s="2753">
        <f>Виробництво_1ст!I73-I73</f>
        <v>0</v>
      </c>
      <c r="S73" s="2753">
        <f>Виробництво_1ст!J73-J73</f>
        <v>0</v>
      </c>
    </row>
    <row r="74" spans="1:19" ht="18" customHeight="1" x14ac:dyDescent="0.35">
      <c r="A74" s="2222"/>
      <c r="B74" s="2222" t="str">
        <f>Виробництво_1ст!B74</f>
        <v>обстеження димвентканалів</v>
      </c>
      <c r="C74" s="407">
        <f>Виробництво_1ст!C74</f>
        <v>9</v>
      </c>
      <c r="D74" s="407">
        <f>Виробництво_1ст!D74</f>
        <v>10</v>
      </c>
      <c r="E74" s="407">
        <f>Виробництво_1ст!E74</f>
        <v>7.5</v>
      </c>
      <c r="F74" s="407">
        <f>Виробництво_1ст!F74</f>
        <v>10</v>
      </c>
      <c r="G74" s="407">
        <f t="shared" si="8"/>
        <v>8.3049490320462631</v>
      </c>
      <c r="H74" s="2598">
        <f t="shared" si="9"/>
        <v>1.3453626987847975E-3</v>
      </c>
      <c r="I74" s="407">
        <f t="shared" si="9"/>
        <v>1.2672096549548859</v>
      </c>
      <c r="J74" s="407">
        <f t="shared" si="9"/>
        <v>0.42649595030006515</v>
      </c>
      <c r="K74" s="1754" t="s">
        <v>1938</v>
      </c>
      <c r="L74" s="391"/>
      <c r="M74" s="399">
        <f>Виробництво_1ст!F74</f>
        <v>10</v>
      </c>
      <c r="N74" s="706">
        <f t="shared" si="6"/>
        <v>1.1102230246251565E-15</v>
      </c>
      <c r="O74" s="706">
        <f t="shared" si="1"/>
        <v>0</v>
      </c>
      <c r="P74" s="2753">
        <f>Виробництво_1ст!G74-G74</f>
        <v>1.5257810129867266E-3</v>
      </c>
      <c r="Q74" s="2615">
        <f>Виробництво_1ст!H74-H74</f>
        <v>-1.638981535331081E-6</v>
      </c>
      <c r="R74" s="2753">
        <f>Виробництво_1ст!I74-I74</f>
        <v>-1.7207611349705498E-3</v>
      </c>
      <c r="S74" s="2753">
        <f>Виробництво_1ст!J74-J74</f>
        <v>1.9661910352153367E-4</v>
      </c>
    </row>
    <row r="75" spans="1:19" ht="18" customHeight="1" x14ac:dyDescent="0.35">
      <c r="A75" s="2223"/>
      <c r="B75" s="2223" t="str">
        <f>Виробництво_1ст!B75</f>
        <v>витрати на періодичні видання</v>
      </c>
      <c r="C75" s="407">
        <f>Виробництво_1ст!C75</f>
        <v>0</v>
      </c>
      <c r="D75" s="407">
        <f>Виробництво_1ст!D75</f>
        <v>0</v>
      </c>
      <c r="E75" s="407">
        <f>Виробництво_1ст!E75</f>
        <v>0</v>
      </c>
      <c r="F75" s="407">
        <f>Виробництво_1ст!F75</f>
        <v>0</v>
      </c>
      <c r="G75" s="407">
        <f t="shared" si="8"/>
        <v>0</v>
      </c>
      <c r="H75" s="2598">
        <f t="shared" si="9"/>
        <v>0</v>
      </c>
      <c r="I75" s="407">
        <f t="shared" si="9"/>
        <v>0</v>
      </c>
      <c r="J75" s="407">
        <f t="shared" si="9"/>
        <v>0</v>
      </c>
      <c r="K75" s="1754"/>
      <c r="L75" s="2596"/>
      <c r="M75" s="399">
        <f>Виробництво_1ст!F75</f>
        <v>0</v>
      </c>
      <c r="N75" s="706">
        <f t="shared" si="6"/>
        <v>0</v>
      </c>
      <c r="O75" s="706">
        <f t="shared" ref="O75:O81" si="10">F75-M75</f>
        <v>0</v>
      </c>
      <c r="P75" s="2753">
        <f>Виробництво_1ст!G75-G75</f>
        <v>0</v>
      </c>
      <c r="Q75" s="2615">
        <f>Виробництво_1ст!H75-H75</f>
        <v>0</v>
      </c>
      <c r="R75" s="2753">
        <f>Виробництво_1ст!I75-I75</f>
        <v>0</v>
      </c>
      <c r="S75" s="2753">
        <f>Виробництво_1ст!J75-J75</f>
        <v>0</v>
      </c>
    </row>
    <row r="76" spans="1:19" ht="18" customHeight="1" x14ac:dyDescent="0.35">
      <c r="A76" s="2223"/>
      <c r="B76" s="2223" t="str">
        <f>Виробництво_1ст!B76</f>
        <v>припинення та відновлення газопостачання</v>
      </c>
      <c r="C76" s="407">
        <f>Виробництво_1ст!C76</f>
        <v>4.1459599999999996</v>
      </c>
      <c r="D76" s="407">
        <f>Виробництво_1ст!D76</f>
        <v>2.5251800000000006</v>
      </c>
      <c r="E76" s="407">
        <f>Виробництво_1ст!E76</f>
        <v>2.6817447000000003</v>
      </c>
      <c r="F76" s="407">
        <f>Виробництво_1ст!F76</f>
        <v>2.5251833333333336</v>
      </c>
      <c r="G76" s="407">
        <f t="shared" si="8"/>
        <v>2.0971518879906026</v>
      </c>
      <c r="H76" s="2598">
        <f t="shared" si="9"/>
        <v>3.3972874642597243E-4</v>
      </c>
      <c r="I76" s="407">
        <f t="shared" si="9"/>
        <v>0.31999367005311619</v>
      </c>
      <c r="J76" s="407">
        <f t="shared" si="9"/>
        <v>0.10769804654318864</v>
      </c>
      <c r="K76" s="1754" t="s">
        <v>965</v>
      </c>
      <c r="L76" s="2596"/>
      <c r="M76" s="399">
        <f>Виробництво_1ст!F76</f>
        <v>2.5251833333333336</v>
      </c>
      <c r="N76" s="706">
        <f t="shared" si="6"/>
        <v>1.8041124150158794E-16</v>
      </c>
      <c r="O76" s="706">
        <f t="shared" si="10"/>
        <v>0</v>
      </c>
      <c r="P76" s="2753">
        <f>Виробництво_1ст!G76-G76</f>
        <v>3.8528767843093448E-4</v>
      </c>
      <c r="Q76" s="2615">
        <f>Виробництво_1ст!H76-H76</f>
        <v>-4.1387288566587226E-7</v>
      </c>
      <c r="R76" s="2753">
        <f>Виробництво_1ст!I76-I76</f>
        <v>-4.3452373386748677E-4</v>
      </c>
      <c r="S76" s="2753">
        <f>Виробництво_1ст!J76-J76</f>
        <v>4.9649928322736958E-5</v>
      </c>
    </row>
    <row r="77" spans="1:19" ht="18" customHeight="1" x14ac:dyDescent="0.35">
      <c r="A77" s="2223"/>
      <c r="B77" s="2223" t="str">
        <f>Виробництво_1ст!B77</f>
        <v>обслуговування кондиціонерів</v>
      </c>
      <c r="C77" s="407">
        <f>Виробництво_1ст!C77</f>
        <v>0</v>
      </c>
      <c r="D77" s="407">
        <f>Виробництво_1ст!D77</f>
        <v>0</v>
      </c>
      <c r="E77" s="407">
        <f>Виробництво_1ст!E77</f>
        <v>0</v>
      </c>
      <c r="F77" s="407">
        <f>Виробництво_1ст!F77</f>
        <v>0</v>
      </c>
      <c r="G77" s="407">
        <f t="shared" si="8"/>
        <v>0</v>
      </c>
      <c r="H77" s="2598">
        <f t="shared" si="9"/>
        <v>0</v>
      </c>
      <c r="I77" s="407">
        <f t="shared" si="9"/>
        <v>0</v>
      </c>
      <c r="J77" s="407">
        <f t="shared" si="9"/>
        <v>0</v>
      </c>
      <c r="K77" s="1754"/>
      <c r="L77" s="2596"/>
      <c r="M77" s="399">
        <f>Виробництво_1ст!F77</f>
        <v>0</v>
      </c>
      <c r="N77" s="706">
        <f t="shared" si="6"/>
        <v>0</v>
      </c>
      <c r="O77" s="706">
        <f t="shared" si="10"/>
        <v>0</v>
      </c>
      <c r="P77" s="2753">
        <f>Виробництво_1ст!G77-G77</f>
        <v>0</v>
      </c>
      <c r="Q77" s="2615">
        <f>Виробництво_1ст!H77-H77</f>
        <v>0</v>
      </c>
      <c r="R77" s="2753">
        <f>Виробництво_1ст!I77-I77</f>
        <v>0</v>
      </c>
      <c r="S77" s="2753">
        <f>Виробництво_1ст!J77-J77</f>
        <v>0</v>
      </c>
    </row>
    <row r="78" spans="1:19" ht="36" x14ac:dyDescent="0.35">
      <c r="A78" s="2223"/>
      <c r="B78" s="2223" t="str">
        <f>Виробництво_1ст!B78</f>
        <v>параметрування та техперевірка 3-х фазних лічильників</v>
      </c>
      <c r="C78" s="407">
        <f>Виробництво_1ст!C78</f>
        <v>0.66242000000000001</v>
      </c>
      <c r="D78" s="407">
        <f>Виробництво_1ст!D78</f>
        <v>18.481000000000002</v>
      </c>
      <c r="E78" s="407">
        <f>Виробництво_1ст!E78</f>
        <v>0</v>
      </c>
      <c r="F78" s="407">
        <f>Виробництво_1ст!F78</f>
        <v>0</v>
      </c>
      <c r="G78" s="407">
        <f t="shared" si="8"/>
        <v>0</v>
      </c>
      <c r="H78" s="2598">
        <f t="shared" si="9"/>
        <v>0</v>
      </c>
      <c r="I78" s="407">
        <f t="shared" si="9"/>
        <v>0</v>
      </c>
      <c r="J78" s="407">
        <f t="shared" si="9"/>
        <v>0</v>
      </c>
      <c r="K78" s="1754" t="s">
        <v>965</v>
      </c>
      <c r="L78" s="2596"/>
      <c r="M78" s="399">
        <f>Виробництво_1ст!F78</f>
        <v>0</v>
      </c>
      <c r="N78" s="706">
        <f t="shared" si="6"/>
        <v>0</v>
      </c>
      <c r="O78" s="706">
        <f t="shared" si="10"/>
        <v>0</v>
      </c>
      <c r="P78" s="2753">
        <f>Виробництво_1ст!G78-G78</f>
        <v>0</v>
      </c>
      <c r="Q78" s="2615">
        <f>Виробництво_1ст!H78-H78</f>
        <v>0</v>
      </c>
      <c r="R78" s="2753">
        <f>Виробництво_1ст!I78-I78</f>
        <v>0</v>
      </c>
      <c r="S78" s="2753">
        <f>Виробництво_1ст!J78-J78</f>
        <v>0</v>
      </c>
    </row>
    <row r="79" spans="1:19" ht="18" customHeight="1" x14ac:dyDescent="0.35">
      <c r="A79" s="2223"/>
      <c r="B79" s="2223" t="str">
        <f>Виробництво_1ст!B79</f>
        <v>лабораторні вимірювання якості води</v>
      </c>
      <c r="C79" s="407">
        <f>Виробництво_1ст!C79</f>
        <v>0</v>
      </c>
      <c r="D79" s="407">
        <f>Виробництво_1ст!D79</f>
        <v>3.91</v>
      </c>
      <c r="E79" s="407">
        <f>Виробництво_1ст!E79</f>
        <v>2.6</v>
      </c>
      <c r="F79" s="407">
        <f>Виробництво_1ст!F79</f>
        <v>3.91</v>
      </c>
      <c r="G79" s="407">
        <f t="shared" si="8"/>
        <v>3.2472350715300893</v>
      </c>
      <c r="H79" s="2598">
        <f t="shared" si="9"/>
        <v>5.2603681522485585E-4</v>
      </c>
      <c r="I79" s="407">
        <f t="shared" si="9"/>
        <v>0.49547897508736038</v>
      </c>
      <c r="J79" s="407">
        <f t="shared" si="9"/>
        <v>0.16675991656732547</v>
      </c>
      <c r="K79" s="1754" t="s">
        <v>965</v>
      </c>
      <c r="L79" s="1754" t="s">
        <v>1950</v>
      </c>
      <c r="M79" s="399">
        <f>Виробництво_1ст!F79</f>
        <v>3.91</v>
      </c>
      <c r="N79" s="706">
        <f t="shared" si="6"/>
        <v>0</v>
      </c>
      <c r="O79" s="706">
        <f t="shared" si="10"/>
        <v>0</v>
      </c>
      <c r="P79" s="2753">
        <f>Виробництво_1ст!G79-G79</f>
        <v>5.9658037607723813E-4</v>
      </c>
      <c r="Q79" s="2615">
        <f>Виробництво_1ст!H79-H79</f>
        <v>-6.408417803143926E-7</v>
      </c>
      <c r="R79" s="2753">
        <f>Виробництво_1ст!I79-I79</f>
        <v>-6.7281760377341238E-4</v>
      </c>
      <c r="S79" s="2753">
        <f>Виробництво_1ст!J79-J79</f>
        <v>7.6878069476926658E-5</v>
      </c>
    </row>
    <row r="80" spans="1:19" ht="18" customHeight="1" x14ac:dyDescent="0.35">
      <c r="A80" s="2223"/>
      <c r="B80" s="2223" t="str">
        <f>Виробництво_1ст!B80</f>
        <v>перетворювачі частоти</v>
      </c>
      <c r="C80" s="407">
        <f>Виробництво_1ст!C80</f>
        <v>0</v>
      </c>
      <c r="D80" s="407">
        <f>Виробництво_1ст!D80</f>
        <v>0</v>
      </c>
      <c r="E80" s="407">
        <f>Виробництво_1ст!E80</f>
        <v>1.9583333333333299</v>
      </c>
      <c r="F80" s="407">
        <f>Виробництво_1ст!F80</f>
        <v>0</v>
      </c>
      <c r="G80" s="407">
        <f t="shared" si="8"/>
        <v>0</v>
      </c>
      <c r="H80" s="2598">
        <f t="shared" si="9"/>
        <v>0</v>
      </c>
      <c r="I80" s="407">
        <f t="shared" si="9"/>
        <v>0</v>
      </c>
      <c r="J80" s="407">
        <f t="shared" si="9"/>
        <v>0</v>
      </c>
      <c r="K80" s="1754" t="s">
        <v>965</v>
      </c>
      <c r="L80" s="2596"/>
      <c r="M80" s="399">
        <f>Виробництво_1ст!F80</f>
        <v>0</v>
      </c>
      <c r="N80" s="706">
        <f t="shared" si="6"/>
        <v>0</v>
      </c>
      <c r="O80" s="706">
        <f t="shared" si="10"/>
        <v>0</v>
      </c>
      <c r="P80" s="2753">
        <f>Виробництво_1ст!G80-G80</f>
        <v>0</v>
      </c>
      <c r="Q80" s="2615">
        <f>Виробництво_1ст!H80-H80</f>
        <v>0</v>
      </c>
      <c r="R80" s="2753">
        <f>Виробництво_1ст!I80-I80</f>
        <v>0</v>
      </c>
      <c r="S80" s="2753">
        <f>Виробництво_1ст!J80-J80</f>
        <v>0</v>
      </c>
    </row>
    <row r="81" spans="1:19" ht="18.600000000000001" thickBot="1" x14ac:dyDescent="0.4">
      <c r="A81" s="2603"/>
      <c r="B81" s="2603" t="str">
        <f>Виробництво_1ст!B81</f>
        <v>випробування нафтопродуктів (мазут)</v>
      </c>
      <c r="C81" s="466">
        <f>Виробництво_1ст!C81</f>
        <v>0</v>
      </c>
      <c r="D81" s="466">
        <f>Виробництво_1ст!D81</f>
        <v>2.6850000000000001</v>
      </c>
      <c r="E81" s="466">
        <f>Виробництво_1ст!E81</f>
        <v>2.6850000000000001</v>
      </c>
      <c r="F81" s="466">
        <f>Виробництво_1ст!F81</f>
        <v>0</v>
      </c>
      <c r="G81" s="466">
        <f t="shared" si="8"/>
        <v>0</v>
      </c>
      <c r="H81" s="2604">
        <f t="shared" si="9"/>
        <v>0</v>
      </c>
      <c r="I81" s="466">
        <f t="shared" si="9"/>
        <v>0</v>
      </c>
      <c r="J81" s="466">
        <f t="shared" si="9"/>
        <v>0</v>
      </c>
      <c r="K81" s="391"/>
      <c r="L81" s="391"/>
      <c r="M81" s="399">
        <f>Виробництво_1ст!F81</f>
        <v>0</v>
      </c>
      <c r="N81" s="706">
        <f t="shared" si="6"/>
        <v>0</v>
      </c>
      <c r="O81" s="706">
        <f t="shared" si="10"/>
        <v>0</v>
      </c>
      <c r="P81" s="2753">
        <f>Виробництво_1ст!G81-G81</f>
        <v>0</v>
      </c>
      <c r="Q81" s="2615">
        <f>Виробництво_1ст!H81-H81</f>
        <v>0</v>
      </c>
      <c r="R81" s="2753">
        <f>Виробництво_1ст!I81-I81</f>
        <v>0</v>
      </c>
      <c r="S81" s="2753">
        <f>Виробництво_1ст!J81-J81</f>
        <v>0</v>
      </c>
    </row>
    <row r="82" spans="1:19" x14ac:dyDescent="0.3">
      <c r="C82" s="391"/>
      <c r="D82" s="391"/>
      <c r="E82" s="391"/>
      <c r="F82" s="391"/>
    </row>
    <row r="83" spans="1:19" x14ac:dyDescent="0.3">
      <c r="C83" s="391"/>
      <c r="D83" s="391"/>
      <c r="E83" s="391"/>
      <c r="F83" s="391"/>
      <c r="M83" s="706"/>
    </row>
    <row r="84" spans="1:19" ht="18" x14ac:dyDescent="0.35">
      <c r="B84" s="419" t="str">
        <f>'Вхідні дані'!$B$13</f>
        <v>Директор підприємства</v>
      </c>
      <c r="C84" s="419"/>
      <c r="D84" s="419"/>
      <c r="E84" s="419"/>
      <c r="F84" s="772" t="s">
        <v>1400</v>
      </c>
      <c r="G84" s="5181" t="str">
        <f>'Вхідні дані'!$F$13</f>
        <v>Анатолій ПАНШИН</v>
      </c>
      <c r="H84" s="5181"/>
      <c r="I84" s="5181"/>
    </row>
    <row r="85" spans="1:19" ht="18" x14ac:dyDescent="0.35">
      <c r="B85" s="419"/>
      <c r="C85" s="419"/>
      <c r="D85" s="419"/>
      <c r="E85" s="419"/>
      <c r="F85" s="772" t="s">
        <v>209</v>
      </c>
      <c r="G85" s="5175" t="s">
        <v>963</v>
      </c>
      <c r="H85" s="5175"/>
      <c r="I85" s="5175"/>
    </row>
    <row r="86" spans="1:19" ht="18" x14ac:dyDescent="0.35">
      <c r="B86" s="419" t="str">
        <f>'Вхідні дані'!$B$15</f>
        <v>Заступник директора з економіки</v>
      </c>
      <c r="C86" s="419"/>
      <c r="D86" s="419"/>
      <c r="E86" s="419"/>
      <c r="F86" s="772" t="s">
        <v>1400</v>
      </c>
      <c r="G86" s="5181" t="str">
        <f>'Вхідні дані'!$F$15</f>
        <v>Олена ЛАВРОВА</v>
      </c>
      <c r="H86" s="5181"/>
      <c r="I86" s="5181"/>
    </row>
    <row r="87" spans="1:19" ht="24" customHeight="1" x14ac:dyDescent="0.35">
      <c r="B87" s="418"/>
      <c r="C87" s="418"/>
      <c r="D87" s="418"/>
      <c r="E87" s="418"/>
      <c r="F87" s="772" t="s">
        <v>209</v>
      </c>
      <c r="G87" s="5175" t="s">
        <v>963</v>
      </c>
      <c r="H87" s="5175"/>
      <c r="I87" s="5175"/>
      <c r="J87" s="418"/>
      <c r="K87" s="724"/>
      <c r="L87" s="900"/>
    </row>
    <row r="88" spans="1:19" x14ac:dyDescent="0.3">
      <c r="C88" s="391"/>
      <c r="D88" s="391"/>
      <c r="E88" s="391"/>
    </row>
    <row r="89" spans="1:19" x14ac:dyDescent="0.3">
      <c r="C89" s="391"/>
      <c r="D89" s="391"/>
    </row>
    <row r="90" spans="1:19" x14ac:dyDescent="0.3">
      <c r="C90" s="391"/>
      <c r="D90" s="391"/>
      <c r="E90" s="391"/>
      <c r="F90" s="391"/>
    </row>
    <row r="91" spans="1:19" x14ac:dyDescent="0.3">
      <c r="C91" s="391"/>
      <c r="D91" s="391"/>
      <c r="E91" s="391"/>
      <c r="F91" s="391"/>
    </row>
    <row r="92" spans="1:19" x14ac:dyDescent="0.3">
      <c r="C92" s="391"/>
      <c r="D92" s="391"/>
      <c r="E92" s="391"/>
      <c r="F92" s="391"/>
    </row>
    <row r="93" spans="1:19" x14ac:dyDescent="0.3">
      <c r="C93" s="391"/>
      <c r="D93" s="391"/>
      <c r="E93" s="391"/>
      <c r="F93" s="391"/>
    </row>
    <row r="94" spans="1:19" ht="26.4" x14ac:dyDescent="0.3">
      <c r="C94" s="1187">
        <f>'Вхідні дані'!F8</f>
        <v>2021</v>
      </c>
      <c r="D94" s="1187">
        <f>'Вхідні дані'!F7</f>
        <v>2022</v>
      </c>
      <c r="E94" s="3950" t="str">
        <f>E7</f>
        <v>Ріш. №296 від 25.10.2022</v>
      </c>
      <c r="F94" s="1187" t="str">
        <f>'Вхідні дані'!F6</f>
        <v>2023-2024</v>
      </c>
    </row>
    <row r="95" spans="1:19" x14ac:dyDescent="0.3">
      <c r="B95" s="1188" t="s">
        <v>1894</v>
      </c>
      <c r="C95" s="1752">
        <f>C10</f>
        <v>113102.30962550636</v>
      </c>
      <c r="D95" s="1752">
        <f>D10</f>
        <v>99460.556329999992</v>
      </c>
      <c r="E95" s="1752">
        <f>E10</f>
        <v>264453.01604563743</v>
      </c>
      <c r="F95" s="1752">
        <f>F10</f>
        <v>143860.61850577858</v>
      </c>
    </row>
    <row r="96" spans="1:19" x14ac:dyDescent="0.3">
      <c r="B96" s="1189" t="s">
        <v>2294</v>
      </c>
      <c r="C96" s="1753">
        <f>C29</f>
        <v>7334.8339500000002</v>
      </c>
      <c r="D96" s="1753">
        <f>D29</f>
        <v>8106.6893399999999</v>
      </c>
      <c r="E96" s="1753">
        <f>E29</f>
        <v>10366.7803628</v>
      </c>
      <c r="F96" s="1753">
        <f>F29</f>
        <v>11228.939355305936</v>
      </c>
    </row>
    <row r="97" spans="2:6" x14ac:dyDescent="0.3">
      <c r="B97" s="1190" t="s">
        <v>2295</v>
      </c>
      <c r="C97" s="1753">
        <f>C32</f>
        <v>1608.3573699999999</v>
      </c>
      <c r="D97" s="1753">
        <f>D32</f>
        <v>1788.1156299999998</v>
      </c>
      <c r="E97" s="1753">
        <f>E32</f>
        <v>2280.691679816</v>
      </c>
      <c r="F97" s="1753">
        <f>F32</f>
        <v>2470.366658167306</v>
      </c>
    </row>
    <row r="98" spans="2:6" x14ac:dyDescent="0.3">
      <c r="B98" s="1190" t="s">
        <v>2296</v>
      </c>
      <c r="C98" s="1753">
        <f>C12</f>
        <v>97718.766315506393</v>
      </c>
      <c r="D98" s="1753">
        <f>D12</f>
        <v>82691.585459999988</v>
      </c>
      <c r="E98" s="1753">
        <f>E12</f>
        <v>243029.48255653607</v>
      </c>
      <c r="F98" s="1753">
        <f>F12</f>
        <v>118804.3607936293</v>
      </c>
    </row>
    <row r="99" spans="2:6" x14ac:dyDescent="0.3">
      <c r="B99" s="1190" t="s">
        <v>43</v>
      </c>
      <c r="C99" s="1753">
        <f t="shared" ref="C99:F100" si="11">C16</f>
        <v>2813.79909</v>
      </c>
      <c r="D99" s="1753">
        <f t="shared" si="11"/>
        <v>2831.3806500000001</v>
      </c>
      <c r="E99" s="1753">
        <f t="shared" si="11"/>
        <v>3835.5365105267629</v>
      </c>
      <c r="F99" s="1753">
        <f t="shared" si="11"/>
        <v>5937.3503814675587</v>
      </c>
    </row>
    <row r="100" spans="2:6" x14ac:dyDescent="0.3">
      <c r="B100" s="1190" t="s">
        <v>2297</v>
      </c>
      <c r="C100" s="1753">
        <f t="shared" si="11"/>
        <v>30.959239999999998</v>
      </c>
      <c r="D100" s="1753">
        <f t="shared" si="11"/>
        <v>34.119480000000003</v>
      </c>
      <c r="E100" s="1753">
        <f t="shared" si="11"/>
        <v>37.583397437391703</v>
      </c>
      <c r="F100" s="1753">
        <f t="shared" si="11"/>
        <v>33.313922123945588</v>
      </c>
    </row>
    <row r="101" spans="2:6" x14ac:dyDescent="0.3">
      <c r="B101" s="1190" t="s">
        <v>460</v>
      </c>
      <c r="C101" s="1753">
        <f>C34+C33</f>
        <v>2065.88202</v>
      </c>
      <c r="D101" s="1753">
        <f>D34+D33</f>
        <v>2301.1614399999999</v>
      </c>
      <c r="E101" s="1753">
        <f>E34+E33</f>
        <v>2299.5848500000002</v>
      </c>
      <c r="F101" s="1753">
        <f>F34+F33</f>
        <v>2122.9628600000001</v>
      </c>
    </row>
    <row r="102" spans="2:6" x14ac:dyDescent="0.3">
      <c r="B102" s="1190" t="s">
        <v>2298</v>
      </c>
      <c r="C102" s="1753">
        <f>C71</f>
        <v>304.15017</v>
      </c>
      <c r="D102" s="1753">
        <f>D71</f>
        <v>604.37774999999999</v>
      </c>
      <c r="E102" s="1753">
        <f>E71</f>
        <v>942.16534000000001</v>
      </c>
      <c r="F102" s="1753">
        <f>F71</f>
        <v>904.22609</v>
      </c>
    </row>
    <row r="103" spans="2:6" x14ac:dyDescent="0.3">
      <c r="B103" s="1190" t="s">
        <v>2299</v>
      </c>
      <c r="C103" s="1753">
        <f>C35</f>
        <v>485.08694000000003</v>
      </c>
      <c r="D103" s="1753">
        <f>D35</f>
        <v>269.56459000000001</v>
      </c>
      <c r="E103" s="1753">
        <f>E35</f>
        <v>610.07500000000005</v>
      </c>
      <c r="F103" s="1753">
        <f>F35</f>
        <v>1244.7175333333332</v>
      </c>
    </row>
    <row r="104" spans="2:6" x14ac:dyDescent="0.3">
      <c r="B104" s="1190" t="s">
        <v>2300</v>
      </c>
      <c r="C104" s="1753">
        <f>C11-C12-C16-C17+C31-C32-C33-C34-C35-C71</f>
        <v>740.47452999996938</v>
      </c>
      <c r="D104" s="1753">
        <f>D11-D12-D16-D17+D31-D32-D33-D34-D35-D71</f>
        <v>833.56199000000299</v>
      </c>
      <c r="E104" s="1753">
        <f>E11-E12-E16-E17+E31-E32-E33-E34-E35-E71</f>
        <v>1051.1163485212248</v>
      </c>
      <c r="F104" s="1753">
        <f>F11-F12-F16-F17+F31-F32-F33-F34-F35-F71</f>
        <v>1114.3809117512146</v>
      </c>
    </row>
    <row r="105" spans="2:6" x14ac:dyDescent="0.3">
      <c r="C105" s="1754">
        <f>SUM(C96:C104)</f>
        <v>113102.30962550634</v>
      </c>
      <c r="D105" s="1754">
        <f>SUM(D96:D104)</f>
        <v>99460.556329999978</v>
      </c>
      <c r="E105" s="1754">
        <f>SUM(E96:E104)</f>
        <v>264453.01604563743</v>
      </c>
      <c r="F105" s="1754">
        <f>SUM(F96:F104)</f>
        <v>143860.61850577861</v>
      </c>
    </row>
    <row r="106" spans="2:6" x14ac:dyDescent="0.3">
      <c r="C106" s="1755">
        <f>C95-C105</f>
        <v>0</v>
      </c>
      <c r="D106" s="1755">
        <f>D95-D105</f>
        <v>0</v>
      </c>
      <c r="E106" s="1755">
        <f>E95-E105</f>
        <v>0</v>
      </c>
      <c r="F106" s="1755">
        <f>F95-F105</f>
        <v>0</v>
      </c>
    </row>
    <row r="119" spans="3:6" x14ac:dyDescent="0.3">
      <c r="C119" s="391"/>
      <c r="D119" s="391"/>
      <c r="E119" s="391"/>
      <c r="F119" s="391"/>
    </row>
    <row r="120" spans="3:6" x14ac:dyDescent="0.3">
      <c r="C120" s="391"/>
      <c r="D120" s="391"/>
      <c r="E120" s="391"/>
      <c r="F120" s="391"/>
    </row>
    <row r="121" spans="3:6" x14ac:dyDescent="0.3">
      <c r="C121" s="391"/>
      <c r="D121" s="391"/>
      <c r="E121" s="391"/>
      <c r="F121" s="391"/>
    </row>
    <row r="122" spans="3:6" x14ac:dyDescent="0.3">
      <c r="C122" s="391"/>
      <c r="D122" s="391"/>
      <c r="E122" s="391"/>
      <c r="F122" s="391"/>
    </row>
    <row r="123" spans="3:6" x14ac:dyDescent="0.3">
      <c r="C123" s="391"/>
      <c r="D123" s="391"/>
      <c r="E123" s="391"/>
      <c r="F123" s="391"/>
    </row>
    <row r="124" spans="3:6" x14ac:dyDescent="0.3">
      <c r="C124" s="391"/>
      <c r="D124" s="391"/>
      <c r="E124" s="391"/>
      <c r="F124" s="391"/>
    </row>
    <row r="125" spans="3:6" x14ac:dyDescent="0.3">
      <c r="C125" s="391"/>
      <c r="D125" s="391"/>
      <c r="E125" s="391"/>
      <c r="F125" s="391"/>
    </row>
    <row r="126" spans="3:6" x14ac:dyDescent="0.3">
      <c r="C126" s="391"/>
      <c r="D126" s="391"/>
      <c r="E126" s="391"/>
      <c r="F126" s="391"/>
    </row>
    <row r="127" spans="3:6" x14ac:dyDescent="0.3">
      <c r="C127" s="391"/>
      <c r="D127" s="391"/>
      <c r="E127" s="391"/>
      <c r="F127" s="391"/>
    </row>
    <row r="128" spans="3:6" x14ac:dyDescent="0.3">
      <c r="C128" s="391"/>
      <c r="D128" s="391"/>
      <c r="E128" s="391"/>
      <c r="F128" s="391"/>
    </row>
    <row r="129" spans="3:6" x14ac:dyDescent="0.3">
      <c r="C129" s="391"/>
      <c r="D129" s="391"/>
      <c r="E129" s="391"/>
      <c r="F129" s="391"/>
    </row>
    <row r="130" spans="3:6" x14ac:dyDescent="0.3">
      <c r="C130" s="391"/>
      <c r="D130" s="391"/>
      <c r="E130" s="391"/>
      <c r="F130" s="391"/>
    </row>
    <row r="131" spans="3:6" x14ac:dyDescent="0.3">
      <c r="C131" s="391"/>
      <c r="D131" s="391"/>
      <c r="E131" s="391"/>
      <c r="F131" s="391"/>
    </row>
    <row r="132" spans="3:6" x14ac:dyDescent="0.3">
      <c r="C132" s="391"/>
      <c r="D132" s="391"/>
      <c r="E132" s="391"/>
      <c r="F132" s="391"/>
    </row>
    <row r="133" spans="3:6" x14ac:dyDescent="0.3">
      <c r="C133" s="391"/>
      <c r="D133" s="391"/>
      <c r="E133" s="391"/>
      <c r="F133" s="391"/>
    </row>
    <row r="134" spans="3:6" x14ac:dyDescent="0.3">
      <c r="C134" s="391"/>
      <c r="D134" s="391"/>
      <c r="E134" s="391"/>
      <c r="F134" s="391"/>
    </row>
    <row r="135" spans="3:6" x14ac:dyDescent="0.3">
      <c r="C135" s="391"/>
      <c r="D135" s="391"/>
      <c r="E135" s="391"/>
      <c r="F135" s="391"/>
    </row>
    <row r="136" spans="3:6" x14ac:dyDescent="0.3">
      <c r="C136" s="391"/>
      <c r="D136" s="391"/>
      <c r="E136" s="391"/>
      <c r="F136" s="391"/>
    </row>
    <row r="137" spans="3:6" x14ac:dyDescent="0.3">
      <c r="C137" s="391"/>
      <c r="D137" s="391"/>
      <c r="E137" s="391"/>
      <c r="F137" s="391"/>
    </row>
    <row r="138" spans="3:6" x14ac:dyDescent="0.3">
      <c r="C138" s="391"/>
      <c r="D138" s="391"/>
      <c r="E138" s="391"/>
      <c r="F138" s="391"/>
    </row>
    <row r="139" spans="3:6" x14ac:dyDescent="0.3">
      <c r="C139" s="391"/>
      <c r="D139" s="391"/>
      <c r="E139" s="391"/>
      <c r="F139" s="391"/>
    </row>
    <row r="140" spans="3:6" x14ac:dyDescent="0.3">
      <c r="C140" s="391"/>
      <c r="D140" s="391"/>
      <c r="E140" s="391"/>
      <c r="F140" s="391"/>
    </row>
    <row r="141" spans="3:6" x14ac:dyDescent="0.3">
      <c r="C141" s="391"/>
      <c r="D141" s="391"/>
      <c r="E141" s="391"/>
      <c r="F141" s="391"/>
    </row>
    <row r="142" spans="3:6" x14ac:dyDescent="0.3">
      <c r="C142" s="391"/>
      <c r="D142" s="391"/>
      <c r="E142" s="391"/>
      <c r="F142" s="391"/>
    </row>
    <row r="143" spans="3:6" x14ac:dyDescent="0.3">
      <c r="C143" s="391"/>
      <c r="D143" s="391"/>
      <c r="E143" s="391"/>
      <c r="F143" s="391"/>
    </row>
    <row r="144" spans="3:6" x14ac:dyDescent="0.3">
      <c r="C144" s="391"/>
      <c r="D144" s="391"/>
      <c r="E144" s="391"/>
      <c r="F144" s="391"/>
    </row>
    <row r="145" spans="3:6" x14ac:dyDescent="0.3">
      <c r="C145" s="391"/>
      <c r="D145" s="391"/>
      <c r="E145" s="391"/>
      <c r="F145" s="391"/>
    </row>
    <row r="146" spans="3:6" x14ac:dyDescent="0.3">
      <c r="C146" s="391"/>
      <c r="D146" s="391"/>
      <c r="E146" s="391"/>
      <c r="F146" s="391"/>
    </row>
    <row r="147" spans="3:6" x14ac:dyDescent="0.3">
      <c r="C147" s="391"/>
      <c r="D147" s="391"/>
      <c r="E147" s="391"/>
      <c r="F147" s="391"/>
    </row>
    <row r="148" spans="3:6" x14ac:dyDescent="0.3">
      <c r="C148" s="391"/>
      <c r="D148" s="391"/>
      <c r="E148" s="391"/>
      <c r="F148" s="391"/>
    </row>
    <row r="149" spans="3:6" x14ac:dyDescent="0.3">
      <c r="C149" s="391"/>
      <c r="D149" s="391"/>
      <c r="E149" s="391"/>
      <c r="F149" s="391"/>
    </row>
    <row r="150" spans="3:6" x14ac:dyDescent="0.3">
      <c r="C150" s="391"/>
      <c r="D150" s="391"/>
      <c r="E150" s="391"/>
      <c r="F150" s="391"/>
    </row>
    <row r="151" spans="3:6" x14ac:dyDescent="0.3">
      <c r="C151" s="391"/>
      <c r="D151" s="391"/>
      <c r="E151" s="391"/>
      <c r="F151" s="391"/>
    </row>
    <row r="152" spans="3:6" x14ac:dyDescent="0.3">
      <c r="C152" s="391"/>
      <c r="D152" s="391"/>
      <c r="E152" s="391"/>
      <c r="F152" s="391"/>
    </row>
    <row r="153" spans="3:6" x14ac:dyDescent="0.3">
      <c r="C153" s="391"/>
      <c r="D153" s="391"/>
      <c r="E153" s="391"/>
      <c r="F153" s="391"/>
    </row>
    <row r="154" spans="3:6" x14ac:dyDescent="0.3">
      <c r="C154" s="391"/>
      <c r="D154" s="391"/>
      <c r="E154" s="391"/>
      <c r="F154" s="391"/>
    </row>
    <row r="155" spans="3:6" x14ac:dyDescent="0.3">
      <c r="C155" s="391"/>
      <c r="D155" s="391"/>
      <c r="E155" s="391"/>
      <c r="F155" s="391"/>
    </row>
    <row r="156" spans="3:6" x14ac:dyDescent="0.3">
      <c r="C156" s="391"/>
      <c r="D156" s="391"/>
      <c r="E156" s="391"/>
      <c r="F156" s="391"/>
    </row>
    <row r="157" spans="3:6" x14ac:dyDescent="0.3">
      <c r="C157" s="391"/>
      <c r="D157" s="391"/>
      <c r="E157" s="391"/>
      <c r="F157" s="391"/>
    </row>
    <row r="158" spans="3:6" x14ac:dyDescent="0.3">
      <c r="C158" s="391"/>
      <c r="D158" s="391"/>
      <c r="E158" s="391"/>
      <c r="F158" s="391"/>
    </row>
    <row r="159" spans="3:6" x14ac:dyDescent="0.3">
      <c r="C159" s="391"/>
      <c r="D159" s="391"/>
      <c r="E159" s="391"/>
      <c r="F159" s="391"/>
    </row>
    <row r="160" spans="3:6" x14ac:dyDescent="0.3">
      <c r="C160" s="391"/>
      <c r="D160" s="391"/>
      <c r="E160" s="391"/>
      <c r="F160" s="391"/>
    </row>
    <row r="161" spans="3:6" x14ac:dyDescent="0.3">
      <c r="C161" s="391"/>
      <c r="D161" s="391"/>
      <c r="E161" s="391"/>
      <c r="F161" s="391"/>
    </row>
    <row r="162" spans="3:6" x14ac:dyDescent="0.3">
      <c r="C162" s="391"/>
      <c r="D162" s="391"/>
      <c r="E162" s="391"/>
      <c r="F162" s="391"/>
    </row>
    <row r="163" spans="3:6" x14ac:dyDescent="0.3">
      <c r="C163" s="391"/>
      <c r="D163" s="391"/>
      <c r="E163" s="391"/>
      <c r="F163" s="391"/>
    </row>
    <row r="164" spans="3:6" x14ac:dyDescent="0.3">
      <c r="C164" s="391"/>
      <c r="D164" s="391"/>
      <c r="E164" s="391"/>
      <c r="F164" s="391"/>
    </row>
    <row r="165" spans="3:6" x14ac:dyDescent="0.3">
      <c r="C165" s="391"/>
      <c r="D165" s="391"/>
      <c r="E165" s="391"/>
      <c r="F165" s="391"/>
    </row>
    <row r="166" spans="3:6" x14ac:dyDescent="0.3">
      <c r="C166" s="391"/>
      <c r="D166" s="391"/>
      <c r="E166" s="391"/>
      <c r="F166" s="391"/>
    </row>
    <row r="167" spans="3:6" x14ac:dyDescent="0.3">
      <c r="C167" s="391"/>
      <c r="D167" s="391"/>
      <c r="E167" s="391"/>
      <c r="F167" s="391"/>
    </row>
    <row r="168" spans="3:6" x14ac:dyDescent="0.3">
      <c r="C168" s="391"/>
      <c r="D168" s="391"/>
      <c r="E168" s="391"/>
      <c r="F168" s="391"/>
    </row>
    <row r="169" spans="3:6" x14ac:dyDescent="0.3">
      <c r="C169" s="391"/>
      <c r="D169" s="391"/>
      <c r="E169" s="391"/>
      <c r="F169" s="391"/>
    </row>
    <row r="170" spans="3:6" x14ac:dyDescent="0.3">
      <c r="C170" s="391"/>
      <c r="D170" s="391"/>
      <c r="E170" s="391"/>
      <c r="F170" s="391"/>
    </row>
    <row r="171" spans="3:6" x14ac:dyDescent="0.3">
      <c r="C171" s="391"/>
      <c r="D171" s="391"/>
      <c r="E171" s="391"/>
      <c r="F171" s="391"/>
    </row>
    <row r="172" spans="3:6" x14ac:dyDescent="0.3">
      <c r="C172" s="391"/>
      <c r="D172" s="391"/>
      <c r="E172" s="391"/>
      <c r="F172" s="391"/>
    </row>
    <row r="173" spans="3:6" x14ac:dyDescent="0.3">
      <c r="C173" s="391"/>
      <c r="D173" s="391"/>
      <c r="E173" s="391"/>
      <c r="F173" s="391"/>
    </row>
    <row r="174" spans="3:6" x14ac:dyDescent="0.3">
      <c r="C174" s="391"/>
      <c r="D174" s="391"/>
      <c r="E174" s="391"/>
      <c r="F174" s="391"/>
    </row>
    <row r="175" spans="3:6" x14ac:dyDescent="0.3">
      <c r="C175" s="391"/>
      <c r="D175" s="391"/>
      <c r="E175" s="391"/>
      <c r="F175" s="391"/>
    </row>
    <row r="176" spans="3:6" x14ac:dyDescent="0.3">
      <c r="C176" s="391"/>
      <c r="D176" s="391"/>
      <c r="E176" s="391"/>
      <c r="F176" s="391"/>
    </row>
    <row r="177" spans="3:6" x14ac:dyDescent="0.3">
      <c r="C177" s="391"/>
      <c r="D177" s="391"/>
      <c r="E177" s="391"/>
      <c r="F177" s="391"/>
    </row>
    <row r="178" spans="3:6" x14ac:dyDescent="0.3">
      <c r="C178" s="391"/>
      <c r="D178" s="391"/>
      <c r="E178" s="391"/>
      <c r="F178" s="391"/>
    </row>
    <row r="179" spans="3:6" x14ac:dyDescent="0.3">
      <c r="C179" s="391"/>
      <c r="D179" s="391"/>
      <c r="E179" s="391"/>
      <c r="F179" s="391"/>
    </row>
    <row r="180" spans="3:6" x14ac:dyDescent="0.3">
      <c r="C180" s="391"/>
      <c r="D180" s="391"/>
      <c r="E180" s="391"/>
      <c r="F180" s="391"/>
    </row>
    <row r="181" spans="3:6" x14ac:dyDescent="0.3">
      <c r="C181" s="391"/>
      <c r="D181" s="391"/>
      <c r="E181" s="391"/>
      <c r="F181" s="391"/>
    </row>
    <row r="182" spans="3:6" x14ac:dyDescent="0.3">
      <c r="C182" s="391"/>
      <c r="D182" s="391"/>
      <c r="E182" s="391"/>
      <c r="F182" s="391"/>
    </row>
    <row r="183" spans="3:6" x14ac:dyDescent="0.3">
      <c r="C183" s="391"/>
      <c r="D183" s="391"/>
      <c r="E183" s="391"/>
      <c r="F183" s="391"/>
    </row>
    <row r="184" spans="3:6" x14ac:dyDescent="0.3">
      <c r="C184" s="391"/>
      <c r="D184" s="391"/>
      <c r="E184" s="391"/>
      <c r="F184" s="391"/>
    </row>
    <row r="185" spans="3:6" x14ac:dyDescent="0.3">
      <c r="C185" s="391"/>
      <c r="D185" s="391"/>
      <c r="E185" s="391"/>
      <c r="F185" s="391"/>
    </row>
    <row r="186" spans="3:6" x14ac:dyDescent="0.3">
      <c r="C186" s="391"/>
      <c r="D186" s="391"/>
      <c r="E186" s="391"/>
      <c r="F186" s="391"/>
    </row>
    <row r="187" spans="3:6" x14ac:dyDescent="0.3">
      <c r="C187" s="391"/>
      <c r="D187" s="391"/>
      <c r="E187" s="391"/>
      <c r="F187" s="391"/>
    </row>
    <row r="188" spans="3:6" x14ac:dyDescent="0.3">
      <c r="C188" s="391"/>
      <c r="D188" s="391"/>
      <c r="E188" s="391"/>
      <c r="F188" s="391"/>
    </row>
    <row r="189" spans="3:6" x14ac:dyDescent="0.3">
      <c r="C189" s="391"/>
      <c r="D189" s="391"/>
      <c r="E189" s="391"/>
      <c r="F189" s="391"/>
    </row>
    <row r="190" spans="3:6" x14ac:dyDescent="0.3">
      <c r="C190" s="391"/>
      <c r="D190" s="391"/>
      <c r="E190" s="391"/>
      <c r="F190" s="391"/>
    </row>
    <row r="191" spans="3:6" x14ac:dyDescent="0.3">
      <c r="C191" s="391"/>
      <c r="D191" s="391"/>
      <c r="E191" s="391"/>
      <c r="F191" s="391"/>
    </row>
    <row r="192" spans="3:6" x14ac:dyDescent="0.3">
      <c r="C192" s="391"/>
      <c r="D192" s="391"/>
      <c r="E192" s="391"/>
      <c r="F192" s="391"/>
    </row>
    <row r="193" spans="3:6" x14ac:dyDescent="0.3">
      <c r="C193" s="391"/>
      <c r="D193" s="391"/>
      <c r="E193" s="391"/>
      <c r="F193" s="391"/>
    </row>
    <row r="194" spans="3:6" x14ac:dyDescent="0.3">
      <c r="C194" s="391"/>
      <c r="D194" s="391"/>
      <c r="E194" s="391"/>
      <c r="F194" s="391"/>
    </row>
    <row r="195" spans="3:6" x14ac:dyDescent="0.3">
      <c r="C195" s="391"/>
      <c r="D195" s="391"/>
      <c r="E195" s="391"/>
      <c r="F195" s="391"/>
    </row>
    <row r="196" spans="3:6" x14ac:dyDescent="0.3">
      <c r="C196" s="391"/>
      <c r="D196" s="391"/>
      <c r="E196" s="391"/>
      <c r="F196" s="391"/>
    </row>
    <row r="197" spans="3:6" x14ac:dyDescent="0.3">
      <c r="C197" s="391"/>
      <c r="D197" s="391"/>
      <c r="E197" s="391"/>
      <c r="F197" s="391"/>
    </row>
    <row r="198" spans="3:6" x14ac:dyDescent="0.3">
      <c r="C198" s="391"/>
      <c r="D198" s="391"/>
      <c r="E198" s="391"/>
      <c r="F198" s="391"/>
    </row>
    <row r="199" spans="3:6" x14ac:dyDescent="0.3">
      <c r="C199" s="391"/>
      <c r="D199" s="391"/>
      <c r="E199" s="391"/>
      <c r="F199" s="391"/>
    </row>
    <row r="200" spans="3:6" x14ac:dyDescent="0.3">
      <c r="C200" s="391"/>
      <c r="D200" s="391"/>
      <c r="E200" s="391"/>
      <c r="F200" s="391"/>
    </row>
    <row r="201" spans="3:6" x14ac:dyDescent="0.3">
      <c r="C201" s="391"/>
      <c r="D201" s="391"/>
      <c r="E201" s="391"/>
      <c r="F201" s="391"/>
    </row>
    <row r="202" spans="3:6" x14ac:dyDescent="0.3">
      <c r="C202" s="391"/>
      <c r="D202" s="391"/>
      <c r="E202" s="391"/>
      <c r="F202" s="391"/>
    </row>
    <row r="203" spans="3:6" x14ac:dyDescent="0.3">
      <c r="C203" s="391"/>
      <c r="D203" s="391"/>
      <c r="E203" s="391"/>
      <c r="F203" s="391"/>
    </row>
    <row r="204" spans="3:6" x14ac:dyDescent="0.3">
      <c r="C204" s="391"/>
      <c r="D204" s="391"/>
      <c r="E204" s="391"/>
      <c r="F204" s="391"/>
    </row>
    <row r="205" spans="3:6" x14ac:dyDescent="0.3">
      <c r="C205" s="391"/>
      <c r="D205" s="391"/>
      <c r="E205" s="391"/>
      <c r="F205" s="391"/>
    </row>
    <row r="206" spans="3:6" x14ac:dyDescent="0.3">
      <c r="C206" s="391"/>
      <c r="D206" s="391"/>
      <c r="E206" s="391"/>
      <c r="F206" s="391"/>
    </row>
    <row r="207" spans="3:6" x14ac:dyDescent="0.3">
      <c r="C207" s="391"/>
      <c r="D207" s="391"/>
      <c r="E207" s="391"/>
      <c r="F207" s="391"/>
    </row>
    <row r="208" spans="3:6" x14ac:dyDescent="0.3">
      <c r="C208" s="391"/>
      <c r="D208" s="391"/>
      <c r="E208" s="391"/>
      <c r="F208" s="391"/>
    </row>
    <row r="209" spans="3:6" x14ac:dyDescent="0.3">
      <c r="C209" s="391"/>
      <c r="D209" s="391"/>
      <c r="E209" s="391"/>
      <c r="F209" s="391"/>
    </row>
    <row r="210" spans="3:6" x14ac:dyDescent="0.3">
      <c r="C210" s="391"/>
      <c r="D210" s="391"/>
      <c r="E210" s="391"/>
      <c r="F210" s="391"/>
    </row>
    <row r="211" spans="3:6" x14ac:dyDescent="0.3">
      <c r="C211" s="391"/>
      <c r="D211" s="391"/>
      <c r="E211" s="391"/>
      <c r="F211" s="391"/>
    </row>
    <row r="212" spans="3:6" x14ac:dyDescent="0.3">
      <c r="C212" s="391"/>
      <c r="D212" s="391"/>
      <c r="E212" s="391"/>
      <c r="F212" s="391"/>
    </row>
    <row r="213" spans="3:6" x14ac:dyDescent="0.3">
      <c r="C213" s="391"/>
      <c r="D213" s="391"/>
      <c r="E213" s="391"/>
      <c r="F213" s="391"/>
    </row>
    <row r="214" spans="3:6" x14ac:dyDescent="0.3">
      <c r="C214" s="391"/>
      <c r="D214" s="391"/>
      <c r="E214" s="391"/>
      <c r="F214" s="391"/>
    </row>
    <row r="215" spans="3:6" x14ac:dyDescent="0.3">
      <c r="C215" s="391"/>
      <c r="D215" s="391"/>
      <c r="E215" s="391"/>
      <c r="F215" s="391"/>
    </row>
    <row r="216" spans="3:6" x14ac:dyDescent="0.3">
      <c r="C216" s="391"/>
      <c r="D216" s="391"/>
      <c r="E216" s="391"/>
      <c r="F216" s="391"/>
    </row>
    <row r="217" spans="3:6" x14ac:dyDescent="0.3">
      <c r="C217" s="391"/>
      <c r="D217" s="391"/>
      <c r="E217" s="391"/>
      <c r="F217" s="391"/>
    </row>
    <row r="218" spans="3:6" x14ac:dyDescent="0.3">
      <c r="C218" s="391"/>
      <c r="D218" s="391"/>
      <c r="E218" s="391"/>
      <c r="F218" s="391"/>
    </row>
    <row r="219" spans="3:6" x14ac:dyDescent="0.3">
      <c r="C219" s="391"/>
      <c r="D219" s="391"/>
      <c r="E219" s="391"/>
      <c r="F219" s="391"/>
    </row>
    <row r="220" spans="3:6" x14ac:dyDescent="0.3">
      <c r="C220" s="391"/>
      <c r="D220" s="391"/>
      <c r="E220" s="391"/>
      <c r="F220" s="391"/>
    </row>
  </sheetData>
  <mergeCells count="6">
    <mergeCell ref="G87:I87"/>
    <mergeCell ref="B6:B7"/>
    <mergeCell ref="G6:J6"/>
    <mergeCell ref="G84:I84"/>
    <mergeCell ref="G85:I85"/>
    <mergeCell ref="G86:I86"/>
  </mergeCells>
  <conditionalFormatting sqref="F87:I87">
    <cfRule type="expression" dxfId="54" priority="18" stopIfTrue="1">
      <formula>ABS(#REF!-(#REF!+$D87+$M87+#REF!))&gt;отклонение</formula>
    </cfRule>
  </conditionalFormatting>
  <conditionalFormatting sqref="G87:I87">
    <cfRule type="expression" dxfId="53" priority="11" stopIfTrue="1">
      <formula>ABS(#REF!-(#REF!+$E87+$L87+$O87))&gt;отклонение</formula>
    </cfRule>
    <cfRule type="expression" dxfId="52" priority="14" stopIfTrue="1">
      <formula>ABS(#REF!-(#REF!+$D87+#REF!+#REF!))&gt;отклонение</formula>
    </cfRule>
    <cfRule type="expression" dxfId="51" priority="19" stopIfTrue="1">
      <formula>ABS(#REF!-(#REF!+$D87+$M87+#REF!))&gt;отклонение</formula>
    </cfRule>
  </conditionalFormatting>
  <conditionalFormatting sqref="G87:L87 B87:E87">
    <cfRule type="expression" dxfId="50" priority="17" stopIfTrue="1">
      <formula>ABS(#REF!-(#REF!+$D87+#REF!+#REF!))&gt;отклонение</formula>
    </cfRule>
  </conditionalFormatting>
  <pageMargins left="0.23622047244094491" right="0.23622047244094491" top="0.62" bottom="0.15748031496062992" header="0.31496062992125984" footer="0.31496062992125984"/>
  <pageSetup paperSize="9" scale="62" fitToHeight="3" orientation="landscape" r:id="rId1"/>
  <headerFooter alignWithMargins="0"/>
  <legacyDrawing r:id="rId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Лист24">
    <tabColor rgb="FF00B050"/>
    <pageSetUpPr fitToPage="1"/>
  </sheetPr>
  <dimension ref="A1:U99"/>
  <sheetViews>
    <sheetView zoomScale="75" zoomScaleNormal="75" workbookViewId="0">
      <pane xSplit="8" ySplit="9" topLeftCell="I13" activePane="bottomRight" state="frozen"/>
      <selection pane="topRight" activeCell="I1" sqref="I1"/>
      <selection pane="bottomLeft" activeCell="A10" sqref="A10"/>
      <selection pane="bottomRight" activeCell="G26" sqref="G26"/>
    </sheetView>
  </sheetViews>
  <sheetFormatPr defaultRowHeight="14.4" x14ac:dyDescent="0.3"/>
  <cols>
    <col min="2" max="2" width="57.109375" customWidth="1"/>
    <col min="3" max="3" width="11.5546875" customWidth="1"/>
    <col min="4" max="4" width="11.44140625" customWidth="1"/>
    <col min="5" max="5" width="12.6640625" customWidth="1"/>
    <col min="6" max="6" width="12.5546875" customWidth="1"/>
    <col min="7" max="8" width="16.6640625" customWidth="1"/>
    <col min="9" max="9" width="11.44140625" style="1513" customWidth="1"/>
    <col min="10" max="10" width="13.33203125" style="1513" customWidth="1"/>
    <col min="11" max="11" width="11.44140625" style="1513" customWidth="1"/>
    <col min="13" max="13" width="10" bestFit="1" customWidth="1"/>
    <col min="18" max="18" width="9.44140625" bestFit="1" customWidth="1"/>
    <col min="20" max="20" width="9.44140625" bestFit="1" customWidth="1"/>
  </cols>
  <sheetData>
    <row r="1" spans="2:21" s="391" customFormat="1" ht="17.399999999999999" x14ac:dyDescent="0.3">
      <c r="B1" s="389"/>
      <c r="C1" s="399"/>
      <c r="D1" s="399"/>
      <c r="E1" s="399"/>
      <c r="F1" s="399"/>
      <c r="G1" s="392" t="s">
        <v>821</v>
      </c>
      <c r="H1" s="399"/>
      <c r="I1" s="1273"/>
      <c r="J1" s="1273"/>
      <c r="K1" s="1273"/>
    </row>
    <row r="2" spans="2:21" s="391" customFormat="1" ht="13.2" x14ac:dyDescent="0.25">
      <c r="G2" s="391" t="str">
        <f>'Вхідні дані'!F1</f>
        <v>станом на 01.09.2023 року</v>
      </c>
      <c r="I2" s="1273"/>
      <c r="J2" s="1273"/>
      <c r="K2" s="1273"/>
    </row>
    <row r="3" spans="2:21" s="391" customFormat="1" ht="18.600000000000001" x14ac:dyDescent="0.3">
      <c r="B3" s="394" t="s">
        <v>1665</v>
      </c>
      <c r="C3" s="395"/>
      <c r="D3" s="890" t="str">
        <f>'Вхідні дані'!$F$5</f>
        <v>КП «КТЕ"</v>
      </c>
      <c r="E3" s="890"/>
      <c r="F3" s="890"/>
      <c r="G3" s="890" t="str">
        <f>'Вхідні дані'!$F$6</f>
        <v>2023-2024</v>
      </c>
      <c r="H3" s="510" t="s">
        <v>661</v>
      </c>
      <c r="I3" s="1273"/>
      <c r="J3" s="1273"/>
      <c r="K3" s="1273"/>
    </row>
    <row r="4" spans="2:21" s="391" customFormat="1" ht="8.4" customHeight="1" x14ac:dyDescent="0.3">
      <c r="B4" s="394"/>
      <c r="C4" s="424"/>
      <c r="D4" s="425"/>
      <c r="E4" s="395"/>
      <c r="F4" s="394"/>
      <c r="G4" s="5095"/>
      <c r="H4" s="5095"/>
      <c r="I4" s="1273"/>
      <c r="J4" s="1273"/>
      <c r="K4" s="1273"/>
      <c r="M4" s="399"/>
    </row>
    <row r="5" spans="2:21" s="391" customFormat="1" ht="8.4" customHeight="1" thickBot="1" x14ac:dyDescent="0.4">
      <c r="B5" s="419"/>
      <c r="C5" s="497"/>
      <c r="D5" s="497"/>
      <c r="E5" s="497"/>
      <c r="F5" s="497"/>
      <c r="G5" s="895"/>
      <c r="H5" s="895"/>
      <c r="I5" s="1273"/>
      <c r="J5" s="1273"/>
      <c r="K5" s="1273"/>
      <c r="M5" s="399"/>
    </row>
    <row r="6" spans="2:21" s="391" customFormat="1" ht="18" customHeight="1" x14ac:dyDescent="0.25">
      <c r="B6" s="5176" t="s">
        <v>2433</v>
      </c>
      <c r="C6" s="5184" t="s">
        <v>932</v>
      </c>
      <c r="D6" s="5186" t="s">
        <v>932</v>
      </c>
      <c r="E6" s="2438" t="s">
        <v>942</v>
      </c>
      <c r="F6" s="5188" t="s">
        <v>933</v>
      </c>
      <c r="G6" s="5189"/>
      <c r="H6" s="5190"/>
      <c r="I6" s="1273"/>
      <c r="J6" s="1273"/>
      <c r="K6" s="1273"/>
    </row>
    <row r="7" spans="2:21" s="391" customFormat="1" ht="18" customHeight="1" thickBot="1" x14ac:dyDescent="0.3">
      <c r="B7" s="5183"/>
      <c r="C7" s="5185"/>
      <c r="D7" s="5187"/>
      <c r="E7" s="5191" t="str">
        <f>'Вхідні дані'!$F$9</f>
        <v>Ріш. №296 від 25.10.2022</v>
      </c>
      <c r="F7" s="5193" t="str">
        <f>'Вхідні дані'!$F$6</f>
        <v>2023-2024</v>
      </c>
      <c r="G7" s="5194"/>
      <c r="H7" s="5195"/>
      <c r="I7" s="1273"/>
      <c r="J7" s="1273"/>
      <c r="K7" s="1273"/>
    </row>
    <row r="8" spans="2:21" s="391" customFormat="1" ht="50.4" customHeight="1" thickBot="1" x14ac:dyDescent="0.3">
      <c r="B8" s="5177"/>
      <c r="C8" s="2227">
        <f>'Вхідні дані'!$F$8</f>
        <v>2021</v>
      </c>
      <c r="D8" s="2232">
        <f>'Вхідні дані'!$F$7</f>
        <v>2022</v>
      </c>
      <c r="E8" s="5192"/>
      <c r="F8" s="2437" t="s">
        <v>3193</v>
      </c>
      <c r="G8" s="2586" t="s">
        <v>3304</v>
      </c>
      <c r="H8" s="2587" t="s">
        <v>3308</v>
      </c>
      <c r="I8" s="1273"/>
      <c r="J8" s="1273"/>
      <c r="K8" s="1273"/>
    </row>
    <row r="9" spans="2:21" s="1617" customFormat="1" ht="18.600000000000001" thickBot="1" x14ac:dyDescent="0.4">
      <c r="B9" s="2558" t="s">
        <v>3212</v>
      </c>
      <c r="C9" s="2383"/>
      <c r="D9" s="2384"/>
      <c r="E9" s="2385"/>
      <c r="F9" s="2381"/>
      <c r="G9" s="2381">
        <f>Транспортування_1ст!G9</f>
        <v>0</v>
      </c>
      <c r="H9" s="2381">
        <f>Транспортування_1ст!H9</f>
        <v>0</v>
      </c>
      <c r="I9" s="2594"/>
      <c r="J9" s="2593"/>
      <c r="K9" s="2593"/>
      <c r="L9" s="2382"/>
      <c r="M9" s="2743"/>
      <c r="N9" s="2743"/>
      <c r="O9" s="2743"/>
      <c r="P9" s="2743"/>
      <c r="Q9" s="2743"/>
      <c r="R9" s="2743"/>
      <c r="S9" s="2743"/>
      <c r="T9" s="2743"/>
      <c r="U9" s="2743"/>
    </row>
    <row r="10" spans="2:21" s="1617" customFormat="1" ht="18.600000000000001" thickBot="1" x14ac:dyDescent="0.4">
      <c r="B10" s="2558" t="str">
        <f>Транспортування_1ст!B10</f>
        <v>база розподілу витрат з/без ЦТП (корисний відпуск)</v>
      </c>
      <c r="C10" s="2558">
        <f>Транспортування_1ст!C10</f>
        <v>0</v>
      </c>
      <c r="D10" s="2558">
        <f>Транспортування_1ст!D10</f>
        <v>0</v>
      </c>
      <c r="E10" s="2558">
        <f>Транспортування_1ст!E10</f>
        <v>0</v>
      </c>
      <c r="F10" s="2585">
        <f>Транспортування_1ст!F10</f>
        <v>1</v>
      </c>
      <c r="G10" s="2585">
        <f>Транспортування_1ст!G10</f>
        <v>0.16648695907398578</v>
      </c>
      <c r="H10" s="2585">
        <f>Транспортування_1ст!H10</f>
        <v>0.8335130409260143</v>
      </c>
      <c r="I10" s="2594"/>
      <c r="J10" s="2593"/>
      <c r="K10" s="2593"/>
      <c r="L10" s="2382"/>
      <c r="M10" s="2743"/>
      <c r="N10" s="2743"/>
      <c r="O10" s="2743"/>
      <c r="P10" s="2743"/>
      <c r="Q10" s="2743"/>
      <c r="R10" s="2743"/>
      <c r="S10" s="2743"/>
      <c r="T10" s="2743"/>
      <c r="U10" s="2743"/>
    </row>
    <row r="11" spans="2:21" s="1617" customFormat="1" ht="18.600000000000001" hidden="1" thickBot="1" x14ac:dyDescent="0.4">
      <c r="B11" s="2558" t="str">
        <f>Транспортування_1ст!B11</f>
        <v>база розподілу спільних витрат на з/без ЦТП (корисний відпуск)</v>
      </c>
      <c r="C11" s="2558">
        <f>Транспортування_1ст!C11</f>
        <v>0</v>
      </c>
      <c r="D11" s="2558">
        <f>Транспортування_1ст!D11</f>
        <v>0</v>
      </c>
      <c r="E11" s="2558">
        <f>Транспортування_1ст!E11</f>
        <v>0</v>
      </c>
      <c r="F11" s="2585">
        <f>Транспортування_1ст!F11</f>
        <v>1</v>
      </c>
      <c r="G11" s="2585">
        <f>Транспортування_1ст!G11</f>
        <v>0.16648695907398578</v>
      </c>
      <c r="H11" s="2585">
        <f>Транспортування_1ст!H11</f>
        <v>0.8335130409260143</v>
      </c>
      <c r="I11" s="2594"/>
      <c r="J11" s="2593"/>
      <c r="K11" s="2593"/>
      <c r="L11" s="2382"/>
    </row>
    <row r="12" spans="2:21" s="391" customFormat="1" ht="34.799999999999997" x14ac:dyDescent="0.35">
      <c r="B12" s="400" t="str">
        <f>Транспортування_1ст!B12</f>
        <v>Прямі витрати на транспортування теплової енергії всього, у т.ч.:</v>
      </c>
      <c r="C12" s="2414">
        <f t="shared" ref="C12:F12" si="0">C13+C27+C29</f>
        <v>24399.499690000001</v>
      </c>
      <c r="D12" s="2409">
        <f t="shared" si="0"/>
        <v>27266.815179999998</v>
      </c>
      <c r="E12" s="401">
        <f t="shared" si="0"/>
        <v>59961.43801399009</v>
      </c>
      <c r="F12" s="401">
        <f t="shared" si="0"/>
        <v>52829.879492801207</v>
      </c>
      <c r="G12" s="2547">
        <f>G13+G27+G29</f>
        <v>13614.118759799785</v>
      </c>
      <c r="H12" s="2552">
        <f>H13+H27+H29</f>
        <v>39215.760733001414</v>
      </c>
      <c r="I12" s="2595"/>
      <c r="J12" s="2595"/>
      <c r="K12" s="2595"/>
      <c r="L12" s="399"/>
      <c r="M12" s="2744"/>
      <c r="O12" s="2744"/>
      <c r="P12" s="2744"/>
      <c r="R12" s="2744"/>
      <c r="S12" s="2744"/>
      <c r="T12" s="2744"/>
      <c r="U12" s="2744"/>
    </row>
    <row r="13" spans="2:21" s="391" customFormat="1" ht="18" x14ac:dyDescent="0.35">
      <c r="B13" s="2220" t="str">
        <f>Транспортування_1ст!B13</f>
        <v>Прямі матеріальні витрати всього, у т.ч.:</v>
      </c>
      <c r="C13" s="2228">
        <f>SUM(C14:C25)</f>
        <v>8592.3564000000006</v>
      </c>
      <c r="D13" s="2233">
        <f>SUM(D14:D25)</f>
        <v>9148.8313399999988</v>
      </c>
      <c r="E13" s="405">
        <f t="shared" ref="E13:F13" si="1">SUM(E14:E26)</f>
        <v>37023.644857603911</v>
      </c>
      <c r="F13" s="405">
        <f t="shared" si="1"/>
        <v>27165.098680308605</v>
      </c>
      <c r="G13" s="2548">
        <f>SUM(G14:G26)</f>
        <v>6326.7879176551123</v>
      </c>
      <c r="H13" s="2553">
        <f>SUM(H14:H26)</f>
        <v>20838.310762653491</v>
      </c>
      <c r="I13" s="2595"/>
      <c r="J13" s="2595"/>
      <c r="K13" s="2595"/>
      <c r="L13" s="399"/>
      <c r="M13" s="2744"/>
      <c r="O13" s="2744"/>
      <c r="P13" s="2744"/>
      <c r="R13" s="2744"/>
      <c r="S13" s="2744"/>
      <c r="T13" s="2744"/>
      <c r="U13" s="2744"/>
    </row>
    <row r="14" spans="2:21" s="2406" customFormat="1" ht="21.6" customHeight="1" x14ac:dyDescent="0.25">
      <c r="B14" s="2224" t="str">
        <f>Транспортування_1ст!B14</f>
        <v>придбання електроенергії на технологічні потреби</v>
      </c>
      <c r="C14" s="2397">
        <f>Транспортування_1ст!C14</f>
        <v>7563.8176999999996</v>
      </c>
      <c r="D14" s="2397">
        <f>Транспортування_1ст!D14</f>
        <v>7847.1020099999996</v>
      </c>
      <c r="E14" s="2397">
        <f>Транспортування_1ст!E14</f>
        <v>9941.9100189679011</v>
      </c>
      <c r="F14" s="2397">
        <f>Транспортування_1ст!F14</f>
        <v>15196.771543534536</v>
      </c>
      <c r="G14" s="2550">
        <f>Транспортування_1ст!G14</f>
        <v>4179.9292165489842</v>
      </c>
      <c r="H14" s="2555">
        <f>Транспортування_1ст!H14</f>
        <v>11016.842326985552</v>
      </c>
      <c r="I14" s="2658"/>
      <c r="J14" s="2658"/>
      <c r="K14" s="2658"/>
      <c r="L14" s="399"/>
      <c r="M14" s="2744"/>
      <c r="N14" s="391"/>
      <c r="O14" s="2744"/>
      <c r="P14" s="2744"/>
      <c r="Q14" s="391"/>
      <c r="R14" s="2744"/>
      <c r="S14" s="2744"/>
      <c r="T14" s="2744"/>
      <c r="U14" s="2744"/>
    </row>
    <row r="15" spans="2:21" s="2406" customFormat="1" ht="36" x14ac:dyDescent="0.25">
      <c r="B15" s="2224" t="str">
        <f>Транспортування_1ст!B15</f>
        <v>холодна вода для технологічних потреб та водовідведення</v>
      </c>
      <c r="C15" s="2397">
        <f>Транспортування_1ст!C15</f>
        <v>521.01531</v>
      </c>
      <c r="D15" s="2398">
        <f>Транспортування_1ст!D15</f>
        <v>466.57226000000003</v>
      </c>
      <c r="E15" s="2399">
        <f>Транспортування_1ст!E15</f>
        <v>737.11792346428263</v>
      </c>
      <c r="F15" s="2399">
        <f>Транспортування_1ст!F15</f>
        <v>652.20713385541455</v>
      </c>
      <c r="G15" s="2550">
        <f>Транспортування_1ст!G15</f>
        <v>108.58398240194796</v>
      </c>
      <c r="H15" s="2555">
        <f>Транспортування_1ст!H15</f>
        <v>543.62315145346668</v>
      </c>
      <c r="I15" s="2658"/>
      <c r="J15" s="2658"/>
      <c r="K15" s="2658"/>
      <c r="L15" s="399"/>
      <c r="M15" s="2744"/>
      <c r="N15" s="399"/>
      <c r="O15" s="2744"/>
      <c r="P15" s="2744"/>
      <c r="Q15" s="391"/>
      <c r="R15" s="2744"/>
      <c r="S15" s="2744"/>
      <c r="T15" s="2744"/>
      <c r="U15" s="2744"/>
    </row>
    <row r="16" spans="2:21" s="391" customFormat="1" ht="20.399999999999999" customHeight="1" x14ac:dyDescent="0.35">
      <c r="B16" s="2221" t="str">
        <f>Транспортування_1ст!B16</f>
        <v>ПММ</v>
      </c>
      <c r="C16" s="2229">
        <f>Транспортування_1ст!C16</f>
        <v>202.45841000000001</v>
      </c>
      <c r="D16" s="2234">
        <f>Транспортування_1ст!D16</f>
        <v>453.19268</v>
      </c>
      <c r="E16" s="409">
        <f>Транспортування_1ст!E16</f>
        <v>541.84699999999998</v>
      </c>
      <c r="F16" s="2394">
        <f>Транспортування_1ст!F16</f>
        <v>379.40116999999998</v>
      </c>
      <c r="G16" s="2549">
        <f>Транспортування_1ст!G16</f>
        <v>63.165347062412316</v>
      </c>
      <c r="H16" s="2554">
        <f>Транспортування_1ст!H16</f>
        <v>316.23582293758767</v>
      </c>
      <c r="I16" s="2595"/>
      <c r="J16" s="2595"/>
      <c r="K16" s="2595"/>
      <c r="L16" s="399"/>
      <c r="M16" s="2744"/>
      <c r="O16" s="2744"/>
      <c r="P16" s="2744"/>
      <c r="R16" s="2744"/>
      <c r="S16" s="2744"/>
      <c r="T16" s="2744"/>
      <c r="U16" s="2744"/>
    </row>
    <row r="17" spans="1:21" s="391" customFormat="1" ht="18.600000000000001" customHeight="1" x14ac:dyDescent="0.35">
      <c r="B17" s="2221" t="str">
        <f>Транспортування_1ст!B17</f>
        <v>матеріали</v>
      </c>
      <c r="C17" s="2229">
        <f>Транспортування_1ст!C17</f>
        <v>9.25596</v>
      </c>
      <c r="D17" s="2408">
        <f>Транспортування_1ст!D17</f>
        <v>70.943970000000007</v>
      </c>
      <c r="E17" s="409">
        <f>Транспортування_1ст!E17</f>
        <v>9.8298295200000005</v>
      </c>
      <c r="F17" s="2394">
        <f>Транспортування_1ст!F17</f>
        <v>75.076456252499995</v>
      </c>
      <c r="G17" s="2549">
        <f>Транспортування_1ст!G17</f>
        <v>12.49925089952985</v>
      </c>
      <c r="H17" s="2554">
        <f>Транспортування_1ст!H17</f>
        <v>62.577205352970154</v>
      </c>
      <c r="I17" s="2595"/>
      <c r="J17" s="2595"/>
      <c r="K17" s="2595"/>
      <c r="L17" s="399"/>
      <c r="M17" s="2744"/>
      <c r="O17" s="2744"/>
      <c r="P17" s="2744"/>
      <c r="R17" s="2744"/>
      <c r="S17" s="2744"/>
      <c r="T17" s="2744"/>
      <c r="U17" s="2744"/>
    </row>
    <row r="18" spans="1:21" s="391" customFormat="1" ht="21.6" customHeight="1" x14ac:dyDescent="0.35">
      <c r="B18" s="2221" t="str">
        <f>Транспортування_1ст!B18</f>
        <v>матеріали на техніку безпеки</v>
      </c>
      <c r="C18" s="2229">
        <f>Транспортування_1ст!C18</f>
        <v>13.596020000000001</v>
      </c>
      <c r="D18" s="2234">
        <f>Транспортування_1ст!D18</f>
        <v>25.03238</v>
      </c>
      <c r="E18" s="409">
        <f>Транспортування_1ст!E18</f>
        <v>14.438973240000001</v>
      </c>
      <c r="F18" s="2394">
        <f>Транспортування_1ст!F18</f>
        <v>26.490516134999996</v>
      </c>
      <c r="G18" s="2549">
        <f>Транспортування_1ст!G18</f>
        <v>4.4103254756165047</v>
      </c>
      <c r="H18" s="2554">
        <f>Транспортування_1ст!H18</f>
        <v>22.080190659383494</v>
      </c>
      <c r="I18" s="2595"/>
      <c r="J18" s="2595"/>
      <c r="K18" s="2595"/>
      <c r="L18" s="399"/>
      <c r="M18" s="2744"/>
      <c r="O18" s="2744"/>
      <c r="P18" s="2744"/>
      <c r="R18" s="2744"/>
      <c r="S18" s="2744"/>
      <c r="T18" s="2744"/>
      <c r="U18" s="2744"/>
    </row>
    <row r="19" spans="1:21" s="391" customFormat="1" ht="18" customHeight="1" x14ac:dyDescent="0.35">
      <c r="B19" s="2221" t="str">
        <f>Транспортування_1ст!B19</f>
        <v>матеріали на технічне обслуговування</v>
      </c>
      <c r="C19" s="2229">
        <f>Транспортування_1ст!C19</f>
        <v>2.8279999999999998</v>
      </c>
      <c r="D19" s="2408">
        <f>Транспортування_1ст!D19</f>
        <v>0</v>
      </c>
      <c r="E19" s="409">
        <f>Транспортування_1ст!E19</f>
        <v>3.003336</v>
      </c>
      <c r="F19" s="2394">
        <f>Транспортування_1ст!F19</f>
        <v>0</v>
      </c>
      <c r="G19" s="2549">
        <f>Транспортування_1ст!G19</f>
        <v>0</v>
      </c>
      <c r="H19" s="2554">
        <f>Транспортування_1ст!H19</f>
        <v>0</v>
      </c>
      <c r="I19" s="2595"/>
      <c r="J19" s="2595"/>
      <c r="K19" s="2595"/>
      <c r="L19" s="399"/>
      <c r="M19" s="2744"/>
      <c r="O19" s="2744"/>
      <c r="P19" s="2744"/>
      <c r="R19" s="2744"/>
      <c r="S19" s="2744"/>
      <c r="T19" s="2744"/>
      <c r="U19" s="2744"/>
    </row>
    <row r="20" spans="1:21" s="391" customFormat="1" ht="19.2" customHeight="1" x14ac:dyDescent="0.35">
      <c r="B20" s="2221" t="str">
        <f>Транспортування_1ст!B20</f>
        <v>запчастини</v>
      </c>
      <c r="C20" s="2229">
        <f>Транспортування_1ст!C20</f>
        <v>45.49239</v>
      </c>
      <c r="D20" s="2234">
        <f>Транспортування_1ст!D20</f>
        <v>62.802</v>
      </c>
      <c r="E20" s="409">
        <f>Транспортування_1ст!E20</f>
        <v>48.312918180000004</v>
      </c>
      <c r="F20" s="2394">
        <f>Транспортування_1ст!F20</f>
        <v>66.460216499999987</v>
      </c>
      <c r="G20" s="2549">
        <f>Транспортування_1ст!G20</f>
        <v>11.064759344483733</v>
      </c>
      <c r="H20" s="2554">
        <f>Транспортування_1ст!H20</f>
        <v>55.395457155516262</v>
      </c>
      <c r="I20" s="2595"/>
      <c r="J20" s="2595"/>
      <c r="K20" s="2595"/>
      <c r="L20" s="399"/>
      <c r="M20" s="2744"/>
      <c r="O20" s="2744"/>
      <c r="P20" s="2744"/>
      <c r="R20" s="2744"/>
      <c r="S20" s="2744"/>
      <c r="T20" s="2744"/>
      <c r="U20" s="2744"/>
    </row>
    <row r="21" spans="1:21" s="391" customFormat="1" ht="19.2" customHeight="1" x14ac:dyDescent="0.35">
      <c r="B21" s="2221" t="str">
        <f>Транспортування_1ст!B21</f>
        <v>МШП</v>
      </c>
      <c r="C21" s="2229">
        <f>Транспортування_1ст!C21</f>
        <v>59.734030000000011</v>
      </c>
      <c r="D21" s="2234">
        <f>Транспортування_1ст!D21</f>
        <v>63.567959999999999</v>
      </c>
      <c r="E21" s="409">
        <f>Транспортування_1ст!E21</f>
        <v>63.437539860000015</v>
      </c>
      <c r="F21" s="2394">
        <f>Транспортування_1ст!F21</f>
        <v>67.270793669999989</v>
      </c>
      <c r="G21" s="2549">
        <f>Транспортування_1ст!G21</f>
        <v>11.19970987261183</v>
      </c>
      <c r="H21" s="2554">
        <f>Транспортування_1ст!H21</f>
        <v>56.071083797388162</v>
      </c>
      <c r="I21" s="2595"/>
      <c r="J21" s="2595"/>
      <c r="K21" s="2595"/>
      <c r="L21" s="399"/>
      <c r="M21" s="2744"/>
      <c r="O21" s="2744"/>
      <c r="P21" s="2744"/>
      <c r="R21" s="2744"/>
      <c r="S21" s="2744"/>
      <c r="T21" s="2744"/>
      <c r="U21" s="2744"/>
    </row>
    <row r="22" spans="1:21" s="391" customFormat="1" ht="20.399999999999999" customHeight="1" x14ac:dyDescent="0.35">
      <c r="B22" s="2221" t="str">
        <f>Транспортування_1ст!B22</f>
        <v>МШП техніка безпеки</v>
      </c>
      <c r="C22" s="2229">
        <f>Транспортування_1ст!C22</f>
        <v>73.940880000000007</v>
      </c>
      <c r="D22" s="2234">
        <f>Транспортування_1ст!D22</f>
        <v>61.744199999999999</v>
      </c>
      <c r="E22" s="409">
        <f>Транспортування_1ст!E22</f>
        <v>78.525214560000009</v>
      </c>
      <c r="F22" s="2394">
        <f>Транспортування_1ст!F22</f>
        <v>65.340799649999994</v>
      </c>
      <c r="G22" s="2549">
        <f>Транспортування_1ст!G22</f>
        <v>10.878391037191053</v>
      </c>
      <c r="H22" s="2554">
        <f>Транспортування_1ст!H22</f>
        <v>54.462408612808943</v>
      </c>
      <c r="I22" s="2595"/>
      <c r="J22" s="2595"/>
      <c r="K22" s="2595"/>
      <c r="L22" s="399"/>
      <c r="M22" s="2744"/>
      <c r="O22" s="2744"/>
      <c r="P22" s="2744"/>
      <c r="R22" s="2744"/>
      <c r="S22" s="2744"/>
      <c r="T22" s="2744"/>
      <c r="U22" s="2744"/>
    </row>
    <row r="23" spans="1:21" s="391" customFormat="1" ht="19.2" customHeight="1" x14ac:dyDescent="0.35">
      <c r="B23" s="2221" t="str">
        <f>Транспортування_1ст!B23</f>
        <v>канцтовари, бланки</v>
      </c>
      <c r="C23" s="2229">
        <f>Транспортування_1ст!C23</f>
        <v>6.6825100000000006</v>
      </c>
      <c r="D23" s="2234">
        <f>Транспортування_1ст!D23</f>
        <v>0.22019</v>
      </c>
      <c r="E23" s="409">
        <f>Транспортування_1ст!E23</f>
        <v>7.0968256200000006</v>
      </c>
      <c r="F23" s="2394">
        <f>Транспортування_1ст!F23</f>
        <v>0.23301606749999998</v>
      </c>
      <c r="G23" s="2549">
        <f>Транспортування_1ст!G23</f>
        <v>3.8794136493453604E-2</v>
      </c>
      <c r="H23" s="2554">
        <f>Транспортування_1ст!H23</f>
        <v>0.19422193100654639</v>
      </c>
      <c r="I23" s="2595"/>
      <c r="J23" s="2595"/>
      <c r="K23" s="2595"/>
      <c r="L23" s="399"/>
      <c r="M23" s="2744"/>
      <c r="O23" s="2744"/>
      <c r="P23" s="2744"/>
      <c r="R23" s="2744"/>
      <c r="S23" s="2744"/>
      <c r="T23" s="2744"/>
      <c r="U23" s="2744"/>
    </row>
    <row r="24" spans="1:21" s="391" customFormat="1" ht="19.2" customHeight="1" x14ac:dyDescent="0.35">
      <c r="B24" s="2221" t="str">
        <f>Транспортування_1ст!B24</f>
        <v>спецодяг та спецвзуття</v>
      </c>
      <c r="C24" s="2229">
        <f>Транспортування_1ст!C24</f>
        <v>73.943970000000007</v>
      </c>
      <c r="D24" s="2234">
        <f>Транспортування_1ст!D24</f>
        <v>75.510729999999995</v>
      </c>
      <c r="E24" s="409">
        <f>Транспортування_1ст!E24</f>
        <v>147.82908</v>
      </c>
      <c r="F24" s="2394">
        <f>Транспортування_1ст!F24</f>
        <v>190.24850000000006</v>
      </c>
      <c r="G24" s="2549">
        <f>Транспортування_1ст!G24</f>
        <v>31.673894233387195</v>
      </c>
      <c r="H24" s="2554">
        <f>Транспортування_1ст!H24</f>
        <v>158.57460576661288</v>
      </c>
      <c r="I24" s="2595"/>
      <c r="J24" s="2595"/>
      <c r="K24" s="2595"/>
      <c r="L24" s="399"/>
      <c r="M24" s="2744"/>
      <c r="O24" s="2744"/>
      <c r="P24" s="2744"/>
      <c r="R24" s="2744"/>
      <c r="S24" s="2744"/>
      <c r="T24" s="2744"/>
      <c r="U24" s="2744"/>
    </row>
    <row r="25" spans="1:21" s="391" customFormat="1" ht="21" customHeight="1" x14ac:dyDescent="0.35">
      <c r="B25" s="2221" t="str">
        <f>Транспортування_1ст!B25</f>
        <v>спецхарчування</v>
      </c>
      <c r="C25" s="2229">
        <f>Транспортування_1ст!C25</f>
        <v>19.59122</v>
      </c>
      <c r="D25" s="2234">
        <f>Транспортування_1ст!D25</f>
        <v>22.142959999999999</v>
      </c>
      <c r="E25" s="409">
        <f>Транспортування_1ст!E25</f>
        <v>21.510257786700002</v>
      </c>
      <c r="F25" s="2394">
        <f>Транспортування_1ст!F25</f>
        <v>24.863100000000003</v>
      </c>
      <c r="G25" s="2549">
        <f>Транспортування_1ст!G25</f>
        <v>4.139381912152416</v>
      </c>
      <c r="H25" s="2554">
        <f>Транспортування_1ст!H25</f>
        <v>20.723718087847587</v>
      </c>
      <c r="I25" s="2595"/>
      <c r="J25" s="2595"/>
      <c r="K25" s="2595"/>
      <c r="L25" s="399"/>
      <c r="M25" s="2744"/>
      <c r="O25" s="2744"/>
      <c r="P25" s="2744"/>
      <c r="R25" s="2744"/>
      <c r="S25" s="2744"/>
      <c r="T25" s="2744"/>
      <c r="U25" s="2744"/>
    </row>
    <row r="26" spans="1:21" s="2406" customFormat="1" ht="36" x14ac:dyDescent="0.25">
      <c r="B26" s="2221" t="str">
        <f>Транспортування_1ст!B26</f>
        <v>витрати на покриття втрат теплової енергії в теплових мережах</v>
      </c>
      <c r="C26" s="2924">
        <f>Транспортування_1ст!C26</f>
        <v>0</v>
      </c>
      <c r="D26" s="2399">
        <f>Транспортування_1ст!D26</f>
        <v>0</v>
      </c>
      <c r="E26" s="2399">
        <f>Транспортування_1ст!E26</f>
        <v>25408.785940405032</v>
      </c>
      <c r="F26" s="2399">
        <f>G26+H26</f>
        <v>10420.735434643655</v>
      </c>
      <c r="G26" s="2550">
        <f>'Покриття втрат в мережах'!C20</f>
        <v>1889.2048647303027</v>
      </c>
      <c r="H26" s="2555">
        <f>'Покриття втрат в мережах'!C21</f>
        <v>8531.5305699133514</v>
      </c>
      <c r="I26" s="2925"/>
      <c r="J26" s="2925"/>
      <c r="K26" s="2925"/>
      <c r="L26" s="2407"/>
      <c r="M26" s="2744"/>
      <c r="O26" s="2744"/>
      <c r="P26" s="2744"/>
      <c r="R26" s="2744"/>
      <c r="S26" s="2744"/>
      <c r="T26" s="2744"/>
      <c r="U26" s="2744"/>
    </row>
    <row r="27" spans="1:21" s="391" customFormat="1" ht="21.6" customHeight="1" x14ac:dyDescent="0.35">
      <c r="B27" s="2221" t="str">
        <f>Транспортування_1ст!B27</f>
        <v>Прямі витрати на оплату праці всього, у т.ч.:</v>
      </c>
      <c r="C27" s="2228">
        <f>Транспортування_1ст!C27</f>
        <v>8521.6485800000009</v>
      </c>
      <c r="D27" s="2233">
        <f>Транспортування_1ст!D27</f>
        <v>9028.9914800000006</v>
      </c>
      <c r="E27" s="405">
        <f>Транспортування_1ст!E27</f>
        <v>12740.596360928026</v>
      </c>
      <c r="F27" s="405">
        <f>Транспортування_1ст!F27</f>
        <v>14520.984552954531</v>
      </c>
      <c r="G27" s="2548">
        <f>Транспортування_1ст!G27</f>
        <v>3466.1638017167252</v>
      </c>
      <c r="H27" s="2553">
        <f>Транспортування_1ст!H27</f>
        <v>11054.820751237807</v>
      </c>
      <c r="I27" s="2595"/>
      <c r="J27" s="2595"/>
      <c r="K27" s="2595"/>
      <c r="L27" s="399"/>
      <c r="M27" s="2744"/>
      <c r="O27" s="2744"/>
      <c r="P27" s="2744"/>
      <c r="Q27" s="1012"/>
      <c r="R27" s="2744"/>
      <c r="S27" s="2744"/>
      <c r="T27" s="2744"/>
      <c r="U27" s="2744"/>
    </row>
    <row r="28" spans="1:21" s="391" customFormat="1" ht="18.600000000000001" customHeight="1" x14ac:dyDescent="0.35">
      <c r="B28" s="2221" t="str">
        <f>Транспортування_1ст!B28</f>
        <v>працюючих інвалідів</v>
      </c>
      <c r="C28" s="2229">
        <f>Транспортування_1ст!C28</f>
        <v>359.05243999999999</v>
      </c>
      <c r="D28" s="2234">
        <f>Транспортування_1ст!D28</f>
        <v>137.60312999999999</v>
      </c>
      <c r="E28" s="409">
        <f>Транспортування_1ст!E28</f>
        <v>241.55750599999999</v>
      </c>
      <c r="F28" s="409">
        <f>Транспортування_1ст!F28</f>
        <v>266.16545400000001</v>
      </c>
      <c r="G28" s="2549">
        <f>Транспортування_1ст!G28</f>
        <v>24.168400255624338</v>
      </c>
      <c r="H28" s="2554">
        <f>Транспортування_1ст!H28</f>
        <v>241.99705374437568</v>
      </c>
      <c r="I28" s="2595"/>
      <c r="J28" s="2595"/>
      <c r="K28" s="2595"/>
      <c r="L28" s="399"/>
      <c r="M28" s="2744"/>
      <c r="O28" s="2744"/>
      <c r="P28" s="2744"/>
      <c r="Q28" s="1012"/>
      <c r="R28" s="2744"/>
      <c r="S28" s="2744"/>
      <c r="T28" s="2744"/>
      <c r="U28" s="2744"/>
    </row>
    <row r="29" spans="1:21" s="391" customFormat="1" ht="17.399999999999999" customHeight="1" x14ac:dyDescent="0.35">
      <c r="B29" s="2221" t="str">
        <f>Транспортування_1ст!B29</f>
        <v>Інші прямі витрати:</v>
      </c>
      <c r="C29" s="2228">
        <f>Транспортування_1ст!C29</f>
        <v>7285.4947099999999</v>
      </c>
      <c r="D29" s="2233">
        <f>Транспортування_1ст!D29</f>
        <v>9088.9923599999966</v>
      </c>
      <c r="E29" s="405">
        <f>Транспортування_1ст!E29</f>
        <v>10197.196795458152</v>
      </c>
      <c r="F29" s="405">
        <f>Транспортування_1ст!F29</f>
        <v>11143.796259538067</v>
      </c>
      <c r="G29" s="2548">
        <f>Транспортування_1ст!G29</f>
        <v>3821.1670404279466</v>
      </c>
      <c r="H29" s="2553">
        <f>Транспортування_1ст!H29</f>
        <v>7322.6292191101184</v>
      </c>
      <c r="I29" s="2595"/>
      <c r="J29" s="2595"/>
      <c r="K29" s="2595"/>
      <c r="L29" s="399"/>
      <c r="M29" s="2744"/>
      <c r="O29" s="2744"/>
      <c r="P29" s="2744"/>
      <c r="R29" s="2744"/>
      <c r="S29" s="2744"/>
      <c r="T29" s="2744"/>
      <c r="U29" s="2744"/>
    </row>
    <row r="30" spans="1:21" s="391" customFormat="1" ht="36" x14ac:dyDescent="0.35">
      <c r="B30" s="2221" t="str">
        <f>Транспортування_1ст!B30</f>
        <v>єдиний внесок на загальнообов’язкове державне соціальне страхування</v>
      </c>
      <c r="C30" s="2229">
        <f>Транспортування_1ст!C30</f>
        <v>1821.4948900000002</v>
      </c>
      <c r="D30" s="2234">
        <f>Транспортування_1ст!D30</f>
        <v>1941.2065</v>
      </c>
      <c r="E30" s="409">
        <f>Транспортування_1ст!E30</f>
        <v>2770.1035343387657</v>
      </c>
      <c r="F30" s="409">
        <f>Транспортування_1ст!F30</f>
        <v>3158.4447164513967</v>
      </c>
      <c r="G30" s="2549">
        <f>Транспортування_1ст!G30</f>
        <v>759.27155078294027</v>
      </c>
      <c r="H30" s="2554">
        <f>Транспортування_1ст!H30</f>
        <v>2399.1731656684565</v>
      </c>
      <c r="I30" s="2595"/>
      <c r="J30" s="2595"/>
      <c r="K30" s="2595"/>
      <c r="L30" s="399"/>
      <c r="M30" s="2744"/>
      <c r="O30" s="2744"/>
      <c r="P30" s="2744"/>
      <c r="R30" s="2744"/>
      <c r="S30" s="2744"/>
      <c r="T30" s="2744"/>
      <c r="U30" s="2744"/>
    </row>
    <row r="31" spans="1:21" s="411" customFormat="1" ht="18" x14ac:dyDescent="0.35">
      <c r="A31" s="391"/>
      <c r="B31" s="2221" t="str">
        <f>Транспортування_1ст!B31</f>
        <v>амортизація  основних засобів</v>
      </c>
      <c r="C31" s="2229">
        <f>Транспортування_1ст!C31</f>
        <v>4496.1033900000002</v>
      </c>
      <c r="D31" s="2234">
        <f>Транспортування_1ст!D31</f>
        <v>5291.07</v>
      </c>
      <c r="E31" s="409">
        <f>Транспортування_1ст!E31</f>
        <v>4186.5031399999998</v>
      </c>
      <c r="F31" s="409">
        <f>Транспортування_1ст!F31</f>
        <v>4893.1294399999952</v>
      </c>
      <c r="G31" s="2549">
        <f>Транспортування_1ст!G31</f>
        <v>2509.7584427367042</v>
      </c>
      <c r="H31" s="2554">
        <f>Транспортування_1ст!H31</f>
        <v>2383.3709972632905</v>
      </c>
      <c r="I31" s="2595"/>
      <c r="J31" s="2595"/>
      <c r="K31" s="2595"/>
      <c r="L31" s="399"/>
      <c r="M31" s="2744"/>
      <c r="O31" s="2744"/>
      <c r="P31" s="2744"/>
      <c r="R31" s="2744"/>
      <c r="S31" s="2744"/>
      <c r="T31" s="2744"/>
      <c r="U31" s="2744"/>
    </row>
    <row r="32" spans="1:21" s="411" customFormat="1" ht="34.950000000000003" hidden="1" customHeight="1" x14ac:dyDescent="0.35">
      <c r="A32" s="391"/>
      <c r="B32" s="2221" t="str">
        <f>Транспортування_1ст!B32</f>
        <v>амортизація інших необоротних матеріальних активів загальногосподарського призначення</v>
      </c>
      <c r="C32" s="2229">
        <f>Транспортування_1ст!C32</f>
        <v>0</v>
      </c>
      <c r="D32" s="2234">
        <f>Транспортування_1ст!D32</f>
        <v>0</v>
      </c>
      <c r="E32" s="409">
        <f>Транспортування_1ст!E32</f>
        <v>0</v>
      </c>
      <c r="F32" s="409">
        <f>Транспортування_1ст!F32</f>
        <v>0</v>
      </c>
      <c r="G32" s="2549">
        <f>Транспортування_1ст!G32</f>
        <v>0</v>
      </c>
      <c r="H32" s="2554">
        <f>Транспортування_1ст!H32</f>
        <v>0</v>
      </c>
      <c r="I32" s="2595"/>
      <c r="J32" s="2595"/>
      <c r="K32" s="2595"/>
      <c r="L32" s="399"/>
      <c r="M32" s="2744"/>
      <c r="O32" s="2744"/>
      <c r="P32" s="2744"/>
      <c r="R32" s="2744"/>
      <c r="S32" s="2744"/>
      <c r="T32" s="2744"/>
      <c r="U32" s="2744"/>
    </row>
    <row r="33" spans="2:21" s="391" customFormat="1" ht="18" customHeight="1" x14ac:dyDescent="0.35">
      <c r="B33" s="2221" t="str">
        <f>Транспортування_1ст!B34</f>
        <v>ремонт</v>
      </c>
      <c r="C33" s="2229">
        <f>Транспортування_1ст!C34</f>
        <v>671.51651000000004</v>
      </c>
      <c r="D33" s="2234">
        <f>Транспортування_1ст!D34</f>
        <v>1570.3259699999999</v>
      </c>
      <c r="E33" s="409">
        <f>Транспортування_1ст!E34</f>
        <v>3010.7659999999996</v>
      </c>
      <c r="F33" s="409">
        <f>Транспортування_1ст!F34</f>
        <v>2728.4690000000001</v>
      </c>
      <c r="G33" s="2549">
        <f>Транспортування_1ст!G34</f>
        <v>491.5768989216765</v>
      </c>
      <c r="H33" s="2554">
        <f>Транспортування_1ст!H34</f>
        <v>2236.8921010783233</v>
      </c>
      <c r="I33" s="2595"/>
      <c r="J33" s="2595"/>
      <c r="K33" s="2595"/>
      <c r="L33" s="399"/>
      <c r="M33" s="2744"/>
      <c r="O33" s="2744"/>
      <c r="P33" s="2744"/>
      <c r="R33" s="2744"/>
      <c r="S33" s="2744"/>
      <c r="T33" s="2744"/>
      <c r="U33" s="2744"/>
    </row>
    <row r="34" spans="2:21" s="391" customFormat="1" ht="18" customHeight="1" x14ac:dyDescent="0.35">
      <c r="B34" s="2221" t="str">
        <f>Транспортування_1ст!B35</f>
        <v>ремонтні роботи (авто)</v>
      </c>
      <c r="C34" s="2229">
        <f>Транспортування_1ст!C35</f>
        <v>39.397260000000003</v>
      </c>
      <c r="D34" s="2234">
        <f>Транспортування_1ст!D35</f>
        <v>0</v>
      </c>
      <c r="E34" s="409">
        <f>Транспортування_1ст!E35</f>
        <v>7.9916666666666671</v>
      </c>
      <c r="F34" s="409">
        <f>Транспортування_1ст!F35</f>
        <v>0</v>
      </c>
      <c r="G34" s="2549">
        <f>Транспортування_1ст!G35</f>
        <v>0</v>
      </c>
      <c r="H34" s="2554">
        <f>Транспортування_1ст!H35</f>
        <v>0</v>
      </c>
      <c r="I34" s="2595"/>
      <c r="J34" s="2595"/>
      <c r="K34" s="2595"/>
      <c r="L34" s="399"/>
      <c r="M34" s="2744"/>
      <c r="O34" s="2744"/>
      <c r="P34" s="2744"/>
      <c r="R34" s="2744"/>
      <c r="S34" s="2744"/>
      <c r="T34" s="2744"/>
      <c r="U34" s="2744"/>
    </row>
    <row r="35" spans="2:21" s="391" customFormat="1" ht="36" x14ac:dyDescent="0.35">
      <c r="B35" s="2221" t="str">
        <f>Транспортування_1ст!B36</f>
        <v>централізоване водопостачання, централізоване водовідведення</v>
      </c>
      <c r="C35" s="2229">
        <f>Транспортування_1ст!C36</f>
        <v>0</v>
      </c>
      <c r="D35" s="2234">
        <f>Транспортування_1ст!D36</f>
        <v>0</v>
      </c>
      <c r="E35" s="409">
        <f>Транспортування_1ст!E36</f>
        <v>14.0987445375</v>
      </c>
      <c r="F35" s="2395">
        <f>Транспортування_1ст!F36</f>
        <v>15.270561288888889</v>
      </c>
      <c r="G35" s="2549">
        <f>Транспортування_1ст!G36</f>
        <v>2.5423493123400358</v>
      </c>
      <c r="H35" s="2554">
        <f>Транспортування_1ст!H36</f>
        <v>12.728211976548854</v>
      </c>
      <c r="I35" s="2595"/>
      <c r="J35" s="2595"/>
      <c r="K35" s="2595"/>
      <c r="L35" s="399"/>
      <c r="M35" s="2744"/>
      <c r="O35" s="2744"/>
      <c r="P35" s="2744"/>
      <c r="R35" s="2744"/>
      <c r="S35" s="2744"/>
      <c r="T35" s="2744"/>
      <c r="U35" s="2744"/>
    </row>
    <row r="36" spans="2:21" s="391" customFormat="1" ht="20.399999999999999" customHeight="1" x14ac:dyDescent="0.35">
      <c r="B36" s="2221" t="str">
        <f>Транспортування_1ст!B37</f>
        <v>освітлення та робота оргтехніки</v>
      </c>
      <c r="C36" s="2229">
        <f>Транспортування_1ст!C37</f>
        <v>0</v>
      </c>
      <c r="D36" s="2234">
        <f>Транспортування_1ст!D37</f>
        <v>0</v>
      </c>
      <c r="E36" s="409">
        <f>Транспортування_1ст!E37</f>
        <v>36.060889915221331</v>
      </c>
      <c r="F36" s="409">
        <f>Транспортування_1ст!F37</f>
        <v>62.396045857566726</v>
      </c>
      <c r="G36" s="2549">
        <f>Транспортування_1ст!G37</f>
        <v>10.388127933067251</v>
      </c>
      <c r="H36" s="2554">
        <f>Транспортування_1ст!H37</f>
        <v>52.00791792449948</v>
      </c>
      <c r="I36" s="2595"/>
      <c r="J36" s="2595"/>
      <c r="K36" s="2595"/>
      <c r="L36" s="399"/>
      <c r="M36" s="2744"/>
      <c r="O36" s="2744"/>
      <c r="P36" s="2744"/>
      <c r="R36" s="2744"/>
      <c r="S36" s="2744"/>
      <c r="T36" s="2744"/>
      <c r="U36" s="2744"/>
    </row>
    <row r="37" spans="2:21" s="391" customFormat="1" ht="18.600000000000001" hidden="1" customHeight="1" x14ac:dyDescent="0.35">
      <c r="B37" s="2221">
        <f>Транспортування_1ст!B38</f>
        <v>0</v>
      </c>
      <c r="C37" s="2229">
        <f>Транспортування_1ст!C38</f>
        <v>0</v>
      </c>
      <c r="D37" s="2234">
        <f>Транспортування_1ст!D38</f>
        <v>0</v>
      </c>
      <c r="E37" s="409">
        <f>Транспортування_1ст!E38</f>
        <v>0</v>
      </c>
      <c r="F37" s="409">
        <f>Транспортування_1ст!F38</f>
        <v>0</v>
      </c>
      <c r="G37" s="2549">
        <f>Транспортування_1ст!G38</f>
        <v>0</v>
      </c>
      <c r="H37" s="2554">
        <f>Транспортування_1ст!H38</f>
        <v>0</v>
      </c>
      <c r="I37" s="2595"/>
      <c r="J37" s="2595"/>
      <c r="K37" s="2595"/>
      <c r="L37" s="399"/>
      <c r="M37" s="2744"/>
      <c r="O37" s="2744"/>
      <c r="P37" s="2744"/>
      <c r="R37" s="2744"/>
      <c r="S37" s="2744"/>
      <c r="T37" s="2744"/>
      <c r="U37" s="2744"/>
    </row>
    <row r="38" spans="2:21" s="391" customFormat="1" ht="19.2" customHeight="1" x14ac:dyDescent="0.35">
      <c r="B38" s="2221" t="str">
        <f>Транспортування_1ст!B39</f>
        <v>вивезення сміття</v>
      </c>
      <c r="C38" s="2229">
        <f>Транспортування_1ст!C39</f>
        <v>0</v>
      </c>
      <c r="D38" s="2234">
        <f>Транспортування_1ст!D39</f>
        <v>0</v>
      </c>
      <c r="E38" s="409">
        <f>Транспортування_1ст!E39</f>
        <v>0</v>
      </c>
      <c r="F38" s="409">
        <f>Транспортування_1ст!F39</f>
        <v>0</v>
      </c>
      <c r="G38" s="2549">
        <f>Транспортування_1ст!G39</f>
        <v>0</v>
      </c>
      <c r="H38" s="2554">
        <f>Транспортування_1ст!H39</f>
        <v>0</v>
      </c>
      <c r="I38" s="2595"/>
      <c r="J38" s="2595"/>
      <c r="K38" s="2595"/>
      <c r="L38" s="399"/>
      <c r="M38" s="2744"/>
      <c r="O38" s="2744"/>
      <c r="P38" s="2744"/>
      <c r="R38" s="2744"/>
      <c r="S38" s="2744"/>
      <c r="T38" s="2744"/>
      <c r="U38" s="2744"/>
    </row>
    <row r="39" spans="2:21" s="391" customFormat="1" ht="19.2" customHeight="1" x14ac:dyDescent="0.35">
      <c r="B39" s="2221" t="str">
        <f>Транспортування_1ст!B40</f>
        <v>технічне освідоцтвування</v>
      </c>
      <c r="C39" s="2229">
        <f>Транспортування_1ст!C40</f>
        <v>5.3349600000000006</v>
      </c>
      <c r="D39" s="2234">
        <f>Транспортування_1ст!D40</f>
        <v>6.2119300000000006</v>
      </c>
      <c r="E39" s="409">
        <f>Транспортування_1ст!E40</f>
        <v>10.199999999999999</v>
      </c>
      <c r="F39" s="409">
        <f>Транспортування_1ст!F40</f>
        <v>10.199999999999999</v>
      </c>
      <c r="G39" s="2549">
        <f>Транспортування_1ст!G40</f>
        <v>1.6981669825546548</v>
      </c>
      <c r="H39" s="2554">
        <f>Транспортування_1ст!H40</f>
        <v>8.501833017445346</v>
      </c>
      <c r="I39" s="2595"/>
      <c r="J39" s="2595"/>
      <c r="K39" s="2595"/>
      <c r="L39" s="399"/>
      <c r="M39" s="2744"/>
      <c r="O39" s="2744"/>
      <c r="P39" s="2744"/>
      <c r="R39" s="2744"/>
      <c r="S39" s="2744"/>
      <c r="T39" s="2744"/>
      <c r="U39" s="2744"/>
    </row>
    <row r="40" spans="2:21" s="391" customFormat="1" ht="20.399999999999999" customHeight="1" x14ac:dyDescent="0.35">
      <c r="B40" s="2221" t="str">
        <f>Транспортування_1ст!B41</f>
        <v>технічне обслуговування</v>
      </c>
      <c r="C40" s="2229">
        <f>Транспортування_1ст!C41</f>
        <v>13.02528</v>
      </c>
      <c r="D40" s="2234">
        <f>Транспортування_1ст!D41</f>
        <v>8.07273</v>
      </c>
      <c r="E40" s="409">
        <f>Транспортування_1ст!E41</f>
        <v>2.4502299999999999</v>
      </c>
      <c r="F40" s="409">
        <f>Транспортування_1ст!F41</f>
        <v>26.61384</v>
      </c>
      <c r="G40" s="2549">
        <f>Транспортування_1ст!G41</f>
        <v>4.4308572908816055</v>
      </c>
      <c r="H40" s="2554">
        <f>Транспортування_1ст!H41</f>
        <v>22.182982709118395</v>
      </c>
      <c r="I40" s="2595"/>
      <c r="J40" s="2595"/>
      <c r="K40" s="2595"/>
      <c r="L40" s="399"/>
      <c r="M40" s="2744"/>
      <c r="O40" s="2744"/>
      <c r="P40" s="2744"/>
      <c r="R40" s="2744"/>
      <c r="S40" s="2744"/>
      <c r="T40" s="2744"/>
      <c r="U40" s="2744"/>
    </row>
    <row r="41" spans="2:21" s="391" customFormat="1" ht="21.6" customHeight="1" x14ac:dyDescent="0.35">
      <c r="B41" s="2221" t="str">
        <f>Транспортування_1ст!B42</f>
        <v>техобслуговування транспортних засобів</v>
      </c>
      <c r="C41" s="2229">
        <f>Транспортування_1ст!C42</f>
        <v>0.59</v>
      </c>
      <c r="D41" s="2234">
        <f>Транспортування_1ст!D42</f>
        <v>23.650539999999999</v>
      </c>
      <c r="E41" s="409">
        <f>Транспортування_1ст!E42</f>
        <v>43.6</v>
      </c>
      <c r="F41" s="409">
        <f>Транспортування_1ст!F42</f>
        <v>120</v>
      </c>
      <c r="G41" s="2549">
        <f>Транспортування_1ст!G42</f>
        <v>19.978435088878292</v>
      </c>
      <c r="H41" s="2554">
        <f>Транспортування_1ст!H42</f>
        <v>100.02156491112171</v>
      </c>
      <c r="I41" s="2595"/>
      <c r="J41" s="2595"/>
      <c r="K41" s="2595"/>
      <c r="L41" s="399"/>
      <c r="M41" s="2744"/>
      <c r="O41" s="2744"/>
      <c r="P41" s="2744"/>
      <c r="R41" s="2744"/>
      <c r="S41" s="2744"/>
      <c r="T41" s="2744"/>
      <c r="U41" s="2744"/>
    </row>
    <row r="42" spans="2:21" s="391" customFormat="1" ht="21.6" customHeight="1" x14ac:dyDescent="0.35">
      <c r="B42" s="2221" t="str">
        <f>Транспортування_1ст!B43</f>
        <v>технічний контроль транспортних засобів</v>
      </c>
      <c r="C42" s="2229">
        <f>Транспортування_1ст!C43</f>
        <v>9.1</v>
      </c>
      <c r="D42" s="2234">
        <f>Транспортування_1ст!D43</f>
        <v>0</v>
      </c>
      <c r="E42" s="409">
        <f>Транспортування_1ст!E43</f>
        <v>9.1</v>
      </c>
      <c r="F42" s="409">
        <f>Транспортування_1ст!F43</f>
        <v>0</v>
      </c>
      <c r="G42" s="2549">
        <f>Транспортування_1ст!G43</f>
        <v>0</v>
      </c>
      <c r="H42" s="2554">
        <f>Транспортування_1ст!H43</f>
        <v>0</v>
      </c>
      <c r="I42" s="2595"/>
      <c r="J42" s="2595"/>
      <c r="K42" s="2595"/>
      <c r="L42" s="399"/>
      <c r="M42" s="2744"/>
      <c r="O42" s="2744"/>
      <c r="P42" s="2744"/>
      <c r="R42" s="2744"/>
      <c r="S42" s="2744"/>
      <c r="T42" s="2744"/>
      <c r="U42" s="2744"/>
    </row>
    <row r="43" spans="2:21" s="391" customFormat="1" ht="19.2" customHeight="1" x14ac:dyDescent="0.35">
      <c r="B43" s="2221" t="str">
        <f>Транспортування_1ст!B44</f>
        <v>страхування</v>
      </c>
      <c r="C43" s="2229">
        <f>Транспортування_1ст!C44</f>
        <v>10.507100000000001</v>
      </c>
      <c r="D43" s="2234">
        <f>Транспортування_1ст!D44</f>
        <v>10.986000000000001</v>
      </c>
      <c r="E43" s="409">
        <f>Транспортування_1ст!E44</f>
        <v>22.568999999999999</v>
      </c>
      <c r="F43" s="409">
        <f>Транспортування_1ст!F44</f>
        <v>21.872</v>
      </c>
      <c r="G43" s="2549">
        <f>Транспортування_1ст!G44</f>
        <v>3.6414027688662172</v>
      </c>
      <c r="H43" s="2554">
        <f>Транспортування_1ст!H44</f>
        <v>18.230597231133785</v>
      </c>
      <c r="I43" s="2595"/>
      <c r="J43" s="2595"/>
      <c r="K43" s="2595"/>
      <c r="L43" s="399"/>
      <c r="M43" s="2744"/>
      <c r="O43" s="2744"/>
      <c r="P43" s="2744"/>
      <c r="R43" s="2744"/>
      <c r="S43" s="2744"/>
      <c r="T43" s="2744"/>
      <c r="U43" s="2744"/>
    </row>
    <row r="44" spans="2:21" s="391" customFormat="1" ht="18" customHeight="1" x14ac:dyDescent="0.35">
      <c r="B44" s="2221" t="str">
        <f>Транспортування_1ст!B45</f>
        <v>утилізація відходів, устаткування, обладнання</v>
      </c>
      <c r="C44" s="2229">
        <f>Транспортування_1ст!C45</f>
        <v>0.28000000000000003</v>
      </c>
      <c r="D44" s="2234">
        <f>Транспортування_1ст!D45</f>
        <v>0</v>
      </c>
      <c r="E44" s="409">
        <f>Транспортування_1ст!E45</f>
        <v>0.28000000000000003</v>
      </c>
      <c r="F44" s="409">
        <f>Транспортування_1ст!F45</f>
        <v>1.6372500000000001</v>
      </c>
      <c r="G44" s="2549">
        <f>Транспортування_1ст!G45</f>
        <v>0.27258077374388323</v>
      </c>
      <c r="H44" s="2554">
        <f>Транспортування_1ст!H45</f>
        <v>1.3646692262561171</v>
      </c>
      <c r="I44" s="2595"/>
      <c r="J44" s="2595"/>
      <c r="K44" s="2595"/>
      <c r="L44" s="399"/>
      <c r="M44" s="2744"/>
      <c r="O44" s="2744"/>
      <c r="P44" s="2744"/>
      <c r="R44" s="2744"/>
      <c r="S44" s="2744"/>
      <c r="T44" s="2744"/>
      <c r="U44" s="2744"/>
    </row>
    <row r="45" spans="2:21" s="391" customFormat="1" ht="19.2" customHeight="1" x14ac:dyDescent="0.35">
      <c r="B45" s="2221" t="str">
        <f>Транспортування_1ст!B46</f>
        <v>обслуговування теплових камер</v>
      </c>
      <c r="C45" s="2229">
        <f>Транспортування_1ст!C46</f>
        <v>0</v>
      </c>
      <c r="D45" s="2234">
        <f>Транспортування_1ст!D46</f>
        <v>0</v>
      </c>
      <c r="E45" s="409">
        <f>Транспортування_1ст!E46</f>
        <v>0</v>
      </c>
      <c r="F45" s="409">
        <f>Транспортування_1ст!F46</f>
        <v>0</v>
      </c>
      <c r="G45" s="2549">
        <f>Транспортування_1ст!G46</f>
        <v>0</v>
      </c>
      <c r="H45" s="2554">
        <f>Транспортування_1ст!H46</f>
        <v>0</v>
      </c>
      <c r="I45" s="2595"/>
      <c r="J45" s="2595"/>
      <c r="K45" s="2595"/>
      <c r="L45" s="399"/>
      <c r="M45" s="2744"/>
      <c r="O45" s="2744"/>
      <c r="P45" s="2744"/>
      <c r="R45" s="2744"/>
      <c r="S45" s="2744"/>
      <c r="T45" s="2744"/>
      <c r="U45" s="2744"/>
    </row>
    <row r="46" spans="2:21" s="391" customFormat="1" ht="18.600000000000001" customHeight="1" x14ac:dyDescent="0.35">
      <c r="B46" s="2221" t="str">
        <f>Транспортування_1ст!B47</f>
        <v>медогляд</v>
      </c>
      <c r="C46" s="2229">
        <f>Транспортування_1ст!C47</f>
        <v>18.086599999999997</v>
      </c>
      <c r="D46" s="2234">
        <f>Транспортування_1ст!D47</f>
        <v>16.739349999999998</v>
      </c>
      <c r="E46" s="409">
        <f>Транспортування_1ст!E47</f>
        <v>13.92234</v>
      </c>
      <c r="F46" s="409">
        <f>Транспортування_1ст!F47</f>
        <v>23.812699999999996</v>
      </c>
      <c r="G46" s="2549">
        <f>Транспортування_1ст!G47</f>
        <v>3.9645040103411007</v>
      </c>
      <c r="H46" s="2554">
        <f>Транспортування_1ст!H47</f>
        <v>19.848195989658898</v>
      </c>
      <c r="I46" s="2595"/>
      <c r="J46" s="2595"/>
      <c r="K46" s="2595"/>
      <c r="L46" s="399"/>
      <c r="M46" s="2744"/>
      <c r="O46" s="2744"/>
      <c r="P46" s="2744"/>
      <c r="R46" s="2744"/>
      <c r="S46" s="2744"/>
      <c r="T46" s="2744"/>
      <c r="U46" s="2744"/>
    </row>
    <row r="47" spans="2:21" s="391" customFormat="1" ht="21" customHeight="1" x14ac:dyDescent="0.35">
      <c r="B47" s="2221" t="str">
        <f>Транспортування_1ст!B48</f>
        <v>підготовка та перепідготовка кадрів</v>
      </c>
      <c r="C47" s="2229">
        <f>Транспортування_1ст!C48</f>
        <v>9.3369</v>
      </c>
      <c r="D47" s="2234">
        <f>Транспортування_1ст!D48</f>
        <v>11.4</v>
      </c>
      <c r="E47" s="409">
        <f>Транспортування_1ст!E48</f>
        <v>1.8</v>
      </c>
      <c r="F47" s="409">
        <f>Транспортування_1ст!F48</f>
        <v>3.8664999999999998</v>
      </c>
      <c r="G47" s="2549">
        <f>Транспортування_1ст!G48</f>
        <v>0.64372182725956595</v>
      </c>
      <c r="H47" s="2554">
        <f>Транспортування_1ст!H48</f>
        <v>3.2227781727404343</v>
      </c>
      <c r="I47" s="2595"/>
      <c r="J47" s="2595"/>
      <c r="K47" s="2595"/>
      <c r="L47" s="399"/>
      <c r="M47" s="2744"/>
      <c r="O47" s="2744"/>
      <c r="P47" s="2744"/>
      <c r="R47" s="2744"/>
      <c r="S47" s="2744"/>
      <c r="T47" s="2744"/>
      <c r="U47" s="2744"/>
    </row>
    <row r="48" spans="2:21" s="391" customFormat="1" ht="21" customHeight="1" x14ac:dyDescent="0.35">
      <c r="B48" s="2221" t="str">
        <f>Транспортування_1ст!B49</f>
        <v>атестація робочих місць</v>
      </c>
      <c r="C48" s="2229">
        <f>Транспортування_1ст!C49</f>
        <v>0</v>
      </c>
      <c r="D48" s="2234">
        <f>Транспортування_1ст!D49</f>
        <v>0</v>
      </c>
      <c r="E48" s="409">
        <f>Транспортування_1ст!E49</f>
        <v>7.0999499999999998</v>
      </c>
      <c r="F48" s="409">
        <f>Транспортування_1ст!F49</f>
        <v>2.4</v>
      </c>
      <c r="G48" s="2549">
        <f>Транспортування_1ст!G49</f>
        <v>0.39956870177756587</v>
      </c>
      <c r="H48" s="2554">
        <f>Транспортування_1ст!H49</f>
        <v>2.0004312982224342</v>
      </c>
      <c r="I48" s="2595"/>
      <c r="J48" s="2595"/>
      <c r="K48" s="2595"/>
      <c r="L48" s="399"/>
      <c r="M48" s="2744"/>
      <c r="O48" s="2744"/>
      <c r="P48" s="2744"/>
      <c r="R48" s="2744"/>
      <c r="S48" s="2744"/>
      <c r="T48" s="2744"/>
      <c r="U48" s="2744"/>
    </row>
    <row r="49" spans="2:21" s="391" customFormat="1" ht="21.6" customHeight="1" x14ac:dyDescent="0.35">
      <c r="B49" s="2221" t="str">
        <f>Транспортування_1ст!B50</f>
        <v>виготовлення проектної документації</v>
      </c>
      <c r="C49" s="2229">
        <f>Транспортування_1ст!C50</f>
        <v>0</v>
      </c>
      <c r="D49" s="2234">
        <f>Транспортування_1ст!D50</f>
        <v>0.38</v>
      </c>
      <c r="E49" s="409">
        <f>Транспортування_1ст!E50</f>
        <v>0</v>
      </c>
      <c r="F49" s="409">
        <f>Транспортування_1ст!F50</f>
        <v>0</v>
      </c>
      <c r="G49" s="2549">
        <f>Транспортування_1ст!G50</f>
        <v>0</v>
      </c>
      <c r="H49" s="2554">
        <f>Транспортування_1ст!H50</f>
        <v>0</v>
      </c>
      <c r="I49" s="2595"/>
      <c r="J49" s="2595"/>
      <c r="K49" s="2595"/>
      <c r="L49" s="399"/>
      <c r="M49" s="2744"/>
      <c r="O49" s="2744"/>
      <c r="P49" s="2744"/>
      <c r="R49" s="2744"/>
      <c r="S49" s="2744"/>
      <c r="T49" s="2744"/>
      <c r="U49" s="2744"/>
    </row>
    <row r="50" spans="2:21" s="391" customFormat="1" ht="18.600000000000001" customHeight="1" x14ac:dyDescent="0.35">
      <c r="B50" s="2221" t="str">
        <f>Транспортування_1ст!B51</f>
        <v>кисневі балони</v>
      </c>
      <c r="C50" s="2229">
        <f>Транспортування_1ст!C51</f>
        <v>0</v>
      </c>
      <c r="D50" s="2234">
        <f>Транспортування_1ст!D51</f>
        <v>1.2</v>
      </c>
      <c r="E50" s="409">
        <f>Транспортування_1ст!E51</f>
        <v>0</v>
      </c>
      <c r="F50" s="409">
        <f>Транспортування_1ст!F51</f>
        <v>0</v>
      </c>
      <c r="G50" s="2549">
        <f>Транспортування_1ст!G51</f>
        <v>0</v>
      </c>
      <c r="H50" s="2554">
        <f>Транспортування_1ст!H51</f>
        <v>0</v>
      </c>
      <c r="I50" s="2595"/>
      <c r="J50" s="2595"/>
      <c r="K50" s="2595"/>
      <c r="L50" s="399"/>
      <c r="M50" s="2744"/>
      <c r="O50" s="2744"/>
      <c r="P50" s="2744"/>
      <c r="R50" s="2744"/>
      <c r="S50" s="2744"/>
      <c r="T50" s="2744"/>
      <c r="U50" s="2744"/>
    </row>
    <row r="51" spans="2:21" s="391" customFormat="1" ht="21.6" customHeight="1" x14ac:dyDescent="0.35">
      <c r="B51" s="2221" t="str">
        <f>Транспортування_1ст!B52</f>
        <v>експетне обстеження стану охорони праці</v>
      </c>
      <c r="C51" s="2229">
        <f>Транспортування_1ст!C52</f>
        <v>0</v>
      </c>
      <c r="D51" s="2234">
        <f>Транспортування_1ст!D52</f>
        <v>0</v>
      </c>
      <c r="E51" s="409">
        <f>Транспортування_1ст!E52</f>
        <v>0</v>
      </c>
      <c r="F51" s="409">
        <f>Транспортування_1ст!F52</f>
        <v>0</v>
      </c>
      <c r="G51" s="2549">
        <f>Транспортування_1ст!G52</f>
        <v>0</v>
      </c>
      <c r="H51" s="2554">
        <f>Транспортування_1ст!H52</f>
        <v>0</v>
      </c>
      <c r="I51" s="2595"/>
      <c r="J51" s="2595"/>
      <c r="K51" s="2595"/>
      <c r="L51" s="399"/>
      <c r="M51" s="2744"/>
      <c r="O51" s="2744"/>
      <c r="P51" s="2744"/>
      <c r="R51" s="2744"/>
      <c r="S51" s="2744"/>
      <c r="T51" s="2744"/>
      <c r="U51" s="2744"/>
    </row>
    <row r="52" spans="2:21" s="391" customFormat="1" ht="21" customHeight="1" x14ac:dyDescent="0.35">
      <c r="B52" s="2221" t="str">
        <f>Транспортування_1ст!B53</f>
        <v>державна повірка та юстування</v>
      </c>
      <c r="C52" s="2229">
        <f>Транспортування_1ст!C53</f>
        <v>8.9165599999999987</v>
      </c>
      <c r="D52" s="2234">
        <f>Транспортування_1ст!D53</f>
        <v>12.770620000000001</v>
      </c>
      <c r="E52" s="409">
        <f>Транспортування_1ст!E53</f>
        <v>5.3708200000000001</v>
      </c>
      <c r="F52" s="409">
        <f>Транспортування_1ст!F53</f>
        <v>16.397459999999999</v>
      </c>
      <c r="G52" s="2549">
        <f>Транспортування_1ст!G53</f>
        <v>2.7299632519373187</v>
      </c>
      <c r="H52" s="2554">
        <f>Транспортування_1ст!H53</f>
        <v>13.667496748062682</v>
      </c>
      <c r="I52" s="2595"/>
      <c r="J52" s="2595"/>
      <c r="K52" s="2595"/>
      <c r="L52" s="399"/>
      <c r="M52" s="2744"/>
      <c r="O52" s="2744"/>
      <c r="P52" s="2744"/>
      <c r="R52" s="2744"/>
      <c r="S52" s="2744"/>
      <c r="T52" s="2744"/>
      <c r="U52" s="2744"/>
    </row>
    <row r="53" spans="2:21" s="391" customFormat="1" ht="21" customHeight="1" x14ac:dyDescent="0.35">
      <c r="B53" s="2221" t="str">
        <f>Транспортування_1ст!B54</f>
        <v>вимірювання опору заземлення</v>
      </c>
      <c r="C53" s="2229">
        <f>Транспортування_1ст!C54</f>
        <v>0</v>
      </c>
      <c r="D53" s="2234">
        <f>Транспортування_1ст!D54</f>
        <v>8.2210000000000001</v>
      </c>
      <c r="E53" s="409">
        <f>Транспортування_1ст!E54</f>
        <v>19.841699999999999</v>
      </c>
      <c r="F53" s="409">
        <f>Транспортування_1ст!F54</f>
        <v>8.2210000000000001</v>
      </c>
      <c r="G53" s="2549">
        <f>Транспортування_1ст!G54</f>
        <v>1.3686892905472372</v>
      </c>
      <c r="H53" s="2554">
        <f>Транспортування_1ст!H54</f>
        <v>6.8523107094527633</v>
      </c>
      <c r="I53" s="2595"/>
      <c r="J53" s="2595"/>
      <c r="K53" s="2595"/>
      <c r="L53" s="399"/>
      <c r="M53" s="2744"/>
      <c r="O53" s="2744"/>
      <c r="P53" s="2744"/>
      <c r="R53" s="2744"/>
      <c r="S53" s="2744"/>
      <c r="T53" s="2744"/>
      <c r="U53" s="2744"/>
    </row>
    <row r="54" spans="2:21" s="391" customFormat="1" ht="20.399999999999999" customHeight="1" x14ac:dyDescent="0.35">
      <c r="B54" s="2221" t="str">
        <f>Транспортування_1ст!B55</f>
        <v>випробування абразивних кругів</v>
      </c>
      <c r="C54" s="2229">
        <f>Транспортування_1ст!C55</f>
        <v>0</v>
      </c>
      <c r="D54" s="2234">
        <f>Транспортування_1ст!D55</f>
        <v>0</v>
      </c>
      <c r="E54" s="409">
        <f>Транспортування_1ст!E55</f>
        <v>0</v>
      </c>
      <c r="F54" s="409">
        <f>Транспортування_1ст!F55</f>
        <v>0</v>
      </c>
      <c r="G54" s="2549">
        <f>Транспортування_1ст!G55</f>
        <v>0</v>
      </c>
      <c r="H54" s="2554">
        <f>Транспортування_1ст!H55</f>
        <v>0</v>
      </c>
      <c r="I54" s="2595"/>
      <c r="J54" s="2595"/>
      <c r="K54" s="2595"/>
      <c r="L54" s="399"/>
      <c r="M54" s="2744"/>
      <c r="O54" s="2744"/>
      <c r="P54" s="2744"/>
      <c r="R54" s="2744"/>
      <c r="S54" s="2744"/>
      <c r="T54" s="2744"/>
      <c r="U54" s="2744"/>
    </row>
    <row r="55" spans="2:21" s="391" customFormat="1" ht="19.2" customHeight="1" x14ac:dyDescent="0.35">
      <c r="B55" s="2221" t="str">
        <f>Транспортування_1ст!B56</f>
        <v>дератизація</v>
      </c>
      <c r="C55" s="2229">
        <f>Транспортування_1ст!C56</f>
        <v>0</v>
      </c>
      <c r="D55" s="2234">
        <f>Транспортування_1ст!D56</f>
        <v>2.53356</v>
      </c>
      <c r="E55" s="409">
        <f>Транспортування_1ст!E56</f>
        <v>0</v>
      </c>
      <c r="F55" s="409">
        <f>Транспортування_1ст!F56</f>
        <v>2.53356</v>
      </c>
      <c r="G55" s="2549">
        <f>Транспортування_1ст!G56</f>
        <v>0.4218047000314874</v>
      </c>
      <c r="H55" s="2554">
        <f>Транспортування_1ст!H56</f>
        <v>2.1117552999685127</v>
      </c>
      <c r="I55" s="2595"/>
      <c r="J55" s="2595"/>
      <c r="K55" s="2595"/>
      <c r="L55" s="399"/>
      <c r="M55" s="2744"/>
      <c r="O55" s="2744"/>
      <c r="P55" s="2744"/>
      <c r="R55" s="2744"/>
      <c r="S55" s="2744"/>
      <c r="T55" s="2744"/>
      <c r="U55" s="2744"/>
    </row>
    <row r="56" spans="2:21" s="391" customFormat="1" ht="21" customHeight="1" x14ac:dyDescent="0.35">
      <c r="B56" s="2221" t="str">
        <f>Транспортування_1ст!B57</f>
        <v>лабораторні випробування захисних засобів</v>
      </c>
      <c r="C56" s="2229">
        <f>Транспортування_1ст!C57</f>
        <v>0</v>
      </c>
      <c r="D56" s="2234">
        <f>Транспортування_1ст!D57</f>
        <v>1.65</v>
      </c>
      <c r="E56" s="409">
        <f>Транспортування_1ст!E57</f>
        <v>1.65</v>
      </c>
      <c r="F56" s="409">
        <f>Транспортування_1ст!F57</f>
        <v>1.65</v>
      </c>
      <c r="G56" s="2549">
        <f>Транспортування_1ст!G57</f>
        <v>0.27470348247207654</v>
      </c>
      <c r="H56" s="2554">
        <f>Транспортування_1ст!H57</f>
        <v>1.3752965175279235</v>
      </c>
      <c r="I56" s="2595"/>
      <c r="J56" s="2595"/>
      <c r="K56" s="2595"/>
      <c r="L56" s="399"/>
      <c r="M56" s="2744"/>
      <c r="O56" s="2744"/>
      <c r="P56" s="2744"/>
      <c r="R56" s="2744"/>
      <c r="S56" s="2744"/>
      <c r="T56" s="2744"/>
      <c r="U56" s="2744"/>
    </row>
    <row r="57" spans="2:21" s="391" customFormat="1" ht="17.399999999999999" customHeight="1" x14ac:dyDescent="0.35">
      <c r="B57" s="2221" t="str">
        <f>Транспортування_1ст!B58</f>
        <v>заправка картріджів</v>
      </c>
      <c r="C57" s="2229">
        <f>Транспортування_1ст!C58</f>
        <v>0.46667000000000003</v>
      </c>
      <c r="D57" s="2234">
        <f>Транспортування_1ст!D58</f>
        <v>1.1333499999999999</v>
      </c>
      <c r="E57" s="409">
        <f>Транспортування_1ст!E58</f>
        <v>1.8</v>
      </c>
      <c r="F57" s="409">
        <f>Транспортування_1ст!F58</f>
        <v>2.1</v>
      </c>
      <c r="G57" s="2549">
        <f>Транспортування_1ст!G58</f>
        <v>0.34962261405537015</v>
      </c>
      <c r="H57" s="2554">
        <f>Транспортування_1ст!H58</f>
        <v>1.7503773859446301</v>
      </c>
      <c r="I57" s="2595"/>
      <c r="J57" s="2595"/>
      <c r="K57" s="2595"/>
      <c r="L57" s="399"/>
      <c r="M57" s="2744"/>
      <c r="O57" s="2744"/>
      <c r="P57" s="2744"/>
      <c r="R57" s="2744"/>
      <c r="S57" s="2744"/>
      <c r="T57" s="2744"/>
      <c r="U57" s="2744"/>
    </row>
    <row r="58" spans="2:21" s="391" customFormat="1" ht="16.2" customHeight="1" x14ac:dyDescent="0.35">
      <c r="B58" s="2221" t="str">
        <f>Транспортування_1ст!B59</f>
        <v>ППЗ для захисту від вірусів</v>
      </c>
      <c r="C58" s="2229">
        <f>Транспортування_1ст!C59</f>
        <v>0</v>
      </c>
      <c r="D58" s="2234">
        <f>Транспортування_1ст!D59</f>
        <v>0</v>
      </c>
      <c r="E58" s="409">
        <f>Транспортування_1ст!E59</f>
        <v>0</v>
      </c>
      <c r="F58" s="409">
        <f>Транспортування_1ст!F59</f>
        <v>3.1702898550724643</v>
      </c>
      <c r="G58" s="2549">
        <f>Транспортування_1ст!G59</f>
        <v>0.5278119173541217</v>
      </c>
      <c r="H58" s="2554">
        <f>Транспортування_1ст!H59</f>
        <v>2.6424779377183429</v>
      </c>
      <c r="I58" s="2595"/>
      <c r="J58" s="2595"/>
      <c r="K58" s="2595"/>
      <c r="L58" s="399"/>
      <c r="M58" s="2744"/>
      <c r="O58" s="2744"/>
      <c r="P58" s="2744"/>
      <c r="R58" s="2744"/>
      <c r="S58" s="2744"/>
      <c r="T58" s="2744"/>
      <c r="U58" s="2744"/>
    </row>
    <row r="59" spans="2:21" s="391" customFormat="1" ht="21.6" customHeight="1" x14ac:dyDescent="0.35">
      <c r="B59" s="2221" t="str">
        <f>Транспортування_1ст!B60</f>
        <v>оцінка обсягів водокористування</v>
      </c>
      <c r="C59" s="2229">
        <f>Транспортування_1ст!C60</f>
        <v>0</v>
      </c>
      <c r="D59" s="2234">
        <f>Транспортування_1ст!D60</f>
        <v>0</v>
      </c>
      <c r="E59" s="409">
        <f>Транспортування_1ст!E60</f>
        <v>0</v>
      </c>
      <c r="F59" s="409">
        <f>Транспортування_1ст!F60</f>
        <v>0</v>
      </c>
      <c r="G59" s="2549">
        <f>Транспортування_1ст!G60</f>
        <v>0</v>
      </c>
      <c r="H59" s="2554">
        <f>Транспортування_1ст!H60</f>
        <v>0</v>
      </c>
      <c r="I59" s="2595"/>
      <c r="J59" s="2595"/>
      <c r="K59" s="2595"/>
      <c r="L59" s="399"/>
      <c r="M59" s="2744"/>
      <c r="O59" s="2744"/>
      <c r="P59" s="2744"/>
      <c r="R59" s="2744"/>
      <c r="S59" s="2744"/>
      <c r="T59" s="2744"/>
      <c r="U59" s="2744"/>
    </row>
    <row r="60" spans="2:21" s="391" customFormat="1" ht="20.399999999999999" customHeight="1" x14ac:dyDescent="0.35">
      <c r="B60" s="2221" t="str">
        <f>Транспортування_1ст!B61</f>
        <v>транспортні послуги</v>
      </c>
      <c r="C60" s="2229">
        <f>Транспортування_1ст!C61</f>
        <v>1.7254099999999999</v>
      </c>
      <c r="D60" s="2234">
        <f>Транспортування_1ст!D61</f>
        <v>4.7358400000000005</v>
      </c>
      <c r="E60" s="409">
        <f>Транспортування_1ст!E61</f>
        <v>0</v>
      </c>
      <c r="F60" s="409">
        <f>Транспортування_1ст!F61</f>
        <v>0</v>
      </c>
      <c r="G60" s="2549">
        <f>Транспортування_1ст!G61</f>
        <v>0</v>
      </c>
      <c r="H60" s="2554">
        <f>Транспортування_1ст!H61</f>
        <v>0</v>
      </c>
      <c r="I60" s="2595"/>
      <c r="J60" s="2595"/>
      <c r="K60" s="2595"/>
      <c r="L60" s="399"/>
      <c r="M60" s="2744"/>
      <c r="O60" s="2744"/>
      <c r="P60" s="2744"/>
      <c r="R60" s="2744"/>
      <c r="S60" s="2744"/>
      <c r="T60" s="2744"/>
      <c r="U60" s="2744"/>
    </row>
    <row r="61" spans="2:21" s="391" customFormat="1" ht="20.399999999999999" customHeight="1" x14ac:dyDescent="0.35">
      <c r="B61" s="2221" t="str">
        <f>Транспортування_1ст!B62</f>
        <v>службові відрядження</v>
      </c>
      <c r="C61" s="2229">
        <f>Транспортування_1ст!C62</f>
        <v>0</v>
      </c>
      <c r="D61" s="2234">
        <f>Транспортування_1ст!D62</f>
        <v>0</v>
      </c>
      <c r="E61" s="409">
        <f>Транспортування_1ст!E62</f>
        <v>0</v>
      </c>
      <c r="F61" s="409">
        <f>Транспортування_1ст!F62</f>
        <v>0</v>
      </c>
      <c r="G61" s="2549">
        <f>Транспортування_1ст!G62</f>
        <v>0</v>
      </c>
      <c r="H61" s="2554">
        <f>Транспортування_1ст!H62</f>
        <v>0</v>
      </c>
      <c r="I61" s="2595"/>
      <c r="J61" s="2595"/>
      <c r="K61" s="2595"/>
      <c r="L61" s="399"/>
      <c r="M61" s="2744"/>
      <c r="O61" s="2744"/>
      <c r="P61" s="2744"/>
      <c r="R61" s="2744"/>
      <c r="S61" s="2744"/>
      <c r="T61" s="2744"/>
      <c r="U61" s="2744"/>
    </row>
    <row r="62" spans="2:21" s="391" customFormat="1" ht="22.2" customHeight="1" x14ac:dyDescent="0.35">
      <c r="B62" s="2221" t="str">
        <f>Транспортування_1ст!B63</f>
        <v>вимірювання якості води</v>
      </c>
      <c r="C62" s="2229">
        <f>Транспортування_1ст!C63</f>
        <v>0</v>
      </c>
      <c r="D62" s="2234">
        <f>Транспортування_1ст!D63</f>
        <v>0</v>
      </c>
      <c r="E62" s="409">
        <f>Транспортування_1ст!E63</f>
        <v>0</v>
      </c>
      <c r="F62" s="409">
        <f>Транспортування_1ст!F63</f>
        <v>0</v>
      </c>
      <c r="G62" s="2549">
        <f>Транспортування_1ст!G63</f>
        <v>0</v>
      </c>
      <c r="H62" s="2554">
        <f>Транспортування_1ст!H63</f>
        <v>0</v>
      </c>
      <c r="I62" s="2595"/>
      <c r="J62" s="2595"/>
      <c r="K62" s="2595"/>
      <c r="L62" s="399"/>
      <c r="M62" s="2744"/>
      <c r="O62" s="2744"/>
      <c r="P62" s="2744"/>
      <c r="R62" s="2744"/>
      <c r="S62" s="2744"/>
      <c r="T62" s="2744"/>
      <c r="U62" s="2744"/>
    </row>
    <row r="63" spans="2:21" s="391" customFormat="1" ht="21" customHeight="1" x14ac:dyDescent="0.35">
      <c r="B63" s="2221" t="str">
        <f>Транспортування_1ст!B64</f>
        <v>витрати на професійні послуги</v>
      </c>
      <c r="C63" s="2229">
        <f>Транспортування_1ст!C64</f>
        <v>0</v>
      </c>
      <c r="D63" s="2234">
        <f>Транспортування_1ст!D64</f>
        <v>1.77</v>
      </c>
      <c r="E63" s="409">
        <f>Транспортування_1ст!E64</f>
        <v>0</v>
      </c>
      <c r="F63" s="409">
        <f>Транспортування_1ст!F64</f>
        <v>0</v>
      </c>
      <c r="G63" s="2549">
        <f>Транспортування_1ст!G64</f>
        <v>0</v>
      </c>
      <c r="H63" s="2554">
        <f>Транспортування_1ст!H64</f>
        <v>0</v>
      </c>
      <c r="I63" s="2595"/>
      <c r="J63" s="2595"/>
      <c r="K63" s="2595"/>
      <c r="L63" s="399"/>
      <c r="M63" s="2744"/>
      <c r="O63" s="2744"/>
      <c r="P63" s="2744"/>
      <c r="R63" s="2744"/>
      <c r="S63" s="2744"/>
      <c r="T63" s="2744"/>
      <c r="U63" s="2744"/>
    </row>
    <row r="64" spans="2:21" s="391" customFormat="1" ht="17.399999999999999" customHeight="1" x14ac:dyDescent="0.35">
      <c r="B64" s="2221" t="str">
        <f>Транспортування_1ст!B65</f>
        <v>оренда дизельгенератора</v>
      </c>
      <c r="C64" s="2229">
        <f>Транспортування_1ст!C65</f>
        <v>0</v>
      </c>
      <c r="D64" s="2234">
        <f>Транспортування_1ст!D65</f>
        <v>12</v>
      </c>
      <c r="E64" s="409">
        <f>Транспортування_1ст!E65</f>
        <v>0</v>
      </c>
      <c r="F64" s="409">
        <f>Транспортування_1ст!F65</f>
        <v>0</v>
      </c>
      <c r="G64" s="2549">
        <f>Транспортування_1ст!G65</f>
        <v>0</v>
      </c>
      <c r="H64" s="2554">
        <f>Транспортування_1ст!H65</f>
        <v>0</v>
      </c>
      <c r="I64" s="2595"/>
      <c r="J64" s="2595"/>
      <c r="K64" s="2595"/>
      <c r="L64" s="399"/>
      <c r="M64" s="2744"/>
      <c r="O64" s="2744"/>
      <c r="P64" s="2744"/>
      <c r="R64" s="2744"/>
      <c r="S64" s="2744"/>
      <c r="T64" s="2744"/>
      <c r="U64" s="2744"/>
    </row>
    <row r="65" spans="2:21" s="391" customFormat="1" ht="19.2" customHeight="1" x14ac:dyDescent="0.35">
      <c r="B65" s="2221" t="str">
        <f>Транспортування_1ст!B66</f>
        <v>зв'язок</v>
      </c>
      <c r="C65" s="2229">
        <f>Транспортування_1ст!C66</f>
        <v>3.8446199999999999</v>
      </c>
      <c r="D65" s="2234">
        <f>Транспортування_1ст!D66</f>
        <v>5.4398400000000002</v>
      </c>
      <c r="E65" s="409">
        <f>Транспортування_1ст!E66</f>
        <v>5.3893400000000007</v>
      </c>
      <c r="F65" s="2494">
        <f>Транспортування_1ст!F66</f>
        <v>5.5609000000000002</v>
      </c>
      <c r="G65" s="2549">
        <f>Транспортування_1ст!G66</f>
        <v>0.92581733071452754</v>
      </c>
      <c r="H65" s="2554">
        <f>Транспортування_1ст!H66</f>
        <v>4.635082669285473</v>
      </c>
      <c r="I65" s="2595"/>
      <c r="J65" s="2595"/>
      <c r="K65" s="2595"/>
      <c r="L65" s="399"/>
      <c r="M65" s="2744"/>
      <c r="O65" s="2744"/>
      <c r="P65" s="2744"/>
      <c r="R65" s="2744"/>
      <c r="S65" s="2744"/>
      <c r="T65" s="2744"/>
      <c r="U65" s="2744"/>
    </row>
    <row r="66" spans="2:21" s="391" customFormat="1" ht="19.2" customHeight="1" x14ac:dyDescent="0.35">
      <c r="B66" s="2221" t="str">
        <f>Транспортування_1ст!B67</f>
        <v>інтернет</v>
      </c>
      <c r="C66" s="2229">
        <f>Транспортування_1ст!C67</f>
        <v>15.782260000000001</v>
      </c>
      <c r="D66" s="2234">
        <f>Транспортування_1ст!D67</f>
        <v>24.333359999999999</v>
      </c>
      <c r="E66" s="409">
        <f>Транспортування_1ст!E67</f>
        <v>25.875</v>
      </c>
      <c r="F66" s="2494">
        <f>Транспортування_1ст!F67</f>
        <v>25.500720000000001</v>
      </c>
      <c r="G66" s="2549">
        <f>Транспортування_1ст!G67</f>
        <v>4.2455373269971712</v>
      </c>
      <c r="H66" s="2554">
        <f>Транспортування_1ст!H67</f>
        <v>21.255182673002832</v>
      </c>
      <c r="I66" s="2595"/>
      <c r="J66" s="2595"/>
      <c r="K66" s="2595"/>
      <c r="L66" s="399"/>
      <c r="M66" s="2744"/>
      <c r="O66" s="2744"/>
      <c r="P66" s="2744"/>
      <c r="R66" s="2744"/>
      <c r="S66" s="2744"/>
      <c r="T66" s="2744"/>
      <c r="U66" s="2744"/>
    </row>
    <row r="67" spans="2:21" s="2401" customFormat="1" ht="36" x14ac:dyDescent="0.25">
      <c r="B67" s="2221" t="str">
        <f>Транспортування_1ст!B68</f>
        <v>розробка декларації, планів локалізації аварій та їх експертиза</v>
      </c>
      <c r="C67" s="2397">
        <f>Транспортування_1ст!C68</f>
        <v>0</v>
      </c>
      <c r="D67" s="2398">
        <f>Транспортування_1ст!D68</f>
        <v>0</v>
      </c>
      <c r="E67" s="2399">
        <f>Транспортування_1ст!E68</f>
        <v>0</v>
      </c>
      <c r="F67" s="2399">
        <f>Транспортування_1ст!F68</f>
        <v>0</v>
      </c>
      <c r="G67" s="2550">
        <f>Транспортування_1ст!G68</f>
        <v>0</v>
      </c>
      <c r="H67" s="2555">
        <f>Транспортування_1ст!H68</f>
        <v>0</v>
      </c>
      <c r="I67" s="2595"/>
      <c r="J67" s="2595"/>
      <c r="K67" s="2595"/>
      <c r="L67" s="2402"/>
      <c r="M67" s="2744"/>
      <c r="O67" s="2744"/>
      <c r="P67" s="2744"/>
      <c r="R67" s="2744"/>
      <c r="S67" s="2744"/>
      <c r="T67" s="2744"/>
      <c r="U67" s="2744"/>
    </row>
    <row r="68" spans="2:21" s="391" customFormat="1" ht="21" customHeight="1" x14ac:dyDescent="0.35">
      <c r="B68" s="2221" t="str">
        <f>Транспортування_1ст!B69</f>
        <v>податки, збори, обов'язкові платежі</v>
      </c>
      <c r="C68" s="2229">
        <f>Транспортування_1ст!C69</f>
        <v>0.15563999999999997</v>
      </c>
      <c r="D68" s="2234">
        <f>Транспортування_1ст!D69</f>
        <v>0.12257999999999999</v>
      </c>
      <c r="E68" s="409">
        <f>Транспортування_1ст!E69</f>
        <v>0.15563999999999997</v>
      </c>
      <c r="F68" s="409">
        <f>Транспортування_1ст!F69</f>
        <v>0.16344</v>
      </c>
      <c r="G68" s="2549">
        <f>Транспортування_1ст!G69</f>
        <v>2.7210628591052236E-2</v>
      </c>
      <c r="H68" s="2554">
        <f>Транспортування_1ст!H69</f>
        <v>0.13622937140894778</v>
      </c>
      <c r="I68" s="2595"/>
      <c r="J68" s="2595"/>
      <c r="K68" s="2595"/>
      <c r="L68" s="399"/>
      <c r="M68" s="2744"/>
      <c r="O68" s="2744"/>
      <c r="P68" s="2744"/>
      <c r="R68" s="2744"/>
      <c r="S68" s="2744"/>
      <c r="T68" s="2744"/>
      <c r="U68" s="2744"/>
    </row>
    <row r="69" spans="2:21" s="391" customFormat="1" ht="18.600000000000001" customHeight="1" x14ac:dyDescent="0.35">
      <c r="B69" s="2221" t="str">
        <f>Транспортування_1ст!B70</f>
        <v>радіочастоти</v>
      </c>
      <c r="C69" s="2229">
        <f>Транспортування_1ст!C70</f>
        <v>0.312</v>
      </c>
      <c r="D69" s="2234">
        <f>Транспортування_1ст!D70</f>
        <v>0.44345999999999997</v>
      </c>
      <c r="E69" s="409">
        <f>Транспортування_1ст!E70</f>
        <v>0.56879999999999997</v>
      </c>
      <c r="F69" s="409">
        <f>Транспортування_1ст!F70</f>
        <v>0.44345999999999997</v>
      </c>
      <c r="G69" s="2549">
        <f>Транспортування_1ст!G70</f>
        <v>7.3830306870949727E-2</v>
      </c>
      <c r="H69" s="2554">
        <f>Транспортування_1ст!H70</f>
        <v>0.36962969312905025</v>
      </c>
      <c r="I69" s="2595"/>
      <c r="J69" s="2595"/>
      <c r="K69" s="2595"/>
      <c r="L69" s="399"/>
      <c r="M69" s="2744"/>
      <c r="O69" s="2744"/>
      <c r="P69" s="2744"/>
      <c r="R69" s="2744"/>
      <c r="S69" s="2744"/>
      <c r="T69" s="2744"/>
      <c r="U69" s="2744"/>
    </row>
    <row r="70" spans="2:21" s="391" customFormat="1" ht="21" customHeight="1" x14ac:dyDescent="0.35">
      <c r="B70" s="2221" t="str">
        <f>Транспортування_1ст!B71</f>
        <v>витрати на періодичні видання</v>
      </c>
      <c r="C70" s="2229">
        <f>Транспортування_1ст!C71</f>
        <v>4.0747999999999998</v>
      </c>
      <c r="D70" s="2234">
        <f>Транспортування_1ст!D71</f>
        <v>0</v>
      </c>
      <c r="E70" s="409">
        <f>Транспортування_1ст!E71</f>
        <v>0</v>
      </c>
      <c r="F70" s="409">
        <f>Транспортування_1ст!F71</f>
        <v>9.9433760851443633</v>
      </c>
      <c r="G70" s="2549">
        <f>Транспортування_1ст!G71</f>
        <v>1.6554424473446785</v>
      </c>
      <c r="H70" s="2554">
        <f>Транспортування_1ст!H71</f>
        <v>8.2879336377996857</v>
      </c>
      <c r="I70" s="2595"/>
      <c r="J70" s="2595"/>
      <c r="K70" s="2595"/>
      <c r="L70" s="399"/>
      <c r="M70" s="2744"/>
      <c r="O70" s="2744"/>
      <c r="P70" s="2744"/>
      <c r="R70" s="2744"/>
      <c r="S70" s="2744"/>
      <c r="T70" s="2744"/>
      <c r="U70" s="2744"/>
    </row>
    <row r="71" spans="2:21" s="2406" customFormat="1" ht="36" x14ac:dyDescent="0.25">
      <c r="B71" s="2221" t="str">
        <f>Транспортування_1ст!B72</f>
        <v>параметрування та техперевірка 3-х фазних лічильників</v>
      </c>
      <c r="C71" s="2404">
        <f>Транспортування_1ст!C72</f>
        <v>0</v>
      </c>
      <c r="D71" s="2405">
        <f>Транспортування_1ст!D72</f>
        <v>0</v>
      </c>
      <c r="E71" s="2399">
        <f>Транспортування_1ст!E72</f>
        <v>0</v>
      </c>
      <c r="F71" s="2399">
        <f>Транспортування_1ст!F72</f>
        <v>0</v>
      </c>
      <c r="G71" s="2550">
        <f>Транспортування_1ст!G72</f>
        <v>0</v>
      </c>
      <c r="H71" s="2555">
        <f>Транспортування_1ст!H72</f>
        <v>0</v>
      </c>
      <c r="I71" s="2595"/>
      <c r="J71" s="2595"/>
      <c r="K71" s="2595"/>
      <c r="L71" s="2407"/>
      <c r="M71" s="2744"/>
      <c r="O71" s="2744"/>
      <c r="P71" s="2744"/>
      <c r="R71" s="2744"/>
      <c r="S71" s="2744"/>
      <c r="T71" s="2744"/>
      <c r="U71" s="2744"/>
    </row>
    <row r="72" spans="2:21" s="391" customFormat="1" ht="22.2" customHeight="1" x14ac:dyDescent="0.35">
      <c r="B72" s="2221" t="str">
        <f>Транспортування_1ст!B73</f>
        <v>оцінка майна комунальної власності</v>
      </c>
      <c r="C72" s="2230">
        <f>Транспортування_1ст!C73</f>
        <v>40</v>
      </c>
      <c r="D72" s="2235">
        <f>Транспортування_1ст!D73</f>
        <v>0</v>
      </c>
      <c r="E72" s="477">
        <f>Транспортування_1ст!E73</f>
        <v>0</v>
      </c>
      <c r="F72" s="477">
        <f>Транспортування_1ст!F73</f>
        <v>0</v>
      </c>
      <c r="G72" s="2549">
        <f>Транспортування_1ст!G73</f>
        <v>0</v>
      </c>
      <c r="H72" s="2554">
        <f>Транспортування_1ст!H73</f>
        <v>0</v>
      </c>
      <c r="I72" s="2595"/>
      <c r="J72" s="2595"/>
      <c r="K72" s="2595"/>
      <c r="L72" s="399"/>
      <c r="M72" s="2744"/>
      <c r="O72" s="2744"/>
      <c r="P72" s="2744"/>
      <c r="R72" s="2744"/>
      <c r="S72" s="2744"/>
      <c r="T72" s="2744"/>
      <c r="U72" s="2744"/>
    </row>
    <row r="73" spans="2:21" s="391" customFormat="1" ht="21.6" customHeight="1" thickBot="1" x14ac:dyDescent="0.4">
      <c r="B73" s="2659" t="str">
        <f>Транспортування_1ст!B74</f>
        <v>інші витрати</v>
      </c>
      <c r="C73" s="2231">
        <f>Транспортування_1ст!C74</f>
        <v>59.960900000000002</v>
      </c>
      <c r="D73" s="2236">
        <f>Транспортування_1ст!D74</f>
        <v>77.115729999999999</v>
      </c>
      <c r="E73" s="417">
        <f>Транспортування_1ст!E74</f>
        <v>0</v>
      </c>
      <c r="F73" s="417">
        <f>Транспортування_1ст!F74</f>
        <v>0</v>
      </c>
      <c r="G73" s="2551">
        <f>Транспортування_1ст!G74</f>
        <v>0</v>
      </c>
      <c r="H73" s="2556">
        <f>Транспортування_1ст!H74</f>
        <v>0</v>
      </c>
      <c r="I73" s="2595"/>
      <c r="J73" s="2595"/>
      <c r="K73" s="2595"/>
      <c r="L73" s="399"/>
      <c r="M73" s="2744"/>
      <c r="O73" s="2744"/>
      <c r="P73" s="2744"/>
      <c r="R73" s="2744"/>
      <c r="S73" s="2744"/>
      <c r="T73" s="2744"/>
      <c r="U73" s="2744"/>
    </row>
    <row r="74" spans="2:21" s="391" customFormat="1" ht="13.2" x14ac:dyDescent="0.25">
      <c r="D74" s="399">
        <f>'[36]транспортування-2312'!$O$24</f>
        <v>0</v>
      </c>
      <c r="I74" s="1273"/>
      <c r="J74" s="1273"/>
      <c r="K74" s="1273"/>
    </row>
    <row r="75" spans="2:21" s="391" customFormat="1" ht="13.2" x14ac:dyDescent="0.25">
      <c r="D75" s="399">
        <f>D74-D29</f>
        <v>-9088.9923599999966</v>
      </c>
      <c r="I75" s="1273"/>
      <c r="J75" s="1273"/>
      <c r="K75" s="1273"/>
    </row>
    <row r="76" spans="2:21" s="391" customFormat="1" ht="18" x14ac:dyDescent="0.35">
      <c r="B76" s="419" t="str">
        <f>'Вхідні дані'!$B$13</f>
        <v>Директор підприємства</v>
      </c>
      <c r="C76" s="772" t="s">
        <v>1400</v>
      </c>
      <c r="D76" s="419"/>
      <c r="E76" s="419"/>
      <c r="F76" s="5182" t="str">
        <f>'Вхідні дані'!$F$13</f>
        <v>Анатолій ПАНШИН</v>
      </c>
      <c r="G76" s="5182"/>
      <c r="H76" s="5182"/>
      <c r="I76" s="1273"/>
      <c r="J76" s="1273"/>
      <c r="K76" s="1273"/>
    </row>
    <row r="77" spans="2:21" s="391" customFormat="1" ht="18" x14ac:dyDescent="0.35">
      <c r="B77" s="419"/>
      <c r="C77" s="772" t="s">
        <v>209</v>
      </c>
      <c r="D77" s="419"/>
      <c r="E77" s="419"/>
      <c r="G77" s="772" t="s">
        <v>4118</v>
      </c>
      <c r="H77" s="772"/>
      <c r="I77" s="1273"/>
      <c r="J77" s="1273"/>
      <c r="K77" s="1273"/>
    </row>
    <row r="78" spans="2:21" s="391" customFormat="1" ht="18" x14ac:dyDescent="0.35">
      <c r="B78" s="419" t="str">
        <f>'Вхідні дані'!$B$15</f>
        <v>Заступник директора з економіки</v>
      </c>
      <c r="C78" s="772" t="s">
        <v>1400</v>
      </c>
      <c r="D78" s="419"/>
      <c r="E78" s="419"/>
      <c r="F78" s="4291"/>
      <c r="G78" s="4292" t="str">
        <f>'Вхідні дані'!$F$15</f>
        <v>Олена ЛАВРОВА</v>
      </c>
      <c r="H78" s="4292"/>
      <c r="I78" s="1273"/>
      <c r="J78" s="1273"/>
      <c r="K78" s="1273"/>
    </row>
    <row r="79" spans="2:21" s="391" customFormat="1" ht="18" x14ac:dyDescent="0.35">
      <c r="B79" s="418"/>
      <c r="C79" s="772" t="s">
        <v>209</v>
      </c>
      <c r="D79" s="418"/>
      <c r="E79" s="418"/>
      <c r="G79" s="772" t="s">
        <v>4118</v>
      </c>
      <c r="H79" s="772"/>
      <c r="I79" s="1273"/>
      <c r="J79" s="1273"/>
      <c r="K79" s="1273"/>
    </row>
    <row r="84" spans="2:21" s="391" customFormat="1" ht="15.6" x14ac:dyDescent="0.3">
      <c r="B84" s="1188" t="s">
        <v>1895</v>
      </c>
      <c r="C84" s="1756" t="e">
        <f>#REF!</f>
        <v>#REF!</v>
      </c>
      <c r="D84" s="1756" t="e">
        <f>#REF!</f>
        <v>#REF!</v>
      </c>
      <c r="E84" s="1756" t="e">
        <f>#REF!</f>
        <v>#REF!</v>
      </c>
      <c r="F84" s="1756" t="e">
        <f>#REF!</f>
        <v>#REF!</v>
      </c>
      <c r="I84" s="1273"/>
      <c r="J84" s="1273"/>
      <c r="K84" s="1273"/>
      <c r="L84"/>
      <c r="M84"/>
      <c r="N84"/>
      <c r="O84"/>
      <c r="P84"/>
      <c r="Q84"/>
      <c r="R84"/>
      <c r="S84"/>
      <c r="T84"/>
      <c r="U84"/>
    </row>
    <row r="85" spans="2:21" s="391" customFormat="1" ht="15.6" x14ac:dyDescent="0.3">
      <c r="B85" s="1189" t="s">
        <v>2294</v>
      </c>
      <c r="C85" s="1753" t="e">
        <f>#REF!</f>
        <v>#REF!</v>
      </c>
      <c r="D85" s="1753" t="e">
        <f>#REF!</f>
        <v>#REF!</v>
      </c>
      <c r="E85" s="1753" t="e">
        <f>#REF!</f>
        <v>#REF!</v>
      </c>
      <c r="F85" s="1753" t="e">
        <f>#REF!</f>
        <v>#REF!</v>
      </c>
      <c r="I85" s="1273"/>
      <c r="J85" s="1273"/>
      <c r="K85" s="1273"/>
    </row>
    <row r="86" spans="2:21" s="391" customFormat="1" ht="15.6" x14ac:dyDescent="0.3">
      <c r="B86" s="1190" t="s">
        <v>2295</v>
      </c>
      <c r="C86" s="1753" t="e">
        <f>#REF!</f>
        <v>#REF!</v>
      </c>
      <c r="D86" s="1753" t="e">
        <f>#REF!</f>
        <v>#REF!</v>
      </c>
      <c r="E86" s="1753" t="e">
        <f>#REF!</f>
        <v>#REF!</v>
      </c>
      <c r="F86" s="1753" t="e">
        <f>#REF!</f>
        <v>#REF!</v>
      </c>
      <c r="I86" s="1273"/>
      <c r="J86" s="1273"/>
      <c r="K86" s="1273"/>
    </row>
    <row r="87" spans="2:21" s="391" customFormat="1" ht="15.6" x14ac:dyDescent="0.3">
      <c r="B87" s="1190" t="s">
        <v>2296</v>
      </c>
      <c r="C87" s="1757"/>
      <c r="D87" s="1757"/>
      <c r="E87" s="1757"/>
      <c r="F87" s="1757"/>
      <c r="I87" s="1273"/>
      <c r="J87" s="1273"/>
      <c r="K87" s="1273"/>
    </row>
    <row r="88" spans="2:21" s="391" customFormat="1" ht="15.6" x14ac:dyDescent="0.3">
      <c r="B88" s="1190" t="s">
        <v>43</v>
      </c>
      <c r="C88" s="1753" t="e">
        <f>#REF!</f>
        <v>#REF!</v>
      </c>
      <c r="D88" s="1753" t="e">
        <f>#REF!</f>
        <v>#REF!</v>
      </c>
      <c r="E88" s="1753" t="e">
        <f>#REF!</f>
        <v>#REF!</v>
      </c>
      <c r="F88" s="1753" t="e">
        <f>#REF!</f>
        <v>#REF!</v>
      </c>
      <c r="I88" s="1273"/>
      <c r="J88" s="1273"/>
      <c r="K88" s="1273"/>
    </row>
    <row r="89" spans="2:21" s="391" customFormat="1" ht="15.6" x14ac:dyDescent="0.3">
      <c r="B89" s="1190" t="s">
        <v>2297</v>
      </c>
      <c r="C89" s="1753" t="e">
        <f>#REF!</f>
        <v>#REF!</v>
      </c>
      <c r="D89" s="1753" t="e">
        <f>#REF!</f>
        <v>#REF!</v>
      </c>
      <c r="E89" s="1753" t="e">
        <f>#REF!</f>
        <v>#REF!</v>
      </c>
      <c r="F89" s="1753" t="e">
        <f>#REF!</f>
        <v>#REF!</v>
      </c>
      <c r="I89" s="1273"/>
      <c r="J89" s="1273"/>
      <c r="K89" s="1273"/>
    </row>
    <row r="90" spans="2:21" s="391" customFormat="1" ht="15.6" x14ac:dyDescent="0.3">
      <c r="B90" s="1190" t="s">
        <v>460</v>
      </c>
      <c r="C90" s="1753" t="e">
        <f>#REF!+#REF!</f>
        <v>#REF!</v>
      </c>
      <c r="D90" s="1753" t="e">
        <f>#REF!+#REF!</f>
        <v>#REF!</v>
      </c>
      <c r="E90" s="1753" t="e">
        <f>#REF!+#REF!</f>
        <v>#REF!</v>
      </c>
      <c r="F90" s="1753" t="e">
        <f>#REF!+#REF!</f>
        <v>#REF!</v>
      </c>
      <c r="I90" s="1273"/>
      <c r="J90" s="1273"/>
      <c r="K90" s="1273"/>
    </row>
    <row r="91" spans="2:21" s="391" customFormat="1" ht="15.6" x14ac:dyDescent="0.3">
      <c r="B91" s="1190" t="s">
        <v>2298</v>
      </c>
      <c r="C91" s="1753" t="e">
        <f>#REF!</f>
        <v>#REF!</v>
      </c>
      <c r="D91" s="1753" t="e">
        <f>#REF!</f>
        <v>#REF!</v>
      </c>
      <c r="E91" s="1753" t="e">
        <f>#REF!</f>
        <v>#REF!</v>
      </c>
      <c r="F91" s="1753" t="e">
        <f>#REF!</f>
        <v>#REF!</v>
      </c>
      <c r="I91" s="1273"/>
      <c r="J91" s="1273"/>
      <c r="K91" s="1273"/>
    </row>
    <row r="92" spans="2:21" s="391" customFormat="1" ht="15.6" x14ac:dyDescent="0.3">
      <c r="B92" s="1190" t="s">
        <v>2299</v>
      </c>
      <c r="C92" s="1753" t="e">
        <f>#REF!</f>
        <v>#REF!</v>
      </c>
      <c r="D92" s="1753" t="e">
        <f>#REF!</f>
        <v>#REF!</v>
      </c>
      <c r="E92" s="1753" t="e">
        <f>#REF!</f>
        <v>#REF!</v>
      </c>
      <c r="F92" s="1753" t="e">
        <f>#REF!</f>
        <v>#REF!</v>
      </c>
      <c r="I92" s="1273"/>
      <c r="J92" s="1273"/>
      <c r="K92" s="1273"/>
    </row>
    <row r="93" spans="2:21" s="391" customFormat="1" ht="15.6" x14ac:dyDescent="0.3">
      <c r="B93" s="1190" t="s">
        <v>2300</v>
      </c>
      <c r="C93" s="1753" t="e">
        <f>#REF!-#REF!-#REF!+#REF!-#REF!-#REF!-#REF!-#REF!-#REF!</f>
        <v>#REF!</v>
      </c>
      <c r="D93" s="1753" t="e">
        <f>#REF!-#REF!-#REF!+#REF!-#REF!-#REF!-#REF!-#REF!-#REF!</f>
        <v>#REF!</v>
      </c>
      <c r="E93" s="1753" t="e">
        <f>#REF!-#REF!-#REF!+#REF!-#REF!-#REF!-#REF!-#REF!-#REF!</f>
        <v>#REF!</v>
      </c>
      <c r="F93" s="1753" t="e">
        <f>#REF!-#REF!-#REF!+#REF!-#REF!-#REF!-#REF!-#REF!-#REF!</f>
        <v>#REF!</v>
      </c>
      <c r="I93" s="1273"/>
      <c r="J93" s="1273"/>
      <c r="K93" s="1273"/>
    </row>
    <row r="94" spans="2:21" s="391" customFormat="1" ht="15.6" x14ac:dyDescent="0.3">
      <c r="C94" s="1754" t="e">
        <f>SUM(C85:C93)</f>
        <v>#REF!</v>
      </c>
      <c r="D94" s="1754" t="e">
        <f>SUM(D85:D93)</f>
        <v>#REF!</v>
      </c>
      <c r="E94" s="1754" t="e">
        <f>SUM(E85:E93)</f>
        <v>#REF!</v>
      </c>
      <c r="F94" s="1754" t="e">
        <f>SUM(F85:F93)</f>
        <v>#REF!</v>
      </c>
      <c r="I94" s="1273"/>
      <c r="J94" s="1273"/>
      <c r="K94" s="1273"/>
    </row>
    <row r="95" spans="2:21" s="391" customFormat="1" ht="15.6" x14ac:dyDescent="0.3">
      <c r="C95" s="1758" t="e">
        <f>C84-C94</f>
        <v>#REF!</v>
      </c>
      <c r="D95" s="1758" t="e">
        <f>D84-D94</f>
        <v>#REF!</v>
      </c>
      <c r="E95" s="1758" t="e">
        <f>E84-E94</f>
        <v>#REF!</v>
      </c>
      <c r="F95" s="1758" t="e">
        <f>F84-F94</f>
        <v>#REF!</v>
      </c>
      <c r="I95" s="1273"/>
      <c r="J95" s="1273"/>
      <c r="K95" s="1273"/>
    </row>
    <row r="96" spans="2:21" x14ac:dyDescent="0.3">
      <c r="L96" s="391"/>
      <c r="M96" s="391"/>
      <c r="N96" s="391"/>
      <c r="O96" s="391"/>
      <c r="P96" s="391"/>
      <c r="Q96" s="391"/>
      <c r="R96" s="391"/>
      <c r="S96" s="391"/>
      <c r="T96" s="391"/>
      <c r="U96" s="391"/>
    </row>
    <row r="97" spans="12:21" x14ac:dyDescent="0.3">
      <c r="L97" s="391"/>
      <c r="M97" s="391"/>
      <c r="N97" s="391"/>
      <c r="O97" s="391"/>
      <c r="P97" s="391"/>
      <c r="Q97" s="391"/>
      <c r="R97" s="391"/>
      <c r="S97" s="391"/>
      <c r="T97" s="391"/>
      <c r="U97" s="391"/>
    </row>
    <row r="98" spans="12:21" x14ac:dyDescent="0.3">
      <c r="L98" s="391"/>
      <c r="M98" s="391"/>
      <c r="N98" s="391"/>
      <c r="O98" s="391"/>
      <c r="P98" s="391"/>
      <c r="Q98" s="391"/>
      <c r="R98" s="391"/>
      <c r="S98" s="391"/>
      <c r="T98" s="391"/>
      <c r="U98" s="391"/>
    </row>
    <row r="99" spans="12:21" x14ac:dyDescent="0.3">
      <c r="L99" s="391"/>
      <c r="M99" s="391"/>
      <c r="N99" s="391"/>
      <c r="O99" s="391"/>
      <c r="P99" s="391"/>
      <c r="Q99" s="391"/>
      <c r="R99" s="391"/>
      <c r="S99" s="391"/>
      <c r="T99" s="391"/>
      <c r="U99" s="391"/>
    </row>
  </sheetData>
  <mergeCells count="8">
    <mergeCell ref="F76:H76"/>
    <mergeCell ref="G4:H4"/>
    <mergeCell ref="B6:B8"/>
    <mergeCell ref="C6:C7"/>
    <mergeCell ref="D6:D7"/>
    <mergeCell ref="F6:H6"/>
    <mergeCell ref="E7:E8"/>
    <mergeCell ref="F7:H7"/>
  </mergeCells>
  <conditionalFormatting sqref="B79:E79 G79:H79">
    <cfRule type="expression" dxfId="49" priority="14" stopIfTrue="1">
      <formula>ABS(#REF!-(#REF!+$D79+#REF!+#REF!))&gt;Откл</formula>
    </cfRule>
    <cfRule type="expression" dxfId="48" priority="15" stopIfTrue="1">
      <formula>ABS(#REF!-(#REF!+$D79+#REF!+#REF!))&gt;Откл</formula>
    </cfRule>
  </conditionalFormatting>
  <conditionalFormatting sqref="C79 G79:H79">
    <cfRule type="expression" dxfId="47" priority="17" stopIfTrue="1">
      <formula>ABS(#REF!-(#REF!+$D79+$I79+$L79))&gt;Откл</formula>
    </cfRule>
  </conditionalFormatting>
  <pageMargins left="0.35433070866141736" right="0.27559055118110237" top="0.74803149606299213" bottom="0.35433070866141736" header="0.31496062992125984" footer="0.31496062992125984"/>
  <pageSetup paperSize="9" scale="48" fitToHeight="3" orientation="landscape" horizontalDpi="0"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Лист7">
    <tabColor rgb="FF0000FF"/>
    <pageSetUpPr fitToPage="1"/>
  </sheetPr>
  <dimension ref="A1:AC123"/>
  <sheetViews>
    <sheetView tabSelected="1" workbookViewId="0">
      <selection activeCell="Y1" sqref="Y1:AC1048576"/>
    </sheetView>
  </sheetViews>
  <sheetFormatPr defaultColWidth="9.109375" defaultRowHeight="13.8" x14ac:dyDescent="0.25"/>
  <cols>
    <col min="1" max="1" width="7" style="1445" customWidth="1"/>
    <col min="2" max="2" width="45.6640625" style="100" customWidth="1"/>
    <col min="3" max="3" width="12.6640625" style="10" customWidth="1"/>
    <col min="4" max="4" width="11.109375" style="1445" customWidth="1"/>
    <col min="5" max="6" width="11.6640625" style="10" customWidth="1"/>
    <col min="7" max="7" width="12.6640625" style="10" customWidth="1"/>
    <col min="8" max="8" width="8.33203125" style="10" hidden="1" customWidth="1"/>
    <col min="9" max="13" width="9.109375" style="10" hidden="1" customWidth="1"/>
    <col min="14" max="15" width="10.44140625" style="10" hidden="1" customWidth="1"/>
    <col min="16" max="18" width="9.109375" style="10" hidden="1" customWidth="1"/>
    <col min="19" max="20" width="9.5546875" style="10" hidden="1" customWidth="1"/>
    <col min="21" max="22" width="0" style="1121" hidden="1" customWidth="1"/>
    <col min="23" max="29" width="0" style="10" hidden="1" customWidth="1"/>
    <col min="30" max="16384" width="9.109375" style="10"/>
  </cols>
  <sheetData>
    <row r="1" spans="1:29" ht="92.4" customHeight="1" x14ac:dyDescent="0.25">
      <c r="F1" s="4895" t="s">
        <v>3468</v>
      </c>
      <c r="G1" s="4895"/>
    </row>
    <row r="2" spans="1:29" ht="42" customHeight="1" x14ac:dyDescent="0.25">
      <c r="A2" s="4898" t="s">
        <v>4169</v>
      </c>
      <c r="B2" s="4898"/>
      <c r="C2" s="4898"/>
      <c r="D2" s="4898"/>
      <c r="E2" s="4898"/>
      <c r="F2" s="4898"/>
      <c r="G2" s="4898"/>
    </row>
    <row r="3" spans="1:29" ht="14.4" thickBot="1" x14ac:dyDescent="0.3">
      <c r="E3" s="4897" t="s">
        <v>211</v>
      </c>
      <c r="F3" s="4897"/>
      <c r="G3" s="4897"/>
    </row>
    <row r="4" spans="1:29" ht="14.4" thickBot="1" x14ac:dyDescent="0.3">
      <c r="A4" s="4876" t="s">
        <v>7</v>
      </c>
      <c r="B4" s="4876" t="s">
        <v>631</v>
      </c>
      <c r="C4" s="4876" t="s">
        <v>2734</v>
      </c>
      <c r="D4" s="4879" t="s">
        <v>2735</v>
      </c>
      <c r="E4" s="4880"/>
      <c r="F4" s="4880"/>
      <c r="G4" s="4882"/>
      <c r="H4" s="100"/>
    </row>
    <row r="5" spans="1:29" ht="42" thickBot="1" x14ac:dyDescent="0.3">
      <c r="A5" s="4877"/>
      <c r="B5" s="4878"/>
      <c r="C5" s="4878"/>
      <c r="D5" s="1682" t="s">
        <v>2736</v>
      </c>
      <c r="E5" s="1682" t="s">
        <v>2737</v>
      </c>
      <c r="F5" s="1682" t="s">
        <v>2738</v>
      </c>
      <c r="G5" s="1682" t="s">
        <v>2810</v>
      </c>
    </row>
    <row r="6" spans="1:29" ht="14.4" thickBot="1" x14ac:dyDescent="0.3">
      <c r="A6" s="1683">
        <v>1</v>
      </c>
      <c r="B6" s="2033">
        <v>2</v>
      </c>
      <c r="C6" s="1676">
        <v>3</v>
      </c>
      <c r="D6" s="1683">
        <v>4</v>
      </c>
      <c r="E6" s="1676">
        <v>5</v>
      </c>
      <c r="F6" s="1684">
        <v>6</v>
      </c>
      <c r="G6" s="1677">
        <v>7</v>
      </c>
      <c r="I6" s="10">
        <f>D7*1.2</f>
        <v>2272.1599889739041</v>
      </c>
      <c r="J6" s="10">
        <f>E7*1.2</f>
        <v>3629.4832021597194</v>
      </c>
    </row>
    <row r="7" spans="1:29" s="3074" customFormat="1" ht="76.8" customHeight="1" thickBot="1" x14ac:dyDescent="0.4">
      <c r="A7" s="4489"/>
      <c r="B7" s="4490" t="s">
        <v>3430</v>
      </c>
      <c r="C7" s="4491" t="s">
        <v>317</v>
      </c>
      <c r="D7" s="4492">
        <f>D8+D42+D76-0.01</f>
        <v>1893.4666574782534</v>
      </c>
      <c r="E7" s="4492">
        <f>E8+E42+E76-0.01</f>
        <v>3024.5693351330997</v>
      </c>
      <c r="F7" s="4492">
        <f>F8+F42+F76-0.01</f>
        <v>3024.569335133101</v>
      </c>
      <c r="G7" s="4492">
        <f>G8+G42+G76-0.01</f>
        <v>3024.569335133101</v>
      </c>
      <c r="U7" s="4493"/>
      <c r="V7" s="4493"/>
      <c r="Y7" s="4597">
        <f>D7*1.2</f>
        <v>2272.1599889739041</v>
      </c>
      <c r="Z7" s="4597">
        <f t="shared" ref="Z7:AB7" si="0">E7*1.2</f>
        <v>3629.4832021597194</v>
      </c>
      <c r="AA7" s="4597">
        <f t="shared" si="0"/>
        <v>3629.4832021597213</v>
      </c>
      <c r="AB7" s="4597">
        <f t="shared" si="0"/>
        <v>3629.4832021597213</v>
      </c>
      <c r="AC7" s="4597"/>
    </row>
    <row r="8" spans="1:29" ht="18.600000000000001" customHeight="1" thickBot="1" x14ac:dyDescent="0.3">
      <c r="A8" s="1711" t="s">
        <v>2741</v>
      </c>
      <c r="B8" s="4494" t="s">
        <v>3412</v>
      </c>
      <c r="C8" s="3151">
        <f>C33+C34+C35+C36</f>
        <v>162608.01309177766</v>
      </c>
      <c r="D8" s="1707">
        <f>D33+D34+D35+D36</f>
        <v>1321.3719506169798</v>
      </c>
      <c r="E8" s="1707">
        <f>E33+E34+E35+E36</f>
        <v>2354.1214482265309</v>
      </c>
      <c r="F8" s="1707">
        <f>F33+F34+F35+F36</f>
        <v>2354.1214482265323</v>
      </c>
      <c r="G8" s="1707">
        <f>G33+G34+G35+G36</f>
        <v>2354.1214482265323</v>
      </c>
      <c r="H8" s="1223">
        <f>I8+N8</f>
        <v>108.67553267624618</v>
      </c>
      <c r="I8" s="1722">
        <f>'Д 7_РП'!D157/1000</f>
        <v>18.237362357436083</v>
      </c>
      <c r="J8" s="1722">
        <f>'Д 7_РП'!D158/1000</f>
        <v>15.155265331444637</v>
      </c>
      <c r="K8" s="1722">
        <f>'Д 7_РП'!D159/1000</f>
        <v>0</v>
      </c>
      <c r="L8" s="1722">
        <f>'Д 7_РП'!D160/1000</f>
        <v>2.2291652834520463</v>
      </c>
      <c r="M8" s="1722">
        <f>'Д 7_РП'!D161/1000</f>
        <v>0.85293174253939519</v>
      </c>
      <c r="N8" s="1722">
        <f>'Д 7_РП'!D162/1000</f>
        <v>90.438170318810094</v>
      </c>
      <c r="O8" s="1722">
        <f>'Д 7_РП'!D163/1000</f>
        <v>75.115792165658988</v>
      </c>
      <c r="P8" s="1722">
        <f>'Д 7_РП'!D164/1000</f>
        <v>1.4602989074179139E-2</v>
      </c>
      <c r="Q8" s="1722">
        <f>'Д 7_РП'!D165/1000</f>
        <v>11.523602679723238</v>
      </c>
      <c r="R8" s="1722">
        <f>'Д 7_РП'!D166/1000</f>
        <v>3.7841724843536966</v>
      </c>
    </row>
    <row r="9" spans="1:29" ht="14.4" thickBot="1" x14ac:dyDescent="0.3">
      <c r="A9" s="1695"/>
      <c r="B9" s="4892" t="s">
        <v>3416</v>
      </c>
      <c r="C9" s="4893"/>
      <c r="D9" s="4893"/>
      <c r="E9" s="4893"/>
      <c r="F9" s="4893"/>
      <c r="G9" s="4894"/>
      <c r="H9" s="1121"/>
    </row>
    <row r="10" spans="1:29" s="15" customFormat="1" ht="41.4" x14ac:dyDescent="0.25">
      <c r="A10" s="1696" t="s">
        <v>1747</v>
      </c>
      <c r="B10" s="1697" t="s">
        <v>2792</v>
      </c>
      <c r="C10" s="3153">
        <f>C11+C16+C17+C21</f>
        <v>149071.37204744879</v>
      </c>
      <c r="D10" s="3153">
        <f>D11+D16+D17+D21</f>
        <v>1204.5578945392026</v>
      </c>
      <c r="E10" s="3153">
        <f>E11+E16+E17+E21</f>
        <v>2191.5679039096362</v>
      </c>
      <c r="F10" s="3153">
        <f>F11+F16+F17+F21</f>
        <v>2191.5679039096376</v>
      </c>
      <c r="G10" s="3153">
        <f>G11+G16+G17+G21</f>
        <v>2191.5679039096376</v>
      </c>
      <c r="H10" s="1724">
        <f>I10+N10-C10</f>
        <v>0</v>
      </c>
      <c r="I10" s="1690">
        <f>I11+I16+I17+I21</f>
        <v>25010.019417726111</v>
      </c>
      <c r="J10" s="1690">
        <f t="shared" ref="J10:R10" si="1">J11+J16+J17+J21</f>
        <v>18255.394498827929</v>
      </c>
      <c r="K10" s="1690">
        <f t="shared" si="1"/>
        <v>0</v>
      </c>
      <c r="L10" s="1690">
        <f t="shared" si="1"/>
        <v>4885.3670877231343</v>
      </c>
      <c r="M10" s="1690">
        <f t="shared" si="1"/>
        <v>1869.2578311750567</v>
      </c>
      <c r="N10" s="1690">
        <f t="shared" si="1"/>
        <v>124061.35262972272</v>
      </c>
      <c r="O10" s="1690">
        <f t="shared" si="1"/>
        <v>90481.32045771055</v>
      </c>
      <c r="P10" s="1690">
        <f t="shared" si="1"/>
        <v>32.00344215611409</v>
      </c>
      <c r="Q10" s="1690">
        <f t="shared" si="1"/>
        <v>25254.757770288539</v>
      </c>
      <c r="R10" s="1690">
        <f t="shared" si="1"/>
        <v>8293.2709595675551</v>
      </c>
      <c r="S10" s="1622">
        <f>ROUND(C11,2)+ROUND(C16,2)+ROUND(C17,2)+ROUND(C21,2)</f>
        <v>149071.37</v>
      </c>
      <c r="T10" s="1622">
        <f>ROUND(D11,2)+ROUND(D16,2)+ROUND(D17,2)+ROUND(D21,2)</f>
        <v>1204.56</v>
      </c>
      <c r="U10" s="1205">
        <f t="shared" ref="U10:U41" si="2">C10/C$41</f>
        <v>1371.7105256023481</v>
      </c>
      <c r="V10" s="1724">
        <f>D10-U10</f>
        <v>-167.15263106314546</v>
      </c>
      <c r="W10" s="1622">
        <f>D10+E10-F10-G10</f>
        <v>-987.01000937043636</v>
      </c>
    </row>
    <row r="11" spans="1:29" x14ac:dyDescent="0.25">
      <c r="A11" s="1698" t="s">
        <v>1749</v>
      </c>
      <c r="B11" s="2003" t="s">
        <v>2749</v>
      </c>
      <c r="C11" s="3152">
        <f>SUM(C12:C15)</f>
        <v>125398.03179983831</v>
      </c>
      <c r="D11" s="3152">
        <f>SUM(D12:D15)</f>
        <v>986.72284312854674</v>
      </c>
      <c r="E11" s="3152">
        <f>SUM(E12:E15)</f>
        <v>1973.73285249898</v>
      </c>
      <c r="F11" s="3152">
        <f>SUM(F12:F15)</f>
        <v>1973.7328524989814</v>
      </c>
      <c r="G11" s="3152">
        <f>SUM(G12:G15)</f>
        <v>1973.7328524989814</v>
      </c>
      <c r="H11" s="1724">
        <f t="shared" ref="H11:H40" si="3">I11+N11-C11</f>
        <v>0</v>
      </c>
      <c r="I11" s="1699">
        <f>SUM(I12:I15)</f>
        <v>21037.282650999263</v>
      </c>
      <c r="J11" s="1699">
        <f t="shared" ref="J11:R11" si="4">SUM(J12:J15)</f>
        <v>14954.046496210551</v>
      </c>
      <c r="K11" s="1699">
        <f t="shared" si="4"/>
        <v>0</v>
      </c>
      <c r="L11" s="1699">
        <f t="shared" si="4"/>
        <v>4399.7767535995081</v>
      </c>
      <c r="M11" s="1699">
        <f t="shared" si="4"/>
        <v>1683.4594011892073</v>
      </c>
      <c r="N11" s="1699">
        <f t="shared" si="4"/>
        <v>104360.74914883907</v>
      </c>
      <c r="O11" s="1699">
        <f t="shared" si="4"/>
        <v>74118.468009552074</v>
      </c>
      <c r="P11" s="1699">
        <f t="shared" si="4"/>
        <v>28.822399280391032</v>
      </c>
      <c r="Q11" s="1699">
        <f t="shared" si="4"/>
        <v>22744.513188115056</v>
      </c>
      <c r="R11" s="1699">
        <f t="shared" si="4"/>
        <v>7468.9455518915784</v>
      </c>
      <c r="S11" s="1622">
        <f>ROUND(C12,2)+ROUND(C13,2)+ROUND(C14,2)+ROUND(C15,2)</f>
        <v>125398.03</v>
      </c>
      <c r="U11" s="1205">
        <f t="shared" si="2"/>
        <v>1153.8754741916923</v>
      </c>
      <c r="V11" s="1724">
        <f t="shared" ref="V11:V74" si="5">D11-U11</f>
        <v>-167.15263106314558</v>
      </c>
      <c r="W11" s="1622">
        <f t="shared" ref="W11:W74" si="6">D11+E11-F11-G11</f>
        <v>-987.01000937043591</v>
      </c>
    </row>
    <row r="12" spans="1:29" ht="27.6" x14ac:dyDescent="0.25">
      <c r="A12" s="1698" t="s">
        <v>2750</v>
      </c>
      <c r="B12" s="2003" t="s">
        <v>2751</v>
      </c>
      <c r="C12" s="3152">
        <f>Виробництво_1ст!F12</f>
        <v>118804.3607936293</v>
      </c>
      <c r="D12" s="3152">
        <f>'Д 2_Т на В'!L14/'Д 2_Т на В'!L$58*1000</f>
        <v>926.04983933612777</v>
      </c>
      <c r="E12" s="3152">
        <f>'Д 2_Т на В'!P14/'Д 2_Т на В'!P$58*1000</f>
        <v>1913.0598487065622</v>
      </c>
      <c r="F12" s="3152">
        <f>'Д 2_Т на В'!T14/'Д 2_Т на В'!T$58*1000</f>
        <v>1913.059848706562</v>
      </c>
      <c r="G12" s="3152">
        <f>'Д 2_Т на В'!X14/'Д 2_Т на В'!X$58*1000</f>
        <v>1913.0598487065627</v>
      </c>
      <c r="H12" s="1724">
        <f t="shared" si="3"/>
        <v>0</v>
      </c>
      <c r="I12" s="1725">
        <f>SUM(J12:M12)</f>
        <v>19930.767095522824</v>
      </c>
      <c r="J12" s="73">
        <f>J$8*D12</f>
        <v>14034.531025280694</v>
      </c>
      <c r="K12" s="73">
        <f t="shared" ref="K12:M27" si="7">K$8*E12</f>
        <v>0</v>
      </c>
      <c r="L12" s="73">
        <f t="shared" si="7"/>
        <v>4264.5265999026924</v>
      </c>
      <c r="M12" s="73">
        <f t="shared" si="7"/>
        <v>1631.7094703394403</v>
      </c>
      <c r="N12" s="1725">
        <f>SUM(O12:R12)</f>
        <v>98873.593698106473</v>
      </c>
      <c r="O12" s="73">
        <f>O$8*D12</f>
        <v>69560.967266614476</v>
      </c>
      <c r="P12" s="73">
        <f t="shared" ref="P12:R27" si="8">P$8*E12</f>
        <v>27.936392068912724</v>
      </c>
      <c r="Q12" s="73">
        <f t="shared" si="8"/>
        <v>22045.341599025869</v>
      </c>
      <c r="R12" s="73">
        <f t="shared" si="8"/>
        <v>7239.3484403972197</v>
      </c>
      <c r="U12" s="1205">
        <f t="shared" si="2"/>
        <v>1093.2024703992736</v>
      </c>
      <c r="V12" s="1724">
        <f t="shared" si="5"/>
        <v>-167.1526310631458</v>
      </c>
      <c r="W12" s="1622">
        <f t="shared" si="6"/>
        <v>-987.01000937043477</v>
      </c>
    </row>
    <row r="13" spans="1:29" ht="27.6" x14ac:dyDescent="0.25">
      <c r="A13" s="1698" t="s">
        <v>2752</v>
      </c>
      <c r="B13" s="2003" t="s">
        <v>2753</v>
      </c>
      <c r="C13" s="3152">
        <f>Виробництво_1ст!F16</f>
        <v>5937.3503814675587</v>
      </c>
      <c r="D13" s="3152">
        <f>'Д 2_Т на В'!L18/'Д 2_Т на В'!L$58*1000</f>
        <v>54.633736180115534</v>
      </c>
      <c r="E13" s="3152">
        <f>'Д 2_Т на В'!P18/'Д 2_Т на В'!P$58*1000</f>
        <v>54.633736180115527</v>
      </c>
      <c r="F13" s="3152">
        <f>'Д 2_Т на В'!T18/'Д 2_Т на В'!T$58*1000</f>
        <v>54.633736180115527</v>
      </c>
      <c r="G13" s="3152">
        <f>'Д 2_Т на В'!X18/'Д 2_Т на В'!X$58*1000</f>
        <v>54.633736180115534</v>
      </c>
      <c r="H13" s="1724">
        <f t="shared" si="3"/>
        <v>0</v>
      </c>
      <c r="I13" s="1725">
        <f t="shared" ref="I13:I40" si="9">SUM(J13:M13)</f>
        <v>996.37524365733259</v>
      </c>
      <c r="J13" s="73">
        <f t="shared" ref="J13:M40" si="10">J$8*D13</f>
        <v>827.98876785779748</v>
      </c>
      <c r="K13" s="73">
        <f t="shared" si="7"/>
        <v>0</v>
      </c>
      <c r="L13" s="73">
        <f t="shared" si="7"/>
        <v>121.78762799799155</v>
      </c>
      <c r="M13" s="73">
        <f t="shared" si="7"/>
        <v>46.598847801543542</v>
      </c>
      <c r="N13" s="1725">
        <f t="shared" ref="N13:N40" si="11">SUM(O13:R13)</f>
        <v>4940.9751378102274</v>
      </c>
      <c r="O13" s="73">
        <f t="shared" ref="O13:R40" si="12">O$8*D13</f>
        <v>4103.8563721390028</v>
      </c>
      <c r="P13" s="73">
        <f t="shared" si="8"/>
        <v>0.79781585251981257</v>
      </c>
      <c r="Q13" s="73">
        <f t="shared" si="8"/>
        <v>629.57746864847172</v>
      </c>
      <c r="R13" s="73">
        <f t="shared" si="8"/>
        <v>206.74348117023223</v>
      </c>
      <c r="U13" s="1205">
        <f t="shared" si="2"/>
        <v>54.633736180115534</v>
      </c>
      <c r="V13" s="1724">
        <f t="shared" si="5"/>
        <v>0</v>
      </c>
      <c r="W13" s="1622">
        <f t="shared" si="6"/>
        <v>0</v>
      </c>
    </row>
    <row r="14" spans="1:29" ht="27.6" x14ac:dyDescent="0.25">
      <c r="A14" s="1698" t="s">
        <v>2754</v>
      </c>
      <c r="B14" s="2003" t="s">
        <v>2755</v>
      </c>
      <c r="C14" s="3152">
        <f>Виробництво_1ст!F17</f>
        <v>33.313922123945588</v>
      </c>
      <c r="D14" s="3152">
        <f>'Д 2_Т на В'!L22/'Д 2_Т на В'!L$58*1000</f>
        <v>0.30654482479686251</v>
      </c>
      <c r="E14" s="3152">
        <f>'Д 2_Т на В'!P22/'Д 2_Т на В'!P$58*1000</f>
        <v>0.30654482479686246</v>
      </c>
      <c r="F14" s="3152">
        <f>'Д 2_Т на В'!T22/'Д 2_Т на В'!T$58*1000</f>
        <v>0.30654482479686246</v>
      </c>
      <c r="G14" s="3152">
        <f>'Д 2_Т на В'!X22/'Д 2_Т на В'!X$58*1000</f>
        <v>0.30654482479686251</v>
      </c>
      <c r="H14" s="1724">
        <f t="shared" si="3"/>
        <v>0</v>
      </c>
      <c r="I14" s="1725">
        <f t="shared" si="9"/>
        <v>5.5905690486171373</v>
      </c>
      <c r="J14" s="73">
        <f t="shared" si="10"/>
        <v>4.6457681557776604</v>
      </c>
      <c r="K14" s="73">
        <f t="shared" si="7"/>
        <v>0</v>
      </c>
      <c r="L14" s="73">
        <f t="shared" si="7"/>
        <v>0.68333908125905574</v>
      </c>
      <c r="M14" s="73">
        <f t="shared" si="7"/>
        <v>0.26146181158042153</v>
      </c>
      <c r="N14" s="1725">
        <f t="shared" si="11"/>
        <v>27.723353075328454</v>
      </c>
      <c r="O14" s="73">
        <f t="shared" si="12"/>
        <v>23.026357348899474</v>
      </c>
      <c r="P14" s="73">
        <f t="shared" si="8"/>
        <v>4.4764707272547406E-3</v>
      </c>
      <c r="Q14" s="73">
        <f t="shared" si="8"/>
        <v>3.5325007644844146</v>
      </c>
      <c r="R14" s="73">
        <f t="shared" si="8"/>
        <v>1.1600184912173119</v>
      </c>
      <c r="U14" s="1205">
        <f t="shared" si="2"/>
        <v>0.30654482479686246</v>
      </c>
      <c r="V14" s="1724">
        <f t="shared" si="5"/>
        <v>0</v>
      </c>
      <c r="W14" s="1622">
        <f t="shared" si="6"/>
        <v>0</v>
      </c>
    </row>
    <row r="15" spans="1:29" ht="27.6" x14ac:dyDescent="0.25">
      <c r="A15" s="1698" t="s">
        <v>2756</v>
      </c>
      <c r="B15" s="2003" t="s">
        <v>2273</v>
      </c>
      <c r="C15" s="3152">
        <f>Виробництво_1ст!F11-Виробництво_1ст!F12-Виробництво_1ст!F17-Виробництво_1ст!F16</f>
        <v>623.00670261750929</v>
      </c>
      <c r="D15" s="3152">
        <f>'Д 2_Т на В'!L23/'Д 2_Т на В'!L$58*1000</f>
        <v>5.7327227875065283</v>
      </c>
      <c r="E15" s="3152">
        <f>'Д 2_Т на В'!P23/'Д 2_Т на В'!P$58*1000</f>
        <v>5.7327227875055042</v>
      </c>
      <c r="F15" s="3152">
        <f>'Д 2_Т на В'!T23/'Д 2_Т на В'!T$58*1000</f>
        <v>5.7327227875070346</v>
      </c>
      <c r="G15" s="3152">
        <f>'Д 2_Т на В'!X23/'Д 2_Т на В'!X$58*1000</f>
        <v>5.7327227875062041</v>
      </c>
      <c r="H15" s="1724">
        <f t="shared" si="3"/>
        <v>2.2964741219766438E-11</v>
      </c>
      <c r="I15" s="1725">
        <f t="shared" si="9"/>
        <v>104.54974277048845</v>
      </c>
      <c r="J15" s="73">
        <f t="shared" si="10"/>
        <v>86.880934916280353</v>
      </c>
      <c r="K15" s="73">
        <f t="shared" si="7"/>
        <v>0</v>
      </c>
      <c r="L15" s="73">
        <f t="shared" si="7"/>
        <v>12.779186617565124</v>
      </c>
      <c r="M15" s="73">
        <f t="shared" si="7"/>
        <v>4.8896212366429657</v>
      </c>
      <c r="N15" s="1725">
        <f t="shared" si="11"/>
        <v>518.45695984704378</v>
      </c>
      <c r="O15" s="73">
        <f t="shared" si="12"/>
        <v>430.61801344967762</v>
      </c>
      <c r="P15" s="73">
        <f t="shared" si="8"/>
        <v>8.3714888231240653E-2</v>
      </c>
      <c r="Q15" s="73">
        <f t="shared" si="8"/>
        <v>66.061619676226528</v>
      </c>
      <c r="R15" s="73">
        <f t="shared" si="8"/>
        <v>21.693611832908402</v>
      </c>
      <c r="U15" s="1205">
        <f t="shared" si="2"/>
        <v>5.7327227875063675</v>
      </c>
      <c r="V15" s="1724">
        <f t="shared" si="5"/>
        <v>1.6076029396572267E-13</v>
      </c>
      <c r="W15" s="1622">
        <f t="shared" si="6"/>
        <v>-1.2052581155330699E-12</v>
      </c>
    </row>
    <row r="16" spans="1:29" x14ac:dyDescent="0.25">
      <c r="A16" s="1698" t="s">
        <v>1751</v>
      </c>
      <c r="B16" s="2003" t="s">
        <v>2757</v>
      </c>
      <c r="C16" s="3152">
        <f>Виробництво_1ст!F29</f>
        <v>11228.939355305936</v>
      </c>
      <c r="D16" s="3152">
        <f>'Д 2_Т на В'!L24/'Д 2_Т на В'!L$58*1000</f>
        <v>103.32536753013136</v>
      </c>
      <c r="E16" s="3152">
        <f>'Д 2_Т на В'!P24/'Д 2_Т на В'!P$58*1000</f>
        <v>103.32536753013136</v>
      </c>
      <c r="F16" s="3152">
        <f>'Д 2_Т на В'!T24/'Д 2_Т на В'!T$58*1000</f>
        <v>103.32536753013136</v>
      </c>
      <c r="G16" s="3152">
        <f>'Д 2_Т на В'!X24/'Д 2_Т на В'!X$58*1000</f>
        <v>103.32536753013136</v>
      </c>
      <c r="H16" s="1724">
        <f t="shared" si="3"/>
        <v>0</v>
      </c>
      <c r="I16" s="1725">
        <f t="shared" si="9"/>
        <v>1884.3821683622655</v>
      </c>
      <c r="J16" s="73">
        <f t="shared" si="10"/>
        <v>1565.9233603881751</v>
      </c>
      <c r="K16" s="73">
        <f t="shared" si="7"/>
        <v>0</v>
      </c>
      <c r="L16" s="73">
        <f t="shared" si="7"/>
        <v>230.32932219809214</v>
      </c>
      <c r="M16" s="73">
        <f t="shared" si="7"/>
        <v>88.12948577599839</v>
      </c>
      <c r="N16" s="1725">
        <f t="shared" si="11"/>
        <v>9344.5571869436717</v>
      </c>
      <c r="O16" s="73">
        <f t="shared" si="12"/>
        <v>7761.3668328336771</v>
      </c>
      <c r="P16" s="73">
        <f t="shared" si="8"/>
        <v>1.5088592131280523</v>
      </c>
      <c r="Q16" s="73">
        <f t="shared" si="8"/>
        <v>1190.6804821536102</v>
      </c>
      <c r="R16" s="73">
        <f t="shared" si="8"/>
        <v>391.00101274325596</v>
      </c>
      <c r="S16" s="729">
        <f>ROUND(C16,2)</f>
        <v>11228.94</v>
      </c>
      <c r="U16" s="1205">
        <f t="shared" si="2"/>
        <v>103.32536753013136</v>
      </c>
      <c r="V16" s="1724">
        <f t="shared" si="5"/>
        <v>0</v>
      </c>
      <c r="W16" s="1622">
        <f t="shared" si="6"/>
        <v>0</v>
      </c>
    </row>
    <row r="17" spans="1:23" x14ac:dyDescent="0.25">
      <c r="A17" s="1698" t="s">
        <v>1753</v>
      </c>
      <c r="B17" s="2003" t="s">
        <v>2758</v>
      </c>
      <c r="C17" s="3152">
        <f>C18+C19+C20</f>
        <v>7233.6473506343445</v>
      </c>
      <c r="D17" s="3152">
        <f>'Д 2_Т на В'!L25/'Д 2_Т на В'!L$58*1000</f>
        <v>66.561876187752475</v>
      </c>
      <c r="E17" s="3152">
        <f>'Д 2_Т на В'!P25/'Д 2_Т на В'!P$58*1000</f>
        <v>66.561876187752446</v>
      </c>
      <c r="F17" s="3152">
        <f>'Д 2_Т на В'!T25/'Д 2_Т на В'!T$58*1000</f>
        <v>66.561876187752446</v>
      </c>
      <c r="G17" s="3152">
        <f>'Д 2_Т на В'!X25/'Д 2_Т на В'!X$58*1000</f>
        <v>66.561876187752446</v>
      </c>
      <c r="H17" s="1724">
        <f t="shared" si="3"/>
        <v>0</v>
      </c>
      <c r="I17" s="1725">
        <f t="shared" si="9"/>
        <v>1213.9130552268377</v>
      </c>
      <c r="J17" s="73">
        <f t="shared" si="10"/>
        <v>1008.7628945841554</v>
      </c>
      <c r="K17" s="73">
        <f t="shared" si="7"/>
        <v>0</v>
      </c>
      <c r="L17" s="73">
        <f t="shared" si="7"/>
        <v>148.37742359917121</v>
      </c>
      <c r="M17" s="73">
        <f t="shared" si="7"/>
        <v>56.772737043511171</v>
      </c>
      <c r="N17" s="1725">
        <f t="shared" si="11"/>
        <v>6019.7342954075084</v>
      </c>
      <c r="O17" s="73">
        <f t="shared" si="12"/>
        <v>4999.8480578755407</v>
      </c>
      <c r="P17" s="73">
        <f t="shared" si="8"/>
        <v>0.97200235072661356</v>
      </c>
      <c r="Q17" s="73">
        <f t="shared" si="8"/>
        <v>767.03261480459048</v>
      </c>
      <c r="R17" s="73">
        <f t="shared" si="8"/>
        <v>251.88162037665035</v>
      </c>
      <c r="S17" s="1622">
        <f>ROUND(C18,2)+ROUND(C19,2)+ROUND(C20,2)</f>
        <v>7233.65</v>
      </c>
      <c r="U17" s="1205">
        <f t="shared" si="2"/>
        <v>66.561876187752461</v>
      </c>
      <c r="V17" s="1724">
        <f t="shared" si="5"/>
        <v>0</v>
      </c>
      <c r="W17" s="1622">
        <f t="shared" si="6"/>
        <v>0</v>
      </c>
    </row>
    <row r="18" spans="1:23" x14ac:dyDescent="0.25">
      <c r="A18" s="1698" t="s">
        <v>2759</v>
      </c>
      <c r="B18" s="2003" t="s">
        <v>2773</v>
      </c>
      <c r="C18" s="3152">
        <f>Виробництво_1ст!F32</f>
        <v>2470.366658167306</v>
      </c>
      <c r="D18" s="3152">
        <f>'Д 2_Т на В'!L26/'Д 2_Т на В'!L$58*1000</f>
        <v>22.731580856628899</v>
      </c>
      <c r="E18" s="3152">
        <f>'Д 2_Т на В'!P26/'Д 2_Т на В'!P$58*1000</f>
        <v>22.731580856628899</v>
      </c>
      <c r="F18" s="3152">
        <f>'Д 2_Т на В'!T26/'Д 2_Т на В'!T$58*1000</f>
        <v>22.731580856628902</v>
      </c>
      <c r="G18" s="3152">
        <f>'Д 2_Т на В'!X26/'Д 2_Т на В'!X$58*1000</f>
        <v>22.731580856628902</v>
      </c>
      <c r="H18" s="1724">
        <f t="shared" si="3"/>
        <v>0</v>
      </c>
      <c r="I18" s="1725">
        <f t="shared" si="9"/>
        <v>414.56407703969842</v>
      </c>
      <c r="J18" s="73">
        <f t="shared" si="10"/>
        <v>344.5031392853985</v>
      </c>
      <c r="K18" s="73">
        <f t="shared" si="7"/>
        <v>0</v>
      </c>
      <c r="L18" s="73">
        <f t="shared" si="7"/>
        <v>50.672450883580275</v>
      </c>
      <c r="M18" s="73">
        <f t="shared" si="7"/>
        <v>19.388486870719646</v>
      </c>
      <c r="N18" s="1725">
        <f t="shared" si="11"/>
        <v>2055.8025811276075</v>
      </c>
      <c r="O18" s="73">
        <f t="shared" si="12"/>
        <v>1707.5007032234089</v>
      </c>
      <c r="P18" s="73">
        <f t="shared" si="8"/>
        <v>0.33194902688817146</v>
      </c>
      <c r="Q18" s="73">
        <f t="shared" si="8"/>
        <v>261.94970607379429</v>
      </c>
      <c r="R18" s="73">
        <f t="shared" si="8"/>
        <v>86.020222803516319</v>
      </c>
      <c r="S18" s="1622"/>
      <c r="U18" s="1205">
        <f t="shared" si="2"/>
        <v>22.731580856628899</v>
      </c>
      <c r="V18" s="1724">
        <f t="shared" si="5"/>
        <v>0</v>
      </c>
      <c r="W18" s="1622">
        <f t="shared" si="6"/>
        <v>0</v>
      </c>
    </row>
    <row r="19" spans="1:23" x14ac:dyDescent="0.25">
      <c r="A19" s="1698" t="s">
        <v>2761</v>
      </c>
      <c r="B19" s="2003" t="s">
        <v>2762</v>
      </c>
      <c r="C19" s="3152">
        <f>Виробництво_1ст!F33+Виробництво_1ст!F34</f>
        <v>2122.9628600000001</v>
      </c>
      <c r="D19" s="3152">
        <f>'Д 2_Т на В'!L27/'Д 2_Т на В'!L$58*1000</f>
        <v>19.534874205075123</v>
      </c>
      <c r="E19" s="3152">
        <f>'Д 2_Т на В'!P27/'Д 2_Т на В'!P$58*1000</f>
        <v>19.534874205075123</v>
      </c>
      <c r="F19" s="3152">
        <f>'Д 2_Т на В'!T27/'Д 2_Т на В'!T$58*1000</f>
        <v>19.534874205075123</v>
      </c>
      <c r="G19" s="3152">
        <f>'Д 2_Т на В'!X27/'Д 2_Т на В'!X$58*1000</f>
        <v>19.53487420507512</v>
      </c>
      <c r="H19" s="1724">
        <f t="shared" si="3"/>
        <v>0</v>
      </c>
      <c r="I19" s="1725">
        <f t="shared" si="9"/>
        <v>356.2645794848861</v>
      </c>
      <c r="J19" s="73">
        <f t="shared" si="10"/>
        <v>296.05620179430713</v>
      </c>
      <c r="K19" s="73">
        <f t="shared" si="7"/>
        <v>0</v>
      </c>
      <c r="L19" s="73">
        <f t="shared" si="7"/>
        <v>43.546463394556355</v>
      </c>
      <c r="M19" s="73">
        <f t="shared" si="7"/>
        <v>16.661914296022605</v>
      </c>
      <c r="N19" s="1725">
        <f t="shared" si="11"/>
        <v>1766.698280515114</v>
      </c>
      <c r="O19" s="73">
        <f t="shared" si="12"/>
        <v>1467.3775507707157</v>
      </c>
      <c r="P19" s="73">
        <f t="shared" si="8"/>
        <v>0.2852675545821759</v>
      </c>
      <c r="Q19" s="73">
        <f t="shared" si="8"/>
        <v>225.11212873766004</v>
      </c>
      <c r="R19" s="73">
        <f t="shared" si="8"/>
        <v>73.923333452156058</v>
      </c>
      <c r="U19" s="1205">
        <f t="shared" si="2"/>
        <v>19.534874205075123</v>
      </c>
      <c r="V19" s="1724">
        <f t="shared" si="5"/>
        <v>0</v>
      </c>
      <c r="W19" s="1622">
        <f t="shared" si="6"/>
        <v>0</v>
      </c>
    </row>
    <row r="20" spans="1:23" x14ac:dyDescent="0.25">
      <c r="A20" s="1698" t="s">
        <v>2763</v>
      </c>
      <c r="B20" s="2003" t="s">
        <v>81</v>
      </c>
      <c r="C20" s="3152">
        <f>Виробництво_1ст!F31-Виробництво_1ст!F32-Виробництво_1ст!F33-Виробництво_1ст!F34</f>
        <v>2640.3178324670384</v>
      </c>
      <c r="D20" s="3152">
        <f>'Д 2_Т на В'!L28/'Д 2_Т на В'!L$58*1000</f>
        <v>24.295421126048446</v>
      </c>
      <c r="E20" s="3152">
        <f>'Д 2_Т на В'!P28/'Д 2_Т на В'!P$58*1000</f>
        <v>24.295421126048424</v>
      </c>
      <c r="F20" s="3152">
        <f>'Д 2_Т на В'!T28/'Д 2_Т на В'!T$58*1000</f>
        <v>24.295421126048428</v>
      </c>
      <c r="G20" s="3152">
        <f>'Д 2_Т на В'!X28/'Д 2_Т на В'!X$58*1000</f>
        <v>24.295421126048424</v>
      </c>
      <c r="H20" s="1724">
        <f t="shared" si="3"/>
        <v>0</v>
      </c>
      <c r="I20" s="1725">
        <f t="shared" si="9"/>
        <v>443.08439870225311</v>
      </c>
      <c r="J20" s="73">
        <f t="shared" si="10"/>
        <v>368.20355350444964</v>
      </c>
      <c r="K20" s="73">
        <f t="shared" si="7"/>
        <v>0</v>
      </c>
      <c r="L20" s="73">
        <f t="shared" si="7"/>
        <v>54.158509321034579</v>
      </c>
      <c r="M20" s="73">
        <f t="shared" si="7"/>
        <v>20.722335876768916</v>
      </c>
      <c r="N20" s="1725">
        <f t="shared" si="11"/>
        <v>2197.2334337647858</v>
      </c>
      <c r="O20" s="73">
        <f t="shared" si="12"/>
        <v>1824.9698038814156</v>
      </c>
      <c r="P20" s="73">
        <f t="shared" si="8"/>
        <v>0.35478576925626615</v>
      </c>
      <c r="Q20" s="73">
        <f t="shared" si="8"/>
        <v>279.9707799931362</v>
      </c>
      <c r="R20" s="73">
        <f t="shared" si="8"/>
        <v>91.938064120977955</v>
      </c>
      <c r="U20" s="1205">
        <f t="shared" si="2"/>
        <v>24.295421126048435</v>
      </c>
      <c r="V20" s="1724">
        <f t="shared" si="5"/>
        <v>0</v>
      </c>
      <c r="W20" s="1622">
        <f t="shared" si="6"/>
        <v>0</v>
      </c>
    </row>
    <row r="21" spans="1:23" s="15" customFormat="1" x14ac:dyDescent="0.25">
      <c r="A21" s="1700" t="s">
        <v>1755</v>
      </c>
      <c r="B21" s="1697" t="s">
        <v>2764</v>
      </c>
      <c r="C21" s="3153">
        <f>C22+C23+C24+C25</f>
        <v>5210.7535416702249</v>
      </c>
      <c r="D21" s="4495">
        <f>D22+D23+D24+D25</f>
        <v>47.94780769277213</v>
      </c>
      <c r="E21" s="4495">
        <f>E22+E23+E24+E25</f>
        <v>47.947807692772123</v>
      </c>
      <c r="F21" s="4495">
        <f>F22+F23+F24+F25</f>
        <v>47.947807692772123</v>
      </c>
      <c r="G21" s="4495">
        <f>G22+G23+G24+G25</f>
        <v>47.947807692772123</v>
      </c>
      <c r="H21" s="1724">
        <f t="shared" si="3"/>
        <v>0</v>
      </c>
      <c r="I21" s="1725">
        <f t="shared" si="9"/>
        <v>874.44154313774652</v>
      </c>
      <c r="J21" s="73">
        <f t="shared" si="10"/>
        <v>726.66174764504399</v>
      </c>
      <c r="K21" s="73">
        <f t="shared" si="7"/>
        <v>0</v>
      </c>
      <c r="L21" s="73">
        <f t="shared" si="7"/>
        <v>106.88358832636258</v>
      </c>
      <c r="M21" s="73">
        <f t="shared" si="7"/>
        <v>40.896207166339941</v>
      </c>
      <c r="N21" s="1725">
        <f t="shared" si="11"/>
        <v>4336.3119985324793</v>
      </c>
      <c r="O21" s="73">
        <f t="shared" si="12"/>
        <v>3601.6375574492567</v>
      </c>
      <c r="P21" s="73">
        <f t="shared" si="8"/>
        <v>0.70018131186839383</v>
      </c>
      <c r="Q21" s="73">
        <f t="shared" si="8"/>
        <v>552.53148521528328</v>
      </c>
      <c r="R21" s="73">
        <f t="shared" si="8"/>
        <v>181.44277455607076</v>
      </c>
      <c r="S21" s="1622">
        <f>ROUND(C22,2)+ROUND(C23,2)+ROUND(C24,2)+ROUND(C25,2)</f>
        <v>5210.7599999999993</v>
      </c>
      <c r="T21" s="1622">
        <f>ROUND(D22,2)+ROUND(D23,2)+ROUND(D24,2)+ROUND(D25,2)</f>
        <v>47.949999999999996</v>
      </c>
      <c r="U21" s="1205">
        <f t="shared" si="2"/>
        <v>47.947807692772123</v>
      </c>
      <c r="V21" s="1724">
        <f t="shared" si="5"/>
        <v>0</v>
      </c>
      <c r="W21" s="1622">
        <f t="shared" si="6"/>
        <v>0</v>
      </c>
    </row>
    <row r="22" spans="1:23" x14ac:dyDescent="0.25">
      <c r="A22" s="1701" t="s">
        <v>2765</v>
      </c>
      <c r="B22" s="2003" t="s">
        <v>2766</v>
      </c>
      <c r="C22" s="3152">
        <f>ЗВВ_1ст!G21</f>
        <v>3981.6703519823727</v>
      </c>
      <c r="D22" s="3152">
        <f>'Д 2_Т на В'!L30/'Д 2_Т на В'!L$58*1000</f>
        <v>36.638148936836721</v>
      </c>
      <c r="E22" s="3152">
        <f>'Д 2_Т на В'!P30/'Д 2_Т на В'!P$58*1000</f>
        <v>36.638148936836714</v>
      </c>
      <c r="F22" s="3152">
        <f>'Д 2_Т на В'!T30/'Д 2_Т на В'!T$58*1000</f>
        <v>36.638148936836714</v>
      </c>
      <c r="G22" s="3152">
        <f>'Д 2_Т на В'!X30/'Д 2_Т на В'!X$58*1000</f>
        <v>36.638148936836714</v>
      </c>
      <c r="H22" s="1724">
        <f t="shared" si="3"/>
        <v>0</v>
      </c>
      <c r="I22" s="1725">
        <f t="shared" si="9"/>
        <v>668.18319826680272</v>
      </c>
      <c r="J22" s="73">
        <f t="shared" si="10"/>
        <v>555.26086839074674</v>
      </c>
      <c r="K22" s="73">
        <f t="shared" si="7"/>
        <v>0</v>
      </c>
      <c r="L22" s="73">
        <f t="shared" si="7"/>
        <v>81.672489659941903</v>
      </c>
      <c r="M22" s="73">
        <f t="shared" si="7"/>
        <v>31.249840216114027</v>
      </c>
      <c r="N22" s="1725">
        <f t="shared" si="11"/>
        <v>3313.4871537155709</v>
      </c>
      <c r="O22" s="73">
        <f t="shared" si="12"/>
        <v>2752.103580873887</v>
      </c>
      <c r="P22" s="73">
        <f t="shared" si="8"/>
        <v>0.53502648862277458</v>
      </c>
      <c r="Q22" s="73">
        <f t="shared" si="8"/>
        <v>422.20347126863066</v>
      </c>
      <c r="R22" s="73">
        <f t="shared" si="8"/>
        <v>138.64507508443015</v>
      </c>
      <c r="U22" s="1205">
        <f t="shared" si="2"/>
        <v>36.638148936836714</v>
      </c>
      <c r="V22" s="1724">
        <f t="shared" si="5"/>
        <v>0</v>
      </c>
      <c r="W22" s="1622">
        <f t="shared" si="6"/>
        <v>0</v>
      </c>
    </row>
    <row r="23" spans="1:23" x14ac:dyDescent="0.25">
      <c r="A23" s="1701" t="s">
        <v>2767</v>
      </c>
      <c r="B23" s="2003" t="s">
        <v>2275</v>
      </c>
      <c r="C23" s="3152">
        <f>ЗВВ_1ст!G23</f>
        <v>849.8976237422155</v>
      </c>
      <c r="D23" s="3152">
        <f>'Д 2_Т на В'!L31/'Д 2_Т на В'!L$58*1000</f>
        <v>7.8205057091749826</v>
      </c>
      <c r="E23" s="3152">
        <f>'Д 2_Т на В'!P31/'Д 2_Т на В'!P$58*1000</f>
        <v>7.8205057091749808</v>
      </c>
      <c r="F23" s="3152">
        <f>'Д 2_Т на В'!T31/'Д 2_Т на В'!T$58*1000</f>
        <v>7.8205057091749808</v>
      </c>
      <c r="G23" s="3152">
        <f>'Д 2_Т на В'!X31/'Д 2_Т на В'!X$58*1000</f>
        <v>7.8205057091749826</v>
      </c>
      <c r="H23" s="1724">
        <f t="shared" si="3"/>
        <v>0</v>
      </c>
      <c r="I23" s="1725">
        <f t="shared" si="9"/>
        <v>142.62539643662177</v>
      </c>
      <c r="J23" s="73">
        <f t="shared" si="10"/>
        <v>118.52183904862447</v>
      </c>
      <c r="K23" s="73">
        <f t="shared" si="7"/>
        <v>0</v>
      </c>
      <c r="L23" s="73">
        <f t="shared" si="7"/>
        <v>17.433199825931393</v>
      </c>
      <c r="M23" s="73">
        <f t="shared" si="7"/>
        <v>6.6703575620659068</v>
      </c>
      <c r="N23" s="1725">
        <f t="shared" si="11"/>
        <v>707.2722273055939</v>
      </c>
      <c r="O23" s="73">
        <f t="shared" si="12"/>
        <v>587.44348148073755</v>
      </c>
      <c r="P23" s="73">
        <f t="shared" si="8"/>
        <v>0.11420275942563782</v>
      </c>
      <c r="Q23" s="73">
        <f t="shared" si="8"/>
        <v>90.120400547039694</v>
      </c>
      <c r="R23" s="73">
        <f t="shared" si="8"/>
        <v>29.59414251839096</v>
      </c>
      <c r="U23" s="1205">
        <f t="shared" si="2"/>
        <v>7.8205057091749817</v>
      </c>
      <c r="V23" s="1724">
        <f t="shared" si="5"/>
        <v>0</v>
      </c>
      <c r="W23" s="1622">
        <f t="shared" si="6"/>
        <v>0</v>
      </c>
    </row>
    <row r="24" spans="1:23" x14ac:dyDescent="0.25">
      <c r="A24" s="1701" t="s">
        <v>2768</v>
      </c>
      <c r="B24" s="2003" t="s">
        <v>2762</v>
      </c>
      <c r="C24" s="3152">
        <f>ЗВВ_1ст!G37+ЗВВ_1ст!G39</f>
        <v>24.498227527621857</v>
      </c>
      <c r="D24" s="3152">
        <f t="shared" ref="D24:D34" si="13">C24/$C$41</f>
        <v>0.2254254193591505</v>
      </c>
      <c r="E24" s="3152">
        <f>C24/$C$41</f>
        <v>0.2254254193591505</v>
      </c>
      <c r="F24" s="3152">
        <f>C24/$C$41</f>
        <v>0.2254254193591505</v>
      </c>
      <c r="G24" s="3152">
        <f>C24/$C$41</f>
        <v>0.2254254193591505</v>
      </c>
      <c r="H24" s="1724">
        <f t="shared" si="3"/>
        <v>0</v>
      </c>
      <c r="I24" s="1725">
        <f t="shared" si="9"/>
        <v>4.1111650574298135</v>
      </c>
      <c r="J24" s="73">
        <f t="shared" si="10"/>
        <v>3.4163820428401022</v>
      </c>
      <c r="K24" s="73">
        <f t="shared" si="7"/>
        <v>0</v>
      </c>
      <c r="L24" s="73">
        <f t="shared" si="7"/>
        <v>0.5025105188430371</v>
      </c>
      <c r="M24" s="73">
        <f t="shared" si="7"/>
        <v>0.19227249574667415</v>
      </c>
      <c r="N24" s="1725">
        <f t="shared" si="11"/>
        <v>20.387062470192046</v>
      </c>
      <c r="O24" s="73">
        <f t="shared" si="12"/>
        <v>16.93300894943847</v>
      </c>
      <c r="P24" s="73">
        <f t="shared" si="8"/>
        <v>3.2918849359439254E-3</v>
      </c>
      <c r="Q24" s="73">
        <f t="shared" si="8"/>
        <v>2.5977129666048415</v>
      </c>
      <c r="R24" s="73">
        <f t="shared" si="8"/>
        <v>0.85304866921279043</v>
      </c>
      <c r="U24" s="1205">
        <f t="shared" si="2"/>
        <v>0.2254254193591505</v>
      </c>
      <c r="V24" s="1724">
        <f t="shared" si="5"/>
        <v>0</v>
      </c>
      <c r="W24" s="1622">
        <f t="shared" si="6"/>
        <v>0</v>
      </c>
    </row>
    <row r="25" spans="1:23" x14ac:dyDescent="0.25">
      <c r="A25" s="1701" t="s">
        <v>2769</v>
      </c>
      <c r="B25" s="2003" t="s">
        <v>58</v>
      </c>
      <c r="C25" s="3152">
        <f>ЗВВ_1ст!G9+ЗВВ_1ст!G24+ЗВВ_1ст!G40</f>
        <v>354.68733841801537</v>
      </c>
      <c r="D25" s="3152">
        <f t="shared" si="13"/>
        <v>3.2637276274012814</v>
      </c>
      <c r="E25" s="3152">
        <f>C25/$C$41</f>
        <v>3.2637276274012814</v>
      </c>
      <c r="F25" s="3152">
        <f>C25/$C$41</f>
        <v>3.2637276274012814</v>
      </c>
      <c r="G25" s="3152">
        <f>C25/$C$41</f>
        <v>3.2637276274012814</v>
      </c>
      <c r="H25" s="1724">
        <f t="shared" si="3"/>
        <v>0</v>
      </c>
      <c r="I25" s="1725">
        <f t="shared" si="9"/>
        <v>59.521783376892301</v>
      </c>
      <c r="J25" s="73">
        <f t="shared" si="10"/>
        <v>49.462658162832703</v>
      </c>
      <c r="K25" s="73">
        <f t="shared" si="7"/>
        <v>0</v>
      </c>
      <c r="L25" s="73">
        <f t="shared" si="7"/>
        <v>7.2753883216462523</v>
      </c>
      <c r="M25" s="73">
        <f t="shared" si="7"/>
        <v>2.7837368924133408</v>
      </c>
      <c r="N25" s="1725">
        <f t="shared" si="11"/>
        <v>295.16555504112307</v>
      </c>
      <c r="O25" s="73">
        <f t="shared" si="12"/>
        <v>245.15748614519396</v>
      </c>
      <c r="P25" s="73">
        <f t="shared" si="8"/>
        <v>4.7660178884037514E-2</v>
      </c>
      <c r="Q25" s="73">
        <f t="shared" si="8"/>
        <v>37.609900433008171</v>
      </c>
      <c r="R25" s="73">
        <f t="shared" si="8"/>
        <v>12.350508284036902</v>
      </c>
      <c r="U25" s="1205">
        <f t="shared" si="2"/>
        <v>3.2637276274012814</v>
      </c>
      <c r="V25" s="1724">
        <f t="shared" si="5"/>
        <v>0</v>
      </c>
      <c r="W25" s="1622">
        <f t="shared" si="6"/>
        <v>0</v>
      </c>
    </row>
    <row r="26" spans="1:23" s="15" customFormat="1" x14ac:dyDescent="0.25">
      <c r="A26" s="1696" t="s">
        <v>1768</v>
      </c>
      <c r="B26" s="1697" t="s">
        <v>2770</v>
      </c>
      <c r="C26" s="3153">
        <f>C27+C28+C29+C30</f>
        <v>6334.8875507536159</v>
      </c>
      <c r="D26" s="4495">
        <f>D27+D28+D29+D30</f>
        <v>58.29175523460092</v>
      </c>
      <c r="E26" s="4495">
        <f>E27+E28+E29+E30</f>
        <v>58.291755234600913</v>
      </c>
      <c r="F26" s="4495">
        <f>F27+F28+F29+F30</f>
        <v>58.29175523460092</v>
      </c>
      <c r="G26" s="4495">
        <f>G27+G28+G29+G30</f>
        <v>58.29175523460092</v>
      </c>
      <c r="H26" s="1724">
        <f t="shared" si="3"/>
        <v>0</v>
      </c>
      <c r="I26" s="1725">
        <f t="shared" si="9"/>
        <v>1063.0878626643882</v>
      </c>
      <c r="J26" s="73">
        <f t="shared" si="10"/>
        <v>883.42701721600372</v>
      </c>
      <c r="K26" s="73">
        <f t="shared" si="7"/>
        <v>0</v>
      </c>
      <c r="L26" s="73">
        <f t="shared" si="7"/>
        <v>129.94195708045646</v>
      </c>
      <c r="M26" s="73">
        <f t="shared" si="7"/>
        <v>49.718888367928074</v>
      </c>
      <c r="N26" s="1725">
        <f t="shared" si="11"/>
        <v>5271.7996880892288</v>
      </c>
      <c r="O26" s="73">
        <f t="shared" si="12"/>
        <v>4378.6313711737475</v>
      </c>
      <c r="P26" s="73">
        <f t="shared" si="8"/>
        <v>0.8512338648056017</v>
      </c>
      <c r="Q26" s="73">
        <f t="shared" si="8"/>
        <v>671.73102682721822</v>
      </c>
      <c r="R26" s="73">
        <f t="shared" si="8"/>
        <v>220.58605622345735</v>
      </c>
      <c r="S26" s="1622">
        <f>ROUND(C27,2)+ROUND(C28,2)+ROUND(C29,2)+ROUND(C30,2)</f>
        <v>6334.88</v>
      </c>
      <c r="T26" s="1622">
        <f>ROUND(D27,2)+ROUND(D28,2)+ROUND(D29,2)+ROUND(D30,2)</f>
        <v>58.28</v>
      </c>
      <c r="U26" s="1205">
        <f t="shared" si="2"/>
        <v>58.291755234600913</v>
      </c>
      <c r="V26" s="1724">
        <f t="shared" si="5"/>
        <v>0</v>
      </c>
      <c r="W26" s="1622">
        <f t="shared" si="6"/>
        <v>0</v>
      </c>
    </row>
    <row r="27" spans="1:23" x14ac:dyDescent="0.25">
      <c r="A27" s="1701" t="s">
        <v>2771</v>
      </c>
      <c r="B27" s="2003" t="s">
        <v>55</v>
      </c>
      <c r="C27" s="3152">
        <f>Адміністративні_1ст!G21</f>
        <v>4743.9700713768461</v>
      </c>
      <c r="D27" s="3152">
        <f>'Д 2_Т на В'!L34/'Д 2_Т на В'!L$58*1000</f>
        <v>43.652604726673331</v>
      </c>
      <c r="E27" s="3152">
        <f>'Д 2_Т на В'!P34/'Д 2_Т на В'!P$58*1000</f>
        <v>43.652604726673331</v>
      </c>
      <c r="F27" s="3152">
        <f>'Д 2_Т на В'!T34/'Д 2_Т на В'!T$58*1000</f>
        <v>43.652604726673331</v>
      </c>
      <c r="G27" s="3152">
        <f>'Д 2_Т на В'!X34/'Д 2_Т на В'!X$58*1000</f>
        <v>43.652604726673339</v>
      </c>
      <c r="H27" s="1724">
        <f t="shared" si="3"/>
        <v>0</v>
      </c>
      <c r="I27" s="1725">
        <f t="shared" si="9"/>
        <v>796.10837024626846</v>
      </c>
      <c r="J27" s="73">
        <f t="shared" si="10"/>
        <v>661.56680704140865</v>
      </c>
      <c r="K27" s="73">
        <f t="shared" si="7"/>
        <v>0</v>
      </c>
      <c r="L27" s="73">
        <f t="shared" si="7"/>
        <v>97.308870988954894</v>
      </c>
      <c r="M27" s="73">
        <f t="shared" si="7"/>
        <v>37.232692215904926</v>
      </c>
      <c r="N27" s="1725">
        <f t="shared" si="11"/>
        <v>3947.8617011305773</v>
      </c>
      <c r="O27" s="73">
        <f t="shared" si="12"/>
        <v>3278.999984138457</v>
      </c>
      <c r="P27" s="73">
        <f t="shared" si="8"/>
        <v>0.63745850988307129</v>
      </c>
      <c r="Q27" s="73">
        <f t="shared" si="8"/>
        <v>503.03527280519211</v>
      </c>
      <c r="R27" s="73">
        <f t="shared" si="8"/>
        <v>165.18898567704537</v>
      </c>
      <c r="U27" s="1205">
        <f t="shared" si="2"/>
        <v>43.652604726673331</v>
      </c>
      <c r="V27" s="1724">
        <f t="shared" si="5"/>
        <v>0</v>
      </c>
      <c r="W27" s="1622">
        <f t="shared" si="6"/>
        <v>0</v>
      </c>
    </row>
    <row r="28" spans="1:23" x14ac:dyDescent="0.25">
      <c r="A28" s="1701" t="s">
        <v>2772</v>
      </c>
      <c r="B28" s="2003" t="s">
        <v>2773</v>
      </c>
      <c r="C28" s="3152">
        <f>Адміністративні_1ст!G23</f>
        <v>1043.6734157029061</v>
      </c>
      <c r="D28" s="3152">
        <f>'Д 2_Т на В'!L35/'Д 2_Т на В'!L$58*1000</f>
        <v>9.6035730398681345</v>
      </c>
      <c r="E28" s="3152">
        <f>'Д 2_Т на В'!P35/'Д 2_Т на В'!P$58*1000</f>
        <v>9.6035730398681327</v>
      </c>
      <c r="F28" s="3152">
        <f>'Д 2_Т на В'!T35/'Д 2_Т на В'!T$58*1000</f>
        <v>9.6035730398681345</v>
      </c>
      <c r="G28" s="3152">
        <f>'Д 2_Т на В'!X35/'Д 2_Т на В'!X$58*1000</f>
        <v>9.6035730398681345</v>
      </c>
      <c r="H28" s="1724">
        <f t="shared" si="3"/>
        <v>0</v>
      </c>
      <c r="I28" s="1725">
        <f t="shared" si="9"/>
        <v>175.1438414541791</v>
      </c>
      <c r="J28" s="73">
        <f t="shared" si="10"/>
        <v>145.54469754910991</v>
      </c>
      <c r="K28" s="73">
        <f t="shared" si="10"/>
        <v>0</v>
      </c>
      <c r="L28" s="73">
        <f t="shared" si="10"/>
        <v>21.407951617570081</v>
      </c>
      <c r="M28" s="73">
        <f t="shared" si="10"/>
        <v>8.191192287499085</v>
      </c>
      <c r="N28" s="1725">
        <f t="shared" si="11"/>
        <v>868.52957424872739</v>
      </c>
      <c r="O28" s="73">
        <f t="shared" si="12"/>
        <v>721.37999651046073</v>
      </c>
      <c r="P28" s="73">
        <f t="shared" si="12"/>
        <v>0.14024087217427569</v>
      </c>
      <c r="Q28" s="73">
        <f t="shared" si="12"/>
        <v>110.66776001714227</v>
      </c>
      <c r="R28" s="73">
        <f t="shared" si="12"/>
        <v>36.341576848949977</v>
      </c>
      <c r="U28" s="1205">
        <f t="shared" si="2"/>
        <v>9.6035730398681327</v>
      </c>
      <c r="V28" s="1724">
        <f t="shared" si="5"/>
        <v>0</v>
      </c>
      <c r="W28" s="1622">
        <f t="shared" si="6"/>
        <v>0</v>
      </c>
    </row>
    <row r="29" spans="1:23" x14ac:dyDescent="0.25">
      <c r="A29" s="1701" t="s">
        <v>2774</v>
      </c>
      <c r="B29" s="2003" t="s">
        <v>2762</v>
      </c>
      <c r="C29" s="3152">
        <f>Адміністративні_1ст!G36+Адміністративні_1ст!G38</f>
        <v>59.839555891161972</v>
      </c>
      <c r="D29" s="3152">
        <f t="shared" si="13"/>
        <v>0.55062583469849824</v>
      </c>
      <c r="E29" s="3152">
        <f>C29/$C$41</f>
        <v>0.55062583469849824</v>
      </c>
      <c r="F29" s="3152">
        <f>C29/$C$41</f>
        <v>0.55062583469849824</v>
      </c>
      <c r="G29" s="3152">
        <f>C29/$C$41</f>
        <v>0.55062583469849824</v>
      </c>
      <c r="H29" s="1724">
        <f t="shared" si="3"/>
        <v>0</v>
      </c>
      <c r="I29" s="1725">
        <f t="shared" si="9"/>
        <v>10.041962870762211</v>
      </c>
      <c r="J29" s="73">
        <f t="shared" si="10"/>
        <v>8.344880623203915</v>
      </c>
      <c r="K29" s="73">
        <f t="shared" si="10"/>
        <v>0</v>
      </c>
      <c r="L29" s="73">
        <f t="shared" si="10"/>
        <v>1.2274359948816975</v>
      </c>
      <c r="M29" s="73">
        <f t="shared" si="10"/>
        <v>0.4696462526765991</v>
      </c>
      <c r="N29" s="1725">
        <f t="shared" si="11"/>
        <v>49.797593020399752</v>
      </c>
      <c r="O29" s="73">
        <f t="shared" si="12"/>
        <v>41.360695760254892</v>
      </c>
      <c r="P29" s="73">
        <f t="shared" si="12"/>
        <v>8.0407830480629383E-3</v>
      </c>
      <c r="Q29" s="73">
        <f t="shared" si="12"/>
        <v>6.345193344256459</v>
      </c>
      <c r="R29" s="73">
        <f t="shared" si="12"/>
        <v>2.0836631328403441</v>
      </c>
      <c r="U29" s="1205">
        <f t="shared" si="2"/>
        <v>0.55062583469849824</v>
      </c>
      <c r="V29" s="1724">
        <f t="shared" si="5"/>
        <v>0</v>
      </c>
      <c r="W29" s="1622">
        <f t="shared" si="6"/>
        <v>0</v>
      </c>
    </row>
    <row r="30" spans="1:23" x14ac:dyDescent="0.25">
      <c r="A30" s="1701" t="s">
        <v>2775</v>
      </c>
      <c r="B30" s="2003" t="s">
        <v>2776</v>
      </c>
      <c r="C30" s="3152">
        <f>Адміністративні_1ст!G9+Адміністративні_1ст!G24+Адміністративні_1ст!G39</f>
        <v>487.40450778270178</v>
      </c>
      <c r="D30" s="3152">
        <f t="shared" si="13"/>
        <v>4.4849516333609518</v>
      </c>
      <c r="E30" s="3152">
        <f>C30/$C$41</f>
        <v>4.4849516333609518</v>
      </c>
      <c r="F30" s="3152">
        <f>C30/$C$41</f>
        <v>4.4849516333609518</v>
      </c>
      <c r="G30" s="3152">
        <f>C30/$C$41</f>
        <v>4.4849516333609518</v>
      </c>
      <c r="H30" s="1724">
        <f t="shared" si="3"/>
        <v>0</v>
      </c>
      <c r="I30" s="1725">
        <f t="shared" si="9"/>
        <v>81.793688093178488</v>
      </c>
      <c r="J30" s="73">
        <f t="shared" si="10"/>
        <v>67.970632002281235</v>
      </c>
      <c r="K30" s="73">
        <f t="shared" si="10"/>
        <v>0</v>
      </c>
      <c r="L30" s="73">
        <f t="shared" si="10"/>
        <v>9.9976984790497845</v>
      </c>
      <c r="M30" s="73">
        <f t="shared" si="10"/>
        <v>3.8253576118474633</v>
      </c>
      <c r="N30" s="1725">
        <f t="shared" si="11"/>
        <v>405.61081968952328</v>
      </c>
      <c r="O30" s="73">
        <f t="shared" si="12"/>
        <v>336.89069476457405</v>
      </c>
      <c r="P30" s="73">
        <f t="shared" si="12"/>
        <v>6.5493699700191865E-2</v>
      </c>
      <c r="Q30" s="73">
        <f t="shared" si="12"/>
        <v>51.682800660627379</v>
      </c>
      <c r="R30" s="73">
        <f t="shared" si="12"/>
        <v>16.971830564621683</v>
      </c>
      <c r="U30" s="1205">
        <f t="shared" si="2"/>
        <v>4.4849516333609518</v>
      </c>
      <c r="V30" s="1724">
        <f t="shared" si="5"/>
        <v>0</v>
      </c>
      <c r="W30" s="1622">
        <f t="shared" si="6"/>
        <v>0</v>
      </c>
    </row>
    <row r="31" spans="1:23" s="15" customFormat="1" x14ac:dyDescent="0.25">
      <c r="A31" s="1696" t="s">
        <v>1770</v>
      </c>
      <c r="B31" s="1697" t="s">
        <v>2777</v>
      </c>
      <c r="C31" s="3153">
        <v>0</v>
      </c>
      <c r="D31" s="3153">
        <v>0</v>
      </c>
      <c r="E31" s="3153">
        <v>0</v>
      </c>
      <c r="F31" s="3153">
        <v>0</v>
      </c>
      <c r="G31" s="3153">
        <v>0</v>
      </c>
      <c r="H31" s="1724">
        <f t="shared" si="3"/>
        <v>0</v>
      </c>
      <c r="I31" s="1725">
        <f t="shared" si="9"/>
        <v>0</v>
      </c>
      <c r="J31" s="73">
        <f t="shared" si="10"/>
        <v>0</v>
      </c>
      <c r="K31" s="73">
        <f t="shared" si="10"/>
        <v>0</v>
      </c>
      <c r="L31" s="73">
        <f t="shared" si="10"/>
        <v>0</v>
      </c>
      <c r="M31" s="73">
        <f t="shared" si="10"/>
        <v>0</v>
      </c>
      <c r="N31" s="1725">
        <f t="shared" si="11"/>
        <v>0</v>
      </c>
      <c r="O31" s="73">
        <f t="shared" si="12"/>
        <v>0</v>
      </c>
      <c r="P31" s="73">
        <f t="shared" si="12"/>
        <v>0</v>
      </c>
      <c r="Q31" s="73">
        <f t="shared" si="12"/>
        <v>0</v>
      </c>
      <c r="R31" s="73">
        <f t="shared" si="12"/>
        <v>0</v>
      </c>
      <c r="U31" s="1205">
        <f t="shared" si="2"/>
        <v>0</v>
      </c>
      <c r="V31" s="1724">
        <f t="shared" si="5"/>
        <v>0</v>
      </c>
      <c r="W31" s="1622">
        <f t="shared" si="6"/>
        <v>0</v>
      </c>
    </row>
    <row r="32" spans="1:23" s="15" customFormat="1" x14ac:dyDescent="0.25">
      <c r="A32" s="1696" t="s">
        <v>1773</v>
      </c>
      <c r="B32" s="1697" t="s">
        <v>2779</v>
      </c>
      <c r="C32" s="3153">
        <f>'ТЕ_2ст_тариф_з ЦТП'!E67</f>
        <v>0</v>
      </c>
      <c r="D32" s="3153">
        <f t="shared" si="13"/>
        <v>0</v>
      </c>
      <c r="E32" s="3153">
        <f>C32/$C$41</f>
        <v>0</v>
      </c>
      <c r="F32" s="3153">
        <f>C32/$C$41</f>
        <v>0</v>
      </c>
      <c r="G32" s="3153">
        <f>C32/$C$41</f>
        <v>0</v>
      </c>
      <c r="H32" s="1724">
        <f t="shared" si="3"/>
        <v>0</v>
      </c>
      <c r="I32" s="1725">
        <f t="shared" si="9"/>
        <v>0</v>
      </c>
      <c r="J32" s="73">
        <f t="shared" si="10"/>
        <v>0</v>
      </c>
      <c r="K32" s="73">
        <f t="shared" si="10"/>
        <v>0</v>
      </c>
      <c r="L32" s="73">
        <f t="shared" si="10"/>
        <v>0</v>
      </c>
      <c r="M32" s="73">
        <f t="shared" si="10"/>
        <v>0</v>
      </c>
      <c r="N32" s="1725">
        <f t="shared" si="11"/>
        <v>0</v>
      </c>
      <c r="O32" s="73">
        <f t="shared" si="12"/>
        <v>0</v>
      </c>
      <c r="P32" s="73">
        <f t="shared" si="12"/>
        <v>0</v>
      </c>
      <c r="Q32" s="73">
        <f t="shared" si="12"/>
        <v>0</v>
      </c>
      <c r="R32" s="73">
        <f t="shared" si="12"/>
        <v>0</v>
      </c>
      <c r="U32" s="1205">
        <f t="shared" si="2"/>
        <v>0</v>
      </c>
      <c r="V32" s="1724">
        <f t="shared" si="5"/>
        <v>0</v>
      </c>
      <c r="W32" s="1622">
        <f t="shared" si="6"/>
        <v>0</v>
      </c>
    </row>
    <row r="33" spans="1:23" s="15" customFormat="1" x14ac:dyDescent="0.25">
      <c r="A33" s="1696" t="s">
        <v>1845</v>
      </c>
      <c r="B33" s="1697" t="s">
        <v>2442</v>
      </c>
      <c r="C33" s="3153">
        <f>C10+C26+C31+C32</f>
        <v>155406.25959820242</v>
      </c>
      <c r="D33" s="3153">
        <f>D10+D26+D31+D32</f>
        <v>1262.8496497738035</v>
      </c>
      <c r="E33" s="3153">
        <f>E10+E26+E31+E32</f>
        <v>2249.859659144237</v>
      </c>
      <c r="F33" s="3153">
        <f>F10+F26+F31+F32</f>
        <v>2249.8596591442383</v>
      </c>
      <c r="G33" s="3153">
        <f>G10+G26+G31+G32</f>
        <v>2249.8596591442383</v>
      </c>
      <c r="H33" s="1724"/>
      <c r="I33" s="1725"/>
      <c r="J33" s="73"/>
      <c r="K33" s="73"/>
      <c r="L33" s="73"/>
      <c r="M33" s="73"/>
      <c r="N33" s="1725"/>
      <c r="O33" s="73"/>
      <c r="P33" s="73"/>
      <c r="Q33" s="73"/>
      <c r="R33" s="73"/>
      <c r="S33" s="1622">
        <f>S10+S26+S31+S32</f>
        <v>155406.25</v>
      </c>
      <c r="T33" s="1622">
        <f>ROUND(D10,2)+ROUND(D26,2)+ROUND(D31,2)+ROUND(D32,2)</f>
        <v>1262.8499999999999</v>
      </c>
      <c r="U33" s="1205">
        <f t="shared" si="2"/>
        <v>1430.002280836949</v>
      </c>
      <c r="V33" s="1724">
        <f t="shared" si="5"/>
        <v>-167.15263106314546</v>
      </c>
      <c r="W33" s="1622">
        <f t="shared" si="6"/>
        <v>-987.01000937043591</v>
      </c>
    </row>
    <row r="34" spans="1:23" s="15" customFormat="1" x14ac:dyDescent="0.25">
      <c r="A34" s="1696" t="s">
        <v>1851</v>
      </c>
      <c r="B34" s="1697" t="s">
        <v>2780</v>
      </c>
      <c r="C34" s="3153">
        <v>0</v>
      </c>
      <c r="D34" s="3153">
        <f t="shared" si="13"/>
        <v>0</v>
      </c>
      <c r="E34" s="3153">
        <f>C34/$C$41</f>
        <v>0</v>
      </c>
      <c r="F34" s="3153">
        <f>C34/$C$41</f>
        <v>0</v>
      </c>
      <c r="G34" s="3153">
        <f>C34/$C$41</f>
        <v>0</v>
      </c>
      <c r="H34" s="1724">
        <f t="shared" si="3"/>
        <v>0</v>
      </c>
      <c r="I34" s="1725">
        <f t="shared" si="9"/>
        <v>0</v>
      </c>
      <c r="J34" s="73">
        <f t="shared" si="10"/>
        <v>0</v>
      </c>
      <c r="K34" s="73">
        <f t="shared" si="10"/>
        <v>0</v>
      </c>
      <c r="L34" s="73">
        <f t="shared" si="10"/>
        <v>0</v>
      </c>
      <c r="M34" s="73">
        <f t="shared" si="10"/>
        <v>0</v>
      </c>
      <c r="N34" s="1725">
        <f t="shared" si="11"/>
        <v>0</v>
      </c>
      <c r="O34" s="73">
        <f t="shared" si="12"/>
        <v>0</v>
      </c>
      <c r="P34" s="73">
        <f t="shared" si="12"/>
        <v>0</v>
      </c>
      <c r="Q34" s="73">
        <f t="shared" si="12"/>
        <v>0</v>
      </c>
      <c r="R34" s="73">
        <f t="shared" si="12"/>
        <v>0</v>
      </c>
      <c r="U34" s="1205">
        <f t="shared" si="2"/>
        <v>0</v>
      </c>
      <c r="V34" s="1724">
        <f t="shared" si="5"/>
        <v>0</v>
      </c>
      <c r="W34" s="1622">
        <f t="shared" si="6"/>
        <v>0</v>
      </c>
    </row>
    <row r="35" spans="1:23" s="15" customFormat="1" x14ac:dyDescent="0.25">
      <c r="A35" s="1696" t="s">
        <v>1857</v>
      </c>
      <c r="B35" s="1697" t="s">
        <v>2781</v>
      </c>
      <c r="C35" s="4496">
        <f>'ТЕ_2ст_тариф_з ЦТП'!E69</f>
        <v>0</v>
      </c>
      <c r="D35" s="4497">
        <f>'Д 2_Т на В'!L44/'D1_2023-2024'!D41</f>
        <v>0</v>
      </c>
      <c r="E35" s="4497">
        <f>'Д 2_Т на В'!P44/'D1_2023-2024'!E41</f>
        <v>0</v>
      </c>
      <c r="F35" s="4497">
        <f>'Д 2_Т на В'!T44/'D1_2023-2024'!F41</f>
        <v>0</v>
      </c>
      <c r="G35" s="4497">
        <f>'Д 2_Т на В'!X44/'D1_2023-2024'!G41</f>
        <v>0</v>
      </c>
      <c r="H35" s="1724">
        <f t="shared" si="3"/>
        <v>0</v>
      </c>
      <c r="I35" s="1725">
        <f t="shared" si="9"/>
        <v>0</v>
      </c>
      <c r="J35" s="73">
        <f t="shared" si="10"/>
        <v>0</v>
      </c>
      <c r="K35" s="73">
        <f t="shared" si="10"/>
        <v>0</v>
      </c>
      <c r="L35" s="73">
        <f t="shared" si="10"/>
        <v>0</v>
      </c>
      <c r="M35" s="73">
        <f t="shared" si="10"/>
        <v>0</v>
      </c>
      <c r="N35" s="1725">
        <f t="shared" si="11"/>
        <v>0</v>
      </c>
      <c r="O35" s="73">
        <f t="shared" si="12"/>
        <v>0</v>
      </c>
      <c r="P35" s="73">
        <f t="shared" si="12"/>
        <v>0</v>
      </c>
      <c r="Q35" s="73">
        <f t="shared" si="12"/>
        <v>0</v>
      </c>
      <c r="R35" s="73">
        <f t="shared" si="12"/>
        <v>0</v>
      </c>
      <c r="U35" s="1205">
        <f t="shared" si="2"/>
        <v>0</v>
      </c>
      <c r="V35" s="1724">
        <f t="shared" si="5"/>
        <v>0</v>
      </c>
      <c r="W35" s="1622">
        <f t="shared" si="6"/>
        <v>0</v>
      </c>
    </row>
    <row r="36" spans="1:23" s="15" customFormat="1" x14ac:dyDescent="0.25">
      <c r="A36" s="1696" t="s">
        <v>1859</v>
      </c>
      <c r="B36" s="1697" t="s">
        <v>2782</v>
      </c>
      <c r="C36" s="3153">
        <f>SUM(C37:C40)</f>
        <v>7201.7534935752356</v>
      </c>
      <c r="D36" s="3153">
        <f>'Д 2_Т на В'!L45/'Д 2_Т на В'!L$58*1000</f>
        <v>58.522300843176261</v>
      </c>
      <c r="E36" s="3153">
        <f>'Д 2_Т на В'!P45/'Д 2_Т на В'!P$58*1000</f>
        <v>104.2617890822939</v>
      </c>
      <c r="F36" s="3153">
        <f>'Д 2_Т на В'!T45/'Д 2_Т на В'!T$58*1000</f>
        <v>104.26178908229396</v>
      </c>
      <c r="G36" s="3153">
        <f>'Д 2_Т на В'!X45/'Д 2_Т на В'!X$58*1000</f>
        <v>104.26178908229397</v>
      </c>
      <c r="H36" s="1724">
        <f t="shared" si="3"/>
        <v>0</v>
      </c>
      <c r="I36" s="1725">
        <f t="shared" si="9"/>
        <v>1208.2659471400475</v>
      </c>
      <c r="J36" s="73">
        <f t="shared" si="10"/>
        <v>886.92099708496244</v>
      </c>
      <c r="K36" s="73">
        <f t="shared" si="10"/>
        <v>0</v>
      </c>
      <c r="L36" s="73">
        <f t="shared" si="10"/>
        <v>232.41676061284929</v>
      </c>
      <c r="M36" s="73">
        <f t="shared" si="10"/>
        <v>88.92818944223589</v>
      </c>
      <c r="N36" s="1725">
        <f t="shared" si="11"/>
        <v>5993.487546435189</v>
      </c>
      <c r="O36" s="73">
        <f t="shared" si="12"/>
        <v>4395.9489871921978</v>
      </c>
      <c r="P36" s="73">
        <f t="shared" si="12"/>
        <v>1.5225337668231076</v>
      </c>
      <c r="Q36" s="73">
        <f t="shared" si="12"/>
        <v>1201.4714320614617</v>
      </c>
      <c r="R36" s="73">
        <f t="shared" si="12"/>
        <v>394.5445934147055</v>
      </c>
      <c r="U36" s="1205">
        <f t="shared" si="2"/>
        <v>66.268398380248868</v>
      </c>
      <c r="V36" s="1724">
        <f t="shared" si="5"/>
        <v>-7.7460975370726075</v>
      </c>
      <c r="W36" s="1622">
        <f t="shared" si="6"/>
        <v>-45.739488239117762</v>
      </c>
    </row>
    <row r="37" spans="1:23" x14ac:dyDescent="0.25">
      <c r="A37" s="1701" t="s">
        <v>1030</v>
      </c>
      <c r="B37" s="2003" t="s">
        <v>65</v>
      </c>
      <c r="C37" s="3152">
        <f>'ТЕ_2ст_тариф_з ЦТП'!E71</f>
        <v>1296.3156288435421</v>
      </c>
      <c r="D37" s="3152">
        <f>'Д 2_Т на В'!L46/'Д 2_Т на В'!L$58*1000</f>
        <v>10.534014151771723</v>
      </c>
      <c r="E37" s="3152">
        <f>'Д 2_Т на В'!P46/'Д 2_Т на В'!P$58*1000</f>
        <v>18.7671220348129</v>
      </c>
      <c r="F37" s="3152">
        <f>'Д 2_Т на В'!T46/'Д 2_Т на В'!T$58*1000</f>
        <v>18.767122034812907</v>
      </c>
      <c r="G37" s="3152">
        <f>'Д 2_Т на В'!X46/'Д 2_Т на В'!X$58*1000</f>
        <v>18.76712203481291</v>
      </c>
      <c r="H37" s="1724">
        <f t="shared" si="3"/>
        <v>0</v>
      </c>
      <c r="I37" s="1725">
        <f t="shared" si="9"/>
        <v>217.48787048520848</v>
      </c>
      <c r="J37" s="73">
        <f t="shared" si="10"/>
        <v>159.64577947529318</v>
      </c>
      <c r="K37" s="73">
        <f t="shared" si="10"/>
        <v>0</v>
      </c>
      <c r="L37" s="73">
        <f t="shared" si="10"/>
        <v>41.835016910312859</v>
      </c>
      <c r="M37" s="73">
        <f t="shared" si="10"/>
        <v>16.007074099602455</v>
      </c>
      <c r="N37" s="1725">
        <f t="shared" si="11"/>
        <v>1078.8277583583333</v>
      </c>
      <c r="O37" s="73">
        <f t="shared" si="12"/>
        <v>791.27081769459528</v>
      </c>
      <c r="P37" s="73">
        <f t="shared" si="12"/>
        <v>0.27405607802815934</v>
      </c>
      <c r="Q37" s="73">
        <f t="shared" si="12"/>
        <v>216.26485777106305</v>
      </c>
      <c r="R37" s="73">
        <f t="shared" si="12"/>
        <v>71.018026814646973</v>
      </c>
      <c r="U37" s="1205">
        <f t="shared" si="2"/>
        <v>11.928311708444793</v>
      </c>
      <c r="V37" s="1724">
        <f t="shared" si="5"/>
        <v>-1.3942975566730702</v>
      </c>
      <c r="W37" s="1622">
        <f t="shared" si="6"/>
        <v>-8.2331078830411961</v>
      </c>
    </row>
    <row r="38" spans="1:23" ht="27.6" x14ac:dyDescent="0.25">
      <c r="A38" s="1701" t="s">
        <v>2783</v>
      </c>
      <c r="B38" s="2003" t="s">
        <v>4145</v>
      </c>
      <c r="C38" s="3152">
        <f>'ТЕ_2ст_тариф_з ЦТП'!E72</f>
        <v>0</v>
      </c>
      <c r="D38" s="3152">
        <f>'Д 2_Т на В'!L47/'Д 2_Т на В'!L$58*1000</f>
        <v>0</v>
      </c>
      <c r="E38" s="3152">
        <f>'Д 2_Т на В'!P47/'Д 2_Т на В'!P$58*1000</f>
        <v>0</v>
      </c>
      <c r="F38" s="3152">
        <f>'Д 2_Т на В'!T47/'Д 2_Т на В'!T$58*1000</f>
        <v>0</v>
      </c>
      <c r="G38" s="3152">
        <f>'Д 2_Т на В'!X47/'Д 2_Т на В'!X$58*1000</f>
        <v>0</v>
      </c>
      <c r="H38" s="1724">
        <f t="shared" si="3"/>
        <v>0</v>
      </c>
      <c r="I38" s="1725">
        <f t="shared" si="9"/>
        <v>0</v>
      </c>
      <c r="J38" s="73">
        <f t="shared" si="10"/>
        <v>0</v>
      </c>
      <c r="K38" s="73">
        <f t="shared" si="10"/>
        <v>0</v>
      </c>
      <c r="L38" s="73">
        <f t="shared" si="10"/>
        <v>0</v>
      </c>
      <c r="M38" s="73">
        <f t="shared" si="10"/>
        <v>0</v>
      </c>
      <c r="N38" s="1725">
        <f t="shared" si="11"/>
        <v>0</v>
      </c>
      <c r="O38" s="73">
        <f t="shared" si="12"/>
        <v>0</v>
      </c>
      <c r="P38" s="73">
        <f t="shared" si="12"/>
        <v>0</v>
      </c>
      <c r="Q38" s="73">
        <f t="shared" si="12"/>
        <v>0</v>
      </c>
      <c r="R38" s="73">
        <f t="shared" si="12"/>
        <v>0</v>
      </c>
      <c r="U38" s="1205">
        <f t="shared" si="2"/>
        <v>0</v>
      </c>
      <c r="V38" s="1724">
        <f t="shared" si="5"/>
        <v>0</v>
      </c>
      <c r="W38" s="1622">
        <f t="shared" si="6"/>
        <v>0</v>
      </c>
    </row>
    <row r="39" spans="1:23" x14ac:dyDescent="0.25">
      <c r="A39" s="1701" t="s">
        <v>2784</v>
      </c>
      <c r="B39" s="2003" t="s">
        <v>71</v>
      </c>
      <c r="C39" s="3152">
        <f>'ТЕ_2ст_тариф_з ЦТП'!E74</f>
        <v>0</v>
      </c>
      <c r="D39" s="3152">
        <f>'Д 2_Т на В'!L48/'Д 2_Т на В'!L$58*1000</f>
        <v>0</v>
      </c>
      <c r="E39" s="3152">
        <f>'Д 2_Т на В'!P48/'Д 2_Т на В'!P$58*1000</f>
        <v>0</v>
      </c>
      <c r="F39" s="3152">
        <f>'Д 2_Т на В'!T48/'Д 2_Т на В'!T$58*1000</f>
        <v>0</v>
      </c>
      <c r="G39" s="3152">
        <f>'Д 2_Т на В'!X48/'Д 2_Т на В'!X$58*1000</f>
        <v>0</v>
      </c>
      <c r="H39" s="1724">
        <f t="shared" si="3"/>
        <v>0</v>
      </c>
      <c r="I39" s="1725">
        <f t="shared" si="9"/>
        <v>0</v>
      </c>
      <c r="J39" s="73">
        <f t="shared" si="10"/>
        <v>0</v>
      </c>
      <c r="K39" s="73">
        <f t="shared" si="10"/>
        <v>0</v>
      </c>
      <c r="L39" s="73">
        <f t="shared" si="10"/>
        <v>0</v>
      </c>
      <c r="M39" s="73">
        <f t="shared" si="10"/>
        <v>0</v>
      </c>
      <c r="N39" s="1725">
        <f t="shared" si="11"/>
        <v>0</v>
      </c>
      <c r="O39" s="73">
        <f t="shared" si="12"/>
        <v>0</v>
      </c>
      <c r="P39" s="73">
        <f t="shared" si="12"/>
        <v>0</v>
      </c>
      <c r="Q39" s="73">
        <f t="shared" si="12"/>
        <v>0</v>
      </c>
      <c r="R39" s="73">
        <f t="shared" si="12"/>
        <v>0</v>
      </c>
      <c r="U39" s="1205">
        <f t="shared" si="2"/>
        <v>0</v>
      </c>
      <c r="V39" s="1724">
        <f t="shared" si="5"/>
        <v>0</v>
      </c>
      <c r="W39" s="1622">
        <f t="shared" si="6"/>
        <v>0</v>
      </c>
    </row>
    <row r="40" spans="1:23" ht="27.6" x14ac:dyDescent="0.25">
      <c r="A40" s="1701" t="s">
        <v>2785</v>
      </c>
      <c r="B40" s="2003" t="s">
        <v>2545</v>
      </c>
      <c r="C40" s="3152">
        <f>'ТЕ_2ст_тариф_з ЦТП'!E75</f>
        <v>5905.4378647316935</v>
      </c>
      <c r="D40" s="3152">
        <f>'Д 2_Т на В'!L50/'Д 2_Т на В'!L$58*1000</f>
        <v>47.988286691404539</v>
      </c>
      <c r="E40" s="3152">
        <f>'Д 2_Т на В'!P50/'Д 2_Т на В'!P$58*1000</f>
        <v>85.494667047481002</v>
      </c>
      <c r="F40" s="3152">
        <f>'Д 2_Т на В'!T50/'Д 2_Т на В'!T$58*1000</f>
        <v>85.494667047481059</v>
      </c>
      <c r="G40" s="3152">
        <f>'Д 2_Т на В'!X50/'Д 2_Т на В'!X$58*1000</f>
        <v>85.494667047481059</v>
      </c>
      <c r="H40" s="1724">
        <f t="shared" si="3"/>
        <v>0</v>
      </c>
      <c r="I40" s="1725">
        <f t="shared" si="9"/>
        <v>990.7780766548392</v>
      </c>
      <c r="J40" s="73">
        <f t="shared" si="10"/>
        <v>727.27521760966931</v>
      </c>
      <c r="K40" s="73">
        <f t="shared" si="10"/>
        <v>0</v>
      </c>
      <c r="L40" s="73">
        <f t="shared" si="10"/>
        <v>190.58174370253644</v>
      </c>
      <c r="M40" s="73">
        <f t="shared" si="10"/>
        <v>72.921115342633428</v>
      </c>
      <c r="N40" s="1725">
        <f t="shared" si="11"/>
        <v>4914.659788076855</v>
      </c>
      <c r="O40" s="73">
        <f t="shared" si="12"/>
        <v>3604.6781694976025</v>
      </c>
      <c r="P40" s="73">
        <f t="shared" si="12"/>
        <v>1.2484776887949482</v>
      </c>
      <c r="Q40" s="73">
        <f t="shared" si="12"/>
        <v>985.20657429039875</v>
      </c>
      <c r="R40" s="73">
        <f t="shared" si="12"/>
        <v>323.52656660005852</v>
      </c>
      <c r="U40" s="1205">
        <f t="shared" si="2"/>
        <v>54.34008667180408</v>
      </c>
      <c r="V40" s="1724">
        <f t="shared" si="5"/>
        <v>-6.3517999803995409</v>
      </c>
      <c r="W40" s="1622">
        <f t="shared" si="6"/>
        <v>-37.506380356076562</v>
      </c>
    </row>
    <row r="41" spans="1:23" s="15" customFormat="1" ht="33.75" customHeight="1" thickBot="1" x14ac:dyDescent="0.3">
      <c r="A41" s="4498" t="s">
        <v>1861</v>
      </c>
      <c r="B41" s="3077" t="s">
        <v>3086</v>
      </c>
      <c r="C41" s="4499">
        <f>'ТЕ_2ст_тариф_з ЦТП'!E30</f>
        <v>108.67553267624618</v>
      </c>
      <c r="D41" s="4500">
        <f>'ТЕ_2ст_тариф_з ЦТП'!H30</f>
        <v>90.271057497103627</v>
      </c>
      <c r="E41" s="4500">
        <f>'ТЕ_2ст_тариф_з ЦТП'!K30</f>
        <v>1.4602989074179139E-2</v>
      </c>
      <c r="F41" s="4500">
        <f>'ТЕ_2ст_тариф_з ЦТП'!N30</f>
        <v>13.752767963175286</v>
      </c>
      <c r="G41" s="4500">
        <f>'ТЕ_2ст_тариф_з ЦТП'!Q30</f>
        <v>4.6371042268930927</v>
      </c>
      <c r="H41" s="1205"/>
      <c r="U41" s="1121">
        <f t="shared" si="2"/>
        <v>1</v>
      </c>
      <c r="V41" s="1724"/>
      <c r="W41" s="1622">
        <f>C41-D41-E41-F41-G41</f>
        <v>-7.9936057773011271E-15</v>
      </c>
    </row>
    <row r="42" spans="1:23" ht="42" thickBot="1" x14ac:dyDescent="0.3">
      <c r="A42" s="1695" t="s">
        <v>2746</v>
      </c>
      <c r="B42" s="4501" t="s">
        <v>4144</v>
      </c>
      <c r="C42" s="3151">
        <f>'Д 3.1_Т на Т без ЦТП'!G45</f>
        <v>46773.592741148037</v>
      </c>
      <c r="D42" s="4381">
        <f>'Д 3.1_Т на Т без ЦТП'!H46</f>
        <v>551.32054832629467</v>
      </c>
      <c r="E42" s="4381">
        <f>'Д 3.1_Т на Т без ЦТП'!I46</f>
        <v>649.6737283715903</v>
      </c>
      <c r="F42" s="4381">
        <f>'Д 3.1_Т на Т без ЦТП'!J46</f>
        <v>649.67372837159041</v>
      </c>
      <c r="G42" s="1707">
        <f>'Д 3.1_Т на Т без ЦТП'!K46</f>
        <v>649.67372837159019</v>
      </c>
      <c r="U42" s="1121">
        <f>C42/C$75</f>
        <v>568.0019401376976</v>
      </c>
      <c r="V42" s="1724">
        <f t="shared" si="5"/>
        <v>-16.681391811402932</v>
      </c>
      <c r="W42" s="1622">
        <f t="shared" si="6"/>
        <v>-98.35318004529563</v>
      </c>
    </row>
    <row r="43" spans="1:23" ht="31.95" customHeight="1" thickBot="1" x14ac:dyDescent="0.3">
      <c r="A43" s="1695"/>
      <c r="B43" s="4888" t="s">
        <v>3415</v>
      </c>
      <c r="C43" s="4889"/>
      <c r="D43" s="4889"/>
      <c r="E43" s="4889"/>
      <c r="F43" s="4889"/>
      <c r="G43" s="4890"/>
      <c r="U43" s="1121">
        <f t="shared" ref="U43:U75" si="14">C43/C$75</f>
        <v>0</v>
      </c>
      <c r="V43" s="1724">
        <f t="shared" si="5"/>
        <v>0</v>
      </c>
      <c r="W43" s="1622">
        <f t="shared" si="6"/>
        <v>0</v>
      </c>
    </row>
    <row r="44" spans="1:23" s="15" customFormat="1" x14ac:dyDescent="0.25">
      <c r="A44" s="1696" t="s">
        <v>1747</v>
      </c>
      <c r="B44" s="1697" t="s">
        <v>2748</v>
      </c>
      <c r="C44" s="3153">
        <f>C45+C50+C51+C55</f>
        <v>43350.858098990757</v>
      </c>
      <c r="D44" s="3153">
        <f>D45+D50+D51+D55</f>
        <v>510.49487427780849</v>
      </c>
      <c r="E44" s="3153">
        <f>E45+E50+E51+E55</f>
        <v>604.49208597610993</v>
      </c>
      <c r="F44" s="3153">
        <f>F45+F50+F51+F55</f>
        <v>604.49208597610993</v>
      </c>
      <c r="G44" s="3153">
        <f>G45+G50+G51+G55</f>
        <v>604.49208597610993</v>
      </c>
      <c r="S44" s="1622">
        <f>ROUND(C45,2)+ROUND(C50,2)+ROUND(C51,2)+ROUND(C55,2)</f>
        <v>43350.86</v>
      </c>
      <c r="U44" s="1121">
        <f t="shared" si="14"/>
        <v>526.43746318847354</v>
      </c>
      <c r="V44" s="1724">
        <f t="shared" si="5"/>
        <v>-15.942588910665052</v>
      </c>
      <c r="W44" s="1622">
        <f t="shared" si="6"/>
        <v>-93.997211698301498</v>
      </c>
    </row>
    <row r="45" spans="1:23" x14ac:dyDescent="0.25">
      <c r="A45" s="1698" t="s">
        <v>1749</v>
      </c>
      <c r="B45" s="2003" t="s">
        <v>2801</v>
      </c>
      <c r="C45" s="3152">
        <f>SUM(C46:C49)</f>
        <v>23861.999303514553</v>
      </c>
      <c r="D45" s="3152">
        <f>SUM(D46:D49)</f>
        <v>273.82907722942861</v>
      </c>
      <c r="E45" s="3152">
        <f>SUM(E46:E49)</f>
        <v>367.82628892772993</v>
      </c>
      <c r="F45" s="3152">
        <f>SUM(F46:F49)</f>
        <v>367.82628892772993</v>
      </c>
      <c r="G45" s="3152">
        <f>SUM(G46:G49)</f>
        <v>367.82628892772993</v>
      </c>
      <c r="U45" s="1121">
        <f t="shared" si="14"/>
        <v>289.77166614009366</v>
      </c>
      <c r="V45" s="1724">
        <f t="shared" si="5"/>
        <v>-15.942588910665052</v>
      </c>
      <c r="W45" s="1622">
        <f t="shared" si="6"/>
        <v>-93.997211698301271</v>
      </c>
    </row>
    <row r="46" spans="1:23" ht="27.6" x14ac:dyDescent="0.25">
      <c r="A46" s="1698" t="s">
        <v>2750</v>
      </c>
      <c r="B46" s="2003" t="s">
        <v>2753</v>
      </c>
      <c r="C46" s="3152">
        <f>'Д 3.1_Т на Т без ЦТП'!G13</f>
        <v>11016.842326985552</v>
      </c>
      <c r="D46" s="3152">
        <f>'Д 3.1_Т на Т без ЦТП'!N13</f>
        <v>133.78463036930506</v>
      </c>
      <c r="E46" s="3152">
        <f>'Д 3.1_Т на Т без ЦТП'!O13</f>
        <v>133.78463036930506</v>
      </c>
      <c r="F46" s="3152">
        <f>'Д 3.1_Т на Т без ЦТП'!P13</f>
        <v>133.78463036930506</v>
      </c>
      <c r="G46" s="3152">
        <f>'Д 3.1_Т на Т без ЦТП'!Q13</f>
        <v>133.78463036930506</v>
      </c>
      <c r="U46" s="1121">
        <f t="shared" si="14"/>
        <v>133.78463036930506</v>
      </c>
      <c r="V46" s="1724">
        <f t="shared" si="5"/>
        <v>0</v>
      </c>
      <c r="W46" s="1622">
        <f t="shared" si="6"/>
        <v>0</v>
      </c>
    </row>
    <row r="47" spans="1:23" ht="27.6" x14ac:dyDescent="0.25">
      <c r="A47" s="1698" t="s">
        <v>2752</v>
      </c>
      <c r="B47" s="2003" t="s">
        <v>2755</v>
      </c>
      <c r="C47" s="3152">
        <f>'Д 3.1_Т на Т без ЦТП'!G15</f>
        <v>543.62315145346668</v>
      </c>
      <c r="D47" s="3152">
        <f>'Д 3.1_Т на Т без ЦТП'!N15</f>
        <v>6.6015669661761303</v>
      </c>
      <c r="E47" s="3152">
        <f>'Д 3.1_Т на Т без ЦТП'!O15</f>
        <v>6.6015669661761311</v>
      </c>
      <c r="F47" s="3152">
        <f>'Д 3.1_Т на Т без ЦТП'!P15</f>
        <v>6.6015669661761311</v>
      </c>
      <c r="G47" s="3152">
        <f>'Д 3.1_Т на Т без ЦТП'!Q15</f>
        <v>6.6015669661761303</v>
      </c>
      <c r="U47" s="1121">
        <f t="shared" si="14"/>
        <v>6.6015669661761303</v>
      </c>
      <c r="V47" s="1724">
        <f t="shared" si="5"/>
        <v>0</v>
      </c>
      <c r="W47" s="1622">
        <f t="shared" si="6"/>
        <v>0</v>
      </c>
    </row>
    <row r="48" spans="1:23" x14ac:dyDescent="0.25">
      <c r="A48" s="1698" t="s">
        <v>2754</v>
      </c>
      <c r="B48" s="11" t="s">
        <v>610</v>
      </c>
      <c r="C48" s="3152">
        <f>'Д 3.1_Т на Т без ЦТП'!G16-'Д 3.1_Т на Т без ЦТП'!G17</f>
        <v>746.3147143011247</v>
      </c>
      <c r="D48" s="3152">
        <f>'Д 3.1_Т на Т без ЦТП'!N16-'Д 3.1_Т на Т без ЦТП'!N17</f>
        <v>9.0629814994610598</v>
      </c>
      <c r="E48" s="3152">
        <f>'Д 3.1_Т на Т без ЦТП'!O16-'Д 3.1_Т на Т без ЦТП'!O17</f>
        <v>9.0629814994610456</v>
      </c>
      <c r="F48" s="3152">
        <f>'Д 3.1_Т на Т без ЦТП'!P16-'Д 3.1_Т на Т без ЦТП'!P17</f>
        <v>9.0629814994610456</v>
      </c>
      <c r="G48" s="3152">
        <f>'Д 3.1_Т на Т без ЦТП'!Q16-'Д 3.1_Т на Т без ЦТП'!Q17</f>
        <v>9.062981499461074</v>
      </c>
      <c r="U48" s="1121">
        <f t="shared" si="14"/>
        <v>9.0629814994610509</v>
      </c>
      <c r="V48" s="1724">
        <f t="shared" si="5"/>
        <v>0</v>
      </c>
      <c r="W48" s="1622">
        <f t="shared" si="6"/>
        <v>-1.4210854715202004E-14</v>
      </c>
    </row>
    <row r="49" spans="1:23" ht="27.6" x14ac:dyDescent="0.25">
      <c r="A49" s="1698" t="s">
        <v>2756</v>
      </c>
      <c r="B49" s="11" t="s">
        <v>2392</v>
      </c>
      <c r="C49" s="3152">
        <f>'Д 3.1_Т на Т без ЦТП'!G17</f>
        <v>11555.219110774409</v>
      </c>
      <c r="D49" s="3152">
        <f>'Д 3.1_Т на Т без ЦТП'!N17</f>
        <v>124.37989839448637</v>
      </c>
      <c r="E49" s="3152">
        <f>'Д 3.1_Т на Т без ЦТП'!O17</f>
        <v>218.37711009278769</v>
      </c>
      <c r="F49" s="3152">
        <f>'Д 3.1_Т на Т без ЦТП'!P17</f>
        <v>218.37711009278772</v>
      </c>
      <c r="G49" s="3152">
        <f>'Д 3.1_Т на Т без ЦТП'!Q17</f>
        <v>218.37711009278766</v>
      </c>
      <c r="U49" s="1121">
        <f t="shared" si="14"/>
        <v>140.32248730515138</v>
      </c>
      <c r="V49" s="1724">
        <f t="shared" si="5"/>
        <v>-15.942588910665009</v>
      </c>
      <c r="W49" s="1622">
        <f t="shared" si="6"/>
        <v>-93.997211698301328</v>
      </c>
    </row>
    <row r="50" spans="1:23" x14ac:dyDescent="0.25">
      <c r="A50" s="1698" t="s">
        <v>1751</v>
      </c>
      <c r="B50" s="2003" t="s">
        <v>2757</v>
      </c>
      <c r="C50" s="3152">
        <f>'Д 3.1_Т на Т без ЦТП'!G18</f>
        <v>11054.820751237807</v>
      </c>
      <c r="D50" s="3152">
        <f>'Д 3.1_Т на Т без ЦТП'!N18</f>
        <v>134.24582689910844</v>
      </c>
      <c r="E50" s="3152">
        <f>'Д 3.1_Т на Т без ЦТП'!O18</f>
        <v>134.24582689910844</v>
      </c>
      <c r="F50" s="3152">
        <f>'Д 3.1_Т на Т без ЦТП'!P18</f>
        <v>134.24582689910844</v>
      </c>
      <c r="G50" s="3152">
        <f>'Д 3.1_Т на Т без ЦТП'!Q18</f>
        <v>134.24582689910844</v>
      </c>
      <c r="S50" s="729">
        <f>ROUND(C50,2)</f>
        <v>11054.82</v>
      </c>
      <c r="U50" s="1121">
        <f t="shared" si="14"/>
        <v>134.24582689910844</v>
      </c>
      <c r="V50" s="1724">
        <f t="shared" si="5"/>
        <v>0</v>
      </c>
      <c r="W50" s="1622">
        <f t="shared" si="6"/>
        <v>0</v>
      </c>
    </row>
    <row r="51" spans="1:23" x14ac:dyDescent="0.25">
      <c r="A51" s="1698" t="s">
        <v>1753</v>
      </c>
      <c r="B51" s="2003" t="s">
        <v>2758</v>
      </c>
      <c r="C51" s="3152">
        <f>'Д 3.1_Т на Т без ЦТП'!G19</f>
        <v>7322.6292191101174</v>
      </c>
      <c r="D51" s="3152">
        <f>'Д 3.1_Т на Т без ЦТП'!N19</f>
        <v>88.923415106928843</v>
      </c>
      <c r="E51" s="3152">
        <f>'Д 3.1_Т на Т без ЦТП'!O19</f>
        <v>88.923415106928829</v>
      </c>
      <c r="F51" s="3152">
        <f>'Д 3.1_Т на Т без ЦТП'!P19</f>
        <v>88.923415106928843</v>
      </c>
      <c r="G51" s="3152">
        <f>'Д 3.1_Т на Т без ЦТП'!Q19</f>
        <v>88.923415106928829</v>
      </c>
      <c r="S51" s="1622">
        <f>ROUND(C52,2)+ROUND(C53,2)+ROUND(C54,2)</f>
        <v>7322.63</v>
      </c>
      <c r="U51" s="1121">
        <f t="shared" si="14"/>
        <v>88.923415106928843</v>
      </c>
      <c r="V51" s="1724">
        <f t="shared" si="5"/>
        <v>0</v>
      </c>
      <c r="W51" s="1622">
        <f t="shared" si="6"/>
        <v>0</v>
      </c>
    </row>
    <row r="52" spans="1:23" x14ac:dyDescent="0.25">
      <c r="A52" s="1698" t="s">
        <v>2759</v>
      </c>
      <c r="B52" s="2003" t="s">
        <v>2773</v>
      </c>
      <c r="C52" s="3152">
        <f>'Д 3.1_Т на Т без ЦТП'!G20</f>
        <v>2399.1731656684565</v>
      </c>
      <c r="D52" s="3152">
        <f>'Д 3.1_Т на Т без ЦТП'!N20</f>
        <v>29.134708987773546</v>
      </c>
      <c r="E52" s="3152">
        <f>'Д 3.1_Т на Т без ЦТП'!O20</f>
        <v>29.134708987773546</v>
      </c>
      <c r="F52" s="3152">
        <f>'Д 3.1_Т на Т без ЦТП'!P20</f>
        <v>29.13470898777355</v>
      </c>
      <c r="G52" s="3152">
        <f>'Д 3.1_Т на Т без ЦТП'!Q20</f>
        <v>29.134708987773543</v>
      </c>
      <c r="S52" s="1622"/>
      <c r="U52" s="1121">
        <f t="shared" si="14"/>
        <v>29.134708987773546</v>
      </c>
      <c r="V52" s="1724">
        <f t="shared" si="5"/>
        <v>0</v>
      </c>
      <c r="W52" s="1622">
        <f t="shared" si="6"/>
        <v>0</v>
      </c>
    </row>
    <row r="53" spans="1:23" x14ac:dyDescent="0.25">
      <c r="A53" s="1698" t="s">
        <v>2761</v>
      </c>
      <c r="B53" s="2003" t="s">
        <v>2762</v>
      </c>
      <c r="C53" s="3152">
        <f>'Д 3.1_Т на Т без ЦТП'!G21</f>
        <v>2383.3709972632905</v>
      </c>
      <c r="D53" s="3152">
        <f>'Д 3.1_Т на Т без ЦТП'!N21</f>
        <v>28.942813052770447</v>
      </c>
      <c r="E53" s="3152">
        <f>'Д 3.1_Т на Т без ЦТП'!O21</f>
        <v>28.942813052770443</v>
      </c>
      <c r="F53" s="3152">
        <f>'Д 3.1_Т на Т без ЦТП'!P21</f>
        <v>28.942813052770447</v>
      </c>
      <c r="G53" s="3152">
        <f>'Д 3.1_Т на Т без ЦТП'!Q21</f>
        <v>28.942813052770443</v>
      </c>
      <c r="U53" s="1121">
        <f t="shared" si="14"/>
        <v>28.942813052770443</v>
      </c>
      <c r="V53" s="1724">
        <f t="shared" si="5"/>
        <v>0</v>
      </c>
      <c r="W53" s="1622">
        <f t="shared" si="6"/>
        <v>0</v>
      </c>
    </row>
    <row r="54" spans="1:23" x14ac:dyDescent="0.25">
      <c r="A54" s="1698" t="s">
        <v>2763</v>
      </c>
      <c r="B54" s="2003" t="s">
        <v>81</v>
      </c>
      <c r="C54" s="3152">
        <f>'Д 3.1_Т на Т без ЦТП'!G22</f>
        <v>2540.0850561783709</v>
      </c>
      <c r="D54" s="3152">
        <f>'Д 3.1_Т на Т без ЦТП'!N22</f>
        <v>30.845893066384857</v>
      </c>
      <c r="E54" s="3152">
        <f>'Д 3.1_Т на Т без ЦТП'!O22</f>
        <v>30.845893066384857</v>
      </c>
      <c r="F54" s="3152">
        <f>'Д 3.1_Т на Т без ЦТП'!P22</f>
        <v>30.845893066384857</v>
      </c>
      <c r="G54" s="3152">
        <f>'Д 3.1_Т на Т без ЦТП'!Q22</f>
        <v>30.845893066384857</v>
      </c>
      <c r="U54" s="1121">
        <f t="shared" si="14"/>
        <v>30.845893066384857</v>
      </c>
      <c r="V54" s="1724">
        <f t="shared" si="5"/>
        <v>0</v>
      </c>
      <c r="W54" s="1622">
        <f t="shared" si="6"/>
        <v>0</v>
      </c>
    </row>
    <row r="55" spans="1:23" s="15" customFormat="1" x14ac:dyDescent="0.25">
      <c r="A55" s="1700" t="s">
        <v>1755</v>
      </c>
      <c r="B55" s="1697" t="s">
        <v>2764</v>
      </c>
      <c r="C55" s="3153">
        <f>SUM(C56:C59)</f>
        <v>1111.4088251282828</v>
      </c>
      <c r="D55" s="3153">
        <f>'Д 3.1_Т на Т без ЦТП'!N23</f>
        <v>13.496555042342669</v>
      </c>
      <c r="E55" s="3153">
        <f>'Д 3.1_Т на Т без ЦТП'!O23</f>
        <v>13.496555042342669</v>
      </c>
      <c r="F55" s="3153">
        <f>'Д 3.1_Т на Т без ЦТП'!P23</f>
        <v>13.496555042342669</v>
      </c>
      <c r="G55" s="3153">
        <f>'Д 3.1_Т на Т без ЦТП'!Q23</f>
        <v>13.496555042342669</v>
      </c>
      <c r="S55" s="1622">
        <f>ROUND(C56,2)+ROUND(C57,2)+ROUND(C58,2)+ROUND(C59,2)</f>
        <v>1111.42</v>
      </c>
      <c r="U55" s="1121">
        <f t="shared" si="14"/>
        <v>13.496555042342663</v>
      </c>
      <c r="V55" s="1724">
        <f t="shared" si="5"/>
        <v>0</v>
      </c>
      <c r="W55" s="1622">
        <f t="shared" si="6"/>
        <v>0</v>
      </c>
    </row>
    <row r="56" spans="1:23" x14ac:dyDescent="0.25">
      <c r="A56" s="1701" t="s">
        <v>2765</v>
      </c>
      <c r="B56" s="2003" t="s">
        <v>2766</v>
      </c>
      <c r="C56" s="3152">
        <f>'Д 3.1_Т на Т без ЦТП'!G24</f>
        <v>849.25597277939903</v>
      </c>
      <c r="D56" s="3152">
        <f>'Д 3.1_Т на Т без ЦТП'!N24</f>
        <v>10.313063674235655</v>
      </c>
      <c r="E56" s="3152">
        <f>'Д 3.1_Т на Т без ЦТП'!O24</f>
        <v>10.313063674235655</v>
      </c>
      <c r="F56" s="3152">
        <f>'Д 3.1_Т на Т без ЦТП'!P24</f>
        <v>10.313063674235655</v>
      </c>
      <c r="G56" s="3152">
        <f>'Д 3.1_Т на Т без ЦТП'!Q24</f>
        <v>10.313063674235655</v>
      </c>
      <c r="U56" s="1121">
        <f t="shared" si="14"/>
        <v>10.313063674235655</v>
      </c>
      <c r="V56" s="1724">
        <f t="shared" si="5"/>
        <v>0</v>
      </c>
      <c r="W56" s="1622">
        <f t="shared" si="6"/>
        <v>0</v>
      </c>
    </row>
    <row r="57" spans="1:23" x14ac:dyDescent="0.25">
      <c r="A57" s="1701" t="s">
        <v>2767</v>
      </c>
      <c r="B57" s="2003" t="s">
        <v>2275</v>
      </c>
      <c r="C57" s="3152">
        <f>'Д 3.1_Т на Т без ЦТП'!G25</f>
        <v>181.27583888373348</v>
      </c>
      <c r="D57" s="3152">
        <f>'Д 3.1_Т на Т без ЦТП'!N25</f>
        <v>2.2013495682461888</v>
      </c>
      <c r="E57" s="3152">
        <f>'Д 3.1_Т на Т без ЦТП'!O25</f>
        <v>2.2013495682461888</v>
      </c>
      <c r="F57" s="3152">
        <f>'Д 3.1_Т на Т без ЦТП'!P25</f>
        <v>2.2013495682461892</v>
      </c>
      <c r="G57" s="3152">
        <f>'Д 3.1_Т на Т без ЦТП'!Q25</f>
        <v>2.2013495682461888</v>
      </c>
      <c r="U57" s="1121">
        <f t="shared" si="14"/>
        <v>2.2013495682461888</v>
      </c>
      <c r="V57" s="1724">
        <f t="shared" si="5"/>
        <v>0</v>
      </c>
      <c r="W57" s="1622">
        <f t="shared" si="6"/>
        <v>0</v>
      </c>
    </row>
    <row r="58" spans="1:23" x14ac:dyDescent="0.25">
      <c r="A58" s="1701" t="s">
        <v>2768</v>
      </c>
      <c r="B58" s="2003" t="s">
        <v>2762</v>
      </c>
      <c r="C58" s="3152">
        <f>'Д 3.1_Т на Т без ЦТП'!M47</f>
        <v>5.2252608104493481</v>
      </c>
      <c r="D58" s="3152">
        <f>'Д 3.1_Т на Т без ЦТП'!N47</f>
        <v>6.3453716170272123E-2</v>
      </c>
      <c r="E58" s="3152">
        <f>'Д 3.1_Т на Т без ЦТП'!O47</f>
        <v>6.3453716170272123E-2</v>
      </c>
      <c r="F58" s="3152">
        <f>'Д 3.1_Т на Т без ЦТП'!P47</f>
        <v>6.3453716170272123E-2</v>
      </c>
      <c r="G58" s="3152">
        <f>'Д 3.1_Т на Т без ЦТП'!Q47</f>
        <v>6.3453716170272123E-2</v>
      </c>
      <c r="J58" s="10">
        <f>C58/C75</f>
        <v>6.3453716170272123E-2</v>
      </c>
      <c r="U58" s="1121">
        <f t="shared" si="14"/>
        <v>6.3453716170272123E-2</v>
      </c>
      <c r="V58" s="1724">
        <f t="shared" si="5"/>
        <v>0</v>
      </c>
      <c r="W58" s="1622">
        <f t="shared" si="6"/>
        <v>0</v>
      </c>
    </row>
    <row r="59" spans="1:23" x14ac:dyDescent="0.25">
      <c r="A59" s="1701" t="s">
        <v>2769</v>
      </c>
      <c r="B59" s="2003" t="s">
        <v>58</v>
      </c>
      <c r="C59" s="3152">
        <f>'Д 3.1_Т на Т без ЦТП'!G26-C58</f>
        <v>75.651752654701212</v>
      </c>
      <c r="D59" s="3152">
        <f>'Д 3.1_Т на Т без ЦТП'!N26-D58</f>
        <v>0.91868808369054999</v>
      </c>
      <c r="E59" s="3152">
        <f>'Д 3.1_Т на Т без ЦТП'!O26-E58</f>
        <v>0.91868808369054999</v>
      </c>
      <c r="F59" s="3152">
        <f>'Д 3.1_Т на Т без ЦТП'!P26-F58</f>
        <v>0.91868808369054999</v>
      </c>
      <c r="G59" s="3152">
        <f>'Д 3.1_Т на Т без ЦТП'!Q26-G58</f>
        <v>0.91868808369054977</v>
      </c>
      <c r="U59" s="1121">
        <f t="shared" si="14"/>
        <v>0.91868808369054988</v>
      </c>
      <c r="V59" s="1724">
        <f t="shared" si="5"/>
        <v>0</v>
      </c>
      <c r="W59" s="1622">
        <f t="shared" si="6"/>
        <v>0</v>
      </c>
    </row>
    <row r="60" spans="1:23" s="15" customFormat="1" x14ac:dyDescent="0.25">
      <c r="A60" s="1696" t="s">
        <v>1768</v>
      </c>
      <c r="B60" s="1697" t="s">
        <v>2770</v>
      </c>
      <c r="C60" s="3153">
        <f>C61+C62+C64+C63</f>
        <v>1351.176921686857</v>
      </c>
      <c r="D60" s="3153">
        <f>'Д 3.1_Т на Т без ЦТП'!N27</f>
        <v>16.408213866202566</v>
      </c>
      <c r="E60" s="3153">
        <f>'Д 3.1_Т на Т без ЦТП'!O27</f>
        <v>16.408213866202566</v>
      </c>
      <c r="F60" s="3153">
        <f>'Д 3.1_Т на Т без ЦТП'!P27</f>
        <v>16.408213866202566</v>
      </c>
      <c r="G60" s="3153">
        <f>'Д 3.1_Т на Т без ЦТП'!Q27</f>
        <v>16.408213866202566</v>
      </c>
      <c r="I60" s="2114"/>
      <c r="S60" s="1622">
        <f>ROUND(C61,2)+ROUND(C62,2)+ROUND(C63,2)+ROUND(C64,2)</f>
        <v>1351.18</v>
      </c>
      <c r="U60" s="1121">
        <f t="shared" si="14"/>
        <v>16.408213866202562</v>
      </c>
      <c r="V60" s="1724">
        <f t="shared" si="5"/>
        <v>0</v>
      </c>
      <c r="W60" s="1622">
        <f t="shared" si="6"/>
        <v>0</v>
      </c>
    </row>
    <row r="61" spans="1:23" x14ac:dyDescent="0.25">
      <c r="A61" s="1701" t="s">
        <v>2771</v>
      </c>
      <c r="B61" s="2003" t="s">
        <v>55</v>
      </c>
      <c r="C61" s="3152">
        <f>'Д 3.1_Т на Т без ЦТП'!G28</f>
        <v>1011.8479335682923</v>
      </c>
      <c r="D61" s="3152">
        <f>'Д 3.1_Т на Т без ЦТП'!N28</f>
        <v>12.287522845887842</v>
      </c>
      <c r="E61" s="3152">
        <f>'Д 3.1_Т на Т без ЦТП'!O28</f>
        <v>12.287522845887841</v>
      </c>
      <c r="F61" s="3152">
        <f>'Д 3.1_Т на Т без ЦТП'!P28</f>
        <v>12.287522845887842</v>
      </c>
      <c r="G61" s="3152">
        <f>'Д 3.1_Т на Т без ЦТП'!Q28</f>
        <v>12.287522845887841</v>
      </c>
      <c r="U61" s="1121">
        <f t="shared" si="14"/>
        <v>12.287522845887842</v>
      </c>
      <c r="V61" s="1724">
        <f t="shared" si="5"/>
        <v>0</v>
      </c>
      <c r="W61" s="1622">
        <f t="shared" si="6"/>
        <v>0</v>
      </c>
    </row>
    <row r="62" spans="1:23" x14ac:dyDescent="0.25">
      <c r="A62" s="1701" t="s">
        <v>2772</v>
      </c>
      <c r="B62" s="2003" t="s">
        <v>2773</v>
      </c>
      <c r="C62" s="3152">
        <f>'Д 3.1_Т на Т без ЦТП'!G29</f>
        <v>222.6065453850243</v>
      </c>
      <c r="D62" s="3152">
        <f>'Д 3.1_Т на Т без ЦТП'!N29</f>
        <v>2.703255026095325</v>
      </c>
      <c r="E62" s="3152">
        <f>'Д 3.1_Т на Т без ЦТП'!O29</f>
        <v>2.703255026095325</v>
      </c>
      <c r="F62" s="3152">
        <f>'Д 3.1_Т на Т без ЦТП'!P29</f>
        <v>2.7032550260953254</v>
      </c>
      <c r="G62" s="3152">
        <f>'Д 3.1_Т на Т без ЦТП'!Q29</f>
        <v>2.703255026095325</v>
      </c>
      <c r="U62" s="1121">
        <f t="shared" si="14"/>
        <v>2.703255026095325</v>
      </c>
      <c r="V62" s="1724">
        <f t="shared" si="5"/>
        <v>0</v>
      </c>
      <c r="W62" s="1622">
        <f t="shared" si="6"/>
        <v>0</v>
      </c>
    </row>
    <row r="63" spans="1:23" x14ac:dyDescent="0.25">
      <c r="A63" s="1701" t="s">
        <v>2774</v>
      </c>
      <c r="B63" s="2003" t="s">
        <v>2762</v>
      </c>
      <c r="C63" s="3152">
        <f>'Д 3.1_Т на Т без ЦТП'!M48</f>
        <v>12.76326158536315</v>
      </c>
      <c r="D63" s="3152">
        <f>'Д 3.1_Т на Т без ЦТП'!N48</f>
        <v>0.15499252715290304</v>
      </c>
      <c r="E63" s="3152">
        <f>'Д 3.1_Т на Т без ЦТП'!O48</f>
        <v>0.15499252715290304</v>
      </c>
      <c r="F63" s="3152">
        <f>'Д 3.1_Т на Т без ЦТП'!P48</f>
        <v>0.15499252715290304</v>
      </c>
      <c r="G63" s="3152">
        <f>'Д 3.1_Т на Т без ЦТП'!Q48</f>
        <v>0.15499252715290304</v>
      </c>
      <c r="U63" s="1121">
        <f t="shared" si="14"/>
        <v>0.15499252715290304</v>
      </c>
      <c r="V63" s="1724">
        <f t="shared" si="5"/>
        <v>0</v>
      </c>
      <c r="W63" s="1622">
        <f t="shared" si="6"/>
        <v>0</v>
      </c>
    </row>
    <row r="64" spans="1:23" x14ac:dyDescent="0.25">
      <c r="A64" s="1701" t="s">
        <v>2775</v>
      </c>
      <c r="B64" s="2003" t="s">
        <v>2776</v>
      </c>
      <c r="C64" s="3152">
        <f>'Д 3.1_Т на Т без ЦТП'!G30-C63</f>
        <v>103.95918114817744</v>
      </c>
      <c r="D64" s="3152">
        <f>'Д 3.1_Т на Т без ЦТП'!N30-D63</f>
        <v>1.2624434670664944</v>
      </c>
      <c r="E64" s="3152">
        <f>'Д 3.1_Т на Т без ЦТП'!O30-E63</f>
        <v>1.2624434670664944</v>
      </c>
      <c r="F64" s="3152">
        <f>'Д 3.1_Т на Т без ЦТП'!P30-F63</f>
        <v>1.2624434670664946</v>
      </c>
      <c r="G64" s="3152">
        <f>'Д 3.1_Т на Т без ЦТП'!Q30-G63</f>
        <v>1.2624434670664946</v>
      </c>
      <c r="U64" s="1121">
        <f t="shared" si="14"/>
        <v>1.2624434670664944</v>
      </c>
      <c r="V64" s="1724">
        <f t="shared" si="5"/>
        <v>0</v>
      </c>
      <c r="W64" s="1622">
        <f t="shared" si="6"/>
        <v>0</v>
      </c>
    </row>
    <row r="65" spans="1:23" s="15" customFormat="1" x14ac:dyDescent="0.25">
      <c r="A65" s="1696" t="s">
        <v>1770</v>
      </c>
      <c r="B65" s="1697" t="s">
        <v>2777</v>
      </c>
      <c r="C65" s="3153">
        <v>0</v>
      </c>
      <c r="D65" s="3153">
        <f>'Д 3.1_Т на Т без ЦТП'!N31</f>
        <v>0</v>
      </c>
      <c r="E65" s="3153">
        <f>'Д 3.1_Т на Т без ЦТП'!O31</f>
        <v>0</v>
      </c>
      <c r="F65" s="3153">
        <f>'Д 3.1_Т на Т без ЦТП'!P31</f>
        <v>0</v>
      </c>
      <c r="G65" s="3153">
        <f>'Д 3.1_Т на Т без ЦТП'!Q31</f>
        <v>0</v>
      </c>
      <c r="U65" s="1121">
        <f t="shared" si="14"/>
        <v>0</v>
      </c>
      <c r="V65" s="1724">
        <f t="shared" si="5"/>
        <v>0</v>
      </c>
      <c r="W65" s="1622">
        <f t="shared" si="6"/>
        <v>0</v>
      </c>
    </row>
    <row r="66" spans="1:23" s="15" customFormat="1" x14ac:dyDescent="0.25">
      <c r="A66" s="1696" t="s">
        <v>1773</v>
      </c>
      <c r="B66" s="1697" t="s">
        <v>2779</v>
      </c>
      <c r="C66" s="3153">
        <v>0</v>
      </c>
      <c r="D66" s="3153">
        <v>0</v>
      </c>
      <c r="E66" s="3153">
        <v>0</v>
      </c>
      <c r="F66" s="3153">
        <v>0</v>
      </c>
      <c r="G66" s="3153">
        <v>0</v>
      </c>
      <c r="I66" s="1622"/>
      <c r="U66" s="1121">
        <f t="shared" si="14"/>
        <v>0</v>
      </c>
      <c r="V66" s="1724">
        <f t="shared" si="5"/>
        <v>0</v>
      </c>
      <c r="W66" s="1622">
        <f t="shared" si="6"/>
        <v>0</v>
      </c>
    </row>
    <row r="67" spans="1:23" s="15" customFormat="1" x14ac:dyDescent="0.25">
      <c r="A67" s="1696">
        <v>5</v>
      </c>
      <c r="B67" s="1697" t="s">
        <v>2442</v>
      </c>
      <c r="C67" s="3153">
        <f>C44+C60+C65</f>
        <v>44702.035020677613</v>
      </c>
      <c r="D67" s="3153">
        <f>D44+D60+D65</f>
        <v>526.90308814401101</v>
      </c>
      <c r="E67" s="3153">
        <f>E44+E60+E65</f>
        <v>620.90029984231251</v>
      </c>
      <c r="F67" s="3153">
        <f>F44+F60+F65</f>
        <v>620.90029984231251</v>
      </c>
      <c r="G67" s="3153">
        <f>G44+G60+G65</f>
        <v>620.90029984231251</v>
      </c>
      <c r="S67" s="1622">
        <f>S44+S60+S65+S66</f>
        <v>44702.04</v>
      </c>
      <c r="U67" s="1121">
        <f t="shared" si="14"/>
        <v>542.84567705467612</v>
      </c>
      <c r="V67" s="1724">
        <f t="shared" si="5"/>
        <v>-15.942588910665108</v>
      </c>
      <c r="W67" s="1622">
        <f t="shared" si="6"/>
        <v>-93.997211698301498</v>
      </c>
    </row>
    <row r="68" spans="1:23" s="15" customFormat="1" x14ac:dyDescent="0.25">
      <c r="A68" s="1696">
        <v>6</v>
      </c>
      <c r="B68" s="1697" t="s">
        <v>2780</v>
      </c>
      <c r="C68" s="3153">
        <v>0</v>
      </c>
      <c r="D68" s="3153">
        <v>0</v>
      </c>
      <c r="E68" s="3153">
        <v>0</v>
      </c>
      <c r="F68" s="3153">
        <v>0</v>
      </c>
      <c r="G68" s="3153">
        <v>0</v>
      </c>
      <c r="U68" s="1121">
        <f t="shared" si="14"/>
        <v>0</v>
      </c>
      <c r="V68" s="1724">
        <f t="shared" si="5"/>
        <v>0</v>
      </c>
      <c r="W68" s="1622">
        <f t="shared" si="6"/>
        <v>0</v>
      </c>
    </row>
    <row r="69" spans="1:23" s="15" customFormat="1" x14ac:dyDescent="0.25">
      <c r="A69" s="1696">
        <v>7</v>
      </c>
      <c r="B69" s="1697" t="s">
        <v>2781</v>
      </c>
      <c r="C69" s="3153">
        <f>'Д 3.1_Т на Т без ЦТП'!G38</f>
        <v>0</v>
      </c>
      <c r="D69" s="3153">
        <f>'Д 3.1_Т на Т без ЦТП'!N38</f>
        <v>0</v>
      </c>
      <c r="E69" s="3153">
        <f>'Д 3.1_Т на Т без ЦТП'!O38</f>
        <v>0</v>
      </c>
      <c r="F69" s="3153">
        <f>'Д 3.1_Т на Т без ЦТП'!P38</f>
        <v>0</v>
      </c>
      <c r="G69" s="3153">
        <f>'Д 3.1_Т на Т без ЦТП'!Q38</f>
        <v>0</v>
      </c>
      <c r="U69" s="1121">
        <f t="shared" si="14"/>
        <v>0</v>
      </c>
      <c r="V69" s="1724">
        <f t="shared" si="5"/>
        <v>0</v>
      </c>
      <c r="W69" s="1622">
        <f t="shared" si="6"/>
        <v>0</v>
      </c>
    </row>
    <row r="70" spans="1:23" s="15" customFormat="1" x14ac:dyDescent="0.25">
      <c r="A70" s="1696">
        <v>8</v>
      </c>
      <c r="B70" s="1697" t="s">
        <v>2782</v>
      </c>
      <c r="C70" s="3153">
        <f>SUM(C71:C74)</f>
        <v>2071.5577204704259</v>
      </c>
      <c r="D70" s="3153">
        <f>'Д 3.1_Т на Т без ЦТП'!N39</f>
        <v>24.417460182283442</v>
      </c>
      <c r="E70" s="3153">
        <f>'Д 3.1_Т на Т без ЦТП'!O39</f>
        <v>28.773428529277886</v>
      </c>
      <c r="F70" s="3153">
        <f>'Д 3.1_Т на Т без ЦТП'!P39</f>
        <v>28.773428529277886</v>
      </c>
      <c r="G70" s="3153">
        <f>'Д 3.1_Т на Т без ЦТП'!Q39</f>
        <v>28.773428529277883</v>
      </c>
      <c r="I70" s="2114"/>
      <c r="U70" s="1121">
        <f t="shared" si="14"/>
        <v>25.156263083021575</v>
      </c>
      <c r="V70" s="1724">
        <f t="shared" si="5"/>
        <v>-0.73880290073813271</v>
      </c>
      <c r="W70" s="1622">
        <f t="shared" si="6"/>
        <v>-4.355968346994441</v>
      </c>
    </row>
    <row r="71" spans="1:23" x14ac:dyDescent="0.25">
      <c r="A71" s="1701" t="s">
        <v>1030</v>
      </c>
      <c r="B71" s="2003" t="s">
        <v>65</v>
      </c>
      <c r="C71" s="3152">
        <f>'Д 3.1_Т на Т без ЦТП'!G40</f>
        <v>372.88038968467663</v>
      </c>
      <c r="D71" s="3152">
        <f>'Д 3.1_Т на Т без ЦТП'!N40</f>
        <v>4.3951428328110191</v>
      </c>
      <c r="E71" s="3152">
        <f>'Д 3.1_Т на Т без ЦТП'!O40</f>
        <v>5.1792171352700187</v>
      </c>
      <c r="F71" s="3152">
        <f>'Д 3.1_Т на Т без ЦТП'!P40</f>
        <v>5.1792171352700169</v>
      </c>
      <c r="G71" s="3152">
        <f>'Д 3.1_Т на Т без ЦТП'!Q40</f>
        <v>5.1792171352700169</v>
      </c>
      <c r="U71" s="1121">
        <f t="shared" si="14"/>
        <v>4.5281273549438827</v>
      </c>
      <c r="V71" s="1724">
        <f t="shared" si="5"/>
        <v>-0.1329845221328636</v>
      </c>
      <c r="W71" s="1622">
        <f t="shared" si="6"/>
        <v>-0.7840743024589969</v>
      </c>
    </row>
    <row r="72" spans="1:23" ht="27.6" x14ac:dyDescent="0.25">
      <c r="A72" s="1701" t="s">
        <v>2783</v>
      </c>
      <c r="B72" s="2003" t="s">
        <v>4145</v>
      </c>
      <c r="C72" s="3152">
        <f>'Д 3.1_Т на Т без ЦТП'!G41</f>
        <v>0</v>
      </c>
      <c r="D72" s="3152">
        <f>'Д 3.1_Т на Т без ЦТП'!N41</f>
        <v>0</v>
      </c>
      <c r="E72" s="3152">
        <f>'Д 3.1_Т на Т без ЦТП'!O41</f>
        <v>0</v>
      </c>
      <c r="F72" s="3152">
        <f>'Д 3.1_Т на Т без ЦТП'!P41</f>
        <v>0</v>
      </c>
      <c r="G72" s="3152">
        <f>'Д 3.1_Т на Т без ЦТП'!Q41</f>
        <v>0</v>
      </c>
      <c r="U72" s="1121">
        <f t="shared" si="14"/>
        <v>0</v>
      </c>
      <c r="V72" s="1724">
        <f t="shared" si="5"/>
        <v>0</v>
      </c>
      <c r="W72" s="1622">
        <f t="shared" si="6"/>
        <v>0</v>
      </c>
    </row>
    <row r="73" spans="1:23" x14ac:dyDescent="0.25">
      <c r="A73" s="1701" t="s">
        <v>2784</v>
      </c>
      <c r="B73" s="2003" t="s">
        <v>71</v>
      </c>
      <c r="C73" s="3152">
        <f>'Д 3.1_Т на Т без ЦТП'!G42</f>
        <v>0</v>
      </c>
      <c r="D73" s="3152">
        <f>'Д 3.1_Т на Т без ЦТП'!N42</f>
        <v>0</v>
      </c>
      <c r="E73" s="3152">
        <f>'Д 3.1_Т на Т без ЦТП'!O42</f>
        <v>0</v>
      </c>
      <c r="F73" s="3152">
        <f>'Д 3.1_Т на Т без ЦТП'!P42</f>
        <v>0</v>
      </c>
      <c r="G73" s="3152">
        <f>'Д 3.1_Т на Т без ЦТП'!Q42</f>
        <v>0</v>
      </c>
      <c r="U73" s="1121">
        <f t="shared" si="14"/>
        <v>0</v>
      </c>
      <c r="V73" s="1724">
        <f t="shared" si="5"/>
        <v>0</v>
      </c>
      <c r="W73" s="1622">
        <f t="shared" si="6"/>
        <v>0</v>
      </c>
    </row>
    <row r="74" spans="1:23" ht="27.6" x14ac:dyDescent="0.25">
      <c r="A74" s="1701" t="s">
        <v>2785</v>
      </c>
      <c r="B74" s="2003" t="s">
        <v>2545</v>
      </c>
      <c r="C74" s="3152">
        <f>'Д 3.1_Т на Т без ЦТП'!G44</f>
        <v>1698.6773307857493</v>
      </c>
      <c r="D74" s="3152">
        <f>'Д 3.1_Т на Т без ЦТП'!N44</f>
        <v>20.02231734947242</v>
      </c>
      <c r="E74" s="3152">
        <f>'Д 3.1_Т на Т без ЦТП'!O44</f>
        <v>23.594211394007868</v>
      </c>
      <c r="F74" s="3152">
        <f>'Д 3.1_Т на Т без ЦТП'!P44</f>
        <v>23.594211394007868</v>
      </c>
      <c r="G74" s="3152">
        <f>'Д 3.1_Т на Т без ЦТП'!Q44</f>
        <v>23.594211394007864</v>
      </c>
      <c r="U74" s="1121">
        <f t="shared" si="14"/>
        <v>20.628135728077691</v>
      </c>
      <c r="V74" s="1724">
        <f t="shared" si="5"/>
        <v>-0.60581837860527088</v>
      </c>
      <c r="W74" s="1622">
        <f t="shared" si="6"/>
        <v>-3.5718940445354441</v>
      </c>
    </row>
    <row r="75" spans="1:23" s="15" customFormat="1" ht="28.2" thickBot="1" x14ac:dyDescent="0.3">
      <c r="A75" s="4498" t="s">
        <v>1861</v>
      </c>
      <c r="B75" s="4502" t="s">
        <v>3085</v>
      </c>
      <c r="C75" s="4499">
        <f>'Д 3.1_Т на Т без ЦТП'!G56/1000</f>
        <v>82.347593266686673</v>
      </c>
      <c r="D75" s="4500">
        <f>'Д 3.1_Т на Т без ЦТП'!G57/1000</f>
        <v>68.380861663549609</v>
      </c>
      <c r="E75" s="4500">
        <f>'Д 3.1_Т на Т без ЦТП'!G58/1000</f>
        <v>1.3291675959893333E-2</v>
      </c>
      <c r="F75" s="4500">
        <f>'Д 3.1_Т на Т без ЦТП'!G59/1000</f>
        <v>10.509076983202204</v>
      </c>
      <c r="G75" s="4500">
        <f>'Д 3.1_Т на Т без ЦТП'!G60/1000</f>
        <v>3.4443629439749621</v>
      </c>
      <c r="U75" s="1121">
        <f t="shared" si="14"/>
        <v>1</v>
      </c>
      <c r="V75" s="1724"/>
      <c r="W75" s="1622">
        <f>C75-D75-E75-F75-G75</f>
        <v>3.5527136788005009E-15</v>
      </c>
    </row>
    <row r="76" spans="1:23" ht="21" customHeight="1" thickBot="1" x14ac:dyDescent="0.3">
      <c r="A76" s="1711" t="s">
        <v>3056</v>
      </c>
      <c r="B76" s="4503" t="s">
        <v>3414</v>
      </c>
      <c r="C76" s="3151">
        <f>(C78+C90+C100)</f>
        <v>2053.3877088801205</v>
      </c>
      <c r="D76" s="4381">
        <f>(D78+D90+D100)</f>
        <v>20.784158534978818</v>
      </c>
      <c r="E76" s="4381">
        <f>(E78+E90+E100)</f>
        <v>20.784158534978818</v>
      </c>
      <c r="F76" s="4381">
        <f>(F78+F90+F100)</f>
        <v>20.784158534978818</v>
      </c>
      <c r="G76" s="4381">
        <f>(G78+G90+G100)</f>
        <v>20.784158534978818</v>
      </c>
      <c r="H76" s="1223">
        <f>I76+N76</f>
        <v>98.795806692118873</v>
      </c>
      <c r="I76" s="1722">
        <f>'Додаток 4 до рішення'!C40</f>
        <v>16.448213425432204</v>
      </c>
      <c r="J76" s="1722">
        <f>'Додаток 4 до рішення'!D40</f>
        <v>13.668480880354855</v>
      </c>
      <c r="K76" s="1722">
        <f>'Додаток 4 до рішення'!E40</f>
        <v>0</v>
      </c>
      <c r="L76" s="1722">
        <f>'Додаток 4 до рішення'!F40</f>
        <v>2.0104763849135998</v>
      </c>
      <c r="M76" s="1722">
        <f>'Додаток 4 до рішення'!G40</f>
        <v>0.76925616016375076</v>
      </c>
      <c r="N76" s="1722">
        <f>'Додаток 5 до рішення'!C40</f>
        <v>82.347593266686673</v>
      </c>
      <c r="O76" s="1722">
        <f>'Додаток 5 до рішення'!D40</f>
        <v>68.380861663549609</v>
      </c>
      <c r="P76" s="1722">
        <f>'Додаток 5 до рішення'!E40</f>
        <v>1.3291675959893333E-2</v>
      </c>
      <c r="Q76" s="1722">
        <f>'Додаток 5 до рішення'!F40</f>
        <v>10.509076983202204</v>
      </c>
      <c r="R76" s="1722">
        <f>'Додаток 5 до рішення'!G40</f>
        <v>3.4443629439749621</v>
      </c>
      <c r="U76" s="1121">
        <f>C76/C$105</f>
        <v>20.784158534978818</v>
      </c>
      <c r="V76" s="1724">
        <f t="shared" ref="V76:V104" si="15">D76-U76</f>
        <v>0</v>
      </c>
      <c r="W76" s="1622">
        <f t="shared" ref="W76:W104" si="16">D76+E76-F76-G76</f>
        <v>0</v>
      </c>
    </row>
    <row r="77" spans="1:23" ht="18.75" customHeight="1" thickBot="1" x14ac:dyDescent="0.3">
      <c r="A77" s="1695"/>
      <c r="B77" s="4892" t="s">
        <v>2809</v>
      </c>
      <c r="C77" s="4893"/>
      <c r="D77" s="4893"/>
      <c r="E77" s="4893"/>
      <c r="F77" s="4893"/>
      <c r="G77" s="4894"/>
      <c r="H77" s="1121"/>
      <c r="U77" s="1121">
        <f t="shared" ref="U77:U105" si="17">C77/C$105</f>
        <v>0</v>
      </c>
      <c r="V77" s="1724">
        <f t="shared" si="15"/>
        <v>0</v>
      </c>
      <c r="W77" s="1622">
        <f t="shared" si="16"/>
        <v>0</v>
      </c>
    </row>
    <row r="78" spans="1:23" s="15" customFormat="1" x14ac:dyDescent="0.25">
      <c r="A78" s="1696" t="s">
        <v>1747</v>
      </c>
      <c r="B78" s="255" t="s">
        <v>2748</v>
      </c>
      <c r="C78" s="3153">
        <f>C79+C80+C81+C85</f>
        <v>1882.449193542265</v>
      </c>
      <c r="D78" s="4495">
        <f>D79+D80+D81+D85</f>
        <v>19.053938183921233</v>
      </c>
      <c r="E78" s="4495">
        <f>E79+E80+E81+E85</f>
        <v>19.053938183921233</v>
      </c>
      <c r="F78" s="4495">
        <f>F79+F80+F81+F85</f>
        <v>19.053938183921233</v>
      </c>
      <c r="G78" s="4495">
        <f>G79+G80+G81+G85</f>
        <v>19.053938183921233</v>
      </c>
      <c r="H78" s="1724">
        <f>I78+N78-C78</f>
        <v>0</v>
      </c>
      <c r="I78" s="300">
        <f t="shared" ref="I78:R78" si="18">I79+I80+I81+I85</f>
        <v>313.4032418441285</v>
      </c>
      <c r="J78" s="300">
        <f t="shared" si="18"/>
        <v>260.43838976239061</v>
      </c>
      <c r="K78" s="300">
        <f t="shared" si="18"/>
        <v>0</v>
      </c>
      <c r="L78" s="300">
        <f t="shared" si="18"/>
        <v>38.307492758377151</v>
      </c>
      <c r="M78" s="300">
        <f t="shared" si="18"/>
        <v>14.657359323360716</v>
      </c>
      <c r="N78" s="300">
        <f t="shared" si="18"/>
        <v>1569.0459516981359</v>
      </c>
      <c r="O78" s="300">
        <f t="shared" si="18"/>
        <v>1302.9247111005434</v>
      </c>
      <c r="P78" s="300">
        <f t="shared" si="18"/>
        <v>0.25325877210051945</v>
      </c>
      <c r="Q78" s="300">
        <f t="shared" si="18"/>
        <v>200.2393032080042</v>
      </c>
      <c r="R78" s="300">
        <f t="shared" si="18"/>
        <v>65.628678617487864</v>
      </c>
      <c r="U78" s="1121">
        <f t="shared" si="17"/>
        <v>19.053938183921229</v>
      </c>
      <c r="V78" s="1724">
        <f t="shared" si="15"/>
        <v>0</v>
      </c>
      <c r="W78" s="1622">
        <f t="shared" si="16"/>
        <v>0</v>
      </c>
    </row>
    <row r="79" spans="1:23" x14ac:dyDescent="0.25">
      <c r="A79" s="1698" t="s">
        <v>1749</v>
      </c>
      <c r="B79" s="78" t="s">
        <v>2801</v>
      </c>
      <c r="C79" s="3152">
        <f>'Д 4_Т на П'!G12</f>
        <v>16.205225647500001</v>
      </c>
      <c r="D79" s="3152">
        <f t="shared" ref="D79:D84" si="19">C79/$C$105</f>
        <v>0.16402746422225142</v>
      </c>
      <c r="E79" s="3152">
        <f t="shared" ref="E79:E84" si="20">C79/$C$105</f>
        <v>0.16402746422225142</v>
      </c>
      <c r="F79" s="3152">
        <f t="shared" ref="F79:F84" si="21">C79/$C$105</f>
        <v>0.16402746422225142</v>
      </c>
      <c r="G79" s="3152">
        <f t="shared" ref="G79:G84" si="22">C79/$C$105</f>
        <v>0.16402746422225142</v>
      </c>
      <c r="H79" s="1724">
        <f t="shared" ref="H79:H104" si="23">I79+N79-C79</f>
        <v>0</v>
      </c>
      <c r="I79" s="1725">
        <f>SUM(J79:M79)</f>
        <v>2.6979587391600361</v>
      </c>
      <c r="J79" s="73">
        <f>J$76*D79</f>
        <v>2.2420062585749334</v>
      </c>
      <c r="K79" s="73">
        <f t="shared" ref="K79:M94" si="24">K$76*E79</f>
        <v>0</v>
      </c>
      <c r="L79" s="73">
        <f t="shared" si="24"/>
        <v>0.32977334329609687</v>
      </c>
      <c r="M79" s="73">
        <f t="shared" si="24"/>
        <v>0.12617913728900615</v>
      </c>
      <c r="N79" s="1725">
        <f>SUM(O79:R79)</f>
        <v>13.507266908339959</v>
      </c>
      <c r="O79" s="73">
        <f>O$76*D79</f>
        <v>11.216339340004607</v>
      </c>
      <c r="P79" s="73">
        <f t="shared" ref="P79:R94" si="25">P$76*E79</f>
        <v>2.180199902965163E-3</v>
      </c>
      <c r="Q79" s="73">
        <f t="shared" si="25"/>
        <v>1.7237772488710854</v>
      </c>
      <c r="R79" s="73">
        <f t="shared" si="25"/>
        <v>0.56497011956130172</v>
      </c>
      <c r="U79" s="1121">
        <f t="shared" si="17"/>
        <v>0.16402746422225142</v>
      </c>
      <c r="V79" s="1724">
        <f t="shared" si="15"/>
        <v>0</v>
      </c>
      <c r="W79" s="1622">
        <f t="shared" si="16"/>
        <v>0</v>
      </c>
    </row>
    <row r="80" spans="1:23" x14ac:dyDescent="0.25">
      <c r="A80" s="1698" t="s">
        <v>1751</v>
      </c>
      <c r="B80" s="78" t="s">
        <v>2757</v>
      </c>
      <c r="C80" s="3152">
        <f>'Д 4_Т на П'!G13</f>
        <v>754.48063799999989</v>
      </c>
      <c r="D80" s="3152">
        <f t="shared" si="19"/>
        <v>7.6367678271125046</v>
      </c>
      <c r="E80" s="3152">
        <f t="shared" si="20"/>
        <v>7.6367678271125046</v>
      </c>
      <c r="F80" s="3152">
        <f t="shared" si="21"/>
        <v>7.6367678271125046</v>
      </c>
      <c r="G80" s="3152">
        <f t="shared" si="22"/>
        <v>7.6367678271125046</v>
      </c>
      <c r="H80" s="1724">
        <f t="shared" si="23"/>
        <v>0</v>
      </c>
      <c r="I80" s="1725">
        <f>SUM(J80:M80)</f>
        <v>125.61118710082064</v>
      </c>
      <c r="J80" s="73">
        <f t="shared" ref="J80:M104" si="26">J$76*D80</f>
        <v>104.38301503259636</v>
      </c>
      <c r="K80" s="73">
        <f t="shared" si="24"/>
        <v>0</v>
      </c>
      <c r="L80" s="73">
        <f t="shared" si="24"/>
        <v>15.353541373477634</v>
      </c>
      <c r="M80" s="73">
        <f t="shared" si="24"/>
        <v>5.874630694746636</v>
      </c>
      <c r="N80" s="1725">
        <f>SUM(O80:R80)</f>
        <v>628.86945089917913</v>
      </c>
      <c r="O80" s="73">
        <f t="shared" ref="O80:R104" si="27">O$76*D80</f>
        <v>522.20876434242655</v>
      </c>
      <c r="P80" s="73">
        <f t="shared" si="25"/>
        <v>0.10150544333891812</v>
      </c>
      <c r="Q80" s="73">
        <f t="shared" si="25"/>
        <v>80.255380997967137</v>
      </c>
      <c r="R80" s="73">
        <f t="shared" si="25"/>
        <v>26.303800115446499</v>
      </c>
      <c r="U80" s="1121">
        <f t="shared" si="17"/>
        <v>7.6367678271125046</v>
      </c>
      <c r="V80" s="1724">
        <f t="shared" si="15"/>
        <v>0</v>
      </c>
      <c r="W80" s="1622">
        <f t="shared" si="16"/>
        <v>0</v>
      </c>
    </row>
    <row r="81" spans="1:23" x14ac:dyDescent="0.25">
      <c r="A81" s="1698" t="s">
        <v>1753</v>
      </c>
      <c r="B81" s="78" t="s">
        <v>2758</v>
      </c>
      <c r="C81" s="3152">
        <f>'Д 4_Т на П'!G14</f>
        <v>1045.9627763240737</v>
      </c>
      <c r="D81" s="3152">
        <f t="shared" si="19"/>
        <v>10.587117119086308</v>
      </c>
      <c r="E81" s="3152">
        <f t="shared" si="20"/>
        <v>10.587117119086308</v>
      </c>
      <c r="F81" s="3152">
        <f t="shared" si="21"/>
        <v>10.587117119086308</v>
      </c>
      <c r="G81" s="3152">
        <f t="shared" si="22"/>
        <v>10.587117119086308</v>
      </c>
      <c r="H81" s="1724">
        <f t="shared" si="23"/>
        <v>0</v>
      </c>
      <c r="I81" s="1725">
        <f t="shared" ref="I81:I104" si="28">SUM(J81:M81)</f>
        <v>174.13916193477854</v>
      </c>
      <c r="J81" s="73">
        <f t="shared" si="26"/>
        <v>144.70980792030878</v>
      </c>
      <c r="K81" s="73">
        <f t="shared" si="24"/>
        <v>0</v>
      </c>
      <c r="L81" s="73">
        <f t="shared" si="24"/>
        <v>21.285148952237527</v>
      </c>
      <c r="M81" s="73">
        <f t="shared" si="24"/>
        <v>8.1442050622322437</v>
      </c>
      <c r="N81" s="1725">
        <f t="shared" ref="N81:N104" si="29">SUM(O81:R81)</f>
        <v>871.82361438929479</v>
      </c>
      <c r="O81" s="73">
        <f t="shared" si="27"/>
        <v>723.95619113603868</v>
      </c>
      <c r="P81" s="73">
        <f t="shared" si="25"/>
        <v>0.14072053009633465</v>
      </c>
      <c r="Q81" s="73">
        <f t="shared" si="25"/>
        <v>111.26082883465595</v>
      </c>
      <c r="R81" s="73">
        <f t="shared" si="25"/>
        <v>36.465873888503836</v>
      </c>
      <c r="U81" s="1121">
        <f t="shared" si="17"/>
        <v>10.587117119086308</v>
      </c>
      <c r="V81" s="1724">
        <f t="shared" si="15"/>
        <v>0</v>
      </c>
      <c r="W81" s="1622">
        <f t="shared" si="16"/>
        <v>0</v>
      </c>
    </row>
    <row r="82" spans="1:23" x14ac:dyDescent="0.25">
      <c r="A82" s="1698" t="s">
        <v>2759</v>
      </c>
      <c r="B82" s="78" t="s">
        <v>2760</v>
      </c>
      <c r="C82" s="3152">
        <f>'Д 4_Т на П'!G15</f>
        <v>165.98574035999997</v>
      </c>
      <c r="D82" s="3152">
        <f t="shared" si="19"/>
        <v>1.6800889219647508</v>
      </c>
      <c r="E82" s="3152">
        <f t="shared" si="20"/>
        <v>1.6800889219647508</v>
      </c>
      <c r="F82" s="3152">
        <f t="shared" si="21"/>
        <v>1.6800889219647508</v>
      </c>
      <c r="G82" s="3152">
        <f t="shared" si="22"/>
        <v>1.6800889219647508</v>
      </c>
      <c r="H82" s="1724">
        <f t="shared" si="23"/>
        <v>0</v>
      </c>
      <c r="I82" s="1725">
        <f t="shared" si="28"/>
        <v>27.634461162180532</v>
      </c>
      <c r="J82" s="73">
        <f t="shared" si="26"/>
        <v>22.964263307171194</v>
      </c>
      <c r="K82" s="73">
        <f t="shared" si="24"/>
        <v>0</v>
      </c>
      <c r="L82" s="73">
        <f t="shared" si="24"/>
        <v>3.3777791021650794</v>
      </c>
      <c r="M82" s="73">
        <f t="shared" si="24"/>
        <v>1.2924187528442597</v>
      </c>
      <c r="N82" s="1725">
        <f t="shared" si="29"/>
        <v>138.35127919781937</v>
      </c>
      <c r="O82" s="73">
        <f t="shared" si="27"/>
        <v>114.88592815533381</v>
      </c>
      <c r="P82" s="73">
        <f t="shared" si="25"/>
        <v>2.2331197534561982E-2</v>
      </c>
      <c r="Q82" s="73">
        <f t="shared" si="25"/>
        <v>17.656183819552766</v>
      </c>
      <c r="R82" s="73">
        <f t="shared" si="25"/>
        <v>5.7868360253982294</v>
      </c>
      <c r="U82" s="1121">
        <f t="shared" si="17"/>
        <v>1.6800889219647508</v>
      </c>
      <c r="V82" s="1724">
        <f t="shared" si="15"/>
        <v>0</v>
      </c>
      <c r="W82" s="1622">
        <f t="shared" si="16"/>
        <v>0</v>
      </c>
    </row>
    <row r="83" spans="1:23" x14ac:dyDescent="0.25">
      <c r="A83" s="1698" t="s">
        <v>2761</v>
      </c>
      <c r="B83" s="78" t="s">
        <v>2762</v>
      </c>
      <c r="C83" s="3152">
        <f>'Д 4_Т на П'!G16</f>
        <v>843.99335000000065</v>
      </c>
      <c r="D83" s="3152">
        <f t="shared" si="19"/>
        <v>8.5428053908215862</v>
      </c>
      <c r="E83" s="3152">
        <f t="shared" si="20"/>
        <v>8.5428053908215862</v>
      </c>
      <c r="F83" s="3152">
        <f t="shared" si="21"/>
        <v>8.5428053908215862</v>
      </c>
      <c r="G83" s="3152">
        <f t="shared" si="22"/>
        <v>8.5428053908215862</v>
      </c>
      <c r="H83" s="1724">
        <f t="shared" si="23"/>
        <v>0</v>
      </c>
      <c r="I83" s="1725">
        <f t="shared" si="28"/>
        <v>140.51388632016622</v>
      </c>
      <c r="J83" s="73">
        <f t="shared" si="26"/>
        <v>116.76717214903724</v>
      </c>
      <c r="K83" s="73">
        <f t="shared" si="24"/>
        <v>0</v>
      </c>
      <c r="L83" s="73">
        <f t="shared" si="24"/>
        <v>17.175108499159396</v>
      </c>
      <c r="M83" s="73">
        <f t="shared" si="24"/>
        <v>6.5716056719696034</v>
      </c>
      <c r="N83" s="1725">
        <f t="shared" si="29"/>
        <v>703.47946367983434</v>
      </c>
      <c r="O83" s="73">
        <f t="shared" si="27"/>
        <v>584.16439364839675</v>
      </c>
      <c r="P83" s="73">
        <f t="shared" si="25"/>
        <v>0.11354820104323045</v>
      </c>
      <c r="Q83" s="73">
        <f t="shared" si="25"/>
        <v>89.776999504658846</v>
      </c>
      <c r="R83" s="73">
        <f t="shared" si="25"/>
        <v>29.424522325735417</v>
      </c>
      <c r="U83" s="1121">
        <f t="shared" si="17"/>
        <v>8.5428053908215862</v>
      </c>
      <c r="V83" s="1724">
        <f t="shared" si="15"/>
        <v>0</v>
      </c>
      <c r="W83" s="1622">
        <f t="shared" si="16"/>
        <v>0</v>
      </c>
    </row>
    <row r="84" spans="1:23" x14ac:dyDescent="0.25">
      <c r="A84" s="1698" t="s">
        <v>2763</v>
      </c>
      <c r="B84" s="78" t="s">
        <v>81</v>
      </c>
      <c r="C84" s="3152">
        <f>'Д 4_Т на П'!G17</f>
        <v>35.983685964073175</v>
      </c>
      <c r="D84" s="3152">
        <f t="shared" si="19"/>
        <v>0.36422280629997278</v>
      </c>
      <c r="E84" s="3152">
        <f t="shared" si="20"/>
        <v>0.36422280629997278</v>
      </c>
      <c r="F84" s="3152">
        <f t="shared" si="21"/>
        <v>0.36422280629997278</v>
      </c>
      <c r="G84" s="3152">
        <f t="shared" si="22"/>
        <v>0.36422280629997278</v>
      </c>
      <c r="H84" s="1724">
        <f t="shared" si="23"/>
        <v>0</v>
      </c>
      <c r="I84" s="1725">
        <f t="shared" si="28"/>
        <v>5.9908144524318052</v>
      </c>
      <c r="J84" s="73">
        <f t="shared" si="26"/>
        <v>4.9783724641003673</v>
      </c>
      <c r="K84" s="73">
        <f t="shared" si="24"/>
        <v>0</v>
      </c>
      <c r="L84" s="73">
        <f t="shared" si="24"/>
        <v>0.73226135091305555</v>
      </c>
      <c r="M84" s="73">
        <f t="shared" si="24"/>
        <v>0.28018063741838262</v>
      </c>
      <c r="N84" s="1725">
        <f t="shared" si="29"/>
        <v>29.992871511641361</v>
      </c>
      <c r="O84" s="73">
        <f t="shared" si="27"/>
        <v>24.905869332308264</v>
      </c>
      <c r="P84" s="73">
        <f t="shared" si="25"/>
        <v>4.8411315185422337E-3</v>
      </c>
      <c r="Q84" s="73">
        <f t="shared" si="25"/>
        <v>3.8276455104443587</v>
      </c>
      <c r="R84" s="73">
        <f t="shared" si="25"/>
        <v>1.2545155373701966</v>
      </c>
      <c r="U84" s="1121">
        <f t="shared" si="17"/>
        <v>0.36422280629997278</v>
      </c>
      <c r="V84" s="1724">
        <f t="shared" si="15"/>
        <v>0</v>
      </c>
      <c r="W84" s="1622">
        <f t="shared" si="16"/>
        <v>0</v>
      </c>
    </row>
    <row r="85" spans="1:23" s="15" customFormat="1" x14ac:dyDescent="0.25">
      <c r="A85" s="1700" t="s">
        <v>1755</v>
      </c>
      <c r="B85" s="255" t="s">
        <v>2764</v>
      </c>
      <c r="C85" s="3153">
        <f>C86+C87+C88+C89</f>
        <v>65.800553570691349</v>
      </c>
      <c r="D85" s="4495">
        <f>D86+D87+D88+D89</f>
        <v>0.66602577350016579</v>
      </c>
      <c r="E85" s="4495">
        <f>E86+E87+E88+E89</f>
        <v>0.66602577350016579</v>
      </c>
      <c r="F85" s="4495">
        <f>F86+F87+F88+F89</f>
        <v>0.66602577350016579</v>
      </c>
      <c r="G85" s="4495">
        <f>G86+G87+G88+G89</f>
        <v>0.66602577350016579</v>
      </c>
      <c r="H85" s="1724">
        <f t="shared" si="23"/>
        <v>0</v>
      </c>
      <c r="I85" s="1725">
        <f t="shared" si="28"/>
        <v>10.954934069369296</v>
      </c>
      <c r="J85" s="73">
        <f t="shared" si="26"/>
        <v>9.1035605509105686</v>
      </c>
      <c r="K85" s="73">
        <f t="shared" si="24"/>
        <v>0</v>
      </c>
      <c r="L85" s="73">
        <f t="shared" si="24"/>
        <v>1.3390290893658974</v>
      </c>
      <c r="M85" s="73">
        <f t="shared" si="24"/>
        <v>0.51234442909282951</v>
      </c>
      <c r="N85" s="1725">
        <f t="shared" si="29"/>
        <v>54.845619501322034</v>
      </c>
      <c r="O85" s="73">
        <f t="shared" si="27"/>
        <v>45.543416282073458</v>
      </c>
      <c r="P85" s="73">
        <f t="shared" si="25"/>
        <v>8.852598762301515E-3</v>
      </c>
      <c r="Q85" s="73">
        <f t="shared" si="25"/>
        <v>6.9993161265100365</v>
      </c>
      <c r="R85" s="73">
        <f t="shared" si="25"/>
        <v>2.2940344939762323</v>
      </c>
      <c r="U85" s="1121">
        <f t="shared" si="17"/>
        <v>0.66602577350016579</v>
      </c>
      <c r="V85" s="1724">
        <f t="shared" si="15"/>
        <v>0</v>
      </c>
      <c r="W85" s="1622">
        <f t="shared" si="16"/>
        <v>0</v>
      </c>
    </row>
    <row r="86" spans="1:23" x14ac:dyDescent="0.25">
      <c r="A86" s="1701" t="s">
        <v>2765</v>
      </c>
      <c r="B86" s="78" t="s">
        <v>2766</v>
      </c>
      <c r="C86" s="3152">
        <f>'Д 4_Т на П'!G19</f>
        <v>50.279889693741083</v>
      </c>
      <c r="D86" s="3152">
        <f>C86/$C$105</f>
        <v>0.50892736622344914</v>
      </c>
      <c r="E86" s="3152">
        <f>C86/$C$105</f>
        <v>0.50892736622344914</v>
      </c>
      <c r="F86" s="3152">
        <f>C86/$C$105</f>
        <v>0.50892736622344914</v>
      </c>
      <c r="G86" s="3152">
        <f>C86/$C$105</f>
        <v>0.50892736622344914</v>
      </c>
      <c r="H86" s="1724">
        <f t="shared" si="23"/>
        <v>0</v>
      </c>
      <c r="I86" s="1725">
        <f t="shared" si="28"/>
        <v>8.3709459376863879</v>
      </c>
      <c r="J86" s="73">
        <f t="shared" si="26"/>
        <v>6.9562639747145676</v>
      </c>
      <c r="K86" s="73">
        <f t="shared" si="24"/>
        <v>0</v>
      </c>
      <c r="L86" s="73">
        <f t="shared" si="24"/>
        <v>1.0231864514285196</v>
      </c>
      <c r="M86" s="73">
        <f t="shared" si="24"/>
        <v>0.39149551154330142</v>
      </c>
      <c r="N86" s="1725">
        <f t="shared" si="29"/>
        <v>41.908943756054676</v>
      </c>
      <c r="O86" s="73">
        <f t="shared" si="27"/>
        <v>34.800891826520328</v>
      </c>
      <c r="P86" s="73">
        <f t="shared" si="25"/>
        <v>6.7644976389640487E-3</v>
      </c>
      <c r="Q86" s="73">
        <f t="shared" si="25"/>
        <v>5.3483568705005684</v>
      </c>
      <c r="R86" s="73">
        <f t="shared" si="25"/>
        <v>1.752930561394823</v>
      </c>
      <c r="U86" s="1121">
        <f t="shared" si="17"/>
        <v>0.50892736622344914</v>
      </c>
      <c r="V86" s="1724">
        <f t="shared" si="15"/>
        <v>0</v>
      </c>
      <c r="W86" s="1622">
        <f t="shared" si="16"/>
        <v>0</v>
      </c>
    </row>
    <row r="87" spans="1:23" x14ac:dyDescent="0.25">
      <c r="A87" s="1701" t="s">
        <v>2767</v>
      </c>
      <c r="B87" s="78" t="s">
        <v>2275</v>
      </c>
      <c r="C87" s="3152">
        <f>'Д 4_Т на П'!G20</f>
        <v>10.73236983354378</v>
      </c>
      <c r="D87" s="3152">
        <f>C87/$C$105</f>
        <v>0.10863183563032659</v>
      </c>
      <c r="E87" s="3152">
        <f>C87/$C$105</f>
        <v>0.10863183563032659</v>
      </c>
      <c r="F87" s="3152">
        <f>C87/$C$105</f>
        <v>0.10863183563032659</v>
      </c>
      <c r="G87" s="3152">
        <f>C87/$C$105</f>
        <v>0.10863183563032659</v>
      </c>
      <c r="H87" s="1724">
        <f t="shared" si="23"/>
        <v>0</v>
      </c>
      <c r="I87" s="1725">
        <f t="shared" si="28"/>
        <v>1.7867996172440823</v>
      </c>
      <c r="J87" s="73">
        <f t="shared" si="26"/>
        <v>1.4848321683109702</v>
      </c>
      <c r="K87" s="73">
        <f t="shared" si="24"/>
        <v>0</v>
      </c>
      <c r="L87" s="73">
        <f t="shared" si="24"/>
        <v>0.21840174018458738</v>
      </c>
      <c r="M87" s="73">
        <f t="shared" si="24"/>
        <v>8.3565708748524758E-2</v>
      </c>
      <c r="N87" s="1725">
        <f t="shared" si="29"/>
        <v>8.9455702162996946</v>
      </c>
      <c r="O87" s="73">
        <f t="shared" si="27"/>
        <v>7.4283385244948219</v>
      </c>
      <c r="P87" s="73">
        <f t="shared" si="25"/>
        <v>1.443899158126696E-3</v>
      </c>
      <c r="Q87" s="73">
        <f t="shared" si="25"/>
        <v>1.1416203234656703</v>
      </c>
      <c r="R87" s="73">
        <f t="shared" si="25"/>
        <v>0.37416746918107591</v>
      </c>
      <c r="U87" s="1121">
        <f t="shared" si="17"/>
        <v>0.10863183563032659</v>
      </c>
      <c r="V87" s="1724">
        <f t="shared" si="15"/>
        <v>0</v>
      </c>
      <c r="W87" s="1622">
        <f t="shared" si="16"/>
        <v>0</v>
      </c>
    </row>
    <row r="88" spans="1:23" x14ac:dyDescent="0.25">
      <c r="A88" s="1701" t="s">
        <v>2768</v>
      </c>
      <c r="B88" s="78" t="s">
        <v>2762</v>
      </c>
      <c r="C88" s="3152">
        <f>ЗВВ_2ст!K37+ЗВВ_2ст!K38</f>
        <v>0.3093596578550839</v>
      </c>
      <c r="D88" s="3152">
        <f>C88/$C$105</f>
        <v>3.131303526061112E-3</v>
      </c>
      <c r="E88" s="3152">
        <f>C88/$C$105</f>
        <v>3.131303526061112E-3</v>
      </c>
      <c r="F88" s="3152">
        <f>C88/$C$105</f>
        <v>3.131303526061112E-3</v>
      </c>
      <c r="G88" s="3152">
        <f>C88/$C$105</f>
        <v>3.131303526061112E-3</v>
      </c>
      <c r="H88" s="1724">
        <f t="shared" si="23"/>
        <v>0</v>
      </c>
      <c r="I88" s="1725">
        <f t="shared" si="28"/>
        <v>5.1504348696461581E-2</v>
      </c>
      <c r="J88" s="73">
        <f t="shared" si="26"/>
        <v>4.2800162376554048E-2</v>
      </c>
      <c r="K88" s="73">
        <f t="shared" si="24"/>
        <v>0</v>
      </c>
      <c r="L88" s="73">
        <f t="shared" si="24"/>
        <v>6.2954117931425524E-3</v>
      </c>
      <c r="M88" s="73">
        <f t="shared" si="24"/>
        <v>2.4087745267649843E-3</v>
      </c>
      <c r="N88" s="1725">
        <f t="shared" si="29"/>
        <v>0.2578553091586222</v>
      </c>
      <c r="O88" s="73">
        <f t="shared" si="27"/>
        <v>0.21412123324217</v>
      </c>
      <c r="P88" s="73">
        <f t="shared" si="25"/>
        <v>4.1620271800475706E-5</v>
      </c>
      <c r="Q88" s="73">
        <f t="shared" si="25"/>
        <v>3.2907109813148733E-2</v>
      </c>
      <c r="R88" s="73">
        <f t="shared" si="25"/>
        <v>1.0785345831503031E-2</v>
      </c>
      <c r="U88" s="1121">
        <f t="shared" si="17"/>
        <v>3.131303526061112E-3</v>
      </c>
      <c r="V88" s="1724">
        <f t="shared" si="15"/>
        <v>0</v>
      </c>
      <c r="W88" s="1622">
        <f t="shared" si="16"/>
        <v>0</v>
      </c>
    </row>
    <row r="89" spans="1:23" x14ac:dyDescent="0.25">
      <c r="A89" s="1701" t="s">
        <v>2769</v>
      </c>
      <c r="B89" s="78" t="s">
        <v>58</v>
      </c>
      <c r="C89" s="3152">
        <f>'Д 4_Т на П'!G21-'D1_2023-2024'!C88</f>
        <v>4.4789343855514021</v>
      </c>
      <c r="D89" s="3152">
        <f>C89/$C$105</f>
        <v>4.5335268120328974E-2</v>
      </c>
      <c r="E89" s="3152">
        <f>C89/$C$105</f>
        <v>4.5335268120328974E-2</v>
      </c>
      <c r="F89" s="3152">
        <f>C89/$C$105</f>
        <v>4.5335268120328974E-2</v>
      </c>
      <c r="G89" s="3152">
        <f>C89/$C$105</f>
        <v>4.5335268120328974E-2</v>
      </c>
      <c r="H89" s="1724">
        <f t="shared" si="23"/>
        <v>0</v>
      </c>
      <c r="I89" s="1725">
        <f t="shared" si="28"/>
        <v>0.74568416574236374</v>
      </c>
      <c r="J89" s="73">
        <f t="shared" si="26"/>
        <v>0.61966424550847754</v>
      </c>
      <c r="K89" s="73">
        <f t="shared" si="24"/>
        <v>0</v>
      </c>
      <c r="L89" s="73">
        <f t="shared" si="24"/>
        <v>9.1145485959647762E-2</v>
      </c>
      <c r="M89" s="73">
        <f t="shared" si="24"/>
        <v>3.4874434274238371E-2</v>
      </c>
      <c r="N89" s="1725">
        <f t="shared" si="29"/>
        <v>3.7332502198090367</v>
      </c>
      <c r="O89" s="73">
        <f t="shared" si="27"/>
        <v>3.1000646978161464</v>
      </c>
      <c r="P89" s="73">
        <f t="shared" si="25"/>
        <v>6.0258169341029526E-4</v>
      </c>
      <c r="Q89" s="73">
        <f t="shared" si="25"/>
        <v>0.47643182273064988</v>
      </c>
      <c r="R89" s="73">
        <f t="shared" si="25"/>
        <v>0.15615111756883054</v>
      </c>
      <c r="U89" s="1121">
        <f t="shared" si="17"/>
        <v>4.5335268120328974E-2</v>
      </c>
      <c r="V89" s="1724">
        <f t="shared" si="15"/>
        <v>0</v>
      </c>
      <c r="W89" s="1622">
        <f t="shared" si="16"/>
        <v>0</v>
      </c>
    </row>
    <row r="90" spans="1:23" s="15" customFormat="1" x14ac:dyDescent="0.25">
      <c r="A90" s="1696" t="s">
        <v>1768</v>
      </c>
      <c r="B90" s="255" t="s">
        <v>2770</v>
      </c>
      <c r="C90" s="3153">
        <f>C91+C92+C93+C94</f>
        <v>79.995936156684508</v>
      </c>
      <c r="D90" s="4495">
        <f>D91+D92+D93+D94</f>
        <v>0.809709833191391</v>
      </c>
      <c r="E90" s="4495">
        <f>E91+E92+E93+E94</f>
        <v>0.809709833191391</v>
      </c>
      <c r="F90" s="4495">
        <f>F91+F92+F93+F94</f>
        <v>0.809709833191391</v>
      </c>
      <c r="G90" s="4495">
        <f>G91+G92+G93+G94</f>
        <v>0.809709833191391</v>
      </c>
      <c r="H90" s="1724">
        <f t="shared" si="23"/>
        <v>0</v>
      </c>
      <c r="I90" s="1725">
        <f t="shared" si="28"/>
        <v>13.318280149003108</v>
      </c>
      <c r="J90" s="73">
        <f t="shared" si="26"/>
        <v>11.067503373611846</v>
      </c>
      <c r="K90" s="73">
        <f t="shared" si="24"/>
        <v>0</v>
      </c>
      <c r="L90" s="73">
        <f t="shared" si="24"/>
        <v>1.6279024982636217</v>
      </c>
      <c r="M90" s="73">
        <f t="shared" si="24"/>
        <v>0.62287427712764054</v>
      </c>
      <c r="N90" s="1725">
        <f t="shared" si="29"/>
        <v>66.677656007681378</v>
      </c>
      <c r="O90" s="73">
        <f t="shared" si="27"/>
        <v>55.368656091076339</v>
      </c>
      <c r="P90" s="73">
        <f t="shared" si="25"/>
        <v>1.0762400724319252E-2</v>
      </c>
      <c r="Q90" s="73">
        <f t="shared" si="25"/>
        <v>8.5093029710641428</v>
      </c>
      <c r="R90" s="73">
        <f t="shared" si="25"/>
        <v>2.7889345448165752</v>
      </c>
      <c r="U90" s="1121">
        <f t="shared" si="17"/>
        <v>0.809709833191391</v>
      </c>
      <c r="V90" s="1724">
        <f t="shared" si="15"/>
        <v>0</v>
      </c>
      <c r="W90" s="1622">
        <f t="shared" si="16"/>
        <v>0</v>
      </c>
    </row>
    <row r="91" spans="1:23" x14ac:dyDescent="0.25">
      <c r="A91" s="1701" t="s">
        <v>2771</v>
      </c>
      <c r="B91" s="78" t="s">
        <v>55</v>
      </c>
      <c r="C91" s="3152">
        <f>'Д 4_Т на П'!G23</f>
        <v>59.90608734861253</v>
      </c>
      <c r="D91" s="3152">
        <f>C91/$C$105</f>
        <v>0.60636265196254868</v>
      </c>
      <c r="E91" s="3152">
        <f>C91/$C$105</f>
        <v>0.60636265196254868</v>
      </c>
      <c r="F91" s="3152">
        <f>C91/$C$105</f>
        <v>0.60636265196254868</v>
      </c>
      <c r="G91" s="3152">
        <f>C91/$C$105</f>
        <v>0.60636265196254868</v>
      </c>
      <c r="H91" s="1724">
        <f t="shared" si="23"/>
        <v>0</v>
      </c>
      <c r="I91" s="1725">
        <f t="shared" si="28"/>
        <v>9.9735823126910699</v>
      </c>
      <c r="J91" s="73">
        <f t="shared" si="26"/>
        <v>8.288056314911362</v>
      </c>
      <c r="K91" s="73">
        <f t="shared" si="24"/>
        <v>0</v>
      </c>
      <c r="L91" s="73">
        <f t="shared" si="24"/>
        <v>1.2190777924642882</v>
      </c>
      <c r="M91" s="73">
        <f t="shared" si="24"/>
        <v>0.46644820531541903</v>
      </c>
      <c r="N91" s="1725">
        <f t="shared" si="29"/>
        <v>49.932505035921452</v>
      </c>
      <c r="O91" s="73">
        <f t="shared" si="27"/>
        <v>41.463600621794122</v>
      </c>
      <c r="P91" s="73">
        <f t="shared" si="25"/>
        <v>8.0595758840677767E-3</v>
      </c>
      <c r="Q91" s="73">
        <f t="shared" si="25"/>
        <v>6.372311789213069</v>
      </c>
      <c r="R91" s="73">
        <f t="shared" si="25"/>
        <v>2.0885330490301897</v>
      </c>
      <c r="U91" s="1121">
        <f t="shared" si="17"/>
        <v>0.60636265196254868</v>
      </c>
      <c r="V91" s="1724">
        <f t="shared" si="15"/>
        <v>0</v>
      </c>
      <c r="W91" s="1622">
        <f t="shared" si="16"/>
        <v>0</v>
      </c>
    </row>
    <row r="92" spans="1:23" x14ac:dyDescent="0.25">
      <c r="A92" s="1701" t="s">
        <v>2772</v>
      </c>
      <c r="B92" s="78" t="s">
        <v>2773</v>
      </c>
      <c r="C92" s="3152">
        <f>'Д 4_Т на П'!G24</f>
        <v>13.179339216694757</v>
      </c>
      <c r="D92" s="3152">
        <f>C92/$C$105</f>
        <v>0.1333997834317607</v>
      </c>
      <c r="E92" s="3152">
        <f>C92/$C$105</f>
        <v>0.1333997834317607</v>
      </c>
      <c r="F92" s="3152">
        <f>C92/$C$105</f>
        <v>0.1333997834317607</v>
      </c>
      <c r="G92" s="3152">
        <f>C92/$C$105</f>
        <v>0.1333997834317607</v>
      </c>
      <c r="H92" s="1724">
        <f t="shared" si="23"/>
        <v>0</v>
      </c>
      <c r="I92" s="1725">
        <f t="shared" si="28"/>
        <v>2.194188108792035</v>
      </c>
      <c r="J92" s="73">
        <f t="shared" si="26"/>
        <v>1.8233723892804994</v>
      </c>
      <c r="K92" s="73">
        <f t="shared" si="24"/>
        <v>0</v>
      </c>
      <c r="L92" s="73">
        <f t="shared" si="24"/>
        <v>0.26819711434214338</v>
      </c>
      <c r="M92" s="73">
        <f t="shared" si="24"/>
        <v>0.10261860516939218</v>
      </c>
      <c r="N92" s="1725">
        <f t="shared" si="29"/>
        <v>10.985151107902716</v>
      </c>
      <c r="O92" s="73">
        <f t="shared" si="27"/>
        <v>9.1219921367947059</v>
      </c>
      <c r="P92" s="73">
        <f t="shared" si="25"/>
        <v>1.7731066944949106E-3</v>
      </c>
      <c r="Q92" s="73">
        <f t="shared" si="25"/>
        <v>1.4019085936268751</v>
      </c>
      <c r="R92" s="73">
        <f t="shared" si="25"/>
        <v>0.45947727078664169</v>
      </c>
      <c r="U92" s="1121">
        <f t="shared" si="17"/>
        <v>0.1333997834317607</v>
      </c>
      <c r="V92" s="1724">
        <f t="shared" si="15"/>
        <v>0</v>
      </c>
      <c r="W92" s="1622">
        <f t="shared" si="16"/>
        <v>0</v>
      </c>
    </row>
    <row r="93" spans="1:23" x14ac:dyDescent="0.25">
      <c r="A93" s="1701" t="s">
        <v>2774</v>
      </c>
      <c r="B93" s="78" t="s">
        <v>2762</v>
      </c>
      <c r="C93" s="3152">
        <f>Адміністративні_2ст!K36+Адміністративні_2ст!K37</f>
        <v>0.75564424062180591</v>
      </c>
      <c r="D93" s="3152">
        <f>C93/$C$105</f>
        <v>7.6485456814644835E-3</v>
      </c>
      <c r="E93" s="3152">
        <f>C93/$C$105</f>
        <v>7.6485456814644835E-3</v>
      </c>
      <c r="F93" s="3152">
        <f>C93/$C$105</f>
        <v>7.6485456814644835E-3</v>
      </c>
      <c r="G93" s="3152">
        <f>C93/$C$105</f>
        <v>7.6485456814644835E-3</v>
      </c>
      <c r="H93" s="1724">
        <f t="shared" si="23"/>
        <v>0</v>
      </c>
      <c r="I93" s="1725">
        <f t="shared" si="28"/>
        <v>0.12580491176289563</v>
      </c>
      <c r="J93" s="73">
        <f t="shared" si="26"/>
        <v>0.10454400040961799</v>
      </c>
      <c r="K93" s="73">
        <f t="shared" si="24"/>
        <v>0</v>
      </c>
      <c r="L93" s="73">
        <f t="shared" si="24"/>
        <v>1.5377220471517241E-2</v>
      </c>
      <c r="M93" s="73">
        <f t="shared" si="24"/>
        <v>5.8836908817604065E-3</v>
      </c>
      <c r="N93" s="1725">
        <f t="shared" si="29"/>
        <v>0.62983932885891014</v>
      </c>
      <c r="O93" s="73">
        <f t="shared" si="27"/>
        <v>0.52301414417156267</v>
      </c>
      <c r="P93" s="73">
        <f t="shared" si="25"/>
        <v>1.0166199076246744E-4</v>
      </c>
      <c r="Q93" s="73">
        <f t="shared" si="25"/>
        <v>8.0379155376049019E-2</v>
      </c>
      <c r="R93" s="73">
        <f t="shared" si="25"/>
        <v>2.6344367320535991E-2</v>
      </c>
      <c r="U93" s="1121">
        <f t="shared" si="17"/>
        <v>7.6485456814644835E-3</v>
      </c>
      <c r="V93" s="1724">
        <f t="shared" si="15"/>
        <v>0</v>
      </c>
      <c r="W93" s="1622">
        <f t="shared" si="16"/>
        <v>0</v>
      </c>
    </row>
    <row r="94" spans="1:23" x14ac:dyDescent="0.25">
      <c r="A94" s="1701" t="s">
        <v>2775</v>
      </c>
      <c r="B94" s="78" t="s">
        <v>2776</v>
      </c>
      <c r="C94" s="3152">
        <f>'Д 4_Т на П'!G25-'D1_2023-2024'!C93</f>
        <v>6.1548653507554141</v>
      </c>
      <c r="D94" s="3152">
        <f>C94/$C$105</f>
        <v>6.2298852115617143E-2</v>
      </c>
      <c r="E94" s="3152">
        <f>C94/$C$105</f>
        <v>6.2298852115617143E-2</v>
      </c>
      <c r="F94" s="3152">
        <f>C94/$C$105</f>
        <v>6.2298852115617143E-2</v>
      </c>
      <c r="G94" s="3152">
        <f>C94/$C$105</f>
        <v>6.2298852115617143E-2</v>
      </c>
      <c r="H94" s="1724">
        <f t="shared" si="23"/>
        <v>0</v>
      </c>
      <c r="I94" s="1725">
        <f t="shared" si="28"/>
        <v>1.0247048157571095</v>
      </c>
      <c r="J94" s="73">
        <f t="shared" si="26"/>
        <v>0.85153066901036745</v>
      </c>
      <c r="K94" s="73">
        <f t="shared" si="24"/>
        <v>0</v>
      </c>
      <c r="L94" s="73">
        <f t="shared" si="24"/>
        <v>0.12525037098567293</v>
      </c>
      <c r="M94" s="73">
        <f t="shared" si="24"/>
        <v>4.7923775761069001E-2</v>
      </c>
      <c r="N94" s="1725">
        <f t="shared" si="29"/>
        <v>5.1301605349983026</v>
      </c>
      <c r="O94" s="73">
        <f t="shared" si="27"/>
        <v>4.2600491883159508</v>
      </c>
      <c r="P94" s="73">
        <f t="shared" si="25"/>
        <v>8.2805615499409826E-4</v>
      </c>
      <c r="Q94" s="73">
        <f t="shared" si="25"/>
        <v>0.65470343284815002</v>
      </c>
      <c r="R94" s="73">
        <f t="shared" si="25"/>
        <v>0.21457985767920787</v>
      </c>
      <c r="U94" s="1121">
        <f t="shared" si="17"/>
        <v>6.2298852115617143E-2</v>
      </c>
      <c r="V94" s="1724">
        <f t="shared" si="15"/>
        <v>0</v>
      </c>
      <c r="W94" s="1622">
        <f t="shared" si="16"/>
        <v>0</v>
      </c>
    </row>
    <row r="95" spans="1:23" s="15" customFormat="1" x14ac:dyDescent="0.25">
      <c r="A95" s="1696" t="s">
        <v>1770</v>
      </c>
      <c r="B95" s="255" t="s">
        <v>2777</v>
      </c>
      <c r="C95" s="3153">
        <v>0</v>
      </c>
      <c r="D95" s="3153">
        <v>0</v>
      </c>
      <c r="E95" s="3153">
        <v>0</v>
      </c>
      <c r="F95" s="3153">
        <v>0</v>
      </c>
      <c r="G95" s="3153">
        <v>0</v>
      </c>
      <c r="H95" s="1724">
        <f t="shared" si="23"/>
        <v>0</v>
      </c>
      <c r="I95" s="1725">
        <f t="shared" si="28"/>
        <v>0</v>
      </c>
      <c r="J95" s="73">
        <f t="shared" si="26"/>
        <v>0</v>
      </c>
      <c r="K95" s="73">
        <f t="shared" si="26"/>
        <v>0</v>
      </c>
      <c r="L95" s="73">
        <f t="shared" si="26"/>
        <v>0</v>
      </c>
      <c r="M95" s="73">
        <f t="shared" si="26"/>
        <v>0</v>
      </c>
      <c r="N95" s="1725">
        <f t="shared" si="29"/>
        <v>0</v>
      </c>
      <c r="O95" s="73">
        <f t="shared" si="27"/>
        <v>0</v>
      </c>
      <c r="P95" s="73">
        <f t="shared" si="27"/>
        <v>0</v>
      </c>
      <c r="Q95" s="73">
        <f t="shared" si="27"/>
        <v>0</v>
      </c>
      <c r="R95" s="73">
        <f t="shared" si="27"/>
        <v>0</v>
      </c>
      <c r="U95" s="1121">
        <f t="shared" si="17"/>
        <v>0</v>
      </c>
      <c r="V95" s="1724">
        <f t="shared" si="15"/>
        <v>0</v>
      </c>
      <c r="W95" s="1622">
        <f t="shared" si="16"/>
        <v>0</v>
      </c>
    </row>
    <row r="96" spans="1:23" s="15" customFormat="1" x14ac:dyDescent="0.25">
      <c r="A96" s="1696" t="s">
        <v>1773</v>
      </c>
      <c r="B96" s="255" t="s">
        <v>2779</v>
      </c>
      <c r="C96" s="3153">
        <v>0</v>
      </c>
      <c r="D96" s="3153">
        <v>0</v>
      </c>
      <c r="E96" s="3153">
        <v>0</v>
      </c>
      <c r="F96" s="3153">
        <v>0</v>
      </c>
      <c r="G96" s="3153">
        <v>0</v>
      </c>
      <c r="H96" s="1724">
        <f t="shared" si="23"/>
        <v>0</v>
      </c>
      <c r="I96" s="1725">
        <f t="shared" si="28"/>
        <v>0</v>
      </c>
      <c r="J96" s="73">
        <f t="shared" si="26"/>
        <v>0</v>
      </c>
      <c r="K96" s="73">
        <f t="shared" si="26"/>
        <v>0</v>
      </c>
      <c r="L96" s="73">
        <f t="shared" si="26"/>
        <v>0</v>
      </c>
      <c r="M96" s="73">
        <f t="shared" si="26"/>
        <v>0</v>
      </c>
      <c r="N96" s="1725">
        <f t="shared" si="29"/>
        <v>0</v>
      </c>
      <c r="O96" s="73">
        <f t="shared" si="27"/>
        <v>0</v>
      </c>
      <c r="P96" s="73">
        <f t="shared" si="27"/>
        <v>0</v>
      </c>
      <c r="Q96" s="73">
        <f t="shared" si="27"/>
        <v>0</v>
      </c>
      <c r="R96" s="73">
        <f t="shared" si="27"/>
        <v>0</v>
      </c>
      <c r="U96" s="1121">
        <f t="shared" si="17"/>
        <v>0</v>
      </c>
      <c r="V96" s="1724">
        <f t="shared" si="15"/>
        <v>0</v>
      </c>
      <c r="W96" s="1622">
        <f t="shared" si="16"/>
        <v>0</v>
      </c>
    </row>
    <row r="97" spans="1:23" s="15" customFormat="1" x14ac:dyDescent="0.25">
      <c r="A97" s="1696" t="s">
        <v>1845</v>
      </c>
      <c r="B97" s="4616" t="s">
        <v>2442</v>
      </c>
      <c r="C97" s="3153">
        <f>C90+C78</f>
        <v>1962.4451296989496</v>
      </c>
      <c r="D97" s="3153">
        <f t="shared" ref="D97:G97" si="30">D90+D78</f>
        <v>19.863648017112624</v>
      </c>
      <c r="E97" s="3153">
        <f t="shared" si="30"/>
        <v>19.863648017112624</v>
      </c>
      <c r="F97" s="3153">
        <f t="shared" si="30"/>
        <v>19.863648017112624</v>
      </c>
      <c r="G97" s="3153">
        <f t="shared" si="30"/>
        <v>19.863648017112624</v>
      </c>
      <c r="H97" s="1724"/>
      <c r="I97" s="1725"/>
      <c r="J97" s="73"/>
      <c r="K97" s="73"/>
      <c r="L97" s="73"/>
      <c r="M97" s="73"/>
      <c r="N97" s="1725"/>
      <c r="O97" s="73"/>
      <c r="P97" s="73"/>
      <c r="Q97" s="73"/>
      <c r="R97" s="73"/>
      <c r="U97" s="1121"/>
      <c r="V97" s="1724"/>
      <c r="W97" s="1622"/>
    </row>
    <row r="98" spans="1:23" s="15" customFormat="1" x14ac:dyDescent="0.25">
      <c r="A98" s="1696" t="s">
        <v>1851</v>
      </c>
      <c r="B98" s="255" t="s">
        <v>2780</v>
      </c>
      <c r="C98" s="3153">
        <v>0</v>
      </c>
      <c r="D98" s="3153">
        <v>0</v>
      </c>
      <c r="E98" s="3153">
        <v>0</v>
      </c>
      <c r="F98" s="3153">
        <v>0</v>
      </c>
      <c r="G98" s="3153">
        <v>0</v>
      </c>
      <c r="H98" s="1724">
        <f t="shared" si="23"/>
        <v>0</v>
      </c>
      <c r="I98" s="1725">
        <f t="shared" si="28"/>
        <v>0</v>
      </c>
      <c r="J98" s="73">
        <f t="shared" si="26"/>
        <v>0</v>
      </c>
      <c r="K98" s="73">
        <f t="shared" si="26"/>
        <v>0</v>
      </c>
      <c r="L98" s="73">
        <f t="shared" si="26"/>
        <v>0</v>
      </c>
      <c r="M98" s="73">
        <f t="shared" si="26"/>
        <v>0</v>
      </c>
      <c r="N98" s="1725">
        <f t="shared" si="29"/>
        <v>0</v>
      </c>
      <c r="O98" s="73">
        <f t="shared" si="27"/>
        <v>0</v>
      </c>
      <c r="P98" s="73">
        <f t="shared" si="27"/>
        <v>0</v>
      </c>
      <c r="Q98" s="73">
        <f t="shared" si="27"/>
        <v>0</v>
      </c>
      <c r="R98" s="73">
        <f t="shared" si="27"/>
        <v>0</v>
      </c>
      <c r="U98" s="1121">
        <f t="shared" si="17"/>
        <v>0</v>
      </c>
      <c r="V98" s="1724">
        <f t="shared" si="15"/>
        <v>0</v>
      </c>
      <c r="W98" s="1622">
        <f t="shared" si="16"/>
        <v>0</v>
      </c>
    </row>
    <row r="99" spans="1:23" s="15" customFormat="1" x14ac:dyDescent="0.25">
      <c r="A99" s="1696" t="s">
        <v>1857</v>
      </c>
      <c r="B99" s="255" t="s">
        <v>2781</v>
      </c>
      <c r="C99" s="3153">
        <v>0</v>
      </c>
      <c r="D99" s="3153">
        <v>0</v>
      </c>
      <c r="E99" s="3153">
        <v>0</v>
      </c>
      <c r="F99" s="3153">
        <v>0</v>
      </c>
      <c r="G99" s="3153">
        <v>0</v>
      </c>
      <c r="H99" s="1724">
        <f t="shared" si="23"/>
        <v>0</v>
      </c>
      <c r="I99" s="1725">
        <f t="shared" si="28"/>
        <v>0</v>
      </c>
      <c r="J99" s="73">
        <f t="shared" si="26"/>
        <v>0</v>
      </c>
      <c r="K99" s="73">
        <f t="shared" si="26"/>
        <v>0</v>
      </c>
      <c r="L99" s="73">
        <f t="shared" si="26"/>
        <v>0</v>
      </c>
      <c r="M99" s="73">
        <f t="shared" si="26"/>
        <v>0</v>
      </c>
      <c r="N99" s="1725">
        <f t="shared" si="29"/>
        <v>0</v>
      </c>
      <c r="O99" s="73">
        <f t="shared" si="27"/>
        <v>0</v>
      </c>
      <c r="P99" s="73">
        <f t="shared" si="27"/>
        <v>0</v>
      </c>
      <c r="Q99" s="73">
        <f t="shared" si="27"/>
        <v>0</v>
      </c>
      <c r="R99" s="73">
        <f t="shared" si="27"/>
        <v>0</v>
      </c>
      <c r="U99" s="1121">
        <f t="shared" si="17"/>
        <v>0</v>
      </c>
      <c r="V99" s="1724">
        <f t="shared" si="15"/>
        <v>0</v>
      </c>
      <c r="W99" s="1622">
        <f t="shared" si="16"/>
        <v>0</v>
      </c>
    </row>
    <row r="100" spans="1:23" s="15" customFormat="1" x14ac:dyDescent="0.25">
      <c r="A100" s="1696" t="s">
        <v>1859</v>
      </c>
      <c r="B100" s="255" t="s">
        <v>2782</v>
      </c>
      <c r="C100" s="3153">
        <f>SUM(C101:C104)</f>
        <v>90.942579181170828</v>
      </c>
      <c r="D100" s="3153">
        <f>SUM(D101:D104)</f>
        <v>0.92051051786619464</v>
      </c>
      <c r="E100" s="3153">
        <f>SUM(E101:E104)</f>
        <v>0.92051051786619464</v>
      </c>
      <c r="F100" s="3153">
        <f>SUM(F101:F104)</f>
        <v>0.92051051786619464</v>
      </c>
      <c r="G100" s="3153">
        <f>SUM(G101:G104)</f>
        <v>0.92051051786619464</v>
      </c>
      <c r="H100" s="1724">
        <f t="shared" si="23"/>
        <v>0</v>
      </c>
      <c r="I100" s="1725">
        <f t="shared" si="28"/>
        <v>15.140753458218294</v>
      </c>
      <c r="J100" s="73">
        <f t="shared" si="26"/>
        <v>12.581980413619627</v>
      </c>
      <c r="K100" s="73">
        <f t="shared" si="26"/>
        <v>0</v>
      </c>
      <c r="L100" s="73">
        <f t="shared" si="26"/>
        <v>1.8506646582345727</v>
      </c>
      <c r="M100" s="73">
        <f t="shared" si="26"/>
        <v>0.70810838636409457</v>
      </c>
      <c r="N100" s="1725">
        <f t="shared" si="29"/>
        <v>75.801825722952501</v>
      </c>
      <c r="O100" s="73">
        <f t="shared" si="27"/>
        <v>62.94530238205067</v>
      </c>
      <c r="P100" s="73">
        <f t="shared" si="27"/>
        <v>1.2235127521151062E-2</v>
      </c>
      <c r="Q100" s="73">
        <f t="shared" si="27"/>
        <v>9.6737158961031682</v>
      </c>
      <c r="R100" s="73">
        <f t="shared" si="27"/>
        <v>3.1705723172775233</v>
      </c>
      <c r="U100" s="1121">
        <f t="shared" si="17"/>
        <v>0.92051051786619464</v>
      </c>
      <c r="V100" s="1724">
        <f t="shared" si="15"/>
        <v>0</v>
      </c>
      <c r="W100" s="1622">
        <f t="shared" si="16"/>
        <v>0</v>
      </c>
    </row>
    <row r="101" spans="1:23" x14ac:dyDescent="0.25">
      <c r="A101" s="1701" t="s">
        <v>1030</v>
      </c>
      <c r="B101" s="78" t="s">
        <v>65</v>
      </c>
      <c r="C101" s="3152">
        <f>'Д 4_Т на П'!G35</f>
        <v>16.369664252610747</v>
      </c>
      <c r="D101" s="3152">
        <f>C101/$C$105</f>
        <v>0.16569189321591501</v>
      </c>
      <c r="E101" s="3152">
        <f>C101/$C$105</f>
        <v>0.16569189321591501</v>
      </c>
      <c r="F101" s="3152">
        <f>C101/$C$105</f>
        <v>0.16569189321591501</v>
      </c>
      <c r="G101" s="3152">
        <f>C101/$C$105</f>
        <v>0.16569189321591501</v>
      </c>
      <c r="H101" s="1724">
        <f t="shared" si="23"/>
        <v>0</v>
      </c>
      <c r="I101" s="1725">
        <f t="shared" si="28"/>
        <v>2.7253356224792924</v>
      </c>
      <c r="J101" s="73">
        <f t="shared" si="26"/>
        <v>2.2647564744515325</v>
      </c>
      <c r="K101" s="73">
        <f t="shared" si="26"/>
        <v>0</v>
      </c>
      <c r="L101" s="73">
        <f t="shared" si="26"/>
        <v>0.33311963848222303</v>
      </c>
      <c r="M101" s="73">
        <f t="shared" si="26"/>
        <v>0.127459509545537</v>
      </c>
      <c r="N101" s="1725">
        <f t="shared" si="29"/>
        <v>13.644328630131449</v>
      </c>
      <c r="O101" s="73">
        <f t="shared" si="27"/>
        <v>11.330154428769118</v>
      </c>
      <c r="P101" s="73">
        <f t="shared" si="27"/>
        <v>2.2023229538071908E-3</v>
      </c>
      <c r="Q101" s="73">
        <f t="shared" si="27"/>
        <v>1.7412688612985701</v>
      </c>
      <c r="R101" s="73">
        <f t="shared" si="27"/>
        <v>0.57070301710995408</v>
      </c>
      <c r="U101" s="1121">
        <f t="shared" si="17"/>
        <v>0.16569189321591501</v>
      </c>
      <c r="V101" s="1724">
        <f t="shared" si="15"/>
        <v>0</v>
      </c>
      <c r="W101" s="1622">
        <f t="shared" si="16"/>
        <v>0</v>
      </c>
    </row>
    <row r="102" spans="1:23" ht="27.6" x14ac:dyDescent="0.25">
      <c r="A102" s="1701" t="s">
        <v>2783</v>
      </c>
      <c r="B102" s="2003" t="s">
        <v>4145</v>
      </c>
      <c r="C102" s="3152">
        <f>'Д 4_Т на П'!G36</f>
        <v>0</v>
      </c>
      <c r="D102" s="3152">
        <f>C102/$C$105</f>
        <v>0</v>
      </c>
      <c r="E102" s="3152">
        <f>C102/$C$105</f>
        <v>0</v>
      </c>
      <c r="F102" s="3152">
        <f>C102/$C$105</f>
        <v>0</v>
      </c>
      <c r="G102" s="3152">
        <f>C102/$C$105</f>
        <v>0</v>
      </c>
      <c r="H102" s="1724">
        <f t="shared" si="23"/>
        <v>0</v>
      </c>
      <c r="I102" s="1725">
        <f t="shared" si="28"/>
        <v>0</v>
      </c>
      <c r="J102" s="73">
        <f t="shared" si="26"/>
        <v>0</v>
      </c>
      <c r="K102" s="73">
        <f t="shared" si="26"/>
        <v>0</v>
      </c>
      <c r="L102" s="73">
        <f t="shared" si="26"/>
        <v>0</v>
      </c>
      <c r="M102" s="73">
        <f t="shared" si="26"/>
        <v>0</v>
      </c>
      <c r="N102" s="1725">
        <f t="shared" si="29"/>
        <v>0</v>
      </c>
      <c r="O102" s="73">
        <f t="shared" si="27"/>
        <v>0</v>
      </c>
      <c r="P102" s="73">
        <f t="shared" si="27"/>
        <v>0</v>
      </c>
      <c r="Q102" s="73">
        <f t="shared" si="27"/>
        <v>0</v>
      </c>
      <c r="R102" s="73">
        <f t="shared" si="27"/>
        <v>0</v>
      </c>
      <c r="U102" s="1121">
        <f t="shared" si="17"/>
        <v>0</v>
      </c>
      <c r="V102" s="1724">
        <f t="shared" si="15"/>
        <v>0</v>
      </c>
      <c r="W102" s="1622">
        <f t="shared" si="16"/>
        <v>0</v>
      </c>
    </row>
    <row r="103" spans="1:23" x14ac:dyDescent="0.25">
      <c r="A103" s="1701" t="s">
        <v>2784</v>
      </c>
      <c r="B103" s="78" t="s">
        <v>71</v>
      </c>
      <c r="C103" s="3152">
        <f>'Д 4_Т на П'!G37</f>
        <v>0</v>
      </c>
      <c r="D103" s="3152">
        <f>C103/$C$105</f>
        <v>0</v>
      </c>
      <c r="E103" s="3152">
        <f>C103/$C$105</f>
        <v>0</v>
      </c>
      <c r="F103" s="3152">
        <f>C103/$C$105</f>
        <v>0</v>
      </c>
      <c r="G103" s="3152">
        <f>C103/$C$105</f>
        <v>0</v>
      </c>
      <c r="H103" s="1724">
        <f t="shared" si="23"/>
        <v>0</v>
      </c>
      <c r="I103" s="1725">
        <f t="shared" si="28"/>
        <v>0</v>
      </c>
      <c r="J103" s="73">
        <f t="shared" si="26"/>
        <v>0</v>
      </c>
      <c r="K103" s="73">
        <f t="shared" si="26"/>
        <v>0</v>
      </c>
      <c r="L103" s="73">
        <f t="shared" si="26"/>
        <v>0</v>
      </c>
      <c r="M103" s="73">
        <f t="shared" si="26"/>
        <v>0</v>
      </c>
      <c r="N103" s="1725">
        <f t="shared" si="29"/>
        <v>0</v>
      </c>
      <c r="O103" s="73">
        <f t="shared" si="27"/>
        <v>0</v>
      </c>
      <c r="P103" s="73">
        <f t="shared" si="27"/>
        <v>0</v>
      </c>
      <c r="Q103" s="73">
        <f t="shared" si="27"/>
        <v>0</v>
      </c>
      <c r="R103" s="73">
        <f t="shared" si="27"/>
        <v>0</v>
      </c>
      <c r="U103" s="1121">
        <f t="shared" si="17"/>
        <v>0</v>
      </c>
      <c r="V103" s="1724">
        <f t="shared" si="15"/>
        <v>0</v>
      </c>
      <c r="W103" s="1622">
        <f t="shared" si="16"/>
        <v>0</v>
      </c>
    </row>
    <row r="104" spans="1:23" ht="27.6" customHeight="1" x14ac:dyDescent="0.25">
      <c r="A104" s="1701" t="s">
        <v>2785</v>
      </c>
      <c r="B104" s="2003" t="s">
        <v>2545</v>
      </c>
      <c r="C104" s="3152">
        <f>'Д 4_Т на П'!G39</f>
        <v>74.572914928560081</v>
      </c>
      <c r="D104" s="3152">
        <f>C104/$C$105</f>
        <v>0.7548186246502796</v>
      </c>
      <c r="E104" s="3152">
        <f>C104/$C$105</f>
        <v>0.7548186246502796</v>
      </c>
      <c r="F104" s="3152">
        <f>C104/$C$105</f>
        <v>0.7548186246502796</v>
      </c>
      <c r="G104" s="3152">
        <f>C104/$C$105</f>
        <v>0.7548186246502796</v>
      </c>
      <c r="H104" s="1724">
        <f t="shared" si="23"/>
        <v>0</v>
      </c>
      <c r="I104" s="1725">
        <f t="shared" si="28"/>
        <v>12.415417835739001</v>
      </c>
      <c r="J104" s="73">
        <f t="shared" si="26"/>
        <v>10.317223939168095</v>
      </c>
      <c r="K104" s="73">
        <f t="shared" si="26"/>
        <v>0</v>
      </c>
      <c r="L104" s="73">
        <f t="shared" si="26"/>
        <v>1.5175450197523495</v>
      </c>
      <c r="M104" s="73">
        <f t="shared" si="26"/>
        <v>0.58064887681855759</v>
      </c>
      <c r="N104" s="1725">
        <f t="shared" si="29"/>
        <v>62.15749709282106</v>
      </c>
      <c r="O104" s="73">
        <f t="shared" si="27"/>
        <v>51.61514795328155</v>
      </c>
      <c r="P104" s="73">
        <f t="shared" si="27"/>
        <v>1.0032804567343871E-2</v>
      </c>
      <c r="Q104" s="73">
        <f t="shared" si="27"/>
        <v>7.9324470348045972</v>
      </c>
      <c r="R104" s="73">
        <f t="shared" si="27"/>
        <v>2.599869300167569</v>
      </c>
      <c r="U104" s="1121">
        <f t="shared" si="17"/>
        <v>0.7548186246502796</v>
      </c>
      <c r="V104" s="1724">
        <f t="shared" si="15"/>
        <v>0</v>
      </c>
      <c r="W104" s="1622">
        <f t="shared" si="16"/>
        <v>0</v>
      </c>
    </row>
    <row r="105" spans="1:23" s="15" customFormat="1" ht="28.2" thickBot="1" x14ac:dyDescent="0.3">
      <c r="A105" s="4498" t="s">
        <v>1861</v>
      </c>
      <c r="B105" s="4502" t="s">
        <v>3085</v>
      </c>
      <c r="C105" s="4499">
        <f>'ТЕ_2ст_тариф_з ЦТП'!E14</f>
        <v>98.795806692118902</v>
      </c>
      <c r="D105" s="4500">
        <f>'ТЕ_2ст_тариф_з ЦТП'!H14</f>
        <v>82.049342543904487</v>
      </c>
      <c r="E105" s="4500">
        <f>'ТЕ_2ст_тариф_з ЦТП'!K14</f>
        <v>1.3291675959893333E-2</v>
      </c>
      <c r="F105" s="4500">
        <f>'ТЕ_2ст_тариф_з ЦТП'!N14</f>
        <v>12.519553368115806</v>
      </c>
      <c r="G105" s="4500">
        <f>'ТЕ_2ст_тариф_з ЦТП'!Q14</f>
        <v>4.2136191041387132</v>
      </c>
      <c r="H105" s="1724"/>
      <c r="I105" s="1725"/>
      <c r="J105" s="73"/>
      <c r="K105" s="73"/>
      <c r="L105" s="73"/>
      <c r="M105" s="73"/>
      <c r="N105" s="1725"/>
      <c r="O105" s="73"/>
      <c r="P105" s="73"/>
      <c r="Q105" s="73"/>
      <c r="R105" s="73"/>
      <c r="U105" s="1121">
        <f t="shared" si="17"/>
        <v>1</v>
      </c>
      <c r="V105" s="1724"/>
      <c r="W105" s="1622">
        <f>C105-D105-E105-F105-G105</f>
        <v>0</v>
      </c>
    </row>
    <row r="107" spans="1:23" hidden="1" x14ac:dyDescent="0.25">
      <c r="C107" s="2044"/>
      <c r="D107" s="1708"/>
      <c r="E107" s="1708"/>
      <c r="F107" s="1708"/>
      <c r="G107" s="1708"/>
    </row>
    <row r="108" spans="1:23" ht="29.4" customHeight="1" x14ac:dyDescent="0.25">
      <c r="B108" s="100" t="str">
        <f>'D1_2023-2024'!B108</f>
        <v>Начальник управління економічного
розвитку та торгівлі</v>
      </c>
      <c r="C108" s="2044">
        <f>'ТЕ_2ст_тариф_з ЦТП'!E120</f>
        <v>15229.615576495595</v>
      </c>
      <c r="D108" s="1710"/>
      <c r="E108" s="1708"/>
      <c r="F108" s="4891" t="str">
        <f>'D1_2023-2024'!F108:G108</f>
        <v>Наталія ГЄНЧЕВА</v>
      </c>
      <c r="G108" s="4891"/>
    </row>
    <row r="110" spans="1:23" hidden="1" x14ac:dyDescent="0.25">
      <c r="C110" s="4504">
        <f>C42-C67-C68-C69-C70</f>
        <v>0</v>
      </c>
      <c r="D110" s="4504">
        <f>D42-D67-D68-D69-D70</f>
        <v>2.2026824808563106E-13</v>
      </c>
      <c r="E110" s="4504">
        <f>E42-E67-E68-E69-E70</f>
        <v>-9.2370555648813024E-14</v>
      </c>
      <c r="F110" s="4504">
        <f>F42-F67-F68-F69-F70</f>
        <v>0</v>
      </c>
      <c r="G110" s="4504">
        <f>G42-G67-G68-G69-G70</f>
        <v>-2.0250467969162855E-13</v>
      </c>
    </row>
    <row r="111" spans="1:23" hidden="1" x14ac:dyDescent="0.25">
      <c r="D111" s="10"/>
    </row>
    <row r="112" spans="1:23" hidden="1" x14ac:dyDescent="0.25">
      <c r="C112" s="305">
        <f>C33+C67+C97</f>
        <v>202070.73974857898</v>
      </c>
      <c r="D112" s="305">
        <f t="shared" ref="D112:G112" si="31">D33+D67+D97</f>
        <v>1809.6163859349272</v>
      </c>
      <c r="E112" s="305">
        <f t="shared" si="31"/>
        <v>2890.6236070036621</v>
      </c>
      <c r="F112" s="305">
        <f t="shared" si="31"/>
        <v>2890.6236070036634</v>
      </c>
      <c r="G112" s="305">
        <f t="shared" si="31"/>
        <v>2890.6236070036634</v>
      </c>
    </row>
    <row r="113" spans="3:25" hidden="1" x14ac:dyDescent="0.25">
      <c r="C113" s="305">
        <f>C34+C68+C98</f>
        <v>0</v>
      </c>
    </row>
    <row r="114" spans="3:25" hidden="1" x14ac:dyDescent="0.25">
      <c r="C114" s="305">
        <f t="shared" ref="C114:G119" si="32">C35+C69+C99</f>
        <v>0</v>
      </c>
    </row>
    <row r="115" spans="3:25" hidden="1" x14ac:dyDescent="0.25">
      <c r="C115" s="305">
        <f t="shared" si="32"/>
        <v>9364.2537932268315</v>
      </c>
      <c r="D115" s="305">
        <f t="shared" si="32"/>
        <v>83.860271543325894</v>
      </c>
      <c r="E115" s="305">
        <f t="shared" si="32"/>
        <v>133.955728129438</v>
      </c>
      <c r="F115" s="305">
        <f t="shared" si="32"/>
        <v>133.95572812943806</v>
      </c>
      <c r="G115" s="305">
        <f t="shared" si="32"/>
        <v>133.95572812943806</v>
      </c>
    </row>
    <row r="116" spans="3:25" hidden="1" x14ac:dyDescent="0.25">
      <c r="C116" s="305">
        <f t="shared" si="32"/>
        <v>1685.5656827808295</v>
      </c>
      <c r="D116" s="305">
        <f t="shared" si="32"/>
        <v>15.094848877798658</v>
      </c>
      <c r="E116" s="305">
        <f t="shared" si="32"/>
        <v>24.112031063298833</v>
      </c>
      <c r="F116" s="305">
        <f t="shared" si="32"/>
        <v>24.112031063298836</v>
      </c>
      <c r="G116" s="305">
        <f t="shared" si="32"/>
        <v>24.112031063298843</v>
      </c>
    </row>
    <row r="117" spans="3:25" hidden="1" x14ac:dyDescent="0.25">
      <c r="C117" s="305">
        <f>C116/C112</f>
        <v>8.3414634146341468E-3</v>
      </c>
      <c r="D117" s="305">
        <f t="shared" ref="D117:G117" si="33">D116/D112</f>
        <v>8.3414634146341451E-3</v>
      </c>
      <c r="E117" s="305">
        <f t="shared" si="33"/>
        <v>8.3414634146341433E-3</v>
      </c>
      <c r="F117" s="305">
        <f t="shared" si="33"/>
        <v>8.3414634146341416E-3</v>
      </c>
      <c r="G117" s="305">
        <f t="shared" si="33"/>
        <v>8.3414634146341433E-3</v>
      </c>
    </row>
    <row r="118" spans="3:25" hidden="1" x14ac:dyDescent="0.25">
      <c r="C118" s="305">
        <f t="shared" si="32"/>
        <v>0</v>
      </c>
    </row>
    <row r="119" spans="3:25" hidden="1" x14ac:dyDescent="0.25">
      <c r="C119" s="305">
        <f t="shared" si="32"/>
        <v>7678.6881104460026</v>
      </c>
      <c r="D119" s="305">
        <f t="shared" si="32"/>
        <v>68.76542266552724</v>
      </c>
      <c r="E119" s="305">
        <f t="shared" si="32"/>
        <v>109.84369706613916</v>
      </c>
      <c r="F119" s="305">
        <f t="shared" si="32"/>
        <v>109.84369706613921</v>
      </c>
      <c r="G119" s="305">
        <f t="shared" si="32"/>
        <v>109.84369706613921</v>
      </c>
    </row>
    <row r="120" spans="3:25" hidden="1" x14ac:dyDescent="0.25">
      <c r="C120" s="305">
        <f>C119/C112</f>
        <v>3.8000000000000006E-2</v>
      </c>
      <c r="D120" s="305">
        <f t="shared" ref="D120:G120" si="34">D119/D112</f>
        <v>3.8000000000000006E-2</v>
      </c>
      <c r="E120" s="305">
        <f t="shared" si="34"/>
        <v>3.7999999999999999E-2</v>
      </c>
      <c r="F120" s="305">
        <f t="shared" si="34"/>
        <v>3.7999999999999999E-2</v>
      </c>
      <c r="G120" s="305">
        <f t="shared" si="34"/>
        <v>3.7999999999999999E-2</v>
      </c>
    </row>
    <row r="121" spans="3:25" hidden="1" x14ac:dyDescent="0.25">
      <c r="C121" s="305">
        <f>C117+C120</f>
        <v>4.6341463414634153E-2</v>
      </c>
      <c r="D121" s="305">
        <f t="shared" ref="D121:X121" si="35">D117+D120</f>
        <v>4.6341463414634153E-2</v>
      </c>
      <c r="E121" s="305">
        <f t="shared" si="35"/>
        <v>4.6341463414634146E-2</v>
      </c>
      <c r="F121" s="305">
        <f t="shared" si="35"/>
        <v>4.6341463414634139E-2</v>
      </c>
      <c r="G121" s="305">
        <f t="shared" si="35"/>
        <v>4.6341463414634146E-2</v>
      </c>
      <c r="H121" s="305">
        <f t="shared" si="35"/>
        <v>0</v>
      </c>
      <c r="I121" s="305">
        <f t="shared" si="35"/>
        <v>0</v>
      </c>
      <c r="J121" s="305">
        <f t="shared" si="35"/>
        <v>0</v>
      </c>
      <c r="K121" s="305">
        <f t="shared" si="35"/>
        <v>0</v>
      </c>
      <c r="L121" s="305">
        <f t="shared" si="35"/>
        <v>0</v>
      </c>
      <c r="M121" s="305">
        <f t="shared" si="35"/>
        <v>0</v>
      </c>
      <c r="N121" s="305">
        <f t="shared" si="35"/>
        <v>0</v>
      </c>
      <c r="O121" s="305">
        <f t="shared" si="35"/>
        <v>0</v>
      </c>
      <c r="P121" s="305">
        <f t="shared" si="35"/>
        <v>0</v>
      </c>
      <c r="Q121" s="305">
        <f t="shared" si="35"/>
        <v>0</v>
      </c>
      <c r="R121" s="305">
        <f t="shared" si="35"/>
        <v>0</v>
      </c>
      <c r="S121" s="305">
        <f t="shared" si="35"/>
        <v>0</v>
      </c>
      <c r="T121" s="305">
        <f t="shared" si="35"/>
        <v>0</v>
      </c>
      <c r="U121" s="305">
        <f t="shared" si="35"/>
        <v>0</v>
      </c>
      <c r="V121" s="305">
        <f t="shared" si="35"/>
        <v>0</v>
      </c>
      <c r="W121" s="305">
        <f t="shared" si="35"/>
        <v>0</v>
      </c>
      <c r="X121" s="305">
        <f t="shared" si="35"/>
        <v>0</v>
      </c>
      <c r="Y121" s="305"/>
    </row>
    <row r="122" spans="3:25" hidden="1" x14ac:dyDescent="0.25"/>
    <row r="123" spans="3:25" hidden="1" x14ac:dyDescent="0.25">
      <c r="D123" s="4697">
        <f>1809.62-D112</f>
        <v>3.6140650727247703E-3</v>
      </c>
    </row>
  </sheetData>
  <mergeCells count="11">
    <mergeCell ref="B9:G9"/>
    <mergeCell ref="B43:G43"/>
    <mergeCell ref="B77:G77"/>
    <mergeCell ref="F108:G108"/>
    <mergeCell ref="F1:G1"/>
    <mergeCell ref="A2:G2"/>
    <mergeCell ref="A4:A5"/>
    <mergeCell ref="B4:B5"/>
    <mergeCell ref="C4:C5"/>
    <mergeCell ref="D4:G4"/>
    <mergeCell ref="E3:G3"/>
  </mergeCells>
  <pageMargins left="0.70866141732283472" right="0.39" top="0.67" bottom="0.51181102362204722" header="0.47244094488188981" footer="0.31496062992125984"/>
  <pageSetup paperSize="9" scale="81" fitToHeight="6" orientation="portrait" r:id="rId1"/>
  <headerFooter differentFirst="1">
    <oddHeader>&amp;RПродовження Додатку 2</oddHeader>
    <oddFooter>&amp;Rстор. &amp;P з &amp;N</oddFooter>
  </headerFooter>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D00-000000000000}">
  <sheetPr codeName="Лист25">
    <tabColor rgb="FF00B050"/>
    <pageSetUpPr fitToPage="1"/>
  </sheetPr>
  <dimension ref="A1:U124"/>
  <sheetViews>
    <sheetView zoomScale="75" zoomScaleNormal="75" workbookViewId="0">
      <selection activeCell="F9" sqref="F9"/>
    </sheetView>
  </sheetViews>
  <sheetFormatPr defaultColWidth="9.109375" defaultRowHeight="15.6" x14ac:dyDescent="0.3"/>
  <cols>
    <col min="1" max="1" width="4.6640625" style="391" customWidth="1"/>
    <col min="2" max="2" width="60.88671875" style="391" customWidth="1"/>
    <col min="3" max="4" width="10.88671875" style="390" customWidth="1"/>
    <col min="5" max="5" width="13.88671875" style="390" customWidth="1"/>
    <col min="6" max="6" width="13.6640625" style="390" customWidth="1"/>
    <col min="7" max="7" width="12.6640625" style="391" customWidth="1"/>
    <col min="8" max="9" width="12.88671875" style="391" customWidth="1"/>
    <col min="10" max="10" width="14" style="391" customWidth="1"/>
    <col min="11" max="11" width="15.33203125" style="389" hidden="1" customWidth="1"/>
    <col min="12" max="12" width="14" style="391" hidden="1" customWidth="1"/>
    <col min="13" max="13" width="21" style="391" hidden="1" customWidth="1"/>
    <col min="14" max="14" width="12" style="391" hidden="1" customWidth="1"/>
    <col min="15" max="15" width="10.6640625" style="391" hidden="1" customWidth="1"/>
    <col min="16" max="16" width="10.6640625" style="1273" bestFit="1" customWidth="1"/>
    <col min="17" max="16384" width="9.109375" style="391"/>
  </cols>
  <sheetData>
    <row r="1" spans="2:21" ht="19.5" customHeight="1" x14ac:dyDescent="0.3">
      <c r="C1" s="391"/>
      <c r="D1" s="391"/>
      <c r="E1" s="391"/>
      <c r="F1" s="392" t="s">
        <v>821</v>
      </c>
      <c r="M1" s="997">
        <v>387950.80000000005</v>
      </c>
      <c r="N1" s="997">
        <v>520565.06000000011</v>
      </c>
      <c r="O1" s="997">
        <v>388861.62806786661</v>
      </c>
      <c r="P1" s="1186"/>
    </row>
    <row r="2" spans="2:21" x14ac:dyDescent="0.3">
      <c r="B2" s="389"/>
      <c r="C2" s="389"/>
      <c r="D2" s="389"/>
      <c r="E2" s="389"/>
      <c r="F2" s="5196" t="s">
        <v>2324</v>
      </c>
      <c r="G2" s="5196"/>
      <c r="H2" s="5196"/>
      <c r="M2" s="994">
        <f>M1/1000-C9</f>
        <v>-392.95138999999995</v>
      </c>
      <c r="N2" s="994">
        <f>N1/1000-D9</f>
        <v>-1083.7839199999999</v>
      </c>
      <c r="O2" s="994">
        <f>O1/1000-E9</f>
        <v>-1313.9608620491629</v>
      </c>
      <c r="P2" s="1186"/>
    </row>
    <row r="3" spans="2:21" ht="18" customHeight="1" x14ac:dyDescent="0.3">
      <c r="C3" s="391"/>
      <c r="D3" s="391"/>
      <c r="E3" s="391"/>
      <c r="F3" s="391"/>
    </row>
    <row r="4" spans="2:21" ht="17.399999999999999" x14ac:dyDescent="0.3">
      <c r="B4" s="394" t="s">
        <v>1664</v>
      </c>
      <c r="C4" s="888" t="str">
        <f>'Вхідні дані'!$F$5</f>
        <v>КП «КТЕ"</v>
      </c>
      <c r="D4" s="1063"/>
      <c r="E4" s="888"/>
      <c r="F4" s="395" t="s">
        <v>461</v>
      </c>
      <c r="G4" s="888" t="str">
        <f>'Вхідні дані'!$F$6</f>
        <v>2023-2024</v>
      </c>
      <c r="H4" s="395" t="s">
        <v>661</v>
      </c>
      <c r="J4" s="394"/>
      <c r="K4" s="511"/>
      <c r="L4" s="394">
        <f>ФОП!G24</f>
        <v>2</v>
      </c>
      <c r="M4" s="391" t="s">
        <v>1697</v>
      </c>
    </row>
    <row r="5" spans="2:21" ht="17.399999999999999" x14ac:dyDescent="0.3">
      <c r="B5" s="394"/>
      <c r="C5" s="391"/>
      <c r="D5" s="391"/>
      <c r="E5" s="391"/>
      <c r="F5" s="424"/>
      <c r="G5" s="424"/>
      <c r="H5" s="425"/>
      <c r="I5" s="395"/>
      <c r="J5" s="394"/>
      <c r="K5" s="511"/>
      <c r="L5" s="394"/>
    </row>
    <row r="6" spans="2:21" ht="18.600000000000001" thickBot="1" x14ac:dyDescent="0.4">
      <c r="B6" s="419" t="s">
        <v>2225</v>
      </c>
      <c r="C6" s="391"/>
      <c r="D6" s="391"/>
      <c r="E6" s="391"/>
      <c r="F6" s="497">
        <f>SUM(G6:J6)</f>
        <v>1</v>
      </c>
      <c r="G6" s="497">
        <f>'Д 7_РП'!$G$96/('Д 7_РП'!$G$95-'Д 7_РП'!$G$112)</f>
        <v>0.83049490320462638</v>
      </c>
      <c r="H6" s="497">
        <f>'Д 7_РП'!$G$103/('Д 7_РП'!$G$95-'Д 7_РП'!$G$112)</f>
        <v>1.3453626987847974E-4</v>
      </c>
      <c r="I6" s="497">
        <f>'Д 7_РП'!$G$106/('Д 7_РП'!$G$95-'Д 7_РП'!$G$112)</f>
        <v>0.12672096549548859</v>
      </c>
      <c r="J6" s="497">
        <f>'Д 7_РП'!$G$109/('Д 7_РП'!$G$95-'Д 7_РП'!$G$112)</f>
        <v>4.2649595030006517E-2</v>
      </c>
      <c r="K6" s="512"/>
      <c r="L6" s="497"/>
    </row>
    <row r="7" spans="2:21" ht="18" thickBot="1" x14ac:dyDescent="0.3">
      <c r="B7" s="5176" t="s">
        <v>8</v>
      </c>
      <c r="C7" s="494" t="s">
        <v>932</v>
      </c>
      <c r="D7" s="494" t="s">
        <v>932</v>
      </c>
      <c r="E7" s="494" t="s">
        <v>942</v>
      </c>
      <c r="F7" s="494" t="s">
        <v>933</v>
      </c>
      <c r="G7" s="5178" t="s">
        <v>907</v>
      </c>
      <c r="H7" s="5179"/>
      <c r="I7" s="5179"/>
      <c r="J7" s="5180"/>
      <c r="K7" s="513"/>
      <c r="L7" s="507"/>
    </row>
    <row r="8" spans="2:21" ht="51" thickBot="1" x14ac:dyDescent="0.3">
      <c r="B8" s="5177"/>
      <c r="C8" s="494">
        <f>'Вхідні дані'!$F$8</f>
        <v>2021</v>
      </c>
      <c r="D8" s="494">
        <f>'Вхідні дані'!$F$7</f>
        <v>2022</v>
      </c>
      <c r="E8" s="496" t="str">
        <f>'Вхідні дані'!$F$9</f>
        <v>Ріш. №296 від 25.10.2022</v>
      </c>
      <c r="F8" s="494" t="str">
        <f>'Вхідні дані'!$F$6</f>
        <v>2023-2024</v>
      </c>
      <c r="G8" s="495" t="str">
        <f>'Вхідні дані'!$C$11</f>
        <v>населення</v>
      </c>
      <c r="H8" s="495" t="str">
        <f>'Вхідні дані'!$D$11</f>
        <v>релігійні організації</v>
      </c>
      <c r="I8" s="495" t="str">
        <f>'Вхідні дані'!$E$11</f>
        <v>бюджетні установи</v>
      </c>
      <c r="J8" s="495" t="str">
        <f>'Вхідні дані'!$F$11</f>
        <v>інші споживачі</v>
      </c>
      <c r="K8" s="513"/>
      <c r="L8" s="508"/>
    </row>
    <row r="9" spans="2:21" ht="34.799999999999997" x14ac:dyDescent="0.3">
      <c r="B9" s="400" t="s">
        <v>1658</v>
      </c>
      <c r="C9" s="401">
        <f>C10+C21+C23</f>
        <v>780.90219000000002</v>
      </c>
      <c r="D9" s="401">
        <f t="shared" ref="D9:J9" si="0">D10+D21+D23</f>
        <v>1604.34898</v>
      </c>
      <c r="E9" s="2616">
        <f t="shared" si="0"/>
        <v>1702.8224901170295</v>
      </c>
      <c r="F9" s="2557">
        <f t="shared" si="0"/>
        <v>1816.6486399715736</v>
      </c>
      <c r="G9" s="401">
        <f t="shared" si="0"/>
        <v>1508.7174364100083</v>
      </c>
      <c r="H9" s="401">
        <f t="shared" si="0"/>
        <v>0.24440513170158884</v>
      </c>
      <c r="I9" s="401">
        <f t="shared" si="0"/>
        <v>230.2074696232641</v>
      </c>
      <c r="J9" s="401">
        <f t="shared" si="0"/>
        <v>77.479328806599725</v>
      </c>
      <c r="K9" s="514"/>
      <c r="L9" s="504"/>
      <c r="M9" s="399"/>
      <c r="O9" s="399">
        <f>F9-G9-H9-I9-J9</f>
        <v>0</v>
      </c>
      <c r="P9" s="2615">
        <f>Постачання_1ст!E9-Постачання_2ст!E9</f>
        <v>0</v>
      </c>
      <c r="Q9" s="1283">
        <f>Постачання_1ст!F9</f>
        <v>1816.6486399715736</v>
      </c>
      <c r="R9" s="1283">
        <f>Постачання_1ст!G9</f>
        <v>1508.7161240299506</v>
      </c>
      <c r="S9" s="1283">
        <f>Постачання_1ст!H9</f>
        <v>0.24440617333821807</v>
      </c>
      <c r="T9" s="1283">
        <f>Постачання_1ст!I9</f>
        <v>230.20845075050556</v>
      </c>
      <c r="U9" s="1283">
        <f>Постачання_1ст!J9</f>
        <v>77.479659017779539</v>
      </c>
    </row>
    <row r="10" spans="2:21" ht="17.399999999999999" x14ac:dyDescent="0.3">
      <c r="B10" s="404" t="s">
        <v>1657</v>
      </c>
      <c r="C10" s="405">
        <f>SUM(C11:C20)</f>
        <v>15.5435</v>
      </c>
      <c r="D10" s="405">
        <f t="shared" ref="D10:J10" si="1">SUM(D11:D20)</f>
        <v>15.313230000000001</v>
      </c>
      <c r="E10" s="2617">
        <f t="shared" si="1"/>
        <v>16.507197000000001</v>
      </c>
      <c r="F10" s="970">
        <f>SUM(F11:F20)</f>
        <v>16.205225647500001</v>
      </c>
      <c r="G10" s="405">
        <f t="shared" si="1"/>
        <v>13.45835730552964</v>
      </c>
      <c r="H10" s="405">
        <f t="shared" si="1"/>
        <v>2.1801906111537216E-3</v>
      </c>
      <c r="I10" s="405">
        <f t="shared" si="1"/>
        <v>2.053541840123454</v>
      </c>
      <c r="J10" s="405">
        <f t="shared" si="1"/>
        <v>0.6911463112357501</v>
      </c>
      <c r="K10" s="515"/>
      <c r="L10" s="505"/>
      <c r="O10" s="399">
        <f t="shared" ref="O10:O63" si="2">F10-G10-H10-I10-J10</f>
        <v>2.886579864025407E-15</v>
      </c>
      <c r="P10" s="2615">
        <f>Постачання_1ст!E10-Постачання_2ст!E10</f>
        <v>0</v>
      </c>
      <c r="Q10" s="1283">
        <f>Постачання_1ст!F10</f>
        <v>16.205225647500001</v>
      </c>
      <c r="R10" s="1283">
        <f>Постачання_1ст!G10</f>
        <v>13.458345598579543</v>
      </c>
      <c r="S10" s="1283">
        <f>Постачання_1ст!H10</f>
        <v>2.180199902965163E-3</v>
      </c>
      <c r="T10" s="1283">
        <f>Постачання_1ст!I10</f>
        <v>2.0535505921671828</v>
      </c>
      <c r="U10" s="1283">
        <f>Постачання_1ст!J10</f>
        <v>0.69114925685030781</v>
      </c>
    </row>
    <row r="11" spans="2:21" ht="18" x14ac:dyDescent="0.35">
      <c r="B11" s="406" t="s">
        <v>934</v>
      </c>
      <c r="C11" s="407">
        <f>Постачання_1ст!C11</f>
        <v>0</v>
      </c>
      <c r="D11" s="407">
        <f>Постачання_1ст!D11</f>
        <v>0</v>
      </c>
      <c r="E11" s="2618">
        <f>Постачання_1ст!E11</f>
        <v>0</v>
      </c>
      <c r="F11" s="407">
        <f>Постачання_1ст!F11</f>
        <v>0</v>
      </c>
      <c r="G11" s="408">
        <f t="shared" ref="G11:G22" si="3">F11*$G$6</f>
        <v>0</v>
      </c>
      <c r="H11" s="409">
        <f t="shared" ref="H11:H22" si="4">F11*$H$6</f>
        <v>0</v>
      </c>
      <c r="I11" s="409">
        <f t="shared" ref="I11:I22" si="5">F11*$I$6</f>
        <v>0</v>
      </c>
      <c r="J11" s="409">
        <f t="shared" ref="J11:J22" si="6">F11*$J$6</f>
        <v>0</v>
      </c>
      <c r="K11" s="517"/>
      <c r="L11" s="506"/>
      <c r="O11" s="399">
        <f t="shared" si="2"/>
        <v>0</v>
      </c>
      <c r="P11" s="2615">
        <f>Постачання_1ст!E11-Постачання_2ст!E11</f>
        <v>0</v>
      </c>
      <c r="Q11" s="1283">
        <f>Постачання_1ст!F11</f>
        <v>0</v>
      </c>
      <c r="R11" s="1283">
        <f>Постачання_1ст!G11</f>
        <v>0</v>
      </c>
      <c r="S11" s="1283">
        <f>Постачання_1ст!H11</f>
        <v>0</v>
      </c>
      <c r="T11" s="1283">
        <f>Постачання_1ст!I11</f>
        <v>0</v>
      </c>
      <c r="U11" s="1283">
        <f>Постачання_1ст!J11</f>
        <v>0</v>
      </c>
    </row>
    <row r="12" spans="2:21" ht="18" x14ac:dyDescent="0.35">
      <c r="B12" s="406" t="s">
        <v>935</v>
      </c>
      <c r="C12" s="407">
        <f>Постачання_1ст!C12</f>
        <v>0</v>
      </c>
      <c r="D12" s="407">
        <f>Постачання_1ст!D12</f>
        <v>0</v>
      </c>
      <c r="E12" s="2618">
        <f>Постачання_1ст!E12</f>
        <v>0</v>
      </c>
      <c r="F12" s="407">
        <f>Постачання_1ст!F12</f>
        <v>0</v>
      </c>
      <c r="G12" s="408">
        <f t="shared" si="3"/>
        <v>0</v>
      </c>
      <c r="H12" s="409">
        <f t="shared" si="4"/>
        <v>0</v>
      </c>
      <c r="I12" s="409">
        <f t="shared" si="5"/>
        <v>0</v>
      </c>
      <c r="J12" s="409">
        <f t="shared" si="6"/>
        <v>0</v>
      </c>
      <c r="K12" s="517"/>
      <c r="L12" s="506"/>
      <c r="O12" s="399">
        <f t="shared" si="2"/>
        <v>0</v>
      </c>
      <c r="P12" s="2615">
        <f>Постачання_1ст!E12-Постачання_2ст!E12</f>
        <v>0</v>
      </c>
      <c r="Q12" s="1283">
        <f>Постачання_1ст!F12</f>
        <v>0</v>
      </c>
      <c r="R12" s="1283">
        <f>Постачання_1ст!G12</f>
        <v>0</v>
      </c>
      <c r="S12" s="1283">
        <f>Постачання_1ст!H12</f>
        <v>0</v>
      </c>
      <c r="T12" s="1283">
        <f>Постачання_1ст!I12</f>
        <v>0</v>
      </c>
      <c r="U12" s="1283">
        <f>Постачання_1ст!J12</f>
        <v>0</v>
      </c>
    </row>
    <row r="13" spans="2:21" ht="18" x14ac:dyDescent="0.35">
      <c r="B13" s="406" t="s">
        <v>936</v>
      </c>
      <c r="C13" s="407">
        <f>Постачання_1ст!C13</f>
        <v>13.824</v>
      </c>
      <c r="D13" s="407">
        <f>Постачання_1ст!D13</f>
        <v>4.44862</v>
      </c>
      <c r="E13" s="2618">
        <f>Постачання_1ст!E13</f>
        <v>14.681088000000001</v>
      </c>
      <c r="F13" s="407">
        <f>Постачання_1ст!F13</f>
        <v>4.7077521149999999</v>
      </c>
      <c r="G13" s="408">
        <f t="shared" si="3"/>
        <v>3.9097641370582998</v>
      </c>
      <c r="H13" s="409">
        <f t="shared" si="4"/>
        <v>6.3336340906462382E-4</v>
      </c>
      <c r="I13" s="409">
        <f t="shared" si="5"/>
        <v>0.59657089332622837</v>
      </c>
      <c r="J13" s="409">
        <f t="shared" si="6"/>
        <v>0.20078372120640667</v>
      </c>
      <c r="K13" s="391" t="s">
        <v>1677</v>
      </c>
      <c r="L13" s="506"/>
      <c r="M13" s="399"/>
      <c r="N13" s="399"/>
      <c r="O13" s="399">
        <f t="shared" si="2"/>
        <v>4.163336342344337E-16</v>
      </c>
      <c r="P13" s="2615">
        <f>Постачання_1ст!E13-Постачання_2ст!E13</f>
        <v>0</v>
      </c>
      <c r="Q13" s="1283">
        <f>Постачання_1ст!F13</f>
        <v>4.7077521149999999</v>
      </c>
      <c r="R13" s="1283">
        <f>Постачання_1ст!G13</f>
        <v>3.9097607360924465</v>
      </c>
      <c r="S13" s="1283">
        <f>Постачання_1ст!H13</f>
        <v>6.3336610841271794E-4</v>
      </c>
      <c r="T13" s="1283">
        <f>Постачання_1ст!I13</f>
        <v>0.59657343586733647</v>
      </c>
      <c r="U13" s="1283">
        <f>Постачання_1ст!J13</f>
        <v>0.20078457693180449</v>
      </c>
    </row>
    <row r="14" spans="2:21" ht="18" customHeight="1" x14ac:dyDescent="0.35">
      <c r="B14" s="406" t="s">
        <v>1570</v>
      </c>
      <c r="C14" s="407">
        <f>Постачання_1ст!C14</f>
        <v>0</v>
      </c>
      <c r="D14" s="407">
        <f>Постачання_1ст!D14</f>
        <v>0</v>
      </c>
      <c r="E14" s="2618">
        <f>Постачання_1ст!E14</f>
        <v>0</v>
      </c>
      <c r="F14" s="407">
        <f>Постачання_1ст!F14</f>
        <v>0</v>
      </c>
      <c r="G14" s="408">
        <f t="shared" si="3"/>
        <v>0</v>
      </c>
      <c r="H14" s="409">
        <f t="shared" si="4"/>
        <v>0</v>
      </c>
      <c r="I14" s="409">
        <f t="shared" si="5"/>
        <v>0</v>
      </c>
      <c r="J14" s="409">
        <f t="shared" si="6"/>
        <v>0</v>
      </c>
      <c r="K14" s="517"/>
      <c r="L14" s="506"/>
      <c r="M14" s="399"/>
      <c r="N14" s="399"/>
      <c r="O14" s="399">
        <f t="shared" si="2"/>
        <v>0</v>
      </c>
      <c r="P14" s="2615">
        <f>Постачання_1ст!E14-Постачання_2ст!E14</f>
        <v>0</v>
      </c>
      <c r="Q14" s="1283">
        <f>Постачання_1ст!F14</f>
        <v>0</v>
      </c>
      <c r="R14" s="1283">
        <f>Постачання_1ст!G14</f>
        <v>0</v>
      </c>
      <c r="S14" s="1283">
        <f>Постачання_1ст!H14</f>
        <v>0</v>
      </c>
      <c r="T14" s="1283">
        <f>Постачання_1ст!I14</f>
        <v>0</v>
      </c>
      <c r="U14" s="1283">
        <f>Постачання_1ст!J14</f>
        <v>0</v>
      </c>
    </row>
    <row r="15" spans="2:21" ht="18" x14ac:dyDescent="0.35">
      <c r="B15" s="406" t="s">
        <v>915</v>
      </c>
      <c r="C15" s="407">
        <f>Постачання_1ст!C15</f>
        <v>0</v>
      </c>
      <c r="D15" s="407">
        <f>Постачання_1ст!D15</f>
        <v>0</v>
      </c>
      <c r="E15" s="2618">
        <f>Постачання_1ст!E15</f>
        <v>0</v>
      </c>
      <c r="F15" s="407">
        <f>Постачання_1ст!F15</f>
        <v>0</v>
      </c>
      <c r="G15" s="408">
        <f t="shared" si="3"/>
        <v>0</v>
      </c>
      <c r="H15" s="409">
        <f t="shared" si="4"/>
        <v>0</v>
      </c>
      <c r="I15" s="409">
        <f t="shared" si="5"/>
        <v>0</v>
      </c>
      <c r="J15" s="409">
        <f t="shared" si="6"/>
        <v>0</v>
      </c>
      <c r="K15" s="517"/>
      <c r="L15" s="506"/>
      <c r="M15" s="399"/>
      <c r="N15" s="399"/>
      <c r="O15" s="399">
        <f t="shared" si="2"/>
        <v>0</v>
      </c>
      <c r="P15" s="2615">
        <f>Постачання_1ст!E15-Постачання_2ст!E15</f>
        <v>0</v>
      </c>
      <c r="Q15" s="1283">
        <f>Постачання_1ст!F15</f>
        <v>0</v>
      </c>
      <c r="R15" s="1283">
        <f>Постачання_1ст!G15</f>
        <v>0</v>
      </c>
      <c r="S15" s="1283">
        <f>Постачання_1ст!H15</f>
        <v>0</v>
      </c>
      <c r="T15" s="1283">
        <f>Постачання_1ст!I15</f>
        <v>0</v>
      </c>
      <c r="U15" s="1283">
        <f>Постачання_1ст!J15</f>
        <v>0</v>
      </c>
    </row>
    <row r="16" spans="2:21" ht="18" x14ac:dyDescent="0.35">
      <c r="B16" s="406" t="s">
        <v>937</v>
      </c>
      <c r="C16" s="407">
        <f>Постачання_1ст!C16</f>
        <v>0.1125</v>
      </c>
      <c r="D16" s="407">
        <f>Постачання_1ст!D16</f>
        <v>10.864610000000001</v>
      </c>
      <c r="E16" s="2618">
        <f>Постачання_1ст!E16</f>
        <v>0.11947500000000001</v>
      </c>
      <c r="F16" s="407">
        <f>Постачання_1ст!F16</f>
        <v>11.497473532499999</v>
      </c>
      <c r="G16" s="408">
        <f t="shared" si="3"/>
        <v>9.5485931684713403</v>
      </c>
      <c r="H16" s="409">
        <f t="shared" si="4"/>
        <v>1.5468272020890976E-3</v>
      </c>
      <c r="I16" s="409">
        <f t="shared" si="5"/>
        <v>1.4569709467972256</v>
      </c>
      <c r="J16" s="409">
        <f t="shared" si="6"/>
        <v>0.4903625900293434</v>
      </c>
      <c r="K16" s="391" t="s">
        <v>1948</v>
      </c>
      <c r="M16" s="399"/>
      <c r="N16" s="399"/>
      <c r="O16" s="399">
        <f t="shared" si="2"/>
        <v>6.106226635438361E-16</v>
      </c>
      <c r="P16" s="2615">
        <f>Постачання_1ст!E16-Постачання_2ст!E16</f>
        <v>0</v>
      </c>
      <c r="Q16" s="1283">
        <f>Постачання_1ст!F16</f>
        <v>11.497473532499999</v>
      </c>
      <c r="R16" s="1283">
        <f>Постачання_1ст!G16</f>
        <v>9.5485848624870968</v>
      </c>
      <c r="S16" s="1283">
        <f>Постачання_1ст!H16</f>
        <v>1.5468337945524452E-3</v>
      </c>
      <c r="T16" s="1283">
        <f>Постачання_1ст!I16</f>
        <v>1.4569771562998464</v>
      </c>
      <c r="U16" s="1283">
        <f>Постачання_1ст!J16</f>
        <v>0.4903646799185033</v>
      </c>
    </row>
    <row r="17" spans="1:21" ht="18" x14ac:dyDescent="0.35">
      <c r="B17" s="406" t="s">
        <v>938</v>
      </c>
      <c r="C17" s="407">
        <f>Постачання_1ст!C17</f>
        <v>0</v>
      </c>
      <c r="D17" s="407">
        <f>Постачання_1ст!D17</f>
        <v>0</v>
      </c>
      <c r="E17" s="2618">
        <f>Постачання_1ст!E17</f>
        <v>0</v>
      </c>
      <c r="F17" s="407">
        <f>Постачання_1ст!F17</f>
        <v>0</v>
      </c>
      <c r="G17" s="408">
        <f t="shared" si="3"/>
        <v>0</v>
      </c>
      <c r="H17" s="409">
        <f t="shared" si="4"/>
        <v>0</v>
      </c>
      <c r="I17" s="409">
        <f t="shared" si="5"/>
        <v>0</v>
      </c>
      <c r="J17" s="409">
        <f t="shared" si="6"/>
        <v>0</v>
      </c>
      <c r="K17" s="517"/>
      <c r="L17" s="506"/>
      <c r="M17" s="399"/>
      <c r="N17" s="399"/>
      <c r="O17" s="399">
        <f t="shared" si="2"/>
        <v>0</v>
      </c>
      <c r="P17" s="2615">
        <f>Постачання_1ст!E17-Постачання_2ст!E17</f>
        <v>0</v>
      </c>
      <c r="Q17" s="1283">
        <f>Постачання_1ст!F17</f>
        <v>0</v>
      </c>
      <c r="R17" s="1283">
        <f>Постачання_1ст!G17</f>
        <v>0</v>
      </c>
      <c r="S17" s="1283">
        <f>Постачання_1ст!H17</f>
        <v>0</v>
      </c>
      <c r="T17" s="1283">
        <f>Постачання_1ст!I17</f>
        <v>0</v>
      </c>
      <c r="U17" s="1283">
        <f>Постачання_1ст!J17</f>
        <v>0</v>
      </c>
    </row>
    <row r="18" spans="1:21" ht="18" x14ac:dyDescent="0.35">
      <c r="B18" s="406" t="s">
        <v>939</v>
      </c>
      <c r="C18" s="407">
        <f>Постачання_1ст!C18</f>
        <v>1.607</v>
      </c>
      <c r="D18" s="407">
        <f>Постачання_1ст!D18</f>
        <v>0</v>
      </c>
      <c r="E18" s="2618">
        <f>Постачання_1ст!E18</f>
        <v>1.706634</v>
      </c>
      <c r="F18" s="407">
        <f>Постачання_1ст!F18</f>
        <v>0</v>
      </c>
      <c r="G18" s="408">
        <f t="shared" si="3"/>
        <v>0</v>
      </c>
      <c r="H18" s="409">
        <f t="shared" si="4"/>
        <v>0</v>
      </c>
      <c r="I18" s="409">
        <f t="shared" si="5"/>
        <v>0</v>
      </c>
      <c r="J18" s="409">
        <f t="shared" si="6"/>
        <v>0</v>
      </c>
      <c r="K18" s="391" t="s">
        <v>1677</v>
      </c>
      <c r="L18" s="506"/>
      <c r="M18" s="399"/>
      <c r="N18" s="399"/>
      <c r="O18" s="399">
        <f t="shared" si="2"/>
        <v>0</v>
      </c>
      <c r="P18" s="2615">
        <f>Постачання_1ст!E18-Постачання_2ст!E18</f>
        <v>0</v>
      </c>
      <c r="Q18" s="1283">
        <f>Постачання_1ст!F18</f>
        <v>0</v>
      </c>
      <c r="R18" s="1283">
        <f>Постачання_1ст!G18</f>
        <v>0</v>
      </c>
      <c r="S18" s="1283">
        <f>Постачання_1ст!H18</f>
        <v>0</v>
      </c>
      <c r="T18" s="1283">
        <f>Постачання_1ст!I18</f>
        <v>0</v>
      </c>
      <c r="U18" s="1283">
        <f>Постачання_1ст!J18</f>
        <v>0</v>
      </c>
    </row>
    <row r="19" spans="1:21" ht="18" x14ac:dyDescent="0.35">
      <c r="B19" s="406" t="s">
        <v>940</v>
      </c>
      <c r="C19" s="407">
        <f>Постачання_1ст!C19</f>
        <v>0</v>
      </c>
      <c r="D19" s="407">
        <f>Постачання_1ст!D19</f>
        <v>0</v>
      </c>
      <c r="E19" s="2618">
        <f>Постачання_1ст!E19</f>
        <v>0</v>
      </c>
      <c r="F19" s="407">
        <f>Постачання_1ст!F19</f>
        <v>0</v>
      </c>
      <c r="G19" s="408">
        <f t="shared" si="3"/>
        <v>0</v>
      </c>
      <c r="H19" s="409">
        <f t="shared" si="4"/>
        <v>0</v>
      </c>
      <c r="I19" s="409">
        <f t="shared" si="5"/>
        <v>0</v>
      </c>
      <c r="J19" s="409">
        <f t="shared" si="6"/>
        <v>0</v>
      </c>
      <c r="K19" s="391"/>
      <c r="L19" s="506"/>
      <c r="M19" s="399"/>
      <c r="N19" s="399"/>
      <c r="O19" s="399">
        <f t="shared" si="2"/>
        <v>0</v>
      </c>
      <c r="P19" s="2615">
        <f>Постачання_1ст!E19-Постачання_2ст!E19</f>
        <v>0</v>
      </c>
      <c r="Q19" s="1283">
        <f>Постачання_1ст!F19</f>
        <v>0</v>
      </c>
      <c r="R19" s="1283">
        <f>Постачання_1ст!G19</f>
        <v>0</v>
      </c>
      <c r="S19" s="1283">
        <f>Постачання_1ст!H19</f>
        <v>0</v>
      </c>
      <c r="T19" s="1283">
        <f>Постачання_1ст!I19</f>
        <v>0</v>
      </c>
      <c r="U19" s="1283">
        <f>Постачання_1ст!J19</f>
        <v>0</v>
      </c>
    </row>
    <row r="20" spans="1:21" ht="18" x14ac:dyDescent="0.35">
      <c r="B20" s="406" t="s">
        <v>941</v>
      </c>
      <c r="C20" s="407">
        <f>Постачання_1ст!C20</f>
        <v>0</v>
      </c>
      <c r="D20" s="407">
        <f>Постачання_1ст!D20</f>
        <v>0</v>
      </c>
      <c r="E20" s="2618">
        <f>Постачання_1ст!E20</f>
        <v>0</v>
      </c>
      <c r="F20" s="407">
        <f>Постачання_1ст!F20</f>
        <v>0</v>
      </c>
      <c r="G20" s="408">
        <f t="shared" si="3"/>
        <v>0</v>
      </c>
      <c r="H20" s="409">
        <f t="shared" si="4"/>
        <v>0</v>
      </c>
      <c r="I20" s="409">
        <f t="shared" si="5"/>
        <v>0</v>
      </c>
      <c r="J20" s="409">
        <f t="shared" si="6"/>
        <v>0</v>
      </c>
      <c r="K20" s="391"/>
      <c r="L20" s="506"/>
      <c r="O20" s="399">
        <f t="shared" si="2"/>
        <v>0</v>
      </c>
      <c r="P20" s="2615">
        <f>Постачання_1ст!E20-Постачання_2ст!E20</f>
        <v>0</v>
      </c>
      <c r="Q20" s="1283">
        <f>Постачання_1ст!F20</f>
        <v>0</v>
      </c>
      <c r="R20" s="1283">
        <f>Постачання_1ст!G20</f>
        <v>0</v>
      </c>
      <c r="S20" s="1283">
        <f>Постачання_1ст!H20</f>
        <v>0</v>
      </c>
      <c r="T20" s="1283">
        <f>Постачання_1ст!I20</f>
        <v>0</v>
      </c>
      <c r="U20" s="1283">
        <f>Постачання_1ст!J20</f>
        <v>0</v>
      </c>
    </row>
    <row r="21" spans="1:21" ht="18" x14ac:dyDescent="0.35">
      <c r="B21" s="410" t="s">
        <v>1659</v>
      </c>
      <c r="C21" s="405">
        <f>Постачання_1ст!C21</f>
        <v>586.92831000000001</v>
      </c>
      <c r="D21" s="405">
        <f>Постачання_1ст!D21</f>
        <v>565.58097999999995</v>
      </c>
      <c r="E21" s="2617">
        <f>Постачання_1ст!E21</f>
        <v>684.72567299999992</v>
      </c>
      <c r="F21" s="413">
        <f>Постачання_1ст!F21</f>
        <v>754.48063799999989</v>
      </c>
      <c r="G21" s="1294">
        <f t="shared" si="3"/>
        <v>626.5923244255747</v>
      </c>
      <c r="H21" s="405">
        <f t="shared" si="4"/>
        <v>0.10150501073205556</v>
      </c>
      <c r="I21" s="405">
        <f t="shared" si="5"/>
        <v>95.608514895012206</v>
      </c>
      <c r="J21" s="405">
        <f t="shared" si="6"/>
        <v>32.178293668680944</v>
      </c>
      <c r="K21" s="391" t="s">
        <v>1663</v>
      </c>
      <c r="L21" s="506"/>
      <c r="O21" s="399">
        <f t="shared" si="2"/>
        <v>0</v>
      </c>
      <c r="P21" s="2615">
        <f>Постачання_1ст!E21-Постачання_2ст!E21</f>
        <v>0</v>
      </c>
      <c r="Q21" s="1283">
        <f>Постачання_1ст!F21</f>
        <v>754.48063799999989</v>
      </c>
      <c r="R21" s="1283">
        <f>Постачання_1ст!G21</f>
        <v>626.59177937502307</v>
      </c>
      <c r="S21" s="1283">
        <f>Постачання_1ст!H21</f>
        <v>0.10150544333891814</v>
      </c>
      <c r="T21" s="1283">
        <f>Постачання_1ст!I21</f>
        <v>95.608922371444805</v>
      </c>
      <c r="U21" s="1283">
        <f>Постачання_1ст!J21</f>
        <v>32.178430810193134</v>
      </c>
    </row>
    <row r="22" spans="1:21" ht="18" x14ac:dyDescent="0.35">
      <c r="B22" s="463" t="s">
        <v>917</v>
      </c>
      <c r="C22" s="407">
        <f>Постачання_1ст!C22</f>
        <v>0</v>
      </c>
      <c r="D22" s="407">
        <f>Постачання_1ст!D22</f>
        <v>0</v>
      </c>
      <c r="E22" s="2618">
        <f>Постачання_1ст!E22</f>
        <v>0</v>
      </c>
      <c r="F22" s="407">
        <f>Постачання_1ст!F22</f>
        <v>0</v>
      </c>
      <c r="G22" s="408">
        <f t="shared" si="3"/>
        <v>0</v>
      </c>
      <c r="H22" s="409">
        <f t="shared" si="4"/>
        <v>0</v>
      </c>
      <c r="I22" s="409">
        <f t="shared" si="5"/>
        <v>0</v>
      </c>
      <c r="J22" s="409">
        <f t="shared" si="6"/>
        <v>0</v>
      </c>
      <c r="K22" s="517"/>
      <c r="L22" s="506"/>
      <c r="O22" s="399">
        <f t="shared" si="2"/>
        <v>0</v>
      </c>
      <c r="P22" s="2615">
        <f>Постачання_1ст!E22-Постачання_2ст!E22</f>
        <v>0</v>
      </c>
      <c r="Q22" s="1283">
        <f>Постачання_1ст!F22</f>
        <v>0</v>
      </c>
      <c r="R22" s="1283">
        <f>Постачання_1ст!G22</f>
        <v>0</v>
      </c>
      <c r="S22" s="1283">
        <f>Постачання_1ст!H22</f>
        <v>0</v>
      </c>
      <c r="T22" s="1283">
        <f>Постачання_1ст!I22</f>
        <v>0</v>
      </c>
      <c r="U22" s="1283">
        <f>Постачання_1ст!J22</f>
        <v>0</v>
      </c>
    </row>
    <row r="23" spans="1:21" ht="17.399999999999999" x14ac:dyDescent="0.3">
      <c r="B23" s="410" t="s">
        <v>1660</v>
      </c>
      <c r="C23" s="413">
        <f>SUM(C24:C63)</f>
        <v>178.43038000000001</v>
      </c>
      <c r="D23" s="413">
        <f t="shared" ref="D23:J23" si="7">SUM(D24:D63)</f>
        <v>1023.4547700000001</v>
      </c>
      <c r="E23" s="2619">
        <f t="shared" si="7"/>
        <v>1001.5896201170295</v>
      </c>
      <c r="F23" s="413">
        <f t="shared" si="7"/>
        <v>1045.9627763240737</v>
      </c>
      <c r="G23" s="413">
        <f t="shared" si="7"/>
        <v>868.666754678904</v>
      </c>
      <c r="H23" s="413">
        <f t="shared" si="7"/>
        <v>0.14071993035837954</v>
      </c>
      <c r="I23" s="413">
        <f t="shared" si="7"/>
        <v>132.54541288812842</v>
      </c>
      <c r="J23" s="413">
        <f t="shared" si="7"/>
        <v>44.609888826683033</v>
      </c>
      <c r="K23" s="514"/>
      <c r="L23" s="504"/>
      <c r="O23" s="399">
        <f t="shared" si="2"/>
        <v>-1.1368683772161603E-13</v>
      </c>
      <c r="P23" s="2615">
        <f>Постачання_1ст!E23-Постачання_2ст!E23</f>
        <v>0</v>
      </c>
      <c r="Q23" s="1283">
        <f>Постачання_1ст!F23</f>
        <v>1045.9627763240737</v>
      </c>
      <c r="R23" s="1283">
        <f>Постачання_1ст!G23</f>
        <v>868.66599905634791</v>
      </c>
      <c r="S23" s="1283">
        <f>Постачання_1ст!H23</f>
        <v>0.14072053009633476</v>
      </c>
      <c r="T23" s="1283">
        <f>Постачання_1ст!I23</f>
        <v>132.54597778689356</v>
      </c>
      <c r="U23" s="1283">
        <f>Постачання_1ст!J23</f>
        <v>44.610078950736096</v>
      </c>
    </row>
    <row r="24" spans="1:21" ht="36" x14ac:dyDescent="0.35">
      <c r="B24" s="406" t="s">
        <v>548</v>
      </c>
      <c r="C24" s="407">
        <f>Постачання_1ст!C24</f>
        <v>127.35957000000001</v>
      </c>
      <c r="D24" s="407">
        <f>Постачання_1ст!D24</f>
        <v>124.51048</v>
      </c>
      <c r="E24" s="2618">
        <f>Постачання_1ст!E24</f>
        <v>150.63964805999998</v>
      </c>
      <c r="F24" s="407">
        <f>Постачання_1ст!F24</f>
        <v>165.98574035999997</v>
      </c>
      <c r="G24" s="408">
        <f t="shared" ref="G24:G63" si="8">F24*$G$6</f>
        <v>137.85031137362643</v>
      </c>
      <c r="H24" s="409">
        <f>F24*$H$6</f>
        <v>2.2331102361052221E-2</v>
      </c>
      <c r="I24" s="409">
        <f>F24*$I$6</f>
        <v>21.033873276902682</v>
      </c>
      <c r="J24" s="409">
        <f>F24*$J$6</f>
        <v>7.0792246071098068</v>
      </c>
      <c r="K24" s="391" t="s">
        <v>1663</v>
      </c>
      <c r="L24" s="506"/>
      <c r="N24" s="399"/>
      <c r="O24" s="399">
        <f t="shared" si="2"/>
        <v>0</v>
      </c>
      <c r="P24" s="2615">
        <f>Постачання_1ст!E24-Постачання_2ст!E24</f>
        <v>0</v>
      </c>
      <c r="Q24" s="1283">
        <f>Постачання_1ст!F24</f>
        <v>165.98574035999997</v>
      </c>
      <c r="R24" s="1283">
        <f>Постачання_1ст!G24</f>
        <v>137.85019146250508</v>
      </c>
      <c r="S24" s="1283">
        <f>Постачання_1ст!H24</f>
        <v>2.2331197534561989E-2</v>
      </c>
      <c r="T24" s="1283">
        <f>Постачання_1ст!I24</f>
        <v>21.033962921717855</v>
      </c>
      <c r="U24" s="1283">
        <f>Постачання_1ст!J24</f>
        <v>7.0792547782424897</v>
      </c>
    </row>
    <row r="25" spans="1:21" s="411" customFormat="1" ht="54" x14ac:dyDescent="0.35">
      <c r="A25" s="391"/>
      <c r="B25" s="406" t="s">
        <v>1694</v>
      </c>
      <c r="C25" s="407">
        <f>Постачання_1ст!C25</f>
        <v>28.322400000000002</v>
      </c>
      <c r="D25" s="407">
        <f>Постачання_1ст!D25</f>
        <v>887.7299999999999</v>
      </c>
      <c r="E25" s="2618">
        <f>Постачання_1ст!E25</f>
        <v>826.87560000000099</v>
      </c>
      <c r="F25" s="407">
        <f>Постачання_1ст!F25</f>
        <v>843.99335000000065</v>
      </c>
      <c r="G25" s="408">
        <f t="shared" si="8"/>
        <v>700.93217551359885</v>
      </c>
      <c r="H25" s="409">
        <f t="shared" ref="H25:H31" si="9">F25*$H$6</f>
        <v>0.1135477171112423</v>
      </c>
      <c r="I25" s="409">
        <f t="shared" ref="I25:I31" si="10">F25*$I$6</f>
        <v>106.9516521837719</v>
      </c>
      <c r="J25" s="409">
        <f t="shared" ref="J25:J31" si="11">F25*$J$6</f>
        <v>35.995974585518582</v>
      </c>
      <c r="K25" s="528" t="s">
        <v>1727</v>
      </c>
      <c r="L25" s="506"/>
      <c r="N25" s="391"/>
      <c r="O25" s="399">
        <f t="shared" si="2"/>
        <v>8.5265128291212022E-14</v>
      </c>
      <c r="P25" s="2615">
        <f>Постачання_1ст!E25-Постачання_2ст!E25</f>
        <v>0</v>
      </c>
      <c r="Q25" s="1283">
        <f>Постачання_1ст!F25</f>
        <v>843.99335000000065</v>
      </c>
      <c r="R25" s="1283">
        <f>Постачання_1ст!G25</f>
        <v>700.93156579743413</v>
      </c>
      <c r="S25" s="1283">
        <f>Постачання_1ст!H25</f>
        <v>0.11354820104323046</v>
      </c>
      <c r="T25" s="1283">
        <f>Постачання_1ст!I25</f>
        <v>106.95210800381827</v>
      </c>
      <c r="U25" s="1283">
        <f>Постачання_1ст!J25</f>
        <v>35.996127997705017</v>
      </c>
    </row>
    <row r="26" spans="1:21" s="411" customFormat="1" ht="55.5" customHeight="1" x14ac:dyDescent="0.35">
      <c r="A26" s="391"/>
      <c r="B26" s="406" t="s">
        <v>1695</v>
      </c>
      <c r="C26" s="407">
        <f>Постачання_1ст!C26</f>
        <v>0</v>
      </c>
      <c r="D26" s="407">
        <f>Постачання_1ст!D26</f>
        <v>0</v>
      </c>
      <c r="E26" s="2618">
        <f>Постачання_1ст!E26</f>
        <v>0</v>
      </c>
      <c r="F26" s="407">
        <f>Постачання_1ст!F26</f>
        <v>0</v>
      </c>
      <c r="G26" s="408">
        <f t="shared" si="8"/>
        <v>0</v>
      </c>
      <c r="H26" s="409">
        <f t="shared" si="9"/>
        <v>0</v>
      </c>
      <c r="I26" s="409">
        <f t="shared" si="10"/>
        <v>0</v>
      </c>
      <c r="J26" s="409">
        <f t="shared" si="11"/>
        <v>0</v>
      </c>
      <c r="K26" s="517"/>
      <c r="L26" s="506"/>
      <c r="N26" s="399"/>
      <c r="O26" s="399">
        <f t="shared" si="2"/>
        <v>0</v>
      </c>
      <c r="P26" s="2615">
        <f>Постачання_1ст!E26-Постачання_2ст!E26</f>
        <v>0</v>
      </c>
      <c r="Q26" s="1283">
        <f>Постачання_1ст!F26</f>
        <v>0</v>
      </c>
      <c r="R26" s="1283">
        <f>Постачання_1ст!G26</f>
        <v>0</v>
      </c>
      <c r="S26" s="1283">
        <f>Постачання_1ст!H26</f>
        <v>0</v>
      </c>
      <c r="T26" s="1283">
        <f>Постачання_1ст!I26</f>
        <v>0</v>
      </c>
      <c r="U26" s="1283">
        <f>Постачання_1ст!J26</f>
        <v>0</v>
      </c>
    </row>
    <row r="27" spans="1:21" ht="18" hidden="1" customHeight="1" x14ac:dyDescent="0.35">
      <c r="B27" s="464" t="s">
        <v>1390</v>
      </c>
      <c r="C27" s="407">
        <f>Постачання_1ст!C27</f>
        <v>0</v>
      </c>
      <c r="D27" s="407">
        <f>Постачання_1ст!D27</f>
        <v>0</v>
      </c>
      <c r="E27" s="2618">
        <f>Постачання_1ст!E27</f>
        <v>0</v>
      </c>
      <c r="F27" s="407">
        <f>Постачання_1ст!F27</f>
        <v>0</v>
      </c>
      <c r="G27" s="408">
        <f t="shared" si="8"/>
        <v>0</v>
      </c>
      <c r="H27" s="409">
        <f t="shared" si="9"/>
        <v>0</v>
      </c>
      <c r="I27" s="409">
        <f t="shared" si="10"/>
        <v>0</v>
      </c>
      <c r="J27" s="409">
        <f t="shared" si="11"/>
        <v>0</v>
      </c>
      <c r="K27" s="517"/>
      <c r="L27" s="506"/>
      <c r="O27" s="399">
        <f t="shared" si="2"/>
        <v>0</v>
      </c>
      <c r="P27" s="2615">
        <f>Постачання_1ст!E27-Постачання_2ст!E27</f>
        <v>0</v>
      </c>
      <c r="Q27" s="1283">
        <f>Постачання_1ст!F27</f>
        <v>0</v>
      </c>
      <c r="R27" s="1283">
        <f>Постачання_1ст!G27</f>
        <v>0</v>
      </c>
      <c r="S27" s="1283">
        <f>Постачання_1ст!H27</f>
        <v>0</v>
      </c>
      <c r="T27" s="1283">
        <f>Постачання_1ст!I27</f>
        <v>0</v>
      </c>
      <c r="U27" s="1283">
        <f>Постачання_1ст!J27</f>
        <v>0</v>
      </c>
    </row>
    <row r="28" spans="1:21" ht="18" hidden="1" customHeight="1" x14ac:dyDescent="0.35">
      <c r="B28" s="464" t="s">
        <v>1542</v>
      </c>
      <c r="C28" s="407">
        <f>Постачання_1ст!C28</f>
        <v>0</v>
      </c>
      <c r="D28" s="407">
        <f>Постачання_1ст!D28</f>
        <v>0</v>
      </c>
      <c r="E28" s="2618">
        <f>Постачання_1ст!E28</f>
        <v>0</v>
      </c>
      <c r="F28" s="407">
        <f>Постачання_1ст!F28</f>
        <v>0</v>
      </c>
      <c r="G28" s="408">
        <f t="shared" si="8"/>
        <v>0</v>
      </c>
      <c r="H28" s="409">
        <f t="shared" si="9"/>
        <v>0</v>
      </c>
      <c r="I28" s="409">
        <f t="shared" si="10"/>
        <v>0</v>
      </c>
      <c r="J28" s="409">
        <f t="shared" si="11"/>
        <v>0</v>
      </c>
      <c r="K28" s="517"/>
      <c r="L28" s="506"/>
      <c r="O28" s="399">
        <f t="shared" si="2"/>
        <v>0</v>
      </c>
      <c r="P28" s="2615">
        <f>Постачання_1ст!E28-Постачання_2ст!E28</f>
        <v>0</v>
      </c>
      <c r="Q28" s="1283">
        <f>Постачання_1ст!F28</f>
        <v>0</v>
      </c>
      <c r="R28" s="1283">
        <f>Постачання_1ст!G28</f>
        <v>0</v>
      </c>
      <c r="S28" s="1283">
        <f>Постачання_1ст!H28</f>
        <v>0</v>
      </c>
      <c r="T28" s="1283">
        <f>Постачання_1ст!I28</f>
        <v>0</v>
      </c>
      <c r="U28" s="1283">
        <f>Постачання_1ст!J28</f>
        <v>0</v>
      </c>
    </row>
    <row r="29" spans="1:21" ht="36" x14ac:dyDescent="0.35">
      <c r="B29" s="464" t="s">
        <v>1394</v>
      </c>
      <c r="C29" s="407">
        <f>Постачання_1ст!C29</f>
        <v>0.18497999999999998</v>
      </c>
      <c r="D29" s="407">
        <f>Постачання_1ст!D29</f>
        <v>0.24067</v>
      </c>
      <c r="E29" s="2618">
        <f>Постачання_1ст!E29</f>
        <v>0.23611349999999998</v>
      </c>
      <c r="F29" s="407">
        <f>Постачання_1ст!F29</f>
        <v>0.24865050000000002</v>
      </c>
      <c r="G29" s="408">
        <f t="shared" si="8"/>
        <v>0.20650297292928196</v>
      </c>
      <c r="H29" s="409">
        <f t="shared" si="9"/>
        <v>3.3452510773418933E-5</v>
      </c>
      <c r="I29" s="409">
        <f t="shared" si="10"/>
        <v>3.1509231430935987E-2</v>
      </c>
      <c r="J29" s="409">
        <f t="shared" si="11"/>
        <v>1.0604843129008636E-2</v>
      </c>
      <c r="K29" s="528" t="s">
        <v>1877</v>
      </c>
      <c r="L29" s="506"/>
      <c r="O29" s="399">
        <f t="shared" si="2"/>
        <v>1.7347234759768071E-17</v>
      </c>
      <c r="P29" s="2615">
        <f>Постачання_1ст!E29-Постачання_2ст!E29</f>
        <v>0</v>
      </c>
      <c r="Q29" s="1283">
        <f>Постачання_1ст!F29</f>
        <v>0.24865050000000002</v>
      </c>
      <c r="R29" s="1283">
        <f>Постачання_1ст!G29</f>
        <v>0.20650279329963298</v>
      </c>
      <c r="S29" s="1283">
        <f>Постачання_1ст!H29</f>
        <v>3.3452653345550361E-5</v>
      </c>
      <c r="T29" s="1283">
        <f>Постачання_1ст!I29</f>
        <v>3.1509365720954315E-2</v>
      </c>
      <c r="U29" s="1283">
        <f>Постачання_1ст!J29</f>
        <v>1.0604888326067197E-2</v>
      </c>
    </row>
    <row r="30" spans="1:21" ht="18" x14ac:dyDescent="0.35">
      <c r="B30" s="464" t="s">
        <v>920</v>
      </c>
      <c r="C30" s="407">
        <f>Постачання_1ст!C30</f>
        <v>6.4406499999999998</v>
      </c>
      <c r="D30" s="407">
        <f>Постачання_1ст!D30</f>
        <v>10.736079999999999</v>
      </c>
      <c r="E30" s="2618">
        <f>Постачання_1ст!E30</f>
        <v>14.355571455579199</v>
      </c>
      <c r="F30" s="407">
        <f>Постачання_1ст!F30</f>
        <v>24.449068362624004</v>
      </c>
      <c r="G30" s="408">
        <f t="shared" si="8"/>
        <v>20.304826663260716</v>
      </c>
      <c r="H30" s="409">
        <f t="shared" si="9"/>
        <v>3.2892864595113836E-3</v>
      </c>
      <c r="I30" s="409">
        <f t="shared" si="10"/>
        <v>3.0982095483769179</v>
      </c>
      <c r="J30" s="409">
        <f t="shared" si="11"/>
        <v>1.0427428645268584</v>
      </c>
      <c r="K30" s="391" t="s">
        <v>1701</v>
      </c>
      <c r="O30" s="399">
        <f t="shared" si="2"/>
        <v>0</v>
      </c>
      <c r="P30" s="2615">
        <f>Постачання_1ст!E30-Постачання_2ст!E30</f>
        <v>0</v>
      </c>
      <c r="Q30" s="1283">
        <f>Постачання_1ст!F30</f>
        <v>24.449068362624004</v>
      </c>
      <c r="R30" s="1283">
        <f>Постачання_1ст!G30</f>
        <v>20.304809000808525</v>
      </c>
      <c r="S30" s="1283">
        <f>Постачання_1ст!H30</f>
        <v>3.2893004782074569E-3</v>
      </c>
      <c r="T30" s="1283">
        <f>Постачання_1ст!I30</f>
        <v>3.0982227527173012</v>
      </c>
      <c r="U30" s="1283">
        <f>Постачання_1ст!J30</f>
        <v>1.042747308619971</v>
      </c>
    </row>
    <row r="31" spans="1:21" ht="18" hidden="1" x14ac:dyDescent="0.35">
      <c r="B31" s="464" t="s">
        <v>921</v>
      </c>
      <c r="C31" s="407">
        <f>Постачання_1ст!C31</f>
        <v>0</v>
      </c>
      <c r="D31" s="407">
        <f>Постачання_1ст!D31</f>
        <v>0</v>
      </c>
      <c r="E31" s="2618">
        <f>Постачання_1ст!E31</f>
        <v>0</v>
      </c>
      <c r="F31" s="407">
        <f>Постачання_1ст!F31</f>
        <v>0</v>
      </c>
      <c r="G31" s="408">
        <f t="shared" si="8"/>
        <v>0</v>
      </c>
      <c r="H31" s="409">
        <f t="shared" si="9"/>
        <v>0</v>
      </c>
      <c r="I31" s="409">
        <f t="shared" si="10"/>
        <v>0</v>
      </c>
      <c r="J31" s="409">
        <f t="shared" si="11"/>
        <v>0</v>
      </c>
      <c r="K31" s="391" t="s">
        <v>1701</v>
      </c>
      <c r="O31" s="399">
        <f t="shared" si="2"/>
        <v>0</v>
      </c>
      <c r="P31" s="2615">
        <f>Постачання_1ст!E31-Постачання_2ст!E31</f>
        <v>0</v>
      </c>
      <c r="Q31" s="1283">
        <f>Постачання_1ст!F31</f>
        <v>0</v>
      </c>
      <c r="R31" s="1283">
        <f>Постачання_1ст!G31</f>
        <v>0</v>
      </c>
      <c r="S31" s="1283">
        <f>Постачання_1ст!H31</f>
        <v>0</v>
      </c>
      <c r="T31" s="1283">
        <f>Постачання_1ст!I31</f>
        <v>0</v>
      </c>
      <c r="U31" s="1283">
        <f>Постачання_1ст!J31</f>
        <v>0</v>
      </c>
    </row>
    <row r="32" spans="1:21" ht="18" hidden="1" x14ac:dyDescent="0.35">
      <c r="B32" s="464" t="s">
        <v>1401</v>
      </c>
      <c r="C32" s="407">
        <f>Постачання_1ст!C32</f>
        <v>0</v>
      </c>
      <c r="D32" s="407">
        <f>Постачання_1ст!D32</f>
        <v>0</v>
      </c>
      <c r="E32" s="2618">
        <f>Постачання_1ст!E32</f>
        <v>0</v>
      </c>
      <c r="F32" s="407">
        <f>Постачання_1ст!F32</f>
        <v>0</v>
      </c>
      <c r="G32" s="408">
        <f t="shared" si="8"/>
        <v>0</v>
      </c>
      <c r="H32" s="409">
        <f>F32*$H$6</f>
        <v>0</v>
      </c>
      <c r="I32" s="409">
        <f>F32*$I$6</f>
        <v>0</v>
      </c>
      <c r="J32" s="409">
        <f>F32*$J$6</f>
        <v>0</v>
      </c>
      <c r="K32" s="391"/>
      <c r="O32" s="399">
        <f t="shared" si="2"/>
        <v>0</v>
      </c>
      <c r="P32" s="2615">
        <f>Постачання_1ст!E32-Постачання_2ст!E32</f>
        <v>0</v>
      </c>
      <c r="Q32" s="1283">
        <f>Постачання_1ст!F32</f>
        <v>0</v>
      </c>
      <c r="R32" s="1283">
        <f>Постачання_1ст!G32</f>
        <v>0</v>
      </c>
      <c r="S32" s="1283">
        <f>Постачання_1ст!H32</f>
        <v>0</v>
      </c>
      <c r="T32" s="1283">
        <f>Постачання_1ст!I32</f>
        <v>0</v>
      </c>
      <c r="U32" s="1283">
        <f>Постачання_1ст!J32</f>
        <v>0</v>
      </c>
    </row>
    <row r="33" spans="2:21" ht="18" x14ac:dyDescent="0.35">
      <c r="B33" s="464" t="s">
        <v>1402</v>
      </c>
      <c r="C33" s="407">
        <f>Постачання_1ст!C33</f>
        <v>0</v>
      </c>
      <c r="D33" s="407">
        <f>Постачання_1ст!D33</f>
        <v>0</v>
      </c>
      <c r="E33" s="2618">
        <f>Постачання_1ст!E33</f>
        <v>0</v>
      </c>
      <c r="F33" s="407">
        <f>Постачання_1ст!F33</f>
        <v>0</v>
      </c>
      <c r="G33" s="408">
        <f t="shared" si="8"/>
        <v>0</v>
      </c>
      <c r="H33" s="409">
        <f t="shared" ref="H33:H42" si="12">F33*$H$6</f>
        <v>0</v>
      </c>
      <c r="I33" s="409">
        <f t="shared" ref="I33:I42" si="13">F33*$I$6</f>
        <v>0</v>
      </c>
      <c r="J33" s="409">
        <f t="shared" ref="J33:J42" si="14">F33*$J$6</f>
        <v>0</v>
      </c>
      <c r="K33" s="391"/>
      <c r="O33" s="399">
        <f t="shared" si="2"/>
        <v>0</v>
      </c>
      <c r="P33" s="2615">
        <f>Постачання_1ст!E33-Постачання_2ст!E33</f>
        <v>0</v>
      </c>
      <c r="Q33" s="1283">
        <f>Постачання_1ст!F33</f>
        <v>0</v>
      </c>
      <c r="R33" s="1283">
        <f>Постачання_1ст!G33</f>
        <v>0</v>
      </c>
      <c r="S33" s="1283">
        <f>Постачання_1ст!H33</f>
        <v>0</v>
      </c>
      <c r="T33" s="1283">
        <f>Постачання_1ст!I33</f>
        <v>0</v>
      </c>
      <c r="U33" s="1283">
        <f>Постачання_1ст!J33</f>
        <v>0</v>
      </c>
    </row>
    <row r="34" spans="2:21" ht="18" hidden="1" x14ac:dyDescent="0.35">
      <c r="B34" s="464" t="s">
        <v>1403</v>
      </c>
      <c r="C34" s="407">
        <f>Постачання_1ст!C34</f>
        <v>0</v>
      </c>
      <c r="D34" s="407">
        <f>Постачання_1ст!D34</f>
        <v>0</v>
      </c>
      <c r="E34" s="2618">
        <f>Постачання_1ст!E34</f>
        <v>0</v>
      </c>
      <c r="F34" s="407">
        <f>Постачання_1ст!F34</f>
        <v>0</v>
      </c>
      <c r="G34" s="408">
        <f t="shared" si="8"/>
        <v>0</v>
      </c>
      <c r="H34" s="409">
        <f t="shared" si="12"/>
        <v>0</v>
      </c>
      <c r="I34" s="409">
        <f t="shared" si="13"/>
        <v>0</v>
      </c>
      <c r="J34" s="409">
        <f t="shared" si="14"/>
        <v>0</v>
      </c>
      <c r="K34" s="391"/>
      <c r="O34" s="399">
        <f t="shared" si="2"/>
        <v>0</v>
      </c>
      <c r="P34" s="2615">
        <f>Постачання_1ст!E34-Постачання_2ст!E34</f>
        <v>0</v>
      </c>
      <c r="Q34" s="1283">
        <f>Постачання_1ст!F34</f>
        <v>0</v>
      </c>
      <c r="R34" s="1283">
        <f>Постачання_1ст!G34</f>
        <v>0</v>
      </c>
      <c r="S34" s="1283">
        <f>Постачання_1ст!H34</f>
        <v>0</v>
      </c>
      <c r="T34" s="1283">
        <f>Постачання_1ст!I34</f>
        <v>0</v>
      </c>
      <c r="U34" s="1283">
        <f>Постачання_1ст!J34</f>
        <v>0</v>
      </c>
    </row>
    <row r="35" spans="2:21" ht="18" hidden="1" x14ac:dyDescent="0.35">
      <c r="B35" s="464" t="s">
        <v>1404</v>
      </c>
      <c r="C35" s="407">
        <f>Постачання_1ст!C35</f>
        <v>0</v>
      </c>
      <c r="D35" s="407">
        <f>Постачання_1ст!D35</f>
        <v>0</v>
      </c>
      <c r="E35" s="2618">
        <f>Постачання_1ст!E35</f>
        <v>0</v>
      </c>
      <c r="F35" s="407">
        <f>Постачання_1ст!F35</f>
        <v>0</v>
      </c>
      <c r="G35" s="408">
        <f t="shared" si="8"/>
        <v>0</v>
      </c>
      <c r="H35" s="409">
        <f t="shared" si="12"/>
        <v>0</v>
      </c>
      <c r="I35" s="409">
        <f t="shared" si="13"/>
        <v>0</v>
      </c>
      <c r="J35" s="409">
        <f t="shared" si="14"/>
        <v>0</v>
      </c>
      <c r="K35" s="391"/>
      <c r="O35" s="399">
        <f t="shared" si="2"/>
        <v>0</v>
      </c>
      <c r="P35" s="2615">
        <f>Постачання_1ст!E35-Постачання_2ст!E35</f>
        <v>0</v>
      </c>
      <c r="Q35" s="1283">
        <f>Постачання_1ст!F35</f>
        <v>0</v>
      </c>
      <c r="R35" s="1283">
        <f>Постачання_1ст!G35</f>
        <v>0</v>
      </c>
      <c r="S35" s="1283">
        <f>Постачання_1ст!H35</f>
        <v>0</v>
      </c>
      <c r="T35" s="1283">
        <f>Постачання_1ст!I35</f>
        <v>0</v>
      </c>
      <c r="U35" s="1283">
        <f>Постачання_1ст!J35</f>
        <v>0</v>
      </c>
    </row>
    <row r="36" spans="2:21" ht="18" hidden="1" x14ac:dyDescent="0.35">
      <c r="B36" s="464" t="s">
        <v>1405</v>
      </c>
      <c r="C36" s="407">
        <f>Постачання_1ст!C36</f>
        <v>0</v>
      </c>
      <c r="D36" s="407">
        <f>Постачання_1ст!D36</f>
        <v>0</v>
      </c>
      <c r="E36" s="2618">
        <f>Постачання_1ст!E36</f>
        <v>0</v>
      </c>
      <c r="F36" s="407">
        <f>Постачання_1ст!F36</f>
        <v>0</v>
      </c>
      <c r="G36" s="408">
        <f t="shared" si="8"/>
        <v>0</v>
      </c>
      <c r="H36" s="409">
        <f t="shared" si="12"/>
        <v>0</v>
      </c>
      <c r="I36" s="409">
        <f t="shared" si="13"/>
        <v>0</v>
      </c>
      <c r="J36" s="409">
        <f t="shared" si="14"/>
        <v>0</v>
      </c>
      <c r="K36" s="391"/>
      <c r="O36" s="399">
        <f t="shared" si="2"/>
        <v>0</v>
      </c>
      <c r="P36" s="2615">
        <f>Постачання_1ст!E36-Постачання_2ст!E36</f>
        <v>0</v>
      </c>
      <c r="Q36" s="1283">
        <f>Постачання_1ст!F36</f>
        <v>0</v>
      </c>
      <c r="R36" s="1283">
        <f>Постачання_1ст!G36</f>
        <v>0</v>
      </c>
      <c r="S36" s="1283">
        <f>Постачання_1ст!H36</f>
        <v>0</v>
      </c>
      <c r="T36" s="1283">
        <f>Постачання_1ст!I36</f>
        <v>0</v>
      </c>
      <c r="U36" s="1283">
        <f>Постачання_1ст!J36</f>
        <v>0</v>
      </c>
    </row>
    <row r="37" spans="2:21" ht="18" x14ac:dyDescent="0.35">
      <c r="B37" s="464" t="s">
        <v>1406</v>
      </c>
      <c r="C37" s="407">
        <f>Постачання_1ст!C37</f>
        <v>0.01</v>
      </c>
      <c r="D37" s="407">
        <f>Постачання_1ст!D37</f>
        <v>0</v>
      </c>
      <c r="E37" s="2618">
        <f>Постачання_1ст!E37</f>
        <v>0.01</v>
      </c>
      <c r="F37" s="407">
        <f>Постачання_1ст!F37</f>
        <v>7.4999999999999997E-3</v>
      </c>
      <c r="G37" s="408">
        <f t="shared" si="8"/>
        <v>6.2287117740346979E-3</v>
      </c>
      <c r="H37" s="409">
        <f t="shared" si="12"/>
        <v>1.009022024088598E-6</v>
      </c>
      <c r="I37" s="409">
        <f t="shared" si="13"/>
        <v>9.5040724121616435E-4</v>
      </c>
      <c r="J37" s="409">
        <f t="shared" si="14"/>
        <v>3.1987196272504888E-4</v>
      </c>
      <c r="K37" s="391"/>
      <c r="O37" s="399">
        <f t="shared" si="2"/>
        <v>0</v>
      </c>
      <c r="P37" s="2615">
        <f>Постачання_1ст!E37-Постачання_2ст!E37</f>
        <v>0</v>
      </c>
      <c r="Q37" s="1283">
        <f>Постачання_1ст!F37</f>
        <v>7.4999999999999997E-3</v>
      </c>
      <c r="R37" s="1283">
        <f>Постачання_1ст!G37</f>
        <v>6.2287063558981266E-3</v>
      </c>
      <c r="S37" s="1283">
        <f>Постачання_1ст!H37</f>
        <v>1.009026324465978E-6</v>
      </c>
      <c r="T37" s="1283">
        <f>Постачання_1ст!I37</f>
        <v>9.5041129178166672E-4</v>
      </c>
      <c r="U37" s="1283">
        <f>Постачання_1ст!J37</f>
        <v>3.1987332599574085E-4</v>
      </c>
    </row>
    <row r="38" spans="2:21" ht="18" x14ac:dyDescent="0.35">
      <c r="B38" s="415" t="s">
        <v>1408</v>
      </c>
      <c r="C38" s="407">
        <f>Постачання_1ст!C38</f>
        <v>0.37212000000000001</v>
      </c>
      <c r="D38" s="407">
        <f>Постачання_1ст!D38</f>
        <v>0.88927999999999996</v>
      </c>
      <c r="E38" s="2618">
        <f>Постачання_1ст!E38</f>
        <v>0.48963999999999996</v>
      </c>
      <c r="F38" s="407">
        <f>Постачання_1ст!F38</f>
        <v>1.2658</v>
      </c>
      <c r="G38" s="408">
        <f t="shared" si="8"/>
        <v>1.0512404484764162</v>
      </c>
      <c r="H38" s="409">
        <f t="shared" si="12"/>
        <v>1.7029601041217965E-4</v>
      </c>
      <c r="I38" s="409">
        <f t="shared" si="13"/>
        <v>0.16040339812418947</v>
      </c>
      <c r="J38" s="409">
        <f t="shared" si="14"/>
        <v>5.3985857388982247E-2</v>
      </c>
      <c r="K38" s="391" t="s">
        <v>1409</v>
      </c>
      <c r="O38" s="399">
        <f t="shared" si="2"/>
        <v>0</v>
      </c>
      <c r="P38" s="2615">
        <f>Постачання_1ст!E38-Постачання_2ст!E38</f>
        <v>0</v>
      </c>
      <c r="Q38" s="1283">
        <f>Постачання_1ст!F38</f>
        <v>1.2658</v>
      </c>
      <c r="R38" s="1283">
        <f>Постачання_1ст!G38</f>
        <v>1.0512395340394465</v>
      </c>
      <c r="S38" s="1283">
        <f>Постачання_1ст!H38</f>
        <v>1.7029673620120469E-4</v>
      </c>
      <c r="T38" s="1283">
        <f>Постачання_1ст!I38</f>
        <v>0.16040408175163118</v>
      </c>
      <c r="U38" s="1283">
        <f>Постачання_1ст!J38</f>
        <v>5.3986087472721177E-2</v>
      </c>
    </row>
    <row r="39" spans="2:21" ht="18.75" hidden="1" customHeight="1" x14ac:dyDescent="0.35">
      <c r="B39" s="415" t="s">
        <v>1410</v>
      </c>
      <c r="C39" s="407">
        <f>Постачання_1ст!C39</f>
        <v>0</v>
      </c>
      <c r="D39" s="407">
        <f>Постачання_1ст!D39</f>
        <v>0</v>
      </c>
      <c r="E39" s="2618">
        <f>Постачання_1ст!E39</f>
        <v>0</v>
      </c>
      <c r="F39" s="407">
        <f>Постачання_1ст!F39</f>
        <v>0</v>
      </c>
      <c r="G39" s="408">
        <f t="shared" si="8"/>
        <v>0</v>
      </c>
      <c r="H39" s="409">
        <f t="shared" si="12"/>
        <v>0</v>
      </c>
      <c r="I39" s="409">
        <f t="shared" si="13"/>
        <v>0</v>
      </c>
      <c r="J39" s="409">
        <f t="shared" si="14"/>
        <v>0</v>
      </c>
      <c r="K39" s="391"/>
      <c r="O39" s="399">
        <f t="shared" si="2"/>
        <v>0</v>
      </c>
      <c r="P39" s="2615">
        <f>Постачання_1ст!E39-Постачання_2ст!E39</f>
        <v>0</v>
      </c>
      <c r="Q39" s="1283">
        <f>Постачання_1ст!F39</f>
        <v>0</v>
      </c>
      <c r="R39" s="1283">
        <f>Постачання_1ст!G39</f>
        <v>0</v>
      </c>
      <c r="S39" s="1283">
        <f>Постачання_1ст!H39</f>
        <v>0</v>
      </c>
      <c r="T39" s="1283">
        <f>Постачання_1ст!I39</f>
        <v>0</v>
      </c>
      <c r="U39" s="1283">
        <f>Постачання_1ст!J39</f>
        <v>0</v>
      </c>
    </row>
    <row r="40" spans="2:21" ht="18.75" hidden="1" customHeight="1" x14ac:dyDescent="0.35">
      <c r="B40" s="415" t="s">
        <v>1594</v>
      </c>
      <c r="C40" s="407">
        <f>Постачання_1ст!C40</f>
        <v>0</v>
      </c>
      <c r="D40" s="407">
        <f>Постачання_1ст!D40</f>
        <v>0</v>
      </c>
      <c r="E40" s="2618">
        <f>Постачання_1ст!E40</f>
        <v>0</v>
      </c>
      <c r="F40" s="407">
        <f>Постачання_1ст!F40</f>
        <v>0</v>
      </c>
      <c r="G40" s="408">
        <f t="shared" si="8"/>
        <v>0</v>
      </c>
      <c r="H40" s="409">
        <f t="shared" si="12"/>
        <v>0</v>
      </c>
      <c r="I40" s="409">
        <f t="shared" si="13"/>
        <v>0</v>
      </c>
      <c r="J40" s="409">
        <f t="shared" si="14"/>
        <v>0</v>
      </c>
      <c r="K40" s="391"/>
      <c r="O40" s="399">
        <f t="shared" si="2"/>
        <v>0</v>
      </c>
      <c r="P40" s="2615">
        <f>Постачання_1ст!E40-Постачання_2ст!E40</f>
        <v>0</v>
      </c>
      <c r="Q40" s="1283">
        <f>Постачання_1ст!F40</f>
        <v>0</v>
      </c>
      <c r="R40" s="1283">
        <f>Постачання_1ст!G40</f>
        <v>0</v>
      </c>
      <c r="S40" s="1283">
        <f>Постачання_1ст!H40</f>
        <v>0</v>
      </c>
      <c r="T40" s="1283">
        <f>Постачання_1ст!I40</f>
        <v>0</v>
      </c>
      <c r="U40" s="1283">
        <f>Постачання_1ст!J40</f>
        <v>0</v>
      </c>
    </row>
    <row r="41" spans="2:21" ht="18.75" hidden="1" customHeight="1" x14ac:dyDescent="0.35">
      <c r="B41" s="415" t="s">
        <v>1593</v>
      </c>
      <c r="C41" s="407">
        <f>Постачання_1ст!C41</f>
        <v>0</v>
      </c>
      <c r="D41" s="407">
        <f>Постачання_1ст!D41</f>
        <v>0</v>
      </c>
      <c r="E41" s="2618">
        <f>Постачання_1ст!E41</f>
        <v>0</v>
      </c>
      <c r="F41" s="407">
        <f>Постачання_1ст!F41</f>
        <v>0</v>
      </c>
      <c r="G41" s="408">
        <f t="shared" si="8"/>
        <v>0</v>
      </c>
      <c r="H41" s="409">
        <f t="shared" si="12"/>
        <v>0</v>
      </c>
      <c r="I41" s="409">
        <f t="shared" si="13"/>
        <v>0</v>
      </c>
      <c r="J41" s="409">
        <f t="shared" si="14"/>
        <v>0</v>
      </c>
      <c r="K41" s="391"/>
      <c r="O41" s="399">
        <f t="shared" si="2"/>
        <v>0</v>
      </c>
      <c r="P41" s="2615">
        <f>Постачання_1ст!E41-Постачання_2ст!E41</f>
        <v>0</v>
      </c>
      <c r="Q41" s="1283">
        <f>Постачання_1ст!F41</f>
        <v>0</v>
      </c>
      <c r="R41" s="1283">
        <f>Постачання_1ст!G41</f>
        <v>0</v>
      </c>
      <c r="S41" s="1283">
        <f>Постачання_1ст!H41</f>
        <v>0</v>
      </c>
      <c r="T41" s="1283">
        <f>Постачання_1ст!I41</f>
        <v>0</v>
      </c>
      <c r="U41" s="1283">
        <f>Постачання_1ст!J41</f>
        <v>0</v>
      </c>
    </row>
    <row r="42" spans="2:21" ht="18.75" hidden="1" customHeight="1" x14ac:dyDescent="0.35">
      <c r="B42" s="415" t="s">
        <v>1411</v>
      </c>
      <c r="C42" s="407">
        <f>Постачання_1ст!C42</f>
        <v>0</v>
      </c>
      <c r="D42" s="407">
        <f>Постачання_1ст!D42</f>
        <v>0</v>
      </c>
      <c r="E42" s="2618">
        <f>Постачання_1ст!E42</f>
        <v>0</v>
      </c>
      <c r="F42" s="407">
        <f>Постачання_1ст!F42</f>
        <v>0</v>
      </c>
      <c r="G42" s="408">
        <f t="shared" si="8"/>
        <v>0</v>
      </c>
      <c r="H42" s="409">
        <f t="shared" si="12"/>
        <v>0</v>
      </c>
      <c r="I42" s="409">
        <f t="shared" si="13"/>
        <v>0</v>
      </c>
      <c r="J42" s="409">
        <f t="shared" si="14"/>
        <v>0</v>
      </c>
      <c r="K42" s="391" t="s">
        <v>1879</v>
      </c>
      <c r="O42" s="399">
        <f t="shared" si="2"/>
        <v>0</v>
      </c>
      <c r="P42" s="2615">
        <f>Постачання_1ст!E42-Постачання_2ст!E42</f>
        <v>0</v>
      </c>
      <c r="Q42" s="1283">
        <f>Постачання_1ст!F42</f>
        <v>0</v>
      </c>
      <c r="R42" s="1283">
        <f>Постачання_1ст!G42</f>
        <v>0</v>
      </c>
      <c r="S42" s="1283">
        <f>Постачання_1ст!H42</f>
        <v>0</v>
      </c>
      <c r="T42" s="1283">
        <f>Постачання_1ст!I42</f>
        <v>0</v>
      </c>
      <c r="U42" s="1283">
        <f>Постачання_1ст!J42</f>
        <v>0</v>
      </c>
    </row>
    <row r="43" spans="2:21" ht="18.75" hidden="1" customHeight="1" x14ac:dyDescent="0.35">
      <c r="B43" s="415" t="s">
        <v>1592</v>
      </c>
      <c r="C43" s="407">
        <f>Постачання_1ст!C43</f>
        <v>0</v>
      </c>
      <c r="D43" s="407">
        <f>Постачання_1ст!D43</f>
        <v>0</v>
      </c>
      <c r="E43" s="2618">
        <f>Постачання_1ст!E43</f>
        <v>0</v>
      </c>
      <c r="F43" s="407">
        <f>Постачання_1ст!F43</f>
        <v>0</v>
      </c>
      <c r="G43" s="408">
        <f t="shared" si="8"/>
        <v>0</v>
      </c>
      <c r="H43" s="409">
        <f>F43*$H$6</f>
        <v>0</v>
      </c>
      <c r="I43" s="409">
        <f>F43*$I$6</f>
        <v>0</v>
      </c>
      <c r="J43" s="409">
        <f>F43*$J$6</f>
        <v>0</v>
      </c>
      <c r="K43" s="391"/>
      <c r="O43" s="399">
        <f t="shared" si="2"/>
        <v>0</v>
      </c>
      <c r="P43" s="2615">
        <f>Постачання_1ст!E43-Постачання_2ст!E43</f>
        <v>0</v>
      </c>
      <c r="Q43" s="1283">
        <f>Постачання_1ст!F43</f>
        <v>0</v>
      </c>
      <c r="R43" s="1283">
        <f>Постачання_1ст!G43</f>
        <v>0</v>
      </c>
      <c r="S43" s="1283">
        <f>Постачання_1ст!H43</f>
        <v>0</v>
      </c>
      <c r="T43" s="1283">
        <f>Постачання_1ст!I43</f>
        <v>0</v>
      </c>
      <c r="U43" s="1283">
        <f>Постачання_1ст!J43</f>
        <v>0</v>
      </c>
    </row>
    <row r="44" spans="2:21" ht="18.75" hidden="1" customHeight="1" x14ac:dyDescent="0.35">
      <c r="B44" s="415" t="s">
        <v>1591</v>
      </c>
      <c r="C44" s="407">
        <f>Постачання_1ст!C44</f>
        <v>0</v>
      </c>
      <c r="D44" s="407">
        <f>Постачання_1ст!D44</f>
        <v>0</v>
      </c>
      <c r="E44" s="2618">
        <f>Постачання_1ст!E44</f>
        <v>0</v>
      </c>
      <c r="F44" s="407">
        <f>Постачання_1ст!F44</f>
        <v>0</v>
      </c>
      <c r="G44" s="408">
        <f t="shared" si="8"/>
        <v>0</v>
      </c>
      <c r="H44" s="409">
        <f t="shared" ref="H44:H54" si="15">F44*$H$6</f>
        <v>0</v>
      </c>
      <c r="I44" s="409">
        <f t="shared" ref="I44:I54" si="16">F44*$I$6</f>
        <v>0</v>
      </c>
      <c r="J44" s="409">
        <f t="shared" ref="J44:J54" si="17">F44*$J$6</f>
        <v>0</v>
      </c>
      <c r="K44" s="391"/>
      <c r="O44" s="399">
        <f t="shared" si="2"/>
        <v>0</v>
      </c>
      <c r="P44" s="2615">
        <f>Постачання_1ст!E44-Постачання_2ст!E44</f>
        <v>0</v>
      </c>
      <c r="Q44" s="1283">
        <f>Постачання_1ст!F44</f>
        <v>0</v>
      </c>
      <c r="R44" s="1283">
        <f>Постачання_1ст!G44</f>
        <v>0</v>
      </c>
      <c r="S44" s="1283">
        <f>Постачання_1ст!H44</f>
        <v>0</v>
      </c>
      <c r="T44" s="1283">
        <f>Постачання_1ст!I44</f>
        <v>0</v>
      </c>
      <c r="U44" s="1283">
        <f>Постачання_1ст!J44</f>
        <v>0</v>
      </c>
    </row>
    <row r="45" spans="2:21" ht="18.75" hidden="1" customHeight="1" x14ac:dyDescent="0.35">
      <c r="B45" s="415" t="s">
        <v>1653</v>
      </c>
      <c r="C45" s="407">
        <f>Постачання_1ст!C45</f>
        <v>0</v>
      </c>
      <c r="D45" s="407">
        <f>Постачання_1ст!D45</f>
        <v>0</v>
      </c>
      <c r="E45" s="2618">
        <f>Постачання_1ст!E45</f>
        <v>0</v>
      </c>
      <c r="F45" s="407">
        <f>Постачання_1ст!F45</f>
        <v>0</v>
      </c>
      <c r="G45" s="408">
        <f t="shared" si="8"/>
        <v>0</v>
      </c>
      <c r="H45" s="409">
        <f t="shared" si="15"/>
        <v>0</v>
      </c>
      <c r="I45" s="409">
        <f t="shared" si="16"/>
        <v>0</v>
      </c>
      <c r="J45" s="409">
        <f t="shared" si="17"/>
        <v>0</v>
      </c>
      <c r="K45" s="391"/>
      <c r="O45" s="399">
        <f t="shared" si="2"/>
        <v>0</v>
      </c>
      <c r="P45" s="2615">
        <f>Постачання_1ст!E45-Постачання_2ст!E45</f>
        <v>0</v>
      </c>
      <c r="Q45" s="1283">
        <f>Постачання_1ст!F45</f>
        <v>0</v>
      </c>
      <c r="R45" s="1283">
        <f>Постачання_1ст!G45</f>
        <v>0</v>
      </c>
      <c r="S45" s="1283">
        <f>Постачання_1ст!H45</f>
        <v>0</v>
      </c>
      <c r="T45" s="1283">
        <f>Постачання_1ст!I45</f>
        <v>0</v>
      </c>
      <c r="U45" s="1283">
        <f>Постачання_1ст!J45</f>
        <v>0</v>
      </c>
    </row>
    <row r="46" spans="2:21" ht="18.75" hidden="1" customHeight="1" x14ac:dyDescent="0.35">
      <c r="B46" s="415" t="s">
        <v>1655</v>
      </c>
      <c r="C46" s="407">
        <f>Постачання_1ст!C46</f>
        <v>0</v>
      </c>
      <c r="D46" s="407">
        <f>Постачання_1ст!D46</f>
        <v>0</v>
      </c>
      <c r="E46" s="2618">
        <f>Постачання_1ст!E46</f>
        <v>0</v>
      </c>
      <c r="F46" s="407">
        <f>Постачання_1ст!F46</f>
        <v>0</v>
      </c>
      <c r="G46" s="408">
        <f t="shared" si="8"/>
        <v>0</v>
      </c>
      <c r="H46" s="409">
        <f t="shared" si="15"/>
        <v>0</v>
      </c>
      <c r="I46" s="409">
        <f t="shared" si="16"/>
        <v>0</v>
      </c>
      <c r="J46" s="409">
        <f t="shared" si="17"/>
        <v>0</v>
      </c>
      <c r="K46" s="391"/>
      <c r="O46" s="399">
        <f t="shared" si="2"/>
        <v>0</v>
      </c>
      <c r="P46" s="2615">
        <f>Постачання_1ст!E46-Постачання_2ст!E46</f>
        <v>0</v>
      </c>
      <c r="Q46" s="1283">
        <f>Постачання_1ст!F46</f>
        <v>0</v>
      </c>
      <c r="R46" s="1283">
        <f>Постачання_1ст!G46</f>
        <v>0</v>
      </c>
      <c r="S46" s="1283">
        <f>Постачання_1ст!H46</f>
        <v>0</v>
      </c>
      <c r="T46" s="1283">
        <f>Постачання_1ст!I46</f>
        <v>0</v>
      </c>
      <c r="U46" s="1283">
        <f>Постачання_1ст!J46</f>
        <v>0</v>
      </c>
    </row>
    <row r="47" spans="2:21" ht="18.75" hidden="1" customHeight="1" x14ac:dyDescent="0.35">
      <c r="B47" s="415" t="s">
        <v>1654</v>
      </c>
      <c r="C47" s="407">
        <f>Постачання_1ст!C47</f>
        <v>0</v>
      </c>
      <c r="D47" s="407">
        <f>Постачання_1ст!D47</f>
        <v>0</v>
      </c>
      <c r="E47" s="2618">
        <f>Постачання_1ст!E47</f>
        <v>0</v>
      </c>
      <c r="F47" s="407">
        <f>Постачання_1ст!F47</f>
        <v>0</v>
      </c>
      <c r="G47" s="408">
        <f t="shared" si="8"/>
        <v>0</v>
      </c>
      <c r="H47" s="409">
        <f t="shared" si="15"/>
        <v>0</v>
      </c>
      <c r="I47" s="409">
        <f t="shared" si="16"/>
        <v>0</v>
      </c>
      <c r="J47" s="409">
        <f t="shared" si="17"/>
        <v>0</v>
      </c>
      <c r="K47" s="391"/>
      <c r="O47" s="399">
        <f t="shared" si="2"/>
        <v>0</v>
      </c>
      <c r="P47" s="2615">
        <f>Постачання_1ст!E47-Постачання_2ст!E47</f>
        <v>0</v>
      </c>
      <c r="Q47" s="1283">
        <f>Постачання_1ст!F47</f>
        <v>0</v>
      </c>
      <c r="R47" s="1283">
        <f>Постачання_1ст!G47</f>
        <v>0</v>
      </c>
      <c r="S47" s="1283">
        <f>Постачання_1ст!H47</f>
        <v>0</v>
      </c>
      <c r="T47" s="1283">
        <f>Постачання_1ст!I47</f>
        <v>0</v>
      </c>
      <c r="U47" s="1283">
        <f>Постачання_1ст!J47</f>
        <v>0</v>
      </c>
    </row>
    <row r="48" spans="2:21" ht="18" x14ac:dyDescent="0.35">
      <c r="B48" s="415" t="s">
        <v>1900</v>
      </c>
      <c r="C48" s="407">
        <f>Постачання_1ст!C48</f>
        <v>3.2749999999999999</v>
      </c>
      <c r="D48" s="407">
        <f>Постачання_1ст!D48</f>
        <v>4.5416600000000003</v>
      </c>
      <c r="E48" s="2618">
        <f>Постачання_1ст!E48</f>
        <v>6.6</v>
      </c>
      <c r="F48" s="407">
        <f>Постачання_1ст!F48</f>
        <v>7.7</v>
      </c>
      <c r="G48" s="408">
        <f t="shared" si="8"/>
        <v>6.394810754675623</v>
      </c>
      <c r="H48" s="409">
        <f t="shared" si="15"/>
        <v>1.0359292780642939E-3</v>
      </c>
      <c r="I48" s="409">
        <f t="shared" si="16"/>
        <v>0.97575143431526212</v>
      </c>
      <c r="J48" s="409">
        <f t="shared" si="17"/>
        <v>0.32840188173105017</v>
      </c>
      <c r="K48" s="391" t="s">
        <v>1536</v>
      </c>
      <c r="O48" s="399">
        <f t="shared" si="2"/>
        <v>4.9960036108132044E-16</v>
      </c>
      <c r="P48" s="2615">
        <f>Постачання_1ст!E48-Постачання_2ст!E48</f>
        <v>0</v>
      </c>
      <c r="Q48" s="1283">
        <f>Постачання_1ст!F48</f>
        <v>7.7</v>
      </c>
      <c r="R48" s="1283">
        <f>Постачання_1ст!G48</f>
        <v>6.3948051920554105</v>
      </c>
      <c r="S48" s="1283">
        <f>Постачання_1ст!H48</f>
        <v>1.0359336931184042E-3</v>
      </c>
      <c r="T48" s="1283">
        <f>Постачання_1ст!I48</f>
        <v>0.97575559289584457</v>
      </c>
      <c r="U48" s="1283">
        <f>Постачання_1ст!J48</f>
        <v>0.3284032813556273</v>
      </c>
    </row>
    <row r="49" spans="2:21" ht="18.75" hidden="1" customHeight="1" x14ac:dyDescent="0.35">
      <c r="B49" s="415" t="s">
        <v>1590</v>
      </c>
      <c r="C49" s="407">
        <f>Постачання_1ст!C49</f>
        <v>0</v>
      </c>
      <c r="D49" s="407">
        <f>Постачання_1ст!D49</f>
        <v>0</v>
      </c>
      <c r="E49" s="2618">
        <f>Постачання_1ст!E49</f>
        <v>0</v>
      </c>
      <c r="F49" s="407">
        <f>Постачання_1ст!F49</f>
        <v>0</v>
      </c>
      <c r="G49" s="408">
        <f t="shared" si="8"/>
        <v>0</v>
      </c>
      <c r="H49" s="409">
        <f t="shared" si="15"/>
        <v>0</v>
      </c>
      <c r="I49" s="409">
        <f t="shared" si="16"/>
        <v>0</v>
      </c>
      <c r="J49" s="409">
        <f t="shared" si="17"/>
        <v>0</v>
      </c>
      <c r="K49" s="391"/>
      <c r="O49" s="399">
        <f t="shared" si="2"/>
        <v>0</v>
      </c>
      <c r="P49" s="2615">
        <f>Постачання_1ст!E49-Постачання_2ст!E49</f>
        <v>0</v>
      </c>
      <c r="Q49" s="1283">
        <f>Постачання_1ст!F49</f>
        <v>0</v>
      </c>
      <c r="R49" s="1283">
        <f>Постачання_1ст!G49</f>
        <v>0</v>
      </c>
      <c r="S49" s="1283">
        <f>Постачання_1ст!H49</f>
        <v>0</v>
      </c>
      <c r="T49" s="1283">
        <f>Постачання_1ст!I49</f>
        <v>0</v>
      </c>
      <c r="U49" s="1283">
        <f>Постачання_1ст!J49</f>
        <v>0</v>
      </c>
    </row>
    <row r="50" spans="2:21" ht="18.75" hidden="1" customHeight="1" x14ac:dyDescent="0.35">
      <c r="B50" s="415" t="s">
        <v>1589</v>
      </c>
      <c r="C50" s="407">
        <f>Постачання_1ст!C50</f>
        <v>0</v>
      </c>
      <c r="D50" s="407">
        <f>Постачання_1ст!D50</f>
        <v>0</v>
      </c>
      <c r="E50" s="2618">
        <f>Постачання_1ст!E50</f>
        <v>0</v>
      </c>
      <c r="F50" s="407">
        <f>Постачання_1ст!F50</f>
        <v>0</v>
      </c>
      <c r="G50" s="408">
        <f t="shared" si="8"/>
        <v>0</v>
      </c>
      <c r="H50" s="409">
        <f t="shared" si="15"/>
        <v>0</v>
      </c>
      <c r="I50" s="409">
        <f t="shared" si="16"/>
        <v>0</v>
      </c>
      <c r="J50" s="409">
        <f t="shared" si="17"/>
        <v>0</v>
      </c>
      <c r="K50" s="391"/>
      <c r="O50" s="399">
        <f t="shared" si="2"/>
        <v>0</v>
      </c>
      <c r="P50" s="2615">
        <f>Постачання_1ст!E50-Постачання_2ст!E50</f>
        <v>0</v>
      </c>
      <c r="Q50" s="1283">
        <f>Постачання_1ст!F50</f>
        <v>0</v>
      </c>
      <c r="R50" s="1283">
        <f>Постачання_1ст!G50</f>
        <v>0</v>
      </c>
      <c r="S50" s="1283">
        <f>Постачання_1ст!H50</f>
        <v>0</v>
      </c>
      <c r="T50" s="1283">
        <f>Постачання_1ст!I50</f>
        <v>0</v>
      </c>
      <c r="U50" s="1283">
        <f>Постачання_1ст!J50</f>
        <v>0</v>
      </c>
    </row>
    <row r="51" spans="2:21" ht="18.75" hidden="1" customHeight="1" x14ac:dyDescent="0.35">
      <c r="B51" s="415" t="s">
        <v>1543</v>
      </c>
      <c r="C51" s="407">
        <f>Постачання_1ст!C51</f>
        <v>0</v>
      </c>
      <c r="D51" s="407">
        <f>Постачання_1ст!D51</f>
        <v>0</v>
      </c>
      <c r="E51" s="2618">
        <f>Постачання_1ст!E51</f>
        <v>0</v>
      </c>
      <c r="F51" s="407">
        <f>Постачання_1ст!F51</f>
        <v>0</v>
      </c>
      <c r="G51" s="408">
        <f t="shared" si="8"/>
        <v>0</v>
      </c>
      <c r="H51" s="409">
        <f t="shared" si="15"/>
        <v>0</v>
      </c>
      <c r="I51" s="409">
        <f t="shared" si="16"/>
        <v>0</v>
      </c>
      <c r="J51" s="409">
        <f t="shared" si="17"/>
        <v>0</v>
      </c>
      <c r="K51" s="391"/>
      <c r="O51" s="399">
        <f t="shared" si="2"/>
        <v>0</v>
      </c>
      <c r="P51" s="2615">
        <f>Постачання_1ст!E51-Постачання_2ст!E51</f>
        <v>0</v>
      </c>
      <c r="Q51" s="1283">
        <f>Постачання_1ст!F51</f>
        <v>0</v>
      </c>
      <c r="R51" s="1283">
        <f>Постачання_1ст!G51</f>
        <v>0</v>
      </c>
      <c r="S51" s="1283">
        <f>Постачання_1ст!H51</f>
        <v>0</v>
      </c>
      <c r="T51" s="1283">
        <f>Постачання_1ст!I51</f>
        <v>0</v>
      </c>
      <c r="U51" s="1283">
        <f>Постачання_1ст!J51</f>
        <v>0</v>
      </c>
    </row>
    <row r="52" spans="2:21" ht="18.75" hidden="1" customHeight="1" x14ac:dyDescent="0.35">
      <c r="B52" s="415" t="s">
        <v>1540</v>
      </c>
      <c r="C52" s="407">
        <f>Постачання_1ст!C52</f>
        <v>0</v>
      </c>
      <c r="D52" s="407">
        <f>Постачання_1ст!D52</f>
        <v>0</v>
      </c>
      <c r="E52" s="2618">
        <f>Постачання_1ст!E52</f>
        <v>0</v>
      </c>
      <c r="F52" s="407">
        <f>Постачання_1ст!F52</f>
        <v>0</v>
      </c>
      <c r="G52" s="408">
        <f t="shared" si="8"/>
        <v>0</v>
      </c>
      <c r="H52" s="409">
        <f t="shared" si="15"/>
        <v>0</v>
      </c>
      <c r="I52" s="409">
        <f t="shared" si="16"/>
        <v>0</v>
      </c>
      <c r="J52" s="409">
        <f t="shared" si="17"/>
        <v>0</v>
      </c>
      <c r="K52" s="391"/>
      <c r="O52" s="399">
        <f t="shared" si="2"/>
        <v>0</v>
      </c>
      <c r="P52" s="2615">
        <f>Постачання_1ст!E52-Постачання_2ст!E52</f>
        <v>0</v>
      </c>
      <c r="Q52" s="1283">
        <f>Постачання_1ст!F52</f>
        <v>0</v>
      </c>
      <c r="R52" s="1283">
        <f>Постачання_1ст!G52</f>
        <v>0</v>
      </c>
      <c r="S52" s="1283">
        <f>Постачання_1ст!H52</f>
        <v>0</v>
      </c>
      <c r="T52" s="1283">
        <f>Постачання_1ст!I52</f>
        <v>0</v>
      </c>
      <c r="U52" s="1283">
        <f>Постачання_1ст!J52</f>
        <v>0</v>
      </c>
    </row>
    <row r="53" spans="2:21" ht="18.75" hidden="1" customHeight="1" x14ac:dyDescent="0.35">
      <c r="B53" s="415" t="s">
        <v>1584</v>
      </c>
      <c r="C53" s="407">
        <f>Постачання_1ст!C53</f>
        <v>0</v>
      </c>
      <c r="D53" s="407">
        <f>Постачання_1ст!D53</f>
        <v>0</v>
      </c>
      <c r="E53" s="2618">
        <f>Постачання_1ст!E53</f>
        <v>0</v>
      </c>
      <c r="F53" s="407">
        <f>Постачання_1ст!F53</f>
        <v>0</v>
      </c>
      <c r="G53" s="408">
        <f t="shared" si="8"/>
        <v>0</v>
      </c>
      <c r="H53" s="409">
        <f t="shared" si="15"/>
        <v>0</v>
      </c>
      <c r="I53" s="409">
        <f t="shared" si="16"/>
        <v>0</v>
      </c>
      <c r="J53" s="409">
        <f t="shared" si="17"/>
        <v>0</v>
      </c>
      <c r="K53" s="391"/>
      <c r="O53" s="399">
        <f t="shared" si="2"/>
        <v>0</v>
      </c>
      <c r="P53" s="2615">
        <f>Постачання_1ст!E53-Постачання_2ст!E53</f>
        <v>0</v>
      </c>
      <c r="Q53" s="1283">
        <f>Постачання_1ст!F53</f>
        <v>0</v>
      </c>
      <c r="R53" s="1283">
        <f>Постачання_1ст!G53</f>
        <v>0</v>
      </c>
      <c r="S53" s="1283">
        <f>Постачання_1ст!H53</f>
        <v>0</v>
      </c>
      <c r="T53" s="1283">
        <f>Постачання_1ст!I53</f>
        <v>0</v>
      </c>
      <c r="U53" s="1283">
        <f>Постачання_1ст!J53</f>
        <v>0</v>
      </c>
    </row>
    <row r="54" spans="2:21" ht="18" hidden="1" x14ac:dyDescent="0.35">
      <c r="B54" s="406" t="s">
        <v>1583</v>
      </c>
      <c r="C54" s="407">
        <f>Постачання_1ст!C54</f>
        <v>0</v>
      </c>
      <c r="D54" s="407">
        <f>Постачання_1ст!D54</f>
        <v>1.6879500000000001</v>
      </c>
      <c r="E54" s="2618">
        <f>Постачання_1ст!E54</f>
        <v>0</v>
      </c>
      <c r="F54" s="407">
        <f>Постачання_1ст!F54</f>
        <v>0</v>
      </c>
      <c r="G54" s="408">
        <f t="shared" si="8"/>
        <v>0</v>
      </c>
      <c r="H54" s="409">
        <f t="shared" si="15"/>
        <v>0</v>
      </c>
      <c r="I54" s="409">
        <f t="shared" si="16"/>
        <v>0</v>
      </c>
      <c r="J54" s="409">
        <f t="shared" si="17"/>
        <v>0</v>
      </c>
      <c r="K54" s="391"/>
      <c r="O54" s="399">
        <f t="shared" si="2"/>
        <v>0</v>
      </c>
      <c r="P54" s="2615">
        <f>Постачання_1ст!E54-Постачання_2ст!E54</f>
        <v>0</v>
      </c>
      <c r="Q54" s="1283">
        <f>Постачання_1ст!F54</f>
        <v>0</v>
      </c>
      <c r="R54" s="1283">
        <f>Постачання_1ст!G54</f>
        <v>0</v>
      </c>
      <c r="S54" s="1283">
        <f>Постачання_1ст!H54</f>
        <v>0</v>
      </c>
      <c r="T54" s="1283">
        <f>Постачання_1ст!I54</f>
        <v>0</v>
      </c>
      <c r="U54" s="1283">
        <f>Постачання_1ст!J54</f>
        <v>0</v>
      </c>
    </row>
    <row r="55" spans="2:21" ht="18" x14ac:dyDescent="0.35">
      <c r="B55" s="406" t="s">
        <v>1391</v>
      </c>
      <c r="C55" s="407"/>
      <c r="D55" s="407"/>
      <c r="E55" s="2618"/>
      <c r="F55" s="407">
        <f>Постачання_1ст!F55</f>
        <v>0</v>
      </c>
      <c r="G55" s="408"/>
      <c r="H55" s="409"/>
      <c r="I55" s="409"/>
      <c r="J55" s="409"/>
      <c r="K55" s="391"/>
      <c r="O55" s="399">
        <f t="shared" si="2"/>
        <v>0</v>
      </c>
      <c r="P55" s="2615">
        <f>Постачання_1ст!E55-Постачання_2ст!E55</f>
        <v>0</v>
      </c>
      <c r="Q55" s="1283">
        <f>Постачання_1ст!F55</f>
        <v>0</v>
      </c>
      <c r="R55" s="1283">
        <f>Постачання_1ст!G55</f>
        <v>0</v>
      </c>
      <c r="S55" s="1283">
        <f>Постачання_1ст!H55</f>
        <v>0</v>
      </c>
      <c r="T55" s="1283">
        <f>Постачання_1ст!I55</f>
        <v>0</v>
      </c>
      <c r="U55" s="1283">
        <f>Постачання_1ст!J55</f>
        <v>0</v>
      </c>
    </row>
    <row r="56" spans="2:21" ht="18" x14ac:dyDescent="0.35">
      <c r="B56" s="463" t="s">
        <v>1392</v>
      </c>
      <c r="C56" s="407">
        <f>Постачання_1ст!C56</f>
        <v>1.18598</v>
      </c>
      <c r="D56" s="407">
        <f>Постачання_1ст!D56</f>
        <v>1.0747</v>
      </c>
      <c r="E56" s="2618">
        <f>Постачання_1ст!E56</f>
        <v>1.47725</v>
      </c>
      <c r="F56" s="407">
        <f>Постачання_1ст!F56</f>
        <v>1.4068700000000001</v>
      </c>
      <c r="G56" s="408">
        <f t="shared" si="8"/>
        <v>1.1683983644714928</v>
      </c>
      <c r="H56" s="409">
        <f>F56*$H$6</f>
        <v>1.8927504200393679E-4</v>
      </c>
      <c r="I56" s="409">
        <f>F56*$I$6</f>
        <v>0.17827992472663803</v>
      </c>
      <c r="J56" s="409">
        <f>F56*$J$6</f>
        <v>6.0002435759865268E-2</v>
      </c>
      <c r="K56" s="391" t="s">
        <v>1576</v>
      </c>
      <c r="O56" s="399">
        <f t="shared" si="2"/>
        <v>0</v>
      </c>
      <c r="P56" s="2615">
        <f>Постачання_1ст!E56-Постачання_2ст!E56</f>
        <v>0</v>
      </c>
      <c r="Q56" s="1283">
        <f>Постачання_1ст!F56</f>
        <v>1.4068700000000001</v>
      </c>
      <c r="R56" s="1283">
        <f>Постачання_1ст!G56</f>
        <v>1.1683973481229863</v>
      </c>
      <c r="S56" s="1283">
        <f>Постачання_1ст!H56</f>
        <v>1.8927584868019343E-4</v>
      </c>
      <c r="T56" s="1283">
        <f>Постачання_1ст!I56</f>
        <v>0.17828068454251647</v>
      </c>
      <c r="U56" s="1283">
        <f>Постачання_1ст!J56</f>
        <v>6.0002691485817064E-2</v>
      </c>
    </row>
    <row r="57" spans="2:21" ht="18" x14ac:dyDescent="0.35">
      <c r="B57" s="463" t="s">
        <v>1393</v>
      </c>
      <c r="C57" s="407">
        <f>Постачання_1ст!C57</f>
        <v>0</v>
      </c>
      <c r="D57" s="407">
        <f>Постачання_1ст!D57</f>
        <v>0</v>
      </c>
      <c r="E57" s="2618">
        <f>Постачання_1ст!E57</f>
        <v>0</v>
      </c>
      <c r="F57" s="407">
        <f>Постачання_1ст!F57</f>
        <v>0</v>
      </c>
      <c r="G57" s="408">
        <f t="shared" si="8"/>
        <v>0</v>
      </c>
      <c r="H57" s="409">
        <f t="shared" ref="H57:H63" si="18">F57*$H$6</f>
        <v>0</v>
      </c>
      <c r="I57" s="409">
        <f t="shared" ref="I57:I63" si="19">F57*$I$6</f>
        <v>0</v>
      </c>
      <c r="J57" s="409">
        <f t="shared" ref="J57:J63" si="20">F57*$J$6</f>
        <v>0</v>
      </c>
      <c r="K57" s="517"/>
      <c r="L57" s="506"/>
      <c r="O57" s="399">
        <f t="shared" si="2"/>
        <v>0</v>
      </c>
      <c r="P57" s="2615">
        <f>Постачання_1ст!E57-Постачання_2ст!E57</f>
        <v>0</v>
      </c>
      <c r="Q57" s="1283">
        <f>Постачання_1ст!F57</f>
        <v>0</v>
      </c>
      <c r="R57" s="1283">
        <f>Постачання_1ст!G57</f>
        <v>0</v>
      </c>
      <c r="S57" s="1283">
        <f>Постачання_1ст!H57</f>
        <v>0</v>
      </c>
      <c r="T57" s="1283">
        <f>Постачання_1ст!I57</f>
        <v>0</v>
      </c>
      <c r="U57" s="1283">
        <f>Постачання_1ст!J57</f>
        <v>0</v>
      </c>
    </row>
    <row r="58" spans="2:21" ht="36" hidden="1" x14ac:dyDescent="0.35">
      <c r="B58" s="416" t="s">
        <v>1582</v>
      </c>
      <c r="C58" s="407">
        <f>Постачання_1ст!C58</f>
        <v>0</v>
      </c>
      <c r="D58" s="407">
        <f>Постачання_1ст!D58</f>
        <v>0</v>
      </c>
      <c r="E58" s="2618">
        <f>Постачання_1ст!E58</f>
        <v>0</v>
      </c>
      <c r="F58" s="407">
        <f>Постачання_1ст!F58</f>
        <v>0</v>
      </c>
      <c r="G58" s="408">
        <f t="shared" si="8"/>
        <v>0</v>
      </c>
      <c r="H58" s="409">
        <f t="shared" si="18"/>
        <v>0</v>
      </c>
      <c r="I58" s="409">
        <f t="shared" si="19"/>
        <v>0</v>
      </c>
      <c r="J58" s="409">
        <f t="shared" si="20"/>
        <v>0</v>
      </c>
      <c r="K58" s="517"/>
      <c r="L58" s="506"/>
      <c r="O58" s="399">
        <f t="shared" si="2"/>
        <v>0</v>
      </c>
      <c r="P58" s="2615">
        <f>Постачання_1ст!E58-Постачання_2ст!E58</f>
        <v>0</v>
      </c>
      <c r="Q58" s="1283">
        <f>Постачання_1ст!F58</f>
        <v>0</v>
      </c>
      <c r="R58" s="1283">
        <f>Постачання_1ст!G58</f>
        <v>0</v>
      </c>
      <c r="S58" s="1283">
        <f>Постачання_1ст!H58</f>
        <v>0</v>
      </c>
      <c r="T58" s="1283">
        <f>Постачання_1ст!I58</f>
        <v>0</v>
      </c>
      <c r="U58" s="1283">
        <f>Постачання_1ст!J58</f>
        <v>0</v>
      </c>
    </row>
    <row r="59" spans="2:21" ht="18" hidden="1" x14ac:dyDescent="0.35">
      <c r="B59" s="464" t="s">
        <v>1399</v>
      </c>
      <c r="C59" s="407">
        <f>Постачання_1ст!C59</f>
        <v>0</v>
      </c>
      <c r="D59" s="407">
        <f>Постачання_1ст!D59</f>
        <v>0</v>
      </c>
      <c r="E59" s="2618">
        <f>Постачання_1ст!E59</f>
        <v>0</v>
      </c>
      <c r="F59" s="407">
        <f>Постачання_1ст!F59</f>
        <v>0</v>
      </c>
      <c r="G59" s="408">
        <f t="shared" si="8"/>
        <v>0</v>
      </c>
      <c r="H59" s="409">
        <f t="shared" si="18"/>
        <v>0</v>
      </c>
      <c r="I59" s="409">
        <f t="shared" si="19"/>
        <v>0</v>
      </c>
      <c r="J59" s="409">
        <f t="shared" si="20"/>
        <v>0</v>
      </c>
      <c r="K59" s="517"/>
      <c r="L59" s="506"/>
      <c r="O59" s="399">
        <f t="shared" si="2"/>
        <v>0</v>
      </c>
      <c r="P59" s="2615">
        <f>Постачання_1ст!E59-Постачання_2ст!E59</f>
        <v>0</v>
      </c>
      <c r="Q59" s="1283">
        <f>Постачання_1ст!F59</f>
        <v>0</v>
      </c>
      <c r="R59" s="1283">
        <f>Постачання_1ст!G59</f>
        <v>0</v>
      </c>
      <c r="S59" s="1283">
        <f>Постачання_1ст!H59</f>
        <v>0</v>
      </c>
      <c r="T59" s="1283">
        <f>Постачання_1ст!I59</f>
        <v>0</v>
      </c>
      <c r="U59" s="1283">
        <f>Постачання_1ст!J59</f>
        <v>0</v>
      </c>
    </row>
    <row r="60" spans="2:21" ht="18" hidden="1" x14ac:dyDescent="0.35">
      <c r="B60" s="406" t="s">
        <v>1581</v>
      </c>
      <c r="C60" s="407">
        <f>Постачання_1ст!C60</f>
        <v>0</v>
      </c>
      <c r="D60" s="407">
        <f>Постачання_1ст!D60</f>
        <v>0</v>
      </c>
      <c r="E60" s="2618">
        <f>Постачання_1ст!E60</f>
        <v>0</v>
      </c>
      <c r="F60" s="407">
        <f>Постачання_1ст!F60</f>
        <v>0</v>
      </c>
      <c r="G60" s="408">
        <f t="shared" si="8"/>
        <v>0</v>
      </c>
      <c r="H60" s="409">
        <f t="shared" si="18"/>
        <v>0</v>
      </c>
      <c r="I60" s="409">
        <f t="shared" si="19"/>
        <v>0</v>
      </c>
      <c r="J60" s="409">
        <f t="shared" si="20"/>
        <v>0</v>
      </c>
      <c r="K60" s="517"/>
      <c r="L60" s="506"/>
      <c r="O60" s="399">
        <f t="shared" si="2"/>
        <v>0</v>
      </c>
      <c r="P60" s="2615">
        <f>Постачання_1ст!E60-Постачання_2ст!E60</f>
        <v>0</v>
      </c>
      <c r="Q60" s="1283">
        <f>Постачання_1ст!F60</f>
        <v>0</v>
      </c>
      <c r="R60" s="1283">
        <f>Постачання_1ст!G60</f>
        <v>0</v>
      </c>
      <c r="S60" s="1283">
        <f>Постачання_1ст!H60</f>
        <v>0</v>
      </c>
      <c r="T60" s="1283">
        <f>Постачання_1ст!I60</f>
        <v>0</v>
      </c>
      <c r="U60" s="1283">
        <f>Постачання_1ст!J60</f>
        <v>0</v>
      </c>
    </row>
    <row r="61" spans="2:21" ht="18" x14ac:dyDescent="0.35">
      <c r="B61" s="406" t="s">
        <v>924</v>
      </c>
      <c r="C61" s="407">
        <f>Постачання_1ст!C61</f>
        <v>0</v>
      </c>
      <c r="D61" s="407">
        <f>Постачання_1ст!D61</f>
        <v>0</v>
      </c>
      <c r="E61" s="2618">
        <f>Постачання_1ст!E61</f>
        <v>0</v>
      </c>
      <c r="F61" s="407">
        <f>Постачання_1ст!F61</f>
        <v>0</v>
      </c>
      <c r="G61" s="408">
        <f t="shared" si="8"/>
        <v>0</v>
      </c>
      <c r="H61" s="409">
        <f t="shared" si="18"/>
        <v>0</v>
      </c>
      <c r="I61" s="409">
        <f t="shared" si="19"/>
        <v>0</v>
      </c>
      <c r="J61" s="409">
        <f t="shared" si="20"/>
        <v>0</v>
      </c>
      <c r="K61" s="517"/>
      <c r="L61" s="506"/>
      <c r="O61" s="399">
        <f t="shared" si="2"/>
        <v>0</v>
      </c>
      <c r="P61" s="2615">
        <f>Постачання_1ст!E61-Постачання_2ст!E61</f>
        <v>0</v>
      </c>
      <c r="Q61" s="1283">
        <f>Постачання_1ст!F61</f>
        <v>0</v>
      </c>
      <c r="R61" s="1283">
        <f>Постачання_1ст!G61</f>
        <v>0</v>
      </c>
      <c r="S61" s="1283">
        <f>Постачання_1ст!H61</f>
        <v>0</v>
      </c>
      <c r="T61" s="1283">
        <f>Постачання_1ст!I61</f>
        <v>0</v>
      </c>
      <c r="U61" s="1283">
        <f>Постачання_1ст!J61</f>
        <v>0</v>
      </c>
    </row>
    <row r="62" spans="2:21" ht="18" x14ac:dyDescent="0.35">
      <c r="B62" s="715" t="str">
        <f>Профпослуги2!B15</f>
        <v>ППЗ для захисту від вірусів</v>
      </c>
      <c r="C62" s="407"/>
      <c r="D62" s="407"/>
      <c r="E62" s="2618">
        <f>Постачання_1ст!E62</f>
        <v>0.9057971014492755</v>
      </c>
      <c r="F62" s="407">
        <f>Постачання_1ст!F62</f>
        <v>0.9057971014492755</v>
      </c>
      <c r="G62" s="408">
        <f t="shared" si="8"/>
        <v>0.75225987609114719</v>
      </c>
      <c r="H62" s="409">
        <f t="shared" si="18"/>
        <v>1.2186256329572442E-4</v>
      </c>
      <c r="I62" s="409">
        <f t="shared" si="19"/>
        <v>0.11478348323866722</v>
      </c>
      <c r="J62" s="409">
        <f t="shared" si="20"/>
        <v>3.863187955616533E-2</v>
      </c>
      <c r="K62" s="517"/>
      <c r="L62" s="506"/>
      <c r="O62" s="399"/>
      <c r="P62" s="2615">
        <f>Постачання_1ст!E62-Постачання_2ст!E62</f>
        <v>0</v>
      </c>
      <c r="Q62" s="1283">
        <f>Постачання_1ст!F62</f>
        <v>0.9057971014492755</v>
      </c>
      <c r="R62" s="1283">
        <f>Постачання_1ст!G62</f>
        <v>0.75225922172682702</v>
      </c>
      <c r="S62" s="1283">
        <f>Постачання_1ст!H62</f>
        <v>1.2186308266497322E-4</v>
      </c>
      <c r="T62" s="1283">
        <f>Постачання_1ст!I62</f>
        <v>0.11478397243739939</v>
      </c>
      <c r="U62" s="1283">
        <f>Постачання_1ст!J62</f>
        <v>3.8632044202384169E-2</v>
      </c>
    </row>
    <row r="63" spans="2:21" ht="18.600000000000001" thickBot="1" x14ac:dyDescent="0.4">
      <c r="B63" s="465" t="s">
        <v>58</v>
      </c>
      <c r="C63" s="466">
        <f>Постачання_1ст!C63</f>
        <v>11.279679999999999</v>
      </c>
      <c r="D63" s="466">
        <f>Постачання_1ст!D63</f>
        <v>-7.9560500000000003</v>
      </c>
      <c r="E63" s="2620">
        <f>Постачання_1ст!E63</f>
        <v>0</v>
      </c>
      <c r="F63" s="466">
        <f>Постачання_1ст!F63</f>
        <v>0</v>
      </c>
      <c r="G63" s="502">
        <f t="shared" si="8"/>
        <v>0</v>
      </c>
      <c r="H63" s="417">
        <f t="shared" si="18"/>
        <v>0</v>
      </c>
      <c r="I63" s="417">
        <f t="shared" si="19"/>
        <v>0</v>
      </c>
      <c r="J63" s="417">
        <f t="shared" si="20"/>
        <v>0</v>
      </c>
      <c r="K63" s="517"/>
      <c r="L63" s="506"/>
      <c r="O63" s="399">
        <f t="shared" si="2"/>
        <v>0</v>
      </c>
      <c r="P63" s="2615">
        <f>Постачання_1ст!E63-Постачання_2ст!E63</f>
        <v>0</v>
      </c>
      <c r="Q63" s="1283">
        <f>Постачання_1ст!F63</f>
        <v>0</v>
      </c>
      <c r="R63" s="1283">
        <f>Постачання_1ст!G63</f>
        <v>0</v>
      </c>
      <c r="S63" s="1283">
        <f>Постачання_1ст!H63</f>
        <v>0</v>
      </c>
      <c r="T63" s="1283">
        <f>Постачання_1ст!I63</f>
        <v>0</v>
      </c>
      <c r="U63" s="1283">
        <f>Постачання_1ст!J63</f>
        <v>0</v>
      </c>
    </row>
    <row r="64" spans="2:21" ht="24" customHeight="1" x14ac:dyDescent="0.3">
      <c r="C64" s="391"/>
      <c r="D64" s="391"/>
      <c r="E64" s="391"/>
      <c r="F64" s="391"/>
    </row>
    <row r="65" spans="2:12" ht="24" customHeight="1" x14ac:dyDescent="0.3">
      <c r="C65" s="391"/>
      <c r="D65" s="391"/>
      <c r="E65" s="391"/>
      <c r="F65" s="391"/>
    </row>
    <row r="66" spans="2:12" ht="24" customHeight="1" x14ac:dyDescent="0.35">
      <c r="B66" s="429" t="str">
        <f>'Вхідні дані'!$B$13</f>
        <v>Директор підприємства</v>
      </c>
      <c r="C66" s="419"/>
      <c r="D66" s="419"/>
      <c r="E66" s="772" t="s">
        <v>1400</v>
      </c>
      <c r="F66" s="391"/>
      <c r="G66" s="5181" t="str">
        <f>'Вхідні дані'!$F$13</f>
        <v>Анатолій ПАНШИН</v>
      </c>
      <c r="H66" s="5181"/>
      <c r="I66" s="5181"/>
    </row>
    <row r="67" spans="2:12" ht="24" customHeight="1" x14ac:dyDescent="0.35">
      <c r="B67" s="419"/>
      <c r="C67" s="419"/>
      <c r="D67" s="419"/>
      <c r="E67" s="772" t="s">
        <v>209</v>
      </c>
      <c r="F67" s="391"/>
      <c r="G67" s="5115" t="s">
        <v>1985</v>
      </c>
      <c r="H67" s="5115"/>
      <c r="I67" s="5115"/>
    </row>
    <row r="68" spans="2:12" ht="24" customHeight="1" x14ac:dyDescent="0.35">
      <c r="B68" s="429" t="str">
        <f>'Вхідні дані'!$B$15</f>
        <v>Заступник директора з економіки</v>
      </c>
      <c r="C68" s="419"/>
      <c r="D68" s="419"/>
      <c r="E68" s="772" t="s">
        <v>1400</v>
      </c>
      <c r="F68" s="391"/>
      <c r="G68" s="5181" t="str">
        <f>'Вхідні дані'!$F$15</f>
        <v>Олена ЛАВРОВА</v>
      </c>
      <c r="H68" s="5181"/>
      <c r="I68" s="5181"/>
    </row>
    <row r="69" spans="2:12" ht="24" customHeight="1" x14ac:dyDescent="0.35">
      <c r="B69" s="418"/>
      <c r="C69" s="418"/>
      <c r="D69" s="418"/>
      <c r="E69" s="772" t="s">
        <v>209</v>
      </c>
      <c r="F69" s="391"/>
      <c r="G69" s="5115" t="s">
        <v>1985</v>
      </c>
      <c r="H69" s="5115"/>
      <c r="I69" s="5115"/>
      <c r="J69" s="418"/>
      <c r="K69" s="518"/>
      <c r="L69" s="418"/>
    </row>
    <row r="70" spans="2:12" x14ac:dyDescent="0.3">
      <c r="C70" s="391"/>
      <c r="D70" s="391"/>
      <c r="E70" s="391"/>
      <c r="F70" s="391"/>
    </row>
    <row r="71" spans="2:12" x14ac:dyDescent="0.3">
      <c r="C71" s="391"/>
      <c r="D71" s="391"/>
      <c r="E71" s="391"/>
      <c r="F71" s="391"/>
    </row>
    <row r="72" spans="2:12" x14ac:dyDescent="0.3">
      <c r="C72" s="391"/>
      <c r="D72" s="391"/>
      <c r="E72" s="391"/>
      <c r="F72" s="391"/>
    </row>
    <row r="73" spans="2:12" x14ac:dyDescent="0.3">
      <c r="C73" s="391"/>
      <c r="D73" s="391"/>
      <c r="E73" s="391"/>
      <c r="F73" s="391"/>
    </row>
    <row r="74" spans="2:12" x14ac:dyDescent="0.3">
      <c r="C74" s="1187">
        <f>C8</f>
        <v>2021</v>
      </c>
      <c r="D74" s="1187">
        <f>D8</f>
        <v>2022</v>
      </c>
      <c r="E74" s="1187" t="s">
        <v>2307</v>
      </c>
      <c r="F74" s="1187" t="s">
        <v>201</v>
      </c>
    </row>
    <row r="75" spans="2:12" x14ac:dyDescent="0.3">
      <c r="C75" s="399">
        <f>C9</f>
        <v>780.90219000000002</v>
      </c>
      <c r="D75" s="399">
        <f>D9</f>
        <v>1604.34898</v>
      </c>
      <c r="E75" s="399">
        <f>E9</f>
        <v>1702.8224901170295</v>
      </c>
      <c r="F75" s="399">
        <f>F9</f>
        <v>1816.6486399715736</v>
      </c>
      <c r="G75" s="1610">
        <f>F75/D75-1</f>
        <v>0.13232760616182992</v>
      </c>
    </row>
    <row r="76" spans="2:12" x14ac:dyDescent="0.3">
      <c r="B76" s="778" t="s">
        <v>2294</v>
      </c>
      <c r="C76" s="1184">
        <f>C21</f>
        <v>586.92831000000001</v>
      </c>
      <c r="D76" s="1184">
        <f>D21</f>
        <v>565.58097999999995</v>
      </c>
      <c r="E76" s="1184">
        <f>E21</f>
        <v>684.72567299999992</v>
      </c>
      <c r="F76" s="1184">
        <f>F21</f>
        <v>754.48063799999989</v>
      </c>
      <c r="G76" s="1610">
        <f>F76/D76-1</f>
        <v>0.33399223927226118</v>
      </c>
    </row>
    <row r="77" spans="2:12" x14ac:dyDescent="0.3">
      <c r="B77" s="778" t="s">
        <v>2295</v>
      </c>
      <c r="C77" s="1184">
        <f>C24</f>
        <v>127.35957000000001</v>
      </c>
      <c r="D77" s="1184">
        <f>D24</f>
        <v>124.51048</v>
      </c>
      <c r="E77" s="1184">
        <f>E24</f>
        <v>150.63964805999998</v>
      </c>
      <c r="F77" s="1184">
        <f>F24</f>
        <v>165.98574035999997</v>
      </c>
      <c r="G77" s="1610">
        <f>F77/D77-1</f>
        <v>0.33310658155040418</v>
      </c>
    </row>
    <row r="78" spans="2:12" x14ac:dyDescent="0.3">
      <c r="B78" s="778" t="s">
        <v>2296</v>
      </c>
      <c r="C78" s="1185"/>
      <c r="D78" s="1185"/>
      <c r="E78" s="1185"/>
      <c r="F78" s="1185"/>
      <c r="G78" s="1610"/>
    </row>
    <row r="79" spans="2:12" x14ac:dyDescent="0.3">
      <c r="B79" s="778" t="s">
        <v>43</v>
      </c>
      <c r="C79" s="1185"/>
      <c r="D79" s="1185"/>
      <c r="E79" s="1185"/>
      <c r="F79" s="1185"/>
      <c r="G79" s="1610"/>
    </row>
    <row r="80" spans="2:12" x14ac:dyDescent="0.3">
      <c r="B80" s="778" t="s">
        <v>2297</v>
      </c>
      <c r="C80" s="1185"/>
      <c r="D80" s="1185"/>
      <c r="E80" s="1185"/>
      <c r="F80" s="1185"/>
      <c r="G80" s="1610"/>
    </row>
    <row r="81" spans="2:7" x14ac:dyDescent="0.3">
      <c r="B81" s="778" t="s">
        <v>460</v>
      </c>
      <c r="C81" s="1184">
        <f>C25+C26</f>
        <v>28.322400000000002</v>
      </c>
      <c r="D81" s="1184">
        <f>D25+D26</f>
        <v>887.7299999999999</v>
      </c>
      <c r="E81" s="1184">
        <f>E25+E26</f>
        <v>826.87560000000099</v>
      </c>
      <c r="F81" s="1184">
        <f>F25+F26</f>
        <v>843.99335000000065</v>
      </c>
      <c r="G81" s="1610">
        <f>F81/D81-1</f>
        <v>-4.9267964358531646E-2</v>
      </c>
    </row>
    <row r="82" spans="2:7" x14ac:dyDescent="0.3">
      <c r="B82" s="778" t="s">
        <v>2298</v>
      </c>
      <c r="C82" s="1185"/>
      <c r="D82" s="1185"/>
      <c r="E82" s="1185"/>
      <c r="F82" s="1185"/>
    </row>
    <row r="83" spans="2:7" x14ac:dyDescent="0.3">
      <c r="B83" s="778" t="s">
        <v>2299</v>
      </c>
      <c r="C83" s="1185"/>
      <c r="D83" s="1185"/>
      <c r="E83" s="1185"/>
      <c r="F83" s="1185"/>
    </row>
    <row r="84" spans="2:7" x14ac:dyDescent="0.3">
      <c r="B84" s="778" t="s">
        <v>2300</v>
      </c>
      <c r="C84" s="1184">
        <f>C10+C29+C30+C37+C38+C42+C48+C56+C57+C59+C61+C63</f>
        <v>38.291910000000001</v>
      </c>
      <c r="D84" s="1184">
        <f>D10+D29+D30+D37+D38+D42+D48+D56+D57+D59+D61+D63</f>
        <v>24.839569999999998</v>
      </c>
      <c r="E84" s="1184">
        <f>E10+E29+E30+E37+E38+E42+E48+E56+E57+E59+E61+E63+E33+E62</f>
        <v>40.581569057028474</v>
      </c>
      <c r="F84" s="1184">
        <f>F10+F29+F30+F37+F38+F42+F48+F56+F57+F59+F61+F63+F33+F62</f>
        <v>52.188911611573275</v>
      </c>
    </row>
    <row r="85" spans="2:7" x14ac:dyDescent="0.3">
      <c r="C85" s="399">
        <f>SUM(C76:C84)</f>
        <v>780.90219000000002</v>
      </c>
      <c r="D85" s="399">
        <f>SUM(D76:D84)</f>
        <v>1602.66103</v>
      </c>
      <c r="E85" s="399">
        <f>SUM(E76:E84)</f>
        <v>1702.8224901170292</v>
      </c>
      <c r="F85" s="399">
        <f>SUM(F76:F84)</f>
        <v>1816.6486399715739</v>
      </c>
    </row>
    <row r="86" spans="2:7" x14ac:dyDescent="0.3">
      <c r="C86" s="1186">
        <f>C75-C85</f>
        <v>0</v>
      </c>
      <c r="D86" s="1186">
        <f>D75-D85</f>
        <v>1.6879500000000007</v>
      </c>
      <c r="E86" s="1186">
        <f>E75-E85</f>
        <v>0</v>
      </c>
      <c r="F86" s="1186">
        <f>F75-F85</f>
        <v>0</v>
      </c>
    </row>
    <row r="87" spans="2:7" x14ac:dyDescent="0.3">
      <c r="C87" s="391"/>
      <c r="D87" s="391"/>
      <c r="E87" s="391"/>
      <c r="F87" s="391"/>
    </row>
    <row r="88" spans="2:7" x14ac:dyDescent="0.3">
      <c r="C88" s="391"/>
      <c r="D88" s="391"/>
      <c r="E88" s="391"/>
      <c r="F88" s="391"/>
    </row>
    <row r="89" spans="2:7" x14ac:dyDescent="0.3">
      <c r="C89" s="391"/>
      <c r="D89" s="391"/>
      <c r="E89" s="391"/>
      <c r="F89" s="391"/>
    </row>
    <row r="90" spans="2:7" x14ac:dyDescent="0.3">
      <c r="C90" s="391"/>
      <c r="D90" s="391"/>
      <c r="E90" s="391"/>
      <c r="F90" s="391"/>
    </row>
    <row r="91" spans="2:7" x14ac:dyDescent="0.3">
      <c r="C91" s="391"/>
      <c r="D91" s="391"/>
      <c r="E91" s="391"/>
      <c r="F91" s="391"/>
    </row>
    <row r="92" spans="2:7" x14ac:dyDescent="0.3">
      <c r="C92" s="391"/>
      <c r="D92" s="391"/>
      <c r="E92" s="391"/>
      <c r="F92" s="391"/>
    </row>
    <row r="93" spans="2:7" x14ac:dyDescent="0.3">
      <c r="C93" s="391"/>
      <c r="D93" s="391"/>
      <c r="E93" s="391"/>
      <c r="F93" s="391"/>
    </row>
    <row r="94" spans="2:7" x14ac:dyDescent="0.3">
      <c r="C94" s="391"/>
      <c r="D94" s="391"/>
      <c r="E94" s="391"/>
      <c r="F94" s="391"/>
    </row>
    <row r="95" spans="2:7" x14ac:dyDescent="0.3">
      <c r="C95" s="391"/>
      <c r="D95" s="391"/>
      <c r="E95" s="391"/>
      <c r="F95" s="391"/>
    </row>
    <row r="96" spans="2:7" x14ac:dyDescent="0.3">
      <c r="C96" s="391"/>
      <c r="D96" s="391"/>
      <c r="E96" s="391"/>
      <c r="F96" s="391"/>
    </row>
    <row r="97" spans="3:6" x14ac:dyDescent="0.3">
      <c r="C97" s="391"/>
      <c r="D97" s="391"/>
      <c r="E97" s="391"/>
      <c r="F97" s="391"/>
    </row>
    <row r="98" spans="3:6" x14ac:dyDescent="0.3">
      <c r="C98" s="391"/>
      <c r="D98" s="391"/>
      <c r="E98" s="391"/>
      <c r="F98" s="391"/>
    </row>
    <row r="99" spans="3:6" x14ac:dyDescent="0.3">
      <c r="C99" s="391"/>
      <c r="D99" s="391"/>
      <c r="E99" s="391"/>
      <c r="F99" s="391"/>
    </row>
    <row r="100" spans="3:6" x14ac:dyDescent="0.3">
      <c r="C100" s="391"/>
      <c r="D100" s="391"/>
      <c r="E100" s="391"/>
      <c r="F100" s="391"/>
    </row>
    <row r="101" spans="3:6" x14ac:dyDescent="0.3">
      <c r="C101" s="391"/>
      <c r="D101" s="391"/>
      <c r="E101" s="391"/>
      <c r="F101" s="391"/>
    </row>
    <row r="102" spans="3:6" x14ac:dyDescent="0.3">
      <c r="C102" s="391"/>
      <c r="D102" s="391"/>
      <c r="E102" s="391"/>
      <c r="F102" s="391"/>
    </row>
    <row r="103" spans="3:6" x14ac:dyDescent="0.3">
      <c r="C103" s="391"/>
      <c r="D103" s="391"/>
      <c r="E103" s="391"/>
      <c r="F103" s="391"/>
    </row>
    <row r="104" spans="3:6" x14ac:dyDescent="0.3">
      <c r="C104" s="391"/>
      <c r="D104" s="391"/>
      <c r="E104" s="391"/>
      <c r="F104" s="391"/>
    </row>
    <row r="105" spans="3:6" x14ac:dyDescent="0.3">
      <c r="C105" s="391"/>
      <c r="D105" s="391"/>
      <c r="E105" s="391"/>
      <c r="F105" s="391"/>
    </row>
    <row r="106" spans="3:6" x14ac:dyDescent="0.3">
      <c r="C106" s="391"/>
      <c r="D106" s="391"/>
      <c r="E106" s="391"/>
      <c r="F106" s="391"/>
    </row>
    <row r="107" spans="3:6" x14ac:dyDescent="0.3">
      <c r="C107" s="391"/>
      <c r="D107" s="391"/>
      <c r="E107" s="391"/>
      <c r="F107" s="391"/>
    </row>
    <row r="108" spans="3:6" x14ac:dyDescent="0.3">
      <c r="C108" s="391"/>
      <c r="D108" s="391"/>
      <c r="E108" s="391"/>
      <c r="F108" s="391"/>
    </row>
    <row r="109" spans="3:6" x14ac:dyDescent="0.3">
      <c r="C109" s="391"/>
      <c r="D109" s="391"/>
      <c r="E109" s="391"/>
      <c r="F109" s="391"/>
    </row>
    <row r="110" spans="3:6" x14ac:dyDescent="0.3">
      <c r="C110" s="391"/>
      <c r="D110" s="391"/>
      <c r="E110" s="391"/>
      <c r="F110" s="391"/>
    </row>
    <row r="111" spans="3:6" x14ac:dyDescent="0.3">
      <c r="C111" s="391"/>
      <c r="D111" s="391"/>
      <c r="E111" s="391"/>
      <c r="F111" s="391"/>
    </row>
    <row r="112" spans="3:6" x14ac:dyDescent="0.3">
      <c r="C112" s="391"/>
      <c r="D112" s="391"/>
      <c r="E112" s="391"/>
      <c r="F112" s="391"/>
    </row>
    <row r="113" spans="3:6" x14ac:dyDescent="0.3">
      <c r="C113" s="391"/>
      <c r="D113" s="391"/>
      <c r="E113" s="391"/>
      <c r="F113" s="391"/>
    </row>
    <row r="114" spans="3:6" x14ac:dyDescent="0.3">
      <c r="C114" s="391"/>
      <c r="D114" s="391"/>
      <c r="E114" s="391"/>
      <c r="F114" s="391"/>
    </row>
    <row r="115" spans="3:6" x14ac:dyDescent="0.3">
      <c r="C115" s="391"/>
      <c r="D115" s="391"/>
      <c r="E115" s="391"/>
      <c r="F115" s="391"/>
    </row>
    <row r="116" spans="3:6" x14ac:dyDescent="0.3">
      <c r="C116" s="391"/>
      <c r="D116" s="391"/>
      <c r="E116" s="391"/>
      <c r="F116" s="391"/>
    </row>
    <row r="117" spans="3:6" x14ac:dyDescent="0.3">
      <c r="C117" s="391"/>
      <c r="D117" s="391"/>
      <c r="E117" s="391"/>
      <c r="F117" s="391"/>
    </row>
    <row r="118" spans="3:6" x14ac:dyDescent="0.3">
      <c r="C118" s="391"/>
      <c r="D118" s="391"/>
      <c r="E118" s="391"/>
      <c r="F118" s="391"/>
    </row>
    <row r="119" spans="3:6" x14ac:dyDescent="0.3">
      <c r="C119" s="391"/>
      <c r="D119" s="391"/>
      <c r="E119" s="391"/>
      <c r="F119" s="391"/>
    </row>
    <row r="120" spans="3:6" x14ac:dyDescent="0.3">
      <c r="C120" s="391"/>
      <c r="D120" s="391"/>
      <c r="E120" s="391"/>
      <c r="F120" s="391"/>
    </row>
    <row r="121" spans="3:6" x14ac:dyDescent="0.3">
      <c r="C121" s="391"/>
      <c r="D121" s="391"/>
      <c r="E121" s="391"/>
      <c r="F121" s="391"/>
    </row>
    <row r="122" spans="3:6" x14ac:dyDescent="0.3">
      <c r="C122" s="391"/>
      <c r="D122" s="391"/>
      <c r="E122" s="391"/>
      <c r="F122" s="391"/>
    </row>
    <row r="123" spans="3:6" x14ac:dyDescent="0.3">
      <c r="C123" s="391"/>
      <c r="D123" s="391"/>
      <c r="E123" s="391"/>
      <c r="F123" s="391"/>
    </row>
    <row r="124" spans="3:6" x14ac:dyDescent="0.3">
      <c r="C124" s="391"/>
      <c r="D124" s="391"/>
      <c r="E124" s="391"/>
      <c r="F124" s="391"/>
    </row>
  </sheetData>
  <mergeCells count="7">
    <mergeCell ref="F2:H2"/>
    <mergeCell ref="G69:I69"/>
    <mergeCell ref="B7:B8"/>
    <mergeCell ref="G7:J7"/>
    <mergeCell ref="G66:I66"/>
    <mergeCell ref="G67:I67"/>
    <mergeCell ref="G68:I68"/>
  </mergeCells>
  <conditionalFormatting sqref="B69:I69">
    <cfRule type="expression" dxfId="46" priority="5" stopIfTrue="1">
      <formula>ABS(#REF!-(#REF!+$D69+$M69+$O69))&gt;отклонение</formula>
    </cfRule>
  </conditionalFormatting>
  <conditionalFormatting sqref="F69:I69">
    <cfRule type="expression" dxfId="45" priority="8" stopIfTrue="1">
      <formula>ABS(#REF!-(#REF!+$D69+$M69+$O69))&gt;отклонение</formula>
    </cfRule>
  </conditionalFormatting>
  <conditionalFormatting sqref="G69:I69 B69:D69">
    <cfRule type="expression" dxfId="44" priority="2" stopIfTrue="1">
      <formula>ABS(#REF!-(#REF!+$D69+$M69+$O69))&gt;отклонение</formula>
    </cfRule>
  </conditionalFormatting>
  <conditionalFormatting sqref="G69:I69">
    <cfRule type="expression" dxfId="43" priority="1" stopIfTrue="1">
      <formula>ABS(#REF!-(#REF!+#REF!+$L69+$N69))&gt;отклонение</formula>
    </cfRule>
    <cfRule type="expression" dxfId="42" priority="3" stopIfTrue="1">
      <formula>ABS(#REF!-(#REF!+$E69+$L69+$N69))&gt;отклонение</formula>
    </cfRule>
    <cfRule type="expression" dxfId="41" priority="4" stopIfTrue="1">
      <formula>ABS(#REF!-(#REF!+$D69+$M69+$O69))&gt;отклонение</formula>
    </cfRule>
    <cfRule type="expression" dxfId="40" priority="6" stopIfTrue="1">
      <formula>ABS(#REF!-(#REF!+$E69+$L69+$N69))&gt;отклонение</formula>
    </cfRule>
    <cfRule type="expression" dxfId="39" priority="7" stopIfTrue="1">
      <formula>ABS(#REF!-(#REF!+$D69+$M69+$O69))&gt;отклонение</formula>
    </cfRule>
  </conditionalFormatting>
  <conditionalFormatting sqref="G69:L69 B69:E69">
    <cfRule type="expression" dxfId="38" priority="9" stopIfTrue="1">
      <formula>ABS(#REF!-(#REF!+$D69+#REF!+#REF!))&gt;отклонение</formula>
    </cfRule>
  </conditionalFormatting>
  <pageMargins left="0.23622047244094491" right="0.23622047244094491" top="0.7" bottom="0.15748031496062992" header="0.76" footer="0.31496062992125984"/>
  <pageSetup paperSize="9" scale="61" orientation="portrait" r:id="rId1"/>
  <headerFooter alignWithMargins="0"/>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E00-000000000000}">
  <sheetPr codeName="Лист42">
    <tabColor rgb="FF00B050"/>
    <pageSetUpPr fitToPage="1"/>
  </sheetPr>
  <dimension ref="A1:Y124"/>
  <sheetViews>
    <sheetView zoomScale="75" zoomScaleNormal="75" workbookViewId="0">
      <pane xSplit="2" ySplit="7" topLeftCell="C8" activePane="bottomRight" state="frozen"/>
      <selection pane="topRight" activeCell="C1" sqref="C1"/>
      <selection pane="bottomLeft" activeCell="A8" sqref="A8"/>
      <selection pane="bottomRight" activeCell="C36" sqref="C36:D36"/>
    </sheetView>
  </sheetViews>
  <sheetFormatPr defaultColWidth="9.109375" defaultRowHeight="13.8" x14ac:dyDescent="0.25"/>
  <cols>
    <col min="1" max="1" width="4.6640625" style="391" customWidth="1"/>
    <col min="2" max="2" width="57.6640625" style="391" customWidth="1"/>
    <col min="3" max="3" width="14.44140625" style="390" customWidth="1"/>
    <col min="4" max="5" width="13.88671875" style="390" customWidth="1"/>
    <col min="6" max="6" width="17.109375" style="390" customWidth="1"/>
    <col min="7" max="7" width="16.5546875" style="391" customWidth="1"/>
    <col min="8" max="8" width="16.109375" style="391" customWidth="1"/>
    <col min="9" max="9" width="12" style="391" customWidth="1"/>
    <col min="10" max="10" width="14" style="391" customWidth="1"/>
    <col min="11" max="11" width="16.5546875" style="391" customWidth="1"/>
    <col min="12" max="12" width="15" style="391" customWidth="1"/>
    <col min="13" max="13" width="11.6640625" style="391" customWidth="1"/>
    <col min="14" max="14" width="14.44140625" style="391" customWidth="1"/>
    <col min="15" max="15" width="30.6640625" style="717" hidden="1" customWidth="1"/>
    <col min="16" max="16" width="12.44140625" style="399" hidden="1" customWidth="1"/>
    <col min="17" max="17" width="11.6640625" style="399" hidden="1" customWidth="1"/>
    <col min="18" max="18" width="11.33203125" style="391" hidden="1" customWidth="1"/>
    <col min="19" max="21" width="0" style="391" hidden="1" customWidth="1"/>
    <col min="22" max="22" width="10.44140625" style="391" hidden="1" customWidth="1"/>
    <col min="23" max="16384" width="9.109375" style="391"/>
  </cols>
  <sheetData>
    <row r="1" spans="2:25" ht="17.399999999999999" x14ac:dyDescent="0.3">
      <c r="B1" s="389"/>
      <c r="C1" s="391"/>
      <c r="D1" s="391"/>
      <c r="E1" s="391"/>
      <c r="F1" s="391"/>
      <c r="M1" s="392" t="s">
        <v>821</v>
      </c>
      <c r="O1" s="998">
        <v>974434.26</v>
      </c>
      <c r="P1" s="994">
        <v>1079483.79</v>
      </c>
      <c r="Q1" s="994">
        <v>1208387.3354880773</v>
      </c>
      <c r="R1" s="995">
        <v>4793154.3692373559</v>
      </c>
    </row>
    <row r="2" spans="2:25" ht="18" customHeight="1" x14ac:dyDescent="0.25">
      <c r="C2" s="391"/>
      <c r="D2" s="391"/>
      <c r="E2" s="391"/>
      <c r="F2" s="391"/>
      <c r="L2" s="5197" t="s">
        <v>2324</v>
      </c>
      <c r="M2" s="5197"/>
      <c r="N2" s="5197"/>
      <c r="O2" s="999">
        <f>O1/1000-C8</f>
        <v>-3971.522359999999</v>
      </c>
      <c r="P2" s="996">
        <f>P1/1000-D8</f>
        <v>-4233.5936999999985</v>
      </c>
      <c r="Q2" s="996">
        <f>Q1/1000-E8</f>
        <v>-5254.7753621070251</v>
      </c>
      <c r="R2" s="996">
        <f>R1/1000-F8</f>
        <v>-3048.271985141796</v>
      </c>
    </row>
    <row r="3" spans="2:25" ht="17.399999999999999" x14ac:dyDescent="0.3">
      <c r="B3" s="394" t="s">
        <v>1567</v>
      </c>
      <c r="C3" s="888" t="str">
        <f>'Вхідні дані'!F5</f>
        <v>КП «КТЕ"</v>
      </c>
      <c r="D3" s="888"/>
      <c r="E3" s="888"/>
      <c r="F3" s="706"/>
      <c r="G3" s="395" t="s">
        <v>461</v>
      </c>
      <c r="H3" s="888" t="str">
        <f>'Вхідні дані'!F6</f>
        <v>2023-2024</v>
      </c>
      <c r="I3" s="395" t="s">
        <v>661</v>
      </c>
      <c r="J3" s="395"/>
      <c r="L3" s="394"/>
      <c r="O3" s="717">
        <f>ФОП!G44</f>
        <v>20.5</v>
      </c>
      <c r="P3" s="399" t="s">
        <v>144</v>
      </c>
    </row>
    <row r="4" spans="2:25" ht="17.399999999999999" x14ac:dyDescent="0.3">
      <c r="B4" s="394"/>
      <c r="C4" s="391"/>
      <c r="D4" s="391"/>
      <c r="E4" s="391"/>
      <c r="F4" s="391"/>
      <c r="G4" s="424"/>
      <c r="H4" s="425"/>
      <c r="I4" s="425"/>
      <c r="J4" s="425"/>
      <c r="K4" s="395"/>
      <c r="L4" s="394"/>
      <c r="Q4" s="391"/>
    </row>
    <row r="5" spans="2:25" ht="18.600000000000001" thickBot="1" x14ac:dyDescent="0.4">
      <c r="B5" s="419" t="s">
        <v>1889</v>
      </c>
      <c r="C5" s="391"/>
      <c r="D5" s="391"/>
      <c r="E5" s="391"/>
      <c r="F5" s="497">
        <f>G5+H5+K5+L5+M5+N5</f>
        <v>0.99999999999999989</v>
      </c>
      <c r="G5" s="497">
        <f>'БАЗИ РОЗПОДІЛУ_2ст'!$F$22</f>
        <v>0.66451603396876979</v>
      </c>
      <c r="H5" s="497">
        <f>'БАЗИ РОЗПОДІЛУ_2ст'!$G$22</f>
        <v>0.19589486341882428</v>
      </c>
      <c r="I5" s="497">
        <f>'БАЗИ РОЗПОДІЛУ_2ст'!$H$22</f>
        <v>5.4159320049523701E-2</v>
      </c>
      <c r="J5" s="497">
        <f>'БАЗИ РОЗПОДІЛУ_2ст'!$I$22</f>
        <v>0.14173554336930061</v>
      </c>
      <c r="K5" s="497">
        <f>'БАЗИ РОЗПОДІЛУ_2ст'!$J$22</f>
        <v>8.3914010789560133E-3</v>
      </c>
      <c r="L5" s="497">
        <f>'БАЗИ РОЗПОДІЛУ_2ст'!$K$22</f>
        <v>0.13119770153344976</v>
      </c>
      <c r="M5" s="497">
        <f>'БАЗИ РОЗПОДІЛУ_2ст'!$L$22</f>
        <v>0</v>
      </c>
      <c r="N5" s="497">
        <f>'БАЗИ РОЗПОДІЛУ_2ст'!$M$22</f>
        <v>0</v>
      </c>
      <c r="O5" s="718"/>
      <c r="Q5" s="391"/>
    </row>
    <row r="6" spans="2:25" ht="18.75" customHeight="1" thickBot="1" x14ac:dyDescent="0.3">
      <c r="B6" s="5198" t="s">
        <v>8</v>
      </c>
      <c r="C6" s="522" t="s">
        <v>932</v>
      </c>
      <c r="D6" s="522" t="s">
        <v>932</v>
      </c>
      <c r="E6" s="522" t="s">
        <v>942</v>
      </c>
      <c r="F6" s="522" t="s">
        <v>933</v>
      </c>
      <c r="G6" s="5200" t="s">
        <v>907</v>
      </c>
      <c r="H6" s="5201"/>
      <c r="I6" s="5201"/>
      <c r="J6" s="5201"/>
      <c r="K6" s="5201"/>
      <c r="L6" s="5201"/>
      <c r="M6" s="5202"/>
      <c r="N6" s="526"/>
      <c r="Q6" s="399">
        <f>G37+H37+K37</f>
        <v>32.029500111888446</v>
      </c>
    </row>
    <row r="7" spans="2:25" ht="51" thickBot="1" x14ac:dyDescent="0.3">
      <c r="B7" s="5199"/>
      <c r="C7" s="523">
        <f>'Вхідні дані'!F8</f>
        <v>2021</v>
      </c>
      <c r="D7" s="523">
        <f>'Вхідні дані'!F7</f>
        <v>2022</v>
      </c>
      <c r="E7" s="524" t="str">
        <f>'Вхідні дані'!F9</f>
        <v>Ріш. №296 від 25.10.2022</v>
      </c>
      <c r="F7" s="523" t="str">
        <f>'Вхідні дані'!F6</f>
        <v>2023-2024</v>
      </c>
      <c r="G7" s="522" t="s">
        <v>908</v>
      </c>
      <c r="H7" s="522" t="s">
        <v>909</v>
      </c>
      <c r="I7" s="522" t="s">
        <v>1955</v>
      </c>
      <c r="J7" s="522" t="s">
        <v>1966</v>
      </c>
      <c r="K7" s="522" t="s">
        <v>910</v>
      </c>
      <c r="L7" s="3024" t="s">
        <v>911</v>
      </c>
      <c r="M7" s="3025" t="s">
        <v>930</v>
      </c>
      <c r="N7" s="1001" t="s">
        <v>931</v>
      </c>
    </row>
    <row r="8" spans="2:25" ht="17.399999999999999" x14ac:dyDescent="0.3">
      <c r="B8" s="400" t="s">
        <v>1568</v>
      </c>
      <c r="C8" s="401">
        <f t="shared" ref="C8:N8" si="0">C9+C20+C39+C24+C37+C38</f>
        <v>4945.956619999999</v>
      </c>
      <c r="D8" s="401">
        <f t="shared" si="0"/>
        <v>5313.0774899999988</v>
      </c>
      <c r="E8" s="401">
        <f t="shared" si="0"/>
        <v>6463.1626975951021</v>
      </c>
      <c r="F8" s="401">
        <f t="shared" si="0"/>
        <v>7841.4263543791521</v>
      </c>
      <c r="G8" s="402">
        <f t="shared" si="0"/>
        <v>5210.7535416702249</v>
      </c>
      <c r="H8" s="402">
        <f t="shared" si="0"/>
        <v>1536.0951446998733</v>
      </c>
      <c r="I8" s="402">
        <f t="shared" si="0"/>
        <v>424.6863195715905</v>
      </c>
      <c r="J8" s="402">
        <f t="shared" si="0"/>
        <v>1111.4088251282831</v>
      </c>
      <c r="K8" s="402">
        <f t="shared" si="0"/>
        <v>65.800553570691349</v>
      </c>
      <c r="L8" s="402">
        <f t="shared" si="0"/>
        <v>1028.777114438363</v>
      </c>
      <c r="M8" s="402">
        <f t="shared" si="0"/>
        <v>0</v>
      </c>
      <c r="N8" s="402">
        <f t="shared" si="0"/>
        <v>0</v>
      </c>
      <c r="O8" s="901"/>
      <c r="U8" s="399">
        <f>F8-G8-H8-K8-L8-M8-N8</f>
        <v>-4.5474735088646412E-13</v>
      </c>
      <c r="V8" s="399">
        <f>H8-I8-J8</f>
        <v>0</v>
      </c>
      <c r="X8" s="399">
        <f>ЗВВ_1ст!F8</f>
        <v>7841.4263543791521</v>
      </c>
      <c r="Y8" s="399">
        <f>X8-F8</f>
        <v>0</v>
      </c>
    </row>
    <row r="9" spans="2:25" ht="17.399999999999999" x14ac:dyDescent="0.3">
      <c r="B9" s="404" t="s">
        <v>913</v>
      </c>
      <c r="C9" s="405">
        <f>SUM(C10:C19)</f>
        <v>93.985719999999986</v>
      </c>
      <c r="D9" s="405">
        <f>SUM(D10:D19)</f>
        <v>165.26545999999999</v>
      </c>
      <c r="E9" s="405">
        <f>SUM(E10:E19)</f>
        <v>200.03252424177327</v>
      </c>
      <c r="F9" s="405">
        <f>SUM(F10:F19)</f>
        <v>201.92670028999996</v>
      </c>
      <c r="G9" s="405">
        <f t="shared" ref="G9:N9" si="1">SUM(G10:G19)</f>
        <v>134.1835300291113</v>
      </c>
      <c r="H9" s="405">
        <f t="shared" si="1"/>
        <v>39.556403373923416</v>
      </c>
      <c r="I9" s="405">
        <f t="shared" si="1"/>
        <v>10.936212787550362</v>
      </c>
      <c r="J9" s="405">
        <f t="shared" si="1"/>
        <v>28.620190586373059</v>
      </c>
      <c r="K9" s="405">
        <f t="shared" si="1"/>
        <v>1.6944479306835338</v>
      </c>
      <c r="L9" s="405">
        <f t="shared" si="1"/>
        <v>26.492318956281782</v>
      </c>
      <c r="M9" s="405">
        <f t="shared" si="1"/>
        <v>0</v>
      </c>
      <c r="N9" s="405">
        <f t="shared" si="1"/>
        <v>0</v>
      </c>
      <c r="O9" s="901"/>
      <c r="U9" s="399">
        <f t="shared" ref="U9:U21" si="2">F9-G9-H9-K9-L9-M9-N9</f>
        <v>-7.1054273576010019E-14</v>
      </c>
      <c r="V9" s="399">
        <f t="shared" ref="V9:V21" si="3">H9-I9-J9</f>
        <v>0</v>
      </c>
      <c r="X9" s="399">
        <f>ЗВВ_1ст!F9</f>
        <v>201.92670028999996</v>
      </c>
      <c r="Y9" s="399">
        <f t="shared" ref="Y9:Y63" si="4">X9-F9</f>
        <v>0</v>
      </c>
    </row>
    <row r="10" spans="2:25" ht="18" x14ac:dyDescent="0.35">
      <c r="B10" s="406" t="str">
        <f>ЗВВ_1ст!B10</f>
        <v>ПММ</v>
      </c>
      <c r="C10" s="407">
        <f>ЗВВ_1ст!C10</f>
        <v>58.647079999999995</v>
      </c>
      <c r="D10" s="407">
        <f>ЗВВ_1ст!D10</f>
        <v>102.26357</v>
      </c>
      <c r="E10" s="407">
        <f>ЗВВ_1ст!E10</f>
        <v>133.44149999999999</v>
      </c>
      <c r="F10" s="462">
        <f>ЗВВ_1ст!F10</f>
        <v>115.89809</v>
      </c>
      <c r="G10" s="408">
        <f>ЗВВ_1ст!G10</f>
        <v>77.016139111355557</v>
      </c>
      <c r="H10" s="409">
        <f>ЗВВ_1ст!H10</f>
        <v>22.703840511052608</v>
      </c>
      <c r="I10" s="408">
        <f>ЗВВ_1ст!I10</f>
        <v>6.2769617494385033</v>
      </c>
      <c r="J10" s="409">
        <f>ЗВВ_1ст!J10</f>
        <v>16.426878761614105</v>
      </c>
      <c r="K10" s="409">
        <f>ЗВВ_1ст!K10</f>
        <v>0.97254735747494125</v>
      </c>
      <c r="L10" s="409">
        <f>ЗВВ_1ст!L10</f>
        <v>15.205563020116898</v>
      </c>
      <c r="M10" s="409">
        <f>ЗВВ_1ст!M10</f>
        <v>0</v>
      </c>
      <c r="N10" s="409">
        <f>ЗВВ_1ст!N10</f>
        <v>0</v>
      </c>
      <c r="O10" s="901" t="s">
        <v>914</v>
      </c>
      <c r="P10" s="519" t="s">
        <v>1569</v>
      </c>
      <c r="Q10" s="519"/>
      <c r="U10" s="399">
        <f t="shared" si="2"/>
        <v>-7.1054273576010019E-15</v>
      </c>
      <c r="V10" s="399">
        <f t="shared" si="3"/>
        <v>0</v>
      </c>
      <c r="X10" s="399">
        <f>ЗВВ_1ст!F10</f>
        <v>115.89809</v>
      </c>
      <c r="Y10" s="399">
        <f t="shared" si="4"/>
        <v>0</v>
      </c>
    </row>
    <row r="11" spans="2:25" ht="18" x14ac:dyDescent="0.35">
      <c r="B11" s="406" t="str">
        <f>ЗВВ_1ст!B11</f>
        <v>матеріали</v>
      </c>
      <c r="C11" s="407">
        <f>ЗВВ_1ст!C11</f>
        <v>3.3592</v>
      </c>
      <c r="D11" s="407">
        <f>ЗВВ_1ст!D11</f>
        <v>0.93340999999999996</v>
      </c>
      <c r="E11" s="407">
        <f>ЗВВ_1ст!E11</f>
        <v>5.1813594199999997</v>
      </c>
      <c r="F11" s="462">
        <f>ЗВВ_1ст!F11</f>
        <v>0.98778113249999988</v>
      </c>
      <c r="G11" s="408">
        <f>ЗВВ_1ст!G11</f>
        <v>0.65639640059808002</v>
      </c>
      <c r="H11" s="409">
        <f>ЗВВ_1ст!H11</f>
        <v>0.19350125003877908</v>
      </c>
      <c r="I11" s="408">
        <f>ЗВВ_1ст!I11</f>
        <v>5.3497554493948475E-2</v>
      </c>
      <c r="J11" s="409">
        <f>ЗВВ_1ст!J11</f>
        <v>0.14000369554483061</v>
      </c>
      <c r="K11" s="409">
        <f>ЗВВ_1ст!K11</f>
        <v>8.2888676610328935E-3</v>
      </c>
      <c r="L11" s="409">
        <f>ЗВВ_1ст!L11</f>
        <v>0.12959461420210797</v>
      </c>
      <c r="M11" s="409">
        <f>ЗВВ_1ст!M11</f>
        <v>0</v>
      </c>
      <c r="N11" s="409">
        <f>ЗВВ_1ст!N11</f>
        <v>0</v>
      </c>
      <c r="O11" s="901" t="s">
        <v>965</v>
      </c>
      <c r="U11" s="399">
        <f t="shared" si="2"/>
        <v>-8.3266726846886741E-17</v>
      </c>
      <c r="V11" s="399">
        <f t="shared" si="3"/>
        <v>0</v>
      </c>
      <c r="X11" s="399">
        <f>ЗВВ_1ст!F11</f>
        <v>0.98778113249999988</v>
      </c>
      <c r="Y11" s="399">
        <f t="shared" si="4"/>
        <v>0</v>
      </c>
    </row>
    <row r="12" spans="2:25" ht="18" x14ac:dyDescent="0.35">
      <c r="B12" s="406" t="str">
        <f>ЗВВ_1ст!B12</f>
        <v>матеріали на техніку безпеки</v>
      </c>
      <c r="C12" s="407">
        <f>ЗВВ_1ст!C12</f>
        <v>2</v>
      </c>
      <c r="D12" s="407">
        <f>ЗВВ_1ст!D12</f>
        <v>6.8000000000000005E-2</v>
      </c>
      <c r="E12" s="407">
        <f>ЗВВ_1ст!E12</f>
        <v>4.8486405799999996</v>
      </c>
      <c r="F12" s="462">
        <f>ЗВВ_1ст!F12</f>
        <v>7.1960999999999997E-2</v>
      </c>
      <c r="G12" s="408">
        <f>ЗВВ_1ст!G12</f>
        <v>4.7819238320426657E-2</v>
      </c>
      <c r="H12" s="409">
        <f>ЗВВ_1ст!H12</f>
        <v>1.4096790266482015E-2</v>
      </c>
      <c r="I12" s="408">
        <f>ЗВВ_1ст!I12</f>
        <v>3.8973588300837752E-3</v>
      </c>
      <c r="J12" s="409">
        <f>ЗВВ_1ст!J12</f>
        <v>1.0199431436398241E-2</v>
      </c>
      <c r="K12" s="409">
        <f>ЗВВ_1ст!K12</f>
        <v>6.0385361304275383E-4</v>
      </c>
      <c r="L12" s="409">
        <f>ЗВВ_1ст!L12</f>
        <v>9.4411178000485783E-3</v>
      </c>
      <c r="M12" s="409">
        <f>ЗВВ_1ст!M12</f>
        <v>0</v>
      </c>
      <c r="N12" s="409">
        <f>ЗВВ_1ст!N12</f>
        <v>0</v>
      </c>
      <c r="O12" s="476" t="s">
        <v>1579</v>
      </c>
      <c r="U12" s="399">
        <f t="shared" si="2"/>
        <v>-6.9388939039072284E-18</v>
      </c>
      <c r="V12" s="399">
        <f t="shared" si="3"/>
        <v>0</v>
      </c>
      <c r="X12" s="399">
        <f>ЗВВ_1ст!F12</f>
        <v>7.1960999999999997E-2</v>
      </c>
      <c r="Y12" s="399">
        <f t="shared" si="4"/>
        <v>0</v>
      </c>
    </row>
    <row r="13" spans="2:25" ht="18" customHeight="1" x14ac:dyDescent="0.35">
      <c r="B13" s="406" t="str">
        <f>ЗВВ_1ст!B13</f>
        <v>матеріали на технічне обслуговування</v>
      </c>
      <c r="C13" s="407">
        <f>ЗВВ_1ст!C13</f>
        <v>3.6728400000000003</v>
      </c>
      <c r="D13" s="407">
        <f>ЗВВ_1ст!D13</f>
        <v>5.9504399999999995</v>
      </c>
      <c r="E13" s="407">
        <f>ЗВВ_1ст!E13</f>
        <v>6.1594321349999994</v>
      </c>
      <c r="F13" s="462">
        <f>ЗВВ_1ст!F13</f>
        <v>6.2970531299999992</v>
      </c>
      <c r="G13" s="408">
        <f>ЗВВ_1ст!G13</f>
        <v>4.1844927716382294</v>
      </c>
      <c r="H13" s="409">
        <f>ЗВВ_1ст!H13</f>
        <v>1.2335603628424299</v>
      </c>
      <c r="I13" s="408">
        <f>ЗВВ_1ст!I13</f>
        <v>0.341044115836525</v>
      </c>
      <c r="J13" s="409">
        <f>ЗВВ_1ст!J13</f>
        <v>0.89251624700590504</v>
      </c>
      <c r="K13" s="409">
        <f>ЗВВ_1ст!K13</f>
        <v>5.2841098429325342E-2</v>
      </c>
      <c r="L13" s="409">
        <f>ЗВВ_1ст!L13</f>
        <v>0.82615889709001544</v>
      </c>
      <c r="M13" s="409">
        <f>ЗВВ_1ст!M13</f>
        <v>0</v>
      </c>
      <c r="N13" s="409">
        <f>ЗВВ_1ст!N13</f>
        <v>0</v>
      </c>
      <c r="O13" s="901" t="s">
        <v>965</v>
      </c>
      <c r="U13" s="399">
        <f t="shared" si="2"/>
        <v>-8.8817841970012523E-16</v>
      </c>
      <c r="V13" s="399">
        <f t="shared" si="3"/>
        <v>0</v>
      </c>
      <c r="X13" s="399">
        <f>ЗВВ_1ст!F13</f>
        <v>6.2970531299999992</v>
      </c>
      <c r="Y13" s="399">
        <f t="shared" si="4"/>
        <v>0</v>
      </c>
    </row>
    <row r="14" spans="2:25" ht="18" x14ac:dyDescent="0.35">
      <c r="B14" s="406" t="str">
        <f>ЗВВ_1ст!B14</f>
        <v>запчастини</v>
      </c>
      <c r="C14" s="407">
        <f>ЗВВ_1ст!C14</f>
        <v>3.2145000000000001</v>
      </c>
      <c r="D14" s="407">
        <f>ЗВВ_1ст!D14</f>
        <v>7.9666399999999999</v>
      </c>
      <c r="E14" s="407">
        <f>ЗВВ_1ст!E14</f>
        <v>8.6999999999999993</v>
      </c>
      <c r="F14" s="462">
        <f>ЗВВ_1ст!F14</f>
        <v>8.4306967799999999</v>
      </c>
      <c r="G14" s="408">
        <f>ЗВВ_1ст!G14</f>
        <v>5.6023331878388802</v>
      </c>
      <c r="H14" s="409">
        <f>ЗВВ_1ст!H14</f>
        <v>1.6515301942436218</v>
      </c>
      <c r="I14" s="408">
        <f>ЗВВ_1ст!I14</f>
        <v>0.45660080514850898</v>
      </c>
      <c r="J14" s="409">
        <f>ЗВВ_1ст!J14</f>
        <v>1.1949293890951129</v>
      </c>
      <c r="K14" s="409">
        <f>ЗВВ_1ст!K14</f>
        <v>7.0745358056042998E-2</v>
      </c>
      <c r="L14" s="409">
        <f>ЗВВ_1ст!L14</f>
        <v>1.1060880398614559</v>
      </c>
      <c r="M14" s="409">
        <f>ЗВВ_1ст!M14</f>
        <v>0</v>
      </c>
      <c r="N14" s="409">
        <f>ЗВВ_1ст!N14</f>
        <v>0</v>
      </c>
      <c r="O14" s="901" t="s">
        <v>1580</v>
      </c>
      <c r="P14" s="399" t="s">
        <v>1681</v>
      </c>
      <c r="U14" s="399">
        <f t="shared" si="2"/>
        <v>-1.1102230246251565E-15</v>
      </c>
      <c r="V14" s="399">
        <f t="shared" si="3"/>
        <v>0</v>
      </c>
      <c r="X14" s="399">
        <f>ЗВВ_1ст!F14</f>
        <v>8.4306967799999999</v>
      </c>
      <c r="Y14" s="399">
        <f t="shared" si="4"/>
        <v>0</v>
      </c>
    </row>
    <row r="15" spans="2:25" ht="18" x14ac:dyDescent="0.35">
      <c r="B15" s="406" t="str">
        <f>ЗВВ_1ст!B15</f>
        <v>МШП</v>
      </c>
      <c r="C15" s="407">
        <f>ЗВВ_1ст!C15</f>
        <v>5.71</v>
      </c>
      <c r="D15" s="407">
        <f>ЗВВ_1ст!D15</f>
        <v>7.12066</v>
      </c>
      <c r="E15" s="407">
        <f>ЗВВ_1ст!E15</f>
        <v>5.7125288195890391</v>
      </c>
      <c r="F15" s="462">
        <f>ЗВВ_1ст!F15</f>
        <v>7.5354384449999996</v>
      </c>
      <c r="G15" s="408">
        <f>ЗВВ_1ст!G15</f>
        <v>5.0074196696871951</v>
      </c>
      <c r="H15" s="409">
        <f>ЗВВ_1ст!H15</f>
        <v>1.4761536849842327</v>
      </c>
      <c r="I15" s="408">
        <f>ЗВВ_1ст!I15</f>
        <v>0.40811422245624024</v>
      </c>
      <c r="J15" s="409">
        <f>ЗВВ_1ст!J15</f>
        <v>1.0680394625279925</v>
      </c>
      <c r="K15" s="409">
        <f>ЗВВ_1ст!K15</f>
        <v>6.3232886297779636E-2</v>
      </c>
      <c r="L15" s="409">
        <f>ЗВВ_1ст!L15</f>
        <v>0.98863220403079266</v>
      </c>
      <c r="M15" s="409">
        <f>ЗВВ_1ст!M15</f>
        <v>0</v>
      </c>
      <c r="N15" s="409">
        <f>ЗВВ_1ст!N15</f>
        <v>0</v>
      </c>
      <c r="O15" s="901" t="s">
        <v>965</v>
      </c>
      <c r="U15" s="399">
        <f t="shared" si="2"/>
        <v>-5.5511151231257827E-16</v>
      </c>
      <c r="V15" s="399">
        <f t="shared" si="3"/>
        <v>0</v>
      </c>
      <c r="X15" s="399">
        <f>ЗВВ_1ст!F15</f>
        <v>7.5354384449999996</v>
      </c>
      <c r="Y15" s="399">
        <f t="shared" si="4"/>
        <v>0</v>
      </c>
    </row>
    <row r="16" spans="2:25" ht="18" x14ac:dyDescent="0.35">
      <c r="B16" s="406" t="str">
        <f>ЗВВ_1ст!B16</f>
        <v>МШП техніка безпеки</v>
      </c>
      <c r="C16" s="407">
        <f>ЗВВ_1ст!C16</f>
        <v>1.28817</v>
      </c>
      <c r="D16" s="407">
        <f>ЗВВ_1ст!D18</f>
        <v>16.362629999999999</v>
      </c>
      <c r="E16" s="407">
        <f>ЗВВ_1ст!E16</f>
        <v>1.2879727497260272</v>
      </c>
      <c r="F16" s="462">
        <f>ЗВВ_1ст!F16</f>
        <v>17.315753197499998</v>
      </c>
      <c r="G16" s="408">
        <f>ЗВВ_1ст!G16</f>
        <v>11.506595639984747</v>
      </c>
      <c r="H16" s="409">
        <f>ЗВВ_1ст!H16</f>
        <v>3.3920671076183324</v>
      </c>
      <c r="I16" s="408">
        <f>ЗВВ_1ст!I16</f>
        <v>0.93780941932196593</v>
      </c>
      <c r="J16" s="409">
        <f>ЗВВ_1ст!J16</f>
        <v>2.4542576882963667</v>
      </c>
      <c r="K16" s="409">
        <f>ЗВВ_1ст!K16</f>
        <v>0.14530343006443755</v>
      </c>
      <c r="L16" s="409">
        <f>ЗВВ_1ст!L16</f>
        <v>2.271787019832483</v>
      </c>
      <c r="M16" s="409">
        <f>ЗВВ_1ст!M16</f>
        <v>0</v>
      </c>
      <c r="N16" s="409">
        <f>ЗВВ_1ст!N16</f>
        <v>0</v>
      </c>
      <c r="O16" s="901" t="s">
        <v>965</v>
      </c>
      <c r="U16" s="399">
        <f t="shared" si="2"/>
        <v>-2.2204460492503131E-15</v>
      </c>
      <c r="V16" s="399">
        <f t="shared" si="3"/>
        <v>0</v>
      </c>
      <c r="X16" s="399">
        <f>ЗВВ_1ст!F16</f>
        <v>17.315753197499998</v>
      </c>
      <c r="Y16" s="399">
        <f t="shared" si="4"/>
        <v>0</v>
      </c>
    </row>
    <row r="17" spans="2:25" ht="18" x14ac:dyDescent="0.35">
      <c r="B17" s="406" t="str">
        <f>ЗВВ_1ст!B17</f>
        <v>канцтовари, бланки</v>
      </c>
      <c r="C17" s="407">
        <f>ЗВВ_1ст!C17</f>
        <v>0.38241999999999976</v>
      </c>
      <c r="D17" s="407">
        <f>ЗВВ_1ст!D19</f>
        <v>4.1187399999999998</v>
      </c>
      <c r="E17" s="407">
        <f>ЗВВ_1ст!E17</f>
        <v>12.932387137808217</v>
      </c>
      <c r="F17" s="462">
        <f>ЗВВ_1ст!F17</f>
        <v>4.3586566049999993</v>
      </c>
      <c r="G17" s="408">
        <f>ЗВВ_1ст!G17</f>
        <v>2.8963972005863834</v>
      </c>
      <c r="H17" s="409">
        <f>ЗВВ_1ст!H17</f>
        <v>0.85383844032603129</v>
      </c>
      <c r="I17" s="408">
        <f>ЗВВ_1ст!I17</f>
        <v>0.23606187805616541</v>
      </c>
      <c r="J17" s="409">
        <f>ЗВВ_1ст!J17</f>
        <v>0.61777656226986599</v>
      </c>
      <c r="K17" s="409">
        <f>ЗВВ_1ст!K17</f>
        <v>3.6575235737995752E-2</v>
      </c>
      <c r="L17" s="409">
        <f>ЗВВ_1ст!L17</f>
        <v>0.57184572834958936</v>
      </c>
      <c r="M17" s="409">
        <f>ЗВВ_1ст!M17</f>
        <v>0</v>
      </c>
      <c r="N17" s="409">
        <f>ЗВВ_1ст!N17</f>
        <v>0</v>
      </c>
      <c r="O17" s="476" t="s">
        <v>1578</v>
      </c>
      <c r="U17" s="399">
        <f t="shared" si="2"/>
        <v>-4.4408920985006262E-16</v>
      </c>
      <c r="V17" s="399">
        <f t="shared" si="3"/>
        <v>0</v>
      </c>
      <c r="X17" s="399">
        <f>ЗВВ_1ст!F17</f>
        <v>4.3586566049999993</v>
      </c>
      <c r="Y17" s="399">
        <f t="shared" si="4"/>
        <v>0</v>
      </c>
    </row>
    <row r="18" spans="2:25" ht="18" x14ac:dyDescent="0.35">
      <c r="B18" s="406" t="str">
        <f>ЗВВ_1ст!B18</f>
        <v>спецодяг та спецвзуття</v>
      </c>
      <c r="C18" s="407">
        <f>ЗВВ_1ст!C18</f>
        <v>12.042680000000001</v>
      </c>
      <c r="D18" s="407">
        <f>ЗВВ_1ст!D18</f>
        <v>16.362629999999999</v>
      </c>
      <c r="E18" s="407">
        <f>ЗВВ_1ст!E18</f>
        <v>15.475230000000002</v>
      </c>
      <c r="F18" s="462">
        <f>ЗВВ_1ст!F18</f>
        <v>36.379869999999997</v>
      </c>
      <c r="G18" s="408">
        <f>ЗВВ_1ст!G18</f>
        <v>24.175006928699435</v>
      </c>
      <c r="H18" s="409">
        <f>ЗВВ_1ст!H18</f>
        <v>7.1266296648445833</v>
      </c>
      <c r="I18" s="408">
        <f>ЗВВ_1ст!I18</f>
        <v>1.9703090226900659</v>
      </c>
      <c r="J18" s="409">
        <f>ЗВВ_1ст!J18</f>
        <v>5.156320642154518</v>
      </c>
      <c r="K18" s="409">
        <f>ЗВВ_1ст!K18</f>
        <v>0.30527808037027954</v>
      </c>
      <c r="L18" s="409">
        <f>ЗВВ_1ст!L18</f>
        <v>4.7729553260857021</v>
      </c>
      <c r="M18" s="409">
        <f>ЗВВ_1ст!M18</f>
        <v>0</v>
      </c>
      <c r="N18" s="409">
        <f>ЗВВ_1ст!N18</f>
        <v>0</v>
      </c>
      <c r="O18" s="901" t="s">
        <v>1389</v>
      </c>
      <c r="U18" s="399">
        <f t="shared" si="2"/>
        <v>-3.5527136788005009E-15</v>
      </c>
      <c r="V18" s="399">
        <f t="shared" si="3"/>
        <v>0</v>
      </c>
      <c r="X18" s="399">
        <f>ЗВВ_1ст!F18</f>
        <v>36.379869999999997</v>
      </c>
      <c r="Y18" s="399">
        <f t="shared" si="4"/>
        <v>0</v>
      </c>
    </row>
    <row r="19" spans="2:25" ht="18" x14ac:dyDescent="0.35">
      <c r="B19" s="406" t="str">
        <f>ЗВВ_1ст!B19</f>
        <v>спецхарчування</v>
      </c>
      <c r="C19" s="407">
        <f>ЗВВ_1ст!C19</f>
        <v>3.6688299999999998</v>
      </c>
      <c r="D19" s="407">
        <f>ЗВВ_1ст!D19</f>
        <v>4.1187399999999998</v>
      </c>
      <c r="E19" s="407">
        <f>ЗВВ_1ст!E19</f>
        <v>6.2934733996499999</v>
      </c>
      <c r="F19" s="462">
        <f>ЗВВ_1ст!F19</f>
        <v>4.6513999999999998</v>
      </c>
      <c r="G19" s="408">
        <f>ЗВВ_1ст!G19</f>
        <v>3.0909298804023368</v>
      </c>
      <c r="H19" s="409">
        <f>ЗВВ_1ст!H19</f>
        <v>0.9111853677063193</v>
      </c>
      <c r="I19" s="408">
        <f>ЗВВ_1ст!I19</f>
        <v>0.25191666127835455</v>
      </c>
      <c r="J19" s="409">
        <f>ЗВВ_1ст!J19</f>
        <v>0.65926870642796487</v>
      </c>
      <c r="K19" s="409">
        <f>ЗВВ_1ст!K19</f>
        <v>3.9031762978656008E-2</v>
      </c>
      <c r="L19" s="409">
        <f>ЗВВ_1ст!L19</f>
        <v>0.6102529889126882</v>
      </c>
      <c r="M19" s="409">
        <f>ЗВВ_1ст!M19</f>
        <v>0</v>
      </c>
      <c r="N19" s="409">
        <f>ЗВВ_1ст!N19</f>
        <v>0</v>
      </c>
      <c r="O19" s="901" t="s">
        <v>1942</v>
      </c>
      <c r="U19" s="399">
        <f t="shared" si="2"/>
        <v>-5.5511151231257827E-16</v>
      </c>
      <c r="V19" s="399">
        <f t="shared" si="3"/>
        <v>0</v>
      </c>
      <c r="X19" s="399">
        <f>ЗВВ_1ст!F19</f>
        <v>4.6513999999999998</v>
      </c>
      <c r="Y19" s="399">
        <f t="shared" si="4"/>
        <v>0</v>
      </c>
    </row>
    <row r="20" spans="2:25" ht="35.4" x14ac:dyDescent="0.35">
      <c r="B20" s="410" t="str">
        <f>ЗВВ_1ст!B20</f>
        <v>Витрати на оплату праці з відрахуваннями всього, у т.ч.:</v>
      </c>
      <c r="C20" s="405">
        <f>ЗВВ_1ст!C20</f>
        <v>4574.9045900000001</v>
      </c>
      <c r="D20" s="405">
        <f>ЗВВ_1ст!D20</f>
        <v>4921.7766699999993</v>
      </c>
      <c r="E20" s="407">
        <f>ЗВВ_1ст!E20</f>
        <v>5820.4179999999997</v>
      </c>
      <c r="F20" s="405">
        <f>ЗВВ_1ст!F20</f>
        <v>7270.8072171989988</v>
      </c>
      <c r="G20" s="405">
        <f>ЗВВ_1ст!G20</f>
        <v>4831.567975724588</v>
      </c>
      <c r="H20" s="405">
        <f>ЗВВ_1ст!H20</f>
        <v>1424.3137867577998</v>
      </c>
      <c r="I20" s="405">
        <f>ЗВВ_1ст!I20</f>
        <v>393.78197509466747</v>
      </c>
      <c r="J20" s="405">
        <f>ЗВВ_1ст!J20</f>
        <v>1030.5318116631324</v>
      </c>
      <c r="K20" s="405">
        <f>ЗВВ_1ст!K20</f>
        <v>61.012259527284861</v>
      </c>
      <c r="L20" s="405">
        <f>ЗВВ_1ст!L20</f>
        <v>953.91319518932664</v>
      </c>
      <c r="M20" s="405">
        <f>ЗВВ_1ст!M20</f>
        <v>0</v>
      </c>
      <c r="N20" s="405">
        <f>ЗВВ_1ст!N20</f>
        <v>0</v>
      </c>
      <c r="O20" s="901"/>
      <c r="P20" s="430">
        <f>G20+H20+K20</f>
        <v>6316.8940220096729</v>
      </c>
      <c r="U20" s="399">
        <f t="shared" si="2"/>
        <v>-4.5474735088646412E-13</v>
      </c>
      <c r="V20" s="399">
        <f t="shared" si="3"/>
        <v>0</v>
      </c>
      <c r="X20" s="399">
        <f>ЗВВ_1ст!F20</f>
        <v>7270.8072171989988</v>
      </c>
      <c r="Y20" s="399">
        <f t="shared" si="4"/>
        <v>0</v>
      </c>
    </row>
    <row r="21" spans="2:25" ht="39" customHeight="1" x14ac:dyDescent="0.35">
      <c r="B21" s="406" t="str">
        <f>ЗВВ_1ст!B21</f>
        <v>витрати на оплату праці загальновиробничого персоналу всього, у т.ч.:</v>
      </c>
      <c r="C21" s="407">
        <f>ЗВВ_1ст!C21</f>
        <v>3790.6984600000001</v>
      </c>
      <c r="D21" s="407">
        <f>ЗВВ_1ст!D21</f>
        <v>4097.1417599999995</v>
      </c>
      <c r="E21" s="407">
        <f>ЗВВ_1ст!E21</f>
        <v>4808.9539999999997</v>
      </c>
      <c r="F21" s="407">
        <f>ЗВВ_1ст!F21</f>
        <v>5991.8348819999992</v>
      </c>
      <c r="G21" s="408">
        <f>ЗВВ_1ст!G21</f>
        <v>3981.6703519823727</v>
      </c>
      <c r="H21" s="409">
        <f>ЗВВ_1ст!H21</f>
        <v>1173.7696758375371</v>
      </c>
      <c r="I21" s="408">
        <f>ЗВВ_1ст!I21</f>
        <v>324.51370305813811</v>
      </c>
      <c r="J21" s="409">
        <f>ЗВВ_1ст!J21</f>
        <v>849.25597277939903</v>
      </c>
      <c r="K21" s="409">
        <f>ЗВВ_1ст!K21</f>
        <v>50.279889693741083</v>
      </c>
      <c r="L21" s="409">
        <f>ЗВВ_1ст!L21</f>
        <v>786.11496448634898</v>
      </c>
      <c r="M21" s="409">
        <f>ЗВВ_1ст!M21</f>
        <v>0</v>
      </c>
      <c r="N21" s="409">
        <f>ЗВВ_1ст!N21</f>
        <v>0</v>
      </c>
      <c r="O21" s="431" t="s">
        <v>1008</v>
      </c>
      <c r="P21" s="430">
        <f>G21+H21+K21</f>
        <v>5205.7199175136511</v>
      </c>
      <c r="U21" s="399">
        <f t="shared" si="2"/>
        <v>-6.8212102632969618E-13</v>
      </c>
      <c r="V21" s="399">
        <f t="shared" si="3"/>
        <v>0</v>
      </c>
      <c r="X21" s="399">
        <f>ЗВВ_1ст!F21</f>
        <v>5991.8348819999992</v>
      </c>
      <c r="Y21" s="399">
        <f t="shared" si="4"/>
        <v>0</v>
      </c>
    </row>
    <row r="22" spans="2:25" ht="18" x14ac:dyDescent="0.35">
      <c r="B22" s="463" t="str">
        <f>ЗВВ_1ст!B22</f>
        <v>оплата праці працюючих інвалідів</v>
      </c>
      <c r="C22" s="407">
        <f>ЗВВ_1ст!C22</f>
        <v>186.05934999999999</v>
      </c>
      <c r="D22" s="407">
        <f>ЗВВ_1ст!D22</f>
        <v>276.45303000000001</v>
      </c>
      <c r="E22" s="407">
        <f>ЗВВ_1ст!E22</f>
        <v>342.20400000000001</v>
      </c>
      <c r="F22" s="407">
        <f>ЗВВ_1ст!F22</f>
        <v>288.67799000000002</v>
      </c>
      <c r="G22" s="408">
        <f>ЗВВ_1ст!G22</f>
        <v>191.83115300887627</v>
      </c>
      <c r="H22" s="409">
        <f>ЗВВ_1ст!H22</f>
        <v>56.550535423070734</v>
      </c>
      <c r="I22" s="408">
        <f>ЗВВ_1ст!I22</f>
        <v>15.634603651663205</v>
      </c>
      <c r="J22" s="409">
        <f>ЗВВ_1ст!J22</f>
        <v>40.915931771407529</v>
      </c>
      <c r="K22" s="409">
        <f>ЗВВ_1ст!K22</f>
        <v>2.4224127967568538</v>
      </c>
      <c r="L22" s="409">
        <f>ЗВВ_1ст!L22</f>
        <v>37.873888771296194</v>
      </c>
      <c r="M22" s="409">
        <f>ЗВВ_1ст!M22</f>
        <v>0</v>
      </c>
      <c r="N22" s="409">
        <f>ЗВВ_1ст!N22</f>
        <v>0</v>
      </c>
      <c r="O22" s="431" t="s">
        <v>1008</v>
      </c>
      <c r="P22" s="430"/>
      <c r="U22" s="399">
        <f>F22-G22-H22-K22-L22-M22-N22</f>
        <v>-2.8421709430404007E-14</v>
      </c>
      <c r="V22" s="399">
        <f>H22-I22-J22</f>
        <v>0</v>
      </c>
      <c r="X22" s="399">
        <f>ЗВВ_1ст!F22</f>
        <v>288.67799000000002</v>
      </c>
      <c r="Y22" s="399">
        <f t="shared" si="4"/>
        <v>0</v>
      </c>
    </row>
    <row r="23" spans="2:25" ht="53.25" customHeight="1" x14ac:dyDescent="0.35">
      <c r="B23" s="406" t="str">
        <f>ЗВВ_1ст!B23</f>
        <v>єдиний внесок на загальнообов’язкове державне соціальне страхування загальновиробничого персоналу</v>
      </c>
      <c r="C23" s="407">
        <f>ЗВВ_1ст!C23</f>
        <v>784.20613000000003</v>
      </c>
      <c r="D23" s="407">
        <f>ЗВВ_1ст!D23</f>
        <v>824.63490999999999</v>
      </c>
      <c r="E23" s="407">
        <f>ЗВВ_1ст!E23</f>
        <v>1011.4640000000001</v>
      </c>
      <c r="F23" s="407">
        <f>ЗВВ_1ст!F23</f>
        <v>1278.9723351989996</v>
      </c>
      <c r="G23" s="408">
        <f>ЗВВ_1ст!G23</f>
        <v>849.8976237422155</v>
      </c>
      <c r="H23" s="409">
        <f>ЗВВ_1ст!H23</f>
        <v>250.54411092026282</v>
      </c>
      <c r="I23" s="408">
        <f>ЗВВ_1ст!I23</f>
        <v>69.268272036529339</v>
      </c>
      <c r="J23" s="409">
        <f>ЗВВ_1ст!J23</f>
        <v>181.27583888373348</v>
      </c>
      <c r="K23" s="409">
        <f>ЗВВ_1ст!K23</f>
        <v>10.73236983354378</v>
      </c>
      <c r="L23" s="409">
        <f>ЗВВ_1ст!L23</f>
        <v>167.79823070297761</v>
      </c>
      <c r="M23" s="409">
        <f>ЗВВ_1ст!M23</f>
        <v>0</v>
      </c>
      <c r="N23" s="409">
        <f>ЗВВ_1ст!N23</f>
        <v>0</v>
      </c>
      <c r="O23" s="431" t="s">
        <v>1008</v>
      </c>
      <c r="P23" s="430" t="s">
        <v>918</v>
      </c>
      <c r="S23" s="391">
        <f>ФОП!H51/1000</f>
        <v>1570.576724040274</v>
      </c>
      <c r="U23" s="399">
        <f t="shared" ref="U23:U33" si="5">F23-G23-H23-K23-L23-M23-N23</f>
        <v>-5.6843418860808015E-14</v>
      </c>
      <c r="V23" s="399">
        <f t="shared" ref="V23:V33" si="6">H23-I23-J23</f>
        <v>0</v>
      </c>
      <c r="X23" s="399">
        <f>ЗВВ_1ст!F23</f>
        <v>1278.9723351989996</v>
      </c>
      <c r="Y23" s="399">
        <f t="shared" si="4"/>
        <v>0</v>
      </c>
    </row>
    <row r="24" spans="2:25" s="411" customFormat="1" ht="69.599999999999994" x14ac:dyDescent="0.3">
      <c r="B24" s="410" t="str">
        <f>ЗВВ_1ст!B24</f>
        <v>Витрати на утримання основних засобів, інших необоротних матеріальних активів загальновиробничого використання всього, у т.ч.:</v>
      </c>
      <c r="C24" s="405">
        <f>ЗВВ_1ст!C24</f>
        <v>119.12098</v>
      </c>
      <c r="D24" s="405">
        <f>ЗВВ_1ст!D24</f>
        <v>109.33274999999999</v>
      </c>
      <c r="E24" s="405">
        <f>ЗВВ_1ст!E24</f>
        <v>330.787723860575</v>
      </c>
      <c r="F24" s="405">
        <f>ЗВВ_1ст!F24</f>
        <v>238.08414051985116</v>
      </c>
      <c r="G24" s="405">
        <f>ЗВВ_1ст!G24</f>
        <v>158.21072880911481</v>
      </c>
      <c r="H24" s="405">
        <f>ЗВВ_1ст!H24</f>
        <v>46.639460189324424</v>
      </c>
      <c r="I24" s="405">
        <f>ЗВВ_1ст!I24</f>
        <v>12.894475165130395</v>
      </c>
      <c r="J24" s="405">
        <f>ЗВВ_1ст!J24</f>
        <v>33.74498502419403</v>
      </c>
      <c r="K24" s="405">
        <f>ЗВВ_1ст!K24</f>
        <v>1.9978595136405948</v>
      </c>
      <c r="L24" s="405">
        <f>ЗВВ_1ст!L24</f>
        <v>31.236092007771347</v>
      </c>
      <c r="M24" s="405">
        <f>ЗВВ_1ст!M24</f>
        <v>0</v>
      </c>
      <c r="N24" s="405">
        <f>ЗВВ_1ст!N24</f>
        <v>0</v>
      </c>
      <c r="O24" s="901"/>
      <c r="P24" s="432"/>
      <c r="Q24" s="423"/>
      <c r="S24" s="391"/>
      <c r="T24" s="391"/>
      <c r="U24" s="399">
        <f t="shared" si="5"/>
        <v>-1.7763568394002505E-14</v>
      </c>
      <c r="V24" s="399">
        <f t="shared" si="6"/>
        <v>0</v>
      </c>
      <c r="X24" s="399">
        <f>ЗВВ_1ст!F24</f>
        <v>238.08414051985116</v>
      </c>
      <c r="Y24" s="399">
        <f t="shared" si="4"/>
        <v>0</v>
      </c>
    </row>
    <row r="25" spans="2:25" ht="18" customHeight="1" x14ac:dyDescent="0.35">
      <c r="B25" s="412" t="str">
        <f>ЗВВ_1ст!B25</f>
        <v>ремонт</v>
      </c>
      <c r="C25" s="407">
        <f>ЗВВ_1ст!C25</f>
        <v>0</v>
      </c>
      <c r="D25" s="407">
        <f>ЗВВ_1ст!D25</f>
        <v>0</v>
      </c>
      <c r="E25" s="407">
        <f>ЗВВ_1ст!E25</f>
        <v>35.6</v>
      </c>
      <c r="F25" s="407">
        <f>ЗВВ_1ст!F25</f>
        <v>13.589859731039159</v>
      </c>
      <c r="G25" s="408">
        <f>ЗВВ_1ст!G25</f>
        <v>9.030679690662037</v>
      </c>
      <c r="H25" s="409">
        <f>ЗВВ_1ст!H25</f>
        <v>2.6621837158928963</v>
      </c>
      <c r="I25" s="408">
        <f>ЗВВ_1ст!I25</f>
        <v>0.73601756260148399</v>
      </c>
      <c r="J25" s="409">
        <f>ЗВВ_1ст!J25</f>
        <v>1.9261661532914125</v>
      </c>
      <c r="K25" s="409">
        <f>ЗВВ_1ст!K25</f>
        <v>0.1140379636099029</v>
      </c>
      <c r="L25" s="409">
        <f>ЗВВ_1ст!L25</f>
        <v>1.7829583608743234</v>
      </c>
      <c r="M25" s="409">
        <f>ЗВВ_1ст!M25</f>
        <v>0</v>
      </c>
      <c r="N25" s="409">
        <f>ЗВВ_1ст!N25</f>
        <v>0</v>
      </c>
      <c r="O25" s="901" t="s">
        <v>1701</v>
      </c>
      <c r="P25" s="391"/>
      <c r="Q25" s="391"/>
      <c r="U25" s="399">
        <f t="shared" si="5"/>
        <v>-8.8817841970012523E-16</v>
      </c>
      <c r="V25" s="399">
        <f t="shared" si="6"/>
        <v>0</v>
      </c>
      <c r="X25" s="399">
        <f>ЗВВ_1ст!F25</f>
        <v>13.589859731039159</v>
      </c>
      <c r="Y25" s="399">
        <f t="shared" si="4"/>
        <v>0</v>
      </c>
    </row>
    <row r="26" spans="2:25" ht="18" customHeight="1" x14ac:dyDescent="0.35">
      <c r="B26" s="412" t="str">
        <f>ЗВВ_1ст!B26</f>
        <v>ремонтні роботи (авто)</v>
      </c>
      <c r="C26" s="407">
        <f>ЗВВ_1ст!C26</f>
        <v>4.5830099999999998</v>
      </c>
      <c r="D26" s="407">
        <f>ЗВВ_1ст!D26</f>
        <v>7.7384899999999996</v>
      </c>
      <c r="E26" s="407">
        <f>ЗВВ_1ст!E26</f>
        <v>168.03122386057498</v>
      </c>
      <c r="F26" s="461">
        <f>ЗВВ_1ст!F26</f>
        <v>2.23</v>
      </c>
      <c r="G26" s="408">
        <f>ЗВВ_1ст!G26</f>
        <v>1.4818707557503572</v>
      </c>
      <c r="H26" s="409">
        <f>ЗВВ_1ст!H26</f>
        <v>0.43684554542397819</v>
      </c>
      <c r="I26" s="408">
        <f>ЗВВ_1ст!I26</f>
        <v>0.12077528371043787</v>
      </c>
      <c r="J26" s="409">
        <f>ЗВВ_1ст!J26</f>
        <v>0.31607026171354036</v>
      </c>
      <c r="K26" s="409">
        <f>ЗВВ_1ст!K26</f>
        <v>1.8712824406071915E-2</v>
      </c>
      <c r="L26" s="409">
        <f>ЗВВ_1ст!L26</f>
        <v>0.29257087441959295</v>
      </c>
      <c r="M26" s="409">
        <f>ЗВВ_1ст!M26</f>
        <v>0</v>
      </c>
      <c r="N26" s="409">
        <f>ЗВВ_1ст!N26</f>
        <v>0</v>
      </c>
      <c r="O26" s="901" t="s">
        <v>1676</v>
      </c>
      <c r="P26" s="430"/>
      <c r="U26" s="399">
        <f t="shared" si="5"/>
        <v>-2.7755575615628914E-16</v>
      </c>
      <c r="V26" s="399">
        <f t="shared" si="6"/>
        <v>0</v>
      </c>
      <c r="X26" s="399">
        <f>ЗВВ_1ст!F26</f>
        <v>2.23</v>
      </c>
      <c r="Y26" s="399">
        <f t="shared" si="4"/>
        <v>0</v>
      </c>
    </row>
    <row r="27" spans="2:25" ht="36" x14ac:dyDescent="0.35">
      <c r="B27" s="412" t="str">
        <f>ЗВВ_1ст!B27</f>
        <v>централізоване водопостачання, централізоване водовідведення</v>
      </c>
      <c r="C27" s="407">
        <f>ЗВВ_1ст!C27</f>
        <v>2.1199299999999996</v>
      </c>
      <c r="D27" s="407">
        <f>ЗВВ_1ст!D27</f>
        <v>3.0426100000000003</v>
      </c>
      <c r="E27" s="407">
        <f>ЗВВ_1ст!E27</f>
        <v>2.23</v>
      </c>
      <c r="F27" s="407">
        <f>ЗВВ_1ст!F27</f>
        <v>3.2901789374999995</v>
      </c>
      <c r="G27" s="408">
        <f>ЗВВ_1ст!G27</f>
        <v>2.1863766585950812</v>
      </c>
      <c r="H27" s="409">
        <f>ЗВВ_1ст!H27</f>
        <v>0.64452915358505491</v>
      </c>
      <c r="I27" s="408">
        <f>ЗВВ_1ст!I27</f>
        <v>0.17819385409626434</v>
      </c>
      <c r="J27" s="409">
        <f>ЗВВ_1ст!J27</f>
        <v>0.4663352994887906</v>
      </c>
      <c r="K27" s="409">
        <f>ЗВВ_1ст!K27</f>
        <v>2.7609211086095851E-2</v>
      </c>
      <c r="L27" s="409">
        <f>ЗВВ_1ст!L27</f>
        <v>0.43166391423376776</v>
      </c>
      <c r="M27" s="409">
        <f>ЗВВ_1ст!M27</f>
        <v>0</v>
      </c>
      <c r="N27" s="409">
        <f>ЗВВ_1ст!N27</f>
        <v>0</v>
      </c>
      <c r="O27" s="476" t="s">
        <v>1877</v>
      </c>
      <c r="P27" s="529"/>
      <c r="U27" s="399">
        <f t="shared" si="5"/>
        <v>-3.3306690738754696E-16</v>
      </c>
      <c r="V27" s="399">
        <f t="shared" si="6"/>
        <v>0</v>
      </c>
      <c r="X27" s="399">
        <f>ЗВВ_1ст!F27</f>
        <v>3.2901789374999995</v>
      </c>
      <c r="Y27" s="399">
        <f t="shared" si="4"/>
        <v>0</v>
      </c>
    </row>
    <row r="28" spans="2:25" ht="18" x14ac:dyDescent="0.35">
      <c r="B28" s="412" t="str">
        <f>ЗВВ_1ст!B28</f>
        <v>освітлення та робота оргтехніки</v>
      </c>
      <c r="C28" s="407">
        <f>ЗВВ_1ст!C28</f>
        <v>80.554880000000011</v>
      </c>
      <c r="D28" s="407">
        <f>ЗВВ_1ст!D28</f>
        <v>74.930890000000005</v>
      </c>
      <c r="E28" s="407">
        <f>ЗВВ_1ст!E28</f>
        <v>42.963999999999999</v>
      </c>
      <c r="F28" s="409">
        <f>ЗВВ_1ст!F28</f>
        <v>126.661201851312</v>
      </c>
      <c r="G28" s="408">
        <f>ЗВВ_1ст!G28</f>
        <v>84.168399511951677</v>
      </c>
      <c r="H28" s="409">
        <f>ЗВВ_1ст!H28</f>
        <v>24.8122788371269</v>
      </c>
      <c r="I28" s="408">
        <f>ЗВВ_1ст!I28</f>
        <v>6.8598845689225314</v>
      </c>
      <c r="J28" s="409">
        <f>ЗВВ_1ст!J28</f>
        <v>17.952394268204372</v>
      </c>
      <c r="K28" s="409">
        <f>ЗВВ_1ст!K28</f>
        <v>1.0628649458769652</v>
      </c>
      <c r="L28" s="409">
        <f>ЗВВ_1ст!L28</f>
        <v>16.617658556356467</v>
      </c>
      <c r="M28" s="409">
        <f>ЗВВ_1ст!M28</f>
        <v>0</v>
      </c>
      <c r="N28" s="409">
        <f>ЗВВ_1ст!N28</f>
        <v>0</v>
      </c>
      <c r="O28" s="901" t="s">
        <v>1701</v>
      </c>
      <c r="P28" s="391"/>
      <c r="Q28" s="391"/>
      <c r="U28" s="399">
        <f t="shared" si="5"/>
        <v>-7.1054273576010019E-15</v>
      </c>
      <c r="V28" s="399">
        <f t="shared" si="6"/>
        <v>0</v>
      </c>
      <c r="X28" s="399">
        <f>ЗВВ_1ст!F28</f>
        <v>126.661201851312</v>
      </c>
      <c r="Y28" s="399">
        <f t="shared" si="4"/>
        <v>0</v>
      </c>
    </row>
    <row r="29" spans="2:25" ht="18" x14ac:dyDescent="0.35">
      <c r="B29" s="412">
        <f>ЗВВ_1ст!B29</f>
        <v>0</v>
      </c>
      <c r="C29" s="407">
        <f>ЗВВ_1ст!C29</f>
        <v>0</v>
      </c>
      <c r="D29" s="407">
        <f>ЗВВ_1ст!D30</f>
        <v>8.9012600000000006</v>
      </c>
      <c r="E29" s="407">
        <f>ЗВВ_1ст!E29</f>
        <v>0</v>
      </c>
      <c r="F29" s="409">
        <f>ЗВВ_1ст!F29</f>
        <v>0</v>
      </c>
      <c r="G29" s="408">
        <f>ЗВВ_1ст!G29</f>
        <v>0</v>
      </c>
      <c r="H29" s="409">
        <f>ЗВВ_1ст!H29</f>
        <v>0</v>
      </c>
      <c r="I29" s="408">
        <f>ЗВВ_1ст!I29</f>
        <v>0</v>
      </c>
      <c r="J29" s="409">
        <f>ЗВВ_1ст!J29</f>
        <v>0</v>
      </c>
      <c r="K29" s="409">
        <f>ЗВВ_1ст!K29</f>
        <v>0</v>
      </c>
      <c r="L29" s="409">
        <f>ЗВВ_1ст!L29</f>
        <v>0</v>
      </c>
      <c r="M29" s="409">
        <f>ЗВВ_1ст!M29</f>
        <v>0</v>
      </c>
      <c r="N29" s="409">
        <f>ЗВВ_1ст!N29</f>
        <v>0</v>
      </c>
      <c r="O29" s="901" t="s">
        <v>1573</v>
      </c>
      <c r="U29" s="399">
        <f t="shared" si="5"/>
        <v>0</v>
      </c>
      <c r="V29" s="399">
        <f t="shared" si="6"/>
        <v>0</v>
      </c>
      <c r="X29" s="399">
        <f>ЗВВ_1ст!F29</f>
        <v>0</v>
      </c>
      <c r="Y29" s="399">
        <f t="shared" si="4"/>
        <v>0</v>
      </c>
    </row>
    <row r="30" spans="2:25" ht="18" x14ac:dyDescent="0.35">
      <c r="B30" s="412" t="str">
        <f>ЗВВ_1ст!B30</f>
        <v>вивезення сміття</v>
      </c>
      <c r="C30" s="407">
        <f>ЗВВ_1ст!C30</f>
        <v>7.0125599999999997</v>
      </c>
      <c r="D30" s="407">
        <f>ЗВВ_1ст!D31</f>
        <v>12.115500000000001</v>
      </c>
      <c r="E30" s="407">
        <f>ЗВВ_1ст!E30</f>
        <v>7.0125000000000002</v>
      </c>
      <c r="F30" s="409">
        <f>ЗВВ_1ст!F30</f>
        <v>9.3563999999999989</v>
      </c>
      <c r="G30" s="408">
        <f>ЗВВ_1ст!G30</f>
        <v>6.2174778202253993</v>
      </c>
      <c r="H30" s="409">
        <f>ЗВВ_1ст!H30</f>
        <v>1.8328707000918876</v>
      </c>
      <c r="I30" s="408">
        <f>ЗВВ_1ст!I30</f>
        <v>0.50673626211136358</v>
      </c>
      <c r="J30" s="409">
        <f>ЗВВ_1ст!J30</f>
        <v>1.326134437980524</v>
      </c>
      <c r="K30" s="409">
        <f>ЗВВ_1ст!K30</f>
        <v>7.8513305055144048E-2</v>
      </c>
      <c r="L30" s="409">
        <f>ЗВВ_1ст!L30</f>
        <v>1.2275381746275691</v>
      </c>
      <c r="M30" s="409">
        <f>ЗВВ_1ст!M30</f>
        <v>0</v>
      </c>
      <c r="N30" s="409">
        <f>ЗВВ_1ст!N30</f>
        <v>0</v>
      </c>
      <c r="O30" s="901" t="s">
        <v>1938</v>
      </c>
      <c r="U30" s="399">
        <f t="shared" si="5"/>
        <v>-1.1102230246251565E-15</v>
      </c>
      <c r="V30" s="399">
        <f t="shared" si="6"/>
        <v>0</v>
      </c>
      <c r="X30" s="399">
        <f>ЗВВ_1ст!F30</f>
        <v>9.3563999999999989</v>
      </c>
      <c r="Y30" s="399">
        <f t="shared" si="4"/>
        <v>0</v>
      </c>
    </row>
    <row r="31" spans="2:25" ht="18.75" customHeight="1" x14ac:dyDescent="0.35">
      <c r="B31" s="668" t="str">
        <f>ЗВВ_1ст!B31</f>
        <v>послуги дератизації</v>
      </c>
      <c r="C31" s="407">
        <f>ЗВВ_1ст!C31</f>
        <v>20.88</v>
      </c>
      <c r="D31" s="407">
        <f>ЗВВ_1ст!D32</f>
        <v>0.11</v>
      </c>
      <c r="E31" s="407">
        <f>ЗВВ_1ст!E31</f>
        <v>20.88</v>
      </c>
      <c r="F31" s="407">
        <f>ЗВВ_1ст!F31</f>
        <v>12.115500000000001</v>
      </c>
      <c r="G31" s="408">
        <f>ЗВВ_1ст!G31</f>
        <v>8.0509440095486333</v>
      </c>
      <c r="H31" s="409">
        <f>ЗВВ_1ст!H31</f>
        <v>2.3733642177507659</v>
      </c>
      <c r="I31" s="408">
        <f>ЗВВ_1ст!I31</f>
        <v>0.65616724206000454</v>
      </c>
      <c r="J31" s="409">
        <f>ЗВВ_1ст!J31</f>
        <v>1.7171969756907617</v>
      </c>
      <c r="K31" s="409">
        <f>ЗВВ_1ст!K31</f>
        <v>0.10166601977209161</v>
      </c>
      <c r="L31" s="409">
        <f>ЗВВ_1ст!L31</f>
        <v>1.5895257529285107</v>
      </c>
      <c r="M31" s="409">
        <f>ЗВВ_1ст!M31</f>
        <v>0</v>
      </c>
      <c r="N31" s="409">
        <f>ЗВВ_1ст!N31</f>
        <v>0</v>
      </c>
      <c r="O31" s="431" t="s">
        <v>1574</v>
      </c>
      <c r="U31" s="399">
        <f t="shared" si="5"/>
        <v>-6.6613381477509392E-16</v>
      </c>
      <c r="V31" s="399">
        <f t="shared" si="6"/>
        <v>0</v>
      </c>
      <c r="X31" s="399">
        <f>ЗВВ_1ст!F31</f>
        <v>12.115500000000001</v>
      </c>
      <c r="Y31" s="399">
        <f t="shared" si="4"/>
        <v>0</v>
      </c>
    </row>
    <row r="32" spans="2:25" ht="18" x14ac:dyDescent="0.35">
      <c r="B32" s="412" t="str">
        <f>ЗВВ_1ст!B32</f>
        <v>технічне обслуговування</v>
      </c>
      <c r="C32" s="407">
        <f>ЗВВ_1ст!C32</f>
        <v>0</v>
      </c>
      <c r="D32" s="407">
        <f>ЗВВ_1ст!D33</f>
        <v>0.35</v>
      </c>
      <c r="E32" s="407">
        <f>ЗВВ_1ст!E32</f>
        <v>1.04</v>
      </c>
      <c r="F32" s="409">
        <f>ЗВВ_1ст!F32</f>
        <v>0</v>
      </c>
      <c r="G32" s="408">
        <f>ЗВВ_1ст!G32</f>
        <v>0</v>
      </c>
      <c r="H32" s="409">
        <f>ЗВВ_1ст!H32</f>
        <v>0</v>
      </c>
      <c r="I32" s="408">
        <f>ЗВВ_1ст!I32</f>
        <v>0</v>
      </c>
      <c r="J32" s="409">
        <f>ЗВВ_1ст!J32</f>
        <v>0</v>
      </c>
      <c r="K32" s="409">
        <f>ЗВВ_1ст!K32</f>
        <v>0</v>
      </c>
      <c r="L32" s="409">
        <f>ЗВВ_1ст!L32</f>
        <v>0</v>
      </c>
      <c r="M32" s="409">
        <f>ЗВВ_1ст!M32</f>
        <v>0</v>
      </c>
      <c r="N32" s="409">
        <f>ЗВВ_1ст!N32</f>
        <v>0</v>
      </c>
      <c r="O32" s="901" t="s">
        <v>1939</v>
      </c>
      <c r="P32" s="399" t="s">
        <v>1708</v>
      </c>
      <c r="U32" s="399">
        <f t="shared" si="5"/>
        <v>0</v>
      </c>
      <c r="V32" s="399">
        <f t="shared" si="6"/>
        <v>0</v>
      </c>
      <c r="X32" s="399">
        <f>ЗВВ_1ст!F32</f>
        <v>0</v>
      </c>
      <c r="Y32" s="399">
        <f t="shared" si="4"/>
        <v>0</v>
      </c>
    </row>
    <row r="33" spans="1:25" ht="18" x14ac:dyDescent="0.35">
      <c r="B33" s="412" t="str">
        <f>ЗВВ_1ст!B33</f>
        <v>техобслуговування транспортних засобів</v>
      </c>
      <c r="C33" s="407">
        <f>ЗВВ_1ст!C33</f>
        <v>1.3</v>
      </c>
      <c r="D33" s="407">
        <f>ЗВВ_1ст!D35</f>
        <v>2.1440000000000001</v>
      </c>
      <c r="E33" s="407">
        <f>ЗВВ_1ст!E33</f>
        <v>49</v>
      </c>
      <c r="F33" s="409">
        <f>ЗВВ_1ст!F33</f>
        <v>67</v>
      </c>
      <c r="G33" s="408">
        <f>ЗВВ_1ст!G33</f>
        <v>44.522574275907594</v>
      </c>
      <c r="H33" s="409">
        <f>ЗВВ_1ст!H33</f>
        <v>13.124955849061228</v>
      </c>
      <c r="I33" s="408">
        <f>ЗВВ_1ст!I33</f>
        <v>3.6286744433180886</v>
      </c>
      <c r="J33" s="409">
        <f>ЗВВ_1ст!J33</f>
        <v>9.4962814057431402</v>
      </c>
      <c r="K33" s="409">
        <f>ЗВВ_1ст!K33</f>
        <v>0.562223872290053</v>
      </c>
      <c r="L33" s="409">
        <f>ЗВВ_1ст!L33</f>
        <v>8.7902460027411333</v>
      </c>
      <c r="M33" s="409">
        <f>ЗВВ_1ст!M33</f>
        <v>0</v>
      </c>
      <c r="N33" s="409">
        <f>ЗВВ_1ст!N33</f>
        <v>0</v>
      </c>
      <c r="O33" s="901" t="s">
        <v>1651</v>
      </c>
      <c r="U33" s="399">
        <f t="shared" si="5"/>
        <v>-8.8817841970012523E-15</v>
      </c>
      <c r="V33" s="399">
        <f t="shared" si="6"/>
        <v>0</v>
      </c>
      <c r="X33" s="399">
        <f>ЗВВ_1ст!F33</f>
        <v>67</v>
      </c>
      <c r="Y33" s="399">
        <f t="shared" si="4"/>
        <v>0</v>
      </c>
    </row>
    <row r="34" spans="1:25" ht="18" x14ac:dyDescent="0.35">
      <c r="B34" s="412" t="str">
        <f>ЗВВ_1ст!B34</f>
        <v>технічний контроль транспортних засобів</v>
      </c>
      <c r="C34" s="407">
        <f>ЗВВ_1ст!C34</f>
        <v>0</v>
      </c>
      <c r="D34" s="407">
        <f>ЗВВ_1ст!D36</f>
        <v>0</v>
      </c>
      <c r="E34" s="407">
        <f>ЗВВ_1ст!E34</f>
        <v>1.3</v>
      </c>
      <c r="F34" s="409">
        <f>ЗВВ_1ст!F34</f>
        <v>0</v>
      </c>
      <c r="G34" s="408">
        <f>ЗВВ_1ст!G34</f>
        <v>0</v>
      </c>
      <c r="H34" s="409">
        <f>ЗВВ_1ст!H34</f>
        <v>0</v>
      </c>
      <c r="I34" s="408">
        <f>ЗВВ_1ст!I34</f>
        <v>0</v>
      </c>
      <c r="J34" s="409">
        <f>ЗВВ_1ст!J34</f>
        <v>0</v>
      </c>
      <c r="K34" s="409">
        <f>ЗВВ_1ст!K34</f>
        <v>0</v>
      </c>
      <c r="L34" s="409">
        <f>ЗВВ_1ст!L34</f>
        <v>0</v>
      </c>
      <c r="M34" s="409">
        <f>ЗВВ_1ст!M34</f>
        <v>0</v>
      </c>
      <c r="N34" s="409">
        <f>ЗВВ_1ст!N34</f>
        <v>0</v>
      </c>
      <c r="O34" s="901" t="s">
        <v>1652</v>
      </c>
      <c r="U34" s="399">
        <f>F34-G34-H34-K34-L34-M34-N34</f>
        <v>0</v>
      </c>
      <c r="V34" s="399">
        <f>H34-I34-J34</f>
        <v>0</v>
      </c>
      <c r="X34" s="399">
        <f>ЗВВ_1ст!F34</f>
        <v>0</v>
      </c>
      <c r="Y34" s="399">
        <f t="shared" si="4"/>
        <v>0</v>
      </c>
    </row>
    <row r="35" spans="1:25" ht="18" x14ac:dyDescent="0.35">
      <c r="B35" s="412" t="str">
        <f>ЗВВ_1ст!B35</f>
        <v>страхування</v>
      </c>
      <c r="C35" s="407">
        <f>ЗВВ_1ст!C35</f>
        <v>2.6406000000000001</v>
      </c>
      <c r="D35" s="407">
        <f>ЗВВ_1ст!D35</f>
        <v>2.1440000000000001</v>
      </c>
      <c r="E35" s="407">
        <f>ЗВВ_1ст!E35</f>
        <v>2.73</v>
      </c>
      <c r="F35" s="409">
        <f>ЗВВ_1ст!F35</f>
        <v>3.8410000000000002</v>
      </c>
      <c r="G35" s="408">
        <f>ЗВВ_1ст!G35</f>
        <v>2.5524060864740457</v>
      </c>
      <c r="H35" s="409">
        <f>ЗВВ_1ст!H35</f>
        <v>0.75243217039170418</v>
      </c>
      <c r="I35" s="408">
        <f>ЗВВ_1ст!I35</f>
        <v>0.20802594831022059</v>
      </c>
      <c r="J35" s="409">
        <f>ЗВВ_1ст!J35</f>
        <v>0.5444062220814837</v>
      </c>
      <c r="K35" s="409">
        <f>ЗВВ_1ст!K35</f>
        <v>3.2231371544270054E-2</v>
      </c>
      <c r="L35" s="409">
        <f>ЗВВ_1ст!L35</f>
        <v>0.50393037158998055</v>
      </c>
      <c r="M35" s="409">
        <f>ЗВВ_1ст!M35</f>
        <v>0</v>
      </c>
      <c r="N35" s="409">
        <f>ЗВВ_1ст!N35</f>
        <v>0</v>
      </c>
      <c r="O35" s="901" t="s">
        <v>1601</v>
      </c>
      <c r="U35" s="399">
        <f t="shared" ref="U35:U47" si="7">F35-G35-H35-K35-L35-M35-N35</f>
        <v>-2.2204460492503131E-16</v>
      </c>
      <c r="V35" s="399">
        <f t="shared" ref="V35:V47" si="8">H35-I35-J35</f>
        <v>0</v>
      </c>
      <c r="X35" s="399">
        <f>ЗВВ_1ст!F35</f>
        <v>3.8410000000000002</v>
      </c>
      <c r="Y35" s="399">
        <f t="shared" si="4"/>
        <v>0</v>
      </c>
    </row>
    <row r="36" spans="1:25" ht="18" x14ac:dyDescent="0.35">
      <c r="B36" s="412" t="str">
        <f>ЗВВ_1ст!B36</f>
        <v>приймання відходів</v>
      </c>
      <c r="C36" s="407">
        <f>ЗВВ_1ст!C36</f>
        <v>0.03</v>
      </c>
      <c r="D36" s="407">
        <f>ЗВВ_1ст!D36</f>
        <v>0</v>
      </c>
      <c r="E36" s="407">
        <f>ЗВВ_1ст!E36</f>
        <v>0</v>
      </c>
      <c r="F36" s="407">
        <f>ЗВВ_1ст!F36</f>
        <v>0</v>
      </c>
      <c r="G36" s="408">
        <f>ЗВВ_1ст!G36</f>
        <v>0</v>
      </c>
      <c r="H36" s="409">
        <f>ЗВВ_1ст!H36</f>
        <v>0</v>
      </c>
      <c r="I36" s="408">
        <f>ЗВВ_1ст!I36</f>
        <v>0</v>
      </c>
      <c r="J36" s="409">
        <f>ЗВВ_1ст!J36</f>
        <v>0</v>
      </c>
      <c r="K36" s="409">
        <f>ЗВВ_1ст!K36</f>
        <v>0</v>
      </c>
      <c r="L36" s="409">
        <f>ЗВВ_1ст!L36</f>
        <v>0</v>
      </c>
      <c r="M36" s="409">
        <f>ЗВВ_1ст!M36</f>
        <v>0</v>
      </c>
      <c r="N36" s="409">
        <f>ЗВВ_1ст!N36</f>
        <v>0</v>
      </c>
      <c r="O36" s="431" t="s">
        <v>965</v>
      </c>
      <c r="P36" s="527" t="s">
        <v>1709</v>
      </c>
      <c r="Q36" s="520"/>
      <c r="U36" s="399">
        <f t="shared" si="7"/>
        <v>0</v>
      </c>
      <c r="V36" s="399">
        <f t="shared" si="8"/>
        <v>0</v>
      </c>
      <c r="X36" s="399">
        <f>ЗВВ_1ст!F36</f>
        <v>0</v>
      </c>
      <c r="Y36" s="399">
        <f t="shared" si="4"/>
        <v>0</v>
      </c>
    </row>
    <row r="37" spans="1:25" s="411" customFormat="1" ht="35.4" x14ac:dyDescent="0.35">
      <c r="A37" s="391"/>
      <c r="B37" s="410" t="str">
        <f>ЗВВ_1ст!B37</f>
        <v>Амортизація основних засобів загальновиробничого призначення</v>
      </c>
      <c r="C37" s="413">
        <f>ЗВВ_1ст!C37</f>
        <v>42.188740000000003</v>
      </c>
      <c r="D37" s="413">
        <f>ЗВВ_1ст!D37</f>
        <v>40.962870000000002</v>
      </c>
      <c r="E37" s="413">
        <f>ЗВВ_1ст!E37</f>
        <v>37.14</v>
      </c>
      <c r="F37" s="413">
        <f>ЗВВ_1ст!F37</f>
        <v>36.866270000000014</v>
      </c>
      <c r="G37" s="408">
        <f>ЗВВ_1ст!G37</f>
        <v>24.498227527621857</v>
      </c>
      <c r="H37" s="409">
        <f>ЗВВ_1ст!H37</f>
        <v>7.2219129264115027</v>
      </c>
      <c r="I37" s="408">
        <f>ЗВВ_1ст!I37</f>
        <v>1.9966521159621551</v>
      </c>
      <c r="J37" s="409">
        <f>ЗВВ_1ст!J37</f>
        <v>5.2252608104493481</v>
      </c>
      <c r="K37" s="409">
        <f>ЗВВ_1ст!K37</f>
        <v>0.3093596578550839</v>
      </c>
      <c r="L37" s="409">
        <f>ЗВВ_1ст!L37</f>
        <v>4.8367698881115748</v>
      </c>
      <c r="M37" s="409">
        <f>ЗВВ_1ст!M37</f>
        <v>0</v>
      </c>
      <c r="N37" s="409">
        <f>ЗВВ_1ст!N37</f>
        <v>0</v>
      </c>
      <c r="O37" s="476" t="s">
        <v>1727</v>
      </c>
      <c r="P37" s="529"/>
      <c r="Q37" s="529"/>
      <c r="R37" s="391"/>
      <c r="U37" s="399">
        <f t="shared" si="7"/>
        <v>-4.4408920985006262E-15</v>
      </c>
      <c r="V37" s="399">
        <f t="shared" si="8"/>
        <v>0</v>
      </c>
      <c r="X37" s="399">
        <f>ЗВВ_1ст!F37</f>
        <v>36.866270000000014</v>
      </c>
      <c r="Y37" s="399">
        <f t="shared" si="4"/>
        <v>0</v>
      </c>
    </row>
    <row r="38" spans="1:25" s="411" customFormat="1" ht="56.4" customHeight="1" x14ac:dyDescent="0.35">
      <c r="A38" s="391"/>
      <c r="B38" s="410" t="str">
        <f>ЗВВ_1ст!B39</f>
        <v>Амортизація інших нематеріальних активів загальновиробничого призначення</v>
      </c>
      <c r="C38" s="407">
        <f>ЗВВ_1ст!C39</f>
        <v>30.56513</v>
      </c>
      <c r="D38" s="407">
        <f>ЗВВ_1ст!D39</f>
        <v>23.62285</v>
      </c>
      <c r="E38" s="407">
        <f>ЗВВ_1ст!E39</f>
        <v>11.43</v>
      </c>
      <c r="F38" s="413">
        <f>ЗВВ_1ст!F39</f>
        <v>0</v>
      </c>
      <c r="G38" s="408">
        <f>ЗВВ_1ст!G39</f>
        <v>0</v>
      </c>
      <c r="H38" s="409">
        <f>ЗВВ_1ст!H39</f>
        <v>0</v>
      </c>
      <c r="I38" s="408">
        <f>ЗВВ_1ст!I39</f>
        <v>0</v>
      </c>
      <c r="J38" s="409">
        <f>ЗВВ_1ст!J39</f>
        <v>0</v>
      </c>
      <c r="K38" s="409">
        <f>ЗВВ_1ст!K39</f>
        <v>0</v>
      </c>
      <c r="L38" s="409">
        <f>ЗВВ_1ст!L39</f>
        <v>0</v>
      </c>
      <c r="M38" s="409">
        <f>ЗВВ_1ст!M39</f>
        <v>0</v>
      </c>
      <c r="N38" s="409">
        <f>ЗВВ_1ст!N39</f>
        <v>0</v>
      </c>
      <c r="O38" s="901"/>
      <c r="P38" s="5120"/>
      <c r="Q38" s="5120"/>
      <c r="R38" s="5120"/>
      <c r="U38" s="399">
        <f t="shared" si="7"/>
        <v>0</v>
      </c>
      <c r="V38" s="399">
        <f t="shared" si="8"/>
        <v>0</v>
      </c>
      <c r="X38" s="399">
        <f>ЗВВ_1ст!F39</f>
        <v>0</v>
      </c>
      <c r="Y38" s="399">
        <f t="shared" si="4"/>
        <v>0</v>
      </c>
    </row>
    <row r="39" spans="1:25" ht="17.399999999999999" x14ac:dyDescent="0.3">
      <c r="B39" s="410" t="str">
        <f>ЗВВ_1ст!B40</f>
        <v>Інші витрати, у т.ч.:</v>
      </c>
      <c r="C39" s="413">
        <f>ЗВВ_1ст!C40</f>
        <v>85.191460000000006</v>
      </c>
      <c r="D39" s="413">
        <f>ЗВВ_1ст!D40</f>
        <v>52.116889999999998</v>
      </c>
      <c r="E39" s="413">
        <f>ЗВВ_1ст!E40</f>
        <v>63.354449492753623</v>
      </c>
      <c r="F39" s="413">
        <f>ЗВВ_1ст!F40</f>
        <v>93.742026370302483</v>
      </c>
      <c r="G39" s="413">
        <f>ЗВВ_1ст!G40</f>
        <v>62.293079579789257</v>
      </c>
      <c r="H39" s="413">
        <f>ЗВВ_1ст!H40</f>
        <v>18.36358145241423</v>
      </c>
      <c r="I39" s="413">
        <f>ЗВВ_1ст!I40</f>
        <v>5.0770044082801027</v>
      </c>
      <c r="J39" s="413">
        <f>ЗВВ_1ст!J40</f>
        <v>13.286577044134127</v>
      </c>
      <c r="K39" s="413">
        <f>ЗВВ_1ст!K40</f>
        <v>0.78662694122727939</v>
      </c>
      <c r="L39" s="413">
        <f>ЗВВ_1ст!L40</f>
        <v>12.298738396871721</v>
      </c>
      <c r="M39" s="413">
        <f>ЗВВ_1ст!M40</f>
        <v>0</v>
      </c>
      <c r="N39" s="413">
        <f>ЗВВ_1ст!N40</f>
        <v>0</v>
      </c>
      <c r="O39" s="901" t="s">
        <v>1409</v>
      </c>
      <c r="P39" s="423"/>
      <c r="Q39" s="423"/>
      <c r="R39" s="414"/>
      <c r="S39" s="414"/>
      <c r="T39" s="414"/>
      <c r="U39" s="399">
        <f t="shared" si="7"/>
        <v>-5.3290705182007514E-15</v>
      </c>
      <c r="V39" s="399">
        <f t="shared" si="8"/>
        <v>0</v>
      </c>
      <c r="W39" s="414"/>
      <c r="X39" s="399">
        <f>ЗВВ_1ст!F40</f>
        <v>93.742026370302483</v>
      </c>
      <c r="Y39" s="399">
        <f t="shared" si="4"/>
        <v>0</v>
      </c>
    </row>
    <row r="40" spans="1:25" ht="18" x14ac:dyDescent="0.35">
      <c r="B40" s="415" t="str">
        <f>ЗВВ_1ст!B41</f>
        <v>медогляд</v>
      </c>
      <c r="C40" s="407">
        <f>ЗВВ_1ст!C41</f>
        <v>4.1770200000000006</v>
      </c>
      <c r="D40" s="407">
        <f>ЗВВ_1ст!D41</f>
        <v>2.57375</v>
      </c>
      <c r="E40" s="407">
        <f>ЗВВ_1ст!E41</f>
        <v>5.8503899999999991</v>
      </c>
      <c r="F40" s="407">
        <f>ЗВВ_1ст!F41</f>
        <v>8.0015800000000006</v>
      </c>
      <c r="G40" s="408">
        <f>ЗВВ_1ст!G41</f>
        <v>5.3171782070838312</v>
      </c>
      <c r="H40" s="409">
        <f>ЗВВ_1ст!H41</f>
        <v>1.5674684212347962</v>
      </c>
      <c r="I40" s="408">
        <f>ЗВВ_1ст!I41</f>
        <v>0.43336013212186797</v>
      </c>
      <c r="J40" s="409">
        <f>ЗВВ_1ст!J41</f>
        <v>1.1341082891129284</v>
      </c>
      <c r="K40" s="409">
        <f>ЗВВ_1ст!K41</f>
        <v>6.7144467045352874E-2</v>
      </c>
      <c r="L40" s="409">
        <f>ЗВВ_1ст!L41</f>
        <v>1.0497889046360209</v>
      </c>
      <c r="M40" s="409">
        <f>ЗВВ_1ст!M41</f>
        <v>0</v>
      </c>
      <c r="N40" s="409">
        <f>ЗВВ_1ст!N41</f>
        <v>0</v>
      </c>
      <c r="O40" s="901" t="s">
        <v>1409</v>
      </c>
      <c r="P40" s="423"/>
      <c r="Q40" s="423"/>
      <c r="R40" s="414"/>
      <c r="S40" s="414"/>
      <c r="T40" s="414"/>
      <c r="U40" s="399">
        <f t="shared" si="7"/>
        <v>-6.6613381477509392E-16</v>
      </c>
      <c r="V40" s="399">
        <f t="shared" si="8"/>
        <v>0</v>
      </c>
      <c r="W40" s="414"/>
      <c r="X40" s="399">
        <f>ЗВВ_1ст!F41</f>
        <v>8.0015800000000006</v>
      </c>
      <c r="Y40" s="399">
        <f t="shared" si="4"/>
        <v>0</v>
      </c>
    </row>
    <row r="41" spans="1:25" ht="18.75" customHeight="1" x14ac:dyDescent="0.35">
      <c r="B41" s="415" t="str">
        <f>ЗВВ_1ст!B42</f>
        <v>підготовка та перепідготовка кадрів</v>
      </c>
      <c r="C41" s="407">
        <f>ЗВВ_1ст!C42</f>
        <v>8.8581199999999995</v>
      </c>
      <c r="D41" s="407">
        <f>ЗВВ_1ст!D42</f>
        <v>7.1754899999999999</v>
      </c>
      <c r="E41" s="407">
        <f>ЗВВ_1ст!E42</f>
        <v>2.3095599999999998</v>
      </c>
      <c r="F41" s="407">
        <f>ЗВВ_1ст!F42</f>
        <v>9.9600000000000009</v>
      </c>
      <c r="G41" s="408">
        <f>ЗВВ_1ст!G42</f>
        <v>6.6185796983289498</v>
      </c>
      <c r="H41" s="409">
        <f>ЗВВ_1ст!H42</f>
        <v>1.9511128396514903</v>
      </c>
      <c r="I41" s="408">
        <f>ЗВВ_1ст!I42</f>
        <v>0.53942682769325623</v>
      </c>
      <c r="J41" s="409">
        <f>ЗВВ_1ст!J42</f>
        <v>1.4116860119582342</v>
      </c>
      <c r="K41" s="409">
        <f>ЗВВ_1ст!K42</f>
        <v>8.357835474640192E-2</v>
      </c>
      <c r="L41" s="409">
        <f>ЗВВ_1ст!L42</f>
        <v>1.3067291072731597</v>
      </c>
      <c r="M41" s="409">
        <f>ЗВВ_1ст!M42</f>
        <v>0</v>
      </c>
      <c r="N41" s="409">
        <f>ЗВВ_1ст!N42</f>
        <v>0</v>
      </c>
      <c r="O41" s="901" t="s">
        <v>1409</v>
      </c>
      <c r="U41" s="399">
        <f t="shared" si="7"/>
        <v>-8.8817841970012523E-16</v>
      </c>
      <c r="V41" s="399">
        <f t="shared" si="8"/>
        <v>0</v>
      </c>
      <c r="X41" s="399">
        <f>ЗВВ_1ст!F42</f>
        <v>9.9600000000000009</v>
      </c>
      <c r="Y41" s="399">
        <f t="shared" si="4"/>
        <v>0</v>
      </c>
    </row>
    <row r="42" spans="1:25" ht="18.75" customHeight="1" x14ac:dyDescent="0.35">
      <c r="B42" s="415" t="str">
        <f>ЗВВ_1ст!B43</f>
        <v>атестація робочих місць</v>
      </c>
      <c r="C42" s="407">
        <f>ЗВВ_1ст!C43</f>
        <v>0</v>
      </c>
      <c r="D42" s="407">
        <f>ЗВВ_1ст!D43</f>
        <v>0</v>
      </c>
      <c r="E42" s="407">
        <f>ЗВВ_1ст!E43</f>
        <v>0</v>
      </c>
      <c r="F42" s="407">
        <f>ЗВВ_1ст!F43</f>
        <v>0</v>
      </c>
      <c r="G42" s="408">
        <f>ЗВВ_1ст!G43</f>
        <v>0</v>
      </c>
      <c r="H42" s="409">
        <f>ЗВВ_1ст!H43</f>
        <v>0</v>
      </c>
      <c r="I42" s="408">
        <f>ЗВВ_1ст!I43</f>
        <v>0</v>
      </c>
      <c r="J42" s="409">
        <f>ЗВВ_1ст!J43</f>
        <v>0</v>
      </c>
      <c r="K42" s="409">
        <f>ЗВВ_1ст!K43</f>
        <v>0</v>
      </c>
      <c r="L42" s="409">
        <f>ЗВВ_1ст!L43</f>
        <v>0</v>
      </c>
      <c r="M42" s="409">
        <f>ЗВВ_1ст!M43</f>
        <v>0</v>
      </c>
      <c r="N42" s="409">
        <f>ЗВВ_1ст!N43</f>
        <v>0</v>
      </c>
      <c r="O42" s="901" t="s">
        <v>1409</v>
      </c>
      <c r="U42" s="399">
        <f t="shared" si="7"/>
        <v>0</v>
      </c>
      <c r="V42" s="399">
        <f t="shared" si="8"/>
        <v>0</v>
      </c>
      <c r="X42" s="399">
        <f>ЗВВ_1ст!F43</f>
        <v>0</v>
      </c>
      <c r="Y42" s="399">
        <f t="shared" si="4"/>
        <v>0</v>
      </c>
    </row>
    <row r="43" spans="1:25" ht="18.75" customHeight="1" x14ac:dyDescent="0.35">
      <c r="B43" s="415" t="str">
        <f>ЗВВ_1ст!B44</f>
        <v>виготовлення проектної документації</v>
      </c>
      <c r="C43" s="407">
        <f>ЗВВ_1ст!C44</f>
        <v>0</v>
      </c>
      <c r="D43" s="407">
        <f>ЗВВ_1ст!D44</f>
        <v>0</v>
      </c>
      <c r="E43" s="407">
        <f>ЗВВ_1ст!E44</f>
        <v>0</v>
      </c>
      <c r="F43" s="407">
        <f>ЗВВ_1ст!F44</f>
        <v>0</v>
      </c>
      <c r="G43" s="408">
        <f>ЗВВ_1ст!G44</f>
        <v>0</v>
      </c>
      <c r="H43" s="409">
        <f>ЗВВ_1ст!H44</f>
        <v>0</v>
      </c>
      <c r="I43" s="408">
        <f>ЗВВ_1ст!I44</f>
        <v>0</v>
      </c>
      <c r="J43" s="409">
        <f>ЗВВ_1ст!J44</f>
        <v>0</v>
      </c>
      <c r="K43" s="409">
        <f>ЗВВ_1ст!K44</f>
        <v>0</v>
      </c>
      <c r="L43" s="409">
        <f>ЗВВ_1ст!L44</f>
        <v>0</v>
      </c>
      <c r="M43" s="409">
        <f>ЗВВ_1ст!M44</f>
        <v>0</v>
      </c>
      <c r="N43" s="409">
        <f>ЗВВ_1ст!N44</f>
        <v>0</v>
      </c>
      <c r="O43" s="901" t="s">
        <v>1938</v>
      </c>
      <c r="U43" s="399">
        <f t="shared" si="7"/>
        <v>0</v>
      </c>
      <c r="V43" s="399">
        <f t="shared" si="8"/>
        <v>0</v>
      </c>
      <c r="X43" s="399">
        <f>ЗВВ_1ст!F44</f>
        <v>0</v>
      </c>
      <c r="Y43" s="399">
        <f t="shared" si="4"/>
        <v>0</v>
      </c>
    </row>
    <row r="44" spans="1:25" ht="18.75" customHeight="1" x14ac:dyDescent="0.35">
      <c r="B44" s="415" t="str">
        <f>ЗВВ_1ст!B45</f>
        <v>утилізація відходів, устаткування, обладнання</v>
      </c>
      <c r="C44" s="407">
        <f>ЗВВ_1ст!C45</f>
        <v>0</v>
      </c>
      <c r="D44" s="407">
        <f>ЗВВ_1ст!D45</f>
        <v>0</v>
      </c>
      <c r="E44" s="407">
        <f>ЗВВ_1ст!E45</f>
        <v>0.06</v>
      </c>
      <c r="F44" s="407">
        <f>ЗВВ_1ст!F45</f>
        <v>7.4999999999999997E-2</v>
      </c>
      <c r="G44" s="408">
        <f>ЗВВ_1ст!G45</f>
        <v>4.9838702547657751E-2</v>
      </c>
      <c r="H44" s="409">
        <f>ЗВВ_1ст!H45</f>
        <v>1.4692114756411823E-2</v>
      </c>
      <c r="I44" s="408">
        <f>ЗВВ_1ст!I45</f>
        <v>4.0619490037142776E-3</v>
      </c>
      <c r="J44" s="409">
        <f>ЗВВ_1ст!J45</f>
        <v>1.0630165752697545E-2</v>
      </c>
      <c r="K44" s="409">
        <f>ЗВВ_1ст!K45</f>
        <v>6.2935508092170115E-4</v>
      </c>
      <c r="L44" s="409">
        <f>ЗВВ_1ст!L45</f>
        <v>9.8398276150087321E-3</v>
      </c>
      <c r="M44" s="409">
        <f>ЗВВ_1ст!M45</f>
        <v>0</v>
      </c>
      <c r="N44" s="409">
        <f>ЗВВ_1ст!N45</f>
        <v>0</v>
      </c>
      <c r="O44" s="901" t="s">
        <v>1879</v>
      </c>
      <c r="P44" s="391"/>
      <c r="U44" s="399">
        <f t="shared" si="7"/>
        <v>-1.0408340855860843E-17</v>
      </c>
      <c r="V44" s="399">
        <f t="shared" si="8"/>
        <v>0</v>
      </c>
      <c r="X44" s="399">
        <f>ЗВВ_1ст!F45</f>
        <v>7.4999999999999997E-2</v>
      </c>
      <c r="Y44" s="399">
        <f t="shared" si="4"/>
        <v>0</v>
      </c>
    </row>
    <row r="45" spans="1:25" ht="18.75" customHeight="1" x14ac:dyDescent="0.35">
      <c r="B45" s="415" t="str">
        <f>ЗВВ_1ст!B46</f>
        <v>лабораторні випробування захисних засобів</v>
      </c>
      <c r="C45" s="407">
        <f>ЗВВ_1ст!C46</f>
        <v>3.1</v>
      </c>
      <c r="D45" s="407">
        <f>ЗВВ_1ст!D46</f>
        <v>0</v>
      </c>
      <c r="E45" s="407">
        <f>ЗВВ_1ст!E46</f>
        <v>0</v>
      </c>
      <c r="F45" s="407">
        <f>ЗВВ_1ст!F46</f>
        <v>0</v>
      </c>
      <c r="G45" s="408">
        <f>ЗВВ_1ст!G46</f>
        <v>0</v>
      </c>
      <c r="H45" s="409">
        <f>ЗВВ_1ст!H46</f>
        <v>0</v>
      </c>
      <c r="I45" s="408">
        <f>ЗВВ_1ст!I46</f>
        <v>0</v>
      </c>
      <c r="J45" s="409">
        <f>ЗВВ_1ст!J46</f>
        <v>0</v>
      </c>
      <c r="K45" s="409">
        <f>ЗВВ_1ст!K46</f>
        <v>0</v>
      </c>
      <c r="L45" s="409">
        <f>ЗВВ_1ст!L46</f>
        <v>0</v>
      </c>
      <c r="M45" s="409">
        <f>ЗВВ_1ст!M46</f>
        <v>0</v>
      </c>
      <c r="N45" s="409">
        <f>ЗВВ_1ст!N46</f>
        <v>0</v>
      </c>
      <c r="O45" s="719" t="s">
        <v>1696</v>
      </c>
      <c r="P45" s="403"/>
      <c r="U45" s="399">
        <f t="shared" si="7"/>
        <v>0</v>
      </c>
      <c r="V45" s="399">
        <f t="shared" si="8"/>
        <v>0</v>
      </c>
      <c r="X45" s="399">
        <f>ЗВВ_1ст!F46</f>
        <v>0</v>
      </c>
      <c r="Y45" s="399">
        <f t="shared" si="4"/>
        <v>0</v>
      </c>
    </row>
    <row r="46" spans="1:25" ht="18.75" customHeight="1" x14ac:dyDescent="0.35">
      <c r="B46" s="415" t="str">
        <f>ЗВВ_1ст!B47</f>
        <v>вимірювання опору заземлення</v>
      </c>
      <c r="C46" s="407">
        <f>ЗВВ_1ст!C47</f>
        <v>0</v>
      </c>
      <c r="D46" s="407">
        <f>ЗВВ_1ст!D47</f>
        <v>0</v>
      </c>
      <c r="E46" s="407">
        <f>ЗВВ_1ст!E47</f>
        <v>6.9040000000000008</v>
      </c>
      <c r="F46" s="407">
        <f>ЗВВ_1ст!F47</f>
        <v>6.9040000000000008</v>
      </c>
      <c r="G46" s="408">
        <f>ЗВВ_1ст!G47</f>
        <v>4.5878186985203886</v>
      </c>
      <c r="H46" s="409">
        <f>ЗВВ_1ст!H47</f>
        <v>1.3524581370435631</v>
      </c>
      <c r="I46" s="408">
        <f>ЗВВ_1ст!I47</f>
        <v>0.37391594562191172</v>
      </c>
      <c r="J46" s="409">
        <f>ЗВВ_1ст!J47</f>
        <v>0.97854219142165155</v>
      </c>
      <c r="K46" s="409">
        <f>ЗВВ_1ст!K47</f>
        <v>5.7934233049112334E-2</v>
      </c>
      <c r="L46" s="409">
        <f>ЗВВ_1ст!L47</f>
        <v>0.90578893138693728</v>
      </c>
      <c r="M46" s="409">
        <f>ЗВВ_1ст!M47</f>
        <v>0</v>
      </c>
      <c r="N46" s="409">
        <f>ЗВВ_1ст!N47</f>
        <v>0</v>
      </c>
      <c r="O46" s="431" t="s">
        <v>1673</v>
      </c>
      <c r="P46" s="403"/>
      <c r="U46" s="399">
        <f t="shared" si="7"/>
        <v>-5.5511151231257827E-16</v>
      </c>
      <c r="V46" s="399">
        <f t="shared" si="8"/>
        <v>0</v>
      </c>
      <c r="X46" s="399">
        <f>ЗВВ_1ст!F47</f>
        <v>6.9040000000000008</v>
      </c>
      <c r="Y46" s="399">
        <f t="shared" si="4"/>
        <v>0</v>
      </c>
    </row>
    <row r="47" spans="1:25" ht="18.75" customHeight="1" x14ac:dyDescent="0.35">
      <c r="B47" s="415" t="str">
        <f>ЗВВ_1ст!B48</f>
        <v>випробування абразивних кругів</v>
      </c>
      <c r="C47" s="407">
        <f>ЗВВ_1ст!C48</f>
        <v>0</v>
      </c>
      <c r="D47" s="407">
        <f>ЗВВ_1ст!D48</f>
        <v>0</v>
      </c>
      <c r="E47" s="407">
        <f>ЗВВ_1ст!E48</f>
        <v>0</v>
      </c>
      <c r="F47" s="407">
        <f>ЗВВ_1ст!F48</f>
        <v>0</v>
      </c>
      <c r="G47" s="408">
        <f>ЗВВ_1ст!G48</f>
        <v>0</v>
      </c>
      <c r="H47" s="409">
        <f>ЗВВ_1ст!H48</f>
        <v>0</v>
      </c>
      <c r="I47" s="408">
        <f>ЗВВ_1ст!I48</f>
        <v>0</v>
      </c>
      <c r="J47" s="409">
        <f>ЗВВ_1ст!J48</f>
        <v>0</v>
      </c>
      <c r="K47" s="409">
        <f>ЗВВ_1ст!K48</f>
        <v>0</v>
      </c>
      <c r="L47" s="409">
        <f>ЗВВ_1ст!L48</f>
        <v>0</v>
      </c>
      <c r="M47" s="409">
        <f>ЗВВ_1ст!M48</f>
        <v>0</v>
      </c>
      <c r="N47" s="409">
        <f>ЗВВ_1ст!N48</f>
        <v>0</v>
      </c>
      <c r="O47" s="719" t="s">
        <v>1947</v>
      </c>
      <c r="P47" s="403"/>
      <c r="U47" s="399">
        <f t="shared" si="7"/>
        <v>0</v>
      </c>
      <c r="V47" s="399">
        <f t="shared" si="8"/>
        <v>0</v>
      </c>
      <c r="X47" s="399">
        <f>ЗВВ_1ст!F48</f>
        <v>0</v>
      </c>
      <c r="Y47" s="399">
        <f t="shared" si="4"/>
        <v>0</v>
      </c>
    </row>
    <row r="48" spans="1:25" ht="36" x14ac:dyDescent="0.35">
      <c r="B48" s="415" t="str">
        <f>ЗВВ_1ст!B49</f>
        <v>випробування, освідотствування, фарбування кисневих балонів</v>
      </c>
      <c r="C48" s="407">
        <f>ЗВВ_1ст!C49</f>
        <v>0</v>
      </c>
      <c r="D48" s="407">
        <f>ЗВВ_1ст!D49</f>
        <v>0</v>
      </c>
      <c r="E48" s="407">
        <f>ЗВВ_1ст!E49</f>
        <v>0.6</v>
      </c>
      <c r="F48" s="407">
        <f>ЗВВ_1ст!F49</f>
        <v>0</v>
      </c>
      <c r="G48" s="408">
        <f>ЗВВ_1ст!G49</f>
        <v>0</v>
      </c>
      <c r="H48" s="409">
        <f>ЗВВ_1ст!H49</f>
        <v>0</v>
      </c>
      <c r="I48" s="408">
        <f>ЗВВ_1ст!I49</f>
        <v>0</v>
      </c>
      <c r="J48" s="409">
        <f>ЗВВ_1ст!J49</f>
        <v>0</v>
      </c>
      <c r="K48" s="409">
        <f>ЗВВ_1ст!K49</f>
        <v>0</v>
      </c>
      <c r="L48" s="409">
        <f>ЗВВ_1ст!L49</f>
        <v>0</v>
      </c>
      <c r="M48" s="409">
        <f>ЗВВ_1ст!M49</f>
        <v>0</v>
      </c>
      <c r="N48" s="409">
        <f>ЗВВ_1ст!N49</f>
        <v>0</v>
      </c>
      <c r="O48" s="431" t="s">
        <v>1672</v>
      </c>
      <c r="P48" s="391" t="s">
        <v>1683</v>
      </c>
      <c r="Q48" s="391"/>
      <c r="U48" s="399">
        <f>F48-G48-H48-K48-L48-M48-N48</f>
        <v>0</v>
      </c>
      <c r="V48" s="399">
        <f>H48-I48-J48</f>
        <v>0</v>
      </c>
      <c r="X48" s="399">
        <f>ЗВВ_1ст!F49</f>
        <v>0</v>
      </c>
      <c r="Y48" s="399">
        <f t="shared" si="4"/>
        <v>0</v>
      </c>
    </row>
    <row r="49" spans="2:25" ht="18.75" customHeight="1" x14ac:dyDescent="0.35">
      <c r="B49" s="415" t="str">
        <f>ЗВВ_1ст!B50</f>
        <v>перевіка захисних засобів</v>
      </c>
      <c r="C49" s="407">
        <f>ЗВВ_1ст!C50</f>
        <v>0</v>
      </c>
      <c r="D49" s="407">
        <f>ЗВВ_1ст!D50</f>
        <v>0</v>
      </c>
      <c r="E49" s="407">
        <f>ЗВВ_1ст!E50</f>
        <v>0</v>
      </c>
      <c r="F49" s="407">
        <f>ЗВВ_1ст!F50</f>
        <v>0</v>
      </c>
      <c r="G49" s="408">
        <f>ЗВВ_1ст!G50</f>
        <v>0</v>
      </c>
      <c r="H49" s="409">
        <f>ЗВВ_1ст!H50</f>
        <v>0</v>
      </c>
      <c r="I49" s="408">
        <f>ЗВВ_1ст!I50</f>
        <v>0</v>
      </c>
      <c r="J49" s="409">
        <f>ЗВВ_1ст!J50</f>
        <v>0</v>
      </c>
      <c r="K49" s="409">
        <f>ЗВВ_1ст!K50</f>
        <v>0</v>
      </c>
      <c r="L49" s="409">
        <f>ЗВВ_1ст!L50</f>
        <v>0</v>
      </c>
      <c r="M49" s="409">
        <f>ЗВВ_1ст!M50</f>
        <v>0</v>
      </c>
      <c r="N49" s="409">
        <f>ЗВВ_1ст!N50</f>
        <v>0</v>
      </c>
      <c r="O49" s="901"/>
      <c r="P49" s="403"/>
      <c r="U49" s="399">
        <f t="shared" ref="U49:U57" si="9">F49-G49-H49-K49-L49-M49-N49</f>
        <v>0</v>
      </c>
      <c r="V49" s="399">
        <f t="shared" ref="V49:V57" si="10">H49-I49-J49</f>
        <v>0</v>
      </c>
      <c r="X49" s="399">
        <f>ЗВВ_1ст!F50</f>
        <v>0</v>
      </c>
      <c r="Y49" s="399">
        <f t="shared" si="4"/>
        <v>0</v>
      </c>
    </row>
    <row r="50" spans="2:25" ht="18.75" customHeight="1" x14ac:dyDescent="0.35">
      <c r="B50" s="415" t="str">
        <f>ЗВВ_1ст!B51</f>
        <v>заправка картріджів</v>
      </c>
      <c r="C50" s="407">
        <f>ЗВВ_1ст!C51</f>
        <v>7.3666600000000004</v>
      </c>
      <c r="D50" s="407">
        <f>ЗВВ_1ст!D51</f>
        <v>3.8166700000000002</v>
      </c>
      <c r="E50" s="407">
        <f>ЗВВ_1ст!E51</f>
        <v>7.8</v>
      </c>
      <c r="F50" s="407">
        <f>ЗВВ_1ст!F51</f>
        <v>9.1</v>
      </c>
      <c r="G50" s="408">
        <f>ЗВВ_1ст!G51</f>
        <v>6.0470959091158072</v>
      </c>
      <c r="H50" s="409">
        <f>ЗВВ_1ст!H51</f>
        <v>1.7826432571113011</v>
      </c>
      <c r="I50" s="408">
        <f>ЗВВ_1ст!I51</f>
        <v>0.49284981245066573</v>
      </c>
      <c r="J50" s="409">
        <f>ЗВВ_1ст!J51</f>
        <v>1.2897934446606354</v>
      </c>
      <c r="K50" s="409">
        <f>ЗВВ_1ст!K51</f>
        <v>7.6361749818499733E-2</v>
      </c>
      <c r="L50" s="409">
        <f>ЗВВ_1ст!L51</f>
        <v>1.1938990839543928</v>
      </c>
      <c r="M50" s="409">
        <f>ЗВВ_1ст!M51</f>
        <v>0</v>
      </c>
      <c r="N50" s="409">
        <f>ЗВВ_1ст!N51</f>
        <v>0</v>
      </c>
      <c r="O50" s="901" t="s">
        <v>1536</v>
      </c>
      <c r="P50" s="391"/>
      <c r="U50" s="399">
        <f t="shared" si="9"/>
        <v>-1.1102230246251565E-15</v>
      </c>
      <c r="V50" s="399">
        <f t="shared" si="10"/>
        <v>0</v>
      </c>
      <c r="X50" s="399">
        <f>ЗВВ_1ст!F51</f>
        <v>9.1</v>
      </c>
      <c r="Y50" s="399">
        <f t="shared" si="4"/>
        <v>0</v>
      </c>
    </row>
    <row r="51" spans="2:25" ht="18.75" customHeight="1" x14ac:dyDescent="0.35">
      <c r="B51" s="415" t="str">
        <f>ЗВВ_1ст!B52</f>
        <v>оцінка обсягів водокористування</v>
      </c>
      <c r="C51" s="407">
        <f>ЗВВ_1ст!C52</f>
        <v>0</v>
      </c>
      <c r="D51" s="407">
        <f>ЗВВ_1ст!D52</f>
        <v>0</v>
      </c>
      <c r="E51" s="407">
        <f>ЗВВ_1ст!E52</f>
        <v>0</v>
      </c>
      <c r="F51" s="407">
        <f>ЗВВ_1ст!F52</f>
        <v>0</v>
      </c>
      <c r="G51" s="408">
        <f>ЗВВ_1ст!G52</f>
        <v>0</v>
      </c>
      <c r="H51" s="409">
        <f>ЗВВ_1ст!H52</f>
        <v>0</v>
      </c>
      <c r="I51" s="408">
        <f>ЗВВ_1ст!I52</f>
        <v>0</v>
      </c>
      <c r="J51" s="409">
        <f>ЗВВ_1ст!J52</f>
        <v>0</v>
      </c>
      <c r="K51" s="409">
        <f>ЗВВ_1ст!K52</f>
        <v>0</v>
      </c>
      <c r="L51" s="409">
        <f>ЗВВ_1ст!L52</f>
        <v>0</v>
      </c>
      <c r="M51" s="409">
        <f>ЗВВ_1ст!M52</f>
        <v>0</v>
      </c>
      <c r="N51" s="409">
        <f>ЗВВ_1ст!N52</f>
        <v>0</v>
      </c>
      <c r="O51" s="431"/>
      <c r="P51" s="403"/>
      <c r="U51" s="399">
        <f t="shared" si="9"/>
        <v>0</v>
      </c>
      <c r="V51" s="399">
        <f t="shared" si="10"/>
        <v>0</v>
      </c>
      <c r="X51" s="399">
        <f>ЗВВ_1ст!F52</f>
        <v>0</v>
      </c>
      <c r="Y51" s="399">
        <f t="shared" si="4"/>
        <v>0</v>
      </c>
    </row>
    <row r="52" spans="2:25" ht="18.75" customHeight="1" x14ac:dyDescent="0.35">
      <c r="B52" s="415" t="str">
        <f>ЗВВ_1ст!B53</f>
        <v>транспортні послуги</v>
      </c>
      <c r="C52" s="407">
        <f>ЗВВ_1ст!C53</f>
        <v>9.9821500000000007</v>
      </c>
      <c r="D52" s="407">
        <f>ЗВВ_1ст!D53</f>
        <v>10.291040000000001</v>
      </c>
      <c r="E52" s="407">
        <f>ЗВВ_1ст!E53</f>
        <v>0</v>
      </c>
      <c r="F52" s="407">
        <f>ЗВВ_1ст!F53</f>
        <v>10.291040000000001</v>
      </c>
      <c r="G52" s="408">
        <f>ЗВВ_1ст!G53</f>
        <v>6.8385610862139714</v>
      </c>
      <c r="H52" s="409">
        <f>ЗВВ_1ст!H53</f>
        <v>2.0159618752376578</v>
      </c>
      <c r="I52" s="408">
        <f>ЗВВ_1ст!I53</f>
        <v>0.55735572900245045</v>
      </c>
      <c r="J52" s="409">
        <f>ЗВВ_1ст!J53</f>
        <v>1.4586061462352073</v>
      </c>
      <c r="K52" s="409">
        <f>ЗВВ_1ст!K53</f>
        <v>8.6356244159579515E-2</v>
      </c>
      <c r="L52" s="409">
        <f>ЗВВ_1ст!L53</f>
        <v>1.3501607943887928</v>
      </c>
      <c r="M52" s="409">
        <f>ЗВВ_1ст!M53</f>
        <v>0</v>
      </c>
      <c r="N52" s="409">
        <f>ЗВВ_1ст!N53</f>
        <v>0</v>
      </c>
      <c r="O52" s="431" t="s">
        <v>1574</v>
      </c>
      <c r="P52" s="529"/>
      <c r="Q52" s="529"/>
      <c r="U52" s="399">
        <f t="shared" si="9"/>
        <v>-8.8817841970012523E-16</v>
      </c>
      <c r="V52" s="399">
        <f t="shared" si="10"/>
        <v>0</v>
      </c>
      <c r="X52" s="399">
        <f>ЗВВ_1ст!F53</f>
        <v>10.291040000000001</v>
      </c>
      <c r="Y52" s="399">
        <f t="shared" si="4"/>
        <v>0</v>
      </c>
    </row>
    <row r="53" spans="2:25" ht="18.75" customHeight="1" x14ac:dyDescent="0.35">
      <c r="B53" s="415" t="str">
        <f>ЗВВ_1ст!B54</f>
        <v>службові відрядження</v>
      </c>
      <c r="C53" s="407">
        <f>ЗВВ_1ст!C54</f>
        <v>0</v>
      </c>
      <c r="D53" s="407">
        <f>ЗВВ_1ст!D54</f>
        <v>0</v>
      </c>
      <c r="E53" s="407">
        <f>ЗВВ_1ст!E54</f>
        <v>0</v>
      </c>
      <c r="F53" s="407">
        <f>ЗВВ_1ст!F54</f>
        <v>0</v>
      </c>
      <c r="G53" s="408">
        <f>ЗВВ_1ст!G54</f>
        <v>0</v>
      </c>
      <c r="H53" s="409">
        <f>ЗВВ_1ст!H54</f>
        <v>0</v>
      </c>
      <c r="I53" s="408">
        <f>ЗВВ_1ст!I54</f>
        <v>0</v>
      </c>
      <c r="J53" s="409">
        <f>ЗВВ_1ст!J54</f>
        <v>0</v>
      </c>
      <c r="K53" s="409">
        <f>ЗВВ_1ст!K54</f>
        <v>0</v>
      </c>
      <c r="L53" s="409">
        <f>ЗВВ_1ст!L54</f>
        <v>0</v>
      </c>
      <c r="M53" s="409">
        <f>ЗВВ_1ст!M54</f>
        <v>0</v>
      </c>
      <c r="N53" s="409">
        <f>ЗВВ_1ст!N54</f>
        <v>0</v>
      </c>
      <c r="O53" s="431" t="s">
        <v>1575</v>
      </c>
      <c r="P53" s="403"/>
      <c r="U53" s="399">
        <f t="shared" si="9"/>
        <v>0</v>
      </c>
      <c r="V53" s="399">
        <f t="shared" si="10"/>
        <v>0</v>
      </c>
      <c r="X53" s="399">
        <f>ЗВВ_1ст!F54</f>
        <v>0</v>
      </c>
      <c r="Y53" s="399">
        <f t="shared" si="4"/>
        <v>0</v>
      </c>
    </row>
    <row r="54" spans="2:25" ht="18.75" customHeight="1" x14ac:dyDescent="0.35">
      <c r="B54" s="415" t="str">
        <f>ЗВВ_1ст!B55</f>
        <v>вимірювання показників якості води</v>
      </c>
      <c r="C54" s="407">
        <f>ЗВВ_1ст!C55</f>
        <v>0</v>
      </c>
      <c r="D54" s="407">
        <f>ЗВВ_1ст!D55</f>
        <v>0</v>
      </c>
      <c r="E54" s="407">
        <f>ЗВВ_1ст!E55</f>
        <v>3.1</v>
      </c>
      <c r="F54" s="407">
        <f>ЗВВ_1ст!F55</f>
        <v>0</v>
      </c>
      <c r="G54" s="408">
        <f>ЗВВ_1ст!G55</f>
        <v>0</v>
      </c>
      <c r="H54" s="409">
        <f>ЗВВ_1ст!H55</f>
        <v>0</v>
      </c>
      <c r="I54" s="408">
        <f>ЗВВ_1ст!I55</f>
        <v>0</v>
      </c>
      <c r="J54" s="409">
        <f>ЗВВ_1ст!J55</f>
        <v>0</v>
      </c>
      <c r="K54" s="409">
        <f>ЗВВ_1ст!K55</f>
        <v>0</v>
      </c>
      <c r="L54" s="409">
        <f>ЗВВ_1ст!L55</f>
        <v>0</v>
      </c>
      <c r="M54" s="409">
        <f>ЗВВ_1ст!M55</f>
        <v>0</v>
      </c>
      <c r="N54" s="409">
        <f>ЗВВ_1ст!N55</f>
        <v>0</v>
      </c>
      <c r="O54" s="719" t="s">
        <v>1587</v>
      </c>
      <c r="P54" s="403"/>
      <c r="U54" s="399">
        <f t="shared" si="9"/>
        <v>0</v>
      </c>
      <c r="V54" s="399">
        <f t="shared" si="10"/>
        <v>0</v>
      </c>
      <c r="X54" s="399">
        <f>ЗВВ_1ст!F55</f>
        <v>0</v>
      </c>
      <c r="Y54" s="399">
        <f t="shared" si="4"/>
        <v>0</v>
      </c>
    </row>
    <row r="55" spans="2:25" ht="18" x14ac:dyDescent="0.35">
      <c r="B55" s="406" t="str">
        <f>ЗВВ_1ст!B56</f>
        <v>витрати на професійні послуги</v>
      </c>
      <c r="C55" s="407">
        <f>ЗВВ_1ст!C56</f>
        <v>9.5950000000000006</v>
      </c>
      <c r="D55" s="407">
        <f>ЗВВ_1ст!D56</f>
        <v>10.45</v>
      </c>
      <c r="E55" s="407">
        <f>ЗВВ_1ст!E56</f>
        <v>17.363681159420292</v>
      </c>
      <c r="F55" s="407">
        <f>ЗВВ_1ст!F56</f>
        <v>19.117681159420293</v>
      </c>
      <c r="G55" s="408">
        <f>ЗВВ_1ст!G56</f>
        <v>12.704005662737449</v>
      </c>
      <c r="H55" s="409">
        <f>ЗВВ_1ст!H56</f>
        <v>3.7450555396092691</v>
      </c>
      <c r="I55" s="408">
        <f>ЗВВ_1ст!I56</f>
        <v>1.035400612517793</v>
      </c>
      <c r="J55" s="409">
        <f>ЗВВ_1ст!J56</f>
        <v>2.709654927091476</v>
      </c>
      <c r="K55" s="409">
        <f>ЗВВ_1ст!K56</f>
        <v>0.16042413030829653</v>
      </c>
      <c r="L55" s="409">
        <f>ЗВВ_1ст!L56</f>
        <v>2.5081958267652795</v>
      </c>
      <c r="M55" s="409">
        <f>ЗВВ_1ст!M56</f>
        <v>0</v>
      </c>
      <c r="N55" s="409">
        <f>ЗВВ_1ст!N56</f>
        <v>0</v>
      </c>
      <c r="O55" s="521" t="s">
        <v>1588</v>
      </c>
      <c r="P55" s="520"/>
      <c r="Q55" s="520"/>
      <c r="U55" s="399">
        <f t="shared" si="9"/>
        <v>-1.3322676295501878E-15</v>
      </c>
      <c r="V55" s="399">
        <f t="shared" si="10"/>
        <v>0</v>
      </c>
      <c r="X55" s="399">
        <f>ЗВВ_1ст!F56</f>
        <v>19.117681159420293</v>
      </c>
      <c r="Y55" s="399">
        <f t="shared" si="4"/>
        <v>0</v>
      </c>
    </row>
    <row r="56" spans="2:25" ht="18" x14ac:dyDescent="0.35">
      <c r="B56" s="406" t="str">
        <f>ЗВВ_1ст!B57</f>
        <v>витрати на зв'язок та інтернет, у т.ч.:</v>
      </c>
      <c r="C56" s="407">
        <f>ЗВВ_1ст!C57</f>
        <v>0</v>
      </c>
      <c r="D56" s="407">
        <f>ЗВВ_1ст!D57</f>
        <v>0</v>
      </c>
      <c r="E56" s="407">
        <f>ЗВВ_1ст!E57</f>
        <v>0</v>
      </c>
      <c r="F56" s="461">
        <f>ЗВВ_1ст!F57</f>
        <v>0</v>
      </c>
      <c r="G56" s="408">
        <f>ЗВВ_1ст!G57</f>
        <v>0</v>
      </c>
      <c r="H56" s="409">
        <f>ЗВВ_1ст!H57</f>
        <v>0</v>
      </c>
      <c r="I56" s="408">
        <f>ЗВВ_1ст!I57</f>
        <v>0</v>
      </c>
      <c r="J56" s="409">
        <f>ЗВВ_1ст!J57</f>
        <v>0</v>
      </c>
      <c r="K56" s="409">
        <f>ЗВВ_1ст!K57</f>
        <v>0</v>
      </c>
      <c r="L56" s="409">
        <f>ЗВВ_1ст!L57</f>
        <v>0</v>
      </c>
      <c r="M56" s="409">
        <f>ЗВВ_1ст!M57</f>
        <v>0</v>
      </c>
      <c r="N56" s="409">
        <f>ЗВВ_1ст!N57</f>
        <v>0</v>
      </c>
      <c r="O56" s="901"/>
      <c r="U56" s="399">
        <f t="shared" si="9"/>
        <v>0</v>
      </c>
      <c r="V56" s="399">
        <f t="shared" si="10"/>
        <v>0</v>
      </c>
      <c r="X56" s="399">
        <f>ЗВВ_1ст!F57</f>
        <v>0</v>
      </c>
      <c r="Y56" s="399">
        <f t="shared" si="4"/>
        <v>0</v>
      </c>
    </row>
    <row r="57" spans="2:25" ht="18" x14ac:dyDescent="0.35">
      <c r="B57" s="463" t="str">
        <f>ЗВВ_1ст!B58</f>
        <v xml:space="preserve">    зв'язок</v>
      </c>
      <c r="C57" s="407">
        <f>ЗВВ_1ст!C58</f>
        <v>1.8128599999999999</v>
      </c>
      <c r="D57" s="407">
        <f>ЗВВ_1ст!D58</f>
        <v>1.7074400000000001</v>
      </c>
      <c r="E57" s="407">
        <f>ЗВВ_1ст!E58</f>
        <v>1.4342100000000002</v>
      </c>
      <c r="F57" s="461">
        <f>ЗВВ_1ст!F58</f>
        <v>4.9680299999999997</v>
      </c>
      <c r="G57" s="408">
        <f>ЗВВ_1ст!G58</f>
        <v>3.3013355922378684</v>
      </c>
      <c r="H57" s="409">
        <f>ЗВВ_1ст!H58</f>
        <v>0.97321155831062167</v>
      </c>
      <c r="I57" s="408">
        <f>ЗВВ_1ст!I58</f>
        <v>0.26906512678563527</v>
      </c>
      <c r="J57" s="409">
        <f>ЗВВ_1ст!J58</f>
        <v>0.70414643152498646</v>
      </c>
      <c r="K57" s="409">
        <f>ЗВВ_1ст!K58</f>
        <v>4.1688732302285848E-2</v>
      </c>
      <c r="L57" s="409">
        <f>ЗВВ_1ст!L58</f>
        <v>0.65179411714922431</v>
      </c>
      <c r="M57" s="409">
        <f>ЗВВ_1ст!M58</f>
        <v>0</v>
      </c>
      <c r="N57" s="409">
        <f>ЗВВ_1ст!N58</f>
        <v>0</v>
      </c>
      <c r="O57" s="901" t="s">
        <v>1576</v>
      </c>
      <c r="U57" s="399">
        <f t="shared" si="9"/>
        <v>-5.5511151231257827E-16</v>
      </c>
      <c r="V57" s="399">
        <f t="shared" si="10"/>
        <v>0</v>
      </c>
      <c r="X57" s="399">
        <f>ЗВВ_1ст!F58</f>
        <v>4.9680299999999997</v>
      </c>
      <c r="Y57" s="399">
        <f t="shared" si="4"/>
        <v>0</v>
      </c>
    </row>
    <row r="58" spans="2:25" ht="18" x14ac:dyDescent="0.35">
      <c r="B58" s="463" t="str">
        <f>ЗВВ_1ст!B59</f>
        <v xml:space="preserve">    інтернет</v>
      </c>
      <c r="C58" s="407">
        <f>ЗВВ_1ст!C59</f>
        <v>0</v>
      </c>
      <c r="D58" s="407">
        <f>ЗВВ_1ст!D59</f>
        <v>0</v>
      </c>
      <c r="E58" s="407">
        <f>ЗВВ_1ст!E59</f>
        <v>0.98499999999999999</v>
      </c>
      <c r="F58" s="461">
        <f>ЗВВ_1ст!F59</f>
        <v>0</v>
      </c>
      <c r="G58" s="408">
        <f>ЗВВ_1ст!G59</f>
        <v>0</v>
      </c>
      <c r="H58" s="409">
        <f>ЗВВ_1ст!H59</f>
        <v>0</v>
      </c>
      <c r="I58" s="408">
        <f>ЗВВ_1ст!I59</f>
        <v>0</v>
      </c>
      <c r="J58" s="409">
        <f>ЗВВ_1ст!J59</f>
        <v>0</v>
      </c>
      <c r="K58" s="409">
        <f>ЗВВ_1ст!K59</f>
        <v>0</v>
      </c>
      <c r="L58" s="409">
        <f>ЗВВ_1ст!L59</f>
        <v>0</v>
      </c>
      <c r="M58" s="409">
        <f>ЗВВ_1ст!M59</f>
        <v>0</v>
      </c>
      <c r="N58" s="409">
        <f>ЗВВ_1ст!N59</f>
        <v>0</v>
      </c>
      <c r="O58" s="901" t="s">
        <v>1667</v>
      </c>
      <c r="U58" s="399">
        <f t="shared" ref="U58:U63" si="11">F58-G58-H58-K58-L58-M58-N58</f>
        <v>0</v>
      </c>
      <c r="V58" s="399">
        <f t="shared" ref="V58:V63" si="12">H58-I58-J58</f>
        <v>0</v>
      </c>
      <c r="X58" s="399">
        <f>ЗВВ_1ст!F59</f>
        <v>0</v>
      </c>
      <c r="Y58" s="399">
        <f t="shared" si="4"/>
        <v>0</v>
      </c>
    </row>
    <row r="59" spans="2:25" ht="36" x14ac:dyDescent="0.35">
      <c r="B59" s="416" t="str">
        <f>ЗВВ_1ст!B60</f>
        <v>розробка декларації, планів локалізації аварій та їх експертиза</v>
      </c>
      <c r="C59" s="407">
        <f>ЗВВ_1ст!C60</f>
        <v>0</v>
      </c>
      <c r="D59" s="407">
        <f>ЗВВ_1ст!D60</f>
        <v>0</v>
      </c>
      <c r="E59" s="407">
        <f>ЗВВ_1ст!E60</f>
        <v>0</v>
      </c>
      <c r="F59" s="407">
        <f>ЗВВ_1ст!F60</f>
        <v>0</v>
      </c>
      <c r="G59" s="408">
        <f>ЗВВ_1ст!G60</f>
        <v>0</v>
      </c>
      <c r="H59" s="409">
        <f>ЗВВ_1ст!H60</f>
        <v>0</v>
      </c>
      <c r="I59" s="408">
        <f>ЗВВ_1ст!I60</f>
        <v>0</v>
      </c>
      <c r="J59" s="409">
        <f>ЗВВ_1ст!J60</f>
        <v>0</v>
      </c>
      <c r="K59" s="409">
        <f>ЗВВ_1ст!K60</f>
        <v>0</v>
      </c>
      <c r="L59" s="409">
        <f>ЗВВ_1ст!L60</f>
        <v>0</v>
      </c>
      <c r="M59" s="409">
        <f>ЗВВ_1ст!M60</f>
        <v>0</v>
      </c>
      <c r="N59" s="409">
        <f>ЗВВ_1ст!N60</f>
        <v>0</v>
      </c>
      <c r="O59" s="901"/>
      <c r="U59" s="399">
        <f t="shared" si="11"/>
        <v>0</v>
      </c>
      <c r="V59" s="399">
        <f t="shared" si="12"/>
        <v>0</v>
      </c>
      <c r="X59" s="399">
        <f>ЗВВ_1ст!F60</f>
        <v>0</v>
      </c>
      <c r="Y59" s="399">
        <f t="shared" si="4"/>
        <v>0</v>
      </c>
    </row>
    <row r="60" spans="2:25" ht="20.25" customHeight="1" x14ac:dyDescent="0.35">
      <c r="B60" s="464" t="str">
        <f>ЗВВ_1ст!B61</f>
        <v>податки, збори, обов'язкові платежі</v>
      </c>
      <c r="C60" s="407">
        <f>ЗВВ_1ст!C61</f>
        <v>0</v>
      </c>
      <c r="D60" s="407">
        <f>ЗВВ_1ст!D61</f>
        <v>0</v>
      </c>
      <c r="E60" s="407">
        <f>ЗВВ_1ст!E61</f>
        <v>0</v>
      </c>
      <c r="F60" s="407">
        <f>ЗВВ_1ст!F61</f>
        <v>0</v>
      </c>
      <c r="G60" s="408">
        <f>ЗВВ_1ст!G61</f>
        <v>0</v>
      </c>
      <c r="H60" s="409">
        <f>ЗВВ_1ст!H61</f>
        <v>0</v>
      </c>
      <c r="I60" s="408">
        <f>ЗВВ_1ст!I61</f>
        <v>0</v>
      </c>
      <c r="J60" s="409">
        <f>ЗВВ_1ст!J61</f>
        <v>0</v>
      </c>
      <c r="K60" s="409">
        <f>ЗВВ_1ст!K61</f>
        <v>0</v>
      </c>
      <c r="L60" s="409">
        <f>ЗВВ_1ст!L61</f>
        <v>0</v>
      </c>
      <c r="M60" s="409">
        <f>ЗВВ_1ст!M61</f>
        <v>0</v>
      </c>
      <c r="N60" s="409">
        <f>ЗВВ_1ст!N61</f>
        <v>0</v>
      </c>
      <c r="O60" s="901" t="s">
        <v>1899</v>
      </c>
      <c r="U60" s="399">
        <f t="shared" si="11"/>
        <v>0</v>
      </c>
      <c r="V60" s="399">
        <f t="shared" si="12"/>
        <v>0</v>
      </c>
      <c r="X60" s="399">
        <f>ЗВВ_1ст!F61</f>
        <v>0</v>
      </c>
      <c r="Y60" s="399">
        <f t="shared" si="4"/>
        <v>0</v>
      </c>
    </row>
    <row r="61" spans="2:25" ht="18" customHeight="1" x14ac:dyDescent="0.35">
      <c r="B61" s="406" t="str">
        <f>ЗВВ_1ст!B62</f>
        <v>експертне обстеження стану охорони праці</v>
      </c>
      <c r="C61" s="407">
        <f>ЗВВ_1ст!C62</f>
        <v>0</v>
      </c>
      <c r="D61" s="407">
        <f>ЗВВ_1ст!D62</f>
        <v>0</v>
      </c>
      <c r="E61" s="407">
        <f>ЗВВ_1ст!E62</f>
        <v>0</v>
      </c>
      <c r="F61" s="407">
        <f>ЗВВ_1ст!F62</f>
        <v>0</v>
      </c>
      <c r="G61" s="408">
        <f>ЗВВ_1ст!G62</f>
        <v>0</v>
      </c>
      <c r="H61" s="409">
        <f>ЗВВ_1ст!H62</f>
        <v>0</v>
      </c>
      <c r="I61" s="408">
        <f>ЗВВ_1ст!I62</f>
        <v>0</v>
      </c>
      <c r="J61" s="409">
        <f>ЗВВ_1ст!J62</f>
        <v>0</v>
      </c>
      <c r="K61" s="409">
        <f>ЗВВ_1ст!K62</f>
        <v>0</v>
      </c>
      <c r="L61" s="409">
        <f>ЗВВ_1ст!L62</f>
        <v>0</v>
      </c>
      <c r="M61" s="409">
        <f>ЗВВ_1ст!M62</f>
        <v>0</v>
      </c>
      <c r="N61" s="409">
        <f>ЗВВ_1ст!N62</f>
        <v>0</v>
      </c>
      <c r="O61" s="901"/>
      <c r="U61" s="399">
        <f t="shared" si="11"/>
        <v>0</v>
      </c>
      <c r="V61" s="399">
        <f t="shared" si="12"/>
        <v>0</v>
      </c>
      <c r="X61" s="399">
        <f>ЗВВ_1ст!F62</f>
        <v>0</v>
      </c>
      <c r="Y61" s="399">
        <f t="shared" si="4"/>
        <v>0</v>
      </c>
    </row>
    <row r="62" spans="2:25" ht="36" x14ac:dyDescent="0.35">
      <c r="B62" s="406" t="str">
        <f>ЗВВ_1ст!B63</f>
        <v>витрати на періодичні видання, оголошення в ЗМІ</v>
      </c>
      <c r="C62" s="407">
        <f>ЗВВ_1ст!C63</f>
        <v>0</v>
      </c>
      <c r="D62" s="407">
        <f>ЗВВ_1ст!D63</f>
        <v>0</v>
      </c>
      <c r="E62" s="407">
        <f>ЗВВ_1ст!E63</f>
        <v>20.047608333333333</v>
      </c>
      <c r="F62" s="500">
        <f>ЗВВ_1ст!F63</f>
        <v>25.324695210882179</v>
      </c>
      <c r="G62" s="408">
        <f>ЗВВ_1ст!G63</f>
        <v>16.828666023003329</v>
      </c>
      <c r="H62" s="409">
        <f>ЗВВ_1ст!H63</f>
        <v>4.9609777094591188</v>
      </c>
      <c r="I62" s="408">
        <f>ЗВВ_1ст!I63</f>
        <v>1.3715682730828083</v>
      </c>
      <c r="J62" s="409">
        <f>ЗВВ_1ст!J63</f>
        <v>3.5894094363763105</v>
      </c>
      <c r="K62" s="409">
        <f>ЗВВ_1ст!K63</f>
        <v>0.21250967471682894</v>
      </c>
      <c r="L62" s="409">
        <f>ЗВВ_1ст!L63</f>
        <v>3.3225418037029044</v>
      </c>
      <c r="M62" s="409">
        <f>ЗВВ_1ст!M63</f>
        <v>0</v>
      </c>
      <c r="N62" s="409">
        <f>ЗВВ_1ст!N63</f>
        <v>0</v>
      </c>
      <c r="O62" s="901" t="s">
        <v>1681</v>
      </c>
      <c r="U62" s="399">
        <f t="shared" si="11"/>
        <v>-1.7763568394002505E-15</v>
      </c>
      <c r="V62" s="399">
        <f t="shared" si="12"/>
        <v>0</v>
      </c>
      <c r="X62" s="399">
        <f>ЗВВ_1ст!F63</f>
        <v>25.324695210882179</v>
      </c>
      <c r="Y62" s="399">
        <f t="shared" si="4"/>
        <v>0</v>
      </c>
    </row>
    <row r="63" spans="2:25" ht="18.600000000000001" thickBot="1" x14ac:dyDescent="0.4">
      <c r="B63" s="465" t="str">
        <f>ЗВВ_1ст!B64</f>
        <v>обслуговування кондиціонерів та інші витрати</v>
      </c>
      <c r="C63" s="466">
        <f>ЗВВ_1ст!C64</f>
        <v>40.29965</v>
      </c>
      <c r="D63" s="466">
        <f>ЗВВ_1ст!D64</f>
        <v>16.102500000000003</v>
      </c>
      <c r="E63" s="466">
        <f>ЗВВ_1ст!E64</f>
        <v>0</v>
      </c>
      <c r="F63" s="466">
        <f>ЗВВ_1ст!F64</f>
        <v>0</v>
      </c>
      <c r="G63" s="502">
        <f>ЗВВ_1ст!G64</f>
        <v>0</v>
      </c>
      <c r="H63" s="417">
        <f>ЗВВ_1ст!H64</f>
        <v>0</v>
      </c>
      <c r="I63" s="502">
        <f>ЗВВ_1ст!I64</f>
        <v>0</v>
      </c>
      <c r="J63" s="417">
        <f>ЗВВ_1ст!J64</f>
        <v>0</v>
      </c>
      <c r="K63" s="417">
        <f>ЗВВ_1ст!K64</f>
        <v>0</v>
      </c>
      <c r="L63" s="417">
        <f>ЗВВ_1ст!L64</f>
        <v>0</v>
      </c>
      <c r="M63" s="417">
        <f>ЗВВ_1ст!M64</f>
        <v>0</v>
      </c>
      <c r="N63" s="417">
        <f>ЗВВ_1ст!N64</f>
        <v>0</v>
      </c>
      <c r="O63" s="431" t="s">
        <v>1711</v>
      </c>
      <c r="P63" s="403"/>
      <c r="U63" s="399">
        <f t="shared" si="11"/>
        <v>0</v>
      </c>
      <c r="V63" s="399">
        <f t="shared" si="12"/>
        <v>0</v>
      </c>
      <c r="X63" s="399">
        <f>ЗВВ_1ст!F64</f>
        <v>0</v>
      </c>
      <c r="Y63" s="399">
        <f t="shared" si="4"/>
        <v>0</v>
      </c>
    </row>
    <row r="64" spans="2:25" ht="24" customHeight="1" x14ac:dyDescent="0.25">
      <c r="C64" s="391"/>
      <c r="D64" s="391"/>
      <c r="E64" s="391"/>
      <c r="F64" s="391"/>
      <c r="M64" s="418"/>
      <c r="N64" s="418"/>
    </row>
    <row r="65" spans="2:14" ht="24" customHeight="1" x14ac:dyDescent="0.25">
      <c r="C65" s="391"/>
      <c r="D65" s="391"/>
      <c r="E65" s="391"/>
      <c r="F65" s="391"/>
      <c r="M65" s="418"/>
      <c r="N65" s="418"/>
    </row>
    <row r="66" spans="2:14" ht="24" customHeight="1" x14ac:dyDescent="0.35">
      <c r="B66" s="429" t="str">
        <f>'Вхідні дані'!$B$13</f>
        <v>Директор підприємства</v>
      </c>
      <c r="C66" s="419"/>
      <c r="D66" s="419"/>
      <c r="E66" s="772" t="s">
        <v>1400</v>
      </c>
      <c r="F66" s="391"/>
      <c r="G66" s="5181" t="str">
        <f>'Вхідні дані'!$F$13</f>
        <v>Анатолій ПАНШИН</v>
      </c>
      <c r="H66" s="5181"/>
      <c r="I66" s="5181"/>
      <c r="M66" s="418"/>
      <c r="N66" s="418"/>
    </row>
    <row r="67" spans="2:14" ht="24" customHeight="1" x14ac:dyDescent="0.35">
      <c r="B67" s="419"/>
      <c r="C67" s="419"/>
      <c r="D67" s="419"/>
      <c r="E67" s="772" t="s">
        <v>209</v>
      </c>
      <c r="F67" s="391"/>
      <c r="G67" s="5115" t="s">
        <v>1985</v>
      </c>
      <c r="H67" s="5115"/>
      <c r="I67" s="5115"/>
      <c r="M67" s="418"/>
      <c r="N67" s="418"/>
    </row>
    <row r="68" spans="2:14" ht="24" customHeight="1" x14ac:dyDescent="0.35">
      <c r="B68" s="429" t="str">
        <f>'Вхідні дані'!$B$15</f>
        <v>Заступник директора з економіки</v>
      </c>
      <c r="C68" s="419"/>
      <c r="D68" s="419"/>
      <c r="E68" s="772" t="s">
        <v>1400</v>
      </c>
      <c r="F68" s="391"/>
      <c r="G68" s="5181" t="str">
        <f>'Вхідні дані'!$F$15</f>
        <v>Олена ЛАВРОВА</v>
      </c>
      <c r="H68" s="5181"/>
      <c r="I68" s="5181"/>
      <c r="M68" s="418"/>
      <c r="N68" s="418"/>
    </row>
    <row r="69" spans="2:14" ht="24" customHeight="1" x14ac:dyDescent="0.35">
      <c r="B69" s="418"/>
      <c r="C69" s="418"/>
      <c r="D69" s="418"/>
      <c r="E69" s="772" t="s">
        <v>209</v>
      </c>
      <c r="F69" s="391"/>
      <c r="G69" s="5115" t="s">
        <v>1985</v>
      </c>
      <c r="H69" s="5115"/>
      <c r="I69" s="5115"/>
      <c r="K69" s="418"/>
      <c r="L69" s="418"/>
      <c r="M69" s="418"/>
      <c r="N69" s="418"/>
    </row>
    <row r="70" spans="2:14" x14ac:dyDescent="0.25">
      <c r="C70" s="391"/>
      <c r="D70" s="391"/>
      <c r="E70" s="391"/>
      <c r="F70" s="391"/>
    </row>
    <row r="71" spans="2:14" x14ac:dyDescent="0.25">
      <c r="C71" s="391"/>
      <c r="D71" s="391"/>
      <c r="E71" s="391"/>
      <c r="F71" s="391"/>
    </row>
    <row r="72" spans="2:14" x14ac:dyDescent="0.25">
      <c r="C72" s="391"/>
      <c r="D72" s="391"/>
      <c r="E72" s="391"/>
      <c r="F72" s="391"/>
    </row>
    <row r="73" spans="2:14" x14ac:dyDescent="0.25">
      <c r="C73" s="391"/>
      <c r="D73" s="391"/>
      <c r="E73" s="391"/>
      <c r="F73" s="391"/>
    </row>
    <row r="74" spans="2:14" x14ac:dyDescent="0.25">
      <c r="C74" s="391"/>
      <c r="D74" s="391"/>
      <c r="E74" s="391"/>
      <c r="F74" s="1778" t="s">
        <v>2829</v>
      </c>
      <c r="G74" s="391" t="str">
        <f>G7</f>
        <v>виробництво ТЕ</v>
      </c>
      <c r="H74" s="391" t="str">
        <f>H7</f>
        <v>транспорту-вання ТЕ</v>
      </c>
      <c r="I74" s="391" t="str">
        <f>I7</f>
        <v>у т.ч. з ЦТП</v>
      </c>
      <c r="J74" s="391" t="str">
        <f>J7</f>
        <v>у т.ч. без ЦТП</v>
      </c>
      <c r="K74" s="391" t="str">
        <f>K7</f>
        <v>постачання ТЕ</v>
      </c>
    </row>
    <row r="75" spans="2:14" ht="15.6" x14ac:dyDescent="0.3">
      <c r="B75" s="1766" t="s">
        <v>1896</v>
      </c>
      <c r="C75" s="1770">
        <f>SUM(C76:C84)</f>
        <v>4945.956619999999</v>
      </c>
      <c r="D75" s="1770">
        <f t="shared" ref="D75:K75" si="13">SUM(D76:D84)</f>
        <v>5313.0774899999988</v>
      </c>
      <c r="E75" s="1770">
        <f t="shared" si="13"/>
        <v>6463.1626975951012</v>
      </c>
      <c r="F75" s="1770">
        <f t="shared" si="13"/>
        <v>6812.6492399407898</v>
      </c>
      <c r="G75" s="1770">
        <f t="shared" si="13"/>
        <v>5210.7535416702249</v>
      </c>
      <c r="H75" s="1770">
        <f t="shared" si="13"/>
        <v>1536.0951446998736</v>
      </c>
      <c r="I75" s="1770">
        <f t="shared" si="13"/>
        <v>424.6863195715905</v>
      </c>
      <c r="J75" s="1770">
        <f t="shared" si="13"/>
        <v>1111.4088251282831</v>
      </c>
      <c r="K75" s="1770">
        <f t="shared" si="13"/>
        <v>65.800553570691349</v>
      </c>
    </row>
    <row r="76" spans="2:14" ht="15.6" x14ac:dyDescent="0.3">
      <c r="B76" s="1767" t="s">
        <v>2294</v>
      </c>
      <c r="C76" s="1768">
        <f>C21</f>
        <v>3790.6984600000001</v>
      </c>
      <c r="D76" s="1768">
        <f t="shared" ref="D76:K76" si="14">D21</f>
        <v>4097.1417599999995</v>
      </c>
      <c r="E76" s="1768">
        <f t="shared" si="14"/>
        <v>4808.9539999999997</v>
      </c>
      <c r="F76" s="1768">
        <f>G76+H76+K76</f>
        <v>5205.7199175136511</v>
      </c>
      <c r="G76" s="1768">
        <f t="shared" si="14"/>
        <v>3981.6703519823727</v>
      </c>
      <c r="H76" s="1768">
        <f t="shared" si="14"/>
        <v>1173.7696758375371</v>
      </c>
      <c r="I76" s="1768">
        <f t="shared" si="14"/>
        <v>324.51370305813811</v>
      </c>
      <c r="J76" s="1768">
        <f t="shared" si="14"/>
        <v>849.25597277939903</v>
      </c>
      <c r="K76" s="1768">
        <f t="shared" si="14"/>
        <v>50.279889693741083</v>
      </c>
    </row>
    <row r="77" spans="2:14" ht="15.6" x14ac:dyDescent="0.3">
      <c r="B77" s="1767" t="s">
        <v>2295</v>
      </c>
      <c r="C77" s="1768">
        <f>C23</f>
        <v>784.20613000000003</v>
      </c>
      <c r="D77" s="1768">
        <f t="shared" ref="D77:K77" si="15">D23</f>
        <v>824.63490999999999</v>
      </c>
      <c r="E77" s="1768">
        <f t="shared" si="15"/>
        <v>1011.4640000000001</v>
      </c>
      <c r="F77" s="1768">
        <f t="shared" ref="F77:F84" si="16">G77+H77+K77</f>
        <v>1111.174104496022</v>
      </c>
      <c r="G77" s="1768">
        <f t="shared" si="15"/>
        <v>849.8976237422155</v>
      </c>
      <c r="H77" s="1768">
        <f t="shared" si="15"/>
        <v>250.54411092026282</v>
      </c>
      <c r="I77" s="1768">
        <f t="shared" si="15"/>
        <v>69.268272036529339</v>
      </c>
      <c r="J77" s="1768">
        <f t="shared" si="15"/>
        <v>181.27583888373348</v>
      </c>
      <c r="K77" s="1768">
        <f t="shared" si="15"/>
        <v>10.73236983354378</v>
      </c>
    </row>
    <row r="78" spans="2:14" ht="15.6" x14ac:dyDescent="0.3">
      <c r="B78" s="1767" t="s">
        <v>2296</v>
      </c>
      <c r="C78" s="1768"/>
      <c r="D78" s="1768"/>
      <c r="E78" s="1768"/>
      <c r="F78" s="1768">
        <f t="shared" si="16"/>
        <v>0</v>
      </c>
      <c r="G78" s="1769"/>
      <c r="H78" s="1769"/>
      <c r="I78" s="1769"/>
      <c r="J78" s="1769"/>
      <c r="K78" s="1769"/>
    </row>
    <row r="79" spans="2:14" ht="15.6" x14ac:dyDescent="0.3">
      <c r="B79" s="1767" t="s">
        <v>43</v>
      </c>
      <c r="C79" s="1768">
        <f>C28</f>
        <v>80.554880000000011</v>
      </c>
      <c r="D79" s="1768">
        <f t="shared" ref="D79:K79" si="17">D28</f>
        <v>74.930890000000005</v>
      </c>
      <c r="E79" s="1768">
        <f t="shared" si="17"/>
        <v>42.963999999999999</v>
      </c>
      <c r="F79" s="1768">
        <f t="shared" si="16"/>
        <v>110.04354329495554</v>
      </c>
      <c r="G79" s="1768">
        <f t="shared" si="17"/>
        <v>84.168399511951677</v>
      </c>
      <c r="H79" s="1768">
        <f t="shared" si="17"/>
        <v>24.8122788371269</v>
      </c>
      <c r="I79" s="1768">
        <f t="shared" si="17"/>
        <v>6.8598845689225314</v>
      </c>
      <c r="J79" s="1768">
        <f t="shared" si="17"/>
        <v>17.952394268204372</v>
      </c>
      <c r="K79" s="1768">
        <f t="shared" si="17"/>
        <v>1.0628649458769652</v>
      </c>
    </row>
    <row r="80" spans="2:14" ht="15.6" x14ac:dyDescent="0.3">
      <c r="B80" s="1767" t="s">
        <v>2297</v>
      </c>
      <c r="C80" s="1768">
        <f>C27</f>
        <v>2.1199299999999996</v>
      </c>
      <c r="D80" s="1768">
        <f t="shared" ref="D80:K80" si="18">D27</f>
        <v>3.0426100000000003</v>
      </c>
      <c r="E80" s="1768">
        <f t="shared" si="18"/>
        <v>2.23</v>
      </c>
      <c r="F80" s="1768">
        <f t="shared" si="16"/>
        <v>2.8585150232662317</v>
      </c>
      <c r="G80" s="1768">
        <f t="shared" si="18"/>
        <v>2.1863766585950812</v>
      </c>
      <c r="H80" s="1768">
        <f t="shared" si="18"/>
        <v>0.64452915358505491</v>
      </c>
      <c r="I80" s="1768">
        <f t="shared" si="18"/>
        <v>0.17819385409626434</v>
      </c>
      <c r="J80" s="1768">
        <f t="shared" si="18"/>
        <v>0.4663352994887906</v>
      </c>
      <c r="K80" s="1768">
        <f t="shared" si="18"/>
        <v>2.7609211086095851E-2</v>
      </c>
    </row>
    <row r="81" spans="2:17" ht="15.6" x14ac:dyDescent="0.3">
      <c r="B81" s="1767" t="s">
        <v>460</v>
      </c>
      <c r="C81" s="1768">
        <f>C37+C38</f>
        <v>72.753870000000006</v>
      </c>
      <c r="D81" s="1768">
        <f t="shared" ref="D81:K81" si="19">D37+D38</f>
        <v>64.585720000000009</v>
      </c>
      <c r="E81" s="1768">
        <f t="shared" si="19"/>
        <v>48.57</v>
      </c>
      <c r="F81" s="1768">
        <f t="shared" si="16"/>
        <v>32.029500111888446</v>
      </c>
      <c r="G81" s="1768">
        <f t="shared" si="19"/>
        <v>24.498227527621857</v>
      </c>
      <c r="H81" s="1768">
        <f t="shared" si="19"/>
        <v>7.2219129264115027</v>
      </c>
      <c r="I81" s="1768">
        <f t="shared" si="19"/>
        <v>1.9966521159621551</v>
      </c>
      <c r="J81" s="1768">
        <f t="shared" si="19"/>
        <v>5.2252608104493481</v>
      </c>
      <c r="K81" s="1768">
        <f t="shared" si="19"/>
        <v>0.3093596578550839</v>
      </c>
    </row>
    <row r="82" spans="2:17" ht="15.6" x14ac:dyDescent="0.3">
      <c r="B82" s="1767" t="s">
        <v>2298</v>
      </c>
      <c r="C82" s="1768">
        <f>C60</f>
        <v>0</v>
      </c>
      <c r="D82" s="1768">
        <f t="shared" ref="D82:K82" si="20">D60</f>
        <v>0</v>
      </c>
      <c r="E82" s="1768">
        <f t="shared" si="20"/>
        <v>0</v>
      </c>
      <c r="F82" s="1768">
        <f t="shared" si="16"/>
        <v>0</v>
      </c>
      <c r="G82" s="1768">
        <f t="shared" si="20"/>
        <v>0</v>
      </c>
      <c r="H82" s="1768">
        <f t="shared" si="20"/>
        <v>0</v>
      </c>
      <c r="I82" s="1768">
        <f t="shared" si="20"/>
        <v>0</v>
      </c>
      <c r="J82" s="1768">
        <f t="shared" si="20"/>
        <v>0</v>
      </c>
      <c r="K82" s="1768">
        <f t="shared" si="20"/>
        <v>0</v>
      </c>
    </row>
    <row r="83" spans="2:17" ht="15.6" x14ac:dyDescent="0.3">
      <c r="B83" s="1767" t="s">
        <v>2299</v>
      </c>
      <c r="C83" s="1768">
        <f>C25+C26</f>
        <v>4.5830099999999998</v>
      </c>
      <c r="D83" s="1768">
        <f t="shared" ref="D83:K83" si="21">D25+D26</f>
        <v>7.7384899999999996</v>
      </c>
      <c r="E83" s="1768">
        <f t="shared" si="21"/>
        <v>203.63122386057498</v>
      </c>
      <c r="F83" s="1768">
        <f t="shared" si="16"/>
        <v>13.744330495745244</v>
      </c>
      <c r="G83" s="1768">
        <f t="shared" si="21"/>
        <v>10.512550446412394</v>
      </c>
      <c r="H83" s="1768">
        <f t="shared" si="21"/>
        <v>3.0990292613168746</v>
      </c>
      <c r="I83" s="1768">
        <f t="shared" si="21"/>
        <v>0.85679284631192187</v>
      </c>
      <c r="J83" s="1768">
        <f t="shared" si="21"/>
        <v>2.2422364150049527</v>
      </c>
      <c r="K83" s="1768">
        <f t="shared" si="21"/>
        <v>0.13275078801597481</v>
      </c>
    </row>
    <row r="84" spans="2:17" ht="15.6" x14ac:dyDescent="0.3">
      <c r="B84" s="1767" t="s">
        <v>2300</v>
      </c>
      <c r="C84" s="1768">
        <f>C39-C60+C24-C25-C26-C27-C28+C9</f>
        <v>211.04033999999996</v>
      </c>
      <c r="D84" s="1768">
        <f t="shared" ref="D84:K84" si="22">D39-D60+D24-D25-D26-D27-D28+D9</f>
        <v>241.00310999999996</v>
      </c>
      <c r="E84" s="1768">
        <f t="shared" si="22"/>
        <v>345.3494737345269</v>
      </c>
      <c r="F84" s="1768">
        <f t="shared" si="16"/>
        <v>337.07932900526185</v>
      </c>
      <c r="G84" s="1768">
        <f t="shared" si="22"/>
        <v>257.82001180105624</v>
      </c>
      <c r="H84" s="1768">
        <f t="shared" si="22"/>
        <v>76.003607763633255</v>
      </c>
      <c r="I84" s="1768">
        <f t="shared" si="22"/>
        <v>21.012821091630144</v>
      </c>
      <c r="J84" s="1768">
        <f t="shared" si="22"/>
        <v>54.990786672003097</v>
      </c>
      <c r="K84" s="1768">
        <f t="shared" si="22"/>
        <v>3.2557094405723723</v>
      </c>
    </row>
    <row r="85" spans="2:17" s="1273" customFormat="1" x14ac:dyDescent="0.25">
      <c r="C85" s="1186">
        <f>C8-C75</f>
        <v>0</v>
      </c>
      <c r="D85" s="1186">
        <f t="shared" ref="D85:K85" si="23">D8-D75</f>
        <v>0</v>
      </c>
      <c r="E85" s="1186">
        <f t="shared" si="23"/>
        <v>0</v>
      </c>
      <c r="F85" s="1186">
        <f t="shared" si="23"/>
        <v>1028.7771144383623</v>
      </c>
      <c r="G85" s="1186">
        <f t="shared" si="23"/>
        <v>0</v>
      </c>
      <c r="H85" s="1186">
        <f t="shared" si="23"/>
        <v>0</v>
      </c>
      <c r="I85" s="1186">
        <f t="shared" si="23"/>
        <v>0</v>
      </c>
      <c r="J85" s="1186">
        <f t="shared" si="23"/>
        <v>0</v>
      </c>
      <c r="K85" s="1186">
        <f t="shared" si="23"/>
        <v>0</v>
      </c>
      <c r="O85" s="1777"/>
      <c r="P85" s="1186"/>
      <c r="Q85" s="1186"/>
    </row>
    <row r="86" spans="2:17" x14ac:dyDescent="0.25">
      <c r="C86" s="391"/>
      <c r="D86" s="391"/>
      <c r="E86" s="391"/>
      <c r="F86" s="391"/>
    </row>
    <row r="87" spans="2:17" x14ac:dyDescent="0.25">
      <c r="C87" s="391"/>
      <c r="D87" s="391"/>
      <c r="E87" s="391"/>
      <c r="F87" s="391"/>
    </row>
    <row r="88" spans="2:17" x14ac:dyDescent="0.25">
      <c r="C88" s="391"/>
      <c r="D88" s="391"/>
      <c r="E88" s="391"/>
      <c r="F88" s="391"/>
    </row>
    <row r="89" spans="2:17" x14ac:dyDescent="0.25">
      <c r="C89" s="391"/>
      <c r="D89" s="391"/>
      <c r="E89" s="391"/>
      <c r="F89" s="391"/>
    </row>
    <row r="90" spans="2:17" x14ac:dyDescent="0.25">
      <c r="C90" s="391"/>
      <c r="D90" s="391"/>
      <c r="E90" s="391"/>
      <c r="F90" s="391"/>
    </row>
    <row r="91" spans="2:17" x14ac:dyDescent="0.25">
      <c r="C91" s="391"/>
      <c r="D91" s="391"/>
      <c r="E91" s="391"/>
      <c r="F91" s="391"/>
    </row>
    <row r="92" spans="2:17" x14ac:dyDescent="0.25">
      <c r="C92" s="391"/>
      <c r="D92" s="391"/>
      <c r="E92" s="391"/>
      <c r="F92" s="391"/>
    </row>
    <row r="93" spans="2:17" x14ac:dyDescent="0.25">
      <c r="C93" s="391"/>
      <c r="D93" s="391"/>
      <c r="E93" s="391"/>
      <c r="F93" s="391"/>
    </row>
    <row r="94" spans="2:17" x14ac:dyDescent="0.25">
      <c r="C94" s="391"/>
      <c r="D94" s="391"/>
      <c r="E94" s="391"/>
      <c r="F94" s="391"/>
    </row>
    <row r="95" spans="2:17" x14ac:dyDescent="0.25">
      <c r="C95" s="391"/>
      <c r="D95" s="391"/>
      <c r="E95" s="391"/>
      <c r="F95" s="391"/>
    </row>
    <row r="96" spans="2:17" x14ac:dyDescent="0.25">
      <c r="C96" s="391"/>
      <c r="D96" s="391"/>
      <c r="E96" s="391"/>
      <c r="F96" s="391"/>
    </row>
    <row r="97" spans="3:6" x14ac:dyDescent="0.25">
      <c r="C97" s="391"/>
      <c r="D97" s="391"/>
      <c r="E97" s="391"/>
      <c r="F97" s="391"/>
    </row>
    <row r="98" spans="3:6" x14ac:dyDescent="0.25">
      <c r="C98" s="391"/>
      <c r="D98" s="391"/>
      <c r="E98" s="391"/>
      <c r="F98" s="391"/>
    </row>
    <row r="99" spans="3:6" x14ac:dyDescent="0.25">
      <c r="C99" s="391"/>
      <c r="D99" s="391"/>
      <c r="E99" s="391"/>
      <c r="F99" s="391"/>
    </row>
    <row r="100" spans="3:6" x14ac:dyDescent="0.25">
      <c r="C100" s="391"/>
      <c r="D100" s="391"/>
      <c r="E100" s="391"/>
      <c r="F100" s="391"/>
    </row>
    <row r="101" spans="3:6" x14ac:dyDescent="0.25">
      <c r="C101" s="391"/>
      <c r="D101" s="391"/>
      <c r="E101" s="391"/>
      <c r="F101" s="391"/>
    </row>
    <row r="102" spans="3:6" x14ac:dyDescent="0.25">
      <c r="C102" s="391"/>
      <c r="D102" s="391"/>
      <c r="E102" s="391"/>
      <c r="F102" s="391"/>
    </row>
    <row r="103" spans="3:6" x14ac:dyDescent="0.25">
      <c r="C103" s="391"/>
      <c r="D103" s="391"/>
      <c r="E103" s="391"/>
      <c r="F103" s="391"/>
    </row>
    <row r="104" spans="3:6" x14ac:dyDescent="0.25">
      <c r="C104" s="391"/>
      <c r="D104" s="391"/>
      <c r="E104" s="391"/>
      <c r="F104" s="391"/>
    </row>
    <row r="105" spans="3:6" x14ac:dyDescent="0.25">
      <c r="C105" s="391"/>
      <c r="D105" s="391"/>
      <c r="E105" s="391"/>
      <c r="F105" s="391"/>
    </row>
    <row r="106" spans="3:6" x14ac:dyDescent="0.25">
      <c r="C106" s="391"/>
      <c r="D106" s="391"/>
      <c r="E106" s="391"/>
      <c r="F106" s="391"/>
    </row>
    <row r="107" spans="3:6" x14ac:dyDescent="0.25">
      <c r="C107" s="391"/>
      <c r="D107" s="391"/>
      <c r="E107" s="391"/>
      <c r="F107" s="391"/>
    </row>
    <row r="108" spans="3:6" x14ac:dyDescent="0.25">
      <c r="C108" s="391"/>
      <c r="D108" s="391"/>
      <c r="E108" s="391"/>
      <c r="F108" s="391"/>
    </row>
    <row r="109" spans="3:6" x14ac:dyDescent="0.25">
      <c r="C109" s="391"/>
      <c r="D109" s="391"/>
      <c r="E109" s="391"/>
      <c r="F109" s="391"/>
    </row>
    <row r="110" spans="3:6" x14ac:dyDescent="0.25">
      <c r="C110" s="391"/>
      <c r="D110" s="391"/>
      <c r="E110" s="391"/>
      <c r="F110" s="391"/>
    </row>
    <row r="111" spans="3:6" x14ac:dyDescent="0.25">
      <c r="C111" s="391"/>
      <c r="D111" s="391"/>
      <c r="E111" s="391"/>
      <c r="F111" s="391"/>
    </row>
    <row r="112" spans="3:6" x14ac:dyDescent="0.25">
      <c r="C112" s="391"/>
      <c r="D112" s="391"/>
      <c r="E112" s="391"/>
      <c r="F112" s="391"/>
    </row>
    <row r="113" spans="3:6" x14ac:dyDescent="0.25">
      <c r="C113" s="391"/>
      <c r="D113" s="391"/>
      <c r="E113" s="391"/>
      <c r="F113" s="391"/>
    </row>
    <row r="114" spans="3:6" x14ac:dyDescent="0.25">
      <c r="C114" s="391"/>
      <c r="D114" s="391"/>
      <c r="E114" s="391"/>
      <c r="F114" s="391"/>
    </row>
    <row r="115" spans="3:6" x14ac:dyDescent="0.25">
      <c r="C115" s="391"/>
      <c r="D115" s="391"/>
      <c r="E115" s="391"/>
      <c r="F115" s="391"/>
    </row>
    <row r="116" spans="3:6" x14ac:dyDescent="0.25">
      <c r="C116" s="391"/>
      <c r="D116" s="391"/>
      <c r="E116" s="391"/>
      <c r="F116" s="391"/>
    </row>
    <row r="117" spans="3:6" x14ac:dyDescent="0.25">
      <c r="C117" s="391"/>
      <c r="D117" s="391"/>
      <c r="E117" s="391"/>
      <c r="F117" s="391"/>
    </row>
    <row r="118" spans="3:6" x14ac:dyDescent="0.25">
      <c r="C118" s="391"/>
      <c r="D118" s="391"/>
      <c r="E118" s="391"/>
      <c r="F118" s="391"/>
    </row>
    <row r="119" spans="3:6" x14ac:dyDescent="0.25">
      <c r="C119" s="391"/>
      <c r="D119" s="391"/>
      <c r="E119" s="391"/>
      <c r="F119" s="391"/>
    </row>
    <row r="120" spans="3:6" x14ac:dyDescent="0.25">
      <c r="C120" s="391"/>
      <c r="D120" s="391"/>
      <c r="E120" s="391"/>
      <c r="F120" s="391"/>
    </row>
    <row r="121" spans="3:6" x14ac:dyDescent="0.25">
      <c r="C121" s="391"/>
      <c r="D121" s="391"/>
      <c r="E121" s="391"/>
      <c r="F121" s="391"/>
    </row>
    <row r="122" spans="3:6" x14ac:dyDescent="0.25">
      <c r="C122" s="391"/>
      <c r="D122" s="391"/>
      <c r="E122" s="391"/>
      <c r="F122" s="391"/>
    </row>
    <row r="123" spans="3:6" x14ac:dyDescent="0.25">
      <c r="C123" s="391"/>
      <c r="D123" s="391"/>
      <c r="E123" s="391"/>
      <c r="F123" s="391"/>
    </row>
    <row r="124" spans="3:6" x14ac:dyDescent="0.25">
      <c r="C124" s="391"/>
      <c r="D124" s="391"/>
      <c r="E124" s="391"/>
      <c r="F124" s="391"/>
    </row>
  </sheetData>
  <mergeCells count="8">
    <mergeCell ref="L2:N2"/>
    <mergeCell ref="G69:I69"/>
    <mergeCell ref="B6:B7"/>
    <mergeCell ref="G6:M6"/>
    <mergeCell ref="P38:R38"/>
    <mergeCell ref="G66:I66"/>
    <mergeCell ref="G67:I67"/>
    <mergeCell ref="G68:I68"/>
  </mergeCells>
  <conditionalFormatting sqref="B69:I69 M64:N69 K69:L69">
    <cfRule type="expression" dxfId="37" priority="5" stopIfTrue="1">
      <formula>ABS(#REF!-(#REF!+$D64+$M64+$O64))&gt;отклонение</formula>
    </cfRule>
  </conditionalFormatting>
  <conditionalFormatting sqref="G69:I69 B69:D69">
    <cfRule type="expression" dxfId="36" priority="2" stopIfTrue="1">
      <formula>ABS(#REF!-(#REF!+$D69+$M69+$O69))&gt;отклонение</formula>
    </cfRule>
  </conditionalFormatting>
  <conditionalFormatting sqref="G69:I69">
    <cfRule type="expression" dxfId="35" priority="1" stopIfTrue="1">
      <formula>ABS(#REF!-(#REF!+#REF!+$L69+$N69))&gt;отклонение</formula>
    </cfRule>
    <cfRule type="expression" dxfId="34" priority="3" stopIfTrue="1">
      <formula>ABS(#REF!-(#REF!+$E69+$L69+$N69))&gt;отклонение</formula>
    </cfRule>
    <cfRule type="expression" dxfId="33" priority="4" stopIfTrue="1">
      <formula>ABS(#REF!-(#REF!+$D69+$M69+$O69))&gt;отклонение</formula>
    </cfRule>
  </conditionalFormatting>
  <pageMargins left="0.23622047244094491" right="0.23622047244094491" top="0.15748031496062992" bottom="0.15748031496062992" header="0.31496062992125984" footer="0.31496062992125984"/>
  <pageSetup paperSize="9" scale="60" fitToHeight="2" orientation="landscape" r:id="rId1"/>
  <headerFooter alignWithMargins="0"/>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F00-000000000000}">
  <sheetPr codeName="Лист46">
    <tabColor rgb="FF00B050"/>
    <pageSetUpPr fitToPage="1"/>
  </sheetPr>
  <dimension ref="B1:P34"/>
  <sheetViews>
    <sheetView topLeftCell="B16" zoomScaleNormal="100" workbookViewId="0">
      <selection activeCell="F34" sqref="F34"/>
    </sheetView>
  </sheetViews>
  <sheetFormatPr defaultColWidth="9.109375" defaultRowHeight="13.8" x14ac:dyDescent="0.25"/>
  <cols>
    <col min="1" max="1" width="4.109375" style="10" customWidth="1"/>
    <col min="2" max="2" width="64.88671875" style="10" customWidth="1"/>
    <col min="3" max="3" width="8.33203125" style="693" customWidth="1"/>
    <col min="4" max="4" width="9.109375" style="10" customWidth="1"/>
    <col min="5" max="5" width="10.88671875" style="10" bestFit="1" customWidth="1"/>
    <col min="6" max="6" width="12.109375" style="10" customWidth="1"/>
    <col min="7" max="7" width="16" style="10" customWidth="1"/>
    <col min="8" max="8" width="8.6640625" style="10" bestFit="1" customWidth="1"/>
    <col min="9" max="9" width="9.88671875" style="10" bestFit="1" customWidth="1"/>
    <col min="10" max="10" width="10.6640625" style="10" customWidth="1"/>
    <col min="11" max="11" width="14.88671875" style="10" customWidth="1"/>
    <col min="12" max="12" width="8.6640625" style="10" customWidth="1"/>
    <col min="13" max="13" width="10.33203125" style="10" customWidth="1"/>
    <col min="14" max="14" width="12.6640625" style="10" bestFit="1" customWidth="1"/>
    <col min="15" max="15" width="9.33203125" style="10" bestFit="1" customWidth="1"/>
    <col min="16" max="16384" width="9.109375" style="10"/>
  </cols>
  <sheetData>
    <row r="1" spans="2:16" ht="15.6" x14ac:dyDescent="0.3">
      <c r="L1" s="45" t="s">
        <v>925</v>
      </c>
    </row>
    <row r="2" spans="2:16" ht="14.4" customHeight="1" x14ac:dyDescent="0.25">
      <c r="K2" s="5203" t="s">
        <v>2327</v>
      </c>
      <c r="L2" s="5203"/>
      <c r="M2" s="5203"/>
    </row>
    <row r="3" spans="2:16" ht="15.6" x14ac:dyDescent="0.3">
      <c r="B3" s="45" t="s">
        <v>1957</v>
      </c>
      <c r="C3" s="45"/>
      <c r="D3" s="45"/>
      <c r="E3" s="45"/>
      <c r="F3" s="45"/>
      <c r="G3" s="386" t="str">
        <f>'Вхідні дані'!F5</f>
        <v>КП «КТЕ"</v>
      </c>
      <c r="H3" s="152"/>
      <c r="I3" s="386"/>
      <c r="J3" s="887" t="s">
        <v>461</v>
      </c>
      <c r="K3" s="386" t="str">
        <f>'Вхідні дані'!F6</f>
        <v>2023-2024</v>
      </c>
      <c r="L3" s="10" t="s">
        <v>661</v>
      </c>
      <c r="M3" s="45"/>
    </row>
    <row r="4" spans="2:16" ht="14.4" thickBot="1" x14ac:dyDescent="0.3"/>
    <row r="5" spans="2:16" ht="14.4" thickBot="1" x14ac:dyDescent="0.3">
      <c r="B5" s="5125" t="s">
        <v>8</v>
      </c>
      <c r="C5" s="5127" t="s">
        <v>9</v>
      </c>
      <c r="D5" s="5127" t="s">
        <v>503</v>
      </c>
      <c r="E5" s="4866" t="s">
        <v>1951</v>
      </c>
      <c r="F5" s="5124"/>
      <c r="G5" s="5124"/>
      <c r="H5" s="5124"/>
      <c r="I5" s="5124"/>
      <c r="J5" s="4867"/>
      <c r="K5" s="4866" t="s">
        <v>1953</v>
      </c>
      <c r="L5" s="5124"/>
      <c r="M5" s="4867"/>
      <c r="N5" s="729">
        <f>E8+E15*ФОП!H44/1000+E22*ФОП!H49/1000</f>
        <v>37912.491135429824</v>
      </c>
    </row>
    <row r="6" spans="2:16" ht="28.2" thickBot="1" x14ac:dyDescent="0.3">
      <c r="B6" s="5126"/>
      <c r="C6" s="5128"/>
      <c r="D6" s="5128"/>
      <c r="E6" s="726" t="s">
        <v>1952</v>
      </c>
      <c r="F6" s="726" t="s">
        <v>869</v>
      </c>
      <c r="G6" s="1003" t="s">
        <v>1956</v>
      </c>
      <c r="H6" s="1002" t="s">
        <v>644</v>
      </c>
      <c r="I6" s="1002" t="s">
        <v>643</v>
      </c>
      <c r="J6" s="726" t="s">
        <v>902</v>
      </c>
      <c r="K6" s="1003" t="s">
        <v>1880</v>
      </c>
      <c r="L6" s="1002" t="s">
        <v>871</v>
      </c>
      <c r="M6" s="727" t="s">
        <v>1953</v>
      </c>
    </row>
    <row r="7" spans="2:16" x14ac:dyDescent="0.25">
      <c r="B7" s="730"/>
      <c r="C7" s="731"/>
      <c r="D7" s="730"/>
      <c r="E7" s="730"/>
      <c r="F7" s="730"/>
      <c r="G7" s="730"/>
      <c r="H7" s="730"/>
      <c r="I7" s="730"/>
      <c r="J7" s="730"/>
      <c r="K7" s="730"/>
      <c r="L7" s="730"/>
      <c r="M7" s="730"/>
    </row>
    <row r="8" spans="2:16" x14ac:dyDescent="0.25">
      <c r="B8" s="732" t="s">
        <v>1954</v>
      </c>
      <c r="C8" s="733" t="s">
        <v>1780</v>
      </c>
      <c r="D8" s="734">
        <f>E8+K8+L8+M8</f>
        <v>30506.830602360471</v>
      </c>
      <c r="E8" s="734">
        <f>F8+G8+J8</f>
        <v>26504.40454626047</v>
      </c>
      <c r="F8" s="734">
        <f>ФОП!H9/1000</f>
        <v>11228.939355305936</v>
      </c>
      <c r="G8" s="734">
        <f>H8+I8</f>
        <v>14520.984552954531</v>
      </c>
      <c r="H8" s="734">
        <f>Транспортування_2ст!G27</f>
        <v>3466.1638017167252</v>
      </c>
      <c r="I8" s="734">
        <f>Транспортування_2ст!H27</f>
        <v>11054.820751237807</v>
      </c>
      <c r="J8" s="734">
        <f>ФОП!H24/1000</f>
        <v>754.48063799999989</v>
      </c>
      <c r="K8" s="734">
        <f>ФОП!H29/1000</f>
        <v>4002.4260561000001</v>
      </c>
      <c r="L8" s="734">
        <f>ФОП!H39/1000</f>
        <v>0</v>
      </c>
      <c r="M8" s="734">
        <v>0</v>
      </c>
      <c r="N8" s="2119">
        <f>(ФОП!H54-ФОП!H44-ФОП!H49)/1000</f>
        <v>30506.830602360471</v>
      </c>
      <c r="O8" s="1223">
        <f>D8-N8</f>
        <v>0</v>
      </c>
    </row>
    <row r="9" spans="2:16" x14ac:dyDescent="0.25">
      <c r="B9" s="732" t="s">
        <v>1954</v>
      </c>
      <c r="C9" s="733" t="s">
        <v>4</v>
      </c>
      <c r="D9" s="735">
        <f>D8/$D$8</f>
        <v>1</v>
      </c>
      <c r="E9" s="735">
        <f t="shared" ref="E9:M9" si="0">E8/$D$8</f>
        <v>0.86880229846655022</v>
      </c>
      <c r="F9" s="736"/>
      <c r="G9" s="736"/>
      <c r="H9" s="736"/>
      <c r="I9" s="736"/>
      <c r="J9" s="736"/>
      <c r="K9" s="735">
        <f t="shared" si="0"/>
        <v>0.13119770153344976</v>
      </c>
      <c r="L9" s="735">
        <f t="shared" si="0"/>
        <v>0</v>
      </c>
      <c r="M9" s="735">
        <f t="shared" si="0"/>
        <v>0</v>
      </c>
    </row>
    <row r="10" spans="2:16" ht="27.6" x14ac:dyDescent="0.25">
      <c r="B10" s="737" t="s">
        <v>1958</v>
      </c>
      <c r="C10" s="733" t="s">
        <v>1780</v>
      </c>
      <c r="D10" s="736"/>
      <c r="E10" s="734">
        <f>F10+G10+J10</f>
        <v>188086.41120390769</v>
      </c>
      <c r="F10" s="734">
        <f>Виробництво_1ст!F10</f>
        <v>143860.61850577858</v>
      </c>
      <c r="G10" s="734">
        <f>H10+I10</f>
        <v>42409.144058157552</v>
      </c>
      <c r="H10" s="734">
        <f>SUM(Транспортування_2ст!G14:G25)+Транспортування_2ст!G27+Транспортування_2ст!G29</f>
        <v>11724.913895069481</v>
      </c>
      <c r="I10" s="734">
        <f>SUM(Транспортування_2ст!H14:H25)+Транспортування_2ст!H27+Транспортування_2ст!H29</f>
        <v>30684.230163088068</v>
      </c>
      <c r="J10" s="734">
        <f>Постачання_1ст!F9</f>
        <v>1816.6486399715736</v>
      </c>
      <c r="K10" s="4224">
        <v>5749.1978603739726</v>
      </c>
      <c r="L10" s="738"/>
      <c r="M10" s="738"/>
    </row>
    <row r="11" spans="2:16" ht="28.2" thickBot="1" x14ac:dyDescent="0.3">
      <c r="B11" s="739" t="s">
        <v>1958</v>
      </c>
      <c r="C11" s="740" t="s">
        <v>4</v>
      </c>
      <c r="D11" s="736"/>
      <c r="E11" s="741">
        <f t="shared" ref="E11:J11" si="1">E10/$E$10</f>
        <v>1</v>
      </c>
      <c r="F11" s="741">
        <f t="shared" si="1"/>
        <v>0.76486449810463353</v>
      </c>
      <c r="G11" s="741">
        <f t="shared" si="1"/>
        <v>0.22547691662945854</v>
      </c>
      <c r="H11" s="741">
        <f t="shared" si="1"/>
        <v>6.2337910644476607E-2</v>
      </c>
      <c r="I11" s="741">
        <f t="shared" si="1"/>
        <v>0.16313900598498193</v>
      </c>
      <c r="J11" s="741">
        <f t="shared" si="1"/>
        <v>9.6585852659079874E-3</v>
      </c>
      <c r="K11" s="742"/>
      <c r="L11" s="742"/>
      <c r="M11" s="742"/>
    </row>
    <row r="12" spans="2:16" ht="27.6" x14ac:dyDescent="0.25">
      <c r="B12" s="743" t="s">
        <v>1960</v>
      </c>
      <c r="C12" s="731" t="s">
        <v>1780</v>
      </c>
      <c r="D12" s="746">
        <f>ЗВВ_1ст!F8</f>
        <v>7841.4263543791521</v>
      </c>
      <c r="E12" s="744">
        <f>D12*E9</f>
        <v>6812.6492399407889</v>
      </c>
      <c r="F12" s="745"/>
      <c r="G12" s="745"/>
      <c r="H12" s="745"/>
      <c r="I12" s="745"/>
      <c r="J12" s="745"/>
      <c r="K12" s="744">
        <f>$D$12*K9</f>
        <v>1028.777114438363</v>
      </c>
      <c r="L12" s="744">
        <f>$D$12*L9</f>
        <v>0</v>
      </c>
      <c r="M12" s="744">
        <f>$D$12*M9</f>
        <v>0</v>
      </c>
      <c r="P12" s="10" t="s">
        <v>846</v>
      </c>
    </row>
    <row r="13" spans="2:16" ht="27.6" x14ac:dyDescent="0.25">
      <c r="B13" s="737" t="s">
        <v>1961</v>
      </c>
      <c r="C13" s="733" t="s">
        <v>1780</v>
      </c>
      <c r="D13" s="736"/>
      <c r="E13" s="734">
        <f>E12</f>
        <v>6812.6492399407889</v>
      </c>
      <c r="F13" s="734">
        <f>$E$13*F11</f>
        <v>5210.7535416702249</v>
      </c>
      <c r="G13" s="734">
        <f>$E$13*G11</f>
        <v>1536.0951446998733</v>
      </c>
      <c r="H13" s="734">
        <f>$E$13*H11</f>
        <v>424.68631957159039</v>
      </c>
      <c r="I13" s="734">
        <f>$E$13*I11</f>
        <v>1111.4088251282831</v>
      </c>
      <c r="J13" s="734">
        <f>$E$13*J11</f>
        <v>65.800553570691349</v>
      </c>
      <c r="K13" s="738"/>
      <c r="L13" s="738"/>
      <c r="M13" s="738"/>
    </row>
    <row r="14" spans="2:16" x14ac:dyDescent="0.25">
      <c r="B14" s="737" t="s">
        <v>1962</v>
      </c>
      <c r="C14" s="733" t="s">
        <v>1780</v>
      </c>
      <c r="D14" s="734">
        <f>D12</f>
        <v>7841.4263543791521</v>
      </c>
      <c r="E14" s="734">
        <f>E12</f>
        <v>6812.6492399407889</v>
      </c>
      <c r="F14" s="734">
        <f>F13</f>
        <v>5210.7535416702249</v>
      </c>
      <c r="G14" s="734">
        <f>G13</f>
        <v>1536.0951446998733</v>
      </c>
      <c r="H14" s="734">
        <f>H13</f>
        <v>424.68631957159039</v>
      </c>
      <c r="I14" s="734">
        <f>I13</f>
        <v>1111.4088251282831</v>
      </c>
      <c r="J14" s="734">
        <f>J13</f>
        <v>65.800553570691349</v>
      </c>
      <c r="K14" s="734">
        <f>K12</f>
        <v>1028.777114438363</v>
      </c>
      <c r="L14" s="734">
        <f>L12</f>
        <v>0</v>
      </c>
      <c r="M14" s="734">
        <f>M12</f>
        <v>0</v>
      </c>
    </row>
    <row r="15" spans="2:16" ht="14.4" thickBot="1" x14ac:dyDescent="0.3">
      <c r="B15" s="739" t="s">
        <v>1963</v>
      </c>
      <c r="C15" s="740" t="s">
        <v>4</v>
      </c>
      <c r="D15" s="741">
        <f>D14/$D$14</f>
        <v>1</v>
      </c>
      <c r="E15" s="741">
        <f t="shared" ref="E15:M15" si="2">E14/$D$14</f>
        <v>0.86880229846655022</v>
      </c>
      <c r="F15" s="741">
        <f t="shared" si="2"/>
        <v>0.66451603396877001</v>
      </c>
      <c r="G15" s="741">
        <f t="shared" si="2"/>
        <v>0.19589486341882431</v>
      </c>
      <c r="H15" s="741">
        <f t="shared" si="2"/>
        <v>5.4159320049523708E-2</v>
      </c>
      <c r="I15" s="741">
        <f t="shared" si="2"/>
        <v>0.14173554336930061</v>
      </c>
      <c r="J15" s="741">
        <f t="shared" si="2"/>
        <v>8.3914010789560151E-3</v>
      </c>
      <c r="K15" s="741">
        <f t="shared" si="2"/>
        <v>0.13119770153344976</v>
      </c>
      <c r="L15" s="741">
        <f t="shared" si="2"/>
        <v>0</v>
      </c>
      <c r="M15" s="741">
        <f t="shared" si="2"/>
        <v>0</v>
      </c>
    </row>
    <row r="16" spans="2:16" ht="14.4" thickBot="1" x14ac:dyDescent="0.3">
      <c r="B16" s="725"/>
      <c r="D16" s="728"/>
      <c r="E16" s="728"/>
      <c r="F16" s="728"/>
      <c r="G16" s="728"/>
      <c r="H16" s="728"/>
      <c r="I16" s="728"/>
      <c r="J16" s="728"/>
      <c r="K16" s="728"/>
      <c r="L16" s="728"/>
      <c r="M16" s="728"/>
    </row>
    <row r="17" spans="2:13" ht="27.6" x14ac:dyDescent="0.25">
      <c r="B17" s="743" t="s">
        <v>1964</v>
      </c>
      <c r="C17" s="731" t="s">
        <v>1780</v>
      </c>
      <c r="D17" s="745"/>
      <c r="E17" s="744">
        <f t="shared" ref="E17:J17" si="3">E10+E13</f>
        <v>194899.06044384849</v>
      </c>
      <c r="F17" s="744">
        <f t="shared" si="3"/>
        <v>149071.37204744879</v>
      </c>
      <c r="G17" s="744">
        <f t="shared" si="3"/>
        <v>43945.239202857425</v>
      </c>
      <c r="H17" s="744">
        <f t="shared" si="3"/>
        <v>12149.600214641072</v>
      </c>
      <c r="I17" s="744">
        <f t="shared" si="3"/>
        <v>31795.638988216353</v>
      </c>
      <c r="J17" s="744">
        <f t="shared" si="3"/>
        <v>1882.449193542265</v>
      </c>
      <c r="K17" s="748"/>
      <c r="L17" s="748"/>
      <c r="M17" s="748"/>
    </row>
    <row r="18" spans="2:13" ht="27.6" x14ac:dyDescent="0.25">
      <c r="B18" s="747" t="s">
        <v>1964</v>
      </c>
      <c r="C18" s="733" t="s">
        <v>4</v>
      </c>
      <c r="D18" s="736"/>
      <c r="E18" s="735">
        <f t="shared" ref="E18:J18" si="4">E17/$E$17</f>
        <v>1</v>
      </c>
      <c r="F18" s="735">
        <f t="shared" si="4"/>
        <v>0.76486449810463342</v>
      </c>
      <c r="G18" s="735">
        <f t="shared" si="4"/>
        <v>0.22547691662945854</v>
      </c>
      <c r="H18" s="735">
        <f t="shared" si="4"/>
        <v>6.2337910644476607E-2</v>
      </c>
      <c r="I18" s="735">
        <f t="shared" si="4"/>
        <v>0.16313900598498193</v>
      </c>
      <c r="J18" s="735">
        <f t="shared" si="4"/>
        <v>9.6585852659079856E-3</v>
      </c>
      <c r="K18" s="736"/>
      <c r="L18" s="736"/>
      <c r="M18" s="736"/>
    </row>
    <row r="19" spans="2:13" ht="27.6" x14ac:dyDescent="0.25">
      <c r="B19" s="737" t="s">
        <v>1959</v>
      </c>
      <c r="C19" s="733" t="s">
        <v>1780</v>
      </c>
      <c r="D19" s="734">
        <f>Адміністративні_1ст!F8</f>
        <v>9533.0845712164319</v>
      </c>
      <c r="E19" s="734">
        <f>D19*E9</f>
        <v>8282.3657869488434</v>
      </c>
      <c r="F19" s="736"/>
      <c r="G19" s="736"/>
      <c r="H19" s="736"/>
      <c r="I19" s="736"/>
      <c r="J19" s="736"/>
      <c r="K19" s="734">
        <f>$D$19*K9</f>
        <v>1250.7187842675883</v>
      </c>
      <c r="L19" s="734">
        <f>$D$19*L9</f>
        <v>0</v>
      </c>
      <c r="M19" s="734">
        <f>$D$19*M9</f>
        <v>0</v>
      </c>
    </row>
    <row r="20" spans="2:13" ht="27.6" x14ac:dyDescent="0.25">
      <c r="B20" s="737" t="s">
        <v>1965</v>
      </c>
      <c r="C20" s="733" t="s">
        <v>1780</v>
      </c>
      <c r="D20" s="736"/>
      <c r="E20" s="734">
        <f>E19</f>
        <v>8282.3657869488434</v>
      </c>
      <c r="F20" s="734">
        <f>$E$20*F18</f>
        <v>6334.8875507536141</v>
      </c>
      <c r="G20" s="734">
        <f>$E$20*G18</f>
        <v>1867.4823000385441</v>
      </c>
      <c r="H20" s="734">
        <f>$E$20*H18</f>
        <v>516.30537835168718</v>
      </c>
      <c r="I20" s="734">
        <f>$E$20*I18</f>
        <v>1351.176921686857</v>
      </c>
      <c r="J20" s="734">
        <f>$E$20*J18</f>
        <v>79.995936156684493</v>
      </c>
      <c r="K20" s="736"/>
      <c r="L20" s="736"/>
      <c r="M20" s="736"/>
    </row>
    <row r="21" spans="2:13" x14ac:dyDescent="0.25">
      <c r="B21" s="737" t="s">
        <v>1967</v>
      </c>
      <c r="C21" s="733" t="s">
        <v>1780</v>
      </c>
      <c r="D21" s="734">
        <f>D19</f>
        <v>9533.0845712164319</v>
      </c>
      <c r="E21" s="734">
        <f t="shared" ref="E21:M21" si="5">E19</f>
        <v>8282.3657869488434</v>
      </c>
      <c r="F21" s="734">
        <f>F20</f>
        <v>6334.8875507536141</v>
      </c>
      <c r="G21" s="734">
        <f>G20</f>
        <v>1867.4823000385441</v>
      </c>
      <c r="H21" s="734">
        <f>H20</f>
        <v>516.30537835168718</v>
      </c>
      <c r="I21" s="734">
        <f>I20</f>
        <v>1351.176921686857</v>
      </c>
      <c r="J21" s="734">
        <f>J20</f>
        <v>79.995936156684493</v>
      </c>
      <c r="K21" s="734">
        <f t="shared" si="5"/>
        <v>1250.7187842675883</v>
      </c>
      <c r="L21" s="734">
        <f t="shared" si="5"/>
        <v>0</v>
      </c>
      <c r="M21" s="734">
        <f t="shared" si="5"/>
        <v>0</v>
      </c>
    </row>
    <row r="22" spans="2:13" ht="14.4" thickBot="1" x14ac:dyDescent="0.3">
      <c r="B22" s="739" t="s">
        <v>1984</v>
      </c>
      <c r="C22" s="740" t="s">
        <v>4</v>
      </c>
      <c r="D22" s="741">
        <f>D21/$D$21</f>
        <v>1</v>
      </c>
      <c r="E22" s="741">
        <f t="shared" ref="E22:M22" si="6">E21/$D$21</f>
        <v>0.86880229846655022</v>
      </c>
      <c r="F22" s="741">
        <f t="shared" si="6"/>
        <v>0.66451603396876979</v>
      </c>
      <c r="G22" s="741">
        <f t="shared" si="6"/>
        <v>0.19589486341882428</v>
      </c>
      <c r="H22" s="741">
        <f t="shared" si="6"/>
        <v>5.4159320049523701E-2</v>
      </c>
      <c r="I22" s="741">
        <f t="shared" si="6"/>
        <v>0.14173554336930061</v>
      </c>
      <c r="J22" s="741">
        <f t="shared" si="6"/>
        <v>8.3914010789560133E-3</v>
      </c>
      <c r="K22" s="741">
        <f t="shared" si="6"/>
        <v>0.13119770153344976</v>
      </c>
      <c r="L22" s="741">
        <f t="shared" si="6"/>
        <v>0</v>
      </c>
      <c r="M22" s="741">
        <f t="shared" si="6"/>
        <v>0</v>
      </c>
    </row>
    <row r="25" spans="2:13" ht="18" x14ac:dyDescent="0.35">
      <c r="B25" s="419" t="s">
        <v>2317</v>
      </c>
      <c r="C25" s="419"/>
      <c r="D25" s="419"/>
      <c r="E25" s="498" t="s">
        <v>1400</v>
      </c>
      <c r="G25" s="5204" t="str">
        <f>'Вхідні дані'!$F$13</f>
        <v>Анатолій ПАНШИН</v>
      </c>
      <c r="H25" s="5204"/>
      <c r="I25" s="5204"/>
      <c r="J25" s="45"/>
    </row>
    <row r="26" spans="2:13" ht="18" x14ac:dyDescent="0.35">
      <c r="B26" s="419"/>
      <c r="C26" s="419"/>
      <c r="D26" s="419"/>
      <c r="E26" s="498" t="s">
        <v>209</v>
      </c>
      <c r="G26" s="5205" t="s">
        <v>1985</v>
      </c>
      <c r="H26" s="5205"/>
      <c r="I26" s="5205"/>
      <c r="J26" s="45"/>
    </row>
    <row r="27" spans="2:13" ht="18.75" customHeight="1" x14ac:dyDescent="0.35">
      <c r="B27" s="419" t="str">
        <f>'Вхідні дані'!$B$15</f>
        <v>Заступник директора з економіки</v>
      </c>
      <c r="C27" s="419"/>
      <c r="D27" s="419"/>
      <c r="E27" s="498" t="s">
        <v>1400</v>
      </c>
      <c r="G27" s="5204" t="str">
        <f>'Вхідні дані'!$F$15</f>
        <v>Олена ЛАВРОВА</v>
      </c>
      <c r="H27" s="5204"/>
      <c r="I27" s="5204"/>
      <c r="J27" s="45"/>
    </row>
    <row r="28" spans="2:13" ht="18" x14ac:dyDescent="0.35">
      <c r="B28" s="418"/>
      <c r="C28" s="418"/>
      <c r="D28" s="418"/>
      <c r="E28" s="498" t="s">
        <v>209</v>
      </c>
      <c r="G28" s="5205" t="s">
        <v>1985</v>
      </c>
      <c r="H28" s="5205"/>
      <c r="I28" s="5205"/>
      <c r="J28" s="45"/>
    </row>
    <row r="32" spans="2:13" x14ac:dyDescent="0.25">
      <c r="D32" s="902">
        <f>'БАЗИ РОЗПОДІЛУ'!D15</f>
        <v>1</v>
      </c>
      <c r="E32" s="902">
        <f>'БАЗИ РОЗПОДІЛУ'!E15</f>
        <v>0.86880229846655022</v>
      </c>
      <c r="F32" s="902">
        <f>'БАЗИ РОЗПОДІЛУ'!F15</f>
        <v>0.66451603396877001</v>
      </c>
      <c r="G32" s="902">
        <f>'БАЗИ РОЗПОДІЛУ'!G15</f>
        <v>0.19589486341882431</v>
      </c>
      <c r="H32" s="902">
        <f>'БАЗИ РОЗПОДІЛУ'!H15</f>
        <v>5.4159320049523708E-2</v>
      </c>
      <c r="I32" s="902">
        <f>'БАЗИ РОЗПОДІЛУ'!I15</f>
        <v>0.14173554336930061</v>
      </c>
      <c r="J32" s="902">
        <f>'БАЗИ РОЗПОДІЛУ'!J15</f>
        <v>8.3914010789560151E-3</v>
      </c>
      <c r="K32" s="902">
        <f>'БАЗИ РОЗПОДІЛУ'!K15</f>
        <v>0.13119770153344976</v>
      </c>
      <c r="L32" s="902">
        <f>'БАЗИ РОЗПОДІЛУ'!L15</f>
        <v>0</v>
      </c>
      <c r="M32" s="902">
        <f>'БАЗИ РОЗПОДІЛУ'!M15</f>
        <v>0</v>
      </c>
    </row>
    <row r="34" spans="4:13" x14ac:dyDescent="0.25">
      <c r="D34" s="902">
        <f>'БАЗИ РОЗПОДІЛУ'!D22</f>
        <v>1</v>
      </c>
      <c r="E34" s="902">
        <f>'БАЗИ РОЗПОДІЛУ'!E22</f>
        <v>0.86880229846655022</v>
      </c>
      <c r="F34" s="902">
        <f>'БАЗИ РОЗПОДІЛУ'!F22</f>
        <v>0.66451603396876979</v>
      </c>
      <c r="G34" s="902">
        <f>'БАЗИ РОЗПОДІЛУ'!G22</f>
        <v>0.19589486341882428</v>
      </c>
      <c r="H34" s="902">
        <f>'БАЗИ РОЗПОДІЛУ'!H22</f>
        <v>5.4159320049523701E-2</v>
      </c>
      <c r="I34" s="902">
        <f>'БАЗИ РОЗПОДІЛУ'!I22</f>
        <v>0.14173554336930061</v>
      </c>
      <c r="J34" s="902">
        <f>'БАЗИ РОЗПОДІЛУ'!J22</f>
        <v>8.3914010789560133E-3</v>
      </c>
      <c r="K34" s="902">
        <f>'БАЗИ РОЗПОДІЛУ'!K22</f>
        <v>0.13119770153344976</v>
      </c>
      <c r="L34" s="902">
        <f>'БАЗИ РОЗПОДІЛУ'!L22</f>
        <v>0</v>
      </c>
      <c r="M34" s="902">
        <f>'БАЗИ РОЗПОДІЛУ'!M22</f>
        <v>0</v>
      </c>
    </row>
  </sheetData>
  <mergeCells count="10">
    <mergeCell ref="B5:B6"/>
    <mergeCell ref="C5:C6"/>
    <mergeCell ref="D5:D6"/>
    <mergeCell ref="E5:J5"/>
    <mergeCell ref="K5:M5"/>
    <mergeCell ref="K2:M2"/>
    <mergeCell ref="G25:I25"/>
    <mergeCell ref="G26:I26"/>
    <mergeCell ref="G27:I27"/>
    <mergeCell ref="G28:I28"/>
  </mergeCells>
  <conditionalFormatting sqref="B28:D28 G28:I28">
    <cfRule type="expression" dxfId="32" priority="1" stopIfTrue="1">
      <formula>ABS(#REF!-(#REF!+#REF!+$L28+$N28))&gt;отклонение</formula>
    </cfRule>
  </conditionalFormatting>
  <printOptions horizontalCentered="1" verticalCentered="1"/>
  <pageMargins left="0.35433070866141736" right="0.31496062992125984" top="0.42" bottom="0.27559055118110237" header="0.31496062992125984" footer="0.23622047244094491"/>
  <pageSetup paperSize="9" scale="72" orientation="landscape" horizontalDpi="0" verticalDpi="0" r:id="rId1"/>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000-000000000000}">
  <sheetPr codeName="Лист26">
    <tabColor rgb="FFFFC000"/>
    <pageSetUpPr fitToPage="1"/>
  </sheetPr>
  <dimension ref="A1:M38"/>
  <sheetViews>
    <sheetView workbookViewId="0">
      <pane xSplit="2" ySplit="2" topLeftCell="C27" activePane="bottomRight" state="frozen"/>
      <selection pane="topRight" activeCell="C1" sqref="C1"/>
      <selection pane="bottomLeft" activeCell="A3" sqref="A3"/>
      <selection pane="bottomRight" activeCell="C13" sqref="C13"/>
    </sheetView>
  </sheetViews>
  <sheetFormatPr defaultColWidth="8.88671875" defaultRowHeight="13.8" x14ac:dyDescent="0.25"/>
  <cols>
    <col min="1" max="1" width="20" style="10" customWidth="1"/>
    <col min="2" max="2" width="17.6640625" style="10" customWidth="1"/>
    <col min="3" max="3" width="11.109375" style="10" customWidth="1"/>
    <col min="4" max="8" width="10.44140625" style="10" customWidth="1"/>
    <col min="9" max="9" width="9.5546875" style="10" bestFit="1" customWidth="1"/>
    <col min="10" max="16384" width="8.88671875" style="10"/>
  </cols>
  <sheetData>
    <row r="1" spans="1:13" x14ac:dyDescent="0.25">
      <c r="A1" s="10" t="s">
        <v>2723</v>
      </c>
    </row>
    <row r="2" spans="1:13" ht="27.6" x14ac:dyDescent="0.25">
      <c r="A2" s="1491" t="s">
        <v>1412</v>
      </c>
      <c r="B2" s="12"/>
      <c r="C2" s="23" t="s">
        <v>786</v>
      </c>
      <c r="D2" s="23" t="s">
        <v>3</v>
      </c>
      <c r="E2" s="23" t="s">
        <v>163</v>
      </c>
      <c r="F2" s="23" t="s">
        <v>3410</v>
      </c>
      <c r="G2" s="23" t="s">
        <v>2717</v>
      </c>
    </row>
    <row r="3" spans="1:13" s="15" customFormat="1" ht="27.6" x14ac:dyDescent="0.25">
      <c r="A3" s="2631" t="s">
        <v>2722</v>
      </c>
      <c r="B3" s="2632" t="s">
        <v>2725</v>
      </c>
      <c r="C3" s="2633">
        <f>D3+E3+F3+G3</f>
        <v>71.594076517062135</v>
      </c>
      <c r="D3" s="2632">
        <f>'Д 7_РП'!G96</f>
        <v>59.458515647062136</v>
      </c>
      <c r="E3" s="2632">
        <f>'Д 7_РП'!G103</f>
        <v>9.6319999999999999E-3</v>
      </c>
      <c r="F3" s="2632">
        <f>'Д 7_РП'!G106</f>
        <v>9.0724704999999997</v>
      </c>
      <c r="G3" s="2632">
        <f>'Д 7_РП'!G109</f>
        <v>3.0534583699999995</v>
      </c>
    </row>
    <row r="4" spans="1:13" x14ac:dyDescent="0.25">
      <c r="A4" s="2634" t="s">
        <v>642</v>
      </c>
      <c r="B4" s="23" t="s">
        <v>2725</v>
      </c>
      <c r="C4" s="12">
        <f>SUM(D4:G4)</f>
        <v>11.919578167000001</v>
      </c>
      <c r="D4" s="11">
        <f>'Д 7_РП'!G97</f>
        <v>9.9052058670000012</v>
      </c>
      <c r="E4" s="11">
        <f>'Д 7_РП'!G104</f>
        <v>0</v>
      </c>
      <c r="F4" s="11">
        <f>'Д 7_РП'!G107</f>
        <v>1.45692</v>
      </c>
      <c r="G4" s="11">
        <f>'Д 7_РП'!G110</f>
        <v>0.5574522999999999</v>
      </c>
    </row>
    <row r="5" spans="1:13" x14ac:dyDescent="0.25">
      <c r="A5" s="2634" t="s">
        <v>643</v>
      </c>
      <c r="B5" s="23" t="s">
        <v>2725</v>
      </c>
      <c r="C5" s="12">
        <f>SUM(D5:G5)</f>
        <v>59.674498350062137</v>
      </c>
      <c r="D5" s="11">
        <f>'Д 7_РП'!G100</f>
        <v>49.553309780062136</v>
      </c>
      <c r="E5" s="11">
        <f>'Д 7_РП'!G105</f>
        <v>9.6319999999999999E-3</v>
      </c>
      <c r="F5" s="11">
        <f>'Д 7_РП'!G108</f>
        <v>7.6155505000000003</v>
      </c>
      <c r="G5" s="11">
        <f>'Д 7_РП'!G111</f>
        <v>2.4960060699999995</v>
      </c>
    </row>
    <row r="6" spans="1:13" s="15" customFormat="1" ht="16.2" customHeight="1" x14ac:dyDescent="0.25">
      <c r="A6" s="2631" t="s">
        <v>2716</v>
      </c>
      <c r="B6" s="2112" t="s">
        <v>22</v>
      </c>
      <c r="C6" s="1238">
        <f>D6+E6+F6+G6</f>
        <v>9879.7259841272989</v>
      </c>
      <c r="D6" s="1242">
        <f>'Д 7_РП'!G51+'Д 7_РП'!G59</f>
        <v>8221.7149531991563</v>
      </c>
      <c r="E6" s="1242">
        <f>'Д 7_РП'!G52+'Д 7_РП'!G60</f>
        <v>1.3113131142858057</v>
      </c>
      <c r="F6" s="1242">
        <f>'Д 7_РП'!G53+'Д 7_РП'!G61</f>
        <v>1233.2145950594795</v>
      </c>
      <c r="G6" s="1242">
        <f>'Д 7_РП'!G54+'Д 7_РП'!G62</f>
        <v>423.48512275437929</v>
      </c>
    </row>
    <row r="7" spans="1:13" s="157" customFormat="1" ht="16.2" customHeight="1" x14ac:dyDescent="0.25">
      <c r="A7" s="2634" t="s">
        <v>642</v>
      </c>
      <c r="B7" s="23" t="s">
        <v>22</v>
      </c>
      <c r="C7" s="12">
        <f>D7+E7+F7+G7</f>
        <v>1789.148932003875</v>
      </c>
      <c r="D7" s="2635">
        <f>'Д 7_РП'!G51</f>
        <v>1486.7844510897837</v>
      </c>
      <c r="E7" s="2635">
        <f>'Д 7_РП'!G52</f>
        <v>0</v>
      </c>
      <c r="F7" s="2635">
        <f>'Д 7_РП'!G53</f>
        <v>218.68889853844684</v>
      </c>
      <c r="G7" s="2635">
        <f>'Д 7_РП'!G54</f>
        <v>83.675582375644424</v>
      </c>
      <c r="I7" s="157">
        <f>D7/D4</f>
        <v>150.10131753476492</v>
      </c>
      <c r="K7" s="157">
        <f>F7/F4</f>
        <v>150.10357366118032</v>
      </c>
      <c r="L7" s="157">
        <f>G7/G4</f>
        <v>150.10357366118041</v>
      </c>
      <c r="M7" s="157" t="s">
        <v>3358</v>
      </c>
    </row>
    <row r="8" spans="1:13" s="157" customFormat="1" ht="16.2" customHeight="1" x14ac:dyDescent="0.25">
      <c r="A8" s="2634" t="s">
        <v>643</v>
      </c>
      <c r="B8" s="23" t="s">
        <v>22</v>
      </c>
      <c r="C8" s="12">
        <f>D8+E8+F8+G8</f>
        <v>8090.5770521234263</v>
      </c>
      <c r="D8" s="2635">
        <f>'Д 7_РП'!G59</f>
        <v>6734.9305021093733</v>
      </c>
      <c r="E8" s="4290">
        <f>'Д 7_РП'!G60</f>
        <v>1.3113131142858057</v>
      </c>
      <c r="F8" s="4290">
        <f>'Д 7_РП'!G61</f>
        <v>1014.5256965210326</v>
      </c>
      <c r="G8" s="4290">
        <f>'Д 7_РП'!G62</f>
        <v>339.80954037873488</v>
      </c>
      <c r="I8" s="157">
        <f>D8/D5</f>
        <v>135.91282866879629</v>
      </c>
      <c r="J8" s="157">
        <f>E8/E5</f>
        <v>136.14131169910772</v>
      </c>
      <c r="K8" s="157">
        <f>F8/F5</f>
        <v>133.21764415074557</v>
      </c>
      <c r="L8" s="157">
        <f>G8/G5</f>
        <v>136.14131169910775</v>
      </c>
      <c r="M8" s="157" t="s">
        <v>3357</v>
      </c>
    </row>
    <row r="9" spans="1:13" s="157" customFormat="1" ht="16.2" customHeight="1" x14ac:dyDescent="0.25">
      <c r="A9" s="5206" t="s">
        <v>2724</v>
      </c>
      <c r="B9" s="5206"/>
      <c r="C9" s="5206"/>
      <c r="D9" s="5206"/>
      <c r="E9" s="5206"/>
      <c r="F9" s="5206"/>
      <c r="G9" s="5207"/>
    </row>
    <row r="10" spans="1:13" s="157" customFormat="1" ht="21.6" customHeight="1" x14ac:dyDescent="0.25">
      <c r="A10" s="5208" t="s">
        <v>2726</v>
      </c>
      <c r="B10" s="5209"/>
      <c r="C10" s="5209"/>
      <c r="D10" s="5209"/>
      <c r="E10" s="5209"/>
      <c r="F10" s="5209"/>
      <c r="G10" s="5210"/>
    </row>
    <row r="11" spans="1:13" s="1446" customFormat="1" ht="27.6" x14ac:dyDescent="0.25">
      <c r="A11" s="2636" t="s">
        <v>2719</v>
      </c>
      <c r="B11" s="2637" t="s">
        <v>2718</v>
      </c>
      <c r="C11" s="2638" t="s">
        <v>3118</v>
      </c>
      <c r="D11" s="2639">
        <f>'Д 2_Т на В'!L59</f>
        <v>1262.8496497738035</v>
      </c>
      <c r="E11" s="2639">
        <f>'Д 2_Т на В'!P59</f>
        <v>2249.859659144237</v>
      </c>
      <c r="F11" s="2639">
        <f>'Д 2_Т на В'!T59</f>
        <v>2249.8596591442388</v>
      </c>
      <c r="G11" s="2639">
        <f>'Д 2_Т на В'!X59</f>
        <v>2249.8596591442383</v>
      </c>
      <c r="I11" s="2640"/>
    </row>
    <row r="12" spans="1:13" s="1446" customFormat="1" ht="55.2" x14ac:dyDescent="0.25">
      <c r="A12" s="2641" t="s">
        <v>3306</v>
      </c>
      <c r="B12" s="2642" t="s">
        <v>1780</v>
      </c>
      <c r="C12" s="2643">
        <f>C13+C14</f>
        <v>14113.081982088981</v>
      </c>
      <c r="D12" s="2643">
        <f>D13+D14</f>
        <v>10382.7898491876</v>
      </c>
      <c r="E12" s="2643">
        <f>E13+E14</f>
        <v>2.9025977844112858</v>
      </c>
      <c r="F12" s="2643">
        <f>F13+F14</f>
        <v>2786.9611920586681</v>
      </c>
      <c r="G12" s="2643">
        <f>G13+G14</f>
        <v>940.42834305830149</v>
      </c>
      <c r="I12" s="2640"/>
    </row>
    <row r="13" spans="1:13" s="15" customFormat="1" ht="18" customHeight="1" x14ac:dyDescent="0.25">
      <c r="A13" s="2634" t="s">
        <v>642</v>
      </c>
      <c r="B13" s="23" t="s">
        <v>1780</v>
      </c>
      <c r="C13" s="2643">
        <f>D13+E13+F13+G13</f>
        <v>2557.8628713145722</v>
      </c>
      <c r="D13" s="2644">
        <f>D7*D11/1000</f>
        <v>1877.5852233478702</v>
      </c>
      <c r="E13" s="2644">
        <f>E7*E11/1000</f>
        <v>0</v>
      </c>
      <c r="F13" s="2644">
        <f>F7*F11/1000</f>
        <v>492.019330724339</v>
      </c>
      <c r="G13" s="2644">
        <f>G7*G11/1000</f>
        <v>188.25831724236301</v>
      </c>
      <c r="H13" s="15">
        <f>H14*E11/1000</f>
        <v>3050.0144849346789</v>
      </c>
    </row>
    <row r="14" spans="1:13" x14ac:dyDescent="0.25">
      <c r="A14" s="2634" t="s">
        <v>643</v>
      </c>
      <c r="B14" s="23" t="s">
        <v>1780</v>
      </c>
      <c r="C14" s="2643">
        <f>D14+E14+F14+G14</f>
        <v>11555.219110774409</v>
      </c>
      <c r="D14" s="2644">
        <f>D8*D11/1000</f>
        <v>8505.2046258397295</v>
      </c>
      <c r="E14" s="2644">
        <f>H13/I14*J14</f>
        <v>2.9025977844112858</v>
      </c>
      <c r="F14" s="2644">
        <f>H13/I14*J15</f>
        <v>2294.9418613343291</v>
      </c>
      <c r="G14" s="2644">
        <f>H13/I14*J16</f>
        <v>752.17002581593852</v>
      </c>
      <c r="H14" s="729">
        <f>E8+F8+G8</f>
        <v>1355.6465500140532</v>
      </c>
      <c r="I14" s="2115">
        <f>'Д 7_РП'!M185+'Д 7_РП'!M186+'Д 7_РП'!M187</f>
        <v>13966.731603137061</v>
      </c>
      <c r="J14" s="2115">
        <f>'Д 7_РП'!M185</f>
        <v>13.291675959893333</v>
      </c>
    </row>
    <row r="15" spans="1:13" ht="22.2" customHeight="1" x14ac:dyDescent="0.25">
      <c r="A15" s="5211" t="s">
        <v>3307</v>
      </c>
      <c r="B15" s="5212"/>
      <c r="C15" s="5212"/>
      <c r="D15" s="5212"/>
      <c r="E15" s="5212"/>
      <c r="F15" s="5212"/>
      <c r="G15" s="5213"/>
      <c r="J15" s="2115">
        <f>'Д 7_РП'!M186</f>
        <v>10509.076983202205</v>
      </c>
    </row>
    <row r="16" spans="1:13" s="1446" customFormat="1" ht="28.8" x14ac:dyDescent="0.3">
      <c r="A16" s="2645" t="s">
        <v>3305</v>
      </c>
      <c r="B16" s="2632" t="s">
        <v>2718</v>
      </c>
      <c r="C16" s="2638" t="s">
        <v>3118</v>
      </c>
      <c r="D16" s="2646"/>
      <c r="E16" s="2646"/>
      <c r="F16" s="2646"/>
      <c r="G16" s="2646"/>
      <c r="H16" s="2125"/>
      <c r="I16" s="2125"/>
      <c r="J16" s="2115">
        <f>'Д 7_РП'!M187</f>
        <v>3444.362943974962</v>
      </c>
      <c r="K16" s="2125"/>
      <c r="L16" s="2125"/>
    </row>
    <row r="17" spans="1:12" s="1446" customFormat="1" x14ac:dyDescent="0.25">
      <c r="A17" s="2634" t="s">
        <v>642</v>
      </c>
      <c r="B17" s="23" t="s">
        <v>2718</v>
      </c>
      <c r="C17" s="2638" t="s">
        <v>3118</v>
      </c>
      <c r="D17" s="2647">
        <f>'ТЕ_2ст_тариф_з ЦТП'!H80</f>
        <v>889.12</v>
      </c>
      <c r="E17" s="2647">
        <f>'ТЕ_2ст_тариф_з ЦТП'!K80</f>
        <v>0</v>
      </c>
      <c r="F17" s="2647">
        <f>'ТЕ_2ст_тариф_з ЦТП'!N80</f>
        <v>1876.13</v>
      </c>
      <c r="G17" s="2647">
        <f>'ТЕ_2ст_тариф_з ЦТП'!Q80</f>
        <v>1876.13</v>
      </c>
      <c r="H17" s="2125"/>
      <c r="I17" s="2125"/>
      <c r="J17" s="2125"/>
      <c r="K17" s="2125"/>
      <c r="L17" s="2125"/>
    </row>
    <row r="18" spans="1:12" s="1446" customFormat="1" x14ac:dyDescent="0.25">
      <c r="A18" s="2634" t="s">
        <v>643</v>
      </c>
      <c r="B18" s="23" t="s">
        <v>2718</v>
      </c>
      <c r="C18" s="2638" t="s">
        <v>3118</v>
      </c>
      <c r="D18" s="2647">
        <f>'ТЕ_2ст_тариф_без ЦТП'!H80</f>
        <v>889.12</v>
      </c>
      <c r="E18" s="2647">
        <f>'ТЕ_2ст_тариф_без ЦТП'!K80</f>
        <v>1876.13</v>
      </c>
      <c r="F18" s="2647">
        <f>'ТЕ_2ст_тариф_без ЦТП'!N80</f>
        <v>1876.13</v>
      </c>
      <c r="G18" s="2647">
        <f>'ТЕ_2ст_тариф_без ЦТП'!Q80</f>
        <v>1876.13</v>
      </c>
      <c r="H18" s="2125"/>
      <c r="I18" s="2125"/>
      <c r="J18" s="2125"/>
      <c r="K18" s="2125"/>
      <c r="L18" s="2125"/>
    </row>
    <row r="19" spans="1:12" ht="55.2" x14ac:dyDescent="0.25">
      <c r="A19" s="2648" t="s">
        <v>3337</v>
      </c>
      <c r="B19" s="2642" t="s">
        <v>1780</v>
      </c>
      <c r="C19" s="2649">
        <f>C20+C21</f>
        <v>10420.735434643655</v>
      </c>
      <c r="D19" s="2649">
        <f>D20+D21</f>
        <v>7310.0911991884341</v>
      </c>
      <c r="E19" s="2649">
        <f>E20+E21</f>
        <v>2.4204402079634018</v>
      </c>
      <c r="F19" s="2649">
        <f>F20+F21</f>
        <v>2324.0122911692333</v>
      </c>
      <c r="G19" s="2649">
        <f>G20+G21</f>
        <v>784.21150407802327</v>
      </c>
      <c r="I19" s="254">
        <f>E8+F8+G8</f>
        <v>1355.6465500140532</v>
      </c>
      <c r="J19" s="2115">
        <f>E5+F5+G5</f>
        <v>10.121188569999999</v>
      </c>
    </row>
    <row r="20" spans="1:12" x14ac:dyDescent="0.25">
      <c r="A20" s="2634" t="s">
        <v>642</v>
      </c>
      <c r="B20" s="2642" t="s">
        <v>1780</v>
      </c>
      <c r="C20" s="2649">
        <f>D20+E20+F20+G20</f>
        <v>1889.2048647303027</v>
      </c>
      <c r="D20" s="2649">
        <f t="shared" ref="D20:G21" si="0">D7*D17/1000</f>
        <v>1321.9297911529486</v>
      </c>
      <c r="E20" s="2649">
        <f>E7*E17/1000</f>
        <v>0</v>
      </c>
      <c r="F20" s="2649">
        <f t="shared" si="0"/>
        <v>410.28880321493631</v>
      </c>
      <c r="G20" s="2649">
        <f t="shared" si="0"/>
        <v>156.9862703624178</v>
      </c>
      <c r="I20" s="10">
        <f>I19*F18/1000</f>
        <v>2543.3691618778657</v>
      </c>
      <c r="J20" s="2115">
        <f>I20-E21-F21-G21</f>
        <v>0</v>
      </c>
    </row>
    <row r="21" spans="1:12" x14ac:dyDescent="0.25">
      <c r="A21" s="2634" t="s">
        <v>643</v>
      </c>
      <c r="B21" s="2642" t="s">
        <v>1780</v>
      </c>
      <c r="C21" s="2649">
        <f>D21+E21+F21+G21</f>
        <v>8531.5305699133514</v>
      </c>
      <c r="D21" s="2649">
        <f t="shared" si="0"/>
        <v>5988.1614080354857</v>
      </c>
      <c r="E21" s="2649">
        <f>I20/J19*E5</f>
        <v>2.4204402079634018</v>
      </c>
      <c r="F21" s="2649">
        <f>I20/J19*F5</f>
        <v>1913.7234879542968</v>
      </c>
      <c r="G21" s="2649">
        <f>I20/J19*G5</f>
        <v>627.22523371560544</v>
      </c>
    </row>
    <row r="22" spans="1:12" x14ac:dyDescent="0.25">
      <c r="A22" s="2634"/>
      <c r="B22" s="2642"/>
      <c r="C22" s="3053">
        <f>C12-C19</f>
        <v>3692.346547445326</v>
      </c>
      <c r="D22" s="3053">
        <f t="shared" ref="D22:G23" si="1">D12-D19</f>
        <v>3072.6986499991663</v>
      </c>
      <c r="E22" s="3053">
        <f t="shared" si="1"/>
        <v>0.48215757644788404</v>
      </c>
      <c r="F22" s="3053">
        <f t="shared" si="1"/>
        <v>462.94890088943475</v>
      </c>
      <c r="G22" s="3053">
        <f t="shared" si="1"/>
        <v>156.21683898027823</v>
      </c>
    </row>
    <row r="23" spans="1:12" s="1446" customFormat="1" x14ac:dyDescent="0.25">
      <c r="A23" s="2634"/>
      <c r="B23" s="23"/>
      <c r="C23" s="2839">
        <f>C13-C20</f>
        <v>668.65800658426951</v>
      </c>
      <c r="D23" s="2839">
        <f t="shared" si="1"/>
        <v>555.65543219492156</v>
      </c>
      <c r="E23" s="2839">
        <f t="shared" si="1"/>
        <v>0</v>
      </c>
      <c r="F23" s="2839">
        <f t="shared" si="1"/>
        <v>81.730527509402691</v>
      </c>
      <c r="G23" s="2839">
        <f t="shared" si="1"/>
        <v>31.272046879945208</v>
      </c>
      <c r="H23" s="2125"/>
      <c r="I23" s="2125"/>
      <c r="J23" s="2125"/>
      <c r="K23" s="2125"/>
      <c r="L23" s="2125"/>
    </row>
    <row r="24" spans="1:12" s="1446" customFormat="1" x14ac:dyDescent="0.25">
      <c r="A24" s="2634"/>
      <c r="B24" s="23"/>
      <c r="C24" s="2839">
        <f>C14-C21</f>
        <v>3023.6885408610578</v>
      </c>
      <c r="D24" s="2839">
        <f>D14-D21</f>
        <v>2517.0432178042438</v>
      </c>
      <c r="E24" s="2839">
        <f>E14-E21</f>
        <v>0.48215757644788404</v>
      </c>
      <c r="F24" s="2839">
        <f>F14-F21</f>
        <v>381.21837338003229</v>
      </c>
      <c r="G24" s="2839">
        <f>G14-G21</f>
        <v>124.94479210033307</v>
      </c>
      <c r="H24" s="2125"/>
      <c r="I24" s="2125"/>
      <c r="J24" s="2125"/>
      <c r="K24" s="2125"/>
      <c r="L24" s="2125"/>
    </row>
    <row r="25" spans="1:12" s="2652" customFormat="1" ht="28.8" x14ac:dyDescent="0.3">
      <c r="A25" s="2645" t="s">
        <v>2720</v>
      </c>
      <c r="B25" s="11" t="s">
        <v>2721</v>
      </c>
      <c r="C25" s="2651" t="s">
        <v>3118</v>
      </c>
      <c r="D25" s="2647"/>
      <c r="E25" s="2647"/>
      <c r="F25" s="2647"/>
      <c r="G25" s="2647"/>
      <c r="H25" s="1724"/>
      <c r="I25" s="1724"/>
      <c r="J25" s="1724"/>
      <c r="K25" s="1724"/>
      <c r="L25" s="1724"/>
    </row>
    <row r="26" spans="1:12" ht="17.399999999999999" customHeight="1" x14ac:dyDescent="0.25">
      <c r="A26" s="2634" t="s">
        <v>642</v>
      </c>
      <c r="B26" s="11" t="s">
        <v>2721</v>
      </c>
      <c r="C26" s="2638" t="s">
        <v>3118</v>
      </c>
      <c r="D26" s="2647">
        <f>'ТЕ_2ст_тариф_з ЦТП'!H81/12</f>
        <v>4556.5199999999995</v>
      </c>
      <c r="E26" s="2647">
        <f>'ТЕ_2ст_тариф_з ЦТП'!K81/12</f>
        <v>0</v>
      </c>
      <c r="F26" s="2647">
        <f>'ТЕ_2ст_тариф_з ЦТП'!N81/12</f>
        <v>5037.7666666666664</v>
      </c>
      <c r="G26" s="2647">
        <f>'ТЕ_2ст_тариф_з ЦТП'!Q81/12</f>
        <v>5037.7666666666664</v>
      </c>
      <c r="H26" s="1121"/>
      <c r="I26" s="1121"/>
      <c r="J26" s="1121"/>
      <c r="K26" s="1121"/>
      <c r="L26" s="1121"/>
    </row>
    <row r="27" spans="1:12" ht="16.95" customHeight="1" x14ac:dyDescent="0.25">
      <c r="A27" s="2634" t="s">
        <v>643</v>
      </c>
      <c r="B27" s="11" t="s">
        <v>2721</v>
      </c>
      <c r="C27" s="2638" t="s">
        <v>3118</v>
      </c>
      <c r="D27" s="2647">
        <f>'ТЕ_2ст_тариф_без ЦТП'!H81/12</f>
        <v>4556.5199999999995</v>
      </c>
      <c r="E27" s="2647">
        <f>'ТЕ_2ст_тариф_без ЦТП'!K81/12</f>
        <v>5037.7666666666664</v>
      </c>
      <c r="F27" s="2647">
        <f>'ТЕ_2ст_тариф_без ЦТП'!N81/12</f>
        <v>5037.7666666666664</v>
      </c>
      <c r="G27" s="2647">
        <f>'ТЕ_2ст_тариф_без ЦТП'!Q81/12</f>
        <v>5037.7666666666664</v>
      </c>
      <c r="H27" s="1121"/>
      <c r="I27" s="1121"/>
      <c r="J27" s="1121"/>
      <c r="K27" s="1121"/>
      <c r="L27" s="1121"/>
    </row>
    <row r="28" spans="1:12" ht="55.2" x14ac:dyDescent="0.25">
      <c r="A28" s="2648" t="s">
        <v>3338</v>
      </c>
      <c r="B28" s="2642" t="s">
        <v>1780</v>
      </c>
      <c r="C28" s="2649">
        <f>C29+C30</f>
        <v>332.06003974834186</v>
      </c>
      <c r="D28" s="2649">
        <f>D29+D30</f>
        <v>270.92391571615155</v>
      </c>
      <c r="E28" s="2649">
        <f>E29+E30</f>
        <v>4.8523768533333331E-2</v>
      </c>
      <c r="F28" s="2649">
        <f>F29+F30</f>
        <v>45.704989469216663</v>
      </c>
      <c r="G28" s="2649">
        <f>G29+G30</f>
        <v>15.38261079444033</v>
      </c>
    </row>
    <row r="29" spans="1:12" x14ac:dyDescent="0.25">
      <c r="A29" s="2650"/>
      <c r="B29" s="2642" t="s">
        <v>1780</v>
      </c>
      <c r="C29" s="2649">
        <f>D29+E29+F29+G29</f>
        <v>55.281206264299499</v>
      </c>
      <c r="D29" s="2649">
        <f t="shared" ref="D29:G30" si="2">D4*D26/1000</f>
        <v>45.133268637102837</v>
      </c>
      <c r="E29" s="2649">
        <f t="shared" si="2"/>
        <v>0</v>
      </c>
      <c r="F29" s="2649">
        <f t="shared" si="2"/>
        <v>7.3396230119999997</v>
      </c>
      <c r="G29" s="2649">
        <f t="shared" si="2"/>
        <v>2.8083146151966663</v>
      </c>
    </row>
    <row r="30" spans="1:12" x14ac:dyDescent="0.25">
      <c r="A30" s="2650"/>
      <c r="B30" s="2642" t="s">
        <v>1780</v>
      </c>
      <c r="C30" s="2649">
        <f>D30+E30+F30+G30</f>
        <v>276.77883348404237</v>
      </c>
      <c r="D30" s="2649">
        <f t="shared" si="2"/>
        <v>225.79064707904871</v>
      </c>
      <c r="E30" s="2649">
        <f t="shared" si="2"/>
        <v>4.8523768533333331E-2</v>
      </c>
      <c r="F30" s="2649">
        <f t="shared" si="2"/>
        <v>38.365366457216666</v>
      </c>
      <c r="G30" s="2649">
        <f t="shared" si="2"/>
        <v>12.574296179243664</v>
      </c>
    </row>
    <row r="32" spans="1:12" ht="56.4" customHeight="1" x14ac:dyDescent="0.25">
      <c r="A32" s="2648" t="s">
        <v>3339</v>
      </c>
      <c r="B32" s="2642" t="s">
        <v>1780</v>
      </c>
      <c r="C32" s="2649">
        <f>C33+C34</f>
        <v>10752.795474391996</v>
      </c>
      <c r="D32" s="2649">
        <f>D33+D34</f>
        <v>7581.015114904586</v>
      </c>
      <c r="E32" s="2649">
        <f>E33+E34</f>
        <v>2.468963976496735</v>
      </c>
      <c r="F32" s="2649">
        <f>F33+F34</f>
        <v>2369.7172806384497</v>
      </c>
      <c r="G32" s="2649">
        <f>G33+G34</f>
        <v>799.59411487246359</v>
      </c>
    </row>
    <row r="33" spans="1:7" x14ac:dyDescent="0.25">
      <c r="A33" s="2650"/>
      <c r="B33" s="2642" t="s">
        <v>1780</v>
      </c>
      <c r="C33" s="2649">
        <f>D33+E33+F33+G33</f>
        <v>1944.4860709946022</v>
      </c>
      <c r="D33" s="2649">
        <f t="shared" ref="D33:G34" si="3">D29+D20</f>
        <v>1367.0630597900515</v>
      </c>
      <c r="E33" s="2649">
        <f t="shared" si="3"/>
        <v>0</v>
      </c>
      <c r="F33" s="2649">
        <f t="shared" si="3"/>
        <v>417.62842622693631</v>
      </c>
      <c r="G33" s="2649">
        <f t="shared" si="3"/>
        <v>159.79458497761448</v>
      </c>
    </row>
    <row r="34" spans="1:7" x14ac:dyDescent="0.25">
      <c r="A34" s="2650"/>
      <c r="B34" s="2642" t="s">
        <v>1780</v>
      </c>
      <c r="C34" s="2649">
        <f>D34+E34+F34+G34</f>
        <v>8808.3094033973939</v>
      </c>
      <c r="D34" s="2649">
        <f t="shared" si="3"/>
        <v>6213.9520551145342</v>
      </c>
      <c r="E34" s="2649">
        <f t="shared" si="3"/>
        <v>2.468963976496735</v>
      </c>
      <c r="F34" s="2649">
        <f t="shared" si="3"/>
        <v>1952.0888544115135</v>
      </c>
      <c r="G34" s="2649">
        <f t="shared" si="3"/>
        <v>639.79952989484912</v>
      </c>
    </row>
    <row r="36" spans="1:7" x14ac:dyDescent="0.25">
      <c r="C36" s="2841">
        <f>C12-C32</f>
        <v>3360.2865076969847</v>
      </c>
      <c r="D36" s="2840">
        <f>D12-D32</f>
        <v>2801.7747342830144</v>
      </c>
      <c r="E36" s="2840">
        <f>E12-E32</f>
        <v>0.43363380791455075</v>
      </c>
      <c r="F36" s="2840">
        <f>F12-F32</f>
        <v>417.24391142021841</v>
      </c>
      <c r="G36" s="2840">
        <f>G12-G32</f>
        <v>140.8342281858379</v>
      </c>
    </row>
    <row r="37" spans="1:7" x14ac:dyDescent="0.25">
      <c r="C37" s="2840">
        <f>C13-C33</f>
        <v>613.37680031997002</v>
      </c>
      <c r="D37" s="2840">
        <f t="shared" ref="D37:G38" si="4">D13-D33</f>
        <v>510.52216355781866</v>
      </c>
      <c r="E37" s="2840">
        <f t="shared" si="4"/>
        <v>0</v>
      </c>
      <c r="F37" s="2840">
        <f t="shared" si="4"/>
        <v>74.390904497402687</v>
      </c>
      <c r="G37" s="2840">
        <f t="shared" si="4"/>
        <v>28.463732264748529</v>
      </c>
    </row>
    <row r="38" spans="1:7" x14ac:dyDescent="0.25">
      <c r="C38" s="2840">
        <f>C14-C34</f>
        <v>2746.9097073770154</v>
      </c>
      <c r="D38" s="2840">
        <f t="shared" si="4"/>
        <v>2291.2525707251953</v>
      </c>
      <c r="E38" s="2840">
        <f t="shared" si="4"/>
        <v>0.43363380791455075</v>
      </c>
      <c r="F38" s="2840">
        <f t="shared" si="4"/>
        <v>342.85300692281567</v>
      </c>
      <c r="G38" s="2840">
        <f t="shared" si="4"/>
        <v>112.3704959210894</v>
      </c>
    </row>
  </sheetData>
  <mergeCells count="3">
    <mergeCell ref="A9:G9"/>
    <mergeCell ref="A10:G10"/>
    <mergeCell ref="A15:G15"/>
  </mergeCells>
  <pageMargins left="0.70866141732283472" right="0.70866141732283472" top="0.74803149606299213" bottom="0.74803149606299213" header="0.31496062992125984" footer="0.31496062992125984"/>
  <pageSetup paperSize="9" scale="96" orientation="portrait" r:id="rId1"/>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100-000000000000}">
  <sheetPr codeName="Лист27">
    <tabColor rgb="FF7030A0"/>
    <pageSetUpPr fitToPage="1"/>
  </sheetPr>
  <dimension ref="A1:J214"/>
  <sheetViews>
    <sheetView topLeftCell="A55" zoomScaleNormal="100" zoomScaleSheetLayoutView="100" workbookViewId="0">
      <selection activeCell="C152" sqref="C152"/>
    </sheetView>
  </sheetViews>
  <sheetFormatPr defaultRowHeight="14.4" x14ac:dyDescent="0.3"/>
  <cols>
    <col min="1" max="1" width="6.109375" style="10" customWidth="1"/>
    <col min="2" max="2" width="21.88671875" style="10" customWidth="1"/>
    <col min="3" max="3" width="18.44140625" style="10" customWidth="1"/>
    <col min="4" max="5" width="16.33203125" style="10" customWidth="1"/>
    <col min="6" max="6" width="20" style="10" customWidth="1"/>
    <col min="7" max="7" width="50.33203125" customWidth="1"/>
  </cols>
  <sheetData>
    <row r="1" spans="1:7" ht="48" customHeight="1" x14ac:dyDescent="0.3">
      <c r="D1" s="5228" t="s">
        <v>653</v>
      </c>
      <c r="E1" s="5228"/>
      <c r="F1" s="5228"/>
      <c r="G1" s="243" t="s">
        <v>657</v>
      </c>
    </row>
    <row r="2" spans="1:7" x14ac:dyDescent="0.3">
      <c r="B2" s="10" t="s">
        <v>6</v>
      </c>
    </row>
    <row r="3" spans="1:7" ht="31.5" customHeight="1" x14ac:dyDescent="0.3">
      <c r="B3" s="5229" t="str">
        <f>'Вхідні дані'!F10</f>
        <v>Виконавчий комітет Чорноморської міської ради Одеського району Одеської області</v>
      </c>
      <c r="C3" s="5229"/>
    </row>
    <row r="4" spans="1:7" x14ac:dyDescent="0.3">
      <c r="B4" s="10" t="s">
        <v>256</v>
      </c>
    </row>
    <row r="6" spans="1:7" x14ac:dyDescent="0.3">
      <c r="A6" s="5225" t="s">
        <v>451</v>
      </c>
      <c r="B6" s="5225"/>
      <c r="C6" s="5225"/>
      <c r="D6" s="5225"/>
      <c r="E6" s="5225"/>
      <c r="F6" s="5225"/>
      <c r="G6" s="243" t="s">
        <v>657</v>
      </c>
    </row>
    <row r="7" spans="1:7" x14ac:dyDescent="0.3">
      <c r="A7" s="5225" t="s">
        <v>655</v>
      </c>
      <c r="B7" s="5225"/>
      <c r="C7" s="5225"/>
      <c r="D7" s="5225"/>
      <c r="E7" s="5225"/>
      <c r="F7" s="5225"/>
      <c r="G7" s="243" t="s">
        <v>657</v>
      </c>
    </row>
    <row r="8" spans="1:7" x14ac:dyDescent="0.3">
      <c r="A8" s="5226" t="str">
        <f>'Вхідні дані'!F4</f>
        <v>Комунальне підприємство «Чорноморськтеплоенерго» Чорноморської міської ради Одеського району Одеської області</v>
      </c>
      <c r="B8" s="5226"/>
      <c r="C8" s="5226"/>
      <c r="D8" s="5226"/>
      <c r="E8" s="5226"/>
      <c r="F8" s="5226"/>
      <c r="G8" s="243" t="s">
        <v>658</v>
      </c>
    </row>
    <row r="9" spans="1:7" x14ac:dyDescent="0.3">
      <c r="A9" s="5227" t="s">
        <v>656</v>
      </c>
      <c r="B9" s="5227"/>
      <c r="C9" s="5227"/>
      <c r="D9" s="5227"/>
      <c r="E9" s="5227"/>
      <c r="F9" s="5227"/>
      <c r="G9" s="243" t="s">
        <v>658</v>
      </c>
    </row>
    <row r="10" spans="1:7" x14ac:dyDescent="0.3">
      <c r="A10" s="5220" t="s">
        <v>659</v>
      </c>
      <c r="B10" s="5220"/>
      <c r="C10" s="5220"/>
      <c r="D10" s="5220"/>
      <c r="E10" s="5220"/>
      <c r="F10" s="5220"/>
    </row>
    <row r="11" spans="1:7" x14ac:dyDescent="0.3">
      <c r="A11" s="5220" t="s">
        <v>2319</v>
      </c>
      <c r="B11" s="5220"/>
      <c r="C11" s="5220"/>
      <c r="D11" s="5220"/>
      <c r="E11" s="5220"/>
      <c r="F11" s="5220"/>
    </row>
    <row r="12" spans="1:7" x14ac:dyDescent="0.3">
      <c r="A12" s="5220" t="s">
        <v>660</v>
      </c>
      <c r="B12" s="5220"/>
      <c r="C12" s="5220"/>
      <c r="D12" s="5220"/>
      <c r="E12" s="5220"/>
      <c r="F12" s="5220"/>
    </row>
    <row r="14" spans="1:7" x14ac:dyDescent="0.3">
      <c r="A14" s="5218" t="s">
        <v>7</v>
      </c>
      <c r="B14" s="5216" t="s">
        <v>251</v>
      </c>
      <c r="C14" s="5216" t="s">
        <v>252</v>
      </c>
      <c r="D14" s="5214" t="s">
        <v>249</v>
      </c>
      <c r="E14" s="5214"/>
      <c r="F14" s="5214"/>
    </row>
    <row r="15" spans="1:7" ht="55.2" x14ac:dyDescent="0.3">
      <c r="A15" s="5219"/>
      <c r="B15" s="5217"/>
      <c r="C15" s="5217"/>
      <c r="D15" s="3" t="s">
        <v>253</v>
      </c>
      <c r="E15" s="3" t="s">
        <v>254</v>
      </c>
      <c r="F15" s="3" t="s">
        <v>255</v>
      </c>
    </row>
    <row r="16" spans="1:7" s="1195" customFormat="1" ht="10.199999999999999" x14ac:dyDescent="0.2">
      <c r="A16" s="6">
        <v>1</v>
      </c>
      <c r="B16" s="6">
        <v>2</v>
      </c>
      <c r="C16" s="6">
        <v>3</v>
      </c>
      <c r="D16" s="6">
        <v>4</v>
      </c>
      <c r="E16" s="6">
        <v>5</v>
      </c>
      <c r="F16" s="6">
        <v>6</v>
      </c>
    </row>
    <row r="17" spans="1:10" ht="55.8" x14ac:dyDescent="0.3">
      <c r="A17" s="9">
        <v>1</v>
      </c>
      <c r="B17" s="1217" t="s">
        <v>2318</v>
      </c>
      <c r="C17" s="1218"/>
      <c r="D17" s="1218"/>
      <c r="E17" s="1218"/>
      <c r="F17" s="11"/>
    </row>
    <row r="18" spans="1:10" ht="27.6" x14ac:dyDescent="0.3">
      <c r="A18" s="9">
        <v>3</v>
      </c>
      <c r="B18" s="1196" t="s">
        <v>1905</v>
      </c>
      <c r="C18" s="1197"/>
      <c r="D18" s="1197"/>
      <c r="E18" s="1197"/>
      <c r="F18" s="11"/>
    </row>
    <row r="19" spans="1:10" ht="26.4" x14ac:dyDescent="0.3">
      <c r="A19" s="9"/>
      <c r="B19" s="1219" t="s">
        <v>86</v>
      </c>
      <c r="C19" s="1199"/>
      <c r="D19" s="1199"/>
      <c r="E19" s="1199"/>
      <c r="F19" s="11"/>
    </row>
    <row r="20" spans="1:10" x14ac:dyDescent="0.3">
      <c r="A20" s="9"/>
      <c r="B20" s="1198"/>
      <c r="C20" s="1199"/>
      <c r="D20" s="1199"/>
      <c r="E20" s="1199"/>
      <c r="F20" s="11"/>
    </row>
    <row r="21" spans="1:10" x14ac:dyDescent="0.3">
      <c r="A21" s="9"/>
      <c r="B21" s="11"/>
      <c r="C21" s="11"/>
      <c r="D21" s="11"/>
      <c r="E21" s="11"/>
      <c r="F21" s="11"/>
    </row>
    <row r="22" spans="1:10" x14ac:dyDescent="0.3">
      <c r="A22" s="9"/>
      <c r="B22" s="11"/>
      <c r="C22" s="11"/>
      <c r="D22" s="11"/>
      <c r="E22" s="11"/>
      <c r="F22" s="11"/>
    </row>
    <row r="23" spans="1:10" x14ac:dyDescent="0.3">
      <c r="A23" s="9"/>
      <c r="B23" s="11"/>
      <c r="C23" s="11"/>
      <c r="D23" s="11"/>
      <c r="E23" s="11"/>
      <c r="F23" s="11"/>
    </row>
    <row r="24" spans="1:10" x14ac:dyDescent="0.3">
      <c r="A24" s="5215" t="s">
        <v>250</v>
      </c>
      <c r="B24" s="5215"/>
      <c r="C24" s="11"/>
      <c r="D24" s="11"/>
      <c r="E24" s="11"/>
      <c r="F24" s="11"/>
    </row>
    <row r="25" spans="1:10" x14ac:dyDescent="0.3">
      <c r="C25" s="10">
        <f>SUM(C26:C36)</f>
        <v>2</v>
      </c>
    </row>
    <row r="26" spans="1:10" ht="15.6" x14ac:dyDescent="0.3">
      <c r="B26" s="13" t="s">
        <v>257</v>
      </c>
    </row>
    <row r="28" spans="1:10" ht="15.6" x14ac:dyDescent="0.3">
      <c r="A28" s="15"/>
      <c r="B28" s="14" t="s">
        <v>263</v>
      </c>
    </row>
    <row r="30" spans="1:10" ht="124.2" x14ac:dyDescent="0.3">
      <c r="B30" s="9" t="s">
        <v>259</v>
      </c>
      <c r="C30" s="9" t="s">
        <v>260</v>
      </c>
      <c r="D30" s="7" t="s">
        <v>258</v>
      </c>
      <c r="E30" s="9" t="s">
        <v>261</v>
      </c>
    </row>
    <row r="31" spans="1:10" ht="15.6" x14ac:dyDescent="0.3">
      <c r="B31" s="7">
        <v>1</v>
      </c>
      <c r="C31" s="7">
        <v>2</v>
      </c>
      <c r="D31" s="7">
        <v>3</v>
      </c>
      <c r="E31" s="7">
        <v>4</v>
      </c>
    </row>
    <row r="32" spans="1:10" ht="55.8" x14ac:dyDescent="0.3">
      <c r="B32" s="1217" t="s">
        <v>2318</v>
      </c>
      <c r="C32" s="1218"/>
      <c r="D32" s="1218"/>
      <c r="E32" s="1218"/>
      <c r="J32" t="s">
        <v>846</v>
      </c>
    </row>
    <row r="33" spans="2:5" ht="27.6" x14ac:dyDescent="0.3">
      <c r="B33" s="1196" t="s">
        <v>1905</v>
      </c>
      <c r="C33" s="1197"/>
      <c r="D33" s="1197"/>
      <c r="E33" s="1197"/>
    </row>
    <row r="34" spans="2:5" ht="26.4" x14ac:dyDescent="0.3">
      <c r="B34" s="1219" t="s">
        <v>86</v>
      </c>
      <c r="C34" s="1199"/>
      <c r="D34" s="1199"/>
      <c r="E34" s="1199"/>
    </row>
    <row r="35" spans="2:5" x14ac:dyDescent="0.3">
      <c r="B35" s="1198"/>
      <c r="C35" s="1199"/>
      <c r="D35" s="1199"/>
      <c r="E35" s="1199"/>
    </row>
    <row r="37" spans="2:5" ht="15.6" x14ac:dyDescent="0.3">
      <c r="B37" s="14" t="s">
        <v>262</v>
      </c>
    </row>
    <row r="39" spans="2:5" ht="82.5" customHeight="1" x14ac:dyDescent="0.3">
      <c r="B39" s="9" t="s">
        <v>265</v>
      </c>
      <c r="C39" s="4907" t="s">
        <v>264</v>
      </c>
      <c r="D39" s="5223"/>
      <c r="E39" s="5224"/>
    </row>
    <row r="40" spans="2:5" ht="50.25" customHeight="1" x14ac:dyDescent="0.3">
      <c r="B40" s="7"/>
      <c r="C40" s="9" t="s">
        <v>484</v>
      </c>
      <c r="D40" s="9" t="s">
        <v>485</v>
      </c>
      <c r="E40" s="9" t="s">
        <v>486</v>
      </c>
    </row>
    <row r="41" spans="2:5" ht="15.6" x14ac:dyDescent="0.3">
      <c r="B41" s="7">
        <v>1</v>
      </c>
      <c r="C41" s="7">
        <v>2</v>
      </c>
      <c r="D41" s="7">
        <v>3</v>
      </c>
      <c r="E41" s="7">
        <v>4</v>
      </c>
    </row>
    <row r="42" spans="2:5" ht="55.8" x14ac:dyDescent="0.3">
      <c r="B42" s="1217" t="s">
        <v>2318</v>
      </c>
      <c r="C42" s="1218"/>
      <c r="D42" s="1218"/>
      <c r="E42" s="1218"/>
    </row>
    <row r="43" spans="2:5" ht="27.6" x14ac:dyDescent="0.3">
      <c r="B43" s="1196" t="s">
        <v>1905</v>
      </c>
      <c r="C43" s="1197"/>
      <c r="D43" s="1197"/>
      <c r="E43" s="1197"/>
    </row>
    <row r="44" spans="2:5" ht="26.4" x14ac:dyDescent="0.3">
      <c r="B44" s="1219" t="s">
        <v>86</v>
      </c>
      <c r="C44" s="1199"/>
      <c r="D44" s="1199"/>
      <c r="E44" s="1199"/>
    </row>
    <row r="45" spans="2:5" x14ac:dyDescent="0.3">
      <c r="B45" s="1198"/>
      <c r="C45" s="1199"/>
      <c r="D45" s="1199"/>
      <c r="E45" s="1199"/>
    </row>
    <row r="47" spans="2:5" x14ac:dyDescent="0.3">
      <c r="B47" s="101" t="str">
        <f>'Вхідні дані'!$B$13</f>
        <v>Директор підприємства</v>
      </c>
      <c r="C47" s="2" t="s">
        <v>266</v>
      </c>
      <c r="D47" s="5221" t="str">
        <f>'Вхідні дані'!$F$13</f>
        <v>Анатолій ПАНШИН</v>
      </c>
      <c r="E47" s="5221"/>
    </row>
    <row r="48" spans="2:5" x14ac:dyDescent="0.3">
      <c r="B48" s="2" t="s">
        <v>232</v>
      </c>
      <c r="C48" s="2" t="s">
        <v>267</v>
      </c>
      <c r="D48" s="5222" t="s">
        <v>230</v>
      </c>
      <c r="E48" s="5222"/>
    </row>
    <row r="50" spans="1:6" x14ac:dyDescent="0.3">
      <c r="B50" s="16"/>
    </row>
    <row r="51" spans="1:6" ht="51" customHeight="1" x14ac:dyDescent="0.3">
      <c r="A51" s="5225" t="s">
        <v>451</v>
      </c>
      <c r="B51" s="5225"/>
      <c r="C51" s="5225"/>
      <c r="D51" s="5225"/>
      <c r="E51" s="5225"/>
      <c r="F51" s="5225"/>
    </row>
    <row r="52" spans="1:6" x14ac:dyDescent="0.3">
      <c r="A52" s="5225" t="s">
        <v>655</v>
      </c>
      <c r="B52" s="5225"/>
      <c r="C52" s="5225"/>
      <c r="D52" s="5225"/>
      <c r="E52" s="5225"/>
      <c r="F52" s="5225"/>
    </row>
    <row r="53" spans="1:6" x14ac:dyDescent="0.3">
      <c r="A53" s="5226" t="str">
        <f>'Вхідні дані'!F4</f>
        <v>Комунальне підприємство «Чорноморськтеплоенерго» Чорноморської міської ради Одеського району Одеської області</v>
      </c>
      <c r="B53" s="5226"/>
      <c r="C53" s="5226"/>
      <c r="D53" s="5226"/>
      <c r="E53" s="5226"/>
      <c r="F53" s="5226"/>
    </row>
    <row r="54" spans="1:6" x14ac:dyDescent="0.3">
      <c r="A54" s="5227" t="s">
        <v>656</v>
      </c>
      <c r="B54" s="5227"/>
      <c r="C54" s="5227"/>
      <c r="D54" s="5227"/>
      <c r="E54" s="5227"/>
      <c r="F54" s="5227"/>
    </row>
    <row r="55" spans="1:6" ht="16.95" customHeight="1" x14ac:dyDescent="0.3">
      <c r="A55" s="5220" t="s">
        <v>659</v>
      </c>
      <c r="B55" s="5220"/>
      <c r="C55" s="5220"/>
      <c r="D55" s="5220"/>
      <c r="E55" s="5220"/>
      <c r="F55" s="5220"/>
    </row>
    <row r="56" spans="1:6" x14ac:dyDescent="0.3">
      <c r="A56" s="5220" t="s">
        <v>2322</v>
      </c>
      <c r="B56" s="5220"/>
      <c r="C56" s="5220"/>
      <c r="D56" s="5220"/>
      <c r="E56" s="5220"/>
      <c r="F56" s="5220"/>
    </row>
    <row r="57" spans="1:6" x14ac:dyDescent="0.3">
      <c r="A57" s="5220" t="s">
        <v>660</v>
      </c>
      <c r="B57" s="5220"/>
      <c r="C57" s="5220"/>
      <c r="D57" s="5220"/>
      <c r="E57" s="5220"/>
      <c r="F57" s="5220"/>
    </row>
    <row r="59" spans="1:6" x14ac:dyDescent="0.3">
      <c r="A59" s="5218" t="s">
        <v>7</v>
      </c>
      <c r="B59" s="5216" t="s">
        <v>251</v>
      </c>
      <c r="C59" s="5216" t="s">
        <v>252</v>
      </c>
      <c r="D59" s="5214" t="s">
        <v>249</v>
      </c>
      <c r="E59" s="5214"/>
      <c r="F59" s="5214"/>
    </row>
    <row r="60" spans="1:6" ht="55.2" x14ac:dyDescent="0.3">
      <c r="A60" s="5219"/>
      <c r="B60" s="5217"/>
      <c r="C60" s="5217"/>
      <c r="D60" s="3" t="s">
        <v>253</v>
      </c>
      <c r="E60" s="3" t="s">
        <v>254</v>
      </c>
      <c r="F60" s="3" t="s">
        <v>255</v>
      </c>
    </row>
    <row r="61" spans="1:6" x14ac:dyDescent="0.3">
      <c r="A61" s="6">
        <v>1</v>
      </c>
      <c r="B61" s="6">
        <v>2</v>
      </c>
      <c r="C61" s="6">
        <v>3</v>
      </c>
      <c r="D61" s="6">
        <v>4</v>
      </c>
      <c r="E61" s="6">
        <v>5</v>
      </c>
      <c r="F61" s="6">
        <v>6</v>
      </c>
    </row>
    <row r="62" spans="1:6" ht="55.8" x14ac:dyDescent="0.3">
      <c r="A62" s="9">
        <v>1</v>
      </c>
      <c r="B62" s="1215" t="s">
        <v>2318</v>
      </c>
      <c r="C62" s="11"/>
      <c r="D62" s="11"/>
      <c r="E62" s="11"/>
      <c r="F62" s="11"/>
    </row>
    <row r="63" spans="1:6" ht="27.6" x14ac:dyDescent="0.3">
      <c r="A63" s="9">
        <v>2</v>
      </c>
      <c r="B63" s="11" t="s">
        <v>1905</v>
      </c>
      <c r="C63" s="11"/>
      <c r="D63" s="11"/>
      <c r="E63" s="11"/>
      <c r="F63" s="11"/>
    </row>
    <row r="64" spans="1:6" ht="26.4" x14ac:dyDescent="0.3">
      <c r="A64" s="9">
        <v>3</v>
      </c>
      <c r="B64" s="147" t="s">
        <v>86</v>
      </c>
      <c r="C64" s="11"/>
      <c r="D64" s="11"/>
      <c r="E64" s="11"/>
      <c r="F64" s="11"/>
    </row>
    <row r="65" spans="1:6" x14ac:dyDescent="0.3">
      <c r="A65" s="9"/>
      <c r="B65" s="11"/>
      <c r="C65" s="11"/>
      <c r="D65" s="11"/>
      <c r="E65" s="11"/>
      <c r="F65" s="11"/>
    </row>
    <row r="66" spans="1:6" x14ac:dyDescent="0.3">
      <c r="A66" s="9"/>
      <c r="B66" s="11"/>
      <c r="C66" s="11"/>
      <c r="D66" s="11"/>
      <c r="E66" s="11"/>
      <c r="F66" s="11"/>
    </row>
    <row r="67" spans="1:6" x14ac:dyDescent="0.3">
      <c r="A67" s="9"/>
      <c r="B67" s="11"/>
      <c r="C67" s="11"/>
      <c r="D67" s="11"/>
      <c r="E67" s="11"/>
      <c r="F67" s="11"/>
    </row>
    <row r="68" spans="1:6" x14ac:dyDescent="0.3">
      <c r="A68" s="9"/>
      <c r="B68" s="11"/>
      <c r="C68" s="11"/>
      <c r="D68" s="11"/>
      <c r="E68" s="11"/>
      <c r="F68" s="11"/>
    </row>
    <row r="69" spans="1:6" x14ac:dyDescent="0.3">
      <c r="A69" s="5215" t="s">
        <v>250</v>
      </c>
      <c r="B69" s="5215"/>
      <c r="C69" s="11"/>
      <c r="D69" s="11"/>
      <c r="E69" s="11"/>
      <c r="F69" s="11"/>
    </row>
    <row r="70" spans="1:6" x14ac:dyDescent="0.3">
      <c r="C70" s="10">
        <f>SUM(C71:C81)</f>
        <v>2</v>
      </c>
    </row>
    <row r="71" spans="1:6" ht="15.6" x14ac:dyDescent="0.3">
      <c r="B71" s="13" t="s">
        <v>257</v>
      </c>
    </row>
    <row r="73" spans="1:6" ht="15.6" x14ac:dyDescent="0.3">
      <c r="A73" s="15"/>
      <c r="B73" s="14" t="s">
        <v>263</v>
      </c>
    </row>
    <row r="75" spans="1:6" ht="124.2" x14ac:dyDescent="0.3">
      <c r="B75" s="9" t="s">
        <v>259</v>
      </c>
      <c r="C75" s="9" t="s">
        <v>260</v>
      </c>
      <c r="D75" s="7" t="s">
        <v>258</v>
      </c>
      <c r="E75" s="9" t="s">
        <v>261</v>
      </c>
    </row>
    <row r="76" spans="1:6" ht="15.6" x14ac:dyDescent="0.3">
      <c r="B76" s="7">
        <v>1</v>
      </c>
      <c r="C76" s="7">
        <v>2</v>
      </c>
      <c r="D76" s="7">
        <v>3</v>
      </c>
      <c r="E76" s="7">
        <v>4</v>
      </c>
    </row>
    <row r="77" spans="1:6" ht="55.8" x14ac:dyDescent="0.3">
      <c r="B77" s="1215" t="s">
        <v>2318</v>
      </c>
      <c r="C77" s="8"/>
      <c r="D77" s="8"/>
      <c r="E77" s="8"/>
    </row>
    <row r="78" spans="1:6" ht="27.6" x14ac:dyDescent="0.3">
      <c r="B78" s="11" t="s">
        <v>1905</v>
      </c>
      <c r="C78" s="8"/>
      <c r="D78" s="8"/>
      <c r="E78" s="8"/>
    </row>
    <row r="79" spans="1:6" ht="26.4" x14ac:dyDescent="0.3">
      <c r="B79" s="147" t="s">
        <v>86</v>
      </c>
      <c r="C79" s="12"/>
      <c r="D79" s="12"/>
      <c r="E79" s="12"/>
    </row>
    <row r="80" spans="1:6" x14ac:dyDescent="0.3">
      <c r="B80" s="12"/>
      <c r="C80" s="12"/>
      <c r="D80" s="12"/>
      <c r="E80" s="12"/>
    </row>
    <row r="82" spans="1:6" ht="15.6" x14ac:dyDescent="0.3">
      <c r="B82" s="14" t="s">
        <v>262</v>
      </c>
    </row>
    <row r="84" spans="1:6" ht="69" x14ac:dyDescent="0.3">
      <c r="B84" s="9" t="s">
        <v>265</v>
      </c>
      <c r="C84" s="4907" t="s">
        <v>264</v>
      </c>
      <c r="D84" s="5223"/>
      <c r="E84" s="5224"/>
    </row>
    <row r="85" spans="1:6" ht="41.4" x14ac:dyDescent="0.3">
      <c r="B85" s="7"/>
      <c r="C85" s="9" t="s">
        <v>484</v>
      </c>
      <c r="D85" s="9" t="s">
        <v>485</v>
      </c>
      <c r="E85" s="9" t="s">
        <v>486</v>
      </c>
    </row>
    <row r="86" spans="1:6" ht="15.6" x14ac:dyDescent="0.3">
      <c r="B86" s="7">
        <v>1</v>
      </c>
      <c r="C86" s="7">
        <v>2</v>
      </c>
      <c r="D86" s="7">
        <v>3</v>
      </c>
      <c r="E86" s="7">
        <v>4</v>
      </c>
    </row>
    <row r="87" spans="1:6" ht="55.8" x14ac:dyDescent="0.3">
      <c r="B87" s="1215" t="s">
        <v>2318</v>
      </c>
      <c r="C87" s="8"/>
      <c r="D87" s="8"/>
      <c r="E87" s="8"/>
    </row>
    <row r="88" spans="1:6" ht="27.6" x14ac:dyDescent="0.3">
      <c r="B88" s="11" t="s">
        <v>1905</v>
      </c>
      <c r="C88" s="8"/>
      <c r="D88" s="8"/>
      <c r="E88" s="8"/>
    </row>
    <row r="89" spans="1:6" ht="26.4" x14ac:dyDescent="0.3">
      <c r="B89" s="147" t="s">
        <v>86</v>
      </c>
      <c r="C89" s="12"/>
      <c r="D89" s="12"/>
      <c r="E89" s="12"/>
    </row>
    <row r="90" spans="1:6" x14ac:dyDescent="0.3">
      <c r="B90" s="12"/>
      <c r="C90" s="12"/>
      <c r="D90" s="12"/>
      <c r="E90" s="12"/>
    </row>
    <row r="92" spans="1:6" x14ac:dyDescent="0.3">
      <c r="A92" s="5225" t="s">
        <v>451</v>
      </c>
      <c r="B92" s="5225"/>
      <c r="C92" s="5225"/>
      <c r="D92" s="5225"/>
      <c r="E92" s="5225"/>
      <c r="F92" s="5225"/>
    </row>
    <row r="93" spans="1:6" x14ac:dyDescent="0.3">
      <c r="A93" s="5225" t="s">
        <v>655</v>
      </c>
      <c r="B93" s="5225"/>
      <c r="C93" s="5225"/>
      <c r="D93" s="5225"/>
      <c r="E93" s="5225"/>
      <c r="F93" s="5225"/>
    </row>
    <row r="94" spans="1:6" x14ac:dyDescent="0.3">
      <c r="A94" s="5226" t="str">
        <f>'Вхідні дані'!F4</f>
        <v>Комунальне підприємство «Чорноморськтеплоенерго» Чорноморської міської ради Одеського району Одеської області</v>
      </c>
      <c r="B94" s="5226"/>
      <c r="C94" s="5226"/>
      <c r="D94" s="5226"/>
      <c r="E94" s="5226"/>
      <c r="F94" s="5226"/>
    </row>
    <row r="95" spans="1:6" x14ac:dyDescent="0.3">
      <c r="A95" s="5227" t="s">
        <v>656</v>
      </c>
      <c r="B95" s="5227"/>
      <c r="C95" s="5227"/>
      <c r="D95" s="5227"/>
      <c r="E95" s="5227"/>
      <c r="F95" s="5227"/>
    </row>
    <row r="96" spans="1:6" x14ac:dyDescent="0.3">
      <c r="A96" s="5220" t="s">
        <v>659</v>
      </c>
      <c r="B96" s="5220"/>
      <c r="C96" s="5220"/>
      <c r="D96" s="5220"/>
      <c r="E96" s="5220"/>
      <c r="F96" s="5220"/>
    </row>
    <row r="97" spans="1:6" x14ac:dyDescent="0.3">
      <c r="A97" s="5220" t="s">
        <v>2321</v>
      </c>
      <c r="B97" s="5220"/>
      <c r="C97" s="5220"/>
      <c r="D97" s="5220"/>
      <c r="E97" s="5220"/>
      <c r="F97" s="5220"/>
    </row>
    <row r="98" spans="1:6" x14ac:dyDescent="0.3">
      <c r="A98" s="5220" t="s">
        <v>660</v>
      </c>
      <c r="B98" s="5220"/>
      <c r="C98" s="5220"/>
      <c r="D98" s="5220"/>
      <c r="E98" s="5220"/>
      <c r="F98" s="5220"/>
    </row>
    <row r="100" spans="1:6" x14ac:dyDescent="0.3">
      <c r="A100" s="5218" t="s">
        <v>7</v>
      </c>
      <c r="B100" s="5216" t="s">
        <v>251</v>
      </c>
      <c r="C100" s="5216" t="s">
        <v>252</v>
      </c>
      <c r="D100" s="5214" t="s">
        <v>249</v>
      </c>
      <c r="E100" s="5214"/>
      <c r="F100" s="5214"/>
    </row>
    <row r="101" spans="1:6" ht="55.2" x14ac:dyDescent="0.3">
      <c r="A101" s="5219"/>
      <c r="B101" s="5217"/>
      <c r="C101" s="5217"/>
      <c r="D101" s="3" t="s">
        <v>253</v>
      </c>
      <c r="E101" s="3" t="s">
        <v>254</v>
      </c>
      <c r="F101" s="3" t="s">
        <v>255</v>
      </c>
    </row>
    <row r="102" spans="1:6" x14ac:dyDescent="0.3">
      <c r="A102" s="6">
        <v>1</v>
      </c>
      <c r="B102" s="6">
        <v>2</v>
      </c>
      <c r="C102" s="6">
        <v>3</v>
      </c>
      <c r="D102" s="6">
        <v>4</v>
      </c>
      <c r="E102" s="6">
        <v>5</v>
      </c>
      <c r="F102" s="6">
        <v>6</v>
      </c>
    </row>
    <row r="103" spans="1:6" ht="55.8" x14ac:dyDescent="0.3">
      <c r="A103" s="9">
        <v>1</v>
      </c>
      <c r="B103" s="1215" t="s">
        <v>2318</v>
      </c>
      <c r="C103" s="11"/>
      <c r="D103" s="11"/>
      <c r="E103" s="11"/>
      <c r="F103" s="11"/>
    </row>
    <row r="104" spans="1:6" ht="27.6" x14ac:dyDescent="0.3">
      <c r="A104" s="9">
        <v>3</v>
      </c>
      <c r="B104" s="11" t="s">
        <v>1905</v>
      </c>
      <c r="C104" s="11"/>
      <c r="D104" s="11"/>
      <c r="E104" s="11"/>
      <c r="F104" s="11"/>
    </row>
    <row r="105" spans="1:6" ht="26.4" x14ac:dyDescent="0.3">
      <c r="A105" s="9"/>
      <c r="B105" s="147" t="s">
        <v>86</v>
      </c>
      <c r="C105" s="11"/>
      <c r="D105" s="11"/>
      <c r="E105" s="11"/>
      <c r="F105" s="11"/>
    </row>
    <row r="106" spans="1:6" x14ac:dyDescent="0.3">
      <c r="A106" s="9"/>
      <c r="B106" s="11"/>
      <c r="C106" s="11"/>
      <c r="D106" s="11"/>
      <c r="E106" s="11"/>
      <c r="F106" s="11"/>
    </row>
    <row r="107" spans="1:6" x14ac:dyDescent="0.3">
      <c r="A107" s="9"/>
      <c r="B107" s="11"/>
      <c r="C107" s="11"/>
      <c r="D107" s="11"/>
      <c r="E107" s="11"/>
      <c r="F107" s="11"/>
    </row>
    <row r="108" spans="1:6" x14ac:dyDescent="0.3">
      <c r="A108" s="9"/>
      <c r="B108" s="11"/>
      <c r="C108" s="11"/>
      <c r="D108" s="11"/>
      <c r="E108" s="11"/>
      <c r="F108" s="11"/>
    </row>
    <row r="109" spans="1:6" x14ac:dyDescent="0.3">
      <c r="A109" s="9"/>
      <c r="B109" s="11"/>
      <c r="C109" s="11"/>
      <c r="D109" s="11"/>
      <c r="E109" s="11"/>
      <c r="F109" s="11"/>
    </row>
    <row r="110" spans="1:6" x14ac:dyDescent="0.3">
      <c r="A110" s="5215" t="s">
        <v>250</v>
      </c>
      <c r="B110" s="5215"/>
      <c r="C110" s="11"/>
      <c r="D110" s="11"/>
      <c r="E110" s="11"/>
      <c r="F110" s="11"/>
    </row>
    <row r="111" spans="1:6" x14ac:dyDescent="0.3">
      <c r="C111" s="10">
        <f>SUM(C112:C122)</f>
        <v>2</v>
      </c>
    </row>
    <row r="112" spans="1:6" ht="15.6" x14ac:dyDescent="0.3">
      <c r="B112" s="13" t="s">
        <v>257</v>
      </c>
    </row>
    <row r="114" spans="1:5" ht="15.6" x14ac:dyDescent="0.3">
      <c r="A114" s="15"/>
      <c r="B114" s="14" t="s">
        <v>263</v>
      </c>
    </row>
    <row r="116" spans="1:5" ht="124.2" x14ac:dyDescent="0.3">
      <c r="B116" s="9" t="s">
        <v>259</v>
      </c>
      <c r="C116" s="9" t="s">
        <v>260</v>
      </c>
      <c r="D116" s="7" t="s">
        <v>258</v>
      </c>
      <c r="E116" s="9" t="s">
        <v>261</v>
      </c>
    </row>
    <row r="117" spans="1:5" ht="15.6" x14ac:dyDescent="0.3">
      <c r="B117" s="7">
        <v>1</v>
      </c>
      <c r="C117" s="7">
        <v>2</v>
      </c>
      <c r="D117" s="7">
        <v>3</v>
      </c>
      <c r="E117" s="7">
        <v>4</v>
      </c>
    </row>
    <row r="118" spans="1:5" ht="55.8" x14ac:dyDescent="0.3">
      <c r="B118" s="1215" t="s">
        <v>2318</v>
      </c>
      <c r="C118" s="8"/>
      <c r="D118" s="8"/>
      <c r="E118" s="8"/>
    </row>
    <row r="119" spans="1:5" ht="27.6" x14ac:dyDescent="0.3">
      <c r="B119" s="11" t="s">
        <v>1905</v>
      </c>
      <c r="C119" s="8"/>
      <c r="D119" s="8"/>
      <c r="E119" s="8"/>
    </row>
    <row r="120" spans="1:5" ht="26.4" x14ac:dyDescent="0.3">
      <c r="B120" s="147" t="s">
        <v>86</v>
      </c>
      <c r="C120" s="12"/>
      <c r="D120" s="12"/>
      <c r="E120" s="12"/>
    </row>
    <row r="121" spans="1:5" x14ac:dyDescent="0.3">
      <c r="B121" s="12"/>
      <c r="C121" s="12"/>
      <c r="D121" s="12"/>
      <c r="E121" s="12"/>
    </row>
    <row r="123" spans="1:5" ht="15.6" x14ac:dyDescent="0.3">
      <c r="B123" s="14" t="s">
        <v>262</v>
      </c>
    </row>
    <row r="125" spans="1:5" ht="69" x14ac:dyDescent="0.3">
      <c r="B125" s="9" t="s">
        <v>265</v>
      </c>
      <c r="C125" s="4907" t="s">
        <v>264</v>
      </c>
      <c r="D125" s="5223"/>
      <c r="E125" s="5224"/>
    </row>
    <row r="126" spans="1:5" ht="41.4" x14ac:dyDescent="0.3">
      <c r="B126" s="7"/>
      <c r="C126" s="9" t="s">
        <v>484</v>
      </c>
      <c r="D126" s="9" t="s">
        <v>485</v>
      </c>
      <c r="E126" s="9" t="s">
        <v>486</v>
      </c>
    </row>
    <row r="127" spans="1:5" ht="15.6" x14ac:dyDescent="0.3">
      <c r="B127" s="7">
        <v>1</v>
      </c>
      <c r="C127" s="7">
        <v>2</v>
      </c>
      <c r="D127" s="7">
        <v>3</v>
      </c>
      <c r="E127" s="7">
        <v>4</v>
      </c>
    </row>
    <row r="128" spans="1:5" ht="55.8" x14ac:dyDescent="0.3">
      <c r="B128" s="1215" t="s">
        <v>2318</v>
      </c>
      <c r="C128" s="8">
        <v>0</v>
      </c>
      <c r="D128" s="8">
        <v>0</v>
      </c>
      <c r="E128" s="8">
        <v>0</v>
      </c>
    </row>
    <row r="129" spans="1:6" ht="27.6" x14ac:dyDescent="0.3">
      <c r="B129" s="11" t="s">
        <v>1905</v>
      </c>
      <c r="C129" s="8"/>
      <c r="D129" s="8"/>
      <c r="E129" s="8"/>
    </row>
    <row r="130" spans="1:6" ht="26.4" x14ac:dyDescent="0.3">
      <c r="B130" s="147" t="s">
        <v>86</v>
      </c>
      <c r="C130" s="12"/>
      <c r="D130" s="12"/>
      <c r="E130" s="12"/>
    </row>
    <row r="131" spans="1:6" x14ac:dyDescent="0.3">
      <c r="B131" s="1216"/>
    </row>
    <row r="132" spans="1:6" x14ac:dyDescent="0.3">
      <c r="B132" s="1216"/>
    </row>
    <row r="133" spans="1:6" x14ac:dyDescent="0.3">
      <c r="A133" s="5225" t="s">
        <v>451</v>
      </c>
      <c r="B133" s="5225"/>
      <c r="C133" s="5225"/>
      <c r="D133" s="5225"/>
      <c r="E133" s="5225"/>
      <c r="F133" s="5225"/>
    </row>
    <row r="134" spans="1:6" x14ac:dyDescent="0.3">
      <c r="A134" s="5225" t="s">
        <v>655</v>
      </c>
      <c r="B134" s="5225"/>
      <c r="C134" s="5225"/>
      <c r="D134" s="5225"/>
      <c r="E134" s="5225"/>
      <c r="F134" s="5225"/>
    </row>
    <row r="135" spans="1:6" x14ac:dyDescent="0.3">
      <c r="A135" s="5226" t="str">
        <f>'Вхідні дані'!F4</f>
        <v>Комунальне підприємство «Чорноморськтеплоенерго» Чорноморської міської ради Одеського району Одеської області</v>
      </c>
      <c r="B135" s="5226"/>
      <c r="C135" s="5226"/>
      <c r="D135" s="5226"/>
      <c r="E135" s="5226"/>
      <c r="F135" s="5226"/>
    </row>
    <row r="136" spans="1:6" x14ac:dyDescent="0.3">
      <c r="A136" s="5227" t="s">
        <v>656</v>
      </c>
      <c r="B136" s="5227"/>
      <c r="C136" s="5227"/>
      <c r="D136" s="5227"/>
      <c r="E136" s="5227"/>
      <c r="F136" s="5227"/>
    </row>
    <row r="137" spans="1:6" x14ac:dyDescent="0.3">
      <c r="A137" s="5220" t="s">
        <v>659</v>
      </c>
      <c r="B137" s="5220"/>
      <c r="C137" s="5220"/>
      <c r="D137" s="5220"/>
      <c r="E137" s="5220"/>
      <c r="F137" s="5220"/>
    </row>
    <row r="138" spans="1:6" x14ac:dyDescent="0.3">
      <c r="A138" s="5220" t="s">
        <v>2320</v>
      </c>
      <c r="B138" s="5220"/>
      <c r="C138" s="5220"/>
      <c r="D138" s="5220"/>
      <c r="E138" s="5220"/>
      <c r="F138" s="5220"/>
    </row>
    <row r="139" spans="1:6" x14ac:dyDescent="0.3">
      <c r="A139" s="5220" t="s">
        <v>660</v>
      </c>
      <c r="B139" s="5220"/>
      <c r="C139" s="5220"/>
      <c r="D139" s="5220"/>
      <c r="E139" s="5220"/>
      <c r="F139" s="5220"/>
    </row>
    <row r="141" spans="1:6" x14ac:dyDescent="0.3">
      <c r="A141" s="5218" t="s">
        <v>7</v>
      </c>
      <c r="B141" s="5216" t="s">
        <v>251</v>
      </c>
      <c r="C141" s="5216" t="s">
        <v>252</v>
      </c>
      <c r="D141" s="5214" t="s">
        <v>249</v>
      </c>
      <c r="E141" s="5214"/>
      <c r="F141" s="5214"/>
    </row>
    <row r="142" spans="1:6" ht="55.2" x14ac:dyDescent="0.3">
      <c r="A142" s="5219"/>
      <c r="B142" s="5217"/>
      <c r="C142" s="5217"/>
      <c r="D142" s="3" t="s">
        <v>253</v>
      </c>
      <c r="E142" s="3" t="s">
        <v>254</v>
      </c>
      <c r="F142" s="3" t="s">
        <v>255</v>
      </c>
    </row>
    <row r="143" spans="1:6" x14ac:dyDescent="0.3">
      <c r="A143" s="6">
        <v>1</v>
      </c>
      <c r="B143" s="6">
        <v>2</v>
      </c>
      <c r="C143" s="6">
        <v>3</v>
      </c>
      <c r="D143" s="6">
        <v>4</v>
      </c>
      <c r="E143" s="6">
        <v>5</v>
      </c>
      <c r="F143" s="6">
        <v>6</v>
      </c>
    </row>
    <row r="144" spans="1:6" ht="55.8" x14ac:dyDescent="0.3">
      <c r="A144" s="9">
        <v>1</v>
      </c>
      <c r="B144" s="1215" t="s">
        <v>2318</v>
      </c>
      <c r="C144" s="11"/>
      <c r="D144" s="11"/>
      <c r="E144" s="11"/>
      <c r="F144" s="11"/>
    </row>
    <row r="145" spans="1:6" ht="27.6" x14ac:dyDescent="0.3">
      <c r="A145" s="9">
        <v>3</v>
      </c>
      <c r="B145" s="11" t="s">
        <v>1905</v>
      </c>
      <c r="C145" s="11"/>
      <c r="D145" s="11"/>
      <c r="E145" s="11"/>
      <c r="F145" s="11"/>
    </row>
    <row r="146" spans="1:6" ht="26.4" x14ac:dyDescent="0.3">
      <c r="A146" s="9"/>
      <c r="B146" s="147" t="s">
        <v>86</v>
      </c>
      <c r="C146" s="11"/>
      <c r="D146" s="11"/>
      <c r="E146" s="11"/>
      <c r="F146" s="11"/>
    </row>
    <row r="147" spans="1:6" x14ac:dyDescent="0.3">
      <c r="A147" s="9"/>
      <c r="B147" s="11"/>
      <c r="C147" s="11"/>
      <c r="D147" s="11"/>
      <c r="E147" s="11"/>
      <c r="F147" s="11"/>
    </row>
    <row r="148" spans="1:6" x14ac:dyDescent="0.3">
      <c r="A148" s="9"/>
      <c r="B148" s="11"/>
      <c r="C148" s="11"/>
      <c r="D148" s="11"/>
      <c r="E148" s="11"/>
      <c r="F148" s="11"/>
    </row>
    <row r="149" spans="1:6" x14ac:dyDescent="0.3">
      <c r="A149" s="9"/>
      <c r="B149" s="11"/>
      <c r="C149" s="11"/>
      <c r="D149" s="11"/>
      <c r="E149" s="11"/>
      <c r="F149" s="11"/>
    </row>
    <row r="150" spans="1:6" x14ac:dyDescent="0.3">
      <c r="A150" s="9"/>
      <c r="B150" s="11"/>
      <c r="C150" s="11"/>
      <c r="D150" s="11"/>
      <c r="E150" s="11"/>
      <c r="F150" s="11"/>
    </row>
    <row r="151" spans="1:6" x14ac:dyDescent="0.3">
      <c r="A151" s="5215" t="s">
        <v>250</v>
      </c>
      <c r="B151" s="5215"/>
      <c r="C151" s="11"/>
      <c r="D151" s="11"/>
      <c r="E151" s="11"/>
      <c r="F151" s="11"/>
    </row>
    <row r="153" spans="1:6" ht="15.6" x14ac:dyDescent="0.3">
      <c r="B153" s="13" t="s">
        <v>257</v>
      </c>
    </row>
    <row r="155" spans="1:6" ht="15.6" x14ac:dyDescent="0.3">
      <c r="A155" s="15"/>
      <c r="B155" s="14" t="s">
        <v>263</v>
      </c>
    </row>
    <row r="157" spans="1:6" ht="124.2" x14ac:dyDescent="0.3">
      <c r="B157" s="9" t="s">
        <v>259</v>
      </c>
      <c r="C157" s="9" t="s">
        <v>260</v>
      </c>
      <c r="D157" s="7" t="s">
        <v>258</v>
      </c>
      <c r="E157" s="9" t="s">
        <v>261</v>
      </c>
    </row>
    <row r="158" spans="1:6" ht="15.6" x14ac:dyDescent="0.3">
      <c r="B158" s="7">
        <v>1</v>
      </c>
      <c r="C158" s="7">
        <v>2</v>
      </c>
      <c r="D158" s="7">
        <v>3</v>
      </c>
      <c r="E158" s="7">
        <v>4</v>
      </c>
    </row>
    <row r="159" spans="1:6" ht="55.8" x14ac:dyDescent="0.3">
      <c r="B159" s="1215" t="s">
        <v>2318</v>
      </c>
      <c r="C159" s="8"/>
      <c r="D159" s="8"/>
      <c r="E159" s="8"/>
    </row>
    <row r="160" spans="1:6" ht="27.6" x14ac:dyDescent="0.3">
      <c r="B160" s="11" t="s">
        <v>1905</v>
      </c>
      <c r="C160" s="8"/>
      <c r="D160" s="8"/>
      <c r="E160" s="8"/>
    </row>
    <row r="161" spans="1:6" ht="26.4" x14ac:dyDescent="0.3">
      <c r="B161" s="147" t="s">
        <v>86</v>
      </c>
      <c r="C161" s="12"/>
      <c r="D161" s="12"/>
      <c r="E161" s="12"/>
    </row>
    <row r="162" spans="1:6" x14ac:dyDescent="0.3">
      <c r="B162" s="12"/>
      <c r="C162" s="12"/>
      <c r="D162" s="12"/>
      <c r="E162" s="12"/>
    </row>
    <row r="164" spans="1:6" ht="15.6" x14ac:dyDescent="0.3">
      <c r="B164" s="14" t="s">
        <v>262</v>
      </c>
    </row>
    <row r="166" spans="1:6" ht="69" x14ac:dyDescent="0.3">
      <c r="B166" s="9" t="s">
        <v>265</v>
      </c>
      <c r="C166" s="4907" t="s">
        <v>264</v>
      </c>
      <c r="D166" s="5223"/>
      <c r="E166" s="5224"/>
    </row>
    <row r="167" spans="1:6" ht="41.4" x14ac:dyDescent="0.3">
      <c r="B167" s="7"/>
      <c r="C167" s="9" t="s">
        <v>484</v>
      </c>
      <c r="D167" s="9" t="s">
        <v>485</v>
      </c>
      <c r="E167" s="9" t="s">
        <v>486</v>
      </c>
    </row>
    <row r="168" spans="1:6" ht="15.6" x14ac:dyDescent="0.3">
      <c r="B168" s="7">
        <v>1</v>
      </c>
      <c r="C168" s="7">
        <v>2</v>
      </c>
      <c r="D168" s="7">
        <v>3</v>
      </c>
      <c r="E168" s="7">
        <v>4</v>
      </c>
    </row>
    <row r="169" spans="1:6" ht="55.8" x14ac:dyDescent="0.3">
      <c r="B169" s="1215" t="s">
        <v>2318</v>
      </c>
      <c r="C169" s="8">
        <v>0</v>
      </c>
      <c r="D169" s="8">
        <v>0</v>
      </c>
      <c r="E169" s="8">
        <v>0</v>
      </c>
    </row>
    <row r="170" spans="1:6" ht="27.6" x14ac:dyDescent="0.3">
      <c r="B170" s="11" t="s">
        <v>1905</v>
      </c>
      <c r="C170" s="8">
        <v>0</v>
      </c>
      <c r="D170" s="8">
        <v>0</v>
      </c>
      <c r="E170" s="8">
        <v>0</v>
      </c>
    </row>
    <row r="171" spans="1:6" ht="26.4" x14ac:dyDescent="0.3">
      <c r="B171" s="147" t="s">
        <v>86</v>
      </c>
      <c r="C171" s="12"/>
      <c r="D171" s="12"/>
      <c r="E171" s="12"/>
    </row>
    <row r="176" spans="1:6" x14ac:dyDescent="0.3">
      <c r="A176" s="5230" t="s">
        <v>451</v>
      </c>
      <c r="B176" s="5230"/>
      <c r="C176" s="5230"/>
      <c r="D176" s="5230"/>
      <c r="E176" s="5230"/>
      <c r="F176" s="5230"/>
    </row>
    <row r="177" spans="1:6" x14ac:dyDescent="0.3">
      <c r="A177" s="5230" t="s">
        <v>655</v>
      </c>
      <c r="B177" s="5230"/>
      <c r="C177" s="5230"/>
      <c r="D177" s="5230"/>
      <c r="E177" s="5230"/>
      <c r="F177" s="5230"/>
    </row>
    <row r="178" spans="1:6" x14ac:dyDescent="0.3">
      <c r="A178" s="5226" t="str">
        <f>'Вхідні дані'!F4</f>
        <v>Комунальне підприємство «Чорноморськтеплоенерго» Чорноморської міської ради Одеського району Одеської області</v>
      </c>
      <c r="B178" s="5226"/>
      <c r="C178" s="5226"/>
      <c r="D178" s="5226"/>
      <c r="E178" s="5226"/>
      <c r="F178" s="5226"/>
    </row>
    <row r="179" spans="1:6" x14ac:dyDescent="0.3">
      <c r="A179" s="5236" t="s">
        <v>656</v>
      </c>
      <c r="B179" s="5236"/>
      <c r="C179" s="5236"/>
      <c r="D179" s="5236"/>
      <c r="E179" s="5236"/>
      <c r="F179" s="5236"/>
    </row>
    <row r="180" spans="1:6" x14ac:dyDescent="0.3">
      <c r="A180" s="5237" t="s">
        <v>659</v>
      </c>
      <c r="B180" s="5237"/>
      <c r="C180" s="5237"/>
      <c r="D180" s="5237"/>
      <c r="E180" s="5237"/>
      <c r="F180" s="5237"/>
    </row>
    <row r="181" spans="1:6" x14ac:dyDescent="0.3">
      <c r="A181" s="5237" t="s">
        <v>2323</v>
      </c>
      <c r="B181" s="5237"/>
      <c r="C181" s="5237"/>
      <c r="D181" s="5237"/>
      <c r="E181" s="5237"/>
      <c r="F181" s="5237"/>
    </row>
    <row r="182" spans="1:6" x14ac:dyDescent="0.3">
      <c r="A182" s="5237" t="s">
        <v>660</v>
      </c>
      <c r="B182" s="5237"/>
      <c r="C182" s="5237"/>
      <c r="D182" s="5237"/>
      <c r="E182" s="5237"/>
      <c r="F182" s="5237"/>
    </row>
    <row r="183" spans="1:6" x14ac:dyDescent="0.3">
      <c r="A183" s="1121"/>
      <c r="B183" s="1121"/>
      <c r="C183" s="1121"/>
      <c r="D183" s="1121"/>
      <c r="E183" s="1121"/>
      <c r="F183" s="1121"/>
    </row>
    <row r="184" spans="1:6" x14ac:dyDescent="0.3">
      <c r="A184" s="5238" t="s">
        <v>7</v>
      </c>
      <c r="B184" s="5238" t="s">
        <v>251</v>
      </c>
      <c r="C184" s="5238" t="s">
        <v>252</v>
      </c>
      <c r="D184" s="5233" t="s">
        <v>249</v>
      </c>
      <c r="E184" s="5234"/>
      <c r="F184" s="5241"/>
    </row>
    <row r="185" spans="1:6" ht="55.2" x14ac:dyDescent="0.3">
      <c r="A185" s="5239"/>
      <c r="B185" s="5240"/>
      <c r="C185" s="5240"/>
      <c r="D185" s="1200" t="s">
        <v>253</v>
      </c>
      <c r="E185" s="1200" t="s">
        <v>254</v>
      </c>
      <c r="F185" s="1200" t="s">
        <v>255</v>
      </c>
    </row>
    <row r="186" spans="1:6" x14ac:dyDescent="0.3">
      <c r="A186" s="1201">
        <v>1</v>
      </c>
      <c r="B186" s="1202">
        <v>2</v>
      </c>
      <c r="C186" s="1202">
        <v>3</v>
      </c>
      <c r="D186" s="1202">
        <v>4</v>
      </c>
      <c r="E186" s="1202">
        <v>5</v>
      </c>
      <c r="F186" s="1202">
        <v>6</v>
      </c>
    </row>
    <row r="187" spans="1:6" ht="55.8" x14ac:dyDescent="0.3">
      <c r="A187" s="1207">
        <v>1</v>
      </c>
      <c r="B187" s="1213" t="s">
        <v>2318</v>
      </c>
      <c r="C187" s="1212"/>
      <c r="D187" s="1212"/>
      <c r="E187" s="1212"/>
      <c r="F187" s="1212"/>
    </row>
    <row r="188" spans="1:6" ht="27.6" x14ac:dyDescent="0.3">
      <c r="A188" s="1207">
        <v>2</v>
      </c>
      <c r="B188" s="1212" t="s">
        <v>1905</v>
      </c>
      <c r="C188" s="1212"/>
      <c r="D188" s="1212"/>
      <c r="E188" s="1212"/>
      <c r="F188" s="1212"/>
    </row>
    <row r="189" spans="1:6" ht="27.6" x14ac:dyDescent="0.3">
      <c r="A189" s="1207">
        <v>3</v>
      </c>
      <c r="B189" s="1212" t="s">
        <v>86</v>
      </c>
      <c r="C189" s="1212"/>
      <c r="D189" s="1212"/>
      <c r="E189" s="1212"/>
      <c r="F189" s="1212"/>
    </row>
    <row r="190" spans="1:6" x14ac:dyDescent="0.3">
      <c r="A190" s="1207"/>
      <c r="B190" s="1212"/>
      <c r="C190" s="1212"/>
      <c r="D190" s="1212"/>
      <c r="E190" s="1212"/>
      <c r="F190" s="1212"/>
    </row>
    <row r="191" spans="1:6" x14ac:dyDescent="0.3">
      <c r="A191" s="1207"/>
      <c r="B191" s="1212"/>
      <c r="C191" s="1212"/>
      <c r="D191" s="1212"/>
      <c r="E191" s="1212"/>
      <c r="F191" s="1212"/>
    </row>
    <row r="192" spans="1:6" x14ac:dyDescent="0.3">
      <c r="A192" s="1207"/>
      <c r="B192" s="1212"/>
      <c r="C192" s="1212"/>
      <c r="D192" s="1212"/>
      <c r="E192" s="1212"/>
      <c r="F192" s="1212"/>
    </row>
    <row r="193" spans="1:6" x14ac:dyDescent="0.3">
      <c r="A193" s="1207"/>
      <c r="B193" s="1212"/>
      <c r="C193" s="1212"/>
      <c r="D193" s="1212"/>
      <c r="E193" s="1212"/>
      <c r="F193" s="1212"/>
    </row>
    <row r="194" spans="1:6" x14ac:dyDescent="0.3">
      <c r="A194" s="5231" t="s">
        <v>250</v>
      </c>
      <c r="B194" s="5232"/>
      <c r="C194" s="1203"/>
      <c r="D194" s="1203"/>
      <c r="E194" s="1203"/>
      <c r="F194" s="1203"/>
    </row>
    <row r="195" spans="1:6" x14ac:dyDescent="0.3">
      <c r="A195" s="1121"/>
      <c r="B195" s="1121"/>
      <c r="C195" s="1121">
        <v>2</v>
      </c>
      <c r="D195" s="1121"/>
      <c r="E195" s="1121"/>
      <c r="F195" s="1121"/>
    </row>
    <row r="196" spans="1:6" ht="15.6" x14ac:dyDescent="0.3">
      <c r="A196" s="1121"/>
      <c r="B196" s="1204" t="s">
        <v>257</v>
      </c>
      <c r="C196" s="1204"/>
      <c r="D196" s="1121"/>
      <c r="E196" s="1121"/>
      <c r="F196" s="1121"/>
    </row>
    <row r="197" spans="1:6" x14ac:dyDescent="0.3">
      <c r="A197" s="1121"/>
      <c r="B197" s="1121"/>
      <c r="C197" s="1121"/>
      <c r="D197" s="1121"/>
      <c r="E197" s="1121"/>
      <c r="F197" s="1121"/>
    </row>
    <row r="198" spans="1:6" ht="15.6" x14ac:dyDescent="0.3">
      <c r="A198" s="1205"/>
      <c r="B198" s="1206" t="s">
        <v>263</v>
      </c>
      <c r="C198" s="1206"/>
      <c r="D198" s="1121"/>
      <c r="E198" s="1121"/>
      <c r="F198" s="1121"/>
    </row>
    <row r="199" spans="1:6" x14ac:dyDescent="0.3">
      <c r="A199" s="1121"/>
      <c r="B199" s="1121"/>
      <c r="C199" s="1121"/>
      <c r="D199" s="1121"/>
      <c r="E199" s="1121"/>
      <c r="F199" s="1121"/>
    </row>
    <row r="200" spans="1:6" ht="124.2" x14ac:dyDescent="0.3">
      <c r="A200" s="1121"/>
      <c r="B200" s="1207" t="s">
        <v>259</v>
      </c>
      <c r="C200" s="1208" t="s">
        <v>260</v>
      </c>
      <c r="D200" s="1209" t="s">
        <v>258</v>
      </c>
      <c r="E200" s="1208" t="s">
        <v>261</v>
      </c>
      <c r="F200" s="1121"/>
    </row>
    <row r="201" spans="1:6" ht="15.6" x14ac:dyDescent="0.3">
      <c r="A201" s="1121"/>
      <c r="B201" s="1210">
        <v>1</v>
      </c>
      <c r="C201" s="1211">
        <v>2</v>
      </c>
      <c r="D201" s="1211">
        <v>3</v>
      </c>
      <c r="E201" s="1211">
        <v>4</v>
      </c>
      <c r="F201" s="1121"/>
    </row>
    <row r="202" spans="1:6" ht="55.8" x14ac:dyDescent="0.3">
      <c r="A202" s="1121"/>
      <c r="B202" s="1213" t="s">
        <v>2318</v>
      </c>
      <c r="C202" s="1214"/>
      <c r="D202" s="1214"/>
      <c r="E202" s="1214"/>
      <c r="F202" s="1121"/>
    </row>
    <row r="203" spans="1:6" ht="27.6" x14ac:dyDescent="0.3">
      <c r="A203" s="1121"/>
      <c r="B203" s="1212" t="s">
        <v>1905</v>
      </c>
      <c r="C203" s="1214"/>
      <c r="D203" s="1214"/>
      <c r="E203" s="1214"/>
      <c r="F203" s="1121"/>
    </row>
    <row r="204" spans="1:6" ht="27.6" x14ac:dyDescent="0.3">
      <c r="A204" s="1121"/>
      <c r="B204" s="1212" t="s">
        <v>86</v>
      </c>
      <c r="C204" s="1220"/>
      <c r="D204" s="1220"/>
      <c r="E204" s="1220"/>
      <c r="F204" s="1121"/>
    </row>
    <row r="205" spans="1:6" x14ac:dyDescent="0.3">
      <c r="A205" s="1121"/>
      <c r="B205" s="1220"/>
      <c r="C205" s="1220"/>
      <c r="D205" s="1220"/>
      <c r="E205" s="1220"/>
      <c r="F205" s="1121"/>
    </row>
    <row r="206" spans="1:6" x14ac:dyDescent="0.3">
      <c r="A206" s="1121"/>
      <c r="B206" s="1121"/>
      <c r="C206" s="1121"/>
      <c r="D206" s="1121"/>
      <c r="E206" s="1121"/>
      <c r="F206" s="1121"/>
    </row>
    <row r="207" spans="1:6" ht="15.6" x14ac:dyDescent="0.3">
      <c r="A207" s="1121"/>
      <c r="B207" s="1206" t="s">
        <v>262</v>
      </c>
      <c r="C207" s="1206"/>
      <c r="D207" s="1206"/>
      <c r="E207" s="1206"/>
      <c r="F207" s="1121"/>
    </row>
    <row r="208" spans="1:6" x14ac:dyDescent="0.3">
      <c r="A208" s="1121"/>
      <c r="B208" s="1121"/>
      <c r="C208" s="1121"/>
      <c r="D208" s="1121"/>
      <c r="E208" s="1121"/>
      <c r="F208" s="1121"/>
    </row>
    <row r="209" spans="1:6" ht="69" x14ac:dyDescent="0.3">
      <c r="A209" s="1121"/>
      <c r="B209" s="1207" t="s">
        <v>265</v>
      </c>
      <c r="C209" s="5233" t="s">
        <v>264</v>
      </c>
      <c r="D209" s="5234"/>
      <c r="E209" s="5235"/>
      <c r="F209" s="1121"/>
    </row>
    <row r="210" spans="1:6" ht="41.4" x14ac:dyDescent="0.3">
      <c r="A210" s="1121"/>
      <c r="B210" s="1210"/>
      <c r="C210" s="1200" t="s">
        <v>484</v>
      </c>
      <c r="D210" s="1200" t="s">
        <v>485</v>
      </c>
      <c r="E210" s="1200" t="s">
        <v>486</v>
      </c>
      <c r="F210" s="1121"/>
    </row>
    <row r="211" spans="1:6" ht="15.6" x14ac:dyDescent="0.3">
      <c r="A211" s="1121"/>
      <c r="B211" s="1210">
        <v>1</v>
      </c>
      <c r="C211" s="1211">
        <v>2</v>
      </c>
      <c r="D211" s="1211">
        <v>3</v>
      </c>
      <c r="E211" s="1211">
        <v>4</v>
      </c>
      <c r="F211" s="1121"/>
    </row>
    <row r="212" spans="1:6" ht="55.8" x14ac:dyDescent="0.3">
      <c r="A212" s="1121"/>
      <c r="B212" s="1213" t="s">
        <v>2318</v>
      </c>
      <c r="C212" s="1214">
        <v>0</v>
      </c>
      <c r="D212" s="1214">
        <v>0</v>
      </c>
      <c r="E212" s="1214">
        <v>0</v>
      </c>
      <c r="F212" s="1121"/>
    </row>
    <row r="213" spans="1:6" ht="27.6" x14ac:dyDescent="0.3">
      <c r="A213" s="1121"/>
      <c r="B213" s="1212" t="s">
        <v>1905</v>
      </c>
      <c r="C213" s="1214"/>
      <c r="D213" s="1214"/>
      <c r="E213" s="1214"/>
      <c r="F213" s="1121"/>
    </row>
    <row r="214" spans="1:6" ht="27.6" x14ac:dyDescent="0.3">
      <c r="B214" s="1212" t="s">
        <v>86</v>
      </c>
      <c r="C214" s="12"/>
      <c r="D214" s="12"/>
      <c r="E214" s="12"/>
    </row>
  </sheetData>
  <mergeCells count="69">
    <mergeCell ref="A194:B194"/>
    <mergeCell ref="C209:E209"/>
    <mergeCell ref="A179:F179"/>
    <mergeCell ref="A180:F180"/>
    <mergeCell ref="A181:F181"/>
    <mergeCell ref="A182:F182"/>
    <mergeCell ref="A184:A185"/>
    <mergeCell ref="B184:B185"/>
    <mergeCell ref="C184:C185"/>
    <mergeCell ref="D184:F184"/>
    <mergeCell ref="A151:B151"/>
    <mergeCell ref="C166:E166"/>
    <mergeCell ref="A176:F176"/>
    <mergeCell ref="A177:F177"/>
    <mergeCell ref="A178:F178"/>
    <mergeCell ref="A136:F136"/>
    <mergeCell ref="A137:F137"/>
    <mergeCell ref="A138:F138"/>
    <mergeCell ref="A139:F139"/>
    <mergeCell ref="A141:A142"/>
    <mergeCell ref="B141:B142"/>
    <mergeCell ref="C141:C142"/>
    <mergeCell ref="D141:F141"/>
    <mergeCell ref="A110:B110"/>
    <mergeCell ref="C125:E125"/>
    <mergeCell ref="A133:F133"/>
    <mergeCell ref="A134:F134"/>
    <mergeCell ref="A135:F135"/>
    <mergeCell ref="A96:F96"/>
    <mergeCell ref="A97:F97"/>
    <mergeCell ref="A98:F98"/>
    <mergeCell ref="A100:A101"/>
    <mergeCell ref="B100:B101"/>
    <mergeCell ref="C100:C101"/>
    <mergeCell ref="D100:F100"/>
    <mergeCell ref="C84:E84"/>
    <mergeCell ref="A92:F92"/>
    <mergeCell ref="A93:F93"/>
    <mergeCell ref="A94:F94"/>
    <mergeCell ref="A95:F95"/>
    <mergeCell ref="A59:A60"/>
    <mergeCell ref="B59:B60"/>
    <mergeCell ref="C59:C60"/>
    <mergeCell ref="D59:F59"/>
    <mergeCell ref="A69:B69"/>
    <mergeCell ref="D1:F1"/>
    <mergeCell ref="A7:F7"/>
    <mergeCell ref="A10:F10"/>
    <mergeCell ref="A11:F11"/>
    <mergeCell ref="A12:F12"/>
    <mergeCell ref="A6:F6"/>
    <mergeCell ref="B3:C3"/>
    <mergeCell ref="A8:F8"/>
    <mergeCell ref="A9:F9"/>
    <mergeCell ref="A56:F56"/>
    <mergeCell ref="A57:F57"/>
    <mergeCell ref="D47:E47"/>
    <mergeCell ref="D48:E48"/>
    <mergeCell ref="C39:E39"/>
    <mergeCell ref="A51:F51"/>
    <mergeCell ref="A52:F52"/>
    <mergeCell ref="A53:F53"/>
    <mergeCell ref="A54:F54"/>
    <mergeCell ref="A55:F55"/>
    <mergeCell ref="D14:F14"/>
    <mergeCell ref="A24:B24"/>
    <mergeCell ref="B14:B15"/>
    <mergeCell ref="C14:C15"/>
    <mergeCell ref="A14:A15"/>
  </mergeCells>
  <pageMargins left="0.7" right="0.7" top="0.75" bottom="0.75" header="0.3" footer="0.3"/>
  <pageSetup paperSize="9" scale="89" fitToHeight="0" orientation="portrait" horizontalDpi="1200"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200-000000000000}">
  <sheetPr codeName="Лист28">
    <tabColor rgb="FF7030A0"/>
    <pageSetUpPr fitToPage="1"/>
  </sheetPr>
  <dimension ref="A1:AH252"/>
  <sheetViews>
    <sheetView view="pageBreakPreview" topLeftCell="A10" zoomScaleNormal="100" zoomScaleSheetLayoutView="100" workbookViewId="0">
      <pane xSplit="7" ySplit="4" topLeftCell="H126" activePane="bottomRight" state="frozen"/>
      <selection activeCell="A10" sqref="A10"/>
      <selection pane="topRight" activeCell="H10" sqref="H10"/>
      <selection pane="bottomLeft" activeCell="A14" sqref="A14"/>
      <selection pane="bottomRight" activeCell="I32" sqref="I32:N32"/>
    </sheetView>
  </sheetViews>
  <sheetFormatPr defaultColWidth="8.88671875" defaultRowHeight="13.8" x14ac:dyDescent="0.25"/>
  <cols>
    <col min="1" max="1" width="4.44140625" style="10" customWidth="1"/>
    <col min="2" max="2" width="7.5546875" style="69" customWidth="1"/>
    <col min="3" max="3" width="31.44140625" style="2316" customWidth="1"/>
    <col min="4" max="4" width="9.88671875" style="2316" customWidth="1"/>
    <col min="5" max="6" width="9.88671875" style="3297" customWidth="1"/>
    <col min="7" max="7" width="12" style="3297" customWidth="1"/>
    <col min="8" max="8" width="9.88671875" style="3297" customWidth="1"/>
    <col min="9" max="9" width="11" style="3297" customWidth="1"/>
    <col min="10" max="10" width="11.33203125" style="3297" customWidth="1"/>
    <col min="11" max="11" width="11.44140625" style="3297" customWidth="1"/>
    <col min="12" max="12" width="11.33203125" style="3297" customWidth="1"/>
    <col min="13" max="13" width="11.6640625" style="3297" customWidth="1"/>
    <col min="14" max="14" width="10.44140625" style="3297" customWidth="1"/>
    <col min="15" max="15" width="9.5546875" style="3297" customWidth="1"/>
    <col min="16" max="19" width="9" style="3297" customWidth="1"/>
    <col min="20" max="20" width="20.44140625" style="10" hidden="1" customWidth="1"/>
    <col min="21" max="21" width="12.33203125" style="10" customWidth="1"/>
    <col min="22" max="22" width="11.5546875" style="10" customWidth="1"/>
    <col min="23" max="23" width="19.109375" style="10" customWidth="1"/>
    <col min="24" max="24" width="16" style="10" customWidth="1"/>
    <col min="25" max="25" width="13.33203125" style="10" bestFit="1" customWidth="1"/>
    <col min="26" max="26" width="13.88671875" style="10" bestFit="1" customWidth="1"/>
    <col min="27" max="27" width="10.44140625" style="10" bestFit="1" customWidth="1"/>
    <col min="28" max="16384" width="8.88671875" style="10"/>
  </cols>
  <sheetData>
    <row r="1" spans="2:23" ht="17.399999999999999" customHeight="1" x14ac:dyDescent="0.25">
      <c r="C1" s="2316" t="s">
        <v>6</v>
      </c>
      <c r="O1" s="5242" t="s">
        <v>2020</v>
      </c>
      <c r="P1" s="5242"/>
      <c r="Q1" s="5242"/>
      <c r="R1" s="5242"/>
      <c r="S1" s="5242"/>
      <c r="T1" s="157" t="s">
        <v>657</v>
      </c>
    </row>
    <row r="2" spans="2:23" x14ac:dyDescent="0.25">
      <c r="C2" s="2317" t="str">
        <f>'Вхідні дані'!F10</f>
        <v>Виконавчий комітет Чорноморської міської ради Одеського району Одеської області</v>
      </c>
      <c r="D2" s="2317"/>
      <c r="E2" s="3298"/>
      <c r="F2" s="3298"/>
      <c r="N2" s="3299"/>
      <c r="O2" s="3299"/>
      <c r="P2" s="3299"/>
      <c r="Q2" s="3299"/>
      <c r="R2" s="3299"/>
      <c r="S2" s="3299"/>
    </row>
    <row r="3" spans="2:23" x14ac:dyDescent="0.25">
      <c r="C3" s="2318" t="s">
        <v>198</v>
      </c>
      <c r="N3" s="3299"/>
      <c r="O3" s="3299"/>
      <c r="P3" s="3299"/>
      <c r="Q3" s="3299"/>
      <c r="R3" s="3299"/>
      <c r="S3" s="3299"/>
    </row>
    <row r="4" spans="2:23" x14ac:dyDescent="0.25">
      <c r="C4" s="2319" t="s">
        <v>2244</v>
      </c>
      <c r="D4" s="2319"/>
      <c r="E4" s="3300"/>
      <c r="F4" s="3300"/>
      <c r="G4" s="5249" t="s">
        <v>482</v>
      </c>
      <c r="H4" s="5249"/>
      <c r="I4" s="5249"/>
      <c r="J4" s="5249"/>
      <c r="K4" s="5249"/>
      <c r="L4" s="5249"/>
      <c r="M4" s="5249"/>
      <c r="N4" s="5249"/>
      <c r="O4" s="5249"/>
      <c r="P4" s="3300"/>
      <c r="Q4" s="3301"/>
      <c r="R4" s="3301"/>
      <c r="S4" s="3301"/>
      <c r="T4" s="157" t="s">
        <v>657</v>
      </c>
    </row>
    <row r="5" spans="2:23" x14ac:dyDescent="0.25">
      <c r="C5" s="2319" t="s">
        <v>3526</v>
      </c>
      <c r="D5" s="2320"/>
      <c r="E5" s="2320"/>
      <c r="F5" s="2320"/>
      <c r="G5" s="5250" t="s">
        <v>199</v>
      </c>
      <c r="H5" s="5250"/>
      <c r="I5" s="5250"/>
      <c r="J5" s="5250"/>
      <c r="K5" s="5250"/>
      <c r="L5" s="5250"/>
      <c r="M5" s="5250"/>
      <c r="N5" s="5250"/>
      <c r="O5" s="5250"/>
      <c r="P5" s="3444"/>
      <c r="Q5" s="3444"/>
      <c r="R5" s="3444"/>
      <c r="S5" s="3302"/>
      <c r="T5" s="157" t="s">
        <v>657</v>
      </c>
    </row>
    <row r="6" spans="2:23" x14ac:dyDescent="0.25">
      <c r="C6" s="3518"/>
      <c r="D6" s="2320"/>
      <c r="G6" s="5248" t="s">
        <v>662</v>
      </c>
      <c r="H6" s="5248"/>
      <c r="I6" s="5248"/>
      <c r="J6" s="5248"/>
      <c r="K6" s="5248"/>
      <c r="L6" s="5248"/>
      <c r="M6" s="5248"/>
      <c r="N6" s="3397" t="str">
        <f>'Вхідні дані'!F6</f>
        <v>2023-2024</v>
      </c>
      <c r="O6" s="3519" t="s">
        <v>661</v>
      </c>
      <c r="Q6" s="3444"/>
      <c r="S6" s="3444"/>
      <c r="T6" s="157" t="s">
        <v>657</v>
      </c>
    </row>
    <row r="7" spans="2:23" x14ac:dyDescent="0.25">
      <c r="C7" s="70"/>
      <c r="D7" s="70"/>
      <c r="E7" s="3303"/>
      <c r="G7" s="3304"/>
      <c r="H7" s="3520"/>
      <c r="I7" s="3304"/>
      <c r="J7" s="3304"/>
      <c r="L7" s="3303"/>
      <c r="M7" s="3303"/>
      <c r="P7" s="3303"/>
      <c r="Q7" s="3303"/>
      <c r="R7" s="3303"/>
      <c r="S7" s="3303"/>
    </row>
    <row r="8" spans="2:23" x14ac:dyDescent="0.25">
      <c r="B8" s="5251" t="str">
        <f>'Вхідні дані'!F4</f>
        <v>Комунальне підприємство «Чорноморськтеплоенерго» Чорноморської міської ради Одеського району Одеської області</v>
      </c>
      <c r="C8" s="5251"/>
      <c r="D8" s="5251"/>
      <c r="E8" s="5251"/>
      <c r="F8" s="5251"/>
      <c r="G8" s="5251"/>
      <c r="H8" s="5251"/>
      <c r="I8" s="5251"/>
      <c r="J8" s="5251"/>
      <c r="K8" s="5251"/>
      <c r="L8" s="5251"/>
      <c r="M8" s="5251"/>
      <c r="N8" s="5251"/>
      <c r="O8" s="5251"/>
      <c r="P8" s="5251"/>
      <c r="Q8" s="5251"/>
      <c r="R8" s="5251"/>
      <c r="S8" s="5251"/>
    </row>
    <row r="9" spans="2:23" ht="14.4" thickBot="1" x14ac:dyDescent="0.3">
      <c r="B9" s="2321"/>
      <c r="C9" s="2321"/>
      <c r="D9" s="2321"/>
      <c r="E9" s="3305"/>
      <c r="F9" s="5252" t="s">
        <v>505</v>
      </c>
      <c r="G9" s="5252"/>
      <c r="H9" s="5252"/>
      <c r="I9" s="5252"/>
      <c r="J9" s="5252"/>
      <c r="K9" s="5252"/>
      <c r="L9" s="3305"/>
      <c r="M9" s="3305"/>
      <c r="N9" s="3305"/>
      <c r="O9" s="3305"/>
      <c r="P9" s="3305"/>
      <c r="Q9" s="3305"/>
      <c r="R9" s="3305"/>
      <c r="S9" s="3305"/>
    </row>
    <row r="10" spans="2:23" s="3189" customFormat="1" ht="15" customHeight="1" x14ac:dyDescent="0.25">
      <c r="B10" s="5253" t="s">
        <v>7</v>
      </c>
      <c r="C10" s="5263" t="s">
        <v>8</v>
      </c>
      <c r="D10" s="5263" t="s">
        <v>9</v>
      </c>
      <c r="E10" s="5266" t="s">
        <v>663</v>
      </c>
      <c r="F10" s="5268" t="s">
        <v>200</v>
      </c>
      <c r="G10" s="5259" t="s">
        <v>197</v>
      </c>
      <c r="H10" s="5256" t="s">
        <v>504</v>
      </c>
      <c r="I10" s="5257"/>
      <c r="J10" s="5257"/>
      <c r="K10" s="5257"/>
      <c r="L10" s="5257"/>
      <c r="M10" s="5257"/>
      <c r="N10" s="5257"/>
      <c r="O10" s="5257"/>
      <c r="P10" s="5257"/>
      <c r="Q10" s="5257"/>
      <c r="R10" s="5257"/>
      <c r="S10" s="5258"/>
    </row>
    <row r="11" spans="2:23" s="3189" customFormat="1" ht="33" customHeight="1" x14ac:dyDescent="0.25">
      <c r="B11" s="5254"/>
      <c r="C11" s="5264"/>
      <c r="D11" s="5264"/>
      <c r="E11" s="5267"/>
      <c r="F11" s="5269"/>
      <c r="G11" s="5260"/>
      <c r="H11" s="3190" t="s">
        <v>19</v>
      </c>
      <c r="I11" s="3190" t="s">
        <v>20</v>
      </c>
      <c r="J11" s="3190" t="s">
        <v>21</v>
      </c>
      <c r="K11" s="3190" t="s">
        <v>10</v>
      </c>
      <c r="L11" s="3190" t="s">
        <v>11</v>
      </c>
      <c r="M11" s="3190" t="s">
        <v>12</v>
      </c>
      <c r="N11" s="3190" t="s">
        <v>13</v>
      </c>
      <c r="O11" s="3190" t="s">
        <v>14</v>
      </c>
      <c r="P11" s="3190" t="s">
        <v>15</v>
      </c>
      <c r="Q11" s="3190" t="s">
        <v>16</v>
      </c>
      <c r="R11" s="3190" t="s">
        <v>17</v>
      </c>
      <c r="S11" s="3191" t="s">
        <v>18</v>
      </c>
      <c r="T11" s="3192" t="s">
        <v>657</v>
      </c>
    </row>
    <row r="12" spans="2:23" s="3189" customFormat="1" x14ac:dyDescent="0.25">
      <c r="B12" s="5255"/>
      <c r="C12" s="5265"/>
      <c r="D12" s="5265"/>
      <c r="E12" s="2361">
        <f>'Вхідні дані'!F8</f>
        <v>2021</v>
      </c>
      <c r="F12" s="2361">
        <f>'Вхідні дані'!F7</f>
        <v>2022</v>
      </c>
      <c r="G12" s="2361" t="str">
        <f>'Вхідні дані'!F6</f>
        <v>2023-2024</v>
      </c>
      <c r="H12" s="244" t="s">
        <v>201</v>
      </c>
      <c r="I12" s="244" t="s">
        <v>201</v>
      </c>
      <c r="J12" s="244" t="s">
        <v>201</v>
      </c>
      <c r="K12" s="244" t="s">
        <v>201</v>
      </c>
      <c r="L12" s="244" t="s">
        <v>201</v>
      </c>
      <c r="M12" s="244" t="s">
        <v>201</v>
      </c>
      <c r="N12" s="244" t="s">
        <v>201</v>
      </c>
      <c r="O12" s="244" t="s">
        <v>201</v>
      </c>
      <c r="P12" s="244" t="s">
        <v>201</v>
      </c>
      <c r="Q12" s="244" t="s">
        <v>201</v>
      </c>
      <c r="R12" s="244" t="s">
        <v>201</v>
      </c>
      <c r="S12" s="324" t="s">
        <v>201</v>
      </c>
    </row>
    <row r="13" spans="2:23" s="3189" customFormat="1" ht="14.4" thickBot="1" x14ac:dyDescent="0.3">
      <c r="B13" s="2322" t="s">
        <v>487</v>
      </c>
      <c r="C13" s="3445" t="s">
        <v>506</v>
      </c>
      <c r="D13" s="2323" t="s">
        <v>173</v>
      </c>
      <c r="E13" s="3445" t="s">
        <v>174</v>
      </c>
      <c r="F13" s="2323" t="s">
        <v>169</v>
      </c>
      <c r="G13" s="3445" t="s">
        <v>170</v>
      </c>
      <c r="H13" s="2323" t="s">
        <v>171</v>
      </c>
      <c r="I13" s="3445" t="s">
        <v>172</v>
      </c>
      <c r="J13" s="2323" t="s">
        <v>187</v>
      </c>
      <c r="K13" s="3445" t="s">
        <v>188</v>
      </c>
      <c r="L13" s="2323" t="s">
        <v>189</v>
      </c>
      <c r="M13" s="3445" t="s">
        <v>190</v>
      </c>
      <c r="N13" s="2323" t="s">
        <v>191</v>
      </c>
      <c r="O13" s="3445" t="s">
        <v>192</v>
      </c>
      <c r="P13" s="2323" t="s">
        <v>193</v>
      </c>
      <c r="Q13" s="3445" t="s">
        <v>688</v>
      </c>
      <c r="R13" s="2323" t="s">
        <v>689</v>
      </c>
      <c r="S13" s="3193" t="s">
        <v>690</v>
      </c>
    </row>
    <row r="14" spans="2:23" s="15" customFormat="1" ht="34.200000000000003" x14ac:dyDescent="0.3">
      <c r="B14" s="3207" t="s">
        <v>487</v>
      </c>
      <c r="C14" s="2353" t="s">
        <v>488</v>
      </c>
      <c r="D14" s="2373" t="s">
        <v>22</v>
      </c>
      <c r="E14" s="3306">
        <f>E15+E16</f>
        <v>102059.96539549297</v>
      </c>
      <c r="F14" s="3306">
        <f t="shared" ref="F14:S14" si="0">F15+F16</f>
        <v>74802.911352865674</v>
      </c>
      <c r="G14" s="3307">
        <f t="shared" si="0"/>
        <v>111299.69555310537</v>
      </c>
      <c r="H14" s="3307">
        <f t="shared" si="0"/>
        <v>0</v>
      </c>
      <c r="I14" s="3307">
        <f t="shared" si="0"/>
        <v>13712.418095070363</v>
      </c>
      <c r="J14" s="3307">
        <f t="shared" si="0"/>
        <v>23710.723439466092</v>
      </c>
      <c r="K14" s="3307">
        <f t="shared" si="0"/>
        <v>27172.954555331613</v>
      </c>
      <c r="L14" s="3307">
        <f t="shared" si="0"/>
        <v>23323.24092013076</v>
      </c>
      <c r="M14" s="3307">
        <f t="shared" si="0"/>
        <v>21080.767782591018</v>
      </c>
      <c r="N14" s="3307">
        <f t="shared" si="0"/>
        <v>2299.590760515538</v>
      </c>
      <c r="O14" s="3307">
        <f t="shared" si="0"/>
        <v>0</v>
      </c>
      <c r="P14" s="3307">
        <f t="shared" si="0"/>
        <v>0</v>
      </c>
      <c r="Q14" s="3307">
        <f t="shared" si="0"/>
        <v>0</v>
      </c>
      <c r="R14" s="3307">
        <f t="shared" si="0"/>
        <v>0</v>
      </c>
      <c r="S14" s="3308">
        <f t="shared" si="0"/>
        <v>0</v>
      </c>
      <c r="T14" s="208" t="s">
        <v>489</v>
      </c>
      <c r="U14" s="1622"/>
      <c r="V14" s="3565">
        <v>111299.69555339085</v>
      </c>
      <c r="W14" s="3567">
        <f>V14-G14</f>
        <v>2.854794729501009E-7</v>
      </c>
    </row>
    <row r="15" spans="2:23" x14ac:dyDescent="0.25">
      <c r="B15" s="2325" t="s">
        <v>23</v>
      </c>
      <c r="C15" s="2326" t="s">
        <v>490</v>
      </c>
      <c r="D15" s="2327" t="s">
        <v>22</v>
      </c>
      <c r="E15" s="3309">
        <v>0</v>
      </c>
      <c r="F15" s="3309">
        <v>0</v>
      </c>
      <c r="G15" s="3310">
        <v>0</v>
      </c>
      <c r="H15" s="3310">
        <v>0</v>
      </c>
      <c r="I15" s="3310">
        <v>0</v>
      </c>
      <c r="J15" s="3310">
        <v>0</v>
      </c>
      <c r="K15" s="3310">
        <v>0</v>
      </c>
      <c r="L15" s="3310">
        <v>0</v>
      </c>
      <c r="M15" s="3310">
        <v>0</v>
      </c>
      <c r="N15" s="3310">
        <v>0</v>
      </c>
      <c r="O15" s="3310">
        <v>0</v>
      </c>
      <c r="P15" s="3310">
        <v>0</v>
      </c>
      <c r="Q15" s="3310">
        <v>0</v>
      </c>
      <c r="R15" s="3310">
        <v>0</v>
      </c>
      <c r="S15" s="3311">
        <v>0</v>
      </c>
      <c r="T15" s="157" t="s">
        <v>489</v>
      </c>
      <c r="W15" s="3567"/>
    </row>
    <row r="16" spans="2:23" x14ac:dyDescent="0.25">
      <c r="B16" s="2325" t="s">
        <v>24</v>
      </c>
      <c r="C16" s="919" t="s">
        <v>491</v>
      </c>
      <c r="D16" s="2327" t="s">
        <v>22</v>
      </c>
      <c r="E16" s="3312">
        <f>E24/(100%-2.2%)</f>
        <v>102059.96539549297</v>
      </c>
      <c r="F16" s="3312">
        <f>F24/(100%-2.2%)</f>
        <v>74802.911352865674</v>
      </c>
      <c r="G16" s="3313">
        <f>G17+G18</f>
        <v>111299.69555310537</v>
      </c>
      <c r="H16" s="3313">
        <f t="shared" ref="H16:S16" si="1">H17+H18</f>
        <v>0</v>
      </c>
      <c r="I16" s="3313">
        <f t="shared" si="1"/>
        <v>13712.418095070363</v>
      </c>
      <c r="J16" s="3313">
        <f t="shared" si="1"/>
        <v>23710.723439466092</v>
      </c>
      <c r="K16" s="3313">
        <f t="shared" si="1"/>
        <v>27172.954555331613</v>
      </c>
      <c r="L16" s="3313">
        <f t="shared" si="1"/>
        <v>23323.24092013076</v>
      </c>
      <c r="M16" s="3313">
        <f t="shared" si="1"/>
        <v>21080.767782591018</v>
      </c>
      <c r="N16" s="3313">
        <f t="shared" si="1"/>
        <v>2299.590760515538</v>
      </c>
      <c r="O16" s="3313">
        <f t="shared" si="1"/>
        <v>0</v>
      </c>
      <c r="P16" s="3313">
        <f t="shared" si="1"/>
        <v>0</v>
      </c>
      <c r="Q16" s="3313">
        <f t="shared" si="1"/>
        <v>0</v>
      </c>
      <c r="R16" s="3313">
        <f t="shared" si="1"/>
        <v>0</v>
      </c>
      <c r="S16" s="3313">
        <f t="shared" si="1"/>
        <v>0</v>
      </c>
      <c r="T16" s="157" t="s">
        <v>489</v>
      </c>
      <c r="V16" s="1445">
        <v>111299.69555339085</v>
      </c>
      <c r="W16" s="3567">
        <f t="shared" ref="W16:W49" si="2">V16-G16</f>
        <v>2.854794729501009E-7</v>
      </c>
    </row>
    <row r="17" spans="2:34" x14ac:dyDescent="0.25">
      <c r="B17" s="2325" t="s">
        <v>805</v>
      </c>
      <c r="C17" s="2068" t="s">
        <v>644</v>
      </c>
      <c r="D17" s="2327" t="s">
        <v>22</v>
      </c>
      <c r="E17" s="3312">
        <f>E22+E28+E31+E34+E37+E40</f>
        <v>17040.174057023472</v>
      </c>
      <c r="F17" s="3312">
        <f>F22+F28+F31+F34+F37+F40</f>
        <v>11549.799214274257</v>
      </c>
      <c r="G17" s="3313">
        <f>SUM(H17:S17)</f>
        <v>18827.128764955985</v>
      </c>
      <c r="H17" s="3313">
        <f t="shared" ref="H17:M17" si="3">H22+H28+H31+H34+H37+H40</f>
        <v>0</v>
      </c>
      <c r="I17" s="3313">
        <f t="shared" si="3"/>
        <v>2324.0288511457302</v>
      </c>
      <c r="J17" s="3313">
        <f t="shared" si="3"/>
        <v>4010.1561550354036</v>
      </c>
      <c r="K17" s="3313">
        <f t="shared" si="3"/>
        <v>4591.225020188398</v>
      </c>
      <c r="L17" s="3313">
        <f t="shared" si="3"/>
        <v>3943.1512399326812</v>
      </c>
      <c r="M17" s="3313">
        <f t="shared" si="3"/>
        <v>3568.6899402315548</v>
      </c>
      <c r="N17" s="3313">
        <f>N22+N28+N31+N34+N37+N40-0.0000005</f>
        <v>389.87755842221554</v>
      </c>
      <c r="O17" s="3313">
        <f t="shared" ref="O17:S18" si="4">(O28+O31+O34+O37)/(100%-2.2%)</f>
        <v>0</v>
      </c>
      <c r="P17" s="3313">
        <f t="shared" si="4"/>
        <v>0</v>
      </c>
      <c r="Q17" s="3313">
        <f t="shared" si="4"/>
        <v>0</v>
      </c>
      <c r="R17" s="3313">
        <f t="shared" si="4"/>
        <v>0</v>
      </c>
      <c r="S17" s="3314">
        <f t="shared" si="4"/>
        <v>0</v>
      </c>
      <c r="T17" s="157" t="s">
        <v>489</v>
      </c>
      <c r="V17" s="1445">
        <v>18827.12876524145</v>
      </c>
      <c r="W17" s="3567">
        <f t="shared" si="2"/>
        <v>2.8546492103487253E-7</v>
      </c>
    </row>
    <row r="18" spans="2:34" ht="14.4" thickBot="1" x14ac:dyDescent="0.3">
      <c r="B18" s="2328" t="s">
        <v>806</v>
      </c>
      <c r="C18" s="2329" t="s">
        <v>643</v>
      </c>
      <c r="D18" s="2330" t="s">
        <v>22</v>
      </c>
      <c r="E18" s="3315">
        <f>E23+E29+E32+E35+E38+E41</f>
        <v>85019.791572955248</v>
      </c>
      <c r="F18" s="3315">
        <f>F23+F29+F32+F35+F38+F41</f>
        <v>63253.11213859143</v>
      </c>
      <c r="G18" s="3313">
        <f>SUM(H18:S18)</f>
        <v>92472.566788149386</v>
      </c>
      <c r="H18" s="3313">
        <f>H23+H29+H32+H35+H38+H41</f>
        <v>0</v>
      </c>
      <c r="I18" s="3313">
        <f t="shared" ref="I18:N18" si="5">I23+I29+I32+I35+I38+I41</f>
        <v>11388.389243924632</v>
      </c>
      <c r="J18" s="3313">
        <f t="shared" si="5"/>
        <v>19700.56728443069</v>
      </c>
      <c r="K18" s="3313">
        <f t="shared" si="5"/>
        <v>22581.729535143215</v>
      </c>
      <c r="L18" s="3313">
        <f t="shared" si="5"/>
        <v>19380.089680198078</v>
      </c>
      <c r="M18" s="3313">
        <f t="shared" si="5"/>
        <v>17512.077842359464</v>
      </c>
      <c r="N18" s="3313">
        <f t="shared" si="5"/>
        <v>1909.7132020933225</v>
      </c>
      <c r="O18" s="3316">
        <f t="shared" si="4"/>
        <v>0</v>
      </c>
      <c r="P18" s="3316">
        <f t="shared" si="4"/>
        <v>0</v>
      </c>
      <c r="Q18" s="3316">
        <f t="shared" si="4"/>
        <v>0</v>
      </c>
      <c r="R18" s="3316">
        <f t="shared" si="4"/>
        <v>0</v>
      </c>
      <c r="S18" s="3317">
        <f t="shared" si="4"/>
        <v>0</v>
      </c>
      <c r="T18" s="157" t="s">
        <v>489</v>
      </c>
      <c r="V18" s="1445">
        <v>92472.566788149386</v>
      </c>
      <c r="W18" s="3567">
        <f t="shared" si="2"/>
        <v>0</v>
      </c>
    </row>
    <row r="19" spans="2:34" ht="24" x14ac:dyDescent="0.25">
      <c r="B19" s="2331" t="s">
        <v>506</v>
      </c>
      <c r="C19" s="2324" t="s">
        <v>507</v>
      </c>
      <c r="D19" s="2332" t="s">
        <v>22</v>
      </c>
      <c r="E19" s="3318">
        <f>E20+E21</f>
        <v>2245.3192387008457</v>
      </c>
      <c r="F19" s="3318">
        <f t="shared" ref="F19:S19" si="6">F20+F21</f>
        <v>1645.6640497630433</v>
      </c>
      <c r="G19" s="3319">
        <f t="shared" si="6"/>
        <v>2448.5933021793226</v>
      </c>
      <c r="H19" s="3319">
        <f t="shared" si="6"/>
        <v>0</v>
      </c>
      <c r="I19" s="3319">
        <f t="shared" si="6"/>
        <v>301.67319809154833</v>
      </c>
      <c r="J19" s="3319">
        <f t="shared" si="6"/>
        <v>521.63591566825608</v>
      </c>
      <c r="K19" s="3319">
        <f t="shared" si="6"/>
        <v>597.80500021729586</v>
      </c>
      <c r="L19" s="3319">
        <f t="shared" si="6"/>
        <v>513.11130024287695</v>
      </c>
      <c r="M19" s="3319">
        <f t="shared" si="6"/>
        <v>463.77689121700359</v>
      </c>
      <c r="N19" s="3319">
        <f t="shared" si="6"/>
        <v>50.590996742341758</v>
      </c>
      <c r="O19" s="3319">
        <f t="shared" si="6"/>
        <v>0</v>
      </c>
      <c r="P19" s="3319">
        <f t="shared" si="6"/>
        <v>0</v>
      </c>
      <c r="Q19" s="3319">
        <f t="shared" si="6"/>
        <v>0</v>
      </c>
      <c r="R19" s="3319">
        <f t="shared" si="6"/>
        <v>0</v>
      </c>
      <c r="S19" s="3320">
        <f t="shared" si="6"/>
        <v>0</v>
      </c>
      <c r="T19" s="157" t="s">
        <v>489</v>
      </c>
      <c r="U19" s="729"/>
      <c r="V19" s="3568">
        <v>2448.5933021746037</v>
      </c>
      <c r="W19" s="3567">
        <f t="shared" si="2"/>
        <v>-4.7189132601488382E-9</v>
      </c>
    </row>
    <row r="20" spans="2:34" x14ac:dyDescent="0.25">
      <c r="B20" s="2333" t="s">
        <v>25</v>
      </c>
      <c r="C20" s="2326" t="s">
        <v>490</v>
      </c>
      <c r="D20" s="2334" t="s">
        <v>22</v>
      </c>
      <c r="E20" s="3309">
        <v>0</v>
      </c>
      <c r="F20" s="3309">
        <v>0</v>
      </c>
      <c r="G20" s="3310">
        <v>0</v>
      </c>
      <c r="H20" s="3310">
        <v>0</v>
      </c>
      <c r="I20" s="3310">
        <v>0</v>
      </c>
      <c r="J20" s="3310">
        <v>0</v>
      </c>
      <c r="K20" s="3310">
        <v>0</v>
      </c>
      <c r="L20" s="3310">
        <v>0</v>
      </c>
      <c r="M20" s="3310">
        <v>0</v>
      </c>
      <c r="N20" s="3310">
        <v>0</v>
      </c>
      <c r="O20" s="3310">
        <v>0</v>
      </c>
      <c r="P20" s="3310">
        <v>0</v>
      </c>
      <c r="Q20" s="3310">
        <v>0</v>
      </c>
      <c r="R20" s="3310">
        <v>0</v>
      </c>
      <c r="S20" s="3311">
        <v>0</v>
      </c>
      <c r="T20" s="157" t="s">
        <v>489</v>
      </c>
      <c r="V20" s="1445"/>
      <c r="W20" s="3567"/>
    </row>
    <row r="21" spans="2:34" x14ac:dyDescent="0.25">
      <c r="B21" s="2333" t="s">
        <v>26</v>
      </c>
      <c r="C21" s="919" t="s">
        <v>491</v>
      </c>
      <c r="D21" s="2334" t="s">
        <v>22</v>
      </c>
      <c r="E21" s="3312">
        <f>E16-E26</f>
        <v>2245.3192387008457</v>
      </c>
      <c r="F21" s="3312">
        <f>F16-F26</f>
        <v>1645.6640497630433</v>
      </c>
      <c r="G21" s="3313">
        <f>SUM(H21:S21)</f>
        <v>2448.5933021793226</v>
      </c>
      <c r="H21" s="3313">
        <f>H16-H26</f>
        <v>0</v>
      </c>
      <c r="I21" s="3313">
        <f>I22+I23</f>
        <v>301.67319809154833</v>
      </c>
      <c r="J21" s="3313">
        <f t="shared" ref="J21:S21" si="7">J22+J23</f>
        <v>521.63591566825608</v>
      </c>
      <c r="K21" s="3313">
        <f t="shared" si="7"/>
        <v>597.80500021729586</v>
      </c>
      <c r="L21" s="3313">
        <f t="shared" si="7"/>
        <v>513.11130024287695</v>
      </c>
      <c r="M21" s="3313">
        <f t="shared" si="7"/>
        <v>463.77689121700359</v>
      </c>
      <c r="N21" s="3313">
        <f t="shared" si="7"/>
        <v>50.590996742341758</v>
      </c>
      <c r="O21" s="3313">
        <f t="shared" si="7"/>
        <v>0</v>
      </c>
      <c r="P21" s="3313">
        <f t="shared" si="7"/>
        <v>0</v>
      </c>
      <c r="Q21" s="3313">
        <f t="shared" si="7"/>
        <v>0</v>
      </c>
      <c r="R21" s="3313">
        <f t="shared" si="7"/>
        <v>0</v>
      </c>
      <c r="S21" s="3313">
        <f t="shared" si="7"/>
        <v>0</v>
      </c>
      <c r="T21" s="157" t="s">
        <v>489</v>
      </c>
      <c r="V21" s="1445">
        <v>2448.5933021746037</v>
      </c>
      <c r="W21" s="3567">
        <f t="shared" si="2"/>
        <v>-4.7189132601488382E-9</v>
      </c>
    </row>
    <row r="22" spans="2:34" x14ac:dyDescent="0.25">
      <c r="B22" s="2333" t="s">
        <v>803</v>
      </c>
      <c r="C22" s="2068" t="s">
        <v>644</v>
      </c>
      <c r="D22" s="2334" t="s">
        <v>22</v>
      </c>
      <c r="E22" s="3312">
        <v>374.88382925451515</v>
      </c>
      <c r="F22" s="3312">
        <v>254.0955827140333</v>
      </c>
      <c r="G22" s="3313">
        <f>SUM(H22:S22)</f>
        <v>414.1968328400319</v>
      </c>
      <c r="H22" s="3313">
        <v>0</v>
      </c>
      <c r="I22" s="3313">
        <f>((I28+I31+I34+I37+I40)/(1-0.022))-(I28+I31+I34+I37+I40)</f>
        <v>51.128634725206211</v>
      </c>
      <c r="J22" s="3313">
        <f t="shared" ref="J22:N23" si="8">((J28+J31+J34+J37+J40)/(1-0.022))-(J28+J31+J34+J37+J40)</f>
        <v>88.223435410779075</v>
      </c>
      <c r="K22" s="3313">
        <f t="shared" si="8"/>
        <v>101.00695044414442</v>
      </c>
      <c r="L22" s="3313">
        <f t="shared" si="8"/>
        <v>86.749327278519104</v>
      </c>
      <c r="M22" s="3313">
        <f t="shared" si="8"/>
        <v>78.511178685094364</v>
      </c>
      <c r="N22" s="3313">
        <f t="shared" si="8"/>
        <v>8.5773062962887252</v>
      </c>
      <c r="O22" s="3313">
        <f t="shared" ref="O22:S23" si="9">O17-(O28+O31+O34+O37)</f>
        <v>0</v>
      </c>
      <c r="P22" s="3313">
        <f t="shared" si="9"/>
        <v>0</v>
      </c>
      <c r="Q22" s="3313">
        <f t="shared" si="9"/>
        <v>0</v>
      </c>
      <c r="R22" s="3313">
        <f t="shared" si="9"/>
        <v>0</v>
      </c>
      <c r="S22" s="3314">
        <f t="shared" si="9"/>
        <v>0</v>
      </c>
      <c r="T22" s="157" t="s">
        <v>489</v>
      </c>
      <c r="U22" s="729"/>
      <c r="V22" s="1445">
        <v>414.19683283531202</v>
      </c>
      <c r="W22" s="3567">
        <f t="shared" si="2"/>
        <v>-4.7198795982694719E-9</v>
      </c>
      <c r="X22" s="312"/>
      <c r="Y22" s="312"/>
    </row>
    <row r="23" spans="2:34" ht="14.4" thickBot="1" x14ac:dyDescent="0.3">
      <c r="B23" s="2335" t="s">
        <v>804</v>
      </c>
      <c r="C23" s="2329" t="s">
        <v>643</v>
      </c>
      <c r="D23" s="2336" t="s">
        <v>22</v>
      </c>
      <c r="E23" s="3315">
        <v>1870.4354094463342</v>
      </c>
      <c r="F23" s="3315">
        <v>1391.5684670490155</v>
      </c>
      <c r="G23" s="3313">
        <f>SUM(H23:S23)</f>
        <v>2034.3964693392907</v>
      </c>
      <c r="H23" s="3316">
        <v>0</v>
      </c>
      <c r="I23" s="3316">
        <f>((I29+I32+I35+I38+I41)/(1-0.022))-(I29+I32+I35+I38+I41)</f>
        <v>250.54456336634212</v>
      </c>
      <c r="J23" s="3316">
        <f t="shared" si="8"/>
        <v>433.412480257477</v>
      </c>
      <c r="K23" s="3316">
        <f t="shared" si="8"/>
        <v>496.79804977315143</v>
      </c>
      <c r="L23" s="3316">
        <f t="shared" si="8"/>
        <v>426.36197296435785</v>
      </c>
      <c r="M23" s="3316">
        <f t="shared" si="8"/>
        <v>385.26571253190923</v>
      </c>
      <c r="N23" s="3316">
        <f t="shared" si="8"/>
        <v>42.013690446053033</v>
      </c>
      <c r="O23" s="3316">
        <f t="shared" si="9"/>
        <v>0</v>
      </c>
      <c r="P23" s="3316">
        <f t="shared" si="9"/>
        <v>0</v>
      </c>
      <c r="Q23" s="3316">
        <f t="shared" si="9"/>
        <v>0</v>
      </c>
      <c r="R23" s="3316">
        <f t="shared" si="9"/>
        <v>0</v>
      </c>
      <c r="S23" s="3317">
        <f t="shared" si="9"/>
        <v>0</v>
      </c>
      <c r="T23" s="157" t="s">
        <v>489</v>
      </c>
      <c r="V23" s="1445">
        <v>2034.3964693392907</v>
      </c>
      <c r="W23" s="3567">
        <f t="shared" si="2"/>
        <v>0</v>
      </c>
    </row>
    <row r="24" spans="2:34" s="15" customFormat="1" ht="34.200000000000003" x14ac:dyDescent="0.3">
      <c r="B24" s="2352" t="s">
        <v>173</v>
      </c>
      <c r="C24" s="2353" t="s">
        <v>1973</v>
      </c>
      <c r="D24" s="2373" t="s">
        <v>22</v>
      </c>
      <c r="E24" s="3321">
        <f>E25+E26</f>
        <v>99814.646156792121</v>
      </c>
      <c r="F24" s="3321">
        <f t="shared" ref="F24:S24" si="10">F25+F26</f>
        <v>73157.247303102631</v>
      </c>
      <c r="G24" s="3322">
        <f t="shared" si="10"/>
        <v>108851.10225142605</v>
      </c>
      <c r="H24" s="3322">
        <f t="shared" si="10"/>
        <v>0</v>
      </c>
      <c r="I24" s="3322">
        <f t="shared" si="10"/>
        <v>13410.744896978813</v>
      </c>
      <c r="J24" s="3322">
        <f t="shared" si="10"/>
        <v>23189.087523797836</v>
      </c>
      <c r="K24" s="3322">
        <f t="shared" si="10"/>
        <v>26575.14955511432</v>
      </c>
      <c r="L24" s="3322">
        <f t="shared" si="10"/>
        <v>22810.129619887884</v>
      </c>
      <c r="M24" s="3322">
        <f t="shared" si="10"/>
        <v>20616.990891374015</v>
      </c>
      <c r="N24" s="3322">
        <f t="shared" si="10"/>
        <v>2248.9997642731964</v>
      </c>
      <c r="O24" s="3322">
        <f t="shared" si="10"/>
        <v>0</v>
      </c>
      <c r="P24" s="3322">
        <f t="shared" si="10"/>
        <v>0</v>
      </c>
      <c r="Q24" s="3322">
        <f t="shared" si="10"/>
        <v>0</v>
      </c>
      <c r="R24" s="3322">
        <f t="shared" si="10"/>
        <v>0</v>
      </c>
      <c r="S24" s="3323">
        <f t="shared" si="10"/>
        <v>0</v>
      </c>
      <c r="T24" s="208" t="s">
        <v>664</v>
      </c>
      <c r="V24" s="2444">
        <v>108851.10225121622</v>
      </c>
      <c r="W24" s="3567">
        <f t="shared" si="2"/>
        <v>-2.0983861759305E-7</v>
      </c>
    </row>
    <row r="25" spans="2:34" x14ac:dyDescent="0.25">
      <c r="B25" s="2337" t="s">
        <v>60</v>
      </c>
      <c r="C25" s="2326" t="s">
        <v>490</v>
      </c>
      <c r="D25" s="2327" t="s">
        <v>22</v>
      </c>
      <c r="E25" s="3324">
        <v>0</v>
      </c>
      <c r="F25" s="3324">
        <v>0</v>
      </c>
      <c r="G25" s="3325">
        <f>SUM(H25:S25)</f>
        <v>0</v>
      </c>
      <c r="H25" s="3325">
        <v>0</v>
      </c>
      <c r="I25" s="3325">
        <v>0</v>
      </c>
      <c r="J25" s="3325">
        <v>0</v>
      </c>
      <c r="K25" s="3325">
        <v>0</v>
      </c>
      <c r="L25" s="3325">
        <v>0</v>
      </c>
      <c r="M25" s="3325">
        <v>0</v>
      </c>
      <c r="N25" s="3325">
        <v>0</v>
      </c>
      <c r="O25" s="3325">
        <v>0</v>
      </c>
      <c r="P25" s="3325">
        <v>0</v>
      </c>
      <c r="Q25" s="3325">
        <v>0</v>
      </c>
      <c r="R25" s="3325">
        <v>0</v>
      </c>
      <c r="S25" s="3326">
        <v>0</v>
      </c>
      <c r="T25" s="157" t="s">
        <v>665</v>
      </c>
      <c r="W25" s="3567"/>
    </row>
    <row r="26" spans="2:34" x14ac:dyDescent="0.25">
      <c r="B26" s="2337" t="s">
        <v>61</v>
      </c>
      <c r="C26" s="919" t="s">
        <v>491</v>
      </c>
      <c r="D26" s="2327" t="s">
        <v>22</v>
      </c>
      <c r="E26" s="3324">
        <f>E47</f>
        <v>99814.646156792121</v>
      </c>
      <c r="F26" s="3324">
        <f>F47</f>
        <v>73157.247303102631</v>
      </c>
      <c r="G26" s="3325">
        <f>G47</f>
        <v>108851.10225142605</v>
      </c>
      <c r="H26" s="3325">
        <f t="shared" ref="H26:S26" si="11">H47</f>
        <v>0</v>
      </c>
      <c r="I26" s="3325">
        <f t="shared" si="11"/>
        <v>13410.744896978813</v>
      </c>
      <c r="J26" s="3325">
        <f t="shared" si="11"/>
        <v>23189.087523797836</v>
      </c>
      <c r="K26" s="3325">
        <f t="shared" si="11"/>
        <v>26575.14955511432</v>
      </c>
      <c r="L26" s="3325">
        <f t="shared" si="11"/>
        <v>22810.129619887884</v>
      </c>
      <c r="M26" s="3325">
        <f t="shared" si="11"/>
        <v>20616.990891374015</v>
      </c>
      <c r="N26" s="3325">
        <f t="shared" si="11"/>
        <v>2248.9997642731964</v>
      </c>
      <c r="O26" s="3325">
        <f t="shared" si="11"/>
        <v>0</v>
      </c>
      <c r="P26" s="3325">
        <f t="shared" si="11"/>
        <v>0</v>
      </c>
      <c r="Q26" s="3325">
        <f t="shared" si="11"/>
        <v>0</v>
      </c>
      <c r="R26" s="3325">
        <f t="shared" si="11"/>
        <v>0</v>
      </c>
      <c r="S26" s="3326">
        <f t="shared" si="11"/>
        <v>0</v>
      </c>
      <c r="T26" s="157" t="s">
        <v>666</v>
      </c>
      <c r="V26" s="10">
        <v>108851.10225121622</v>
      </c>
      <c r="W26" s="3567">
        <f t="shared" si="2"/>
        <v>-2.0983861759305E-7</v>
      </c>
    </row>
    <row r="27" spans="2:34" x14ac:dyDescent="0.25">
      <c r="B27" s="2337" t="s">
        <v>750</v>
      </c>
      <c r="C27" s="919" t="s">
        <v>3</v>
      </c>
      <c r="D27" s="2327" t="s">
        <v>22</v>
      </c>
      <c r="E27" s="3324">
        <f>SUM(E28:E29)</f>
        <v>84818.099385715614</v>
      </c>
      <c r="F27" s="3324">
        <f>SUM(F28:F29)</f>
        <v>63024.346975534841</v>
      </c>
      <c r="G27" s="3325">
        <f>G28+G29</f>
        <v>90271.057497103626</v>
      </c>
      <c r="H27" s="3325">
        <f t="shared" ref="H27:S27" si="12">H28+H29</f>
        <v>0</v>
      </c>
      <c r="I27" s="3325">
        <f t="shared" si="12"/>
        <v>11121.810612339965</v>
      </c>
      <c r="J27" s="3325">
        <f t="shared" si="12"/>
        <v>19230.862341099426</v>
      </c>
      <c r="K27" s="3325">
        <f t="shared" si="12"/>
        <v>22038.767444434863</v>
      </c>
      <c r="L27" s="3325">
        <f t="shared" si="12"/>
        <v>18916.531869668077</v>
      </c>
      <c r="M27" s="3325">
        <f t="shared" si="12"/>
        <v>17097.937568418653</v>
      </c>
      <c r="N27" s="3325">
        <f t="shared" si="12"/>
        <v>1865.1476611426458</v>
      </c>
      <c r="O27" s="3325">
        <f t="shared" si="12"/>
        <v>0</v>
      </c>
      <c r="P27" s="3325">
        <f t="shared" si="12"/>
        <v>0</v>
      </c>
      <c r="Q27" s="3325">
        <f t="shared" si="12"/>
        <v>0</v>
      </c>
      <c r="R27" s="3325">
        <f t="shared" si="12"/>
        <v>0</v>
      </c>
      <c r="S27" s="3326">
        <f t="shared" si="12"/>
        <v>0</v>
      </c>
      <c r="T27" s="326">
        <f>T28+T29</f>
        <v>102025.7830439344</v>
      </c>
      <c r="V27" s="312">
        <v>90271.057496893802</v>
      </c>
      <c r="W27" s="3567">
        <f t="shared" si="2"/>
        <v>-2.0982406567782164E-7</v>
      </c>
      <c r="Y27" s="729"/>
      <c r="Z27" s="729"/>
    </row>
    <row r="28" spans="2:34" x14ac:dyDescent="0.25">
      <c r="B28" s="2337" t="s">
        <v>753</v>
      </c>
      <c r="C28" s="2068" t="s">
        <v>644</v>
      </c>
      <c r="D28" s="2327" t="s">
        <v>22</v>
      </c>
      <c r="E28" s="3327">
        <v>14383.487385715624</v>
      </c>
      <c r="F28" s="3327">
        <v>9851.403084065947</v>
      </c>
      <c r="G28" s="3325">
        <f>SUM(H28:S28)</f>
        <v>15155.265331444638</v>
      </c>
      <c r="H28" s="3325">
        <f>H51+H77</f>
        <v>0</v>
      </c>
      <c r="I28" s="3325">
        <f t="shared" ref="I28:S28" si="13">I51+I77</f>
        <v>1870.7716223441689</v>
      </c>
      <c r="J28" s="3325">
        <f t="shared" si="13"/>
        <v>3228.0537279755026</v>
      </c>
      <c r="K28" s="3325">
        <f t="shared" si="13"/>
        <v>3695.7972723383887</v>
      </c>
      <c r="L28" s="3325">
        <f t="shared" si="13"/>
        <v>3174.1170703344737</v>
      </c>
      <c r="M28" s="3325">
        <f t="shared" si="13"/>
        <v>2872.6862419725294</v>
      </c>
      <c r="N28" s="3325">
        <f t="shared" si="13"/>
        <v>313.83939647957487</v>
      </c>
      <c r="O28" s="3325">
        <f t="shared" si="13"/>
        <v>0</v>
      </c>
      <c r="P28" s="3325">
        <f t="shared" si="13"/>
        <v>0</v>
      </c>
      <c r="Q28" s="3325">
        <f t="shared" si="13"/>
        <v>0</v>
      </c>
      <c r="R28" s="3325">
        <f t="shared" si="13"/>
        <v>0</v>
      </c>
      <c r="S28" s="3326">
        <f t="shared" si="13"/>
        <v>0</v>
      </c>
      <c r="T28" s="157">
        <v>17040.835670943623</v>
      </c>
      <c r="V28" s="312">
        <v>15155.265331234821</v>
      </c>
      <c r="W28" s="3567">
        <f t="shared" si="2"/>
        <v>-2.0981678972020745E-7</v>
      </c>
      <c r="Y28" s="729"/>
      <c r="Z28" s="729"/>
      <c r="AE28" s="729"/>
      <c r="AF28" s="254"/>
      <c r="AG28" s="254"/>
      <c r="AH28" s="254"/>
    </row>
    <row r="29" spans="2:34" x14ac:dyDescent="0.25">
      <c r="B29" s="2337" t="s">
        <v>754</v>
      </c>
      <c r="C29" s="2068" t="s">
        <v>643</v>
      </c>
      <c r="D29" s="2327" t="s">
        <v>22</v>
      </c>
      <c r="E29" s="3327">
        <v>70434.611999999994</v>
      </c>
      <c r="F29" s="3327">
        <v>53172.943891468894</v>
      </c>
      <c r="G29" s="3325">
        <f>SUM(H29:S29)</f>
        <v>75115.79216565899</v>
      </c>
      <c r="H29" s="3325">
        <f>H59+H80</f>
        <v>0</v>
      </c>
      <c r="I29" s="3325">
        <f t="shared" ref="I29:S29" si="14">I59+I80</f>
        <v>9251.0389899957954</v>
      </c>
      <c r="J29" s="3325">
        <f t="shared" si="14"/>
        <v>16002.808613123925</v>
      </c>
      <c r="K29" s="3325">
        <f t="shared" si="14"/>
        <v>18342.970172096473</v>
      </c>
      <c r="L29" s="3325">
        <f t="shared" si="14"/>
        <v>15742.414799333603</v>
      </c>
      <c r="M29" s="3325">
        <f t="shared" si="14"/>
        <v>14225.251326446125</v>
      </c>
      <c r="N29" s="3325">
        <f t="shared" si="14"/>
        <v>1551.308264663071</v>
      </c>
      <c r="O29" s="3325">
        <f t="shared" si="14"/>
        <v>0</v>
      </c>
      <c r="P29" s="3325">
        <f t="shared" si="14"/>
        <v>0</v>
      </c>
      <c r="Q29" s="3325">
        <f t="shared" si="14"/>
        <v>0</v>
      </c>
      <c r="R29" s="3325">
        <f t="shared" si="14"/>
        <v>0</v>
      </c>
      <c r="S29" s="3326">
        <f t="shared" si="14"/>
        <v>0</v>
      </c>
      <c r="T29" s="326">
        <v>84984.947372990777</v>
      </c>
      <c r="V29" s="312">
        <v>75115.79216565899</v>
      </c>
      <c r="W29" s="3567">
        <f t="shared" si="2"/>
        <v>0</v>
      </c>
      <c r="Y29" s="729"/>
      <c r="Z29" s="729"/>
      <c r="AE29" s="729"/>
      <c r="AF29" s="254"/>
      <c r="AG29" s="254"/>
      <c r="AH29" s="254"/>
    </row>
    <row r="30" spans="2:34" x14ac:dyDescent="0.25">
      <c r="B30" s="2337" t="s">
        <v>751</v>
      </c>
      <c r="C30" s="471" t="s">
        <v>166</v>
      </c>
      <c r="D30" s="2327" t="s">
        <v>22</v>
      </c>
      <c r="E30" s="3324">
        <f>SUM(E31:E32)</f>
        <v>14.215123224395185</v>
      </c>
      <c r="F30" s="3324">
        <f>SUM(F31:F32)</f>
        <v>9.8910899163150781</v>
      </c>
      <c r="G30" s="3325">
        <f t="shared" ref="G30:S30" si="15">G31+G32</f>
        <v>14.602989074179138</v>
      </c>
      <c r="H30" s="3325">
        <f t="shared" si="15"/>
        <v>0</v>
      </c>
      <c r="I30" s="3325">
        <f t="shared" si="15"/>
        <v>1.7984913288720084</v>
      </c>
      <c r="J30" s="3325">
        <f>J31+J32</f>
        <v>3.111043463179711</v>
      </c>
      <c r="K30" s="3325">
        <f t="shared" si="15"/>
        <v>3.5659545928824343</v>
      </c>
      <c r="L30" s="3325">
        <f t="shared" si="15"/>
        <v>3.0604113434229729</v>
      </c>
      <c r="M30" s="3325">
        <f t="shared" si="15"/>
        <v>2.7654981328409205</v>
      </c>
      <c r="N30" s="3325">
        <f t="shared" si="15"/>
        <v>0.30159021298109023</v>
      </c>
      <c r="O30" s="3325">
        <f t="shared" si="15"/>
        <v>0</v>
      </c>
      <c r="P30" s="3325">
        <f t="shared" si="15"/>
        <v>0</v>
      </c>
      <c r="Q30" s="3325">
        <f t="shared" si="15"/>
        <v>0</v>
      </c>
      <c r="R30" s="3325">
        <f t="shared" si="15"/>
        <v>0</v>
      </c>
      <c r="S30" s="3326">
        <f t="shared" si="15"/>
        <v>0</v>
      </c>
      <c r="T30" s="327">
        <v>16.405086424381896</v>
      </c>
      <c r="V30" s="254">
        <v>14.602989074179138</v>
      </c>
      <c r="W30" s="3567">
        <f t="shared" si="2"/>
        <v>0</v>
      </c>
      <c r="X30" s="729"/>
      <c r="Y30" s="729"/>
      <c r="Z30" s="729"/>
    </row>
    <row r="31" spans="2:34" x14ac:dyDescent="0.25">
      <c r="B31" s="2337" t="s">
        <v>755</v>
      </c>
      <c r="C31" s="2068" t="s">
        <v>644</v>
      </c>
      <c r="D31" s="2327" t="s">
        <v>22</v>
      </c>
      <c r="E31" s="3324"/>
      <c r="F31" s="3324"/>
      <c r="G31" s="3325">
        <f>SUM(H31:S31)</f>
        <v>0</v>
      </c>
      <c r="H31" s="3325">
        <f>H52+H85</f>
        <v>0</v>
      </c>
      <c r="I31" s="3325">
        <f t="shared" ref="I31:S31" si="16">I52+I85</f>
        <v>0</v>
      </c>
      <c r="J31" s="3325">
        <f t="shared" si="16"/>
        <v>0</v>
      </c>
      <c r="K31" s="3325">
        <f t="shared" si="16"/>
        <v>0</v>
      </c>
      <c r="L31" s="3325">
        <f t="shared" si="16"/>
        <v>0</v>
      </c>
      <c r="M31" s="3325">
        <f t="shared" si="16"/>
        <v>0</v>
      </c>
      <c r="N31" s="3325">
        <f t="shared" si="16"/>
        <v>0</v>
      </c>
      <c r="O31" s="3325">
        <f t="shared" si="16"/>
        <v>0</v>
      </c>
      <c r="P31" s="3325">
        <f t="shared" si="16"/>
        <v>0</v>
      </c>
      <c r="Q31" s="3325">
        <f t="shared" si="16"/>
        <v>0</v>
      </c>
      <c r="R31" s="3325">
        <f t="shared" si="16"/>
        <v>0</v>
      </c>
      <c r="S31" s="3326">
        <f t="shared" si="16"/>
        <v>0</v>
      </c>
      <c r="T31" s="327">
        <v>0</v>
      </c>
      <c r="U31" s="775"/>
      <c r="V31" s="254">
        <v>0</v>
      </c>
      <c r="W31" s="3567">
        <f t="shared" si="2"/>
        <v>0</v>
      </c>
      <c r="X31" s="729"/>
      <c r="Y31" s="729"/>
      <c r="Z31" s="729"/>
    </row>
    <row r="32" spans="2:34" x14ac:dyDescent="0.25">
      <c r="B32" s="2337" t="s">
        <v>756</v>
      </c>
      <c r="C32" s="2068" t="s">
        <v>643</v>
      </c>
      <c r="D32" s="2327" t="s">
        <v>22</v>
      </c>
      <c r="E32" s="3324">
        <v>14.215123224395185</v>
      </c>
      <c r="F32" s="3324">
        <v>9.8910899163150781</v>
      </c>
      <c r="G32" s="3325">
        <f>SUM(H32:S32)</f>
        <v>14.602989074179138</v>
      </c>
      <c r="H32" s="3325">
        <f>H60+H86</f>
        <v>0</v>
      </c>
      <c r="I32" s="3325">
        <f t="shared" ref="I32:S32" si="17">I60+I86</f>
        <v>1.7984913288720084</v>
      </c>
      <c r="J32" s="3325">
        <f t="shared" si="17"/>
        <v>3.111043463179711</v>
      </c>
      <c r="K32" s="3325">
        <f t="shared" si="17"/>
        <v>3.5659545928824343</v>
      </c>
      <c r="L32" s="3325">
        <f t="shared" si="17"/>
        <v>3.0604113434229729</v>
      </c>
      <c r="M32" s="3325">
        <f t="shared" si="17"/>
        <v>2.7654981328409205</v>
      </c>
      <c r="N32" s="3325">
        <f t="shared" si="17"/>
        <v>0.30159021298109023</v>
      </c>
      <c r="O32" s="3325">
        <f t="shared" si="17"/>
        <v>0</v>
      </c>
      <c r="P32" s="3325">
        <f t="shared" si="17"/>
        <v>0</v>
      </c>
      <c r="Q32" s="3325">
        <f t="shared" si="17"/>
        <v>0</v>
      </c>
      <c r="R32" s="3325">
        <f t="shared" si="17"/>
        <v>0</v>
      </c>
      <c r="S32" s="3326">
        <f t="shared" si="17"/>
        <v>0</v>
      </c>
      <c r="T32" s="327">
        <v>16.405086424381896</v>
      </c>
      <c r="V32" s="254">
        <v>14.602989074179138</v>
      </c>
      <c r="W32" s="3567">
        <f t="shared" si="2"/>
        <v>0</v>
      </c>
      <c r="X32" s="729"/>
      <c r="Y32" s="729"/>
      <c r="Z32" s="729"/>
    </row>
    <row r="33" spans="2:26" x14ac:dyDescent="0.25">
      <c r="B33" s="2337" t="s">
        <v>752</v>
      </c>
      <c r="C33" s="471" t="s">
        <v>97</v>
      </c>
      <c r="D33" s="2327" t="s">
        <v>22</v>
      </c>
      <c r="E33" s="3324">
        <f>SUM(E34:E35)</f>
        <v>9458.1537474263696</v>
      </c>
      <c r="F33" s="3324">
        <f>SUM(F34:F35)</f>
        <v>7378.6532291627518</v>
      </c>
      <c r="G33" s="3325">
        <f t="shared" ref="G33:S33" si="18">G34+G35</f>
        <v>13752.767963175285</v>
      </c>
      <c r="H33" s="3325">
        <f t="shared" si="18"/>
        <v>0</v>
      </c>
      <c r="I33" s="3325">
        <f t="shared" si="18"/>
        <v>1694.1224382655575</v>
      </c>
      <c r="J33" s="3325">
        <f t="shared" si="18"/>
        <v>2929.8584993249624</v>
      </c>
      <c r="K33" s="3325">
        <f t="shared" si="18"/>
        <v>3357.9325674691486</v>
      </c>
      <c r="L33" s="3325">
        <f t="shared" si="18"/>
        <v>2882.0625204690809</v>
      </c>
      <c r="M33" s="3325">
        <f t="shared" si="18"/>
        <v>2604.6929306803431</v>
      </c>
      <c r="N33" s="3325">
        <f t="shared" si="18"/>
        <v>284.09900696619337</v>
      </c>
      <c r="O33" s="3325">
        <f t="shared" si="18"/>
        <v>0</v>
      </c>
      <c r="P33" s="3325">
        <f t="shared" si="18"/>
        <v>0</v>
      </c>
      <c r="Q33" s="3325">
        <f t="shared" si="18"/>
        <v>0</v>
      </c>
      <c r="R33" s="3325">
        <f t="shared" si="18"/>
        <v>0</v>
      </c>
      <c r="S33" s="3326">
        <f t="shared" si="18"/>
        <v>0</v>
      </c>
      <c r="T33" s="157">
        <v>13038.049777777189</v>
      </c>
      <c r="V33" s="254">
        <v>13752.767963175285</v>
      </c>
      <c r="W33" s="3567">
        <f t="shared" si="2"/>
        <v>0</v>
      </c>
      <c r="Y33" s="729"/>
      <c r="Z33" s="729"/>
    </row>
    <row r="34" spans="2:26" x14ac:dyDescent="0.25">
      <c r="B34" s="2337" t="s">
        <v>757</v>
      </c>
      <c r="C34" s="2068" t="s">
        <v>644</v>
      </c>
      <c r="D34" s="2327" t="s">
        <v>22</v>
      </c>
      <c r="E34" s="3324">
        <v>1223.0430430517686</v>
      </c>
      <c r="F34" s="3324">
        <v>758.92940057860847</v>
      </c>
      <c r="G34" s="3325">
        <f>SUM(H34:S34)</f>
        <v>2229.1652834520464</v>
      </c>
      <c r="H34" s="3325">
        <f>H53+H89</f>
        <v>0</v>
      </c>
      <c r="I34" s="3325">
        <f t="shared" ref="I34:S34" si="19">I53+I89</f>
        <v>275.17060382708746</v>
      </c>
      <c r="J34" s="3325">
        <f t="shared" si="19"/>
        <v>474.80933264940199</v>
      </c>
      <c r="K34" s="3325">
        <f t="shared" si="19"/>
        <v>543.60742361183657</v>
      </c>
      <c r="L34" s="3325">
        <f t="shared" si="19"/>
        <v>466.87535716410878</v>
      </c>
      <c r="M34" s="3325">
        <f t="shared" si="19"/>
        <v>422.5400803886273</v>
      </c>
      <c r="N34" s="3325">
        <f t="shared" si="19"/>
        <v>46.162485810984649</v>
      </c>
      <c r="O34" s="3325">
        <f t="shared" si="19"/>
        <v>0</v>
      </c>
      <c r="P34" s="3325">
        <f t="shared" si="19"/>
        <v>0</v>
      </c>
      <c r="Q34" s="3325">
        <f t="shared" si="19"/>
        <v>0</v>
      </c>
      <c r="R34" s="3325">
        <f t="shared" si="19"/>
        <v>0</v>
      </c>
      <c r="S34" s="3326">
        <f t="shared" si="19"/>
        <v>0</v>
      </c>
      <c r="T34" s="157">
        <v>2347.7621661329422</v>
      </c>
      <c r="U34" s="729"/>
      <c r="V34" s="254">
        <v>2229.1652834520464</v>
      </c>
      <c r="W34" s="3567">
        <f t="shared" si="2"/>
        <v>0</v>
      </c>
      <c r="Y34" s="729"/>
      <c r="Z34" s="729"/>
    </row>
    <row r="35" spans="2:26" x14ac:dyDescent="0.25">
      <c r="B35" s="2337" t="s">
        <v>758</v>
      </c>
      <c r="C35" s="2068" t="s">
        <v>643</v>
      </c>
      <c r="D35" s="2327" t="s">
        <v>22</v>
      </c>
      <c r="E35" s="3324">
        <v>8235.1107043746015</v>
      </c>
      <c r="F35" s="3324">
        <v>6619.7238285841431</v>
      </c>
      <c r="G35" s="3325">
        <f>SUM(H35:S35)</f>
        <v>11523.602679723239</v>
      </c>
      <c r="H35" s="3325">
        <f>H61+H90</f>
        <v>0</v>
      </c>
      <c r="I35" s="3325">
        <f t="shared" ref="I35:S35" si="20">I61+I90</f>
        <v>1418.9518344384701</v>
      </c>
      <c r="J35" s="3325">
        <f t="shared" si="20"/>
        <v>2455.0491666755606</v>
      </c>
      <c r="K35" s="3325">
        <f t="shared" si="20"/>
        <v>2814.325143857312</v>
      </c>
      <c r="L35" s="3325">
        <f t="shared" si="20"/>
        <v>2415.1871633049723</v>
      </c>
      <c r="M35" s="3325">
        <f t="shared" si="20"/>
        <v>2182.1528502917158</v>
      </c>
      <c r="N35" s="3325">
        <f t="shared" si="20"/>
        <v>237.93652115520874</v>
      </c>
      <c r="O35" s="3325">
        <f t="shared" si="20"/>
        <v>0</v>
      </c>
      <c r="P35" s="3325">
        <f t="shared" si="20"/>
        <v>0</v>
      </c>
      <c r="Q35" s="3325">
        <f t="shared" si="20"/>
        <v>0</v>
      </c>
      <c r="R35" s="3325">
        <f t="shared" si="20"/>
        <v>0</v>
      </c>
      <c r="S35" s="3326">
        <f t="shared" si="20"/>
        <v>0</v>
      </c>
      <c r="T35" s="157">
        <v>10690.287611644244</v>
      </c>
      <c r="V35" s="254">
        <v>11523.602679723239</v>
      </c>
      <c r="W35" s="3567">
        <f t="shared" si="2"/>
        <v>0</v>
      </c>
      <c r="Y35" s="729"/>
      <c r="Z35" s="729"/>
    </row>
    <row r="36" spans="2:26" x14ac:dyDescent="0.25">
      <c r="B36" s="2337" t="s">
        <v>759</v>
      </c>
      <c r="C36" s="471" t="s">
        <v>98</v>
      </c>
      <c r="D36" s="2327" t="s">
        <v>22</v>
      </c>
      <c r="E36" s="3324">
        <f>SUM(E37:E38)</f>
        <v>5249.1571352268838</v>
      </c>
      <c r="F36" s="3324">
        <f>SUM(F37:F38)</f>
        <v>2560.7147332118143</v>
      </c>
      <c r="G36" s="3325">
        <f t="shared" ref="G36:S36" si="21">G37+G38</f>
        <v>4637.1042268930923</v>
      </c>
      <c r="H36" s="3325">
        <f t="shared" si="21"/>
        <v>0</v>
      </c>
      <c r="I36" s="3325">
        <f t="shared" si="21"/>
        <v>571.3421931699412</v>
      </c>
      <c r="J36" s="3325">
        <f t="shared" si="21"/>
        <v>987.85934289807778</v>
      </c>
      <c r="K36" s="3325">
        <f t="shared" si="21"/>
        <v>1132.0673653803865</v>
      </c>
      <c r="L36" s="3325">
        <f t="shared" si="21"/>
        <v>971.70296720860017</v>
      </c>
      <c r="M36" s="3325">
        <f t="shared" si="21"/>
        <v>878.31635582639603</v>
      </c>
      <c r="N36" s="3325">
        <f t="shared" si="21"/>
        <v>95.816002409690213</v>
      </c>
      <c r="O36" s="3325">
        <f t="shared" si="21"/>
        <v>0</v>
      </c>
      <c r="P36" s="3325">
        <f t="shared" si="21"/>
        <v>0</v>
      </c>
      <c r="Q36" s="3325">
        <f t="shared" si="21"/>
        <v>0</v>
      </c>
      <c r="R36" s="3325">
        <f t="shared" si="21"/>
        <v>0</v>
      </c>
      <c r="S36" s="3326">
        <f t="shared" si="21"/>
        <v>0</v>
      </c>
      <c r="T36" s="157">
        <v>10390.531449459884</v>
      </c>
      <c r="V36" s="254">
        <v>4637.1042268930923</v>
      </c>
      <c r="W36" s="3567">
        <f t="shared" si="2"/>
        <v>0</v>
      </c>
      <c r="Y36" s="729"/>
      <c r="Z36" s="729"/>
    </row>
    <row r="37" spans="2:26" x14ac:dyDescent="0.25">
      <c r="B37" s="2337" t="s">
        <v>760</v>
      </c>
      <c r="C37" s="2068" t="s">
        <v>644</v>
      </c>
      <c r="D37" s="2327" t="s">
        <v>22</v>
      </c>
      <c r="E37" s="3324">
        <v>783.73879931696183</v>
      </c>
      <c r="F37" s="3324">
        <v>501.72987163875553</v>
      </c>
      <c r="G37" s="3325">
        <f>SUM(H37:S37)</f>
        <v>852.93174253939515</v>
      </c>
      <c r="H37" s="3325">
        <f>H54+H93</f>
        <v>0</v>
      </c>
      <c r="I37" s="3325">
        <f>I54+I93</f>
        <v>105.28682837478976</v>
      </c>
      <c r="J37" s="3325">
        <f>J54+J93</f>
        <v>181.67336198753145</v>
      </c>
      <c r="K37" s="3325">
        <f t="shared" ref="K37:S37" si="22">K54+K93</f>
        <v>207.9971505569919</v>
      </c>
      <c r="L37" s="3325">
        <f t="shared" si="22"/>
        <v>178.63763395687747</v>
      </c>
      <c r="M37" s="3325">
        <f t="shared" si="22"/>
        <v>161.67390086952287</v>
      </c>
      <c r="N37" s="3325">
        <f t="shared" si="22"/>
        <v>17.662866793681708</v>
      </c>
      <c r="O37" s="3325">
        <f t="shared" si="22"/>
        <v>0</v>
      </c>
      <c r="P37" s="3325">
        <f t="shared" si="22"/>
        <v>0</v>
      </c>
      <c r="Q37" s="3325">
        <f t="shared" si="22"/>
        <v>0</v>
      </c>
      <c r="R37" s="3325">
        <f t="shared" si="22"/>
        <v>0</v>
      </c>
      <c r="S37" s="3325">
        <f t="shared" si="22"/>
        <v>0</v>
      </c>
      <c r="T37" s="157">
        <v>1214.222417145166</v>
      </c>
      <c r="V37" s="254">
        <v>852.93174253939515</v>
      </c>
      <c r="W37" s="3567">
        <f t="shared" si="2"/>
        <v>0</v>
      </c>
      <c r="Y37" s="729"/>
      <c r="Z37" s="729"/>
    </row>
    <row r="38" spans="2:26" x14ac:dyDescent="0.25">
      <c r="B38" s="2337" t="s">
        <v>761</v>
      </c>
      <c r="C38" s="2068" t="s">
        <v>643</v>
      </c>
      <c r="D38" s="2327" t="s">
        <v>22</v>
      </c>
      <c r="E38" s="3324">
        <v>4465.4183359099225</v>
      </c>
      <c r="F38" s="3324">
        <v>2058.9848615730589</v>
      </c>
      <c r="G38" s="3325">
        <f>SUM(H38:S38)</f>
        <v>3784.1724843536967</v>
      </c>
      <c r="H38" s="3325">
        <f>H62+H94</f>
        <v>0</v>
      </c>
      <c r="I38" s="3325">
        <f t="shared" ref="I38:S38" si="23">I62+I94</f>
        <v>466.05536479515143</v>
      </c>
      <c r="J38" s="3325">
        <f t="shared" si="23"/>
        <v>806.18598091054628</v>
      </c>
      <c r="K38" s="3325">
        <f t="shared" si="23"/>
        <v>924.07021482339451</v>
      </c>
      <c r="L38" s="3325">
        <f t="shared" si="23"/>
        <v>793.06533325172268</v>
      </c>
      <c r="M38" s="3325">
        <f t="shared" si="23"/>
        <v>716.64245495687317</v>
      </c>
      <c r="N38" s="3325">
        <f t="shared" si="23"/>
        <v>78.153135616008512</v>
      </c>
      <c r="O38" s="3325">
        <f t="shared" si="23"/>
        <v>0</v>
      </c>
      <c r="P38" s="3325">
        <f t="shared" si="23"/>
        <v>0</v>
      </c>
      <c r="Q38" s="3325">
        <f t="shared" si="23"/>
        <v>0</v>
      </c>
      <c r="R38" s="3325">
        <f t="shared" si="23"/>
        <v>0</v>
      </c>
      <c r="S38" s="3325">
        <f t="shared" si="23"/>
        <v>0</v>
      </c>
      <c r="T38" s="157">
        <v>9176.3090323147171</v>
      </c>
      <c r="V38" s="254">
        <v>3784.1724843536967</v>
      </c>
      <c r="W38" s="3567">
        <f t="shared" si="2"/>
        <v>0</v>
      </c>
      <c r="Y38" s="729"/>
      <c r="Z38" s="729"/>
    </row>
    <row r="39" spans="2:26" ht="24" x14ac:dyDescent="0.25">
      <c r="B39" s="2337" t="s">
        <v>809</v>
      </c>
      <c r="C39" s="471" t="s">
        <v>812</v>
      </c>
      <c r="D39" s="2327" t="s">
        <v>22</v>
      </c>
      <c r="E39" s="3324">
        <f>SUM(E40:E41)</f>
        <v>275.02099968460072</v>
      </c>
      <c r="F39" s="3324">
        <f>SUM(F40:F41)</f>
        <v>183.64127527691124</v>
      </c>
      <c r="G39" s="3325">
        <f t="shared" ref="G39:S39" si="24">G40+G41</f>
        <v>175.56957517987016</v>
      </c>
      <c r="H39" s="3325">
        <f t="shared" si="24"/>
        <v>0</v>
      </c>
      <c r="I39" s="3325">
        <f t="shared" si="24"/>
        <v>21.671161874477924</v>
      </c>
      <c r="J39" s="3325">
        <f t="shared" si="24"/>
        <v>37.396297012188271</v>
      </c>
      <c r="K39" s="3325">
        <f t="shared" si="24"/>
        <v>42.816223237035807</v>
      </c>
      <c r="L39" s="3325">
        <f t="shared" si="24"/>
        <v>36.771851198702088</v>
      </c>
      <c r="M39" s="3325">
        <f t="shared" si="24"/>
        <v>33.278538315780487</v>
      </c>
      <c r="N39" s="3325">
        <f t="shared" si="24"/>
        <v>3.6355035416855759</v>
      </c>
      <c r="O39" s="3325">
        <f t="shared" si="24"/>
        <v>0</v>
      </c>
      <c r="P39" s="3325">
        <f t="shared" si="24"/>
        <v>0</v>
      </c>
      <c r="Q39" s="3325">
        <f t="shared" si="24"/>
        <v>0</v>
      </c>
      <c r="R39" s="3325">
        <f t="shared" si="24"/>
        <v>0</v>
      </c>
      <c r="S39" s="3326">
        <f t="shared" si="24"/>
        <v>0</v>
      </c>
      <c r="T39" s="157">
        <v>197.46334644715745</v>
      </c>
      <c r="U39" s="729"/>
      <c r="V39" s="254">
        <v>175.56957517987016</v>
      </c>
      <c r="W39" s="3567">
        <f t="shared" si="2"/>
        <v>0</v>
      </c>
      <c r="Y39" s="729"/>
      <c r="Z39" s="729"/>
    </row>
    <row r="40" spans="2:26" x14ac:dyDescent="0.25">
      <c r="B40" s="2337" t="s">
        <v>810</v>
      </c>
      <c r="C40" s="2068" t="s">
        <v>644</v>
      </c>
      <c r="D40" s="2327" t="s">
        <v>22</v>
      </c>
      <c r="E40" s="3324">
        <v>275.02099968460072</v>
      </c>
      <c r="F40" s="3324">
        <v>183.64127527691124</v>
      </c>
      <c r="G40" s="3325">
        <f>SUM(H40:S40)</f>
        <v>175.56957517987016</v>
      </c>
      <c r="H40" s="3325">
        <f t="shared" ref="H40:S41" si="25">H72+H55</f>
        <v>0</v>
      </c>
      <c r="I40" s="3325">
        <f t="shared" si="25"/>
        <v>21.671161874477924</v>
      </c>
      <c r="J40" s="3325">
        <f t="shared" si="25"/>
        <v>37.396297012188271</v>
      </c>
      <c r="K40" s="3325">
        <f t="shared" si="25"/>
        <v>42.816223237035807</v>
      </c>
      <c r="L40" s="3325">
        <f t="shared" si="25"/>
        <v>36.771851198702088</v>
      </c>
      <c r="M40" s="3325">
        <f t="shared" si="25"/>
        <v>33.278538315780487</v>
      </c>
      <c r="N40" s="3325">
        <f t="shared" si="25"/>
        <v>3.6355035416855759</v>
      </c>
      <c r="O40" s="3325">
        <f t="shared" si="25"/>
        <v>0</v>
      </c>
      <c r="P40" s="3325">
        <f t="shared" si="25"/>
        <v>0</v>
      </c>
      <c r="Q40" s="3325">
        <f t="shared" si="25"/>
        <v>0</v>
      </c>
      <c r="R40" s="3325">
        <f t="shared" si="25"/>
        <v>0</v>
      </c>
      <c r="S40" s="3326">
        <f t="shared" si="25"/>
        <v>0</v>
      </c>
      <c r="T40" s="157">
        <v>197.46334644715745</v>
      </c>
      <c r="V40" s="254">
        <v>175.56957517987016</v>
      </c>
      <c r="W40" s="3567">
        <f t="shared" si="2"/>
        <v>0</v>
      </c>
      <c r="Y40" s="729"/>
      <c r="Z40" s="729"/>
    </row>
    <row r="41" spans="2:26" ht="14.4" thickBot="1" x14ac:dyDescent="0.3">
      <c r="B41" s="2337" t="s">
        <v>811</v>
      </c>
      <c r="C41" s="2068" t="s">
        <v>643</v>
      </c>
      <c r="D41" s="2327" t="s">
        <v>22</v>
      </c>
      <c r="E41" s="3324"/>
      <c r="F41" s="3324"/>
      <c r="G41" s="3325">
        <f>SUM(H41:S41)</f>
        <v>0</v>
      </c>
      <c r="H41" s="3325">
        <f>H63</f>
        <v>0</v>
      </c>
      <c r="I41" s="3325">
        <f t="shared" ref="I41:N41" si="26">I63</f>
        <v>0</v>
      </c>
      <c r="J41" s="3325">
        <f t="shared" si="26"/>
        <v>0</v>
      </c>
      <c r="K41" s="3325">
        <f t="shared" si="26"/>
        <v>0</v>
      </c>
      <c r="L41" s="3325">
        <f t="shared" si="26"/>
        <v>0</v>
      </c>
      <c r="M41" s="3325">
        <f t="shared" si="26"/>
        <v>0</v>
      </c>
      <c r="N41" s="3325">
        <f t="shared" si="26"/>
        <v>0</v>
      </c>
      <c r="O41" s="3325">
        <f t="shared" si="25"/>
        <v>0</v>
      </c>
      <c r="P41" s="3325">
        <f t="shared" si="25"/>
        <v>0</v>
      </c>
      <c r="Q41" s="3325">
        <f t="shared" si="25"/>
        <v>0</v>
      </c>
      <c r="R41" s="3325">
        <f t="shared" si="25"/>
        <v>0</v>
      </c>
      <c r="S41" s="3328">
        <f t="shared" si="25"/>
        <v>0</v>
      </c>
      <c r="T41" s="157">
        <v>0</v>
      </c>
      <c r="V41" s="254">
        <v>0</v>
      </c>
      <c r="W41" s="3567">
        <f t="shared" si="2"/>
        <v>0</v>
      </c>
      <c r="Y41" s="729"/>
      <c r="Z41" s="729"/>
    </row>
    <row r="42" spans="2:26" ht="48" hidden="1" x14ac:dyDescent="0.25">
      <c r="B42" s="2338" t="s">
        <v>174</v>
      </c>
      <c r="C42" s="474" t="s">
        <v>509</v>
      </c>
      <c r="D42" s="2332" t="s">
        <v>22</v>
      </c>
      <c r="E42" s="3329">
        <f>E43+E44</f>
        <v>0</v>
      </c>
      <c r="F42" s="3329">
        <f t="shared" ref="F42:S42" si="27">F43+F44</f>
        <v>0</v>
      </c>
      <c r="G42" s="3330">
        <f t="shared" si="27"/>
        <v>0</v>
      </c>
      <c r="H42" s="3330">
        <f t="shared" si="27"/>
        <v>0</v>
      </c>
      <c r="I42" s="3330">
        <f t="shared" si="27"/>
        <v>0</v>
      </c>
      <c r="J42" s="3330">
        <f t="shared" si="27"/>
        <v>0</v>
      </c>
      <c r="K42" s="3330">
        <f t="shared" si="27"/>
        <v>0</v>
      </c>
      <c r="L42" s="3330">
        <f t="shared" si="27"/>
        <v>0</v>
      </c>
      <c r="M42" s="3330">
        <f t="shared" si="27"/>
        <v>0</v>
      </c>
      <c r="N42" s="3330">
        <f t="shared" si="27"/>
        <v>0</v>
      </c>
      <c r="O42" s="3330">
        <f t="shared" si="27"/>
        <v>0</v>
      </c>
      <c r="P42" s="3330">
        <f t="shared" si="27"/>
        <v>0</v>
      </c>
      <c r="Q42" s="3330">
        <f t="shared" si="27"/>
        <v>0</v>
      </c>
      <c r="R42" s="3330">
        <f t="shared" si="27"/>
        <v>0</v>
      </c>
      <c r="S42" s="3331">
        <f t="shared" si="27"/>
        <v>0</v>
      </c>
      <c r="T42" s="157" t="s">
        <v>667</v>
      </c>
      <c r="W42" s="3567">
        <f t="shared" si="2"/>
        <v>0</v>
      </c>
    </row>
    <row r="43" spans="2:26" ht="36" hidden="1" x14ac:dyDescent="0.25">
      <c r="B43" s="2339" t="s">
        <v>27</v>
      </c>
      <c r="C43" s="471" t="s">
        <v>508</v>
      </c>
      <c r="D43" s="2334" t="s">
        <v>22</v>
      </c>
      <c r="E43" s="3332">
        <v>0</v>
      </c>
      <c r="F43" s="3332">
        <v>0</v>
      </c>
      <c r="G43" s="3325">
        <f>SUM(H43:S43)</f>
        <v>0</v>
      </c>
      <c r="H43" s="3325">
        <v>0</v>
      </c>
      <c r="I43" s="3325">
        <v>0</v>
      </c>
      <c r="J43" s="3325">
        <v>0</v>
      </c>
      <c r="K43" s="3325">
        <v>0</v>
      </c>
      <c r="L43" s="3325">
        <v>0</v>
      </c>
      <c r="M43" s="3325">
        <v>0</v>
      </c>
      <c r="N43" s="3325">
        <v>0</v>
      </c>
      <c r="O43" s="3325">
        <v>0</v>
      </c>
      <c r="P43" s="3325">
        <v>0</v>
      </c>
      <c r="Q43" s="3325">
        <v>0</v>
      </c>
      <c r="R43" s="3325">
        <v>0</v>
      </c>
      <c r="S43" s="3326">
        <v>0</v>
      </c>
      <c r="T43" s="157" t="s">
        <v>668</v>
      </c>
      <c r="W43" s="3567">
        <f t="shared" si="2"/>
        <v>0</v>
      </c>
    </row>
    <row r="44" spans="2:26" ht="48" hidden="1" x14ac:dyDescent="0.25">
      <c r="B44" s="2339" t="s">
        <v>112</v>
      </c>
      <c r="C44" s="471" t="s">
        <v>669</v>
      </c>
      <c r="D44" s="2334" t="s">
        <v>22</v>
      </c>
      <c r="E44" s="3332">
        <v>0</v>
      </c>
      <c r="F44" s="3332">
        <v>0</v>
      </c>
      <c r="G44" s="3325">
        <f>SUM(H44:S44)</f>
        <v>0</v>
      </c>
      <c r="H44" s="3325">
        <v>0</v>
      </c>
      <c r="I44" s="3325">
        <v>0</v>
      </c>
      <c r="J44" s="3325">
        <v>0</v>
      </c>
      <c r="K44" s="3325">
        <v>0</v>
      </c>
      <c r="L44" s="3325">
        <v>0</v>
      </c>
      <c r="M44" s="3325">
        <v>0</v>
      </c>
      <c r="N44" s="3325">
        <v>0</v>
      </c>
      <c r="O44" s="3325">
        <v>0</v>
      </c>
      <c r="P44" s="3325">
        <v>0</v>
      </c>
      <c r="Q44" s="3325">
        <v>0</v>
      </c>
      <c r="R44" s="3325">
        <v>0</v>
      </c>
      <c r="S44" s="3326">
        <v>0</v>
      </c>
      <c r="T44" s="157" t="s">
        <v>670</v>
      </c>
      <c r="W44" s="3567">
        <f t="shared" si="2"/>
        <v>0</v>
      </c>
    </row>
    <row r="45" spans="2:26" hidden="1" x14ac:dyDescent="0.25">
      <c r="B45" s="2339" t="s">
        <v>746</v>
      </c>
      <c r="C45" s="472" t="s">
        <v>644</v>
      </c>
      <c r="D45" s="2334" t="s">
        <v>22</v>
      </c>
      <c r="E45" s="3332">
        <v>0</v>
      </c>
      <c r="F45" s="3332">
        <v>0</v>
      </c>
      <c r="G45" s="3333">
        <v>0</v>
      </c>
      <c r="H45" s="3333">
        <v>0</v>
      </c>
      <c r="I45" s="3333">
        <v>0</v>
      </c>
      <c r="J45" s="3333">
        <v>0</v>
      </c>
      <c r="K45" s="3333">
        <v>0</v>
      </c>
      <c r="L45" s="3333">
        <v>0</v>
      </c>
      <c r="M45" s="3333">
        <v>0</v>
      </c>
      <c r="N45" s="3333">
        <v>0</v>
      </c>
      <c r="O45" s="3333">
        <v>0</v>
      </c>
      <c r="P45" s="3333">
        <v>0</v>
      </c>
      <c r="Q45" s="3333">
        <v>0</v>
      </c>
      <c r="R45" s="3333">
        <v>0</v>
      </c>
      <c r="S45" s="3334">
        <v>0</v>
      </c>
      <c r="T45" s="157" t="s">
        <v>489</v>
      </c>
      <c r="W45" s="3567">
        <f t="shared" si="2"/>
        <v>0</v>
      </c>
    </row>
    <row r="46" spans="2:26" hidden="1" x14ac:dyDescent="0.25">
      <c r="B46" s="2339" t="s">
        <v>747</v>
      </c>
      <c r="C46" s="472" t="s">
        <v>643</v>
      </c>
      <c r="D46" s="2334" t="s">
        <v>22</v>
      </c>
      <c r="E46" s="3332">
        <v>0</v>
      </c>
      <c r="F46" s="3332">
        <v>0</v>
      </c>
      <c r="G46" s="3333">
        <v>0</v>
      </c>
      <c r="H46" s="3333">
        <v>0</v>
      </c>
      <c r="I46" s="3333">
        <v>0</v>
      </c>
      <c r="J46" s="3333">
        <v>0</v>
      </c>
      <c r="K46" s="3333">
        <v>0</v>
      </c>
      <c r="L46" s="3333">
        <v>0</v>
      </c>
      <c r="M46" s="3333">
        <v>0</v>
      </c>
      <c r="N46" s="3333">
        <v>0</v>
      </c>
      <c r="O46" s="3333">
        <v>0</v>
      </c>
      <c r="P46" s="3333">
        <v>0</v>
      </c>
      <c r="Q46" s="3333">
        <v>0</v>
      </c>
      <c r="R46" s="3333">
        <v>0</v>
      </c>
      <c r="S46" s="3334">
        <v>0</v>
      </c>
      <c r="T46" s="157" t="s">
        <v>489</v>
      </c>
      <c r="W46" s="3567">
        <f t="shared" si="2"/>
        <v>0</v>
      </c>
    </row>
    <row r="47" spans="2:26" ht="36.6" thickBot="1" x14ac:dyDescent="0.3">
      <c r="B47" s="2340" t="s">
        <v>169</v>
      </c>
      <c r="C47" s="473" t="s">
        <v>510</v>
      </c>
      <c r="D47" s="2336" t="s">
        <v>22</v>
      </c>
      <c r="E47" s="3335">
        <f>E48+E69</f>
        <v>99814.646156792121</v>
      </c>
      <c r="F47" s="3335">
        <f t="shared" ref="F47:S47" si="28">F48+F69</f>
        <v>73157.247303102631</v>
      </c>
      <c r="G47" s="3336">
        <f t="shared" si="28"/>
        <v>108851.10225142605</v>
      </c>
      <c r="H47" s="3336">
        <f t="shared" si="28"/>
        <v>0</v>
      </c>
      <c r="I47" s="3336">
        <f t="shared" si="28"/>
        <v>13410.744896978813</v>
      </c>
      <c r="J47" s="3336">
        <f t="shared" si="28"/>
        <v>23189.087523797836</v>
      </c>
      <c r="K47" s="3336">
        <f t="shared" si="28"/>
        <v>26575.14955511432</v>
      </c>
      <c r="L47" s="3336">
        <f t="shared" si="28"/>
        <v>22810.129619887884</v>
      </c>
      <c r="M47" s="3336">
        <f t="shared" si="28"/>
        <v>20616.990891374015</v>
      </c>
      <c r="N47" s="3336">
        <f t="shared" si="28"/>
        <v>2248.9997642731964</v>
      </c>
      <c r="O47" s="3336">
        <f t="shared" si="28"/>
        <v>0</v>
      </c>
      <c r="P47" s="3336">
        <f t="shared" si="28"/>
        <v>0</v>
      </c>
      <c r="Q47" s="3336">
        <f t="shared" si="28"/>
        <v>0</v>
      </c>
      <c r="R47" s="3336">
        <f t="shared" si="28"/>
        <v>0</v>
      </c>
      <c r="S47" s="3337">
        <f t="shared" si="28"/>
        <v>0</v>
      </c>
      <c r="T47" s="157" t="s">
        <v>671</v>
      </c>
      <c r="V47" s="3569">
        <v>108851.10225121626</v>
      </c>
      <c r="W47" s="3567">
        <f t="shared" si="2"/>
        <v>-2.097949618473649E-7</v>
      </c>
    </row>
    <row r="48" spans="2:26" s="15" customFormat="1" ht="34.200000000000003" x14ac:dyDescent="0.25">
      <c r="B48" s="2368" t="s">
        <v>170</v>
      </c>
      <c r="C48" s="3194" t="s">
        <v>202</v>
      </c>
      <c r="D48" s="2354" t="s">
        <v>22</v>
      </c>
      <c r="E48" s="3321">
        <f>E50+E58</f>
        <v>7185.57</v>
      </c>
      <c r="F48" s="3321">
        <f>F50+F58</f>
        <v>6304.0299999999988</v>
      </c>
      <c r="G48" s="3322">
        <f>G50+G58</f>
        <v>9896.8745684903461</v>
      </c>
      <c r="H48" s="3322">
        <f t="shared" ref="H48:S48" si="29">H50+H58</f>
        <v>0</v>
      </c>
      <c r="I48" s="3322">
        <f t="shared" si="29"/>
        <v>1368.1050102262734</v>
      </c>
      <c r="J48" s="3322">
        <f t="shared" si="29"/>
        <v>2085.728860118722</v>
      </c>
      <c r="K48" s="3322">
        <f t="shared" si="29"/>
        <v>2241.0582463261594</v>
      </c>
      <c r="L48" s="3322">
        <f t="shared" si="29"/>
        <v>2002.8346402062002</v>
      </c>
      <c r="M48" s="3322">
        <f t="shared" si="29"/>
        <v>1965.269249324404</v>
      </c>
      <c r="N48" s="3322">
        <f t="shared" si="29"/>
        <v>233.87856228858544</v>
      </c>
      <c r="O48" s="3322">
        <f t="shared" si="29"/>
        <v>0</v>
      </c>
      <c r="P48" s="3322">
        <f t="shared" si="29"/>
        <v>0</v>
      </c>
      <c r="Q48" s="3322">
        <f t="shared" si="29"/>
        <v>0</v>
      </c>
      <c r="R48" s="3322">
        <f t="shared" si="29"/>
        <v>0</v>
      </c>
      <c r="S48" s="3323">
        <f t="shared" si="29"/>
        <v>0</v>
      </c>
      <c r="V48" s="1622">
        <v>9896.8745684903461</v>
      </c>
      <c r="W48" s="3567">
        <f t="shared" si="2"/>
        <v>0</v>
      </c>
    </row>
    <row r="49" spans="1:23" x14ac:dyDescent="0.25">
      <c r="A49" s="3521"/>
      <c r="B49" s="2339"/>
      <c r="C49" s="471" t="s">
        <v>672</v>
      </c>
      <c r="D49" s="2334" t="s">
        <v>4</v>
      </c>
      <c r="E49" s="3515">
        <f>E48/E47</f>
        <v>7.1989134627724577E-2</v>
      </c>
      <c r="F49" s="3515">
        <f>F48/F47</f>
        <v>8.6170956841519139E-2</v>
      </c>
      <c r="G49" s="3515">
        <f>G48/G47</f>
        <v>9.0921215897569727E-2</v>
      </c>
      <c r="H49" s="3515">
        <f>G49</f>
        <v>9.0921215897569727E-2</v>
      </c>
      <c r="I49" s="3515">
        <f t="shared" ref="I49:S49" si="30">H49</f>
        <v>9.0921215897569727E-2</v>
      </c>
      <c r="J49" s="3515">
        <f t="shared" si="30"/>
        <v>9.0921215897569727E-2</v>
      </c>
      <c r="K49" s="3515">
        <f t="shared" si="30"/>
        <v>9.0921215897569727E-2</v>
      </c>
      <c r="L49" s="3515">
        <f t="shared" si="30"/>
        <v>9.0921215897569727E-2</v>
      </c>
      <c r="M49" s="3515">
        <f t="shared" si="30"/>
        <v>9.0921215897569727E-2</v>
      </c>
      <c r="N49" s="3515">
        <f t="shared" si="30"/>
        <v>9.0921215897569727E-2</v>
      </c>
      <c r="O49" s="3515">
        <f t="shared" si="30"/>
        <v>9.0921215897569727E-2</v>
      </c>
      <c r="P49" s="3515">
        <f t="shared" si="30"/>
        <v>9.0921215897569727E-2</v>
      </c>
      <c r="Q49" s="3515">
        <f t="shared" si="30"/>
        <v>9.0921215897569727E-2</v>
      </c>
      <c r="R49" s="3515">
        <f t="shared" si="30"/>
        <v>9.0921215897569727E-2</v>
      </c>
      <c r="S49" s="3516">
        <f t="shared" si="30"/>
        <v>9.0921215897569727E-2</v>
      </c>
      <c r="T49" s="157" t="s">
        <v>673</v>
      </c>
      <c r="V49" s="3570">
        <v>9.0921215897745003E-2</v>
      </c>
      <c r="W49" s="3567">
        <f t="shared" si="2"/>
        <v>1.7527646001269659E-13</v>
      </c>
    </row>
    <row r="50" spans="1:23" s="208" customFormat="1" ht="14.4" x14ac:dyDescent="0.3">
      <c r="A50" s="3522"/>
      <c r="B50" s="2369" t="s">
        <v>32</v>
      </c>
      <c r="C50" s="2370" t="s">
        <v>644</v>
      </c>
      <c r="D50" s="2371" t="s">
        <v>22</v>
      </c>
      <c r="E50" s="3338">
        <f>SUM(E51:E55)</f>
        <v>1311.99</v>
      </c>
      <c r="F50" s="3338">
        <f>SUM(F51:F55)</f>
        <v>967.53</v>
      </c>
      <c r="G50" s="3339">
        <f t="shared" ref="G50:G56" si="31">SUM(H50:S50)</f>
        <v>1806.2975163669184</v>
      </c>
      <c r="H50" s="3340">
        <f>SUM(H51:H55)</f>
        <v>0</v>
      </c>
      <c r="I50" s="3340">
        <f t="shared" ref="I50:S50" si="32">SUM(I51:I55)</f>
        <v>251.89501732316924</v>
      </c>
      <c r="J50" s="3340">
        <f t="shared" si="32"/>
        <v>380.3369370062652</v>
      </c>
      <c r="K50" s="3340">
        <f t="shared" si="32"/>
        <v>406.4291311354234</v>
      </c>
      <c r="L50" s="3340">
        <f t="shared" si="32"/>
        <v>364.48965480370532</v>
      </c>
      <c r="M50" s="3340">
        <f t="shared" si="32"/>
        <v>360.02550906494849</v>
      </c>
      <c r="N50" s="3340">
        <f t="shared" si="32"/>
        <v>43.121267033406561</v>
      </c>
      <c r="O50" s="3340">
        <f t="shared" si="32"/>
        <v>0</v>
      </c>
      <c r="P50" s="3340">
        <f t="shared" si="32"/>
        <v>0</v>
      </c>
      <c r="Q50" s="3340">
        <f t="shared" si="32"/>
        <v>0</v>
      </c>
      <c r="R50" s="3340">
        <f t="shared" si="32"/>
        <v>0</v>
      </c>
      <c r="S50" s="3340">
        <f t="shared" si="32"/>
        <v>0</v>
      </c>
      <c r="T50" s="208" t="s">
        <v>489</v>
      </c>
      <c r="V50" s="10">
        <v>1806.2975163669184</v>
      </c>
      <c r="W50" s="3567">
        <f>V50-G50</f>
        <v>0</v>
      </c>
    </row>
    <row r="51" spans="1:23" x14ac:dyDescent="0.25">
      <c r="A51" s="3521"/>
      <c r="B51" s="2339" t="s">
        <v>744</v>
      </c>
      <c r="C51" s="472" t="s">
        <v>3</v>
      </c>
      <c r="D51" s="2334" t="s">
        <v>22</v>
      </c>
      <c r="E51" s="3332">
        <v>1114.595</v>
      </c>
      <c r="F51" s="3332">
        <v>845.25</v>
      </c>
      <c r="G51" s="3325">
        <f t="shared" si="31"/>
        <v>1486.7844510897837</v>
      </c>
      <c r="H51" s="3333">
        <f>'Розрахунки Річного плану'!D111</f>
        <v>0</v>
      </c>
      <c r="I51" s="3333">
        <f>'Розрахунки Річного плану'!E111</f>
        <v>207.33771245855144</v>
      </c>
      <c r="J51" s="3333">
        <f>'Розрахунки Річного плану'!F111</f>
        <v>313.05974735181013</v>
      </c>
      <c r="K51" s="3333">
        <f>'Розрахунки Річного плану'!G111</f>
        <v>334.53653518689254</v>
      </c>
      <c r="L51" s="3333">
        <f>'Розрахунки Річного плану'!H111</f>
        <v>300.01566543434836</v>
      </c>
      <c r="M51" s="3333">
        <f>'Розрахунки Річного плану'!I111</f>
        <v>296.3411752622464</v>
      </c>
      <c r="N51" s="3333">
        <f>'Розрахунки Річного плану'!J111</f>
        <v>35.49361539593464</v>
      </c>
      <c r="O51" s="3333">
        <v>0</v>
      </c>
      <c r="P51" s="3333">
        <v>0</v>
      </c>
      <c r="Q51" s="3333">
        <v>0</v>
      </c>
      <c r="R51" s="3333">
        <v>0</v>
      </c>
      <c r="S51" s="3334">
        <v>0</v>
      </c>
      <c r="T51" s="157" t="s">
        <v>489</v>
      </c>
      <c r="V51" s="10">
        <v>1486.7844510897837</v>
      </c>
      <c r="W51" s="3567">
        <f t="shared" ref="W51:W94" si="33">V51-G51</f>
        <v>0</v>
      </c>
    </row>
    <row r="52" spans="1:23" x14ac:dyDescent="0.25">
      <c r="A52" s="3521"/>
      <c r="B52" s="2339" t="s">
        <v>772</v>
      </c>
      <c r="C52" s="472" t="s">
        <v>163</v>
      </c>
      <c r="D52" s="2334" t="s">
        <v>22</v>
      </c>
      <c r="E52" s="3332">
        <v>0</v>
      </c>
      <c r="F52" s="3332">
        <v>0</v>
      </c>
      <c r="G52" s="3325">
        <f t="shared" si="31"/>
        <v>0</v>
      </c>
      <c r="H52" s="3333">
        <f>'Розрахунки Річного плану'!D115</f>
        <v>0</v>
      </c>
      <c r="I52" s="3333">
        <f>'Розрахунки Річного плану'!E115</f>
        <v>0</v>
      </c>
      <c r="J52" s="3333">
        <f>'Розрахунки Річного плану'!F115</f>
        <v>0</v>
      </c>
      <c r="K52" s="3333">
        <f>'Розрахунки Річного плану'!G115</f>
        <v>0</v>
      </c>
      <c r="L52" s="3333">
        <f>'Розрахунки Річного плану'!H115</f>
        <v>0</v>
      </c>
      <c r="M52" s="3333">
        <f>'Розрахунки Річного плану'!I115</f>
        <v>0</v>
      </c>
      <c r="N52" s="3333">
        <f>'Розрахунки Річного плану'!J115</f>
        <v>0</v>
      </c>
      <c r="O52" s="3333">
        <v>0</v>
      </c>
      <c r="P52" s="3333">
        <v>0</v>
      </c>
      <c r="Q52" s="3333">
        <v>0</v>
      </c>
      <c r="R52" s="3333">
        <v>0</v>
      </c>
      <c r="S52" s="3333">
        <v>0</v>
      </c>
      <c r="T52" s="157" t="s">
        <v>489</v>
      </c>
      <c r="V52" s="10">
        <v>0</v>
      </c>
      <c r="W52" s="3567">
        <f t="shared" si="33"/>
        <v>0</v>
      </c>
    </row>
    <row r="53" spans="1:23" x14ac:dyDescent="0.25">
      <c r="A53" s="3521"/>
      <c r="B53" s="2339" t="s">
        <v>773</v>
      </c>
      <c r="C53" s="472" t="s">
        <v>770</v>
      </c>
      <c r="D53" s="2334" t="s">
        <v>22</v>
      </c>
      <c r="E53" s="3332">
        <v>136.19999999999999</v>
      </c>
      <c r="F53" s="3332">
        <v>64.53</v>
      </c>
      <c r="G53" s="3325">
        <f t="shared" si="31"/>
        <v>218.68889853844684</v>
      </c>
      <c r="H53" s="3333">
        <f>'Розрахунки Річного плану'!D112</f>
        <v>0</v>
      </c>
      <c r="I53" s="3333">
        <f>'Розрахунки Річного плану'!E112</f>
        <v>30.496993649487461</v>
      </c>
      <c r="J53" s="3333">
        <f>'Розрахунки Річного плану'!F112</f>
        <v>46.047489449402043</v>
      </c>
      <c r="K53" s="3333">
        <f>'Розрахунки Річного плану'!G112</f>
        <v>49.206478011836545</v>
      </c>
      <c r="L53" s="3333">
        <f>'Розрахунки Річного плану'!H112</f>
        <v>44.128854972908769</v>
      </c>
      <c r="M53" s="3333">
        <f>'Розрахунки Річного плану'!I112</f>
        <v>43.588379715827401</v>
      </c>
      <c r="N53" s="3333">
        <f>'Розрахунки Річного плану'!J112</f>
        <v>5.220702738984639</v>
      </c>
      <c r="O53" s="3333">
        <v>0</v>
      </c>
      <c r="P53" s="3333">
        <v>0</v>
      </c>
      <c r="Q53" s="3333">
        <v>0</v>
      </c>
      <c r="R53" s="3333">
        <v>0</v>
      </c>
      <c r="S53" s="3334">
        <v>0</v>
      </c>
      <c r="T53" s="157" t="s">
        <v>489</v>
      </c>
      <c r="U53" s="729"/>
      <c r="V53" s="10">
        <v>218.68889853844684</v>
      </c>
      <c r="W53" s="3567">
        <f t="shared" si="33"/>
        <v>0</v>
      </c>
    </row>
    <row r="54" spans="1:23" x14ac:dyDescent="0.25">
      <c r="A54" s="3521"/>
      <c r="B54" s="2339" t="s">
        <v>774</v>
      </c>
      <c r="C54" s="472" t="s">
        <v>156</v>
      </c>
      <c r="D54" s="2334" t="s">
        <v>22</v>
      </c>
      <c r="E54" s="3332">
        <v>41.06</v>
      </c>
      <c r="F54" s="3332">
        <v>42.24</v>
      </c>
      <c r="G54" s="3325">
        <f t="shared" si="31"/>
        <v>83.675582375644424</v>
      </c>
      <c r="H54" s="3333">
        <f>'Розрахунки Річного плану'!D113</f>
        <v>0</v>
      </c>
      <c r="I54" s="3333">
        <f>'Розрахунки Річного плану'!E113</f>
        <v>11.668876295879103</v>
      </c>
      <c r="J54" s="3333">
        <f>'Розрахунки Річного плану'!F113</f>
        <v>17.618866446198084</v>
      </c>
      <c r="K54" s="3333">
        <f>'Розрахунки Річного плану'!G113</f>
        <v>18.827570726325206</v>
      </c>
      <c r="L54" s="3333">
        <f>'Розрахунки Річного плану'!H113</f>
        <v>16.8847511881328</v>
      </c>
      <c r="M54" s="3333">
        <f>'Розрахунки Річного плану'!I113</f>
        <v>16.677952479107528</v>
      </c>
      <c r="N54" s="3333">
        <f>'Розрахунки Річного плану'!J113</f>
        <v>1.9975652400017072</v>
      </c>
      <c r="O54" s="3333">
        <v>0</v>
      </c>
      <c r="P54" s="3333">
        <v>0</v>
      </c>
      <c r="Q54" s="3333">
        <v>0</v>
      </c>
      <c r="R54" s="3333">
        <v>0</v>
      </c>
      <c r="S54" s="3334">
        <v>0</v>
      </c>
      <c r="T54" s="157" t="s">
        <v>489</v>
      </c>
      <c r="V54" s="10">
        <v>83.675582375644424</v>
      </c>
      <c r="W54" s="3567">
        <f t="shared" si="33"/>
        <v>0</v>
      </c>
    </row>
    <row r="55" spans="1:23" ht="24" x14ac:dyDescent="0.25">
      <c r="A55" s="3521"/>
      <c r="B55" s="2339" t="s">
        <v>807</v>
      </c>
      <c r="C55" s="472" t="s">
        <v>203</v>
      </c>
      <c r="D55" s="2334" t="s">
        <v>22</v>
      </c>
      <c r="E55" s="3332">
        <v>20.135000000000002</v>
      </c>
      <c r="F55" s="3332">
        <v>15.51</v>
      </c>
      <c r="G55" s="3325">
        <f t="shared" si="31"/>
        <v>17.148584363043497</v>
      </c>
      <c r="H55" s="3333">
        <f>'Розрахунки Річного плану'!D114</f>
        <v>0</v>
      </c>
      <c r="I55" s="3333">
        <f>'Розрахунки Річного плану'!E114</f>
        <v>2.3914349192512594</v>
      </c>
      <c r="J55" s="3333">
        <f>'Розрахунки Річного плану'!F114</f>
        <v>3.610833758854938</v>
      </c>
      <c r="K55" s="3333">
        <f>'Розрахунки Річного плану'!G114</f>
        <v>3.8585472103691392</v>
      </c>
      <c r="L55" s="3333">
        <f>'Розрахунки Річного плану'!H114</f>
        <v>3.4603832083154269</v>
      </c>
      <c r="M55" s="3333">
        <f>'Розрахунки Річного плану'!I114</f>
        <v>3.4180016077671573</v>
      </c>
      <c r="N55" s="3333">
        <f>'Розрахунки Річного плану'!J114</f>
        <v>0.40938365848557606</v>
      </c>
      <c r="O55" s="3333">
        <v>0</v>
      </c>
      <c r="P55" s="3333">
        <v>0</v>
      </c>
      <c r="Q55" s="3333">
        <v>0</v>
      </c>
      <c r="R55" s="3333">
        <v>0</v>
      </c>
      <c r="S55" s="3334">
        <v>0</v>
      </c>
      <c r="T55" s="157" t="s">
        <v>489</v>
      </c>
      <c r="V55" s="10">
        <v>17.148584363043497</v>
      </c>
      <c r="W55" s="3567">
        <f t="shared" si="33"/>
        <v>0</v>
      </c>
    </row>
    <row r="56" spans="1:23" ht="23.4" hidden="1" x14ac:dyDescent="0.25">
      <c r="B56" s="2339"/>
      <c r="C56" s="3195" t="s">
        <v>674</v>
      </c>
      <c r="D56" s="2334" t="s">
        <v>22</v>
      </c>
      <c r="E56" s="3332"/>
      <c r="F56" s="3332"/>
      <c r="G56" s="3325">
        <f t="shared" si="31"/>
        <v>0</v>
      </c>
      <c r="H56" s="3325">
        <v>0</v>
      </c>
      <c r="I56" s="3325">
        <v>0</v>
      </c>
      <c r="J56" s="3325">
        <v>0</v>
      </c>
      <c r="K56" s="3325">
        <v>0</v>
      </c>
      <c r="L56" s="3325">
        <v>0</v>
      </c>
      <c r="M56" s="3325">
        <v>0</v>
      </c>
      <c r="N56" s="3325">
        <v>0</v>
      </c>
      <c r="O56" s="3325">
        <v>0</v>
      </c>
      <c r="P56" s="3325">
        <v>0</v>
      </c>
      <c r="Q56" s="3325">
        <v>0</v>
      </c>
      <c r="R56" s="3325">
        <v>0</v>
      </c>
      <c r="S56" s="3326">
        <v>0</v>
      </c>
      <c r="T56" s="157" t="s">
        <v>675</v>
      </c>
      <c r="V56" s="10">
        <v>17.148584363043497</v>
      </c>
      <c r="W56" s="3567">
        <f t="shared" si="33"/>
        <v>17.148584363043497</v>
      </c>
    </row>
    <row r="57" spans="1:23" hidden="1" x14ac:dyDescent="0.25">
      <c r="A57" s="3521"/>
      <c r="B57" s="2339"/>
      <c r="C57" s="3195" t="s">
        <v>748</v>
      </c>
      <c r="D57" s="2334" t="s">
        <v>4</v>
      </c>
      <c r="E57" s="3332"/>
      <c r="F57" s="3332"/>
      <c r="G57" s="3325">
        <v>0</v>
      </c>
      <c r="H57" s="3325">
        <v>0</v>
      </c>
      <c r="I57" s="3325">
        <v>0</v>
      </c>
      <c r="J57" s="3325">
        <v>0</v>
      </c>
      <c r="K57" s="3325">
        <v>0</v>
      </c>
      <c r="L57" s="3325">
        <v>0</v>
      </c>
      <c r="M57" s="3325">
        <v>0</v>
      </c>
      <c r="N57" s="3325">
        <v>0</v>
      </c>
      <c r="O57" s="3325">
        <v>0</v>
      </c>
      <c r="P57" s="3325">
        <v>0</v>
      </c>
      <c r="Q57" s="3325">
        <v>0</v>
      </c>
      <c r="R57" s="3325">
        <v>0</v>
      </c>
      <c r="S57" s="3326">
        <v>0</v>
      </c>
      <c r="T57" s="157" t="s">
        <v>673</v>
      </c>
      <c r="W57" s="3567">
        <f t="shared" si="33"/>
        <v>0</v>
      </c>
    </row>
    <row r="58" spans="1:23" s="208" customFormat="1" ht="14.4" x14ac:dyDescent="0.3">
      <c r="A58" s="3522"/>
      <c r="B58" s="2369" t="s">
        <v>33</v>
      </c>
      <c r="C58" s="2370" t="s">
        <v>643</v>
      </c>
      <c r="D58" s="2371" t="s">
        <v>22</v>
      </c>
      <c r="E58" s="3338">
        <f>SUM(E59:E63)</f>
        <v>5873.58</v>
      </c>
      <c r="F58" s="3338">
        <f>SUM(F59:F63)</f>
        <v>5336.4999999999991</v>
      </c>
      <c r="G58" s="3339">
        <f t="shared" ref="G58:G64" si="34">SUM(H58:S58)</f>
        <v>8090.5770521234272</v>
      </c>
      <c r="H58" s="3340">
        <f>SUM(H59:H63)</f>
        <v>0</v>
      </c>
      <c r="I58" s="3340">
        <f t="shared" ref="I58:S58" si="35">SUM(I59:I63)</f>
        <v>1116.2099929031042</v>
      </c>
      <c r="J58" s="3340">
        <f t="shared" si="35"/>
        <v>1705.3919231124567</v>
      </c>
      <c r="K58" s="3340">
        <f t="shared" si="35"/>
        <v>1834.629115190736</v>
      </c>
      <c r="L58" s="3340">
        <f t="shared" si="35"/>
        <v>1638.344985402495</v>
      </c>
      <c r="M58" s="3340">
        <f t="shared" si="35"/>
        <v>1605.2437402594555</v>
      </c>
      <c r="N58" s="3340">
        <f t="shared" si="35"/>
        <v>190.75729525517889</v>
      </c>
      <c r="O58" s="3340">
        <f t="shared" si="35"/>
        <v>0</v>
      </c>
      <c r="P58" s="3340">
        <f t="shared" si="35"/>
        <v>0</v>
      </c>
      <c r="Q58" s="3340">
        <f t="shared" si="35"/>
        <v>0</v>
      </c>
      <c r="R58" s="3340">
        <f t="shared" si="35"/>
        <v>0</v>
      </c>
      <c r="S58" s="3341">
        <f t="shared" si="35"/>
        <v>0</v>
      </c>
      <c r="T58" s="208" t="s">
        <v>489</v>
      </c>
      <c r="V58" s="208">
        <v>8090.5770521234272</v>
      </c>
      <c r="W58" s="3567">
        <f t="shared" si="33"/>
        <v>0</v>
      </c>
    </row>
    <row r="59" spans="1:23" x14ac:dyDescent="0.25">
      <c r="A59" s="3521"/>
      <c r="B59" s="2339" t="s">
        <v>745</v>
      </c>
      <c r="C59" s="472" t="s">
        <v>3</v>
      </c>
      <c r="D59" s="2334" t="s">
        <v>22</v>
      </c>
      <c r="E59" s="3332">
        <v>5023.76</v>
      </c>
      <c r="F59" s="3332">
        <v>4596.87</v>
      </c>
      <c r="G59" s="3325">
        <f t="shared" si="34"/>
        <v>6734.9305021093733</v>
      </c>
      <c r="H59" s="3333">
        <f>'Розрахунки Річного плану'!D117+'Розрахунки Річного плану'!D138</f>
        <v>0</v>
      </c>
      <c r="I59" s="3333">
        <f>'Розрахунки Річного плану'!E117+'Розрахунки Річного плану'!E138</f>
        <v>929.14604980111699</v>
      </c>
      <c r="J59" s="3333">
        <f>'Розрахунки Річного плану'!F117+'Розрахунки Річного плану'!F138</f>
        <v>1419.6440536237033</v>
      </c>
      <c r="K59" s="3333">
        <f>'Розрахунки Річного плану'!G117+'Розрахунки Річного плану'!G138</f>
        <v>1527.2594058514139</v>
      </c>
      <c r="L59" s="3333">
        <f>'Розрахунки Річного плану'!H117+'Розрахунки Річного плану'!H138</f>
        <v>1363.8419682205033</v>
      </c>
      <c r="M59" s="3333">
        <f>'Розрахунки Річного плану'!I117+'Розрахунки Річного плану'!I138</f>
        <v>1336.2513836229432</v>
      </c>
      <c r="N59" s="3333">
        <f>'Розрахунки Річного плану'!J117+'Розрахунки Річного плану'!J138</f>
        <v>158.78764098969262</v>
      </c>
      <c r="O59" s="3333">
        <v>0</v>
      </c>
      <c r="P59" s="3333">
        <v>0</v>
      </c>
      <c r="Q59" s="3333">
        <v>0</v>
      </c>
      <c r="R59" s="3333">
        <v>0</v>
      </c>
      <c r="S59" s="3334">
        <v>0</v>
      </c>
      <c r="T59" s="157" t="s">
        <v>489</v>
      </c>
      <c r="V59" s="10">
        <v>6734.9305021093733</v>
      </c>
      <c r="W59" s="3567">
        <f t="shared" si="33"/>
        <v>0</v>
      </c>
    </row>
    <row r="60" spans="1:23" x14ac:dyDescent="0.25">
      <c r="A60" s="3521"/>
      <c r="B60" s="2339" t="s">
        <v>775</v>
      </c>
      <c r="C60" s="472" t="s">
        <v>163</v>
      </c>
      <c r="D60" s="2334" t="s">
        <v>22</v>
      </c>
      <c r="E60" s="3332">
        <v>1.02</v>
      </c>
      <c r="F60" s="3332">
        <v>0.86</v>
      </c>
      <c r="G60" s="3325">
        <f t="shared" si="34"/>
        <v>1.3113131142858057</v>
      </c>
      <c r="H60" s="3333">
        <f>'Розрахунки Річного плану'!D121</f>
        <v>0</v>
      </c>
      <c r="I60" s="3333">
        <f>'Розрахунки Річного плану'!E121</f>
        <v>0.1809033945786751</v>
      </c>
      <c r="J60" s="3333">
        <f>'Розрахунки Річного плану'!F121</f>
        <v>0.27641007651304472</v>
      </c>
      <c r="K60" s="3333">
        <f>'Розрахунки Річного плану'!G121</f>
        <v>0.29736749954910124</v>
      </c>
      <c r="L60" s="3333">
        <f>'Розрахунки Річного плану'!H121</f>
        <v>0.26554662256963996</v>
      </c>
      <c r="M60" s="3333">
        <f>'Розрахунки Річного плану'!I121</f>
        <v>0.26016991929425443</v>
      </c>
      <c r="N60" s="3333">
        <f>'Розрахунки Річного плану'!J121</f>
        <v>3.0915601781090221E-2</v>
      </c>
      <c r="O60" s="3333">
        <v>0</v>
      </c>
      <c r="P60" s="3333">
        <v>0</v>
      </c>
      <c r="Q60" s="3333">
        <v>0</v>
      </c>
      <c r="R60" s="3333">
        <v>0</v>
      </c>
      <c r="S60" s="3334">
        <v>0</v>
      </c>
      <c r="T60" s="157" t="s">
        <v>489</v>
      </c>
      <c r="V60" s="10">
        <v>1.3113131142858057</v>
      </c>
      <c r="W60" s="3567">
        <f t="shared" si="33"/>
        <v>0</v>
      </c>
    </row>
    <row r="61" spans="1:23" x14ac:dyDescent="0.25">
      <c r="A61" s="3521"/>
      <c r="B61" s="2339" t="s">
        <v>776</v>
      </c>
      <c r="C61" s="472" t="s">
        <v>770</v>
      </c>
      <c r="D61" s="2334" t="s">
        <v>22</v>
      </c>
      <c r="E61" s="3332">
        <v>561.98</v>
      </c>
      <c r="F61" s="3332">
        <v>561.48</v>
      </c>
      <c r="G61" s="3325">
        <f t="shared" si="34"/>
        <v>1014.5256965210326</v>
      </c>
      <c r="H61" s="3333">
        <f>'Розрахунки Річного плану'!D118+'Розрахунки Річного плану'!D139</f>
        <v>0</v>
      </c>
      <c r="I61" s="3333">
        <f>'Розрахунки Річного плану'!E118+'Розрахунки Річного плану'!E139</f>
        <v>140.00430518166348</v>
      </c>
      <c r="J61" s="3333">
        <f>'Розрахунки Річного плану'!F118+'Розрахунки Річного плану'!F139</f>
        <v>213.84342486222744</v>
      </c>
      <c r="K61" s="3333">
        <f>'Розрахунки Річного плану'!G118+'Розрахунки Річного плану'!G139</f>
        <v>230.0134668506451</v>
      </c>
      <c r="L61" s="3333">
        <f>'Розрахунки Річного плану'!H118+'Розрахунки Річного плану'!H139</f>
        <v>205.42455716637593</v>
      </c>
      <c r="M61" s="3333">
        <f>'Розрахунки Річного плану'!I118+'Розрахунки Річного плану'!I139</f>
        <v>201.31257523571196</v>
      </c>
      <c r="N61" s="3333">
        <f>'Розрахунки Річного плану'!J118+'Розрахунки Річного плану'!J139</f>
        <v>23.92736722440867</v>
      </c>
      <c r="O61" s="3333">
        <v>0</v>
      </c>
      <c r="P61" s="3333">
        <v>0</v>
      </c>
      <c r="Q61" s="3333">
        <v>0</v>
      </c>
      <c r="R61" s="3333">
        <v>0</v>
      </c>
      <c r="S61" s="3334">
        <v>0</v>
      </c>
      <c r="T61" s="157" t="s">
        <v>489</v>
      </c>
      <c r="V61" s="10">
        <v>1014.5256965210326</v>
      </c>
      <c r="W61" s="3567">
        <f t="shared" si="33"/>
        <v>0</v>
      </c>
    </row>
    <row r="62" spans="1:23" x14ac:dyDescent="0.25">
      <c r="A62" s="3521"/>
      <c r="B62" s="2339" t="s">
        <v>777</v>
      </c>
      <c r="C62" s="472" t="s">
        <v>156</v>
      </c>
      <c r="D62" s="2334" t="s">
        <v>22</v>
      </c>
      <c r="E62" s="3332">
        <v>286.82</v>
      </c>
      <c r="F62" s="3332">
        <v>177.29</v>
      </c>
      <c r="G62" s="3325">
        <f t="shared" si="34"/>
        <v>339.80954037873488</v>
      </c>
      <c r="H62" s="3333">
        <f>'Розрахунки Річного плану'!D119</f>
        <v>0</v>
      </c>
      <c r="I62" s="3333">
        <f>'Розрахунки Річного плану'!E119</f>
        <v>46.87873452574523</v>
      </c>
      <c r="J62" s="3333">
        <f>'Розрахунки Річного плану'!F119</f>
        <v>71.62803455001287</v>
      </c>
      <c r="K62" s="3333">
        <f>'Розрахунки Річного плану'!G119</f>
        <v>77.058874989127787</v>
      </c>
      <c r="L62" s="3333">
        <f>'Розрахунки Річного плану'!H119</f>
        <v>68.812913393046117</v>
      </c>
      <c r="M62" s="3333">
        <f>'Розрахунки Річного плану'!I119</f>
        <v>67.419611481506351</v>
      </c>
      <c r="N62" s="3333">
        <f>'Розрахунки Річного плану'!J119</f>
        <v>8.0113714392965107</v>
      </c>
      <c r="O62" s="3333">
        <v>0</v>
      </c>
      <c r="P62" s="3333">
        <v>0</v>
      </c>
      <c r="Q62" s="3333">
        <v>0</v>
      </c>
      <c r="R62" s="3333">
        <v>0</v>
      </c>
      <c r="S62" s="3334">
        <v>0</v>
      </c>
      <c r="T62" s="157" t="s">
        <v>489</v>
      </c>
      <c r="V62" s="10">
        <v>339.80954037873488</v>
      </c>
      <c r="W62" s="3567">
        <f t="shared" si="33"/>
        <v>0</v>
      </c>
    </row>
    <row r="63" spans="1:23" ht="24" x14ac:dyDescent="0.25">
      <c r="A63" s="3521"/>
      <c r="B63" s="2339" t="s">
        <v>808</v>
      </c>
      <c r="C63" s="472" t="s">
        <v>203</v>
      </c>
      <c r="D63" s="2334" t="s">
        <v>22</v>
      </c>
      <c r="E63" s="3332">
        <v>0</v>
      </c>
      <c r="F63" s="3332">
        <v>0</v>
      </c>
      <c r="G63" s="3325">
        <f t="shared" si="34"/>
        <v>0</v>
      </c>
      <c r="H63" s="3333">
        <f>'Розрахунки Річного плану'!D120</f>
        <v>0</v>
      </c>
      <c r="I63" s="3333">
        <f>'Розрахунки Річного плану'!E120</f>
        <v>0</v>
      </c>
      <c r="J63" s="3333">
        <f>'Розрахунки Річного плану'!F120</f>
        <v>0</v>
      </c>
      <c r="K63" s="3333">
        <f>'Розрахунки Річного плану'!G120</f>
        <v>0</v>
      </c>
      <c r="L63" s="3333">
        <f>'Розрахунки Річного плану'!H120</f>
        <v>0</v>
      </c>
      <c r="M63" s="3333">
        <f>'Розрахунки Річного плану'!I120</f>
        <v>0</v>
      </c>
      <c r="N63" s="3333">
        <f>'Розрахунки Річного плану'!J120</f>
        <v>0</v>
      </c>
      <c r="O63" s="3333">
        <v>0</v>
      </c>
      <c r="P63" s="3333">
        <v>0</v>
      </c>
      <c r="Q63" s="3333">
        <v>0</v>
      </c>
      <c r="R63" s="3333">
        <v>0</v>
      </c>
      <c r="S63" s="3334">
        <v>0</v>
      </c>
      <c r="T63" s="157" t="s">
        <v>489</v>
      </c>
      <c r="W63" s="3567">
        <f t="shared" si="33"/>
        <v>0</v>
      </c>
    </row>
    <row r="64" spans="1:23" ht="60" hidden="1" x14ac:dyDescent="0.25">
      <c r="B64" s="2339"/>
      <c r="C64" s="471" t="s">
        <v>674</v>
      </c>
      <c r="D64" s="2334" t="s">
        <v>22</v>
      </c>
      <c r="E64" s="3332">
        <v>0</v>
      </c>
      <c r="F64" s="3332">
        <v>0</v>
      </c>
      <c r="G64" s="3325">
        <f t="shared" si="34"/>
        <v>0</v>
      </c>
      <c r="H64" s="3325">
        <v>0</v>
      </c>
      <c r="I64" s="3325">
        <v>0</v>
      </c>
      <c r="J64" s="3325">
        <v>0</v>
      </c>
      <c r="K64" s="3325">
        <v>0</v>
      </c>
      <c r="L64" s="3325">
        <v>0</v>
      </c>
      <c r="M64" s="3325">
        <v>0</v>
      </c>
      <c r="N64" s="3325">
        <v>0</v>
      </c>
      <c r="O64" s="3325">
        <v>0</v>
      </c>
      <c r="P64" s="3325">
        <v>0</v>
      </c>
      <c r="Q64" s="3325">
        <v>0</v>
      </c>
      <c r="R64" s="3325">
        <v>0</v>
      </c>
      <c r="S64" s="3326">
        <v>0</v>
      </c>
      <c r="T64" s="157" t="s">
        <v>675</v>
      </c>
      <c r="W64" s="3567">
        <f t="shared" si="33"/>
        <v>0</v>
      </c>
    </row>
    <row r="65" spans="1:27" ht="14.4" thickBot="1" x14ac:dyDescent="0.3">
      <c r="A65" s="3521"/>
      <c r="B65" s="2341"/>
      <c r="C65" s="2342" t="s">
        <v>749</v>
      </c>
      <c r="D65" s="2343" t="s">
        <v>4</v>
      </c>
      <c r="E65" s="3342">
        <v>0</v>
      </c>
      <c r="F65" s="3342">
        <v>0</v>
      </c>
      <c r="G65" s="3343">
        <v>0</v>
      </c>
      <c r="H65" s="3343">
        <v>0</v>
      </c>
      <c r="I65" s="3343">
        <v>0</v>
      </c>
      <c r="J65" s="3343">
        <v>0</v>
      </c>
      <c r="K65" s="3343">
        <v>0</v>
      </c>
      <c r="L65" s="3343">
        <v>0</v>
      </c>
      <c r="M65" s="3343">
        <v>0</v>
      </c>
      <c r="N65" s="3343">
        <v>0</v>
      </c>
      <c r="O65" s="3343">
        <v>0</v>
      </c>
      <c r="P65" s="3343">
        <v>0</v>
      </c>
      <c r="Q65" s="3343">
        <v>0</v>
      </c>
      <c r="R65" s="3343">
        <v>0</v>
      </c>
      <c r="S65" s="3344">
        <v>0</v>
      </c>
      <c r="T65" s="157" t="s">
        <v>673</v>
      </c>
      <c r="W65" s="3567">
        <f t="shared" si="33"/>
        <v>0</v>
      </c>
    </row>
    <row r="66" spans="1:27" ht="15.6" x14ac:dyDescent="0.25">
      <c r="B66" s="2344">
        <v>7</v>
      </c>
      <c r="C66" s="2359" t="s">
        <v>676</v>
      </c>
      <c r="D66" s="2332" t="s">
        <v>22</v>
      </c>
      <c r="E66" s="3329">
        <v>0</v>
      </c>
      <c r="F66" s="3329">
        <v>0</v>
      </c>
      <c r="G66" s="3345">
        <f>SUM(H66:S66)</f>
        <v>0</v>
      </c>
      <c r="H66" s="3345">
        <v>0</v>
      </c>
      <c r="I66" s="3345">
        <v>0</v>
      </c>
      <c r="J66" s="3345">
        <v>0</v>
      </c>
      <c r="K66" s="3345">
        <v>0</v>
      </c>
      <c r="L66" s="3345">
        <v>0</v>
      </c>
      <c r="M66" s="3345">
        <v>0</v>
      </c>
      <c r="N66" s="3345">
        <v>0</v>
      </c>
      <c r="O66" s="3345">
        <v>0</v>
      </c>
      <c r="P66" s="3345">
        <v>0</v>
      </c>
      <c r="Q66" s="3345">
        <v>0</v>
      </c>
      <c r="R66" s="3345">
        <v>0</v>
      </c>
      <c r="S66" s="3346">
        <v>0</v>
      </c>
      <c r="T66" s="157" t="s">
        <v>677</v>
      </c>
      <c r="W66" s="3567">
        <f t="shared" si="33"/>
        <v>0</v>
      </c>
    </row>
    <row r="67" spans="1:27" ht="15.6" x14ac:dyDescent="0.25">
      <c r="A67" s="729"/>
      <c r="B67" s="2345">
        <v>8</v>
      </c>
      <c r="C67" s="2326" t="s">
        <v>511</v>
      </c>
      <c r="D67" s="2334" t="s">
        <v>22</v>
      </c>
      <c r="E67" s="3332">
        <v>0</v>
      </c>
      <c r="F67" s="3332">
        <v>0</v>
      </c>
      <c r="G67" s="3325">
        <f>SUM(H67:S67)</f>
        <v>0</v>
      </c>
      <c r="H67" s="3325">
        <v>0</v>
      </c>
      <c r="I67" s="3325">
        <v>0</v>
      </c>
      <c r="J67" s="3325">
        <v>0</v>
      </c>
      <c r="K67" s="3325">
        <v>0</v>
      </c>
      <c r="L67" s="3325">
        <v>0</v>
      </c>
      <c r="M67" s="3325">
        <v>0</v>
      </c>
      <c r="N67" s="3325">
        <v>0</v>
      </c>
      <c r="O67" s="3325">
        <v>0</v>
      </c>
      <c r="P67" s="3325">
        <v>0</v>
      </c>
      <c r="Q67" s="3325">
        <v>0</v>
      </c>
      <c r="R67" s="3325">
        <v>0</v>
      </c>
      <c r="S67" s="3326">
        <v>0</v>
      </c>
      <c r="T67" s="157" t="s">
        <v>678</v>
      </c>
      <c r="W67" s="3567">
        <f t="shared" si="33"/>
        <v>0</v>
      </c>
    </row>
    <row r="68" spans="1:27" ht="14.4" thickBot="1" x14ac:dyDescent="0.3">
      <c r="A68" s="3521"/>
      <c r="B68" s="2340"/>
      <c r="C68" s="2360" t="s">
        <v>512</v>
      </c>
      <c r="D68" s="2336" t="s">
        <v>4</v>
      </c>
      <c r="E68" s="3335">
        <v>0</v>
      </c>
      <c r="F68" s="3335">
        <v>0</v>
      </c>
      <c r="G68" s="3336">
        <v>0</v>
      </c>
      <c r="H68" s="3336">
        <v>0</v>
      </c>
      <c r="I68" s="3336">
        <v>0</v>
      </c>
      <c r="J68" s="3336">
        <v>0</v>
      </c>
      <c r="K68" s="3336">
        <v>0</v>
      </c>
      <c r="L68" s="3336">
        <v>0</v>
      </c>
      <c r="M68" s="3336">
        <v>0</v>
      </c>
      <c r="N68" s="3336">
        <v>0</v>
      </c>
      <c r="O68" s="3336">
        <v>0</v>
      </c>
      <c r="P68" s="3336">
        <v>0</v>
      </c>
      <c r="Q68" s="3336">
        <v>0</v>
      </c>
      <c r="R68" s="3336">
        <v>0</v>
      </c>
      <c r="S68" s="3337">
        <v>0</v>
      </c>
      <c r="T68" s="157" t="s">
        <v>673</v>
      </c>
      <c r="W68" s="3567">
        <f t="shared" si="33"/>
        <v>0</v>
      </c>
    </row>
    <row r="69" spans="1:27" s="15" customFormat="1" ht="28.95" customHeight="1" x14ac:dyDescent="0.3">
      <c r="B69" s="2372">
        <v>9</v>
      </c>
      <c r="C69" s="2353" t="s">
        <v>513</v>
      </c>
      <c r="D69" s="2354" t="s">
        <v>22</v>
      </c>
      <c r="E69" s="3347">
        <f>E70+E71+E74</f>
        <v>92629.076156792129</v>
      </c>
      <c r="F69" s="3347">
        <f t="shared" ref="F69:S69" si="36">F70+F71+F74</f>
        <v>66853.217303102632</v>
      </c>
      <c r="G69" s="3307">
        <f t="shared" si="36"/>
        <v>98954.227682935714</v>
      </c>
      <c r="H69" s="3307">
        <f t="shared" si="36"/>
        <v>0</v>
      </c>
      <c r="I69" s="3307">
        <f t="shared" si="36"/>
        <v>12042.63988675254</v>
      </c>
      <c r="J69" s="3307">
        <f t="shared" si="36"/>
        <v>21103.358663679115</v>
      </c>
      <c r="K69" s="3307">
        <f t="shared" si="36"/>
        <v>24334.09130878816</v>
      </c>
      <c r="L69" s="3307">
        <f t="shared" si="36"/>
        <v>20807.294979681683</v>
      </c>
      <c r="M69" s="3307">
        <f t="shared" si="36"/>
        <v>18651.721642049612</v>
      </c>
      <c r="N69" s="3307">
        <f t="shared" si="36"/>
        <v>2015.1212019846109</v>
      </c>
      <c r="O69" s="3307">
        <f t="shared" si="36"/>
        <v>0</v>
      </c>
      <c r="P69" s="3307">
        <f t="shared" si="36"/>
        <v>0</v>
      </c>
      <c r="Q69" s="3307">
        <f t="shared" si="36"/>
        <v>0</v>
      </c>
      <c r="R69" s="3307">
        <f t="shared" si="36"/>
        <v>0</v>
      </c>
      <c r="S69" s="3308">
        <f t="shared" si="36"/>
        <v>0</v>
      </c>
      <c r="T69" s="208" t="s">
        <v>679</v>
      </c>
      <c r="V69" s="2444">
        <v>98954.227682725919</v>
      </c>
      <c r="W69" s="3567">
        <f t="shared" si="33"/>
        <v>-2.097949618473649E-7</v>
      </c>
      <c r="AA69" s="3523"/>
    </row>
    <row r="70" spans="1:27" ht="15.6" x14ac:dyDescent="0.25">
      <c r="B70" s="2339" t="s">
        <v>154</v>
      </c>
      <c r="C70" s="2326" t="s">
        <v>680</v>
      </c>
      <c r="D70" s="2334" t="s">
        <v>22</v>
      </c>
      <c r="E70" s="3348">
        <v>0</v>
      </c>
      <c r="F70" s="3348">
        <v>0</v>
      </c>
      <c r="G70" s="3349">
        <v>0</v>
      </c>
      <c r="H70" s="3349">
        <v>0</v>
      </c>
      <c r="I70" s="3349">
        <v>0</v>
      </c>
      <c r="J70" s="3349">
        <v>0</v>
      </c>
      <c r="K70" s="3349">
        <v>0</v>
      </c>
      <c r="L70" s="3349">
        <v>0</v>
      </c>
      <c r="M70" s="3349">
        <v>0</v>
      </c>
      <c r="N70" s="3349">
        <v>0</v>
      </c>
      <c r="O70" s="3349">
        <v>0</v>
      </c>
      <c r="P70" s="3349">
        <v>0</v>
      </c>
      <c r="Q70" s="3349">
        <v>0</v>
      </c>
      <c r="R70" s="3349">
        <v>0</v>
      </c>
      <c r="S70" s="3350">
        <v>0</v>
      </c>
      <c r="T70" s="157" t="s">
        <v>681</v>
      </c>
      <c r="W70" s="3567">
        <f t="shared" si="33"/>
        <v>0</v>
      </c>
      <c r="X70" s="254"/>
      <c r="Y70" s="254"/>
      <c r="Z70" s="254"/>
    </row>
    <row r="71" spans="1:27" ht="24" x14ac:dyDescent="0.25">
      <c r="B71" s="2339" t="s">
        <v>204</v>
      </c>
      <c r="C71" s="919" t="s">
        <v>203</v>
      </c>
      <c r="D71" s="2346" t="s">
        <v>22</v>
      </c>
      <c r="E71" s="3332">
        <f>E72+E73</f>
        <v>254.88599968460073</v>
      </c>
      <c r="F71" s="3332">
        <f t="shared" ref="F71:S71" si="37">F72+F73</f>
        <v>168.13127527691125</v>
      </c>
      <c r="G71" s="3333">
        <f t="shared" si="37"/>
        <v>158.42099081682665</v>
      </c>
      <c r="H71" s="3333">
        <f t="shared" si="37"/>
        <v>0</v>
      </c>
      <c r="I71" s="3333">
        <f t="shared" si="37"/>
        <v>19.279726955226664</v>
      </c>
      <c r="J71" s="3333">
        <f t="shared" si="37"/>
        <v>33.785463253333333</v>
      </c>
      <c r="K71" s="3333">
        <f t="shared" si="37"/>
        <v>38.957676026666668</v>
      </c>
      <c r="L71" s="3333">
        <f t="shared" si="37"/>
        <v>33.31146799038666</v>
      </c>
      <c r="M71" s="3333">
        <f t="shared" si="37"/>
        <v>29.860536708013328</v>
      </c>
      <c r="N71" s="3333">
        <f t="shared" si="37"/>
        <v>3.2261198832</v>
      </c>
      <c r="O71" s="3333">
        <f t="shared" si="37"/>
        <v>0</v>
      </c>
      <c r="P71" s="3333">
        <f t="shared" si="37"/>
        <v>0</v>
      </c>
      <c r="Q71" s="3333">
        <f t="shared" si="37"/>
        <v>0</v>
      </c>
      <c r="R71" s="3333">
        <f t="shared" si="37"/>
        <v>0</v>
      </c>
      <c r="S71" s="3334">
        <f t="shared" si="37"/>
        <v>0</v>
      </c>
      <c r="T71" s="157" t="s">
        <v>682</v>
      </c>
      <c r="V71" s="10">
        <v>158.42099081682665</v>
      </c>
      <c r="W71" s="3567">
        <f t="shared" si="33"/>
        <v>0</v>
      </c>
    </row>
    <row r="72" spans="1:27" x14ac:dyDescent="0.25">
      <c r="B72" s="2339" t="s">
        <v>730</v>
      </c>
      <c r="C72" s="2068" t="s">
        <v>644</v>
      </c>
      <c r="D72" s="2346" t="s">
        <v>22</v>
      </c>
      <c r="E72" s="3351">
        <v>254.88599968460073</v>
      </c>
      <c r="F72" s="3351">
        <v>168.13127527691125</v>
      </c>
      <c r="G72" s="3325">
        <f>SUM(H72:S72)</f>
        <v>158.42099081682665</v>
      </c>
      <c r="H72" s="3325">
        <v>0</v>
      </c>
      <c r="I72" s="3325">
        <v>19.279726955226664</v>
      </c>
      <c r="J72" s="3325">
        <v>33.785463253333333</v>
      </c>
      <c r="K72" s="3325">
        <v>38.957676026666668</v>
      </c>
      <c r="L72" s="3325">
        <v>33.31146799038666</v>
      </c>
      <c r="M72" s="3325">
        <v>29.860536708013328</v>
      </c>
      <c r="N72" s="3325">
        <v>3.2261198832</v>
      </c>
      <c r="O72" s="3325">
        <v>0</v>
      </c>
      <c r="P72" s="3325">
        <v>0</v>
      </c>
      <c r="Q72" s="3325">
        <v>0</v>
      </c>
      <c r="R72" s="3325">
        <v>0</v>
      </c>
      <c r="S72" s="3326">
        <v>0</v>
      </c>
      <c r="T72" s="157" t="s">
        <v>489</v>
      </c>
      <c r="V72" s="10">
        <v>158.42099081682665</v>
      </c>
      <c r="W72" s="3567">
        <f t="shared" si="33"/>
        <v>0</v>
      </c>
    </row>
    <row r="73" spans="1:27" x14ac:dyDescent="0.25">
      <c r="B73" s="2339" t="s">
        <v>731</v>
      </c>
      <c r="C73" s="2068" t="s">
        <v>643</v>
      </c>
      <c r="D73" s="2346" t="s">
        <v>22</v>
      </c>
      <c r="E73" s="3351">
        <v>0</v>
      </c>
      <c r="F73" s="3351">
        <v>0</v>
      </c>
      <c r="G73" s="3325">
        <f>SUM(H73:S73)</f>
        <v>0</v>
      </c>
      <c r="H73" s="3325">
        <f>'Розрахунки Річного плану'!D94</f>
        <v>0</v>
      </c>
      <c r="I73" s="3325">
        <f>'Розрахунки Річного плану'!E94</f>
        <v>0</v>
      </c>
      <c r="J73" s="3325">
        <f>'Розрахунки Річного плану'!F94</f>
        <v>0</v>
      </c>
      <c r="K73" s="3325">
        <f>'Розрахунки Річного плану'!G94</f>
        <v>0</v>
      </c>
      <c r="L73" s="3325">
        <f>'Розрахунки Річного плану'!H94</f>
        <v>0</v>
      </c>
      <c r="M73" s="3325">
        <f>'Розрахунки Річного плану'!I94</f>
        <v>0</v>
      </c>
      <c r="N73" s="3325">
        <f>'Розрахунки Річного плану'!J94</f>
        <v>0</v>
      </c>
      <c r="O73" s="3325">
        <v>0</v>
      </c>
      <c r="P73" s="3325">
        <v>0</v>
      </c>
      <c r="Q73" s="3325">
        <v>0</v>
      </c>
      <c r="R73" s="3325">
        <v>0</v>
      </c>
      <c r="S73" s="3326">
        <v>0</v>
      </c>
      <c r="T73" s="157" t="s">
        <v>489</v>
      </c>
      <c r="W73" s="3567">
        <f t="shared" si="33"/>
        <v>0</v>
      </c>
    </row>
    <row r="74" spans="1:27" s="15" customFormat="1" ht="45.6" x14ac:dyDescent="0.3">
      <c r="B74" s="2366" t="s">
        <v>356</v>
      </c>
      <c r="C74" s="3196" t="s">
        <v>3482</v>
      </c>
      <c r="D74" s="2367" t="s">
        <v>22</v>
      </c>
      <c r="E74" s="3352">
        <f>E75+E83+E87+E91</f>
        <v>92374.190157107529</v>
      </c>
      <c r="F74" s="3352">
        <f>F75+F83+F87+F91</f>
        <v>66685.086027825717</v>
      </c>
      <c r="G74" s="3353">
        <f>G75+G83+G87+G91</f>
        <v>98795.806692118887</v>
      </c>
      <c r="H74" s="3353">
        <f>H75+H83+H87+H91</f>
        <v>0</v>
      </c>
      <c r="I74" s="3353">
        <f t="shared" ref="I74:S74" si="38">I75+I83+I87+I91</f>
        <v>12023.360159797314</v>
      </c>
      <c r="J74" s="3353">
        <f t="shared" si="38"/>
        <v>21069.573200425781</v>
      </c>
      <c r="K74" s="3353">
        <f t="shared" si="38"/>
        <v>24295.133632761492</v>
      </c>
      <c r="L74" s="3353">
        <f t="shared" si="38"/>
        <v>20773.983511691295</v>
      </c>
      <c r="M74" s="3353">
        <f t="shared" si="38"/>
        <v>18621.861105341599</v>
      </c>
      <c r="N74" s="3353">
        <f t="shared" si="38"/>
        <v>2011.8950821014109</v>
      </c>
      <c r="O74" s="3353">
        <f t="shared" si="38"/>
        <v>0</v>
      </c>
      <c r="P74" s="3353">
        <f t="shared" si="38"/>
        <v>0</v>
      </c>
      <c r="Q74" s="3353">
        <f t="shared" si="38"/>
        <v>0</v>
      </c>
      <c r="R74" s="3353">
        <f t="shared" si="38"/>
        <v>0</v>
      </c>
      <c r="S74" s="3354">
        <f t="shared" si="38"/>
        <v>0</v>
      </c>
      <c r="T74" s="208" t="s">
        <v>682</v>
      </c>
      <c r="V74" s="3565">
        <v>98795.806691909063</v>
      </c>
      <c r="W74" s="3566">
        <f t="shared" si="33"/>
        <v>-2.0982406567782164E-7</v>
      </c>
    </row>
    <row r="75" spans="1:27" x14ac:dyDescent="0.25">
      <c r="B75" s="2337" t="s">
        <v>514</v>
      </c>
      <c r="C75" s="3573" t="s">
        <v>3</v>
      </c>
      <c r="D75" s="2327" t="s">
        <v>22</v>
      </c>
      <c r="E75" s="3309">
        <f>E77+E80</f>
        <v>78679.744151229883</v>
      </c>
      <c r="F75" s="3309">
        <f>F77+F80</f>
        <v>57582.226975534839</v>
      </c>
      <c r="G75" s="3310">
        <f>SUM(H75:S75)</f>
        <v>82049.34254390448</v>
      </c>
      <c r="H75" s="3325">
        <f>H117+H134</f>
        <v>0</v>
      </c>
      <c r="I75" s="3325">
        <f t="shared" ref="I75:S75" si="39">I117+I134</f>
        <v>9985.3268500802969</v>
      </c>
      <c r="J75" s="3325">
        <f t="shared" si="39"/>
        <v>17498.158540123914</v>
      </c>
      <c r="K75" s="3325">
        <f t="shared" si="39"/>
        <v>20176.971503396555</v>
      </c>
      <c r="L75" s="3325">
        <f t="shared" si="39"/>
        <v>17252.674236013223</v>
      </c>
      <c r="M75" s="3325">
        <f t="shared" si="39"/>
        <v>15465.345009533465</v>
      </c>
      <c r="N75" s="3325">
        <f t="shared" si="39"/>
        <v>1670.8664047570187</v>
      </c>
      <c r="O75" s="3325">
        <f t="shared" si="39"/>
        <v>0</v>
      </c>
      <c r="P75" s="3325">
        <f t="shared" si="39"/>
        <v>0</v>
      </c>
      <c r="Q75" s="3325">
        <f t="shared" si="39"/>
        <v>0</v>
      </c>
      <c r="R75" s="3325">
        <f t="shared" si="39"/>
        <v>0</v>
      </c>
      <c r="S75" s="3326">
        <f t="shared" si="39"/>
        <v>0</v>
      </c>
      <c r="T75" s="157" t="s">
        <v>682</v>
      </c>
      <c r="U75" s="312"/>
      <c r="V75" s="10">
        <v>82049.342543694656</v>
      </c>
      <c r="W75" s="3566">
        <f t="shared" si="33"/>
        <v>-2.0982406567782164E-7</v>
      </c>
    </row>
    <row r="76" spans="1:27" x14ac:dyDescent="0.25">
      <c r="B76" s="2337"/>
      <c r="C76" s="471" t="s">
        <v>518</v>
      </c>
      <c r="D76" s="2327" t="s">
        <v>4</v>
      </c>
      <c r="E76" s="3579">
        <f>E75/E74</f>
        <v>0.85175029970399196</v>
      </c>
      <c r="F76" s="3579">
        <f t="shared" ref="F76:N76" si="40">F75/F74</f>
        <v>0.86349482928622867</v>
      </c>
      <c r="G76" s="3579">
        <f>G75/G74</f>
        <v>0.8304941807864169</v>
      </c>
      <c r="H76" s="3579">
        <f>IF(H74&lt;&gt;0,H75/H74,0)</f>
        <v>0</v>
      </c>
      <c r="I76" s="3579">
        <f t="shared" si="40"/>
        <v>0.83049386505682343</v>
      </c>
      <c r="J76" s="3579">
        <f t="shared" si="40"/>
        <v>0.83049420952534081</v>
      </c>
      <c r="K76" s="3579">
        <f t="shared" si="40"/>
        <v>0.8304943618909888</v>
      </c>
      <c r="L76" s="3579">
        <f t="shared" si="40"/>
        <v>0.83049426829012696</v>
      </c>
      <c r="M76" s="3579">
        <f t="shared" si="40"/>
        <v>0.83049405867909187</v>
      </c>
      <c r="N76" s="3579">
        <f t="shared" si="40"/>
        <v>0.83049380637275083</v>
      </c>
      <c r="O76" s="3579">
        <v>0</v>
      </c>
      <c r="P76" s="3579">
        <v>0</v>
      </c>
      <c r="Q76" s="3579">
        <v>0</v>
      </c>
      <c r="R76" s="3579">
        <v>0</v>
      </c>
      <c r="S76" s="3580">
        <v>0</v>
      </c>
      <c r="T76" s="157" t="s">
        <v>683</v>
      </c>
      <c r="W76" s="3566"/>
    </row>
    <row r="77" spans="1:27" x14ac:dyDescent="0.25">
      <c r="B77" s="2337" t="s">
        <v>738</v>
      </c>
      <c r="C77" s="2068" t="s">
        <v>644</v>
      </c>
      <c r="D77" s="2327" t="s">
        <v>22</v>
      </c>
      <c r="E77" s="3309">
        <f>SUM(E78:E79)</f>
        <v>13268.892385715624</v>
      </c>
      <c r="F77" s="3309">
        <f>SUM(F78:F79)</f>
        <v>9006.153084065947</v>
      </c>
      <c r="G77" s="3310">
        <f t="shared" ref="G77:G83" si="41">SUM(H77:S77)</f>
        <v>13668.480880354855</v>
      </c>
      <c r="H77" s="3310">
        <f>H118</f>
        <v>0</v>
      </c>
      <c r="I77" s="3310">
        <f t="shared" ref="I77:S77" si="42">I118</f>
        <v>1663.4339098856174</v>
      </c>
      <c r="J77" s="3310">
        <f t="shared" si="42"/>
        <v>2914.9939806236926</v>
      </c>
      <c r="K77" s="3310">
        <f t="shared" si="42"/>
        <v>3361.260737151496</v>
      </c>
      <c r="L77" s="3310">
        <f t="shared" si="42"/>
        <v>2874.1014049001255</v>
      </c>
      <c r="M77" s="3310">
        <f t="shared" si="42"/>
        <v>2576.3450667102829</v>
      </c>
      <c r="N77" s="3310">
        <f t="shared" si="42"/>
        <v>278.34578108364025</v>
      </c>
      <c r="O77" s="3310">
        <f t="shared" si="42"/>
        <v>0</v>
      </c>
      <c r="P77" s="3310">
        <f t="shared" si="42"/>
        <v>0</v>
      </c>
      <c r="Q77" s="3310">
        <f t="shared" si="42"/>
        <v>0</v>
      </c>
      <c r="R77" s="3310">
        <f t="shared" si="42"/>
        <v>0</v>
      </c>
      <c r="S77" s="3311">
        <f t="shared" si="42"/>
        <v>0</v>
      </c>
      <c r="T77" s="157" t="s">
        <v>489</v>
      </c>
      <c r="V77" s="10">
        <v>13668.480880145038</v>
      </c>
      <c r="W77" s="3566">
        <f t="shared" si="33"/>
        <v>-2.0981678972020745E-7</v>
      </c>
      <c r="X77" s="3524">
        <f>'Розрахунки Річного плану'!C125</f>
        <v>13668.482114321794</v>
      </c>
    </row>
    <row r="78" spans="1:27" x14ac:dyDescent="0.25">
      <c r="B78" s="2337" t="s">
        <v>740</v>
      </c>
      <c r="C78" s="2347" t="s">
        <v>713</v>
      </c>
      <c r="D78" s="2327" t="s">
        <v>22</v>
      </c>
      <c r="E78" s="3309">
        <v>13268.892385715624</v>
      </c>
      <c r="F78" s="3309">
        <v>9006.153084065947</v>
      </c>
      <c r="G78" s="3310">
        <f t="shared" si="41"/>
        <v>13666.491657520157</v>
      </c>
      <c r="H78" s="3310">
        <f t="shared" ref="H78:S82" si="43">H119</f>
        <v>0</v>
      </c>
      <c r="I78" s="3310">
        <f t="shared" si="43"/>
        <v>1663.2027500542913</v>
      </c>
      <c r="J78" s="3310">
        <f t="shared" si="43"/>
        <v>2914.5680084213395</v>
      </c>
      <c r="K78" s="3310">
        <f t="shared" si="43"/>
        <v>3360.7588973510115</v>
      </c>
      <c r="L78" s="3310">
        <f t="shared" si="43"/>
        <v>2873.6778948488609</v>
      </c>
      <c r="M78" s="3310">
        <f t="shared" si="43"/>
        <v>2575.976666381217</v>
      </c>
      <c r="N78" s="3310">
        <f t="shared" si="43"/>
        <v>278.3074404634371</v>
      </c>
      <c r="O78" s="3310">
        <f t="shared" si="43"/>
        <v>0</v>
      </c>
      <c r="P78" s="3310">
        <f t="shared" si="43"/>
        <v>0</v>
      </c>
      <c r="Q78" s="3310">
        <f t="shared" si="43"/>
        <v>0</v>
      </c>
      <c r="R78" s="3310">
        <f t="shared" si="43"/>
        <v>0</v>
      </c>
      <c r="S78" s="3311">
        <f t="shared" si="43"/>
        <v>0</v>
      </c>
      <c r="T78" s="157" t="s">
        <v>489</v>
      </c>
      <c r="V78" s="10">
        <v>13666.491657520157</v>
      </c>
      <c r="W78" s="3566">
        <f t="shared" si="33"/>
        <v>0</v>
      </c>
      <c r="X78" s="10">
        <f>'Розрахунки Річного плану'!C131+'Розрахунки Річного плану'!C138</f>
        <v>68224.116045937364</v>
      </c>
    </row>
    <row r="79" spans="1:27" ht="24" x14ac:dyDescent="0.25">
      <c r="B79" s="2337" t="s">
        <v>741</v>
      </c>
      <c r="C79" s="2347" t="s">
        <v>712</v>
      </c>
      <c r="D79" s="2327" t="s">
        <v>22</v>
      </c>
      <c r="E79" s="3309">
        <v>0</v>
      </c>
      <c r="F79" s="3309">
        <v>0</v>
      </c>
      <c r="G79" s="3310">
        <f t="shared" si="41"/>
        <v>1.9892228346973733</v>
      </c>
      <c r="H79" s="3310">
        <f t="shared" si="43"/>
        <v>0</v>
      </c>
      <c r="I79" s="3310">
        <f t="shared" si="43"/>
        <v>0.23115983132616233</v>
      </c>
      <c r="J79" s="3310">
        <f t="shared" si="43"/>
        <v>0.42597220235299066</v>
      </c>
      <c r="K79" s="3310">
        <f t="shared" si="43"/>
        <v>0.50183980048448729</v>
      </c>
      <c r="L79" s="3310">
        <f t="shared" si="43"/>
        <v>0.42351005126479424</v>
      </c>
      <c r="M79" s="3310">
        <f t="shared" si="43"/>
        <v>0.36840032906578668</v>
      </c>
      <c r="N79" s="3310">
        <f t="shared" si="43"/>
        <v>3.8340620203152119E-2</v>
      </c>
      <c r="O79" s="3310">
        <f t="shared" si="43"/>
        <v>0</v>
      </c>
      <c r="P79" s="3310">
        <f t="shared" si="43"/>
        <v>0</v>
      </c>
      <c r="Q79" s="3310">
        <f t="shared" si="43"/>
        <v>0</v>
      </c>
      <c r="R79" s="3310">
        <f t="shared" si="43"/>
        <v>0</v>
      </c>
      <c r="S79" s="3311">
        <f t="shared" si="43"/>
        <v>0</v>
      </c>
      <c r="T79" s="157" t="s">
        <v>489</v>
      </c>
      <c r="V79" s="1872">
        <v>1.989222624881104</v>
      </c>
      <c r="W79" s="3566">
        <f t="shared" si="33"/>
        <v>-2.0981626924765351E-7</v>
      </c>
    </row>
    <row r="80" spans="1:27" x14ac:dyDescent="0.25">
      <c r="B80" s="2337" t="s">
        <v>739</v>
      </c>
      <c r="C80" s="2068" t="s">
        <v>643</v>
      </c>
      <c r="D80" s="2327" t="s">
        <v>22</v>
      </c>
      <c r="E80" s="3309">
        <f>SUM(E81:E82)</f>
        <v>65410.851765514257</v>
      </c>
      <c r="F80" s="3309">
        <f>SUM(F81:F82)</f>
        <v>48576.073891468892</v>
      </c>
      <c r="G80" s="3310">
        <f t="shared" si="41"/>
        <v>68380.861663549615</v>
      </c>
      <c r="H80" s="3310">
        <f t="shared" si="43"/>
        <v>0</v>
      </c>
      <c r="I80" s="3310">
        <f t="shared" si="43"/>
        <v>8321.8929401946789</v>
      </c>
      <c r="J80" s="3310">
        <f t="shared" si="43"/>
        <v>14583.164559500223</v>
      </c>
      <c r="K80" s="3310">
        <f t="shared" si="43"/>
        <v>16815.710766245058</v>
      </c>
      <c r="L80" s="3310">
        <f t="shared" si="43"/>
        <v>14378.572831113099</v>
      </c>
      <c r="M80" s="3310">
        <f t="shared" si="43"/>
        <v>12888.999942823182</v>
      </c>
      <c r="N80" s="3310">
        <f t="shared" si="43"/>
        <v>1392.5206236733784</v>
      </c>
      <c r="O80" s="3310">
        <f t="shared" si="43"/>
        <v>0</v>
      </c>
      <c r="P80" s="3310">
        <f t="shared" si="43"/>
        <v>0</v>
      </c>
      <c r="Q80" s="3310">
        <f t="shared" si="43"/>
        <v>0</v>
      </c>
      <c r="R80" s="3310">
        <f t="shared" si="43"/>
        <v>0</v>
      </c>
      <c r="S80" s="3311">
        <f t="shared" si="43"/>
        <v>0</v>
      </c>
      <c r="T80" s="157" t="s">
        <v>489</v>
      </c>
      <c r="V80" s="10">
        <v>68380.861663549615</v>
      </c>
      <c r="W80" s="3566">
        <f t="shared" si="33"/>
        <v>0</v>
      </c>
    </row>
    <row r="81" spans="2:23" x14ac:dyDescent="0.25">
      <c r="B81" s="2337" t="s">
        <v>742</v>
      </c>
      <c r="C81" s="2347" t="s">
        <v>713</v>
      </c>
      <c r="D81" s="2327" t="s">
        <v>22</v>
      </c>
      <c r="E81" s="3355">
        <v>65410.851765514257</v>
      </c>
      <c r="F81" s="3355">
        <v>48576.073891468892</v>
      </c>
      <c r="G81" s="3310">
        <f t="shared" si="41"/>
        <v>68378.773997377619</v>
      </c>
      <c r="H81" s="3310">
        <f t="shared" si="43"/>
        <v>0</v>
      </c>
      <c r="I81" s="3310">
        <f t="shared" si="43"/>
        <v>8321.6503406855845</v>
      </c>
      <c r="J81" s="3310">
        <f t="shared" si="43"/>
        <v>14582.717506593253</v>
      </c>
      <c r="K81" s="3310">
        <f t="shared" si="43"/>
        <v>16815.184091170016</v>
      </c>
      <c r="L81" s="3310">
        <f t="shared" si="43"/>
        <v>14378.128362227071</v>
      </c>
      <c r="M81" s="3310">
        <f t="shared" si="43"/>
        <v>12888.613311088882</v>
      </c>
      <c r="N81" s="3310">
        <f t="shared" si="43"/>
        <v>1392.4803856128156</v>
      </c>
      <c r="O81" s="3310">
        <f t="shared" si="43"/>
        <v>0</v>
      </c>
      <c r="P81" s="3310">
        <f t="shared" si="43"/>
        <v>0</v>
      </c>
      <c r="Q81" s="3310">
        <f t="shared" si="43"/>
        <v>0</v>
      </c>
      <c r="R81" s="3310">
        <f t="shared" si="43"/>
        <v>0</v>
      </c>
      <c r="S81" s="3311">
        <f t="shared" si="43"/>
        <v>0</v>
      </c>
      <c r="T81" s="157" t="s">
        <v>489</v>
      </c>
      <c r="V81" s="10">
        <v>68378.773997377619</v>
      </c>
      <c r="W81" s="3566">
        <f t="shared" si="33"/>
        <v>0</v>
      </c>
    </row>
    <row r="82" spans="2:23" ht="24" x14ac:dyDescent="0.25">
      <c r="B82" s="2337" t="s">
        <v>743</v>
      </c>
      <c r="C82" s="2347" t="s">
        <v>712</v>
      </c>
      <c r="D82" s="2327" t="s">
        <v>22</v>
      </c>
      <c r="E82" s="3355">
        <v>0</v>
      </c>
      <c r="F82" s="3355">
        <v>0</v>
      </c>
      <c r="G82" s="3310">
        <f t="shared" si="41"/>
        <v>2.0876661719963807</v>
      </c>
      <c r="H82" s="3310">
        <f t="shared" si="43"/>
        <v>0</v>
      </c>
      <c r="I82" s="3310">
        <f t="shared" si="43"/>
        <v>0.24259950909380276</v>
      </c>
      <c r="J82" s="3310">
        <f t="shared" si="43"/>
        <v>0.4470529069697709</v>
      </c>
      <c r="K82" s="3310">
        <f t="shared" si="43"/>
        <v>0.52667507504118449</v>
      </c>
      <c r="L82" s="3310">
        <f t="shared" si="43"/>
        <v>0.44446888602813278</v>
      </c>
      <c r="M82" s="3310">
        <f t="shared" si="43"/>
        <v>0.38663173430056974</v>
      </c>
      <c r="N82" s="3310">
        <f t="shared" si="43"/>
        <v>4.0238060562920112E-2</v>
      </c>
      <c r="O82" s="3310">
        <f t="shared" si="43"/>
        <v>0</v>
      </c>
      <c r="P82" s="3310">
        <f t="shared" si="43"/>
        <v>0</v>
      </c>
      <c r="Q82" s="3310">
        <f t="shared" si="43"/>
        <v>0</v>
      </c>
      <c r="R82" s="3310">
        <f t="shared" si="43"/>
        <v>0</v>
      </c>
      <c r="S82" s="3311">
        <f t="shared" si="43"/>
        <v>0</v>
      </c>
      <c r="T82" s="157" t="s">
        <v>489</v>
      </c>
      <c r="V82" s="1872">
        <v>2.0876661719963807</v>
      </c>
      <c r="W82" s="3566">
        <f t="shared" si="33"/>
        <v>0</v>
      </c>
    </row>
    <row r="83" spans="2:23" x14ac:dyDescent="0.25">
      <c r="B83" s="2337" t="s">
        <v>515</v>
      </c>
      <c r="C83" s="3573" t="s">
        <v>166</v>
      </c>
      <c r="D83" s="2327" t="s">
        <v>22</v>
      </c>
      <c r="E83" s="3332">
        <f>E85+E86</f>
        <v>13.195123224395186</v>
      </c>
      <c r="F83" s="3332">
        <f>F85+F86</f>
        <v>9.0310899163150786</v>
      </c>
      <c r="G83" s="3325">
        <f t="shared" si="41"/>
        <v>13.291675959893333</v>
      </c>
      <c r="H83" s="3325">
        <f t="shared" ref="H83:S83" si="44">H124+H137</f>
        <v>0</v>
      </c>
      <c r="I83" s="3325">
        <f t="shared" si="44"/>
        <v>1.6175879342933333</v>
      </c>
      <c r="J83" s="3325">
        <f t="shared" si="44"/>
        <v>2.8346333866666664</v>
      </c>
      <c r="K83" s="3325">
        <f t="shared" si="44"/>
        <v>3.2685870933333332</v>
      </c>
      <c r="L83" s="3325">
        <f t="shared" si="44"/>
        <v>2.794864720853333</v>
      </c>
      <c r="M83" s="3325">
        <f t="shared" si="44"/>
        <v>2.5053282135466661</v>
      </c>
      <c r="N83" s="3325">
        <f t="shared" si="44"/>
        <v>0.27067461120000003</v>
      </c>
      <c r="O83" s="3325">
        <f t="shared" si="44"/>
        <v>0</v>
      </c>
      <c r="P83" s="3325">
        <f t="shared" si="44"/>
        <v>0</v>
      </c>
      <c r="Q83" s="3325">
        <f t="shared" si="44"/>
        <v>0</v>
      </c>
      <c r="R83" s="3325">
        <f t="shared" si="44"/>
        <v>0</v>
      </c>
      <c r="S83" s="3326">
        <f t="shared" si="44"/>
        <v>0</v>
      </c>
      <c r="T83" s="157" t="s">
        <v>682</v>
      </c>
      <c r="V83" s="10">
        <v>13.291675959893333</v>
      </c>
      <c r="W83" s="3566">
        <f t="shared" si="33"/>
        <v>0</v>
      </c>
    </row>
    <row r="84" spans="2:23" x14ac:dyDescent="0.25">
      <c r="B84" s="2337"/>
      <c r="C84" s="471" t="s">
        <v>518</v>
      </c>
      <c r="D84" s="2327" t="s">
        <v>4</v>
      </c>
      <c r="E84" s="3579">
        <f>E83/E74</f>
        <v>1.4284426420359709E-4</v>
      </c>
      <c r="F84" s="3579">
        <f t="shared" ref="F84:N84" si="45">F83/F74</f>
        <v>1.3542893102884611E-4</v>
      </c>
      <c r="G84" s="3579">
        <f t="shared" si="45"/>
        <v>1.3453684326213041E-4</v>
      </c>
      <c r="H84" s="3579">
        <f>IF(H74&lt;&gt;0,H83/H74,0)</f>
        <v>0</v>
      </c>
      <c r="I84" s="3579">
        <f t="shared" si="45"/>
        <v>1.3453709385684759E-4</v>
      </c>
      <c r="J84" s="3579">
        <f t="shared" si="45"/>
        <v>1.345368204520338E-4</v>
      </c>
      <c r="K84" s="3579">
        <f t="shared" si="45"/>
        <v>1.3453669951935191E-4</v>
      </c>
      <c r="L84" s="3579">
        <f t="shared" si="45"/>
        <v>1.3453677381039723E-4</v>
      </c>
      <c r="M84" s="3579">
        <f t="shared" si="45"/>
        <v>1.3453694017876783E-4</v>
      </c>
      <c r="N84" s="3579">
        <f t="shared" si="45"/>
        <v>1.3453714043442177E-4</v>
      </c>
      <c r="O84" s="3579">
        <v>0</v>
      </c>
      <c r="P84" s="3579">
        <v>0</v>
      </c>
      <c r="Q84" s="3579">
        <v>0</v>
      </c>
      <c r="R84" s="3579">
        <v>0</v>
      </c>
      <c r="S84" s="3580">
        <v>0</v>
      </c>
      <c r="T84" s="157" t="s">
        <v>519</v>
      </c>
      <c r="W84" s="3566"/>
    </row>
    <row r="85" spans="2:23" x14ac:dyDescent="0.25">
      <c r="B85" s="2337" t="s">
        <v>736</v>
      </c>
      <c r="C85" s="472" t="s">
        <v>644</v>
      </c>
      <c r="D85" s="2327" t="s">
        <v>22</v>
      </c>
      <c r="E85" s="3355">
        <v>0</v>
      </c>
      <c r="F85" s="3355">
        <v>0</v>
      </c>
      <c r="G85" s="3310">
        <f>SUM(H85:S85)</f>
        <v>0</v>
      </c>
      <c r="H85" s="3310">
        <f>H125</f>
        <v>0</v>
      </c>
      <c r="I85" s="3310">
        <f t="shared" ref="I85:S85" si="46">I125</f>
        <v>0</v>
      </c>
      <c r="J85" s="3310">
        <f t="shared" si="46"/>
        <v>0</v>
      </c>
      <c r="K85" s="3310">
        <f t="shared" si="46"/>
        <v>0</v>
      </c>
      <c r="L85" s="3310">
        <f t="shared" si="46"/>
        <v>0</v>
      </c>
      <c r="M85" s="3310">
        <f t="shared" si="46"/>
        <v>0</v>
      </c>
      <c r="N85" s="3310">
        <f t="shared" si="46"/>
        <v>0</v>
      </c>
      <c r="O85" s="3310">
        <f t="shared" si="46"/>
        <v>0</v>
      </c>
      <c r="P85" s="3310">
        <f t="shared" si="46"/>
        <v>0</v>
      </c>
      <c r="Q85" s="3310">
        <f t="shared" si="46"/>
        <v>0</v>
      </c>
      <c r="R85" s="3310">
        <f t="shared" si="46"/>
        <v>0</v>
      </c>
      <c r="S85" s="3311">
        <f t="shared" si="46"/>
        <v>0</v>
      </c>
      <c r="T85" s="157" t="s">
        <v>489</v>
      </c>
      <c r="W85" s="3566"/>
    </row>
    <row r="86" spans="2:23" x14ac:dyDescent="0.25">
      <c r="B86" s="2337" t="s">
        <v>737</v>
      </c>
      <c r="C86" s="472" t="s">
        <v>643</v>
      </c>
      <c r="D86" s="2327" t="s">
        <v>22</v>
      </c>
      <c r="E86" s="3355">
        <v>13.195123224395186</v>
      </c>
      <c r="F86" s="3355">
        <v>9.0310899163150786</v>
      </c>
      <c r="G86" s="3310">
        <f>SUM(H86:S86)</f>
        <v>13.291675959893333</v>
      </c>
      <c r="H86" s="3310">
        <f>H126</f>
        <v>0</v>
      </c>
      <c r="I86" s="3310">
        <f t="shared" ref="I86:S86" si="47">I126</f>
        <v>1.6175879342933333</v>
      </c>
      <c r="J86" s="3310">
        <f t="shared" si="47"/>
        <v>2.8346333866666664</v>
      </c>
      <c r="K86" s="3310">
        <f t="shared" si="47"/>
        <v>3.2685870933333332</v>
      </c>
      <c r="L86" s="3310">
        <f t="shared" si="47"/>
        <v>2.794864720853333</v>
      </c>
      <c r="M86" s="3310">
        <f t="shared" si="47"/>
        <v>2.5053282135466661</v>
      </c>
      <c r="N86" s="3310">
        <f t="shared" si="47"/>
        <v>0.27067461120000003</v>
      </c>
      <c r="O86" s="3310">
        <f t="shared" si="47"/>
        <v>0</v>
      </c>
      <c r="P86" s="3310">
        <f t="shared" si="47"/>
        <v>0</v>
      </c>
      <c r="Q86" s="3310">
        <f t="shared" si="47"/>
        <v>0</v>
      </c>
      <c r="R86" s="3310">
        <f t="shared" si="47"/>
        <v>0</v>
      </c>
      <c r="S86" s="3311">
        <f t="shared" si="47"/>
        <v>0</v>
      </c>
      <c r="T86" s="157" t="s">
        <v>489</v>
      </c>
      <c r="V86" s="10">
        <v>13.291675959893333</v>
      </c>
      <c r="W86" s="3566">
        <f t="shared" si="33"/>
        <v>0</v>
      </c>
    </row>
    <row r="87" spans="2:23" x14ac:dyDescent="0.25">
      <c r="B87" s="2337" t="s">
        <v>516</v>
      </c>
      <c r="C87" s="3573" t="s">
        <v>97</v>
      </c>
      <c r="D87" s="2327" t="s">
        <v>22</v>
      </c>
      <c r="E87" s="3332">
        <f>E89+E90</f>
        <v>8759.9737474263693</v>
      </c>
      <c r="F87" s="3332">
        <f>F89+F90</f>
        <v>6752.6432291627516</v>
      </c>
      <c r="G87" s="3325">
        <f>SUM(H87:S87)</f>
        <v>12519.553368115807</v>
      </c>
      <c r="H87" s="3325">
        <f t="shared" ref="H87:S87" si="48">H127+H140</f>
        <v>0</v>
      </c>
      <c r="I87" s="3325">
        <f t="shared" si="48"/>
        <v>1523.6211394344066</v>
      </c>
      <c r="J87" s="3325">
        <f t="shared" si="48"/>
        <v>2669.9675850133331</v>
      </c>
      <c r="K87" s="3325">
        <f t="shared" si="48"/>
        <v>3078.7126226066666</v>
      </c>
      <c r="L87" s="3325">
        <f t="shared" si="48"/>
        <v>2632.5091083297962</v>
      </c>
      <c r="M87" s="3325">
        <f t="shared" si="48"/>
        <v>2359.7919757288037</v>
      </c>
      <c r="N87" s="3325">
        <f t="shared" si="48"/>
        <v>254.95093700280006</v>
      </c>
      <c r="O87" s="3325">
        <f t="shared" si="48"/>
        <v>0</v>
      </c>
      <c r="P87" s="3325">
        <f t="shared" si="48"/>
        <v>0</v>
      </c>
      <c r="Q87" s="3325">
        <f t="shared" si="48"/>
        <v>0</v>
      </c>
      <c r="R87" s="3325">
        <f t="shared" si="48"/>
        <v>0</v>
      </c>
      <c r="S87" s="3326">
        <f t="shared" si="48"/>
        <v>0</v>
      </c>
      <c r="T87" s="157" t="s">
        <v>684</v>
      </c>
      <c r="V87" s="10">
        <v>12519.55336811581</v>
      </c>
      <c r="W87" s="3566">
        <f t="shared" si="33"/>
        <v>0</v>
      </c>
    </row>
    <row r="88" spans="2:23" x14ac:dyDescent="0.25">
      <c r="B88" s="2337"/>
      <c r="C88" s="471" t="s">
        <v>518</v>
      </c>
      <c r="D88" s="2327" t="s">
        <v>4</v>
      </c>
      <c r="E88" s="3579">
        <f>E87/E74</f>
        <v>9.4831399685644246E-2</v>
      </c>
      <c r="F88" s="3579">
        <f t="shared" ref="F88:N88" si="49">F87/F74</f>
        <v>0.10126167080814852</v>
      </c>
      <c r="G88" s="3579">
        <f t="shared" si="49"/>
        <v>0.1267215055708889</v>
      </c>
      <c r="H88" s="3579">
        <f>IF(H74&lt;&gt;0,H87/H74,0)</f>
        <v>0</v>
      </c>
      <c r="I88" s="3579">
        <f t="shared" si="49"/>
        <v>0.12672174160838673</v>
      </c>
      <c r="J88" s="3579">
        <f t="shared" si="49"/>
        <v>0.12672148408584649</v>
      </c>
      <c r="K88" s="3579">
        <f t="shared" si="49"/>
        <v>0.12672137017822718</v>
      </c>
      <c r="L88" s="3579">
        <f t="shared" si="49"/>
        <v>0.12672144015365461</v>
      </c>
      <c r="M88" s="3579">
        <f t="shared" si="49"/>
        <v>0.12672159685757228</v>
      </c>
      <c r="N88" s="3579">
        <f t="shared" si="49"/>
        <v>0.12672178548023763</v>
      </c>
      <c r="O88" s="3579">
        <v>0</v>
      </c>
      <c r="P88" s="3579">
        <v>0</v>
      </c>
      <c r="Q88" s="3579">
        <v>0</v>
      </c>
      <c r="R88" s="3579">
        <v>0</v>
      </c>
      <c r="S88" s="3580">
        <v>0</v>
      </c>
      <c r="T88" s="157" t="s">
        <v>519</v>
      </c>
      <c r="W88" s="3566"/>
    </row>
    <row r="89" spans="2:23" x14ac:dyDescent="0.25">
      <c r="B89" s="2337" t="s">
        <v>734</v>
      </c>
      <c r="C89" s="472" t="s">
        <v>644</v>
      </c>
      <c r="D89" s="2327" t="s">
        <v>22</v>
      </c>
      <c r="E89" s="3355">
        <v>1086.8430430517685</v>
      </c>
      <c r="F89" s="3355">
        <v>694.39940057860849</v>
      </c>
      <c r="G89" s="3310">
        <f>SUM(H89:S89)</f>
        <v>2010.4763849135998</v>
      </c>
      <c r="H89" s="3310">
        <f>H128</f>
        <v>0</v>
      </c>
      <c r="I89" s="3310">
        <f t="shared" ref="I89:S89" si="50">I128</f>
        <v>244.67361017759998</v>
      </c>
      <c r="J89" s="3310">
        <f t="shared" si="50"/>
        <v>428.76184319999993</v>
      </c>
      <c r="K89" s="3310">
        <f t="shared" si="50"/>
        <v>494.4009456</v>
      </c>
      <c r="L89" s="3310">
        <f t="shared" si="50"/>
        <v>422.74650219120002</v>
      </c>
      <c r="M89" s="3310">
        <f t="shared" si="50"/>
        <v>378.95170067279992</v>
      </c>
      <c r="N89" s="3310">
        <f t="shared" si="50"/>
        <v>40.941783072000007</v>
      </c>
      <c r="O89" s="3310">
        <f t="shared" si="50"/>
        <v>0</v>
      </c>
      <c r="P89" s="3310">
        <f t="shared" si="50"/>
        <v>0</v>
      </c>
      <c r="Q89" s="3310">
        <f t="shared" si="50"/>
        <v>0</v>
      </c>
      <c r="R89" s="3310">
        <f t="shared" si="50"/>
        <v>0</v>
      </c>
      <c r="S89" s="3311">
        <f t="shared" si="50"/>
        <v>0</v>
      </c>
      <c r="T89" s="157" t="s">
        <v>489</v>
      </c>
      <c r="V89" s="10">
        <v>2010.4763849135998</v>
      </c>
      <c r="W89" s="3566">
        <f t="shared" si="33"/>
        <v>0</v>
      </c>
    </row>
    <row r="90" spans="2:23" x14ac:dyDescent="0.25">
      <c r="B90" s="2337" t="s">
        <v>735</v>
      </c>
      <c r="C90" s="472" t="s">
        <v>643</v>
      </c>
      <c r="D90" s="2327" t="s">
        <v>22</v>
      </c>
      <c r="E90" s="3355">
        <v>7673.130704374601</v>
      </c>
      <c r="F90" s="3355">
        <v>6058.2438285841436</v>
      </c>
      <c r="G90" s="3310">
        <f>SUM(H90:S90)</f>
        <v>10509.076983202205</v>
      </c>
      <c r="H90" s="3310">
        <f>H129</f>
        <v>0</v>
      </c>
      <c r="I90" s="3310">
        <f t="shared" ref="I90:S90" si="51">I129</f>
        <v>1278.9475292568065</v>
      </c>
      <c r="J90" s="3310">
        <f t="shared" si="51"/>
        <v>2241.2057418133331</v>
      </c>
      <c r="K90" s="3310">
        <f t="shared" si="51"/>
        <v>2584.3116770066667</v>
      </c>
      <c r="L90" s="3310">
        <f t="shared" si="51"/>
        <v>2209.7626061385963</v>
      </c>
      <c r="M90" s="3310">
        <f t="shared" si="51"/>
        <v>1980.8402750560037</v>
      </c>
      <c r="N90" s="3310">
        <f t="shared" si="51"/>
        <v>214.00915393080007</v>
      </c>
      <c r="O90" s="3310">
        <f t="shared" si="51"/>
        <v>0</v>
      </c>
      <c r="P90" s="3310">
        <f t="shared" si="51"/>
        <v>0</v>
      </c>
      <c r="Q90" s="3310">
        <f t="shared" si="51"/>
        <v>0</v>
      </c>
      <c r="R90" s="3310">
        <f t="shared" si="51"/>
        <v>0</v>
      </c>
      <c r="S90" s="3311">
        <f t="shared" si="51"/>
        <v>0</v>
      </c>
      <c r="T90" s="157" t="s">
        <v>489</v>
      </c>
      <c r="V90" s="10">
        <v>10509.076983202205</v>
      </c>
      <c r="W90" s="3566">
        <f t="shared" si="33"/>
        <v>0</v>
      </c>
    </row>
    <row r="91" spans="2:23" x14ac:dyDescent="0.25">
      <c r="B91" s="2337" t="s">
        <v>517</v>
      </c>
      <c r="C91" s="3573" t="s">
        <v>98</v>
      </c>
      <c r="D91" s="2327" t="s">
        <v>22</v>
      </c>
      <c r="E91" s="3332">
        <f>E93+E94</f>
        <v>4921.2771352268846</v>
      </c>
      <c r="F91" s="3332">
        <f>F93+F94</f>
        <v>2341.1847332118145</v>
      </c>
      <c r="G91" s="3325">
        <f>SUM(H91:S91)</f>
        <v>4213.6191041387128</v>
      </c>
      <c r="H91" s="3325">
        <f t="shared" ref="H91:S91" si="52">H130+H143</f>
        <v>0</v>
      </c>
      <c r="I91" s="3325">
        <f t="shared" si="52"/>
        <v>512.79458234831691</v>
      </c>
      <c r="J91" s="3325">
        <f t="shared" si="52"/>
        <v>898.61244190186676</v>
      </c>
      <c r="K91" s="3325">
        <f t="shared" si="52"/>
        <v>1036.1809196649335</v>
      </c>
      <c r="L91" s="3325">
        <f t="shared" si="52"/>
        <v>886.00530262742132</v>
      </c>
      <c r="M91" s="3325">
        <f t="shared" si="52"/>
        <v>794.21879186578224</v>
      </c>
      <c r="N91" s="3325">
        <f t="shared" si="52"/>
        <v>85.807065730391997</v>
      </c>
      <c r="O91" s="3325">
        <f t="shared" si="52"/>
        <v>0</v>
      </c>
      <c r="P91" s="3325">
        <f t="shared" si="52"/>
        <v>0</v>
      </c>
      <c r="Q91" s="3325">
        <f t="shared" si="52"/>
        <v>0</v>
      </c>
      <c r="R91" s="3325">
        <f t="shared" si="52"/>
        <v>0</v>
      </c>
      <c r="S91" s="3326">
        <f t="shared" si="52"/>
        <v>0</v>
      </c>
      <c r="T91" s="157" t="s">
        <v>682</v>
      </c>
      <c r="V91" s="10">
        <v>4213.6191041387128</v>
      </c>
      <c r="W91" s="3566">
        <f t="shared" si="33"/>
        <v>0</v>
      </c>
    </row>
    <row r="92" spans="2:23" x14ac:dyDescent="0.25">
      <c r="B92" s="2337"/>
      <c r="C92" s="471" t="s">
        <v>518</v>
      </c>
      <c r="D92" s="2327" t="s">
        <v>4</v>
      </c>
      <c r="E92" s="3579">
        <f>E91/E74</f>
        <v>5.327545634616021E-2</v>
      </c>
      <c r="F92" s="3579">
        <f>F91/F74</f>
        <v>3.5108070974594036E-2</v>
      </c>
      <c r="G92" s="3579">
        <f>G91/G74</f>
        <v>4.2649776799432118E-2</v>
      </c>
      <c r="H92" s="3579">
        <f>IF(H74&lt;&gt;0,H91/H74,0)</f>
        <v>0</v>
      </c>
      <c r="I92" s="3579">
        <f t="shared" ref="I92:N92" si="53">I91/I74</f>
        <v>4.2649856240933023E-2</v>
      </c>
      <c r="J92" s="3579">
        <f t="shared" si="53"/>
        <v>4.2649769568360661E-2</v>
      </c>
      <c r="K92" s="3579">
        <f t="shared" si="53"/>
        <v>4.2649731231264545E-2</v>
      </c>
      <c r="L92" s="3579">
        <f t="shared" si="53"/>
        <v>4.2649754782408025E-2</v>
      </c>
      <c r="M92" s="3579">
        <f t="shared" si="53"/>
        <v>4.2649807523156967E-2</v>
      </c>
      <c r="N92" s="3579">
        <f t="shared" si="53"/>
        <v>4.2649871006577085E-2</v>
      </c>
      <c r="O92" s="3579">
        <v>0</v>
      </c>
      <c r="P92" s="3579">
        <v>0</v>
      </c>
      <c r="Q92" s="3579">
        <v>0</v>
      </c>
      <c r="R92" s="3579">
        <v>0</v>
      </c>
      <c r="S92" s="3580">
        <v>0</v>
      </c>
      <c r="T92" s="157" t="s">
        <v>519</v>
      </c>
      <c r="W92" s="3566"/>
    </row>
    <row r="93" spans="2:23" x14ac:dyDescent="0.25">
      <c r="B93" s="2337" t="s">
        <v>732</v>
      </c>
      <c r="C93" s="472" t="s">
        <v>644</v>
      </c>
      <c r="D93" s="2327" t="s">
        <v>22</v>
      </c>
      <c r="E93" s="3355">
        <v>742.67879931696189</v>
      </c>
      <c r="F93" s="3355">
        <v>459.48987163875552</v>
      </c>
      <c r="G93" s="3310">
        <f>SUM(H93:S93)</f>
        <v>769.25616016375079</v>
      </c>
      <c r="H93" s="3310">
        <f>H131</f>
        <v>0</v>
      </c>
      <c r="I93" s="3310">
        <f t="shared" ref="I93:S93" si="54">I131</f>
        <v>93.617952078910662</v>
      </c>
      <c r="J93" s="3310">
        <f t="shared" si="54"/>
        <v>164.05449554133338</v>
      </c>
      <c r="K93" s="3310">
        <f t="shared" si="54"/>
        <v>189.16957983066669</v>
      </c>
      <c r="L93" s="3310">
        <f t="shared" si="54"/>
        <v>161.75288276874466</v>
      </c>
      <c r="M93" s="3310">
        <f t="shared" si="54"/>
        <v>144.99594839041535</v>
      </c>
      <c r="N93" s="3310">
        <f t="shared" si="54"/>
        <v>15.665301553679999</v>
      </c>
      <c r="O93" s="3310">
        <f t="shared" si="54"/>
        <v>0</v>
      </c>
      <c r="P93" s="3310">
        <f t="shared" si="54"/>
        <v>0</v>
      </c>
      <c r="Q93" s="3310">
        <f t="shared" si="54"/>
        <v>0</v>
      </c>
      <c r="R93" s="3310">
        <f t="shared" si="54"/>
        <v>0</v>
      </c>
      <c r="S93" s="3311">
        <f t="shared" si="54"/>
        <v>0</v>
      </c>
      <c r="T93" s="157" t="s">
        <v>489</v>
      </c>
      <c r="V93" s="10">
        <v>769.25616016375079</v>
      </c>
      <c r="W93" s="3566">
        <f t="shared" si="33"/>
        <v>0</v>
      </c>
    </row>
    <row r="94" spans="2:23" ht="14.4" thickBot="1" x14ac:dyDescent="0.3">
      <c r="B94" s="2348" t="s">
        <v>733</v>
      </c>
      <c r="C94" s="2349" t="s">
        <v>643</v>
      </c>
      <c r="D94" s="2330" t="s">
        <v>22</v>
      </c>
      <c r="E94" s="3356">
        <v>4178.5983359099228</v>
      </c>
      <c r="F94" s="3356">
        <v>1881.6948615730589</v>
      </c>
      <c r="G94" s="3357">
        <f>SUM(H94:S94)</f>
        <v>3444.362943974962</v>
      </c>
      <c r="H94" s="3357">
        <f>H132</f>
        <v>0</v>
      </c>
      <c r="I94" s="3357">
        <f t="shared" ref="I94:S94" si="55">I132</f>
        <v>419.17663026940619</v>
      </c>
      <c r="J94" s="3357">
        <f t="shared" si="55"/>
        <v>734.55794636053338</v>
      </c>
      <c r="K94" s="3357">
        <f t="shared" si="55"/>
        <v>847.01133983426678</v>
      </c>
      <c r="L94" s="3357">
        <f t="shared" si="55"/>
        <v>724.2524198586766</v>
      </c>
      <c r="M94" s="3357">
        <f t="shared" si="55"/>
        <v>649.22284347536686</v>
      </c>
      <c r="N94" s="3357">
        <f t="shared" si="55"/>
        <v>70.141764176712002</v>
      </c>
      <c r="O94" s="3357">
        <f t="shared" si="55"/>
        <v>0</v>
      </c>
      <c r="P94" s="3357">
        <f t="shared" si="55"/>
        <v>0</v>
      </c>
      <c r="Q94" s="3357">
        <f t="shared" si="55"/>
        <v>0</v>
      </c>
      <c r="R94" s="3357">
        <f t="shared" si="55"/>
        <v>0</v>
      </c>
      <c r="S94" s="3358">
        <f t="shared" si="55"/>
        <v>0</v>
      </c>
      <c r="T94" s="157" t="s">
        <v>489</v>
      </c>
      <c r="U94" s="305"/>
      <c r="V94" s="305">
        <v>3444.362943974962</v>
      </c>
      <c r="W94" s="3566">
        <f t="shared" si="33"/>
        <v>0</v>
      </c>
    </row>
    <row r="95" spans="2:23" s="15" customFormat="1" ht="38.25" customHeight="1" x14ac:dyDescent="0.3">
      <c r="B95" s="2352" t="s">
        <v>188</v>
      </c>
      <c r="C95" s="3194" t="s">
        <v>685</v>
      </c>
      <c r="D95" s="2373" t="s">
        <v>31</v>
      </c>
      <c r="E95" s="3321">
        <f>E96+E103+E106+E109+E112</f>
        <v>72.696236670000005</v>
      </c>
      <c r="F95" s="3321">
        <f>F96+F103+F106+F109+F112</f>
        <v>72.119867517062119</v>
      </c>
      <c r="G95" s="3322">
        <f t="shared" ref="G95:S95" si="56">G96+G103+G106+G109+G112</f>
        <v>71.708878517062132</v>
      </c>
      <c r="H95" s="3322">
        <f t="shared" si="56"/>
        <v>71.708878517062132</v>
      </c>
      <c r="I95" s="3322">
        <f t="shared" si="56"/>
        <v>71.708878517062132</v>
      </c>
      <c r="J95" s="3322">
        <f t="shared" si="56"/>
        <v>71.708878517062132</v>
      </c>
      <c r="K95" s="3322">
        <f t="shared" si="56"/>
        <v>71.708878517062132</v>
      </c>
      <c r="L95" s="3322">
        <f t="shared" si="56"/>
        <v>71.708878517062132</v>
      </c>
      <c r="M95" s="3322">
        <f t="shared" si="56"/>
        <v>71.708878517062132</v>
      </c>
      <c r="N95" s="3322">
        <f t="shared" si="56"/>
        <v>71.708878517062132</v>
      </c>
      <c r="O95" s="3322">
        <f t="shared" si="56"/>
        <v>71.708878517062132</v>
      </c>
      <c r="P95" s="3322">
        <f t="shared" si="56"/>
        <v>71.708878517062132</v>
      </c>
      <c r="Q95" s="3322">
        <f t="shared" si="56"/>
        <v>71.708878517062132</v>
      </c>
      <c r="R95" s="3322">
        <f t="shared" si="56"/>
        <v>71.708878517062132</v>
      </c>
      <c r="S95" s="3323">
        <f t="shared" si="56"/>
        <v>71.708878517062132</v>
      </c>
      <c r="T95" s="208" t="s">
        <v>682</v>
      </c>
      <c r="U95" s="3525"/>
      <c r="W95" s="272"/>
    </row>
    <row r="96" spans="2:23" x14ac:dyDescent="0.25">
      <c r="B96" s="2337" t="s">
        <v>88</v>
      </c>
      <c r="C96" s="471" t="s">
        <v>3</v>
      </c>
      <c r="D96" s="2327" t="s">
        <v>31</v>
      </c>
      <c r="E96" s="3332">
        <f>E97+E100</f>
        <v>58.886929000000002</v>
      </c>
      <c r="F96" s="3332">
        <f>F97+F100</f>
        <v>59.458515647062121</v>
      </c>
      <c r="G96" s="3333">
        <f t="shared" ref="G96:S96" si="57">G97+G100</f>
        <v>59.458515647062136</v>
      </c>
      <c r="H96" s="3333">
        <f t="shared" si="57"/>
        <v>59.458515647062136</v>
      </c>
      <c r="I96" s="3333">
        <f t="shared" si="57"/>
        <v>59.458515647062136</v>
      </c>
      <c r="J96" s="3333">
        <f t="shared" si="57"/>
        <v>59.458515647062136</v>
      </c>
      <c r="K96" s="3333">
        <f t="shared" si="57"/>
        <v>59.458515647062136</v>
      </c>
      <c r="L96" s="3333">
        <f t="shared" si="57"/>
        <v>59.458515647062136</v>
      </c>
      <c r="M96" s="3333">
        <f t="shared" si="57"/>
        <v>59.458515647062136</v>
      </c>
      <c r="N96" s="3333">
        <f t="shared" si="57"/>
        <v>59.458515647062136</v>
      </c>
      <c r="O96" s="3333">
        <f t="shared" si="57"/>
        <v>59.458515647062136</v>
      </c>
      <c r="P96" s="3333">
        <f t="shared" si="57"/>
        <v>59.458515647062136</v>
      </c>
      <c r="Q96" s="3333">
        <f t="shared" si="57"/>
        <v>59.458515647062136</v>
      </c>
      <c r="R96" s="3333">
        <f t="shared" si="57"/>
        <v>59.458515647062136</v>
      </c>
      <c r="S96" s="3334">
        <f t="shared" si="57"/>
        <v>59.458515647062136</v>
      </c>
      <c r="T96" s="157" t="s">
        <v>682</v>
      </c>
      <c r="U96" s="3526"/>
      <c r="W96" s="2313"/>
    </row>
    <row r="97" spans="2:23" x14ac:dyDescent="0.25">
      <c r="B97" s="2337" t="s">
        <v>721</v>
      </c>
      <c r="C97" s="2068" t="s">
        <v>644</v>
      </c>
      <c r="D97" s="2327" t="s">
        <v>31</v>
      </c>
      <c r="E97" s="3332">
        <f>SUM(E98:E99)</f>
        <v>9.9049999999999994</v>
      </c>
      <c r="F97" s="3332">
        <f>SUM(F98:F99)</f>
        <v>9.9052058669999994</v>
      </c>
      <c r="G97" s="3333">
        <f t="shared" ref="G97:S97" si="58">G98+G99</f>
        <v>9.9052058670000012</v>
      </c>
      <c r="H97" s="3333">
        <f t="shared" si="58"/>
        <v>9.9052058670000012</v>
      </c>
      <c r="I97" s="3333">
        <f t="shared" si="58"/>
        <v>9.9052058670000012</v>
      </c>
      <c r="J97" s="3333">
        <f t="shared" si="58"/>
        <v>9.9052058670000012</v>
      </c>
      <c r="K97" s="3333">
        <f t="shared" si="58"/>
        <v>9.9052058670000012</v>
      </c>
      <c r="L97" s="3333">
        <f t="shared" si="58"/>
        <v>9.9052058670000012</v>
      </c>
      <c r="M97" s="3333">
        <f t="shared" si="58"/>
        <v>9.9052058670000012</v>
      </c>
      <c r="N97" s="3333">
        <f t="shared" si="58"/>
        <v>9.9052058670000012</v>
      </c>
      <c r="O97" s="3333">
        <f t="shared" si="58"/>
        <v>9.9052058670000012</v>
      </c>
      <c r="P97" s="3333">
        <f t="shared" si="58"/>
        <v>9.9052058670000012</v>
      </c>
      <c r="Q97" s="3333">
        <f t="shared" si="58"/>
        <v>9.9052058670000012</v>
      </c>
      <c r="R97" s="3333">
        <f t="shared" si="58"/>
        <v>9.9052058670000012</v>
      </c>
      <c r="S97" s="3334">
        <f t="shared" si="58"/>
        <v>9.9052058670000012</v>
      </c>
      <c r="T97" s="157" t="s">
        <v>489</v>
      </c>
      <c r="U97" s="3526"/>
      <c r="V97" s="2313"/>
      <c r="W97" s="2313"/>
    </row>
    <row r="98" spans="2:23" x14ac:dyDescent="0.25">
      <c r="B98" s="2337" t="s">
        <v>723</v>
      </c>
      <c r="C98" s="2347" t="s">
        <v>713</v>
      </c>
      <c r="D98" s="2327" t="s">
        <v>31</v>
      </c>
      <c r="E98" s="3332">
        <v>9.9034020334497974</v>
      </c>
      <c r="F98" s="3332">
        <v>9.9036060563985924</v>
      </c>
      <c r="G98" s="3325">
        <f>'Розрахунки Річного плану'!C16-'Розрахунки Річного плану'!C18+'Розрахунки Річного плану'!C24</f>
        <v>9.9036154689924114</v>
      </c>
      <c r="H98" s="3325">
        <f>G98</f>
        <v>9.9036154689924114</v>
      </c>
      <c r="I98" s="3325">
        <f t="shared" ref="I98:S98" si="59">H98</f>
        <v>9.9036154689924114</v>
      </c>
      <c r="J98" s="3325">
        <f t="shared" si="59"/>
        <v>9.9036154689924114</v>
      </c>
      <c r="K98" s="3325">
        <f t="shared" si="59"/>
        <v>9.9036154689924114</v>
      </c>
      <c r="L98" s="3325">
        <f t="shared" si="59"/>
        <v>9.9036154689924114</v>
      </c>
      <c r="M98" s="3325">
        <f t="shared" si="59"/>
        <v>9.9036154689924114</v>
      </c>
      <c r="N98" s="3325">
        <f t="shared" si="59"/>
        <v>9.9036154689924114</v>
      </c>
      <c r="O98" s="3325">
        <f t="shared" si="59"/>
        <v>9.9036154689924114</v>
      </c>
      <c r="P98" s="3325">
        <f t="shared" si="59"/>
        <v>9.9036154689924114</v>
      </c>
      <c r="Q98" s="3325">
        <f t="shared" si="59"/>
        <v>9.9036154689924114</v>
      </c>
      <c r="R98" s="3325">
        <f t="shared" si="59"/>
        <v>9.9036154689924114</v>
      </c>
      <c r="S98" s="3326">
        <f t="shared" si="59"/>
        <v>9.9036154689924114</v>
      </c>
      <c r="T98" s="157" t="s">
        <v>489</v>
      </c>
      <c r="U98" s="3526"/>
      <c r="V98" s="2313"/>
      <c r="W98" s="2313"/>
    </row>
    <row r="99" spans="2:23" ht="16.2" customHeight="1" x14ac:dyDescent="0.25">
      <c r="B99" s="2337" t="s">
        <v>724</v>
      </c>
      <c r="C99" s="2347" t="s">
        <v>712</v>
      </c>
      <c r="D99" s="2327" t="s">
        <v>31</v>
      </c>
      <c r="E99" s="3332">
        <v>1.5979665502020915E-3</v>
      </c>
      <c r="F99" s="3332">
        <v>1.5998106014063708E-3</v>
      </c>
      <c r="G99" s="3325">
        <f>'Розрахунки Річного плану'!C18</f>
        <v>1.5903980075903173E-3</v>
      </c>
      <c r="H99" s="3325">
        <f>G99</f>
        <v>1.5903980075903173E-3</v>
      </c>
      <c r="I99" s="3325">
        <f t="shared" ref="I99:S99" si="60">H99</f>
        <v>1.5903980075903173E-3</v>
      </c>
      <c r="J99" s="3325">
        <f t="shared" si="60"/>
        <v>1.5903980075903173E-3</v>
      </c>
      <c r="K99" s="3325">
        <f t="shared" si="60"/>
        <v>1.5903980075903173E-3</v>
      </c>
      <c r="L99" s="3325">
        <f t="shared" si="60"/>
        <v>1.5903980075903173E-3</v>
      </c>
      <c r="M99" s="3325">
        <f t="shared" si="60"/>
        <v>1.5903980075903173E-3</v>
      </c>
      <c r="N99" s="3325">
        <f t="shared" si="60"/>
        <v>1.5903980075903173E-3</v>
      </c>
      <c r="O99" s="3325">
        <f t="shared" si="60"/>
        <v>1.5903980075903173E-3</v>
      </c>
      <c r="P99" s="3325">
        <f t="shared" si="60"/>
        <v>1.5903980075903173E-3</v>
      </c>
      <c r="Q99" s="3325">
        <f t="shared" si="60"/>
        <v>1.5903980075903173E-3</v>
      </c>
      <c r="R99" s="3325">
        <f t="shared" si="60"/>
        <v>1.5903980075903173E-3</v>
      </c>
      <c r="S99" s="3326">
        <f t="shared" si="60"/>
        <v>1.5903980075903173E-3</v>
      </c>
      <c r="T99" s="157" t="s">
        <v>489</v>
      </c>
      <c r="U99" s="3526"/>
      <c r="V99" s="2313"/>
      <c r="W99" s="2313"/>
    </row>
    <row r="100" spans="2:23" x14ac:dyDescent="0.25">
      <c r="B100" s="2337" t="s">
        <v>722</v>
      </c>
      <c r="C100" s="2068" t="s">
        <v>643</v>
      </c>
      <c r="D100" s="2327" t="s">
        <v>31</v>
      </c>
      <c r="E100" s="3332">
        <f>SUM(E101:E102)</f>
        <v>48.981929000000001</v>
      </c>
      <c r="F100" s="3332">
        <f>SUM(F101:F102)</f>
        <v>49.553309780062122</v>
      </c>
      <c r="G100" s="3333">
        <f t="shared" ref="G100:S100" si="61">G101+G102</f>
        <v>49.553309780062136</v>
      </c>
      <c r="H100" s="3333">
        <f t="shared" si="61"/>
        <v>49.553309780062136</v>
      </c>
      <c r="I100" s="3333">
        <f t="shared" si="61"/>
        <v>49.553309780062136</v>
      </c>
      <c r="J100" s="3333">
        <f t="shared" si="61"/>
        <v>49.553309780062136</v>
      </c>
      <c r="K100" s="3333">
        <f t="shared" si="61"/>
        <v>49.553309780062136</v>
      </c>
      <c r="L100" s="3333">
        <f t="shared" si="61"/>
        <v>49.553309780062136</v>
      </c>
      <c r="M100" s="3333">
        <f t="shared" si="61"/>
        <v>49.553309780062136</v>
      </c>
      <c r="N100" s="3333">
        <f t="shared" si="61"/>
        <v>49.553309780062136</v>
      </c>
      <c r="O100" s="3333">
        <f t="shared" si="61"/>
        <v>49.553309780062136</v>
      </c>
      <c r="P100" s="3333">
        <f t="shared" si="61"/>
        <v>49.553309780062136</v>
      </c>
      <c r="Q100" s="3333">
        <f t="shared" si="61"/>
        <v>49.553309780062136</v>
      </c>
      <c r="R100" s="3333">
        <f t="shared" si="61"/>
        <v>49.553309780062136</v>
      </c>
      <c r="S100" s="3334">
        <f t="shared" si="61"/>
        <v>49.553309780062136</v>
      </c>
      <c r="T100" s="157" t="s">
        <v>489</v>
      </c>
      <c r="U100" s="3526"/>
      <c r="W100" s="2313"/>
    </row>
    <row r="101" spans="2:23" x14ac:dyDescent="0.25">
      <c r="B101" s="2337" t="s">
        <v>725</v>
      </c>
      <c r="C101" s="2347" t="s">
        <v>713</v>
      </c>
      <c r="D101" s="2327" t="s">
        <v>31</v>
      </c>
      <c r="E101" s="3332">
        <v>48.980268091224723</v>
      </c>
      <c r="F101" s="3332">
        <v>49.551649088448798</v>
      </c>
      <c r="G101" s="3325">
        <f>'Розрахунки Річного плану'!C20-'Розрахунки Річного плану'!C21+'Розрахунки Річного плану'!C27</f>
        <v>49.551640675720101</v>
      </c>
      <c r="H101" s="3325">
        <f>G101</f>
        <v>49.551640675720101</v>
      </c>
      <c r="I101" s="3325">
        <f t="shared" ref="I101:S101" si="62">H101</f>
        <v>49.551640675720101</v>
      </c>
      <c r="J101" s="3325">
        <f t="shared" si="62"/>
        <v>49.551640675720101</v>
      </c>
      <c r="K101" s="3325">
        <f t="shared" si="62"/>
        <v>49.551640675720101</v>
      </c>
      <c r="L101" s="3325">
        <f t="shared" si="62"/>
        <v>49.551640675720101</v>
      </c>
      <c r="M101" s="3325">
        <f t="shared" si="62"/>
        <v>49.551640675720101</v>
      </c>
      <c r="N101" s="3325">
        <f t="shared" si="62"/>
        <v>49.551640675720101</v>
      </c>
      <c r="O101" s="3325">
        <f t="shared" si="62"/>
        <v>49.551640675720101</v>
      </c>
      <c r="P101" s="3325">
        <f t="shared" si="62"/>
        <v>49.551640675720101</v>
      </c>
      <c r="Q101" s="3325">
        <f t="shared" si="62"/>
        <v>49.551640675720101</v>
      </c>
      <c r="R101" s="3325">
        <f t="shared" si="62"/>
        <v>49.551640675720101</v>
      </c>
      <c r="S101" s="3326">
        <f t="shared" si="62"/>
        <v>49.551640675720101</v>
      </c>
      <c r="T101" s="157" t="s">
        <v>489</v>
      </c>
      <c r="U101" s="3526"/>
      <c r="W101" s="2313"/>
    </row>
    <row r="102" spans="2:23" ht="14.4" customHeight="1" x14ac:dyDescent="0.25">
      <c r="B102" s="2337" t="s">
        <v>726</v>
      </c>
      <c r="C102" s="2347" t="s">
        <v>712</v>
      </c>
      <c r="D102" s="2327" t="s">
        <v>31</v>
      </c>
      <c r="E102" s="3332">
        <v>1.6609087752817323E-3</v>
      </c>
      <c r="F102" s="3332">
        <v>1.6606916133228883E-3</v>
      </c>
      <c r="G102" s="3325">
        <f>'Розрахунки Річного плану'!C21</f>
        <v>1.6691043420317018E-3</v>
      </c>
      <c r="H102" s="3325">
        <f>G102</f>
        <v>1.6691043420317018E-3</v>
      </c>
      <c r="I102" s="3325">
        <f t="shared" ref="I102:S102" si="63">H102</f>
        <v>1.6691043420317018E-3</v>
      </c>
      <c r="J102" s="3325">
        <f t="shared" si="63"/>
        <v>1.6691043420317018E-3</v>
      </c>
      <c r="K102" s="3325">
        <f t="shared" si="63"/>
        <v>1.6691043420317018E-3</v>
      </c>
      <c r="L102" s="3325">
        <f t="shared" si="63"/>
        <v>1.6691043420317018E-3</v>
      </c>
      <c r="M102" s="3325">
        <f t="shared" si="63"/>
        <v>1.6691043420317018E-3</v>
      </c>
      <c r="N102" s="3325">
        <f t="shared" si="63"/>
        <v>1.6691043420317018E-3</v>
      </c>
      <c r="O102" s="3325">
        <f t="shared" si="63"/>
        <v>1.6691043420317018E-3</v>
      </c>
      <c r="P102" s="3325">
        <f t="shared" si="63"/>
        <v>1.6691043420317018E-3</v>
      </c>
      <c r="Q102" s="3325">
        <f t="shared" si="63"/>
        <v>1.6691043420317018E-3</v>
      </c>
      <c r="R102" s="3325">
        <f t="shared" si="63"/>
        <v>1.6691043420317018E-3</v>
      </c>
      <c r="S102" s="3326">
        <f t="shared" si="63"/>
        <v>1.6691043420317018E-3</v>
      </c>
      <c r="T102" s="157" t="s">
        <v>489</v>
      </c>
      <c r="U102" s="3526"/>
      <c r="W102" s="2313"/>
    </row>
    <row r="103" spans="2:23" x14ac:dyDescent="0.25">
      <c r="B103" s="2337" t="s">
        <v>90</v>
      </c>
      <c r="C103" s="919" t="s">
        <v>166</v>
      </c>
      <c r="D103" s="2327" t="s">
        <v>31</v>
      </c>
      <c r="E103" s="3332">
        <f>E104+E105</f>
        <v>9.6319999999999999E-3</v>
      </c>
      <c r="F103" s="3332">
        <f>F104+F105</f>
        <v>9.6319999999999999E-3</v>
      </c>
      <c r="G103" s="3333">
        <f t="shared" ref="G103:S103" si="64">G104+G105</f>
        <v>9.6319999999999999E-3</v>
      </c>
      <c r="H103" s="3333">
        <f t="shared" si="64"/>
        <v>9.6319999999999999E-3</v>
      </c>
      <c r="I103" s="3333">
        <f t="shared" si="64"/>
        <v>9.6319999999999999E-3</v>
      </c>
      <c r="J103" s="3333">
        <f t="shared" si="64"/>
        <v>9.6319999999999999E-3</v>
      </c>
      <c r="K103" s="3333">
        <f t="shared" si="64"/>
        <v>9.6319999999999999E-3</v>
      </c>
      <c r="L103" s="3333">
        <f t="shared" si="64"/>
        <v>9.6319999999999999E-3</v>
      </c>
      <c r="M103" s="3333">
        <f t="shared" si="64"/>
        <v>9.6319999999999999E-3</v>
      </c>
      <c r="N103" s="3333">
        <f t="shared" si="64"/>
        <v>9.6319999999999999E-3</v>
      </c>
      <c r="O103" s="3333">
        <f t="shared" si="64"/>
        <v>9.6319999999999999E-3</v>
      </c>
      <c r="P103" s="3333">
        <f t="shared" si="64"/>
        <v>9.6319999999999999E-3</v>
      </c>
      <c r="Q103" s="3333">
        <f t="shared" si="64"/>
        <v>9.6319999999999999E-3</v>
      </c>
      <c r="R103" s="3333">
        <f t="shared" si="64"/>
        <v>9.6319999999999999E-3</v>
      </c>
      <c r="S103" s="3334">
        <f t="shared" si="64"/>
        <v>9.6319999999999999E-3</v>
      </c>
      <c r="T103" s="157" t="s">
        <v>682</v>
      </c>
      <c r="U103" s="3526"/>
      <c r="W103" s="312"/>
    </row>
    <row r="104" spans="2:23" x14ac:dyDescent="0.25">
      <c r="B104" s="2337" t="s">
        <v>727</v>
      </c>
      <c r="C104" s="2068" t="s">
        <v>644</v>
      </c>
      <c r="D104" s="2327" t="s">
        <v>31</v>
      </c>
      <c r="E104" s="3332"/>
      <c r="F104" s="3332"/>
      <c r="G104" s="3325">
        <f>'Розрахунки Річного плану'!C53</f>
        <v>0</v>
      </c>
      <c r="H104" s="3325">
        <f>G104</f>
        <v>0</v>
      </c>
      <c r="I104" s="3325">
        <f t="shared" ref="I104:S104" si="65">H104</f>
        <v>0</v>
      </c>
      <c r="J104" s="3325">
        <f t="shared" si="65"/>
        <v>0</v>
      </c>
      <c r="K104" s="3325">
        <f t="shared" si="65"/>
        <v>0</v>
      </c>
      <c r="L104" s="3325">
        <f t="shared" si="65"/>
        <v>0</v>
      </c>
      <c r="M104" s="3325">
        <f t="shared" si="65"/>
        <v>0</v>
      </c>
      <c r="N104" s="3325">
        <f t="shared" si="65"/>
        <v>0</v>
      </c>
      <c r="O104" s="3325">
        <f t="shared" si="65"/>
        <v>0</v>
      </c>
      <c r="P104" s="3325">
        <f t="shared" si="65"/>
        <v>0</v>
      </c>
      <c r="Q104" s="3325">
        <f t="shared" si="65"/>
        <v>0</v>
      </c>
      <c r="R104" s="3325">
        <f t="shared" si="65"/>
        <v>0</v>
      </c>
      <c r="S104" s="3326">
        <f t="shared" si="65"/>
        <v>0</v>
      </c>
      <c r="T104" s="157" t="s">
        <v>489</v>
      </c>
      <c r="U104" s="3526"/>
      <c r="W104" s="312"/>
    </row>
    <row r="105" spans="2:23" x14ac:dyDescent="0.25">
      <c r="B105" s="2337" t="s">
        <v>728</v>
      </c>
      <c r="C105" s="2068" t="s">
        <v>643</v>
      </c>
      <c r="D105" s="2327" t="s">
        <v>31</v>
      </c>
      <c r="E105" s="3324">
        <v>9.6319999999999999E-3</v>
      </c>
      <c r="F105" s="3324">
        <v>9.6319999999999999E-3</v>
      </c>
      <c r="G105" s="3325">
        <f>F105</f>
        <v>9.6319999999999999E-3</v>
      </c>
      <c r="H105" s="3325">
        <f>G105</f>
        <v>9.6319999999999999E-3</v>
      </c>
      <c r="I105" s="3325">
        <f t="shared" ref="I105:S105" si="66">H105</f>
        <v>9.6319999999999999E-3</v>
      </c>
      <c r="J105" s="3325">
        <f t="shared" si="66"/>
        <v>9.6319999999999999E-3</v>
      </c>
      <c r="K105" s="3325">
        <f t="shared" si="66"/>
        <v>9.6319999999999999E-3</v>
      </c>
      <c r="L105" s="3325">
        <f t="shared" si="66"/>
        <v>9.6319999999999999E-3</v>
      </c>
      <c r="M105" s="3325">
        <f t="shared" si="66"/>
        <v>9.6319999999999999E-3</v>
      </c>
      <c r="N105" s="3325">
        <f t="shared" si="66"/>
        <v>9.6319999999999999E-3</v>
      </c>
      <c r="O105" s="3325">
        <f t="shared" si="66"/>
        <v>9.6319999999999999E-3</v>
      </c>
      <c r="P105" s="3325">
        <f t="shared" si="66"/>
        <v>9.6319999999999999E-3</v>
      </c>
      <c r="Q105" s="3325">
        <f t="shared" si="66"/>
        <v>9.6319999999999999E-3</v>
      </c>
      <c r="R105" s="3325">
        <f t="shared" si="66"/>
        <v>9.6319999999999999E-3</v>
      </c>
      <c r="S105" s="3326">
        <f t="shared" si="66"/>
        <v>9.6319999999999999E-3</v>
      </c>
      <c r="T105" s="157" t="s">
        <v>489</v>
      </c>
      <c r="U105" s="3526"/>
      <c r="W105" s="312"/>
    </row>
    <row r="106" spans="2:23" x14ac:dyDescent="0.25">
      <c r="B106" s="2337" t="s">
        <v>108</v>
      </c>
      <c r="C106" s="919" t="s">
        <v>97</v>
      </c>
      <c r="D106" s="2327" t="s">
        <v>31</v>
      </c>
      <c r="E106" s="3332">
        <f>E107+E108</f>
        <v>7.6644177999999998</v>
      </c>
      <c r="F106" s="3332">
        <f>F107+F108</f>
        <v>8.9826221000000004</v>
      </c>
      <c r="G106" s="3325">
        <f>G107+G108</f>
        <v>9.0724704999999997</v>
      </c>
      <c r="H106" s="3325">
        <f t="shared" ref="H106:S106" si="67">H107+H108</f>
        <v>9.0724704999999997</v>
      </c>
      <c r="I106" s="3325">
        <f t="shared" si="67"/>
        <v>9.0724704999999997</v>
      </c>
      <c r="J106" s="3325">
        <f t="shared" si="67"/>
        <v>9.0724704999999997</v>
      </c>
      <c r="K106" s="3325">
        <f t="shared" si="67"/>
        <v>9.0724704999999997</v>
      </c>
      <c r="L106" s="3325">
        <f t="shared" si="67"/>
        <v>9.0724704999999997</v>
      </c>
      <c r="M106" s="3325">
        <f t="shared" si="67"/>
        <v>9.0724704999999997</v>
      </c>
      <c r="N106" s="3325">
        <f t="shared" si="67"/>
        <v>9.0724704999999997</v>
      </c>
      <c r="O106" s="3325">
        <f t="shared" si="67"/>
        <v>9.0724704999999997</v>
      </c>
      <c r="P106" s="3325">
        <f t="shared" si="67"/>
        <v>9.0724704999999997</v>
      </c>
      <c r="Q106" s="3325">
        <f t="shared" si="67"/>
        <v>9.0724704999999997</v>
      </c>
      <c r="R106" s="3325">
        <f t="shared" si="67"/>
        <v>9.0724704999999997</v>
      </c>
      <c r="S106" s="3326">
        <f t="shared" si="67"/>
        <v>9.0724704999999997</v>
      </c>
      <c r="T106" s="157" t="s">
        <v>686</v>
      </c>
      <c r="U106" s="3526"/>
      <c r="W106" s="312"/>
    </row>
    <row r="107" spans="2:23" x14ac:dyDescent="0.25">
      <c r="B107" s="2337" t="s">
        <v>717</v>
      </c>
      <c r="C107" s="2068" t="s">
        <v>644</v>
      </c>
      <c r="D107" s="2327" t="s">
        <v>31</v>
      </c>
      <c r="E107" s="3332">
        <v>1.3620509999999999</v>
      </c>
      <c r="F107" s="3332">
        <v>1.3628310000000001</v>
      </c>
      <c r="G107" s="3325">
        <f>'Розрахунки Річного плану'!C31</f>
        <v>1.45692</v>
      </c>
      <c r="H107" s="3325">
        <f>G107</f>
        <v>1.45692</v>
      </c>
      <c r="I107" s="3325">
        <f t="shared" ref="I107:S107" si="68">H107</f>
        <v>1.45692</v>
      </c>
      <c r="J107" s="3325">
        <f t="shared" si="68"/>
        <v>1.45692</v>
      </c>
      <c r="K107" s="3325">
        <f t="shared" si="68"/>
        <v>1.45692</v>
      </c>
      <c r="L107" s="3325">
        <f t="shared" si="68"/>
        <v>1.45692</v>
      </c>
      <c r="M107" s="3325">
        <f t="shared" si="68"/>
        <v>1.45692</v>
      </c>
      <c r="N107" s="3325">
        <f t="shared" si="68"/>
        <v>1.45692</v>
      </c>
      <c r="O107" s="3325">
        <f t="shared" si="68"/>
        <v>1.45692</v>
      </c>
      <c r="P107" s="3325">
        <f t="shared" si="68"/>
        <v>1.45692</v>
      </c>
      <c r="Q107" s="3325">
        <f t="shared" si="68"/>
        <v>1.45692</v>
      </c>
      <c r="R107" s="3325">
        <f t="shared" si="68"/>
        <v>1.45692</v>
      </c>
      <c r="S107" s="3326">
        <f t="shared" si="68"/>
        <v>1.45692</v>
      </c>
      <c r="T107" s="157" t="s">
        <v>489</v>
      </c>
      <c r="U107" s="3526"/>
      <c r="W107" s="312"/>
    </row>
    <row r="108" spans="2:23" x14ac:dyDescent="0.25">
      <c r="B108" s="2337" t="s">
        <v>718</v>
      </c>
      <c r="C108" s="2068" t="s">
        <v>643</v>
      </c>
      <c r="D108" s="2327" t="s">
        <v>31</v>
      </c>
      <c r="E108" s="3332">
        <v>6.3023667999999997</v>
      </c>
      <c r="F108" s="3332">
        <v>7.6197911000000005</v>
      </c>
      <c r="G108" s="3325">
        <f>'Розрахунки Річного плану'!C34</f>
        <v>7.6155505000000003</v>
      </c>
      <c r="H108" s="3325">
        <f>G108</f>
        <v>7.6155505000000003</v>
      </c>
      <c r="I108" s="3325">
        <f t="shared" ref="I108:S108" si="69">H108</f>
        <v>7.6155505000000003</v>
      </c>
      <c r="J108" s="3325">
        <f t="shared" si="69"/>
        <v>7.6155505000000003</v>
      </c>
      <c r="K108" s="3325">
        <f t="shared" si="69"/>
        <v>7.6155505000000003</v>
      </c>
      <c r="L108" s="3325">
        <f t="shared" si="69"/>
        <v>7.6155505000000003</v>
      </c>
      <c r="M108" s="3325">
        <f t="shared" si="69"/>
        <v>7.6155505000000003</v>
      </c>
      <c r="N108" s="3325">
        <f t="shared" si="69"/>
        <v>7.6155505000000003</v>
      </c>
      <c r="O108" s="3325">
        <f t="shared" si="69"/>
        <v>7.6155505000000003</v>
      </c>
      <c r="P108" s="3325">
        <f t="shared" si="69"/>
        <v>7.6155505000000003</v>
      </c>
      <c r="Q108" s="3325">
        <f t="shared" si="69"/>
        <v>7.6155505000000003</v>
      </c>
      <c r="R108" s="3325">
        <f t="shared" si="69"/>
        <v>7.6155505000000003</v>
      </c>
      <c r="S108" s="3326">
        <f t="shared" si="69"/>
        <v>7.6155505000000003</v>
      </c>
      <c r="T108" s="157" t="s">
        <v>489</v>
      </c>
      <c r="U108" s="3526"/>
      <c r="W108" s="312"/>
    </row>
    <row r="109" spans="2:23" x14ac:dyDescent="0.25">
      <c r="B109" s="2337" t="s">
        <v>520</v>
      </c>
      <c r="C109" s="919" t="s">
        <v>98</v>
      </c>
      <c r="D109" s="2327" t="s">
        <v>31</v>
      </c>
      <c r="E109" s="3332">
        <f>E110+E111</f>
        <v>6.0204578699999995</v>
      </c>
      <c r="F109" s="3332">
        <f>F110+F111</f>
        <v>3.5542957699999991</v>
      </c>
      <c r="G109" s="3325">
        <f>G110+G111</f>
        <v>3.0534583699999995</v>
      </c>
      <c r="H109" s="3325">
        <f t="shared" ref="H109:S109" si="70">H110+H111</f>
        <v>3.0534583699999995</v>
      </c>
      <c r="I109" s="3325">
        <f t="shared" si="70"/>
        <v>3.0534583699999995</v>
      </c>
      <c r="J109" s="3325">
        <f t="shared" si="70"/>
        <v>3.0534583699999995</v>
      </c>
      <c r="K109" s="3325">
        <f t="shared" si="70"/>
        <v>3.0534583699999995</v>
      </c>
      <c r="L109" s="3325">
        <f t="shared" si="70"/>
        <v>3.0534583699999995</v>
      </c>
      <c r="M109" s="3325">
        <f t="shared" si="70"/>
        <v>3.0534583699999995</v>
      </c>
      <c r="N109" s="3325">
        <f t="shared" si="70"/>
        <v>3.0534583699999995</v>
      </c>
      <c r="O109" s="3325">
        <f t="shared" si="70"/>
        <v>3.0534583699999995</v>
      </c>
      <c r="P109" s="3325">
        <f t="shared" si="70"/>
        <v>3.0534583699999995</v>
      </c>
      <c r="Q109" s="3325">
        <f t="shared" si="70"/>
        <v>3.0534583699999995</v>
      </c>
      <c r="R109" s="3325">
        <f t="shared" si="70"/>
        <v>3.0534583699999995</v>
      </c>
      <c r="S109" s="3326">
        <f t="shared" si="70"/>
        <v>3.0534583699999995</v>
      </c>
      <c r="T109" s="157" t="s">
        <v>682</v>
      </c>
      <c r="U109" s="3526"/>
      <c r="W109" s="312"/>
    </row>
    <row r="110" spans="2:23" x14ac:dyDescent="0.25">
      <c r="B110" s="2337" t="s">
        <v>715</v>
      </c>
      <c r="C110" s="2068" t="s">
        <v>644</v>
      </c>
      <c r="D110" s="2327" t="s">
        <v>31</v>
      </c>
      <c r="E110" s="3332">
        <v>0.67130330000000005</v>
      </c>
      <c r="F110" s="3332">
        <v>0.65583629999999993</v>
      </c>
      <c r="G110" s="3325">
        <f>'Розрахунки Річного плану'!C39</f>
        <v>0.5574522999999999</v>
      </c>
      <c r="H110" s="3325">
        <f>G110</f>
        <v>0.5574522999999999</v>
      </c>
      <c r="I110" s="3325">
        <f t="shared" ref="I110:S110" si="71">H110</f>
        <v>0.5574522999999999</v>
      </c>
      <c r="J110" s="3325">
        <f t="shared" si="71"/>
        <v>0.5574522999999999</v>
      </c>
      <c r="K110" s="3325">
        <f t="shared" si="71"/>
        <v>0.5574522999999999</v>
      </c>
      <c r="L110" s="3325">
        <f t="shared" si="71"/>
        <v>0.5574522999999999</v>
      </c>
      <c r="M110" s="3325">
        <f t="shared" si="71"/>
        <v>0.5574522999999999</v>
      </c>
      <c r="N110" s="3325">
        <f t="shared" si="71"/>
        <v>0.5574522999999999</v>
      </c>
      <c r="O110" s="3325">
        <f t="shared" si="71"/>
        <v>0.5574522999999999</v>
      </c>
      <c r="P110" s="3325">
        <f t="shared" si="71"/>
        <v>0.5574522999999999</v>
      </c>
      <c r="Q110" s="3325">
        <f t="shared" si="71"/>
        <v>0.5574522999999999</v>
      </c>
      <c r="R110" s="3325">
        <f t="shared" si="71"/>
        <v>0.5574522999999999</v>
      </c>
      <c r="S110" s="3326">
        <f t="shared" si="71"/>
        <v>0.5574522999999999</v>
      </c>
      <c r="T110" s="157" t="s">
        <v>489</v>
      </c>
      <c r="U110" s="3526"/>
      <c r="W110" s="312"/>
    </row>
    <row r="111" spans="2:23" x14ac:dyDescent="0.25">
      <c r="B111" s="2337" t="s">
        <v>716</v>
      </c>
      <c r="C111" s="2068" t="s">
        <v>643</v>
      </c>
      <c r="D111" s="2327" t="s">
        <v>31</v>
      </c>
      <c r="E111" s="3332">
        <v>5.3491545699999996</v>
      </c>
      <c r="F111" s="3332">
        <v>2.8984594699999993</v>
      </c>
      <c r="G111" s="3325">
        <f>'Розрахунки Річного плану'!C42</f>
        <v>2.4960060699999995</v>
      </c>
      <c r="H111" s="3325">
        <f>G111</f>
        <v>2.4960060699999995</v>
      </c>
      <c r="I111" s="3325">
        <f t="shared" ref="I111:S111" si="72">H111</f>
        <v>2.4960060699999995</v>
      </c>
      <c r="J111" s="3325">
        <f t="shared" si="72"/>
        <v>2.4960060699999995</v>
      </c>
      <c r="K111" s="3325">
        <f t="shared" si="72"/>
        <v>2.4960060699999995</v>
      </c>
      <c r="L111" s="3325">
        <f t="shared" si="72"/>
        <v>2.4960060699999995</v>
      </c>
      <c r="M111" s="3325">
        <f t="shared" si="72"/>
        <v>2.4960060699999995</v>
      </c>
      <c r="N111" s="3325">
        <f t="shared" si="72"/>
        <v>2.4960060699999995</v>
      </c>
      <c r="O111" s="3325">
        <f t="shared" si="72"/>
        <v>2.4960060699999995</v>
      </c>
      <c r="P111" s="3325">
        <f t="shared" si="72"/>
        <v>2.4960060699999995</v>
      </c>
      <c r="Q111" s="3325">
        <f t="shared" si="72"/>
        <v>2.4960060699999995</v>
      </c>
      <c r="R111" s="3325">
        <f t="shared" si="72"/>
        <v>2.4960060699999995</v>
      </c>
      <c r="S111" s="3326">
        <f t="shared" si="72"/>
        <v>2.4960060699999995</v>
      </c>
      <c r="T111" s="157" t="s">
        <v>489</v>
      </c>
      <c r="U111" s="3526"/>
      <c r="W111" s="312"/>
    </row>
    <row r="112" spans="2:23" ht="24" x14ac:dyDescent="0.25">
      <c r="B112" s="2337" t="s">
        <v>714</v>
      </c>
      <c r="C112" s="919" t="s">
        <v>203</v>
      </c>
      <c r="D112" s="2327" t="s">
        <v>31</v>
      </c>
      <c r="E112" s="3332">
        <f>E113+E114</f>
        <v>0.1148</v>
      </c>
      <c r="F112" s="3332">
        <f>F113+F114</f>
        <v>0.114802</v>
      </c>
      <c r="G112" s="3333">
        <f t="shared" ref="G112:S112" si="73">G113+G114</f>
        <v>0.114802</v>
      </c>
      <c r="H112" s="3333">
        <f t="shared" si="73"/>
        <v>0.114802</v>
      </c>
      <c r="I112" s="3333">
        <f t="shared" si="73"/>
        <v>0.114802</v>
      </c>
      <c r="J112" s="3333">
        <f t="shared" si="73"/>
        <v>0.114802</v>
      </c>
      <c r="K112" s="3333">
        <f t="shared" si="73"/>
        <v>0.114802</v>
      </c>
      <c r="L112" s="3333">
        <f t="shared" si="73"/>
        <v>0.114802</v>
      </c>
      <c r="M112" s="3333">
        <f t="shared" si="73"/>
        <v>0.114802</v>
      </c>
      <c r="N112" s="3333">
        <f t="shared" si="73"/>
        <v>0.114802</v>
      </c>
      <c r="O112" s="3333">
        <f t="shared" si="73"/>
        <v>0.114802</v>
      </c>
      <c r="P112" s="3333">
        <f t="shared" si="73"/>
        <v>0.114802</v>
      </c>
      <c r="Q112" s="3333">
        <f t="shared" si="73"/>
        <v>0.114802</v>
      </c>
      <c r="R112" s="3333">
        <f t="shared" si="73"/>
        <v>0.114802</v>
      </c>
      <c r="S112" s="3334">
        <f t="shared" si="73"/>
        <v>0.114802</v>
      </c>
      <c r="T112" s="157" t="s">
        <v>489</v>
      </c>
    </row>
    <row r="113" spans="2:23" x14ac:dyDescent="0.25">
      <c r="B113" s="2337" t="s">
        <v>719</v>
      </c>
      <c r="C113" s="2068" t="s">
        <v>644</v>
      </c>
      <c r="D113" s="2327" t="s">
        <v>31</v>
      </c>
      <c r="E113" s="3332">
        <v>0.1148</v>
      </c>
      <c r="F113" s="3332">
        <v>0.114802</v>
      </c>
      <c r="G113" s="3325">
        <f>F113</f>
        <v>0.114802</v>
      </c>
      <c r="H113" s="3325">
        <f>G113</f>
        <v>0.114802</v>
      </c>
      <c r="I113" s="3325">
        <f t="shared" ref="I113:S113" si="74">H113</f>
        <v>0.114802</v>
      </c>
      <c r="J113" s="3325">
        <f t="shared" si="74"/>
        <v>0.114802</v>
      </c>
      <c r="K113" s="3325">
        <f t="shared" si="74"/>
        <v>0.114802</v>
      </c>
      <c r="L113" s="3325">
        <f t="shared" si="74"/>
        <v>0.114802</v>
      </c>
      <c r="M113" s="3325">
        <f t="shared" si="74"/>
        <v>0.114802</v>
      </c>
      <c r="N113" s="3325">
        <f t="shared" si="74"/>
        <v>0.114802</v>
      </c>
      <c r="O113" s="3325">
        <f t="shared" si="74"/>
        <v>0.114802</v>
      </c>
      <c r="P113" s="3325">
        <f t="shared" si="74"/>
        <v>0.114802</v>
      </c>
      <c r="Q113" s="3325">
        <f t="shared" si="74"/>
        <v>0.114802</v>
      </c>
      <c r="R113" s="3325">
        <f t="shared" si="74"/>
        <v>0.114802</v>
      </c>
      <c r="S113" s="3326">
        <f t="shared" si="74"/>
        <v>0.114802</v>
      </c>
      <c r="T113" s="157" t="s">
        <v>489</v>
      </c>
    </row>
    <row r="114" spans="2:23" ht="14.4" thickBot="1" x14ac:dyDescent="0.3">
      <c r="B114" s="2348" t="s">
        <v>720</v>
      </c>
      <c r="C114" s="2329" t="s">
        <v>643</v>
      </c>
      <c r="D114" s="2330" t="s">
        <v>31</v>
      </c>
      <c r="E114" s="3335"/>
      <c r="F114" s="3335"/>
      <c r="G114" s="3359">
        <f>'Розрахунки Річного плану'!C49</f>
        <v>0</v>
      </c>
      <c r="H114" s="3359">
        <f>G114</f>
        <v>0</v>
      </c>
      <c r="I114" s="3359">
        <f t="shared" ref="I114:S114" si="75">H114</f>
        <v>0</v>
      </c>
      <c r="J114" s="3359">
        <f t="shared" si="75"/>
        <v>0</v>
      </c>
      <c r="K114" s="3359">
        <f t="shared" si="75"/>
        <v>0</v>
      </c>
      <c r="L114" s="3359">
        <f t="shared" si="75"/>
        <v>0</v>
      </c>
      <c r="M114" s="3359">
        <f t="shared" si="75"/>
        <v>0</v>
      </c>
      <c r="N114" s="3359">
        <f t="shared" si="75"/>
        <v>0</v>
      </c>
      <c r="O114" s="3359">
        <f t="shared" si="75"/>
        <v>0</v>
      </c>
      <c r="P114" s="3359">
        <f t="shared" si="75"/>
        <v>0</v>
      </c>
      <c r="Q114" s="3359">
        <f t="shared" si="75"/>
        <v>0</v>
      </c>
      <c r="R114" s="3359">
        <f t="shared" si="75"/>
        <v>0</v>
      </c>
      <c r="S114" s="3328">
        <f t="shared" si="75"/>
        <v>0</v>
      </c>
      <c r="T114" s="157" t="s">
        <v>489</v>
      </c>
    </row>
    <row r="115" spans="2:23" s="15" customFormat="1" ht="36.6" customHeight="1" thickBot="1" x14ac:dyDescent="0.3">
      <c r="B115" s="2350" t="s">
        <v>189</v>
      </c>
      <c r="C115" s="3197" t="s">
        <v>205</v>
      </c>
      <c r="D115" s="2351" t="s">
        <v>22</v>
      </c>
      <c r="E115" s="3360">
        <f>E116+E133</f>
        <v>92374.190157107529</v>
      </c>
      <c r="F115" s="3360">
        <f t="shared" ref="F115:S115" si="76">F116+F133</f>
        <v>66685.086027825717</v>
      </c>
      <c r="G115" s="3361">
        <f t="shared" si="76"/>
        <v>98795.806692118873</v>
      </c>
      <c r="H115" s="3361">
        <f t="shared" si="76"/>
        <v>0</v>
      </c>
      <c r="I115" s="3361">
        <f t="shared" si="76"/>
        <v>12023.360159797314</v>
      </c>
      <c r="J115" s="3361">
        <f t="shared" si="76"/>
        <v>21069.573200425781</v>
      </c>
      <c r="K115" s="3361">
        <f t="shared" si="76"/>
        <v>24295.133632761492</v>
      </c>
      <c r="L115" s="3361">
        <f t="shared" si="76"/>
        <v>20773.983511691295</v>
      </c>
      <c r="M115" s="3361">
        <f t="shared" si="76"/>
        <v>18621.861105341599</v>
      </c>
      <c r="N115" s="3361">
        <f t="shared" si="76"/>
        <v>2011.8950821014109</v>
      </c>
      <c r="O115" s="3361">
        <f t="shared" si="76"/>
        <v>0</v>
      </c>
      <c r="P115" s="3361">
        <f t="shared" si="76"/>
        <v>0</v>
      </c>
      <c r="Q115" s="3361">
        <f t="shared" si="76"/>
        <v>0</v>
      </c>
      <c r="R115" s="3361">
        <f t="shared" si="76"/>
        <v>0</v>
      </c>
      <c r="S115" s="3362">
        <f t="shared" si="76"/>
        <v>0</v>
      </c>
      <c r="T115" s="157" t="s">
        <v>682</v>
      </c>
      <c r="V115" s="1622"/>
    </row>
    <row r="116" spans="2:23" s="15" customFormat="1" ht="22.8" x14ac:dyDescent="0.25">
      <c r="B116" s="2352" t="s">
        <v>91</v>
      </c>
      <c r="C116" s="2353" t="s">
        <v>206</v>
      </c>
      <c r="D116" s="2354" t="s">
        <v>22</v>
      </c>
      <c r="E116" s="3321">
        <f>E117+E124+E127+E130</f>
        <v>92374.190157107529</v>
      </c>
      <c r="F116" s="3321">
        <f t="shared" ref="F116:S116" si="77">F117+F124+F127+F130</f>
        <v>66685.086027825717</v>
      </c>
      <c r="G116" s="3322">
        <f t="shared" si="77"/>
        <v>98795.806692118873</v>
      </c>
      <c r="H116" s="3322">
        <f t="shared" si="77"/>
        <v>0</v>
      </c>
      <c r="I116" s="3322">
        <f t="shared" si="77"/>
        <v>12023.360159797314</v>
      </c>
      <c r="J116" s="3322">
        <f t="shared" si="77"/>
        <v>21069.573200425781</v>
      </c>
      <c r="K116" s="3322">
        <f t="shared" si="77"/>
        <v>24295.133632761492</v>
      </c>
      <c r="L116" s="3322">
        <f t="shared" si="77"/>
        <v>20773.983511691295</v>
      </c>
      <c r="M116" s="3322">
        <f t="shared" si="77"/>
        <v>18621.861105341599</v>
      </c>
      <c r="N116" s="3322">
        <f t="shared" si="77"/>
        <v>2011.8950821014109</v>
      </c>
      <c r="O116" s="3322">
        <f t="shared" si="77"/>
        <v>0</v>
      </c>
      <c r="P116" s="3322">
        <f t="shared" si="77"/>
        <v>0</v>
      </c>
      <c r="Q116" s="3322">
        <f t="shared" si="77"/>
        <v>0</v>
      </c>
      <c r="R116" s="3322">
        <f t="shared" si="77"/>
        <v>0</v>
      </c>
      <c r="S116" s="3323">
        <f t="shared" si="77"/>
        <v>0</v>
      </c>
      <c r="T116" s="157" t="s">
        <v>682</v>
      </c>
      <c r="U116" s="3571">
        <f>'Розрахунки Річного плану'!C123+'Розрахунки Річного плану'!C141-G72</f>
        <v>98624.102929837012</v>
      </c>
      <c r="V116" s="3572">
        <f>U116-G116</f>
        <v>-171.70376228186069</v>
      </c>
      <c r="W116" s="271"/>
    </row>
    <row r="117" spans="2:23" x14ac:dyDescent="0.25">
      <c r="B117" s="2337" t="s">
        <v>521</v>
      </c>
      <c r="C117" s="919" t="s">
        <v>3</v>
      </c>
      <c r="D117" s="2334" t="s">
        <v>22</v>
      </c>
      <c r="E117" s="3332">
        <f>E118+E121</f>
        <v>78679.744151229883</v>
      </c>
      <c r="F117" s="3332">
        <f t="shared" ref="F117:S117" si="78">F118+F121</f>
        <v>57582.226975534839</v>
      </c>
      <c r="G117" s="3333">
        <f t="shared" si="78"/>
        <v>82049.342543904466</v>
      </c>
      <c r="H117" s="3333">
        <f t="shared" si="78"/>
        <v>0</v>
      </c>
      <c r="I117" s="3333">
        <f t="shared" si="78"/>
        <v>9985.3268500802969</v>
      </c>
      <c r="J117" s="3333">
        <f t="shared" si="78"/>
        <v>17498.158540123914</v>
      </c>
      <c r="K117" s="3333">
        <f t="shared" si="78"/>
        <v>20176.971503396555</v>
      </c>
      <c r="L117" s="3333">
        <f t="shared" si="78"/>
        <v>17252.674236013223</v>
      </c>
      <c r="M117" s="3333">
        <f t="shared" si="78"/>
        <v>15465.345009533465</v>
      </c>
      <c r="N117" s="3333">
        <f t="shared" si="78"/>
        <v>1670.8664047570187</v>
      </c>
      <c r="O117" s="3333">
        <f t="shared" si="78"/>
        <v>0</v>
      </c>
      <c r="P117" s="3333">
        <f t="shared" si="78"/>
        <v>0</v>
      </c>
      <c r="Q117" s="3333">
        <f t="shared" si="78"/>
        <v>0</v>
      </c>
      <c r="R117" s="3333">
        <f t="shared" si="78"/>
        <v>0</v>
      </c>
      <c r="S117" s="3334">
        <f t="shared" si="78"/>
        <v>0</v>
      </c>
      <c r="T117" s="157" t="s">
        <v>682</v>
      </c>
    </row>
    <row r="118" spans="2:23" x14ac:dyDescent="0.25">
      <c r="B118" s="2337" t="s">
        <v>705</v>
      </c>
      <c r="C118" s="2068" t="s">
        <v>644</v>
      </c>
      <c r="D118" s="2334" t="s">
        <v>22</v>
      </c>
      <c r="E118" s="3332">
        <f>E119+E120</f>
        <v>13268.892385715624</v>
      </c>
      <c r="F118" s="3332">
        <f>F119+F120</f>
        <v>9006.153084065947</v>
      </c>
      <c r="G118" s="3310">
        <f t="shared" ref="G118:G132" si="79">SUM(H118:S118)</f>
        <v>13668.480880354855</v>
      </c>
      <c r="H118" s="3333">
        <f t="shared" ref="H118:S118" si="80">H119+H120</f>
        <v>0</v>
      </c>
      <c r="I118" s="3333">
        <f t="shared" si="80"/>
        <v>1663.4339098856174</v>
      </c>
      <c r="J118" s="3333">
        <f t="shared" si="80"/>
        <v>2914.9939806236926</v>
      </c>
      <c r="K118" s="3333">
        <f t="shared" si="80"/>
        <v>3361.260737151496</v>
      </c>
      <c r="L118" s="3333">
        <f t="shared" si="80"/>
        <v>2874.1014049001255</v>
      </c>
      <c r="M118" s="3333">
        <f t="shared" si="80"/>
        <v>2576.3450667102829</v>
      </c>
      <c r="N118" s="3333">
        <f t="shared" si="80"/>
        <v>278.34578108364025</v>
      </c>
      <c r="O118" s="3333">
        <f t="shared" si="80"/>
        <v>0</v>
      </c>
      <c r="P118" s="3333">
        <f t="shared" si="80"/>
        <v>0</v>
      </c>
      <c r="Q118" s="3333">
        <f t="shared" si="80"/>
        <v>0</v>
      </c>
      <c r="R118" s="3333">
        <f t="shared" si="80"/>
        <v>0</v>
      </c>
      <c r="S118" s="3334">
        <f t="shared" si="80"/>
        <v>0</v>
      </c>
      <c r="T118" s="157" t="s">
        <v>489</v>
      </c>
    </row>
    <row r="119" spans="2:23" x14ac:dyDescent="0.25">
      <c r="B119" s="2337" t="s">
        <v>707</v>
      </c>
      <c r="C119" s="2347" t="s">
        <v>713</v>
      </c>
      <c r="D119" s="2334" t="s">
        <v>22</v>
      </c>
      <c r="E119" s="3324">
        <f>E78</f>
        <v>13268.892385715624</v>
      </c>
      <c r="F119" s="3324">
        <f>F78</f>
        <v>9006.153084065947</v>
      </c>
      <c r="G119" s="3310">
        <f t="shared" si="79"/>
        <v>13666.491657520157</v>
      </c>
      <c r="H119" s="3578">
        <f>'[37]Річний план'!G123</f>
        <v>0</v>
      </c>
      <c r="I119" s="3578">
        <f>'[37]Річний план'!H123</f>
        <v>1663.2027500542913</v>
      </c>
      <c r="J119" s="3578">
        <f>'[37]Річний план'!I123</f>
        <v>2914.5680084213395</v>
      </c>
      <c r="K119" s="3578">
        <f>'[37]Річний план'!J123</f>
        <v>3360.7588973510115</v>
      </c>
      <c r="L119" s="3578">
        <f>'[37]Річний план'!K123</f>
        <v>2873.6778948488609</v>
      </c>
      <c r="M119" s="3578">
        <f>'[37]Річний план'!L123</f>
        <v>2575.976666381217</v>
      </c>
      <c r="N119" s="3578">
        <f>'[37]Річний план'!M123</f>
        <v>278.3074404634371</v>
      </c>
      <c r="O119" s="3325">
        <v>0</v>
      </c>
      <c r="P119" s="3325">
        <v>0</v>
      </c>
      <c r="Q119" s="3325">
        <v>0</v>
      </c>
      <c r="R119" s="3325">
        <v>0</v>
      </c>
      <c r="S119" s="3326">
        <v>0</v>
      </c>
      <c r="T119" s="157" t="s">
        <v>489</v>
      </c>
    </row>
    <row r="120" spans="2:23" ht="24" x14ac:dyDescent="0.25">
      <c r="B120" s="2337" t="s">
        <v>708</v>
      </c>
      <c r="C120" s="2347" t="s">
        <v>712</v>
      </c>
      <c r="D120" s="2334" t="s">
        <v>22</v>
      </c>
      <c r="E120" s="3324">
        <f>E79</f>
        <v>0</v>
      </c>
      <c r="F120" s="3324">
        <f>F79</f>
        <v>0</v>
      </c>
      <c r="G120" s="3310">
        <f t="shared" si="79"/>
        <v>1.9892228346973733</v>
      </c>
      <c r="H120" s="3578">
        <f>'[37]Річний план'!G124</f>
        <v>0</v>
      </c>
      <c r="I120" s="3578">
        <f>'Розрахунки Річного плану'!E63</f>
        <v>0.23115983132616233</v>
      </c>
      <c r="J120" s="3578">
        <f>'Розрахунки Річного плану'!F63</f>
        <v>0.42597220235299066</v>
      </c>
      <c r="K120" s="3578">
        <f>'Розрахунки Річного плану'!G63</f>
        <v>0.50183980048448729</v>
      </c>
      <c r="L120" s="3578">
        <f>'Розрахунки Річного плану'!H63</f>
        <v>0.42351005126479424</v>
      </c>
      <c r="M120" s="3578">
        <f>'Розрахунки Річного плану'!I63</f>
        <v>0.36840032906578668</v>
      </c>
      <c r="N120" s="3578">
        <f>'Розрахунки Річного плану'!J63</f>
        <v>3.8340620203152119E-2</v>
      </c>
      <c r="O120" s="3325">
        <v>0</v>
      </c>
      <c r="P120" s="3325">
        <v>0</v>
      </c>
      <c r="Q120" s="3325">
        <v>0</v>
      </c>
      <c r="R120" s="3325">
        <v>0</v>
      </c>
      <c r="S120" s="3326">
        <v>0</v>
      </c>
      <c r="T120" s="157" t="s">
        <v>489</v>
      </c>
    </row>
    <row r="121" spans="2:23" x14ac:dyDescent="0.25">
      <c r="B121" s="2337" t="s">
        <v>706</v>
      </c>
      <c r="C121" s="2068" t="s">
        <v>643</v>
      </c>
      <c r="D121" s="2334" t="s">
        <v>22</v>
      </c>
      <c r="E121" s="3332">
        <f>E122+E123</f>
        <v>65410.851765514257</v>
      </c>
      <c r="F121" s="3332">
        <f t="shared" ref="F121:S121" si="81">F122+F123</f>
        <v>48576.073891468892</v>
      </c>
      <c r="G121" s="3310">
        <f t="shared" si="79"/>
        <v>68380.861663549615</v>
      </c>
      <c r="H121" s="3333">
        <f t="shared" si="81"/>
        <v>0</v>
      </c>
      <c r="I121" s="3333">
        <f t="shared" si="81"/>
        <v>8321.8929401946789</v>
      </c>
      <c r="J121" s="3333">
        <f t="shared" si="81"/>
        <v>14583.164559500223</v>
      </c>
      <c r="K121" s="3333">
        <f t="shared" si="81"/>
        <v>16815.710766245058</v>
      </c>
      <c r="L121" s="3333">
        <f t="shared" si="81"/>
        <v>14378.572831113099</v>
      </c>
      <c r="M121" s="3333">
        <f t="shared" si="81"/>
        <v>12888.999942823182</v>
      </c>
      <c r="N121" s="3333">
        <f t="shared" si="81"/>
        <v>1392.5206236733784</v>
      </c>
      <c r="O121" s="3333">
        <f t="shared" si="81"/>
        <v>0</v>
      </c>
      <c r="P121" s="3333">
        <f t="shared" si="81"/>
        <v>0</v>
      </c>
      <c r="Q121" s="3333">
        <f t="shared" si="81"/>
        <v>0</v>
      </c>
      <c r="R121" s="3333">
        <f t="shared" si="81"/>
        <v>0</v>
      </c>
      <c r="S121" s="3334">
        <f t="shared" si="81"/>
        <v>0</v>
      </c>
      <c r="T121" s="157" t="s">
        <v>489</v>
      </c>
    </row>
    <row r="122" spans="2:23" x14ac:dyDescent="0.25">
      <c r="B122" s="2337" t="s">
        <v>709</v>
      </c>
      <c r="C122" s="2347" t="s">
        <v>713</v>
      </c>
      <c r="D122" s="2334" t="s">
        <v>22</v>
      </c>
      <c r="E122" s="3324">
        <f>E81</f>
        <v>65410.851765514257</v>
      </c>
      <c r="F122" s="3324">
        <f>F81</f>
        <v>48576.073891468892</v>
      </c>
      <c r="G122" s="3310">
        <f t="shared" si="79"/>
        <v>68378.773997377619</v>
      </c>
      <c r="H122" s="3578">
        <f>'[37]Річний план'!G126</f>
        <v>0</v>
      </c>
      <c r="I122" s="3578">
        <f>'[37]Річний план'!H126</f>
        <v>8321.6503406855845</v>
      </c>
      <c r="J122" s="3578">
        <f>'[37]Річний план'!I126</f>
        <v>14582.717506593253</v>
      </c>
      <c r="K122" s="3578">
        <f>'[37]Річний план'!J126</f>
        <v>16815.184091170016</v>
      </c>
      <c r="L122" s="3578">
        <f>'[37]Річний план'!K126</f>
        <v>14378.128362227071</v>
      </c>
      <c r="M122" s="3578">
        <f>'[37]Річний план'!L126</f>
        <v>12888.613311088882</v>
      </c>
      <c r="N122" s="3578">
        <f>'[37]Річний план'!M126</f>
        <v>1392.4803856128156</v>
      </c>
      <c r="O122" s="3325">
        <v>0</v>
      </c>
      <c r="P122" s="3325">
        <v>0</v>
      </c>
      <c r="Q122" s="3325">
        <v>0</v>
      </c>
      <c r="R122" s="3325">
        <v>0</v>
      </c>
      <c r="S122" s="3326">
        <v>0</v>
      </c>
      <c r="T122" s="157" t="s">
        <v>489</v>
      </c>
    </row>
    <row r="123" spans="2:23" ht="24" x14ac:dyDescent="0.25">
      <c r="B123" s="2337" t="s">
        <v>710</v>
      </c>
      <c r="C123" s="2347" t="s">
        <v>712</v>
      </c>
      <c r="D123" s="2334" t="s">
        <v>22</v>
      </c>
      <c r="E123" s="3324">
        <f>E82</f>
        <v>0</v>
      </c>
      <c r="F123" s="3324">
        <f>F82</f>
        <v>0</v>
      </c>
      <c r="G123" s="3310">
        <f t="shared" si="79"/>
        <v>2.0876661719963807</v>
      </c>
      <c r="H123" s="3578">
        <f>'[37]Річний план'!G127</f>
        <v>0</v>
      </c>
      <c r="I123" s="3578">
        <f>'[37]Річний план'!H127</f>
        <v>0.24259950909380276</v>
      </c>
      <c r="J123" s="3578">
        <f>'[37]Річний план'!I127</f>
        <v>0.4470529069697709</v>
      </c>
      <c r="K123" s="3578">
        <f>'[37]Річний план'!J127</f>
        <v>0.52667507504118449</v>
      </c>
      <c r="L123" s="3578">
        <f>'[37]Річний план'!K127</f>
        <v>0.44446888602813278</v>
      </c>
      <c r="M123" s="3578">
        <f>'[37]Річний план'!L127</f>
        <v>0.38663173430056974</v>
      </c>
      <c r="N123" s="3578">
        <f>'[37]Річний план'!M127</f>
        <v>4.0238060562920112E-2</v>
      </c>
      <c r="O123" s="3325">
        <v>0</v>
      </c>
      <c r="P123" s="3325">
        <v>0</v>
      </c>
      <c r="Q123" s="3325">
        <v>0</v>
      </c>
      <c r="R123" s="3325">
        <v>0</v>
      </c>
      <c r="S123" s="3326">
        <v>0</v>
      </c>
      <c r="T123" s="157" t="s">
        <v>489</v>
      </c>
    </row>
    <row r="124" spans="2:23" x14ac:dyDescent="0.25">
      <c r="B124" s="2337" t="s">
        <v>522</v>
      </c>
      <c r="C124" s="919" t="s">
        <v>166</v>
      </c>
      <c r="D124" s="2334" t="s">
        <v>22</v>
      </c>
      <c r="E124" s="3332">
        <f>E125+E126</f>
        <v>13.195123224395186</v>
      </c>
      <c r="F124" s="3332">
        <f t="shared" ref="F124:S124" si="82">F125+F126</f>
        <v>9.0310899163150786</v>
      </c>
      <c r="G124" s="3310">
        <f t="shared" si="79"/>
        <v>13.291675959893333</v>
      </c>
      <c r="H124" s="3333">
        <f t="shared" si="82"/>
        <v>0</v>
      </c>
      <c r="I124" s="3333">
        <f t="shared" si="82"/>
        <v>1.6175879342933333</v>
      </c>
      <c r="J124" s="3333">
        <f t="shared" si="82"/>
        <v>2.8346333866666664</v>
      </c>
      <c r="K124" s="3333">
        <f t="shared" si="82"/>
        <v>3.2685870933333332</v>
      </c>
      <c r="L124" s="3333">
        <f t="shared" si="82"/>
        <v>2.794864720853333</v>
      </c>
      <c r="M124" s="3333">
        <f t="shared" si="82"/>
        <v>2.5053282135466661</v>
      </c>
      <c r="N124" s="3333">
        <f t="shared" si="82"/>
        <v>0.27067461120000003</v>
      </c>
      <c r="O124" s="3333">
        <f t="shared" si="82"/>
        <v>0</v>
      </c>
      <c r="P124" s="3333">
        <f t="shared" si="82"/>
        <v>0</v>
      </c>
      <c r="Q124" s="3333">
        <f t="shared" si="82"/>
        <v>0</v>
      </c>
      <c r="R124" s="3333">
        <f t="shared" si="82"/>
        <v>0</v>
      </c>
      <c r="S124" s="3334">
        <f t="shared" si="82"/>
        <v>0</v>
      </c>
      <c r="T124" s="157" t="s">
        <v>682</v>
      </c>
    </row>
    <row r="125" spans="2:23" x14ac:dyDescent="0.25">
      <c r="B125" s="2337" t="s">
        <v>703</v>
      </c>
      <c r="C125" s="2068" t="s">
        <v>644</v>
      </c>
      <c r="D125" s="2334" t="s">
        <v>22</v>
      </c>
      <c r="E125" s="3324">
        <f>E85</f>
        <v>0</v>
      </c>
      <c r="F125" s="3324">
        <f>F85</f>
        <v>0</v>
      </c>
      <c r="G125" s="3310">
        <f t="shared" si="79"/>
        <v>0</v>
      </c>
      <c r="H125" s="3578">
        <f>'[37]Річний план'!G129</f>
        <v>0</v>
      </c>
      <c r="I125" s="3578">
        <f>'[37]Річний план'!H129</f>
        <v>0</v>
      </c>
      <c r="J125" s="3578">
        <f>'[37]Річний план'!I129</f>
        <v>0</v>
      </c>
      <c r="K125" s="3578">
        <f>'[37]Річний план'!J129</f>
        <v>0</v>
      </c>
      <c r="L125" s="3578">
        <f>'[37]Річний план'!K129</f>
        <v>0</v>
      </c>
      <c r="M125" s="3578">
        <f>'[37]Річний план'!L129</f>
        <v>0</v>
      </c>
      <c r="N125" s="3578">
        <f>'[37]Річний план'!M129</f>
        <v>0</v>
      </c>
      <c r="O125" s="3325">
        <v>0</v>
      </c>
      <c r="P125" s="3325">
        <v>0</v>
      </c>
      <c r="Q125" s="3325">
        <v>0</v>
      </c>
      <c r="R125" s="3325">
        <v>0</v>
      </c>
      <c r="S125" s="3326">
        <v>0</v>
      </c>
      <c r="T125" s="157" t="s">
        <v>489</v>
      </c>
    </row>
    <row r="126" spans="2:23" x14ac:dyDescent="0.25">
      <c r="B126" s="2337" t="s">
        <v>704</v>
      </c>
      <c r="C126" s="2068" t="s">
        <v>643</v>
      </c>
      <c r="D126" s="2334" t="s">
        <v>22</v>
      </c>
      <c r="E126" s="3324">
        <f>E86</f>
        <v>13.195123224395186</v>
      </c>
      <c r="F126" s="3324">
        <f>F86</f>
        <v>9.0310899163150786</v>
      </c>
      <c r="G126" s="3310">
        <f t="shared" si="79"/>
        <v>13.291675959893333</v>
      </c>
      <c r="H126" s="3578">
        <f>'[37]Річний план'!G130</f>
        <v>0</v>
      </c>
      <c r="I126" s="3578">
        <f>'[37]Річний план'!H130</f>
        <v>1.6175879342933333</v>
      </c>
      <c r="J126" s="3578">
        <f>'[37]Річний план'!I130</f>
        <v>2.8346333866666664</v>
      </c>
      <c r="K126" s="3578">
        <f>'[37]Річний план'!J130</f>
        <v>3.2685870933333332</v>
      </c>
      <c r="L126" s="3578">
        <f>'[37]Річний план'!K130</f>
        <v>2.794864720853333</v>
      </c>
      <c r="M126" s="3578">
        <f>'[37]Річний план'!L130</f>
        <v>2.5053282135466661</v>
      </c>
      <c r="N126" s="3578">
        <f>'[37]Річний план'!M130</f>
        <v>0.27067461120000003</v>
      </c>
      <c r="O126" s="3325">
        <v>0</v>
      </c>
      <c r="P126" s="3325">
        <v>0</v>
      </c>
      <c r="Q126" s="3325">
        <v>0</v>
      </c>
      <c r="R126" s="3325">
        <v>0</v>
      </c>
      <c r="S126" s="3326">
        <v>0</v>
      </c>
      <c r="T126" s="157" t="s">
        <v>489</v>
      </c>
    </row>
    <row r="127" spans="2:23" x14ac:dyDescent="0.25">
      <c r="B127" s="2337" t="s">
        <v>523</v>
      </c>
      <c r="C127" s="919" t="s">
        <v>97</v>
      </c>
      <c r="D127" s="2334" t="s">
        <v>22</v>
      </c>
      <c r="E127" s="3332">
        <f>E128+E129</f>
        <v>8759.9737474263693</v>
      </c>
      <c r="F127" s="3332">
        <f t="shared" ref="F127:S127" si="83">F128+F129</f>
        <v>6752.6432291627516</v>
      </c>
      <c r="G127" s="3310">
        <f t="shared" si="79"/>
        <v>12519.553368115807</v>
      </c>
      <c r="H127" s="3333">
        <f t="shared" si="83"/>
        <v>0</v>
      </c>
      <c r="I127" s="3333">
        <f t="shared" si="83"/>
        <v>1523.6211394344066</v>
      </c>
      <c r="J127" s="3333">
        <f t="shared" si="83"/>
        <v>2669.9675850133331</v>
      </c>
      <c r="K127" s="3333">
        <f t="shared" si="83"/>
        <v>3078.7126226066666</v>
      </c>
      <c r="L127" s="3333">
        <f t="shared" si="83"/>
        <v>2632.5091083297962</v>
      </c>
      <c r="M127" s="3333">
        <f t="shared" si="83"/>
        <v>2359.7919757288037</v>
      </c>
      <c r="N127" s="3333">
        <f t="shared" si="83"/>
        <v>254.95093700280006</v>
      </c>
      <c r="O127" s="3333">
        <f t="shared" si="83"/>
        <v>0</v>
      </c>
      <c r="P127" s="3333">
        <f t="shared" si="83"/>
        <v>0</v>
      </c>
      <c r="Q127" s="3333">
        <f t="shared" si="83"/>
        <v>0</v>
      </c>
      <c r="R127" s="3333">
        <f t="shared" si="83"/>
        <v>0</v>
      </c>
      <c r="S127" s="3334">
        <f t="shared" si="83"/>
        <v>0</v>
      </c>
      <c r="T127" s="157" t="s">
        <v>686</v>
      </c>
    </row>
    <row r="128" spans="2:23" x14ac:dyDescent="0.25">
      <c r="B128" s="2337" t="s">
        <v>701</v>
      </c>
      <c r="C128" s="2068" t="s">
        <v>644</v>
      </c>
      <c r="D128" s="2334" t="s">
        <v>22</v>
      </c>
      <c r="E128" s="3324">
        <f>E89</f>
        <v>1086.8430430517685</v>
      </c>
      <c r="F128" s="3324">
        <f>F89</f>
        <v>694.39940057860849</v>
      </c>
      <c r="G128" s="3310">
        <f t="shared" si="79"/>
        <v>2010.4763849135998</v>
      </c>
      <c r="H128" s="3578">
        <f>'[37]Річний план'!G132</f>
        <v>0</v>
      </c>
      <c r="I128" s="3578">
        <f>'[37]Річний план'!H132</f>
        <v>244.67361017759998</v>
      </c>
      <c r="J128" s="3578">
        <f>'[37]Річний план'!I132</f>
        <v>428.76184319999993</v>
      </c>
      <c r="K128" s="3578">
        <f>'[37]Річний план'!J132</f>
        <v>494.4009456</v>
      </c>
      <c r="L128" s="3578">
        <f>'[37]Річний план'!K132</f>
        <v>422.74650219120002</v>
      </c>
      <c r="M128" s="3578">
        <f>'[37]Річний план'!L132</f>
        <v>378.95170067279992</v>
      </c>
      <c r="N128" s="3578">
        <f>'[37]Річний план'!M132</f>
        <v>40.941783072000007</v>
      </c>
      <c r="O128" s="3325">
        <v>0</v>
      </c>
      <c r="P128" s="3325">
        <v>0</v>
      </c>
      <c r="Q128" s="3325">
        <v>0</v>
      </c>
      <c r="R128" s="3325">
        <v>0</v>
      </c>
      <c r="S128" s="3326">
        <v>0</v>
      </c>
      <c r="T128" s="157" t="s">
        <v>489</v>
      </c>
    </row>
    <row r="129" spans="2:22" x14ac:dyDescent="0.25">
      <c r="B129" s="2337" t="s">
        <v>702</v>
      </c>
      <c r="C129" s="2068" t="s">
        <v>643</v>
      </c>
      <c r="D129" s="2334" t="s">
        <v>22</v>
      </c>
      <c r="E129" s="3324">
        <f>E90</f>
        <v>7673.130704374601</v>
      </c>
      <c r="F129" s="3324">
        <f>F90</f>
        <v>6058.2438285841436</v>
      </c>
      <c r="G129" s="3310">
        <f t="shared" si="79"/>
        <v>10509.076983202205</v>
      </c>
      <c r="H129" s="3578">
        <f>'[37]Річний план'!G133</f>
        <v>0</v>
      </c>
      <c r="I129" s="3578">
        <f>'[37]Річний план'!H133</f>
        <v>1278.9475292568065</v>
      </c>
      <c r="J129" s="3578">
        <f>'[37]Річний план'!I133</f>
        <v>2241.2057418133331</v>
      </c>
      <c r="K129" s="3578">
        <f>'[37]Річний план'!J133</f>
        <v>2584.3116770066667</v>
      </c>
      <c r="L129" s="3578">
        <f>'[37]Річний план'!K133</f>
        <v>2209.7626061385963</v>
      </c>
      <c r="M129" s="3578">
        <f>'[37]Річний план'!L133</f>
        <v>1980.8402750560037</v>
      </c>
      <c r="N129" s="3578">
        <f>'[37]Річний план'!M133</f>
        <v>214.00915393080007</v>
      </c>
      <c r="O129" s="3325">
        <v>0</v>
      </c>
      <c r="P129" s="3325">
        <v>0</v>
      </c>
      <c r="Q129" s="3325">
        <v>0</v>
      </c>
      <c r="R129" s="3325">
        <v>0</v>
      </c>
      <c r="S129" s="3326">
        <v>0</v>
      </c>
      <c r="T129" s="157" t="s">
        <v>489</v>
      </c>
    </row>
    <row r="130" spans="2:22" x14ac:dyDescent="0.25">
      <c r="B130" s="2337" t="s">
        <v>524</v>
      </c>
      <c r="C130" s="919" t="s">
        <v>98</v>
      </c>
      <c r="D130" s="2334" t="s">
        <v>22</v>
      </c>
      <c r="E130" s="3332">
        <f>E131+E132</f>
        <v>4921.2771352268846</v>
      </c>
      <c r="F130" s="3332">
        <f t="shared" ref="F130:S130" si="84">F131+F132</f>
        <v>2341.1847332118145</v>
      </c>
      <c r="G130" s="3310">
        <f t="shared" si="79"/>
        <v>4213.6191041387128</v>
      </c>
      <c r="H130" s="3333">
        <f t="shared" si="84"/>
        <v>0</v>
      </c>
      <c r="I130" s="3333">
        <f t="shared" si="84"/>
        <v>512.79458234831691</v>
      </c>
      <c r="J130" s="3333">
        <f t="shared" si="84"/>
        <v>898.61244190186676</v>
      </c>
      <c r="K130" s="3333">
        <f t="shared" si="84"/>
        <v>1036.1809196649335</v>
      </c>
      <c r="L130" s="3333">
        <f t="shared" si="84"/>
        <v>886.00530262742132</v>
      </c>
      <c r="M130" s="3333">
        <f t="shared" si="84"/>
        <v>794.21879186578224</v>
      </c>
      <c r="N130" s="3333">
        <f t="shared" si="84"/>
        <v>85.807065730391997</v>
      </c>
      <c r="O130" s="3333">
        <f t="shared" si="84"/>
        <v>0</v>
      </c>
      <c r="P130" s="3333">
        <f t="shared" si="84"/>
        <v>0</v>
      </c>
      <c r="Q130" s="3333">
        <f t="shared" si="84"/>
        <v>0</v>
      </c>
      <c r="R130" s="3333">
        <f t="shared" si="84"/>
        <v>0</v>
      </c>
      <c r="S130" s="3334">
        <f t="shared" si="84"/>
        <v>0</v>
      </c>
      <c r="T130" s="157" t="s">
        <v>682</v>
      </c>
      <c r="U130" s="3512">
        <v>4213.6191041387128</v>
      </c>
      <c r="V130" s="3524">
        <f>U130-G130</f>
        <v>0</v>
      </c>
    </row>
    <row r="131" spans="2:22" x14ac:dyDescent="0.25">
      <c r="B131" s="2337" t="s">
        <v>699</v>
      </c>
      <c r="C131" s="2068" t="s">
        <v>644</v>
      </c>
      <c r="D131" s="2334" t="s">
        <v>22</v>
      </c>
      <c r="E131" s="3324">
        <f>E93</f>
        <v>742.67879931696189</v>
      </c>
      <c r="F131" s="3324">
        <f>F93</f>
        <v>459.48987163875552</v>
      </c>
      <c r="G131" s="3310">
        <f t="shared" si="79"/>
        <v>769.25616016375079</v>
      </c>
      <c r="H131" s="3578">
        <f>'[37]Річний план'!G135</f>
        <v>0</v>
      </c>
      <c r="I131" s="3578">
        <f>'[37]Річний план'!H135</f>
        <v>93.617952078910662</v>
      </c>
      <c r="J131" s="3578">
        <f>'[37]Річний план'!I135</f>
        <v>164.05449554133338</v>
      </c>
      <c r="K131" s="3578">
        <f>'[37]Річний план'!J135</f>
        <v>189.16957983066669</v>
      </c>
      <c r="L131" s="3578">
        <f>'[37]Річний план'!K135</f>
        <v>161.75288276874466</v>
      </c>
      <c r="M131" s="3578">
        <f>'[37]Річний план'!L135</f>
        <v>144.99594839041535</v>
      </c>
      <c r="N131" s="3578">
        <f>'[37]Річний план'!M135</f>
        <v>15.665301553679999</v>
      </c>
      <c r="O131" s="3325">
        <v>0</v>
      </c>
      <c r="P131" s="3325">
        <v>0</v>
      </c>
      <c r="Q131" s="3325">
        <v>0</v>
      </c>
      <c r="R131" s="3325">
        <v>0</v>
      </c>
      <c r="S131" s="3326">
        <v>0</v>
      </c>
      <c r="T131" s="157" t="s">
        <v>489</v>
      </c>
    </row>
    <row r="132" spans="2:22" ht="14.4" thickBot="1" x14ac:dyDescent="0.3">
      <c r="B132" s="2348" t="s">
        <v>700</v>
      </c>
      <c r="C132" s="2329" t="s">
        <v>643</v>
      </c>
      <c r="D132" s="2330" t="s">
        <v>22</v>
      </c>
      <c r="E132" s="3398">
        <f>E94</f>
        <v>4178.5983359099228</v>
      </c>
      <c r="F132" s="3398">
        <f>F94</f>
        <v>1881.6948615730589</v>
      </c>
      <c r="G132" s="3310">
        <f t="shared" si="79"/>
        <v>3444.362943974962</v>
      </c>
      <c r="H132" s="3578">
        <f>'[37]Річний план'!G136</f>
        <v>0</v>
      </c>
      <c r="I132" s="3578">
        <f>'[37]Річний план'!H136</f>
        <v>419.17663026940619</v>
      </c>
      <c r="J132" s="3578">
        <f>'[37]Річний план'!I136</f>
        <v>734.55794636053338</v>
      </c>
      <c r="K132" s="3578">
        <f>'[37]Річний план'!J136</f>
        <v>847.01133983426678</v>
      </c>
      <c r="L132" s="3578">
        <f>'[37]Річний план'!K136</f>
        <v>724.2524198586766</v>
      </c>
      <c r="M132" s="3578">
        <f>'[37]Річний план'!L136</f>
        <v>649.22284347536686</v>
      </c>
      <c r="N132" s="3578">
        <f>'[37]Річний план'!M136</f>
        <v>70.141764176712002</v>
      </c>
      <c r="O132" s="3359">
        <v>0</v>
      </c>
      <c r="P132" s="3359">
        <v>0</v>
      </c>
      <c r="Q132" s="3359">
        <v>0</v>
      </c>
      <c r="R132" s="3359">
        <v>0</v>
      </c>
      <c r="S132" s="3328">
        <v>0</v>
      </c>
      <c r="T132" s="157" t="s">
        <v>489</v>
      </c>
    </row>
    <row r="133" spans="2:22" ht="22.8" hidden="1" x14ac:dyDescent="0.25">
      <c r="B133" s="2352" t="s">
        <v>92</v>
      </c>
      <c r="C133" s="2353" t="s">
        <v>207</v>
      </c>
      <c r="D133" s="2354" t="s">
        <v>22</v>
      </c>
      <c r="E133" s="3363">
        <f>E134+E137+E140+E143</f>
        <v>0</v>
      </c>
      <c r="F133" s="3363">
        <f t="shared" ref="F133:S133" si="85">F134+F137+F140+F143</f>
        <v>0</v>
      </c>
      <c r="G133" s="3363">
        <f t="shared" si="85"/>
        <v>0</v>
      </c>
      <c r="H133" s="3363">
        <f t="shared" si="85"/>
        <v>0</v>
      </c>
      <c r="I133" s="3363">
        <f t="shared" si="85"/>
        <v>0</v>
      </c>
      <c r="J133" s="3363">
        <f t="shared" si="85"/>
        <v>0</v>
      </c>
      <c r="K133" s="3363">
        <f t="shared" si="85"/>
        <v>0</v>
      </c>
      <c r="L133" s="3363">
        <f t="shared" si="85"/>
        <v>0</v>
      </c>
      <c r="M133" s="3363">
        <f t="shared" si="85"/>
        <v>0</v>
      </c>
      <c r="N133" s="3363">
        <f t="shared" si="85"/>
        <v>0</v>
      </c>
      <c r="O133" s="3363">
        <f t="shared" si="85"/>
        <v>0</v>
      </c>
      <c r="P133" s="3363">
        <f t="shared" si="85"/>
        <v>0</v>
      </c>
      <c r="Q133" s="3363">
        <f t="shared" si="85"/>
        <v>0</v>
      </c>
      <c r="R133" s="3363">
        <f t="shared" si="85"/>
        <v>0</v>
      </c>
      <c r="S133" s="3364">
        <f t="shared" si="85"/>
        <v>0</v>
      </c>
      <c r="T133" s="157" t="s">
        <v>682</v>
      </c>
    </row>
    <row r="134" spans="2:22" hidden="1" x14ac:dyDescent="0.25">
      <c r="B134" s="2337" t="s">
        <v>525</v>
      </c>
      <c r="C134" s="919" t="s">
        <v>3</v>
      </c>
      <c r="D134" s="2334" t="s">
        <v>22</v>
      </c>
      <c r="E134" s="3365">
        <v>0</v>
      </c>
      <c r="F134" s="3365">
        <v>0</v>
      </c>
      <c r="G134" s="3365">
        <v>0</v>
      </c>
      <c r="H134" s="3365">
        <v>0</v>
      </c>
      <c r="I134" s="3365">
        <v>0</v>
      </c>
      <c r="J134" s="3365">
        <v>0</v>
      </c>
      <c r="K134" s="3365">
        <v>0</v>
      </c>
      <c r="L134" s="3365">
        <v>0</v>
      </c>
      <c r="M134" s="3365">
        <v>0</v>
      </c>
      <c r="N134" s="3365">
        <v>0</v>
      </c>
      <c r="O134" s="3365">
        <v>0</v>
      </c>
      <c r="P134" s="3365">
        <v>0</v>
      </c>
      <c r="Q134" s="3365">
        <v>0</v>
      </c>
      <c r="R134" s="3365">
        <v>0</v>
      </c>
      <c r="S134" s="3366">
        <v>0</v>
      </c>
      <c r="T134" s="157" t="s">
        <v>682</v>
      </c>
    </row>
    <row r="135" spans="2:22" hidden="1" x14ac:dyDescent="0.25">
      <c r="B135" s="2337" t="s">
        <v>691</v>
      </c>
      <c r="C135" s="2068" t="s">
        <v>644</v>
      </c>
      <c r="D135" s="2334" t="s">
        <v>22</v>
      </c>
      <c r="E135" s="3365">
        <v>0</v>
      </c>
      <c r="F135" s="3365">
        <v>0</v>
      </c>
      <c r="G135" s="3365">
        <v>0</v>
      </c>
      <c r="H135" s="3365">
        <v>0</v>
      </c>
      <c r="I135" s="3365">
        <v>0</v>
      </c>
      <c r="J135" s="3365">
        <v>0</v>
      </c>
      <c r="K135" s="3365">
        <v>0</v>
      </c>
      <c r="L135" s="3365">
        <v>0</v>
      </c>
      <c r="M135" s="3365">
        <v>0</v>
      </c>
      <c r="N135" s="3365">
        <v>0</v>
      </c>
      <c r="O135" s="3365">
        <v>0</v>
      </c>
      <c r="P135" s="3365">
        <v>0</v>
      </c>
      <c r="Q135" s="3365">
        <v>0</v>
      </c>
      <c r="R135" s="3365">
        <v>0</v>
      </c>
      <c r="S135" s="3366">
        <v>0</v>
      </c>
      <c r="T135" s="157" t="s">
        <v>489</v>
      </c>
    </row>
    <row r="136" spans="2:22" hidden="1" x14ac:dyDescent="0.25">
      <c r="B136" s="2337" t="s">
        <v>692</v>
      </c>
      <c r="C136" s="2068" t="s">
        <v>643</v>
      </c>
      <c r="D136" s="2334" t="s">
        <v>22</v>
      </c>
      <c r="E136" s="3365">
        <v>0</v>
      </c>
      <c r="F136" s="3365">
        <v>0</v>
      </c>
      <c r="G136" s="3365">
        <v>0</v>
      </c>
      <c r="H136" s="3365">
        <v>0</v>
      </c>
      <c r="I136" s="3365">
        <v>0</v>
      </c>
      <c r="J136" s="3365">
        <v>0</v>
      </c>
      <c r="K136" s="3365">
        <v>0</v>
      </c>
      <c r="L136" s="3365">
        <v>0</v>
      </c>
      <c r="M136" s="3365">
        <v>0</v>
      </c>
      <c r="N136" s="3365">
        <v>0</v>
      </c>
      <c r="O136" s="3365">
        <v>0</v>
      </c>
      <c r="P136" s="3365">
        <v>0</v>
      </c>
      <c r="Q136" s="3365">
        <v>0</v>
      </c>
      <c r="R136" s="3365">
        <v>0</v>
      </c>
      <c r="S136" s="3366">
        <v>0</v>
      </c>
      <c r="T136" s="157" t="s">
        <v>489</v>
      </c>
    </row>
    <row r="137" spans="2:22" hidden="1" x14ac:dyDescent="0.25">
      <c r="B137" s="2337" t="s">
        <v>526</v>
      </c>
      <c r="C137" s="919" t="s">
        <v>166</v>
      </c>
      <c r="D137" s="2334" t="s">
        <v>22</v>
      </c>
      <c r="E137" s="3365">
        <v>0</v>
      </c>
      <c r="F137" s="3365">
        <v>0</v>
      </c>
      <c r="G137" s="3365">
        <v>0</v>
      </c>
      <c r="H137" s="3365">
        <v>0</v>
      </c>
      <c r="I137" s="3365">
        <v>0</v>
      </c>
      <c r="J137" s="3365">
        <v>0</v>
      </c>
      <c r="K137" s="3365">
        <v>0</v>
      </c>
      <c r="L137" s="3365">
        <v>0</v>
      </c>
      <c r="M137" s="3365">
        <v>0</v>
      </c>
      <c r="N137" s="3365">
        <v>0</v>
      </c>
      <c r="O137" s="3365">
        <v>0</v>
      </c>
      <c r="P137" s="3365">
        <v>0</v>
      </c>
      <c r="Q137" s="3365">
        <v>0</v>
      </c>
      <c r="R137" s="3365">
        <v>0</v>
      </c>
      <c r="S137" s="3366">
        <v>0</v>
      </c>
      <c r="T137" s="157" t="s">
        <v>682</v>
      </c>
    </row>
    <row r="138" spans="2:22" hidden="1" x14ac:dyDescent="0.25">
      <c r="B138" s="2337" t="s">
        <v>693</v>
      </c>
      <c r="C138" s="2068" t="s">
        <v>644</v>
      </c>
      <c r="D138" s="2327" t="s">
        <v>22</v>
      </c>
      <c r="E138" s="3365">
        <v>0</v>
      </c>
      <c r="F138" s="3365">
        <v>0</v>
      </c>
      <c r="G138" s="3365">
        <v>0</v>
      </c>
      <c r="H138" s="3365">
        <v>0</v>
      </c>
      <c r="I138" s="3365">
        <v>0</v>
      </c>
      <c r="J138" s="3365">
        <v>0</v>
      </c>
      <c r="K138" s="3365">
        <v>0</v>
      </c>
      <c r="L138" s="3365">
        <v>0</v>
      </c>
      <c r="M138" s="3365">
        <v>0</v>
      </c>
      <c r="N138" s="3365">
        <v>0</v>
      </c>
      <c r="O138" s="3365">
        <v>0</v>
      </c>
      <c r="P138" s="3365">
        <v>0</v>
      </c>
      <c r="Q138" s="3365">
        <v>0</v>
      </c>
      <c r="R138" s="3365">
        <v>0</v>
      </c>
      <c r="S138" s="3366">
        <v>0</v>
      </c>
      <c r="T138" s="157" t="s">
        <v>489</v>
      </c>
    </row>
    <row r="139" spans="2:22" hidden="1" x14ac:dyDescent="0.25">
      <c r="B139" s="2337" t="s">
        <v>694</v>
      </c>
      <c r="C139" s="2068" t="s">
        <v>643</v>
      </c>
      <c r="D139" s="2327" t="s">
        <v>22</v>
      </c>
      <c r="E139" s="3365">
        <v>0</v>
      </c>
      <c r="F139" s="3365">
        <v>0</v>
      </c>
      <c r="G139" s="3365">
        <v>0</v>
      </c>
      <c r="H139" s="3365">
        <v>0</v>
      </c>
      <c r="I139" s="3365">
        <v>0</v>
      </c>
      <c r="J139" s="3365">
        <v>0</v>
      </c>
      <c r="K139" s="3365">
        <v>0</v>
      </c>
      <c r="L139" s="3365">
        <v>0</v>
      </c>
      <c r="M139" s="3365">
        <v>0</v>
      </c>
      <c r="N139" s="3365">
        <v>0</v>
      </c>
      <c r="O139" s="3365">
        <v>0</v>
      </c>
      <c r="P139" s="3365">
        <v>0</v>
      </c>
      <c r="Q139" s="3365">
        <v>0</v>
      </c>
      <c r="R139" s="3365">
        <v>0</v>
      </c>
      <c r="S139" s="3366">
        <v>0</v>
      </c>
      <c r="T139" s="157" t="s">
        <v>489</v>
      </c>
    </row>
    <row r="140" spans="2:22" hidden="1" x14ac:dyDescent="0.25">
      <c r="B140" s="2337" t="s">
        <v>527</v>
      </c>
      <c r="C140" s="919" t="s">
        <v>97</v>
      </c>
      <c r="D140" s="2327" t="s">
        <v>22</v>
      </c>
      <c r="E140" s="3365">
        <v>0</v>
      </c>
      <c r="F140" s="3365">
        <v>0</v>
      </c>
      <c r="G140" s="3365">
        <v>0</v>
      </c>
      <c r="H140" s="3365">
        <v>0</v>
      </c>
      <c r="I140" s="3365">
        <v>0</v>
      </c>
      <c r="J140" s="3365">
        <v>0</v>
      </c>
      <c r="K140" s="3365">
        <v>0</v>
      </c>
      <c r="L140" s="3365">
        <v>0</v>
      </c>
      <c r="M140" s="3365">
        <v>0</v>
      </c>
      <c r="N140" s="3365">
        <v>0</v>
      </c>
      <c r="O140" s="3365">
        <v>0</v>
      </c>
      <c r="P140" s="3365">
        <v>0</v>
      </c>
      <c r="Q140" s="3365">
        <v>0</v>
      </c>
      <c r="R140" s="3365">
        <v>0</v>
      </c>
      <c r="S140" s="3366">
        <v>0</v>
      </c>
      <c r="T140" s="157" t="s">
        <v>686</v>
      </c>
    </row>
    <row r="141" spans="2:22" hidden="1" x14ac:dyDescent="0.25">
      <c r="B141" s="2337" t="s">
        <v>695</v>
      </c>
      <c r="C141" s="2068" t="s">
        <v>644</v>
      </c>
      <c r="D141" s="2327" t="s">
        <v>22</v>
      </c>
      <c r="E141" s="3365">
        <v>0</v>
      </c>
      <c r="F141" s="3365">
        <v>0</v>
      </c>
      <c r="G141" s="3365">
        <v>0</v>
      </c>
      <c r="H141" s="3365">
        <v>0</v>
      </c>
      <c r="I141" s="3365">
        <v>0</v>
      </c>
      <c r="J141" s="3365">
        <v>0</v>
      </c>
      <c r="K141" s="3365">
        <v>0</v>
      </c>
      <c r="L141" s="3365">
        <v>0</v>
      </c>
      <c r="M141" s="3365">
        <v>0</v>
      </c>
      <c r="N141" s="3365">
        <v>0</v>
      </c>
      <c r="O141" s="3365">
        <v>0</v>
      </c>
      <c r="P141" s="3365">
        <v>0</v>
      </c>
      <c r="Q141" s="3365">
        <v>0</v>
      </c>
      <c r="R141" s="3365">
        <v>0</v>
      </c>
      <c r="S141" s="3366">
        <v>0</v>
      </c>
      <c r="T141" s="157" t="s">
        <v>489</v>
      </c>
    </row>
    <row r="142" spans="2:22" hidden="1" x14ac:dyDescent="0.25">
      <c r="B142" s="2337" t="s">
        <v>696</v>
      </c>
      <c r="C142" s="2068" t="s">
        <v>643</v>
      </c>
      <c r="D142" s="2327" t="s">
        <v>22</v>
      </c>
      <c r="E142" s="3365">
        <v>0</v>
      </c>
      <c r="F142" s="3365">
        <v>0</v>
      </c>
      <c r="G142" s="3365">
        <v>0</v>
      </c>
      <c r="H142" s="3365">
        <v>0</v>
      </c>
      <c r="I142" s="3365">
        <v>0</v>
      </c>
      <c r="J142" s="3365">
        <v>0</v>
      </c>
      <c r="K142" s="3365">
        <v>0</v>
      </c>
      <c r="L142" s="3365">
        <v>0</v>
      </c>
      <c r="M142" s="3365">
        <v>0</v>
      </c>
      <c r="N142" s="3365">
        <v>0</v>
      </c>
      <c r="O142" s="3365">
        <v>0</v>
      </c>
      <c r="P142" s="3365">
        <v>0</v>
      </c>
      <c r="Q142" s="3365">
        <v>0</v>
      </c>
      <c r="R142" s="3365">
        <v>0</v>
      </c>
      <c r="S142" s="3366">
        <v>0</v>
      </c>
      <c r="T142" s="157" t="s">
        <v>489</v>
      </c>
    </row>
    <row r="143" spans="2:22" hidden="1" x14ac:dyDescent="0.25">
      <c r="B143" s="2337" t="s">
        <v>528</v>
      </c>
      <c r="C143" s="919" t="s">
        <v>98</v>
      </c>
      <c r="D143" s="2327" t="s">
        <v>22</v>
      </c>
      <c r="E143" s="3365">
        <v>0</v>
      </c>
      <c r="F143" s="3365">
        <v>0</v>
      </c>
      <c r="G143" s="3365">
        <v>0</v>
      </c>
      <c r="H143" s="3365">
        <v>0</v>
      </c>
      <c r="I143" s="3365">
        <v>0</v>
      </c>
      <c r="J143" s="3365">
        <v>0</v>
      </c>
      <c r="K143" s="3365">
        <v>0</v>
      </c>
      <c r="L143" s="3365">
        <v>0</v>
      </c>
      <c r="M143" s="3365">
        <v>0</v>
      </c>
      <c r="N143" s="3365">
        <v>0</v>
      </c>
      <c r="O143" s="3365">
        <v>0</v>
      </c>
      <c r="P143" s="3365">
        <v>0</v>
      </c>
      <c r="Q143" s="3365">
        <v>0</v>
      </c>
      <c r="R143" s="3365">
        <v>0</v>
      </c>
      <c r="S143" s="3366">
        <v>0</v>
      </c>
      <c r="T143" s="157" t="s">
        <v>682</v>
      </c>
    </row>
    <row r="144" spans="2:22" hidden="1" x14ac:dyDescent="0.25">
      <c r="B144" s="2337" t="s">
        <v>697</v>
      </c>
      <c r="C144" s="2068" t="s">
        <v>644</v>
      </c>
      <c r="D144" s="2327" t="s">
        <v>22</v>
      </c>
      <c r="E144" s="3365">
        <v>0</v>
      </c>
      <c r="F144" s="3365">
        <v>0</v>
      </c>
      <c r="G144" s="3365">
        <v>0</v>
      </c>
      <c r="H144" s="3365">
        <v>0</v>
      </c>
      <c r="I144" s="3365">
        <v>0</v>
      </c>
      <c r="J144" s="3365">
        <v>0</v>
      </c>
      <c r="K144" s="3365">
        <v>0</v>
      </c>
      <c r="L144" s="3365">
        <v>0</v>
      </c>
      <c r="M144" s="3365">
        <v>0</v>
      </c>
      <c r="N144" s="3365">
        <v>0</v>
      </c>
      <c r="O144" s="3365">
        <v>0</v>
      </c>
      <c r="P144" s="3365">
        <v>0</v>
      </c>
      <c r="Q144" s="3365">
        <v>0</v>
      </c>
      <c r="R144" s="3365">
        <v>0</v>
      </c>
      <c r="S144" s="3366">
        <v>0</v>
      </c>
      <c r="T144" s="157" t="s">
        <v>489</v>
      </c>
    </row>
    <row r="145" spans="2:20" ht="14.4" hidden="1" thickBot="1" x14ac:dyDescent="0.3">
      <c r="B145" s="2348" t="s">
        <v>698</v>
      </c>
      <c r="C145" s="2329" t="s">
        <v>643</v>
      </c>
      <c r="D145" s="2330" t="s">
        <v>22</v>
      </c>
      <c r="E145" s="3367">
        <v>0</v>
      </c>
      <c r="F145" s="3367">
        <v>0</v>
      </c>
      <c r="G145" s="3367">
        <v>0</v>
      </c>
      <c r="H145" s="3367">
        <v>0</v>
      </c>
      <c r="I145" s="3367">
        <v>0</v>
      </c>
      <c r="J145" s="3367">
        <v>0</v>
      </c>
      <c r="K145" s="3367">
        <v>0</v>
      </c>
      <c r="L145" s="3367">
        <v>0</v>
      </c>
      <c r="M145" s="3367">
        <v>0</v>
      </c>
      <c r="N145" s="3367">
        <v>0</v>
      </c>
      <c r="O145" s="3367">
        <v>0</v>
      </c>
      <c r="P145" s="3367">
        <v>0</v>
      </c>
      <c r="Q145" s="3367">
        <v>0</v>
      </c>
      <c r="R145" s="3367">
        <v>0</v>
      </c>
      <c r="S145" s="3368">
        <v>0</v>
      </c>
      <c r="T145" s="157" t="s">
        <v>489</v>
      </c>
    </row>
    <row r="147" spans="2:20" ht="15.6" x14ac:dyDescent="0.3">
      <c r="C147" s="2355" t="str">
        <f>'Вхідні дані'!B13</f>
        <v>Директор підприємства</v>
      </c>
      <c r="D147" s="2356"/>
      <c r="E147" s="3443"/>
      <c r="F147" s="3443"/>
      <c r="G147" s="5245" t="s">
        <v>208</v>
      </c>
      <c r="H147" s="4901"/>
      <c r="I147" s="4901"/>
      <c r="J147" s="4901"/>
      <c r="K147" s="3443"/>
      <c r="L147" s="3443"/>
      <c r="M147" s="3443"/>
      <c r="N147" s="3443"/>
      <c r="O147" s="5246" t="str">
        <f>'Вхідні дані'!F13</f>
        <v>Анатолій ПАНШИН</v>
      </c>
      <c r="P147" s="5247"/>
      <c r="Q147" s="5247"/>
      <c r="R147" s="5247"/>
    </row>
    <row r="148" spans="2:20" ht="15.6" x14ac:dyDescent="0.3">
      <c r="C148" s="2357" t="s">
        <v>232</v>
      </c>
      <c r="D148" s="2356"/>
      <c r="E148" s="3443"/>
      <c r="F148" s="3443"/>
      <c r="G148" s="5243" t="s">
        <v>209</v>
      </c>
      <c r="H148" s="5244"/>
      <c r="I148" s="5244"/>
      <c r="J148" s="5244"/>
      <c r="K148" s="3443"/>
      <c r="L148" s="3443"/>
      <c r="M148" s="3443"/>
      <c r="N148" s="3443"/>
      <c r="O148" s="5243" t="s">
        <v>210</v>
      </c>
      <c r="P148" s="5244"/>
      <c r="Q148" s="5244"/>
      <c r="R148" s="5244"/>
    </row>
    <row r="149" spans="2:20" x14ac:dyDescent="0.25">
      <c r="C149" s="2358"/>
      <c r="H149" s="1789"/>
      <c r="I149" s="1789"/>
      <c r="J149" s="1789"/>
      <c r="P149" s="1789"/>
      <c r="Q149" s="1789"/>
      <c r="R149" s="1789"/>
    </row>
    <row r="152" spans="2:20" s="3200" customFormat="1" ht="34.200000000000003" x14ac:dyDescent="0.25">
      <c r="B152" s="2375"/>
      <c r="C152" s="3198" t="s">
        <v>3206</v>
      </c>
      <c r="D152" s="3199">
        <f>D157+D162</f>
        <v>108675.53267624618</v>
      </c>
      <c r="E152" s="3369">
        <f>D152/$D$152</f>
        <v>1</v>
      </c>
      <c r="F152" s="3370">
        <f>D152-D167-D193</f>
        <v>0</v>
      </c>
      <c r="G152" s="3371"/>
      <c r="H152" s="3371"/>
      <c r="I152" s="3371"/>
      <c r="J152" s="3371"/>
      <c r="K152" s="3372" t="str">
        <f>C152</f>
        <v>Відпуск ТЕ в мережі</v>
      </c>
      <c r="L152" s="3372" t="str">
        <f>C167</f>
        <v>Корисний відпуск всього, у т.ч.:</v>
      </c>
      <c r="M152" s="3372" t="str">
        <f>C178</f>
        <v>Навантаження всього, у т.ч.:</v>
      </c>
      <c r="N152" s="3372" t="str">
        <f>C193</f>
        <v>Втрати ТЕ в мережі</v>
      </c>
      <c r="O152" s="3371"/>
      <c r="P152" s="3371"/>
      <c r="Q152" s="3371"/>
      <c r="R152" s="3371"/>
      <c r="S152" s="3371"/>
    </row>
    <row r="153" spans="2:20" s="3200" customFormat="1" x14ac:dyDescent="0.25">
      <c r="B153" s="2375"/>
      <c r="C153" s="3201" t="s">
        <v>3</v>
      </c>
      <c r="D153" s="3199">
        <f>D158+D163</f>
        <v>90271.057497103626</v>
      </c>
      <c r="E153" s="3369">
        <f>D153/D$152</f>
        <v>0.83064748130592492</v>
      </c>
      <c r="F153" s="3373">
        <f>E153-E179</f>
        <v>1.5257810129853944E-4</v>
      </c>
      <c r="G153" s="3371"/>
      <c r="H153" s="3371"/>
      <c r="I153" s="3371"/>
      <c r="J153" s="3371"/>
      <c r="K153" s="3374">
        <f>E153</f>
        <v>0.83064748130592492</v>
      </c>
      <c r="L153" s="3374">
        <f>M153</f>
        <v>0.83049490320462638</v>
      </c>
      <c r="M153" s="3374">
        <f>E179</f>
        <v>0.83049490320462638</v>
      </c>
      <c r="N153" s="3374">
        <f>E194</f>
        <v>0.8321804639529583</v>
      </c>
      <c r="O153" s="3371"/>
      <c r="P153" s="3371"/>
      <c r="Q153" s="3371"/>
      <c r="R153" s="3371"/>
      <c r="S153" s="3371"/>
    </row>
    <row r="154" spans="2:20" s="3200" customFormat="1" x14ac:dyDescent="0.25">
      <c r="B154" s="2375"/>
      <c r="C154" s="3201" t="s">
        <v>163</v>
      </c>
      <c r="D154" s="3199">
        <f>D159+D164</f>
        <v>14.602989074179138</v>
      </c>
      <c r="E154" s="3369">
        <f>D154/D$152</f>
        <v>1.3437237172494665E-4</v>
      </c>
      <c r="F154" s="3373">
        <f>E154-E180</f>
        <v>-1.6389815353309183E-7</v>
      </c>
      <c r="G154" s="3371"/>
      <c r="H154" s="3371"/>
      <c r="I154" s="3371"/>
      <c r="J154" s="3371"/>
      <c r="K154" s="3374">
        <f>E154</f>
        <v>1.3437237172494665E-4</v>
      </c>
      <c r="L154" s="3374">
        <f>M154</f>
        <v>1.3453626987847974E-4</v>
      </c>
      <c r="M154" s="3374">
        <f>E180</f>
        <v>1.3453626987847974E-4</v>
      </c>
      <c r="N154" s="3374">
        <f>E195</f>
        <v>1.3272768054423291E-4</v>
      </c>
      <c r="O154" s="3371"/>
      <c r="P154" s="3371"/>
      <c r="Q154" s="3371"/>
      <c r="R154" s="3371"/>
      <c r="S154" s="3371"/>
    </row>
    <row r="155" spans="2:20" s="3200" customFormat="1" x14ac:dyDescent="0.25">
      <c r="B155" s="2375"/>
      <c r="C155" s="3201" t="s">
        <v>770</v>
      </c>
      <c r="D155" s="3199">
        <f>D160+D165</f>
        <v>13752.767963175285</v>
      </c>
      <c r="E155" s="3369">
        <f>D155/D$152</f>
        <v>0.12654888938199155</v>
      </c>
      <c r="F155" s="3373">
        <f>E155-E181</f>
        <v>-1.7207611349703833E-4</v>
      </c>
      <c r="G155" s="3371"/>
      <c r="H155" s="3371"/>
      <c r="I155" s="3371"/>
      <c r="J155" s="3371"/>
      <c r="K155" s="3374">
        <f>E155</f>
        <v>0.12654888938199155</v>
      </c>
      <c r="L155" s="3374">
        <f>M155</f>
        <v>0.12672096549548859</v>
      </c>
      <c r="M155" s="3374">
        <f>E181</f>
        <v>0.12672096549548859</v>
      </c>
      <c r="N155" s="3374">
        <f>E196</f>
        <v>0.12482275288208937</v>
      </c>
      <c r="O155" s="3371"/>
      <c r="P155" s="3371"/>
      <c r="Q155" s="3371"/>
      <c r="R155" s="3371"/>
      <c r="S155" s="3371"/>
    </row>
    <row r="156" spans="2:20" s="3200" customFormat="1" x14ac:dyDescent="0.25">
      <c r="B156" s="2375"/>
      <c r="C156" s="3201" t="s">
        <v>156</v>
      </c>
      <c r="D156" s="3199">
        <f>D161+D166</f>
        <v>4637.1042268930923</v>
      </c>
      <c r="E156" s="3369">
        <f>D156/D$152</f>
        <v>4.2669256940358669E-2</v>
      </c>
      <c r="F156" s="3373">
        <f>E156-E182</f>
        <v>1.9661910352151979E-5</v>
      </c>
      <c r="G156" s="3375" t="s">
        <v>3217</v>
      </c>
      <c r="H156" s="3371"/>
      <c r="I156" s="3371"/>
      <c r="J156" s="3371"/>
      <c r="K156" s="3374">
        <f>E156</f>
        <v>4.2669256940358669E-2</v>
      </c>
      <c r="L156" s="3374">
        <f>M156</f>
        <v>4.2649595030006517E-2</v>
      </c>
      <c r="M156" s="3374">
        <f>E182</f>
        <v>4.2649595030006517E-2</v>
      </c>
      <c r="N156" s="3374">
        <f>E197</f>
        <v>4.2864055484407915E-2</v>
      </c>
      <c r="O156" s="3371"/>
      <c r="P156" s="3371"/>
      <c r="Q156" s="3371"/>
      <c r="R156" s="3371"/>
      <c r="S156" s="3371"/>
    </row>
    <row r="157" spans="2:20" s="3202" customFormat="1" ht="14.4" x14ac:dyDescent="0.3">
      <c r="B157" s="2377"/>
      <c r="C157" s="2378" t="s">
        <v>644</v>
      </c>
      <c r="D157" s="2379">
        <f>SUM(D158:D161)</f>
        <v>18237.362357436083</v>
      </c>
      <c r="E157" s="3376">
        <f>D157/D152</f>
        <v>0.16781479610287961</v>
      </c>
      <c r="F157" s="3377">
        <f>G55</f>
        <v>17.148584363043497</v>
      </c>
      <c r="G157" s="3375" t="s">
        <v>3215</v>
      </c>
      <c r="H157" s="3378"/>
      <c r="I157" s="3378"/>
      <c r="J157" s="3378"/>
      <c r="K157" s="3378"/>
      <c r="L157" s="3378"/>
      <c r="M157" s="3378"/>
      <c r="N157" s="3378"/>
      <c r="O157" s="3378"/>
      <c r="P157" s="3378"/>
      <c r="Q157" s="3378"/>
      <c r="R157" s="3378"/>
      <c r="S157" s="3378"/>
    </row>
    <row r="158" spans="2:20" s="4" customFormat="1" x14ac:dyDescent="0.25">
      <c r="B158" s="2374"/>
      <c r="C158" s="2376" t="s">
        <v>3</v>
      </c>
      <c r="D158" s="2380">
        <f>G28</f>
        <v>15155.265331444638</v>
      </c>
      <c r="E158" s="3379">
        <f>D158/D$157</f>
        <v>0.83100094379959755</v>
      </c>
      <c r="F158" s="3380">
        <f>G40-F157</f>
        <v>158.42099081682665</v>
      </c>
      <c r="G158" s="3381" t="s">
        <v>3214</v>
      </c>
      <c r="H158" s="3381"/>
      <c r="I158" s="3381"/>
      <c r="J158" s="3381"/>
      <c r="K158" s="3381"/>
      <c r="L158" s="3381"/>
      <c r="M158" s="3381">
        <v>1140.4468888152085</v>
      </c>
      <c r="N158" s="3381">
        <v>17.779513236788254</v>
      </c>
      <c r="O158" s="3381">
        <f>M158-N158</f>
        <v>1122.6673755784202</v>
      </c>
      <c r="P158" s="3381"/>
      <c r="Q158" s="3381"/>
      <c r="R158" s="3381"/>
      <c r="S158" s="3381"/>
    </row>
    <row r="159" spans="2:20" s="4" customFormat="1" x14ac:dyDescent="0.25">
      <c r="B159" s="2374"/>
      <c r="C159" s="2376" t="s">
        <v>163</v>
      </c>
      <c r="D159" s="2380">
        <f>G31</f>
        <v>0</v>
      </c>
      <c r="E159" s="3379">
        <f>D159/D$157</f>
        <v>0</v>
      </c>
      <c r="F159" s="3380">
        <f>F157+F158</f>
        <v>175.56957517987013</v>
      </c>
      <c r="G159" s="3381"/>
      <c r="H159" s="3381"/>
      <c r="I159" s="3381"/>
      <c r="J159" s="3381"/>
      <c r="K159" s="3381"/>
      <c r="L159" s="3381"/>
      <c r="M159" s="3381"/>
      <c r="N159" s="3381"/>
      <c r="O159" s="3381"/>
      <c r="P159" s="3381"/>
      <c r="Q159" s="3381"/>
      <c r="R159" s="3381"/>
      <c r="S159" s="3381"/>
    </row>
    <row r="160" spans="2:20" s="4" customFormat="1" ht="14.4" customHeight="1" thickBot="1" x14ac:dyDescent="0.3">
      <c r="B160" s="2374"/>
      <c r="C160" s="2376" t="s">
        <v>770</v>
      </c>
      <c r="D160" s="2380">
        <f>G34</f>
        <v>2229.1652834520464</v>
      </c>
      <c r="E160" s="3379">
        <f>D160/D$157</f>
        <v>0.12223068444670833</v>
      </c>
      <c r="F160" s="3381"/>
      <c r="G160" s="3382"/>
      <c r="H160" s="3382"/>
      <c r="I160" s="3382"/>
      <c r="J160" s="3381" t="s">
        <v>3284</v>
      </c>
      <c r="K160" s="3381"/>
      <c r="L160" s="3381"/>
      <c r="M160" s="3381"/>
      <c r="N160" s="3381"/>
      <c r="O160" s="3381"/>
      <c r="P160" s="3381"/>
      <c r="Q160" s="3381"/>
      <c r="R160" s="3381"/>
      <c r="S160" s="3381"/>
    </row>
    <row r="161" spans="2:19" s="4" customFormat="1" x14ac:dyDescent="0.25">
      <c r="B161" s="2374"/>
      <c r="C161" s="2376" t="s">
        <v>156</v>
      </c>
      <c r="D161" s="2380">
        <f>G37</f>
        <v>852.93174253939515</v>
      </c>
      <c r="E161" s="3379">
        <f>D161/D$157</f>
        <v>4.6768371753693957E-2</v>
      </c>
      <c r="F161" s="3381"/>
      <c r="G161" s="3382"/>
      <c r="H161" s="5270" t="s">
        <v>3291</v>
      </c>
      <c r="I161" s="5271"/>
      <c r="J161" s="3383" t="s">
        <v>1438</v>
      </c>
      <c r="K161" s="3383" t="s">
        <v>2350</v>
      </c>
      <c r="L161" s="3383" t="s">
        <v>2351</v>
      </c>
      <c r="M161" s="3383" t="s">
        <v>3288</v>
      </c>
      <c r="N161" s="3383" t="s">
        <v>3289</v>
      </c>
      <c r="O161" s="3384" t="s">
        <v>3290</v>
      </c>
      <c r="P161" s="3381"/>
      <c r="Q161" s="3381"/>
      <c r="R161" s="3381"/>
      <c r="S161" s="3381"/>
    </row>
    <row r="162" spans="2:19" s="3202" customFormat="1" ht="14.4" x14ac:dyDescent="0.3">
      <c r="B162" s="2377"/>
      <c r="C162" s="2378" t="s">
        <v>643</v>
      </c>
      <c r="D162" s="2379">
        <f>SUM(D163:D166)</f>
        <v>90438.170318810095</v>
      </c>
      <c r="E162" s="3376">
        <f>D162/D152</f>
        <v>0.83218520389712036</v>
      </c>
      <c r="F162" s="3378"/>
      <c r="G162" s="3378"/>
      <c r="H162" s="5272" t="s">
        <v>3285</v>
      </c>
      <c r="I162" s="5273"/>
      <c r="J162" s="3401">
        <f>K162+L162</f>
        <v>98795.806692118873</v>
      </c>
      <c r="K162" s="3399">
        <f>D168</f>
        <v>16448.213425432205</v>
      </c>
      <c r="L162" s="3399">
        <f>D173</f>
        <v>82347.593266686672</v>
      </c>
      <c r="M162" s="3399"/>
      <c r="N162" s="3399"/>
      <c r="O162" s="3400"/>
      <c r="P162" s="3385">
        <f>J162-D167</f>
        <v>0</v>
      </c>
      <c r="Q162" s="3378"/>
      <c r="R162" s="3378"/>
      <c r="S162" s="3378"/>
    </row>
    <row r="163" spans="2:19" s="4" customFormat="1" ht="14.4" customHeight="1" x14ac:dyDescent="0.25">
      <c r="B163" s="2374"/>
      <c r="C163" s="2376" t="s">
        <v>3</v>
      </c>
      <c r="D163" s="2380">
        <f>G29</f>
        <v>75115.79216565899</v>
      </c>
      <c r="E163" s="3379">
        <f>D163/D$162</f>
        <v>0.83057620361914564</v>
      </c>
      <c r="F163" s="3381"/>
      <c r="G163" s="3381"/>
      <c r="H163" s="5274" t="s">
        <v>3286</v>
      </c>
      <c r="I163" s="5275"/>
      <c r="J163" s="3401">
        <f>K163+L163</f>
        <v>9879.7259841273026</v>
      </c>
      <c r="K163" s="3401">
        <f>G50-G55</f>
        <v>1789.148932003875</v>
      </c>
      <c r="L163" s="3401">
        <f>G58</f>
        <v>8090.5770521234272</v>
      </c>
      <c r="M163" s="3401">
        <v>1108.7001874180437</v>
      </c>
      <c r="N163" s="3401">
        <v>4634.8102315797942</v>
      </c>
      <c r="O163" s="3402">
        <v>4153.3641494925041</v>
      </c>
      <c r="P163" s="3386">
        <f>J163-D193</f>
        <v>0</v>
      </c>
      <c r="Q163" s="3387">
        <f>J163-K163-L163</f>
        <v>0</v>
      </c>
      <c r="R163" s="3381"/>
      <c r="S163" s="3381"/>
    </row>
    <row r="164" spans="2:19" s="4" customFormat="1" x14ac:dyDescent="0.25">
      <c r="B164" s="2374"/>
      <c r="C164" s="2376" t="s">
        <v>163</v>
      </c>
      <c r="D164" s="2380">
        <f>G32</f>
        <v>14.602989074179138</v>
      </c>
      <c r="E164" s="3379">
        <f>D164/D$162</f>
        <v>1.6146931127311722E-4</v>
      </c>
      <c r="F164" s="3381"/>
      <c r="G164" s="3381"/>
      <c r="H164" s="5274" t="s">
        <v>3287</v>
      </c>
      <c r="I164" s="5275"/>
      <c r="J164" s="3401">
        <f>J162+J163</f>
        <v>108675.53267624618</v>
      </c>
      <c r="K164" s="3401">
        <f>K163+K162</f>
        <v>18237.362357436079</v>
      </c>
      <c r="L164" s="3401">
        <f>L163+L162</f>
        <v>90438.170318810095</v>
      </c>
      <c r="M164" s="3401"/>
      <c r="N164" s="3401"/>
      <c r="O164" s="3402"/>
      <c r="P164" s="3388">
        <f>J164-D152</f>
        <v>0</v>
      </c>
      <c r="Q164" s="3381"/>
      <c r="R164" s="3381"/>
      <c r="S164" s="3381"/>
    </row>
    <row r="165" spans="2:19" s="4" customFormat="1" ht="15" customHeight="1" thickBot="1" x14ac:dyDescent="0.3">
      <c r="B165" s="2374"/>
      <c r="C165" s="2376" t="s">
        <v>770</v>
      </c>
      <c r="D165" s="2380">
        <f>G35</f>
        <v>11523.602679723239</v>
      </c>
      <c r="E165" s="3379">
        <f>D165/D$162</f>
        <v>0.127419679534654</v>
      </c>
      <c r="F165" s="3381"/>
      <c r="G165" s="3381"/>
      <c r="H165" s="5276" t="s">
        <v>4</v>
      </c>
      <c r="I165" s="5277"/>
      <c r="J165" s="3389"/>
      <c r="K165" s="3390">
        <f>K162/J162</f>
        <v>0.16648695907398578</v>
      </c>
      <c r="L165" s="3390">
        <f>L162/J162</f>
        <v>0.8335130409260143</v>
      </c>
      <c r="M165" s="3391"/>
      <c r="N165" s="3391"/>
      <c r="O165" s="3391"/>
      <c r="P165" s="3381"/>
      <c r="Q165" s="3381"/>
      <c r="R165" s="3381"/>
      <c r="S165" s="3381"/>
    </row>
    <row r="166" spans="2:19" s="4" customFormat="1" x14ac:dyDescent="0.25">
      <c r="B166" s="2374"/>
      <c r="C166" s="2376" t="s">
        <v>156</v>
      </c>
      <c r="D166" s="2380">
        <f>G38</f>
        <v>3784.1724843536967</v>
      </c>
      <c r="E166" s="3379">
        <f>D166/D$162</f>
        <v>4.1842647534927321E-2</v>
      </c>
      <c r="F166" s="3381"/>
      <c r="G166" s="3381"/>
      <c r="H166" s="3381"/>
      <c r="I166" s="3381"/>
      <c r="J166" s="3381"/>
      <c r="K166" s="3381"/>
      <c r="L166" s="3381"/>
      <c r="M166" s="3392"/>
      <c r="N166" s="3392"/>
      <c r="O166" s="3381"/>
      <c r="P166" s="3381"/>
      <c r="Q166" s="3381"/>
      <c r="R166" s="3381"/>
      <c r="S166" s="3381"/>
    </row>
    <row r="167" spans="2:19" x14ac:dyDescent="0.25">
      <c r="C167" s="2632" t="s">
        <v>1679</v>
      </c>
      <c r="D167" s="3199">
        <f>D168+D173</f>
        <v>98795.806692118873</v>
      </c>
      <c r="E167" s="3369">
        <f>D167/$D$167</f>
        <v>1</v>
      </c>
      <c r="F167" s="3527"/>
      <c r="H167" s="5272" t="s">
        <v>3285</v>
      </c>
      <c r="I167" s="5273"/>
      <c r="J167" s="3528">
        <v>1</v>
      </c>
      <c r="K167" s="3529">
        <f>K162/J162</f>
        <v>0.16648695907398578</v>
      </c>
      <c r="L167" s="3529">
        <f>L162/J162</f>
        <v>0.8335130409260143</v>
      </c>
    </row>
    <row r="168" spans="2:19" ht="14.4" x14ac:dyDescent="0.3">
      <c r="C168" s="11" t="s">
        <v>644</v>
      </c>
      <c r="D168" s="2379">
        <f>SUM(D169:D172)</f>
        <v>16448.213425432205</v>
      </c>
      <c r="E168" s="3376">
        <f>D168/D$167</f>
        <v>0.16648695907398578</v>
      </c>
      <c r="F168" s="3530">
        <f t="shared" ref="F168:F177" si="86">E183-E168</f>
        <v>1.3699452362792019E-6</v>
      </c>
      <c r="H168" s="5274" t="s">
        <v>3286</v>
      </c>
      <c r="I168" s="5275"/>
      <c r="J168" s="3528">
        <v>1</v>
      </c>
      <c r="K168" s="3529">
        <f>K163/J163</f>
        <v>0.18109297108829828</v>
      </c>
      <c r="L168" s="3529">
        <f>L163/J163</f>
        <v>0.81890702891170164</v>
      </c>
    </row>
    <row r="169" spans="2:19" x14ac:dyDescent="0.25">
      <c r="C169" s="2376" t="s">
        <v>3</v>
      </c>
      <c r="D169" s="2380">
        <f>G77</f>
        <v>13668.480880354855</v>
      </c>
      <c r="E169" s="3379">
        <f>D169/D$168</f>
        <v>0.83100094379980927</v>
      </c>
      <c r="F169" s="3530">
        <f t="shared" si="86"/>
        <v>2.1108572004768789E-6</v>
      </c>
      <c r="H169" s="5274" t="s">
        <v>3287</v>
      </c>
      <c r="I169" s="5275"/>
      <c r="J169" s="3528">
        <v>1</v>
      </c>
      <c r="K169" s="3529">
        <f>K164/J164</f>
        <v>0.16781479610287958</v>
      </c>
      <c r="L169" s="3529">
        <f>L164/J164</f>
        <v>0.83218520389712036</v>
      </c>
    </row>
    <row r="170" spans="2:19" x14ac:dyDescent="0.25">
      <c r="C170" s="2376" t="s">
        <v>163</v>
      </c>
      <c r="D170" s="2380">
        <f>G85</f>
        <v>0</v>
      </c>
      <c r="E170" s="3379">
        <f>D170/D$168</f>
        <v>0</v>
      </c>
      <c r="F170" s="3530">
        <f t="shared" si="86"/>
        <v>0</v>
      </c>
      <c r="M170" s="3531"/>
      <c r="N170" s="3531"/>
    </row>
    <row r="171" spans="2:19" x14ac:dyDescent="0.25">
      <c r="C171" s="2376" t="s">
        <v>770</v>
      </c>
      <c r="D171" s="2380">
        <f>G128</f>
        <v>2010.4763849135998</v>
      </c>
      <c r="E171" s="3379">
        <f>D171/D$168</f>
        <v>0.1222306844465554</v>
      </c>
      <c r="F171" s="3530">
        <f t="shared" si="86"/>
        <v>-1.5267039129573945E-6</v>
      </c>
      <c r="K171" s="3393">
        <f>G50-G55</f>
        <v>1789.148932003875</v>
      </c>
      <c r="L171" s="3393">
        <f>G58</f>
        <v>8090.5770521234272</v>
      </c>
    </row>
    <row r="172" spans="2:19" x14ac:dyDescent="0.25">
      <c r="C172" s="2376" t="s">
        <v>156</v>
      </c>
      <c r="D172" s="2380">
        <f>G131</f>
        <v>769.25616016375079</v>
      </c>
      <c r="E172" s="3379">
        <f>D172/D$168</f>
        <v>4.6768371753635442E-2</v>
      </c>
      <c r="F172" s="3530">
        <f t="shared" si="86"/>
        <v>-5.8415328756805662E-7</v>
      </c>
    </row>
    <row r="173" spans="2:19" ht="14.4" x14ac:dyDescent="0.3">
      <c r="C173" s="11" t="s">
        <v>643</v>
      </c>
      <c r="D173" s="2379">
        <f>SUM(D174:D177)</f>
        <v>82347.593266686672</v>
      </c>
      <c r="E173" s="3376">
        <f>D173/D$167</f>
        <v>0.8335130409260143</v>
      </c>
      <c r="F173" s="3530">
        <f t="shared" si="86"/>
        <v>-1.3699452363624687E-6</v>
      </c>
      <c r="H173" s="3532">
        <f>E169+E174</f>
        <v>1.6613939030948659</v>
      </c>
    </row>
    <row r="174" spans="2:19" x14ac:dyDescent="0.25">
      <c r="C174" s="2376" t="s">
        <v>3</v>
      </c>
      <c r="D174" s="2380">
        <f>G121</f>
        <v>68380.861663549615</v>
      </c>
      <c r="E174" s="3379">
        <f>D174/D$173</f>
        <v>0.83039295929505652</v>
      </c>
      <c r="F174" s="3530">
        <f t="shared" si="86"/>
        <v>4.440876221201151E-7</v>
      </c>
    </row>
    <row r="175" spans="2:19" x14ac:dyDescent="0.25">
      <c r="C175" s="2376" t="s">
        <v>163</v>
      </c>
      <c r="D175" s="4315">
        <f>G126</f>
        <v>13.291675959893333</v>
      </c>
      <c r="E175" s="3379">
        <f>D175/D$173</f>
        <v>1.6140940412001593E-4</v>
      </c>
      <c r="F175" s="3530">
        <f t="shared" si="86"/>
        <v>-4.2262348408741469E-10</v>
      </c>
      <c r="H175" s="4111"/>
    </row>
    <row r="176" spans="2:19" x14ac:dyDescent="0.25">
      <c r="C176" s="2376" t="s">
        <v>770</v>
      </c>
      <c r="D176" s="2380">
        <f>G129</f>
        <v>10509.076983202205</v>
      </c>
      <c r="E176" s="3379">
        <f>D176/D$173</f>
        <v>0.12761850791641294</v>
      </c>
      <c r="F176" s="3530">
        <f t="shared" si="86"/>
        <v>-3.3414768330075617E-7</v>
      </c>
      <c r="H176" s="5262"/>
      <c r="I176" s="5262"/>
      <c r="M176" s="3297" t="s">
        <v>4115</v>
      </c>
    </row>
    <row r="177" spans="2:19" x14ac:dyDescent="0.25">
      <c r="C177" s="2376" t="s">
        <v>156</v>
      </c>
      <c r="D177" s="2380">
        <f>G132</f>
        <v>3444.362943974962</v>
      </c>
      <c r="E177" s="3379">
        <f>D177/D$173</f>
        <v>4.1827123384410587E-2</v>
      </c>
      <c r="F177" s="3530">
        <f t="shared" si="86"/>
        <v>-1.0951731537617304E-7</v>
      </c>
      <c r="H177" s="5262"/>
      <c r="I177" s="5262"/>
      <c r="K177" s="3297">
        <f>SUM(K178:K181)</f>
        <v>108675.53267624618</v>
      </c>
      <c r="L177" s="3562">
        <f>G39</f>
        <v>175.56957517987016</v>
      </c>
      <c r="M177" s="3297">
        <f>L177/K177</f>
        <v>1.6155391269432019E-3</v>
      </c>
    </row>
    <row r="178" spans="2:19" x14ac:dyDescent="0.25">
      <c r="C178" s="2632" t="s">
        <v>2195</v>
      </c>
      <c r="D178" s="3203">
        <f>D183+D188</f>
        <v>71.594076517062135</v>
      </c>
      <c r="E178" s="3369">
        <f>D178/$D$178</f>
        <v>1</v>
      </c>
      <c r="F178" s="3532">
        <f>E152</f>
        <v>1</v>
      </c>
      <c r="G178" s="3532">
        <f>E178-F178</f>
        <v>0</v>
      </c>
      <c r="H178" s="5262"/>
      <c r="I178" s="5262"/>
      <c r="J178" s="3297" t="str">
        <f>C153</f>
        <v>населення</v>
      </c>
      <c r="K178" s="3297">
        <f>D153</f>
        <v>90271.057497103626</v>
      </c>
      <c r="L178" s="3297">
        <f>K178*$M$177</f>
        <v>145.83642541711038</v>
      </c>
      <c r="M178" s="3297">
        <f>K178+L178</f>
        <v>90416.893922520743</v>
      </c>
    </row>
    <row r="179" spans="2:19" x14ac:dyDescent="0.25">
      <c r="C179" s="3201" t="s">
        <v>3</v>
      </c>
      <c r="D179" s="3203">
        <f>D184+D189</f>
        <v>59.458515647062136</v>
      </c>
      <c r="E179" s="3369">
        <f>D179/D$178</f>
        <v>0.83049490320462638</v>
      </c>
      <c r="F179" s="3532">
        <f>E153</f>
        <v>0.83064748130592492</v>
      </c>
      <c r="G179" s="3532">
        <f>E179-F179</f>
        <v>-1.5257810129853944E-4</v>
      </c>
      <c r="J179" s="3297" t="str">
        <f t="shared" ref="J179:K181" si="87">C154</f>
        <v>релігійні організації</v>
      </c>
      <c r="K179" s="3297">
        <f t="shared" si="87"/>
        <v>14.602989074179138</v>
      </c>
      <c r="L179" s="3297">
        <f t="shared" ref="L179:L181" si="88">K179*$M$177</f>
        <v>2.3591700219660481E-2</v>
      </c>
      <c r="M179" s="3297">
        <f t="shared" ref="M179:M181" si="89">K179+L179</f>
        <v>14.626580774398798</v>
      </c>
    </row>
    <row r="180" spans="2:19" x14ac:dyDescent="0.25">
      <c r="C180" s="3201" t="s">
        <v>163</v>
      </c>
      <c r="D180" s="3203">
        <f>D185+D190</f>
        <v>9.6319999999999999E-3</v>
      </c>
      <c r="E180" s="3369">
        <f>D180/D$178</f>
        <v>1.3453626987847974E-4</v>
      </c>
      <c r="F180" s="3532">
        <f>E154</f>
        <v>1.3437237172494665E-4</v>
      </c>
      <c r="G180" s="3532">
        <f>E180-F180</f>
        <v>1.6389815353309183E-7</v>
      </c>
      <c r="J180" s="3297" t="str">
        <f t="shared" si="87"/>
        <v>бюджетні установи</v>
      </c>
      <c r="K180" s="3297">
        <f t="shared" si="87"/>
        <v>13752.767963175285</v>
      </c>
      <c r="L180" s="3297">
        <f t="shared" si="88"/>
        <v>22.218134748280637</v>
      </c>
      <c r="M180" s="3297">
        <f t="shared" si="89"/>
        <v>13774.986097923565</v>
      </c>
    </row>
    <row r="181" spans="2:19" x14ac:dyDescent="0.25">
      <c r="C181" s="3201" t="s">
        <v>770</v>
      </c>
      <c r="D181" s="3203">
        <f>D186+D191</f>
        <v>9.0724704999999997</v>
      </c>
      <c r="E181" s="3369">
        <f>D181/D$178</f>
        <v>0.12672096549548859</v>
      </c>
      <c r="F181" s="3532">
        <f>E155</f>
        <v>0.12654888938199155</v>
      </c>
      <c r="G181" s="3532">
        <f>E181-F181</f>
        <v>1.7207611349703833E-4</v>
      </c>
      <c r="J181" s="3297" t="str">
        <f t="shared" si="87"/>
        <v>інші споживачі</v>
      </c>
      <c r="K181" s="3297">
        <f t="shared" si="87"/>
        <v>4637.1042268930923</v>
      </c>
      <c r="L181" s="3297">
        <f t="shared" si="88"/>
        <v>7.4914233142594977</v>
      </c>
      <c r="M181" s="3297">
        <f t="shared" si="89"/>
        <v>4644.5956502073523</v>
      </c>
    </row>
    <row r="182" spans="2:19" ht="14.4" customHeight="1" x14ac:dyDescent="0.25">
      <c r="C182" s="3201" t="s">
        <v>156</v>
      </c>
      <c r="D182" s="3203">
        <f>D187+D192</f>
        <v>3.0534583699999995</v>
      </c>
      <c r="E182" s="3369">
        <f>D182/D$178</f>
        <v>4.2649595030006517E-2</v>
      </c>
      <c r="F182" s="3532">
        <f>E156</f>
        <v>4.2669256940358669E-2</v>
      </c>
      <c r="G182" s="3532">
        <f>E182-F182</f>
        <v>-1.9661910352151979E-5</v>
      </c>
      <c r="K182" s="5278" t="s">
        <v>2350</v>
      </c>
      <c r="L182" s="5278"/>
      <c r="M182" s="5278" t="s">
        <v>2351</v>
      </c>
      <c r="N182" s="5278"/>
    </row>
    <row r="183" spans="2:19" ht="14.4" x14ac:dyDescent="0.3">
      <c r="C183" s="11" t="s">
        <v>644</v>
      </c>
      <c r="D183" s="2379">
        <f>SUM(D184:D187)</f>
        <v>11.919578167000001</v>
      </c>
      <c r="E183" s="3376">
        <f>D183/D$178</f>
        <v>0.16648832901922206</v>
      </c>
      <c r="H183" s="5279" t="s">
        <v>1679</v>
      </c>
      <c r="I183" s="5279"/>
      <c r="J183" s="4282">
        <f>D167</f>
        <v>98795.806692118873</v>
      </c>
      <c r="K183" s="4282">
        <f>D168</f>
        <v>16448.213425432205</v>
      </c>
      <c r="L183" s="4283">
        <f>K183/J183</f>
        <v>0.16648695907398578</v>
      </c>
      <c r="M183" s="4282">
        <f>D173</f>
        <v>82347.593266686672</v>
      </c>
      <c r="N183" s="4283">
        <f>M183/J183</f>
        <v>0.8335130409260143</v>
      </c>
    </row>
    <row r="184" spans="2:19" x14ac:dyDescent="0.25">
      <c r="C184" s="2376" t="s">
        <v>3</v>
      </c>
      <c r="D184" s="2380">
        <f>G97</f>
        <v>9.9052058670000012</v>
      </c>
      <c r="E184" s="3379">
        <f>D184/D$183</f>
        <v>0.83100305465700974</v>
      </c>
      <c r="H184" s="5261" t="s">
        <v>3</v>
      </c>
      <c r="I184" s="5261"/>
      <c r="J184" s="4282">
        <f>K184+M184</f>
        <v>82049.342543904466</v>
      </c>
      <c r="K184" s="4282">
        <f>D169</f>
        <v>13668.480880354855</v>
      </c>
      <c r="L184" s="4283">
        <f t="shared" ref="L184:L187" si="90">K184/J184</f>
        <v>0.1665885485071483</v>
      </c>
      <c r="M184" s="4282">
        <f>D174</f>
        <v>68380.861663549615</v>
      </c>
      <c r="N184" s="4283">
        <f t="shared" ref="N184:N187" si="91">M184/J184</f>
        <v>0.83341145149285178</v>
      </c>
    </row>
    <row r="185" spans="2:19" x14ac:dyDescent="0.25">
      <c r="C185" s="2376" t="s">
        <v>163</v>
      </c>
      <c r="D185" s="2380">
        <f>G104</f>
        <v>0</v>
      </c>
      <c r="E185" s="3379">
        <f>D185/D$183</f>
        <v>0</v>
      </c>
      <c r="H185" s="5261" t="s">
        <v>163</v>
      </c>
      <c r="I185" s="5261"/>
      <c r="J185" s="4281"/>
      <c r="K185" s="4282">
        <f t="shared" ref="K185:K187" si="92">D170</f>
        <v>0</v>
      </c>
      <c r="L185" s="4283" t="e">
        <f t="shared" si="90"/>
        <v>#DIV/0!</v>
      </c>
      <c r="M185" s="4282">
        <f t="shared" ref="M185:M187" si="93">D175</f>
        <v>13.291675959893333</v>
      </c>
      <c r="N185" s="4283" t="e">
        <f t="shared" si="91"/>
        <v>#DIV/0!</v>
      </c>
    </row>
    <row r="186" spans="2:19" ht="15" customHeight="1" x14ac:dyDescent="0.25">
      <c r="C186" s="2376" t="s">
        <v>770</v>
      </c>
      <c r="D186" s="2380">
        <f>G107</f>
        <v>1.45692</v>
      </c>
      <c r="E186" s="3379">
        <f>D186/D$183</f>
        <v>0.12222915774264244</v>
      </c>
      <c r="H186" s="5261" t="s">
        <v>770</v>
      </c>
      <c r="I186" s="5261"/>
      <c r="J186" s="4281"/>
      <c r="K186" s="4282">
        <f t="shared" si="92"/>
        <v>2010.4763849135998</v>
      </c>
      <c r="L186" s="4283" t="e">
        <f t="shared" si="90"/>
        <v>#DIV/0!</v>
      </c>
      <c r="M186" s="4282">
        <f t="shared" si="93"/>
        <v>10509.076983202205</v>
      </c>
      <c r="N186" s="4283" t="e">
        <f t="shared" si="91"/>
        <v>#DIV/0!</v>
      </c>
    </row>
    <row r="187" spans="2:19" ht="15" customHeight="1" x14ac:dyDescent="0.25">
      <c r="C187" s="2376" t="s">
        <v>156</v>
      </c>
      <c r="D187" s="2380">
        <f>G110</f>
        <v>0.5574522999999999</v>
      </c>
      <c r="E187" s="3379">
        <f>D187/D$183</f>
        <v>4.6767787600347874E-2</v>
      </c>
      <c r="H187" s="5261" t="s">
        <v>156</v>
      </c>
      <c r="I187" s="5261"/>
      <c r="J187" s="4281"/>
      <c r="K187" s="4282">
        <f t="shared" si="92"/>
        <v>769.25616016375079</v>
      </c>
      <c r="L187" s="4283" t="e">
        <f t="shared" si="90"/>
        <v>#DIV/0!</v>
      </c>
      <c r="M187" s="4282">
        <f t="shared" si="93"/>
        <v>3444.362943974962</v>
      </c>
      <c r="N187" s="4283" t="e">
        <f t="shared" si="91"/>
        <v>#DIV/0!</v>
      </c>
    </row>
    <row r="188" spans="2:19" ht="14.4" x14ac:dyDescent="0.3">
      <c r="C188" s="11" t="s">
        <v>643</v>
      </c>
      <c r="D188" s="2379">
        <f>SUM(D189:D192)</f>
        <v>59.674498350062137</v>
      </c>
      <c r="E188" s="3376">
        <f>D188/D$178</f>
        <v>0.83351167098077794</v>
      </c>
    </row>
    <row r="189" spans="2:19" x14ac:dyDescent="0.25">
      <c r="C189" s="2376" t="s">
        <v>3</v>
      </c>
      <c r="D189" s="2380">
        <f>G100</f>
        <v>49.553309780062136</v>
      </c>
      <c r="E189" s="3379">
        <f>D189/D$188</f>
        <v>0.83039340338267864</v>
      </c>
    </row>
    <row r="190" spans="2:19" x14ac:dyDescent="0.25">
      <c r="C190" s="2376" t="s">
        <v>163</v>
      </c>
      <c r="D190" s="2380">
        <f>G105</f>
        <v>9.6319999999999999E-3</v>
      </c>
      <c r="E190" s="3379">
        <f>D190/D$188</f>
        <v>1.6140898149653185E-4</v>
      </c>
    </row>
    <row r="191" spans="2:19" s="1205" customFormat="1" x14ac:dyDescent="0.25">
      <c r="B191" s="3533"/>
      <c r="C191" s="2376" t="s">
        <v>770</v>
      </c>
      <c r="D191" s="2380">
        <f>G108</f>
        <v>7.6155505000000003</v>
      </c>
      <c r="E191" s="3379">
        <f>D191/D$188</f>
        <v>0.12761817376872964</v>
      </c>
      <c r="F191" s="3534"/>
      <c r="G191" s="3534"/>
      <c r="H191" s="3534"/>
      <c r="I191" s="3534"/>
      <c r="J191" s="3534"/>
      <c r="K191" s="3534"/>
      <c r="L191" s="3534"/>
      <c r="M191" s="3534"/>
      <c r="N191" s="3534"/>
      <c r="O191" s="3534"/>
      <c r="P191" s="3534"/>
      <c r="Q191" s="3534"/>
      <c r="R191" s="3534"/>
      <c r="S191" s="3534"/>
    </row>
    <row r="192" spans="2:19" s="1121" customFormat="1" x14ac:dyDescent="0.25">
      <c r="B192" s="3535"/>
      <c r="C192" s="2376" t="s">
        <v>156</v>
      </c>
      <c r="D192" s="2380">
        <f>G111</f>
        <v>2.4960060699999995</v>
      </c>
      <c r="E192" s="3379">
        <f>D192/D$188</f>
        <v>4.1827013867095211E-2</v>
      </c>
      <c r="F192" s="3536"/>
      <c r="G192" s="3536"/>
      <c r="H192" s="3536"/>
      <c r="I192" s="3536"/>
      <c r="J192" s="3536"/>
      <c r="K192" s="3536"/>
      <c r="L192" s="3536"/>
      <c r="M192" s="3536"/>
      <c r="N192" s="3536"/>
      <c r="O192" s="3536"/>
      <c r="P192" s="3536"/>
      <c r="Q192" s="3536"/>
      <c r="R192" s="3536"/>
      <c r="S192" s="3536"/>
    </row>
    <row r="193" spans="2:20" s="1121" customFormat="1" x14ac:dyDescent="0.25">
      <c r="B193" s="3535"/>
      <c r="C193" s="3537" t="s">
        <v>3216</v>
      </c>
      <c r="D193" s="3538">
        <f>G48-G55</f>
        <v>9879.7259841273026</v>
      </c>
      <c r="E193" s="3539">
        <f>SUM(E194:E197)</f>
        <v>0.99999999999999978</v>
      </c>
      <c r="F193" s="3536">
        <f>D193-D194-D195-D196-D197</f>
        <v>1.5916157281026244E-12</v>
      </c>
      <c r="G193" s="3536"/>
      <c r="H193" s="3536"/>
      <c r="I193" s="3536"/>
      <c r="J193" s="3536"/>
      <c r="K193" s="3536"/>
      <c r="L193" s="3536"/>
      <c r="M193" s="3536"/>
      <c r="N193" s="3536"/>
      <c r="O193" s="3536"/>
      <c r="P193" s="3536"/>
      <c r="Q193" s="3536"/>
      <c r="R193" s="3536"/>
      <c r="S193" s="3536"/>
    </row>
    <row r="194" spans="2:20" s="1205" customFormat="1" x14ac:dyDescent="0.25">
      <c r="B194" s="3533"/>
      <c r="C194" s="3204" t="s">
        <v>3</v>
      </c>
      <c r="D194" s="3540">
        <f>D199+D204</f>
        <v>8221.7149531991563</v>
      </c>
      <c r="E194" s="3539">
        <f>D194/D$193</f>
        <v>0.8321804639529583</v>
      </c>
      <c r="F194" s="3534"/>
      <c r="G194" s="3534"/>
      <c r="H194" s="3534"/>
      <c r="I194" s="3534"/>
      <c r="J194" s="3534"/>
      <c r="K194" s="3534"/>
      <c r="L194" s="3534"/>
      <c r="M194" s="3534"/>
      <c r="N194" s="3534"/>
      <c r="O194" s="3534"/>
      <c r="P194" s="3534"/>
      <c r="Q194" s="3534"/>
      <c r="R194" s="3534"/>
      <c r="S194" s="3534"/>
      <c r="T194" s="3541" t="str">
        <f>T19</f>
        <v>новий рядок</v>
      </c>
    </row>
    <row r="195" spans="2:20" s="1121" customFormat="1" x14ac:dyDescent="0.25">
      <c r="B195" s="3535"/>
      <c r="C195" s="3204" t="s">
        <v>163</v>
      </c>
      <c r="D195" s="3540">
        <f>D200+D205</f>
        <v>1.3113131142858057</v>
      </c>
      <c r="E195" s="3539">
        <f>D195/D$193</f>
        <v>1.3272768054423291E-4</v>
      </c>
      <c r="F195" s="3536"/>
      <c r="G195" s="3536"/>
      <c r="H195" s="3536"/>
      <c r="I195" s="3536"/>
      <c r="J195" s="3536"/>
      <c r="K195" s="3536"/>
      <c r="L195" s="3536"/>
      <c r="M195" s="3536"/>
      <c r="N195" s="3536"/>
      <c r="O195" s="3536"/>
      <c r="P195" s="3536"/>
      <c r="Q195" s="3536"/>
      <c r="R195" s="3536"/>
      <c r="S195" s="3536"/>
    </row>
    <row r="196" spans="2:20" s="1121" customFormat="1" x14ac:dyDescent="0.25">
      <c r="B196" s="3535"/>
      <c r="C196" s="3204" t="s">
        <v>770</v>
      </c>
      <c r="D196" s="3540">
        <f>D201+D206</f>
        <v>1233.2145950594795</v>
      </c>
      <c r="E196" s="3539">
        <f>D196/D$193</f>
        <v>0.12482275288208937</v>
      </c>
      <c r="F196" s="3536"/>
      <c r="G196" s="3536"/>
      <c r="H196" s="3536"/>
      <c r="I196" s="3536"/>
      <c r="J196" s="3536"/>
      <c r="K196" s="3536"/>
      <c r="L196" s="3536"/>
      <c r="M196" s="3536"/>
      <c r="N196" s="3536"/>
      <c r="O196" s="3536"/>
      <c r="P196" s="3536"/>
      <c r="Q196" s="3536"/>
      <c r="R196" s="3536"/>
      <c r="S196" s="3536"/>
    </row>
    <row r="197" spans="2:20" s="1121" customFormat="1" x14ac:dyDescent="0.25">
      <c r="B197" s="3535"/>
      <c r="C197" s="3204" t="s">
        <v>156</v>
      </c>
      <c r="D197" s="3540">
        <f>D202+D207</f>
        <v>423.48512275437929</v>
      </c>
      <c r="E197" s="3539">
        <f>D197/D$193</f>
        <v>4.2864055484407915E-2</v>
      </c>
      <c r="F197" s="3536"/>
      <c r="G197" s="3536"/>
      <c r="H197" s="3536"/>
      <c r="I197" s="3536"/>
      <c r="J197" s="3536"/>
      <c r="K197" s="3536"/>
      <c r="L197" s="3536"/>
      <c r="M197" s="3536"/>
      <c r="N197" s="3536"/>
      <c r="O197" s="3536"/>
      <c r="P197" s="3536"/>
      <c r="Q197" s="3536"/>
      <c r="R197" s="3536"/>
      <c r="S197" s="3536"/>
    </row>
    <row r="198" spans="2:20" s="1205" customFormat="1" ht="14.4" x14ac:dyDescent="0.3">
      <c r="B198" s="3533"/>
      <c r="C198" s="11" t="s">
        <v>644</v>
      </c>
      <c r="D198" s="2379">
        <f>SUM(D199:D202)</f>
        <v>1789.148932003875</v>
      </c>
      <c r="E198" s="3376">
        <f>D198/D$193</f>
        <v>0.18109297108829828</v>
      </c>
      <c r="F198" s="3534">
        <f>'Розрахунки Річного плану'!C110</f>
        <v>1806.2975163669184</v>
      </c>
      <c r="G198" s="3534">
        <f t="shared" ref="G198:G207" si="94">D198-F198</f>
        <v>-17.148584363043483</v>
      </c>
      <c r="H198" s="3534" t="s">
        <v>3351</v>
      </c>
      <c r="I198" s="3534"/>
      <c r="J198" s="3534"/>
      <c r="K198" s="3534"/>
      <c r="L198" s="3534"/>
      <c r="M198" s="3534"/>
      <c r="N198" s="3534"/>
      <c r="O198" s="3534"/>
      <c r="P198" s="3534"/>
      <c r="Q198" s="3534"/>
      <c r="R198" s="3534"/>
      <c r="S198" s="3534"/>
    </row>
    <row r="199" spans="2:20" s="1121" customFormat="1" x14ac:dyDescent="0.25">
      <c r="B199" s="3535"/>
      <c r="C199" s="2376" t="s">
        <v>3</v>
      </c>
      <c r="D199" s="2380">
        <f>G51</f>
        <v>1486.7844510897837</v>
      </c>
      <c r="E199" s="3379">
        <f>D199/D$198</f>
        <v>0.83100094379765344</v>
      </c>
      <c r="F199" s="3536">
        <f>'Розрахунки Річного плану'!C111</f>
        <v>1486.7844510897837</v>
      </c>
      <c r="G199" s="3534">
        <f t="shared" si="94"/>
        <v>0</v>
      </c>
      <c r="H199" s="3536"/>
      <c r="I199" s="3536"/>
      <c r="J199" s="3536"/>
      <c r="K199" s="3536"/>
      <c r="L199" s="3536"/>
      <c r="M199" s="3536"/>
      <c r="N199" s="3536"/>
      <c r="O199" s="3536"/>
      <c r="P199" s="3536"/>
      <c r="Q199" s="3536"/>
      <c r="R199" s="3536"/>
      <c r="S199" s="3536"/>
    </row>
    <row r="200" spans="2:20" s="1121" customFormat="1" x14ac:dyDescent="0.25">
      <c r="B200" s="3535"/>
      <c r="C200" s="2376" t="s">
        <v>163</v>
      </c>
      <c r="D200" s="2380">
        <f>G52</f>
        <v>0</v>
      </c>
      <c r="E200" s="3379">
        <f>D200/D$198</f>
        <v>0</v>
      </c>
      <c r="F200" s="3536">
        <f>'Розрахунки Річного плану'!C115</f>
        <v>0</v>
      </c>
      <c r="G200" s="3534">
        <f t="shared" si="94"/>
        <v>0</v>
      </c>
      <c r="H200" s="3536"/>
      <c r="I200" s="3536"/>
      <c r="J200" s="3536"/>
      <c r="K200" s="3536"/>
      <c r="L200" s="3536"/>
      <c r="M200" s="3536"/>
      <c r="N200" s="3536"/>
      <c r="O200" s="3536"/>
      <c r="P200" s="3536"/>
      <c r="Q200" s="3536"/>
      <c r="R200" s="3536"/>
      <c r="S200" s="3536"/>
    </row>
    <row r="201" spans="2:20" s="1205" customFormat="1" x14ac:dyDescent="0.25">
      <c r="B201" s="3533"/>
      <c r="C201" s="2376" t="s">
        <v>770</v>
      </c>
      <c r="D201" s="2380">
        <f>G53</f>
        <v>218.68889853844684</v>
      </c>
      <c r="E201" s="3379">
        <f>D201/D$198</f>
        <v>0.12223068444811457</v>
      </c>
      <c r="F201" s="3536">
        <f>'Розрахунки Річного плану'!C112</f>
        <v>218.68889853844684</v>
      </c>
      <c r="G201" s="3534">
        <f t="shared" si="94"/>
        <v>0</v>
      </c>
      <c r="H201" s="3534"/>
      <c r="I201" s="3534"/>
      <c r="J201" s="3534"/>
      <c r="K201" s="3534"/>
      <c r="L201" s="3534"/>
      <c r="M201" s="3534"/>
      <c r="N201" s="3534"/>
      <c r="O201" s="3534"/>
      <c r="P201" s="3534"/>
      <c r="Q201" s="3534"/>
      <c r="R201" s="3534"/>
      <c r="S201" s="3534"/>
    </row>
    <row r="202" spans="2:20" s="1121" customFormat="1" x14ac:dyDescent="0.25">
      <c r="B202" s="3535"/>
      <c r="C202" s="2376" t="s">
        <v>156</v>
      </c>
      <c r="D202" s="2380">
        <f>G54</f>
        <v>83.675582375644424</v>
      </c>
      <c r="E202" s="3379">
        <f>D202/D$198</f>
        <v>4.6768371754232027E-2</v>
      </c>
      <c r="F202" s="3536">
        <f>'Розрахунки Річного плану'!C113</f>
        <v>83.675582375644424</v>
      </c>
      <c r="G202" s="3534">
        <f t="shared" si="94"/>
        <v>0</v>
      </c>
      <c r="H202" s="3542"/>
      <c r="I202" s="3542"/>
      <c r="J202" s="3542"/>
      <c r="K202" s="3542"/>
      <c r="L202" s="3542"/>
      <c r="M202" s="3542"/>
      <c r="N202" s="3542"/>
      <c r="O202" s="3542"/>
      <c r="P202" s="3542"/>
      <c r="Q202" s="3542"/>
      <c r="R202" s="3542"/>
      <c r="S202" s="3542"/>
    </row>
    <row r="203" spans="2:20" s="1121" customFormat="1" ht="14.4" x14ac:dyDescent="0.3">
      <c r="B203" s="3535"/>
      <c r="C203" s="11" t="s">
        <v>643</v>
      </c>
      <c r="D203" s="2379">
        <f>SUM(D204:D207)</f>
        <v>8090.5770521234263</v>
      </c>
      <c r="E203" s="3376">
        <f>D203/D$193</f>
        <v>0.81890702891170153</v>
      </c>
      <c r="F203" s="3542">
        <f>'Розрахунки Річного плану'!C116+'Розрахунки Річного плану'!C137</f>
        <v>8090.5770521234263</v>
      </c>
      <c r="G203" s="3543">
        <f t="shared" si="94"/>
        <v>0</v>
      </c>
      <c r="H203" s="3542"/>
      <c r="I203" s="3542"/>
      <c r="J203" s="3542"/>
      <c r="K203" s="3542"/>
      <c r="L203" s="3542"/>
      <c r="M203" s="3542"/>
      <c r="N203" s="3542"/>
      <c r="O203" s="3542"/>
      <c r="P203" s="3542"/>
      <c r="Q203" s="3542"/>
      <c r="R203" s="3542"/>
      <c r="S203" s="3542"/>
    </row>
    <row r="204" spans="2:20" s="1121" customFormat="1" x14ac:dyDescent="0.25">
      <c r="B204" s="3535"/>
      <c r="C204" s="2376" t="s">
        <v>3</v>
      </c>
      <c r="D204" s="2380">
        <f>G59</f>
        <v>6734.9305021093733</v>
      </c>
      <c r="E204" s="3379">
        <f>D204/D$203</f>
        <v>0.83244130285388551</v>
      </c>
      <c r="F204" s="3542">
        <f>'Розрахунки Річного плану'!C117+'Розрахунки Річного плану'!C138</f>
        <v>6734.9305018326959</v>
      </c>
      <c r="G204" s="3543">
        <f t="shared" si="94"/>
        <v>2.766773832263425E-7</v>
      </c>
      <c r="H204" s="3534"/>
      <c r="I204" s="3534"/>
      <c r="J204" s="3534"/>
      <c r="K204" s="3534"/>
      <c r="L204" s="3534"/>
      <c r="M204" s="3534"/>
      <c r="N204" s="3534"/>
      <c r="O204" s="3534"/>
      <c r="P204" s="3534"/>
      <c r="Q204" s="3534"/>
      <c r="R204" s="3534"/>
      <c r="S204" s="3534"/>
    </row>
    <row r="205" spans="2:20" s="1121" customFormat="1" x14ac:dyDescent="0.25">
      <c r="B205" s="3535"/>
      <c r="C205" s="2376" t="s">
        <v>163</v>
      </c>
      <c r="D205" s="2380">
        <f>G60</f>
        <v>1.3113131142858057</v>
      </c>
      <c r="E205" s="3379">
        <f>D205/D$203</f>
        <v>1.620790588653553E-4</v>
      </c>
      <c r="F205" s="3542">
        <f>'Розрахунки Річного плану'!C121</f>
        <v>1.3113131142858057</v>
      </c>
      <c r="G205" s="3543">
        <f t="shared" si="94"/>
        <v>0</v>
      </c>
      <c r="H205" s="3536"/>
      <c r="I205" s="3536"/>
      <c r="J205" s="3536"/>
      <c r="K205" s="3536"/>
      <c r="L205" s="3536"/>
      <c r="M205" s="3536"/>
      <c r="N205" s="3536"/>
      <c r="O205" s="3536"/>
      <c r="P205" s="3536"/>
      <c r="Q205" s="3536"/>
      <c r="R205" s="3536"/>
      <c r="S205" s="3536"/>
      <c r="T205" s="3544" t="str">
        <f>T72</f>
        <v>новий рядок</v>
      </c>
    </row>
    <row r="206" spans="2:20" s="1121" customFormat="1" x14ac:dyDescent="0.25">
      <c r="B206" s="3535"/>
      <c r="C206" s="2376" t="s">
        <v>770</v>
      </c>
      <c r="D206" s="2380">
        <f>G61</f>
        <v>1014.5256965210326</v>
      </c>
      <c r="E206" s="3379">
        <f>D206/D$203</f>
        <v>0.12539596248635484</v>
      </c>
      <c r="F206" s="3542">
        <f>'Розрахунки Річного плану'!C118+'Розрахунки Річного плану'!C139</f>
        <v>1014.5256967977099</v>
      </c>
      <c r="G206" s="3543">
        <f t="shared" si="94"/>
        <v>-2.7667726953950478E-7</v>
      </c>
      <c r="H206" s="3536"/>
      <c r="I206" s="3536"/>
      <c r="J206" s="3536"/>
      <c r="K206" s="3536"/>
      <c r="L206" s="3536"/>
      <c r="M206" s="3536"/>
      <c r="N206" s="3536"/>
      <c r="O206" s="3536"/>
      <c r="P206" s="3536"/>
      <c r="Q206" s="3536"/>
      <c r="R206" s="3536"/>
      <c r="S206" s="3536"/>
    </row>
    <row r="207" spans="2:20" s="1205" customFormat="1" x14ac:dyDescent="0.25">
      <c r="B207" s="3533"/>
      <c r="C207" s="2376" t="s">
        <v>156</v>
      </c>
      <c r="D207" s="2380">
        <f>G62</f>
        <v>339.80954037873488</v>
      </c>
      <c r="E207" s="3379">
        <f>D207/D$203</f>
        <v>4.2000655600894325E-2</v>
      </c>
      <c r="F207" s="3542">
        <f>'Розрахунки Річного плану'!C119</f>
        <v>339.80954037873488</v>
      </c>
      <c r="G207" s="3543">
        <f t="shared" si="94"/>
        <v>0</v>
      </c>
      <c r="H207" s="3534"/>
      <c r="I207" s="3534"/>
      <c r="J207" s="3534"/>
      <c r="K207" s="3534"/>
      <c r="L207" s="3534"/>
      <c r="M207" s="3534"/>
      <c r="N207" s="3534"/>
      <c r="O207" s="3534"/>
      <c r="P207" s="3534"/>
      <c r="Q207" s="3534"/>
      <c r="R207" s="3534"/>
      <c r="S207" s="3534"/>
    </row>
    <row r="208" spans="2:20" s="1121" customFormat="1" x14ac:dyDescent="0.25">
      <c r="B208" s="3535"/>
      <c r="C208" s="3545"/>
      <c r="D208" s="3546">
        <f>D198+D203</f>
        <v>9879.7259841273008</v>
      </c>
      <c r="E208" s="3536">
        <f>D208/D$203</f>
        <v>1.221139842124648</v>
      </c>
      <c r="F208" s="3536"/>
      <c r="G208" s="3536"/>
      <c r="H208" s="3536"/>
      <c r="I208" s="3536"/>
      <c r="J208" s="3536"/>
      <c r="K208" s="3536"/>
      <c r="L208" s="3536"/>
      <c r="M208" s="3536"/>
      <c r="N208" s="3536"/>
      <c r="O208" s="3536"/>
      <c r="P208" s="3536"/>
      <c r="Q208" s="3536"/>
      <c r="R208" s="3536"/>
      <c r="S208" s="3536"/>
    </row>
    <row r="209" spans="2:20" s="1121" customFormat="1" x14ac:dyDescent="0.25">
      <c r="B209" s="3535"/>
      <c r="C209" s="3545"/>
      <c r="D209" s="3547">
        <f>D193+D167-D152</f>
        <v>0</v>
      </c>
      <c r="E209" s="3536"/>
      <c r="F209" s="3536"/>
      <c r="G209" s="3536"/>
      <c r="H209" s="3536"/>
      <c r="I209" s="3536"/>
      <c r="J209" s="3536"/>
      <c r="K209" s="3536"/>
      <c r="L209" s="3536"/>
      <c r="M209" s="3536"/>
      <c r="N209" s="3536"/>
      <c r="O209" s="3536"/>
      <c r="P209" s="3536"/>
      <c r="Q209" s="3536"/>
      <c r="R209" s="3536"/>
      <c r="S209" s="3536"/>
    </row>
    <row r="210" spans="2:20" x14ac:dyDescent="0.25">
      <c r="E210" s="3527"/>
      <c r="F210" s="3527"/>
      <c r="G210" s="3527"/>
      <c r="H210" s="3527"/>
      <c r="I210" s="3527"/>
      <c r="J210" s="3527"/>
      <c r="K210" s="3527"/>
      <c r="L210" s="3527"/>
      <c r="M210" s="3527"/>
      <c r="N210" s="3527"/>
      <c r="O210" s="3527"/>
      <c r="P210" s="3527"/>
      <c r="Q210" s="3527"/>
      <c r="R210" s="3527"/>
      <c r="S210" s="3527"/>
      <c r="T210" s="3548">
        <f>T48-T211</f>
        <v>0</v>
      </c>
    </row>
    <row r="211" spans="2:20" s="15" customFormat="1" x14ac:dyDescent="0.25">
      <c r="B211" s="3549"/>
      <c r="C211" s="3550"/>
      <c r="D211" s="3550"/>
      <c r="E211" s="3551"/>
      <c r="F211" s="3551"/>
      <c r="G211" s="3551"/>
      <c r="H211" s="3551"/>
      <c r="I211" s="3551"/>
      <c r="J211" s="3551"/>
      <c r="K211" s="3551"/>
      <c r="L211" s="3551"/>
      <c r="M211" s="3551"/>
      <c r="N211" s="3551"/>
      <c r="O211" s="3551"/>
      <c r="P211" s="3551"/>
      <c r="Q211" s="3551"/>
      <c r="R211" s="3551"/>
      <c r="S211" s="3551"/>
    </row>
    <row r="212" spans="2:20" s="15" customFormat="1" x14ac:dyDescent="0.25">
      <c r="B212" s="3549"/>
      <c r="C212" s="3545"/>
      <c r="D212" s="3550"/>
      <c r="E212" s="3527"/>
      <c r="F212" s="3527"/>
      <c r="G212" s="3527"/>
      <c r="H212" s="3527"/>
      <c r="I212" s="3527"/>
      <c r="J212" s="3527"/>
      <c r="K212" s="3527"/>
      <c r="L212" s="3527"/>
      <c r="M212" s="3527"/>
      <c r="N212" s="3527"/>
      <c r="O212" s="3527"/>
      <c r="P212" s="3527"/>
      <c r="Q212" s="3527"/>
      <c r="R212" s="3527"/>
      <c r="S212" s="3527"/>
    </row>
    <row r="213" spans="2:20" s="15" customFormat="1" x14ac:dyDescent="0.25">
      <c r="B213" s="3549"/>
      <c r="C213" s="3545"/>
      <c r="D213" s="3550"/>
      <c r="E213" s="3527"/>
      <c r="F213" s="3527"/>
      <c r="G213" s="3527"/>
      <c r="H213" s="3527"/>
      <c r="I213" s="3527"/>
      <c r="J213" s="3527"/>
      <c r="K213" s="3527"/>
      <c r="L213" s="3527"/>
      <c r="M213" s="3527"/>
      <c r="N213" s="3527"/>
      <c r="O213" s="3527"/>
      <c r="P213" s="3527"/>
      <c r="Q213" s="3527"/>
      <c r="R213" s="3527"/>
      <c r="S213" s="3527"/>
    </row>
    <row r="214" spans="2:20" s="15" customFormat="1" x14ac:dyDescent="0.25">
      <c r="B214" s="3549"/>
      <c r="C214" s="3550"/>
      <c r="D214" s="3550"/>
      <c r="E214" s="3551"/>
      <c r="F214" s="3551"/>
      <c r="G214" s="3551"/>
      <c r="H214" s="3551"/>
      <c r="I214" s="3551"/>
      <c r="J214" s="3551"/>
      <c r="K214" s="3551"/>
      <c r="L214" s="3551"/>
      <c r="M214" s="3551"/>
      <c r="N214" s="3551"/>
      <c r="O214" s="3551"/>
      <c r="P214" s="3551"/>
      <c r="Q214" s="3551"/>
      <c r="R214" s="3551"/>
      <c r="S214" s="3551"/>
    </row>
    <row r="215" spans="2:20" x14ac:dyDescent="0.25">
      <c r="C215" s="3545"/>
      <c r="E215" s="3527"/>
      <c r="F215" s="3527"/>
      <c r="G215" s="3527"/>
      <c r="H215" s="3527"/>
      <c r="I215" s="3527"/>
      <c r="J215" s="3527"/>
      <c r="K215" s="3527"/>
      <c r="L215" s="3527"/>
      <c r="M215" s="3527"/>
      <c r="N215" s="3527"/>
      <c r="O215" s="3527"/>
      <c r="P215" s="3527"/>
      <c r="Q215" s="3527"/>
      <c r="R215" s="3527"/>
      <c r="S215" s="3527"/>
    </row>
    <row r="216" spans="2:20" x14ac:dyDescent="0.25">
      <c r="C216" s="3545"/>
      <c r="E216" s="3527"/>
      <c r="F216" s="3527"/>
      <c r="G216" s="3527"/>
      <c r="H216" s="3527"/>
      <c r="I216" s="3527"/>
      <c r="J216" s="3527"/>
      <c r="K216" s="3527"/>
      <c r="L216" s="3527"/>
      <c r="M216" s="3527"/>
      <c r="N216" s="3527"/>
      <c r="O216" s="3527"/>
      <c r="P216" s="3527"/>
      <c r="Q216" s="3527"/>
      <c r="R216" s="3527"/>
      <c r="S216" s="3527"/>
    </row>
    <row r="217" spans="2:20" x14ac:dyDescent="0.25">
      <c r="C217" s="3550"/>
      <c r="E217" s="3551"/>
      <c r="F217" s="3551"/>
      <c r="G217" s="3551"/>
      <c r="H217" s="3551"/>
      <c r="I217" s="3551"/>
      <c r="J217" s="3551"/>
      <c r="K217" s="3551"/>
      <c r="L217" s="3551"/>
      <c r="M217" s="3551"/>
      <c r="N217" s="3551"/>
      <c r="O217" s="3551"/>
      <c r="P217" s="3551"/>
      <c r="Q217" s="3551"/>
      <c r="R217" s="3551"/>
      <c r="S217" s="3551"/>
    </row>
    <row r="218" spans="2:20" x14ac:dyDescent="0.25">
      <c r="C218" s="3545"/>
      <c r="E218" s="3527"/>
      <c r="F218" s="3527"/>
      <c r="G218" s="3527"/>
      <c r="H218" s="3527"/>
      <c r="I218" s="3527"/>
      <c r="J218" s="3527"/>
      <c r="K218" s="3527"/>
      <c r="L218" s="3527"/>
      <c r="M218" s="3527"/>
      <c r="N218" s="3527"/>
      <c r="O218" s="3527"/>
      <c r="P218" s="3527"/>
      <c r="Q218" s="3527"/>
      <c r="R218" s="3527"/>
      <c r="S218" s="3527"/>
    </row>
    <row r="219" spans="2:20" x14ac:dyDescent="0.25">
      <c r="C219" s="3545"/>
      <c r="E219" s="3527"/>
      <c r="F219" s="3527"/>
      <c r="G219" s="3527"/>
      <c r="H219" s="3527"/>
      <c r="I219" s="3527"/>
      <c r="J219" s="3527"/>
      <c r="K219" s="3527"/>
      <c r="L219" s="3527"/>
      <c r="M219" s="3527"/>
      <c r="N219" s="3527"/>
      <c r="O219" s="3527"/>
      <c r="P219" s="3527"/>
      <c r="Q219" s="3527"/>
      <c r="R219" s="3527"/>
      <c r="S219" s="3527"/>
      <c r="T219" s="3552">
        <f>T200-T203-T209</f>
        <v>0</v>
      </c>
    </row>
    <row r="221" spans="2:20" x14ac:dyDescent="0.25">
      <c r="E221" s="3527"/>
      <c r="F221" s="3527"/>
      <c r="G221" s="3527"/>
      <c r="H221" s="3527"/>
      <c r="I221" s="3527"/>
      <c r="J221" s="3527"/>
      <c r="K221" s="3527"/>
      <c r="L221" s="3527"/>
      <c r="M221" s="3527"/>
      <c r="N221" s="3527"/>
      <c r="O221" s="3527"/>
      <c r="P221" s="3527"/>
      <c r="Q221" s="3527"/>
      <c r="R221" s="3527"/>
      <c r="S221" s="3527"/>
    </row>
    <row r="222" spans="2:20" x14ac:dyDescent="0.25">
      <c r="E222" s="3527"/>
      <c r="F222" s="3527"/>
      <c r="G222" s="3527"/>
      <c r="H222" s="3527"/>
      <c r="I222" s="3527"/>
      <c r="J222" s="3527"/>
      <c r="K222" s="3527"/>
      <c r="L222" s="3527"/>
      <c r="M222" s="3527"/>
      <c r="N222" s="3527"/>
      <c r="O222" s="3527"/>
      <c r="P222" s="3527"/>
      <c r="Q222" s="3527"/>
      <c r="R222" s="3527"/>
      <c r="S222" s="3527"/>
    </row>
    <row r="223" spans="2:20" x14ac:dyDescent="0.25">
      <c r="E223" s="3527"/>
      <c r="F223" s="3527"/>
      <c r="G223" s="3527"/>
      <c r="H223" s="3527"/>
      <c r="I223" s="3527"/>
      <c r="J223" s="3527"/>
      <c r="K223" s="3527"/>
      <c r="L223" s="3527"/>
      <c r="M223" s="3527"/>
      <c r="N223" s="3527"/>
      <c r="O223" s="3527"/>
      <c r="P223" s="3527"/>
      <c r="Q223" s="3527"/>
      <c r="R223" s="3527"/>
      <c r="S223" s="3527"/>
    </row>
    <row r="226" spans="2:20" s="3205" customFormat="1" x14ac:dyDescent="0.25">
      <c r="B226" s="2362"/>
      <c r="C226" s="2363"/>
      <c r="D226" s="2363"/>
      <c r="E226" s="3394"/>
      <c r="F226" s="3394"/>
      <c r="G226" s="3394"/>
      <c r="H226" s="3394"/>
      <c r="I226" s="3394"/>
      <c r="J226" s="3394"/>
      <c r="K226" s="3394"/>
      <c r="L226" s="3394"/>
      <c r="M226" s="3394"/>
      <c r="N226" s="3394"/>
      <c r="O226" s="3395"/>
      <c r="P226" s="3395"/>
      <c r="Q226" s="3395"/>
      <c r="R226" s="3395"/>
      <c r="S226" s="3395"/>
    </row>
    <row r="227" spans="2:20" s="3206" customFormat="1" x14ac:dyDescent="0.25">
      <c r="B227" s="2364"/>
      <c r="C227" s="2365"/>
      <c r="D227" s="2365"/>
      <c r="E227" s="3396"/>
      <c r="F227" s="3396"/>
      <c r="G227" s="3396"/>
      <c r="H227" s="3396"/>
      <c r="I227" s="3396"/>
      <c r="J227" s="3396"/>
      <c r="K227" s="3396"/>
      <c r="L227" s="3396"/>
      <c r="M227" s="3396"/>
      <c r="N227" s="3396"/>
      <c r="O227" s="3396"/>
      <c r="P227" s="3396"/>
      <c r="Q227" s="3396"/>
      <c r="R227" s="3396"/>
      <c r="S227" s="3396"/>
    </row>
    <row r="228" spans="2:20" s="3206" customFormat="1" x14ac:dyDescent="0.25">
      <c r="B228" s="2364"/>
      <c r="C228" s="2365"/>
      <c r="D228" s="2365"/>
      <c r="E228" s="3396"/>
      <c r="F228" s="3396"/>
      <c r="G228" s="3396"/>
      <c r="H228" s="3396"/>
      <c r="I228" s="3396"/>
      <c r="J228" s="3396"/>
      <c r="K228" s="3396"/>
      <c r="L228" s="3396"/>
      <c r="M228" s="3396"/>
      <c r="N228" s="3396"/>
      <c r="O228" s="3396"/>
      <c r="P228" s="3396"/>
      <c r="Q228" s="3396"/>
      <c r="R228" s="3396"/>
      <c r="S228" s="3396"/>
    </row>
    <row r="229" spans="2:20" s="15" customFormat="1" x14ac:dyDescent="0.25">
      <c r="B229" s="3549"/>
      <c r="C229" s="2363"/>
      <c r="D229" s="3550"/>
      <c r="E229" s="3553"/>
      <c r="F229" s="3553"/>
      <c r="G229" s="3553"/>
      <c r="H229" s="3553"/>
      <c r="I229" s="3553"/>
      <c r="J229" s="3553"/>
      <c r="K229" s="3553"/>
      <c r="L229" s="3553"/>
      <c r="M229" s="3553"/>
      <c r="N229" s="3553"/>
      <c r="O229" s="3553"/>
      <c r="P229" s="3553"/>
      <c r="Q229" s="3553"/>
      <c r="R229" s="3553"/>
      <c r="S229" s="3553"/>
    </row>
    <row r="230" spans="2:20" x14ac:dyDescent="0.25">
      <c r="C230" s="2365"/>
      <c r="G230" s="3396"/>
      <c r="H230" s="3396"/>
      <c r="I230" s="3396"/>
      <c r="J230" s="3396"/>
      <c r="K230" s="3396"/>
      <c r="L230" s="3396"/>
      <c r="M230" s="3396"/>
      <c r="N230" s="3396"/>
    </row>
    <row r="231" spans="2:20" x14ac:dyDescent="0.25">
      <c r="C231" s="2365"/>
      <c r="G231" s="3396"/>
      <c r="H231" s="3396"/>
      <c r="I231" s="3396"/>
      <c r="J231" s="3396"/>
      <c r="K231" s="3396"/>
      <c r="L231" s="3396"/>
      <c r="M231" s="3396"/>
      <c r="N231" s="3396"/>
    </row>
    <row r="232" spans="2:20" x14ac:dyDescent="0.25">
      <c r="C232" s="2363"/>
      <c r="G232" s="3554"/>
      <c r="H232" s="3554"/>
      <c r="I232" s="3554"/>
      <c r="J232" s="3554"/>
      <c r="K232" s="3554"/>
      <c r="L232" s="3554"/>
      <c r="M232" s="3554"/>
      <c r="N232" s="3554"/>
    </row>
    <row r="233" spans="2:20" x14ac:dyDescent="0.25">
      <c r="C233" s="2365"/>
      <c r="G233" s="3396"/>
      <c r="H233" s="3396"/>
      <c r="I233" s="3396"/>
      <c r="J233" s="3396"/>
      <c r="K233" s="3396"/>
      <c r="L233" s="3396"/>
      <c r="M233" s="3396"/>
      <c r="N233" s="3396"/>
    </row>
    <row r="234" spans="2:20" x14ac:dyDescent="0.25">
      <c r="C234" s="2365"/>
      <c r="G234" s="3396"/>
      <c r="H234" s="3396"/>
      <c r="I234" s="3396"/>
      <c r="J234" s="3396"/>
      <c r="K234" s="3396"/>
      <c r="L234" s="3396"/>
      <c r="M234" s="3396"/>
      <c r="N234" s="3396"/>
    </row>
    <row r="236" spans="2:20" x14ac:dyDescent="0.25">
      <c r="C236" s="3555"/>
      <c r="D236" s="3555"/>
      <c r="E236" s="3556"/>
      <c r="F236" s="3556"/>
      <c r="G236" s="3556"/>
      <c r="H236" s="3556"/>
      <c r="T236" s="2316"/>
    </row>
    <row r="237" spans="2:20" x14ac:dyDescent="0.25">
      <c r="C237" s="3555"/>
      <c r="D237" s="3557"/>
      <c r="E237" s="3556"/>
      <c r="F237" s="3556"/>
      <c r="G237" s="3556"/>
      <c r="H237" s="3556"/>
    </row>
    <row r="238" spans="2:20" x14ac:dyDescent="0.25">
      <c r="C238" s="3555"/>
      <c r="D238" s="3558"/>
      <c r="E238" s="3556"/>
      <c r="F238" s="3556"/>
      <c r="G238" s="3556"/>
      <c r="H238" s="3556"/>
    </row>
    <row r="239" spans="2:20" x14ac:dyDescent="0.25">
      <c r="C239" s="3555"/>
      <c r="D239" s="3555"/>
      <c r="E239" s="3559"/>
      <c r="F239" s="3559"/>
      <c r="G239" s="3559"/>
      <c r="H239" s="3559"/>
    </row>
    <row r="240" spans="2:20" x14ac:dyDescent="0.25">
      <c r="C240" s="3555"/>
      <c r="D240" s="3555"/>
      <c r="E240" s="3559"/>
      <c r="F240" s="3559"/>
      <c r="G240" s="3559"/>
      <c r="H240" s="3559"/>
    </row>
    <row r="241" spans="4:8" x14ac:dyDescent="0.25">
      <c r="E241" s="3554"/>
      <c r="F241" s="3554"/>
      <c r="G241" s="3554"/>
      <c r="H241" s="3554"/>
    </row>
    <row r="242" spans="4:8" x14ac:dyDescent="0.25">
      <c r="D242" s="3560"/>
      <c r="E242" s="3556"/>
      <c r="F242" s="3556"/>
      <c r="G242" s="3556"/>
      <c r="H242" s="3556"/>
    </row>
    <row r="243" spans="4:8" x14ac:dyDescent="0.25">
      <c r="D243" s="3561"/>
      <c r="E243" s="3554"/>
      <c r="F243" s="3562"/>
      <c r="G243" s="3562"/>
      <c r="H243" s="3554"/>
    </row>
    <row r="244" spans="4:8" x14ac:dyDescent="0.25">
      <c r="D244" s="3563"/>
      <c r="E244" s="3564"/>
      <c r="F244" s="3564"/>
      <c r="G244" s="3564"/>
      <c r="H244" s="3564"/>
    </row>
    <row r="245" spans="4:8" x14ac:dyDescent="0.25">
      <c r="E245" s="3559"/>
      <c r="F245" s="3559"/>
      <c r="G245" s="3559"/>
      <c r="H245" s="3559"/>
    </row>
    <row r="246" spans="4:8" x14ac:dyDescent="0.25">
      <c r="E246" s="3559"/>
      <c r="F246" s="3559"/>
      <c r="G246" s="3559"/>
      <c r="H246" s="3559"/>
    </row>
    <row r="248" spans="4:8" x14ac:dyDescent="0.25">
      <c r="D248" s="3552"/>
      <c r="E248" s="3527"/>
    </row>
    <row r="249" spans="4:8" x14ac:dyDescent="0.25">
      <c r="E249" s="3527"/>
    </row>
    <row r="250" spans="4:8" x14ac:dyDescent="0.25">
      <c r="E250" s="3527"/>
    </row>
    <row r="251" spans="4:8" x14ac:dyDescent="0.25">
      <c r="E251" s="3527"/>
    </row>
    <row r="252" spans="4:8" x14ac:dyDescent="0.25">
      <c r="E252" s="3527"/>
    </row>
  </sheetData>
  <mergeCells count="35">
    <mergeCell ref="M182:N182"/>
    <mergeCell ref="K182:L182"/>
    <mergeCell ref="H183:I183"/>
    <mergeCell ref="H186:I186"/>
    <mergeCell ref="H185:I185"/>
    <mergeCell ref="H184:I184"/>
    <mergeCell ref="H187:I187"/>
    <mergeCell ref="H176:I176"/>
    <mergeCell ref="H177:I177"/>
    <mergeCell ref="H178:I178"/>
    <mergeCell ref="C10:C12"/>
    <mergeCell ref="D10:D12"/>
    <mergeCell ref="E10:E11"/>
    <mergeCell ref="F10:F11"/>
    <mergeCell ref="H161:I161"/>
    <mergeCell ref="H167:I167"/>
    <mergeCell ref="H168:I168"/>
    <mergeCell ref="H169:I169"/>
    <mergeCell ref="H162:I162"/>
    <mergeCell ref="H163:I163"/>
    <mergeCell ref="H164:I164"/>
    <mergeCell ref="H165:I165"/>
    <mergeCell ref="O1:S1"/>
    <mergeCell ref="G148:J148"/>
    <mergeCell ref="O148:R148"/>
    <mergeCell ref="G147:J147"/>
    <mergeCell ref="O147:R147"/>
    <mergeCell ref="G6:M6"/>
    <mergeCell ref="G4:O4"/>
    <mergeCell ref="G5:O5"/>
    <mergeCell ref="B8:S8"/>
    <mergeCell ref="F9:K9"/>
    <mergeCell ref="B10:B12"/>
    <mergeCell ref="H10:S10"/>
    <mergeCell ref="G10:G11"/>
  </mergeCells>
  <conditionalFormatting sqref="B8:S8">
    <cfRule type="cellIs" dxfId="31" priority="4" operator="equal">
      <formula>0</formula>
    </cfRule>
  </conditionalFormatting>
  <conditionalFormatting sqref="V47 V49">
    <cfRule type="cellIs" dxfId="30" priority="2" operator="equal">
      <formula>0</formula>
    </cfRule>
  </conditionalFormatting>
  <pageMargins left="0.31496062992125984" right="0.15748031496062992" top="0.59" bottom="0.31496062992125984" header="0.31496062992125984" footer="0.31496062992125984"/>
  <pageSetup paperSize="9" scale="70" fitToHeight="0" orientation="landscape" horizontalDpi="1200" r:id="rId1"/>
</worksheet>
</file>

<file path=xl/worksheets/sheet3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300-000000000000}">
  <sheetPr codeName="Лист29">
    <tabColor rgb="FF7030A0"/>
    <pageSetUpPr fitToPage="1"/>
  </sheetPr>
  <dimension ref="B1:S65"/>
  <sheetViews>
    <sheetView topLeftCell="A15" zoomScale="115" zoomScaleNormal="115" zoomScaleSheetLayoutView="100" workbookViewId="0">
      <selection activeCell="C30" sqref="C30"/>
    </sheetView>
  </sheetViews>
  <sheetFormatPr defaultColWidth="9.109375" defaultRowHeight="14.4" x14ac:dyDescent="0.3"/>
  <cols>
    <col min="1" max="1" width="2.33203125" style="3093" customWidth="1"/>
    <col min="2" max="2" width="38.5546875" style="325" customWidth="1"/>
    <col min="3" max="3" width="12.109375" style="325" customWidth="1"/>
    <col min="4" max="4" width="13.44140625" style="325" customWidth="1"/>
    <col min="5" max="7" width="12.109375" style="325" customWidth="1"/>
    <col min="8" max="8" width="12.44140625" style="325" customWidth="1"/>
    <col min="9" max="10" width="12.109375" style="325" customWidth="1"/>
    <col min="11" max="11" width="11.88671875" style="3093" customWidth="1"/>
    <col min="12" max="12" width="5.5546875" style="3093" customWidth="1"/>
    <col min="13" max="13" width="18.5546875" style="3093" hidden="1" customWidth="1"/>
    <col min="14" max="14" width="12.109375" style="3093" hidden="1" customWidth="1"/>
    <col min="15" max="15" width="18.109375" style="3093" customWidth="1"/>
    <col min="16" max="17" width="12" style="3093" bestFit="1" customWidth="1"/>
    <col min="18" max="18" width="12.6640625" style="3093" bestFit="1" customWidth="1"/>
    <col min="19" max="19" width="11.6640625" style="3093" bestFit="1" customWidth="1"/>
    <col min="20" max="16384" width="9.109375" style="3093"/>
  </cols>
  <sheetData>
    <row r="1" spans="2:19" ht="33" customHeight="1" x14ac:dyDescent="0.3">
      <c r="G1" s="5072" t="s">
        <v>3129</v>
      </c>
      <c r="H1" s="5072"/>
      <c r="I1" s="5072"/>
      <c r="J1" s="5072"/>
      <c r="K1" s="243" t="s">
        <v>657</v>
      </c>
    </row>
    <row r="2" spans="2:19" ht="14.4" customHeight="1" x14ac:dyDescent="0.3">
      <c r="G2" s="5280" t="str">
        <f>'Вхідні дані'!F1</f>
        <v>станом на 01.09.2023 року</v>
      </c>
      <c r="H2" s="5280"/>
      <c r="I2" s="5280"/>
      <c r="J2" s="4395"/>
      <c r="K2" s="243"/>
    </row>
    <row r="3" spans="2:19" ht="18" customHeight="1" x14ac:dyDescent="0.3">
      <c r="B3" s="5281" t="s">
        <v>451</v>
      </c>
      <c r="C3" s="5281"/>
      <c r="D3" s="5281"/>
      <c r="E3" s="5281"/>
      <c r="F3" s="5281"/>
      <c r="G3" s="5281"/>
      <c r="H3" s="5281"/>
      <c r="I3" s="5281"/>
      <c r="J3" s="5281"/>
      <c r="K3" s="243" t="s">
        <v>657</v>
      </c>
      <c r="M3" s="3097"/>
    </row>
    <row r="4" spans="2:19" ht="17.399999999999999" customHeight="1" x14ac:dyDescent="0.3">
      <c r="B4" s="5282" t="s">
        <v>813</v>
      </c>
      <c r="C4" s="5283"/>
      <c r="D4" s="5283"/>
      <c r="E4" s="5283"/>
      <c r="F4" s="5283"/>
      <c r="G4" s="5283"/>
      <c r="H4" s="5283"/>
      <c r="I4" s="5283"/>
      <c r="J4" s="5283"/>
      <c r="K4" s="243" t="s">
        <v>657</v>
      </c>
      <c r="L4" s="5295" t="s">
        <v>3431</v>
      </c>
      <c r="M4" s="5295"/>
      <c r="N4" s="5295"/>
      <c r="O4" s="5295"/>
      <c r="P4" s="5295"/>
      <c r="Q4" s="5295"/>
      <c r="R4" s="5295"/>
      <c r="S4" s="5295"/>
    </row>
    <row r="5" spans="2:19" x14ac:dyDescent="0.3">
      <c r="C5" s="1120"/>
      <c r="D5" s="1120"/>
      <c r="E5" s="1120"/>
      <c r="F5" s="1120"/>
      <c r="G5" s="1120"/>
      <c r="H5" s="1120"/>
      <c r="I5" s="1120"/>
      <c r="J5" s="1120"/>
      <c r="L5" s="3096"/>
      <c r="M5" s="3097"/>
      <c r="N5" s="3098"/>
      <c r="O5" s="2666"/>
    </row>
    <row r="6" spans="2:19" ht="15" customHeight="1" thickBot="1" x14ac:dyDescent="0.3">
      <c r="B6" s="5284" t="s">
        <v>211</v>
      </c>
      <c r="C6" s="5285"/>
      <c r="D6" s="5285"/>
      <c r="E6" s="5285"/>
      <c r="F6" s="5285"/>
      <c r="G6" s="5285"/>
      <c r="H6" s="5285"/>
      <c r="I6" s="5285"/>
      <c r="J6" s="5285"/>
      <c r="L6" s="5296" t="s">
        <v>3432</v>
      </c>
      <c r="M6" s="4397"/>
      <c r="N6" s="4397"/>
      <c r="O6" s="5299" t="s">
        <v>3408</v>
      </c>
      <c r="P6" s="5299"/>
      <c r="Q6" s="5300" t="s">
        <v>3409</v>
      </c>
      <c r="R6" s="5300"/>
      <c r="S6" s="5300"/>
    </row>
    <row r="7" spans="2:19" ht="70.5" customHeight="1" thickBot="1" x14ac:dyDescent="0.35">
      <c r="B7" s="4424" t="s">
        <v>125</v>
      </c>
      <c r="C7" s="4425" t="s">
        <v>126</v>
      </c>
      <c r="D7" s="4425" t="s">
        <v>2811</v>
      </c>
      <c r="E7" s="4425" t="s">
        <v>127</v>
      </c>
      <c r="F7" s="4425" t="s">
        <v>128</v>
      </c>
      <c r="G7" s="4425" t="s">
        <v>129</v>
      </c>
      <c r="H7" s="3105" t="s">
        <v>3438</v>
      </c>
      <c r="I7" s="3106" t="s">
        <v>3439</v>
      </c>
      <c r="J7" s="4426" t="s">
        <v>130</v>
      </c>
      <c r="L7" s="5297"/>
      <c r="M7" s="3099" t="s">
        <v>3226</v>
      </c>
      <c r="N7" s="4397" t="s">
        <v>3227</v>
      </c>
      <c r="O7" s="3099" t="s">
        <v>3563</v>
      </c>
      <c r="P7" s="4397" t="s">
        <v>3433</v>
      </c>
      <c r="Q7" s="4398" t="s">
        <v>3434</v>
      </c>
      <c r="R7" s="4398" t="s">
        <v>3435</v>
      </c>
      <c r="S7" s="4398" t="s">
        <v>3436</v>
      </c>
    </row>
    <row r="8" spans="2:19" ht="15" customHeight="1" thickBot="1" x14ac:dyDescent="0.35">
      <c r="B8" s="5287" t="s">
        <v>816</v>
      </c>
      <c r="C8" s="5288"/>
      <c r="D8" s="5288"/>
      <c r="E8" s="5288"/>
      <c r="F8" s="5288"/>
      <c r="G8" s="5288"/>
      <c r="H8" s="5288"/>
      <c r="I8" s="5288"/>
      <c r="J8" s="5289"/>
      <c r="K8" s="2667"/>
      <c r="L8" s="4397"/>
      <c r="M8" s="3099" t="s">
        <v>3225</v>
      </c>
      <c r="N8" s="4397" t="s">
        <v>3368</v>
      </c>
      <c r="O8" s="3100" t="s">
        <v>3437</v>
      </c>
      <c r="P8" s="4397"/>
      <c r="Q8" s="4398"/>
      <c r="R8" s="4398"/>
      <c r="S8" s="4398"/>
    </row>
    <row r="9" spans="2:19" x14ac:dyDescent="0.3">
      <c r="B9" s="4427" t="s">
        <v>3207</v>
      </c>
      <c r="C9" s="4428">
        <f>'Д 7_РП'!G26</f>
        <v>108851.10225142605</v>
      </c>
      <c r="D9" s="4429">
        <v>155.42580000000001</v>
      </c>
      <c r="E9" s="4430">
        <f>SUM(E10:E13)</f>
        <v>16918.269648309695</v>
      </c>
      <c r="F9" s="4431">
        <v>8253</v>
      </c>
      <c r="G9" s="4444">
        <f>SUM(G10:G13)</f>
        <v>14349.677394664714</v>
      </c>
      <c r="H9" s="4428">
        <f>I9/G9*1000</f>
        <v>7449.2400772382107</v>
      </c>
      <c r="I9" s="4428">
        <f>SUM(I10:I13)</f>
        <v>106894.19194377559</v>
      </c>
      <c r="J9" s="4434">
        <f>I9/E9*1000</f>
        <v>6318.2697856134118</v>
      </c>
      <c r="L9" s="4397"/>
      <c r="M9" s="3099">
        <f>SUM(M10:M13)</f>
        <v>14927.9</v>
      </c>
      <c r="N9" s="3101">
        <f>G9-M9</f>
        <v>-578.22260533528606</v>
      </c>
      <c r="O9" s="3150">
        <f>SUM(O10:O13)</f>
        <v>14349.677394664714</v>
      </c>
      <c r="P9" s="3101">
        <f>SUM(P10:P13)</f>
        <v>0</v>
      </c>
      <c r="Q9" s="3102">
        <f>SUM(Q10:Q13)</f>
        <v>106894.19194377559</v>
      </c>
      <c r="R9" s="3102">
        <f>SUM(R10:R13)</f>
        <v>0</v>
      </c>
      <c r="S9" s="3102">
        <f>Q9+R9</f>
        <v>106894.19194377559</v>
      </c>
    </row>
    <row r="10" spans="2:19" x14ac:dyDescent="0.3">
      <c r="B10" s="330" t="s">
        <v>3</v>
      </c>
      <c r="C10" s="4438">
        <f>'Д 7_РП'!M178</f>
        <v>90416.893922520743</v>
      </c>
      <c r="D10" s="4429">
        <v>155.42580000000001</v>
      </c>
      <c r="E10" s="4436">
        <f>C10*D10/1000</f>
        <v>14053.118071422925</v>
      </c>
      <c r="F10" s="4437">
        <f>F9</f>
        <v>8253</v>
      </c>
      <c r="G10" s="4445">
        <f>E10*7000/F10</f>
        <v>11919.52338543081</v>
      </c>
      <c r="H10" s="4429">
        <f>'Вхідні дані'!$D$21</f>
        <v>6183.33</v>
      </c>
      <c r="I10" s="4429">
        <f>G10*H10/1000</f>
        <v>73702.346534835888</v>
      </c>
      <c r="J10" s="4439">
        <f>I10/E10*1000</f>
        <v>5244.5547073791349</v>
      </c>
      <c r="K10" s="3600">
        <v>90417.224596716347</v>
      </c>
      <c r="L10" s="4397">
        <v>1</v>
      </c>
      <c r="M10" s="3099">
        <v>10427.933999999999</v>
      </c>
      <c r="N10" s="3101">
        <f>G10-M10</f>
        <v>1491.5893854308106</v>
      </c>
      <c r="O10" s="3599">
        <f>G10</f>
        <v>11919.52338543081</v>
      </c>
      <c r="P10" s="3101">
        <f>G10-O10</f>
        <v>0</v>
      </c>
      <c r="Q10" s="3103">
        <f>O10*H10/1000</f>
        <v>73702.346534835888</v>
      </c>
      <c r="R10" s="4398">
        <f>P10*H13/1000</f>
        <v>0</v>
      </c>
      <c r="S10" s="3102">
        <f>Q10+R10</f>
        <v>73702.346534835888</v>
      </c>
    </row>
    <row r="11" spans="2:19" x14ac:dyDescent="0.3">
      <c r="B11" s="330" t="s">
        <v>166</v>
      </c>
      <c r="C11" s="4438">
        <f>'Д 7_РП'!M179</f>
        <v>14.626580774398798</v>
      </c>
      <c r="D11" s="4429">
        <v>155.42580000000001</v>
      </c>
      <c r="E11" s="4436">
        <f t="shared" ref="E11:E13" si="0">C11*D11/1000</f>
        <v>2.2733480181255525</v>
      </c>
      <c r="F11" s="4437">
        <f>F10</f>
        <v>8253</v>
      </c>
      <c r="G11" s="4445">
        <f t="shared" ref="G11:G13" si="1">E11*7000/F11</f>
        <v>1.9282001850089503</v>
      </c>
      <c r="H11" s="4429">
        <f>H12</f>
        <v>13658.33</v>
      </c>
      <c r="I11" s="4429">
        <f t="shared" ref="I11:I13" si="2">G11*H11/1000</f>
        <v>26.335994432913296</v>
      </c>
      <c r="J11" s="4439">
        <f>I11/E11*1000</f>
        <v>11584.67345207803</v>
      </c>
      <c r="K11" s="3601">
        <v>14.649119965724701</v>
      </c>
      <c r="L11" s="4397">
        <v>3</v>
      </c>
      <c r="M11" s="3099">
        <v>0</v>
      </c>
      <c r="N11" s="3101">
        <f>G11-M11</f>
        <v>1.9282001850089503</v>
      </c>
      <c r="O11" s="3599">
        <f>G11</f>
        <v>1.9282001850089503</v>
      </c>
      <c r="P11" s="3101">
        <f>G11-O11</f>
        <v>0</v>
      </c>
      <c r="Q11" s="3103">
        <f>O11*H11/1000</f>
        <v>26.335994432913296</v>
      </c>
      <c r="R11" s="4398">
        <f>P11*H13/1000</f>
        <v>0</v>
      </c>
      <c r="S11" s="3102">
        <f>Q11+R11</f>
        <v>26.335994432913296</v>
      </c>
    </row>
    <row r="12" spans="2:19" x14ac:dyDescent="0.3">
      <c r="B12" s="330" t="s">
        <v>97</v>
      </c>
      <c r="C12" s="4438">
        <f>'Д 7_РП'!M180</f>
        <v>13774.986097923565</v>
      </c>
      <c r="D12" s="4429">
        <v>155.42580000000001</v>
      </c>
      <c r="E12" s="4436">
        <f t="shared" si="0"/>
        <v>2140.9882342586484</v>
      </c>
      <c r="F12" s="4437">
        <f>F11</f>
        <v>8253</v>
      </c>
      <c r="G12" s="4445">
        <f t="shared" si="1"/>
        <v>1815.9357372846889</v>
      </c>
      <c r="H12" s="4429">
        <f>'Вхідні дані'!$D$22</f>
        <v>13658.33</v>
      </c>
      <c r="I12" s="4429">
        <f t="shared" si="2"/>
        <v>24802.649558627585</v>
      </c>
      <c r="J12" s="4439">
        <f>I12/E12*1000</f>
        <v>11584.67345207803</v>
      </c>
      <c r="K12" s="3602">
        <v>13775.283562308623</v>
      </c>
      <c r="L12" s="3148">
        <v>3</v>
      </c>
      <c r="M12" s="3099">
        <f>1167.759</f>
        <v>1167.759</v>
      </c>
      <c r="N12" s="3101">
        <f>G12-M12</f>
        <v>648.1767372846889</v>
      </c>
      <c r="O12" s="3599">
        <f>G12</f>
        <v>1815.9357372846889</v>
      </c>
      <c r="P12" s="3101">
        <f>G12-O12</f>
        <v>0</v>
      </c>
      <c r="Q12" s="3103">
        <f>O12*H12/1000</f>
        <v>24802.649558627585</v>
      </c>
      <c r="R12" s="4398">
        <f>P12*H13/1000</f>
        <v>0</v>
      </c>
      <c r="S12" s="3102">
        <f>Q12+R12</f>
        <v>24802.649558627585</v>
      </c>
    </row>
    <row r="13" spans="2:19" ht="15" thickBot="1" x14ac:dyDescent="0.35">
      <c r="B13" s="4440" t="s">
        <v>98</v>
      </c>
      <c r="C13" s="4438">
        <f>'Д 7_РП'!M181</f>
        <v>4644.5956502073523</v>
      </c>
      <c r="D13" s="4429">
        <v>155.42580000000001</v>
      </c>
      <c r="E13" s="4436">
        <f t="shared" si="0"/>
        <v>721.88999460999798</v>
      </c>
      <c r="F13" s="4441">
        <f>F12</f>
        <v>8253</v>
      </c>
      <c r="G13" s="4445">
        <f t="shared" si="1"/>
        <v>612.29007176420521</v>
      </c>
      <c r="H13" s="4442">
        <f>'Вхідні дані'!$D$23</f>
        <v>13658.33</v>
      </c>
      <c r="I13" s="4429">
        <f t="shared" si="2"/>
        <v>8362.8598558791964</v>
      </c>
      <c r="J13" s="4443">
        <f>I13/E13*1000</f>
        <v>11584.67345207803</v>
      </c>
      <c r="K13" s="3601">
        <v>4643.9449722255222</v>
      </c>
      <c r="L13" s="4397">
        <v>2</v>
      </c>
      <c r="M13" s="3099">
        <v>3332.2069999999999</v>
      </c>
      <c r="N13" s="3101">
        <f>G13-M13</f>
        <v>-2719.9169282357948</v>
      </c>
      <c r="O13" s="3599">
        <f>G13</f>
        <v>612.29007176420521</v>
      </c>
      <c r="P13" s="3101">
        <f>G13-O13</f>
        <v>0</v>
      </c>
      <c r="Q13" s="3104">
        <f>G13*H13/1000</f>
        <v>8362.8598558791964</v>
      </c>
      <c r="R13" s="4398">
        <f>0</f>
        <v>0</v>
      </c>
      <c r="S13" s="3102">
        <f>Q13+R13</f>
        <v>8362.8598558791964</v>
      </c>
    </row>
    <row r="14" spans="2:19" ht="15" thickBot="1" x14ac:dyDescent="0.35">
      <c r="B14" s="5290" t="s">
        <v>817</v>
      </c>
      <c r="C14" s="5291"/>
      <c r="D14" s="5291"/>
      <c r="E14" s="5291"/>
      <c r="F14" s="5291"/>
      <c r="G14" s="5291"/>
      <c r="H14" s="5291"/>
      <c r="I14" s="5291"/>
      <c r="J14" s="5292"/>
      <c r="K14" s="2667"/>
    </row>
    <row r="15" spans="2:19" x14ac:dyDescent="0.3">
      <c r="B15" s="4427" t="s">
        <v>3207</v>
      </c>
      <c r="C15" s="4428">
        <f>C9</f>
        <v>108851.10225142605</v>
      </c>
      <c r="D15" s="4444">
        <f>D9</f>
        <v>155.42580000000001</v>
      </c>
      <c r="E15" s="4428">
        <f>E9</f>
        <v>16918.269648309695</v>
      </c>
      <c r="F15" s="4428">
        <f>F9</f>
        <v>8253</v>
      </c>
      <c r="G15" s="4432">
        <f>G9</f>
        <v>14349.677394664714</v>
      </c>
      <c r="H15" s="4447">
        <f>'[38]Вхідні дані'!$D$24*'[38]Вхідні дані'!$D$26</f>
        <v>136.57599999999999</v>
      </c>
      <c r="I15" s="4433">
        <f>SUM(I16:I19)</f>
        <v>1959.8215398537277</v>
      </c>
      <c r="J15" s="4439">
        <f>I15/E15*1000</f>
        <v>115.84054283290925</v>
      </c>
      <c r="K15" s="2668" t="s">
        <v>3211</v>
      </c>
    </row>
    <row r="16" spans="2:19" x14ac:dyDescent="0.3">
      <c r="B16" s="330" t="s">
        <v>3</v>
      </c>
      <c r="C16" s="4429">
        <f t="shared" ref="C16:G19" si="3">C10</f>
        <v>90416.893922520743</v>
      </c>
      <c r="D16" s="4445">
        <f t="shared" si="3"/>
        <v>155.42580000000001</v>
      </c>
      <c r="E16" s="4429">
        <f t="shared" si="3"/>
        <v>14053.118071422925</v>
      </c>
      <c r="F16" s="4429">
        <f t="shared" si="3"/>
        <v>8253</v>
      </c>
      <c r="G16" s="4429">
        <f>G10</f>
        <v>11919.52338543081</v>
      </c>
      <c r="H16" s="4429">
        <f>'[38]Вхідні дані'!$D$24*'[38]Вхідні дані'!$D$26</f>
        <v>136.57599999999999</v>
      </c>
      <c r="I16" s="4435">
        <f>G16*H16/1000</f>
        <v>1627.9208258885981</v>
      </c>
      <c r="J16" s="4439">
        <f>I16/E16*1000</f>
        <v>115.84054283290924</v>
      </c>
      <c r="K16" s="2667"/>
      <c r="L16" s="4422"/>
    </row>
    <row r="17" spans="2:17" x14ac:dyDescent="0.3">
      <c r="B17" s="330" t="s">
        <v>166</v>
      </c>
      <c r="C17" s="4429">
        <f t="shared" si="3"/>
        <v>14.626580774398798</v>
      </c>
      <c r="D17" s="4445">
        <f t="shared" si="3"/>
        <v>155.42580000000001</v>
      </c>
      <c r="E17" s="4429">
        <f t="shared" si="3"/>
        <v>2.2733480181255525</v>
      </c>
      <c r="F17" s="4429">
        <f t="shared" si="3"/>
        <v>8253</v>
      </c>
      <c r="G17" s="4429">
        <f t="shared" si="3"/>
        <v>1.9282001850089503</v>
      </c>
      <c r="H17" s="4429">
        <f>'[38]Вхідні дані'!$D$24*'[38]Вхідні дані'!$D$26</f>
        <v>136.57599999999999</v>
      </c>
      <c r="I17" s="4435">
        <f t="shared" ref="I17:I19" si="4">G17*H17/1000</f>
        <v>0.26334586846778241</v>
      </c>
      <c r="J17" s="4439">
        <f>I17/E17*1000</f>
        <v>115.84054283290925</v>
      </c>
      <c r="K17" s="2667"/>
      <c r="O17" s="4423">
        <f>G11+G12</f>
        <v>1817.8639374696979</v>
      </c>
      <c r="P17" s="4423">
        <f>O17-O12</f>
        <v>1.9282001850090182</v>
      </c>
      <c r="Q17" s="3093">
        <f>P17/O17</f>
        <v>1.0606955478158055E-3</v>
      </c>
    </row>
    <row r="18" spans="2:17" x14ac:dyDescent="0.3">
      <c r="B18" s="330" t="s">
        <v>97</v>
      </c>
      <c r="C18" s="4429">
        <f t="shared" si="3"/>
        <v>13774.986097923565</v>
      </c>
      <c r="D18" s="4445">
        <f t="shared" si="3"/>
        <v>155.42580000000001</v>
      </c>
      <c r="E18" s="4429">
        <f t="shared" si="3"/>
        <v>2140.9882342586484</v>
      </c>
      <c r="F18" s="4429">
        <f t="shared" si="3"/>
        <v>8253</v>
      </c>
      <c r="G18" s="4429">
        <f t="shared" si="3"/>
        <v>1815.9357372846889</v>
      </c>
      <c r="H18" s="4429">
        <f>'[38]Вхідні дані'!$D$24*'[38]Вхідні дані'!$D$26</f>
        <v>136.57599999999999</v>
      </c>
      <c r="I18" s="4435">
        <f t="shared" si="4"/>
        <v>248.01323925539364</v>
      </c>
      <c r="J18" s="4439">
        <f>I18/E18*1000</f>
        <v>115.84054283290922</v>
      </c>
      <c r="K18" s="2667"/>
      <c r="L18" s="3098"/>
      <c r="P18" s="3093">
        <v>1019.053</v>
      </c>
      <c r="Q18" s="3093">
        <f>P18/O17</f>
        <v>0.56057715816642995</v>
      </c>
    </row>
    <row r="19" spans="2:17" ht="15" thickBot="1" x14ac:dyDescent="0.35">
      <c r="B19" s="4440" t="s">
        <v>98</v>
      </c>
      <c r="C19" s="4442">
        <f t="shared" si="3"/>
        <v>4644.5956502073523</v>
      </c>
      <c r="D19" s="4446">
        <f t="shared" si="3"/>
        <v>155.42580000000001</v>
      </c>
      <c r="E19" s="4442">
        <f t="shared" si="3"/>
        <v>721.88999460999798</v>
      </c>
      <c r="F19" s="4442">
        <f t="shared" si="3"/>
        <v>8253</v>
      </c>
      <c r="G19" s="4429">
        <f t="shared" si="3"/>
        <v>612.29007176420521</v>
      </c>
      <c r="H19" s="4448">
        <f>'[38]Вхідні дані'!$D$24*'[38]Вхідні дані'!$D$26</f>
        <v>136.57599999999999</v>
      </c>
      <c r="I19" s="4435">
        <f t="shared" si="4"/>
        <v>83.624128841268089</v>
      </c>
      <c r="J19" s="4443">
        <f>I19/E19*1000</f>
        <v>115.84054283290924</v>
      </c>
      <c r="K19" s="2667"/>
    </row>
    <row r="20" spans="2:17" ht="15" thickBot="1" x14ac:dyDescent="0.35">
      <c r="B20" s="5287" t="s">
        <v>819</v>
      </c>
      <c r="C20" s="5293"/>
      <c r="D20" s="5293"/>
      <c r="E20" s="5293"/>
      <c r="F20" s="5293"/>
      <c r="G20" s="5293"/>
      <c r="H20" s="5293"/>
      <c r="I20" s="5293"/>
      <c r="J20" s="5294"/>
      <c r="K20" s="2667"/>
    </row>
    <row r="21" spans="2:17" ht="14.4" customHeight="1" thickBot="1" x14ac:dyDescent="0.35">
      <c r="B21" s="4427" t="s">
        <v>3207</v>
      </c>
      <c r="C21" s="4428" t="s">
        <v>317</v>
      </c>
      <c r="D21" s="4428" t="s">
        <v>317</v>
      </c>
      <c r="E21" s="4428" t="s">
        <v>317</v>
      </c>
      <c r="F21" s="4428" t="s">
        <v>317</v>
      </c>
      <c r="G21" s="4428">
        <f>(10700.663/12*3+8604.791/12*9)</f>
        <v>9128.7589999999982</v>
      </c>
      <c r="H21" s="4428">
        <f>'[38]Вхідні дані'!$D$25</f>
        <v>1090</v>
      </c>
      <c r="I21" s="4447">
        <f>G21*H21/1000</f>
        <v>9950.3473099999992</v>
      </c>
      <c r="J21" s="4434" t="s">
        <v>317</v>
      </c>
      <c r="K21" s="2667" t="s">
        <v>4024</v>
      </c>
      <c r="L21" s="1306"/>
      <c r="M21" s="1306"/>
      <c r="N21" s="1306"/>
      <c r="O21" s="1306"/>
      <c r="P21" s="2669"/>
      <c r="Q21" s="2670"/>
    </row>
    <row r="22" spans="2:17" ht="15" thickBot="1" x14ac:dyDescent="0.35">
      <c r="B22" s="330" t="s">
        <v>3</v>
      </c>
      <c r="C22" s="4429" t="s">
        <v>317</v>
      </c>
      <c r="D22" s="4429" t="s">
        <v>317</v>
      </c>
      <c r="E22" s="4429" t="s">
        <v>317</v>
      </c>
      <c r="F22" s="4429" t="s">
        <v>317</v>
      </c>
      <c r="G22" s="4438">
        <f>G21*'Д 7_РП'!E153</f>
        <v>7582.780670798792</v>
      </c>
      <c r="H22" s="4429">
        <f>'[38]Вхідні дані'!$D$25</f>
        <v>1090</v>
      </c>
      <c r="I22" s="4447">
        <f t="shared" ref="I22:I25" si="5">G22*H22/1000</f>
        <v>8265.2309311706831</v>
      </c>
      <c r="J22" s="4439" t="s">
        <v>317</v>
      </c>
      <c r="K22" s="4196"/>
      <c r="L22" s="1306"/>
      <c r="M22" s="1306"/>
      <c r="N22" s="1306"/>
      <c r="O22" s="1306"/>
      <c r="P22" s="2669"/>
      <c r="Q22" s="2670"/>
    </row>
    <row r="23" spans="2:17" ht="15" thickBot="1" x14ac:dyDescent="0.35">
      <c r="B23" s="330" t="s">
        <v>166</v>
      </c>
      <c r="C23" s="4429" t="s">
        <v>317</v>
      </c>
      <c r="D23" s="4429" t="s">
        <v>317</v>
      </c>
      <c r="E23" s="4429" t="s">
        <v>317</v>
      </c>
      <c r="F23" s="4429" t="s">
        <v>317</v>
      </c>
      <c r="G23" s="4429">
        <f>G21*'Д 7_РП'!E154</f>
        <v>1.2266529977354519</v>
      </c>
      <c r="H23" s="4429">
        <f>'[38]Вхідні дані'!$D$25</f>
        <v>1090</v>
      </c>
      <c r="I23" s="4447">
        <f t="shared" si="5"/>
        <v>1.3370517675316425</v>
      </c>
      <c r="J23" s="4439" t="s">
        <v>317</v>
      </c>
      <c r="K23" s="4196"/>
      <c r="L23" s="1306"/>
      <c r="M23" s="1306"/>
      <c r="N23" s="1306"/>
      <c r="O23" s="1306"/>
      <c r="P23" s="2669"/>
      <c r="Q23" s="2670"/>
    </row>
    <row r="24" spans="2:17" ht="15" thickBot="1" x14ac:dyDescent="0.35">
      <c r="B24" s="330" t="s">
        <v>97</v>
      </c>
      <c r="C24" s="4429" t="s">
        <v>317</v>
      </c>
      <c r="D24" s="4429" t="s">
        <v>317</v>
      </c>
      <c r="E24" s="4429" t="s">
        <v>317</v>
      </c>
      <c r="F24" s="4429" t="s">
        <v>317</v>
      </c>
      <c r="G24" s="4429">
        <f>G21*'Д 7_РП'!E155</f>
        <v>1155.2343128858595</v>
      </c>
      <c r="H24" s="4429">
        <f>'[38]Вхідні дані'!$D$25</f>
        <v>1090</v>
      </c>
      <c r="I24" s="4447">
        <f t="shared" si="5"/>
        <v>1259.205401045587</v>
      </c>
      <c r="J24" s="4439" t="s">
        <v>317</v>
      </c>
      <c r="K24" s="4196"/>
      <c r="L24" s="1306"/>
      <c r="M24" s="1306"/>
      <c r="N24" s="1306"/>
      <c r="O24" s="1306"/>
      <c r="P24" s="2669"/>
      <c r="Q24" s="2670"/>
    </row>
    <row r="25" spans="2:17" ht="15" thickBot="1" x14ac:dyDescent="0.35">
      <c r="B25" s="4440" t="s">
        <v>98</v>
      </c>
      <c r="C25" s="4442" t="s">
        <v>317</v>
      </c>
      <c r="D25" s="4442" t="s">
        <v>317</v>
      </c>
      <c r="E25" s="4442" t="s">
        <v>317</v>
      </c>
      <c r="F25" s="4442" t="s">
        <v>317</v>
      </c>
      <c r="G25" s="4442">
        <f>G21*'Д 7_РП'!E156</f>
        <v>389.51736331761157</v>
      </c>
      <c r="H25" s="4442">
        <f>'[38]Вхідні дані'!$D$25</f>
        <v>1090</v>
      </c>
      <c r="I25" s="4447">
        <f t="shared" si="5"/>
        <v>424.57392601619659</v>
      </c>
      <c r="J25" s="4443" t="s">
        <v>317</v>
      </c>
      <c r="K25" s="4196"/>
      <c r="L25" s="1306"/>
      <c r="M25" s="1306"/>
      <c r="N25" s="1306"/>
      <c r="O25" s="1306"/>
      <c r="P25" s="2669"/>
      <c r="Q25" s="2670"/>
    </row>
    <row r="26" spans="2:17" ht="15" thickBot="1" x14ac:dyDescent="0.35">
      <c r="B26" s="5287" t="s">
        <v>3210</v>
      </c>
      <c r="C26" s="5293"/>
      <c r="D26" s="5293"/>
      <c r="E26" s="5293"/>
      <c r="F26" s="5293"/>
      <c r="G26" s="5293"/>
      <c r="H26" s="5293"/>
      <c r="I26" s="5293"/>
      <c r="J26" s="5294"/>
      <c r="K26" s="2667"/>
      <c r="L26" s="1306"/>
      <c r="M26" s="1306"/>
      <c r="N26" s="1306"/>
      <c r="O26" s="1306"/>
      <c r="P26" s="2669"/>
      <c r="Q26" s="2670"/>
    </row>
    <row r="27" spans="2:17" s="2672" customFormat="1" ht="26.4" x14ac:dyDescent="0.3">
      <c r="B27" s="4449" t="s">
        <v>3208</v>
      </c>
      <c r="C27" s="4450">
        <f>C9</f>
        <v>108851.10225142605</v>
      </c>
      <c r="D27" s="4451">
        <f>D9</f>
        <v>155.42580000000001</v>
      </c>
      <c r="E27" s="4450">
        <f>E9</f>
        <v>16918.269648309695</v>
      </c>
      <c r="F27" s="4450">
        <f>F9</f>
        <v>8253</v>
      </c>
      <c r="G27" s="4450" t="s">
        <v>317</v>
      </c>
      <c r="H27" s="4450" t="s">
        <v>317</v>
      </c>
      <c r="I27" s="4450">
        <f>I9+I15+I21</f>
        <v>118804.36079362931</v>
      </c>
      <c r="J27" s="4452">
        <f>I27/E27*1000</f>
        <v>7022.2524680884881</v>
      </c>
      <c r="K27" s="2671"/>
    </row>
    <row r="28" spans="2:17" x14ac:dyDescent="0.3">
      <c r="B28" s="330" t="s">
        <v>3</v>
      </c>
      <c r="C28" s="4429">
        <f t="shared" ref="C28:E31" si="6">C10</f>
        <v>90416.893922520743</v>
      </c>
      <c r="D28" s="4445">
        <f t="shared" si="6"/>
        <v>155.42580000000001</v>
      </c>
      <c r="E28" s="4429">
        <f t="shared" si="6"/>
        <v>14053.118071422925</v>
      </c>
      <c r="F28" s="4429">
        <f>F10</f>
        <v>8253</v>
      </c>
      <c r="G28" s="4429" t="s">
        <v>317</v>
      </c>
      <c r="H28" s="4429" t="s">
        <v>317</v>
      </c>
      <c r="I28" s="4429">
        <f>I10+I16+I22</f>
        <v>83595.498291895157</v>
      </c>
      <c r="J28" s="4439">
        <f>I28/E28*1000</f>
        <v>5948.5373898542102</v>
      </c>
      <c r="K28" s="2667"/>
    </row>
    <row r="29" spans="2:17" x14ac:dyDescent="0.3">
      <c r="B29" s="330" t="s">
        <v>166</v>
      </c>
      <c r="C29" s="4429">
        <f t="shared" si="6"/>
        <v>14.626580774398798</v>
      </c>
      <c r="D29" s="4445">
        <f t="shared" si="6"/>
        <v>155.42580000000001</v>
      </c>
      <c r="E29" s="4429">
        <f t="shared" si="6"/>
        <v>2.2733480181255525</v>
      </c>
      <c r="F29" s="4429">
        <f>F11</f>
        <v>8253</v>
      </c>
      <c r="G29" s="4429" t="s">
        <v>317</v>
      </c>
      <c r="H29" s="4429" t="s">
        <v>317</v>
      </c>
      <c r="I29" s="4429">
        <f>I11+I17+I23</f>
        <v>27.936392068912724</v>
      </c>
      <c r="J29" s="4439">
        <f>I29/E29*1000</f>
        <v>12288.65613455311</v>
      </c>
      <c r="K29" s="2667"/>
    </row>
    <row r="30" spans="2:17" x14ac:dyDescent="0.3">
      <c r="B30" s="330" t="s">
        <v>97</v>
      </c>
      <c r="C30" s="4429">
        <f t="shared" si="6"/>
        <v>13774.986097923565</v>
      </c>
      <c r="D30" s="4445">
        <f t="shared" si="6"/>
        <v>155.42580000000001</v>
      </c>
      <c r="E30" s="4429">
        <f t="shared" si="6"/>
        <v>2140.9882342586484</v>
      </c>
      <c r="F30" s="4429">
        <f>F12</f>
        <v>8253</v>
      </c>
      <c r="G30" s="4429" t="s">
        <v>317</v>
      </c>
      <c r="H30" s="4429" t="s">
        <v>317</v>
      </c>
      <c r="I30" s="4429">
        <f>I12+I18+I24</f>
        <v>26309.868198928565</v>
      </c>
      <c r="J30" s="4439">
        <f>I30/E30*1000</f>
        <v>12288.656134553108</v>
      </c>
      <c r="K30" s="2667"/>
    </row>
    <row r="31" spans="2:17" ht="15" thickBot="1" x14ac:dyDescent="0.35">
      <c r="B31" s="4440" t="s">
        <v>98</v>
      </c>
      <c r="C31" s="4442">
        <f t="shared" si="6"/>
        <v>4644.5956502073523</v>
      </c>
      <c r="D31" s="4446">
        <f t="shared" si="6"/>
        <v>155.42580000000001</v>
      </c>
      <c r="E31" s="4442">
        <f t="shared" si="6"/>
        <v>721.88999460999798</v>
      </c>
      <c r="F31" s="4442">
        <f>F13</f>
        <v>8253</v>
      </c>
      <c r="G31" s="4442" t="s">
        <v>317</v>
      </c>
      <c r="H31" s="4442" t="s">
        <v>317</v>
      </c>
      <c r="I31" s="4442">
        <f>I13+I19+I25</f>
        <v>8871.0579107366611</v>
      </c>
      <c r="J31" s="4443">
        <f>I31/E31*1000</f>
        <v>12288.656134553108</v>
      </c>
      <c r="K31" s="2667"/>
    </row>
    <row r="32" spans="2:17" ht="14.4" hidden="1" customHeight="1" x14ac:dyDescent="0.3">
      <c r="B32" s="4453" t="s">
        <v>269</v>
      </c>
      <c r="C32" s="4448">
        <v>0</v>
      </c>
      <c r="D32" s="4448">
        <v>0</v>
      </c>
      <c r="E32" s="4448">
        <v>0</v>
      </c>
      <c r="F32" s="4448">
        <v>0</v>
      </c>
      <c r="G32" s="4448">
        <v>0</v>
      </c>
      <c r="H32" s="4448">
        <v>0</v>
      </c>
      <c r="I32" s="4448">
        <v>0</v>
      </c>
      <c r="J32" s="4454" t="s">
        <v>846</v>
      </c>
    </row>
    <row r="33" spans="2:10" ht="14.4" hidden="1" customHeight="1" x14ac:dyDescent="0.3">
      <c r="B33" s="330" t="s">
        <v>3</v>
      </c>
      <c r="C33" s="4429">
        <v>0</v>
      </c>
      <c r="D33" s="4429">
        <v>0</v>
      </c>
      <c r="E33" s="4429">
        <v>0</v>
      </c>
      <c r="F33" s="4429">
        <v>0</v>
      </c>
      <c r="G33" s="4429">
        <v>0</v>
      </c>
      <c r="H33" s="4429">
        <v>0</v>
      </c>
      <c r="I33" s="4429">
        <v>0</v>
      </c>
      <c r="J33" s="4439">
        <v>0</v>
      </c>
    </row>
    <row r="34" spans="2:10" ht="14.4" hidden="1" customHeight="1" x14ac:dyDescent="0.3">
      <c r="B34" s="330" t="s">
        <v>166</v>
      </c>
      <c r="C34" s="4429">
        <v>0</v>
      </c>
      <c r="D34" s="4429">
        <v>0</v>
      </c>
      <c r="E34" s="4429">
        <v>0</v>
      </c>
      <c r="F34" s="4429">
        <v>0</v>
      </c>
      <c r="G34" s="4429">
        <v>0</v>
      </c>
      <c r="H34" s="4429">
        <v>0</v>
      </c>
      <c r="I34" s="4429">
        <v>0</v>
      </c>
      <c r="J34" s="4439">
        <v>0</v>
      </c>
    </row>
    <row r="35" spans="2:10" ht="14.4" hidden="1" customHeight="1" x14ac:dyDescent="0.3">
      <c r="B35" s="330" t="s">
        <v>97</v>
      </c>
      <c r="C35" s="4429">
        <v>0</v>
      </c>
      <c r="D35" s="4429">
        <v>0</v>
      </c>
      <c r="E35" s="4429">
        <v>0</v>
      </c>
      <c r="F35" s="4429">
        <v>0</v>
      </c>
      <c r="G35" s="4429">
        <v>0</v>
      </c>
      <c r="H35" s="4429">
        <v>0</v>
      </c>
      <c r="I35" s="4429">
        <v>0</v>
      </c>
      <c r="J35" s="4439">
        <v>0</v>
      </c>
    </row>
    <row r="36" spans="2:10" ht="14.4" hidden="1" customHeight="1" x14ac:dyDescent="0.3">
      <c r="B36" s="330" t="s">
        <v>98</v>
      </c>
      <c r="C36" s="4429">
        <v>0</v>
      </c>
      <c r="D36" s="4429">
        <v>0</v>
      </c>
      <c r="E36" s="4429">
        <v>0</v>
      </c>
      <c r="F36" s="4429">
        <v>0</v>
      </c>
      <c r="G36" s="4429">
        <v>0</v>
      </c>
      <c r="H36" s="4429">
        <v>0</v>
      </c>
      <c r="I36" s="4429">
        <v>0</v>
      </c>
      <c r="J36" s="4439">
        <v>0</v>
      </c>
    </row>
    <row r="37" spans="2:10" ht="14.4" hidden="1" customHeight="1" x14ac:dyDescent="0.3">
      <c r="B37" s="330" t="s">
        <v>270</v>
      </c>
      <c r="C37" s="4429">
        <v>0</v>
      </c>
      <c r="D37" s="4429">
        <v>0</v>
      </c>
      <c r="E37" s="4429">
        <v>0</v>
      </c>
      <c r="F37" s="4429">
        <v>0</v>
      </c>
      <c r="G37" s="4429">
        <v>0</v>
      </c>
      <c r="H37" s="4429">
        <v>0</v>
      </c>
      <c r="I37" s="4429">
        <v>0</v>
      </c>
      <c r="J37" s="4439">
        <v>0</v>
      </c>
    </row>
    <row r="38" spans="2:10" ht="14.4" hidden="1" customHeight="1" x14ac:dyDescent="0.3">
      <c r="B38" s="330" t="s">
        <v>3</v>
      </c>
      <c r="C38" s="4429">
        <v>0</v>
      </c>
      <c r="D38" s="4429">
        <v>0</v>
      </c>
      <c r="E38" s="4429">
        <v>0</v>
      </c>
      <c r="F38" s="4429">
        <v>0</v>
      </c>
      <c r="G38" s="4429">
        <v>0</v>
      </c>
      <c r="H38" s="4429">
        <v>0</v>
      </c>
      <c r="I38" s="4429">
        <v>0</v>
      </c>
      <c r="J38" s="4439">
        <v>0</v>
      </c>
    </row>
    <row r="39" spans="2:10" ht="14.4" hidden="1" customHeight="1" x14ac:dyDescent="0.3">
      <c r="B39" s="330" t="s">
        <v>166</v>
      </c>
      <c r="C39" s="4429">
        <v>0</v>
      </c>
      <c r="D39" s="4429">
        <v>0</v>
      </c>
      <c r="E39" s="4429">
        <v>0</v>
      </c>
      <c r="F39" s="4429">
        <v>0</v>
      </c>
      <c r="G39" s="4429">
        <v>0</v>
      </c>
      <c r="H39" s="4429">
        <v>0</v>
      </c>
      <c r="I39" s="4429">
        <v>0</v>
      </c>
      <c r="J39" s="4439">
        <v>0</v>
      </c>
    </row>
    <row r="40" spans="2:10" ht="14.4" hidden="1" customHeight="1" x14ac:dyDescent="0.3">
      <c r="B40" s="330" t="s">
        <v>97</v>
      </c>
      <c r="C40" s="4429">
        <v>0</v>
      </c>
      <c r="D40" s="4429">
        <v>0</v>
      </c>
      <c r="E40" s="4429">
        <v>0</v>
      </c>
      <c r="F40" s="4429">
        <v>0</v>
      </c>
      <c r="G40" s="4429">
        <v>0</v>
      </c>
      <c r="H40" s="4429">
        <v>0</v>
      </c>
      <c r="I40" s="4429">
        <v>0</v>
      </c>
      <c r="J40" s="4439">
        <v>0</v>
      </c>
    </row>
    <row r="41" spans="2:10" ht="14.4" hidden="1" customHeight="1" x14ac:dyDescent="0.3">
      <c r="B41" s="330" t="s">
        <v>98</v>
      </c>
      <c r="C41" s="4429">
        <v>0</v>
      </c>
      <c r="D41" s="4429">
        <v>0</v>
      </c>
      <c r="E41" s="4429">
        <v>0</v>
      </c>
      <c r="F41" s="4429">
        <v>0</v>
      </c>
      <c r="G41" s="4429">
        <v>0</v>
      </c>
      <c r="H41" s="4429">
        <v>0</v>
      </c>
      <c r="I41" s="4429">
        <v>0</v>
      </c>
      <c r="J41" s="4439">
        <v>0</v>
      </c>
    </row>
    <row r="42" spans="2:10" ht="13.95" hidden="1" customHeight="1" x14ac:dyDescent="0.3">
      <c r="B42" s="330" t="s">
        <v>271</v>
      </c>
      <c r="C42" s="4429">
        <v>0</v>
      </c>
      <c r="D42" s="4429">
        <v>0</v>
      </c>
      <c r="E42" s="4429">
        <v>0</v>
      </c>
      <c r="F42" s="4429">
        <v>0</v>
      </c>
      <c r="G42" s="4429">
        <v>0</v>
      </c>
      <c r="H42" s="4429">
        <v>0</v>
      </c>
      <c r="I42" s="4429">
        <v>0</v>
      </c>
      <c r="J42" s="4439">
        <v>0</v>
      </c>
    </row>
    <row r="43" spans="2:10" ht="14.4" hidden="1" customHeight="1" x14ac:dyDescent="0.3">
      <c r="B43" s="330" t="s">
        <v>3</v>
      </c>
      <c r="C43" s="4429">
        <v>0</v>
      </c>
      <c r="D43" s="4429">
        <v>0</v>
      </c>
      <c r="E43" s="4429">
        <v>0</v>
      </c>
      <c r="F43" s="4429">
        <v>0</v>
      </c>
      <c r="G43" s="4429">
        <v>0</v>
      </c>
      <c r="H43" s="4429">
        <v>0</v>
      </c>
      <c r="I43" s="4429">
        <v>0</v>
      </c>
      <c r="J43" s="4439">
        <v>0</v>
      </c>
    </row>
    <row r="44" spans="2:10" ht="14.4" hidden="1" customHeight="1" x14ac:dyDescent="0.3">
      <c r="B44" s="330" t="s">
        <v>166</v>
      </c>
      <c r="C44" s="4429">
        <v>0</v>
      </c>
      <c r="D44" s="4429">
        <v>0</v>
      </c>
      <c r="E44" s="4429">
        <v>0</v>
      </c>
      <c r="F44" s="4429">
        <v>0</v>
      </c>
      <c r="G44" s="4429">
        <v>0</v>
      </c>
      <c r="H44" s="4429">
        <v>0</v>
      </c>
      <c r="I44" s="4429">
        <v>0</v>
      </c>
      <c r="J44" s="4439">
        <v>0</v>
      </c>
    </row>
    <row r="45" spans="2:10" ht="14.4" hidden="1" customHeight="1" x14ac:dyDescent="0.3">
      <c r="B45" s="330" t="s">
        <v>97</v>
      </c>
      <c r="C45" s="4429">
        <v>0</v>
      </c>
      <c r="D45" s="4429">
        <v>0</v>
      </c>
      <c r="E45" s="4429">
        <v>0</v>
      </c>
      <c r="F45" s="4429">
        <v>0</v>
      </c>
      <c r="G45" s="4429">
        <v>0</v>
      </c>
      <c r="H45" s="4429">
        <v>0</v>
      </c>
      <c r="I45" s="4429">
        <v>0</v>
      </c>
      <c r="J45" s="4439">
        <v>0</v>
      </c>
    </row>
    <row r="46" spans="2:10" ht="15" hidden="1" customHeight="1" thickBot="1" x14ac:dyDescent="0.35">
      <c r="B46" s="4455" t="s">
        <v>98</v>
      </c>
      <c r="C46" s="4456"/>
      <c r="D46" s="4456"/>
      <c r="E46" s="4456"/>
      <c r="F46" s="4456"/>
      <c r="G46" s="4456"/>
      <c r="H46" s="4456"/>
      <c r="I46" s="4456"/>
      <c r="J46" s="4457"/>
    </row>
    <row r="47" spans="2:10" ht="26.4" x14ac:dyDescent="0.3">
      <c r="B47" s="4449" t="s">
        <v>272</v>
      </c>
      <c r="C47" s="4450">
        <f>C27+C32+C37+C42</f>
        <v>108851.10225142605</v>
      </c>
      <c r="D47" s="4451">
        <f>E47/C47*1000</f>
        <v>155.42580000000001</v>
      </c>
      <c r="E47" s="4450">
        <f>E27+E32+E37+E42</f>
        <v>16918.269648309695</v>
      </c>
      <c r="F47" s="4428" t="s">
        <v>317</v>
      </c>
      <c r="G47" s="4428" t="s">
        <v>317</v>
      </c>
      <c r="H47" s="4428" t="s">
        <v>317</v>
      </c>
      <c r="I47" s="4450">
        <f>I27+I32+I37+I42</f>
        <v>118804.36079362931</v>
      </c>
      <c r="J47" s="4452">
        <f>I47/E47*1000</f>
        <v>7022.2524680884881</v>
      </c>
    </row>
    <row r="48" spans="2:10" x14ac:dyDescent="0.3">
      <c r="B48" s="330" t="s">
        <v>3</v>
      </c>
      <c r="C48" s="4429">
        <f t="shared" ref="C48:C50" si="7">C28+C33+C38+C43</f>
        <v>90416.893922520743</v>
      </c>
      <c r="D48" s="4445">
        <f>E48/C48*1000</f>
        <v>155.42580000000001</v>
      </c>
      <c r="E48" s="4429">
        <f>E28</f>
        <v>14053.118071422925</v>
      </c>
      <c r="F48" s="4429" t="s">
        <v>317</v>
      </c>
      <c r="G48" s="4429" t="s">
        <v>317</v>
      </c>
      <c r="H48" s="4429" t="s">
        <v>317</v>
      </c>
      <c r="I48" s="4429">
        <f>I28+I33+I38+I43</f>
        <v>83595.498291895157</v>
      </c>
      <c r="J48" s="4439">
        <f>I48/E48*1000</f>
        <v>5948.5373898542102</v>
      </c>
    </row>
    <row r="49" spans="2:10" x14ac:dyDescent="0.3">
      <c r="B49" s="330" t="s">
        <v>166</v>
      </c>
      <c r="C49" s="4429">
        <f t="shared" si="7"/>
        <v>14.626580774398798</v>
      </c>
      <c r="D49" s="4445">
        <f>E49/C49*1000</f>
        <v>155.42579999999998</v>
      </c>
      <c r="E49" s="4429">
        <f t="shared" ref="E49:E51" si="8">E29</f>
        <v>2.2733480181255525</v>
      </c>
      <c r="F49" s="4429" t="s">
        <v>317</v>
      </c>
      <c r="G49" s="4429" t="s">
        <v>317</v>
      </c>
      <c r="H49" s="4429" t="s">
        <v>317</v>
      </c>
      <c r="I49" s="4429">
        <f>I29+I34+I39+I44</f>
        <v>27.936392068912724</v>
      </c>
      <c r="J49" s="4439">
        <f>I49/E49*1000</f>
        <v>12288.65613455311</v>
      </c>
    </row>
    <row r="50" spans="2:10" x14ac:dyDescent="0.3">
      <c r="B50" s="330" t="s">
        <v>97</v>
      </c>
      <c r="C50" s="4429">
        <f t="shared" si="7"/>
        <v>13774.986097923565</v>
      </c>
      <c r="D50" s="4445">
        <f>E50/C50*1000</f>
        <v>155.42580000000001</v>
      </c>
      <c r="E50" s="4429">
        <f t="shared" si="8"/>
        <v>2140.9882342586484</v>
      </c>
      <c r="F50" s="4429" t="s">
        <v>317</v>
      </c>
      <c r="G50" s="4429" t="s">
        <v>317</v>
      </c>
      <c r="H50" s="4429" t="s">
        <v>317</v>
      </c>
      <c r="I50" s="4429">
        <f>I30+I35+I40+I45</f>
        <v>26309.868198928565</v>
      </c>
      <c r="J50" s="4439">
        <f>I50/E50*1000</f>
        <v>12288.656134553108</v>
      </c>
    </row>
    <row r="51" spans="2:10" ht="15" thickBot="1" x14ac:dyDescent="0.35">
      <c r="B51" s="4440" t="s">
        <v>98</v>
      </c>
      <c r="C51" s="4458">
        <f>C31+C36+C41+C46</f>
        <v>4644.5956502073523</v>
      </c>
      <c r="D51" s="4446">
        <f>E51/C51*1000</f>
        <v>155.42580000000004</v>
      </c>
      <c r="E51" s="4429">
        <f t="shared" si="8"/>
        <v>721.88999460999798</v>
      </c>
      <c r="F51" s="4442" t="s">
        <v>317</v>
      </c>
      <c r="G51" s="4442" t="s">
        <v>317</v>
      </c>
      <c r="H51" s="4442" t="s">
        <v>317</v>
      </c>
      <c r="I51" s="4459">
        <f>I31+I36+I41+I46</f>
        <v>8871.0579107366611</v>
      </c>
      <c r="J51" s="4443">
        <f>I51/E51*1000</f>
        <v>12288.656134553108</v>
      </c>
    </row>
    <row r="52" spans="2:10" ht="15" customHeight="1" x14ac:dyDescent="0.3">
      <c r="B52" s="5286"/>
      <c r="C52" s="5286"/>
      <c r="D52" s="5286"/>
      <c r="E52" s="5286"/>
      <c r="F52" s="5286"/>
      <c r="G52" s="5286"/>
      <c r="H52" s="5286"/>
      <c r="I52" s="5286"/>
      <c r="J52" s="5286"/>
    </row>
    <row r="53" spans="2:10" x14ac:dyDescent="0.3">
      <c r="B53" s="468"/>
      <c r="C53" s="468"/>
      <c r="D53" s="468"/>
    </row>
    <row r="54" spans="2:10" ht="14.4" customHeight="1" x14ac:dyDescent="0.3">
      <c r="B54" s="4396" t="str">
        <f>'[39]Вхідні дані'!B13</f>
        <v>Директор підприємства</v>
      </c>
      <c r="C54" s="468"/>
      <c r="D54" s="468"/>
      <c r="E54" s="5286" t="s">
        <v>131</v>
      </c>
      <c r="F54" s="5286"/>
      <c r="H54" s="5298" t="str">
        <f>'[39]Вхідні дані'!F13</f>
        <v>Анатолій ПАНШИН</v>
      </c>
      <c r="I54" s="5298"/>
      <c r="J54" s="5298"/>
    </row>
    <row r="55" spans="2:10" ht="14.4" customHeight="1" x14ac:dyDescent="0.3">
      <c r="B55" s="2660" t="s">
        <v>232</v>
      </c>
      <c r="C55" s="469"/>
      <c r="D55" s="469"/>
      <c r="E55" s="5286" t="s">
        <v>100</v>
      </c>
      <c r="F55" s="5286"/>
      <c r="H55" s="5286" t="s">
        <v>268</v>
      </c>
      <c r="I55" s="5286"/>
      <c r="J55" s="5286"/>
    </row>
    <row r="56" spans="2:10" x14ac:dyDescent="0.3">
      <c r="B56" s="468"/>
      <c r="C56" s="470"/>
      <c r="D56" s="470"/>
    </row>
    <row r="61" spans="2:10" x14ac:dyDescent="0.3">
      <c r="B61" s="2673" t="s">
        <v>3209</v>
      </c>
      <c r="C61" s="2674">
        <f>SUM(C62:C65)</f>
        <v>136806.66827632475</v>
      </c>
      <c r="D61" s="2675">
        <f>SUM(D62:D65)</f>
        <v>1</v>
      </c>
    </row>
    <row r="62" spans="2:10" x14ac:dyDescent="0.3">
      <c r="B62" s="2676" t="str">
        <f>B8</f>
        <v>Постачання природного газу</v>
      </c>
      <c r="C62" s="2677">
        <f>I9</f>
        <v>106894.19194377559</v>
      </c>
      <c r="D62" s="2678">
        <f>C62/C61</f>
        <v>0.7813522052000319</v>
      </c>
    </row>
    <row r="63" spans="2:10" x14ac:dyDescent="0.3">
      <c r="B63" s="2676" t="str">
        <f>B14</f>
        <v>Транспортування природного газу</v>
      </c>
      <c r="C63" s="2677">
        <f>I15</f>
        <v>1959.8215398537277</v>
      </c>
      <c r="D63" s="2678">
        <f>C63/C61</f>
        <v>1.4325482555391542E-2</v>
      </c>
    </row>
    <row r="64" spans="2:10" x14ac:dyDescent="0.3">
      <c r="B64" s="2676" t="str">
        <f>B20</f>
        <v>Розподіл природного газу</v>
      </c>
      <c r="C64" s="2677">
        <f>I21</f>
        <v>9950.3473099999992</v>
      </c>
      <c r="D64" s="2678">
        <f>C64/C61</f>
        <v>7.2732911599762778E-2</v>
      </c>
    </row>
    <row r="65" spans="2:4" x14ac:dyDescent="0.3">
      <c r="B65" s="2673" t="s">
        <v>2333</v>
      </c>
      <c r="C65" s="2674">
        <f>'[39]Д 9_ЕЕ'!D230</f>
        <v>18002.307482695433</v>
      </c>
      <c r="D65" s="2675">
        <f>C65/C61</f>
        <v>0.13158940064481378</v>
      </c>
    </row>
  </sheetData>
  <mergeCells count="20">
    <mergeCell ref="L4:S4"/>
    <mergeCell ref="L6:L7"/>
    <mergeCell ref="H54:J54"/>
    <mergeCell ref="B26:J26"/>
    <mergeCell ref="O6:P6"/>
    <mergeCell ref="Q6:S6"/>
    <mergeCell ref="H55:J55"/>
    <mergeCell ref="B8:J8"/>
    <mergeCell ref="B14:J14"/>
    <mergeCell ref="B20:J20"/>
    <mergeCell ref="E54:F54"/>
    <mergeCell ref="E55:F55"/>
    <mergeCell ref="B52:D52"/>
    <mergeCell ref="E52:G52"/>
    <mergeCell ref="H52:J52"/>
    <mergeCell ref="G2:I2"/>
    <mergeCell ref="G1:J1"/>
    <mergeCell ref="B3:J3"/>
    <mergeCell ref="B4:J4"/>
    <mergeCell ref="B6:J6"/>
  </mergeCells>
  <printOptions horizontalCentered="1"/>
  <pageMargins left="0" right="0" top="0.98425196850393704" bottom="0" header="0.74803149606299213" footer="0"/>
  <pageSetup paperSize="9" fitToHeight="0" orientation="landscape" r:id="rId1"/>
  <headerFooter differentFirst="1">
    <oddHeader>&amp;Rпродовження додатку 8</oddHeader>
  </headerFooter>
  <drawing r:id="rId2"/>
  <legacyDrawing r:id="rId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400-000000000000}">
  <sheetPr codeName="Лист30">
    <tabColor rgb="FF7030A0"/>
    <pageSetUpPr fitToPage="1"/>
  </sheetPr>
  <dimension ref="A1:Z352"/>
  <sheetViews>
    <sheetView zoomScaleNormal="100" zoomScaleSheetLayoutView="85" workbookViewId="0">
      <pane xSplit="4" ySplit="8" topLeftCell="E27" activePane="bottomRight" state="frozen"/>
      <selection pane="topRight" activeCell="E1" sqref="E1"/>
      <selection pane="bottomLeft" activeCell="A9" sqref="A9"/>
      <selection pane="bottomRight" activeCell="C12" sqref="C12"/>
    </sheetView>
  </sheetViews>
  <sheetFormatPr defaultColWidth="9.109375" defaultRowHeight="18" x14ac:dyDescent="0.35"/>
  <cols>
    <col min="1" max="1" width="2.44140625" style="1326" customWidth="1"/>
    <col min="2" max="2" width="31.33203125" style="1326" customWidth="1"/>
    <col min="3" max="3" width="14.5546875" style="1326" customWidth="1"/>
    <col min="4" max="4" width="11.6640625" style="1326" customWidth="1"/>
    <col min="5" max="5" width="11" style="1326" customWidth="1"/>
    <col min="6" max="6" width="9.88671875" style="1326" customWidth="1"/>
    <col min="7" max="7" width="10.5546875" style="1326" customWidth="1"/>
    <col min="8" max="8" width="9.6640625" style="1326" customWidth="1"/>
    <col min="9" max="9" width="9.5546875" style="1326" customWidth="1"/>
    <col min="10" max="10" width="9.6640625" style="1326" customWidth="1"/>
    <col min="11" max="12" width="8.6640625" style="1326" customWidth="1"/>
    <col min="13" max="16" width="8.44140625" style="1326" customWidth="1"/>
    <col min="17" max="17" width="10.33203125" style="1326" customWidth="1"/>
    <col min="18" max="18" width="10.44140625" style="2688" customWidth="1"/>
    <col min="19" max="19" width="25.6640625" style="1326" customWidth="1"/>
    <col min="20" max="20" width="12.88671875" style="1325" customWidth="1"/>
    <col min="21" max="16384" width="9.109375" style="1326"/>
  </cols>
  <sheetData>
    <row r="1" spans="2:17" ht="16.2" customHeight="1" x14ac:dyDescent="0.35">
      <c r="L1" s="5072" t="s">
        <v>3678</v>
      </c>
      <c r="M1" s="5072"/>
      <c r="N1" s="5072"/>
      <c r="O1" s="5072"/>
      <c r="P1" s="5072"/>
      <c r="Q1" s="157"/>
    </row>
    <row r="2" spans="2:17" ht="14.4" customHeight="1" x14ac:dyDescent="0.35">
      <c r="L2" s="1326" t="str">
        <f>'Вхідні дані'!F1</f>
        <v>станом на 01.09.2023 року</v>
      </c>
      <c r="Q2" s="10"/>
    </row>
    <row r="3" spans="2:17" x14ac:dyDescent="0.35">
      <c r="B3" s="5281" t="s">
        <v>451</v>
      </c>
      <c r="C3" s="5281"/>
      <c r="D3" s="5281"/>
      <c r="E3" s="5281"/>
      <c r="F3" s="5281"/>
      <c r="G3" s="5281"/>
      <c r="H3" s="5281"/>
      <c r="I3" s="5281"/>
      <c r="J3" s="5281"/>
      <c r="K3" s="5066"/>
      <c r="L3" s="5066"/>
      <c r="M3" s="5066"/>
      <c r="N3" s="5066"/>
      <c r="O3" s="5066"/>
      <c r="P3" s="5066"/>
      <c r="Q3" s="157"/>
    </row>
    <row r="4" spans="2:17" x14ac:dyDescent="0.35">
      <c r="B4" s="5281" t="s">
        <v>273</v>
      </c>
      <c r="C4" s="5281"/>
      <c r="D4" s="5281"/>
      <c r="E4" s="5281"/>
      <c r="F4" s="5281"/>
      <c r="G4" s="5281"/>
      <c r="H4" s="5281"/>
      <c r="I4" s="5281"/>
      <c r="J4" s="5281"/>
      <c r="K4" s="5281"/>
      <c r="L4" s="5281"/>
      <c r="M4" s="5281"/>
      <c r="N4" s="5281"/>
      <c r="O4" s="5281"/>
      <c r="P4" s="5281"/>
    </row>
    <row r="5" spans="2:17" x14ac:dyDescent="0.35">
      <c r="B5" s="5326" t="s">
        <v>211</v>
      </c>
      <c r="C5" s="5327"/>
      <c r="D5" s="5327"/>
      <c r="E5" s="5327"/>
      <c r="F5" s="5327"/>
      <c r="G5" s="5327"/>
      <c r="H5" s="5327"/>
      <c r="I5" s="5327"/>
      <c r="J5" s="5327"/>
      <c r="K5" s="5327"/>
      <c r="L5" s="5327"/>
      <c r="M5" s="5327"/>
      <c r="N5" s="5327"/>
      <c r="O5" s="5327"/>
      <c r="P5" s="5327"/>
      <c r="Q5" s="157"/>
    </row>
    <row r="6" spans="2:17" x14ac:dyDescent="0.35">
      <c r="B6" s="5328" t="s">
        <v>110</v>
      </c>
      <c r="C6" s="5328" t="s">
        <v>35</v>
      </c>
      <c r="D6" s="99" t="s">
        <v>132</v>
      </c>
      <c r="E6" s="5303" t="s">
        <v>19</v>
      </c>
      <c r="F6" s="5303" t="s">
        <v>20</v>
      </c>
      <c r="G6" s="5303" t="s">
        <v>21</v>
      </c>
      <c r="H6" s="5303" t="s">
        <v>10</v>
      </c>
      <c r="I6" s="5303" t="s">
        <v>11</v>
      </c>
      <c r="J6" s="5303" t="s">
        <v>12</v>
      </c>
      <c r="K6" s="5303" t="s">
        <v>13</v>
      </c>
      <c r="L6" s="5303" t="s">
        <v>133</v>
      </c>
      <c r="M6" s="5303" t="s">
        <v>15</v>
      </c>
      <c r="N6" s="5303" t="s">
        <v>16</v>
      </c>
      <c r="O6" s="5303" t="s">
        <v>17</v>
      </c>
      <c r="P6" s="5303" t="s">
        <v>18</v>
      </c>
      <c r="Q6" s="157"/>
    </row>
    <row r="7" spans="2:17" x14ac:dyDescent="0.35">
      <c r="B7" s="5329"/>
      <c r="C7" s="5329"/>
      <c r="D7" s="99" t="str">
        <f>'Вхідні дані'!$F$6</f>
        <v>2023-2024</v>
      </c>
      <c r="E7" s="5304"/>
      <c r="F7" s="5304"/>
      <c r="G7" s="5304"/>
      <c r="H7" s="5304"/>
      <c r="I7" s="5304"/>
      <c r="J7" s="5304"/>
      <c r="K7" s="5304"/>
      <c r="L7" s="5304"/>
      <c r="M7" s="5304"/>
      <c r="N7" s="5304"/>
      <c r="O7" s="5304"/>
      <c r="P7" s="5304"/>
      <c r="Q7" s="157"/>
    </row>
    <row r="8" spans="2:17" x14ac:dyDescent="0.35">
      <c r="B8" s="2689">
        <v>1</v>
      </c>
      <c r="C8" s="99">
        <v>2</v>
      </c>
      <c r="D8" s="99">
        <v>3</v>
      </c>
      <c r="E8" s="99">
        <v>4</v>
      </c>
      <c r="F8" s="99">
        <v>5</v>
      </c>
      <c r="G8" s="99">
        <v>6</v>
      </c>
      <c r="H8" s="99">
        <v>7</v>
      </c>
      <c r="I8" s="99">
        <v>8</v>
      </c>
      <c r="J8" s="99">
        <v>9</v>
      </c>
      <c r="K8" s="99">
        <v>10</v>
      </c>
      <c r="L8" s="99">
        <v>11</v>
      </c>
      <c r="M8" s="99">
        <v>12</v>
      </c>
      <c r="N8" s="99">
        <v>13</v>
      </c>
      <c r="O8" s="99">
        <v>14</v>
      </c>
      <c r="P8" s="99">
        <v>15</v>
      </c>
    </row>
    <row r="9" spans="2:17" ht="8.4" customHeight="1" x14ac:dyDescent="0.35">
      <c r="B9" s="3793"/>
      <c r="C9" s="3794"/>
      <c r="D9" s="3794"/>
      <c r="E9" s="3794"/>
      <c r="F9" s="3794"/>
      <c r="G9" s="3794"/>
      <c r="H9" s="3794"/>
      <c r="I9" s="3794"/>
      <c r="J9" s="3794"/>
      <c r="K9" s="3794"/>
      <c r="L9" s="3794"/>
      <c r="M9" s="3794"/>
      <c r="N9" s="3794"/>
      <c r="O9" s="3794"/>
      <c r="P9" s="2295"/>
    </row>
    <row r="10" spans="2:17" x14ac:dyDescent="0.35">
      <c r="B10" s="5334" t="s">
        <v>186</v>
      </c>
      <c r="C10" s="5335"/>
      <c r="D10" s="5335"/>
      <c r="E10" s="5335"/>
      <c r="F10" s="5335"/>
      <c r="G10" s="5335"/>
      <c r="H10" s="5335"/>
      <c r="I10" s="5335"/>
      <c r="J10" s="5335"/>
      <c r="K10" s="5335"/>
      <c r="L10" s="5335"/>
      <c r="M10" s="5335"/>
      <c r="N10" s="5335"/>
      <c r="O10" s="5335"/>
      <c r="P10" s="5336"/>
    </row>
    <row r="11" spans="2:17" ht="26.4" x14ac:dyDescent="0.35">
      <c r="B11" s="1" t="s">
        <v>178</v>
      </c>
      <c r="C11" s="99" t="s">
        <v>22</v>
      </c>
      <c r="D11" s="2690">
        <f>'Д 7_РП'!D152</f>
        <v>108675.53267624618</v>
      </c>
      <c r="E11" s="2691">
        <f>'Д 7_РП'!H24</f>
        <v>0</v>
      </c>
      <c r="F11" s="2691">
        <f>'Д 7_РП'!I24-'Д 7_РП'!I39</f>
        <v>13389.073735104335</v>
      </c>
      <c r="G11" s="2691">
        <f>'Д 7_РП'!J24-'Д 7_РП'!J39</f>
        <v>23151.69122678565</v>
      </c>
      <c r="H11" s="2691">
        <f>'Д 7_РП'!K24-'Д 7_РП'!K39</f>
        <v>26532.333331877286</v>
      </c>
      <c r="I11" s="2691">
        <f>'Д 7_РП'!L24-'Д 7_РП'!L39</f>
        <v>22773.357768689184</v>
      </c>
      <c r="J11" s="2691">
        <f>'Д 7_РП'!M24-'Д 7_РП'!M39</f>
        <v>20583.712353058236</v>
      </c>
      <c r="K11" s="2691">
        <f>'Д 7_РП'!N24-'Д 7_РП'!N39</f>
        <v>2245.364260731511</v>
      </c>
      <c r="L11" s="2691">
        <f>'Д 7_РП'!O24</f>
        <v>0</v>
      </c>
      <c r="M11" s="2691">
        <f>'Д 7_РП'!P24</f>
        <v>0</v>
      </c>
      <c r="N11" s="2691">
        <f>'Д 7_РП'!Q24</f>
        <v>0</v>
      </c>
      <c r="O11" s="2691">
        <f>'Д 7_РП'!R24</f>
        <v>0</v>
      </c>
      <c r="P11" s="2691">
        <f>'Д 7_РП'!S24</f>
        <v>0</v>
      </c>
    </row>
    <row r="12" spans="2:17" ht="39.6" x14ac:dyDescent="0.35">
      <c r="B12" s="1" t="s">
        <v>134</v>
      </c>
      <c r="C12" s="99" t="s">
        <v>78</v>
      </c>
      <c r="D12" s="2691">
        <f>D13/D11*1000</f>
        <v>8.4474951804412548</v>
      </c>
      <c r="E12" s="2691">
        <f>IF(E11=0,0,E13/E11*1000)</f>
        <v>0</v>
      </c>
      <c r="F12" s="2691">
        <f t="shared" ref="F12:K12" si="0">F13/F11*1000</f>
        <v>9.4877607316920489</v>
      </c>
      <c r="G12" s="2691">
        <f t="shared" si="0"/>
        <v>7.6986794340051548</v>
      </c>
      <c r="H12" s="2691">
        <f t="shared" si="0"/>
        <v>7.1144216951965928</v>
      </c>
      <c r="I12" s="2691">
        <f t="shared" si="0"/>
        <v>7.6680139270940408</v>
      </c>
      <c r="J12" s="2691">
        <f t="shared" si="0"/>
        <v>7.7785608706078779</v>
      </c>
      <c r="K12" s="2691">
        <f t="shared" si="0"/>
        <v>10.886163593594716</v>
      </c>
      <c r="L12" s="2691">
        <v>0</v>
      </c>
      <c r="M12" s="2691">
        <v>0</v>
      </c>
      <c r="N12" s="2691">
        <v>0</v>
      </c>
      <c r="O12" s="2691">
        <v>0</v>
      </c>
      <c r="P12" s="2691">
        <v>0</v>
      </c>
    </row>
    <row r="13" spans="2:17" ht="26.4" x14ac:dyDescent="0.35">
      <c r="B13" s="1" t="s">
        <v>135</v>
      </c>
      <c r="C13" s="99" t="s">
        <v>136</v>
      </c>
      <c r="D13" s="2692">
        <f>SUM(E13:P13)</f>
        <v>918.03603851447565</v>
      </c>
      <c r="E13" s="3581">
        <f>E299</f>
        <v>9.6063169681980547</v>
      </c>
      <c r="F13" s="3581">
        <f>F299+G299</f>
        <v>127.03232801765229</v>
      </c>
      <c r="G13" s="3581">
        <f>H299</f>
        <v>178.23744911009226</v>
      </c>
      <c r="H13" s="3581">
        <f>I299</f>
        <v>188.76220788049548</v>
      </c>
      <c r="I13" s="3581">
        <f>J299</f>
        <v>174.62642453700394</v>
      </c>
      <c r="J13" s="3581">
        <f>K299</f>
        <v>160.11165948134681</v>
      </c>
      <c r="K13" s="3581">
        <f>M299+L299</f>
        <v>24.443402669534088</v>
      </c>
      <c r="L13" s="3581">
        <f>N299</f>
        <v>10.813467392</v>
      </c>
      <c r="M13" s="3581">
        <f>O299</f>
        <v>12.067974186666666</v>
      </c>
      <c r="N13" s="3581">
        <f>P299</f>
        <v>10.821787392000001</v>
      </c>
      <c r="O13" s="3581">
        <f>Q299</f>
        <v>10.228253013333333</v>
      </c>
      <c r="P13" s="3581">
        <f>R299</f>
        <v>11.284767866152832</v>
      </c>
      <c r="Q13" s="2693">
        <v>0</v>
      </c>
    </row>
    <row r="14" spans="2:17" ht="26.4" x14ac:dyDescent="0.35">
      <c r="B14" s="2694" t="str">
        <f>'Вхідні дані'!$B$28</f>
        <v>Тариф на електричну енергію (діючий), без ПДВ</v>
      </c>
      <c r="C14" s="99" t="s">
        <v>779</v>
      </c>
      <c r="D14" s="2695">
        <f>'Вхідні дані'!$D$28</f>
        <v>4.7651000000000003</v>
      </c>
      <c r="E14" s="2695">
        <f>D14</f>
        <v>4.7651000000000003</v>
      </c>
      <c r="F14" s="2695">
        <f t="shared" ref="F14:P14" si="1">E14</f>
        <v>4.7651000000000003</v>
      </c>
      <c r="G14" s="2695">
        <f t="shared" si="1"/>
        <v>4.7651000000000003</v>
      </c>
      <c r="H14" s="2695">
        <f t="shared" si="1"/>
        <v>4.7651000000000003</v>
      </c>
      <c r="I14" s="2695">
        <f t="shared" si="1"/>
        <v>4.7651000000000003</v>
      </c>
      <c r="J14" s="2695">
        <f t="shared" si="1"/>
        <v>4.7651000000000003</v>
      </c>
      <c r="K14" s="2695">
        <f t="shared" si="1"/>
        <v>4.7651000000000003</v>
      </c>
      <c r="L14" s="2695">
        <f t="shared" si="1"/>
        <v>4.7651000000000003</v>
      </c>
      <c r="M14" s="2695">
        <f t="shared" si="1"/>
        <v>4.7651000000000003</v>
      </c>
      <c r="N14" s="2695">
        <f t="shared" si="1"/>
        <v>4.7651000000000003</v>
      </c>
      <c r="O14" s="2695">
        <f t="shared" si="1"/>
        <v>4.7651000000000003</v>
      </c>
      <c r="P14" s="2695">
        <f t="shared" si="1"/>
        <v>4.7651000000000003</v>
      </c>
      <c r="Q14" s="157"/>
    </row>
    <row r="15" spans="2:17" x14ac:dyDescent="0.35">
      <c r="B15" s="2694" t="s">
        <v>778</v>
      </c>
      <c r="C15" s="99" t="s">
        <v>40</v>
      </c>
      <c r="D15" s="2696">
        <f>D13*D14</f>
        <v>4374.533527125328</v>
      </c>
      <c r="E15" s="2696">
        <f t="shared" ref="E15:P15" si="2">E13*E14</f>
        <v>45.77506098516055</v>
      </c>
      <c r="F15" s="2696">
        <f t="shared" si="2"/>
        <v>605.32174623691492</v>
      </c>
      <c r="G15" s="2696">
        <f t="shared" si="2"/>
        <v>849.31926875450063</v>
      </c>
      <c r="H15" s="2696">
        <f t="shared" si="2"/>
        <v>899.47079677134911</v>
      </c>
      <c r="I15" s="2696">
        <f t="shared" si="2"/>
        <v>832.11237556127753</v>
      </c>
      <c r="J15" s="2696">
        <f t="shared" si="2"/>
        <v>762.94806859456571</v>
      </c>
      <c r="K15" s="2696">
        <f t="shared" si="2"/>
        <v>116.47525806059689</v>
      </c>
      <c r="L15" s="2696">
        <f t="shared" si="2"/>
        <v>51.527253469619204</v>
      </c>
      <c r="M15" s="2696">
        <f t="shared" si="2"/>
        <v>57.505103796885329</v>
      </c>
      <c r="N15" s="2696">
        <f t="shared" si="2"/>
        <v>51.566899101619207</v>
      </c>
      <c r="O15" s="2696">
        <f t="shared" si="2"/>
        <v>48.738648433834669</v>
      </c>
      <c r="P15" s="2696">
        <f t="shared" si="2"/>
        <v>53.773047359004863</v>
      </c>
      <c r="Q15" s="157"/>
    </row>
    <row r="16" spans="2:17" ht="39.6" x14ac:dyDescent="0.35">
      <c r="B16" s="2694" t="str">
        <f>'Вхідні дані'!$B$30</f>
        <v>Тариф на послуги з розподілу електричної енергії, 2 клас напруги, без ПДВ</v>
      </c>
      <c r="C16" s="99" t="s">
        <v>779</v>
      </c>
      <c r="D16" s="2697">
        <f>'Вхідні дані'!$D$30</f>
        <v>1.6650100000000001</v>
      </c>
      <c r="E16" s="2697">
        <f>D16</f>
        <v>1.6650100000000001</v>
      </c>
      <c r="F16" s="2697">
        <f t="shared" ref="F16:P16" si="3">E16</f>
        <v>1.6650100000000001</v>
      </c>
      <c r="G16" s="2697">
        <f t="shared" si="3"/>
        <v>1.6650100000000001</v>
      </c>
      <c r="H16" s="2697">
        <f t="shared" si="3"/>
        <v>1.6650100000000001</v>
      </c>
      <c r="I16" s="2697">
        <f t="shared" si="3"/>
        <v>1.6650100000000001</v>
      </c>
      <c r="J16" s="2697">
        <f t="shared" si="3"/>
        <v>1.6650100000000001</v>
      </c>
      <c r="K16" s="2697">
        <f t="shared" si="3"/>
        <v>1.6650100000000001</v>
      </c>
      <c r="L16" s="2697">
        <f t="shared" si="3"/>
        <v>1.6650100000000001</v>
      </c>
      <c r="M16" s="2697">
        <f t="shared" si="3"/>
        <v>1.6650100000000001</v>
      </c>
      <c r="N16" s="2697">
        <f t="shared" si="3"/>
        <v>1.6650100000000001</v>
      </c>
      <c r="O16" s="2697">
        <f t="shared" si="3"/>
        <v>1.6650100000000001</v>
      </c>
      <c r="P16" s="2697">
        <f t="shared" si="3"/>
        <v>1.6650100000000001</v>
      </c>
      <c r="Q16" s="157"/>
    </row>
    <row r="17" spans="2:26" x14ac:dyDescent="0.35">
      <c r="B17" s="2694" t="s">
        <v>780</v>
      </c>
      <c r="C17" s="99" t="s">
        <v>40</v>
      </c>
      <c r="D17" s="1323">
        <f>D13*D16-X17</f>
        <v>1528.5391844869871</v>
      </c>
      <c r="E17" s="1323">
        <f t="shared" ref="E17:P17" si="4">E13*E16</f>
        <v>15.994613815219443</v>
      </c>
      <c r="F17" s="1323">
        <f t="shared" si="4"/>
        <v>211.51009647267125</v>
      </c>
      <c r="G17" s="1323">
        <f t="shared" si="4"/>
        <v>296.7671351427947</v>
      </c>
      <c r="H17" s="1323">
        <f t="shared" si="4"/>
        <v>314.29096374310382</v>
      </c>
      <c r="I17" s="1323">
        <f t="shared" si="4"/>
        <v>290.75474311835694</v>
      </c>
      <c r="J17" s="1323">
        <f t="shared" si="4"/>
        <v>266.58751415303726</v>
      </c>
      <c r="K17" s="1323">
        <f t="shared" si="4"/>
        <v>40.698509878800955</v>
      </c>
      <c r="L17" s="1323">
        <f t="shared" si="4"/>
        <v>18.004531342353921</v>
      </c>
      <c r="M17" s="1323">
        <f t="shared" si="4"/>
        <v>20.093297700541868</v>
      </c>
      <c r="N17" s="1323">
        <f t="shared" si="4"/>
        <v>18.018384225553923</v>
      </c>
      <c r="O17" s="1323">
        <f t="shared" si="4"/>
        <v>17.030143549730134</v>
      </c>
      <c r="P17" s="1323">
        <f t="shared" si="4"/>
        <v>18.789251344823128</v>
      </c>
      <c r="Q17" s="157"/>
      <c r="V17" s="1325"/>
      <c r="Z17" s="1325"/>
    </row>
    <row r="18" spans="2:26" ht="26.4" x14ac:dyDescent="0.35">
      <c r="B18" s="1" t="s">
        <v>137</v>
      </c>
      <c r="C18" s="99" t="s">
        <v>40</v>
      </c>
      <c r="D18" s="2698">
        <f>D15+D17</f>
        <v>5903.0727116123153</v>
      </c>
      <c r="E18" s="2698">
        <f t="shared" ref="E18:P18" si="5">E15+E17</f>
        <v>61.769674800379995</v>
      </c>
      <c r="F18" s="2698">
        <f t="shared" si="5"/>
        <v>816.83184270958623</v>
      </c>
      <c r="G18" s="2698">
        <f t="shared" si="5"/>
        <v>1146.0864038972954</v>
      </c>
      <c r="H18" s="2698">
        <f t="shared" si="5"/>
        <v>1213.7617605144528</v>
      </c>
      <c r="I18" s="2698">
        <f t="shared" si="5"/>
        <v>1122.8671186796346</v>
      </c>
      <c r="J18" s="2698">
        <f t="shared" si="5"/>
        <v>1029.535582747603</v>
      </c>
      <c r="K18" s="2698">
        <f t="shared" si="5"/>
        <v>157.17376793939783</v>
      </c>
      <c r="L18" s="2698">
        <f t="shared" si="5"/>
        <v>69.531784811973125</v>
      </c>
      <c r="M18" s="2698">
        <f t="shared" si="5"/>
        <v>77.598401497427204</v>
      </c>
      <c r="N18" s="2698">
        <f t="shared" si="5"/>
        <v>69.58528332717313</v>
      </c>
      <c r="O18" s="2698">
        <f t="shared" si="5"/>
        <v>65.768791983564796</v>
      </c>
      <c r="P18" s="2698">
        <f t="shared" si="5"/>
        <v>72.562298703827992</v>
      </c>
      <c r="Q18" s="2654">
        <v>0</v>
      </c>
      <c r="R18" s="1324"/>
    </row>
    <row r="19" spans="2:26" ht="26.4" x14ac:dyDescent="0.35">
      <c r="B19" s="1" t="s">
        <v>179</v>
      </c>
      <c r="C19" s="2724" t="s">
        <v>138</v>
      </c>
      <c r="D19" s="2683">
        <f>SUM(E19:P19)</f>
        <v>234.38912053547335</v>
      </c>
      <c r="E19" s="3581">
        <f>E301</f>
        <v>2.4526446580511148</v>
      </c>
      <c r="F19" s="3581">
        <f>F301+G301</f>
        <v>32.433362520072563</v>
      </c>
      <c r="G19" s="3581">
        <f>H301</f>
        <v>45.50683980881864</v>
      </c>
      <c r="H19" s="3581">
        <f>I301</f>
        <v>48.193977185293129</v>
      </c>
      <c r="I19" s="3581">
        <f>J301</f>
        <v>44.584888122381869</v>
      </c>
      <c r="J19" s="3581">
        <f>K301</f>
        <v>40.879039034278939</v>
      </c>
      <c r="K19" s="3581">
        <f>M301+L301</f>
        <v>6.2407873049051288</v>
      </c>
      <c r="L19" s="3581">
        <f>N301</f>
        <v>2.7608492538606728</v>
      </c>
      <c r="M19" s="3581">
        <f>O301</f>
        <v>3.0811446801529807</v>
      </c>
      <c r="N19" s="3581">
        <f>P301</f>
        <v>2.7629734814520113</v>
      </c>
      <c r="O19" s="3581">
        <f>Q301</f>
        <v>2.6114347670804454</v>
      </c>
      <c r="P19" s="3581">
        <f>R301</f>
        <v>2.8811797191258357</v>
      </c>
      <c r="Q19" s="2654">
        <v>0</v>
      </c>
    </row>
    <row r="20" spans="2:26" ht="39.6" x14ac:dyDescent="0.35">
      <c r="B20" s="1" t="str">
        <f>'Вхідні дані'!$B$32</f>
        <v>Тариф для розрахунку плати за перетікання реактивної електроенергії, без ПДВ</v>
      </c>
      <c r="C20" s="2724" t="s">
        <v>781</v>
      </c>
      <c r="D20" s="2699">
        <f>'Вхідні дані'!$D$32</f>
        <v>6.4440000000000011E-2</v>
      </c>
      <c r="E20" s="2699">
        <f>D20</f>
        <v>6.4440000000000011E-2</v>
      </c>
      <c r="F20" s="2699">
        <f t="shared" ref="F20:P20" si="6">E20</f>
        <v>6.4440000000000011E-2</v>
      </c>
      <c r="G20" s="2699">
        <f t="shared" si="6"/>
        <v>6.4440000000000011E-2</v>
      </c>
      <c r="H20" s="2699">
        <f t="shared" si="6"/>
        <v>6.4440000000000011E-2</v>
      </c>
      <c r="I20" s="2699">
        <f t="shared" si="6"/>
        <v>6.4440000000000011E-2</v>
      </c>
      <c r="J20" s="2699">
        <f t="shared" si="6"/>
        <v>6.4440000000000011E-2</v>
      </c>
      <c r="K20" s="2699">
        <f t="shared" si="6"/>
        <v>6.4440000000000011E-2</v>
      </c>
      <c r="L20" s="2699">
        <f t="shared" si="6"/>
        <v>6.4440000000000011E-2</v>
      </c>
      <c r="M20" s="2699">
        <f t="shared" si="6"/>
        <v>6.4440000000000011E-2</v>
      </c>
      <c r="N20" s="2699">
        <f t="shared" si="6"/>
        <v>6.4440000000000011E-2</v>
      </c>
      <c r="O20" s="2699">
        <f t="shared" si="6"/>
        <v>6.4440000000000011E-2</v>
      </c>
      <c r="P20" s="2699">
        <f t="shared" si="6"/>
        <v>6.4440000000000011E-2</v>
      </c>
      <c r="Q20" s="157" t="s">
        <v>657</v>
      </c>
    </row>
    <row r="21" spans="2:26" ht="26.4" x14ac:dyDescent="0.35">
      <c r="B21" s="1" t="s">
        <v>794</v>
      </c>
      <c r="C21" s="99" t="s">
        <v>40</v>
      </c>
      <c r="D21" s="2700">
        <f>D19*D20</f>
        <v>15.104034927305905</v>
      </c>
      <c r="E21" s="1323">
        <f t="shared" ref="E21:P21" si="7">E19*E20</f>
        <v>0.15804842176481387</v>
      </c>
      <c r="F21" s="1323">
        <f t="shared" si="7"/>
        <v>2.0900058807934765</v>
      </c>
      <c r="G21" s="1323">
        <f t="shared" si="7"/>
        <v>2.9324607572802734</v>
      </c>
      <c r="H21" s="1323">
        <f t="shared" si="7"/>
        <v>3.1056198898202898</v>
      </c>
      <c r="I21" s="1323">
        <f t="shared" si="7"/>
        <v>2.8730501906062882</v>
      </c>
      <c r="J21" s="1323">
        <f t="shared" si="7"/>
        <v>2.6342452753689352</v>
      </c>
      <c r="K21" s="1323">
        <f t="shared" si="7"/>
        <v>0.40215633392808658</v>
      </c>
      <c r="L21" s="1323">
        <f t="shared" si="7"/>
        <v>0.17790912591878177</v>
      </c>
      <c r="M21" s="1323">
        <f t="shared" si="7"/>
        <v>0.1985489631890581</v>
      </c>
      <c r="N21" s="1323">
        <f t="shared" si="7"/>
        <v>0.17804601114476765</v>
      </c>
      <c r="O21" s="1323">
        <f t="shared" si="7"/>
        <v>0.16828085639066392</v>
      </c>
      <c r="P21" s="1323">
        <f t="shared" si="7"/>
        <v>0.18566322110046887</v>
      </c>
    </row>
    <row r="22" spans="2:26" ht="26.4" x14ac:dyDescent="0.35">
      <c r="B22" s="1" t="s">
        <v>793</v>
      </c>
      <c r="C22" s="2724" t="s">
        <v>138</v>
      </c>
      <c r="D22" s="2683">
        <f>SUM(E22:P22)</f>
        <v>265.4831411802117</v>
      </c>
      <c r="E22" s="3581">
        <f>E302</f>
        <v>2.7780120789340601</v>
      </c>
      <c r="F22" s="3581">
        <f>F302+G302</f>
        <v>36.735966845194355</v>
      </c>
      <c r="G22" s="3581">
        <f>H302</f>
        <v>51.543769395224338</v>
      </c>
      <c r="H22" s="3581">
        <f>I302</f>
        <v>54.587381956504601</v>
      </c>
      <c r="I22" s="3581">
        <f>J302</f>
        <v>50.499511755738105</v>
      </c>
      <c r="J22" s="3581">
        <f>K302</f>
        <v>46.302045361386021</v>
      </c>
      <c r="K22" s="3581">
        <f>M302+L302</f>
        <v>7.0686890814672072</v>
      </c>
      <c r="L22" s="3581">
        <f>N302</f>
        <v>3.1271030437142087</v>
      </c>
      <c r="M22" s="3581">
        <f>O302</f>
        <v>3.4898888064811615</v>
      </c>
      <c r="N22" s="3581">
        <f>P302</f>
        <v>3.1295090709745268</v>
      </c>
      <c r="O22" s="3581">
        <f>Q302</f>
        <v>2.9578672566707547</v>
      </c>
      <c r="P22" s="3581">
        <f>R302</f>
        <v>3.2633965279223935</v>
      </c>
      <c r="Q22" s="2693">
        <v>0</v>
      </c>
    </row>
    <row r="23" spans="2:26" ht="39.6" x14ac:dyDescent="0.35">
      <c r="B23" s="1" t="str">
        <f>'Вхідні дані'!$B$34</f>
        <v>Тариф для розрахунку плати за генерацію реактивної електроенергії, без ПДВ</v>
      </c>
      <c r="C23" s="2724" t="s">
        <v>781</v>
      </c>
      <c r="D23" s="2699">
        <f>'Вхідні дані'!$D$34</f>
        <v>7.222166666666667E-2</v>
      </c>
      <c r="E23" s="2699">
        <f>D23</f>
        <v>7.222166666666667E-2</v>
      </c>
      <c r="F23" s="2699">
        <f t="shared" ref="F23:P23" si="8">E23</f>
        <v>7.222166666666667E-2</v>
      </c>
      <c r="G23" s="2699">
        <f t="shared" si="8"/>
        <v>7.222166666666667E-2</v>
      </c>
      <c r="H23" s="2699">
        <f t="shared" si="8"/>
        <v>7.222166666666667E-2</v>
      </c>
      <c r="I23" s="2699">
        <f t="shared" si="8"/>
        <v>7.222166666666667E-2</v>
      </c>
      <c r="J23" s="2699">
        <f t="shared" si="8"/>
        <v>7.222166666666667E-2</v>
      </c>
      <c r="K23" s="2699">
        <f t="shared" si="8"/>
        <v>7.222166666666667E-2</v>
      </c>
      <c r="L23" s="2699">
        <f t="shared" si="8"/>
        <v>7.222166666666667E-2</v>
      </c>
      <c r="M23" s="2699">
        <f t="shared" si="8"/>
        <v>7.222166666666667E-2</v>
      </c>
      <c r="N23" s="2699">
        <f t="shared" si="8"/>
        <v>7.222166666666667E-2</v>
      </c>
      <c r="O23" s="2699">
        <f t="shared" si="8"/>
        <v>7.222166666666667E-2</v>
      </c>
      <c r="P23" s="2699">
        <f t="shared" si="8"/>
        <v>7.222166666666667E-2</v>
      </c>
      <c r="Q23" s="157" t="s">
        <v>657</v>
      </c>
    </row>
    <row r="24" spans="2:26" ht="26.4" x14ac:dyDescent="0.35">
      <c r="B24" s="1" t="s">
        <v>795</v>
      </c>
      <c r="C24" s="99" t="s">
        <v>40</v>
      </c>
      <c r="D24" s="1323">
        <f t="shared" ref="D24:P24" si="9">D22*D23</f>
        <v>19.173634927936856</v>
      </c>
      <c r="E24" s="1323">
        <f t="shared" si="9"/>
        <v>0.20063266236074939</v>
      </c>
      <c r="F24" s="1323">
        <f t="shared" si="9"/>
        <v>2.653132752171345</v>
      </c>
      <c r="G24" s="1323">
        <f t="shared" si="9"/>
        <v>3.7225769320054272</v>
      </c>
      <c r="H24" s="1323">
        <f t="shared" si="9"/>
        <v>3.9423917038686898</v>
      </c>
      <c r="I24" s="1323">
        <f t="shared" si="9"/>
        <v>3.6471589048523323</v>
      </c>
      <c r="J24" s="1323">
        <f t="shared" si="9"/>
        <v>3.3440108860749009</v>
      </c>
      <c r="K24" s="1323">
        <f t="shared" si="9"/>
        <v>0.51051250661203085</v>
      </c>
      <c r="L24" s="1323">
        <f t="shared" si="9"/>
        <v>0.22584459365544635</v>
      </c>
      <c r="M24" s="1323">
        <f t="shared" si="9"/>
        <v>0.25204558608541361</v>
      </c>
      <c r="N24" s="1323">
        <f t="shared" si="9"/>
        <v>0.22601836095423197</v>
      </c>
      <c r="O24" s="1323">
        <f t="shared" si="9"/>
        <v>0.21362210305552304</v>
      </c>
      <c r="P24" s="1323">
        <f t="shared" si="9"/>
        <v>0.23568793624076848</v>
      </c>
      <c r="Q24" s="157" t="s">
        <v>657</v>
      </c>
    </row>
    <row r="25" spans="2:26" ht="26.4" x14ac:dyDescent="0.35">
      <c r="B25" s="1" t="s">
        <v>830</v>
      </c>
      <c r="C25" s="99" t="s">
        <v>40</v>
      </c>
      <c r="D25" s="2698">
        <f>D24+D21</f>
        <v>34.277669855242763</v>
      </c>
      <c r="E25" s="2698">
        <f t="shared" ref="E25:P25" si="10">E24+E21</f>
        <v>0.35868108412556327</v>
      </c>
      <c r="F25" s="2698">
        <f t="shared" si="10"/>
        <v>4.743138632964822</v>
      </c>
      <c r="G25" s="2698">
        <f t="shared" si="10"/>
        <v>6.6550376892857006</v>
      </c>
      <c r="H25" s="2698">
        <f t="shared" si="10"/>
        <v>7.0480115936889796</v>
      </c>
      <c r="I25" s="2698">
        <f t="shared" si="10"/>
        <v>6.52020909545862</v>
      </c>
      <c r="J25" s="2698">
        <f t="shared" si="10"/>
        <v>5.9782561614438361</v>
      </c>
      <c r="K25" s="2698">
        <f t="shared" si="10"/>
        <v>0.91266884054011743</v>
      </c>
      <c r="L25" s="2698">
        <f t="shared" si="10"/>
        <v>0.40375371957422812</v>
      </c>
      <c r="M25" s="2698">
        <f t="shared" si="10"/>
        <v>0.45059454927447173</v>
      </c>
      <c r="N25" s="2698">
        <f t="shared" si="10"/>
        <v>0.40406437209899959</v>
      </c>
      <c r="O25" s="2698">
        <f t="shared" si="10"/>
        <v>0.38190295944618696</v>
      </c>
      <c r="P25" s="2698">
        <f t="shared" si="10"/>
        <v>0.42135115734123735</v>
      </c>
      <c r="Q25" s="157"/>
      <c r="R25" s="2701"/>
    </row>
    <row r="26" spans="2:26" ht="39.6" x14ac:dyDescent="0.35">
      <c r="B26" s="1" t="s">
        <v>180</v>
      </c>
      <c r="C26" s="99" t="s">
        <v>40</v>
      </c>
      <c r="D26" s="2702">
        <f>D18+D25</f>
        <v>5937.3503814675578</v>
      </c>
      <c r="E26" s="2702">
        <f t="shared" ref="E26:P26" si="11">E18+E25</f>
        <v>62.128355884505559</v>
      </c>
      <c r="F26" s="2702">
        <f t="shared" si="11"/>
        <v>821.57498134255104</v>
      </c>
      <c r="G26" s="2702">
        <f t="shared" si="11"/>
        <v>1152.7414415865812</v>
      </c>
      <c r="H26" s="2702">
        <f t="shared" si="11"/>
        <v>1220.8097721081417</v>
      </c>
      <c r="I26" s="2702">
        <f t="shared" si="11"/>
        <v>1129.3873277750931</v>
      </c>
      <c r="J26" s="2702">
        <f t="shared" si="11"/>
        <v>1035.5138389090469</v>
      </c>
      <c r="K26" s="2702">
        <f t="shared" si="11"/>
        <v>158.08643677993794</v>
      </c>
      <c r="L26" s="2702">
        <f t="shared" si="11"/>
        <v>69.935538531547351</v>
      </c>
      <c r="M26" s="2702">
        <f t="shared" si="11"/>
        <v>78.048996046701674</v>
      </c>
      <c r="N26" s="2702">
        <f t="shared" si="11"/>
        <v>69.98934769927213</v>
      </c>
      <c r="O26" s="2702">
        <f t="shared" si="11"/>
        <v>66.15069494301099</v>
      </c>
      <c r="P26" s="2702">
        <f t="shared" si="11"/>
        <v>72.983649861169226</v>
      </c>
      <c r="Q26" s="2654">
        <v>0</v>
      </c>
      <c r="R26" s="2701"/>
    </row>
    <row r="27" spans="2:26" ht="15" customHeight="1" x14ac:dyDescent="0.35">
      <c r="B27" s="5330" t="s">
        <v>181</v>
      </c>
      <c r="C27" s="5331"/>
      <c r="D27" s="5332"/>
      <c r="E27" s="5331"/>
      <c r="F27" s="5331"/>
      <c r="G27" s="5331"/>
      <c r="H27" s="5331"/>
      <c r="I27" s="5331"/>
      <c r="J27" s="5331"/>
      <c r="K27" s="5331"/>
      <c r="L27" s="5331"/>
      <c r="M27" s="5331"/>
      <c r="N27" s="5331"/>
      <c r="O27" s="5331"/>
      <c r="P27" s="5333"/>
    </row>
    <row r="28" spans="2:26" ht="39.6" x14ac:dyDescent="0.35">
      <c r="B28" s="1" t="s">
        <v>3346</v>
      </c>
      <c r="C28" s="2703" t="s">
        <v>182</v>
      </c>
      <c r="D28" s="2704">
        <f>D11</f>
        <v>108675.53267624618</v>
      </c>
      <c r="E28" s="2705">
        <f t="shared" ref="E28:P28" si="12">E11</f>
        <v>0</v>
      </c>
      <c r="F28" s="2705">
        <f t="shared" si="12"/>
        <v>13389.073735104335</v>
      </c>
      <c r="G28" s="2705">
        <f t="shared" si="12"/>
        <v>23151.69122678565</v>
      </c>
      <c r="H28" s="2705">
        <f t="shared" si="12"/>
        <v>26532.333331877286</v>
      </c>
      <c r="I28" s="2705">
        <f t="shared" si="12"/>
        <v>22773.357768689184</v>
      </c>
      <c r="J28" s="2705">
        <f t="shared" si="12"/>
        <v>20583.712353058236</v>
      </c>
      <c r="K28" s="2705">
        <f t="shared" si="12"/>
        <v>2245.364260731511</v>
      </c>
      <c r="L28" s="2705">
        <f t="shared" si="12"/>
        <v>0</v>
      </c>
      <c r="M28" s="2705">
        <f t="shared" si="12"/>
        <v>0</v>
      </c>
      <c r="N28" s="2705">
        <f t="shared" si="12"/>
        <v>0</v>
      </c>
      <c r="O28" s="2705">
        <f t="shared" si="12"/>
        <v>0</v>
      </c>
      <c r="P28" s="2705">
        <f t="shared" si="12"/>
        <v>0</v>
      </c>
      <c r="S28" s="2706"/>
    </row>
    <row r="29" spans="2:26" x14ac:dyDescent="0.35">
      <c r="B29" s="2707" t="s">
        <v>644</v>
      </c>
      <c r="C29" s="2703" t="s">
        <v>182</v>
      </c>
      <c r="D29" s="2683">
        <f>'Д 7_РП'!G28+'Д 7_РП'!G31+'Д 7_РП'!G34+'Д 7_РП'!G37</f>
        <v>18237.362357436083</v>
      </c>
      <c r="E29" s="2683">
        <f>'Д 7_РП'!H77+'Д 7_РП'!H85+'Д 7_РП'!H89+'Д 7_РП'!H93</f>
        <v>0</v>
      </c>
      <c r="F29" s="2683">
        <f>'Д 7_РП'!I28+'Д 7_РП'!I31+'Д 7_РП'!I34+'Д 7_РП'!I37</f>
        <v>2251.229054546046</v>
      </c>
      <c r="G29" s="2683">
        <f>'Д 7_РП'!J28+'Д 7_РП'!J31+'Д 7_РП'!J34+'Д 7_РП'!J37</f>
        <v>3884.5364226124357</v>
      </c>
      <c r="H29" s="2683">
        <f>'Д 7_РП'!K28+'Д 7_РП'!K31+'Д 7_РП'!K34+'Д 7_РП'!K37</f>
        <v>4447.4018465072168</v>
      </c>
      <c r="I29" s="2683">
        <f>'Д 7_РП'!L28+'Д 7_РП'!L31+'Д 7_РП'!L34+'Д 7_РП'!L37</f>
        <v>3819.6300614554598</v>
      </c>
      <c r="J29" s="2683">
        <f>'Д 7_РП'!M28+'Д 7_РП'!M31+'Д 7_РП'!M34+'Д 7_РП'!M37</f>
        <v>3456.9002232306793</v>
      </c>
      <c r="K29" s="2683">
        <f>'Д 7_РП'!N28+'Д 7_РП'!N31+'Д 7_РП'!N34+'Д 7_РП'!N37</f>
        <v>377.66474908424124</v>
      </c>
      <c r="L29" s="2683">
        <f>'Д 7_РП'!O77+'Д 7_РП'!O85+'Д 7_РП'!O89+'Д 7_РП'!O93</f>
        <v>0</v>
      </c>
      <c r="M29" s="2683">
        <f>'Д 7_РП'!P77+'Д 7_РП'!P85+'Д 7_РП'!P89+'Д 7_РП'!P93</f>
        <v>0</v>
      </c>
      <c r="N29" s="2683">
        <f>'Д 7_РП'!Q77+'Д 7_РП'!Q85+'Д 7_РП'!Q89+'Д 7_РП'!Q93</f>
        <v>0</v>
      </c>
      <c r="O29" s="2683">
        <f>'Д 7_РП'!R77+'Д 7_РП'!R85+'Д 7_РП'!R89+'Д 7_РП'!R93</f>
        <v>0</v>
      </c>
      <c r="P29" s="2683">
        <f>'Д 7_РП'!S77+'Д 7_РП'!S85+'Д 7_РП'!S89+'Д 7_РП'!S93</f>
        <v>0</v>
      </c>
      <c r="Q29" s="157" t="s">
        <v>823</v>
      </c>
      <c r="S29" s="2706"/>
    </row>
    <row r="30" spans="2:26" x14ac:dyDescent="0.35">
      <c r="B30" s="2707" t="s">
        <v>643</v>
      </c>
      <c r="C30" s="2703" t="s">
        <v>182</v>
      </c>
      <c r="D30" s="2683">
        <f>'Д 7_РП'!G29+'Д 7_РП'!G32+'Д 7_РП'!G35+'Д 7_РП'!G38</f>
        <v>90438.170318810095</v>
      </c>
      <c r="E30" s="2683">
        <f>'Д 7_РП'!H80+'Д 7_РП'!H86+'Д 7_РП'!H90+'Д 7_РП'!H94</f>
        <v>0</v>
      </c>
      <c r="F30" s="2683">
        <f>'Д 7_РП'!I29+'Д 7_РП'!I32+'Д 7_РП'!I35+'Д 7_РП'!I38</f>
        <v>11137.84468055829</v>
      </c>
      <c r="G30" s="2683">
        <f>'Д 7_РП'!J29+'Д 7_РП'!J32+'Д 7_РП'!J35+'Д 7_РП'!J38</f>
        <v>19267.154804173209</v>
      </c>
      <c r="H30" s="2683">
        <f>'Д 7_РП'!K29+'Д 7_РП'!K32+'Д 7_РП'!K35+'Д 7_РП'!K38</f>
        <v>22084.931485370063</v>
      </c>
      <c r="I30" s="2683">
        <f>'Д 7_РП'!L29+'Д 7_РП'!L32+'Д 7_РП'!L35+'Д 7_РП'!L38</f>
        <v>18953.72770723372</v>
      </c>
      <c r="J30" s="2683">
        <f>'Д 7_РП'!M29+'Д 7_РП'!M32+'Д 7_РП'!M35+'Д 7_РП'!M38</f>
        <v>17126.812129827555</v>
      </c>
      <c r="K30" s="2683">
        <f>'Д 7_РП'!N29+'Д 7_РП'!N32+'Д 7_РП'!N35+'Д 7_РП'!N38</f>
        <v>1867.6995116472694</v>
      </c>
      <c r="L30" s="2683">
        <f>'Д 7_РП'!O80+'Д 7_РП'!O86+'Д 7_РП'!O90+'Д 7_РП'!O94</f>
        <v>0</v>
      </c>
      <c r="M30" s="2683">
        <f>'Д 7_РП'!P80+'Д 7_РП'!P86+'Д 7_РП'!P90+'Д 7_РП'!P94</f>
        <v>0</v>
      </c>
      <c r="N30" s="2683">
        <f>'Д 7_РП'!Q80+'Д 7_РП'!Q86+'Д 7_РП'!Q90+'Д 7_РП'!Q94</f>
        <v>0</v>
      </c>
      <c r="O30" s="2683">
        <f>'Д 7_РП'!R80+'Д 7_РП'!R86+'Д 7_РП'!R90+'Д 7_РП'!R94</f>
        <v>0</v>
      </c>
      <c r="P30" s="2683">
        <f>'Д 7_РП'!S80+'Д 7_РП'!S86+'Д 7_РП'!S90+'Д 7_РП'!S94</f>
        <v>0</v>
      </c>
      <c r="Q30" s="157" t="s">
        <v>823</v>
      </c>
      <c r="S30" s="2706"/>
    </row>
    <row r="31" spans="2:26" ht="39.6" x14ac:dyDescent="0.35">
      <c r="B31" s="1" t="s">
        <v>800</v>
      </c>
      <c r="C31" s="99" t="s">
        <v>183</v>
      </c>
      <c r="D31" s="2687">
        <f>D34/D28*1000</f>
        <v>21.774126784079243</v>
      </c>
      <c r="E31" s="2687">
        <f>IF(E28=0,0,E34/E28*1000)</f>
        <v>0</v>
      </c>
      <c r="F31" s="2687">
        <f t="shared" ref="F31:K31" si="13">IF(F28=0,0,F34/F28*1000)</f>
        <v>27.479937763533609</v>
      </c>
      <c r="G31" s="2687">
        <f t="shared" si="13"/>
        <v>21.042442415096822</v>
      </c>
      <c r="H31" s="2687">
        <f t="shared" si="13"/>
        <v>18.375061337440584</v>
      </c>
      <c r="I31" s="2687">
        <f t="shared" si="13"/>
        <v>20.016664472065759</v>
      </c>
      <c r="J31" s="2687">
        <f t="shared" si="13"/>
        <v>23.655391665649908</v>
      </c>
      <c r="K31" s="2687">
        <f t="shared" si="13"/>
        <v>31.25885432032506</v>
      </c>
      <c r="L31" s="2687">
        <v>0</v>
      </c>
      <c r="M31" s="2687">
        <v>0</v>
      </c>
      <c r="N31" s="2687">
        <v>0</v>
      </c>
      <c r="O31" s="2687">
        <v>0</v>
      </c>
      <c r="P31" s="2687">
        <v>0</v>
      </c>
      <c r="Q31" s="1326" t="s">
        <v>657</v>
      </c>
    </row>
    <row r="32" spans="2:26" x14ac:dyDescent="0.35">
      <c r="B32" s="2707" t="s">
        <v>644</v>
      </c>
      <c r="C32" s="99" t="s">
        <v>183</v>
      </c>
      <c r="D32" s="2687">
        <f>D35/D29*1000</f>
        <v>35.630881716060479</v>
      </c>
      <c r="E32" s="2687">
        <f>IF(E29=0,0,E35/E29*1000)</f>
        <v>0</v>
      </c>
      <c r="F32" s="2687">
        <f t="shared" ref="F32:J33" si="14">IF(F29=0,0,F35/F29*1000)</f>
        <v>44.66464974270454</v>
      </c>
      <c r="G32" s="2687">
        <f t="shared" si="14"/>
        <v>34.485402343372243</v>
      </c>
      <c r="H32" s="2687">
        <f t="shared" si="14"/>
        <v>30.136535351684273</v>
      </c>
      <c r="I32" s="2687">
        <f t="shared" si="14"/>
        <v>32.814608269419224</v>
      </c>
      <c r="J32" s="2687">
        <f t="shared" si="14"/>
        <v>38.738350098312921</v>
      </c>
      <c r="K32" s="2687">
        <f>K35/K29*1000</f>
        <v>49.278000892824366</v>
      </c>
      <c r="L32" s="2687">
        <v>0</v>
      </c>
      <c r="M32" s="2687">
        <v>0</v>
      </c>
      <c r="N32" s="2687">
        <v>0</v>
      </c>
      <c r="O32" s="2687">
        <v>0</v>
      </c>
      <c r="P32" s="2687">
        <v>0</v>
      </c>
      <c r="Q32" s="157" t="s">
        <v>823</v>
      </c>
    </row>
    <row r="33" spans="2:22" x14ac:dyDescent="0.35">
      <c r="B33" s="2707" t="s">
        <v>643</v>
      </c>
      <c r="C33" s="99" t="s">
        <v>183</v>
      </c>
      <c r="D33" s="2687">
        <f>D36/D30*1000</f>
        <v>18.979834729055543</v>
      </c>
      <c r="E33" s="2687">
        <f>IF(E30=0,0,E36/E30*1000)</f>
        <v>0</v>
      </c>
      <c r="F33" s="2687">
        <f t="shared" si="14"/>
        <v>24.006489891788295</v>
      </c>
      <c r="G33" s="2687">
        <f t="shared" si="14"/>
        <v>18.332147719286592</v>
      </c>
      <c r="H33" s="2687">
        <f t="shared" si="14"/>
        <v>16.006568535765162</v>
      </c>
      <c r="I33" s="2687">
        <f t="shared" si="14"/>
        <v>17.437572295146271</v>
      </c>
      <c r="J33" s="2687">
        <f t="shared" si="14"/>
        <v>20.611025791977145</v>
      </c>
      <c r="K33" s="2687">
        <f>K36/K30*1000</f>
        <v>27.615229408192871</v>
      </c>
      <c r="L33" s="2687">
        <v>0</v>
      </c>
      <c r="M33" s="2687">
        <v>0</v>
      </c>
      <c r="N33" s="2687">
        <v>0</v>
      </c>
      <c r="O33" s="2687">
        <v>0</v>
      </c>
      <c r="P33" s="2687">
        <v>0</v>
      </c>
      <c r="Q33" s="157" t="s">
        <v>823</v>
      </c>
    </row>
    <row r="34" spans="2:22" ht="26.4" x14ac:dyDescent="0.35">
      <c r="B34" s="1" t="s">
        <v>799</v>
      </c>
      <c r="C34" s="99" t="s">
        <v>185</v>
      </c>
      <c r="D34" s="2708">
        <f>D35+D36</f>
        <v>2366.3148268199311</v>
      </c>
      <c r="E34" s="2691">
        <f>E35+E36</f>
        <v>1.849167226288809</v>
      </c>
      <c r="F34" s="2691">
        <f t="shared" ref="F34:P34" si="15">F35+F36</f>
        <v>367.93091295202964</v>
      </c>
      <c r="G34" s="2691">
        <f t="shared" si="15"/>
        <v>487.16812945173933</v>
      </c>
      <c r="H34" s="2691">
        <f t="shared" si="15"/>
        <v>487.53325239866444</v>
      </c>
      <c r="I34" s="2691">
        <f t="shared" si="15"/>
        <v>455.84666135816354</v>
      </c>
      <c r="J34" s="2691">
        <f t="shared" si="15"/>
        <v>486.91577764466888</v>
      </c>
      <c r="K34" s="2691">
        <f t="shared" si="15"/>
        <v>70.187514322270673</v>
      </c>
      <c r="L34" s="2691">
        <f t="shared" si="15"/>
        <v>1.7164733195999999</v>
      </c>
      <c r="M34" s="2691">
        <f t="shared" si="15"/>
        <v>1.7026558224000001</v>
      </c>
      <c r="N34" s="2691">
        <f t="shared" si="15"/>
        <v>1.7326424076000002</v>
      </c>
      <c r="O34" s="2691">
        <f t="shared" si="15"/>
        <v>1.5673592376000001</v>
      </c>
      <c r="P34" s="2691">
        <f t="shared" si="15"/>
        <v>2.1642806789057136</v>
      </c>
      <c r="S34" s="1325">
        <f>R34-D34</f>
        <v>-2366.3148268199311</v>
      </c>
    </row>
    <row r="35" spans="2:22" x14ac:dyDescent="0.35">
      <c r="B35" s="2707" t="s">
        <v>644</v>
      </c>
      <c r="C35" s="99" t="s">
        <v>185</v>
      </c>
      <c r="D35" s="2708">
        <f>SUM(E35:P35)</f>
        <v>649.81330097073896</v>
      </c>
      <c r="E35" s="3581">
        <f>E309</f>
        <v>0.58137187431044757</v>
      </c>
      <c r="F35" s="3581">
        <f>F309+G309</f>
        <v>100.55035721189903</v>
      </c>
      <c r="G35" s="3581">
        <f>H309</f>
        <v>133.95980145127373</v>
      </c>
      <c r="H35" s="3581">
        <f>I309</f>
        <v>134.02928297041066</v>
      </c>
      <c r="I35" s="3581">
        <f>J309</f>
        <v>125.33966420075859</v>
      </c>
      <c r="J35" s="3581">
        <f>K309</f>
        <v>133.91461110244614</v>
      </c>
      <c r="K35" s="3581">
        <f>M309+L309</f>
        <v>18.610563842561529</v>
      </c>
      <c r="L35" s="3581">
        <f>N309</f>
        <v>0.55841301729525739</v>
      </c>
      <c r="M35" s="3581">
        <f>O309</f>
        <v>0.54836289730772425</v>
      </c>
      <c r="N35" s="3581">
        <f>P309</f>
        <v>0.56103818864850097</v>
      </c>
      <c r="O35" s="3581">
        <f>Q309</f>
        <v>0.53340524610714946</v>
      </c>
      <c r="P35" s="3581">
        <f>R309</f>
        <v>0.62642896772024592</v>
      </c>
      <c r="Q35" s="157" t="s">
        <v>823</v>
      </c>
      <c r="S35" s="2709">
        <f>R35-D35</f>
        <v>-649.81330097073896</v>
      </c>
    </row>
    <row r="36" spans="2:22" x14ac:dyDescent="0.35">
      <c r="B36" s="2707" t="s">
        <v>643</v>
      </c>
      <c r="C36" s="99" t="s">
        <v>185</v>
      </c>
      <c r="D36" s="2708">
        <f>SUM(E36:P36)</f>
        <v>1716.5015258491919</v>
      </c>
      <c r="E36" s="3581">
        <f>E314</f>
        <v>1.2677953519783614</v>
      </c>
      <c r="F36" s="3581">
        <f>F314+G314</f>
        <v>267.3805557401306</v>
      </c>
      <c r="G36" s="3581">
        <f>H314</f>
        <v>353.2083280004656</v>
      </c>
      <c r="H36" s="3581">
        <f>I314</f>
        <v>353.50396942825375</v>
      </c>
      <c r="I36" s="3581">
        <f>J314</f>
        <v>330.50699715740495</v>
      </c>
      <c r="J36" s="3581">
        <f>K314</f>
        <v>353.00116654222273</v>
      </c>
      <c r="K36" s="3581">
        <f>M314+L314</f>
        <v>51.57695047970914</v>
      </c>
      <c r="L36" s="3581">
        <f>N314</f>
        <v>1.1580603023047427</v>
      </c>
      <c r="M36" s="3581">
        <f>O314</f>
        <v>1.1542929250922758</v>
      </c>
      <c r="N36" s="3581">
        <f>P314</f>
        <v>1.1716042189514992</v>
      </c>
      <c r="O36" s="3581">
        <f>Q314</f>
        <v>1.0339539914928506</v>
      </c>
      <c r="P36" s="3581">
        <f>R314</f>
        <v>1.5378517111854675</v>
      </c>
      <c r="Q36" s="157" t="s">
        <v>823</v>
      </c>
      <c r="S36" s="2709">
        <f>R36-D36</f>
        <v>-1716.5015258491919</v>
      </c>
    </row>
    <row r="37" spans="2:22" ht="26.4" x14ac:dyDescent="0.35">
      <c r="B37" s="2694" t="str">
        <f>'Вхідні дані'!$B$28</f>
        <v>Тариф на електричну енергію (діючий), без ПДВ</v>
      </c>
      <c r="C37" s="99" t="s">
        <v>779</v>
      </c>
      <c r="D37" s="2695">
        <f>'Вхідні дані'!$D$28</f>
        <v>4.7651000000000003</v>
      </c>
      <c r="E37" s="2695">
        <f>D37</f>
        <v>4.7651000000000003</v>
      </c>
      <c r="F37" s="2695">
        <f t="shared" ref="F37:P37" si="16">E37</f>
        <v>4.7651000000000003</v>
      </c>
      <c r="G37" s="2695">
        <f t="shared" si="16"/>
        <v>4.7651000000000003</v>
      </c>
      <c r="H37" s="2695">
        <f t="shared" si="16"/>
        <v>4.7651000000000003</v>
      </c>
      <c r="I37" s="2695">
        <f t="shared" si="16"/>
        <v>4.7651000000000003</v>
      </c>
      <c r="J37" s="2695">
        <f t="shared" si="16"/>
        <v>4.7651000000000003</v>
      </c>
      <c r="K37" s="2695">
        <f t="shared" si="16"/>
        <v>4.7651000000000003</v>
      </c>
      <c r="L37" s="2695">
        <f t="shared" si="16"/>
        <v>4.7651000000000003</v>
      </c>
      <c r="M37" s="2695">
        <f t="shared" si="16"/>
        <v>4.7651000000000003</v>
      </c>
      <c r="N37" s="2695">
        <f t="shared" si="16"/>
        <v>4.7651000000000003</v>
      </c>
      <c r="O37" s="2695">
        <f t="shared" si="16"/>
        <v>4.7651000000000003</v>
      </c>
      <c r="P37" s="2695">
        <f t="shared" si="16"/>
        <v>4.7651000000000003</v>
      </c>
      <c r="Q37" s="157" t="s">
        <v>657</v>
      </c>
    </row>
    <row r="38" spans="2:22" ht="26.4" x14ac:dyDescent="0.35">
      <c r="B38" s="2694" t="s">
        <v>801</v>
      </c>
      <c r="C38" s="99" t="s">
        <v>40</v>
      </c>
      <c r="D38" s="2696">
        <f>D34*D37</f>
        <v>11275.726781279654</v>
      </c>
      <c r="E38" s="2696">
        <f t="shared" ref="E38:P38" si="17">E34*E37</f>
        <v>8.8114667499888046</v>
      </c>
      <c r="F38" s="2696">
        <f t="shared" si="17"/>
        <v>1753.2275933077167</v>
      </c>
      <c r="G38" s="2696">
        <f t="shared" si="17"/>
        <v>2321.4048536504833</v>
      </c>
      <c r="H38" s="2696">
        <f t="shared" si="17"/>
        <v>2323.144701004876</v>
      </c>
      <c r="I38" s="2696">
        <f t="shared" si="17"/>
        <v>2172.1549260377851</v>
      </c>
      <c r="J38" s="2696">
        <f t="shared" si="17"/>
        <v>2320.2023720546117</v>
      </c>
      <c r="K38" s="2696">
        <f t="shared" si="17"/>
        <v>334.45052449705202</v>
      </c>
      <c r="L38" s="2696">
        <f t="shared" si="17"/>
        <v>8.1791670152259606</v>
      </c>
      <c r="M38" s="2696">
        <f t="shared" si="17"/>
        <v>8.1133252593182412</v>
      </c>
      <c r="N38" s="2696">
        <f t="shared" si="17"/>
        <v>8.2562143364547609</v>
      </c>
      <c r="O38" s="2696">
        <f t="shared" si="17"/>
        <v>7.4686235030877608</v>
      </c>
      <c r="P38" s="2696">
        <f t="shared" si="17"/>
        <v>10.313013863053616</v>
      </c>
      <c r="Q38" s="157" t="s">
        <v>657</v>
      </c>
      <c r="R38" s="2688">
        <v>5037.1097660397427</v>
      </c>
    </row>
    <row r="39" spans="2:22" x14ac:dyDescent="0.35">
      <c r="B39" s="2707" t="s">
        <v>644</v>
      </c>
      <c r="C39" s="99" t="s">
        <v>40</v>
      </c>
      <c r="D39" s="2691">
        <f>D35*D37</f>
        <v>3096.4253604556684</v>
      </c>
      <c r="E39" s="2691">
        <f t="shared" ref="E39:P39" si="18">E35*E37</f>
        <v>2.7702951182767137</v>
      </c>
      <c r="F39" s="2691">
        <f t="shared" si="18"/>
        <v>479.13250715042011</v>
      </c>
      <c r="G39" s="2691">
        <f t="shared" si="18"/>
        <v>638.33184989546453</v>
      </c>
      <c r="H39" s="2691">
        <f t="shared" si="18"/>
        <v>638.66293628230392</v>
      </c>
      <c r="I39" s="2691">
        <f t="shared" si="18"/>
        <v>597.25603388303477</v>
      </c>
      <c r="J39" s="2691">
        <f t="shared" si="18"/>
        <v>638.11651336426621</v>
      </c>
      <c r="K39" s="2691">
        <f t="shared" si="18"/>
        <v>88.681197766189953</v>
      </c>
      <c r="L39" s="2691">
        <f t="shared" si="18"/>
        <v>2.660893868713631</v>
      </c>
      <c r="M39" s="2691">
        <f t="shared" si="18"/>
        <v>2.613004041961037</v>
      </c>
      <c r="N39" s="2691">
        <f t="shared" si="18"/>
        <v>2.6734030727289722</v>
      </c>
      <c r="O39" s="2691">
        <f t="shared" si="18"/>
        <v>2.5417293382251782</v>
      </c>
      <c r="P39" s="2691">
        <f t="shared" si="18"/>
        <v>2.9849966740837441</v>
      </c>
      <c r="Q39" s="157" t="s">
        <v>823</v>
      </c>
    </row>
    <row r="40" spans="2:22" x14ac:dyDescent="0.35">
      <c r="B40" s="2707" t="s">
        <v>643</v>
      </c>
      <c r="C40" s="99" t="s">
        <v>40</v>
      </c>
      <c r="D40" s="2691">
        <f>D36*D37</f>
        <v>8179.3014208239847</v>
      </c>
      <c r="E40" s="2691">
        <f t="shared" ref="E40:P40" si="19">E36*E37</f>
        <v>6.04117163171209</v>
      </c>
      <c r="F40" s="2691">
        <f t="shared" si="19"/>
        <v>1274.0950861572965</v>
      </c>
      <c r="G40" s="2691">
        <f t="shared" si="19"/>
        <v>1683.0730037550188</v>
      </c>
      <c r="H40" s="2691">
        <f t="shared" si="19"/>
        <v>1684.4817647225721</v>
      </c>
      <c r="I40" s="2691">
        <f t="shared" si="19"/>
        <v>1574.8988921547505</v>
      </c>
      <c r="J40" s="2691">
        <f t="shared" si="19"/>
        <v>1682.0858586903457</v>
      </c>
      <c r="K40" s="2691">
        <f t="shared" si="19"/>
        <v>245.76932673086205</v>
      </c>
      <c r="L40" s="2691">
        <f t="shared" si="19"/>
        <v>5.51827314651233</v>
      </c>
      <c r="M40" s="2691">
        <f t="shared" si="19"/>
        <v>5.5003212173572038</v>
      </c>
      <c r="N40" s="2691">
        <f t="shared" si="19"/>
        <v>5.5828112637257892</v>
      </c>
      <c r="O40" s="2691">
        <f t="shared" si="19"/>
        <v>4.926894164862583</v>
      </c>
      <c r="P40" s="2691">
        <f t="shared" si="19"/>
        <v>7.3280171889698718</v>
      </c>
      <c r="Q40" s="157" t="s">
        <v>823</v>
      </c>
    </row>
    <row r="41" spans="2:22" ht="39.6" x14ac:dyDescent="0.35">
      <c r="B41" s="2694" t="str">
        <f>'Вхідні дані'!$B$30</f>
        <v>Тариф на послуги з розподілу електричної енергії, 2 клас напруги, без ПДВ</v>
      </c>
      <c r="C41" s="99" t="s">
        <v>779</v>
      </c>
      <c r="D41" s="2697">
        <f>'Вхідні дані'!$D$30</f>
        <v>1.6650100000000001</v>
      </c>
      <c r="E41" s="2697">
        <f>D41</f>
        <v>1.6650100000000001</v>
      </c>
      <c r="F41" s="2697">
        <f t="shared" ref="F41:P41" si="20">E41</f>
        <v>1.6650100000000001</v>
      </c>
      <c r="G41" s="2697">
        <f t="shared" si="20"/>
        <v>1.6650100000000001</v>
      </c>
      <c r="H41" s="2697">
        <f t="shared" si="20"/>
        <v>1.6650100000000001</v>
      </c>
      <c r="I41" s="2697">
        <f t="shared" si="20"/>
        <v>1.6650100000000001</v>
      </c>
      <c r="J41" s="2697">
        <f t="shared" si="20"/>
        <v>1.6650100000000001</v>
      </c>
      <c r="K41" s="2697">
        <f t="shared" si="20"/>
        <v>1.6650100000000001</v>
      </c>
      <c r="L41" s="2697">
        <f t="shared" si="20"/>
        <v>1.6650100000000001</v>
      </c>
      <c r="M41" s="2697">
        <f t="shared" si="20"/>
        <v>1.6650100000000001</v>
      </c>
      <c r="N41" s="2697">
        <f t="shared" si="20"/>
        <v>1.6650100000000001</v>
      </c>
      <c r="O41" s="2697">
        <f t="shared" si="20"/>
        <v>1.6650100000000001</v>
      </c>
      <c r="P41" s="2697">
        <f t="shared" si="20"/>
        <v>1.6650100000000001</v>
      </c>
      <c r="Q41" s="157" t="s">
        <v>657</v>
      </c>
    </row>
    <row r="42" spans="2:22" ht="26.4" x14ac:dyDescent="0.35">
      <c r="B42" s="2694" t="s">
        <v>802</v>
      </c>
      <c r="C42" s="99" t="s">
        <v>40</v>
      </c>
      <c r="D42" s="1323">
        <f>D34*D41-X42</f>
        <v>3939.9378498034539</v>
      </c>
      <c r="E42" s="1323">
        <f t="shared" ref="E42:P42" si="21">E34*E41</f>
        <v>3.0788819234431299</v>
      </c>
      <c r="F42" s="1323">
        <f t="shared" si="21"/>
        <v>612.6086493742589</v>
      </c>
      <c r="G42" s="1323">
        <f t="shared" si="21"/>
        <v>811.13980721844052</v>
      </c>
      <c r="H42" s="1323">
        <f t="shared" si="21"/>
        <v>811.74774057630032</v>
      </c>
      <c r="I42" s="1323">
        <f t="shared" si="21"/>
        <v>758.98924962795593</v>
      </c>
      <c r="J42" s="1323">
        <f t="shared" si="21"/>
        <v>810.7196389361502</v>
      </c>
      <c r="K42" s="1323">
        <f t="shared" si="21"/>
        <v>116.8629132217239</v>
      </c>
      <c r="L42" s="1323">
        <f t="shared" si="21"/>
        <v>2.857945241867196</v>
      </c>
      <c r="M42" s="1323">
        <f t="shared" si="21"/>
        <v>2.8349389708542243</v>
      </c>
      <c r="N42" s="1323">
        <f t="shared" si="21"/>
        <v>2.8848669350780765</v>
      </c>
      <c r="O42" s="1323">
        <f t="shared" si="21"/>
        <v>2.6096688041963763</v>
      </c>
      <c r="P42" s="1323">
        <f t="shared" si="21"/>
        <v>3.6035489731848025</v>
      </c>
      <c r="Q42" s="157" t="s">
        <v>657</v>
      </c>
      <c r="V42" s="1325"/>
    </row>
    <row r="43" spans="2:22" x14ac:dyDescent="0.35">
      <c r="B43" s="2707" t="s">
        <v>644</v>
      </c>
      <c r="C43" s="99" t="s">
        <v>40</v>
      </c>
      <c r="D43" s="2683">
        <f>D35*D41</f>
        <v>1081.9456442492901</v>
      </c>
      <c r="E43" s="2683">
        <f t="shared" ref="E43:P43" si="22">E35*E41</f>
        <v>0.96798998444563833</v>
      </c>
      <c r="F43" s="2683">
        <f t="shared" si="22"/>
        <v>167.417350261384</v>
      </c>
      <c r="G43" s="2683">
        <f t="shared" si="22"/>
        <v>223.04440901438528</v>
      </c>
      <c r="H43" s="2683">
        <f t="shared" si="22"/>
        <v>223.16009643856347</v>
      </c>
      <c r="I43" s="2683">
        <f t="shared" si="22"/>
        <v>208.69179429090508</v>
      </c>
      <c r="J43" s="2683">
        <f t="shared" si="22"/>
        <v>222.96916663168386</v>
      </c>
      <c r="K43" s="2683">
        <f t="shared" si="22"/>
        <v>30.986774903503374</v>
      </c>
      <c r="L43" s="2683">
        <f t="shared" si="22"/>
        <v>0.92976325792677661</v>
      </c>
      <c r="M43" s="2683">
        <f t="shared" si="22"/>
        <v>0.91302970764633407</v>
      </c>
      <c r="N43" s="2683">
        <f t="shared" si="22"/>
        <v>0.9341341944816407</v>
      </c>
      <c r="O43" s="2683">
        <f t="shared" si="22"/>
        <v>0.88812506882086495</v>
      </c>
      <c r="P43" s="2683">
        <f t="shared" si="22"/>
        <v>1.0430104955438868</v>
      </c>
      <c r="Q43" s="157" t="s">
        <v>823</v>
      </c>
    </row>
    <row r="44" spans="2:22" x14ac:dyDescent="0.35">
      <c r="B44" s="2707" t="s">
        <v>643</v>
      </c>
      <c r="C44" s="99" t="s">
        <v>40</v>
      </c>
      <c r="D44" s="2683">
        <f>D36*D41</f>
        <v>2857.9922055541633</v>
      </c>
      <c r="E44" s="2683">
        <f t="shared" ref="E44:P44" si="23">E36*E41</f>
        <v>2.1108919389974914</v>
      </c>
      <c r="F44" s="2683">
        <f t="shared" si="23"/>
        <v>445.1912991128749</v>
      </c>
      <c r="G44" s="2683">
        <f t="shared" si="23"/>
        <v>588.0953982040553</v>
      </c>
      <c r="H44" s="2683">
        <f t="shared" si="23"/>
        <v>588.58764413773679</v>
      </c>
      <c r="I44" s="2683">
        <f t="shared" si="23"/>
        <v>550.29745533705091</v>
      </c>
      <c r="J44" s="2683">
        <f t="shared" si="23"/>
        <v>587.75047230446626</v>
      </c>
      <c r="K44" s="2683">
        <f t="shared" si="23"/>
        <v>85.876138318220526</v>
      </c>
      <c r="L44" s="2683">
        <f t="shared" si="23"/>
        <v>1.9281819839404197</v>
      </c>
      <c r="M44" s="2683">
        <f t="shared" si="23"/>
        <v>1.9219092632078902</v>
      </c>
      <c r="N44" s="2683">
        <f t="shared" si="23"/>
        <v>1.9507327405964359</v>
      </c>
      <c r="O44" s="2683">
        <f t="shared" si="23"/>
        <v>1.7215437353755112</v>
      </c>
      <c r="P44" s="2683">
        <f t="shared" si="23"/>
        <v>2.5605384776409155</v>
      </c>
      <c r="Q44" s="157" t="s">
        <v>823</v>
      </c>
    </row>
    <row r="45" spans="2:22" ht="26.4" x14ac:dyDescent="0.35">
      <c r="B45" s="1" t="s">
        <v>824</v>
      </c>
      <c r="C45" s="99" t="s">
        <v>40</v>
      </c>
      <c r="D45" s="2698">
        <f>D38+D42</f>
        <v>15215.664631083109</v>
      </c>
      <c r="E45" s="2698">
        <f t="shared" ref="E45:P45" si="24">E38+E42</f>
        <v>11.890348673431934</v>
      </c>
      <c r="F45" s="2698">
        <f t="shared" si="24"/>
        <v>2365.8362426819758</v>
      </c>
      <c r="G45" s="2698">
        <f t="shared" si="24"/>
        <v>3132.544660868924</v>
      </c>
      <c r="H45" s="2698">
        <f t="shared" si="24"/>
        <v>3134.8924415811762</v>
      </c>
      <c r="I45" s="2698">
        <f t="shared" si="24"/>
        <v>2931.1441756657409</v>
      </c>
      <c r="J45" s="2698">
        <f t="shared" si="24"/>
        <v>3130.9220109907619</v>
      </c>
      <c r="K45" s="2698">
        <f t="shared" si="24"/>
        <v>451.3134377187759</v>
      </c>
      <c r="L45" s="2698">
        <f t="shared" si="24"/>
        <v>11.037112257093156</v>
      </c>
      <c r="M45" s="2698">
        <f t="shared" si="24"/>
        <v>10.948264230172466</v>
      </c>
      <c r="N45" s="2698">
        <f t="shared" si="24"/>
        <v>11.141081271532837</v>
      </c>
      <c r="O45" s="2698">
        <f t="shared" si="24"/>
        <v>10.078292307284137</v>
      </c>
      <c r="P45" s="2698">
        <f t="shared" si="24"/>
        <v>13.916562836238418</v>
      </c>
      <c r="Q45" s="157" t="s">
        <v>657</v>
      </c>
      <c r="R45" s="2688">
        <v>7319.8803239470981</v>
      </c>
      <c r="S45" s="1325">
        <f>D45-R45</f>
        <v>7895.7843071360112</v>
      </c>
    </row>
    <row r="46" spans="2:22" x14ac:dyDescent="0.35">
      <c r="B46" s="2707" t="s">
        <v>644</v>
      </c>
      <c r="C46" s="99" t="s">
        <v>40</v>
      </c>
      <c r="D46" s="2683">
        <f t="shared" ref="D46:P47" si="25">D39+D43</f>
        <v>4178.371004704959</v>
      </c>
      <c r="E46" s="2683">
        <f t="shared" si="25"/>
        <v>3.7382851027223518</v>
      </c>
      <c r="F46" s="2683">
        <f t="shared" si="25"/>
        <v>646.54985741180417</v>
      </c>
      <c r="G46" s="2683">
        <f t="shared" si="25"/>
        <v>861.37625890984987</v>
      </c>
      <c r="H46" s="2683">
        <f t="shared" si="25"/>
        <v>861.82303272086733</v>
      </c>
      <c r="I46" s="2683">
        <f t="shared" si="25"/>
        <v>805.9478281739398</v>
      </c>
      <c r="J46" s="2683">
        <f t="shared" si="25"/>
        <v>861.08567999595004</v>
      </c>
      <c r="K46" s="2683">
        <f t="shared" si="25"/>
        <v>119.66797266969333</v>
      </c>
      <c r="L46" s="2683">
        <f t="shared" si="25"/>
        <v>3.5906571266404077</v>
      </c>
      <c r="M46" s="2683">
        <f t="shared" si="25"/>
        <v>3.5260337496073708</v>
      </c>
      <c r="N46" s="2683">
        <f t="shared" si="25"/>
        <v>3.607537267210613</v>
      </c>
      <c r="O46" s="2683">
        <f t="shared" si="25"/>
        <v>3.4298544070460433</v>
      </c>
      <c r="P46" s="2683">
        <f t="shared" si="25"/>
        <v>4.0280071696276307</v>
      </c>
      <c r="Q46" s="157" t="s">
        <v>823</v>
      </c>
    </row>
    <row r="47" spans="2:22" x14ac:dyDescent="0.35">
      <c r="B47" s="2707" t="s">
        <v>643</v>
      </c>
      <c r="C47" s="99" t="s">
        <v>40</v>
      </c>
      <c r="D47" s="2683">
        <f t="shared" si="25"/>
        <v>11037.293626378148</v>
      </c>
      <c r="E47" s="2683">
        <f t="shared" si="25"/>
        <v>8.152063570709581</v>
      </c>
      <c r="F47" s="2683">
        <f t="shared" si="25"/>
        <v>1719.2863852701714</v>
      </c>
      <c r="G47" s="2683">
        <f t="shared" si="25"/>
        <v>2271.1684019590739</v>
      </c>
      <c r="H47" s="2683">
        <f t="shared" si="25"/>
        <v>2273.0694088603086</v>
      </c>
      <c r="I47" s="2683">
        <f t="shared" si="25"/>
        <v>2125.1963474918011</v>
      </c>
      <c r="J47" s="2683">
        <f t="shared" si="25"/>
        <v>2269.8363309948118</v>
      </c>
      <c r="K47" s="2683">
        <f t="shared" si="25"/>
        <v>331.64546504908259</v>
      </c>
      <c r="L47" s="2683">
        <f t="shared" si="25"/>
        <v>7.4464551304527493</v>
      </c>
      <c r="M47" s="2683">
        <f t="shared" si="25"/>
        <v>7.4222304805650943</v>
      </c>
      <c r="N47" s="2683">
        <f t="shared" si="25"/>
        <v>7.5335440043222253</v>
      </c>
      <c r="O47" s="2683">
        <f t="shared" si="25"/>
        <v>6.6484379002380942</v>
      </c>
      <c r="P47" s="2683">
        <f t="shared" si="25"/>
        <v>9.8885556666107881</v>
      </c>
      <c r="Q47" s="157" t="s">
        <v>823</v>
      </c>
    </row>
    <row r="48" spans="2:22" ht="26.4" x14ac:dyDescent="0.35">
      <c r="B48" s="1" t="s">
        <v>826</v>
      </c>
      <c r="C48" s="2724" t="s">
        <v>138</v>
      </c>
      <c r="D48" s="2683">
        <f>D49+D50</f>
        <v>600.36215801789695</v>
      </c>
      <c r="E48" s="2691">
        <f>E49+E50</f>
        <v>0.46915567359338473</v>
      </c>
      <c r="F48" s="2691">
        <f t="shared" ref="F48:P48" si="26">F49+F50</f>
        <v>93.3484396910237</v>
      </c>
      <c r="G48" s="2691">
        <f t="shared" si="26"/>
        <v>123.60033677693093</v>
      </c>
      <c r="H48" s="2691">
        <f t="shared" si="26"/>
        <v>123.69297280231237</v>
      </c>
      <c r="I48" s="2691">
        <f t="shared" si="26"/>
        <v>115.6537085583102</v>
      </c>
      <c r="J48" s="2691">
        <f t="shared" si="26"/>
        <v>123.53631212824283</v>
      </c>
      <c r="K48" s="2691">
        <f t="shared" si="26"/>
        <v>17.807405458832903</v>
      </c>
      <c r="L48" s="2691">
        <f t="shared" si="26"/>
        <v>0.43548965448527682</v>
      </c>
      <c r="M48" s="2691">
        <f t="shared" si="26"/>
        <v>0.43198399144189115</v>
      </c>
      <c r="N48" s="2691">
        <f t="shared" si="26"/>
        <v>0.43959194402631263</v>
      </c>
      <c r="O48" s="2691">
        <f t="shared" si="26"/>
        <v>0.39765764200505838</v>
      </c>
      <c r="P48" s="2691">
        <f t="shared" si="26"/>
        <v>0.54910369669215187</v>
      </c>
      <c r="Q48" s="157" t="s">
        <v>657</v>
      </c>
    </row>
    <row r="49" spans="2:17" x14ac:dyDescent="0.35">
      <c r="B49" s="2707" t="s">
        <v>644</v>
      </c>
      <c r="C49" s="2724" t="s">
        <v>138</v>
      </c>
      <c r="D49" s="2683">
        <f>SUM(E49:P49)</f>
        <v>164.86534727241232</v>
      </c>
      <c r="E49" s="3581">
        <f>E311</f>
        <v>0.14750094497822722</v>
      </c>
      <c r="F49" s="3581">
        <f>F311+G311</f>
        <v>25.510819085021023</v>
      </c>
      <c r="G49" s="3581">
        <f>H311</f>
        <v>33.98719163460482</v>
      </c>
      <c r="H49" s="3581">
        <f>I311</f>
        <v>34.004819920705472</v>
      </c>
      <c r="I49" s="3581">
        <f>J311</f>
        <v>31.800160499324885</v>
      </c>
      <c r="J49" s="3581">
        <f>K311</f>
        <v>33.975726306730344</v>
      </c>
      <c r="K49" s="3581">
        <f>M311+L311</f>
        <v>4.7217209408544702</v>
      </c>
      <c r="L49" s="3581">
        <f>N311</f>
        <v>0.14167601044836686</v>
      </c>
      <c r="M49" s="3581">
        <f>O311</f>
        <v>0.13912617571983971</v>
      </c>
      <c r="N49" s="3581">
        <f>P311</f>
        <v>0.14234204757957908</v>
      </c>
      <c r="O49" s="3581">
        <f>Q311</f>
        <v>0.1353312420737009</v>
      </c>
      <c r="P49" s="3581">
        <f>R311</f>
        <v>0.15893246437155895</v>
      </c>
      <c r="Q49" s="157" t="s">
        <v>823</v>
      </c>
    </row>
    <row r="50" spans="2:17" x14ac:dyDescent="0.35">
      <c r="B50" s="2707" t="s">
        <v>643</v>
      </c>
      <c r="C50" s="2724" t="s">
        <v>138</v>
      </c>
      <c r="D50" s="2683">
        <f>SUM(E50:P50)</f>
        <v>435.49681074548465</v>
      </c>
      <c r="E50" s="3581">
        <f>E316</f>
        <v>0.32165472861515748</v>
      </c>
      <c r="F50" s="3581">
        <f>F316+G316</f>
        <v>67.837620606002673</v>
      </c>
      <c r="G50" s="3581">
        <f>H316</f>
        <v>89.613145142326104</v>
      </c>
      <c r="H50" s="3581">
        <f>I316</f>
        <v>89.688152881606896</v>
      </c>
      <c r="I50" s="3581">
        <f>J316</f>
        <v>83.853548058985311</v>
      </c>
      <c r="J50" s="3581">
        <f>K316</f>
        <v>89.56058582151249</v>
      </c>
      <c r="K50" s="3581">
        <f>M316+L316</f>
        <v>13.085684517978434</v>
      </c>
      <c r="L50" s="3581">
        <f>N316</f>
        <v>0.29381364403690996</v>
      </c>
      <c r="M50" s="3581">
        <f>O316</f>
        <v>0.29285781572205144</v>
      </c>
      <c r="N50" s="3581">
        <f>P316</f>
        <v>0.29724989644673355</v>
      </c>
      <c r="O50" s="3581">
        <f>Q316</f>
        <v>0.26232639993135748</v>
      </c>
      <c r="P50" s="3581">
        <f>R316</f>
        <v>0.39017123232059292</v>
      </c>
      <c r="Q50" s="157" t="s">
        <v>823</v>
      </c>
    </row>
    <row r="51" spans="2:17" ht="39.6" x14ac:dyDescent="0.35">
      <c r="B51" s="1" t="str">
        <f>'Вхідні дані'!$B$32</f>
        <v>Тариф для розрахунку плати за перетікання реактивної електроенергії, без ПДВ</v>
      </c>
      <c r="C51" s="2724" t="s">
        <v>781</v>
      </c>
      <c r="D51" s="2699">
        <f>'Вхідні дані'!$D$32</f>
        <v>6.4440000000000011E-2</v>
      </c>
      <c r="E51" s="2699">
        <f>D51</f>
        <v>6.4440000000000011E-2</v>
      </c>
      <c r="F51" s="2699">
        <f t="shared" ref="F51:P51" si="27">E51</f>
        <v>6.4440000000000011E-2</v>
      </c>
      <c r="G51" s="2699">
        <f t="shared" si="27"/>
        <v>6.4440000000000011E-2</v>
      </c>
      <c r="H51" s="2699">
        <f t="shared" si="27"/>
        <v>6.4440000000000011E-2</v>
      </c>
      <c r="I51" s="2699">
        <f t="shared" si="27"/>
        <v>6.4440000000000011E-2</v>
      </c>
      <c r="J51" s="2699">
        <f t="shared" si="27"/>
        <v>6.4440000000000011E-2</v>
      </c>
      <c r="K51" s="2699">
        <f t="shared" si="27"/>
        <v>6.4440000000000011E-2</v>
      </c>
      <c r="L51" s="2699">
        <f t="shared" si="27"/>
        <v>6.4440000000000011E-2</v>
      </c>
      <c r="M51" s="2699">
        <f t="shared" si="27"/>
        <v>6.4440000000000011E-2</v>
      </c>
      <c r="N51" s="2699">
        <f t="shared" si="27"/>
        <v>6.4440000000000011E-2</v>
      </c>
      <c r="O51" s="2699">
        <f t="shared" si="27"/>
        <v>6.4440000000000011E-2</v>
      </c>
      <c r="P51" s="2699">
        <f t="shared" si="27"/>
        <v>6.4440000000000011E-2</v>
      </c>
      <c r="Q51" s="157" t="s">
        <v>657</v>
      </c>
    </row>
    <row r="52" spans="2:17" ht="39.6" x14ac:dyDescent="0.35">
      <c r="B52" s="1" t="s">
        <v>825</v>
      </c>
      <c r="C52" s="99" t="s">
        <v>40</v>
      </c>
      <c r="D52" s="2683">
        <f t="shared" ref="D52:D57" si="28">SUM(E52:P52)</f>
        <v>38.687337462673284</v>
      </c>
      <c r="E52" s="1323">
        <f t="shared" ref="E52:P52" si="29">E48*E51</f>
        <v>3.0232391606357718E-2</v>
      </c>
      <c r="F52" s="1323">
        <f t="shared" si="29"/>
        <v>6.015373453689568</v>
      </c>
      <c r="G52" s="1323">
        <f t="shared" si="29"/>
        <v>7.9648057019054308</v>
      </c>
      <c r="H52" s="1323">
        <f t="shared" si="29"/>
        <v>7.9707751673810101</v>
      </c>
      <c r="I52" s="1323">
        <f t="shared" si="29"/>
        <v>7.4527249794975106</v>
      </c>
      <c r="J52" s="1323">
        <f t="shared" si="29"/>
        <v>7.960679953543969</v>
      </c>
      <c r="K52" s="1323">
        <f t="shared" si="29"/>
        <v>1.1475092077671925</v>
      </c>
      <c r="L52" s="1323">
        <f t="shared" si="29"/>
        <v>2.8062953335031244E-2</v>
      </c>
      <c r="M52" s="1323">
        <f t="shared" si="29"/>
        <v>2.7837048408515471E-2</v>
      </c>
      <c r="N52" s="1323">
        <f t="shared" si="29"/>
        <v>2.8327304873055591E-2</v>
      </c>
      <c r="O52" s="1323">
        <f t="shared" si="29"/>
        <v>2.5625058450805965E-2</v>
      </c>
      <c r="P52" s="1323">
        <f t="shared" si="29"/>
        <v>3.5384242214842272E-2</v>
      </c>
      <c r="Q52" s="157" t="s">
        <v>657</v>
      </c>
    </row>
    <row r="53" spans="2:17" x14ac:dyDescent="0.35">
      <c r="B53" s="2707" t="s">
        <v>644</v>
      </c>
      <c r="C53" s="99" t="s">
        <v>40</v>
      </c>
      <c r="D53" s="2683">
        <f t="shared" si="28"/>
        <v>10.623922978234248</v>
      </c>
      <c r="E53" s="2683">
        <f t="shared" ref="E53:P53" si="30">E49*E51</f>
        <v>9.5049608943969643E-3</v>
      </c>
      <c r="F53" s="2683">
        <f t="shared" si="30"/>
        <v>1.643917181838755</v>
      </c>
      <c r="G53" s="2683">
        <f t="shared" si="30"/>
        <v>2.1901346289339347</v>
      </c>
      <c r="H53" s="2683">
        <f t="shared" si="30"/>
        <v>2.1912705956902609</v>
      </c>
      <c r="I53" s="2683">
        <f t="shared" si="30"/>
        <v>2.0492023425764958</v>
      </c>
      <c r="J53" s="2683">
        <f t="shared" si="30"/>
        <v>2.1893958032057039</v>
      </c>
      <c r="K53" s="2683">
        <f t="shared" si="30"/>
        <v>0.30426769742866211</v>
      </c>
      <c r="L53" s="2683">
        <f t="shared" si="30"/>
        <v>9.1296021132927629E-3</v>
      </c>
      <c r="M53" s="2683">
        <f t="shared" si="30"/>
        <v>8.9652907633864728E-3</v>
      </c>
      <c r="N53" s="2683">
        <f t="shared" si="30"/>
        <v>9.1725215460280781E-3</v>
      </c>
      <c r="O53" s="2683">
        <f t="shared" si="30"/>
        <v>8.7207452392292877E-3</v>
      </c>
      <c r="P53" s="2683">
        <f t="shared" si="30"/>
        <v>1.024160800410326E-2</v>
      </c>
      <c r="Q53" s="157" t="s">
        <v>823</v>
      </c>
    </row>
    <row r="54" spans="2:17" x14ac:dyDescent="0.35">
      <c r="B54" s="2707" t="s">
        <v>643</v>
      </c>
      <c r="C54" s="99" t="s">
        <v>40</v>
      </c>
      <c r="D54" s="2683">
        <f t="shared" si="28"/>
        <v>28.06341448443904</v>
      </c>
      <c r="E54" s="2683">
        <f t="shared" ref="E54:P54" si="31">E50*E51</f>
        <v>2.0727430711960752E-2</v>
      </c>
      <c r="F54" s="2683">
        <f t="shared" si="31"/>
        <v>4.3714562718508132</v>
      </c>
      <c r="G54" s="2683">
        <f t="shared" si="31"/>
        <v>5.7746710729714952</v>
      </c>
      <c r="H54" s="2683">
        <f t="shared" si="31"/>
        <v>5.7795045716907492</v>
      </c>
      <c r="I54" s="2683">
        <f t="shared" si="31"/>
        <v>5.4035226369210143</v>
      </c>
      <c r="J54" s="2683">
        <f t="shared" si="31"/>
        <v>5.7712841503382659</v>
      </c>
      <c r="K54" s="2683">
        <f t="shared" si="31"/>
        <v>0.84324151033853045</v>
      </c>
      <c r="L54" s="2683">
        <f t="shared" si="31"/>
        <v>1.8933351221738483E-2</v>
      </c>
      <c r="M54" s="2683">
        <f t="shared" si="31"/>
        <v>1.8871757645128998E-2</v>
      </c>
      <c r="N54" s="2683">
        <f t="shared" si="31"/>
        <v>1.9154783327027514E-2</v>
      </c>
      <c r="O54" s="2683">
        <f t="shared" si="31"/>
        <v>1.690431321157668E-2</v>
      </c>
      <c r="P54" s="2683">
        <f t="shared" si="31"/>
        <v>2.5142634210739014E-2</v>
      </c>
      <c r="Q54" s="157" t="s">
        <v>823</v>
      </c>
    </row>
    <row r="55" spans="2:17" ht="26.4" x14ac:dyDescent="0.35">
      <c r="B55" s="1" t="s">
        <v>827</v>
      </c>
      <c r="C55" s="2724" t="s">
        <v>138</v>
      </c>
      <c r="D55" s="2683">
        <f t="shared" si="28"/>
        <v>66.678340013250363</v>
      </c>
      <c r="E55" s="2691">
        <f>E56+E57</f>
        <v>5.2106084811016126E-2</v>
      </c>
      <c r="F55" s="2691">
        <f t="shared" ref="F55:P55" si="32">F56+F57</f>
        <v>10.367607148948458</v>
      </c>
      <c r="G55" s="2691">
        <f t="shared" si="32"/>
        <v>13.727489601566079</v>
      </c>
      <c r="H55" s="2691">
        <f t="shared" si="32"/>
        <v>13.737778085467617</v>
      </c>
      <c r="I55" s="2691">
        <f t="shared" si="32"/>
        <v>12.844909027085087</v>
      </c>
      <c r="J55" s="2691">
        <f t="shared" si="32"/>
        <v>13.720378798132788</v>
      </c>
      <c r="K55" s="2691">
        <f t="shared" si="32"/>
        <v>1.977753294541384</v>
      </c>
      <c r="L55" s="2691">
        <f t="shared" si="32"/>
        <v>4.8367017917802513E-2</v>
      </c>
      <c r="M55" s="2691">
        <f t="shared" si="32"/>
        <v>4.7977666608335419E-2</v>
      </c>
      <c r="N55" s="2691">
        <f t="shared" si="32"/>
        <v>4.8822632671658851E-2</v>
      </c>
      <c r="O55" s="2691">
        <f t="shared" si="32"/>
        <v>4.416526109843559E-2</v>
      </c>
      <c r="P55" s="2691">
        <f t="shared" si="32"/>
        <v>6.0985394401691359E-2</v>
      </c>
      <c r="Q55" s="157" t="s">
        <v>657</v>
      </c>
    </row>
    <row r="56" spans="2:17" x14ac:dyDescent="0.35">
      <c r="B56" s="2707" t="s">
        <v>644</v>
      </c>
      <c r="C56" s="2724" t="s">
        <v>138</v>
      </c>
      <c r="D56" s="2683">
        <f t="shared" si="28"/>
        <v>18.310527295933934</v>
      </c>
      <c r="E56" s="3581">
        <f>E312</f>
        <v>1.6381975496265001E-2</v>
      </c>
      <c r="F56" s="3581">
        <f>F312+G312</f>
        <v>2.8333215980558855</v>
      </c>
      <c r="G56" s="3581">
        <f>H312</f>
        <v>3.7747374474593745</v>
      </c>
      <c r="H56" s="3581">
        <f>I312</f>
        <v>3.7766953071258649</v>
      </c>
      <c r="I56" s="3581">
        <f>J312</f>
        <v>3.5318380513028744</v>
      </c>
      <c r="J56" s="3581">
        <f>K312</f>
        <v>3.7734640676832383</v>
      </c>
      <c r="K56" s="3581">
        <f>M312+L312</f>
        <v>0.52441099116142709</v>
      </c>
      <c r="L56" s="3581">
        <f>N312</f>
        <v>1.5735037710547049E-2</v>
      </c>
      <c r="M56" s="3581">
        <f>O312</f>
        <v>1.5451844066950911E-2</v>
      </c>
      <c r="N56" s="3581">
        <f>P312</f>
        <v>1.580901014485743E-2</v>
      </c>
      <c r="O56" s="3581">
        <f>Q312</f>
        <v>1.5030365343474432E-2</v>
      </c>
      <c r="P56" s="3581">
        <f>R312</f>
        <v>1.7651600383171876E-2</v>
      </c>
      <c r="Q56" s="157" t="s">
        <v>823</v>
      </c>
    </row>
    <row r="57" spans="2:17" x14ac:dyDescent="0.35">
      <c r="B57" s="2707" t="s">
        <v>643</v>
      </c>
      <c r="C57" s="2724" t="s">
        <v>138</v>
      </c>
      <c r="D57" s="2683">
        <f t="shared" si="28"/>
        <v>48.367812717316433</v>
      </c>
      <c r="E57" s="3581">
        <f>E317</f>
        <v>3.5724109314751125E-2</v>
      </c>
      <c r="F57" s="3581">
        <f>F317+G317</f>
        <v>7.534285550892573</v>
      </c>
      <c r="G57" s="3581">
        <f>H317</f>
        <v>9.9527521541067046</v>
      </c>
      <c r="H57" s="3581">
        <f>I317</f>
        <v>9.961082778341753</v>
      </c>
      <c r="I57" s="3581">
        <f>J317</f>
        <v>9.3130709757822139</v>
      </c>
      <c r="J57" s="3581">
        <f>K317</f>
        <v>9.9469147304495493</v>
      </c>
      <c r="K57" s="3581">
        <f>M317+L317</f>
        <v>1.4533423033799571</v>
      </c>
      <c r="L57" s="3581">
        <f>N317</f>
        <v>3.2631980207255461E-2</v>
      </c>
      <c r="M57" s="3581">
        <f>O317</f>
        <v>3.252582254138451E-2</v>
      </c>
      <c r="N57" s="3581">
        <f>P317</f>
        <v>3.3013622526801421E-2</v>
      </c>
      <c r="O57" s="3581">
        <f>Q317</f>
        <v>2.913489575496116E-2</v>
      </c>
      <c r="P57" s="3581">
        <f>R317</f>
        <v>4.3333794018519479E-2</v>
      </c>
      <c r="Q57" s="157" t="s">
        <v>823</v>
      </c>
    </row>
    <row r="58" spans="2:17" ht="39.6" x14ac:dyDescent="0.35">
      <c r="B58" s="1" t="str">
        <f>'Вхідні дані'!$B$34</f>
        <v>Тариф для розрахунку плати за генерацію реактивної електроенергії, без ПДВ</v>
      </c>
      <c r="C58" s="2724" t="s">
        <v>781</v>
      </c>
      <c r="D58" s="2699">
        <f>'Вхідні дані'!$D$34</f>
        <v>7.222166666666667E-2</v>
      </c>
      <c r="E58" s="2699">
        <f t="shared" ref="E58:P58" si="33">D58</f>
        <v>7.222166666666667E-2</v>
      </c>
      <c r="F58" s="2699">
        <f t="shared" si="33"/>
        <v>7.222166666666667E-2</v>
      </c>
      <c r="G58" s="2699">
        <f t="shared" si="33"/>
        <v>7.222166666666667E-2</v>
      </c>
      <c r="H58" s="2699">
        <f t="shared" si="33"/>
        <v>7.222166666666667E-2</v>
      </c>
      <c r="I58" s="2699">
        <f t="shared" si="33"/>
        <v>7.222166666666667E-2</v>
      </c>
      <c r="J58" s="2699">
        <f t="shared" si="33"/>
        <v>7.222166666666667E-2</v>
      </c>
      <c r="K58" s="2699">
        <f t="shared" si="33"/>
        <v>7.222166666666667E-2</v>
      </c>
      <c r="L58" s="2699">
        <f t="shared" si="33"/>
        <v>7.222166666666667E-2</v>
      </c>
      <c r="M58" s="2699">
        <f t="shared" si="33"/>
        <v>7.222166666666667E-2</v>
      </c>
      <c r="N58" s="2699">
        <f t="shared" si="33"/>
        <v>7.222166666666667E-2</v>
      </c>
      <c r="O58" s="2699">
        <f t="shared" si="33"/>
        <v>7.222166666666667E-2</v>
      </c>
      <c r="P58" s="2699">
        <f t="shared" si="33"/>
        <v>7.222166666666667E-2</v>
      </c>
      <c r="Q58" s="157" t="s">
        <v>657</v>
      </c>
    </row>
    <row r="59" spans="2:17" ht="39.6" x14ac:dyDescent="0.35">
      <c r="B59" s="1" t="s">
        <v>828</v>
      </c>
      <c r="C59" s="99" t="s">
        <v>40</v>
      </c>
      <c r="D59" s="1323">
        <f>D55*D58</f>
        <v>4.8156208463236299</v>
      </c>
      <c r="E59" s="1323">
        <f t="shared" ref="E59:P59" si="34">E55*E58</f>
        <v>3.7631882885262699E-3</v>
      </c>
      <c r="F59" s="1323">
        <f t="shared" si="34"/>
        <v>0.7487658676423059</v>
      </c>
      <c r="G59" s="1323">
        <f t="shared" si="34"/>
        <v>0.99142217817443823</v>
      </c>
      <c r="H59" s="1323">
        <f t="shared" si="34"/>
        <v>0.99216522962928044</v>
      </c>
      <c r="I59" s="1323">
        <f t="shared" si="34"/>
        <v>0.92768073811779683</v>
      </c>
      <c r="J59" s="1323">
        <f t="shared" si="34"/>
        <v>0.99090862409914693</v>
      </c>
      <c r="K59" s="1323">
        <f t="shared" si="34"/>
        <v>0.14283663918726966</v>
      </c>
      <c r="L59" s="1323">
        <f t="shared" si="34"/>
        <v>3.4931466457202272E-3</v>
      </c>
      <c r="M59" s="1323">
        <f t="shared" si="34"/>
        <v>3.4650270452316646E-3</v>
      </c>
      <c r="N59" s="1323">
        <f t="shared" si="34"/>
        <v>3.526051902601655E-3</v>
      </c>
      <c r="O59" s="1323">
        <f t="shared" si="34"/>
        <v>3.1896887652975159E-3</v>
      </c>
      <c r="P59" s="1323">
        <f t="shared" si="34"/>
        <v>4.404466826014153E-3</v>
      </c>
    </row>
    <row r="60" spans="2:17" x14ac:dyDescent="0.35">
      <c r="B60" s="2707" t="s">
        <v>644</v>
      </c>
      <c r="C60" s="99" t="s">
        <v>40</v>
      </c>
      <c r="D60" s="2683">
        <f>D56*D58</f>
        <v>1.3224167988578419</v>
      </c>
      <c r="E60" s="2683">
        <f t="shared" ref="E60:O60" si="35">E56*E58</f>
        <v>1.1831335736327523E-3</v>
      </c>
      <c r="F60" s="2683">
        <f t="shared" si="35"/>
        <v>0.20462720801425949</v>
      </c>
      <c r="G60" s="2683">
        <f t="shared" si="35"/>
        <v>0.27261782968459514</v>
      </c>
      <c r="H60" s="2683">
        <f t="shared" si="35"/>
        <v>0.27275922957280851</v>
      </c>
      <c r="I60" s="2683">
        <f t="shared" si="35"/>
        <v>0.25507523046184577</v>
      </c>
      <c r="J60" s="2683">
        <f t="shared" si="35"/>
        <v>0.27252586407486296</v>
      </c>
      <c r="K60" s="2683">
        <f t="shared" si="35"/>
        <v>3.7873835799996869E-2</v>
      </c>
      <c r="L60" s="2683">
        <f t="shared" si="35"/>
        <v>1.1364106485185588E-3</v>
      </c>
      <c r="M60" s="2683">
        <f t="shared" si="35"/>
        <v>1.1159579315886397E-3</v>
      </c>
      <c r="N60" s="2683">
        <f t="shared" si="35"/>
        <v>1.141753061011845E-3</v>
      </c>
      <c r="O60" s="2683">
        <f t="shared" si="35"/>
        <v>1.0855180357146293E-3</v>
      </c>
      <c r="P60" s="2683">
        <f>P56*P58</f>
        <v>1.2748279990066448E-3</v>
      </c>
    </row>
    <row r="61" spans="2:17" x14ac:dyDescent="0.35">
      <c r="B61" s="2707" t="s">
        <v>643</v>
      </c>
      <c r="C61" s="99" t="s">
        <v>40</v>
      </c>
      <c r="D61" s="2683">
        <f>D57*D58</f>
        <v>3.4932040474657886</v>
      </c>
      <c r="E61" s="2683">
        <f t="shared" ref="E61:P61" si="36">E57*E58</f>
        <v>2.5800547148935177E-3</v>
      </c>
      <c r="F61" s="2683">
        <f t="shared" si="36"/>
        <v>0.54413865962804642</v>
      </c>
      <c r="G61" s="2683">
        <f t="shared" si="36"/>
        <v>0.71880434848984309</v>
      </c>
      <c r="H61" s="2683">
        <f t="shared" si="36"/>
        <v>0.71940600005647204</v>
      </c>
      <c r="I61" s="2683">
        <f t="shared" si="36"/>
        <v>0.67260550765595117</v>
      </c>
      <c r="J61" s="2683">
        <f t="shared" si="36"/>
        <v>0.71838276002428392</v>
      </c>
      <c r="K61" s="2683">
        <f t="shared" si="36"/>
        <v>0.1049628033872728</v>
      </c>
      <c r="L61" s="2683">
        <f t="shared" si="36"/>
        <v>2.3567359972016685E-3</v>
      </c>
      <c r="M61" s="2683">
        <f t="shared" si="36"/>
        <v>2.3490691136430252E-3</v>
      </c>
      <c r="N61" s="2683">
        <f t="shared" si="36"/>
        <v>2.38429884158981E-3</v>
      </c>
      <c r="O61" s="2683">
        <f t="shared" si="36"/>
        <v>2.1041707295828866E-3</v>
      </c>
      <c r="P61" s="2683">
        <f t="shared" si="36"/>
        <v>3.1296388270075077E-3</v>
      </c>
    </row>
    <row r="62" spans="2:17" ht="26.4" x14ac:dyDescent="0.35">
      <c r="B62" s="1" t="s">
        <v>831</v>
      </c>
      <c r="C62" s="99" t="s">
        <v>40</v>
      </c>
      <c r="D62" s="2698">
        <f>D52+D59</f>
        <v>43.502958308996917</v>
      </c>
      <c r="E62" s="2698">
        <f t="shared" ref="E62:P62" si="37">E52+E59</f>
        <v>3.3995579894883991E-2</v>
      </c>
      <c r="F62" s="2698">
        <f t="shared" si="37"/>
        <v>6.7641393213318741</v>
      </c>
      <c r="G62" s="2698">
        <f t="shared" si="37"/>
        <v>8.9562278800798687</v>
      </c>
      <c r="H62" s="2698">
        <f t="shared" si="37"/>
        <v>8.962940397010291</v>
      </c>
      <c r="I62" s="2698">
        <f t="shared" si="37"/>
        <v>8.3804057176153073</v>
      </c>
      <c r="J62" s="2698">
        <f t="shared" si="37"/>
        <v>8.9515885776431166</v>
      </c>
      <c r="K62" s="2698">
        <f t="shared" si="37"/>
        <v>1.2903458469544622</v>
      </c>
      <c r="L62" s="2698">
        <f t="shared" si="37"/>
        <v>3.155609998075147E-2</v>
      </c>
      <c r="M62" s="2698">
        <f t="shared" si="37"/>
        <v>3.1302075453747136E-2</v>
      </c>
      <c r="N62" s="2698">
        <f t="shared" si="37"/>
        <v>3.1853356775657246E-2</v>
      </c>
      <c r="O62" s="2698">
        <f t="shared" si="37"/>
        <v>2.8814747216103481E-2</v>
      </c>
      <c r="P62" s="2698">
        <f t="shared" si="37"/>
        <v>3.9788709040856428E-2</v>
      </c>
    </row>
    <row r="63" spans="2:17" x14ac:dyDescent="0.35">
      <c r="B63" s="2707" t="s">
        <v>644</v>
      </c>
      <c r="C63" s="99" t="s">
        <v>40</v>
      </c>
      <c r="D63" s="2683">
        <f>D53+D60</f>
        <v>11.94633977709209</v>
      </c>
      <c r="E63" s="2683">
        <f t="shared" ref="E63:P64" si="38">E53+E60</f>
        <v>1.0688094468029716E-2</v>
      </c>
      <c r="F63" s="2683">
        <f t="shared" si="38"/>
        <v>1.8485443898530145</v>
      </c>
      <c r="G63" s="2683">
        <f t="shared" si="38"/>
        <v>2.4627524586185299</v>
      </c>
      <c r="H63" s="2683">
        <f t="shared" si="38"/>
        <v>2.4640298252630695</v>
      </c>
      <c r="I63" s="2683">
        <f t="shared" si="38"/>
        <v>2.3042775730383416</v>
      </c>
      <c r="J63" s="2683">
        <f t="shared" si="38"/>
        <v>2.461921667280567</v>
      </c>
      <c r="K63" s="2683">
        <f t="shared" si="38"/>
        <v>0.34214153322865898</v>
      </c>
      <c r="L63" s="2683">
        <f t="shared" si="38"/>
        <v>1.0266012761811322E-2</v>
      </c>
      <c r="M63" s="2683">
        <f t="shared" si="38"/>
        <v>1.0081248694975113E-2</v>
      </c>
      <c r="N63" s="2683">
        <f t="shared" si="38"/>
        <v>1.0314274607039924E-2</v>
      </c>
      <c r="O63" s="2683">
        <f t="shared" si="38"/>
        <v>9.8062632749439174E-3</v>
      </c>
      <c r="P63" s="2683">
        <f t="shared" si="38"/>
        <v>1.1516436003109906E-2</v>
      </c>
    </row>
    <row r="64" spans="2:17" x14ac:dyDescent="0.35">
      <c r="B64" s="2707" t="s">
        <v>643</v>
      </c>
      <c r="C64" s="99" t="s">
        <v>40</v>
      </c>
      <c r="D64" s="2683">
        <f>D54+D61</f>
        <v>31.556618531904828</v>
      </c>
      <c r="E64" s="2683">
        <f t="shared" si="38"/>
        <v>2.330748542685427E-2</v>
      </c>
      <c r="F64" s="2683">
        <f t="shared" si="38"/>
        <v>4.9155949314788598</v>
      </c>
      <c r="G64" s="2683">
        <f t="shared" si="38"/>
        <v>6.4934754214613379</v>
      </c>
      <c r="H64" s="2683">
        <f t="shared" si="38"/>
        <v>6.4989105717472215</v>
      </c>
      <c r="I64" s="2683">
        <f t="shared" si="38"/>
        <v>6.0761281445769653</v>
      </c>
      <c r="J64" s="2683">
        <f t="shared" si="38"/>
        <v>6.4896669103625495</v>
      </c>
      <c r="K64" s="2683">
        <f t="shared" si="38"/>
        <v>0.94820431372580327</v>
      </c>
      <c r="L64" s="2683">
        <f t="shared" si="38"/>
        <v>2.129008721894015E-2</v>
      </c>
      <c r="M64" s="2683">
        <f t="shared" si="38"/>
        <v>2.1220826758772023E-2</v>
      </c>
      <c r="N64" s="2683">
        <f t="shared" si="38"/>
        <v>2.1539082168617323E-2</v>
      </c>
      <c r="O64" s="2683">
        <f t="shared" si="38"/>
        <v>1.9008483941159567E-2</v>
      </c>
      <c r="P64" s="2683">
        <f t="shared" si="38"/>
        <v>2.8272273037746522E-2</v>
      </c>
    </row>
    <row r="65" spans="2:22" ht="39.6" x14ac:dyDescent="0.35">
      <c r="B65" s="1" t="s">
        <v>829</v>
      </c>
      <c r="C65" s="99" t="s">
        <v>40</v>
      </c>
      <c r="D65" s="2702">
        <f>D62+D45</f>
        <v>15259.167589392106</v>
      </c>
      <c r="E65" s="2702">
        <f t="shared" ref="E65:P65" si="39">E62+E45</f>
        <v>11.924344253326817</v>
      </c>
      <c r="F65" s="2702">
        <f t="shared" si="39"/>
        <v>2372.6003820033079</v>
      </c>
      <c r="G65" s="2702">
        <f t="shared" si="39"/>
        <v>3141.5008887490039</v>
      </c>
      <c r="H65" s="2702">
        <f t="shared" si="39"/>
        <v>3143.8553819781864</v>
      </c>
      <c r="I65" s="2702">
        <f t="shared" si="39"/>
        <v>2939.5245813833562</v>
      </c>
      <c r="J65" s="2702">
        <f t="shared" si="39"/>
        <v>3139.8735995684051</v>
      </c>
      <c r="K65" s="2702">
        <f t="shared" si="39"/>
        <v>452.60378356573034</v>
      </c>
      <c r="L65" s="2702">
        <f t="shared" si="39"/>
        <v>11.068668357073907</v>
      </c>
      <c r="M65" s="2702">
        <f t="shared" si="39"/>
        <v>10.979566305626212</v>
      </c>
      <c r="N65" s="2702">
        <f t="shared" si="39"/>
        <v>11.172934628308495</v>
      </c>
      <c r="O65" s="2702">
        <f t="shared" si="39"/>
        <v>10.10710705450024</v>
      </c>
      <c r="P65" s="2702">
        <f t="shared" si="39"/>
        <v>13.956351545279274</v>
      </c>
      <c r="R65" s="2701">
        <f>Q65-D65</f>
        <v>-15259.167589392106</v>
      </c>
      <c r="S65" s="1326">
        <f>D65/D28*1000</f>
        <v>140.41033168754265</v>
      </c>
    </row>
    <row r="66" spans="2:22" x14ac:dyDescent="0.35">
      <c r="B66" s="2707" t="s">
        <v>644</v>
      </c>
      <c r="C66" s="99" t="s">
        <v>40</v>
      </c>
      <c r="D66" s="2708">
        <f t="shared" ref="D66:P67" si="40">D63+D46</f>
        <v>4190.3173444820513</v>
      </c>
      <c r="E66" s="2708">
        <f t="shared" si="40"/>
        <v>3.7489731971903817</v>
      </c>
      <c r="F66" s="2708">
        <f t="shared" si="40"/>
        <v>648.3984018016572</v>
      </c>
      <c r="G66" s="2708">
        <f t="shared" si="40"/>
        <v>863.83901136846839</v>
      </c>
      <c r="H66" s="2708">
        <f t="shared" si="40"/>
        <v>864.28706254613041</v>
      </c>
      <c r="I66" s="2708">
        <f t="shared" si="40"/>
        <v>808.25210574697815</v>
      </c>
      <c r="J66" s="2708">
        <f t="shared" si="40"/>
        <v>863.54760166323058</v>
      </c>
      <c r="K66" s="2708">
        <f t="shared" si="40"/>
        <v>120.01011420292198</v>
      </c>
      <c r="L66" s="2708">
        <f t="shared" si="40"/>
        <v>3.600923139402219</v>
      </c>
      <c r="M66" s="2708">
        <f t="shared" si="40"/>
        <v>3.5361149983023461</v>
      </c>
      <c r="N66" s="2708">
        <f t="shared" si="40"/>
        <v>3.6178515418176529</v>
      </c>
      <c r="O66" s="2708">
        <f t="shared" si="40"/>
        <v>3.4396606703209871</v>
      </c>
      <c r="P66" s="2708">
        <f t="shared" si="40"/>
        <v>4.0395236056307402</v>
      </c>
      <c r="R66" s="2701">
        <f>Q66-D66</f>
        <v>-4190.3173444820513</v>
      </c>
      <c r="S66" s="1326">
        <f>D66/D29*1000</f>
        <v>229.76553639476796</v>
      </c>
    </row>
    <row r="67" spans="2:22" x14ac:dyDescent="0.35">
      <c r="B67" s="2707" t="s">
        <v>643</v>
      </c>
      <c r="C67" s="99" t="s">
        <v>40</v>
      </c>
      <c r="D67" s="2708">
        <f>D64+D47</f>
        <v>11068.850244910052</v>
      </c>
      <c r="E67" s="2708">
        <f t="shared" si="40"/>
        <v>8.1753710561364361</v>
      </c>
      <c r="F67" s="2708">
        <f t="shared" si="40"/>
        <v>1724.2019802016503</v>
      </c>
      <c r="G67" s="2708">
        <f t="shared" si="40"/>
        <v>2277.6618773805353</v>
      </c>
      <c r="H67" s="2708">
        <f t="shared" si="40"/>
        <v>2279.5683194320559</v>
      </c>
      <c r="I67" s="2708">
        <f t="shared" si="40"/>
        <v>2131.2724756363782</v>
      </c>
      <c r="J67" s="2708">
        <f t="shared" si="40"/>
        <v>2276.3259979051745</v>
      </c>
      <c r="K67" s="2708">
        <f t="shared" si="40"/>
        <v>332.59366936280838</v>
      </c>
      <c r="L67" s="2708">
        <f t="shared" si="40"/>
        <v>7.4677452176716894</v>
      </c>
      <c r="M67" s="2708">
        <f t="shared" si="40"/>
        <v>7.4434513073238664</v>
      </c>
      <c r="N67" s="2708">
        <f t="shared" si="40"/>
        <v>7.5550830864908427</v>
      </c>
      <c r="O67" s="2708">
        <f t="shared" si="40"/>
        <v>6.6674463841792537</v>
      </c>
      <c r="P67" s="2708">
        <f t="shared" si="40"/>
        <v>9.9168279396485346</v>
      </c>
      <c r="R67" s="2701">
        <f>Q67-D67</f>
        <v>-11068.850244910052</v>
      </c>
      <c r="S67" s="1326">
        <f>D67/D30*1000</f>
        <v>122.3913553966257</v>
      </c>
    </row>
    <row r="68" spans="2:22" x14ac:dyDescent="0.35">
      <c r="B68" s="5330" t="s">
        <v>274</v>
      </c>
      <c r="C68" s="5331"/>
      <c r="D68" s="5331"/>
      <c r="E68" s="5331"/>
      <c r="F68" s="5331"/>
      <c r="G68" s="5331"/>
      <c r="H68" s="5331"/>
      <c r="I68" s="5331"/>
      <c r="J68" s="5331"/>
      <c r="K68" s="5331"/>
      <c r="L68" s="5331"/>
      <c r="M68" s="5331"/>
      <c r="N68" s="5331"/>
      <c r="O68" s="5331"/>
      <c r="P68" s="5333"/>
    </row>
    <row r="69" spans="2:22" x14ac:dyDescent="0.35">
      <c r="B69" s="1" t="s">
        <v>3347</v>
      </c>
      <c r="C69" s="99" t="s">
        <v>182</v>
      </c>
      <c r="D69" s="2708">
        <f>D28</f>
        <v>108675.53267624618</v>
      </c>
      <c r="E69" s="2708">
        <f t="shared" ref="E69:P69" si="41">E28</f>
        <v>0</v>
      </c>
      <c r="F69" s="2708">
        <f t="shared" si="41"/>
        <v>13389.073735104335</v>
      </c>
      <c r="G69" s="2708">
        <f t="shared" si="41"/>
        <v>23151.69122678565</v>
      </c>
      <c r="H69" s="2708">
        <f t="shared" si="41"/>
        <v>26532.333331877286</v>
      </c>
      <c r="I69" s="2708">
        <f t="shared" si="41"/>
        <v>22773.357768689184</v>
      </c>
      <c r="J69" s="2708">
        <f t="shared" si="41"/>
        <v>20583.712353058236</v>
      </c>
      <c r="K69" s="2708">
        <f t="shared" si="41"/>
        <v>2245.364260731511</v>
      </c>
      <c r="L69" s="2708">
        <f t="shared" si="41"/>
        <v>0</v>
      </c>
      <c r="M69" s="2708">
        <f t="shared" si="41"/>
        <v>0</v>
      </c>
      <c r="N69" s="2708">
        <f t="shared" si="41"/>
        <v>0</v>
      </c>
      <c r="O69" s="2708">
        <f t="shared" si="41"/>
        <v>0</v>
      </c>
      <c r="P69" s="2708">
        <f t="shared" si="41"/>
        <v>0</v>
      </c>
    </row>
    <row r="70" spans="2:22" ht="39.6" x14ac:dyDescent="0.35">
      <c r="B70" s="1" t="s">
        <v>275</v>
      </c>
      <c r="C70" s="99" t="s">
        <v>183</v>
      </c>
      <c r="D70" s="2710">
        <f>D71/D69*1000</f>
        <v>3.4987437432925372E-2</v>
      </c>
      <c r="E70" s="2710">
        <f>IF(E69=0,0,E71/E69*1000)</f>
        <v>0</v>
      </c>
      <c r="F70" s="2710">
        <f t="shared" ref="F70:K70" si="42">F71/F69*1000</f>
        <v>2.2895325402255039E-2</v>
      </c>
      <c r="G70" s="2710">
        <f t="shared" si="42"/>
        <v>1.2446330472247184E-2</v>
      </c>
      <c r="H70" s="2710">
        <f t="shared" si="42"/>
        <v>1.1894800055931232E-2</v>
      </c>
      <c r="I70" s="2710">
        <f t="shared" si="42"/>
        <v>1.2653101177560163E-2</v>
      </c>
      <c r="J70" s="2710">
        <f t="shared" si="42"/>
        <v>1.3999107403829779E-2</v>
      </c>
      <c r="K70" s="2710">
        <f t="shared" si="42"/>
        <v>0.13259674842379651</v>
      </c>
      <c r="L70" s="2710">
        <v>0</v>
      </c>
      <c r="M70" s="2710">
        <v>0</v>
      </c>
      <c r="N70" s="2710">
        <v>0</v>
      </c>
      <c r="O70" s="2710">
        <v>0</v>
      </c>
      <c r="P70" s="2710">
        <v>0</v>
      </c>
      <c r="Q70" s="1326" t="s">
        <v>3340</v>
      </c>
    </row>
    <row r="71" spans="2:22" ht="26.4" x14ac:dyDescent="0.35">
      <c r="B71" s="1" t="s">
        <v>184</v>
      </c>
      <c r="C71" s="99" t="s">
        <v>185</v>
      </c>
      <c r="D71" s="2655">
        <f>SUM(E71:P71)</f>
        <v>3.8022784000000005</v>
      </c>
      <c r="E71" s="3581">
        <f>E319</f>
        <v>0.32243200000000005</v>
      </c>
      <c r="F71" s="3581">
        <f>F319+G319</f>
        <v>0.30654720000000002</v>
      </c>
      <c r="G71" s="3581">
        <f>H319</f>
        <v>0.28815360000000001</v>
      </c>
      <c r="H71" s="3581">
        <f>I319</f>
        <v>0.31559680000000001</v>
      </c>
      <c r="I71" s="3581">
        <f>J319</f>
        <v>0.28815360000000001</v>
      </c>
      <c r="J71" s="3581">
        <f>K319</f>
        <v>0.28815360000000001</v>
      </c>
      <c r="K71" s="3581">
        <f>M319+L319</f>
        <v>0.29772799999999999</v>
      </c>
      <c r="L71" s="3581">
        <f>N319</f>
        <v>0.31029760000000006</v>
      </c>
      <c r="M71" s="3581">
        <f>O319</f>
        <v>0.33151999999999998</v>
      </c>
      <c r="N71" s="3581">
        <f>P319</f>
        <v>0.38124800000000003</v>
      </c>
      <c r="O71" s="3581">
        <f>Q319</f>
        <v>0.36467200000000005</v>
      </c>
      <c r="P71" s="3581">
        <f>R319</f>
        <v>0.30777599999999999</v>
      </c>
      <c r="Q71" s="2711" t="e">
        <f>#REF!-D71</f>
        <v>#REF!</v>
      </c>
    </row>
    <row r="72" spans="2:22" ht="26.4" x14ac:dyDescent="0.35">
      <c r="B72" s="2694" t="str">
        <f>'Вхідні дані'!$B$28</f>
        <v>Тариф на електричну енергію (діючий), без ПДВ</v>
      </c>
      <c r="C72" s="99" t="s">
        <v>779</v>
      </c>
      <c r="D72" s="2695">
        <f>'Вхідні дані'!$D$28</f>
        <v>4.7651000000000003</v>
      </c>
      <c r="E72" s="2695">
        <f t="shared" ref="E72:P72" si="43">D72</f>
        <v>4.7651000000000003</v>
      </c>
      <c r="F72" s="2695">
        <f t="shared" si="43"/>
        <v>4.7651000000000003</v>
      </c>
      <c r="G72" s="2695">
        <f t="shared" si="43"/>
        <v>4.7651000000000003</v>
      </c>
      <c r="H72" s="2695">
        <f t="shared" si="43"/>
        <v>4.7651000000000003</v>
      </c>
      <c r="I72" s="2695">
        <f t="shared" si="43"/>
        <v>4.7651000000000003</v>
      </c>
      <c r="J72" s="2695">
        <f t="shared" si="43"/>
        <v>4.7651000000000003</v>
      </c>
      <c r="K72" s="2695">
        <f t="shared" si="43"/>
        <v>4.7651000000000003</v>
      </c>
      <c r="L72" s="2695">
        <f t="shared" si="43"/>
        <v>4.7651000000000003</v>
      </c>
      <c r="M72" s="2695">
        <f t="shared" si="43"/>
        <v>4.7651000000000003</v>
      </c>
      <c r="N72" s="2695">
        <f t="shared" si="43"/>
        <v>4.7651000000000003</v>
      </c>
      <c r="O72" s="2695">
        <f t="shared" si="43"/>
        <v>4.7651000000000003</v>
      </c>
      <c r="P72" s="2695">
        <f t="shared" si="43"/>
        <v>4.7651000000000003</v>
      </c>
      <c r="Q72" s="157" t="s">
        <v>657</v>
      </c>
    </row>
    <row r="73" spans="2:22" x14ac:dyDescent="0.35">
      <c r="B73" s="2694" t="s">
        <v>778</v>
      </c>
      <c r="C73" s="99" t="s">
        <v>40</v>
      </c>
      <c r="D73" s="2696">
        <f>D71*D72</f>
        <v>18.118236803840002</v>
      </c>
      <c r="E73" s="2696">
        <f t="shared" ref="E73:P73" si="44">E71*E72</f>
        <v>1.5364207232000004</v>
      </c>
      <c r="F73" s="2696">
        <f t="shared" si="44"/>
        <v>1.4607280627200001</v>
      </c>
      <c r="G73" s="2696">
        <f t="shared" si="44"/>
        <v>1.3730807193600001</v>
      </c>
      <c r="H73" s="2696">
        <f t="shared" si="44"/>
        <v>1.5038503116800002</v>
      </c>
      <c r="I73" s="2696">
        <f t="shared" si="44"/>
        <v>1.3730807193600001</v>
      </c>
      <c r="J73" s="2696">
        <f t="shared" si="44"/>
        <v>1.3730807193600001</v>
      </c>
      <c r="K73" s="2696">
        <f t="shared" si="44"/>
        <v>1.4187036928000001</v>
      </c>
      <c r="L73" s="2696">
        <f t="shared" si="44"/>
        <v>1.4785990937600004</v>
      </c>
      <c r="M73" s="2696">
        <f t="shared" si="44"/>
        <v>1.579725952</v>
      </c>
      <c r="N73" s="2696">
        <f t="shared" si="44"/>
        <v>1.8166848448000004</v>
      </c>
      <c r="O73" s="2696">
        <f t="shared" si="44"/>
        <v>1.7376985472000004</v>
      </c>
      <c r="P73" s="2696">
        <f t="shared" si="44"/>
        <v>1.4665834176000001</v>
      </c>
      <c r="Q73" s="157" t="s">
        <v>657</v>
      </c>
    </row>
    <row r="74" spans="2:22" ht="39.6" x14ac:dyDescent="0.35">
      <c r="B74" s="2694" t="str">
        <f>'Вхідні дані'!$B$30</f>
        <v>Тариф на послуги з розподілу електричної енергії, 2 клас напруги, без ПДВ</v>
      </c>
      <c r="C74" s="99" t="s">
        <v>779</v>
      </c>
      <c r="D74" s="2697">
        <f>'Вхідні дані'!$D$30</f>
        <v>1.6650100000000001</v>
      </c>
      <c r="E74" s="2697">
        <f t="shared" ref="E74:P74" si="45">D74</f>
        <v>1.6650100000000001</v>
      </c>
      <c r="F74" s="2697">
        <f t="shared" si="45"/>
        <v>1.6650100000000001</v>
      </c>
      <c r="G74" s="2697">
        <f t="shared" si="45"/>
        <v>1.6650100000000001</v>
      </c>
      <c r="H74" s="2697">
        <f t="shared" si="45"/>
        <v>1.6650100000000001</v>
      </c>
      <c r="I74" s="2697">
        <f t="shared" si="45"/>
        <v>1.6650100000000001</v>
      </c>
      <c r="J74" s="2697">
        <f t="shared" si="45"/>
        <v>1.6650100000000001</v>
      </c>
      <c r="K74" s="2697">
        <f t="shared" si="45"/>
        <v>1.6650100000000001</v>
      </c>
      <c r="L74" s="2697">
        <f t="shared" si="45"/>
        <v>1.6650100000000001</v>
      </c>
      <c r="M74" s="2697">
        <f t="shared" si="45"/>
        <v>1.6650100000000001</v>
      </c>
      <c r="N74" s="2697">
        <f t="shared" si="45"/>
        <v>1.6650100000000001</v>
      </c>
      <c r="O74" s="2697">
        <f t="shared" si="45"/>
        <v>1.6650100000000001</v>
      </c>
      <c r="P74" s="2697">
        <f t="shared" si="45"/>
        <v>1.6650100000000001</v>
      </c>
      <c r="Q74" s="157" t="s">
        <v>657</v>
      </c>
    </row>
    <row r="75" spans="2:22" x14ac:dyDescent="0.35">
      <c r="B75" s="2694" t="s">
        <v>780</v>
      </c>
      <c r="C75" s="99" t="s">
        <v>40</v>
      </c>
      <c r="D75" s="1323">
        <f>D71*D74-X75</f>
        <v>6.3308315587840012</v>
      </c>
      <c r="E75" s="1323">
        <f t="shared" ref="E75:P75" si="46">E71*E74</f>
        <v>0.53685250432000009</v>
      </c>
      <c r="F75" s="1323">
        <f t="shared" si="46"/>
        <v>0.51040415347200008</v>
      </c>
      <c r="G75" s="1323">
        <f t="shared" si="46"/>
        <v>0.47977862553600004</v>
      </c>
      <c r="H75" s="1323">
        <f t="shared" si="46"/>
        <v>0.52547182796800007</v>
      </c>
      <c r="I75" s="1323">
        <f t="shared" si="46"/>
        <v>0.47977862553600004</v>
      </c>
      <c r="J75" s="1323">
        <f t="shared" si="46"/>
        <v>0.47977862553600004</v>
      </c>
      <c r="K75" s="1323">
        <f t="shared" si="46"/>
        <v>0.49572009727999999</v>
      </c>
      <c r="L75" s="1323">
        <f t="shared" si="46"/>
        <v>0.51664860697600012</v>
      </c>
      <c r="M75" s="1323">
        <f t="shared" si="46"/>
        <v>0.55198411520000001</v>
      </c>
      <c r="N75" s="1323">
        <f t="shared" si="46"/>
        <v>0.63478173248000014</v>
      </c>
      <c r="O75" s="1323">
        <f t="shared" si="46"/>
        <v>0.60718252672000017</v>
      </c>
      <c r="P75" s="1323">
        <f t="shared" si="46"/>
        <v>0.51245011776000005</v>
      </c>
      <c r="Q75" s="157" t="s">
        <v>657</v>
      </c>
      <c r="V75" s="1325"/>
    </row>
    <row r="76" spans="2:22" ht="26.4" x14ac:dyDescent="0.35">
      <c r="B76" s="1" t="s">
        <v>137</v>
      </c>
      <c r="C76" s="99" t="s">
        <v>40</v>
      </c>
      <c r="D76" s="2698">
        <f>D73+D75</f>
        <v>24.449068362624004</v>
      </c>
      <c r="E76" s="2698">
        <f t="shared" ref="E76:P76" si="47">E73+E75</f>
        <v>2.0732732275200005</v>
      </c>
      <c r="F76" s="2698">
        <f t="shared" si="47"/>
        <v>1.9711322161920002</v>
      </c>
      <c r="G76" s="2698">
        <f t="shared" si="47"/>
        <v>1.8528593448960002</v>
      </c>
      <c r="H76" s="2698">
        <f t="shared" si="47"/>
        <v>2.0293221396480003</v>
      </c>
      <c r="I76" s="2698">
        <f t="shared" si="47"/>
        <v>1.8528593448960002</v>
      </c>
      <c r="J76" s="2698">
        <f t="shared" si="47"/>
        <v>1.8528593448960002</v>
      </c>
      <c r="K76" s="2698">
        <f t="shared" si="47"/>
        <v>1.9144237900800001</v>
      </c>
      <c r="L76" s="2698">
        <f t="shared" si="47"/>
        <v>1.9952477007360006</v>
      </c>
      <c r="M76" s="2698">
        <f t="shared" si="47"/>
        <v>2.1317100672000002</v>
      </c>
      <c r="N76" s="2698">
        <f t="shared" si="47"/>
        <v>2.4514665772800006</v>
      </c>
      <c r="O76" s="2698">
        <f t="shared" si="47"/>
        <v>2.3448810739200008</v>
      </c>
      <c r="P76" s="2698">
        <f t="shared" si="47"/>
        <v>1.9790335353600002</v>
      </c>
    </row>
    <row r="77" spans="2:22" ht="26.4" x14ac:dyDescent="0.35">
      <c r="B77" s="1" t="s">
        <v>179</v>
      </c>
      <c r="C77" s="2724" t="s">
        <v>138</v>
      </c>
      <c r="D77" s="2699">
        <f>SUM(E77:P77)</f>
        <v>0</v>
      </c>
      <c r="E77" s="3581">
        <f>E321</f>
        <v>0</v>
      </c>
      <c r="F77" s="3581">
        <f>F321+G321</f>
        <v>0</v>
      </c>
      <c r="G77" s="3581">
        <f>H321</f>
        <v>0</v>
      </c>
      <c r="H77" s="3581">
        <f>I321</f>
        <v>0</v>
      </c>
      <c r="I77" s="3581">
        <f>J321</f>
        <v>0</v>
      </c>
      <c r="J77" s="3581">
        <f>K321</f>
        <v>0</v>
      </c>
      <c r="K77" s="3581">
        <f>M321+L321</f>
        <v>0</v>
      </c>
      <c r="L77" s="3581">
        <f>N321</f>
        <v>0</v>
      </c>
      <c r="M77" s="3581">
        <f>O321</f>
        <v>0</v>
      </c>
      <c r="N77" s="3581">
        <f>P321</f>
        <v>0</v>
      </c>
      <c r="O77" s="3581">
        <f>Q321</f>
        <v>0</v>
      </c>
      <c r="P77" s="3581">
        <f>R321</f>
        <v>0</v>
      </c>
    </row>
    <row r="78" spans="2:22" ht="39.6" x14ac:dyDescent="0.35">
      <c r="B78" s="1" t="str">
        <f>'Вхідні дані'!$B$32</f>
        <v>Тариф для розрахунку плати за перетікання реактивної електроенергії, без ПДВ</v>
      </c>
      <c r="C78" s="2724" t="s">
        <v>781</v>
      </c>
      <c r="D78" s="2699">
        <f>'Вхідні дані'!$D$32</f>
        <v>6.4440000000000011E-2</v>
      </c>
      <c r="E78" s="2699">
        <f t="shared" ref="E78:P78" si="48">D78</f>
        <v>6.4440000000000011E-2</v>
      </c>
      <c r="F78" s="2699">
        <f t="shared" si="48"/>
        <v>6.4440000000000011E-2</v>
      </c>
      <c r="G78" s="2699">
        <f t="shared" si="48"/>
        <v>6.4440000000000011E-2</v>
      </c>
      <c r="H78" s="2699">
        <f t="shared" si="48"/>
        <v>6.4440000000000011E-2</v>
      </c>
      <c r="I78" s="2699">
        <f t="shared" si="48"/>
        <v>6.4440000000000011E-2</v>
      </c>
      <c r="J78" s="2699">
        <f t="shared" si="48"/>
        <v>6.4440000000000011E-2</v>
      </c>
      <c r="K78" s="2699">
        <f t="shared" si="48"/>
        <v>6.4440000000000011E-2</v>
      </c>
      <c r="L78" s="2699">
        <f t="shared" si="48"/>
        <v>6.4440000000000011E-2</v>
      </c>
      <c r="M78" s="2699">
        <f t="shared" si="48"/>
        <v>6.4440000000000011E-2</v>
      </c>
      <c r="N78" s="2699">
        <f t="shared" si="48"/>
        <v>6.4440000000000011E-2</v>
      </c>
      <c r="O78" s="2699">
        <f t="shared" si="48"/>
        <v>6.4440000000000011E-2</v>
      </c>
      <c r="P78" s="2699">
        <f t="shared" si="48"/>
        <v>6.4440000000000011E-2</v>
      </c>
      <c r="Q78" s="157" t="s">
        <v>657</v>
      </c>
    </row>
    <row r="79" spans="2:22" ht="26.4" x14ac:dyDescent="0.35">
      <c r="B79" s="1" t="s">
        <v>794</v>
      </c>
      <c r="C79" s="99" t="s">
        <v>40</v>
      </c>
      <c r="D79" s="1323">
        <f>D77*D78</f>
        <v>0</v>
      </c>
      <c r="E79" s="1323">
        <f t="shared" ref="E79:P79" si="49">E77*E78</f>
        <v>0</v>
      </c>
      <c r="F79" s="1323">
        <f t="shared" si="49"/>
        <v>0</v>
      </c>
      <c r="G79" s="1323">
        <f t="shared" si="49"/>
        <v>0</v>
      </c>
      <c r="H79" s="1323">
        <f t="shared" si="49"/>
        <v>0</v>
      </c>
      <c r="I79" s="1323">
        <f t="shared" si="49"/>
        <v>0</v>
      </c>
      <c r="J79" s="1323">
        <f t="shared" si="49"/>
        <v>0</v>
      </c>
      <c r="K79" s="1323">
        <f t="shared" si="49"/>
        <v>0</v>
      </c>
      <c r="L79" s="1323">
        <f t="shared" si="49"/>
        <v>0</v>
      </c>
      <c r="M79" s="1323">
        <f t="shared" si="49"/>
        <v>0</v>
      </c>
      <c r="N79" s="1323">
        <f t="shared" si="49"/>
        <v>0</v>
      </c>
      <c r="O79" s="1323">
        <f t="shared" si="49"/>
        <v>0</v>
      </c>
      <c r="P79" s="1323">
        <f t="shared" si="49"/>
        <v>0</v>
      </c>
    </row>
    <row r="80" spans="2:22" ht="26.4" x14ac:dyDescent="0.35">
      <c r="B80" s="1" t="s">
        <v>793</v>
      </c>
      <c r="C80" s="2724" t="s">
        <v>138</v>
      </c>
      <c r="D80" s="2699">
        <f>SUM(E80:P80)</f>
        <v>0</v>
      </c>
      <c r="E80" s="3581">
        <f>E322</f>
        <v>0</v>
      </c>
      <c r="F80" s="3581">
        <f>F322+G322</f>
        <v>0</v>
      </c>
      <c r="G80" s="3581">
        <f>H322</f>
        <v>0</v>
      </c>
      <c r="H80" s="3581">
        <f>I322</f>
        <v>0</v>
      </c>
      <c r="I80" s="3581">
        <f>J322</f>
        <v>0</v>
      </c>
      <c r="J80" s="3581">
        <f>K322</f>
        <v>0</v>
      </c>
      <c r="K80" s="3581">
        <f>M322+L322</f>
        <v>0</v>
      </c>
      <c r="L80" s="3581">
        <f>N322</f>
        <v>0</v>
      </c>
      <c r="M80" s="3581">
        <f>O322</f>
        <v>0</v>
      </c>
      <c r="N80" s="3581">
        <f>P322</f>
        <v>0</v>
      </c>
      <c r="O80" s="3581">
        <f>Q322</f>
        <v>0</v>
      </c>
      <c r="P80" s="3581">
        <f>R322</f>
        <v>0</v>
      </c>
      <c r="Q80" s="157" t="s">
        <v>657</v>
      </c>
    </row>
    <row r="81" spans="2:18" ht="39.6" x14ac:dyDescent="0.35">
      <c r="B81" s="1" t="str">
        <f>'Вхідні дані'!$B$34</f>
        <v>Тариф для розрахунку плати за генерацію реактивної електроенергії, без ПДВ</v>
      </c>
      <c r="C81" s="2724" t="s">
        <v>781</v>
      </c>
      <c r="D81" s="2699">
        <f>'Вхідні дані'!$D$34</f>
        <v>7.222166666666667E-2</v>
      </c>
      <c r="E81" s="2699">
        <f t="shared" ref="E81:P81" si="50">D81</f>
        <v>7.222166666666667E-2</v>
      </c>
      <c r="F81" s="2699">
        <f t="shared" si="50"/>
        <v>7.222166666666667E-2</v>
      </c>
      <c r="G81" s="2699">
        <f t="shared" si="50"/>
        <v>7.222166666666667E-2</v>
      </c>
      <c r="H81" s="2699">
        <f t="shared" si="50"/>
        <v>7.222166666666667E-2</v>
      </c>
      <c r="I81" s="2699">
        <f t="shared" si="50"/>
        <v>7.222166666666667E-2</v>
      </c>
      <c r="J81" s="2699">
        <f t="shared" si="50"/>
        <v>7.222166666666667E-2</v>
      </c>
      <c r="K81" s="2699">
        <f t="shared" si="50"/>
        <v>7.222166666666667E-2</v>
      </c>
      <c r="L81" s="2699">
        <f t="shared" si="50"/>
        <v>7.222166666666667E-2</v>
      </c>
      <c r="M81" s="2699">
        <f t="shared" si="50"/>
        <v>7.222166666666667E-2</v>
      </c>
      <c r="N81" s="2699">
        <f t="shared" si="50"/>
        <v>7.222166666666667E-2</v>
      </c>
      <c r="O81" s="2699">
        <f t="shared" si="50"/>
        <v>7.222166666666667E-2</v>
      </c>
      <c r="P81" s="2699">
        <f t="shared" si="50"/>
        <v>7.222166666666667E-2</v>
      </c>
      <c r="Q81" s="157" t="s">
        <v>657</v>
      </c>
    </row>
    <row r="82" spans="2:18" ht="26.4" x14ac:dyDescent="0.35">
      <c r="B82" s="1" t="s">
        <v>795</v>
      </c>
      <c r="C82" s="99" t="s">
        <v>40</v>
      </c>
      <c r="D82" s="1323">
        <f>D80*D81</f>
        <v>0</v>
      </c>
      <c r="E82" s="1323">
        <f t="shared" ref="E82:P82" si="51">E80*E81</f>
        <v>0</v>
      </c>
      <c r="F82" s="1323">
        <f t="shared" si="51"/>
        <v>0</v>
      </c>
      <c r="G82" s="1323">
        <f t="shared" si="51"/>
        <v>0</v>
      </c>
      <c r="H82" s="1323">
        <f t="shared" si="51"/>
        <v>0</v>
      </c>
      <c r="I82" s="1323">
        <f t="shared" si="51"/>
        <v>0</v>
      </c>
      <c r="J82" s="1323">
        <f t="shared" si="51"/>
        <v>0</v>
      </c>
      <c r="K82" s="1323">
        <f t="shared" si="51"/>
        <v>0</v>
      </c>
      <c r="L82" s="1323">
        <f t="shared" si="51"/>
        <v>0</v>
      </c>
      <c r="M82" s="1323">
        <f t="shared" si="51"/>
        <v>0</v>
      </c>
      <c r="N82" s="1323">
        <f t="shared" si="51"/>
        <v>0</v>
      </c>
      <c r="O82" s="1323">
        <f t="shared" si="51"/>
        <v>0</v>
      </c>
      <c r="P82" s="1323">
        <f t="shared" si="51"/>
        <v>0</v>
      </c>
      <c r="Q82" s="157" t="s">
        <v>657</v>
      </c>
    </row>
    <row r="83" spans="2:18" ht="26.4" x14ac:dyDescent="0.35">
      <c r="B83" s="1" t="s">
        <v>830</v>
      </c>
      <c r="C83" s="99" t="s">
        <v>40</v>
      </c>
      <c r="D83" s="2712">
        <f>D82+D79</f>
        <v>0</v>
      </c>
      <c r="E83" s="2712">
        <f t="shared" ref="E83:P83" si="52">E82+E79</f>
        <v>0</v>
      </c>
      <c r="F83" s="2712">
        <f t="shared" si="52"/>
        <v>0</v>
      </c>
      <c r="G83" s="2712">
        <f t="shared" si="52"/>
        <v>0</v>
      </c>
      <c r="H83" s="2712">
        <f t="shared" si="52"/>
        <v>0</v>
      </c>
      <c r="I83" s="2712">
        <f t="shared" si="52"/>
        <v>0</v>
      </c>
      <c r="J83" s="2712">
        <f t="shared" si="52"/>
        <v>0</v>
      </c>
      <c r="K83" s="2712">
        <f t="shared" si="52"/>
        <v>0</v>
      </c>
      <c r="L83" s="2712">
        <f t="shared" si="52"/>
        <v>0</v>
      </c>
      <c r="M83" s="2712">
        <f t="shared" si="52"/>
        <v>0</v>
      </c>
      <c r="N83" s="2712">
        <f t="shared" si="52"/>
        <v>0</v>
      </c>
      <c r="O83" s="2712">
        <f t="shared" si="52"/>
        <v>0</v>
      </c>
      <c r="P83" s="2712">
        <f t="shared" si="52"/>
        <v>0</v>
      </c>
      <c r="Q83" s="157"/>
      <c r="R83" s="2688">
        <f>D84/D69*1000</f>
        <v>0.22497307131182781</v>
      </c>
    </row>
    <row r="84" spans="2:18" ht="39.6" x14ac:dyDescent="0.35">
      <c r="B84" s="1" t="s">
        <v>2027</v>
      </c>
      <c r="C84" s="99" t="s">
        <v>40</v>
      </c>
      <c r="D84" s="2702">
        <f>D76+D83</f>
        <v>24.449068362624004</v>
      </c>
      <c r="E84" s="2702">
        <f t="shared" ref="E84:P84" si="53">E76+E83</f>
        <v>2.0732732275200005</v>
      </c>
      <c r="F84" s="2702">
        <f t="shared" si="53"/>
        <v>1.9711322161920002</v>
      </c>
      <c r="G84" s="2702">
        <f t="shared" si="53"/>
        <v>1.8528593448960002</v>
      </c>
      <c r="H84" s="2702">
        <f t="shared" si="53"/>
        <v>2.0293221396480003</v>
      </c>
      <c r="I84" s="2702">
        <f t="shared" si="53"/>
        <v>1.8528593448960002</v>
      </c>
      <c r="J84" s="2702">
        <f t="shared" si="53"/>
        <v>1.8528593448960002</v>
      </c>
      <c r="K84" s="2702">
        <f t="shared" si="53"/>
        <v>1.9144237900800001</v>
      </c>
      <c r="L84" s="2702">
        <f t="shared" si="53"/>
        <v>1.9952477007360006</v>
      </c>
      <c r="M84" s="2702">
        <f t="shared" si="53"/>
        <v>2.1317100672000002</v>
      </c>
      <c r="N84" s="2702">
        <f t="shared" si="53"/>
        <v>2.4514665772800006</v>
      </c>
      <c r="O84" s="2702">
        <f t="shared" si="53"/>
        <v>2.3448810739200008</v>
      </c>
      <c r="P84" s="2702">
        <f t="shared" si="53"/>
        <v>1.9790335353600002</v>
      </c>
      <c r="Q84" s="157"/>
      <c r="R84" s="2701">
        <f>Q84-D84</f>
        <v>-24.449068362624004</v>
      </c>
    </row>
    <row r="85" spans="2:18" x14ac:dyDescent="0.35">
      <c r="B85" s="2713"/>
      <c r="C85" s="2660"/>
      <c r="D85" s="2714"/>
      <c r="E85" s="2714"/>
      <c r="F85" s="2714"/>
      <c r="G85" s="2714"/>
      <c r="H85" s="2714"/>
      <c r="I85" s="2714"/>
      <c r="J85" s="2714"/>
      <c r="K85" s="2714"/>
      <c r="L85" s="2714"/>
      <c r="M85" s="2714"/>
      <c r="N85" s="2714"/>
      <c r="O85" s="2714"/>
      <c r="P85" s="2714"/>
    </row>
    <row r="87" spans="2:18" x14ac:dyDescent="0.35">
      <c r="C87" s="5298" t="str">
        <f>'Вхідні дані'!B13</f>
        <v>Директор підприємства</v>
      </c>
      <c r="D87" s="5339"/>
      <c r="G87" s="5337" t="s">
        <v>276</v>
      </c>
      <c r="H87" s="5338"/>
      <c r="I87" s="5338"/>
      <c r="M87" s="5340" t="str">
        <f>'Вхідні дані'!F13</f>
        <v>Анатолій ПАНШИН</v>
      </c>
      <c r="N87" s="5340"/>
      <c r="O87" s="5340"/>
      <c r="P87" s="5340"/>
    </row>
    <row r="88" spans="2:18" x14ac:dyDescent="0.35">
      <c r="C88" s="5286" t="s">
        <v>232</v>
      </c>
      <c r="D88" s="5338"/>
      <c r="G88" s="5337" t="s">
        <v>209</v>
      </c>
      <c r="H88" s="5338"/>
      <c r="I88" s="5338"/>
      <c r="M88" s="5337" t="s">
        <v>230</v>
      </c>
      <c r="N88" s="5337"/>
      <c r="O88" s="5337"/>
      <c r="P88" s="5337"/>
    </row>
    <row r="90" spans="2:18" x14ac:dyDescent="0.35">
      <c r="N90" s="1326" t="s">
        <v>832</v>
      </c>
    </row>
    <row r="92" spans="2:18" x14ac:dyDescent="0.35">
      <c r="B92" s="5281" t="s">
        <v>451</v>
      </c>
      <c r="C92" s="5281"/>
      <c r="D92" s="5281"/>
      <c r="E92" s="5281"/>
      <c r="F92" s="5281"/>
      <c r="G92" s="5281"/>
      <c r="H92" s="5281"/>
      <c r="I92" s="5281"/>
      <c r="J92" s="5281"/>
      <c r="K92" s="5066"/>
      <c r="L92" s="5066"/>
      <c r="M92" s="5066"/>
      <c r="N92" s="5066"/>
      <c r="O92" s="5066"/>
      <c r="P92" s="5066"/>
      <c r="Q92" s="157"/>
    </row>
    <row r="93" spans="2:18" x14ac:dyDescent="0.35">
      <c r="B93" s="5321" t="s">
        <v>833</v>
      </c>
      <c r="C93" s="5321"/>
      <c r="D93" s="5321"/>
      <c r="E93" s="5321"/>
      <c r="F93" s="5321"/>
      <c r="G93" s="5321"/>
      <c r="H93" s="5321"/>
      <c r="I93" s="5321"/>
      <c r="J93" s="5321"/>
      <c r="K93" s="5321"/>
      <c r="L93" s="5321"/>
      <c r="M93" s="5321"/>
      <c r="N93" s="5321"/>
      <c r="O93" s="5321"/>
      <c r="P93" s="5321"/>
    </row>
    <row r="94" spans="2:18" ht="18.600000000000001" thickBot="1" x14ac:dyDescent="0.4">
      <c r="B94" s="5322" t="s">
        <v>211</v>
      </c>
      <c r="C94" s="5323"/>
      <c r="D94" s="5323"/>
      <c r="E94" s="5323"/>
      <c r="F94" s="5323"/>
      <c r="G94" s="5323"/>
      <c r="H94" s="5323"/>
      <c r="I94" s="5323"/>
      <c r="J94" s="5323"/>
      <c r="K94" s="5323"/>
      <c r="L94" s="5323"/>
      <c r="M94" s="5323"/>
      <c r="N94" s="5323"/>
      <c r="O94" s="5323"/>
      <c r="P94" s="5323"/>
      <c r="Q94" s="157"/>
    </row>
    <row r="95" spans="2:18" x14ac:dyDescent="0.35">
      <c r="B95" s="5324" t="s">
        <v>110</v>
      </c>
      <c r="C95" s="5313" t="s">
        <v>35</v>
      </c>
      <c r="D95" s="2715" t="s">
        <v>132</v>
      </c>
      <c r="E95" s="5313" t="s">
        <v>19</v>
      </c>
      <c r="F95" s="5313" t="s">
        <v>20</v>
      </c>
      <c r="G95" s="5313" t="s">
        <v>21</v>
      </c>
      <c r="H95" s="5313" t="s">
        <v>10</v>
      </c>
      <c r="I95" s="5313" t="s">
        <v>11</v>
      </c>
      <c r="J95" s="5313" t="s">
        <v>12</v>
      </c>
      <c r="K95" s="5313" t="s">
        <v>13</v>
      </c>
      <c r="L95" s="5313" t="s">
        <v>133</v>
      </c>
      <c r="M95" s="5313" t="s">
        <v>15</v>
      </c>
      <c r="N95" s="5313" t="s">
        <v>16</v>
      </c>
      <c r="O95" s="5313" t="s">
        <v>17</v>
      </c>
      <c r="P95" s="5315" t="s">
        <v>18</v>
      </c>
      <c r="Q95" s="157"/>
    </row>
    <row r="96" spans="2:18" x14ac:dyDescent="0.35">
      <c r="B96" s="5325"/>
      <c r="C96" s="5303"/>
      <c r="D96" s="99" t="str">
        <f>'Вхідні дані'!$F$6</f>
        <v>2023-2024</v>
      </c>
      <c r="E96" s="5304"/>
      <c r="F96" s="5304"/>
      <c r="G96" s="5304"/>
      <c r="H96" s="5304"/>
      <c r="I96" s="5304"/>
      <c r="J96" s="5304"/>
      <c r="K96" s="5304"/>
      <c r="L96" s="5304"/>
      <c r="M96" s="5304"/>
      <c r="N96" s="5304"/>
      <c r="O96" s="5304"/>
      <c r="P96" s="5317"/>
      <c r="Q96" s="157"/>
    </row>
    <row r="97" spans="2:22" x14ac:dyDescent="0.35">
      <c r="B97" s="2718">
        <v>1</v>
      </c>
      <c r="C97" s="99">
        <v>2</v>
      </c>
      <c r="D97" s="99">
        <v>3</v>
      </c>
      <c r="E97" s="99">
        <v>4</v>
      </c>
      <c r="F97" s="99">
        <v>5</v>
      </c>
      <c r="G97" s="99">
        <v>6</v>
      </c>
      <c r="H97" s="99">
        <v>7</v>
      </c>
      <c r="I97" s="99">
        <v>8</v>
      </c>
      <c r="J97" s="99">
        <v>9</v>
      </c>
      <c r="K97" s="99">
        <v>10</v>
      </c>
      <c r="L97" s="99">
        <v>11</v>
      </c>
      <c r="M97" s="99">
        <v>12</v>
      </c>
      <c r="N97" s="99">
        <v>13</v>
      </c>
      <c r="O97" s="99">
        <v>14</v>
      </c>
      <c r="P97" s="2719">
        <v>15</v>
      </c>
    </row>
    <row r="98" spans="2:22" ht="26.4" x14ac:dyDescent="0.35">
      <c r="B98" s="328" t="s">
        <v>799</v>
      </c>
      <c r="C98" s="99" t="s">
        <v>185</v>
      </c>
      <c r="D98" s="2708">
        <f>D99+D101+D100</f>
        <v>37.543080356000004</v>
      </c>
      <c r="E98" s="2708">
        <f t="shared" ref="E98:P98" si="54">E99+E101+E100</f>
        <v>3.2015155120000003</v>
      </c>
      <c r="F98" s="2708">
        <f t="shared" si="54"/>
        <v>2.9739427120000004</v>
      </c>
      <c r="G98" s="2708">
        <f t="shared" si="54"/>
        <v>2.7771533160000001</v>
      </c>
      <c r="H98" s="2708">
        <f t="shared" si="54"/>
        <v>3.0376761079999999</v>
      </c>
      <c r="I98" s="2708">
        <f t="shared" si="54"/>
        <v>2.7731213160000006</v>
      </c>
      <c r="J98" s="2708">
        <f t="shared" si="54"/>
        <v>2.7771533160000001</v>
      </c>
      <c r="K98" s="2708">
        <f t="shared" si="54"/>
        <v>2.8358755120000008</v>
      </c>
      <c r="L98" s="2708">
        <f t="shared" si="54"/>
        <v>2.9487289080000005</v>
      </c>
      <c r="M98" s="2708">
        <f t="shared" si="54"/>
        <v>3.4879959199999995</v>
      </c>
      <c r="N98" s="2708">
        <f t="shared" si="54"/>
        <v>3.7684665080000008</v>
      </c>
      <c r="O98" s="2708">
        <f t="shared" si="54"/>
        <v>3.8351155120000002</v>
      </c>
      <c r="P98" s="2717">
        <f t="shared" si="54"/>
        <v>3.1263357159999998</v>
      </c>
    </row>
    <row r="99" spans="2:22" ht="26.4" x14ac:dyDescent="0.35">
      <c r="B99" s="329" t="s">
        <v>1670</v>
      </c>
      <c r="C99" s="99" t="s">
        <v>185</v>
      </c>
      <c r="D99" s="2708">
        <f>SUM(E99:P99)</f>
        <v>19.6981392</v>
      </c>
      <c r="E99" s="3581">
        <f>E324</f>
        <v>1.6733648000000001</v>
      </c>
      <c r="F99" s="3581">
        <f>F324+G324</f>
        <v>1.6222656000000002</v>
      </c>
      <c r="G99" s="3581">
        <f>H324</f>
        <v>1.5364608</v>
      </c>
      <c r="H99" s="3581">
        <f>I324</f>
        <v>1.6788223999999998</v>
      </c>
      <c r="I99" s="3581">
        <f>J324</f>
        <v>1.5324288000000001</v>
      </c>
      <c r="J99" s="3581">
        <f>K324</f>
        <v>1.5364608</v>
      </c>
      <c r="K99" s="3581">
        <f>M324+L324</f>
        <v>1.5651328000000002</v>
      </c>
      <c r="L99" s="3581">
        <f>N324</f>
        <v>1.6269696000000002</v>
      </c>
      <c r="M99" s="3581">
        <f>O324</f>
        <v>1.7147679999999998</v>
      </c>
      <c r="N99" s="3581">
        <f>P324</f>
        <v>1.7292544000000005</v>
      </c>
      <c r="O99" s="3581">
        <f>Q324</f>
        <v>1.8845648000000002</v>
      </c>
      <c r="P99" s="3581">
        <f>R324</f>
        <v>1.5976463999999999</v>
      </c>
      <c r="Q99" s="157"/>
    </row>
    <row r="100" spans="2:22" x14ac:dyDescent="0.35">
      <c r="B100" s="329" t="s">
        <v>1671</v>
      </c>
      <c r="C100" s="99" t="s">
        <v>185</v>
      </c>
      <c r="D100" s="2708">
        <f>SUM(E100:P100)</f>
        <v>2.1134723559999999</v>
      </c>
      <c r="E100" s="3581">
        <f>E334</f>
        <v>0.172246712</v>
      </c>
      <c r="F100" s="3581">
        <f>F334+G334</f>
        <v>0.172246712</v>
      </c>
      <c r="G100" s="3581">
        <f>H334</f>
        <v>0.16441731600000001</v>
      </c>
      <c r="H100" s="3581">
        <f>I334</f>
        <v>0.18007610800000001</v>
      </c>
      <c r="I100" s="3581">
        <f>J334</f>
        <v>0.16441731600000001</v>
      </c>
      <c r="J100" s="3581">
        <f>K334</f>
        <v>0.16441731600000001</v>
      </c>
      <c r="K100" s="3581">
        <f>M334+L334</f>
        <v>0.17224671200000002</v>
      </c>
      <c r="L100" s="3581">
        <f>N334</f>
        <v>0.18007610800000001</v>
      </c>
      <c r="M100" s="3581">
        <f>O334</f>
        <v>0.15658791999999999</v>
      </c>
      <c r="N100" s="3581">
        <f>P334</f>
        <v>0.18007610800000001</v>
      </c>
      <c r="O100" s="3581">
        <f>Q334</f>
        <v>0.172246712</v>
      </c>
      <c r="P100" s="3581">
        <f>R334</f>
        <v>0.23441731599999999</v>
      </c>
      <c r="Q100" s="157"/>
    </row>
    <row r="101" spans="2:22" x14ac:dyDescent="0.35">
      <c r="B101" s="329" t="s">
        <v>834</v>
      </c>
      <c r="C101" s="99" t="s">
        <v>185</v>
      </c>
      <c r="D101" s="2708">
        <f>SUM(E101:P101)</f>
        <v>15.7314688</v>
      </c>
      <c r="E101" s="3581">
        <f>E329</f>
        <v>1.355904</v>
      </c>
      <c r="F101" s="3581">
        <f>F329+G329</f>
        <v>1.1794304</v>
      </c>
      <c r="G101" s="3581">
        <f>H329</f>
        <v>1.0762752</v>
      </c>
      <c r="H101" s="3581">
        <f>I329</f>
        <v>1.1787775999999999</v>
      </c>
      <c r="I101" s="3581">
        <f>J329</f>
        <v>1.0762752</v>
      </c>
      <c r="J101" s="3581">
        <f>K329</f>
        <v>1.0762752</v>
      </c>
      <c r="K101" s="3581">
        <f>M329+L329</f>
        <v>1.0984960000000001</v>
      </c>
      <c r="L101" s="3581">
        <f>N329</f>
        <v>1.1416832000000001</v>
      </c>
      <c r="M101" s="3581">
        <f>O329</f>
        <v>1.6166399999999999</v>
      </c>
      <c r="N101" s="3581">
        <f>P329</f>
        <v>1.8591360000000003</v>
      </c>
      <c r="O101" s="3581">
        <f>Q329</f>
        <v>1.7783040000000001</v>
      </c>
      <c r="P101" s="3581">
        <f>R329</f>
        <v>1.2942719999999999</v>
      </c>
      <c r="Q101" s="157"/>
    </row>
    <row r="102" spans="2:22" ht="29.4" customHeight="1" x14ac:dyDescent="0.35">
      <c r="B102" s="330" t="str">
        <f>'Вхідні дані'!$B$28</f>
        <v>Тариф на електричну енергію (діючий), без ПДВ</v>
      </c>
      <c r="C102" s="99" t="s">
        <v>779</v>
      </c>
      <c r="D102" s="2695">
        <f>'Вхідні дані'!$D$28</f>
        <v>4.7651000000000003</v>
      </c>
      <c r="E102" s="2695">
        <f t="shared" ref="E102:P102" si="55">D102</f>
        <v>4.7651000000000003</v>
      </c>
      <c r="F102" s="2695">
        <f t="shared" si="55"/>
        <v>4.7651000000000003</v>
      </c>
      <c r="G102" s="2695">
        <f t="shared" si="55"/>
        <v>4.7651000000000003</v>
      </c>
      <c r="H102" s="2695">
        <f t="shared" si="55"/>
        <v>4.7651000000000003</v>
      </c>
      <c r="I102" s="2695">
        <f t="shared" si="55"/>
        <v>4.7651000000000003</v>
      </c>
      <c r="J102" s="2695">
        <f t="shared" si="55"/>
        <v>4.7651000000000003</v>
      </c>
      <c r="K102" s="2695">
        <f t="shared" si="55"/>
        <v>4.7651000000000003</v>
      </c>
      <c r="L102" s="2695">
        <f t="shared" si="55"/>
        <v>4.7651000000000003</v>
      </c>
      <c r="M102" s="2695">
        <f t="shared" si="55"/>
        <v>4.7651000000000003</v>
      </c>
      <c r="N102" s="2695">
        <f t="shared" si="55"/>
        <v>4.7651000000000003</v>
      </c>
      <c r="O102" s="2695">
        <f t="shared" si="55"/>
        <v>4.7651000000000003</v>
      </c>
      <c r="P102" s="2720">
        <f t="shared" si="55"/>
        <v>4.7651000000000003</v>
      </c>
      <c r="Q102" s="157"/>
    </row>
    <row r="103" spans="2:22" ht="26.4" x14ac:dyDescent="0.35">
      <c r="B103" s="330" t="s">
        <v>801</v>
      </c>
      <c r="C103" s="99" t="s">
        <v>40</v>
      </c>
      <c r="D103" s="2691">
        <f>D98*D102</f>
        <v>178.89653220437563</v>
      </c>
      <c r="E103" s="2691">
        <f t="shared" ref="E103:P103" si="56">E98*E102</f>
        <v>15.255541566231203</v>
      </c>
      <c r="F103" s="2691">
        <f t="shared" si="56"/>
        <v>14.171134416951203</v>
      </c>
      <c r="G103" s="2691">
        <f t="shared" si="56"/>
        <v>13.233413266071601</v>
      </c>
      <c r="H103" s="2691">
        <f t="shared" si="56"/>
        <v>14.4748304222308</v>
      </c>
      <c r="I103" s="2691">
        <f t="shared" si="56"/>
        <v>13.214200382871603</v>
      </c>
      <c r="J103" s="2691">
        <f t="shared" si="56"/>
        <v>13.233413266071601</v>
      </c>
      <c r="K103" s="2691">
        <f t="shared" si="56"/>
        <v>13.513230402231205</v>
      </c>
      <c r="L103" s="2691">
        <f t="shared" si="56"/>
        <v>14.050988119510803</v>
      </c>
      <c r="M103" s="2691">
        <f t="shared" si="56"/>
        <v>16.620649358391997</v>
      </c>
      <c r="N103" s="2691">
        <f t="shared" si="56"/>
        <v>17.957119757270807</v>
      </c>
      <c r="O103" s="2691">
        <f t="shared" si="56"/>
        <v>18.274708926231202</v>
      </c>
      <c r="P103" s="2721">
        <f t="shared" si="56"/>
        <v>14.897302320311601</v>
      </c>
      <c r="Q103" s="157"/>
    </row>
    <row r="104" spans="2:22" ht="26.4" x14ac:dyDescent="0.35">
      <c r="B104" s="329" t="str">
        <f>B99</f>
        <v>загальновиробничі потреби, крім ремонтів</v>
      </c>
      <c r="C104" s="99" t="s">
        <v>40</v>
      </c>
      <c r="D104" s="2691">
        <f>D99*D102</f>
        <v>93.863603101920006</v>
      </c>
      <c r="E104" s="2691">
        <f t="shared" ref="E104:P104" si="57">E99*E102</f>
        <v>7.9737506084800014</v>
      </c>
      <c r="F104" s="2691">
        <f t="shared" si="57"/>
        <v>7.7302578105600013</v>
      </c>
      <c r="G104" s="2691">
        <f t="shared" si="57"/>
        <v>7.3213893580800002</v>
      </c>
      <c r="H104" s="2691">
        <f t="shared" si="57"/>
        <v>7.9997566182400002</v>
      </c>
      <c r="I104" s="2691">
        <f t="shared" si="57"/>
        <v>7.3021764748800013</v>
      </c>
      <c r="J104" s="2691">
        <f t="shared" si="57"/>
        <v>7.3213893580800002</v>
      </c>
      <c r="K104" s="2691">
        <f t="shared" si="57"/>
        <v>7.4580143052800016</v>
      </c>
      <c r="L104" s="2691">
        <f t="shared" si="57"/>
        <v>7.7526728409600016</v>
      </c>
      <c r="M104" s="2691">
        <f t="shared" si="57"/>
        <v>8.1710409968000004</v>
      </c>
      <c r="N104" s="2691">
        <f t="shared" si="57"/>
        <v>8.2400701414400039</v>
      </c>
      <c r="O104" s="2691">
        <f t="shared" si="57"/>
        <v>8.9801397284800011</v>
      </c>
      <c r="P104" s="2721">
        <f t="shared" si="57"/>
        <v>7.6129448606399999</v>
      </c>
      <c r="Q104" s="157"/>
    </row>
    <row r="105" spans="2:22" x14ac:dyDescent="0.35">
      <c r="B105" s="329" t="str">
        <f>B100</f>
        <v>на ремонти</v>
      </c>
      <c r="C105" s="99" t="s">
        <v>40</v>
      </c>
      <c r="D105" s="2691">
        <f>D100*D102</f>
        <v>10.0709071235756</v>
      </c>
      <c r="E105" s="2691">
        <f t="shared" ref="E105:P105" si="58">E100*E102</f>
        <v>0.82077280735120006</v>
      </c>
      <c r="F105" s="2691">
        <f t="shared" si="58"/>
        <v>0.82077280735120006</v>
      </c>
      <c r="G105" s="2691">
        <f t="shared" si="58"/>
        <v>0.78346495247160008</v>
      </c>
      <c r="H105" s="2691">
        <f t="shared" si="58"/>
        <v>0.85808066223080015</v>
      </c>
      <c r="I105" s="2691">
        <f t="shared" si="58"/>
        <v>0.78346495247160008</v>
      </c>
      <c r="J105" s="2691">
        <f t="shared" si="58"/>
        <v>0.78346495247160008</v>
      </c>
      <c r="K105" s="2691">
        <f t="shared" si="58"/>
        <v>0.82077280735120017</v>
      </c>
      <c r="L105" s="2691">
        <f t="shared" si="58"/>
        <v>0.85808066223080015</v>
      </c>
      <c r="M105" s="2691">
        <f t="shared" si="58"/>
        <v>0.746157097592</v>
      </c>
      <c r="N105" s="2691">
        <f t="shared" si="58"/>
        <v>0.85808066223080015</v>
      </c>
      <c r="O105" s="2691">
        <f t="shared" si="58"/>
        <v>0.82077280735120006</v>
      </c>
      <c r="P105" s="2721">
        <f t="shared" si="58"/>
        <v>1.1170219524716001</v>
      </c>
      <c r="Q105" s="157"/>
    </row>
    <row r="106" spans="2:22" x14ac:dyDescent="0.35">
      <c r="B106" s="329" t="str">
        <f>B101</f>
        <v>загальногосподарські потреби</v>
      </c>
      <c r="C106" s="99" t="s">
        <v>40</v>
      </c>
      <c r="D106" s="2691">
        <f>D101*D102</f>
        <v>74.962021978880003</v>
      </c>
      <c r="E106" s="2691">
        <f t="shared" ref="E106:P106" si="59">E101*E102</f>
        <v>6.4610181504000002</v>
      </c>
      <c r="F106" s="2691">
        <f t="shared" si="59"/>
        <v>5.6201037990400007</v>
      </c>
      <c r="G106" s="2691">
        <f t="shared" si="59"/>
        <v>5.12855895552</v>
      </c>
      <c r="H106" s="2691">
        <f t="shared" si="59"/>
        <v>5.6169931417600001</v>
      </c>
      <c r="I106" s="2691">
        <f t="shared" si="59"/>
        <v>5.12855895552</v>
      </c>
      <c r="J106" s="2691">
        <f t="shared" si="59"/>
        <v>5.12855895552</v>
      </c>
      <c r="K106" s="2691">
        <f t="shared" si="59"/>
        <v>5.2344432896000006</v>
      </c>
      <c r="L106" s="2691">
        <f t="shared" si="59"/>
        <v>5.4402346163200006</v>
      </c>
      <c r="M106" s="2691">
        <f t="shared" si="59"/>
        <v>7.7034512639999999</v>
      </c>
      <c r="N106" s="2691">
        <f t="shared" si="59"/>
        <v>8.8589689536000016</v>
      </c>
      <c r="O106" s="2691">
        <f t="shared" si="59"/>
        <v>8.4737963904000004</v>
      </c>
      <c r="P106" s="2721">
        <f t="shared" si="59"/>
        <v>6.1673355071999998</v>
      </c>
      <c r="Q106" s="157"/>
    </row>
    <row r="107" spans="2:22" ht="39.6" x14ac:dyDescent="0.35">
      <c r="B107" s="330" t="str">
        <f>'Вхідні дані'!$B$30</f>
        <v>Тариф на послуги з розподілу електричної енергії, 2 клас напруги, без ПДВ</v>
      </c>
      <c r="C107" s="99" t="s">
        <v>779</v>
      </c>
      <c r="D107" s="2697">
        <f>'Вхідні дані'!$D$30</f>
        <v>1.6650100000000001</v>
      </c>
      <c r="E107" s="2697">
        <f t="shared" ref="E107:P107" si="60">D107</f>
        <v>1.6650100000000001</v>
      </c>
      <c r="F107" s="2697">
        <f t="shared" si="60"/>
        <v>1.6650100000000001</v>
      </c>
      <c r="G107" s="2697">
        <f t="shared" si="60"/>
        <v>1.6650100000000001</v>
      </c>
      <c r="H107" s="2697">
        <f t="shared" si="60"/>
        <v>1.6650100000000001</v>
      </c>
      <c r="I107" s="2697">
        <f t="shared" si="60"/>
        <v>1.6650100000000001</v>
      </c>
      <c r="J107" s="2697">
        <f t="shared" si="60"/>
        <v>1.6650100000000001</v>
      </c>
      <c r="K107" s="2697">
        <f t="shared" si="60"/>
        <v>1.6650100000000001</v>
      </c>
      <c r="L107" s="2697">
        <f t="shared" si="60"/>
        <v>1.6650100000000001</v>
      </c>
      <c r="M107" s="2697">
        <f t="shared" si="60"/>
        <v>1.6650100000000001</v>
      </c>
      <c r="N107" s="2697">
        <f t="shared" si="60"/>
        <v>1.6650100000000001</v>
      </c>
      <c r="O107" s="2697">
        <f t="shared" si="60"/>
        <v>1.6650100000000001</v>
      </c>
      <c r="P107" s="2722">
        <f t="shared" si="60"/>
        <v>1.6650100000000001</v>
      </c>
      <c r="Q107" s="157"/>
    </row>
    <row r="108" spans="2:22" ht="26.4" x14ac:dyDescent="0.35">
      <c r="B108" s="330" t="s">
        <v>802</v>
      </c>
      <c r="C108" s="99" t="s">
        <v>40</v>
      </c>
      <c r="D108" s="2683">
        <f>D98*D107-X108</f>
        <v>62.509604223543569</v>
      </c>
      <c r="E108" s="2683">
        <f t="shared" ref="E108:P108" si="61">E98*E107</f>
        <v>5.3305553426351207</v>
      </c>
      <c r="F108" s="2683">
        <f t="shared" si="61"/>
        <v>4.9516443549071205</v>
      </c>
      <c r="G108" s="2683">
        <f t="shared" si="61"/>
        <v>4.6239880426731608</v>
      </c>
      <c r="H108" s="2683">
        <f t="shared" si="61"/>
        <v>5.0577610965810802</v>
      </c>
      <c r="I108" s="2683">
        <f t="shared" si="61"/>
        <v>4.6172747223531614</v>
      </c>
      <c r="J108" s="2683">
        <f t="shared" si="61"/>
        <v>4.6239880426731608</v>
      </c>
      <c r="K108" s="2683">
        <f t="shared" si="61"/>
        <v>4.7217610862351211</v>
      </c>
      <c r="L108" s="2683">
        <f t="shared" si="61"/>
        <v>4.9096631191090809</v>
      </c>
      <c r="M108" s="2683">
        <f t="shared" si="61"/>
        <v>5.8075480867591995</v>
      </c>
      <c r="N108" s="2683">
        <f t="shared" si="61"/>
        <v>6.2745344204850815</v>
      </c>
      <c r="O108" s="2683">
        <f t="shared" si="61"/>
        <v>6.3855056786351208</v>
      </c>
      <c r="P108" s="2723">
        <f t="shared" si="61"/>
        <v>5.2053802304971599</v>
      </c>
      <c r="Q108" s="157"/>
      <c r="V108" s="1325"/>
    </row>
    <row r="109" spans="2:22" ht="26.4" x14ac:dyDescent="0.35">
      <c r="B109" s="329" t="str">
        <f>B99</f>
        <v>загальновиробничі потреби, крім ремонтів</v>
      </c>
      <c r="C109" s="99" t="s">
        <v>40</v>
      </c>
      <c r="D109" s="2683">
        <f>D99*D107-X109</f>
        <v>32.797598749392002</v>
      </c>
      <c r="E109" s="2683">
        <f t="shared" ref="E109:P109" si="62">E99*E107</f>
        <v>2.7861691256480001</v>
      </c>
      <c r="F109" s="2683">
        <f t="shared" si="62"/>
        <v>2.7010884466560006</v>
      </c>
      <c r="G109" s="2683">
        <f t="shared" si="62"/>
        <v>2.5582225966080001</v>
      </c>
      <c r="H109" s="2683">
        <f t="shared" si="62"/>
        <v>2.795256084224</v>
      </c>
      <c r="I109" s="2683">
        <f t="shared" si="62"/>
        <v>2.5515092762880003</v>
      </c>
      <c r="J109" s="2683">
        <f t="shared" si="62"/>
        <v>2.5582225966080001</v>
      </c>
      <c r="K109" s="2683">
        <f t="shared" si="62"/>
        <v>2.6059617633280006</v>
      </c>
      <c r="L109" s="2683">
        <f t="shared" si="62"/>
        <v>2.7089206536960004</v>
      </c>
      <c r="M109" s="2683">
        <f t="shared" si="62"/>
        <v>2.8551058676799999</v>
      </c>
      <c r="N109" s="2683">
        <f t="shared" si="62"/>
        <v>2.8792258685440011</v>
      </c>
      <c r="O109" s="2683">
        <f t="shared" si="62"/>
        <v>3.1378192376480003</v>
      </c>
      <c r="P109" s="2723">
        <f t="shared" si="62"/>
        <v>2.660097232464</v>
      </c>
      <c r="Q109" s="157"/>
      <c r="V109" s="1325"/>
    </row>
    <row r="110" spans="2:22" x14ac:dyDescent="0.35">
      <c r="B110" s="329" t="str">
        <f>B100</f>
        <v>на ремонти</v>
      </c>
      <c r="C110" s="99" t="s">
        <v>40</v>
      </c>
      <c r="D110" s="2683">
        <f>D100*D107-X110</f>
        <v>3.51895260746356</v>
      </c>
      <c r="E110" s="2683">
        <f t="shared" ref="E110:P110" si="63">E100*E107</f>
        <v>0.28679249794712003</v>
      </c>
      <c r="F110" s="2683">
        <f t="shared" si="63"/>
        <v>0.28679249794712003</v>
      </c>
      <c r="G110" s="2683">
        <f t="shared" si="63"/>
        <v>0.27375647531316005</v>
      </c>
      <c r="H110" s="2683">
        <f t="shared" si="63"/>
        <v>0.29982852058108006</v>
      </c>
      <c r="I110" s="2683">
        <f t="shared" si="63"/>
        <v>0.27375647531316005</v>
      </c>
      <c r="J110" s="2683">
        <f t="shared" si="63"/>
        <v>0.27375647531316005</v>
      </c>
      <c r="K110" s="2683">
        <f t="shared" si="63"/>
        <v>0.28679249794712008</v>
      </c>
      <c r="L110" s="2683">
        <f t="shared" si="63"/>
        <v>0.29982852058108006</v>
      </c>
      <c r="M110" s="2683">
        <f t="shared" si="63"/>
        <v>0.26072045267920002</v>
      </c>
      <c r="N110" s="2683">
        <f t="shared" si="63"/>
        <v>0.29982852058108006</v>
      </c>
      <c r="O110" s="2683">
        <f t="shared" si="63"/>
        <v>0.28679249794712003</v>
      </c>
      <c r="P110" s="2723">
        <f t="shared" si="63"/>
        <v>0.39030717531316</v>
      </c>
      <c r="Q110" s="157"/>
      <c r="V110" s="1325"/>
    </row>
    <row r="111" spans="2:22" x14ac:dyDescent="0.35">
      <c r="B111" s="329" t="str">
        <f>B101</f>
        <v>загальногосподарські потреби</v>
      </c>
      <c r="C111" s="99" t="s">
        <v>40</v>
      </c>
      <c r="D111" s="2683">
        <f>D101*D107-X111</f>
        <v>26.193052866688003</v>
      </c>
      <c r="E111" s="2683">
        <f t="shared" ref="E111:P111" si="64">E101*E107</f>
        <v>2.2575937190399999</v>
      </c>
      <c r="F111" s="2683">
        <f t="shared" si="64"/>
        <v>1.963763410304</v>
      </c>
      <c r="G111" s="2683">
        <f t="shared" si="64"/>
        <v>1.7920089707520002</v>
      </c>
      <c r="H111" s="2683">
        <f t="shared" si="64"/>
        <v>1.962676491776</v>
      </c>
      <c r="I111" s="2683">
        <f t="shared" si="64"/>
        <v>1.7920089707520002</v>
      </c>
      <c r="J111" s="2683">
        <f t="shared" si="64"/>
        <v>1.7920089707520002</v>
      </c>
      <c r="K111" s="2683">
        <f t="shared" si="64"/>
        <v>1.8290068249600004</v>
      </c>
      <c r="L111" s="2683">
        <f t="shared" si="64"/>
        <v>1.9009139448320003</v>
      </c>
      <c r="M111" s="2683">
        <f t="shared" si="64"/>
        <v>2.6917217663999997</v>
      </c>
      <c r="N111" s="2683">
        <f t="shared" si="64"/>
        <v>3.0954800313600006</v>
      </c>
      <c r="O111" s="2683">
        <f t="shared" si="64"/>
        <v>2.9608939430400003</v>
      </c>
      <c r="P111" s="2723">
        <f t="shared" si="64"/>
        <v>2.15497582272</v>
      </c>
      <c r="Q111" s="157"/>
      <c r="V111" s="1325"/>
    </row>
    <row r="112" spans="2:22" ht="26.4" x14ac:dyDescent="0.35">
      <c r="B112" s="328" t="s">
        <v>824</v>
      </c>
      <c r="C112" s="99" t="s">
        <v>40</v>
      </c>
      <c r="D112" s="2683">
        <f>D103+D108</f>
        <v>241.40613642791919</v>
      </c>
      <c r="E112" s="2683">
        <f t="shared" ref="E112:P112" si="65">E103+E108</f>
        <v>20.586096908866324</v>
      </c>
      <c r="F112" s="2683">
        <f t="shared" si="65"/>
        <v>19.122778771858322</v>
      </c>
      <c r="G112" s="2683">
        <f t="shared" si="65"/>
        <v>17.857401308744763</v>
      </c>
      <c r="H112" s="2683">
        <f t="shared" si="65"/>
        <v>19.532591518811881</v>
      </c>
      <c r="I112" s="2683">
        <f t="shared" si="65"/>
        <v>17.831475105224765</v>
      </c>
      <c r="J112" s="2683">
        <f t="shared" si="65"/>
        <v>17.857401308744763</v>
      </c>
      <c r="K112" s="2683">
        <f t="shared" si="65"/>
        <v>18.234991488466328</v>
      </c>
      <c r="L112" s="2683">
        <f t="shared" si="65"/>
        <v>18.960651238619885</v>
      </c>
      <c r="M112" s="2683">
        <f t="shared" si="65"/>
        <v>22.428197445151199</v>
      </c>
      <c r="N112" s="2683">
        <f t="shared" si="65"/>
        <v>24.231654177755889</v>
      </c>
      <c r="O112" s="2683">
        <f t="shared" si="65"/>
        <v>24.660214604866322</v>
      </c>
      <c r="P112" s="2723">
        <f t="shared" si="65"/>
        <v>20.102682550808762</v>
      </c>
      <c r="Q112" s="326"/>
    </row>
    <row r="113" spans="2:22" ht="26.4" x14ac:dyDescent="0.35">
      <c r="B113" s="329" t="str">
        <f>B104</f>
        <v>загальновиробничі потреби, крім ремонтів</v>
      </c>
      <c r="C113" s="99" t="s">
        <v>40</v>
      </c>
      <c r="D113" s="2683">
        <f>D104+D109</f>
        <v>126.661201851312</v>
      </c>
      <c r="E113" s="2683">
        <f t="shared" ref="D113:P114" si="66">E104+E109</f>
        <v>10.759919734128001</v>
      </c>
      <c r="F113" s="2683">
        <f t="shared" si="66"/>
        <v>10.431346257216003</v>
      </c>
      <c r="G113" s="2683">
        <f t="shared" si="66"/>
        <v>9.8796119546880004</v>
      </c>
      <c r="H113" s="2683">
        <f t="shared" si="66"/>
        <v>10.795012702464</v>
      </c>
      <c r="I113" s="2683">
        <f t="shared" si="66"/>
        <v>9.8536857511680012</v>
      </c>
      <c r="J113" s="2683">
        <f t="shared" si="66"/>
        <v>9.8796119546880004</v>
      </c>
      <c r="K113" s="2683">
        <f t="shared" si="66"/>
        <v>10.063976068608003</v>
      </c>
      <c r="L113" s="2683">
        <f t="shared" si="66"/>
        <v>10.461593494656002</v>
      </c>
      <c r="M113" s="2683">
        <f t="shared" si="66"/>
        <v>11.026146864480001</v>
      </c>
      <c r="N113" s="2683">
        <f t="shared" si="66"/>
        <v>11.119296009984005</v>
      </c>
      <c r="O113" s="2683">
        <f t="shared" si="66"/>
        <v>12.117958966128</v>
      </c>
      <c r="P113" s="2723">
        <f t="shared" si="66"/>
        <v>10.273042093103999</v>
      </c>
      <c r="Q113" s="326"/>
    </row>
    <row r="114" spans="2:22" x14ac:dyDescent="0.35">
      <c r="B114" s="329" t="str">
        <f>B105</f>
        <v>на ремонти</v>
      </c>
      <c r="C114" s="99" t="s">
        <v>40</v>
      </c>
      <c r="D114" s="2683">
        <f t="shared" si="66"/>
        <v>13.589859731039159</v>
      </c>
      <c r="E114" s="2683">
        <f t="shared" si="66"/>
        <v>1.1075653052983201</v>
      </c>
      <c r="F114" s="2683">
        <f t="shared" si="66"/>
        <v>1.1075653052983201</v>
      </c>
      <c r="G114" s="2683">
        <f t="shared" si="66"/>
        <v>1.0572214277847602</v>
      </c>
      <c r="H114" s="2683">
        <f t="shared" si="66"/>
        <v>1.1579091828118802</v>
      </c>
      <c r="I114" s="2683">
        <f t="shared" si="66"/>
        <v>1.0572214277847602</v>
      </c>
      <c r="J114" s="2683">
        <f t="shared" si="66"/>
        <v>1.0572214277847602</v>
      </c>
      <c r="K114" s="2683">
        <f t="shared" si="66"/>
        <v>1.1075653052983203</v>
      </c>
      <c r="L114" s="2683">
        <f t="shared" si="66"/>
        <v>1.1579091828118802</v>
      </c>
      <c r="M114" s="2683">
        <f t="shared" si="66"/>
        <v>1.0068775502712</v>
      </c>
      <c r="N114" s="2683">
        <f t="shared" si="66"/>
        <v>1.1579091828118802</v>
      </c>
      <c r="O114" s="2683">
        <f t="shared" si="66"/>
        <v>1.1075653052983201</v>
      </c>
      <c r="P114" s="2723">
        <f t="shared" si="66"/>
        <v>1.50732912778476</v>
      </c>
      <c r="Q114" s="326"/>
    </row>
    <row r="115" spans="2:22" x14ac:dyDescent="0.35">
      <c r="B115" s="329" t="str">
        <f>B106</f>
        <v>загальногосподарські потреби</v>
      </c>
      <c r="C115" s="99" t="s">
        <v>40</v>
      </c>
      <c r="D115" s="2683">
        <f t="shared" ref="D115:P115" si="67">D106+D111</f>
        <v>101.15507484556801</v>
      </c>
      <c r="E115" s="2683">
        <f t="shared" si="67"/>
        <v>8.7186118694400001</v>
      </c>
      <c r="F115" s="2683">
        <f t="shared" si="67"/>
        <v>7.5838672093440005</v>
      </c>
      <c r="G115" s="2683">
        <f t="shared" si="67"/>
        <v>6.9205679262719997</v>
      </c>
      <c r="H115" s="2683">
        <f t="shared" si="67"/>
        <v>7.5796696335359997</v>
      </c>
      <c r="I115" s="2683">
        <f t="shared" si="67"/>
        <v>6.9205679262719997</v>
      </c>
      <c r="J115" s="2683">
        <f t="shared" si="67"/>
        <v>6.9205679262719997</v>
      </c>
      <c r="K115" s="2683">
        <f t="shared" si="67"/>
        <v>7.063450114560001</v>
      </c>
      <c r="L115" s="2683">
        <f t="shared" si="67"/>
        <v>7.3411485611520009</v>
      </c>
      <c r="M115" s="2683">
        <f t="shared" si="67"/>
        <v>10.395173030399999</v>
      </c>
      <c r="N115" s="2683">
        <f t="shared" si="67"/>
        <v>11.954448984960003</v>
      </c>
      <c r="O115" s="2683">
        <f t="shared" si="67"/>
        <v>11.434690333440001</v>
      </c>
      <c r="P115" s="2723">
        <f t="shared" si="67"/>
        <v>8.3223113299199998</v>
      </c>
      <c r="Q115" s="326"/>
    </row>
    <row r="116" spans="2:22" ht="26.4" x14ac:dyDescent="0.35">
      <c r="B116" s="328" t="s">
        <v>1674</v>
      </c>
      <c r="C116" s="2724" t="s">
        <v>138</v>
      </c>
      <c r="D116" s="3653">
        <f>SUM(E116:P116)</f>
        <v>0</v>
      </c>
      <c r="E116" s="3581">
        <f>E336</f>
        <v>0</v>
      </c>
      <c r="F116" s="3581">
        <f>F336+G336</f>
        <v>0</v>
      </c>
      <c r="G116" s="3581">
        <f>H336</f>
        <v>0</v>
      </c>
      <c r="H116" s="3581">
        <f>I336</f>
        <v>0</v>
      </c>
      <c r="I116" s="3581">
        <f>J336</f>
        <v>0</v>
      </c>
      <c r="J116" s="3581">
        <f>K336</f>
        <v>0</v>
      </c>
      <c r="K116" s="3581">
        <f>M336+L336</f>
        <v>0</v>
      </c>
      <c r="L116" s="3581">
        <f>N336</f>
        <v>0</v>
      </c>
      <c r="M116" s="3581">
        <f>O336</f>
        <v>0</v>
      </c>
      <c r="N116" s="3581">
        <f>P336</f>
        <v>0</v>
      </c>
      <c r="O116" s="3581">
        <f>Q336</f>
        <v>0</v>
      </c>
      <c r="P116" s="3581">
        <f>R336</f>
        <v>0</v>
      </c>
    </row>
    <row r="117" spans="2:22" ht="39.6" x14ac:dyDescent="0.35">
      <c r="B117" s="328" t="str">
        <f>'Вхідні дані'!$B$32</f>
        <v>Тариф для розрахунку плати за перетікання реактивної електроенергії, без ПДВ</v>
      </c>
      <c r="C117" s="2724" t="s">
        <v>781</v>
      </c>
      <c r="D117" s="2699">
        <f>'Вхідні дані'!$D$32</f>
        <v>6.4440000000000011E-2</v>
      </c>
      <c r="E117" s="2699">
        <f t="shared" ref="E117:P117" si="68">D117</f>
        <v>6.4440000000000011E-2</v>
      </c>
      <c r="F117" s="2699">
        <f t="shared" si="68"/>
        <v>6.4440000000000011E-2</v>
      </c>
      <c r="G117" s="2699">
        <f t="shared" si="68"/>
        <v>6.4440000000000011E-2</v>
      </c>
      <c r="H117" s="2699">
        <f t="shared" si="68"/>
        <v>6.4440000000000011E-2</v>
      </c>
      <c r="I117" s="2699">
        <f t="shared" si="68"/>
        <v>6.4440000000000011E-2</v>
      </c>
      <c r="J117" s="2699">
        <f t="shared" si="68"/>
        <v>6.4440000000000011E-2</v>
      </c>
      <c r="K117" s="2699">
        <f t="shared" si="68"/>
        <v>6.4440000000000011E-2</v>
      </c>
      <c r="L117" s="2699">
        <f t="shared" si="68"/>
        <v>6.4440000000000011E-2</v>
      </c>
      <c r="M117" s="2699">
        <f t="shared" si="68"/>
        <v>6.4440000000000011E-2</v>
      </c>
      <c r="N117" s="2699">
        <f t="shared" si="68"/>
        <v>6.4440000000000011E-2</v>
      </c>
      <c r="O117" s="2699">
        <f t="shared" si="68"/>
        <v>6.4440000000000011E-2</v>
      </c>
      <c r="P117" s="2725">
        <f t="shared" si="68"/>
        <v>6.4440000000000011E-2</v>
      </c>
      <c r="Q117" s="157"/>
    </row>
    <row r="118" spans="2:22" ht="26.4" x14ac:dyDescent="0.35">
      <c r="B118" s="328" t="s">
        <v>794</v>
      </c>
      <c r="C118" s="99" t="s">
        <v>40</v>
      </c>
      <c r="D118" s="2683">
        <f>D116*D117</f>
        <v>0</v>
      </c>
      <c r="E118" s="2683">
        <f t="shared" ref="E118:P118" si="69">E116*E117</f>
        <v>0</v>
      </c>
      <c r="F118" s="2683">
        <f t="shared" si="69"/>
        <v>0</v>
      </c>
      <c r="G118" s="2683">
        <f t="shared" si="69"/>
        <v>0</v>
      </c>
      <c r="H118" s="2683">
        <f t="shared" si="69"/>
        <v>0</v>
      </c>
      <c r="I118" s="2683">
        <f t="shared" si="69"/>
        <v>0</v>
      </c>
      <c r="J118" s="2683">
        <f t="shared" si="69"/>
        <v>0</v>
      </c>
      <c r="K118" s="2683">
        <f t="shared" si="69"/>
        <v>0</v>
      </c>
      <c r="L118" s="2683">
        <f t="shared" si="69"/>
        <v>0</v>
      </c>
      <c r="M118" s="2683">
        <f t="shared" si="69"/>
        <v>0</v>
      </c>
      <c r="N118" s="2683">
        <f t="shared" si="69"/>
        <v>0</v>
      </c>
      <c r="O118" s="2683">
        <f t="shared" si="69"/>
        <v>0</v>
      </c>
      <c r="P118" s="2723">
        <f t="shared" si="69"/>
        <v>0</v>
      </c>
    </row>
    <row r="119" spans="2:22" ht="27" thickBot="1" x14ac:dyDescent="0.4">
      <c r="B119" s="2716" t="s">
        <v>1675</v>
      </c>
      <c r="C119" s="2726" t="s">
        <v>40</v>
      </c>
      <c r="D119" s="3754">
        <f>D118+D114</f>
        <v>13.589859731039159</v>
      </c>
      <c r="E119" s="2682">
        <f t="shared" ref="E119:P119" si="70">E118+E114</f>
        <v>1.1075653052983201</v>
      </c>
      <c r="F119" s="2682">
        <f t="shared" si="70"/>
        <v>1.1075653052983201</v>
      </c>
      <c r="G119" s="2682">
        <f t="shared" si="70"/>
        <v>1.0572214277847602</v>
      </c>
      <c r="H119" s="2682">
        <f t="shared" si="70"/>
        <v>1.1579091828118802</v>
      </c>
      <c r="I119" s="2682">
        <f t="shared" si="70"/>
        <v>1.0572214277847602</v>
      </c>
      <c r="J119" s="2682">
        <f t="shared" si="70"/>
        <v>1.0572214277847602</v>
      </c>
      <c r="K119" s="2682">
        <f t="shared" si="70"/>
        <v>1.1075653052983203</v>
      </c>
      <c r="L119" s="2682">
        <f t="shared" si="70"/>
        <v>1.1579091828118802</v>
      </c>
      <c r="M119" s="2682">
        <f t="shared" si="70"/>
        <v>1.0068775502712</v>
      </c>
      <c r="N119" s="2682">
        <f t="shared" si="70"/>
        <v>1.1579091828118802</v>
      </c>
      <c r="O119" s="2682">
        <f t="shared" si="70"/>
        <v>1.1075653052983201</v>
      </c>
      <c r="P119" s="2727">
        <f t="shared" si="70"/>
        <v>1.50732912778476</v>
      </c>
      <c r="Q119" s="157"/>
    </row>
    <row r="121" spans="2:22" ht="18.600000000000001" thickBot="1" x14ac:dyDescent="0.4"/>
    <row r="122" spans="2:22" customFormat="1" ht="15" thickBot="1" x14ac:dyDescent="0.35">
      <c r="B122" s="5318" t="s">
        <v>1880</v>
      </c>
      <c r="C122" s="5319"/>
      <c r="D122" s="5319"/>
      <c r="E122" s="5319"/>
      <c r="F122" s="5319"/>
      <c r="G122" s="5319"/>
      <c r="H122" s="5319"/>
      <c r="I122" s="5319"/>
      <c r="J122" s="5319"/>
      <c r="K122" s="5319"/>
      <c r="L122" s="5319"/>
      <c r="M122" s="5319"/>
      <c r="N122" s="5319"/>
      <c r="O122" s="5319"/>
      <c r="P122" s="5320"/>
      <c r="Q122" s="3787"/>
      <c r="R122" s="3787"/>
      <c r="S122" s="3787"/>
    </row>
    <row r="123" spans="2:22" customFormat="1" ht="15" thickBot="1" x14ac:dyDescent="0.35">
      <c r="B123" s="3770" t="s">
        <v>3347</v>
      </c>
      <c r="C123" s="3792" t="s">
        <v>22</v>
      </c>
      <c r="D123" s="4054">
        <f>D93</f>
        <v>0</v>
      </c>
      <c r="E123" s="4054">
        <f t="shared" ref="E123:P123" si="71">E93</f>
        <v>0</v>
      </c>
      <c r="F123" s="4054">
        <f t="shared" si="71"/>
        <v>0</v>
      </c>
      <c r="G123" s="4054">
        <f t="shared" si="71"/>
        <v>0</v>
      </c>
      <c r="H123" s="4054">
        <f t="shared" si="71"/>
        <v>0</v>
      </c>
      <c r="I123" s="4054">
        <f t="shared" si="71"/>
        <v>0</v>
      </c>
      <c r="J123" s="4054">
        <f t="shared" si="71"/>
        <v>0</v>
      </c>
      <c r="K123" s="4054">
        <f t="shared" si="71"/>
        <v>0</v>
      </c>
      <c r="L123" s="4054">
        <f t="shared" si="71"/>
        <v>0</v>
      </c>
      <c r="M123" s="4054">
        <f t="shared" si="71"/>
        <v>0</v>
      </c>
      <c r="N123" s="4054">
        <f t="shared" si="71"/>
        <v>0</v>
      </c>
      <c r="O123" s="4054">
        <f t="shared" si="71"/>
        <v>0</v>
      </c>
      <c r="P123" s="4054">
        <f t="shared" si="71"/>
        <v>0</v>
      </c>
      <c r="Q123" s="3777"/>
      <c r="R123" s="3777"/>
    </row>
    <row r="124" spans="2:22" customFormat="1" ht="40.200000000000003" thickBot="1" x14ac:dyDescent="0.35">
      <c r="B124" s="3770" t="s">
        <v>3653</v>
      </c>
      <c r="C124" s="3792" t="s">
        <v>3654</v>
      </c>
      <c r="D124" s="4055">
        <f t="shared" ref="D124:P124" si="72">IFERROR(D125*1000/D123,0)</f>
        <v>0</v>
      </c>
      <c r="E124" s="4055">
        <f t="shared" si="72"/>
        <v>0</v>
      </c>
      <c r="F124" s="4055">
        <f t="shared" si="72"/>
        <v>0</v>
      </c>
      <c r="G124" s="4055">
        <f t="shared" si="72"/>
        <v>0</v>
      </c>
      <c r="H124" s="4055">
        <f t="shared" si="72"/>
        <v>0</v>
      </c>
      <c r="I124" s="4055">
        <f t="shared" si="72"/>
        <v>0</v>
      </c>
      <c r="J124" s="4055">
        <f t="shared" si="72"/>
        <v>0</v>
      </c>
      <c r="K124" s="4055">
        <f t="shared" si="72"/>
        <v>0</v>
      </c>
      <c r="L124" s="4055">
        <f t="shared" si="72"/>
        <v>0</v>
      </c>
      <c r="M124" s="4055">
        <f t="shared" si="72"/>
        <v>0</v>
      </c>
      <c r="N124" s="4055">
        <f t="shared" si="72"/>
        <v>0</v>
      </c>
      <c r="O124" s="4055">
        <f t="shared" si="72"/>
        <v>0</v>
      </c>
      <c r="P124" s="4055">
        <f t="shared" si="72"/>
        <v>0</v>
      </c>
      <c r="Q124" s="3778"/>
      <c r="R124" s="3778"/>
    </row>
    <row r="125" spans="2:22" s="3772" customFormat="1" ht="27" thickBot="1" x14ac:dyDescent="0.35">
      <c r="B125" s="3771" t="s">
        <v>135</v>
      </c>
      <c r="C125" s="3798" t="s">
        <v>3655</v>
      </c>
      <c r="D125" s="4048">
        <f>SUM(E125:R125)</f>
        <v>6.0781856000000021</v>
      </c>
      <c r="E125" s="3581">
        <f>E339</f>
        <v>0.51356800000000014</v>
      </c>
      <c r="F125" s="3581">
        <f>F339+G339</f>
        <v>0.48620479999999999</v>
      </c>
      <c r="G125" s="3581">
        <f>H339</f>
        <v>0.45642240000000006</v>
      </c>
      <c r="H125" s="3581">
        <f>I339</f>
        <v>0.49989120000000009</v>
      </c>
      <c r="I125" s="3581">
        <f>J339</f>
        <v>0.45642240000000006</v>
      </c>
      <c r="J125" s="3581">
        <f>K339</f>
        <v>0.45642240000000006</v>
      </c>
      <c r="K125" s="3581">
        <f>M339+L339</f>
        <v>0.466752</v>
      </c>
      <c r="L125" s="3581">
        <f>N339</f>
        <v>0.48531840000000009</v>
      </c>
      <c r="M125" s="3581">
        <f>O339</f>
        <v>0.54367999999999994</v>
      </c>
      <c r="N125" s="3581">
        <f>P339</f>
        <v>0.62523200000000023</v>
      </c>
      <c r="O125" s="3581">
        <f>Q339</f>
        <v>0.59804800000000014</v>
      </c>
      <c r="P125" s="3581">
        <f>R339</f>
        <v>0.49022400000000005</v>
      </c>
      <c r="Q125" s="3779"/>
      <c r="R125" s="3779"/>
      <c r="V125" s="3773"/>
    </row>
    <row r="126" spans="2:22" customFormat="1" ht="27" thickBot="1" x14ac:dyDescent="0.35">
      <c r="B126" s="3770" t="s">
        <v>3656</v>
      </c>
      <c r="C126" s="3792" t="s">
        <v>3655</v>
      </c>
      <c r="D126" s="3795"/>
      <c r="E126" s="3774"/>
      <c r="F126" s="3795"/>
      <c r="G126" s="3795"/>
      <c r="H126" s="3795"/>
      <c r="I126" s="3795"/>
      <c r="J126" s="3795"/>
      <c r="K126" s="3795"/>
      <c r="L126" s="3795"/>
      <c r="M126" s="3795"/>
      <c r="N126" s="3795"/>
      <c r="O126" s="3795"/>
      <c r="P126" s="3795"/>
      <c r="Q126" s="3780"/>
      <c r="R126" s="3780"/>
    </row>
    <row r="127" spans="2:22" customFormat="1" ht="15" thickBot="1" x14ac:dyDescent="0.35">
      <c r="B127" s="3770" t="s">
        <v>3657</v>
      </c>
      <c r="C127" s="3792" t="s">
        <v>3658</v>
      </c>
      <c r="D127" s="3795"/>
      <c r="E127" s="3774"/>
      <c r="F127" s="3795"/>
      <c r="G127" s="3795"/>
      <c r="H127" s="3795"/>
      <c r="I127" s="3795"/>
      <c r="J127" s="3795"/>
      <c r="K127" s="3795"/>
      <c r="L127" s="3795"/>
      <c r="M127" s="3795"/>
      <c r="N127" s="3795"/>
      <c r="O127" s="3795"/>
      <c r="P127" s="3795"/>
      <c r="Q127" s="3780"/>
      <c r="R127" s="3780"/>
    </row>
    <row r="128" spans="2:22" customFormat="1" ht="27" thickBot="1" x14ac:dyDescent="0.35">
      <c r="B128" s="3770" t="s">
        <v>3659</v>
      </c>
      <c r="C128" s="3792" t="s">
        <v>40</v>
      </c>
      <c r="D128" s="3795"/>
      <c r="E128" s="3774"/>
      <c r="F128" s="3795"/>
      <c r="G128" s="3795"/>
      <c r="H128" s="3795"/>
      <c r="I128" s="3795"/>
      <c r="J128" s="3795"/>
      <c r="K128" s="3795"/>
      <c r="L128" s="3795"/>
      <c r="M128" s="3795"/>
      <c r="N128" s="3795"/>
      <c r="O128" s="3795"/>
      <c r="P128" s="3795"/>
      <c r="Q128" s="3780"/>
      <c r="R128" s="3780"/>
    </row>
    <row r="129" spans="2:18" s="3772" customFormat="1" ht="27" thickBot="1" x14ac:dyDescent="0.35">
      <c r="B129" s="3771" t="s">
        <v>3679</v>
      </c>
      <c r="C129" s="3798" t="s">
        <v>3655</v>
      </c>
      <c r="D129" s="4056">
        <f>D125</f>
        <v>6.0781856000000021</v>
      </c>
      <c r="E129" s="4056">
        <f t="shared" ref="E129:P129" si="73">E125</f>
        <v>0.51356800000000014</v>
      </c>
      <c r="F129" s="4056">
        <f t="shared" si="73"/>
        <v>0.48620479999999999</v>
      </c>
      <c r="G129" s="4056">
        <f t="shared" si="73"/>
        <v>0.45642240000000006</v>
      </c>
      <c r="H129" s="4056">
        <f t="shared" si="73"/>
        <v>0.49989120000000009</v>
      </c>
      <c r="I129" s="4056">
        <f t="shared" si="73"/>
        <v>0.45642240000000006</v>
      </c>
      <c r="J129" s="4056">
        <f t="shared" si="73"/>
        <v>0.45642240000000006</v>
      </c>
      <c r="K129" s="4056">
        <f t="shared" si="73"/>
        <v>0.466752</v>
      </c>
      <c r="L129" s="4056">
        <f t="shared" si="73"/>
        <v>0.48531840000000009</v>
      </c>
      <c r="M129" s="4056">
        <f t="shared" si="73"/>
        <v>0.54367999999999994</v>
      </c>
      <c r="N129" s="4056">
        <f t="shared" si="73"/>
        <v>0.62523200000000023</v>
      </c>
      <c r="O129" s="4056">
        <f t="shared" si="73"/>
        <v>0.59804800000000014</v>
      </c>
      <c r="P129" s="4056">
        <f t="shared" si="73"/>
        <v>0.49022400000000005</v>
      </c>
      <c r="Q129" s="3779"/>
      <c r="R129" s="3779"/>
    </row>
    <row r="130" spans="2:18" customFormat="1" ht="27" thickBot="1" x14ac:dyDescent="0.35">
      <c r="B130" s="3770" t="s">
        <v>3661</v>
      </c>
      <c r="C130" s="3792" t="s">
        <v>3677</v>
      </c>
      <c r="D130" s="3795">
        <f>'Вхідні дані'!$D$28</f>
        <v>4.7651000000000003</v>
      </c>
      <c r="E130" s="3774">
        <f>D130</f>
        <v>4.7651000000000003</v>
      </c>
      <c r="F130" s="3774">
        <f t="shared" ref="F130:P130" si="74">E130</f>
        <v>4.7651000000000003</v>
      </c>
      <c r="G130" s="3774">
        <f t="shared" si="74"/>
        <v>4.7651000000000003</v>
      </c>
      <c r="H130" s="3774">
        <f t="shared" si="74"/>
        <v>4.7651000000000003</v>
      </c>
      <c r="I130" s="3774">
        <f t="shared" si="74"/>
        <v>4.7651000000000003</v>
      </c>
      <c r="J130" s="3774">
        <f t="shared" si="74"/>
        <v>4.7651000000000003</v>
      </c>
      <c r="K130" s="3774">
        <f t="shared" si="74"/>
        <v>4.7651000000000003</v>
      </c>
      <c r="L130" s="3774">
        <f t="shared" si="74"/>
        <v>4.7651000000000003</v>
      </c>
      <c r="M130" s="3774">
        <f t="shared" si="74"/>
        <v>4.7651000000000003</v>
      </c>
      <c r="N130" s="3774">
        <f t="shared" si="74"/>
        <v>4.7651000000000003</v>
      </c>
      <c r="O130" s="3774">
        <f t="shared" si="74"/>
        <v>4.7651000000000003</v>
      </c>
      <c r="P130" s="3774">
        <f t="shared" si="74"/>
        <v>4.7651000000000003</v>
      </c>
      <c r="Q130" s="1493"/>
      <c r="R130" s="1493"/>
    </row>
    <row r="131" spans="2:18" customFormat="1" ht="27" thickBot="1" x14ac:dyDescent="0.35">
      <c r="B131" s="3770" t="s">
        <v>3662</v>
      </c>
      <c r="C131" s="3792" t="s">
        <v>40</v>
      </c>
      <c r="D131" s="4054">
        <f>SUM(E131:R131)</f>
        <v>28.963162202560007</v>
      </c>
      <c r="E131" s="4060">
        <f>E130*E125</f>
        <v>2.4472028768000009</v>
      </c>
      <c r="F131" s="4060">
        <f t="shared" ref="F131:P131" si="75">F130*F125</f>
        <v>2.3168144924800003</v>
      </c>
      <c r="G131" s="4060">
        <f t="shared" si="75"/>
        <v>2.1748983782400004</v>
      </c>
      <c r="H131" s="4060">
        <f t="shared" si="75"/>
        <v>2.3820315571200008</v>
      </c>
      <c r="I131" s="4060">
        <f t="shared" si="75"/>
        <v>2.1748983782400004</v>
      </c>
      <c r="J131" s="4060">
        <f t="shared" si="75"/>
        <v>2.1748983782400004</v>
      </c>
      <c r="K131" s="4060">
        <f t="shared" si="75"/>
        <v>2.2241199551999999</v>
      </c>
      <c r="L131" s="4060">
        <f t="shared" si="75"/>
        <v>2.3125907078400005</v>
      </c>
      <c r="M131" s="4060">
        <f t="shared" si="75"/>
        <v>2.5906895679999997</v>
      </c>
      <c r="N131" s="4060">
        <f t="shared" si="75"/>
        <v>2.9792930032000013</v>
      </c>
      <c r="O131" s="4060">
        <f t="shared" si="75"/>
        <v>2.8497585248000008</v>
      </c>
      <c r="P131" s="4060">
        <f t="shared" si="75"/>
        <v>2.3359663824000005</v>
      </c>
      <c r="Q131" s="420"/>
      <c r="R131" s="420"/>
    </row>
    <row r="132" spans="2:18" customFormat="1" ht="27" thickBot="1" x14ac:dyDescent="0.35">
      <c r="B132" s="3770" t="s">
        <v>3663</v>
      </c>
      <c r="C132" s="3792" t="s">
        <v>3677</v>
      </c>
      <c r="D132" s="3795">
        <f>'Вхідні дані'!$D$30</f>
        <v>1.6650100000000001</v>
      </c>
      <c r="E132" s="4060">
        <f>D132</f>
        <v>1.6650100000000001</v>
      </c>
      <c r="F132" s="4060">
        <f t="shared" ref="F132:P132" si="76">E132</f>
        <v>1.6650100000000001</v>
      </c>
      <c r="G132" s="4060">
        <f t="shared" si="76"/>
        <v>1.6650100000000001</v>
      </c>
      <c r="H132" s="4060">
        <f t="shared" si="76"/>
        <v>1.6650100000000001</v>
      </c>
      <c r="I132" s="4060">
        <f t="shared" si="76"/>
        <v>1.6650100000000001</v>
      </c>
      <c r="J132" s="4060">
        <f t="shared" si="76"/>
        <v>1.6650100000000001</v>
      </c>
      <c r="K132" s="4060">
        <f t="shared" si="76"/>
        <v>1.6650100000000001</v>
      </c>
      <c r="L132" s="4060">
        <f t="shared" si="76"/>
        <v>1.6650100000000001</v>
      </c>
      <c r="M132" s="4060">
        <f t="shared" si="76"/>
        <v>1.6650100000000001</v>
      </c>
      <c r="N132" s="4060">
        <f t="shared" si="76"/>
        <v>1.6650100000000001</v>
      </c>
      <c r="O132" s="4060">
        <f t="shared" si="76"/>
        <v>1.6650100000000001</v>
      </c>
      <c r="P132" s="4060">
        <f t="shared" si="76"/>
        <v>1.6650100000000001</v>
      </c>
      <c r="Q132" s="420"/>
      <c r="R132" s="420"/>
    </row>
    <row r="133" spans="2:18" customFormat="1" ht="27" thickBot="1" x14ac:dyDescent="0.35">
      <c r="B133" s="3770" t="s">
        <v>3664</v>
      </c>
      <c r="C133" s="3792" t="s">
        <v>40</v>
      </c>
      <c r="D133" s="4055">
        <f>SUM(E133:R133)</f>
        <v>10.120239805856002</v>
      </c>
      <c r="E133" s="4060">
        <f>E132*E125</f>
        <v>0.85509585568000024</v>
      </c>
      <c r="F133" s="4060">
        <f t="shared" ref="F133:P133" si="77">F132*F125</f>
        <v>0.80953585404799999</v>
      </c>
      <c r="G133" s="4060">
        <f t="shared" si="77"/>
        <v>0.75994786022400018</v>
      </c>
      <c r="H133" s="4060">
        <f t="shared" si="77"/>
        <v>0.83232384691200023</v>
      </c>
      <c r="I133" s="4060">
        <f t="shared" si="77"/>
        <v>0.75994786022400018</v>
      </c>
      <c r="J133" s="4060">
        <f t="shared" si="77"/>
        <v>0.75994786022400018</v>
      </c>
      <c r="K133" s="4060">
        <f t="shared" si="77"/>
        <v>0.77714674752000001</v>
      </c>
      <c r="L133" s="4060">
        <f t="shared" si="77"/>
        <v>0.80805998918400024</v>
      </c>
      <c r="M133" s="4060">
        <f t="shared" si="77"/>
        <v>0.90523263679999999</v>
      </c>
      <c r="N133" s="4060">
        <f t="shared" si="77"/>
        <v>1.0410175323200004</v>
      </c>
      <c r="O133" s="4060">
        <f t="shared" si="77"/>
        <v>0.99575590048000029</v>
      </c>
      <c r="P133" s="4060">
        <f t="shared" si="77"/>
        <v>0.8162278622400001</v>
      </c>
      <c r="Q133" s="420"/>
      <c r="R133" s="420"/>
    </row>
    <row r="134" spans="2:18" customFormat="1" ht="27" thickBot="1" x14ac:dyDescent="0.35">
      <c r="B134" s="3770" t="s">
        <v>137</v>
      </c>
      <c r="C134" s="3792" t="s">
        <v>40</v>
      </c>
      <c r="D134" s="4055">
        <f>SUM(E134:R134)</f>
        <v>39.083402008416009</v>
      </c>
      <c r="E134" s="4060">
        <f t="shared" ref="E134:P134" si="78">E131+E133</f>
        <v>3.3022987324800011</v>
      </c>
      <c r="F134" s="4060">
        <f t="shared" si="78"/>
        <v>3.1263503465280005</v>
      </c>
      <c r="G134" s="4060">
        <f t="shared" si="78"/>
        <v>2.9348462384640008</v>
      </c>
      <c r="H134" s="4060">
        <f t="shared" si="78"/>
        <v>3.214355404032001</v>
      </c>
      <c r="I134" s="4060">
        <f t="shared" si="78"/>
        <v>2.9348462384640008</v>
      </c>
      <c r="J134" s="4060">
        <f t="shared" si="78"/>
        <v>2.9348462384640008</v>
      </c>
      <c r="K134" s="4060">
        <f t="shared" si="78"/>
        <v>3.0012667027199997</v>
      </c>
      <c r="L134" s="4060">
        <f t="shared" si="78"/>
        <v>3.1206506970240007</v>
      </c>
      <c r="M134" s="4060">
        <f t="shared" si="78"/>
        <v>3.4959222047999998</v>
      </c>
      <c r="N134" s="4060">
        <f t="shared" si="78"/>
        <v>4.0203105355200019</v>
      </c>
      <c r="O134" s="4060">
        <f t="shared" si="78"/>
        <v>3.8455144252800011</v>
      </c>
      <c r="P134" s="4060">
        <f t="shared" si="78"/>
        <v>3.1521942446400004</v>
      </c>
      <c r="Q134" s="420"/>
      <c r="R134" s="420"/>
    </row>
    <row r="135" spans="2:18" s="3772" customFormat="1" ht="27" thickBot="1" x14ac:dyDescent="0.35">
      <c r="B135" s="3771" t="s">
        <v>179</v>
      </c>
      <c r="C135" s="3798" t="s">
        <v>3665</v>
      </c>
      <c r="D135" s="4056">
        <v>0</v>
      </c>
      <c r="E135" s="3581">
        <f>E341</f>
        <v>0</v>
      </c>
      <c r="F135" s="3581">
        <f>F341+G341</f>
        <v>0</v>
      </c>
      <c r="G135" s="3581">
        <f>H341</f>
        <v>0</v>
      </c>
      <c r="H135" s="3581">
        <f>I341</f>
        <v>0</v>
      </c>
      <c r="I135" s="3581">
        <f>J341</f>
        <v>0</v>
      </c>
      <c r="J135" s="3581">
        <f>K341</f>
        <v>0</v>
      </c>
      <c r="K135" s="3581">
        <f>M341+L341</f>
        <v>0</v>
      </c>
      <c r="L135" s="3581">
        <f>N341</f>
        <v>0</v>
      </c>
      <c r="M135" s="3581">
        <f>O341</f>
        <v>0</v>
      </c>
      <c r="N135" s="3581">
        <f>P341</f>
        <v>0</v>
      </c>
      <c r="O135" s="3581">
        <f>Q341</f>
        <v>0</v>
      </c>
      <c r="P135" s="3581">
        <f>R341</f>
        <v>0</v>
      </c>
      <c r="Q135" s="3773"/>
      <c r="R135" s="3773"/>
    </row>
    <row r="136" spans="2:18" customFormat="1" ht="27" thickBot="1" x14ac:dyDescent="0.35">
      <c r="B136" s="3770" t="s">
        <v>3666</v>
      </c>
      <c r="C136" s="3792" t="s">
        <v>3676</v>
      </c>
      <c r="D136" s="4055">
        <f>'Вхідні дані'!$D$32</f>
        <v>6.4440000000000011E-2</v>
      </c>
      <c r="E136" s="4060">
        <f>D136</f>
        <v>6.4440000000000011E-2</v>
      </c>
      <c r="F136" s="4060">
        <f t="shared" ref="F136:P136" si="79">E136</f>
        <v>6.4440000000000011E-2</v>
      </c>
      <c r="G136" s="4060">
        <f t="shared" si="79"/>
        <v>6.4440000000000011E-2</v>
      </c>
      <c r="H136" s="4060">
        <f t="shared" si="79"/>
        <v>6.4440000000000011E-2</v>
      </c>
      <c r="I136" s="4060">
        <f t="shared" si="79"/>
        <v>6.4440000000000011E-2</v>
      </c>
      <c r="J136" s="4060">
        <f t="shared" si="79"/>
        <v>6.4440000000000011E-2</v>
      </c>
      <c r="K136" s="4060">
        <f t="shared" si="79"/>
        <v>6.4440000000000011E-2</v>
      </c>
      <c r="L136" s="4060">
        <f t="shared" si="79"/>
        <v>6.4440000000000011E-2</v>
      </c>
      <c r="M136" s="4060">
        <f t="shared" si="79"/>
        <v>6.4440000000000011E-2</v>
      </c>
      <c r="N136" s="4060">
        <f t="shared" si="79"/>
        <v>6.4440000000000011E-2</v>
      </c>
      <c r="O136" s="4060">
        <f t="shared" si="79"/>
        <v>6.4440000000000011E-2</v>
      </c>
      <c r="P136" s="4060">
        <f t="shared" si="79"/>
        <v>6.4440000000000011E-2</v>
      </c>
      <c r="Q136" s="420"/>
      <c r="R136" s="420"/>
    </row>
    <row r="137" spans="2:18" customFormat="1" ht="27" thickBot="1" x14ac:dyDescent="0.35">
      <c r="B137" s="3770" t="s">
        <v>3667</v>
      </c>
      <c r="C137" s="3792" t="s">
        <v>40</v>
      </c>
      <c r="D137" s="4055">
        <f>SUM(E137:R137)</f>
        <v>0</v>
      </c>
      <c r="E137" s="4061">
        <f>E136*E135</f>
        <v>0</v>
      </c>
      <c r="F137" s="4061">
        <f t="shared" ref="F137:P137" si="80">F136*F135</f>
        <v>0</v>
      </c>
      <c r="G137" s="4061">
        <f t="shared" si="80"/>
        <v>0</v>
      </c>
      <c r="H137" s="4061">
        <f t="shared" si="80"/>
        <v>0</v>
      </c>
      <c r="I137" s="4061">
        <f t="shared" si="80"/>
        <v>0</v>
      </c>
      <c r="J137" s="4061">
        <f t="shared" si="80"/>
        <v>0</v>
      </c>
      <c r="K137" s="4061">
        <f t="shared" si="80"/>
        <v>0</v>
      </c>
      <c r="L137" s="4061">
        <f t="shared" si="80"/>
        <v>0</v>
      </c>
      <c r="M137" s="4061">
        <f t="shared" si="80"/>
        <v>0</v>
      </c>
      <c r="N137" s="4061">
        <f t="shared" si="80"/>
        <v>0</v>
      </c>
      <c r="O137" s="4061">
        <f t="shared" si="80"/>
        <v>0</v>
      </c>
      <c r="P137" s="4061">
        <f t="shared" si="80"/>
        <v>0</v>
      </c>
      <c r="Q137" s="3781"/>
      <c r="R137" s="3781"/>
    </row>
    <row r="138" spans="2:18" s="3796" customFormat="1" ht="28.95" customHeight="1" thickBot="1" x14ac:dyDescent="0.35">
      <c r="B138" s="3797" t="s">
        <v>3668</v>
      </c>
      <c r="C138" s="3798" t="s">
        <v>3665</v>
      </c>
      <c r="D138" s="3799">
        <v>0</v>
      </c>
      <c r="E138" s="3581">
        <f>E342</f>
        <v>0</v>
      </c>
      <c r="F138" s="3581">
        <f>F342+G342</f>
        <v>0</v>
      </c>
      <c r="G138" s="3581">
        <f>H342</f>
        <v>0</v>
      </c>
      <c r="H138" s="3581">
        <f>I342</f>
        <v>0</v>
      </c>
      <c r="I138" s="3581">
        <f>J342</f>
        <v>0</v>
      </c>
      <c r="J138" s="3581">
        <f>K342</f>
        <v>0</v>
      </c>
      <c r="K138" s="3581">
        <f>M342+L342</f>
        <v>0</v>
      </c>
      <c r="L138" s="3581">
        <f>N342</f>
        <v>0</v>
      </c>
      <c r="M138" s="3581">
        <f>O342</f>
        <v>0</v>
      </c>
      <c r="N138" s="3581">
        <f>P342</f>
        <v>0</v>
      </c>
      <c r="O138" s="3581">
        <f>Q342</f>
        <v>0</v>
      </c>
      <c r="P138" s="3581">
        <f>R342</f>
        <v>0</v>
      </c>
      <c r="Q138" s="3800"/>
      <c r="R138" s="3800"/>
    </row>
    <row r="139" spans="2:18" customFormat="1" ht="27" thickBot="1" x14ac:dyDescent="0.35">
      <c r="B139" s="3770" t="s">
        <v>3669</v>
      </c>
      <c r="C139" s="3792" t="s">
        <v>3676</v>
      </c>
      <c r="D139" s="4055">
        <f>'Вхідні дані'!$D$34</f>
        <v>7.222166666666667E-2</v>
      </c>
      <c r="E139" s="3795">
        <f>D139</f>
        <v>7.222166666666667E-2</v>
      </c>
      <c r="F139" s="3795">
        <f t="shared" ref="F139:P139" si="81">E139</f>
        <v>7.222166666666667E-2</v>
      </c>
      <c r="G139" s="3795">
        <f t="shared" si="81"/>
        <v>7.222166666666667E-2</v>
      </c>
      <c r="H139" s="3795">
        <f t="shared" si="81"/>
        <v>7.222166666666667E-2</v>
      </c>
      <c r="I139" s="3795">
        <f t="shared" si="81"/>
        <v>7.222166666666667E-2</v>
      </c>
      <c r="J139" s="3795">
        <f t="shared" si="81"/>
        <v>7.222166666666667E-2</v>
      </c>
      <c r="K139" s="3795">
        <f t="shared" si="81"/>
        <v>7.222166666666667E-2</v>
      </c>
      <c r="L139" s="3795">
        <f t="shared" si="81"/>
        <v>7.222166666666667E-2</v>
      </c>
      <c r="M139" s="3795">
        <f t="shared" si="81"/>
        <v>7.222166666666667E-2</v>
      </c>
      <c r="N139" s="3795">
        <f t="shared" si="81"/>
        <v>7.222166666666667E-2</v>
      </c>
      <c r="O139" s="3795">
        <f t="shared" si="81"/>
        <v>7.222166666666667E-2</v>
      </c>
      <c r="P139" s="3795">
        <f t="shared" si="81"/>
        <v>7.222166666666667E-2</v>
      </c>
      <c r="Q139" s="3780"/>
      <c r="R139" s="3780"/>
    </row>
    <row r="140" spans="2:18" customFormat="1" ht="27" thickBot="1" x14ac:dyDescent="0.35">
      <c r="B140" s="3770" t="s">
        <v>3670</v>
      </c>
      <c r="C140" s="3792" t="s">
        <v>40</v>
      </c>
      <c r="D140" s="4055">
        <f>SUM(E140:R140)</f>
        <v>0</v>
      </c>
      <c r="E140" s="4055">
        <f>E139*E138</f>
        <v>0</v>
      </c>
      <c r="F140" s="4055">
        <f t="shared" ref="F140:P140" si="82">F139*F138</f>
        <v>0</v>
      </c>
      <c r="G140" s="4055">
        <f t="shared" si="82"/>
        <v>0</v>
      </c>
      <c r="H140" s="4055">
        <f t="shared" si="82"/>
        <v>0</v>
      </c>
      <c r="I140" s="4055">
        <f t="shared" si="82"/>
        <v>0</v>
      </c>
      <c r="J140" s="4055">
        <f t="shared" si="82"/>
        <v>0</v>
      </c>
      <c r="K140" s="4055">
        <f t="shared" si="82"/>
        <v>0</v>
      </c>
      <c r="L140" s="4055">
        <f t="shared" si="82"/>
        <v>0</v>
      </c>
      <c r="M140" s="4055">
        <f t="shared" si="82"/>
        <v>0</v>
      </c>
      <c r="N140" s="4055">
        <f t="shared" si="82"/>
        <v>0</v>
      </c>
      <c r="O140" s="4055">
        <f t="shared" si="82"/>
        <v>0</v>
      </c>
      <c r="P140" s="4055">
        <f t="shared" si="82"/>
        <v>0</v>
      </c>
      <c r="Q140" s="3778"/>
      <c r="R140" s="3778"/>
    </row>
    <row r="141" spans="2:18" customFormat="1" ht="27" thickBot="1" x14ac:dyDescent="0.35">
      <c r="B141" s="3770" t="s">
        <v>3671</v>
      </c>
      <c r="C141" s="3792" t="s">
        <v>3672</v>
      </c>
      <c r="D141" s="4055">
        <f>D135+D138</f>
        <v>0</v>
      </c>
      <c r="E141" s="4057">
        <f t="shared" ref="E141:P141" si="83">E135+E138</f>
        <v>0</v>
      </c>
      <c r="F141" s="4057">
        <f t="shared" si="83"/>
        <v>0</v>
      </c>
      <c r="G141" s="4057">
        <f t="shared" si="83"/>
        <v>0</v>
      </c>
      <c r="H141" s="4057">
        <f t="shared" si="83"/>
        <v>0</v>
      </c>
      <c r="I141" s="4057">
        <f t="shared" si="83"/>
        <v>0</v>
      </c>
      <c r="J141" s="4057">
        <f t="shared" si="83"/>
        <v>0</v>
      </c>
      <c r="K141" s="4057">
        <f t="shared" si="83"/>
        <v>0</v>
      </c>
      <c r="L141" s="4057">
        <f t="shared" si="83"/>
        <v>0</v>
      </c>
      <c r="M141" s="4057">
        <f t="shared" si="83"/>
        <v>0</v>
      </c>
      <c r="N141" s="4057">
        <f t="shared" si="83"/>
        <v>0</v>
      </c>
      <c r="O141" s="4057">
        <f t="shared" si="83"/>
        <v>0</v>
      </c>
      <c r="P141" s="4057">
        <f t="shared" si="83"/>
        <v>0</v>
      </c>
      <c r="Q141" s="3782"/>
      <c r="R141" s="3782"/>
    </row>
    <row r="142" spans="2:18" customFormat="1" ht="27" thickBot="1" x14ac:dyDescent="0.35">
      <c r="B142" s="3775" t="s">
        <v>3673</v>
      </c>
      <c r="C142" s="4058" t="s">
        <v>40</v>
      </c>
      <c r="D142" s="4059">
        <f>D140+D137</f>
        <v>0</v>
      </c>
      <c r="E142" s="4059">
        <f t="shared" ref="E142:P142" si="84">E140+E137</f>
        <v>0</v>
      </c>
      <c r="F142" s="4059">
        <f t="shared" si="84"/>
        <v>0</v>
      </c>
      <c r="G142" s="4059">
        <f t="shared" si="84"/>
        <v>0</v>
      </c>
      <c r="H142" s="4059">
        <f t="shared" si="84"/>
        <v>0</v>
      </c>
      <c r="I142" s="4059">
        <f t="shared" si="84"/>
        <v>0</v>
      </c>
      <c r="J142" s="4059">
        <f t="shared" si="84"/>
        <v>0</v>
      </c>
      <c r="K142" s="4059">
        <f t="shared" si="84"/>
        <v>0</v>
      </c>
      <c r="L142" s="4059">
        <f t="shared" si="84"/>
        <v>0</v>
      </c>
      <c r="M142" s="4059">
        <f t="shared" si="84"/>
        <v>0</v>
      </c>
      <c r="N142" s="4059">
        <f t="shared" si="84"/>
        <v>0</v>
      </c>
      <c r="O142" s="4059">
        <f t="shared" si="84"/>
        <v>0</v>
      </c>
      <c r="P142" s="4059">
        <f t="shared" si="84"/>
        <v>0</v>
      </c>
      <c r="Q142" s="3783"/>
      <c r="R142" s="3783"/>
    </row>
    <row r="143" spans="2:18" customFormat="1" ht="27" thickBot="1" x14ac:dyDescent="0.35">
      <c r="B143" s="3770" t="s">
        <v>3674</v>
      </c>
      <c r="C143" s="3792" t="s">
        <v>3676</v>
      </c>
      <c r="D143" s="4054">
        <f>IFERROR(D142/D141,0)</f>
        <v>0</v>
      </c>
      <c r="E143" s="4054">
        <f t="shared" ref="E143:P143" si="85">IFERROR(E142/E141,0)</f>
        <v>0</v>
      </c>
      <c r="F143" s="4054">
        <f t="shared" si="85"/>
        <v>0</v>
      </c>
      <c r="G143" s="4054">
        <f t="shared" si="85"/>
        <v>0</v>
      </c>
      <c r="H143" s="4054">
        <f t="shared" si="85"/>
        <v>0</v>
      </c>
      <c r="I143" s="4054">
        <f t="shared" si="85"/>
        <v>0</v>
      </c>
      <c r="J143" s="4054">
        <f t="shared" si="85"/>
        <v>0</v>
      </c>
      <c r="K143" s="4054">
        <f t="shared" si="85"/>
        <v>0</v>
      </c>
      <c r="L143" s="4054">
        <f t="shared" si="85"/>
        <v>0</v>
      </c>
      <c r="M143" s="4054">
        <f t="shared" si="85"/>
        <v>0</v>
      </c>
      <c r="N143" s="4054">
        <f t="shared" si="85"/>
        <v>0</v>
      </c>
      <c r="O143" s="4054">
        <f t="shared" si="85"/>
        <v>0</v>
      </c>
      <c r="P143" s="4054">
        <f t="shared" si="85"/>
        <v>0</v>
      </c>
      <c r="Q143" s="3777"/>
      <c r="R143" s="3777"/>
    </row>
    <row r="144" spans="2:18" customFormat="1" ht="15" thickBot="1" x14ac:dyDescent="0.35">
      <c r="B144" s="3770"/>
      <c r="C144" s="3792"/>
      <c r="D144" s="3795"/>
      <c r="E144" s="3774"/>
      <c r="F144" s="3795"/>
      <c r="G144" s="3795"/>
      <c r="H144" s="3795"/>
      <c r="I144" s="3795"/>
      <c r="J144" s="3795"/>
      <c r="K144" s="3795"/>
      <c r="L144" s="3795"/>
      <c r="M144" s="3795"/>
      <c r="N144" s="3795"/>
      <c r="O144" s="3795"/>
      <c r="P144" s="3795"/>
      <c r="Q144" s="3780"/>
      <c r="R144" s="3780"/>
    </row>
    <row r="145" spans="2:19" customFormat="1" ht="27" thickBot="1" x14ac:dyDescent="0.35">
      <c r="B145" s="3770" t="s">
        <v>3675</v>
      </c>
      <c r="C145" s="3792" t="s">
        <v>40</v>
      </c>
      <c r="D145" s="4055">
        <f t="shared" ref="D145:P145" si="86">D142+D134</f>
        <v>39.083402008416009</v>
      </c>
      <c r="E145" s="4055">
        <f t="shared" si="86"/>
        <v>3.3022987324800011</v>
      </c>
      <c r="F145" s="4055">
        <f t="shared" si="86"/>
        <v>3.1263503465280005</v>
      </c>
      <c r="G145" s="4055">
        <f t="shared" si="86"/>
        <v>2.9348462384640008</v>
      </c>
      <c r="H145" s="4055">
        <f t="shared" si="86"/>
        <v>3.214355404032001</v>
      </c>
      <c r="I145" s="4055">
        <f t="shared" si="86"/>
        <v>2.9348462384640008</v>
      </c>
      <c r="J145" s="4055">
        <f t="shared" si="86"/>
        <v>2.9348462384640008</v>
      </c>
      <c r="K145" s="4055">
        <f t="shared" si="86"/>
        <v>3.0012667027199997</v>
      </c>
      <c r="L145" s="4055">
        <f t="shared" si="86"/>
        <v>3.1206506970240007</v>
      </c>
      <c r="M145" s="4055">
        <f t="shared" si="86"/>
        <v>3.4959222047999998</v>
      </c>
      <c r="N145" s="4055">
        <f t="shared" si="86"/>
        <v>4.0203105355200019</v>
      </c>
      <c r="O145" s="4055">
        <f t="shared" si="86"/>
        <v>3.8455144252800011</v>
      </c>
      <c r="P145" s="4055">
        <f t="shared" si="86"/>
        <v>3.1521942446400004</v>
      </c>
      <c r="Q145" s="3778"/>
      <c r="R145" s="3778"/>
    </row>
    <row r="146" spans="2:19" customFormat="1" ht="14.4" x14ac:dyDescent="0.3">
      <c r="B146" s="3786"/>
      <c r="C146" s="3784"/>
      <c r="D146" s="3784"/>
      <c r="E146" s="3777"/>
      <c r="F146" s="3777"/>
      <c r="G146" s="3777"/>
      <c r="H146" s="3777"/>
      <c r="I146" s="3777"/>
      <c r="J146" s="3777"/>
      <c r="K146" s="3777"/>
      <c r="L146" s="3777"/>
      <c r="M146" s="3777"/>
      <c r="N146" s="3777"/>
      <c r="O146" s="3777"/>
      <c r="P146" s="3777"/>
      <c r="Q146" s="3777"/>
      <c r="R146" s="3777"/>
      <c r="S146" s="3777"/>
    </row>
    <row r="147" spans="2:19" customFormat="1" ht="14.4" x14ac:dyDescent="0.3">
      <c r="C147" s="3785"/>
      <c r="D147" s="3785"/>
    </row>
    <row r="148" spans="2:19" customFormat="1" ht="15.6" x14ac:dyDescent="0.3">
      <c r="B148" s="5244" t="s">
        <v>1386</v>
      </c>
      <c r="C148" s="5244"/>
      <c r="E148" s="5244" t="s">
        <v>1386</v>
      </c>
      <c r="F148" s="5244"/>
      <c r="G148" s="5244"/>
      <c r="H148" s="5244"/>
      <c r="L148" s="5244" t="s">
        <v>1386</v>
      </c>
      <c r="M148" s="5244"/>
      <c r="N148" s="5244"/>
      <c r="O148" s="5244"/>
    </row>
    <row r="149" spans="2:19" customFormat="1" ht="14.4" x14ac:dyDescent="0.3">
      <c r="B149" s="5341" t="s">
        <v>232</v>
      </c>
      <c r="C149" s="5341"/>
      <c r="E149" s="5341" t="s">
        <v>209</v>
      </c>
      <c r="F149" s="5341"/>
      <c r="G149" s="5341"/>
      <c r="H149" s="5341"/>
      <c r="L149" s="5341" t="s">
        <v>230</v>
      </c>
      <c r="M149" s="5341"/>
      <c r="N149" s="5341"/>
      <c r="O149" s="5341"/>
    </row>
    <row r="150" spans="2:19" customFormat="1" ht="15" thickBot="1" x14ac:dyDescent="0.35">
      <c r="B150" s="3776"/>
      <c r="C150" s="3776"/>
      <c r="E150" s="3776"/>
      <c r="F150" s="3776"/>
      <c r="G150" s="3776"/>
      <c r="H150" s="3776"/>
      <c r="L150" s="3776"/>
      <c r="M150" s="3776"/>
      <c r="N150" s="3776"/>
      <c r="O150" s="3776"/>
    </row>
    <row r="151" spans="2:19" customFormat="1" ht="15" thickBot="1" x14ac:dyDescent="0.35">
      <c r="B151" s="5318" t="s">
        <v>2347</v>
      </c>
      <c r="C151" s="5319"/>
      <c r="D151" s="5319"/>
      <c r="E151" s="5319"/>
      <c r="F151" s="5319"/>
      <c r="G151" s="5319"/>
      <c r="H151" s="5319"/>
      <c r="I151" s="5319"/>
      <c r="J151" s="5319"/>
      <c r="K151" s="5319"/>
      <c r="L151" s="5319"/>
      <c r="M151" s="5319"/>
      <c r="N151" s="5319"/>
      <c r="O151" s="5319"/>
      <c r="P151" s="5320"/>
    </row>
    <row r="152" spans="2:19" customFormat="1" ht="15" thickBot="1" x14ac:dyDescent="0.35">
      <c r="B152" s="3770" t="s">
        <v>3347</v>
      </c>
      <c r="C152" s="4062" t="s">
        <v>22</v>
      </c>
      <c r="D152" s="4063">
        <f>D122</f>
        <v>0</v>
      </c>
      <c r="E152" s="4063">
        <f t="shared" ref="E152:P152" si="87">E122</f>
        <v>0</v>
      </c>
      <c r="F152" s="4063">
        <f t="shared" si="87"/>
        <v>0</v>
      </c>
      <c r="G152" s="4063">
        <f t="shared" si="87"/>
        <v>0</v>
      </c>
      <c r="H152" s="4063">
        <f t="shared" si="87"/>
        <v>0</v>
      </c>
      <c r="I152" s="4063">
        <f t="shared" si="87"/>
        <v>0</v>
      </c>
      <c r="J152" s="4063">
        <f t="shared" si="87"/>
        <v>0</v>
      </c>
      <c r="K152" s="4063">
        <f t="shared" si="87"/>
        <v>0</v>
      </c>
      <c r="L152" s="4063">
        <f t="shared" si="87"/>
        <v>0</v>
      </c>
      <c r="M152" s="4063">
        <f t="shared" si="87"/>
        <v>0</v>
      </c>
      <c r="N152" s="4063">
        <f t="shared" si="87"/>
        <v>0</v>
      </c>
      <c r="O152" s="4063">
        <f t="shared" si="87"/>
        <v>0</v>
      </c>
      <c r="P152" s="4063">
        <f t="shared" si="87"/>
        <v>0</v>
      </c>
    </row>
    <row r="153" spans="2:19" customFormat="1" ht="40.200000000000003" thickBot="1" x14ac:dyDescent="0.35">
      <c r="B153" s="3770" t="s">
        <v>3653</v>
      </c>
      <c r="C153" s="4062" t="s">
        <v>3654</v>
      </c>
      <c r="D153" s="4064">
        <f t="shared" ref="D153:P153" si="88">IFERROR(D154*1000/D152,0)</f>
        <v>0</v>
      </c>
      <c r="E153" s="4064">
        <f t="shared" si="88"/>
        <v>0</v>
      </c>
      <c r="F153" s="4064">
        <f t="shared" si="88"/>
        <v>0</v>
      </c>
      <c r="G153" s="4064">
        <f t="shared" si="88"/>
        <v>0</v>
      </c>
      <c r="H153" s="4064">
        <f t="shared" si="88"/>
        <v>0</v>
      </c>
      <c r="I153" s="4064">
        <f t="shared" si="88"/>
        <v>0</v>
      </c>
      <c r="J153" s="4064">
        <f t="shared" si="88"/>
        <v>0</v>
      </c>
      <c r="K153" s="4064">
        <f t="shared" si="88"/>
        <v>0</v>
      </c>
      <c r="L153" s="4064">
        <f t="shared" si="88"/>
        <v>0</v>
      </c>
      <c r="M153" s="4064">
        <f t="shared" si="88"/>
        <v>0</v>
      </c>
      <c r="N153" s="4064">
        <f t="shared" si="88"/>
        <v>0</v>
      </c>
      <c r="O153" s="4064">
        <f t="shared" si="88"/>
        <v>0</v>
      </c>
      <c r="P153" s="4064">
        <f t="shared" si="88"/>
        <v>0</v>
      </c>
    </row>
    <row r="154" spans="2:19" customFormat="1" ht="27" thickBot="1" x14ac:dyDescent="0.35">
      <c r="B154" s="3771" t="s">
        <v>135</v>
      </c>
      <c r="C154" s="4062" t="s">
        <v>3655</v>
      </c>
      <c r="D154" s="4065">
        <f>SUM(E154:R154)</f>
        <v>4.3386624000000005</v>
      </c>
      <c r="E154" s="4066">
        <f>E349</f>
        <v>0.35711999999999999</v>
      </c>
      <c r="F154" s="4066">
        <f>F349+G349</f>
        <v>0.34559999999999996</v>
      </c>
      <c r="G154" s="4066">
        <f>H349</f>
        <v>0.35711999999999999</v>
      </c>
      <c r="H154" s="4066">
        <f>I349</f>
        <v>0.35711999999999999</v>
      </c>
      <c r="I154" s="4066">
        <f>J349</f>
        <v>0.45642240000000006</v>
      </c>
      <c r="J154" s="4066">
        <f>K349</f>
        <v>0.35711999999999999</v>
      </c>
      <c r="K154" s="4066">
        <f>M349+L349</f>
        <v>0.34560000000000002</v>
      </c>
      <c r="L154" s="4066">
        <f>N349</f>
        <v>0.35711999999999999</v>
      </c>
      <c r="M154" s="4066">
        <f>O349</f>
        <v>0.34560000000000002</v>
      </c>
      <c r="N154" s="4066">
        <f>P349</f>
        <v>0.35711999999999999</v>
      </c>
      <c r="O154" s="4066">
        <f>Q349</f>
        <v>0.35711999999999999</v>
      </c>
      <c r="P154" s="4066">
        <f>R349</f>
        <v>0.34560000000000002</v>
      </c>
    </row>
    <row r="155" spans="2:19" customFormat="1" ht="27" thickBot="1" x14ac:dyDescent="0.35">
      <c r="B155" s="3770" t="s">
        <v>3656</v>
      </c>
      <c r="C155" s="4062" t="s">
        <v>3655</v>
      </c>
      <c r="D155" s="4067"/>
      <c r="E155" s="4068"/>
      <c r="F155" s="4067"/>
      <c r="G155" s="4067"/>
      <c r="H155" s="4067"/>
      <c r="I155" s="4067"/>
      <c r="J155" s="4067"/>
      <c r="K155" s="4067"/>
      <c r="L155" s="4067"/>
      <c r="M155" s="4067"/>
      <c r="N155" s="4067"/>
      <c r="O155" s="4067"/>
      <c r="P155" s="4067"/>
    </row>
    <row r="156" spans="2:19" customFormat="1" ht="15" thickBot="1" x14ac:dyDescent="0.35">
      <c r="B156" s="3770" t="s">
        <v>3657</v>
      </c>
      <c r="C156" s="4062" t="s">
        <v>3658</v>
      </c>
      <c r="D156" s="4067"/>
      <c r="E156" s="4068"/>
      <c r="F156" s="4067"/>
      <c r="G156" s="4067"/>
      <c r="H156" s="4067"/>
      <c r="I156" s="4067"/>
      <c r="J156" s="4067"/>
      <c r="K156" s="4067"/>
      <c r="L156" s="4067"/>
      <c r="M156" s="4067"/>
      <c r="N156" s="4067"/>
      <c r="O156" s="4067"/>
      <c r="P156" s="4067"/>
    </row>
    <row r="157" spans="2:19" customFormat="1" ht="27" thickBot="1" x14ac:dyDescent="0.35">
      <c r="B157" s="3770" t="s">
        <v>3659</v>
      </c>
      <c r="C157" s="4062" t="s">
        <v>40</v>
      </c>
      <c r="D157" s="4067"/>
      <c r="E157" s="4068"/>
      <c r="F157" s="4067"/>
      <c r="G157" s="4067"/>
      <c r="H157" s="4067"/>
      <c r="I157" s="4067"/>
      <c r="J157" s="4067"/>
      <c r="K157" s="4067"/>
      <c r="L157" s="4067"/>
      <c r="M157" s="4067"/>
      <c r="N157" s="4067"/>
      <c r="O157" s="4067"/>
      <c r="P157" s="4067"/>
    </row>
    <row r="158" spans="2:19" customFormat="1" ht="27" thickBot="1" x14ac:dyDescent="0.35">
      <c r="B158" s="3771" t="s">
        <v>3660</v>
      </c>
      <c r="C158" s="4062" t="s">
        <v>3655</v>
      </c>
      <c r="D158" s="4064">
        <f>D154</f>
        <v>4.3386624000000005</v>
      </c>
      <c r="E158" s="4064">
        <f t="shared" ref="E158:P158" si="89">E154</f>
        <v>0.35711999999999999</v>
      </c>
      <c r="F158" s="4064">
        <f t="shared" si="89"/>
        <v>0.34559999999999996</v>
      </c>
      <c r="G158" s="4064">
        <f t="shared" si="89"/>
        <v>0.35711999999999999</v>
      </c>
      <c r="H158" s="4064">
        <f t="shared" si="89"/>
        <v>0.35711999999999999</v>
      </c>
      <c r="I158" s="4064">
        <f t="shared" si="89"/>
        <v>0.45642240000000006</v>
      </c>
      <c r="J158" s="4064">
        <f t="shared" si="89"/>
        <v>0.35711999999999999</v>
      </c>
      <c r="K158" s="4064">
        <f t="shared" si="89"/>
        <v>0.34560000000000002</v>
      </c>
      <c r="L158" s="4064">
        <f t="shared" si="89"/>
        <v>0.35711999999999999</v>
      </c>
      <c r="M158" s="4064">
        <f t="shared" si="89"/>
        <v>0.34560000000000002</v>
      </c>
      <c r="N158" s="4064">
        <f t="shared" si="89"/>
        <v>0.35711999999999999</v>
      </c>
      <c r="O158" s="4064">
        <f t="shared" si="89"/>
        <v>0.35711999999999999</v>
      </c>
      <c r="P158" s="4064">
        <f t="shared" si="89"/>
        <v>0.34560000000000002</v>
      </c>
    </row>
    <row r="159" spans="2:19" customFormat="1" ht="27" thickBot="1" x14ac:dyDescent="0.35">
      <c r="B159" s="3770" t="s">
        <v>3661</v>
      </c>
      <c r="C159" s="4062" t="s">
        <v>3677</v>
      </c>
      <c r="D159" s="4067">
        <f>'Вхідні дані'!$D$28</f>
        <v>4.7651000000000003</v>
      </c>
      <c r="E159" s="4068">
        <f t="shared" ref="E159:P159" si="90">D159</f>
        <v>4.7651000000000003</v>
      </c>
      <c r="F159" s="4068">
        <f t="shared" si="90"/>
        <v>4.7651000000000003</v>
      </c>
      <c r="G159" s="4068">
        <f t="shared" si="90"/>
        <v>4.7651000000000003</v>
      </c>
      <c r="H159" s="4068">
        <f t="shared" si="90"/>
        <v>4.7651000000000003</v>
      </c>
      <c r="I159" s="4068">
        <f t="shared" si="90"/>
        <v>4.7651000000000003</v>
      </c>
      <c r="J159" s="4068">
        <f t="shared" si="90"/>
        <v>4.7651000000000003</v>
      </c>
      <c r="K159" s="4068">
        <f t="shared" si="90"/>
        <v>4.7651000000000003</v>
      </c>
      <c r="L159" s="4068">
        <f t="shared" si="90"/>
        <v>4.7651000000000003</v>
      </c>
      <c r="M159" s="4068">
        <f t="shared" si="90"/>
        <v>4.7651000000000003</v>
      </c>
      <c r="N159" s="4068">
        <f t="shared" si="90"/>
        <v>4.7651000000000003</v>
      </c>
      <c r="O159" s="4068">
        <f t="shared" si="90"/>
        <v>4.7651000000000003</v>
      </c>
      <c r="P159" s="4068">
        <f t="shared" si="90"/>
        <v>4.7651000000000003</v>
      </c>
    </row>
    <row r="160" spans="2:19" customFormat="1" ht="27" thickBot="1" x14ac:dyDescent="0.35">
      <c r="B160" s="3770" t="s">
        <v>3662</v>
      </c>
      <c r="C160" s="4062" t="s">
        <v>40</v>
      </c>
      <c r="D160" s="4063">
        <f>SUM(E160:R160)</f>
        <v>20.67416020224</v>
      </c>
      <c r="E160" s="4069">
        <f>E159*E154</f>
        <v>1.7017125120000001</v>
      </c>
      <c r="F160" s="4069">
        <f t="shared" ref="F160:P160" si="91">F159*F154</f>
        <v>1.64681856</v>
      </c>
      <c r="G160" s="4069">
        <f t="shared" si="91"/>
        <v>1.7017125120000001</v>
      </c>
      <c r="H160" s="4069">
        <f t="shared" si="91"/>
        <v>1.7017125120000001</v>
      </c>
      <c r="I160" s="4069">
        <f t="shared" si="91"/>
        <v>2.1748983782400004</v>
      </c>
      <c r="J160" s="4069">
        <f t="shared" si="91"/>
        <v>1.7017125120000001</v>
      </c>
      <c r="K160" s="4069">
        <f t="shared" si="91"/>
        <v>1.6468185600000003</v>
      </c>
      <c r="L160" s="4069">
        <f t="shared" si="91"/>
        <v>1.7017125120000001</v>
      </c>
      <c r="M160" s="4069">
        <f t="shared" si="91"/>
        <v>1.6468185600000003</v>
      </c>
      <c r="N160" s="4069">
        <f t="shared" si="91"/>
        <v>1.7017125120000001</v>
      </c>
      <c r="O160" s="4069">
        <f t="shared" si="91"/>
        <v>1.7017125120000001</v>
      </c>
      <c r="P160" s="4069">
        <f t="shared" si="91"/>
        <v>1.6468185600000003</v>
      </c>
    </row>
    <row r="161" spans="2:16" customFormat="1" ht="27" thickBot="1" x14ac:dyDescent="0.35">
      <c r="B161" s="3770" t="s">
        <v>3663</v>
      </c>
      <c r="C161" s="4062" t="s">
        <v>3677</v>
      </c>
      <c r="D161" s="4067">
        <f>'Вхідні дані'!$D$30</f>
        <v>1.6650100000000001</v>
      </c>
      <c r="E161" s="4069">
        <f t="shared" ref="E161:P161" si="92">D161</f>
        <v>1.6650100000000001</v>
      </c>
      <c r="F161" s="4069">
        <f t="shared" si="92"/>
        <v>1.6650100000000001</v>
      </c>
      <c r="G161" s="4069">
        <f t="shared" si="92"/>
        <v>1.6650100000000001</v>
      </c>
      <c r="H161" s="4069">
        <f t="shared" si="92"/>
        <v>1.6650100000000001</v>
      </c>
      <c r="I161" s="4069">
        <f t="shared" si="92"/>
        <v>1.6650100000000001</v>
      </c>
      <c r="J161" s="4069">
        <f t="shared" si="92"/>
        <v>1.6650100000000001</v>
      </c>
      <c r="K161" s="4069">
        <f t="shared" si="92"/>
        <v>1.6650100000000001</v>
      </c>
      <c r="L161" s="4069">
        <f t="shared" si="92"/>
        <v>1.6650100000000001</v>
      </c>
      <c r="M161" s="4069">
        <f t="shared" si="92"/>
        <v>1.6650100000000001</v>
      </c>
      <c r="N161" s="4069">
        <f t="shared" si="92"/>
        <v>1.6650100000000001</v>
      </c>
      <c r="O161" s="4069">
        <f t="shared" si="92"/>
        <v>1.6650100000000001</v>
      </c>
      <c r="P161" s="4069">
        <f t="shared" si="92"/>
        <v>1.6650100000000001</v>
      </c>
    </row>
    <row r="162" spans="2:16" customFormat="1" ht="27" thickBot="1" x14ac:dyDescent="0.35">
      <c r="B162" s="3770" t="s">
        <v>3664</v>
      </c>
      <c r="C162" s="4062" t="s">
        <v>40</v>
      </c>
      <c r="D162" s="4064">
        <f>SUM(E162:R162)</f>
        <v>7.2239162826239998</v>
      </c>
      <c r="E162" s="4069">
        <f>E161*E154</f>
        <v>0.59460837119999999</v>
      </c>
      <c r="F162" s="4069">
        <f t="shared" ref="F162:P162" si="93">F161*F154</f>
        <v>0.575427456</v>
      </c>
      <c r="G162" s="4069">
        <f t="shared" si="93"/>
        <v>0.59460837119999999</v>
      </c>
      <c r="H162" s="4069">
        <f t="shared" si="93"/>
        <v>0.59460837119999999</v>
      </c>
      <c r="I162" s="4069">
        <f t="shared" si="93"/>
        <v>0.75994786022400018</v>
      </c>
      <c r="J162" s="4069">
        <f t="shared" si="93"/>
        <v>0.59460837119999999</v>
      </c>
      <c r="K162" s="4069">
        <f t="shared" si="93"/>
        <v>0.57542745600000011</v>
      </c>
      <c r="L162" s="4069">
        <f t="shared" si="93"/>
        <v>0.59460837119999999</v>
      </c>
      <c r="M162" s="4069">
        <f t="shared" si="93"/>
        <v>0.57542745600000011</v>
      </c>
      <c r="N162" s="4069">
        <f t="shared" si="93"/>
        <v>0.59460837119999999</v>
      </c>
      <c r="O162" s="4069">
        <f t="shared" si="93"/>
        <v>0.59460837119999999</v>
      </c>
      <c r="P162" s="4069">
        <f t="shared" si="93"/>
        <v>0.57542745600000011</v>
      </c>
    </row>
    <row r="163" spans="2:16" customFormat="1" ht="27" thickBot="1" x14ac:dyDescent="0.35">
      <c r="B163" s="3770" t="s">
        <v>137</v>
      </c>
      <c r="C163" s="4062" t="s">
        <v>40</v>
      </c>
      <c r="D163" s="4064">
        <f>SUM(E163:R163)</f>
        <v>27.898076484863999</v>
      </c>
      <c r="E163" s="4069">
        <f t="shared" ref="E163:P163" si="94">E160+E162</f>
        <v>2.2963208831999999</v>
      </c>
      <c r="F163" s="4069">
        <f t="shared" si="94"/>
        <v>2.2222460160000002</v>
      </c>
      <c r="G163" s="4069">
        <f t="shared" si="94"/>
        <v>2.2963208831999999</v>
      </c>
      <c r="H163" s="4069">
        <f t="shared" si="94"/>
        <v>2.2963208831999999</v>
      </c>
      <c r="I163" s="4069">
        <f t="shared" si="94"/>
        <v>2.9348462384640008</v>
      </c>
      <c r="J163" s="4069">
        <f t="shared" si="94"/>
        <v>2.2963208831999999</v>
      </c>
      <c r="K163" s="4069">
        <f t="shared" si="94"/>
        <v>2.2222460160000006</v>
      </c>
      <c r="L163" s="4069">
        <f t="shared" si="94"/>
        <v>2.2963208831999999</v>
      </c>
      <c r="M163" s="4069">
        <f t="shared" si="94"/>
        <v>2.2222460160000006</v>
      </c>
      <c r="N163" s="4069">
        <f t="shared" si="94"/>
        <v>2.2963208831999999</v>
      </c>
      <c r="O163" s="4069">
        <f t="shared" si="94"/>
        <v>2.2963208831999999</v>
      </c>
      <c r="P163" s="4069">
        <f t="shared" si="94"/>
        <v>2.2222460160000006</v>
      </c>
    </row>
    <row r="164" spans="2:16" customFormat="1" ht="27" thickBot="1" x14ac:dyDescent="0.35">
      <c r="B164" s="3771" t="s">
        <v>179</v>
      </c>
      <c r="C164" s="4062" t="s">
        <v>3665</v>
      </c>
      <c r="D164" s="4064">
        <f>SUM(E164:P164)</f>
        <v>4.3018854638454347E-2</v>
      </c>
      <c r="E164" s="4091">
        <f>E351</f>
        <v>3.5409285056345508E-3</v>
      </c>
      <c r="F164" s="4091">
        <f>F351+G351</f>
        <v>3.4267050054527909E-3</v>
      </c>
      <c r="G164" s="4091">
        <f>H351</f>
        <v>3.5409285056345508E-3</v>
      </c>
      <c r="H164" s="4091">
        <f>I351</f>
        <v>3.5409285056345508E-3</v>
      </c>
      <c r="I164" s="4091">
        <f>J351</f>
        <v>4.5255350772013198E-3</v>
      </c>
      <c r="J164" s="4091">
        <f>K351</f>
        <v>3.5409285056345508E-3</v>
      </c>
      <c r="K164" s="4091">
        <f>M351+L351</f>
        <v>3.4267050054527914E-3</v>
      </c>
      <c r="L164" s="4091">
        <f>N351</f>
        <v>3.5409285056345508E-3</v>
      </c>
      <c r="M164" s="4091">
        <f>O351</f>
        <v>3.4267050054527914E-3</v>
      </c>
      <c r="N164" s="4091">
        <f>P351</f>
        <v>3.5409285056345508E-3</v>
      </c>
      <c r="O164" s="4091">
        <f>Q351</f>
        <v>3.5409285056345508E-3</v>
      </c>
      <c r="P164" s="4091">
        <f>R351</f>
        <v>3.4267050054527914E-3</v>
      </c>
    </row>
    <row r="165" spans="2:16" customFormat="1" ht="27" thickBot="1" x14ac:dyDescent="0.35">
      <c r="B165" s="3770" t="s">
        <v>3666</v>
      </c>
      <c r="C165" s="4062" t="s">
        <v>3676</v>
      </c>
      <c r="D165" s="4064">
        <f>'Вхідні дані'!$D$32</f>
        <v>6.4440000000000011E-2</v>
      </c>
      <c r="E165" s="4069">
        <f t="shared" ref="E165:P165" si="95">D165</f>
        <v>6.4440000000000011E-2</v>
      </c>
      <c r="F165" s="4069">
        <f t="shared" si="95"/>
        <v>6.4440000000000011E-2</v>
      </c>
      <c r="G165" s="4069">
        <f t="shared" si="95"/>
        <v>6.4440000000000011E-2</v>
      </c>
      <c r="H165" s="4069">
        <f t="shared" si="95"/>
        <v>6.4440000000000011E-2</v>
      </c>
      <c r="I165" s="4069">
        <f t="shared" si="95"/>
        <v>6.4440000000000011E-2</v>
      </c>
      <c r="J165" s="4069">
        <f t="shared" si="95"/>
        <v>6.4440000000000011E-2</v>
      </c>
      <c r="K165" s="4069">
        <f t="shared" si="95"/>
        <v>6.4440000000000011E-2</v>
      </c>
      <c r="L165" s="4069">
        <f t="shared" si="95"/>
        <v>6.4440000000000011E-2</v>
      </c>
      <c r="M165" s="4069">
        <f t="shared" si="95"/>
        <v>6.4440000000000011E-2</v>
      </c>
      <c r="N165" s="4069">
        <f t="shared" si="95"/>
        <v>6.4440000000000011E-2</v>
      </c>
      <c r="O165" s="4069">
        <f t="shared" si="95"/>
        <v>6.4440000000000011E-2</v>
      </c>
      <c r="P165" s="4069">
        <f t="shared" si="95"/>
        <v>6.4440000000000011E-2</v>
      </c>
    </row>
    <row r="166" spans="2:16" customFormat="1" ht="27" thickBot="1" x14ac:dyDescent="0.35">
      <c r="B166" s="3770" t="s">
        <v>3667</v>
      </c>
      <c r="C166" s="4062" t="s">
        <v>40</v>
      </c>
      <c r="D166" s="4064">
        <f>SUM(E166:R166)</f>
        <v>2.7721349929019984E-3</v>
      </c>
      <c r="E166" s="4070">
        <f>E165*E164</f>
        <v>2.281774329030905E-4</v>
      </c>
      <c r="F166" s="4070">
        <f t="shared" ref="F166:P166" si="96">F165*F164</f>
        <v>2.2081687055137787E-4</v>
      </c>
      <c r="G166" s="4070">
        <f t="shared" si="96"/>
        <v>2.281774329030905E-4</v>
      </c>
      <c r="H166" s="4070">
        <f t="shared" si="96"/>
        <v>2.281774329030905E-4</v>
      </c>
      <c r="I166" s="4070">
        <f t="shared" si="96"/>
        <v>2.9162548037485312E-4</v>
      </c>
      <c r="J166" s="4070">
        <f t="shared" si="96"/>
        <v>2.281774329030905E-4</v>
      </c>
      <c r="K166" s="4070">
        <f t="shared" si="96"/>
        <v>2.208168705513779E-4</v>
      </c>
      <c r="L166" s="4070">
        <f t="shared" si="96"/>
        <v>2.281774329030905E-4</v>
      </c>
      <c r="M166" s="4070">
        <f t="shared" si="96"/>
        <v>2.208168705513779E-4</v>
      </c>
      <c r="N166" s="4070">
        <f t="shared" si="96"/>
        <v>2.281774329030905E-4</v>
      </c>
      <c r="O166" s="4070">
        <f t="shared" si="96"/>
        <v>2.281774329030905E-4</v>
      </c>
      <c r="P166" s="4070">
        <f t="shared" si="96"/>
        <v>2.208168705513779E-4</v>
      </c>
    </row>
    <row r="167" spans="2:16" customFormat="1" ht="30" customHeight="1" thickBot="1" x14ac:dyDescent="0.35">
      <c r="B167" s="3771" t="s">
        <v>3680</v>
      </c>
      <c r="C167" s="4062" t="s">
        <v>3665</v>
      </c>
      <c r="D167" s="4063">
        <v>0</v>
      </c>
      <c r="E167" s="4066">
        <f>E352</f>
        <v>0</v>
      </c>
      <c r="F167" s="4066">
        <f>F352+G352</f>
        <v>0</v>
      </c>
      <c r="G167" s="4066">
        <f>H352</f>
        <v>0</v>
      </c>
      <c r="H167" s="4066">
        <f>I352</f>
        <v>0</v>
      </c>
      <c r="I167" s="4066">
        <f>J352</f>
        <v>0</v>
      </c>
      <c r="J167" s="4066">
        <f>K352</f>
        <v>0</v>
      </c>
      <c r="K167" s="4066">
        <f>M352+L352</f>
        <v>0</v>
      </c>
      <c r="L167" s="4066">
        <f>N352</f>
        <v>0</v>
      </c>
      <c r="M167" s="4066">
        <f>O352</f>
        <v>0</v>
      </c>
      <c r="N167" s="4066">
        <f>P352</f>
        <v>0</v>
      </c>
      <c r="O167" s="4066">
        <f>Q352</f>
        <v>0</v>
      </c>
      <c r="P167" s="4066">
        <f>R352</f>
        <v>0</v>
      </c>
    </row>
    <row r="168" spans="2:16" customFormat="1" ht="27" thickBot="1" x14ac:dyDescent="0.35">
      <c r="B168" s="3770" t="s">
        <v>3669</v>
      </c>
      <c r="C168" s="4062" t="s">
        <v>3676</v>
      </c>
      <c r="D168" s="4064">
        <f>'Вхідні дані'!$D$34</f>
        <v>7.222166666666667E-2</v>
      </c>
      <c r="E168" s="4067">
        <f t="shared" ref="E168:P168" si="97">D168</f>
        <v>7.222166666666667E-2</v>
      </c>
      <c r="F168" s="4067">
        <f t="shared" si="97"/>
        <v>7.222166666666667E-2</v>
      </c>
      <c r="G168" s="4067">
        <f t="shared" si="97"/>
        <v>7.222166666666667E-2</v>
      </c>
      <c r="H168" s="4067">
        <f t="shared" si="97"/>
        <v>7.222166666666667E-2</v>
      </c>
      <c r="I168" s="4067">
        <f t="shared" si="97"/>
        <v>7.222166666666667E-2</v>
      </c>
      <c r="J168" s="4067">
        <f t="shared" si="97"/>
        <v>7.222166666666667E-2</v>
      </c>
      <c r="K168" s="4067">
        <f t="shared" si="97"/>
        <v>7.222166666666667E-2</v>
      </c>
      <c r="L168" s="4067">
        <f t="shared" si="97"/>
        <v>7.222166666666667E-2</v>
      </c>
      <c r="M168" s="4067">
        <f t="shared" si="97"/>
        <v>7.222166666666667E-2</v>
      </c>
      <c r="N168" s="4067">
        <f t="shared" si="97"/>
        <v>7.222166666666667E-2</v>
      </c>
      <c r="O168" s="4067">
        <f t="shared" si="97"/>
        <v>7.222166666666667E-2</v>
      </c>
      <c r="P168" s="4067">
        <f t="shared" si="97"/>
        <v>7.222166666666667E-2</v>
      </c>
    </row>
    <row r="169" spans="2:16" customFormat="1" ht="27" thickBot="1" x14ac:dyDescent="0.35">
      <c r="B169" s="3770" t="s">
        <v>3670</v>
      </c>
      <c r="C169" s="4062" t="s">
        <v>40</v>
      </c>
      <c r="D169" s="4064">
        <f>SUM(E169:R169)</f>
        <v>0</v>
      </c>
      <c r="E169" s="4064">
        <f>E168*E167/100</f>
        <v>0</v>
      </c>
      <c r="F169" s="4064">
        <f t="shared" ref="F169:P169" si="98">F168*F167/100</f>
        <v>0</v>
      </c>
      <c r="G169" s="4064">
        <f t="shared" si="98"/>
        <v>0</v>
      </c>
      <c r="H169" s="4064">
        <f t="shared" si="98"/>
        <v>0</v>
      </c>
      <c r="I169" s="4064">
        <f t="shared" si="98"/>
        <v>0</v>
      </c>
      <c r="J169" s="4064">
        <f t="shared" si="98"/>
        <v>0</v>
      </c>
      <c r="K169" s="4064">
        <f t="shared" si="98"/>
        <v>0</v>
      </c>
      <c r="L169" s="4064">
        <f t="shared" si="98"/>
        <v>0</v>
      </c>
      <c r="M169" s="4064">
        <f t="shared" si="98"/>
        <v>0</v>
      </c>
      <c r="N169" s="4064">
        <f t="shared" si="98"/>
        <v>0</v>
      </c>
      <c r="O169" s="4064">
        <f t="shared" si="98"/>
        <v>0</v>
      </c>
      <c r="P169" s="4064">
        <f t="shared" si="98"/>
        <v>0</v>
      </c>
    </row>
    <row r="170" spans="2:16" customFormat="1" ht="27" thickBot="1" x14ac:dyDescent="0.35">
      <c r="B170" s="3770" t="s">
        <v>3671</v>
      </c>
      <c r="C170" s="4062" t="s">
        <v>3672</v>
      </c>
      <c r="D170" s="4064">
        <f>D164+D167</f>
        <v>4.3018854638454347E-2</v>
      </c>
      <c r="E170" s="4071">
        <f t="shared" ref="E170:P170" si="99">E164+E167</f>
        <v>3.5409285056345508E-3</v>
      </c>
      <c r="F170" s="4071">
        <f t="shared" si="99"/>
        <v>3.4267050054527909E-3</v>
      </c>
      <c r="G170" s="4071">
        <f t="shared" si="99"/>
        <v>3.5409285056345508E-3</v>
      </c>
      <c r="H170" s="4071">
        <f t="shared" si="99"/>
        <v>3.5409285056345508E-3</v>
      </c>
      <c r="I170" s="4071">
        <f t="shared" si="99"/>
        <v>4.5255350772013198E-3</v>
      </c>
      <c r="J170" s="4071">
        <f t="shared" si="99"/>
        <v>3.5409285056345508E-3</v>
      </c>
      <c r="K170" s="4071">
        <f t="shared" si="99"/>
        <v>3.4267050054527914E-3</v>
      </c>
      <c r="L170" s="4071">
        <f t="shared" si="99"/>
        <v>3.5409285056345508E-3</v>
      </c>
      <c r="M170" s="4071">
        <f t="shared" si="99"/>
        <v>3.4267050054527914E-3</v>
      </c>
      <c r="N170" s="4071">
        <f t="shared" si="99"/>
        <v>3.5409285056345508E-3</v>
      </c>
      <c r="O170" s="4071">
        <f t="shared" si="99"/>
        <v>3.5409285056345508E-3</v>
      </c>
      <c r="P170" s="4071">
        <f t="shared" si="99"/>
        <v>3.4267050054527914E-3</v>
      </c>
    </row>
    <row r="171" spans="2:16" customFormat="1" ht="27" thickBot="1" x14ac:dyDescent="0.35">
      <c r="B171" s="3775" t="s">
        <v>3673</v>
      </c>
      <c r="C171" s="4072" t="s">
        <v>40</v>
      </c>
      <c r="D171" s="4073">
        <f>D169+D166</f>
        <v>2.7721349929019984E-3</v>
      </c>
      <c r="E171" s="4073">
        <f t="shared" ref="E171:P171" si="100">E169+E166</f>
        <v>2.281774329030905E-4</v>
      </c>
      <c r="F171" s="4073">
        <f t="shared" si="100"/>
        <v>2.2081687055137787E-4</v>
      </c>
      <c r="G171" s="4073">
        <f t="shared" si="100"/>
        <v>2.281774329030905E-4</v>
      </c>
      <c r="H171" s="4073">
        <f t="shared" si="100"/>
        <v>2.281774329030905E-4</v>
      </c>
      <c r="I171" s="4073">
        <f t="shared" si="100"/>
        <v>2.9162548037485312E-4</v>
      </c>
      <c r="J171" s="4073">
        <f t="shared" si="100"/>
        <v>2.281774329030905E-4</v>
      </c>
      <c r="K171" s="4073">
        <f t="shared" si="100"/>
        <v>2.208168705513779E-4</v>
      </c>
      <c r="L171" s="4073">
        <f t="shared" si="100"/>
        <v>2.281774329030905E-4</v>
      </c>
      <c r="M171" s="4073">
        <f t="shared" si="100"/>
        <v>2.208168705513779E-4</v>
      </c>
      <c r="N171" s="4073">
        <f t="shared" si="100"/>
        <v>2.281774329030905E-4</v>
      </c>
      <c r="O171" s="4073">
        <f t="shared" si="100"/>
        <v>2.281774329030905E-4</v>
      </c>
      <c r="P171" s="4073">
        <f t="shared" si="100"/>
        <v>2.208168705513779E-4</v>
      </c>
    </row>
    <row r="172" spans="2:16" customFormat="1" ht="27" thickBot="1" x14ac:dyDescent="0.35">
      <c r="B172" s="3770" t="s">
        <v>3674</v>
      </c>
      <c r="C172" s="4062" t="s">
        <v>3676</v>
      </c>
      <c r="D172" s="4063">
        <f>IFERROR(D171/D170,0)</f>
        <v>6.4440000000000011E-2</v>
      </c>
      <c r="E172" s="4063">
        <f>IFERROR(E171/E170,0)</f>
        <v>6.4440000000000011E-2</v>
      </c>
      <c r="F172" s="4063">
        <f t="shared" ref="F172:P172" si="101">IFERROR(F171/F170,0)</f>
        <v>6.4440000000000011E-2</v>
      </c>
      <c r="G172" s="4063">
        <f t="shared" si="101"/>
        <v>6.4440000000000011E-2</v>
      </c>
      <c r="H172" s="4063">
        <f t="shared" si="101"/>
        <v>6.4440000000000011E-2</v>
      </c>
      <c r="I172" s="4063">
        <f t="shared" si="101"/>
        <v>6.4440000000000011E-2</v>
      </c>
      <c r="J172" s="4063">
        <f t="shared" si="101"/>
        <v>6.4440000000000011E-2</v>
      </c>
      <c r="K172" s="4063">
        <f t="shared" si="101"/>
        <v>6.4440000000000011E-2</v>
      </c>
      <c r="L172" s="4063">
        <f t="shared" si="101"/>
        <v>6.4440000000000011E-2</v>
      </c>
      <c r="M172" s="4063">
        <f t="shared" si="101"/>
        <v>6.4440000000000011E-2</v>
      </c>
      <c r="N172" s="4063">
        <f t="shared" si="101"/>
        <v>6.4440000000000011E-2</v>
      </c>
      <c r="O172" s="4063">
        <f t="shared" si="101"/>
        <v>6.4440000000000011E-2</v>
      </c>
      <c r="P172" s="4063">
        <f t="shared" si="101"/>
        <v>6.4440000000000011E-2</v>
      </c>
    </row>
    <row r="173" spans="2:16" customFormat="1" ht="7.2" customHeight="1" thickBot="1" x14ac:dyDescent="0.35">
      <c r="B173" s="3770"/>
      <c r="C173" s="4062"/>
      <c r="D173" s="4067"/>
      <c r="E173" s="4068"/>
      <c r="F173" s="4067"/>
      <c r="G173" s="4067"/>
      <c r="H173" s="4067"/>
      <c r="I173" s="4067"/>
      <c r="J173" s="4067"/>
      <c r="K173" s="4067"/>
      <c r="L173" s="4067"/>
      <c r="M173" s="4067"/>
      <c r="N173" s="4067"/>
      <c r="O173" s="4067"/>
      <c r="P173" s="4067"/>
    </row>
    <row r="174" spans="2:16" ht="27" thickBot="1" x14ac:dyDescent="0.4">
      <c r="B174" s="3770" t="s">
        <v>3681</v>
      </c>
      <c r="C174" s="4062" t="s">
        <v>40</v>
      </c>
      <c r="D174" s="4064">
        <f t="shared" ref="D174:P174" si="102">D171+D163</f>
        <v>27.900848619856902</v>
      </c>
      <c r="E174" s="4064">
        <f t="shared" si="102"/>
        <v>2.2965490606329029</v>
      </c>
      <c r="F174" s="4064">
        <f t="shared" si="102"/>
        <v>2.2224668328705515</v>
      </c>
      <c r="G174" s="4064">
        <f t="shared" si="102"/>
        <v>2.2965490606329029</v>
      </c>
      <c r="H174" s="4064">
        <f t="shared" si="102"/>
        <v>2.2965490606329029</v>
      </c>
      <c r="I174" s="4064">
        <f t="shared" si="102"/>
        <v>2.9351378639443757</v>
      </c>
      <c r="J174" s="4064">
        <f t="shared" si="102"/>
        <v>2.2965490606329029</v>
      </c>
      <c r="K174" s="4064">
        <f t="shared" si="102"/>
        <v>2.2224668328705519</v>
      </c>
      <c r="L174" s="4064">
        <f t="shared" si="102"/>
        <v>2.2965490606329029</v>
      </c>
      <c r="M174" s="4064">
        <f t="shared" si="102"/>
        <v>2.2224668328705519</v>
      </c>
      <c r="N174" s="4064">
        <f t="shared" si="102"/>
        <v>2.2965490606329029</v>
      </c>
      <c r="O174" s="4064">
        <f t="shared" si="102"/>
        <v>2.2965490606329029</v>
      </c>
      <c r="P174" s="4064">
        <f t="shared" si="102"/>
        <v>2.2224668328705519</v>
      </c>
    </row>
    <row r="175" spans="2:16" x14ac:dyDescent="0.35">
      <c r="B175" s="3786"/>
      <c r="C175" s="3784"/>
      <c r="D175" s="3784"/>
      <c r="E175" s="3777"/>
      <c r="F175" s="3777"/>
      <c r="G175" s="3777"/>
      <c r="H175" s="3777"/>
      <c r="I175" s="3777"/>
      <c r="J175" s="3777"/>
      <c r="K175" s="3777"/>
      <c r="L175" s="3777"/>
      <c r="M175" s="3777"/>
      <c r="N175" s="3777"/>
      <c r="O175" s="3777"/>
      <c r="P175" s="3777"/>
    </row>
    <row r="176" spans="2:16" x14ac:dyDescent="0.35">
      <c r="B176"/>
      <c r="C176" s="3785"/>
      <c r="D176" s="3785"/>
      <c r="E176"/>
      <c r="F176"/>
      <c r="G176"/>
      <c r="H176"/>
      <c r="I176"/>
      <c r="J176"/>
      <c r="K176"/>
      <c r="L176"/>
      <c r="M176"/>
      <c r="N176"/>
      <c r="O176"/>
      <c r="P176"/>
    </row>
    <row r="177" spans="2:20" x14ac:dyDescent="0.35">
      <c r="B177" s="5244" t="s">
        <v>1386</v>
      </c>
      <c r="C177" s="5244"/>
      <c r="D177"/>
      <c r="E177" s="5244" t="s">
        <v>1386</v>
      </c>
      <c r="F177" s="5244"/>
      <c r="G177" s="5244"/>
      <c r="H177" s="5244"/>
      <c r="I177"/>
      <c r="J177"/>
      <c r="K177"/>
      <c r="L177" s="5244" t="s">
        <v>1386</v>
      </c>
      <c r="M177" s="5244"/>
      <c r="N177" s="5244"/>
      <c r="O177" s="5244"/>
      <c r="P177"/>
    </row>
    <row r="178" spans="2:20" x14ac:dyDescent="0.35">
      <c r="B178" s="5341" t="s">
        <v>232</v>
      </c>
      <c r="C178" s="5341"/>
      <c r="D178"/>
      <c r="E178" s="5341" t="s">
        <v>209</v>
      </c>
      <c r="F178" s="5341"/>
      <c r="G178" s="5341"/>
      <c r="H178" s="5341"/>
      <c r="I178"/>
      <c r="J178"/>
      <c r="K178"/>
      <c r="L178" s="5341" t="s">
        <v>230</v>
      </c>
      <c r="M178" s="5341"/>
      <c r="N178" s="5341"/>
      <c r="O178" s="5341"/>
      <c r="P178"/>
    </row>
    <row r="179" spans="2:20" x14ac:dyDescent="0.35">
      <c r="B179" s="3776"/>
      <c r="C179" s="3776"/>
      <c r="D179"/>
      <c r="E179" s="3776"/>
      <c r="F179" s="3776"/>
      <c r="G179" s="3776"/>
      <c r="H179" s="3776"/>
      <c r="I179"/>
      <c r="J179"/>
      <c r="K179"/>
      <c r="L179" s="3776"/>
      <c r="M179" s="3776"/>
      <c r="N179" s="3776"/>
      <c r="O179" s="3776"/>
      <c r="P179"/>
    </row>
    <row r="180" spans="2:20" x14ac:dyDescent="0.35">
      <c r="Q180" s="2728"/>
    </row>
    <row r="181" spans="2:20" ht="18.600000000000001" thickBot="1" x14ac:dyDescent="0.4">
      <c r="Q181" s="2728"/>
    </row>
    <row r="182" spans="2:20" x14ac:dyDescent="0.35">
      <c r="B182" s="5305" t="s">
        <v>1891</v>
      </c>
      <c r="C182" s="5306"/>
      <c r="D182" s="3735" t="s">
        <v>132</v>
      </c>
      <c r="E182" s="5313" t="s">
        <v>19</v>
      </c>
      <c r="F182" s="5313" t="s">
        <v>20</v>
      </c>
      <c r="G182" s="5313" t="s">
        <v>21</v>
      </c>
      <c r="H182" s="5313" t="s">
        <v>10</v>
      </c>
      <c r="I182" s="5313" t="s">
        <v>11</v>
      </c>
      <c r="J182" s="5313" t="s">
        <v>12</v>
      </c>
      <c r="K182" s="5313" t="s">
        <v>13</v>
      </c>
      <c r="L182" s="5313" t="s">
        <v>133</v>
      </c>
      <c r="M182" s="5313" t="s">
        <v>15</v>
      </c>
      <c r="N182" s="5313" t="s">
        <v>16</v>
      </c>
      <c r="O182" s="5313" t="s">
        <v>17</v>
      </c>
      <c r="P182" s="5315" t="s">
        <v>18</v>
      </c>
      <c r="Q182" s="2728"/>
    </row>
    <row r="183" spans="2:20" ht="18.600000000000001" thickBot="1" x14ac:dyDescent="0.4">
      <c r="B183" s="5307"/>
      <c r="C183" s="5308"/>
      <c r="D183" s="3736" t="str">
        <f>'Вхідні дані'!$F$6</f>
        <v>2023-2024</v>
      </c>
      <c r="E183" s="5314"/>
      <c r="F183" s="5314"/>
      <c r="G183" s="5314"/>
      <c r="H183" s="5314"/>
      <c r="I183" s="5314"/>
      <c r="J183" s="5314"/>
      <c r="K183" s="5314"/>
      <c r="L183" s="5314"/>
      <c r="M183" s="5314"/>
      <c r="N183" s="5314"/>
      <c r="O183" s="5314"/>
      <c r="P183" s="5316"/>
      <c r="Q183" s="2728"/>
    </row>
    <row r="184" spans="2:20" x14ac:dyDescent="0.35">
      <c r="B184" s="3788" t="s">
        <v>2420</v>
      </c>
      <c r="C184" s="1322" t="s">
        <v>185</v>
      </c>
      <c r="D184" s="3789">
        <f t="shared" ref="D184:P184" si="103">D185+D187+D192+D193+D194+D195+D196+D197+D198</f>
        <v>3336.1130720904066</v>
      </c>
      <c r="E184" s="3734">
        <f t="shared" si="103"/>
        <v>15.907719706486862</v>
      </c>
      <c r="F184" s="3734">
        <f t="shared" si="103"/>
        <v>499.01793568168193</v>
      </c>
      <c r="G184" s="3734">
        <f t="shared" si="103"/>
        <v>669.2844278778316</v>
      </c>
      <c r="H184" s="3734">
        <f t="shared" si="103"/>
        <v>680.50574438715978</v>
      </c>
      <c r="I184" s="3734">
        <f t="shared" si="103"/>
        <v>634.44720561116753</v>
      </c>
      <c r="J184" s="3734">
        <f t="shared" si="103"/>
        <v>650.95236644201566</v>
      </c>
      <c r="K184" s="3734">
        <f t="shared" si="103"/>
        <v>98.530792503804761</v>
      </c>
      <c r="L184" s="3734">
        <f t="shared" si="103"/>
        <v>16.631405619599999</v>
      </c>
      <c r="M184" s="3734">
        <f t="shared" si="103"/>
        <v>18.479425929066664</v>
      </c>
      <c r="N184" s="3734">
        <f t="shared" si="103"/>
        <v>17.686496307600002</v>
      </c>
      <c r="O184" s="3734">
        <f t="shared" si="103"/>
        <v>16.950567762933332</v>
      </c>
      <c r="P184" s="3734">
        <f t="shared" si="103"/>
        <v>17.718984261058548</v>
      </c>
      <c r="Q184" s="2728"/>
    </row>
    <row r="185" spans="2:20" x14ac:dyDescent="0.35">
      <c r="B185" s="2729" t="s">
        <v>869</v>
      </c>
      <c r="C185" s="1309" t="s">
        <v>185</v>
      </c>
      <c r="D185" s="2730">
        <f>D13</f>
        <v>918.03603851447565</v>
      </c>
      <c r="E185" s="2730">
        <f t="shared" ref="E185:P185" si="104">E13</f>
        <v>9.6063169681980547</v>
      </c>
      <c r="F185" s="2730">
        <f t="shared" si="104"/>
        <v>127.03232801765229</v>
      </c>
      <c r="G185" s="2730">
        <f t="shared" si="104"/>
        <v>178.23744911009226</v>
      </c>
      <c r="H185" s="2730">
        <f t="shared" si="104"/>
        <v>188.76220788049548</v>
      </c>
      <c r="I185" s="2730">
        <f t="shared" si="104"/>
        <v>174.62642453700394</v>
      </c>
      <c r="J185" s="2730">
        <f t="shared" si="104"/>
        <v>160.11165948134681</v>
      </c>
      <c r="K185" s="2730">
        <f t="shared" si="104"/>
        <v>24.443402669534088</v>
      </c>
      <c r="L185" s="2730">
        <f t="shared" si="104"/>
        <v>10.813467392</v>
      </c>
      <c r="M185" s="2730">
        <f t="shared" si="104"/>
        <v>12.067974186666666</v>
      </c>
      <c r="N185" s="2730">
        <f t="shared" si="104"/>
        <v>10.821787392000001</v>
      </c>
      <c r="O185" s="2730">
        <f t="shared" si="104"/>
        <v>10.228253013333333</v>
      </c>
      <c r="P185" s="2730">
        <f t="shared" si="104"/>
        <v>11.284767866152832</v>
      </c>
      <c r="Q185" s="2728"/>
    </row>
    <row r="186" spans="2:20" s="4079" customFormat="1" x14ac:dyDescent="0.35">
      <c r="B186" s="4076" t="s">
        <v>3816</v>
      </c>
      <c r="C186" s="4074" t="s">
        <v>185</v>
      </c>
      <c r="D186" s="4081"/>
      <c r="E186" s="4075"/>
      <c r="F186" s="4075"/>
      <c r="G186" s="4075"/>
      <c r="H186" s="4075"/>
      <c r="I186" s="4075"/>
      <c r="J186" s="4075"/>
      <c r="K186" s="4075"/>
      <c r="L186" s="4075"/>
      <c r="M186" s="4075"/>
      <c r="N186" s="4075"/>
      <c r="O186" s="4075"/>
      <c r="P186" s="4075"/>
      <c r="Q186" s="4077"/>
      <c r="R186" s="4078"/>
      <c r="T186" s="4080"/>
    </row>
    <row r="187" spans="2:20" x14ac:dyDescent="0.35">
      <c r="B187" s="2729" t="s">
        <v>1895</v>
      </c>
      <c r="C187" s="1309" t="s">
        <v>185</v>
      </c>
      <c r="D187" s="2730">
        <f>D34</f>
        <v>2366.3148268199311</v>
      </c>
      <c r="E187" s="2730">
        <f t="shared" ref="E187:P187" si="105">E34</f>
        <v>1.849167226288809</v>
      </c>
      <c r="F187" s="2730">
        <f t="shared" si="105"/>
        <v>367.93091295202964</v>
      </c>
      <c r="G187" s="2730">
        <f t="shared" si="105"/>
        <v>487.16812945173933</v>
      </c>
      <c r="H187" s="2730">
        <f t="shared" si="105"/>
        <v>487.53325239866444</v>
      </c>
      <c r="I187" s="2730">
        <f t="shared" si="105"/>
        <v>455.84666135816354</v>
      </c>
      <c r="J187" s="2730">
        <f t="shared" si="105"/>
        <v>486.91577764466888</v>
      </c>
      <c r="K187" s="2730">
        <f t="shared" si="105"/>
        <v>70.187514322270673</v>
      </c>
      <c r="L187" s="2730">
        <f t="shared" si="105"/>
        <v>1.7164733195999999</v>
      </c>
      <c r="M187" s="2730">
        <f t="shared" si="105"/>
        <v>1.7026558224000001</v>
      </c>
      <c r="N187" s="2730">
        <f t="shared" si="105"/>
        <v>1.7326424076000002</v>
      </c>
      <c r="O187" s="2730">
        <f t="shared" si="105"/>
        <v>1.5673592376000001</v>
      </c>
      <c r="P187" s="2730">
        <f t="shared" si="105"/>
        <v>2.1642806789057136</v>
      </c>
      <c r="Q187" s="2728"/>
    </row>
    <row r="188" spans="2:20" x14ac:dyDescent="0.35">
      <c r="B188" s="2731" t="s">
        <v>2418</v>
      </c>
      <c r="C188" s="1310" t="s">
        <v>185</v>
      </c>
      <c r="D188" s="2732">
        <f t="shared" ref="D188:P188" si="106">D35</f>
        <v>649.81330097073896</v>
      </c>
      <c r="E188" s="2732">
        <f t="shared" si="106"/>
        <v>0.58137187431044757</v>
      </c>
      <c r="F188" s="2732">
        <f t="shared" si="106"/>
        <v>100.55035721189903</v>
      </c>
      <c r="G188" s="2732">
        <f t="shared" si="106"/>
        <v>133.95980145127373</v>
      </c>
      <c r="H188" s="2732">
        <f t="shared" si="106"/>
        <v>134.02928297041066</v>
      </c>
      <c r="I188" s="2732">
        <f t="shared" si="106"/>
        <v>125.33966420075859</v>
      </c>
      <c r="J188" s="2732">
        <f t="shared" si="106"/>
        <v>133.91461110244614</v>
      </c>
      <c r="K188" s="2732">
        <f t="shared" si="106"/>
        <v>18.610563842561529</v>
      </c>
      <c r="L188" s="2732">
        <f t="shared" si="106"/>
        <v>0.55841301729525739</v>
      </c>
      <c r="M188" s="2732">
        <f t="shared" si="106"/>
        <v>0.54836289730772425</v>
      </c>
      <c r="N188" s="2732">
        <f t="shared" si="106"/>
        <v>0.56103818864850097</v>
      </c>
      <c r="O188" s="2732">
        <f t="shared" si="106"/>
        <v>0.53340524610714946</v>
      </c>
      <c r="P188" s="2732">
        <f t="shared" si="106"/>
        <v>0.62642896772024592</v>
      </c>
      <c r="Q188" s="2728"/>
    </row>
    <row r="189" spans="2:20" s="4079" customFormat="1" x14ac:dyDescent="0.35">
      <c r="B189" s="4076" t="s">
        <v>3816</v>
      </c>
      <c r="C189" s="4074" t="s">
        <v>185</v>
      </c>
      <c r="D189" s="4081">
        <v>9703.7291519999999</v>
      </c>
      <c r="E189" s="4075"/>
      <c r="F189" s="4075"/>
      <c r="G189" s="4075"/>
      <c r="H189" s="4075"/>
      <c r="I189" s="4075"/>
      <c r="J189" s="4075"/>
      <c r="K189" s="4075"/>
      <c r="L189" s="4075"/>
      <c r="M189" s="4075"/>
      <c r="N189" s="4075"/>
      <c r="O189" s="4075"/>
      <c r="P189" s="4075"/>
      <c r="Q189" s="4077"/>
      <c r="R189" s="4078"/>
      <c r="T189" s="4080"/>
    </row>
    <row r="190" spans="2:20" x14ac:dyDescent="0.35">
      <c r="B190" s="2731" t="s">
        <v>2419</v>
      </c>
      <c r="C190" s="1310" t="s">
        <v>185</v>
      </c>
      <c r="D190" s="2732">
        <f t="shared" ref="D190:P190" si="107">D36</f>
        <v>1716.5015258491919</v>
      </c>
      <c r="E190" s="2732">
        <f t="shared" si="107"/>
        <v>1.2677953519783614</v>
      </c>
      <c r="F190" s="2732">
        <f t="shared" si="107"/>
        <v>267.3805557401306</v>
      </c>
      <c r="G190" s="2732">
        <f t="shared" si="107"/>
        <v>353.2083280004656</v>
      </c>
      <c r="H190" s="2732">
        <f t="shared" si="107"/>
        <v>353.50396942825375</v>
      </c>
      <c r="I190" s="2732">
        <f t="shared" si="107"/>
        <v>330.50699715740495</v>
      </c>
      <c r="J190" s="2732">
        <f t="shared" si="107"/>
        <v>353.00116654222273</v>
      </c>
      <c r="K190" s="2732">
        <f t="shared" si="107"/>
        <v>51.57695047970914</v>
      </c>
      <c r="L190" s="2732">
        <f t="shared" si="107"/>
        <v>1.1580603023047427</v>
      </c>
      <c r="M190" s="2732">
        <f t="shared" si="107"/>
        <v>1.1542929250922758</v>
      </c>
      <c r="N190" s="2732">
        <f t="shared" si="107"/>
        <v>1.1716042189514992</v>
      </c>
      <c r="O190" s="2732">
        <f t="shared" si="107"/>
        <v>1.0339539914928506</v>
      </c>
      <c r="P190" s="2732">
        <f t="shared" si="107"/>
        <v>1.5378517111854675</v>
      </c>
      <c r="Q190" s="2728"/>
    </row>
    <row r="191" spans="2:20" s="4079" customFormat="1" x14ac:dyDescent="0.35">
      <c r="B191" s="4076" t="s">
        <v>3816</v>
      </c>
      <c r="C191" s="4074" t="s">
        <v>185</v>
      </c>
      <c r="D191" s="4081"/>
      <c r="E191" s="4075"/>
      <c r="F191" s="4075"/>
      <c r="G191" s="4075"/>
      <c r="H191" s="4075"/>
      <c r="I191" s="4075"/>
      <c r="J191" s="4075"/>
      <c r="K191" s="4075"/>
      <c r="L191" s="4075"/>
      <c r="M191" s="4075"/>
      <c r="N191" s="4075"/>
      <c r="O191" s="4075"/>
      <c r="P191" s="4075"/>
      <c r="Q191" s="4077"/>
      <c r="R191" s="4078"/>
      <c r="T191" s="4080"/>
    </row>
    <row r="192" spans="2:20" x14ac:dyDescent="0.35">
      <c r="B192" s="2729" t="s">
        <v>2233</v>
      </c>
      <c r="C192" s="1309" t="s">
        <v>185</v>
      </c>
      <c r="D192" s="3733">
        <f>D71</f>
        <v>3.8022784000000005</v>
      </c>
      <c r="E192" s="2730">
        <f t="shared" ref="E192:P192" si="108">E71</f>
        <v>0.32243200000000005</v>
      </c>
      <c r="F192" s="2730">
        <f t="shared" si="108"/>
        <v>0.30654720000000002</v>
      </c>
      <c r="G192" s="2730">
        <f t="shared" si="108"/>
        <v>0.28815360000000001</v>
      </c>
      <c r="H192" s="2730">
        <f t="shared" si="108"/>
        <v>0.31559680000000001</v>
      </c>
      <c r="I192" s="2730">
        <f t="shared" si="108"/>
        <v>0.28815360000000001</v>
      </c>
      <c r="J192" s="2730">
        <f t="shared" si="108"/>
        <v>0.28815360000000001</v>
      </c>
      <c r="K192" s="2730">
        <f t="shared" si="108"/>
        <v>0.29772799999999999</v>
      </c>
      <c r="L192" s="2730">
        <f t="shared" si="108"/>
        <v>0.31029760000000006</v>
      </c>
      <c r="M192" s="2730">
        <f t="shared" si="108"/>
        <v>0.33151999999999998</v>
      </c>
      <c r="N192" s="2730">
        <f t="shared" si="108"/>
        <v>0.38124800000000003</v>
      </c>
      <c r="O192" s="2730">
        <f t="shared" si="108"/>
        <v>0.36467200000000005</v>
      </c>
      <c r="P192" s="2730">
        <f t="shared" si="108"/>
        <v>0.30777599999999999</v>
      </c>
      <c r="Q192" s="2728"/>
    </row>
    <row r="193" spans="2:20" x14ac:dyDescent="0.35">
      <c r="B193" s="2729" t="s">
        <v>1437</v>
      </c>
      <c r="C193" s="1309" t="s">
        <v>185</v>
      </c>
      <c r="D193" s="2730">
        <f>D99</f>
        <v>19.6981392</v>
      </c>
      <c r="E193" s="2730">
        <f t="shared" ref="E193:P193" si="109">E99</f>
        <v>1.6733648000000001</v>
      </c>
      <c r="F193" s="2730">
        <f t="shared" si="109"/>
        <v>1.6222656000000002</v>
      </c>
      <c r="G193" s="2730">
        <f t="shared" si="109"/>
        <v>1.5364608</v>
      </c>
      <c r="H193" s="2730">
        <f t="shared" si="109"/>
        <v>1.6788223999999998</v>
      </c>
      <c r="I193" s="2730">
        <f t="shared" si="109"/>
        <v>1.5324288000000001</v>
      </c>
      <c r="J193" s="2730">
        <f t="shared" si="109"/>
        <v>1.5364608</v>
      </c>
      <c r="K193" s="2730">
        <f t="shared" si="109"/>
        <v>1.5651328000000002</v>
      </c>
      <c r="L193" s="2730">
        <f t="shared" si="109"/>
        <v>1.6269696000000002</v>
      </c>
      <c r="M193" s="2730">
        <f t="shared" si="109"/>
        <v>1.7147679999999998</v>
      </c>
      <c r="N193" s="2730">
        <f t="shared" si="109"/>
        <v>1.7292544000000005</v>
      </c>
      <c r="O193" s="2730">
        <f t="shared" si="109"/>
        <v>1.8845648000000002</v>
      </c>
      <c r="P193" s="2730">
        <f t="shared" si="109"/>
        <v>1.5976463999999999</v>
      </c>
      <c r="Q193" s="2728"/>
    </row>
    <row r="194" spans="2:20" x14ac:dyDescent="0.35">
      <c r="B194" s="2729" t="s">
        <v>2246</v>
      </c>
      <c r="C194" s="1309" t="s">
        <v>185</v>
      </c>
      <c r="D194" s="2730">
        <f>D101</f>
        <v>15.7314688</v>
      </c>
      <c r="E194" s="2730">
        <f t="shared" ref="E194:P194" si="110">E101</f>
        <v>1.355904</v>
      </c>
      <c r="F194" s="2730">
        <f t="shared" si="110"/>
        <v>1.1794304</v>
      </c>
      <c r="G194" s="2730">
        <f t="shared" si="110"/>
        <v>1.0762752</v>
      </c>
      <c r="H194" s="2730">
        <f t="shared" si="110"/>
        <v>1.1787775999999999</v>
      </c>
      <c r="I194" s="2730">
        <f t="shared" si="110"/>
        <v>1.0762752</v>
      </c>
      <c r="J194" s="2730">
        <f t="shared" si="110"/>
        <v>1.0762752</v>
      </c>
      <c r="K194" s="2730">
        <f t="shared" si="110"/>
        <v>1.0984960000000001</v>
      </c>
      <c r="L194" s="2730">
        <f t="shared" si="110"/>
        <v>1.1416832000000001</v>
      </c>
      <c r="M194" s="2730">
        <f t="shared" si="110"/>
        <v>1.6166399999999999</v>
      </c>
      <c r="N194" s="2730">
        <f t="shared" si="110"/>
        <v>1.8591360000000003</v>
      </c>
      <c r="O194" s="2730">
        <f t="shared" si="110"/>
        <v>1.7783040000000001</v>
      </c>
      <c r="P194" s="2730">
        <f t="shared" si="110"/>
        <v>1.2942719999999999</v>
      </c>
      <c r="Q194" s="2728"/>
    </row>
    <row r="195" spans="2:20" x14ac:dyDescent="0.35">
      <c r="B195" s="2729" t="s">
        <v>1390</v>
      </c>
      <c r="C195" s="1309" t="s">
        <v>185</v>
      </c>
      <c r="D195" s="2730">
        <f>D100</f>
        <v>2.1134723559999999</v>
      </c>
      <c r="E195" s="2730">
        <f t="shared" ref="E195:P195" si="111">E100</f>
        <v>0.172246712</v>
      </c>
      <c r="F195" s="2730">
        <f t="shared" si="111"/>
        <v>0.172246712</v>
      </c>
      <c r="G195" s="2730">
        <f t="shared" si="111"/>
        <v>0.16441731600000001</v>
      </c>
      <c r="H195" s="2730">
        <f t="shared" si="111"/>
        <v>0.18007610800000001</v>
      </c>
      <c r="I195" s="2730">
        <f t="shared" si="111"/>
        <v>0.16441731600000001</v>
      </c>
      <c r="J195" s="2730">
        <f t="shared" si="111"/>
        <v>0.16441731600000001</v>
      </c>
      <c r="K195" s="2730">
        <f t="shared" si="111"/>
        <v>0.17224671200000002</v>
      </c>
      <c r="L195" s="2730">
        <f t="shared" si="111"/>
        <v>0.18007610800000001</v>
      </c>
      <c r="M195" s="2730">
        <f t="shared" si="111"/>
        <v>0.15658791999999999</v>
      </c>
      <c r="N195" s="2730">
        <f t="shared" si="111"/>
        <v>0.18007610800000001</v>
      </c>
      <c r="O195" s="2730">
        <f t="shared" si="111"/>
        <v>0.172246712</v>
      </c>
      <c r="P195" s="2730">
        <f t="shared" si="111"/>
        <v>0.23441731599999999</v>
      </c>
      <c r="Q195" s="2728"/>
    </row>
    <row r="196" spans="2:20" x14ac:dyDescent="0.35">
      <c r="B196" s="2729" t="s">
        <v>1436</v>
      </c>
      <c r="C196" s="1309" t="s">
        <v>185</v>
      </c>
      <c r="D196" s="2730">
        <f>D125</f>
        <v>6.0781856000000021</v>
      </c>
      <c r="E196" s="2730">
        <f t="shared" ref="E196:P196" si="112">E125</f>
        <v>0.51356800000000014</v>
      </c>
      <c r="F196" s="2730">
        <f t="shared" si="112"/>
        <v>0.48620479999999999</v>
      </c>
      <c r="G196" s="2730">
        <f t="shared" si="112"/>
        <v>0.45642240000000006</v>
      </c>
      <c r="H196" s="2730">
        <f t="shared" si="112"/>
        <v>0.49989120000000009</v>
      </c>
      <c r="I196" s="2730">
        <f t="shared" si="112"/>
        <v>0.45642240000000006</v>
      </c>
      <c r="J196" s="2730">
        <f t="shared" si="112"/>
        <v>0.45642240000000006</v>
      </c>
      <c r="K196" s="2730">
        <f t="shared" si="112"/>
        <v>0.466752</v>
      </c>
      <c r="L196" s="2730">
        <f t="shared" si="112"/>
        <v>0.48531840000000009</v>
      </c>
      <c r="M196" s="2730">
        <f t="shared" si="112"/>
        <v>0.54367999999999994</v>
      </c>
      <c r="N196" s="2730">
        <f t="shared" si="112"/>
        <v>0.62523200000000023</v>
      </c>
      <c r="O196" s="2730">
        <f t="shared" si="112"/>
        <v>0.59804800000000014</v>
      </c>
      <c r="P196" s="2730">
        <f t="shared" si="112"/>
        <v>0.49022400000000005</v>
      </c>
      <c r="Q196" s="2728"/>
    </row>
    <row r="197" spans="2:20" x14ac:dyDescent="0.35">
      <c r="B197" s="2729" t="s">
        <v>930</v>
      </c>
      <c r="C197" s="1309" t="s">
        <v>185</v>
      </c>
      <c r="D197" s="2730">
        <f>SUM(E197:P197)</f>
        <v>0</v>
      </c>
      <c r="E197" s="2729">
        <v>0</v>
      </c>
      <c r="F197" s="2729">
        <v>0</v>
      </c>
      <c r="G197" s="2729">
        <v>0</v>
      </c>
      <c r="H197" s="2729">
        <v>0</v>
      </c>
      <c r="I197" s="2729">
        <v>0</v>
      </c>
      <c r="J197" s="2729">
        <v>0</v>
      </c>
      <c r="K197" s="2729">
        <v>0</v>
      </c>
      <c r="L197" s="2729">
        <v>0</v>
      </c>
      <c r="M197" s="2729">
        <v>0</v>
      </c>
      <c r="N197" s="2729">
        <v>0</v>
      </c>
      <c r="O197" s="2729">
        <v>0</v>
      </c>
      <c r="P197" s="2729">
        <v>0</v>
      </c>
      <c r="Q197" s="2728"/>
    </row>
    <row r="198" spans="2:20" x14ac:dyDescent="0.35">
      <c r="B198" s="2729" t="s">
        <v>2300</v>
      </c>
      <c r="C198" s="1309" t="s">
        <v>185</v>
      </c>
      <c r="D198" s="2730">
        <f>SUM(E198:P198)</f>
        <v>4.3386624000000005</v>
      </c>
      <c r="E198" s="2729">
        <v>0.41471999999999998</v>
      </c>
      <c r="F198" s="2729">
        <v>0.28799999999999998</v>
      </c>
      <c r="G198" s="2729">
        <v>0.35711999999999999</v>
      </c>
      <c r="H198" s="2729">
        <v>0.35711999999999999</v>
      </c>
      <c r="I198" s="2729">
        <v>0.45642240000000006</v>
      </c>
      <c r="J198" s="2729">
        <v>0.4032</v>
      </c>
      <c r="K198" s="2729">
        <v>0.29952000000000001</v>
      </c>
      <c r="L198" s="2729">
        <v>0.35711999999999999</v>
      </c>
      <c r="M198" s="2729">
        <v>0.34560000000000002</v>
      </c>
      <c r="N198" s="2729">
        <v>0.35711999999999999</v>
      </c>
      <c r="O198" s="2729">
        <v>0.35711999999999999</v>
      </c>
      <c r="P198" s="2729">
        <v>0.34560000000000002</v>
      </c>
      <c r="Q198" s="2728"/>
    </row>
    <row r="199" spans="2:20" x14ac:dyDescent="0.35">
      <c r="B199" s="3758" t="s">
        <v>3651</v>
      </c>
      <c r="C199" s="3759"/>
      <c r="D199" s="3790">
        <f>D200+D201+D204+D205+D206+D207+D208+D209+D210</f>
        <v>834.7512785533703</v>
      </c>
      <c r="E199" s="3760">
        <f t="shared" ref="E199:P199" si="113">E200+E201+E204+E205+E206+E207+E208+E209+E210</f>
        <v>2.9218003316444996</v>
      </c>
      <c r="F199" s="3760">
        <f t="shared" si="113"/>
        <v>125.78180221109626</v>
      </c>
      <c r="G199" s="3760">
        <f t="shared" si="113"/>
        <v>169.10717658574958</v>
      </c>
      <c r="H199" s="3760">
        <f t="shared" si="113"/>
        <v>171.8869499876055</v>
      </c>
      <c r="I199" s="3760">
        <f t="shared" si="113"/>
        <v>160.23859668069207</v>
      </c>
      <c r="J199" s="3760">
        <f t="shared" si="113"/>
        <v>164.41535116252177</v>
      </c>
      <c r="K199" s="3760">
        <f t="shared" si="113"/>
        <v>24.048192763738033</v>
      </c>
      <c r="L199" s="3760">
        <f t="shared" si="113"/>
        <v>3.1963389083459495</v>
      </c>
      <c r="M199" s="3760">
        <f t="shared" si="113"/>
        <v>3.5131286715948717</v>
      </c>
      <c r="N199" s="3760">
        <f t="shared" si="113"/>
        <v>3.202565425478324</v>
      </c>
      <c r="O199" s="3760">
        <f t="shared" si="113"/>
        <v>3.009092409085504</v>
      </c>
      <c r="P199" s="3760">
        <f t="shared" si="113"/>
        <v>3.4302834158179873</v>
      </c>
    </row>
    <row r="200" spans="2:20" ht="15" customHeight="1" x14ac:dyDescent="0.35">
      <c r="B200" s="3761" t="s">
        <v>869</v>
      </c>
      <c r="C200" s="3762" t="str">
        <f>C19</f>
        <v>тис. кВАр∙год</v>
      </c>
      <c r="D200" s="3762">
        <f>D19</f>
        <v>234.38912053547335</v>
      </c>
      <c r="E200" s="3762">
        <f t="shared" ref="E200:P200" si="114">E19</f>
        <v>2.4526446580511148</v>
      </c>
      <c r="F200" s="3762">
        <f t="shared" si="114"/>
        <v>32.433362520072563</v>
      </c>
      <c r="G200" s="3762">
        <f t="shared" si="114"/>
        <v>45.50683980881864</v>
      </c>
      <c r="H200" s="3762">
        <f t="shared" si="114"/>
        <v>48.193977185293129</v>
      </c>
      <c r="I200" s="3762">
        <f t="shared" si="114"/>
        <v>44.584888122381869</v>
      </c>
      <c r="J200" s="3762">
        <f t="shared" si="114"/>
        <v>40.879039034278939</v>
      </c>
      <c r="K200" s="3762">
        <f t="shared" si="114"/>
        <v>6.2407873049051288</v>
      </c>
      <c r="L200" s="3762">
        <f t="shared" si="114"/>
        <v>2.7608492538606728</v>
      </c>
      <c r="M200" s="3762">
        <f t="shared" si="114"/>
        <v>3.0811446801529807</v>
      </c>
      <c r="N200" s="3762">
        <f t="shared" si="114"/>
        <v>2.7629734814520113</v>
      </c>
      <c r="O200" s="3762">
        <f t="shared" si="114"/>
        <v>2.6114347670804454</v>
      </c>
      <c r="P200" s="3762">
        <f t="shared" si="114"/>
        <v>2.8811797191258357</v>
      </c>
      <c r="R200" s="2688" t="s">
        <v>1418</v>
      </c>
    </row>
    <row r="201" spans="2:20" x14ac:dyDescent="0.35">
      <c r="B201" s="3761" t="s">
        <v>1895</v>
      </c>
      <c r="C201" s="3759"/>
      <c r="D201" s="3762">
        <f>D48</f>
        <v>600.36215801789695</v>
      </c>
      <c r="E201" s="3762">
        <f t="shared" ref="E201:P201" si="115">E48</f>
        <v>0.46915567359338473</v>
      </c>
      <c r="F201" s="3762">
        <f t="shared" si="115"/>
        <v>93.3484396910237</v>
      </c>
      <c r="G201" s="3762">
        <f t="shared" si="115"/>
        <v>123.60033677693093</v>
      </c>
      <c r="H201" s="3762">
        <f t="shared" si="115"/>
        <v>123.69297280231237</v>
      </c>
      <c r="I201" s="3762">
        <f t="shared" si="115"/>
        <v>115.6537085583102</v>
      </c>
      <c r="J201" s="3762">
        <f t="shared" si="115"/>
        <v>123.53631212824283</v>
      </c>
      <c r="K201" s="3762">
        <f t="shared" si="115"/>
        <v>17.807405458832903</v>
      </c>
      <c r="L201" s="3762">
        <f t="shared" si="115"/>
        <v>0.43548965448527682</v>
      </c>
      <c r="M201" s="3762">
        <f t="shared" si="115"/>
        <v>0.43198399144189115</v>
      </c>
      <c r="N201" s="3762">
        <f t="shared" si="115"/>
        <v>0.43959194402631263</v>
      </c>
      <c r="O201" s="3762">
        <f t="shared" si="115"/>
        <v>0.39765764200505838</v>
      </c>
      <c r="P201" s="3762">
        <f t="shared" si="115"/>
        <v>0.54910369669215187</v>
      </c>
    </row>
    <row r="202" spans="2:20" s="3748" customFormat="1" ht="15" customHeight="1" x14ac:dyDescent="0.3">
      <c r="B202" s="3763" t="s">
        <v>2418</v>
      </c>
      <c r="C202" s="3759"/>
      <c r="D202" s="3762">
        <f t="shared" ref="D202:P203" si="116">D49</f>
        <v>164.86534727241232</v>
      </c>
      <c r="E202" s="3762">
        <f t="shared" si="116"/>
        <v>0.14750094497822722</v>
      </c>
      <c r="F202" s="3762">
        <f t="shared" si="116"/>
        <v>25.510819085021023</v>
      </c>
      <c r="G202" s="3762">
        <f t="shared" si="116"/>
        <v>33.98719163460482</v>
      </c>
      <c r="H202" s="3762">
        <f t="shared" si="116"/>
        <v>34.004819920705472</v>
      </c>
      <c r="I202" s="3762">
        <f t="shared" si="116"/>
        <v>31.800160499324885</v>
      </c>
      <c r="J202" s="3762">
        <f t="shared" si="116"/>
        <v>33.975726306730344</v>
      </c>
      <c r="K202" s="3762">
        <f t="shared" si="116"/>
        <v>4.7217209408544702</v>
      </c>
      <c r="L202" s="3762">
        <f t="shared" si="116"/>
        <v>0.14167601044836686</v>
      </c>
      <c r="M202" s="3762">
        <f t="shared" si="116"/>
        <v>0.13912617571983971</v>
      </c>
      <c r="N202" s="3762">
        <f t="shared" si="116"/>
        <v>0.14234204757957908</v>
      </c>
      <c r="O202" s="3762">
        <f t="shared" si="116"/>
        <v>0.1353312420737009</v>
      </c>
      <c r="P202" s="3762">
        <f t="shared" si="116"/>
        <v>0.15893246437155895</v>
      </c>
      <c r="Q202" s="3755">
        <f t="shared" ref="Q202:Q231" si="117">D230-E230-F230-G230-H230-I230-J230-K230-L230-M230-N230-O230-P230</f>
        <v>1.2221335055073723E-12</v>
      </c>
      <c r="R202" s="3749">
        <v>10776.776543305648</v>
      </c>
      <c r="S202" s="3750"/>
    </row>
    <row r="203" spans="2:20" s="3748" customFormat="1" ht="15" customHeight="1" x14ac:dyDescent="0.3">
      <c r="B203" s="3763" t="s">
        <v>2419</v>
      </c>
      <c r="C203" s="3759"/>
      <c r="D203" s="3762">
        <f t="shared" si="116"/>
        <v>435.49681074548465</v>
      </c>
      <c r="E203" s="3762">
        <f t="shared" si="116"/>
        <v>0.32165472861515748</v>
      </c>
      <c r="F203" s="3762">
        <f t="shared" si="116"/>
        <v>67.837620606002673</v>
      </c>
      <c r="G203" s="3762">
        <f t="shared" si="116"/>
        <v>89.613145142326104</v>
      </c>
      <c r="H203" s="3762">
        <f t="shared" si="116"/>
        <v>89.688152881606896</v>
      </c>
      <c r="I203" s="3762">
        <f t="shared" si="116"/>
        <v>83.853548058985311</v>
      </c>
      <c r="J203" s="3762">
        <f t="shared" si="116"/>
        <v>89.56058582151249</v>
      </c>
      <c r="K203" s="3762">
        <f t="shared" si="116"/>
        <v>13.085684517978434</v>
      </c>
      <c r="L203" s="3762">
        <f t="shared" si="116"/>
        <v>0.29381364403690996</v>
      </c>
      <c r="M203" s="3762">
        <f t="shared" si="116"/>
        <v>0.29285781572205144</v>
      </c>
      <c r="N203" s="3762">
        <f t="shared" si="116"/>
        <v>0.29724989644673355</v>
      </c>
      <c r="O203" s="3762">
        <f t="shared" si="116"/>
        <v>0.26232639993135748</v>
      </c>
      <c r="P203" s="3762">
        <f t="shared" si="116"/>
        <v>0.39017123232059292</v>
      </c>
      <c r="Q203" s="3755">
        <f t="shared" si="117"/>
        <v>-1.0089706847793423E-12</v>
      </c>
      <c r="R203" s="3749"/>
      <c r="S203" s="3750"/>
    </row>
    <row r="204" spans="2:20" s="3748" customFormat="1" ht="15" customHeight="1" x14ac:dyDescent="0.3">
      <c r="B204" s="3761" t="s">
        <v>2233</v>
      </c>
      <c r="C204" s="3759"/>
      <c r="D204" s="3762">
        <f>D77</f>
        <v>0</v>
      </c>
      <c r="E204" s="3762">
        <f t="shared" ref="E204:P204" si="118">E77</f>
        <v>0</v>
      </c>
      <c r="F204" s="3762">
        <f t="shared" si="118"/>
        <v>0</v>
      </c>
      <c r="G204" s="3762">
        <f t="shared" si="118"/>
        <v>0</v>
      </c>
      <c r="H204" s="3762">
        <f t="shared" si="118"/>
        <v>0</v>
      </c>
      <c r="I204" s="3762">
        <f t="shared" si="118"/>
        <v>0</v>
      </c>
      <c r="J204" s="3762">
        <f t="shared" si="118"/>
        <v>0</v>
      </c>
      <c r="K204" s="3762">
        <f t="shared" si="118"/>
        <v>0</v>
      </c>
      <c r="L204" s="3762">
        <f t="shared" si="118"/>
        <v>0</v>
      </c>
      <c r="M204" s="3762">
        <f t="shared" si="118"/>
        <v>0</v>
      </c>
      <c r="N204" s="3762">
        <f t="shared" si="118"/>
        <v>0</v>
      </c>
      <c r="O204" s="3762">
        <f t="shared" si="118"/>
        <v>0</v>
      </c>
      <c r="P204" s="3762">
        <f t="shared" si="118"/>
        <v>0</v>
      </c>
      <c r="Q204" s="3755">
        <f t="shared" si="117"/>
        <v>3.5527136788005009E-13</v>
      </c>
      <c r="R204" s="3749"/>
      <c r="S204" s="3750"/>
    </row>
    <row r="205" spans="2:20" s="3748" customFormat="1" ht="15" customHeight="1" x14ac:dyDescent="0.3">
      <c r="B205" s="3761" t="s">
        <v>1437</v>
      </c>
      <c r="C205" s="3759"/>
      <c r="D205" s="3762">
        <f>D116</f>
        <v>0</v>
      </c>
      <c r="E205" s="3762">
        <f t="shared" ref="E205:P205" si="119">E116</f>
        <v>0</v>
      </c>
      <c r="F205" s="3762">
        <f t="shared" si="119"/>
        <v>0</v>
      </c>
      <c r="G205" s="3762">
        <f t="shared" si="119"/>
        <v>0</v>
      </c>
      <c r="H205" s="3762">
        <f t="shared" si="119"/>
        <v>0</v>
      </c>
      <c r="I205" s="3762">
        <f t="shared" si="119"/>
        <v>0</v>
      </c>
      <c r="J205" s="3762">
        <f t="shared" si="119"/>
        <v>0</v>
      </c>
      <c r="K205" s="3762">
        <f t="shared" si="119"/>
        <v>0</v>
      </c>
      <c r="L205" s="3762">
        <f t="shared" si="119"/>
        <v>0</v>
      </c>
      <c r="M205" s="3762">
        <f t="shared" si="119"/>
        <v>0</v>
      </c>
      <c r="N205" s="3762">
        <f t="shared" si="119"/>
        <v>0</v>
      </c>
      <c r="O205" s="3762">
        <f t="shared" si="119"/>
        <v>0</v>
      </c>
      <c r="P205" s="3762">
        <f t="shared" si="119"/>
        <v>0</v>
      </c>
      <c r="Q205" s="3755">
        <f t="shared" si="117"/>
        <v>-1.3433698597964394E-14</v>
      </c>
      <c r="R205" s="3749"/>
      <c r="S205" s="3750"/>
    </row>
    <row r="206" spans="2:20" s="3748" customFormat="1" ht="15" customHeight="1" x14ac:dyDescent="0.3">
      <c r="B206" s="3761" t="s">
        <v>2246</v>
      </c>
      <c r="C206" s="3759"/>
      <c r="D206" s="3762">
        <f>D116</f>
        <v>0</v>
      </c>
      <c r="E206" s="3762">
        <f t="shared" ref="E206:P206" si="120">E116</f>
        <v>0</v>
      </c>
      <c r="F206" s="3762">
        <f t="shared" si="120"/>
        <v>0</v>
      </c>
      <c r="G206" s="3762">
        <f t="shared" si="120"/>
        <v>0</v>
      </c>
      <c r="H206" s="3762">
        <f t="shared" si="120"/>
        <v>0</v>
      </c>
      <c r="I206" s="3762">
        <f t="shared" si="120"/>
        <v>0</v>
      </c>
      <c r="J206" s="3762">
        <f t="shared" si="120"/>
        <v>0</v>
      </c>
      <c r="K206" s="3762">
        <f t="shared" si="120"/>
        <v>0</v>
      </c>
      <c r="L206" s="3762">
        <f t="shared" si="120"/>
        <v>0</v>
      </c>
      <c r="M206" s="3762">
        <f t="shared" si="120"/>
        <v>0</v>
      </c>
      <c r="N206" s="3762">
        <f t="shared" si="120"/>
        <v>0</v>
      </c>
      <c r="O206" s="3762">
        <f t="shared" si="120"/>
        <v>0</v>
      </c>
      <c r="P206" s="3762">
        <f t="shared" si="120"/>
        <v>0</v>
      </c>
      <c r="Q206" s="3755">
        <f t="shared" si="117"/>
        <v>-4.8572257327350599E-15</v>
      </c>
      <c r="R206" s="3749"/>
      <c r="S206" s="3750"/>
    </row>
    <row r="207" spans="2:20" ht="14.4" customHeight="1" x14ac:dyDescent="0.35">
      <c r="B207" s="3761" t="s">
        <v>1390</v>
      </c>
      <c r="C207" s="3759"/>
      <c r="D207" s="3762">
        <f>D116</f>
        <v>0</v>
      </c>
      <c r="E207" s="3762">
        <f t="shared" ref="E207:P207" si="121">E116</f>
        <v>0</v>
      </c>
      <c r="F207" s="3762">
        <f t="shared" si="121"/>
        <v>0</v>
      </c>
      <c r="G207" s="3762">
        <f t="shared" si="121"/>
        <v>0</v>
      </c>
      <c r="H207" s="3762">
        <f t="shared" si="121"/>
        <v>0</v>
      </c>
      <c r="I207" s="3762">
        <f t="shared" si="121"/>
        <v>0</v>
      </c>
      <c r="J207" s="3762">
        <f t="shared" si="121"/>
        <v>0</v>
      </c>
      <c r="K207" s="3762">
        <f t="shared" si="121"/>
        <v>0</v>
      </c>
      <c r="L207" s="3762">
        <f t="shared" si="121"/>
        <v>0</v>
      </c>
      <c r="M207" s="3762">
        <f t="shared" si="121"/>
        <v>0</v>
      </c>
      <c r="N207" s="3762">
        <f t="shared" si="121"/>
        <v>0</v>
      </c>
      <c r="O207" s="3762">
        <f t="shared" si="121"/>
        <v>0</v>
      </c>
      <c r="P207" s="3762">
        <f t="shared" si="121"/>
        <v>0</v>
      </c>
      <c r="Q207" s="3755">
        <f t="shared" si="117"/>
        <v>-3.979039320256561E-13</v>
      </c>
      <c r="R207" s="2688">
        <v>3307.3448788512451</v>
      </c>
      <c r="S207" s="2734" t="s">
        <v>2428</v>
      </c>
      <c r="T207" s="1326"/>
    </row>
    <row r="208" spans="2:20" ht="14.4" customHeight="1" x14ac:dyDescent="0.35">
      <c r="B208" s="3761" t="s">
        <v>1436</v>
      </c>
      <c r="C208" s="3759"/>
      <c r="D208" s="3762"/>
      <c r="E208" s="3761"/>
      <c r="F208" s="3761"/>
      <c r="G208" s="3761"/>
      <c r="H208" s="3761"/>
      <c r="I208" s="3761"/>
      <c r="J208" s="3761"/>
      <c r="K208" s="3761"/>
      <c r="L208" s="3761"/>
      <c r="M208" s="3761"/>
      <c r="N208" s="3761"/>
      <c r="O208" s="3761"/>
      <c r="P208" s="3761"/>
      <c r="Q208" s="3755">
        <f t="shared" si="117"/>
        <v>-9.6633812063373625E-13</v>
      </c>
      <c r="S208" s="2734"/>
      <c r="T208" s="1326"/>
    </row>
    <row r="209" spans="1:26" ht="14.4" customHeight="1" x14ac:dyDescent="0.35">
      <c r="B209" s="3761" t="s">
        <v>930</v>
      </c>
      <c r="C209" s="3759"/>
      <c r="D209" s="3762"/>
      <c r="E209" s="3761"/>
      <c r="F209" s="3761"/>
      <c r="G209" s="3761"/>
      <c r="H209" s="3761"/>
      <c r="I209" s="3761"/>
      <c r="J209" s="3761"/>
      <c r="K209" s="3761"/>
      <c r="L209" s="3761"/>
      <c r="M209" s="3761"/>
      <c r="N209" s="3761"/>
      <c r="O209" s="3761"/>
      <c r="P209" s="3761"/>
      <c r="Q209" s="3755">
        <f t="shared" si="117"/>
        <v>-2.5579538487363607E-13</v>
      </c>
      <c r="S209" s="2734"/>
      <c r="T209" s="1326"/>
    </row>
    <row r="210" spans="1:26" ht="14.4" customHeight="1" x14ac:dyDescent="0.35">
      <c r="B210" s="3761" t="s">
        <v>2300</v>
      </c>
      <c r="C210" s="3759"/>
      <c r="D210" s="4090"/>
      <c r="E210" s="3761"/>
      <c r="F210" s="3761"/>
      <c r="G210" s="3761"/>
      <c r="H210" s="3761"/>
      <c r="I210" s="3761"/>
      <c r="J210" s="3761"/>
      <c r="K210" s="3761"/>
      <c r="L210" s="3761"/>
      <c r="M210" s="3761"/>
      <c r="N210" s="3761"/>
      <c r="O210" s="3761"/>
      <c r="P210" s="3761"/>
      <c r="Q210" s="3755">
        <f t="shared" si="117"/>
        <v>1.5820678100908481E-15</v>
      </c>
      <c r="S210" s="2734"/>
      <c r="T210" s="1326"/>
    </row>
    <row r="211" spans="1:26" ht="14.4" customHeight="1" x14ac:dyDescent="0.35">
      <c r="B211" s="3764" t="s">
        <v>3652</v>
      </c>
      <c r="C211" s="3765"/>
      <c r="D211" s="3766">
        <f>D212+D213+D216+D217+D218+D219+D220+D221+D222</f>
        <v>332.16148119346207</v>
      </c>
      <c r="E211" s="3766">
        <f t="shared" ref="E211:P211" si="122">E212+E213+E216+E217+E218+E219+E220+E221+E222</f>
        <v>2.8301181637450763</v>
      </c>
      <c r="F211" s="3766">
        <f t="shared" si="122"/>
        <v>47.103573994142813</v>
      </c>
      <c r="G211" s="3766">
        <f t="shared" si="122"/>
        <v>65.271258996790422</v>
      </c>
      <c r="H211" s="3766">
        <f t="shared" si="122"/>
        <v>68.325160041972225</v>
      </c>
      <c r="I211" s="3766">
        <f t="shared" si="122"/>
        <v>63.344420782823192</v>
      </c>
      <c r="J211" s="3766">
        <f t="shared" si="122"/>
        <v>60.022424159518806</v>
      </c>
      <c r="K211" s="3766">
        <f t="shared" si="122"/>
        <v>9.0464423760085921</v>
      </c>
      <c r="L211" s="3766">
        <f t="shared" si="122"/>
        <v>3.1754700616320113</v>
      </c>
      <c r="M211" s="3766">
        <f t="shared" si="122"/>
        <v>3.5378664730894971</v>
      </c>
      <c r="N211" s="3766">
        <f t="shared" si="122"/>
        <v>3.1783317036461858</v>
      </c>
      <c r="O211" s="3766">
        <f t="shared" si="122"/>
        <v>3.0020325177691904</v>
      </c>
      <c r="P211" s="3766">
        <f t="shared" si="122"/>
        <v>3.3243819223240849</v>
      </c>
      <c r="Q211" s="3755">
        <f t="shared" si="117"/>
        <v>-4.6351811278100286E-15</v>
      </c>
      <c r="S211" s="2734"/>
      <c r="T211" s="1326"/>
    </row>
    <row r="212" spans="1:26" x14ac:dyDescent="0.35">
      <c r="B212" s="3767" t="s">
        <v>869</v>
      </c>
      <c r="C212" s="3765"/>
      <c r="D212" s="3769">
        <f>D22</f>
        <v>265.4831411802117</v>
      </c>
      <c r="E212" s="3769">
        <f t="shared" ref="E212:P212" si="123">E22</f>
        <v>2.7780120789340601</v>
      </c>
      <c r="F212" s="3769">
        <f t="shared" si="123"/>
        <v>36.735966845194355</v>
      </c>
      <c r="G212" s="3769">
        <f t="shared" si="123"/>
        <v>51.543769395224338</v>
      </c>
      <c r="H212" s="3769">
        <f t="shared" si="123"/>
        <v>54.587381956504601</v>
      </c>
      <c r="I212" s="3769">
        <f t="shared" si="123"/>
        <v>50.499511755738105</v>
      </c>
      <c r="J212" s="3769">
        <f t="shared" si="123"/>
        <v>46.302045361386021</v>
      </c>
      <c r="K212" s="3769">
        <f t="shared" si="123"/>
        <v>7.0686890814672072</v>
      </c>
      <c r="L212" s="3769">
        <f t="shared" si="123"/>
        <v>3.1271030437142087</v>
      </c>
      <c r="M212" s="3769">
        <f t="shared" si="123"/>
        <v>3.4898888064811615</v>
      </c>
      <c r="N212" s="3769">
        <f t="shared" si="123"/>
        <v>3.1295090709745268</v>
      </c>
      <c r="O212" s="3769">
        <f t="shared" si="123"/>
        <v>2.9578672566707547</v>
      </c>
      <c r="P212" s="3769">
        <f t="shared" si="123"/>
        <v>3.2633965279223935</v>
      </c>
      <c r="Q212" s="3755">
        <f t="shared" si="117"/>
        <v>3.6095570976613089E-12</v>
      </c>
      <c r="R212" s="2688">
        <v>7324.4827978223038</v>
      </c>
      <c r="S212" s="2734" t="s">
        <v>2429</v>
      </c>
      <c r="T212" s="1326"/>
    </row>
    <row r="213" spans="1:26" x14ac:dyDescent="0.35">
      <c r="B213" s="3767" t="s">
        <v>1895</v>
      </c>
      <c r="C213" s="3765"/>
      <c r="D213" s="3769">
        <f>D55</f>
        <v>66.678340013250363</v>
      </c>
      <c r="E213" s="3769">
        <f t="shared" ref="E213:P213" si="124">E55</f>
        <v>5.2106084811016126E-2</v>
      </c>
      <c r="F213" s="3769">
        <f t="shared" si="124"/>
        <v>10.367607148948458</v>
      </c>
      <c r="G213" s="3769">
        <f t="shared" si="124"/>
        <v>13.727489601566079</v>
      </c>
      <c r="H213" s="3769">
        <f t="shared" si="124"/>
        <v>13.737778085467617</v>
      </c>
      <c r="I213" s="3769">
        <f t="shared" si="124"/>
        <v>12.844909027085087</v>
      </c>
      <c r="J213" s="3769">
        <f t="shared" si="124"/>
        <v>13.720378798132788</v>
      </c>
      <c r="K213" s="3769">
        <f t="shared" si="124"/>
        <v>1.977753294541384</v>
      </c>
      <c r="L213" s="3769">
        <f t="shared" si="124"/>
        <v>4.8367017917802513E-2</v>
      </c>
      <c r="M213" s="3769">
        <f t="shared" si="124"/>
        <v>4.7977666608335419E-2</v>
      </c>
      <c r="N213" s="3769">
        <f t="shared" si="124"/>
        <v>4.8822632671658851E-2</v>
      </c>
      <c r="O213" s="3769">
        <f t="shared" si="124"/>
        <v>4.416526109843559E-2</v>
      </c>
      <c r="P213" s="3769">
        <f t="shared" si="124"/>
        <v>6.0985394401691359E-2</v>
      </c>
      <c r="Q213" s="3755">
        <f t="shared" si="117"/>
        <v>1.1883827255587676E-12</v>
      </c>
      <c r="S213" s="2734"/>
      <c r="T213" s="1326"/>
    </row>
    <row r="214" spans="1:26" ht="14.4" customHeight="1" x14ac:dyDescent="0.35">
      <c r="B214" s="3768" t="s">
        <v>2418</v>
      </c>
      <c r="C214" s="3765"/>
      <c r="D214" s="3769">
        <f>D56</f>
        <v>18.310527295933934</v>
      </c>
      <c r="E214" s="3769">
        <f t="shared" ref="E214:P214" si="125">E56</f>
        <v>1.6381975496265001E-2</v>
      </c>
      <c r="F214" s="3769">
        <f t="shared" si="125"/>
        <v>2.8333215980558855</v>
      </c>
      <c r="G214" s="3769">
        <f t="shared" si="125"/>
        <v>3.7747374474593745</v>
      </c>
      <c r="H214" s="3769">
        <f t="shared" si="125"/>
        <v>3.7766953071258649</v>
      </c>
      <c r="I214" s="3769">
        <f t="shared" si="125"/>
        <v>3.5318380513028744</v>
      </c>
      <c r="J214" s="3769">
        <f t="shared" si="125"/>
        <v>3.7734640676832383</v>
      </c>
      <c r="K214" s="3769">
        <f t="shared" si="125"/>
        <v>0.52441099116142709</v>
      </c>
      <c r="L214" s="3769">
        <f t="shared" si="125"/>
        <v>1.5735037710547049E-2</v>
      </c>
      <c r="M214" s="3769">
        <f t="shared" si="125"/>
        <v>1.5451844066950911E-2</v>
      </c>
      <c r="N214" s="3769">
        <f t="shared" si="125"/>
        <v>1.580901014485743E-2</v>
      </c>
      <c r="O214" s="3769">
        <f t="shared" si="125"/>
        <v>1.5030365343474432E-2</v>
      </c>
      <c r="P214" s="3769">
        <f t="shared" si="125"/>
        <v>1.7651600383171876E-2</v>
      </c>
      <c r="Q214" s="3755">
        <f t="shared" si="117"/>
        <v>5.9996452250743459E-13</v>
      </c>
      <c r="S214" s="2734"/>
      <c r="T214" s="1326"/>
    </row>
    <row r="215" spans="1:26" x14ac:dyDescent="0.35">
      <c r="B215" s="3768" t="s">
        <v>2419</v>
      </c>
      <c r="C215" s="3765"/>
      <c r="D215" s="3769">
        <f>D57</f>
        <v>48.367812717316433</v>
      </c>
      <c r="E215" s="3769">
        <f t="shared" ref="E215:P215" si="126">E57</f>
        <v>3.5724109314751125E-2</v>
      </c>
      <c r="F215" s="3769">
        <f t="shared" si="126"/>
        <v>7.534285550892573</v>
      </c>
      <c r="G215" s="3769">
        <f t="shared" si="126"/>
        <v>9.9527521541067046</v>
      </c>
      <c r="H215" s="3769">
        <f t="shared" si="126"/>
        <v>9.961082778341753</v>
      </c>
      <c r="I215" s="3769">
        <f t="shared" si="126"/>
        <v>9.3130709757822139</v>
      </c>
      <c r="J215" s="3769">
        <f t="shared" si="126"/>
        <v>9.9469147304495493</v>
      </c>
      <c r="K215" s="3769">
        <f t="shared" si="126"/>
        <v>1.4533423033799571</v>
      </c>
      <c r="L215" s="3769">
        <f t="shared" si="126"/>
        <v>3.2631980207255461E-2</v>
      </c>
      <c r="M215" s="3769">
        <f t="shared" si="126"/>
        <v>3.252582254138451E-2</v>
      </c>
      <c r="N215" s="3769">
        <f t="shared" si="126"/>
        <v>3.3013622526801421E-2</v>
      </c>
      <c r="O215" s="3769">
        <f t="shared" si="126"/>
        <v>2.913489575496116E-2</v>
      </c>
      <c r="P215" s="3769">
        <f t="shared" si="126"/>
        <v>4.3333794018519479E-2</v>
      </c>
      <c r="Q215" s="3755">
        <f t="shared" si="117"/>
        <v>-2.5743296383495817E-15</v>
      </c>
      <c r="S215" s="2734"/>
      <c r="T215" s="1326"/>
    </row>
    <row r="216" spans="1:26" x14ac:dyDescent="0.35">
      <c r="B216" s="3767" t="s">
        <v>2233</v>
      </c>
      <c r="C216" s="3765"/>
      <c r="D216" s="2738">
        <f>D80</f>
        <v>0</v>
      </c>
      <c r="E216" s="2738">
        <f t="shared" ref="E216:P216" si="127">E80</f>
        <v>0</v>
      </c>
      <c r="F216" s="2738">
        <f t="shared" si="127"/>
        <v>0</v>
      </c>
      <c r="G216" s="2738">
        <f t="shared" si="127"/>
        <v>0</v>
      </c>
      <c r="H216" s="2738">
        <f t="shared" si="127"/>
        <v>0</v>
      </c>
      <c r="I216" s="2738">
        <f t="shared" si="127"/>
        <v>0</v>
      </c>
      <c r="J216" s="2738">
        <f t="shared" si="127"/>
        <v>0</v>
      </c>
      <c r="K216" s="2738">
        <f t="shared" si="127"/>
        <v>0</v>
      </c>
      <c r="L216" s="2738">
        <f t="shared" si="127"/>
        <v>0</v>
      </c>
      <c r="M216" s="2738">
        <f t="shared" si="127"/>
        <v>0</v>
      </c>
      <c r="N216" s="2738">
        <f t="shared" si="127"/>
        <v>0</v>
      </c>
      <c r="O216" s="2738">
        <f t="shared" si="127"/>
        <v>0</v>
      </c>
      <c r="P216" s="2738">
        <f t="shared" si="127"/>
        <v>0</v>
      </c>
      <c r="Q216" s="3755">
        <f t="shared" si="117"/>
        <v>1.3444106938820255E-16</v>
      </c>
      <c r="S216" s="2734"/>
      <c r="T216" s="1326"/>
    </row>
    <row r="217" spans="1:26" x14ac:dyDescent="0.35">
      <c r="B217" s="3767" t="s">
        <v>1437</v>
      </c>
      <c r="C217" s="3765"/>
      <c r="D217" s="2738"/>
      <c r="E217" s="2738"/>
      <c r="F217" s="2738"/>
      <c r="G217" s="2738"/>
      <c r="H217" s="2738"/>
      <c r="I217" s="2738"/>
      <c r="J217" s="2738"/>
      <c r="K217" s="2738"/>
      <c r="L217" s="2738"/>
      <c r="M217" s="2738"/>
      <c r="N217" s="2738"/>
      <c r="O217" s="2738"/>
      <c r="P217" s="2738"/>
      <c r="Q217" s="3755">
        <f t="shared" si="117"/>
        <v>7.673861546209082E-13</v>
      </c>
      <c r="R217" s="2688">
        <v>6.3791009703898389</v>
      </c>
      <c r="S217" s="2734" t="s">
        <v>787</v>
      </c>
      <c r="T217" s="1326"/>
    </row>
    <row r="218" spans="1:26" x14ac:dyDescent="0.35">
      <c r="B218" s="3767" t="s">
        <v>2246</v>
      </c>
      <c r="C218" s="3765"/>
      <c r="D218" s="2738"/>
      <c r="E218" s="2738"/>
      <c r="F218" s="2738"/>
      <c r="G218" s="2738"/>
      <c r="H218" s="2738"/>
      <c r="I218" s="2738"/>
      <c r="J218" s="2738"/>
      <c r="K218" s="2738"/>
      <c r="L218" s="2738"/>
      <c r="M218" s="2738"/>
      <c r="N218" s="2738"/>
      <c r="O218" s="2738"/>
      <c r="P218" s="2738"/>
      <c r="Q218" s="3755">
        <f t="shared" si="117"/>
        <v>-6.3815619455453998E-13</v>
      </c>
      <c r="S218" s="2734"/>
      <c r="T218" s="1326"/>
    </row>
    <row r="219" spans="1:26" ht="14.4" customHeight="1" x14ac:dyDescent="0.35">
      <c r="B219" s="3767" t="s">
        <v>1390</v>
      </c>
      <c r="C219" s="3765"/>
      <c r="D219" s="2738"/>
      <c r="E219" s="2738"/>
      <c r="F219" s="2738"/>
      <c r="G219" s="2738"/>
      <c r="H219" s="2738"/>
      <c r="I219" s="2738"/>
      <c r="J219" s="2738"/>
      <c r="K219" s="2738"/>
      <c r="L219" s="2738"/>
      <c r="M219" s="2738"/>
      <c r="N219" s="2738"/>
      <c r="O219" s="2738"/>
      <c r="P219" s="2738"/>
      <c r="Q219" s="3755">
        <f t="shared" si="117"/>
        <v>-1.3966605649784469E-13</v>
      </c>
      <c r="S219" s="2734"/>
      <c r="T219" s="1326"/>
    </row>
    <row r="220" spans="1:26" x14ac:dyDescent="0.35">
      <c r="B220" s="3767" t="s">
        <v>1436</v>
      </c>
      <c r="C220" s="3765"/>
      <c r="D220" s="2738"/>
      <c r="E220" s="3767"/>
      <c r="F220" s="3767"/>
      <c r="G220" s="3767"/>
      <c r="H220" s="3767"/>
      <c r="I220" s="3767"/>
      <c r="J220" s="3767"/>
      <c r="K220" s="3767"/>
      <c r="L220" s="3767"/>
      <c r="M220" s="3767"/>
      <c r="N220" s="3767"/>
      <c r="O220" s="3767"/>
      <c r="P220" s="3767"/>
      <c r="Q220" s="3755">
        <f t="shared" si="117"/>
        <v>-2.0521778720805628E-15</v>
      </c>
      <c r="S220" s="2734"/>
      <c r="T220" s="1326"/>
    </row>
    <row r="221" spans="1:26" x14ac:dyDescent="0.35">
      <c r="B221" s="3767" t="s">
        <v>930</v>
      </c>
      <c r="C221" s="3765"/>
      <c r="D221" s="2738"/>
      <c r="E221" s="3767"/>
      <c r="F221" s="3767"/>
      <c r="G221" s="3767"/>
      <c r="H221" s="3767"/>
      <c r="I221" s="3767"/>
      <c r="J221" s="3767"/>
      <c r="K221" s="3767"/>
      <c r="L221" s="3767"/>
      <c r="M221" s="3767"/>
      <c r="N221" s="3767"/>
      <c r="O221" s="3767"/>
      <c r="P221" s="3767"/>
      <c r="Q221" s="3755">
        <f t="shared" si="117"/>
        <v>1.0668549377257364E-16</v>
      </c>
      <c r="S221" s="2734"/>
      <c r="T221" s="1326"/>
    </row>
    <row r="222" spans="1:26" x14ac:dyDescent="0.35">
      <c r="B222" s="3767" t="s">
        <v>2300</v>
      </c>
      <c r="C222" s="3765"/>
      <c r="D222" s="2738"/>
      <c r="E222" s="3767"/>
      <c r="F222" s="3767"/>
      <c r="G222" s="3767"/>
      <c r="H222" s="3767"/>
      <c r="I222" s="3767"/>
      <c r="J222" s="3767"/>
      <c r="K222" s="3767"/>
      <c r="L222" s="3767"/>
      <c r="M222" s="3767"/>
      <c r="N222" s="3767"/>
      <c r="O222" s="3767"/>
      <c r="P222" s="3767"/>
      <c r="Q222" s="3755">
        <f t="shared" si="117"/>
        <v>4.7961634663806763E-13</v>
      </c>
      <c r="R222" s="2688">
        <v>43.856933279849265</v>
      </c>
      <c r="S222" s="2734" t="s">
        <v>788</v>
      </c>
      <c r="T222" s="1326"/>
    </row>
    <row r="223" spans="1:26" x14ac:dyDescent="0.35">
      <c r="B223" s="3756"/>
      <c r="C223" s="3757"/>
      <c r="D223" s="2654"/>
      <c r="E223" s="3756"/>
      <c r="F223" s="3756"/>
      <c r="G223" s="3756"/>
      <c r="H223" s="3756"/>
      <c r="I223" s="3756"/>
      <c r="J223" s="3756"/>
      <c r="K223" s="3756"/>
      <c r="L223" s="3756"/>
      <c r="M223" s="3756"/>
      <c r="N223" s="3756"/>
      <c r="O223" s="3756"/>
      <c r="P223" s="3756"/>
      <c r="Q223" s="3755">
        <f t="shared" si="117"/>
        <v>-1.0036416142611415E-12</v>
      </c>
      <c r="S223" s="2734"/>
      <c r="T223" s="1326"/>
    </row>
    <row r="224" spans="1:26" x14ac:dyDescent="0.35">
      <c r="A224" s="1462"/>
      <c r="B224" s="3756"/>
      <c r="C224" s="3757"/>
      <c r="D224" s="2654"/>
      <c r="E224" s="3756"/>
      <c r="F224" s="3756"/>
      <c r="G224" s="3756"/>
      <c r="H224" s="3756"/>
      <c r="I224" s="3756"/>
      <c r="J224" s="3756"/>
      <c r="K224" s="3756"/>
      <c r="L224" s="3756"/>
      <c r="M224" s="3756"/>
      <c r="N224" s="3756"/>
      <c r="O224" s="3756"/>
      <c r="P224" s="3756"/>
      <c r="Q224" s="3755">
        <f t="shared" si="117"/>
        <v>2.8421709430404007E-14</v>
      </c>
      <c r="R224" s="3743"/>
      <c r="S224" s="3744"/>
      <c r="T224" s="1462"/>
      <c r="U224" s="1462"/>
      <c r="V224" s="1462"/>
      <c r="W224" s="1462"/>
      <c r="X224" s="1462"/>
      <c r="Y224" s="1462"/>
      <c r="Z224" s="1462"/>
    </row>
    <row r="225" spans="2:20" x14ac:dyDescent="0.35">
      <c r="B225" s="3756"/>
      <c r="C225" s="3757"/>
      <c r="D225" s="2654"/>
      <c r="E225" s="3756"/>
      <c r="F225" s="3756"/>
      <c r="G225" s="3756"/>
      <c r="H225" s="3756"/>
      <c r="I225" s="3756"/>
      <c r="J225" s="3756"/>
      <c r="K225" s="3756"/>
      <c r="L225" s="3756"/>
      <c r="M225" s="3756"/>
      <c r="N225" s="3756"/>
      <c r="O225" s="3756"/>
      <c r="P225" s="3756"/>
      <c r="Q225" s="3755">
        <f t="shared" si="117"/>
        <v>-2.8553548414578245E-15</v>
      </c>
      <c r="S225" s="2734"/>
      <c r="T225" s="1326"/>
    </row>
    <row r="226" spans="2:20" x14ac:dyDescent="0.35">
      <c r="B226" s="3756"/>
      <c r="C226" s="3757"/>
      <c r="D226" s="2654"/>
      <c r="E226" s="3756"/>
      <c r="F226" s="3756"/>
      <c r="G226" s="3756"/>
      <c r="H226" s="3756"/>
      <c r="I226" s="3756"/>
      <c r="J226" s="3756"/>
      <c r="K226" s="3756"/>
      <c r="L226" s="3756"/>
      <c r="M226" s="3756"/>
      <c r="N226" s="3756"/>
      <c r="O226" s="3756"/>
      <c r="P226" s="3756"/>
      <c r="Q226" s="3755">
        <f t="shared" si="117"/>
        <v>5.126107871511465E-16</v>
      </c>
      <c r="S226" s="2734"/>
      <c r="T226" s="1326"/>
    </row>
    <row r="227" spans="2:20" ht="18.600000000000001" thickBot="1" x14ac:dyDescent="0.4">
      <c r="Q227" s="3755">
        <f t="shared" si="117"/>
        <v>0</v>
      </c>
      <c r="R227" s="2688">
        <v>33.182162644019606</v>
      </c>
      <c r="S227" s="2735" t="s">
        <v>789</v>
      </c>
      <c r="T227" s="1326"/>
    </row>
    <row r="228" spans="2:20" x14ac:dyDescent="0.35">
      <c r="B228" s="5309" t="s">
        <v>974</v>
      </c>
      <c r="C228" s="5310"/>
      <c r="D228" s="2295" t="s">
        <v>132</v>
      </c>
      <c r="E228" s="5303" t="s">
        <v>19</v>
      </c>
      <c r="F228" s="5303" t="s">
        <v>20</v>
      </c>
      <c r="G228" s="5303" t="s">
        <v>21</v>
      </c>
      <c r="H228" s="5303" t="s">
        <v>10</v>
      </c>
      <c r="I228" s="5303" t="s">
        <v>11</v>
      </c>
      <c r="J228" s="5303" t="s">
        <v>12</v>
      </c>
      <c r="K228" s="5303" t="s">
        <v>13</v>
      </c>
      <c r="L228" s="5303" t="s">
        <v>133</v>
      </c>
      <c r="M228" s="5303" t="s">
        <v>15</v>
      </c>
      <c r="N228" s="5303" t="s">
        <v>16</v>
      </c>
      <c r="O228" s="5303" t="s">
        <v>17</v>
      </c>
      <c r="P228" s="5303" t="s">
        <v>18</v>
      </c>
      <c r="Q228" s="3755">
        <f t="shared" si="117"/>
        <v>0</v>
      </c>
      <c r="S228" s="2735"/>
      <c r="T228" s="1326"/>
    </row>
    <row r="229" spans="2:20" ht="14.4" customHeight="1" thickBot="1" x14ac:dyDescent="0.4">
      <c r="B229" s="5311"/>
      <c r="C229" s="5312"/>
      <c r="D229" s="2295" t="str">
        <f>'Вхідні дані'!$F$6</f>
        <v>2023-2024</v>
      </c>
      <c r="E229" s="5304"/>
      <c r="F229" s="5304"/>
      <c r="G229" s="5304"/>
      <c r="H229" s="5304"/>
      <c r="I229" s="5304"/>
      <c r="J229" s="5304"/>
      <c r="K229" s="5304"/>
      <c r="L229" s="5304"/>
      <c r="M229" s="5304"/>
      <c r="N229" s="5304"/>
      <c r="O229" s="5304"/>
      <c r="P229" s="5304"/>
      <c r="Q229" s="3755">
        <f t="shared" si="117"/>
        <v>0</v>
      </c>
      <c r="S229" s="2734"/>
      <c r="T229" s="1326"/>
    </row>
    <row r="230" spans="2:20" x14ac:dyDescent="0.35">
      <c r="B230" s="3745" t="s">
        <v>2420</v>
      </c>
      <c r="C230" s="3746" t="s">
        <v>1780</v>
      </c>
      <c r="D230" s="4092">
        <f>D235+D240+D255+D260+D265+D270+D275+D280+D285</f>
        <v>21529.357426278482</v>
      </c>
      <c r="E230" s="3747">
        <f t="shared" ref="E230:P230" si="128">E235+E240+E255+E260+E265+E270+E275+E280+E285</f>
        <v>102.3109180673316</v>
      </c>
      <c r="F230" s="3747">
        <f t="shared" si="128"/>
        <v>3220.6180915133077</v>
      </c>
      <c r="G230" s="3747">
        <f t="shared" si="128"/>
        <v>4319.1839862883235</v>
      </c>
      <c r="H230" s="3747">
        <f t="shared" si="128"/>
        <v>4391.737972209452</v>
      </c>
      <c r="I230" s="3747">
        <f t="shared" si="128"/>
        <v>4094.4662277109792</v>
      </c>
      <c r="J230" s="3747">
        <f t="shared" si="128"/>
        <v>4200.3290944301898</v>
      </c>
      <c r="K230" s="3747">
        <f t="shared" si="128"/>
        <v>636.06336915980523</v>
      </c>
      <c r="L230" s="3747">
        <f t="shared" si="128"/>
        <v>107.37730558563405</v>
      </c>
      <c r="M230" s="3747">
        <f t="shared" si="128"/>
        <v>119.30685890234965</v>
      </c>
      <c r="N230" s="3747">
        <f t="shared" si="128"/>
        <v>114.16226267876942</v>
      </c>
      <c r="O230" s="3747">
        <f t="shared" si="128"/>
        <v>109.40496116221047</v>
      </c>
      <c r="P230" s="3747">
        <f t="shared" si="128"/>
        <v>114.39637857012781</v>
      </c>
      <c r="Q230" s="3755">
        <f t="shared" si="117"/>
        <v>0</v>
      </c>
      <c r="S230" s="2735"/>
      <c r="T230" s="1326"/>
    </row>
    <row r="231" spans="2:20" x14ac:dyDescent="0.35">
      <c r="B231" s="3751" t="s">
        <v>3647</v>
      </c>
      <c r="C231" s="3752" t="s">
        <v>1780</v>
      </c>
      <c r="D231" s="3753">
        <f t="shared" ref="D231:P234" si="129">D236+D241+D256+D261+D266+D271+D276+D281+D286</f>
        <v>15896.912399817998</v>
      </c>
      <c r="E231" s="3753">
        <f t="shared" si="129"/>
        <v>75.527405413380563</v>
      </c>
      <c r="F231" s="3753">
        <f t="shared" si="129"/>
        <v>2378.1448350767828</v>
      </c>
      <c r="G231" s="3753">
        <f t="shared" si="129"/>
        <v>3189.2072272806558</v>
      </c>
      <c r="H231" s="3753">
        <f t="shared" si="129"/>
        <v>3242.6779225792561</v>
      </c>
      <c r="I231" s="3753">
        <f t="shared" si="129"/>
        <v>3023.2043794577744</v>
      </c>
      <c r="J231" s="3753">
        <f t="shared" si="129"/>
        <v>3101.6335455248495</v>
      </c>
      <c r="K231" s="3753">
        <f t="shared" si="129"/>
        <v>469.72865516788016</v>
      </c>
      <c r="L231" s="3753">
        <f t="shared" si="129"/>
        <v>79.250310917955971</v>
      </c>
      <c r="M231" s="3753">
        <f t="shared" si="129"/>
        <v>88.056312494595574</v>
      </c>
      <c r="N231" s="3753">
        <f t="shared" si="129"/>
        <v>84.277923555344771</v>
      </c>
      <c r="O231" s="3753">
        <f t="shared" si="129"/>
        <v>80.77115044715363</v>
      </c>
      <c r="P231" s="3753">
        <f t="shared" si="129"/>
        <v>84.43273190237008</v>
      </c>
      <c r="Q231" s="3755">
        <f t="shared" si="117"/>
        <v>0</v>
      </c>
      <c r="S231" s="2735"/>
      <c r="T231" s="1326"/>
    </row>
    <row r="232" spans="2:20" x14ac:dyDescent="0.35">
      <c r="B232" s="3751" t="s">
        <v>3650</v>
      </c>
      <c r="C232" s="3752" t="s">
        <v>1780</v>
      </c>
      <c r="D232" s="3753">
        <f t="shared" si="129"/>
        <v>5554.661626161248</v>
      </c>
      <c r="E232" s="3753">
        <f t="shared" si="129"/>
        <v>26.390607812497691</v>
      </c>
      <c r="F232" s="3753">
        <f t="shared" si="129"/>
        <v>830.96575766535716</v>
      </c>
      <c r="G232" s="3753">
        <f t="shared" si="129"/>
        <v>1114.3652652608682</v>
      </c>
      <c r="H232" s="3753">
        <f t="shared" si="129"/>
        <v>1133.0488694620651</v>
      </c>
      <c r="I232" s="3753">
        <f t="shared" si="129"/>
        <v>1056.36094181465</v>
      </c>
      <c r="J232" s="3753">
        <f t="shared" si="129"/>
        <v>1083.7654759888205</v>
      </c>
      <c r="K232" s="3753">
        <f t="shared" si="129"/>
        <v>164.13147848755997</v>
      </c>
      <c r="L232" s="3753">
        <f t="shared" si="129"/>
        <v>27.691456670690201</v>
      </c>
      <c r="M232" s="3753">
        <f t="shared" si="129"/>
        <v>30.768428966155295</v>
      </c>
      <c r="N232" s="3753">
        <f t="shared" si="129"/>
        <v>29.448193217117083</v>
      </c>
      <c r="O232" s="3753">
        <f t="shared" si="129"/>
        <v>28.222864830961623</v>
      </c>
      <c r="P232" s="3753">
        <f t="shared" si="129"/>
        <v>29.502285984505097</v>
      </c>
      <c r="Q232" s="3755">
        <f>D260-E260-F260-G260-H260-I260-J260-K260-L260-M260-N260-O260-P260</f>
        <v>-2.4868995751603507E-14</v>
      </c>
      <c r="R232" s="2688">
        <v>13.154174988655392</v>
      </c>
      <c r="S232" s="2735" t="s">
        <v>2430</v>
      </c>
      <c r="T232" s="1326"/>
    </row>
    <row r="233" spans="2:20" x14ac:dyDescent="0.35">
      <c r="B233" s="3751" t="s">
        <v>3648</v>
      </c>
      <c r="C233" s="3752" t="s">
        <v>1780</v>
      </c>
      <c r="D233" s="3753">
        <f t="shared" si="129"/>
        <v>53.79414452497209</v>
      </c>
      <c r="E233" s="3753">
        <f t="shared" si="129"/>
        <v>0.18850899080407468</v>
      </c>
      <c r="F233" s="3753">
        <f t="shared" si="129"/>
        <v>8.1056001513535971</v>
      </c>
      <c r="G233" s="3753">
        <f t="shared" si="129"/>
        <v>10.897494636618609</v>
      </c>
      <c r="H233" s="3753">
        <f t="shared" si="129"/>
        <v>11.076623234634203</v>
      </c>
      <c r="I233" s="3753">
        <f t="shared" si="129"/>
        <v>10.326066795584174</v>
      </c>
      <c r="J233" s="3753">
        <f t="shared" si="129"/>
        <v>10.595153406345808</v>
      </c>
      <c r="K233" s="3753">
        <f t="shared" si="129"/>
        <v>1.5498863585658302</v>
      </c>
      <c r="L233" s="3753">
        <f t="shared" si="129"/>
        <v>0.20620025668671613</v>
      </c>
      <c r="M233" s="3753">
        <f t="shared" si="129"/>
        <v>0.22660682846812494</v>
      </c>
      <c r="N233" s="3753">
        <f t="shared" si="129"/>
        <v>0.20660149345072634</v>
      </c>
      <c r="O233" s="3753">
        <f t="shared" si="129"/>
        <v>0.19413409227437298</v>
      </c>
      <c r="P233" s="3753">
        <f t="shared" si="129"/>
        <v>0.2212682801858625</v>
      </c>
      <c r="Q233" s="3755">
        <f>D261-E261-F261-G261-H261-I261-J261-K261-L261-M261-N261-O261-P261</f>
        <v>-7.9936057773011271E-15</v>
      </c>
      <c r="S233" s="2736"/>
      <c r="T233" s="1326"/>
    </row>
    <row r="234" spans="2:20" ht="14.4" customHeight="1" x14ac:dyDescent="0.35">
      <c r="B234" s="3751" t="s">
        <v>3649</v>
      </c>
      <c r="C234" s="3752" t="s">
        <v>1780</v>
      </c>
      <c r="D234" s="3753">
        <f t="shared" si="129"/>
        <v>23.989255774260485</v>
      </c>
      <c r="E234" s="3753">
        <f t="shared" si="129"/>
        <v>0.20439585064927565</v>
      </c>
      <c r="F234" s="3753">
        <f t="shared" si="129"/>
        <v>3.4018986198136512</v>
      </c>
      <c r="G234" s="3753">
        <f t="shared" si="129"/>
        <v>4.7139991101798655</v>
      </c>
      <c r="H234" s="3753">
        <f t="shared" si="129"/>
        <v>4.9345569334979702</v>
      </c>
      <c r="I234" s="3753">
        <f t="shared" si="129"/>
        <v>4.5748396429701295</v>
      </c>
      <c r="J234" s="3753">
        <f t="shared" si="129"/>
        <v>4.3349195101740481</v>
      </c>
      <c r="K234" s="3753">
        <f t="shared" si="129"/>
        <v>0.65334914579930048</v>
      </c>
      <c r="L234" s="3753">
        <f t="shared" si="129"/>
        <v>0.22933774030116658</v>
      </c>
      <c r="M234" s="3753">
        <f t="shared" si="129"/>
        <v>0.25551061313064527</v>
      </c>
      <c r="N234" s="3753">
        <f t="shared" si="129"/>
        <v>0.22954441285683364</v>
      </c>
      <c r="O234" s="3753">
        <f t="shared" si="129"/>
        <v>0.21681179182082055</v>
      </c>
      <c r="P234" s="3753">
        <f t="shared" si="129"/>
        <v>0.24009240306678262</v>
      </c>
      <c r="Q234" s="3755">
        <f>D262-E262-F262-G262-H262-I262-J262-K262-L262-M262-N262-O262-P262</f>
        <v>-7.5495165674510645E-15</v>
      </c>
      <c r="S234" s="2734"/>
      <c r="T234" s="1326"/>
    </row>
    <row r="235" spans="2:20" x14ac:dyDescent="0.35">
      <c r="B235" s="2729" t="s">
        <v>869</v>
      </c>
      <c r="C235" s="1309" t="s">
        <v>1780</v>
      </c>
      <c r="D235" s="3738">
        <f>SUM(D236:D239)</f>
        <v>5937.3503814675587</v>
      </c>
      <c r="E235" s="3738">
        <f t="shared" ref="E235:P235" si="130">SUM(E236:E239)</f>
        <v>62.128355884505552</v>
      </c>
      <c r="F235" s="3738">
        <f t="shared" si="130"/>
        <v>821.57498134255104</v>
      </c>
      <c r="G235" s="3738">
        <f t="shared" si="130"/>
        <v>1152.7414415865812</v>
      </c>
      <c r="H235" s="3738">
        <f t="shared" si="130"/>
        <v>1220.8097721081417</v>
      </c>
      <c r="I235" s="3738">
        <f t="shared" si="130"/>
        <v>1129.3873277750934</v>
      </c>
      <c r="J235" s="3738">
        <f t="shared" si="130"/>
        <v>1035.5138389090471</v>
      </c>
      <c r="K235" s="3738">
        <f t="shared" si="130"/>
        <v>158.08643677993794</v>
      </c>
      <c r="L235" s="3738">
        <f t="shared" si="130"/>
        <v>69.935538531547365</v>
      </c>
      <c r="M235" s="3738">
        <f t="shared" si="130"/>
        <v>78.048996046701674</v>
      </c>
      <c r="N235" s="3738">
        <f t="shared" si="130"/>
        <v>69.98934769927213</v>
      </c>
      <c r="O235" s="3738">
        <f t="shared" si="130"/>
        <v>66.15069494301099</v>
      </c>
      <c r="P235" s="3738">
        <f t="shared" si="130"/>
        <v>72.983649861169226</v>
      </c>
      <c r="Q235" s="1325"/>
      <c r="S235" s="2736"/>
      <c r="T235" s="1326"/>
    </row>
    <row r="236" spans="2:20" x14ac:dyDescent="0.35">
      <c r="B236" s="2731" t="s">
        <v>3647</v>
      </c>
      <c r="C236" s="1309" t="s">
        <v>1780</v>
      </c>
      <c r="D236" s="2733">
        <f>D15</f>
        <v>4374.533527125328</v>
      </c>
      <c r="E236" s="2733">
        <f t="shared" ref="E236:P236" si="131">E15</f>
        <v>45.77506098516055</v>
      </c>
      <c r="F236" s="2733">
        <f t="shared" si="131"/>
        <v>605.32174623691492</v>
      </c>
      <c r="G236" s="2733">
        <f t="shared" si="131"/>
        <v>849.31926875450063</v>
      </c>
      <c r="H236" s="2733">
        <f t="shared" si="131"/>
        <v>899.47079677134911</v>
      </c>
      <c r="I236" s="2733">
        <f t="shared" si="131"/>
        <v>832.11237556127753</v>
      </c>
      <c r="J236" s="2733">
        <f t="shared" si="131"/>
        <v>762.94806859456571</v>
      </c>
      <c r="K236" s="2733">
        <f t="shared" si="131"/>
        <v>116.47525806059689</v>
      </c>
      <c r="L236" s="2733">
        <f t="shared" si="131"/>
        <v>51.527253469619204</v>
      </c>
      <c r="M236" s="2733">
        <f t="shared" si="131"/>
        <v>57.505103796885329</v>
      </c>
      <c r="N236" s="2733">
        <f t="shared" si="131"/>
        <v>51.566899101619207</v>
      </c>
      <c r="O236" s="2733">
        <f t="shared" si="131"/>
        <v>48.738648433834669</v>
      </c>
      <c r="P236" s="2733">
        <f t="shared" si="131"/>
        <v>53.773047359004863</v>
      </c>
      <c r="Q236" s="1325"/>
      <c r="S236" s="2736"/>
      <c r="T236" s="1326"/>
    </row>
    <row r="237" spans="2:20" x14ac:dyDescent="0.35">
      <c r="B237" s="2731" t="s">
        <v>3650</v>
      </c>
      <c r="C237" s="1309" t="s">
        <v>1780</v>
      </c>
      <c r="D237" s="2733">
        <f>D17</f>
        <v>1528.5391844869871</v>
      </c>
      <c r="E237" s="2733">
        <f t="shared" ref="E237:P237" si="132">E17</f>
        <v>15.994613815219443</v>
      </c>
      <c r="F237" s="2733">
        <f t="shared" si="132"/>
        <v>211.51009647267125</v>
      </c>
      <c r="G237" s="2733">
        <f t="shared" si="132"/>
        <v>296.7671351427947</v>
      </c>
      <c r="H237" s="2733">
        <f t="shared" si="132"/>
        <v>314.29096374310382</v>
      </c>
      <c r="I237" s="2733">
        <f t="shared" si="132"/>
        <v>290.75474311835694</v>
      </c>
      <c r="J237" s="2733">
        <f t="shared" si="132"/>
        <v>266.58751415303726</v>
      </c>
      <c r="K237" s="2733">
        <f t="shared" si="132"/>
        <v>40.698509878800955</v>
      </c>
      <c r="L237" s="2733">
        <f t="shared" si="132"/>
        <v>18.004531342353921</v>
      </c>
      <c r="M237" s="2733">
        <f t="shared" si="132"/>
        <v>20.093297700541868</v>
      </c>
      <c r="N237" s="2733">
        <f t="shared" si="132"/>
        <v>18.018384225553923</v>
      </c>
      <c r="O237" s="2733">
        <f t="shared" si="132"/>
        <v>17.030143549730134</v>
      </c>
      <c r="P237" s="2733">
        <f t="shared" si="132"/>
        <v>18.789251344823128</v>
      </c>
      <c r="Q237" s="3755">
        <f>D265-E265-F265-G265-H265-I265-J265-K265-L265-M265-N265-O265-P265</f>
        <v>0</v>
      </c>
      <c r="R237" s="2688">
        <v>12.054111990142738</v>
      </c>
      <c r="S237" s="2736" t="s">
        <v>790</v>
      </c>
      <c r="T237" s="1326"/>
    </row>
    <row r="238" spans="2:20" x14ac:dyDescent="0.35">
      <c r="B238" s="2731" t="s">
        <v>3648</v>
      </c>
      <c r="C238" s="1309" t="s">
        <v>1780</v>
      </c>
      <c r="D238" s="2733">
        <f>D21</f>
        <v>15.104034927305905</v>
      </c>
      <c r="E238" s="2733">
        <f t="shared" ref="E238:P238" si="133">E21</f>
        <v>0.15804842176481387</v>
      </c>
      <c r="F238" s="2733">
        <f t="shared" si="133"/>
        <v>2.0900058807934765</v>
      </c>
      <c r="G238" s="2733">
        <f t="shared" si="133"/>
        <v>2.9324607572802734</v>
      </c>
      <c r="H238" s="2733">
        <f t="shared" si="133"/>
        <v>3.1056198898202898</v>
      </c>
      <c r="I238" s="2733">
        <f t="shared" si="133"/>
        <v>2.8730501906062882</v>
      </c>
      <c r="J238" s="2733">
        <f t="shared" si="133"/>
        <v>2.6342452753689352</v>
      </c>
      <c r="K238" s="2733">
        <f t="shared" si="133"/>
        <v>0.40215633392808658</v>
      </c>
      <c r="L238" s="2733">
        <f t="shared" si="133"/>
        <v>0.17790912591878177</v>
      </c>
      <c r="M238" s="2733">
        <f t="shared" si="133"/>
        <v>0.1985489631890581</v>
      </c>
      <c r="N238" s="2733">
        <f t="shared" si="133"/>
        <v>0.17804601114476765</v>
      </c>
      <c r="O238" s="2733">
        <f t="shared" si="133"/>
        <v>0.16828085639066392</v>
      </c>
      <c r="P238" s="2733">
        <f t="shared" si="133"/>
        <v>0.18566322110046887</v>
      </c>
      <c r="Q238" s="3755">
        <f>D266-E266-F266-G266-H266-I266-J266-K266-L266-M266-N266-O266-P266</f>
        <v>7.9936057773011271E-15</v>
      </c>
      <c r="S238" s="2736"/>
      <c r="T238" s="1326"/>
    </row>
    <row r="239" spans="2:20" ht="14.4" customHeight="1" x14ac:dyDescent="0.35">
      <c r="B239" s="2731" t="s">
        <v>3649</v>
      </c>
      <c r="C239" s="1309" t="s">
        <v>1780</v>
      </c>
      <c r="D239" s="2733">
        <f>D24</f>
        <v>19.173634927936856</v>
      </c>
      <c r="E239" s="2733">
        <f t="shared" ref="E239:P239" si="134">E24</f>
        <v>0.20063266236074939</v>
      </c>
      <c r="F239" s="2733">
        <f t="shared" si="134"/>
        <v>2.653132752171345</v>
      </c>
      <c r="G239" s="2733">
        <f t="shared" si="134"/>
        <v>3.7225769320054272</v>
      </c>
      <c r="H239" s="2733">
        <f t="shared" si="134"/>
        <v>3.9423917038686898</v>
      </c>
      <c r="I239" s="2733">
        <f t="shared" si="134"/>
        <v>3.6471589048523323</v>
      </c>
      <c r="J239" s="2733">
        <f t="shared" si="134"/>
        <v>3.3440108860749009</v>
      </c>
      <c r="K239" s="2733">
        <f t="shared" si="134"/>
        <v>0.51051250661203085</v>
      </c>
      <c r="L239" s="2733">
        <f t="shared" si="134"/>
        <v>0.22584459365544635</v>
      </c>
      <c r="M239" s="2733">
        <f t="shared" si="134"/>
        <v>0.25204558608541361</v>
      </c>
      <c r="N239" s="2733">
        <f t="shared" si="134"/>
        <v>0.22601836095423197</v>
      </c>
      <c r="O239" s="2733">
        <f t="shared" si="134"/>
        <v>0.21362210305552304</v>
      </c>
      <c r="P239" s="2733">
        <f t="shared" si="134"/>
        <v>0.23568793624076848</v>
      </c>
      <c r="Q239" s="3755">
        <f>D267-E267-F267-G267-H267-I267-J267-K267-L267-M267-N267-O267-P267</f>
        <v>0</v>
      </c>
      <c r="S239" s="2734"/>
      <c r="T239" s="1326"/>
    </row>
    <row r="240" spans="2:20" x14ac:dyDescent="0.35">
      <c r="B240" s="2729" t="s">
        <v>1895</v>
      </c>
      <c r="C240" s="1309" t="s">
        <v>1780</v>
      </c>
      <c r="D240" s="3738">
        <f t="shared" ref="D240:P240" si="135">SUM(D241:D244)</f>
        <v>15259.167589392107</v>
      </c>
      <c r="E240" s="3738">
        <f t="shared" si="135"/>
        <v>11.924344253326817</v>
      </c>
      <c r="F240" s="3738">
        <f t="shared" si="135"/>
        <v>2372.6003820033079</v>
      </c>
      <c r="G240" s="3738">
        <f t="shared" si="135"/>
        <v>3141.5008887490039</v>
      </c>
      <c r="H240" s="3738">
        <f t="shared" si="135"/>
        <v>3143.8553819781864</v>
      </c>
      <c r="I240" s="3738">
        <f t="shared" si="135"/>
        <v>2939.5245813833562</v>
      </c>
      <c r="J240" s="3738">
        <f t="shared" si="135"/>
        <v>3139.8735995684051</v>
      </c>
      <c r="K240" s="3738">
        <f t="shared" si="135"/>
        <v>452.6037835657304</v>
      </c>
      <c r="L240" s="3738">
        <f t="shared" si="135"/>
        <v>11.068668357073907</v>
      </c>
      <c r="M240" s="3738">
        <f t="shared" si="135"/>
        <v>10.979566305626214</v>
      </c>
      <c r="N240" s="3738">
        <f t="shared" si="135"/>
        <v>11.172934628308495</v>
      </c>
      <c r="O240" s="3738">
        <f t="shared" si="135"/>
        <v>10.107107054500242</v>
      </c>
      <c r="P240" s="3738">
        <f t="shared" si="135"/>
        <v>13.956351545279274</v>
      </c>
      <c r="Q240" s="1325"/>
      <c r="S240" s="2736"/>
      <c r="T240" s="1326"/>
    </row>
    <row r="241" spans="2:20" x14ac:dyDescent="0.35">
      <c r="B241" s="2731" t="s">
        <v>3647</v>
      </c>
      <c r="C241" s="1309" t="s">
        <v>1780</v>
      </c>
      <c r="D241" s="2733">
        <f>D38</f>
        <v>11275.726781279654</v>
      </c>
      <c r="E241" s="2733">
        <f t="shared" ref="E241:P241" si="136">E38</f>
        <v>8.8114667499888046</v>
      </c>
      <c r="F241" s="2733">
        <f t="shared" si="136"/>
        <v>1753.2275933077167</v>
      </c>
      <c r="G241" s="2733">
        <f t="shared" si="136"/>
        <v>2321.4048536504833</v>
      </c>
      <c r="H241" s="2733">
        <f t="shared" si="136"/>
        <v>2323.144701004876</v>
      </c>
      <c r="I241" s="2733">
        <f t="shared" si="136"/>
        <v>2172.1549260377851</v>
      </c>
      <c r="J241" s="2733">
        <f t="shared" si="136"/>
        <v>2320.2023720546117</v>
      </c>
      <c r="K241" s="2733">
        <f t="shared" si="136"/>
        <v>334.45052449705202</v>
      </c>
      <c r="L241" s="2733">
        <f t="shared" si="136"/>
        <v>8.1791670152259606</v>
      </c>
      <c r="M241" s="2733">
        <f t="shared" si="136"/>
        <v>8.1133252593182412</v>
      </c>
      <c r="N241" s="2733">
        <f t="shared" si="136"/>
        <v>8.2562143364547609</v>
      </c>
      <c r="O241" s="2733">
        <f t="shared" si="136"/>
        <v>7.4686235030877608</v>
      </c>
      <c r="P241" s="2733">
        <f t="shared" si="136"/>
        <v>10.313013863053616</v>
      </c>
      <c r="Q241" s="1325"/>
      <c r="S241" s="2736"/>
      <c r="T241" s="1326"/>
    </row>
    <row r="242" spans="2:20" x14ac:dyDescent="0.35">
      <c r="B242" s="2731" t="s">
        <v>3650</v>
      </c>
      <c r="C242" s="1309" t="s">
        <v>1780</v>
      </c>
      <c r="D242" s="2733">
        <f>D42</f>
        <v>3939.9378498034539</v>
      </c>
      <c r="E242" s="2733">
        <f t="shared" ref="E242:P242" si="137">E42</f>
        <v>3.0788819234431299</v>
      </c>
      <c r="F242" s="2733">
        <f t="shared" si="137"/>
        <v>612.6086493742589</v>
      </c>
      <c r="G242" s="2733">
        <f t="shared" si="137"/>
        <v>811.13980721844052</v>
      </c>
      <c r="H242" s="2733">
        <f t="shared" si="137"/>
        <v>811.74774057630032</v>
      </c>
      <c r="I242" s="2733">
        <f t="shared" si="137"/>
        <v>758.98924962795593</v>
      </c>
      <c r="J242" s="2733">
        <f t="shared" si="137"/>
        <v>810.7196389361502</v>
      </c>
      <c r="K242" s="2733">
        <f t="shared" si="137"/>
        <v>116.8629132217239</v>
      </c>
      <c r="L242" s="2733">
        <f t="shared" si="137"/>
        <v>2.857945241867196</v>
      </c>
      <c r="M242" s="2733">
        <f t="shared" si="137"/>
        <v>2.8349389708542243</v>
      </c>
      <c r="N242" s="2733">
        <f t="shared" si="137"/>
        <v>2.8848669350780765</v>
      </c>
      <c r="O242" s="2733">
        <f t="shared" si="137"/>
        <v>2.6096688041963763</v>
      </c>
      <c r="P242" s="2733">
        <f t="shared" si="137"/>
        <v>3.6035489731848025</v>
      </c>
      <c r="Q242" s="3755">
        <f>D270-E270-F270-G270-H270-I270-J270-K270-L270-M270-N270-O270-P270</f>
        <v>-1.7763568394002505E-15</v>
      </c>
      <c r="R242" s="2688">
        <v>36.322382759046576</v>
      </c>
      <c r="S242" s="2737" t="s">
        <v>2431</v>
      </c>
      <c r="T242" s="1326"/>
    </row>
    <row r="243" spans="2:20" x14ac:dyDescent="0.35">
      <c r="B243" s="2731" t="s">
        <v>3648</v>
      </c>
      <c r="C243" s="1309" t="s">
        <v>1780</v>
      </c>
      <c r="D243" s="2733">
        <f>D52</f>
        <v>38.687337462673284</v>
      </c>
      <c r="E243" s="2733">
        <f t="shared" ref="E243:P243" si="138">E52</f>
        <v>3.0232391606357718E-2</v>
      </c>
      <c r="F243" s="2733">
        <f t="shared" si="138"/>
        <v>6.015373453689568</v>
      </c>
      <c r="G243" s="2733">
        <f t="shared" si="138"/>
        <v>7.9648057019054308</v>
      </c>
      <c r="H243" s="2733">
        <f t="shared" si="138"/>
        <v>7.9707751673810101</v>
      </c>
      <c r="I243" s="2733">
        <f t="shared" si="138"/>
        <v>7.4527249794975106</v>
      </c>
      <c r="J243" s="2733">
        <f t="shared" si="138"/>
        <v>7.960679953543969</v>
      </c>
      <c r="K243" s="2733">
        <f t="shared" si="138"/>
        <v>1.1475092077671925</v>
      </c>
      <c r="L243" s="2733">
        <f t="shared" si="138"/>
        <v>2.8062953335031244E-2</v>
      </c>
      <c r="M243" s="2733">
        <f t="shared" si="138"/>
        <v>2.7837048408515471E-2</v>
      </c>
      <c r="N243" s="2733">
        <f t="shared" si="138"/>
        <v>2.8327304873055591E-2</v>
      </c>
      <c r="O243" s="2733">
        <f t="shared" si="138"/>
        <v>2.5625058450805965E-2</v>
      </c>
      <c r="P243" s="2733">
        <f t="shared" si="138"/>
        <v>3.5384242214842272E-2</v>
      </c>
      <c r="Q243" s="3755">
        <f>D271-E271-F271-G271-H271-I271-J271-K271-L271-M271-N271-O271-P271</f>
        <v>-1.7763568394002505E-15</v>
      </c>
      <c r="S243" s="2737"/>
      <c r="T243" s="1326"/>
    </row>
    <row r="244" spans="2:20" ht="14.4" customHeight="1" x14ac:dyDescent="0.35">
      <c r="B244" s="2731" t="s">
        <v>3649</v>
      </c>
      <c r="C244" s="1309" t="s">
        <v>1780</v>
      </c>
      <c r="D244" s="2733">
        <f>D59</f>
        <v>4.8156208463236299</v>
      </c>
      <c r="E244" s="2733">
        <f t="shared" ref="E244:P244" si="139">E59</f>
        <v>3.7631882885262699E-3</v>
      </c>
      <c r="F244" s="2733">
        <f t="shared" si="139"/>
        <v>0.7487658676423059</v>
      </c>
      <c r="G244" s="2733">
        <f t="shared" si="139"/>
        <v>0.99142217817443823</v>
      </c>
      <c r="H244" s="2733">
        <f t="shared" si="139"/>
        <v>0.99216522962928044</v>
      </c>
      <c r="I244" s="2733">
        <f t="shared" si="139"/>
        <v>0.92768073811779683</v>
      </c>
      <c r="J244" s="2733">
        <f t="shared" si="139"/>
        <v>0.99090862409914693</v>
      </c>
      <c r="K244" s="2733">
        <f t="shared" si="139"/>
        <v>0.14283663918726966</v>
      </c>
      <c r="L244" s="2733">
        <f t="shared" si="139"/>
        <v>3.4931466457202272E-3</v>
      </c>
      <c r="M244" s="2733">
        <f t="shared" si="139"/>
        <v>3.4650270452316646E-3</v>
      </c>
      <c r="N244" s="2733">
        <f t="shared" si="139"/>
        <v>3.526051902601655E-3</v>
      </c>
      <c r="O244" s="2733">
        <f t="shared" si="139"/>
        <v>3.1896887652975159E-3</v>
      </c>
      <c r="P244" s="2733">
        <f t="shared" si="139"/>
        <v>4.404466826014153E-3</v>
      </c>
      <c r="Q244" s="3755">
        <f>D272-E272-F272-G272-H272-I272-J272-K272-L272-M272-N272-O272-P272</f>
        <v>-8.3266726846886741E-16</v>
      </c>
      <c r="S244" s="2734"/>
      <c r="T244" s="1326"/>
    </row>
    <row r="245" spans="2:20" x14ac:dyDescent="0.35">
      <c r="B245" s="3739" t="s">
        <v>2418</v>
      </c>
      <c r="C245" s="1309" t="s">
        <v>1780</v>
      </c>
      <c r="D245" s="3738">
        <f t="shared" ref="D245:P245" si="140">SUM(D246:D249)</f>
        <v>4190.3173444820513</v>
      </c>
      <c r="E245" s="3738">
        <f t="shared" si="140"/>
        <v>3.7489731971903817</v>
      </c>
      <c r="F245" s="3738">
        <f t="shared" si="140"/>
        <v>648.3984018016572</v>
      </c>
      <c r="G245" s="3738">
        <f t="shared" si="140"/>
        <v>863.83901136846839</v>
      </c>
      <c r="H245" s="3738">
        <f t="shared" si="140"/>
        <v>864.28706254613041</v>
      </c>
      <c r="I245" s="3738">
        <f t="shared" si="140"/>
        <v>808.25210574697815</v>
      </c>
      <c r="J245" s="3738">
        <f t="shared" si="140"/>
        <v>863.54760166323058</v>
      </c>
      <c r="K245" s="3738">
        <f t="shared" si="140"/>
        <v>120.01011420292198</v>
      </c>
      <c r="L245" s="3738">
        <f t="shared" si="140"/>
        <v>3.600923139402219</v>
      </c>
      <c r="M245" s="3738">
        <f t="shared" si="140"/>
        <v>3.5361149983023461</v>
      </c>
      <c r="N245" s="3738">
        <f t="shared" si="140"/>
        <v>3.6178515418176529</v>
      </c>
      <c r="O245" s="3738">
        <f t="shared" si="140"/>
        <v>3.4396606703209871</v>
      </c>
      <c r="P245" s="3738">
        <f t="shared" si="140"/>
        <v>4.0395236056307411</v>
      </c>
      <c r="Q245" s="1325"/>
      <c r="S245" s="2737"/>
      <c r="T245" s="1326"/>
    </row>
    <row r="246" spans="2:20" x14ac:dyDescent="0.35">
      <c r="B246" s="2731" t="s">
        <v>3647</v>
      </c>
      <c r="C246" s="1309" t="s">
        <v>1780</v>
      </c>
      <c r="D246" s="2733">
        <f>D39</f>
        <v>3096.4253604556684</v>
      </c>
      <c r="E246" s="2733">
        <f t="shared" ref="E246:P246" si="141">E39</f>
        <v>2.7702951182767137</v>
      </c>
      <c r="F246" s="2733">
        <f t="shared" si="141"/>
        <v>479.13250715042011</v>
      </c>
      <c r="G246" s="2733">
        <f t="shared" si="141"/>
        <v>638.33184989546453</v>
      </c>
      <c r="H246" s="2733">
        <f t="shared" si="141"/>
        <v>638.66293628230392</v>
      </c>
      <c r="I246" s="2733">
        <f t="shared" si="141"/>
        <v>597.25603388303477</v>
      </c>
      <c r="J246" s="2733">
        <f t="shared" si="141"/>
        <v>638.11651336426621</v>
      </c>
      <c r="K246" s="2733">
        <f t="shared" si="141"/>
        <v>88.681197766189953</v>
      </c>
      <c r="L246" s="2733">
        <f t="shared" si="141"/>
        <v>2.660893868713631</v>
      </c>
      <c r="M246" s="2733">
        <f t="shared" si="141"/>
        <v>2.613004041961037</v>
      </c>
      <c r="N246" s="2733">
        <f t="shared" si="141"/>
        <v>2.6734030727289722</v>
      </c>
      <c r="O246" s="2733">
        <f t="shared" si="141"/>
        <v>2.5417293382251782</v>
      </c>
      <c r="P246" s="2733">
        <f t="shared" si="141"/>
        <v>2.9849966740837441</v>
      </c>
      <c r="Q246" s="1325"/>
      <c r="S246" s="2737"/>
      <c r="T246" s="1326"/>
    </row>
    <row r="247" spans="2:20" x14ac:dyDescent="0.35">
      <c r="B247" s="2731" t="s">
        <v>3650</v>
      </c>
      <c r="C247" s="1309" t="s">
        <v>1780</v>
      </c>
      <c r="D247" s="2733">
        <f>D43</f>
        <v>1081.9456442492901</v>
      </c>
      <c r="E247" s="2733">
        <f t="shared" ref="E247:P247" si="142">E43</f>
        <v>0.96798998444563833</v>
      </c>
      <c r="F247" s="2733">
        <f t="shared" si="142"/>
        <v>167.417350261384</v>
      </c>
      <c r="G247" s="2733">
        <f t="shared" si="142"/>
        <v>223.04440901438528</v>
      </c>
      <c r="H247" s="2733">
        <f t="shared" si="142"/>
        <v>223.16009643856347</v>
      </c>
      <c r="I247" s="2733">
        <f t="shared" si="142"/>
        <v>208.69179429090508</v>
      </c>
      <c r="J247" s="2733">
        <f t="shared" si="142"/>
        <v>222.96916663168386</v>
      </c>
      <c r="K247" s="2733">
        <f t="shared" si="142"/>
        <v>30.986774903503374</v>
      </c>
      <c r="L247" s="2733">
        <f t="shared" si="142"/>
        <v>0.92976325792677661</v>
      </c>
      <c r="M247" s="2733">
        <f t="shared" si="142"/>
        <v>0.91302970764633407</v>
      </c>
      <c r="N247" s="2733">
        <f t="shared" si="142"/>
        <v>0.9341341944816407</v>
      </c>
      <c r="O247" s="2733">
        <f t="shared" si="142"/>
        <v>0.88812506882086495</v>
      </c>
      <c r="P247" s="2733">
        <f t="shared" si="142"/>
        <v>1.0430104955438868</v>
      </c>
      <c r="Q247" s="1325"/>
      <c r="S247" s="2737"/>
    </row>
    <row r="248" spans="2:20" x14ac:dyDescent="0.35">
      <c r="B248" s="2731" t="s">
        <v>3648</v>
      </c>
      <c r="C248" s="1309" t="s">
        <v>1780</v>
      </c>
      <c r="D248" s="2733">
        <f>D53</f>
        <v>10.623922978234248</v>
      </c>
      <c r="E248" s="2733">
        <f t="shared" ref="E248:P248" si="143">E53</f>
        <v>9.5049608943969643E-3</v>
      </c>
      <c r="F248" s="2733">
        <f t="shared" si="143"/>
        <v>1.643917181838755</v>
      </c>
      <c r="G248" s="2733">
        <f t="shared" si="143"/>
        <v>2.1901346289339347</v>
      </c>
      <c r="H248" s="2733">
        <f t="shared" si="143"/>
        <v>2.1912705956902609</v>
      </c>
      <c r="I248" s="2733">
        <f t="shared" si="143"/>
        <v>2.0492023425764958</v>
      </c>
      <c r="J248" s="2733">
        <f t="shared" si="143"/>
        <v>2.1893958032057039</v>
      </c>
      <c r="K248" s="2733">
        <f t="shared" si="143"/>
        <v>0.30426769742866211</v>
      </c>
      <c r="L248" s="2733">
        <f t="shared" si="143"/>
        <v>9.1296021132927629E-3</v>
      </c>
      <c r="M248" s="2733">
        <f t="shared" si="143"/>
        <v>8.9652907633864728E-3</v>
      </c>
      <c r="N248" s="2733">
        <f t="shared" si="143"/>
        <v>9.1725215460280781E-3</v>
      </c>
      <c r="O248" s="2733">
        <f t="shared" si="143"/>
        <v>8.7207452392292877E-3</v>
      </c>
      <c r="P248" s="2733">
        <f t="shared" si="143"/>
        <v>1.024160800410326E-2</v>
      </c>
      <c r="Q248" s="1325"/>
      <c r="S248" s="2737"/>
    </row>
    <row r="249" spans="2:20" ht="14.4" customHeight="1" x14ac:dyDescent="0.35">
      <c r="B249" s="2731" t="s">
        <v>3649</v>
      </c>
      <c r="C249" s="1309" t="s">
        <v>1780</v>
      </c>
      <c r="D249" s="2733">
        <f>D60</f>
        <v>1.3224167988578419</v>
      </c>
      <c r="E249" s="2733">
        <f t="shared" ref="E249:P249" si="144">E60</f>
        <v>1.1831335736327523E-3</v>
      </c>
      <c r="F249" s="2733">
        <f t="shared" si="144"/>
        <v>0.20462720801425949</v>
      </c>
      <c r="G249" s="2733">
        <f t="shared" si="144"/>
        <v>0.27261782968459514</v>
      </c>
      <c r="H249" s="2733">
        <f t="shared" si="144"/>
        <v>0.27275922957280851</v>
      </c>
      <c r="I249" s="2733">
        <f t="shared" si="144"/>
        <v>0.25507523046184577</v>
      </c>
      <c r="J249" s="2733">
        <f t="shared" si="144"/>
        <v>0.27252586407486296</v>
      </c>
      <c r="K249" s="2733">
        <f t="shared" si="144"/>
        <v>3.7873835799996869E-2</v>
      </c>
      <c r="L249" s="2733">
        <f t="shared" si="144"/>
        <v>1.1364106485185588E-3</v>
      </c>
      <c r="M249" s="2733">
        <f t="shared" si="144"/>
        <v>1.1159579315886397E-3</v>
      </c>
      <c r="N249" s="2733">
        <f t="shared" si="144"/>
        <v>1.141753061011845E-3</v>
      </c>
      <c r="O249" s="2733">
        <f t="shared" si="144"/>
        <v>1.0855180357146293E-3</v>
      </c>
      <c r="P249" s="2733">
        <f t="shared" si="144"/>
        <v>1.2748279990066448E-3</v>
      </c>
      <c r="Q249" s="1325"/>
      <c r="S249" s="2734"/>
      <c r="T249" s="1326"/>
    </row>
    <row r="250" spans="2:20" x14ac:dyDescent="0.35">
      <c r="B250" s="3739" t="s">
        <v>2419</v>
      </c>
      <c r="C250" s="1309" t="s">
        <v>1780</v>
      </c>
      <c r="D250" s="3738">
        <f t="shared" ref="D250:P250" si="145">SUM(D251:D254)</f>
        <v>11068.850244910052</v>
      </c>
      <c r="E250" s="3738">
        <f t="shared" si="145"/>
        <v>8.1753710561364361</v>
      </c>
      <c r="F250" s="3738">
        <f t="shared" si="145"/>
        <v>1724.2019802016503</v>
      </c>
      <c r="G250" s="3738">
        <f t="shared" si="145"/>
        <v>2277.6618773805353</v>
      </c>
      <c r="H250" s="3738">
        <f t="shared" si="145"/>
        <v>2279.5683194320559</v>
      </c>
      <c r="I250" s="3738">
        <f t="shared" si="145"/>
        <v>2131.2724756363782</v>
      </c>
      <c r="J250" s="3738">
        <f t="shared" si="145"/>
        <v>2276.3259979051745</v>
      </c>
      <c r="K250" s="3738">
        <f t="shared" si="145"/>
        <v>332.59366936280838</v>
      </c>
      <c r="L250" s="3738">
        <f t="shared" si="145"/>
        <v>7.4677452176716894</v>
      </c>
      <c r="M250" s="3738">
        <f t="shared" si="145"/>
        <v>7.4434513073238664</v>
      </c>
      <c r="N250" s="3738">
        <f t="shared" si="145"/>
        <v>7.5550830864908427</v>
      </c>
      <c r="O250" s="3738">
        <f t="shared" si="145"/>
        <v>6.6674463841792537</v>
      </c>
      <c r="P250" s="3738">
        <f t="shared" si="145"/>
        <v>9.9168279396485346</v>
      </c>
      <c r="Q250" s="1325"/>
      <c r="S250" s="2737"/>
    </row>
    <row r="251" spans="2:20" x14ac:dyDescent="0.35">
      <c r="B251" s="3740" t="s">
        <v>3647</v>
      </c>
      <c r="C251" s="1309" t="s">
        <v>1780</v>
      </c>
      <c r="D251" s="2733">
        <f>D40</f>
        <v>8179.3014208239847</v>
      </c>
      <c r="E251" s="2733">
        <f t="shared" ref="E251:P251" si="146">E40</f>
        <v>6.04117163171209</v>
      </c>
      <c r="F251" s="2733">
        <f t="shared" si="146"/>
        <v>1274.0950861572965</v>
      </c>
      <c r="G251" s="2733">
        <f t="shared" si="146"/>
        <v>1683.0730037550188</v>
      </c>
      <c r="H251" s="2733">
        <f t="shared" si="146"/>
        <v>1684.4817647225721</v>
      </c>
      <c r="I251" s="2733">
        <f t="shared" si="146"/>
        <v>1574.8988921547505</v>
      </c>
      <c r="J251" s="2733">
        <f t="shared" si="146"/>
        <v>1682.0858586903457</v>
      </c>
      <c r="K251" s="2733">
        <f t="shared" si="146"/>
        <v>245.76932673086205</v>
      </c>
      <c r="L251" s="2733">
        <f t="shared" si="146"/>
        <v>5.51827314651233</v>
      </c>
      <c r="M251" s="2733">
        <f t="shared" si="146"/>
        <v>5.5003212173572038</v>
      </c>
      <c r="N251" s="2733">
        <f t="shared" si="146"/>
        <v>5.5828112637257892</v>
      </c>
      <c r="O251" s="2733">
        <f t="shared" si="146"/>
        <v>4.926894164862583</v>
      </c>
      <c r="P251" s="2733">
        <f t="shared" si="146"/>
        <v>7.3280171889698718</v>
      </c>
      <c r="Q251" s="1325"/>
      <c r="S251" s="2737"/>
    </row>
    <row r="252" spans="2:20" x14ac:dyDescent="0.35">
      <c r="B252" s="3740" t="s">
        <v>3650</v>
      </c>
      <c r="C252" s="3742" t="s">
        <v>1780</v>
      </c>
      <c r="D252" s="2733">
        <f>D44</f>
        <v>2857.9922055541633</v>
      </c>
      <c r="E252" s="2733">
        <f t="shared" ref="E252:P252" si="147">E44</f>
        <v>2.1108919389974914</v>
      </c>
      <c r="F252" s="2733">
        <f t="shared" si="147"/>
        <v>445.1912991128749</v>
      </c>
      <c r="G252" s="2733">
        <f t="shared" si="147"/>
        <v>588.0953982040553</v>
      </c>
      <c r="H252" s="2733">
        <f t="shared" si="147"/>
        <v>588.58764413773679</v>
      </c>
      <c r="I252" s="2733">
        <f t="shared" si="147"/>
        <v>550.29745533705091</v>
      </c>
      <c r="J252" s="2733">
        <f t="shared" si="147"/>
        <v>587.75047230446626</v>
      </c>
      <c r="K252" s="2733">
        <f t="shared" si="147"/>
        <v>85.876138318220526</v>
      </c>
      <c r="L252" s="2733">
        <f t="shared" si="147"/>
        <v>1.9281819839404197</v>
      </c>
      <c r="M252" s="2733">
        <f t="shared" si="147"/>
        <v>1.9219092632078902</v>
      </c>
      <c r="N252" s="2733">
        <f t="shared" si="147"/>
        <v>1.9507327405964359</v>
      </c>
      <c r="O252" s="2733">
        <f t="shared" si="147"/>
        <v>1.7215437353755112</v>
      </c>
      <c r="P252" s="2733">
        <f t="shared" si="147"/>
        <v>2.5605384776409155</v>
      </c>
      <c r="Q252" s="1325"/>
      <c r="S252" s="2737"/>
    </row>
    <row r="253" spans="2:20" x14ac:dyDescent="0.35">
      <c r="B253" s="3741" t="s">
        <v>3648</v>
      </c>
      <c r="C253" s="1309" t="s">
        <v>1780</v>
      </c>
      <c r="D253" s="2733">
        <f>D54</f>
        <v>28.06341448443904</v>
      </c>
      <c r="E253" s="2733">
        <f t="shared" ref="E253:P253" si="148">E54</f>
        <v>2.0727430711960752E-2</v>
      </c>
      <c r="F253" s="2733">
        <f t="shared" si="148"/>
        <v>4.3714562718508132</v>
      </c>
      <c r="G253" s="2733">
        <f t="shared" si="148"/>
        <v>5.7746710729714952</v>
      </c>
      <c r="H253" s="2733">
        <f t="shared" si="148"/>
        <v>5.7795045716907492</v>
      </c>
      <c r="I253" s="2733">
        <f t="shared" si="148"/>
        <v>5.4035226369210143</v>
      </c>
      <c r="J253" s="2733">
        <f t="shared" si="148"/>
        <v>5.7712841503382659</v>
      </c>
      <c r="K253" s="2733">
        <f t="shared" si="148"/>
        <v>0.84324151033853045</v>
      </c>
      <c r="L253" s="2733">
        <f t="shared" si="148"/>
        <v>1.8933351221738483E-2</v>
      </c>
      <c r="M253" s="2733">
        <f t="shared" si="148"/>
        <v>1.8871757645128998E-2</v>
      </c>
      <c r="N253" s="2733">
        <f t="shared" si="148"/>
        <v>1.9154783327027514E-2</v>
      </c>
      <c r="O253" s="2733">
        <f t="shared" si="148"/>
        <v>1.690431321157668E-2</v>
      </c>
      <c r="P253" s="2733">
        <f t="shared" si="148"/>
        <v>2.5142634210739014E-2</v>
      </c>
      <c r="Q253" s="1325"/>
      <c r="S253" s="3737"/>
    </row>
    <row r="254" spans="2:20" ht="14.4" customHeight="1" x14ac:dyDescent="0.35">
      <c r="B254" s="3741" t="s">
        <v>3649</v>
      </c>
      <c r="C254" s="1309" t="s">
        <v>1780</v>
      </c>
      <c r="D254" s="2733">
        <f>D61</f>
        <v>3.4932040474657886</v>
      </c>
      <c r="E254" s="2733">
        <f t="shared" ref="E254:P254" si="149">E61</f>
        <v>2.5800547148935177E-3</v>
      </c>
      <c r="F254" s="2733">
        <f t="shared" si="149"/>
        <v>0.54413865962804642</v>
      </c>
      <c r="G254" s="2733">
        <f t="shared" si="149"/>
        <v>0.71880434848984309</v>
      </c>
      <c r="H254" s="2733">
        <f t="shared" si="149"/>
        <v>0.71940600005647204</v>
      </c>
      <c r="I254" s="2733">
        <f t="shared" si="149"/>
        <v>0.67260550765595117</v>
      </c>
      <c r="J254" s="2733">
        <f t="shared" si="149"/>
        <v>0.71838276002428392</v>
      </c>
      <c r="K254" s="2733">
        <f t="shared" si="149"/>
        <v>0.1049628033872728</v>
      </c>
      <c r="L254" s="2733">
        <f t="shared" si="149"/>
        <v>2.3567359972016685E-3</v>
      </c>
      <c r="M254" s="2733">
        <f t="shared" si="149"/>
        <v>2.3490691136430252E-3</v>
      </c>
      <c r="N254" s="2733">
        <f t="shared" si="149"/>
        <v>2.38429884158981E-3</v>
      </c>
      <c r="O254" s="2733">
        <f t="shared" si="149"/>
        <v>2.1041707295828866E-3</v>
      </c>
      <c r="P254" s="2733">
        <f t="shared" si="149"/>
        <v>3.1296388270075077E-3</v>
      </c>
      <c r="Q254" s="1325"/>
      <c r="S254" s="2734"/>
      <c r="T254" s="1326"/>
    </row>
    <row r="255" spans="2:20" x14ac:dyDescent="0.35">
      <c r="B255" s="2729" t="s">
        <v>2233</v>
      </c>
      <c r="C255" s="1309" t="s">
        <v>1780</v>
      </c>
      <c r="D255" s="3738">
        <f t="shared" ref="D255:P255" si="150">SUM(D256:D259)</f>
        <v>24.449068362624004</v>
      </c>
      <c r="E255" s="3738">
        <f t="shared" si="150"/>
        <v>2.0732732275200005</v>
      </c>
      <c r="F255" s="3738">
        <f t="shared" si="150"/>
        <v>1.9711322161920002</v>
      </c>
      <c r="G255" s="3738">
        <f t="shared" si="150"/>
        <v>1.8528593448960002</v>
      </c>
      <c r="H255" s="3738">
        <f t="shared" si="150"/>
        <v>2.0293221396480003</v>
      </c>
      <c r="I255" s="3738">
        <f t="shared" si="150"/>
        <v>1.8528593448960002</v>
      </c>
      <c r="J255" s="3738">
        <f t="shared" si="150"/>
        <v>1.8528593448960002</v>
      </c>
      <c r="K255" s="3738">
        <f t="shared" si="150"/>
        <v>1.9144237900800001</v>
      </c>
      <c r="L255" s="3738">
        <f t="shared" si="150"/>
        <v>1.9952477007360006</v>
      </c>
      <c r="M255" s="3738">
        <f t="shared" si="150"/>
        <v>2.1317100672000002</v>
      </c>
      <c r="N255" s="3738">
        <f t="shared" si="150"/>
        <v>2.4514665772800006</v>
      </c>
      <c r="O255" s="3738">
        <f t="shared" si="150"/>
        <v>2.3448810739200008</v>
      </c>
      <c r="P255" s="3738">
        <f t="shared" si="150"/>
        <v>1.9790335353600002</v>
      </c>
      <c r="Q255" s="1325"/>
      <c r="S255" s="3737"/>
    </row>
    <row r="256" spans="2:20" x14ac:dyDescent="0.35">
      <c r="B256" s="3740" t="s">
        <v>3647</v>
      </c>
      <c r="C256" s="1309" t="s">
        <v>1780</v>
      </c>
      <c r="D256" s="2733">
        <f>D73</f>
        <v>18.118236803840002</v>
      </c>
      <c r="E256" s="2733">
        <f t="shared" ref="E256:P256" si="151">E73</f>
        <v>1.5364207232000004</v>
      </c>
      <c r="F256" s="2733">
        <f t="shared" si="151"/>
        <v>1.4607280627200001</v>
      </c>
      <c r="G256" s="2733">
        <f t="shared" si="151"/>
        <v>1.3730807193600001</v>
      </c>
      <c r="H256" s="2733">
        <f t="shared" si="151"/>
        <v>1.5038503116800002</v>
      </c>
      <c r="I256" s="2733">
        <f t="shared" si="151"/>
        <v>1.3730807193600001</v>
      </c>
      <c r="J256" s="2733">
        <f t="shared" si="151"/>
        <v>1.3730807193600001</v>
      </c>
      <c r="K256" s="2733">
        <f t="shared" si="151"/>
        <v>1.4187036928000001</v>
      </c>
      <c r="L256" s="2733">
        <f t="shared" si="151"/>
        <v>1.4785990937600004</v>
      </c>
      <c r="M256" s="2733">
        <f t="shared" si="151"/>
        <v>1.579725952</v>
      </c>
      <c r="N256" s="2733">
        <f t="shared" si="151"/>
        <v>1.8166848448000004</v>
      </c>
      <c r="O256" s="2733">
        <f t="shared" si="151"/>
        <v>1.7376985472000004</v>
      </c>
      <c r="P256" s="2733">
        <f t="shared" si="151"/>
        <v>1.4665834176000001</v>
      </c>
      <c r="Q256" s="1325"/>
      <c r="S256" s="3737"/>
    </row>
    <row r="257" spans="2:20" x14ac:dyDescent="0.35">
      <c r="B257" s="2731" t="s">
        <v>3650</v>
      </c>
      <c r="C257" s="1309" t="s">
        <v>1780</v>
      </c>
      <c r="D257" s="2733">
        <f>D75</f>
        <v>6.3308315587840012</v>
      </c>
      <c r="E257" s="2733">
        <f t="shared" ref="E257:P257" si="152">E75</f>
        <v>0.53685250432000009</v>
      </c>
      <c r="F257" s="2733">
        <f t="shared" si="152"/>
        <v>0.51040415347200008</v>
      </c>
      <c r="G257" s="2733">
        <f t="shared" si="152"/>
        <v>0.47977862553600004</v>
      </c>
      <c r="H257" s="2733">
        <f t="shared" si="152"/>
        <v>0.52547182796800007</v>
      </c>
      <c r="I257" s="2733">
        <f t="shared" si="152"/>
        <v>0.47977862553600004</v>
      </c>
      <c r="J257" s="2733">
        <f t="shared" si="152"/>
        <v>0.47977862553600004</v>
      </c>
      <c r="K257" s="2733">
        <f t="shared" si="152"/>
        <v>0.49572009727999999</v>
      </c>
      <c r="L257" s="2733">
        <f t="shared" si="152"/>
        <v>0.51664860697600012</v>
      </c>
      <c r="M257" s="2733">
        <f t="shared" si="152"/>
        <v>0.55198411520000001</v>
      </c>
      <c r="N257" s="2733">
        <f t="shared" si="152"/>
        <v>0.63478173248000014</v>
      </c>
      <c r="O257" s="2733">
        <f t="shared" si="152"/>
        <v>0.60718252672000017</v>
      </c>
      <c r="P257" s="2733">
        <f t="shared" si="152"/>
        <v>0.51245011776000005</v>
      </c>
    </row>
    <row r="258" spans="2:20" x14ac:dyDescent="0.35">
      <c r="B258" s="3741" t="s">
        <v>3648</v>
      </c>
      <c r="C258" s="1309" t="s">
        <v>1780</v>
      </c>
      <c r="D258" s="2733">
        <f>D79</f>
        <v>0</v>
      </c>
      <c r="E258" s="2733">
        <f t="shared" ref="E258:P258" si="153">E79</f>
        <v>0</v>
      </c>
      <c r="F258" s="2733">
        <f t="shared" si="153"/>
        <v>0</v>
      </c>
      <c r="G258" s="2733">
        <f t="shared" si="153"/>
        <v>0</v>
      </c>
      <c r="H258" s="2733">
        <f t="shared" si="153"/>
        <v>0</v>
      </c>
      <c r="I258" s="2733">
        <f t="shared" si="153"/>
        <v>0</v>
      </c>
      <c r="J258" s="2733">
        <f t="shared" si="153"/>
        <v>0</v>
      </c>
      <c r="K258" s="2733">
        <f t="shared" si="153"/>
        <v>0</v>
      </c>
      <c r="L258" s="2733">
        <f t="shared" si="153"/>
        <v>0</v>
      </c>
      <c r="M258" s="2733">
        <f t="shared" si="153"/>
        <v>0</v>
      </c>
      <c r="N258" s="2733">
        <f t="shared" si="153"/>
        <v>0</v>
      </c>
      <c r="O258" s="2733">
        <f t="shared" si="153"/>
        <v>0</v>
      </c>
      <c r="P258" s="2733">
        <f t="shared" si="153"/>
        <v>0</v>
      </c>
      <c r="Q258" s="1325"/>
      <c r="S258" s="3737"/>
    </row>
    <row r="259" spans="2:20" ht="14.4" customHeight="1" x14ac:dyDescent="0.35">
      <c r="B259" s="3741" t="s">
        <v>3649</v>
      </c>
      <c r="C259" s="1309" t="s">
        <v>1780</v>
      </c>
      <c r="D259" s="2733">
        <f>D82</f>
        <v>0</v>
      </c>
      <c r="E259" s="2733">
        <f t="shared" ref="E259:P259" si="154">E82</f>
        <v>0</v>
      </c>
      <c r="F259" s="2733">
        <f t="shared" si="154"/>
        <v>0</v>
      </c>
      <c r="G259" s="2733">
        <f t="shared" si="154"/>
        <v>0</v>
      </c>
      <c r="H259" s="2733">
        <f t="shared" si="154"/>
        <v>0</v>
      </c>
      <c r="I259" s="2733">
        <f t="shared" si="154"/>
        <v>0</v>
      </c>
      <c r="J259" s="2733">
        <f t="shared" si="154"/>
        <v>0</v>
      </c>
      <c r="K259" s="2733">
        <f t="shared" si="154"/>
        <v>0</v>
      </c>
      <c r="L259" s="2733">
        <f t="shared" si="154"/>
        <v>0</v>
      </c>
      <c r="M259" s="2733">
        <f t="shared" si="154"/>
        <v>0</v>
      </c>
      <c r="N259" s="2733">
        <f t="shared" si="154"/>
        <v>0</v>
      </c>
      <c r="O259" s="2733">
        <f t="shared" si="154"/>
        <v>0</v>
      </c>
      <c r="P259" s="2733">
        <f t="shared" si="154"/>
        <v>0</v>
      </c>
      <c r="Q259" s="1325"/>
      <c r="S259" s="2734"/>
      <c r="T259" s="1326"/>
    </row>
    <row r="260" spans="2:20" x14ac:dyDescent="0.35">
      <c r="B260" s="2729" t="s">
        <v>1437</v>
      </c>
      <c r="C260" s="1309" t="s">
        <v>1780</v>
      </c>
      <c r="D260" s="3738">
        <f t="shared" ref="D260:P260" si="155">SUM(D261:D264)</f>
        <v>126.661201851312</v>
      </c>
      <c r="E260" s="3738">
        <f t="shared" si="155"/>
        <v>10.759919734128001</v>
      </c>
      <c r="F260" s="3738">
        <f t="shared" si="155"/>
        <v>10.431346257216003</v>
      </c>
      <c r="G260" s="3738">
        <f t="shared" si="155"/>
        <v>9.8796119546880004</v>
      </c>
      <c r="H260" s="3738">
        <f t="shared" si="155"/>
        <v>10.795012702464</v>
      </c>
      <c r="I260" s="3738">
        <f t="shared" si="155"/>
        <v>9.8536857511680012</v>
      </c>
      <c r="J260" s="3738">
        <f t="shared" si="155"/>
        <v>9.8796119546880004</v>
      </c>
      <c r="K260" s="3738">
        <f t="shared" si="155"/>
        <v>10.063976068608003</v>
      </c>
      <c r="L260" s="3738">
        <f t="shared" si="155"/>
        <v>10.461593494656002</v>
      </c>
      <c r="M260" s="3738">
        <f t="shared" si="155"/>
        <v>11.026146864480001</v>
      </c>
      <c r="N260" s="3738">
        <f t="shared" si="155"/>
        <v>11.119296009984005</v>
      </c>
      <c r="O260" s="3738">
        <f t="shared" si="155"/>
        <v>12.117958966128</v>
      </c>
      <c r="P260" s="3738">
        <f t="shared" si="155"/>
        <v>10.273042093103999</v>
      </c>
      <c r="Q260" s="1325"/>
      <c r="S260" s="3737"/>
    </row>
    <row r="261" spans="2:20" x14ac:dyDescent="0.35">
      <c r="B261" s="3740" t="s">
        <v>3647</v>
      </c>
      <c r="C261" s="1309" t="s">
        <v>1780</v>
      </c>
      <c r="D261" s="2730">
        <f>D104</f>
        <v>93.863603101920006</v>
      </c>
      <c r="E261" s="2730">
        <f t="shared" ref="E261:P261" si="156">E104</f>
        <v>7.9737506084800014</v>
      </c>
      <c r="F261" s="2730">
        <f t="shared" si="156"/>
        <v>7.7302578105600013</v>
      </c>
      <c r="G261" s="2730">
        <f t="shared" si="156"/>
        <v>7.3213893580800002</v>
      </c>
      <c r="H261" s="2730">
        <f t="shared" si="156"/>
        <v>7.9997566182400002</v>
      </c>
      <c r="I261" s="2730">
        <f t="shared" si="156"/>
        <v>7.3021764748800013</v>
      </c>
      <c r="J261" s="2730">
        <f t="shared" si="156"/>
        <v>7.3213893580800002</v>
      </c>
      <c r="K261" s="2730">
        <f t="shared" si="156"/>
        <v>7.4580143052800016</v>
      </c>
      <c r="L261" s="2730">
        <f t="shared" si="156"/>
        <v>7.7526728409600016</v>
      </c>
      <c r="M261" s="2730">
        <f t="shared" si="156"/>
        <v>8.1710409968000004</v>
      </c>
      <c r="N261" s="2730">
        <f t="shared" si="156"/>
        <v>8.2400701414400039</v>
      </c>
      <c r="O261" s="2730">
        <f t="shared" si="156"/>
        <v>8.9801397284800011</v>
      </c>
      <c r="P261" s="2730">
        <f t="shared" si="156"/>
        <v>7.6129448606399999</v>
      </c>
      <c r="Q261" s="1325"/>
      <c r="S261" s="3737"/>
    </row>
    <row r="262" spans="2:20" x14ac:dyDescent="0.35">
      <c r="B262" s="2731" t="s">
        <v>3650</v>
      </c>
      <c r="C262" s="1309" t="s">
        <v>1780</v>
      </c>
      <c r="D262" s="2730">
        <f>D109</f>
        <v>32.797598749392002</v>
      </c>
      <c r="E262" s="2730">
        <f t="shared" ref="E262:P262" si="157">E109</f>
        <v>2.7861691256480001</v>
      </c>
      <c r="F262" s="2730">
        <f t="shared" si="157"/>
        <v>2.7010884466560006</v>
      </c>
      <c r="G262" s="2730">
        <f t="shared" si="157"/>
        <v>2.5582225966080001</v>
      </c>
      <c r="H262" s="2730">
        <f t="shared" si="157"/>
        <v>2.795256084224</v>
      </c>
      <c r="I262" s="2730">
        <f t="shared" si="157"/>
        <v>2.5515092762880003</v>
      </c>
      <c r="J262" s="2730">
        <f t="shared" si="157"/>
        <v>2.5582225966080001</v>
      </c>
      <c r="K262" s="2730">
        <f t="shared" si="157"/>
        <v>2.6059617633280006</v>
      </c>
      <c r="L262" s="2730">
        <f t="shared" si="157"/>
        <v>2.7089206536960004</v>
      </c>
      <c r="M262" s="2730">
        <f t="shared" si="157"/>
        <v>2.8551058676799999</v>
      </c>
      <c r="N262" s="2730">
        <f t="shared" si="157"/>
        <v>2.8792258685440011</v>
      </c>
      <c r="O262" s="2730">
        <f t="shared" si="157"/>
        <v>3.1378192376480003</v>
      </c>
      <c r="P262" s="2730">
        <f t="shared" si="157"/>
        <v>2.660097232464</v>
      </c>
    </row>
    <row r="263" spans="2:20" x14ac:dyDescent="0.35">
      <c r="B263" s="3741" t="s">
        <v>3648</v>
      </c>
      <c r="C263" s="1309" t="s">
        <v>1780</v>
      </c>
      <c r="D263" s="2730"/>
      <c r="E263" s="2730"/>
      <c r="F263" s="2730"/>
      <c r="G263" s="2730"/>
      <c r="H263" s="2730"/>
      <c r="I263" s="2730"/>
      <c r="J263" s="2730"/>
      <c r="K263" s="2730"/>
      <c r="L263" s="2730"/>
      <c r="M263" s="2730"/>
      <c r="N263" s="2730"/>
      <c r="O263" s="2730"/>
      <c r="P263" s="2730"/>
    </row>
    <row r="264" spans="2:20" x14ac:dyDescent="0.35">
      <c r="B264" s="3741" t="s">
        <v>3649</v>
      </c>
      <c r="C264" s="1309" t="s">
        <v>1780</v>
      </c>
      <c r="D264" s="2730"/>
      <c r="E264" s="2730"/>
      <c r="F264" s="2730"/>
      <c r="G264" s="2730"/>
      <c r="H264" s="2730"/>
      <c r="I264" s="2730"/>
      <c r="J264" s="2730"/>
      <c r="K264" s="2730"/>
      <c r="L264" s="2730"/>
      <c r="M264" s="2730"/>
      <c r="N264" s="2730"/>
      <c r="O264" s="2730"/>
      <c r="P264" s="2730"/>
    </row>
    <row r="265" spans="2:20" x14ac:dyDescent="0.35">
      <c r="B265" s="2729" t="s">
        <v>2246</v>
      </c>
      <c r="C265" s="1309" t="s">
        <v>1780</v>
      </c>
      <c r="D265" s="3738">
        <f t="shared" ref="D265:P265" si="158">SUM(D266:D269)</f>
        <v>101.15507484556801</v>
      </c>
      <c r="E265" s="3738">
        <f t="shared" si="158"/>
        <v>8.7186118694400001</v>
      </c>
      <c r="F265" s="3738">
        <f t="shared" si="158"/>
        <v>7.5838672093440005</v>
      </c>
      <c r="G265" s="3738">
        <f t="shared" si="158"/>
        <v>6.9205679262719997</v>
      </c>
      <c r="H265" s="3738">
        <f t="shared" si="158"/>
        <v>7.5796696335359997</v>
      </c>
      <c r="I265" s="3738">
        <f t="shared" si="158"/>
        <v>6.9205679262719997</v>
      </c>
      <c r="J265" s="3738">
        <f t="shared" si="158"/>
        <v>6.9205679262719997</v>
      </c>
      <c r="K265" s="3738">
        <f t="shared" si="158"/>
        <v>7.063450114560001</v>
      </c>
      <c r="L265" s="3738">
        <f t="shared" si="158"/>
        <v>7.3411485611520009</v>
      </c>
      <c r="M265" s="3738">
        <f t="shared" si="158"/>
        <v>10.395173030399999</v>
      </c>
      <c r="N265" s="3738">
        <f t="shared" si="158"/>
        <v>11.954448984960003</v>
      </c>
      <c r="O265" s="3738">
        <f t="shared" si="158"/>
        <v>11.434690333440001</v>
      </c>
      <c r="P265" s="3738">
        <f t="shared" si="158"/>
        <v>8.3223113299199998</v>
      </c>
    </row>
    <row r="266" spans="2:20" x14ac:dyDescent="0.35">
      <c r="B266" s="3740" t="s">
        <v>3647</v>
      </c>
      <c r="C266" s="1309" t="s">
        <v>1780</v>
      </c>
      <c r="D266" s="2730">
        <f>D106</f>
        <v>74.962021978880003</v>
      </c>
      <c r="E266" s="2730">
        <f t="shared" ref="E266:P266" si="159">E106</f>
        <v>6.4610181504000002</v>
      </c>
      <c r="F266" s="2730">
        <f t="shared" si="159"/>
        <v>5.6201037990400007</v>
      </c>
      <c r="G266" s="2730">
        <f t="shared" si="159"/>
        <v>5.12855895552</v>
      </c>
      <c r="H266" s="2730">
        <f t="shared" si="159"/>
        <v>5.6169931417600001</v>
      </c>
      <c r="I266" s="2730">
        <f t="shared" si="159"/>
        <v>5.12855895552</v>
      </c>
      <c r="J266" s="2730">
        <f t="shared" si="159"/>
        <v>5.12855895552</v>
      </c>
      <c r="K266" s="2730">
        <f t="shared" si="159"/>
        <v>5.2344432896000006</v>
      </c>
      <c r="L266" s="2730">
        <f t="shared" si="159"/>
        <v>5.4402346163200006</v>
      </c>
      <c r="M266" s="2730">
        <f t="shared" si="159"/>
        <v>7.7034512639999999</v>
      </c>
      <c r="N266" s="2730">
        <f t="shared" si="159"/>
        <v>8.8589689536000016</v>
      </c>
      <c r="O266" s="2730">
        <f t="shared" si="159"/>
        <v>8.4737963904000004</v>
      </c>
      <c r="P266" s="2730">
        <f t="shared" si="159"/>
        <v>6.1673355071999998</v>
      </c>
    </row>
    <row r="267" spans="2:20" x14ac:dyDescent="0.35">
      <c r="B267" s="2731" t="s">
        <v>3650</v>
      </c>
      <c r="C267" s="1309" t="s">
        <v>1780</v>
      </c>
      <c r="D267" s="2730">
        <f>D111</f>
        <v>26.193052866688003</v>
      </c>
      <c r="E267" s="2730">
        <f t="shared" ref="E267:P267" si="160">E111</f>
        <v>2.2575937190399999</v>
      </c>
      <c r="F267" s="2730">
        <f t="shared" si="160"/>
        <v>1.963763410304</v>
      </c>
      <c r="G267" s="2730">
        <f t="shared" si="160"/>
        <v>1.7920089707520002</v>
      </c>
      <c r="H267" s="2730">
        <f t="shared" si="160"/>
        <v>1.962676491776</v>
      </c>
      <c r="I267" s="2730">
        <f t="shared" si="160"/>
        <v>1.7920089707520002</v>
      </c>
      <c r="J267" s="2730">
        <f t="shared" si="160"/>
        <v>1.7920089707520002</v>
      </c>
      <c r="K267" s="2730">
        <f t="shared" si="160"/>
        <v>1.8290068249600004</v>
      </c>
      <c r="L267" s="2730">
        <f t="shared" si="160"/>
        <v>1.9009139448320003</v>
      </c>
      <c r="M267" s="2730">
        <f t="shared" si="160"/>
        <v>2.6917217663999997</v>
      </c>
      <c r="N267" s="2730">
        <f t="shared" si="160"/>
        <v>3.0954800313600006</v>
      </c>
      <c r="O267" s="2730">
        <f t="shared" si="160"/>
        <v>2.9608939430400003</v>
      </c>
      <c r="P267" s="2730">
        <f t="shared" si="160"/>
        <v>2.15497582272</v>
      </c>
    </row>
    <row r="268" spans="2:20" x14ac:dyDescent="0.35">
      <c r="B268" s="3741" t="s">
        <v>3648</v>
      </c>
      <c r="C268" s="1309" t="s">
        <v>1780</v>
      </c>
      <c r="D268" s="2730"/>
      <c r="E268" s="2730"/>
      <c r="F268" s="2730"/>
      <c r="G268" s="2730"/>
      <c r="H268" s="2730"/>
      <c r="I268" s="2730"/>
      <c r="J268" s="2730"/>
      <c r="K268" s="2730"/>
      <c r="L268" s="2730"/>
      <c r="M268" s="2730"/>
      <c r="N268" s="2730"/>
      <c r="O268" s="2730"/>
      <c r="P268" s="2730"/>
    </row>
    <row r="269" spans="2:20" x14ac:dyDescent="0.35">
      <c r="B269" s="3741" t="s">
        <v>3649</v>
      </c>
      <c r="C269" s="1309" t="s">
        <v>1780</v>
      </c>
      <c r="D269" s="2730"/>
      <c r="E269" s="2730"/>
      <c r="F269" s="2730"/>
      <c r="G269" s="2730"/>
      <c r="H269" s="2730"/>
      <c r="I269" s="2730"/>
      <c r="J269" s="2730"/>
      <c r="K269" s="2730"/>
      <c r="L269" s="2730"/>
      <c r="M269" s="2730"/>
      <c r="N269" s="2730"/>
      <c r="O269" s="2730"/>
      <c r="P269" s="2730"/>
    </row>
    <row r="270" spans="2:20" x14ac:dyDescent="0.35">
      <c r="B270" s="2729" t="s">
        <v>1390</v>
      </c>
      <c r="C270" s="1309" t="s">
        <v>1780</v>
      </c>
      <c r="D270" s="3738">
        <f t="shared" ref="D270:P270" si="161">SUM(D271:D274)</f>
        <v>13.589859731039159</v>
      </c>
      <c r="E270" s="3738">
        <f t="shared" si="161"/>
        <v>1.1075653052983201</v>
      </c>
      <c r="F270" s="3738">
        <f t="shared" si="161"/>
        <v>1.1075653052983201</v>
      </c>
      <c r="G270" s="3738">
        <f t="shared" si="161"/>
        <v>1.0572214277847602</v>
      </c>
      <c r="H270" s="3738">
        <f t="shared" si="161"/>
        <v>1.1579091828118802</v>
      </c>
      <c r="I270" s="3738">
        <f t="shared" si="161"/>
        <v>1.0572214277847602</v>
      </c>
      <c r="J270" s="3738">
        <f t="shared" si="161"/>
        <v>1.0572214277847602</v>
      </c>
      <c r="K270" s="3738">
        <f t="shared" si="161"/>
        <v>1.1075653052983203</v>
      </c>
      <c r="L270" s="3738">
        <f t="shared" si="161"/>
        <v>1.1579091828118802</v>
      </c>
      <c r="M270" s="3738">
        <f t="shared" si="161"/>
        <v>1.0068775502712</v>
      </c>
      <c r="N270" s="3738">
        <f t="shared" si="161"/>
        <v>1.1579091828118802</v>
      </c>
      <c r="O270" s="3738">
        <f t="shared" si="161"/>
        <v>1.1075653052983201</v>
      </c>
      <c r="P270" s="3738">
        <f t="shared" si="161"/>
        <v>1.50732912778476</v>
      </c>
    </row>
    <row r="271" spans="2:20" x14ac:dyDescent="0.35">
      <c r="B271" s="3740" t="s">
        <v>3647</v>
      </c>
      <c r="C271" s="1309" t="s">
        <v>1780</v>
      </c>
      <c r="D271" s="2730">
        <f>D105</f>
        <v>10.0709071235756</v>
      </c>
      <c r="E271" s="2730">
        <f t="shared" ref="E271:P271" si="162">E105</f>
        <v>0.82077280735120006</v>
      </c>
      <c r="F271" s="2730">
        <f t="shared" si="162"/>
        <v>0.82077280735120006</v>
      </c>
      <c r="G271" s="2730">
        <f t="shared" si="162"/>
        <v>0.78346495247160008</v>
      </c>
      <c r="H271" s="2730">
        <f t="shared" si="162"/>
        <v>0.85808066223080015</v>
      </c>
      <c r="I271" s="2730">
        <f t="shared" si="162"/>
        <v>0.78346495247160008</v>
      </c>
      <c r="J271" s="2730">
        <f t="shared" si="162"/>
        <v>0.78346495247160008</v>
      </c>
      <c r="K271" s="2730">
        <f t="shared" si="162"/>
        <v>0.82077280735120017</v>
      </c>
      <c r="L271" s="2730">
        <f t="shared" si="162"/>
        <v>0.85808066223080015</v>
      </c>
      <c r="M271" s="2730">
        <f t="shared" si="162"/>
        <v>0.746157097592</v>
      </c>
      <c r="N271" s="2730">
        <f t="shared" si="162"/>
        <v>0.85808066223080015</v>
      </c>
      <c r="O271" s="2730">
        <f t="shared" si="162"/>
        <v>0.82077280735120006</v>
      </c>
      <c r="P271" s="2730">
        <f t="shared" si="162"/>
        <v>1.1170219524716001</v>
      </c>
    </row>
    <row r="272" spans="2:20" x14ac:dyDescent="0.35">
      <c r="B272" s="2731" t="s">
        <v>3650</v>
      </c>
      <c r="C272" s="1309" t="s">
        <v>1780</v>
      </c>
      <c r="D272" s="2730">
        <f>D110</f>
        <v>3.51895260746356</v>
      </c>
      <c r="E272" s="2730">
        <f t="shared" ref="E272:P272" si="163">E110</f>
        <v>0.28679249794712003</v>
      </c>
      <c r="F272" s="2730">
        <f t="shared" si="163"/>
        <v>0.28679249794712003</v>
      </c>
      <c r="G272" s="2730">
        <f t="shared" si="163"/>
        <v>0.27375647531316005</v>
      </c>
      <c r="H272" s="2730">
        <f t="shared" si="163"/>
        <v>0.29982852058108006</v>
      </c>
      <c r="I272" s="2730">
        <f t="shared" si="163"/>
        <v>0.27375647531316005</v>
      </c>
      <c r="J272" s="2730">
        <f t="shared" si="163"/>
        <v>0.27375647531316005</v>
      </c>
      <c r="K272" s="2730">
        <f t="shared" si="163"/>
        <v>0.28679249794712008</v>
      </c>
      <c r="L272" s="2730">
        <f t="shared" si="163"/>
        <v>0.29982852058108006</v>
      </c>
      <c r="M272" s="2730">
        <f t="shared" si="163"/>
        <v>0.26072045267920002</v>
      </c>
      <c r="N272" s="2730">
        <f t="shared" si="163"/>
        <v>0.29982852058108006</v>
      </c>
      <c r="O272" s="2730">
        <f t="shared" si="163"/>
        <v>0.28679249794712003</v>
      </c>
      <c r="P272" s="2730">
        <f t="shared" si="163"/>
        <v>0.39030717531316</v>
      </c>
    </row>
    <row r="273" spans="2:16" x14ac:dyDescent="0.35">
      <c r="B273" s="3741" t="s">
        <v>3648</v>
      </c>
      <c r="C273" s="1309" t="s">
        <v>1780</v>
      </c>
      <c r="D273" s="3733"/>
      <c r="E273" s="2730"/>
      <c r="F273" s="2730"/>
      <c r="G273" s="2730"/>
      <c r="H273" s="2730"/>
      <c r="I273" s="2730"/>
      <c r="J273" s="2730"/>
      <c r="K273" s="2730"/>
      <c r="L273" s="2730"/>
      <c r="M273" s="2730"/>
      <c r="N273" s="2730"/>
      <c r="O273" s="2730"/>
      <c r="P273" s="2730"/>
    </row>
    <row r="274" spans="2:16" x14ac:dyDescent="0.35">
      <c r="B274" s="3741" t="s">
        <v>3649</v>
      </c>
      <c r="C274" s="1309" t="s">
        <v>1780</v>
      </c>
      <c r="D274" s="3733"/>
      <c r="E274" s="2730"/>
      <c r="F274" s="2730"/>
      <c r="G274" s="2730"/>
      <c r="H274" s="2730"/>
      <c r="I274" s="2730"/>
      <c r="J274" s="2730"/>
      <c r="K274" s="2730"/>
      <c r="L274" s="2730"/>
      <c r="M274" s="2730"/>
      <c r="N274" s="2730"/>
      <c r="O274" s="2730"/>
      <c r="P274" s="2730"/>
    </row>
    <row r="275" spans="2:16" x14ac:dyDescent="0.35">
      <c r="B275" s="2729" t="s">
        <v>1436</v>
      </c>
      <c r="C275" s="1309" t="s">
        <v>1780</v>
      </c>
      <c r="D275" s="3738">
        <f t="shared" ref="D275:P275" si="164">SUM(D276:D279)</f>
        <v>39.083402008416009</v>
      </c>
      <c r="E275" s="3738">
        <f t="shared" si="164"/>
        <v>3.3022987324800011</v>
      </c>
      <c r="F275" s="3738">
        <f t="shared" si="164"/>
        <v>3.1263503465280005</v>
      </c>
      <c r="G275" s="3738">
        <f t="shared" si="164"/>
        <v>2.9348462384640008</v>
      </c>
      <c r="H275" s="3738">
        <f t="shared" si="164"/>
        <v>3.214355404032001</v>
      </c>
      <c r="I275" s="3738">
        <f t="shared" si="164"/>
        <v>2.9348462384640008</v>
      </c>
      <c r="J275" s="3738">
        <f t="shared" si="164"/>
        <v>2.9348462384640008</v>
      </c>
      <c r="K275" s="3738">
        <f t="shared" si="164"/>
        <v>3.0012667027199997</v>
      </c>
      <c r="L275" s="3738">
        <f t="shared" si="164"/>
        <v>3.1206506970240007</v>
      </c>
      <c r="M275" s="3738">
        <f t="shared" si="164"/>
        <v>3.4959222047999998</v>
      </c>
      <c r="N275" s="3738">
        <f t="shared" si="164"/>
        <v>4.0203105355200019</v>
      </c>
      <c r="O275" s="3738">
        <f t="shared" si="164"/>
        <v>3.8455144252800011</v>
      </c>
      <c r="P275" s="3738">
        <f t="shared" si="164"/>
        <v>3.1521942446400004</v>
      </c>
    </row>
    <row r="276" spans="2:16" x14ac:dyDescent="0.35">
      <c r="B276" s="3740" t="s">
        <v>3647</v>
      </c>
      <c r="C276" s="1309" t="s">
        <v>1780</v>
      </c>
      <c r="D276" s="3791">
        <f>D131</f>
        <v>28.963162202560007</v>
      </c>
      <c r="E276" s="3791">
        <f t="shared" ref="E276:P276" si="165">E131</f>
        <v>2.4472028768000009</v>
      </c>
      <c r="F276" s="3791">
        <f t="shared" si="165"/>
        <v>2.3168144924800003</v>
      </c>
      <c r="G276" s="3791">
        <f t="shared" si="165"/>
        <v>2.1748983782400004</v>
      </c>
      <c r="H276" s="3791">
        <f t="shared" si="165"/>
        <v>2.3820315571200008</v>
      </c>
      <c r="I276" s="3791">
        <f t="shared" si="165"/>
        <v>2.1748983782400004</v>
      </c>
      <c r="J276" s="3791">
        <f t="shared" si="165"/>
        <v>2.1748983782400004</v>
      </c>
      <c r="K276" s="3791">
        <f t="shared" si="165"/>
        <v>2.2241199551999999</v>
      </c>
      <c r="L276" s="3791">
        <f t="shared" si="165"/>
        <v>2.3125907078400005</v>
      </c>
      <c r="M276" s="3791">
        <f t="shared" si="165"/>
        <v>2.5906895679999997</v>
      </c>
      <c r="N276" s="3791">
        <f t="shared" si="165"/>
        <v>2.9792930032000013</v>
      </c>
      <c r="O276" s="3791">
        <f t="shared" si="165"/>
        <v>2.8497585248000008</v>
      </c>
      <c r="P276" s="3791">
        <f t="shared" si="165"/>
        <v>2.3359663824000005</v>
      </c>
    </row>
    <row r="277" spans="2:16" x14ac:dyDescent="0.35">
      <c r="B277" s="2731" t="s">
        <v>3650</v>
      </c>
      <c r="C277" s="1309" t="s">
        <v>1780</v>
      </c>
      <c r="D277" s="2733">
        <f>D133</f>
        <v>10.120239805856002</v>
      </c>
      <c r="E277" s="2733">
        <f t="shared" ref="E277:P277" si="166">E133</f>
        <v>0.85509585568000024</v>
      </c>
      <c r="F277" s="2733">
        <f t="shared" si="166"/>
        <v>0.80953585404799999</v>
      </c>
      <c r="G277" s="2733">
        <f t="shared" si="166"/>
        <v>0.75994786022400018</v>
      </c>
      <c r="H277" s="2733">
        <f t="shared" si="166"/>
        <v>0.83232384691200023</v>
      </c>
      <c r="I277" s="2733">
        <f t="shared" si="166"/>
        <v>0.75994786022400018</v>
      </c>
      <c r="J277" s="2733">
        <f t="shared" si="166"/>
        <v>0.75994786022400018</v>
      </c>
      <c r="K277" s="2733">
        <f t="shared" si="166"/>
        <v>0.77714674752000001</v>
      </c>
      <c r="L277" s="2733">
        <f t="shared" si="166"/>
        <v>0.80805998918400024</v>
      </c>
      <c r="M277" s="2733">
        <f t="shared" si="166"/>
        <v>0.90523263679999999</v>
      </c>
      <c r="N277" s="2733">
        <f t="shared" si="166"/>
        <v>1.0410175323200004</v>
      </c>
      <c r="O277" s="2733">
        <f t="shared" si="166"/>
        <v>0.99575590048000029</v>
      </c>
      <c r="P277" s="2733">
        <f t="shared" si="166"/>
        <v>0.8162278622400001</v>
      </c>
    </row>
    <row r="278" spans="2:16" x14ac:dyDescent="0.35">
      <c r="B278" s="3741" t="s">
        <v>3648</v>
      </c>
      <c r="C278" s="1309" t="s">
        <v>1780</v>
      </c>
      <c r="D278" s="2738"/>
      <c r="E278" s="2738"/>
      <c r="F278" s="2738"/>
      <c r="G278" s="2738"/>
      <c r="H278" s="2738"/>
      <c r="I278" s="2738"/>
      <c r="J278" s="2738"/>
      <c r="K278" s="2738"/>
      <c r="L278" s="2738"/>
      <c r="M278" s="2738"/>
      <c r="N278" s="2738"/>
      <c r="O278" s="2738"/>
      <c r="P278" s="2738"/>
    </row>
    <row r="279" spans="2:16" x14ac:dyDescent="0.35">
      <c r="B279" s="3741" t="s">
        <v>3649</v>
      </c>
      <c r="C279" s="1309" t="s">
        <v>1780</v>
      </c>
      <c r="D279" s="2738"/>
      <c r="E279" s="2738"/>
      <c r="F279" s="2738"/>
      <c r="G279" s="2738"/>
      <c r="H279" s="2738"/>
      <c r="I279" s="2738"/>
      <c r="J279" s="2738"/>
      <c r="K279" s="2738"/>
      <c r="L279" s="2738"/>
      <c r="M279" s="2738"/>
      <c r="N279" s="2738"/>
      <c r="O279" s="2738"/>
      <c r="P279" s="2738"/>
    </row>
    <row r="280" spans="2:16" x14ac:dyDescent="0.35">
      <c r="B280" s="2729" t="s">
        <v>930</v>
      </c>
      <c r="C280" s="1309" t="s">
        <v>1780</v>
      </c>
      <c r="D280" s="3738">
        <f t="shared" ref="D280:P280" si="167">SUM(D281:D284)</f>
        <v>0</v>
      </c>
      <c r="E280" s="3738">
        <f t="shared" si="167"/>
        <v>0</v>
      </c>
      <c r="F280" s="3738">
        <f t="shared" si="167"/>
        <v>0</v>
      </c>
      <c r="G280" s="3738">
        <f t="shared" si="167"/>
        <v>0</v>
      </c>
      <c r="H280" s="3738">
        <f t="shared" si="167"/>
        <v>0</v>
      </c>
      <c r="I280" s="3738">
        <f t="shared" si="167"/>
        <v>0</v>
      </c>
      <c r="J280" s="3738">
        <f t="shared" si="167"/>
        <v>0</v>
      </c>
      <c r="K280" s="3738">
        <f t="shared" si="167"/>
        <v>0</v>
      </c>
      <c r="L280" s="3738">
        <f t="shared" si="167"/>
        <v>0</v>
      </c>
      <c r="M280" s="3738">
        <f t="shared" si="167"/>
        <v>0</v>
      </c>
      <c r="N280" s="3738">
        <f t="shared" si="167"/>
        <v>0</v>
      </c>
      <c r="O280" s="3738">
        <f t="shared" si="167"/>
        <v>0</v>
      </c>
      <c r="P280" s="3738">
        <f t="shared" si="167"/>
        <v>0</v>
      </c>
    </row>
    <row r="281" spans="2:16" x14ac:dyDescent="0.35">
      <c r="B281" s="3740" t="s">
        <v>3647</v>
      </c>
      <c r="C281" s="1309" t="s">
        <v>1780</v>
      </c>
      <c r="D281" s="2738"/>
      <c r="E281" s="2738"/>
      <c r="F281" s="2738"/>
      <c r="G281" s="2738"/>
      <c r="H281" s="2738"/>
      <c r="I281" s="2738"/>
      <c r="J281" s="2738"/>
      <c r="K281" s="2738"/>
      <c r="L281" s="2738"/>
      <c r="M281" s="2738"/>
      <c r="N281" s="2738"/>
      <c r="O281" s="2738"/>
      <c r="P281" s="2738"/>
    </row>
    <row r="282" spans="2:16" x14ac:dyDescent="0.35">
      <c r="B282" s="2731" t="s">
        <v>3650</v>
      </c>
      <c r="C282" s="1309" t="s">
        <v>1780</v>
      </c>
      <c r="D282" s="2733"/>
      <c r="E282" s="2733"/>
      <c r="F282" s="2733"/>
      <c r="G282" s="2733"/>
      <c r="H282" s="2733"/>
      <c r="I282" s="2733"/>
      <c r="J282" s="2733"/>
      <c r="K282" s="2733"/>
      <c r="L282" s="2733"/>
      <c r="M282" s="2733"/>
      <c r="N282" s="2733"/>
      <c r="O282" s="2733"/>
      <c r="P282" s="2733"/>
    </row>
    <row r="283" spans="2:16" x14ac:dyDescent="0.35">
      <c r="B283" s="3741" t="s">
        <v>3648</v>
      </c>
      <c r="C283" s="1309" t="s">
        <v>1780</v>
      </c>
      <c r="D283" s="2738"/>
      <c r="E283" s="2738"/>
      <c r="F283" s="2738"/>
      <c r="G283" s="2738"/>
      <c r="H283" s="2738"/>
      <c r="I283" s="2738"/>
      <c r="J283" s="2738"/>
      <c r="K283" s="2738"/>
      <c r="L283" s="2738"/>
      <c r="M283" s="2738"/>
      <c r="N283" s="2738"/>
      <c r="O283" s="2738"/>
      <c r="P283" s="2738"/>
    </row>
    <row r="284" spans="2:16" x14ac:dyDescent="0.35">
      <c r="B284" s="3741" t="s">
        <v>3649</v>
      </c>
      <c r="C284" s="1309" t="s">
        <v>1780</v>
      </c>
      <c r="D284" s="2738"/>
      <c r="E284" s="2738"/>
      <c r="F284" s="2738"/>
      <c r="G284" s="2738"/>
      <c r="H284" s="2738"/>
      <c r="I284" s="2738"/>
      <c r="J284" s="2738"/>
      <c r="K284" s="2738"/>
      <c r="L284" s="2738"/>
      <c r="M284" s="2738"/>
      <c r="N284" s="2738"/>
      <c r="O284" s="2738"/>
      <c r="P284" s="2738"/>
    </row>
    <row r="285" spans="2:16" x14ac:dyDescent="0.35">
      <c r="B285" s="2729" t="s">
        <v>2300</v>
      </c>
      <c r="C285" s="1309" t="s">
        <v>1780</v>
      </c>
      <c r="D285" s="3738">
        <f t="shared" ref="D285:P285" si="168">SUM(D286:D289)</f>
        <v>27.900848619856902</v>
      </c>
      <c r="E285" s="3738">
        <f t="shared" si="168"/>
        <v>2.2965490606329029</v>
      </c>
      <c r="F285" s="3738">
        <f t="shared" si="168"/>
        <v>2.2224668328705515</v>
      </c>
      <c r="G285" s="3738">
        <f t="shared" si="168"/>
        <v>2.2965490606329029</v>
      </c>
      <c r="H285" s="3738">
        <f t="shared" si="168"/>
        <v>2.2965490606329029</v>
      </c>
      <c r="I285" s="3738">
        <f t="shared" si="168"/>
        <v>2.9351378639443757</v>
      </c>
      <c r="J285" s="3738">
        <f t="shared" si="168"/>
        <v>2.2965490606329029</v>
      </c>
      <c r="K285" s="3738">
        <f t="shared" si="168"/>
        <v>2.2224668328705519</v>
      </c>
      <c r="L285" s="3738">
        <f t="shared" si="168"/>
        <v>2.2965490606329029</v>
      </c>
      <c r="M285" s="3738">
        <f t="shared" si="168"/>
        <v>2.2224668328705519</v>
      </c>
      <c r="N285" s="3738">
        <f t="shared" si="168"/>
        <v>2.2965490606329029</v>
      </c>
      <c r="O285" s="3738">
        <f t="shared" si="168"/>
        <v>2.2965490606329029</v>
      </c>
      <c r="P285" s="3738">
        <f t="shared" si="168"/>
        <v>2.2224668328705519</v>
      </c>
    </row>
    <row r="286" spans="2:16" x14ac:dyDescent="0.35">
      <c r="B286" s="3740" t="s">
        <v>3647</v>
      </c>
      <c r="C286" s="1309" t="s">
        <v>1780</v>
      </c>
      <c r="D286" s="2738">
        <f>D160</f>
        <v>20.67416020224</v>
      </c>
      <c r="E286" s="2738">
        <f t="shared" ref="E286:P286" si="169">E160</f>
        <v>1.7017125120000001</v>
      </c>
      <c r="F286" s="2738">
        <f t="shared" si="169"/>
        <v>1.64681856</v>
      </c>
      <c r="G286" s="2738">
        <f t="shared" si="169"/>
        <v>1.7017125120000001</v>
      </c>
      <c r="H286" s="2738">
        <f t="shared" si="169"/>
        <v>1.7017125120000001</v>
      </c>
      <c r="I286" s="2738">
        <f t="shared" si="169"/>
        <v>2.1748983782400004</v>
      </c>
      <c r="J286" s="2738">
        <f t="shared" si="169"/>
        <v>1.7017125120000001</v>
      </c>
      <c r="K286" s="2738">
        <f t="shared" si="169"/>
        <v>1.6468185600000003</v>
      </c>
      <c r="L286" s="2738">
        <f t="shared" si="169"/>
        <v>1.7017125120000001</v>
      </c>
      <c r="M286" s="2738">
        <f t="shared" si="169"/>
        <v>1.6468185600000003</v>
      </c>
      <c r="N286" s="2738">
        <f t="shared" si="169"/>
        <v>1.7017125120000001</v>
      </c>
      <c r="O286" s="2738">
        <f t="shared" si="169"/>
        <v>1.7017125120000001</v>
      </c>
      <c r="P286" s="2738">
        <f t="shared" si="169"/>
        <v>1.6468185600000003</v>
      </c>
    </row>
    <row r="287" spans="2:16" x14ac:dyDescent="0.35">
      <c r="B287" s="2731" t="s">
        <v>3650</v>
      </c>
      <c r="C287" s="1309" t="s">
        <v>1780</v>
      </c>
      <c r="D287" s="2733">
        <f>D162</f>
        <v>7.2239162826239998</v>
      </c>
      <c r="E287" s="2733">
        <f t="shared" ref="E287:P287" si="170">E162</f>
        <v>0.59460837119999999</v>
      </c>
      <c r="F287" s="2733">
        <f t="shared" si="170"/>
        <v>0.575427456</v>
      </c>
      <c r="G287" s="2733">
        <f t="shared" si="170"/>
        <v>0.59460837119999999</v>
      </c>
      <c r="H287" s="2733">
        <f t="shared" si="170"/>
        <v>0.59460837119999999</v>
      </c>
      <c r="I287" s="2733">
        <f t="shared" si="170"/>
        <v>0.75994786022400018</v>
      </c>
      <c r="J287" s="2733">
        <f t="shared" si="170"/>
        <v>0.59460837119999999</v>
      </c>
      <c r="K287" s="2733">
        <f t="shared" si="170"/>
        <v>0.57542745600000011</v>
      </c>
      <c r="L287" s="2733">
        <f t="shared" si="170"/>
        <v>0.59460837119999999</v>
      </c>
      <c r="M287" s="2733">
        <f t="shared" si="170"/>
        <v>0.57542745600000011</v>
      </c>
      <c r="N287" s="2733">
        <f t="shared" si="170"/>
        <v>0.59460837119999999</v>
      </c>
      <c r="O287" s="2733">
        <f t="shared" si="170"/>
        <v>0.59460837119999999</v>
      </c>
      <c r="P287" s="2733">
        <f t="shared" si="170"/>
        <v>0.57542745600000011</v>
      </c>
    </row>
    <row r="288" spans="2:16" x14ac:dyDescent="0.35">
      <c r="B288" s="3741" t="s">
        <v>3648</v>
      </c>
      <c r="C288" s="1309" t="s">
        <v>1780</v>
      </c>
      <c r="D288" s="3791">
        <f>D166</f>
        <v>2.7721349929019984E-3</v>
      </c>
      <c r="E288" s="3791">
        <f t="shared" ref="E288:P288" si="171">E166</f>
        <v>2.281774329030905E-4</v>
      </c>
      <c r="F288" s="3791">
        <f t="shared" si="171"/>
        <v>2.2081687055137787E-4</v>
      </c>
      <c r="G288" s="3791">
        <f t="shared" si="171"/>
        <v>2.281774329030905E-4</v>
      </c>
      <c r="H288" s="3791">
        <f t="shared" si="171"/>
        <v>2.281774329030905E-4</v>
      </c>
      <c r="I288" s="3791">
        <f t="shared" si="171"/>
        <v>2.9162548037485312E-4</v>
      </c>
      <c r="J288" s="3791">
        <f t="shared" si="171"/>
        <v>2.281774329030905E-4</v>
      </c>
      <c r="K288" s="3791">
        <f t="shared" si="171"/>
        <v>2.208168705513779E-4</v>
      </c>
      <c r="L288" s="3791">
        <f t="shared" si="171"/>
        <v>2.281774329030905E-4</v>
      </c>
      <c r="M288" s="3791">
        <f t="shared" si="171"/>
        <v>2.208168705513779E-4</v>
      </c>
      <c r="N288" s="3791">
        <f t="shared" si="171"/>
        <v>2.281774329030905E-4</v>
      </c>
      <c r="O288" s="3791">
        <f t="shared" si="171"/>
        <v>2.281774329030905E-4</v>
      </c>
      <c r="P288" s="3791">
        <f t="shared" si="171"/>
        <v>2.208168705513779E-4</v>
      </c>
    </row>
    <row r="289" spans="2:21" x14ac:dyDescent="0.35">
      <c r="B289" s="3741" t="s">
        <v>3649</v>
      </c>
      <c r="C289" s="1309" t="s">
        <v>1780</v>
      </c>
      <c r="D289" s="2738"/>
      <c r="E289" s="2738"/>
      <c r="F289" s="2738"/>
      <c r="G289" s="2738"/>
      <c r="H289" s="2738"/>
      <c r="I289" s="2738"/>
      <c r="J289" s="2738"/>
      <c r="K289" s="2738"/>
      <c r="L289" s="2738"/>
      <c r="M289" s="2738"/>
      <c r="N289" s="2738"/>
      <c r="O289" s="2738"/>
      <c r="P289" s="2738"/>
    </row>
    <row r="291" spans="2:21" ht="18.600000000000001" thickBot="1" x14ac:dyDescent="0.4"/>
    <row r="292" spans="2:21" ht="27" customHeight="1" x14ac:dyDescent="0.25">
      <c r="B292" s="5301" t="s">
        <v>3815</v>
      </c>
      <c r="C292" s="5302"/>
      <c r="D292" s="4025" t="s">
        <v>3804</v>
      </c>
      <c r="E292" s="4026" t="s">
        <v>3805</v>
      </c>
      <c r="F292" s="4036" t="s">
        <v>3806</v>
      </c>
      <c r="G292" s="4036" t="s">
        <v>3807</v>
      </c>
      <c r="H292" s="4026" t="s">
        <v>3036</v>
      </c>
      <c r="I292" s="4026" t="s">
        <v>3037</v>
      </c>
      <c r="J292" s="4026" t="s">
        <v>3038</v>
      </c>
      <c r="K292" s="4026" t="s">
        <v>3039</v>
      </c>
      <c r="L292" s="4037" t="s">
        <v>3808</v>
      </c>
      <c r="M292" s="4037" t="s">
        <v>3809</v>
      </c>
      <c r="N292" s="4026" t="s">
        <v>3810</v>
      </c>
      <c r="O292" s="4026" t="s">
        <v>3811</v>
      </c>
      <c r="P292" s="4026" t="s">
        <v>3812</v>
      </c>
      <c r="Q292" s="4026" t="s">
        <v>3813</v>
      </c>
      <c r="R292" s="4027" t="s">
        <v>3814</v>
      </c>
      <c r="T292" s="1326"/>
    </row>
    <row r="293" spans="2:21" x14ac:dyDescent="0.35">
      <c r="B293" s="4028" t="s">
        <v>2420</v>
      </c>
      <c r="C293" s="4023"/>
      <c r="D293" s="4023"/>
      <c r="E293" s="4023"/>
      <c r="F293" s="4023"/>
      <c r="G293" s="4023"/>
      <c r="H293" s="4023"/>
      <c r="I293" s="4023"/>
      <c r="J293" s="4023"/>
      <c r="K293" s="4023"/>
      <c r="L293" s="4023"/>
      <c r="M293" s="4023"/>
      <c r="N293" s="4023"/>
      <c r="O293" s="4023"/>
      <c r="P293" s="4024"/>
      <c r="Q293" s="4023"/>
      <c r="R293" s="4029"/>
      <c r="T293" s="1326" t="s">
        <v>976</v>
      </c>
      <c r="U293" s="1326" t="s">
        <v>1890</v>
      </c>
    </row>
    <row r="294" spans="2:21" ht="13.8" x14ac:dyDescent="0.25">
      <c r="B294" s="4030" t="s">
        <v>3647</v>
      </c>
      <c r="C294" s="4038" t="s">
        <v>3655</v>
      </c>
      <c r="D294" s="4039">
        <f>D299+D304+D319+D324+D329+D334+D339+D344+D349</f>
        <v>3336.1130720904057</v>
      </c>
      <c r="E294" s="4039">
        <f t="shared" ref="E294:R294" si="172">E299+E304+E319+E324+E329+E334+E339+E344+E349</f>
        <v>15.850119706486863</v>
      </c>
      <c r="F294" s="4045">
        <f t="shared" si="172"/>
        <v>10.705699368504975</v>
      </c>
      <c r="G294" s="4045">
        <f t="shared" si="172"/>
        <v>488.36983631317702</v>
      </c>
      <c r="H294" s="4039">
        <f t="shared" si="172"/>
        <v>669.2844278778316</v>
      </c>
      <c r="I294" s="4039">
        <f t="shared" si="172"/>
        <v>680.50574438715978</v>
      </c>
      <c r="J294" s="4039">
        <f t="shared" si="172"/>
        <v>634.44720561116753</v>
      </c>
      <c r="K294" s="4039">
        <f t="shared" si="172"/>
        <v>650.9062864420157</v>
      </c>
      <c r="L294" s="4045">
        <f t="shared" si="172"/>
        <v>78.673564796338098</v>
      </c>
      <c r="M294" s="4045">
        <f t="shared" si="172"/>
        <v>19.90330770746667</v>
      </c>
      <c r="N294" s="4039">
        <f t="shared" si="172"/>
        <v>16.631405619599999</v>
      </c>
      <c r="O294" s="4039">
        <f t="shared" si="172"/>
        <v>18.479425929066664</v>
      </c>
      <c r="P294" s="4039">
        <f t="shared" si="172"/>
        <v>17.686496307600002</v>
      </c>
      <c r="Q294" s="4039">
        <f t="shared" si="172"/>
        <v>16.950567762933332</v>
      </c>
      <c r="R294" s="4039">
        <f t="shared" si="172"/>
        <v>17.718984261058548</v>
      </c>
      <c r="T294" s="1326">
        <f>'Вхідні дані'!D28</f>
        <v>4.7651000000000003</v>
      </c>
      <c r="U294" s="1326">
        <f>T294*D294</f>
        <v>15896.912399817993</v>
      </c>
    </row>
    <row r="295" spans="2:21" ht="13.8" x14ac:dyDescent="0.25">
      <c r="B295" s="4030" t="s">
        <v>3650</v>
      </c>
      <c r="C295" s="4023" t="str">
        <f>C294</f>
        <v>тис. кВт·год</v>
      </c>
      <c r="D295" s="4039">
        <f t="shared" ref="D295:R297" si="173">D300+D305+D320+D325+D330+D335+D340+D345+D350</f>
        <v>3336.1130720904057</v>
      </c>
      <c r="E295" s="4039">
        <f t="shared" si="173"/>
        <v>15.850119706486863</v>
      </c>
      <c r="F295" s="4045">
        <f t="shared" si="173"/>
        <v>10.705699368504975</v>
      </c>
      <c r="G295" s="4045">
        <f t="shared" si="173"/>
        <v>488.36983631317702</v>
      </c>
      <c r="H295" s="4039">
        <f t="shared" si="173"/>
        <v>669.2844278778316</v>
      </c>
      <c r="I295" s="4039">
        <f t="shared" si="173"/>
        <v>680.50574438715978</v>
      </c>
      <c r="J295" s="4039">
        <f t="shared" si="173"/>
        <v>634.44720561116753</v>
      </c>
      <c r="K295" s="4039">
        <f t="shared" si="173"/>
        <v>650.9062864420157</v>
      </c>
      <c r="L295" s="4045">
        <f t="shared" si="173"/>
        <v>78.673564796338098</v>
      </c>
      <c r="M295" s="4045">
        <f t="shared" si="173"/>
        <v>19.90330770746667</v>
      </c>
      <c r="N295" s="4039">
        <f t="shared" si="173"/>
        <v>16.631405619599999</v>
      </c>
      <c r="O295" s="4039">
        <f t="shared" si="173"/>
        <v>18.479425929066664</v>
      </c>
      <c r="P295" s="4039">
        <f t="shared" si="173"/>
        <v>17.686496307600002</v>
      </c>
      <c r="Q295" s="4039">
        <f t="shared" si="173"/>
        <v>16.950567762933332</v>
      </c>
      <c r="R295" s="4039">
        <f t="shared" si="173"/>
        <v>17.718984261058548</v>
      </c>
      <c r="T295" s="1326">
        <f>'Вхідні дані'!D30</f>
        <v>1.6650100000000001</v>
      </c>
      <c r="U295" s="1326">
        <f>T295*D295</f>
        <v>5554.6616261612471</v>
      </c>
    </row>
    <row r="296" spans="2:21" ht="13.8" x14ac:dyDescent="0.25">
      <c r="B296" s="4030" t="s">
        <v>3648</v>
      </c>
      <c r="C296" s="4023" t="s">
        <v>3665</v>
      </c>
      <c r="D296" s="4039">
        <f t="shared" si="173"/>
        <v>834.79429740800867</v>
      </c>
      <c r="E296" s="4039">
        <f t="shared" si="173"/>
        <v>2.9253412601501343</v>
      </c>
      <c r="F296" s="4045">
        <f t="shared" si="173"/>
        <v>2.4744293908325155</v>
      </c>
      <c r="G296" s="4045">
        <f t="shared" si="173"/>
        <v>123.3107995252692</v>
      </c>
      <c r="H296" s="4039">
        <f t="shared" si="173"/>
        <v>169.11071751425521</v>
      </c>
      <c r="I296" s="4039">
        <f t="shared" si="173"/>
        <v>171.89049091611113</v>
      </c>
      <c r="J296" s="4039">
        <f t="shared" si="173"/>
        <v>160.24312221576926</v>
      </c>
      <c r="K296" s="4039">
        <f t="shared" si="173"/>
        <v>164.4188920910274</v>
      </c>
      <c r="L296" s="4045">
        <f t="shared" si="173"/>
        <v>19.804228084539464</v>
      </c>
      <c r="M296" s="4045">
        <f t="shared" si="173"/>
        <v>4.247391384204021</v>
      </c>
      <c r="N296" s="4039">
        <f t="shared" si="173"/>
        <v>3.1998798368515842</v>
      </c>
      <c r="O296" s="4039">
        <f t="shared" si="173"/>
        <v>3.5165553766003246</v>
      </c>
      <c r="P296" s="4039">
        <f t="shared" si="173"/>
        <v>3.2061063539839587</v>
      </c>
      <c r="Q296" s="4039">
        <f t="shared" si="173"/>
        <v>3.0126333375911387</v>
      </c>
      <c r="R296" s="4039">
        <f t="shared" si="173"/>
        <v>3.4337101208234402</v>
      </c>
      <c r="T296" s="1326">
        <f>'Вхідні дані'!D32</f>
        <v>6.4440000000000011E-2</v>
      </c>
      <c r="U296" s="1326">
        <f>T296*D296</f>
        <v>53.79414452497209</v>
      </c>
    </row>
    <row r="297" spans="2:21" ht="13.8" x14ac:dyDescent="0.25">
      <c r="B297" s="4030" t="s">
        <v>3649</v>
      </c>
      <c r="C297" s="4023" t="s">
        <v>3665</v>
      </c>
      <c r="D297" s="4039">
        <f t="shared" si="173"/>
        <v>332.16148119346207</v>
      </c>
      <c r="E297" s="4039">
        <f t="shared" si="173"/>
        <v>2.8301181637450763</v>
      </c>
      <c r="F297" s="4045">
        <f t="shared" si="173"/>
        <v>1.0363773790248751</v>
      </c>
      <c r="G297" s="4045">
        <f t="shared" si="173"/>
        <v>46.067196615117936</v>
      </c>
      <c r="H297" s="4039">
        <f t="shared" si="173"/>
        <v>65.271258996790422</v>
      </c>
      <c r="I297" s="4039">
        <f t="shared" si="173"/>
        <v>68.325160041972225</v>
      </c>
      <c r="J297" s="4039">
        <f t="shared" si="173"/>
        <v>63.344420782823192</v>
      </c>
      <c r="K297" s="4039">
        <f t="shared" si="173"/>
        <v>60.022424159518806</v>
      </c>
      <c r="L297" s="4045">
        <f t="shared" si="173"/>
        <v>6.197731663762899</v>
      </c>
      <c r="M297" s="4045">
        <f t="shared" si="173"/>
        <v>2.8487107122456923</v>
      </c>
      <c r="N297" s="4039">
        <f t="shared" si="173"/>
        <v>3.1754700616320113</v>
      </c>
      <c r="O297" s="4039">
        <f t="shared" si="173"/>
        <v>3.5378664730894971</v>
      </c>
      <c r="P297" s="4039">
        <f t="shared" si="173"/>
        <v>3.1783317036461858</v>
      </c>
      <c r="Q297" s="4039">
        <f t="shared" si="173"/>
        <v>3.0020325177691904</v>
      </c>
      <c r="R297" s="4039">
        <f t="shared" si="173"/>
        <v>3.3243819223240849</v>
      </c>
      <c r="T297" s="1326">
        <f>'Вхідні дані'!D34</f>
        <v>7.222166666666667E-2</v>
      </c>
      <c r="U297" s="1326">
        <f>T297*D297</f>
        <v>23.989255774260489</v>
      </c>
    </row>
    <row r="298" spans="2:21" ht="13.8" x14ac:dyDescent="0.25">
      <c r="B298" s="4031" t="s">
        <v>869</v>
      </c>
      <c r="C298" s="4023"/>
      <c r="D298" s="4039"/>
      <c r="E298" s="4039"/>
      <c r="F298" s="4039"/>
      <c r="G298" s="4039"/>
      <c r="H298" s="4039"/>
      <c r="I298" s="4039"/>
      <c r="J298" s="4039"/>
      <c r="K298" s="4039"/>
      <c r="L298" s="4039"/>
      <c r="M298" s="4039"/>
      <c r="N298" s="4039"/>
      <c r="O298" s="4039"/>
      <c r="P298" s="4039"/>
      <c r="Q298" s="4039"/>
      <c r="R298" s="4040"/>
      <c r="T298" s="1326"/>
      <c r="U298" s="4053">
        <f>SUM(U294:U297)</f>
        <v>21529.357426278471</v>
      </c>
    </row>
    <row r="299" spans="2:21" ht="13.8" x14ac:dyDescent="0.25">
      <c r="B299" s="4032" t="s">
        <v>3647</v>
      </c>
      <c r="C299" s="4038" t="s">
        <v>3655</v>
      </c>
      <c r="D299" s="4043">
        <v>918.03603851447565</v>
      </c>
      <c r="E299" s="4043">
        <v>9.6063169681980547</v>
      </c>
      <c r="F299" s="4046">
        <v>2.9199971036251338</v>
      </c>
      <c r="G299" s="4046">
        <v>124.11233091402715</v>
      </c>
      <c r="H299" s="4043">
        <v>178.23744911009226</v>
      </c>
      <c r="I299" s="4043">
        <v>188.76220788049548</v>
      </c>
      <c r="J299" s="4043">
        <v>174.62642453700394</v>
      </c>
      <c r="K299" s="4043">
        <v>160.11165948134681</v>
      </c>
      <c r="L299" s="4046">
        <v>15.328986882867421</v>
      </c>
      <c r="M299" s="4046">
        <v>9.1144157866666689</v>
      </c>
      <c r="N299" s="4043">
        <v>10.813467392</v>
      </c>
      <c r="O299" s="4043">
        <v>12.067974186666666</v>
      </c>
      <c r="P299" s="4043">
        <v>10.821787392000001</v>
      </c>
      <c r="Q299" s="4043">
        <v>10.228253013333333</v>
      </c>
      <c r="R299" s="4044">
        <v>11.284767866152832</v>
      </c>
      <c r="T299" s="1326"/>
    </row>
    <row r="300" spans="2:21" ht="13.8" x14ac:dyDescent="0.25">
      <c r="B300" s="4032" t="s">
        <v>3650</v>
      </c>
      <c r="C300" s="4023" t="str">
        <f>C299</f>
        <v>тис. кВт·год</v>
      </c>
      <c r="D300" s="4039">
        <f>D299</f>
        <v>918.03603851447565</v>
      </c>
      <c r="E300" s="4039">
        <f t="shared" ref="E300:R300" si="174">E299</f>
        <v>9.6063169681980547</v>
      </c>
      <c r="F300" s="4045">
        <f t="shared" si="174"/>
        <v>2.9199971036251338</v>
      </c>
      <c r="G300" s="4045">
        <f t="shared" si="174"/>
        <v>124.11233091402715</v>
      </c>
      <c r="H300" s="4039">
        <f t="shared" si="174"/>
        <v>178.23744911009226</v>
      </c>
      <c r="I300" s="4039">
        <f t="shared" si="174"/>
        <v>188.76220788049548</v>
      </c>
      <c r="J300" s="4039">
        <f t="shared" si="174"/>
        <v>174.62642453700394</v>
      </c>
      <c r="K300" s="4039">
        <f t="shared" si="174"/>
        <v>160.11165948134681</v>
      </c>
      <c r="L300" s="4045">
        <f t="shared" si="174"/>
        <v>15.328986882867421</v>
      </c>
      <c r="M300" s="4045">
        <f t="shared" si="174"/>
        <v>9.1144157866666689</v>
      </c>
      <c r="N300" s="4039">
        <f t="shared" si="174"/>
        <v>10.813467392</v>
      </c>
      <c r="O300" s="4039">
        <f t="shared" si="174"/>
        <v>12.067974186666666</v>
      </c>
      <c r="P300" s="4039">
        <f t="shared" si="174"/>
        <v>10.821787392000001</v>
      </c>
      <c r="Q300" s="4039">
        <f t="shared" si="174"/>
        <v>10.228253013333333</v>
      </c>
      <c r="R300" s="4040">
        <f t="shared" si="174"/>
        <v>11.284767866152832</v>
      </c>
      <c r="T300" s="1326"/>
    </row>
    <row r="301" spans="2:21" ht="13.8" x14ac:dyDescent="0.25">
      <c r="B301" s="4032" t="s">
        <v>3648</v>
      </c>
      <c r="C301" s="4023" t="s">
        <v>3665</v>
      </c>
      <c r="D301" s="4039">
        <v>234.3891205354733</v>
      </c>
      <c r="E301" s="4039">
        <v>2.4526446580511148</v>
      </c>
      <c r="F301" s="4045">
        <v>0.74552144400814013</v>
      </c>
      <c r="G301" s="4045">
        <v>31.687841076064423</v>
      </c>
      <c r="H301" s="4039">
        <v>45.50683980881864</v>
      </c>
      <c r="I301" s="4039">
        <v>48.193977185293129</v>
      </c>
      <c r="J301" s="4039">
        <v>44.584888122381869</v>
      </c>
      <c r="K301" s="4039">
        <v>40.879039034278939</v>
      </c>
      <c r="L301" s="4045">
        <v>3.9137327985392019</v>
      </c>
      <c r="M301" s="4045">
        <v>2.3270545063659269</v>
      </c>
      <c r="N301" s="4039">
        <v>2.7608492538606728</v>
      </c>
      <c r="O301" s="4039">
        <v>3.0811446801529807</v>
      </c>
      <c r="P301" s="4039">
        <v>2.7629734814520113</v>
      </c>
      <c r="Q301" s="4039">
        <v>2.6114347670804454</v>
      </c>
      <c r="R301" s="4040">
        <v>2.8811797191258357</v>
      </c>
      <c r="T301" s="1326"/>
    </row>
    <row r="302" spans="2:21" ht="13.8" x14ac:dyDescent="0.25">
      <c r="B302" s="4032" t="s">
        <v>3649</v>
      </c>
      <c r="C302" s="4023" t="s">
        <v>3665</v>
      </c>
      <c r="D302" s="4039">
        <v>265.4831411802117</v>
      </c>
      <c r="E302" s="4039">
        <v>2.7780120789340601</v>
      </c>
      <c r="F302" s="4045">
        <v>0.84442219127032359</v>
      </c>
      <c r="G302" s="4045">
        <v>35.891544653924029</v>
      </c>
      <c r="H302" s="4039">
        <v>51.543769395224338</v>
      </c>
      <c r="I302" s="4039">
        <v>54.587381956504601</v>
      </c>
      <c r="J302" s="4039">
        <v>50.499511755738105</v>
      </c>
      <c r="K302" s="4039">
        <v>46.302045361386021</v>
      </c>
      <c r="L302" s="4045">
        <v>4.4329279222623192</v>
      </c>
      <c r="M302" s="4045">
        <v>2.635761159204888</v>
      </c>
      <c r="N302" s="4039">
        <v>3.1271030437142087</v>
      </c>
      <c r="O302" s="4039">
        <v>3.4898888064811615</v>
      </c>
      <c r="P302" s="4039">
        <v>3.1295090709745268</v>
      </c>
      <c r="Q302" s="4039">
        <v>2.9578672566707547</v>
      </c>
      <c r="R302" s="4040">
        <v>3.2633965279223935</v>
      </c>
      <c r="T302" s="1326"/>
    </row>
    <row r="303" spans="2:21" ht="13.8" x14ac:dyDescent="0.25">
      <c r="B303" s="4031" t="s">
        <v>1895</v>
      </c>
      <c r="C303" s="4023"/>
      <c r="D303" s="4039"/>
      <c r="E303" s="4039"/>
      <c r="F303" s="4039"/>
      <c r="G303" s="4039"/>
      <c r="H303" s="4039"/>
      <c r="I303" s="4039"/>
      <c r="J303" s="4039"/>
      <c r="K303" s="4039"/>
      <c r="L303" s="4039"/>
      <c r="M303" s="4039"/>
      <c r="N303" s="4039"/>
      <c r="O303" s="4039"/>
      <c r="P303" s="4039"/>
      <c r="Q303" s="4039"/>
      <c r="R303" s="4040"/>
      <c r="T303" s="1326"/>
    </row>
    <row r="304" spans="2:21" ht="13.8" x14ac:dyDescent="0.25">
      <c r="B304" s="4032" t="s">
        <v>3647</v>
      </c>
      <c r="C304" s="4038" t="s">
        <v>3655</v>
      </c>
      <c r="D304" s="4039">
        <f>D309+D314</f>
        <v>2366.3148268199307</v>
      </c>
      <c r="E304" s="4039">
        <f t="shared" ref="E304:R304" si="175">E309+E314</f>
        <v>1.849167226288809</v>
      </c>
      <c r="F304" s="4039">
        <f t="shared" si="175"/>
        <v>6.8122032848798391</v>
      </c>
      <c r="G304" s="4039">
        <f t="shared" si="175"/>
        <v>361.1187096671498</v>
      </c>
      <c r="H304" s="4039">
        <f t="shared" si="175"/>
        <v>487.16812945173933</v>
      </c>
      <c r="I304" s="4039">
        <f t="shared" si="175"/>
        <v>487.53325239866444</v>
      </c>
      <c r="J304" s="4039">
        <f t="shared" si="175"/>
        <v>455.84666135816354</v>
      </c>
      <c r="K304" s="4039">
        <f t="shared" si="175"/>
        <v>486.91577764466888</v>
      </c>
      <c r="L304" s="4039">
        <f t="shared" si="175"/>
        <v>62.630252329470672</v>
      </c>
      <c r="M304" s="4039">
        <f t="shared" si="175"/>
        <v>7.5572619928000018</v>
      </c>
      <c r="N304" s="4039">
        <f t="shared" si="175"/>
        <v>1.7164733195999999</v>
      </c>
      <c r="O304" s="4039">
        <f t="shared" si="175"/>
        <v>1.7026558224000001</v>
      </c>
      <c r="P304" s="4039">
        <f t="shared" si="175"/>
        <v>1.7326424076000002</v>
      </c>
      <c r="Q304" s="4039">
        <f t="shared" si="175"/>
        <v>1.5673592376000001</v>
      </c>
      <c r="R304" s="4039">
        <f t="shared" si="175"/>
        <v>2.1642806789057136</v>
      </c>
      <c r="T304" s="1326"/>
    </row>
    <row r="305" spans="2:20" ht="13.8" x14ac:dyDescent="0.25">
      <c r="B305" s="4032" t="s">
        <v>3650</v>
      </c>
      <c r="C305" s="4023" t="str">
        <f>C304</f>
        <v>тис. кВт·год</v>
      </c>
      <c r="D305" s="4039">
        <f t="shared" ref="D305:R307" si="176">D310+D315</f>
        <v>2366.3148268199307</v>
      </c>
      <c r="E305" s="4039">
        <f t="shared" si="176"/>
        <v>1.849167226288809</v>
      </c>
      <c r="F305" s="4039">
        <f t="shared" si="176"/>
        <v>6.8122032848798391</v>
      </c>
      <c r="G305" s="4039">
        <f t="shared" si="176"/>
        <v>361.1187096671498</v>
      </c>
      <c r="H305" s="4039">
        <f t="shared" si="176"/>
        <v>487.16812945173933</v>
      </c>
      <c r="I305" s="4039">
        <f t="shared" si="176"/>
        <v>487.53325239866444</v>
      </c>
      <c r="J305" s="4039">
        <f t="shared" si="176"/>
        <v>455.84666135816354</v>
      </c>
      <c r="K305" s="4039">
        <f t="shared" si="176"/>
        <v>486.91577764466888</v>
      </c>
      <c r="L305" s="4039">
        <f t="shared" si="176"/>
        <v>62.630252329470672</v>
      </c>
      <c r="M305" s="4039">
        <f t="shared" si="176"/>
        <v>7.5572619928000018</v>
      </c>
      <c r="N305" s="4039">
        <f t="shared" si="176"/>
        <v>1.7164733195999999</v>
      </c>
      <c r="O305" s="4039">
        <f t="shared" si="176"/>
        <v>1.7026558224000001</v>
      </c>
      <c r="P305" s="4039">
        <f t="shared" si="176"/>
        <v>1.7326424076000002</v>
      </c>
      <c r="Q305" s="4039">
        <f t="shared" si="176"/>
        <v>1.5673592376000001</v>
      </c>
      <c r="R305" s="4039">
        <f t="shared" si="176"/>
        <v>2.1642806789057136</v>
      </c>
      <c r="T305" s="1326"/>
    </row>
    <row r="306" spans="2:20" ht="13.8" x14ac:dyDescent="0.25">
      <c r="B306" s="4032" t="s">
        <v>3648</v>
      </c>
      <c r="C306" s="4023" t="s">
        <v>3665</v>
      </c>
      <c r="D306" s="4039">
        <f t="shared" si="176"/>
        <v>600.36215801789695</v>
      </c>
      <c r="E306" s="4039">
        <f t="shared" si="176"/>
        <v>0.46915567359338473</v>
      </c>
      <c r="F306" s="4039">
        <f t="shared" si="176"/>
        <v>1.7283368293234664</v>
      </c>
      <c r="G306" s="4039">
        <f t="shared" si="176"/>
        <v>91.620102861700232</v>
      </c>
      <c r="H306" s="4039">
        <f t="shared" si="176"/>
        <v>123.60033677693093</v>
      </c>
      <c r="I306" s="4039">
        <f t="shared" si="176"/>
        <v>123.69297280231237</v>
      </c>
      <c r="J306" s="4039">
        <f t="shared" si="176"/>
        <v>115.6537085583102</v>
      </c>
      <c r="K306" s="4039">
        <f t="shared" si="176"/>
        <v>123.53631212824283</v>
      </c>
      <c r="L306" s="4039">
        <f t="shared" si="176"/>
        <v>15.890038391999536</v>
      </c>
      <c r="M306" s="4039">
        <f t="shared" si="176"/>
        <v>1.9173670668333687</v>
      </c>
      <c r="N306" s="4039">
        <f t="shared" si="176"/>
        <v>0.43548965448527682</v>
      </c>
      <c r="O306" s="4039">
        <f t="shared" si="176"/>
        <v>0.43198399144189115</v>
      </c>
      <c r="P306" s="4039">
        <f t="shared" si="176"/>
        <v>0.43959194402631263</v>
      </c>
      <c r="Q306" s="4039">
        <f t="shared" si="176"/>
        <v>0.39765764200505838</v>
      </c>
      <c r="R306" s="4039">
        <f t="shared" si="176"/>
        <v>0.54910369669215187</v>
      </c>
      <c r="T306" s="1326"/>
    </row>
    <row r="307" spans="2:20" ht="13.8" x14ac:dyDescent="0.25">
      <c r="B307" s="4032" t="s">
        <v>3649</v>
      </c>
      <c r="C307" s="4023" t="s">
        <v>3665</v>
      </c>
      <c r="D307" s="4039">
        <f t="shared" si="176"/>
        <v>66.678340013250349</v>
      </c>
      <c r="E307" s="4039">
        <f t="shared" si="176"/>
        <v>5.2106084811016126E-2</v>
      </c>
      <c r="F307" s="4039">
        <f t="shared" si="176"/>
        <v>0.1919551877545515</v>
      </c>
      <c r="G307" s="4039">
        <f t="shared" si="176"/>
        <v>10.175651961193907</v>
      </c>
      <c r="H307" s="4039">
        <f t="shared" si="176"/>
        <v>13.727489601566079</v>
      </c>
      <c r="I307" s="4039">
        <f t="shared" si="176"/>
        <v>13.737778085467617</v>
      </c>
      <c r="J307" s="4039">
        <f t="shared" si="176"/>
        <v>12.844909027085087</v>
      </c>
      <c r="K307" s="4039">
        <f t="shared" si="176"/>
        <v>13.720378798132788</v>
      </c>
      <c r="L307" s="4039">
        <f t="shared" si="176"/>
        <v>1.7648037415005797</v>
      </c>
      <c r="M307" s="4039">
        <f t="shared" si="176"/>
        <v>0.21294955304080426</v>
      </c>
      <c r="N307" s="4039">
        <f t="shared" si="176"/>
        <v>4.8367017917802513E-2</v>
      </c>
      <c r="O307" s="4039">
        <f t="shared" si="176"/>
        <v>4.7977666608335419E-2</v>
      </c>
      <c r="P307" s="4039">
        <f t="shared" si="176"/>
        <v>4.8822632671658851E-2</v>
      </c>
      <c r="Q307" s="4039">
        <f t="shared" si="176"/>
        <v>4.416526109843559E-2</v>
      </c>
      <c r="R307" s="4039">
        <f t="shared" si="176"/>
        <v>6.0985394401691359E-2</v>
      </c>
      <c r="T307" s="1326"/>
    </row>
    <row r="308" spans="2:20" ht="13.8" x14ac:dyDescent="0.25">
      <c r="B308" s="4033" t="s">
        <v>2418</v>
      </c>
      <c r="C308" s="4023"/>
      <c r="D308" s="4039"/>
      <c r="E308" s="4039"/>
      <c r="F308" s="4039"/>
      <c r="G308" s="4039"/>
      <c r="H308" s="4039"/>
      <c r="I308" s="4039"/>
      <c r="J308" s="4039"/>
      <c r="K308" s="4039"/>
      <c r="L308" s="4039"/>
      <c r="M308" s="4039"/>
      <c r="N308" s="4039"/>
      <c r="O308" s="4039"/>
      <c r="P308" s="4039"/>
      <c r="Q308" s="4039"/>
      <c r="R308" s="4040"/>
      <c r="T308" s="1326"/>
    </row>
    <row r="309" spans="2:20" ht="13.8" x14ac:dyDescent="0.25">
      <c r="B309" s="4032" t="s">
        <v>3647</v>
      </c>
      <c r="C309" s="4038" t="s">
        <v>3655</v>
      </c>
      <c r="D309" s="4043">
        <v>649.81330097073896</v>
      </c>
      <c r="E309" s="4043">
        <v>0.58137187431044757</v>
      </c>
      <c r="F309" s="4046">
        <v>1.211912758929268</v>
      </c>
      <c r="G309" s="4046">
        <v>99.338444452969753</v>
      </c>
      <c r="H309" s="4043">
        <v>133.95980145127373</v>
      </c>
      <c r="I309" s="4043">
        <v>134.02928297041066</v>
      </c>
      <c r="J309" s="4043">
        <v>125.33966420075859</v>
      </c>
      <c r="K309" s="4043">
        <v>133.91461110244614</v>
      </c>
      <c r="L309" s="4046">
        <v>17.102122452727912</v>
      </c>
      <c r="M309" s="4046">
        <v>1.5084413898336189</v>
      </c>
      <c r="N309" s="4043">
        <v>0.55841301729525739</v>
      </c>
      <c r="O309" s="4043">
        <v>0.54836289730772425</v>
      </c>
      <c r="P309" s="4043">
        <v>0.56103818864850097</v>
      </c>
      <c r="Q309" s="4043">
        <v>0.53340524610714946</v>
      </c>
      <c r="R309" s="4044">
        <v>0.62642896772024592</v>
      </c>
      <c r="T309" s="1326"/>
    </row>
    <row r="310" spans="2:20" ht="13.8" x14ac:dyDescent="0.25">
      <c r="B310" s="4032" t="s">
        <v>3650</v>
      </c>
      <c r="C310" s="4023" t="str">
        <f>C309</f>
        <v>тис. кВт·год</v>
      </c>
      <c r="D310" s="4039">
        <f>D309</f>
        <v>649.81330097073896</v>
      </c>
      <c r="E310" s="4039">
        <f t="shared" ref="E310:R310" si="177">E309</f>
        <v>0.58137187431044757</v>
      </c>
      <c r="F310" s="4039">
        <f t="shared" si="177"/>
        <v>1.211912758929268</v>
      </c>
      <c r="G310" s="4039">
        <f t="shared" si="177"/>
        <v>99.338444452969753</v>
      </c>
      <c r="H310" s="4039">
        <f t="shared" si="177"/>
        <v>133.95980145127373</v>
      </c>
      <c r="I310" s="4039">
        <f t="shared" si="177"/>
        <v>134.02928297041066</v>
      </c>
      <c r="J310" s="4039">
        <f t="shared" si="177"/>
        <v>125.33966420075859</v>
      </c>
      <c r="K310" s="4039">
        <f t="shared" si="177"/>
        <v>133.91461110244614</v>
      </c>
      <c r="L310" s="4039">
        <f t="shared" si="177"/>
        <v>17.102122452727912</v>
      </c>
      <c r="M310" s="4039">
        <f t="shared" si="177"/>
        <v>1.5084413898336189</v>
      </c>
      <c r="N310" s="4039">
        <f t="shared" si="177"/>
        <v>0.55841301729525739</v>
      </c>
      <c r="O310" s="4039">
        <f t="shared" si="177"/>
        <v>0.54836289730772425</v>
      </c>
      <c r="P310" s="4039">
        <f t="shared" si="177"/>
        <v>0.56103818864850097</v>
      </c>
      <c r="Q310" s="4039">
        <f t="shared" si="177"/>
        <v>0.53340524610714946</v>
      </c>
      <c r="R310" s="4039">
        <f t="shared" si="177"/>
        <v>0.62642896772024592</v>
      </c>
      <c r="T310" s="1326"/>
    </row>
    <row r="311" spans="2:20" ht="13.8" x14ac:dyDescent="0.25">
      <c r="B311" s="4032" t="s">
        <v>3648</v>
      </c>
      <c r="C311" s="4023" t="s">
        <v>3665</v>
      </c>
      <c r="D311" s="4039">
        <v>164.86534727241229</v>
      </c>
      <c r="E311" s="4039">
        <v>0.14750094497822722</v>
      </c>
      <c r="F311" s="4045">
        <v>0.30747665147244824</v>
      </c>
      <c r="G311" s="4045">
        <v>25.203342433548574</v>
      </c>
      <c r="H311" s="4039">
        <v>33.98719163460482</v>
      </c>
      <c r="I311" s="4039">
        <v>34.004819920705472</v>
      </c>
      <c r="J311" s="4039">
        <v>31.800160499324885</v>
      </c>
      <c r="K311" s="4039">
        <v>33.975726306730344</v>
      </c>
      <c r="L311" s="4045">
        <v>4.3390114561401854</v>
      </c>
      <c r="M311" s="4045">
        <v>0.38270948471428456</v>
      </c>
      <c r="N311" s="4039">
        <v>0.14167601044836686</v>
      </c>
      <c r="O311" s="4039">
        <v>0.13912617571983971</v>
      </c>
      <c r="P311" s="4039">
        <v>0.14234204757957908</v>
      </c>
      <c r="Q311" s="4039">
        <v>0.1353312420737009</v>
      </c>
      <c r="R311" s="4040">
        <v>0.15893246437155895</v>
      </c>
      <c r="T311" s="1326"/>
    </row>
    <row r="312" spans="2:20" ht="13.8" x14ac:dyDescent="0.25">
      <c r="B312" s="4032" t="s">
        <v>3649</v>
      </c>
      <c r="C312" s="4023" t="s">
        <v>3665</v>
      </c>
      <c r="D312" s="4039">
        <v>18.31052729593393</v>
      </c>
      <c r="E312" s="4039">
        <v>1.6381975496265001E-2</v>
      </c>
      <c r="F312" s="4045">
        <v>3.4149442031295392E-2</v>
      </c>
      <c r="G312" s="4045">
        <v>2.7991721560245901</v>
      </c>
      <c r="H312" s="4039">
        <v>3.7747374474593745</v>
      </c>
      <c r="I312" s="4039">
        <v>3.7766953071258649</v>
      </c>
      <c r="J312" s="4039">
        <v>3.5318380513028744</v>
      </c>
      <c r="K312" s="4039">
        <v>3.7734640676832383</v>
      </c>
      <c r="L312" s="4045">
        <v>0.48190592516538844</v>
      </c>
      <c r="M312" s="4045">
        <v>4.2505065996038663E-2</v>
      </c>
      <c r="N312" s="4039">
        <v>1.5735037710547049E-2</v>
      </c>
      <c r="O312" s="4039">
        <v>1.5451844066950911E-2</v>
      </c>
      <c r="P312" s="4039">
        <v>1.580901014485743E-2</v>
      </c>
      <c r="Q312" s="4039">
        <v>1.5030365343474432E-2</v>
      </c>
      <c r="R312" s="4040">
        <v>1.7651600383171876E-2</v>
      </c>
      <c r="T312" s="1326"/>
    </row>
    <row r="313" spans="2:20" ht="13.8" x14ac:dyDescent="0.25">
      <c r="B313" s="4033" t="s">
        <v>2419</v>
      </c>
      <c r="C313" s="4023"/>
      <c r="D313" s="4039"/>
      <c r="E313" s="4039"/>
      <c r="F313" s="4039"/>
      <c r="G313" s="4039"/>
      <c r="H313" s="4039"/>
      <c r="I313" s="4039"/>
      <c r="J313" s="4039"/>
      <c r="K313" s="4039"/>
      <c r="L313" s="4039"/>
      <c r="M313" s="4039"/>
      <c r="N313" s="4039"/>
      <c r="O313" s="4039"/>
      <c r="P313" s="4039"/>
      <c r="Q313" s="4039"/>
      <c r="R313" s="4040"/>
      <c r="T313" s="1326"/>
    </row>
    <row r="314" spans="2:20" ht="13.8" x14ac:dyDescent="0.25">
      <c r="B314" s="4034" t="s">
        <v>3647</v>
      </c>
      <c r="C314" s="4038" t="s">
        <v>3655</v>
      </c>
      <c r="D314" s="4039">
        <v>1716.5015258491917</v>
      </c>
      <c r="E314" s="4039">
        <v>1.2677953519783614</v>
      </c>
      <c r="F314" s="4045">
        <v>5.6002905259505713</v>
      </c>
      <c r="G314" s="4045">
        <v>261.78026521418002</v>
      </c>
      <c r="H314" s="4039">
        <v>353.2083280004656</v>
      </c>
      <c r="I314" s="4039">
        <v>353.50396942825375</v>
      </c>
      <c r="J314" s="4039">
        <v>330.50699715740495</v>
      </c>
      <c r="K314" s="4039">
        <v>353.00116654222273</v>
      </c>
      <c r="L314" s="4045">
        <v>45.52812987674276</v>
      </c>
      <c r="M314" s="4045">
        <v>6.0488206029663827</v>
      </c>
      <c r="N314" s="4039">
        <v>1.1580603023047427</v>
      </c>
      <c r="O314" s="4039">
        <v>1.1542929250922758</v>
      </c>
      <c r="P314" s="4039">
        <v>1.1716042189514992</v>
      </c>
      <c r="Q314" s="4039">
        <v>1.0339539914928506</v>
      </c>
      <c r="R314" s="4040">
        <v>1.5378517111854675</v>
      </c>
      <c r="T314" s="1326"/>
    </row>
    <row r="315" spans="2:20" ht="13.8" x14ac:dyDescent="0.25">
      <c r="B315" s="4034" t="s">
        <v>3650</v>
      </c>
      <c r="C315" s="4023" t="str">
        <f>C314</f>
        <v>тис. кВт·год</v>
      </c>
      <c r="D315" s="4039">
        <f>D314</f>
        <v>1716.5015258491917</v>
      </c>
      <c r="E315" s="4039">
        <f t="shared" ref="E315:R315" si="178">E314</f>
        <v>1.2677953519783614</v>
      </c>
      <c r="F315" s="4039">
        <f t="shared" si="178"/>
        <v>5.6002905259505713</v>
      </c>
      <c r="G315" s="4039">
        <f t="shared" si="178"/>
        <v>261.78026521418002</v>
      </c>
      <c r="H315" s="4039">
        <f t="shared" si="178"/>
        <v>353.2083280004656</v>
      </c>
      <c r="I315" s="4039">
        <f t="shared" si="178"/>
        <v>353.50396942825375</v>
      </c>
      <c r="J315" s="4039">
        <f t="shared" si="178"/>
        <v>330.50699715740495</v>
      </c>
      <c r="K315" s="4039">
        <f t="shared" si="178"/>
        <v>353.00116654222273</v>
      </c>
      <c r="L315" s="4039">
        <f t="shared" si="178"/>
        <v>45.52812987674276</v>
      </c>
      <c r="M315" s="4039">
        <f t="shared" si="178"/>
        <v>6.0488206029663827</v>
      </c>
      <c r="N315" s="4039">
        <f t="shared" si="178"/>
        <v>1.1580603023047427</v>
      </c>
      <c r="O315" s="4039">
        <f t="shared" si="178"/>
        <v>1.1542929250922758</v>
      </c>
      <c r="P315" s="4039">
        <f t="shared" si="178"/>
        <v>1.1716042189514992</v>
      </c>
      <c r="Q315" s="4039">
        <f t="shared" si="178"/>
        <v>1.0339539914928506</v>
      </c>
      <c r="R315" s="4039">
        <f t="shared" si="178"/>
        <v>1.5378517111854675</v>
      </c>
      <c r="T315" s="1326"/>
    </row>
    <row r="316" spans="2:20" ht="13.8" x14ac:dyDescent="0.25">
      <c r="B316" s="4034" t="s">
        <v>3648</v>
      </c>
      <c r="C316" s="4023" t="s">
        <v>3665</v>
      </c>
      <c r="D316" s="4039">
        <v>435.49681074548465</v>
      </c>
      <c r="E316" s="4039">
        <v>0.32165472861515748</v>
      </c>
      <c r="F316" s="4045">
        <v>1.4208601778510181</v>
      </c>
      <c r="G316" s="4045">
        <v>66.416760428151662</v>
      </c>
      <c r="H316" s="4039">
        <v>89.613145142326104</v>
      </c>
      <c r="I316" s="4039">
        <v>89.688152881606896</v>
      </c>
      <c r="J316" s="4039">
        <v>83.853548058985311</v>
      </c>
      <c r="K316" s="4039">
        <v>89.56058582151249</v>
      </c>
      <c r="L316" s="4045">
        <v>11.551026935859349</v>
      </c>
      <c r="M316" s="4045">
        <v>1.534657582119084</v>
      </c>
      <c r="N316" s="4039">
        <v>0.29381364403690996</v>
      </c>
      <c r="O316" s="4039">
        <v>0.29285781572205144</v>
      </c>
      <c r="P316" s="4039">
        <v>0.29724989644673355</v>
      </c>
      <c r="Q316" s="4039">
        <v>0.26232639993135748</v>
      </c>
      <c r="R316" s="4040">
        <v>0.39017123232059292</v>
      </c>
      <c r="T316" s="1326"/>
    </row>
    <row r="317" spans="2:20" ht="13.8" x14ac:dyDescent="0.25">
      <c r="B317" s="4034" t="s">
        <v>3649</v>
      </c>
      <c r="C317" s="4023" t="s">
        <v>3665</v>
      </c>
      <c r="D317" s="4039">
        <v>48.367812717316419</v>
      </c>
      <c r="E317" s="4039">
        <v>3.5724109314751125E-2</v>
      </c>
      <c r="F317" s="4045">
        <v>0.15780574572325612</v>
      </c>
      <c r="G317" s="4045">
        <v>7.3764798051693168</v>
      </c>
      <c r="H317" s="4039">
        <v>9.9527521541067046</v>
      </c>
      <c r="I317" s="4039">
        <v>9.961082778341753</v>
      </c>
      <c r="J317" s="4039">
        <v>9.3130709757822139</v>
      </c>
      <c r="K317" s="4039">
        <v>9.9469147304495493</v>
      </c>
      <c r="L317" s="4045">
        <v>1.2828978163351914</v>
      </c>
      <c r="M317" s="4045">
        <v>0.17044448704476561</v>
      </c>
      <c r="N317" s="4039">
        <v>3.2631980207255461E-2</v>
      </c>
      <c r="O317" s="4039">
        <v>3.252582254138451E-2</v>
      </c>
      <c r="P317" s="4039">
        <v>3.3013622526801421E-2</v>
      </c>
      <c r="Q317" s="4039">
        <v>2.913489575496116E-2</v>
      </c>
      <c r="R317" s="4040">
        <v>4.3333794018519479E-2</v>
      </c>
      <c r="T317" s="1326"/>
    </row>
    <row r="318" spans="2:20" ht="13.8" x14ac:dyDescent="0.25">
      <c r="B318" s="4031" t="s">
        <v>2233</v>
      </c>
      <c r="C318" s="4023"/>
      <c r="D318" s="4039"/>
      <c r="E318" s="4039"/>
      <c r="F318" s="4039"/>
      <c r="G318" s="4039"/>
      <c r="H318" s="4039"/>
      <c r="I318" s="4039"/>
      <c r="J318" s="4039"/>
      <c r="K318" s="4039"/>
      <c r="L318" s="4039"/>
      <c r="M318" s="4039"/>
      <c r="N318" s="4039"/>
      <c r="O318" s="4039"/>
      <c r="P318" s="4039"/>
      <c r="Q318" s="4039"/>
      <c r="R318" s="4040"/>
      <c r="T318" s="1326"/>
    </row>
    <row r="319" spans="2:20" ht="13.8" x14ac:dyDescent="0.25">
      <c r="B319" s="4034" t="s">
        <v>3647</v>
      </c>
      <c r="C319" s="4038" t="s">
        <v>3655</v>
      </c>
      <c r="D319" s="4039">
        <v>3.8022784000000005</v>
      </c>
      <c r="E319" s="4039">
        <v>0.32243200000000005</v>
      </c>
      <c r="F319" s="4045">
        <v>7.3279999999999998E-2</v>
      </c>
      <c r="G319" s="4045">
        <v>0.23326720000000004</v>
      </c>
      <c r="H319" s="4039">
        <v>0.28815360000000001</v>
      </c>
      <c r="I319" s="4039">
        <v>0.31559680000000001</v>
      </c>
      <c r="J319" s="4039">
        <v>0.28815360000000001</v>
      </c>
      <c r="K319" s="4039">
        <v>0.28815360000000001</v>
      </c>
      <c r="L319" s="4045">
        <v>5.4886400000000002E-2</v>
      </c>
      <c r="M319" s="4045">
        <v>0.24284159999999999</v>
      </c>
      <c r="N319" s="4039">
        <v>0.31029760000000006</v>
      </c>
      <c r="O319" s="4039">
        <v>0.33151999999999998</v>
      </c>
      <c r="P319" s="4039">
        <v>0.38124800000000003</v>
      </c>
      <c r="Q319" s="4039">
        <v>0.36467200000000005</v>
      </c>
      <c r="R319" s="4040">
        <v>0.30777599999999999</v>
      </c>
      <c r="T319" s="1326"/>
    </row>
    <row r="320" spans="2:20" ht="13.8" x14ac:dyDescent="0.25">
      <c r="B320" s="4032" t="s">
        <v>3650</v>
      </c>
      <c r="C320" s="4023" t="str">
        <f>C319</f>
        <v>тис. кВт·год</v>
      </c>
      <c r="D320" s="4039">
        <f>D319</f>
        <v>3.8022784000000005</v>
      </c>
      <c r="E320" s="4039">
        <f t="shared" ref="E320:R320" si="179">E319</f>
        <v>0.32243200000000005</v>
      </c>
      <c r="F320" s="4039">
        <f t="shared" si="179"/>
        <v>7.3279999999999998E-2</v>
      </c>
      <c r="G320" s="4039">
        <f t="shared" si="179"/>
        <v>0.23326720000000004</v>
      </c>
      <c r="H320" s="4039">
        <f t="shared" si="179"/>
        <v>0.28815360000000001</v>
      </c>
      <c r="I320" s="4039">
        <f t="shared" si="179"/>
        <v>0.31559680000000001</v>
      </c>
      <c r="J320" s="4039">
        <f t="shared" si="179"/>
        <v>0.28815360000000001</v>
      </c>
      <c r="K320" s="4039">
        <f t="shared" si="179"/>
        <v>0.28815360000000001</v>
      </c>
      <c r="L320" s="4039">
        <f t="shared" si="179"/>
        <v>5.4886400000000002E-2</v>
      </c>
      <c r="M320" s="4039">
        <f t="shared" si="179"/>
        <v>0.24284159999999999</v>
      </c>
      <c r="N320" s="4039">
        <f t="shared" si="179"/>
        <v>0.31029760000000006</v>
      </c>
      <c r="O320" s="4039">
        <f t="shared" si="179"/>
        <v>0.33151999999999998</v>
      </c>
      <c r="P320" s="4039">
        <f t="shared" si="179"/>
        <v>0.38124800000000003</v>
      </c>
      <c r="Q320" s="4039">
        <f t="shared" si="179"/>
        <v>0.36467200000000005</v>
      </c>
      <c r="R320" s="4039">
        <f t="shared" si="179"/>
        <v>0.30777599999999999</v>
      </c>
      <c r="T320" s="1326"/>
    </row>
    <row r="321" spans="2:20" ht="13.8" x14ac:dyDescent="0.25">
      <c r="B321" s="4034" t="s">
        <v>3648</v>
      </c>
      <c r="C321" s="4023" t="s">
        <v>3665</v>
      </c>
      <c r="D321" s="4039"/>
      <c r="E321" s="4039"/>
      <c r="F321" s="4045"/>
      <c r="G321" s="4045"/>
      <c r="H321" s="4039"/>
      <c r="I321" s="4039"/>
      <c r="J321" s="4039"/>
      <c r="K321" s="4039"/>
      <c r="L321" s="4045"/>
      <c r="M321" s="4045"/>
      <c r="N321" s="4039"/>
      <c r="O321" s="4039"/>
      <c r="P321" s="4039"/>
      <c r="Q321" s="4039"/>
      <c r="R321" s="4040"/>
      <c r="T321" s="1326"/>
    </row>
    <row r="322" spans="2:20" ht="13.8" x14ac:dyDescent="0.25">
      <c r="B322" s="4034" t="s">
        <v>3649</v>
      </c>
      <c r="C322" s="4023" t="s">
        <v>3665</v>
      </c>
      <c r="D322" s="4039"/>
      <c r="E322" s="4039"/>
      <c r="F322" s="4045"/>
      <c r="G322" s="4045"/>
      <c r="H322" s="4039"/>
      <c r="I322" s="4039"/>
      <c r="J322" s="4039"/>
      <c r="K322" s="4039"/>
      <c r="L322" s="4045"/>
      <c r="M322" s="4045"/>
      <c r="N322" s="4039"/>
      <c r="O322" s="4039"/>
      <c r="P322" s="4039"/>
      <c r="Q322" s="4039"/>
      <c r="R322" s="4040"/>
      <c r="T322" s="1326"/>
    </row>
    <row r="323" spans="2:20" ht="13.8" x14ac:dyDescent="0.25">
      <c r="B323" s="4031" t="s">
        <v>1437</v>
      </c>
      <c r="C323" s="4023"/>
      <c r="D323" s="4039"/>
      <c r="E323" s="4039"/>
      <c r="F323" s="4039"/>
      <c r="G323" s="4039"/>
      <c r="H323" s="4039"/>
      <c r="I323" s="4039"/>
      <c r="J323" s="4039"/>
      <c r="K323" s="4039"/>
      <c r="L323" s="4039"/>
      <c r="M323" s="4039"/>
      <c r="N323" s="4039"/>
      <c r="O323" s="4039"/>
      <c r="P323" s="4039"/>
      <c r="Q323" s="4039"/>
      <c r="R323" s="4040"/>
      <c r="T323" s="1326"/>
    </row>
    <row r="324" spans="2:20" ht="13.8" x14ac:dyDescent="0.25">
      <c r="B324" s="4034" t="s">
        <v>3647</v>
      </c>
      <c r="C324" s="4038" t="s">
        <v>3655</v>
      </c>
      <c r="D324" s="4039">
        <v>19.6981392</v>
      </c>
      <c r="E324" s="4039">
        <v>1.6733648000000001</v>
      </c>
      <c r="F324" s="4045">
        <v>0.37859199999999998</v>
      </c>
      <c r="G324" s="4045">
        <v>1.2436736000000002</v>
      </c>
      <c r="H324" s="4039">
        <v>1.5364608</v>
      </c>
      <c r="I324" s="4039">
        <v>1.6788223999999998</v>
      </c>
      <c r="J324" s="4039">
        <v>1.5324288000000001</v>
      </c>
      <c r="K324" s="4039">
        <v>1.5364608</v>
      </c>
      <c r="L324" s="4045">
        <v>0.2900992</v>
      </c>
      <c r="M324" s="4045">
        <v>1.2750336000000002</v>
      </c>
      <c r="N324" s="4039">
        <v>1.6269696000000002</v>
      </c>
      <c r="O324" s="4039">
        <v>1.7147679999999998</v>
      </c>
      <c r="P324" s="4039">
        <v>1.7292544000000005</v>
      </c>
      <c r="Q324" s="4039">
        <v>1.8845648000000002</v>
      </c>
      <c r="R324" s="4040">
        <v>1.5976463999999999</v>
      </c>
      <c r="T324" s="1326"/>
    </row>
    <row r="325" spans="2:20" ht="13.8" x14ac:dyDescent="0.25">
      <c r="B325" s="4032" t="s">
        <v>3650</v>
      </c>
      <c r="C325" s="4023" t="str">
        <f>C324</f>
        <v>тис. кВт·год</v>
      </c>
      <c r="D325" s="4039">
        <f>D324</f>
        <v>19.6981392</v>
      </c>
      <c r="E325" s="4039">
        <f t="shared" ref="E325:R325" si="180">E324</f>
        <v>1.6733648000000001</v>
      </c>
      <c r="F325" s="4039">
        <f t="shared" si="180"/>
        <v>0.37859199999999998</v>
      </c>
      <c r="G325" s="4039">
        <f t="shared" si="180"/>
        <v>1.2436736000000002</v>
      </c>
      <c r="H325" s="4039">
        <f t="shared" si="180"/>
        <v>1.5364608</v>
      </c>
      <c r="I325" s="4039">
        <f t="shared" si="180"/>
        <v>1.6788223999999998</v>
      </c>
      <c r="J325" s="4039">
        <f t="shared" si="180"/>
        <v>1.5324288000000001</v>
      </c>
      <c r="K325" s="4039">
        <f t="shared" si="180"/>
        <v>1.5364608</v>
      </c>
      <c r="L325" s="4039">
        <f t="shared" si="180"/>
        <v>0.2900992</v>
      </c>
      <c r="M325" s="4039">
        <f t="shared" si="180"/>
        <v>1.2750336000000002</v>
      </c>
      <c r="N325" s="4039">
        <f t="shared" si="180"/>
        <v>1.6269696000000002</v>
      </c>
      <c r="O325" s="4039">
        <f t="shared" si="180"/>
        <v>1.7147679999999998</v>
      </c>
      <c r="P325" s="4039">
        <f t="shared" si="180"/>
        <v>1.7292544000000005</v>
      </c>
      <c r="Q325" s="4039">
        <f t="shared" si="180"/>
        <v>1.8845648000000002</v>
      </c>
      <c r="R325" s="4039">
        <f t="shared" si="180"/>
        <v>1.5976463999999999</v>
      </c>
      <c r="T325" s="1326"/>
    </row>
    <row r="326" spans="2:20" ht="13.8" x14ac:dyDescent="0.25">
      <c r="B326" s="4034" t="s">
        <v>3648</v>
      </c>
      <c r="C326" s="4023" t="s">
        <v>3665</v>
      </c>
      <c r="D326" s="4039"/>
      <c r="E326" s="4039"/>
      <c r="F326" s="4045"/>
      <c r="G326" s="4045"/>
      <c r="H326" s="4039"/>
      <c r="I326" s="4039"/>
      <c r="J326" s="4039"/>
      <c r="K326" s="4039"/>
      <c r="L326" s="4045"/>
      <c r="M326" s="4045"/>
      <c r="N326" s="4039"/>
      <c r="O326" s="4039"/>
      <c r="P326" s="4039"/>
      <c r="Q326" s="4039"/>
      <c r="R326" s="4040"/>
      <c r="T326" s="1326"/>
    </row>
    <row r="327" spans="2:20" ht="13.8" x14ac:dyDescent="0.25">
      <c r="B327" s="4034" t="s">
        <v>3649</v>
      </c>
      <c r="C327" s="4023" t="s">
        <v>3665</v>
      </c>
      <c r="D327" s="4039"/>
      <c r="E327" s="4039"/>
      <c r="F327" s="4045"/>
      <c r="G327" s="4045"/>
      <c r="H327" s="4039"/>
      <c r="I327" s="4039"/>
      <c r="J327" s="4039"/>
      <c r="K327" s="4039"/>
      <c r="L327" s="4045"/>
      <c r="M327" s="4045"/>
      <c r="N327" s="4039"/>
      <c r="O327" s="4039"/>
      <c r="P327" s="4039"/>
      <c r="Q327" s="4039"/>
      <c r="R327" s="4040"/>
      <c r="T327" s="1326"/>
    </row>
    <row r="328" spans="2:20" ht="13.8" x14ac:dyDescent="0.25">
      <c r="B328" s="4031" t="s">
        <v>2246</v>
      </c>
      <c r="C328" s="4023"/>
      <c r="D328" s="4039"/>
      <c r="E328" s="4039"/>
      <c r="F328" s="4039"/>
      <c r="G328" s="4039"/>
      <c r="H328" s="4039"/>
      <c r="I328" s="4039"/>
      <c r="J328" s="4039"/>
      <c r="K328" s="4039"/>
      <c r="L328" s="4039"/>
      <c r="M328" s="4039"/>
      <c r="N328" s="4039"/>
      <c r="O328" s="4039"/>
      <c r="P328" s="4039"/>
      <c r="Q328" s="4039"/>
      <c r="R328" s="4040"/>
      <c r="T328" s="1326"/>
    </row>
    <row r="329" spans="2:20" ht="13.8" x14ac:dyDescent="0.25">
      <c r="B329" s="4034" t="s">
        <v>3647</v>
      </c>
      <c r="C329" s="4038" t="s">
        <v>3655</v>
      </c>
      <c r="D329" s="4039">
        <v>15.7314688</v>
      </c>
      <c r="E329" s="4039">
        <v>1.355904</v>
      </c>
      <c r="F329" s="4045">
        <v>0.3081600000000001</v>
      </c>
      <c r="G329" s="4045">
        <v>0.87127039999999989</v>
      </c>
      <c r="H329" s="4039">
        <v>1.0762752</v>
      </c>
      <c r="I329" s="4039">
        <v>1.1787775999999999</v>
      </c>
      <c r="J329" s="4039">
        <v>1.0762752</v>
      </c>
      <c r="K329" s="4039">
        <v>1.0762752</v>
      </c>
      <c r="L329" s="4045">
        <v>0.20500480000000001</v>
      </c>
      <c r="M329" s="4045">
        <v>0.89349120000000004</v>
      </c>
      <c r="N329" s="4039">
        <v>1.1416832000000001</v>
      </c>
      <c r="O329" s="4039">
        <v>1.6166399999999999</v>
      </c>
      <c r="P329" s="4039">
        <v>1.8591360000000003</v>
      </c>
      <c r="Q329" s="4039">
        <v>1.7783040000000001</v>
      </c>
      <c r="R329" s="4040">
        <v>1.2942719999999999</v>
      </c>
      <c r="T329" s="1326"/>
    </row>
    <row r="330" spans="2:20" ht="13.8" x14ac:dyDescent="0.25">
      <c r="B330" s="4032" t="s">
        <v>3650</v>
      </c>
      <c r="C330" s="4023" t="str">
        <f>C329</f>
        <v>тис. кВт·год</v>
      </c>
      <c r="D330" s="4039">
        <f>D329</f>
        <v>15.7314688</v>
      </c>
      <c r="E330" s="4039">
        <f t="shared" ref="E330:R330" si="181">E329</f>
        <v>1.355904</v>
      </c>
      <c r="F330" s="4039">
        <f t="shared" si="181"/>
        <v>0.3081600000000001</v>
      </c>
      <c r="G330" s="4039">
        <f t="shared" si="181"/>
        <v>0.87127039999999989</v>
      </c>
      <c r="H330" s="4039">
        <f t="shared" si="181"/>
        <v>1.0762752</v>
      </c>
      <c r="I330" s="4039">
        <f t="shared" si="181"/>
        <v>1.1787775999999999</v>
      </c>
      <c r="J330" s="4039">
        <f t="shared" si="181"/>
        <v>1.0762752</v>
      </c>
      <c r="K330" s="4039">
        <f t="shared" si="181"/>
        <v>1.0762752</v>
      </c>
      <c r="L330" s="4039">
        <f t="shared" si="181"/>
        <v>0.20500480000000001</v>
      </c>
      <c r="M330" s="4039">
        <f t="shared" si="181"/>
        <v>0.89349120000000004</v>
      </c>
      <c r="N330" s="4039">
        <f t="shared" si="181"/>
        <v>1.1416832000000001</v>
      </c>
      <c r="O330" s="4039">
        <f t="shared" si="181"/>
        <v>1.6166399999999999</v>
      </c>
      <c r="P330" s="4039">
        <f t="shared" si="181"/>
        <v>1.8591360000000003</v>
      </c>
      <c r="Q330" s="4039">
        <f t="shared" si="181"/>
        <v>1.7783040000000001</v>
      </c>
      <c r="R330" s="4039">
        <f t="shared" si="181"/>
        <v>1.2942719999999999</v>
      </c>
      <c r="T330" s="1326"/>
    </row>
    <row r="331" spans="2:20" ht="13.8" x14ac:dyDescent="0.25">
      <c r="B331" s="4034" t="s">
        <v>3648</v>
      </c>
      <c r="C331" s="4023" t="s">
        <v>3665</v>
      </c>
      <c r="D331" s="4039"/>
      <c r="E331" s="4039"/>
      <c r="F331" s="4045"/>
      <c r="G331" s="4045"/>
      <c r="H331" s="4039"/>
      <c r="I331" s="4039"/>
      <c r="J331" s="4039"/>
      <c r="K331" s="4039"/>
      <c r="L331" s="4045"/>
      <c r="M331" s="4045"/>
      <c r="N331" s="4039"/>
      <c r="O331" s="4039"/>
      <c r="P331" s="4039"/>
      <c r="Q331" s="4039"/>
      <c r="R331" s="4040"/>
      <c r="T331" s="1326"/>
    </row>
    <row r="332" spans="2:20" ht="13.8" x14ac:dyDescent="0.25">
      <c r="B332" s="4034" t="s">
        <v>3649</v>
      </c>
      <c r="C332" s="4023" t="s">
        <v>3665</v>
      </c>
      <c r="D332" s="4039"/>
      <c r="E332" s="4039"/>
      <c r="F332" s="4045"/>
      <c r="G332" s="4045"/>
      <c r="H332" s="4039"/>
      <c r="I332" s="4039"/>
      <c r="J332" s="4039"/>
      <c r="K332" s="4039"/>
      <c r="L332" s="4045"/>
      <c r="M332" s="4045"/>
      <c r="N332" s="4039"/>
      <c r="O332" s="4039"/>
      <c r="P332" s="4039"/>
      <c r="Q332" s="4039"/>
      <c r="R332" s="4040"/>
      <c r="T332" s="1326"/>
    </row>
    <row r="333" spans="2:20" ht="13.8" x14ac:dyDescent="0.25">
      <c r="B333" s="4031" t="s">
        <v>1390</v>
      </c>
      <c r="C333" s="4023"/>
      <c r="D333" s="4039"/>
      <c r="E333" s="4039"/>
      <c r="F333" s="4039"/>
      <c r="G333" s="4039"/>
      <c r="H333" s="4039"/>
      <c r="I333" s="4039"/>
      <c r="J333" s="4039"/>
      <c r="K333" s="4039"/>
      <c r="L333" s="4039"/>
      <c r="M333" s="4039"/>
      <c r="N333" s="4039"/>
      <c r="O333" s="4039"/>
      <c r="P333" s="4039"/>
      <c r="Q333" s="4039"/>
      <c r="R333" s="4040"/>
      <c r="T333" s="1326"/>
    </row>
    <row r="334" spans="2:20" ht="13.8" x14ac:dyDescent="0.25">
      <c r="B334" s="4034" t="s">
        <v>3647</v>
      </c>
      <c r="C334" s="4038" t="s">
        <v>3655</v>
      </c>
      <c r="D334" s="4039">
        <v>2.1134723559999999</v>
      </c>
      <c r="E334" s="4039">
        <v>0.172246712</v>
      </c>
      <c r="F334" s="4045">
        <v>3.9146979999999998E-2</v>
      </c>
      <c r="G334" s="4045">
        <v>0.133099732</v>
      </c>
      <c r="H334" s="4039">
        <v>0.16441731600000001</v>
      </c>
      <c r="I334" s="4039">
        <v>0.18007610800000001</v>
      </c>
      <c r="J334" s="4039">
        <v>0.16441731600000001</v>
      </c>
      <c r="K334" s="4039">
        <v>0.16441731600000001</v>
      </c>
      <c r="L334" s="4045">
        <v>3.1317583999999996E-2</v>
      </c>
      <c r="M334" s="4045">
        <v>0.14092912800000001</v>
      </c>
      <c r="N334" s="4039">
        <v>0.18007610800000001</v>
      </c>
      <c r="O334" s="4039">
        <v>0.15658791999999999</v>
      </c>
      <c r="P334" s="4039">
        <v>0.18007610800000001</v>
      </c>
      <c r="Q334" s="4039">
        <v>0.172246712</v>
      </c>
      <c r="R334" s="4040">
        <v>0.23441731599999999</v>
      </c>
      <c r="T334" s="1326"/>
    </row>
    <row r="335" spans="2:20" ht="13.8" x14ac:dyDescent="0.25">
      <c r="B335" s="4032" t="s">
        <v>3650</v>
      </c>
      <c r="C335" s="4023" t="str">
        <f>C334</f>
        <v>тис. кВт·год</v>
      </c>
      <c r="D335" s="4039">
        <f>D334</f>
        <v>2.1134723559999999</v>
      </c>
      <c r="E335" s="4039">
        <f t="shared" ref="E335:R335" si="182">E334</f>
        <v>0.172246712</v>
      </c>
      <c r="F335" s="4039">
        <f t="shared" si="182"/>
        <v>3.9146979999999998E-2</v>
      </c>
      <c r="G335" s="4039">
        <f t="shared" si="182"/>
        <v>0.133099732</v>
      </c>
      <c r="H335" s="4039">
        <f t="shared" si="182"/>
        <v>0.16441731600000001</v>
      </c>
      <c r="I335" s="4039">
        <f t="shared" si="182"/>
        <v>0.18007610800000001</v>
      </c>
      <c r="J335" s="4039">
        <f t="shared" si="182"/>
        <v>0.16441731600000001</v>
      </c>
      <c r="K335" s="4039">
        <f t="shared" si="182"/>
        <v>0.16441731600000001</v>
      </c>
      <c r="L335" s="4039">
        <f t="shared" si="182"/>
        <v>3.1317583999999996E-2</v>
      </c>
      <c r="M335" s="4039">
        <f t="shared" si="182"/>
        <v>0.14092912800000001</v>
      </c>
      <c r="N335" s="4039">
        <f t="shared" si="182"/>
        <v>0.18007610800000001</v>
      </c>
      <c r="O335" s="4039">
        <f t="shared" si="182"/>
        <v>0.15658791999999999</v>
      </c>
      <c r="P335" s="4039">
        <f t="shared" si="182"/>
        <v>0.18007610800000001</v>
      </c>
      <c r="Q335" s="4039">
        <f t="shared" si="182"/>
        <v>0.172246712</v>
      </c>
      <c r="R335" s="4039">
        <f t="shared" si="182"/>
        <v>0.23441731599999999</v>
      </c>
      <c r="T335" s="1326"/>
    </row>
    <row r="336" spans="2:20" ht="13.8" x14ac:dyDescent="0.25">
      <c r="B336" s="4034" t="s">
        <v>3648</v>
      </c>
      <c r="C336" s="4023" t="s">
        <v>3665</v>
      </c>
      <c r="D336" s="4039"/>
      <c r="E336" s="4039"/>
      <c r="F336" s="4045"/>
      <c r="G336" s="4045"/>
      <c r="H336" s="4039"/>
      <c r="I336" s="4039"/>
      <c r="J336" s="4039"/>
      <c r="K336" s="4039"/>
      <c r="L336" s="4045"/>
      <c r="M336" s="4045"/>
      <c r="N336" s="4039"/>
      <c r="O336" s="4039"/>
      <c r="P336" s="4039"/>
      <c r="Q336" s="4039"/>
      <c r="R336" s="4040"/>
      <c r="T336" s="1326"/>
    </row>
    <row r="337" spans="2:20" ht="13.8" x14ac:dyDescent="0.25">
      <c r="B337" s="4034" t="s">
        <v>3649</v>
      </c>
      <c r="C337" s="4023" t="s">
        <v>3665</v>
      </c>
      <c r="D337" s="4039"/>
      <c r="E337" s="4039"/>
      <c r="F337" s="4045"/>
      <c r="G337" s="4045"/>
      <c r="H337" s="4039"/>
      <c r="I337" s="4039"/>
      <c r="J337" s="4039"/>
      <c r="K337" s="4039"/>
      <c r="L337" s="4045"/>
      <c r="M337" s="4045"/>
      <c r="N337" s="4039"/>
      <c r="O337" s="4039"/>
      <c r="P337" s="4039"/>
      <c r="Q337" s="4039"/>
      <c r="R337" s="4040"/>
      <c r="T337" s="1326"/>
    </row>
    <row r="338" spans="2:20" ht="13.8" x14ac:dyDescent="0.25">
      <c r="B338" s="4031" t="s">
        <v>1436</v>
      </c>
      <c r="C338" s="4023"/>
      <c r="D338" s="4039"/>
      <c r="E338" s="4039"/>
      <c r="F338" s="4039"/>
      <c r="G338" s="4039"/>
      <c r="H338" s="4039"/>
      <c r="I338" s="4039"/>
      <c r="J338" s="4039"/>
      <c r="K338" s="4039"/>
      <c r="L338" s="4039"/>
      <c r="M338" s="4039"/>
      <c r="N338" s="4039"/>
      <c r="O338" s="4039"/>
      <c r="P338" s="4039"/>
      <c r="Q338" s="4039"/>
      <c r="R338" s="4040"/>
      <c r="T338" s="1326"/>
    </row>
    <row r="339" spans="2:20" ht="13.8" x14ac:dyDescent="0.25">
      <c r="B339" s="4034" t="s">
        <v>3647</v>
      </c>
      <c r="C339" s="4038" t="s">
        <v>3655</v>
      </c>
      <c r="D339" s="4039">
        <v>6.0781856000000021</v>
      </c>
      <c r="E339" s="4039">
        <v>0.51356800000000014</v>
      </c>
      <c r="F339" s="4045">
        <v>0.11672</v>
      </c>
      <c r="G339" s="4045">
        <v>0.3694848</v>
      </c>
      <c r="H339" s="4039">
        <v>0.45642240000000006</v>
      </c>
      <c r="I339" s="4039">
        <v>0.49989120000000009</v>
      </c>
      <c r="J339" s="4039">
        <v>0.45642240000000006</v>
      </c>
      <c r="K339" s="4039">
        <v>0.45642240000000006</v>
      </c>
      <c r="L339" s="4045">
        <v>8.6937600000000004E-2</v>
      </c>
      <c r="M339" s="4045">
        <v>0.3798144</v>
      </c>
      <c r="N339" s="4039">
        <v>0.48531840000000009</v>
      </c>
      <c r="O339" s="4039">
        <v>0.54367999999999994</v>
      </c>
      <c r="P339" s="4039">
        <v>0.62523200000000023</v>
      </c>
      <c r="Q339" s="4039">
        <v>0.59804800000000014</v>
      </c>
      <c r="R339" s="4040">
        <v>0.49022400000000005</v>
      </c>
      <c r="T339" s="1326"/>
    </row>
    <row r="340" spans="2:20" ht="13.8" x14ac:dyDescent="0.25">
      <c r="B340" s="4032" t="s">
        <v>3650</v>
      </c>
      <c r="C340" s="4023" t="str">
        <f>C339</f>
        <v>тис. кВт·год</v>
      </c>
      <c r="D340" s="4039">
        <f>D339</f>
        <v>6.0781856000000021</v>
      </c>
      <c r="E340" s="4039">
        <f t="shared" ref="E340:R340" si="183">E339</f>
        <v>0.51356800000000014</v>
      </c>
      <c r="F340" s="4039">
        <f t="shared" si="183"/>
        <v>0.11672</v>
      </c>
      <c r="G340" s="4039">
        <f t="shared" si="183"/>
        <v>0.3694848</v>
      </c>
      <c r="H340" s="4039">
        <f t="shared" si="183"/>
        <v>0.45642240000000006</v>
      </c>
      <c r="I340" s="4039">
        <f t="shared" si="183"/>
        <v>0.49989120000000009</v>
      </c>
      <c r="J340" s="4039">
        <f t="shared" si="183"/>
        <v>0.45642240000000006</v>
      </c>
      <c r="K340" s="4039">
        <f t="shared" si="183"/>
        <v>0.45642240000000006</v>
      </c>
      <c r="L340" s="4039">
        <f t="shared" si="183"/>
        <v>8.6937600000000004E-2</v>
      </c>
      <c r="M340" s="4039">
        <f t="shared" si="183"/>
        <v>0.3798144</v>
      </c>
      <c r="N340" s="4039">
        <f t="shared" si="183"/>
        <v>0.48531840000000009</v>
      </c>
      <c r="O340" s="4039">
        <f t="shared" si="183"/>
        <v>0.54367999999999994</v>
      </c>
      <c r="P340" s="4039">
        <f t="shared" si="183"/>
        <v>0.62523200000000023</v>
      </c>
      <c r="Q340" s="4039">
        <f t="shared" si="183"/>
        <v>0.59804800000000014</v>
      </c>
      <c r="R340" s="4039">
        <f t="shared" si="183"/>
        <v>0.49022400000000005</v>
      </c>
      <c r="T340" s="1326"/>
    </row>
    <row r="341" spans="2:20" ht="13.8" x14ac:dyDescent="0.25">
      <c r="B341" s="4034" t="s">
        <v>3648</v>
      </c>
      <c r="C341" s="4023" t="s">
        <v>3665</v>
      </c>
      <c r="D341" s="4039"/>
      <c r="E341" s="4039"/>
      <c r="F341" s="4045"/>
      <c r="G341" s="4045"/>
      <c r="H341" s="4039"/>
      <c r="I341" s="4039"/>
      <c r="J341" s="4039"/>
      <c r="K341" s="4039"/>
      <c r="L341" s="4045"/>
      <c r="M341" s="4045"/>
      <c r="N341" s="4039"/>
      <c r="O341" s="4039"/>
      <c r="P341" s="4039"/>
      <c r="Q341" s="4039"/>
      <c r="R341" s="4040"/>
      <c r="T341" s="1326"/>
    </row>
    <row r="342" spans="2:20" ht="13.8" x14ac:dyDescent="0.25">
      <c r="B342" s="4034" t="s">
        <v>3649</v>
      </c>
      <c r="C342" s="4023" t="s">
        <v>3665</v>
      </c>
      <c r="D342" s="4039"/>
      <c r="E342" s="4039"/>
      <c r="F342" s="4045"/>
      <c r="G342" s="4045"/>
      <c r="H342" s="4039"/>
      <c r="I342" s="4039"/>
      <c r="J342" s="4039"/>
      <c r="K342" s="4039"/>
      <c r="L342" s="4045"/>
      <c r="M342" s="4045"/>
      <c r="N342" s="4039"/>
      <c r="O342" s="4039"/>
      <c r="P342" s="4039"/>
      <c r="Q342" s="4039"/>
      <c r="R342" s="4040"/>
      <c r="T342" s="1326"/>
    </row>
    <row r="343" spans="2:20" ht="13.8" x14ac:dyDescent="0.25">
      <c r="B343" s="4031" t="s">
        <v>930</v>
      </c>
      <c r="C343" s="4023"/>
      <c r="D343" s="4039"/>
      <c r="E343" s="4039"/>
      <c r="F343" s="4039"/>
      <c r="G343" s="4039"/>
      <c r="H343" s="4039"/>
      <c r="I343" s="4039"/>
      <c r="J343" s="4039"/>
      <c r="K343" s="4039"/>
      <c r="L343" s="4039"/>
      <c r="M343" s="4039"/>
      <c r="N343" s="4039"/>
      <c r="O343" s="4039"/>
      <c r="P343" s="4039"/>
      <c r="Q343" s="4039"/>
      <c r="R343" s="4040"/>
      <c r="T343" s="1326"/>
    </row>
    <row r="344" spans="2:20" ht="13.8" x14ac:dyDescent="0.25">
      <c r="B344" s="4034" t="s">
        <v>3647</v>
      </c>
      <c r="C344" s="4038" t="s">
        <v>3655</v>
      </c>
      <c r="D344" s="4039"/>
      <c r="E344" s="4039"/>
      <c r="F344" s="4045"/>
      <c r="G344" s="4045"/>
      <c r="H344" s="4039"/>
      <c r="I344" s="4039"/>
      <c r="J344" s="4039"/>
      <c r="K344" s="4039"/>
      <c r="L344" s="4045"/>
      <c r="M344" s="4045"/>
      <c r="N344" s="4039"/>
      <c r="O344" s="4039"/>
      <c r="P344" s="4039"/>
      <c r="Q344" s="4039"/>
      <c r="R344" s="4040"/>
      <c r="T344" s="1326"/>
    </row>
    <row r="345" spans="2:20" ht="13.8" x14ac:dyDescent="0.25">
      <c r="B345" s="4032" t="s">
        <v>3650</v>
      </c>
      <c r="C345" s="4023" t="str">
        <f>C344</f>
        <v>тис. кВт·год</v>
      </c>
      <c r="D345" s="4039"/>
      <c r="E345" s="4039"/>
      <c r="F345" s="4045"/>
      <c r="G345" s="4045"/>
      <c r="H345" s="4039"/>
      <c r="I345" s="4039"/>
      <c r="J345" s="4039"/>
      <c r="K345" s="4039"/>
      <c r="L345" s="4045"/>
      <c r="M345" s="4045"/>
      <c r="N345" s="4039"/>
      <c r="O345" s="4039"/>
      <c r="P345" s="4039"/>
      <c r="Q345" s="4039"/>
      <c r="R345" s="4040"/>
      <c r="T345" s="1326"/>
    </row>
    <row r="346" spans="2:20" ht="13.8" x14ac:dyDescent="0.25">
      <c r="B346" s="4034" t="s">
        <v>3648</v>
      </c>
      <c r="C346" s="4023" t="s">
        <v>3665</v>
      </c>
      <c r="D346" s="4039"/>
      <c r="E346" s="4039"/>
      <c r="F346" s="4045"/>
      <c r="G346" s="4045"/>
      <c r="H346" s="4039"/>
      <c r="I346" s="4039"/>
      <c r="J346" s="4039"/>
      <c r="K346" s="4039"/>
      <c r="L346" s="4045"/>
      <c r="M346" s="4045"/>
      <c r="N346" s="4039"/>
      <c r="O346" s="4039"/>
      <c r="P346" s="4039"/>
      <c r="Q346" s="4039"/>
      <c r="R346" s="4040"/>
      <c r="T346" s="1326"/>
    </row>
    <row r="347" spans="2:20" ht="13.8" x14ac:dyDescent="0.25">
      <c r="B347" s="4034" t="s">
        <v>3649</v>
      </c>
      <c r="C347" s="4023" t="s">
        <v>3665</v>
      </c>
      <c r="D347" s="4039"/>
      <c r="E347" s="4039"/>
      <c r="F347" s="4045"/>
      <c r="G347" s="4045"/>
      <c r="H347" s="4039"/>
      <c r="I347" s="4039"/>
      <c r="J347" s="4039"/>
      <c r="K347" s="4039"/>
      <c r="L347" s="4045"/>
      <c r="M347" s="4045"/>
      <c r="N347" s="4039"/>
      <c r="O347" s="4039"/>
      <c r="P347" s="4039"/>
      <c r="Q347" s="4039"/>
      <c r="R347" s="4040"/>
      <c r="T347" s="1326"/>
    </row>
    <row r="348" spans="2:20" ht="13.8" x14ac:dyDescent="0.25">
      <c r="B348" s="4031" t="s">
        <v>2300</v>
      </c>
      <c r="C348" s="4023"/>
      <c r="D348" s="4039"/>
      <c r="E348" s="4039"/>
      <c r="F348" s="4039"/>
      <c r="G348" s="4039"/>
      <c r="H348" s="4039"/>
      <c r="I348" s="4039"/>
      <c r="J348" s="4039"/>
      <c r="K348" s="4039"/>
      <c r="L348" s="4039"/>
      <c r="M348" s="4039"/>
      <c r="N348" s="4039"/>
      <c r="O348" s="4039"/>
      <c r="P348" s="4039"/>
      <c r="Q348" s="4039"/>
      <c r="R348" s="4040"/>
      <c r="T348" s="1326"/>
    </row>
    <row r="349" spans="2:20" ht="13.8" x14ac:dyDescent="0.25">
      <c r="B349" s="4034" t="s">
        <v>3647</v>
      </c>
      <c r="C349" s="4038" t="s">
        <v>3655</v>
      </c>
      <c r="D349" s="4039">
        <v>4.3386624000000005</v>
      </c>
      <c r="E349" s="4039">
        <v>0.35711999999999999</v>
      </c>
      <c r="F349" s="4045">
        <v>5.7599999999999998E-2</v>
      </c>
      <c r="G349" s="4045">
        <v>0.28799999999999998</v>
      </c>
      <c r="H349" s="4039">
        <v>0.35711999999999999</v>
      </c>
      <c r="I349" s="4039">
        <v>0.35711999999999999</v>
      </c>
      <c r="J349" s="4039">
        <v>0.45642240000000006</v>
      </c>
      <c r="K349" s="4039">
        <v>0.35711999999999999</v>
      </c>
      <c r="L349" s="4045">
        <v>4.6079999999999996E-2</v>
      </c>
      <c r="M349" s="4045">
        <v>0.29952000000000001</v>
      </c>
      <c r="N349" s="4039">
        <v>0.35711999999999999</v>
      </c>
      <c r="O349" s="4039">
        <v>0.34560000000000002</v>
      </c>
      <c r="P349" s="4039">
        <v>0.35711999999999999</v>
      </c>
      <c r="Q349" s="4039">
        <v>0.35711999999999999</v>
      </c>
      <c r="R349" s="4040">
        <v>0.34560000000000002</v>
      </c>
      <c r="T349" s="1326"/>
    </row>
    <row r="350" spans="2:20" ht="13.8" x14ac:dyDescent="0.25">
      <c r="B350" s="4032" t="s">
        <v>3650</v>
      </c>
      <c r="C350" s="4023" t="str">
        <f>C349</f>
        <v>тис. кВт·год</v>
      </c>
      <c r="D350" s="4039">
        <f>D349</f>
        <v>4.3386624000000005</v>
      </c>
      <c r="E350" s="4039">
        <f t="shared" ref="E350:R350" si="184">E349</f>
        <v>0.35711999999999999</v>
      </c>
      <c r="F350" s="4039">
        <f t="shared" si="184"/>
        <v>5.7599999999999998E-2</v>
      </c>
      <c r="G350" s="4039">
        <f t="shared" si="184"/>
        <v>0.28799999999999998</v>
      </c>
      <c r="H350" s="4039">
        <f t="shared" si="184"/>
        <v>0.35711999999999999</v>
      </c>
      <c r="I350" s="4039">
        <f t="shared" si="184"/>
        <v>0.35711999999999999</v>
      </c>
      <c r="J350" s="4039">
        <f t="shared" si="184"/>
        <v>0.45642240000000006</v>
      </c>
      <c r="K350" s="4039">
        <f t="shared" si="184"/>
        <v>0.35711999999999999</v>
      </c>
      <c r="L350" s="4039">
        <f t="shared" si="184"/>
        <v>4.6079999999999996E-2</v>
      </c>
      <c r="M350" s="4039">
        <f t="shared" si="184"/>
        <v>0.29952000000000001</v>
      </c>
      <c r="N350" s="4039">
        <f t="shared" si="184"/>
        <v>0.35711999999999999</v>
      </c>
      <c r="O350" s="4039">
        <f t="shared" si="184"/>
        <v>0.34560000000000002</v>
      </c>
      <c r="P350" s="4039">
        <f t="shared" si="184"/>
        <v>0.35711999999999999</v>
      </c>
      <c r="Q350" s="4039">
        <f t="shared" si="184"/>
        <v>0.35711999999999999</v>
      </c>
      <c r="R350" s="4039">
        <f t="shared" si="184"/>
        <v>0.34560000000000002</v>
      </c>
      <c r="T350" s="1326"/>
    </row>
    <row r="351" spans="2:20" ht="13.8" x14ac:dyDescent="0.25">
      <c r="B351" s="4034" t="s">
        <v>3648</v>
      </c>
      <c r="C351" s="4023" t="s">
        <v>3665</v>
      </c>
      <c r="D351" s="4039">
        <v>4.3018854638454347E-2</v>
      </c>
      <c r="E351" s="4039">
        <v>3.5409285056345508E-3</v>
      </c>
      <c r="F351" s="4045">
        <v>5.711175009087986E-4</v>
      </c>
      <c r="G351" s="4045">
        <v>2.8555875045439922E-3</v>
      </c>
      <c r="H351" s="4039">
        <v>3.5409285056345508E-3</v>
      </c>
      <c r="I351" s="4039">
        <v>3.5409285056345508E-3</v>
      </c>
      <c r="J351" s="4039">
        <v>4.5255350772013198E-3</v>
      </c>
      <c r="K351" s="4039">
        <v>3.5409285056345508E-3</v>
      </c>
      <c r="L351" s="4045">
        <v>4.5689400072703882E-4</v>
      </c>
      <c r="M351" s="4045">
        <v>2.9698110047257525E-3</v>
      </c>
      <c r="N351" s="4039">
        <v>3.5409285056345508E-3</v>
      </c>
      <c r="O351" s="4039">
        <v>3.4267050054527914E-3</v>
      </c>
      <c r="P351" s="4039">
        <v>3.5409285056345508E-3</v>
      </c>
      <c r="Q351" s="4039">
        <v>3.5409285056345508E-3</v>
      </c>
      <c r="R351" s="4040">
        <v>3.4267050054527914E-3</v>
      </c>
      <c r="T351" s="1326"/>
    </row>
    <row r="352" spans="2:20" ht="14.4" thickBot="1" x14ac:dyDescent="0.3">
      <c r="B352" s="4035" t="s">
        <v>3649</v>
      </c>
      <c r="C352" s="4023" t="s">
        <v>3665</v>
      </c>
      <c r="D352" s="4041"/>
      <c r="E352" s="4041"/>
      <c r="F352" s="4047"/>
      <c r="G352" s="4047"/>
      <c r="H352" s="4041"/>
      <c r="I352" s="4041"/>
      <c r="J352" s="4041"/>
      <c r="K352" s="4041"/>
      <c r="L352" s="4047"/>
      <c r="M352" s="4047"/>
      <c r="N352" s="4041"/>
      <c r="O352" s="4041"/>
      <c r="P352" s="4041"/>
      <c r="Q352" s="4041"/>
      <c r="R352" s="4042"/>
      <c r="T352" s="1326"/>
    </row>
  </sheetData>
  <autoFilter ref="B8:T84" xr:uid="{00000000-0009-0000-0000-000024000000}"/>
  <mergeCells count="85">
    <mergeCell ref="B178:C178"/>
    <mergeCell ref="E178:H178"/>
    <mergeCell ref="L178:O178"/>
    <mergeCell ref="B149:C149"/>
    <mergeCell ref="E149:H149"/>
    <mergeCell ref="L149:O149"/>
    <mergeCell ref="B177:C177"/>
    <mergeCell ref="E177:H177"/>
    <mergeCell ref="L177:O177"/>
    <mergeCell ref="G87:I87"/>
    <mergeCell ref="B68:P68"/>
    <mergeCell ref="G88:I88"/>
    <mergeCell ref="C87:D87"/>
    <mergeCell ref="C88:D88"/>
    <mergeCell ref="M87:P87"/>
    <mergeCell ref="M88:P88"/>
    <mergeCell ref="P6:P7"/>
    <mergeCell ref="K6:K7"/>
    <mergeCell ref="L6:L7"/>
    <mergeCell ref="B27:P27"/>
    <mergeCell ref="B10:P10"/>
    <mergeCell ref="L148:O148"/>
    <mergeCell ref="L1:P1"/>
    <mergeCell ref="B3:P3"/>
    <mergeCell ref="B4:P4"/>
    <mergeCell ref="B5:P5"/>
    <mergeCell ref="B6:B7"/>
    <mergeCell ref="C6:C7"/>
    <mergeCell ref="E6:E7"/>
    <mergeCell ref="F6:F7"/>
    <mergeCell ref="G6:G7"/>
    <mergeCell ref="H6:H7"/>
    <mergeCell ref="I6:I7"/>
    <mergeCell ref="J6:J7"/>
    <mergeCell ref="O6:O7"/>
    <mergeCell ref="M6:M7"/>
    <mergeCell ref="N6:N7"/>
    <mergeCell ref="B92:P92"/>
    <mergeCell ref="B93:P93"/>
    <mergeCell ref="B94:P94"/>
    <mergeCell ref="B95:B96"/>
    <mergeCell ref="C95:C96"/>
    <mergeCell ref="E95:E96"/>
    <mergeCell ref="K95:K96"/>
    <mergeCell ref="L95:L96"/>
    <mergeCell ref="N95:N96"/>
    <mergeCell ref="J95:J96"/>
    <mergeCell ref="F95:F96"/>
    <mergeCell ref="G95:G96"/>
    <mergeCell ref="O95:O96"/>
    <mergeCell ref="M95:M96"/>
    <mergeCell ref="O182:O183"/>
    <mergeCell ref="P182:P183"/>
    <mergeCell ref="H95:H96"/>
    <mergeCell ref="I95:I96"/>
    <mergeCell ref="P95:P96"/>
    <mergeCell ref="H182:H183"/>
    <mergeCell ref="I182:I183"/>
    <mergeCell ref="M182:M183"/>
    <mergeCell ref="N182:N183"/>
    <mergeCell ref="J182:J183"/>
    <mergeCell ref="K182:K183"/>
    <mergeCell ref="L182:L183"/>
    <mergeCell ref="B122:P122"/>
    <mergeCell ref="B151:P151"/>
    <mergeCell ref="B148:C148"/>
    <mergeCell ref="E148:H148"/>
    <mergeCell ref="B182:C183"/>
    <mergeCell ref="B228:C229"/>
    <mergeCell ref="E228:E229"/>
    <mergeCell ref="F228:F229"/>
    <mergeCell ref="G228:G229"/>
    <mergeCell ref="E182:E183"/>
    <mergeCell ref="F182:F183"/>
    <mergeCell ref="G182:G183"/>
    <mergeCell ref="B292:C292"/>
    <mergeCell ref="M228:M229"/>
    <mergeCell ref="N228:N229"/>
    <mergeCell ref="O228:O229"/>
    <mergeCell ref="P228:P229"/>
    <mergeCell ref="H228:H229"/>
    <mergeCell ref="I228:I229"/>
    <mergeCell ref="J228:J229"/>
    <mergeCell ref="K228:K229"/>
    <mergeCell ref="L228:L229"/>
  </mergeCells>
  <conditionalFormatting sqref="B4:P4 B93:P93">
    <cfRule type="cellIs" dxfId="29" priority="2" operator="equal">
      <formula>0</formula>
    </cfRule>
  </conditionalFormatting>
  <printOptions horizontalCentered="1"/>
  <pageMargins left="0" right="0" top="0.6692913385826772" bottom="0.18" header="0" footer="0"/>
  <pageSetup paperSize="9" scale="85" fitToHeight="0" orientation="landscape" r:id="rId1"/>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500-000000000000}">
  <sheetPr codeName="Лист31">
    <tabColor rgb="FFFFC000"/>
    <pageSetUpPr fitToPage="1"/>
  </sheetPr>
  <dimension ref="A1:M135"/>
  <sheetViews>
    <sheetView topLeftCell="A9" zoomScale="110" zoomScaleNormal="110" zoomScaleSheetLayoutView="100" workbookViewId="0">
      <pane xSplit="3" ySplit="2" topLeftCell="D101" activePane="bottomRight" state="frozen"/>
      <selection activeCell="A9" sqref="A9"/>
      <selection pane="topRight" activeCell="D9" sqref="D9"/>
      <selection pane="bottomLeft" activeCell="A11" sqref="A11"/>
      <selection pane="bottomRight" activeCell="G128" sqref="G128"/>
    </sheetView>
  </sheetViews>
  <sheetFormatPr defaultColWidth="9.109375" defaultRowHeight="14.4" x14ac:dyDescent="0.3"/>
  <cols>
    <col min="1" max="1" width="4.88671875" style="2303" customWidth="1"/>
    <col min="2" max="2" width="39.6640625" style="331" customWidth="1"/>
    <col min="3" max="3" width="9.109375" style="331"/>
    <col min="4" max="4" width="11.6640625" style="331" customWidth="1"/>
    <col min="5" max="5" width="11.109375" style="331" customWidth="1"/>
    <col min="6" max="6" width="10.88671875" style="331" customWidth="1"/>
    <col min="7" max="7" width="11" style="331" customWidth="1"/>
    <col min="8" max="8" width="14.44140625" style="340" customWidth="1"/>
    <col min="9" max="9" width="8" style="331" customWidth="1"/>
    <col min="10" max="10" width="12.33203125" style="331" customWidth="1"/>
    <col min="11" max="16384" width="9.109375" style="331"/>
  </cols>
  <sheetData>
    <row r="1" spans="1:8" ht="42" customHeight="1" x14ac:dyDescent="0.3">
      <c r="A1" s="2276"/>
      <c r="B1" s="1326"/>
      <c r="C1" s="1326"/>
      <c r="D1" s="1326"/>
      <c r="E1" s="5072" t="s">
        <v>3133</v>
      </c>
      <c r="F1" s="5072"/>
      <c r="G1" s="5072"/>
      <c r="H1" s="340" t="s">
        <v>657</v>
      </c>
    </row>
    <row r="2" spans="1:8" ht="16.95" customHeight="1" x14ac:dyDescent="0.3">
      <c r="A2" s="2276"/>
      <c r="B2" s="1326"/>
      <c r="C2" s="1326"/>
      <c r="D2" s="1326"/>
      <c r="E2" s="5280" t="str">
        <f>'Вхідні дані'!F1</f>
        <v>станом на 01.09.2023 року</v>
      </c>
      <c r="F2" s="5280"/>
      <c r="G2" s="5280"/>
    </row>
    <row r="3" spans="1:8" ht="17.399999999999999" customHeight="1" x14ac:dyDescent="0.3">
      <c r="A3" s="2276"/>
      <c r="B3" s="5346" t="s">
        <v>472</v>
      </c>
      <c r="C3" s="5281"/>
      <c r="D3" s="5281"/>
      <c r="E3" s="5281"/>
      <c r="F3" s="5281"/>
      <c r="G3" s="1326"/>
    </row>
    <row r="4" spans="1:8" s="2280" customFormat="1" ht="16.5" customHeight="1" x14ac:dyDescent="0.3">
      <c r="A4" s="2277"/>
      <c r="B4" s="5347" t="s">
        <v>473</v>
      </c>
      <c r="C4" s="5347"/>
      <c r="D4" s="5347"/>
      <c r="E4" s="5347"/>
      <c r="F4" s="5347"/>
      <c r="G4" s="2278"/>
      <c r="H4" s="2279">
        <v>2</v>
      </c>
    </row>
    <row r="5" spans="1:8" s="2280" customFormat="1" ht="15" customHeight="1" x14ac:dyDescent="0.3">
      <c r="A5" s="2277"/>
      <c r="B5" s="5347" t="s">
        <v>278</v>
      </c>
      <c r="C5" s="5347"/>
      <c r="D5" s="5347"/>
      <c r="E5" s="5347"/>
      <c r="F5" s="5347"/>
      <c r="G5" s="2278"/>
      <c r="H5" s="2279"/>
    </row>
    <row r="6" spans="1:8" s="2280" customFormat="1" x14ac:dyDescent="0.3">
      <c r="A6" s="2277"/>
      <c r="B6" s="5347" t="s">
        <v>836</v>
      </c>
      <c r="C6" s="5347"/>
      <c r="D6" s="5347"/>
      <c r="E6" s="5347"/>
      <c r="F6" s="5347"/>
      <c r="G6" s="2278"/>
      <c r="H6" s="340" t="s">
        <v>657</v>
      </c>
    </row>
    <row r="7" spans="1:8" s="2280" customFormat="1" x14ac:dyDescent="0.3">
      <c r="A7" s="2277"/>
      <c r="B7" s="5347" t="s">
        <v>280</v>
      </c>
      <c r="C7" s="5347"/>
      <c r="D7" s="5347"/>
      <c r="E7" s="5347"/>
      <c r="F7" s="5347"/>
      <c r="G7" s="2278"/>
      <c r="H7" s="2279"/>
    </row>
    <row r="8" spans="1:8" x14ac:dyDescent="0.3">
      <c r="A8" s="2276"/>
      <c r="B8" s="1326"/>
      <c r="C8" s="1326"/>
      <c r="D8" s="1326"/>
      <c r="E8" s="5326" t="s">
        <v>211</v>
      </c>
      <c r="F8" s="5348"/>
      <c r="G8" s="5348"/>
    </row>
    <row r="9" spans="1:8" ht="52.8" x14ac:dyDescent="0.3">
      <c r="A9" s="5349" t="s">
        <v>7</v>
      </c>
      <c r="B9" s="5351" t="s">
        <v>8</v>
      </c>
      <c r="C9" s="5353" t="s">
        <v>35</v>
      </c>
      <c r="D9" s="99" t="s">
        <v>281</v>
      </c>
      <c r="E9" s="99" t="s">
        <v>858</v>
      </c>
      <c r="F9" s="99" t="s">
        <v>282</v>
      </c>
      <c r="G9" s="99" t="s">
        <v>433</v>
      </c>
    </row>
    <row r="10" spans="1:8" ht="20.399999999999999" x14ac:dyDescent="0.3">
      <c r="A10" s="5350"/>
      <c r="B10" s="5352"/>
      <c r="C10" s="5329"/>
      <c r="D10" s="99">
        <f>'Вхідні дані'!F8</f>
        <v>2021</v>
      </c>
      <c r="E10" s="99">
        <f>'Вхідні дані'!F7</f>
        <v>2022</v>
      </c>
      <c r="F10" s="342" t="str">
        <f>'Вхідні дані'!F9</f>
        <v>Ріш. №296 від 25.10.2022</v>
      </c>
      <c r="G10" s="99" t="str">
        <f>'Вхідні дані'!F6</f>
        <v>2023-2024</v>
      </c>
    </row>
    <row r="11" spans="1:8" x14ac:dyDescent="0.3">
      <c r="A11" s="2281">
        <v>1</v>
      </c>
      <c r="B11" s="99">
        <v>2</v>
      </c>
      <c r="C11" s="99">
        <v>3</v>
      </c>
      <c r="D11" s="99">
        <v>4</v>
      </c>
      <c r="E11" s="99">
        <v>5</v>
      </c>
      <c r="F11" s="99">
        <v>6</v>
      </c>
      <c r="G11" s="99">
        <v>7</v>
      </c>
    </row>
    <row r="12" spans="1:8" x14ac:dyDescent="0.3">
      <c r="A12" s="5342" t="s">
        <v>0</v>
      </c>
      <c r="B12" s="5342"/>
      <c r="C12" s="5342"/>
      <c r="D12" s="5342"/>
      <c r="E12" s="5342"/>
      <c r="F12" s="5342"/>
      <c r="G12" s="5342"/>
    </row>
    <row r="13" spans="1:8" ht="26.4" x14ac:dyDescent="0.3">
      <c r="A13" s="968">
        <v>1</v>
      </c>
      <c r="B13" s="1" t="s">
        <v>283</v>
      </c>
      <c r="C13" s="99" t="s">
        <v>31</v>
      </c>
      <c r="D13" s="344">
        <v>160.40600000000001</v>
      </c>
      <c r="E13" s="344">
        <v>160.40600000000001</v>
      </c>
      <c r="F13" s="344">
        <v>160.40600000000001</v>
      </c>
      <c r="G13" s="344">
        <v>160.40600000000001</v>
      </c>
    </row>
    <row r="14" spans="1:8" ht="28.2" x14ac:dyDescent="0.3">
      <c r="A14" s="968">
        <v>2</v>
      </c>
      <c r="B14" s="1" t="s">
        <v>139</v>
      </c>
      <c r="C14" s="99" t="s">
        <v>31</v>
      </c>
      <c r="D14" s="344">
        <v>72.005065517062121</v>
      </c>
      <c r="E14" s="344">
        <f>'Д 7_РП'!F95-'Д 7_РП'!F112</f>
        <v>72.005065517062121</v>
      </c>
      <c r="F14" s="344">
        <v>72.005067517062102</v>
      </c>
      <c r="G14" s="344">
        <f>'Д 7_РП'!G95-'Д 7_РП'!F112</f>
        <v>71.594076517062135</v>
      </c>
      <c r="H14" s="2308" t="s">
        <v>2650</v>
      </c>
    </row>
    <row r="15" spans="1:8" ht="39.6" x14ac:dyDescent="0.3">
      <c r="A15" s="968">
        <v>3</v>
      </c>
      <c r="B15" s="1" t="s">
        <v>556</v>
      </c>
      <c r="C15" s="99" t="s">
        <v>140</v>
      </c>
      <c r="D15" s="342">
        <v>126.74</v>
      </c>
      <c r="E15" s="342">
        <v>131.80000000000001</v>
      </c>
      <c r="F15" s="2285">
        <v>133.12205989439525</v>
      </c>
      <c r="G15" s="341">
        <v>131.828</v>
      </c>
      <c r="H15" s="340" t="s">
        <v>657</v>
      </c>
    </row>
    <row r="16" spans="1:8" ht="12.6" customHeight="1" x14ac:dyDescent="0.3">
      <c r="A16" s="968" t="s">
        <v>60</v>
      </c>
      <c r="B16" s="1" t="s">
        <v>284</v>
      </c>
      <c r="C16" s="99"/>
      <c r="D16" s="342">
        <v>0</v>
      </c>
      <c r="E16" s="342">
        <v>0</v>
      </c>
      <c r="F16" s="342">
        <v>0</v>
      </c>
      <c r="G16" s="342">
        <v>0</v>
      </c>
    </row>
    <row r="17" spans="1:12" ht="39" customHeight="1" x14ac:dyDescent="0.3">
      <c r="A17" s="968">
        <v>4</v>
      </c>
      <c r="B17" s="1" t="s">
        <v>141</v>
      </c>
      <c r="C17" s="99" t="s">
        <v>142</v>
      </c>
      <c r="D17" s="341">
        <v>148.6</v>
      </c>
      <c r="E17" s="342">
        <v>155.4</v>
      </c>
      <c r="F17" s="2285">
        <v>156.0190541962312</v>
      </c>
      <c r="G17" s="341">
        <f>'Д 8_Паливо'!D9</f>
        <v>155.42580000000001</v>
      </c>
      <c r="H17" s="340" t="s">
        <v>657</v>
      </c>
    </row>
    <row r="18" spans="1:12" ht="37.950000000000003" customHeight="1" x14ac:dyDescent="0.3">
      <c r="A18" s="968">
        <v>5</v>
      </c>
      <c r="B18" s="1" t="s">
        <v>554</v>
      </c>
      <c r="C18" s="99" t="s">
        <v>142</v>
      </c>
      <c r="D18" s="341">
        <v>157</v>
      </c>
      <c r="E18" s="341">
        <v>156</v>
      </c>
      <c r="F18" s="2285">
        <v>156.0190541962312</v>
      </c>
      <c r="G18" s="341">
        <v>155.42580000000001</v>
      </c>
      <c r="H18" s="340" t="s">
        <v>657</v>
      </c>
    </row>
    <row r="19" spans="1:12" ht="13.2" customHeight="1" x14ac:dyDescent="0.3">
      <c r="A19" s="968">
        <v>6</v>
      </c>
      <c r="B19" s="1" t="s">
        <v>859</v>
      </c>
      <c r="C19" s="99" t="s">
        <v>22</v>
      </c>
      <c r="D19" s="2996">
        <f>'Д 7_РП'!E14</f>
        <v>102059.96539549297</v>
      </c>
      <c r="E19" s="2996">
        <f>'Д 7_РП'!F14</f>
        <v>74802.911352865674</v>
      </c>
      <c r="F19" s="341">
        <v>115528.91362043479</v>
      </c>
      <c r="G19" s="341">
        <f>'Д 7_РП'!G14</f>
        <v>111299.69555310537</v>
      </c>
      <c r="H19" s="340" t="s">
        <v>657</v>
      </c>
      <c r="I19" s="2995" t="s">
        <v>3385</v>
      </c>
    </row>
    <row r="20" spans="1:12" ht="38.4" customHeight="1" x14ac:dyDescent="0.3">
      <c r="A20" s="968">
        <v>7</v>
      </c>
      <c r="B20" s="1" t="s">
        <v>557</v>
      </c>
      <c r="C20" s="99" t="s">
        <v>22</v>
      </c>
      <c r="D20" s="341">
        <f>'Д 7_РП'!E19</f>
        <v>2245.3192387008457</v>
      </c>
      <c r="E20" s="341">
        <f>'Д 7_РП'!F19</f>
        <v>1645.6640497630433</v>
      </c>
      <c r="F20" s="341">
        <v>2541.6360996495787</v>
      </c>
      <c r="G20" s="341">
        <f>'Д 7_РП'!G19</f>
        <v>2448.5933021793226</v>
      </c>
      <c r="H20" s="340" t="s">
        <v>657</v>
      </c>
    </row>
    <row r="21" spans="1:12" ht="26.4" x14ac:dyDescent="0.3">
      <c r="A21" s="968">
        <v>8</v>
      </c>
      <c r="B21" s="1" t="s">
        <v>860</v>
      </c>
      <c r="C21" s="99" t="s">
        <v>22</v>
      </c>
      <c r="D21" s="341">
        <f>D19-D20</f>
        <v>99814.646156792121</v>
      </c>
      <c r="E21" s="341">
        <f>E19-E20</f>
        <v>73157.247303102631</v>
      </c>
      <c r="F21" s="341">
        <v>112987.27752078521</v>
      </c>
      <c r="G21" s="341">
        <f>G19-G20</f>
        <v>108851.10225092605</v>
      </c>
      <c r="H21" s="340" t="s">
        <v>657</v>
      </c>
      <c r="J21" s="964"/>
    </row>
    <row r="22" spans="1:12" ht="26.4" x14ac:dyDescent="0.3">
      <c r="A22" s="968">
        <v>9</v>
      </c>
      <c r="B22" s="1" t="s">
        <v>143</v>
      </c>
      <c r="C22" s="99" t="s">
        <v>144</v>
      </c>
      <c r="D22" s="3595">
        <v>50</v>
      </c>
      <c r="E22" s="3595">
        <v>50</v>
      </c>
      <c r="F22" s="339">
        <v>64.412501493704156</v>
      </c>
      <c r="G22" s="341">
        <f>ФОП!G9+ФОП!G44*'БАЗИ РОЗПОДІЛУ'!F15+ФОП!G49*'БАЗИ РОЗПОДІЛУ'!F22</f>
        <v>62.190319205891335</v>
      </c>
    </row>
    <row r="23" spans="1:12" ht="26.4" x14ac:dyDescent="0.3">
      <c r="A23" s="968">
        <v>10</v>
      </c>
      <c r="B23" s="1" t="s">
        <v>145</v>
      </c>
      <c r="C23" s="99" t="s">
        <v>146</v>
      </c>
      <c r="D23" s="3595">
        <v>17356</v>
      </c>
      <c r="E23" s="3595">
        <f>E24/E22/12*1000</f>
        <v>28748.834576708585</v>
      </c>
      <c r="F23" s="341">
        <v>24348.607026979509</v>
      </c>
      <c r="G23" s="341">
        <f>G24/G22/12*1000</f>
        <v>26738.593232121089</v>
      </c>
    </row>
    <row r="24" spans="1:12" ht="26.4" x14ac:dyDescent="0.3">
      <c r="A24" s="968">
        <v>11</v>
      </c>
      <c r="B24" s="1" t="s">
        <v>147</v>
      </c>
      <c r="C24" s="99" t="s">
        <v>40</v>
      </c>
      <c r="D24" s="3595">
        <f>'Зарплата Факт'!D5/1000</f>
        <v>15315.75957</v>
      </c>
      <c r="E24" s="3595">
        <f>'Зарплата Факт'!H5/1000</f>
        <v>17249.30074602515</v>
      </c>
      <c r="F24" s="341">
        <v>18820.256237939197</v>
      </c>
      <c r="G24" s="341">
        <f>(ФОП!H9+ФОП!H44*'БАЗИ РОЗПОДІЛУ'!F15+ФОП!H49*'БАЗИ РОЗПОДІЛУ'!F22)/1000</f>
        <v>19954.579778665156</v>
      </c>
    </row>
    <row r="25" spans="1:12" ht="26.4" x14ac:dyDescent="0.3">
      <c r="A25" s="968">
        <v>12</v>
      </c>
      <c r="B25" s="1" t="s">
        <v>474</v>
      </c>
      <c r="C25" s="99" t="s">
        <v>40</v>
      </c>
      <c r="D25" s="341">
        <f>'Ремонт-БФ'!B15/1000</f>
        <v>544.01949999999988</v>
      </c>
      <c r="E25" s="341">
        <f>'Ремонт-БФ'!B24/1000</f>
        <v>260.68468000000001</v>
      </c>
      <c r="F25" s="341">
        <v>622.89144101729084</v>
      </c>
      <c r="G25" s="341">
        <f>Виробництво_1ст!F35+(ЗВВ_1ст!F25+ЗВВ_1ст!F26)*'БАЗИ РОЗПОДІЛУ'!F15+(Адміністративні_1ст!F25+Адміністративні_1ст!F26)*'БАЗИ РОЗПОДІЛУ'!F22</f>
        <v>1255.2300837797457</v>
      </c>
      <c r="H25" s="340" t="s">
        <v>657</v>
      </c>
    </row>
    <row r="26" spans="1:12" ht="39.6" x14ac:dyDescent="0.3">
      <c r="A26" s="968" t="s">
        <v>93</v>
      </c>
      <c r="B26" s="1" t="s">
        <v>477</v>
      </c>
      <c r="C26" s="99" t="s">
        <v>40</v>
      </c>
      <c r="D26" s="341">
        <f>'Ремонт-БФ'!C15/1000</f>
        <v>538.29345999999987</v>
      </c>
      <c r="E26" s="341">
        <f>'Ремонт-БФ'!C24/1000</f>
        <v>260.68468000000001</v>
      </c>
      <c r="F26" s="341">
        <v>622.89144101729084</v>
      </c>
      <c r="G26" s="341">
        <f>G25</f>
        <v>1255.2300837797457</v>
      </c>
      <c r="H26" s="340" t="s">
        <v>657</v>
      </c>
    </row>
    <row r="27" spans="1:12" x14ac:dyDescent="0.3">
      <c r="A27" s="968">
        <v>13</v>
      </c>
      <c r="B27" s="1" t="s">
        <v>475</v>
      </c>
      <c r="C27" s="99" t="s">
        <v>40</v>
      </c>
      <c r="D27" s="3598">
        <f>(Амортизація!B9+Амортизація!B19+Амортизація!B25)/1000</f>
        <v>2221.4564000000005</v>
      </c>
      <c r="E27" s="3598">
        <f>(Амортизація!C9+Амортизація!C19+Амортизація!C25)/1000</f>
        <v>2433.83977</v>
      </c>
      <c r="F27" s="341">
        <v>2470.9896732508641</v>
      </c>
      <c r="G27" s="341">
        <f>Виробництво_1ст!F33+Виробництво_1ст!F34+(ЗВВ_1ст!F37+ЗВВ_1ст!F39)*'БАЗИ РОЗПОДІЛУ'!F15+'БАЗИ РОЗПОДІЛУ'!F22*(Адміністративні_1ст!F36+Адміністративні_1ст!F38)</f>
        <v>2207.3006434187841</v>
      </c>
      <c r="H27" s="340" t="s">
        <v>657</v>
      </c>
      <c r="I27" s="2282"/>
    </row>
    <row r="28" spans="1:12" ht="26.4" x14ac:dyDescent="0.3">
      <c r="A28" s="968">
        <v>14</v>
      </c>
      <c r="B28" s="1" t="s">
        <v>148</v>
      </c>
      <c r="C28" s="99" t="s">
        <v>40</v>
      </c>
      <c r="D28" s="341">
        <v>5455.97</v>
      </c>
      <c r="E28" s="341">
        <v>5455.97</v>
      </c>
      <c r="F28" s="341">
        <v>3937.7406939712569</v>
      </c>
      <c r="G28" s="939">
        <f>Виробництво_1ст!F16+ЗВВ_1ст!F28*'БАЗИ РОЗПОДІЛУ'!F15+Адміністративні_1ст!F28*'БАЗИ РОЗПОДІЛУ'!F22</f>
        <v>6088.7379501317018</v>
      </c>
    </row>
    <row r="29" spans="1:12" x14ac:dyDescent="0.3">
      <c r="A29" s="5342" t="s">
        <v>1</v>
      </c>
      <c r="B29" s="5342"/>
      <c r="C29" s="5342"/>
      <c r="D29" s="5342"/>
      <c r="E29" s="5342"/>
      <c r="F29" s="5342"/>
      <c r="G29" s="5342"/>
    </row>
    <row r="30" spans="1:12" ht="26.4" x14ac:dyDescent="0.3">
      <c r="A30" s="968">
        <v>1</v>
      </c>
      <c r="B30" s="1" t="s">
        <v>149</v>
      </c>
      <c r="C30" s="99" t="s">
        <v>150</v>
      </c>
      <c r="D30" s="336">
        <v>38.04</v>
      </c>
      <c r="E30" s="336">
        <v>38.04</v>
      </c>
      <c r="F30" s="336">
        <v>38.04</v>
      </c>
      <c r="G30" s="336">
        <v>38.04</v>
      </c>
      <c r="K30" s="340"/>
      <c r="L30" s="2283"/>
    </row>
    <row r="31" spans="1:12" ht="26.4" x14ac:dyDescent="0.3">
      <c r="A31" s="968">
        <v>2</v>
      </c>
      <c r="B31" s="1" t="s">
        <v>143</v>
      </c>
      <c r="C31" s="99" t="s">
        <v>144</v>
      </c>
      <c r="D31" s="3596">
        <v>44</v>
      </c>
      <c r="E31" s="3596">
        <v>44</v>
      </c>
      <c r="F31" s="339">
        <v>58.271215545908014</v>
      </c>
      <c r="G31" s="341">
        <f>ФОП!G14+ФОП!G19+ФОП!G44*'БАЗИ РОЗПОДІЛУ'!G15+ФОП!G49*'БАЗИ РОЗПОДІЛУ'!G22</f>
        <v>64.144678610272379</v>
      </c>
      <c r="J31" s="331" t="s">
        <v>846</v>
      </c>
    </row>
    <row r="32" spans="1:12" ht="26.4" x14ac:dyDescent="0.3">
      <c r="A32" s="968">
        <v>3</v>
      </c>
      <c r="B32" s="1" t="s">
        <v>145</v>
      </c>
      <c r="C32" s="99" t="s">
        <v>151</v>
      </c>
      <c r="D32" s="3596">
        <f>D43/D31/12*1000</f>
        <v>24071.612499999999</v>
      </c>
      <c r="E32" s="3596">
        <f>E43/E31/12*1000</f>
        <v>27730.319477803507</v>
      </c>
      <c r="F32" s="339">
        <v>19799.802366035939</v>
      </c>
      <c r="G32" s="339">
        <f>G43/G31/12*1000</f>
        <v>22206.628712955746</v>
      </c>
    </row>
    <row r="33" spans="1:10" ht="26.4" x14ac:dyDescent="0.3">
      <c r="A33" s="968">
        <v>4</v>
      </c>
      <c r="B33" s="1" t="s">
        <v>850</v>
      </c>
      <c r="C33" s="99" t="s">
        <v>22</v>
      </c>
      <c r="D33" s="339">
        <f>'Д 7_РП'!E24</f>
        <v>99814.646156792121</v>
      </c>
      <c r="E33" s="339">
        <f>'Д 7_РП'!F24</f>
        <v>73157.247303102631</v>
      </c>
      <c r="F33" s="339">
        <v>112987.27752078521</v>
      </c>
      <c r="G33" s="341">
        <f>'Д 7_РП'!G24</f>
        <v>108851.10225142605</v>
      </c>
      <c r="H33" s="340" t="s">
        <v>657</v>
      </c>
      <c r="I33" s="340" t="s">
        <v>851</v>
      </c>
    </row>
    <row r="34" spans="1:10" ht="26.4" x14ac:dyDescent="0.3">
      <c r="A34" s="968">
        <v>5</v>
      </c>
      <c r="B34" s="1" t="s">
        <v>852</v>
      </c>
      <c r="C34" s="99" t="s">
        <v>22</v>
      </c>
      <c r="D34" s="339">
        <f>'Д 7_РП'!E48</f>
        <v>7185.57</v>
      </c>
      <c r="E34" s="339">
        <f>'Д 7_РП'!F48</f>
        <v>6304.0299999999988</v>
      </c>
      <c r="F34" s="336">
        <v>10245.997438720546</v>
      </c>
      <c r="G34" s="341">
        <f>'Д 7_РП'!G48</f>
        <v>9896.8745684903461</v>
      </c>
      <c r="H34" s="340" t="s">
        <v>657</v>
      </c>
    </row>
    <row r="35" spans="1:10" x14ac:dyDescent="0.3">
      <c r="A35" s="968" t="s">
        <v>28</v>
      </c>
      <c r="B35" s="1" t="s">
        <v>285</v>
      </c>
      <c r="C35" s="99" t="s">
        <v>4</v>
      </c>
      <c r="D35" s="343">
        <f>D34/D33</f>
        <v>7.1989134627724577E-2</v>
      </c>
      <c r="E35" s="343">
        <f>E34/E33</f>
        <v>8.6170956841519139E-2</v>
      </c>
      <c r="F35" s="343">
        <v>9.068275352360522E-2</v>
      </c>
      <c r="G35" s="343">
        <f>G34/G33</f>
        <v>9.0921215897569727E-2</v>
      </c>
    </row>
    <row r="36" spans="1:10" ht="26.4" x14ac:dyDescent="0.3">
      <c r="A36" s="968">
        <v>6</v>
      </c>
      <c r="B36" s="1" t="s">
        <v>853</v>
      </c>
      <c r="C36" s="99" t="s">
        <v>22</v>
      </c>
      <c r="D36" s="2284">
        <v>10600</v>
      </c>
      <c r="E36" s="2284">
        <v>10600</v>
      </c>
      <c r="F36" s="2284">
        <v>10245.997438720546</v>
      </c>
      <c r="G36" s="2285">
        <f>G34</f>
        <v>9896.8745684903461</v>
      </c>
      <c r="H36" s="331"/>
    </row>
    <row r="37" spans="1:10" ht="26.4" x14ac:dyDescent="0.3">
      <c r="A37" s="968" t="s">
        <v>32</v>
      </c>
      <c r="B37" s="1" t="s">
        <v>2011</v>
      </c>
      <c r="C37" s="99" t="s">
        <v>4</v>
      </c>
      <c r="D37" s="343">
        <v>8.5999999999999993E-2</v>
      </c>
      <c r="E37" s="343">
        <v>8.5999999999999993E-2</v>
      </c>
      <c r="F37" s="343">
        <v>9.068275352360522E-2</v>
      </c>
      <c r="G37" s="343">
        <f>G36/G33</f>
        <v>9.0921215897569727E-2</v>
      </c>
      <c r="H37" s="340" t="s">
        <v>657</v>
      </c>
      <c r="I37" s="2283"/>
    </row>
    <row r="38" spans="1:10" ht="26.4" x14ac:dyDescent="0.3">
      <c r="A38" s="968">
        <v>7</v>
      </c>
      <c r="B38" s="1" t="s">
        <v>855</v>
      </c>
      <c r="C38" s="99" t="s">
        <v>22</v>
      </c>
      <c r="D38" s="339">
        <f>D33-D34</f>
        <v>92629.076156792114</v>
      </c>
      <c r="E38" s="339">
        <f>E33-E34</f>
        <v>66853.217303102632</v>
      </c>
      <c r="F38" s="339">
        <v>102741.28008206467</v>
      </c>
      <c r="G38" s="339">
        <f>G33-G34</f>
        <v>98954.227682935714</v>
      </c>
      <c r="I38" s="2282"/>
    </row>
    <row r="39" spans="1:10" ht="26.4" x14ac:dyDescent="0.3">
      <c r="A39" s="968" t="s">
        <v>64</v>
      </c>
      <c r="B39" s="1" t="s">
        <v>856</v>
      </c>
      <c r="C39" s="99" t="s">
        <v>22</v>
      </c>
      <c r="D39" s="339">
        <v>0</v>
      </c>
      <c r="E39" s="339">
        <v>0</v>
      </c>
      <c r="F39" s="339">
        <v>0</v>
      </c>
      <c r="G39" s="339">
        <v>0</v>
      </c>
      <c r="H39" s="340" t="s">
        <v>854</v>
      </c>
    </row>
    <row r="40" spans="1:10" ht="26.4" x14ac:dyDescent="0.3">
      <c r="A40" s="968" t="s">
        <v>66</v>
      </c>
      <c r="B40" s="1" t="s">
        <v>558</v>
      </c>
      <c r="C40" s="99" t="s">
        <v>22</v>
      </c>
      <c r="D40" s="339">
        <f>D41+D42</f>
        <v>92629.076156792114</v>
      </c>
      <c r="E40" s="339">
        <f>E41+E42</f>
        <v>66853.217303102632</v>
      </c>
      <c r="F40" s="339">
        <v>102741.28008206467</v>
      </c>
      <c r="G40" s="339">
        <f>G41+G42</f>
        <v>98954.227682935714</v>
      </c>
      <c r="H40" s="340" t="s">
        <v>854</v>
      </c>
    </row>
    <row r="41" spans="1:10" ht="15.6" customHeight="1" x14ac:dyDescent="0.3">
      <c r="A41" s="968" t="s">
        <v>152</v>
      </c>
      <c r="B41" s="1" t="s">
        <v>89</v>
      </c>
      <c r="C41" s="99" t="s">
        <v>22</v>
      </c>
      <c r="D41" s="339">
        <f>D33-D34</f>
        <v>92629.076156792114</v>
      </c>
      <c r="E41" s="339">
        <f>E33-E34</f>
        <v>66853.217303102632</v>
      </c>
      <c r="F41" s="339">
        <v>102741.28008206467</v>
      </c>
      <c r="G41" s="339">
        <f>G33-G34</f>
        <v>98954.227682935714</v>
      </c>
    </row>
    <row r="42" spans="1:10" ht="13.95" customHeight="1" x14ac:dyDescent="0.3">
      <c r="A42" s="968" t="s">
        <v>153</v>
      </c>
      <c r="B42" s="1" t="s">
        <v>857</v>
      </c>
      <c r="C42" s="99" t="s">
        <v>22</v>
      </c>
      <c r="D42" s="339">
        <v>0</v>
      </c>
      <c r="E42" s="339">
        <v>0</v>
      </c>
      <c r="F42" s="339">
        <v>0</v>
      </c>
      <c r="G42" s="339">
        <v>0</v>
      </c>
      <c r="H42" s="340" t="s">
        <v>854</v>
      </c>
    </row>
    <row r="43" spans="1:10" ht="26.4" x14ac:dyDescent="0.3">
      <c r="A43" s="968">
        <v>8</v>
      </c>
      <c r="B43" s="1" t="s">
        <v>147</v>
      </c>
      <c r="C43" s="99" t="s">
        <v>40</v>
      </c>
      <c r="D43" s="3595">
        <f>'Зарплата Факт'!D9/1000</f>
        <v>12709.811400000001</v>
      </c>
      <c r="E43" s="3595">
        <f>'Зарплата Факт'!H9/1000</f>
        <v>14641.608684280252</v>
      </c>
      <c r="F43" s="339">
        <v>13845.102617251918</v>
      </c>
      <c r="G43" s="341">
        <f>(ФОП!H14+ФОП!H19+ФОП!H44*'БАЗИ РОЗПОДІЛУ'!G15+ФОП!H49*'БАЗИ РОЗПОДІЛУ'!G22)/1000</f>
        <v>17093.244741722312</v>
      </c>
      <c r="I43" s="2283"/>
    </row>
    <row r="44" spans="1:10" s="2307" customFormat="1" ht="26.4" x14ac:dyDescent="0.3">
      <c r="A44" s="968">
        <v>9</v>
      </c>
      <c r="B44" s="1" t="s">
        <v>474</v>
      </c>
      <c r="C44" s="99" t="s">
        <v>40</v>
      </c>
      <c r="D44" s="339">
        <f>'Ремонт-БФ'!B16/1000</f>
        <v>725.5361200000001</v>
      </c>
      <c r="E44" s="339">
        <f>'Ремонт-БФ'!B25/1000</f>
        <v>1303.88256</v>
      </c>
      <c r="F44" s="339">
        <v>3630.5072250964163</v>
      </c>
      <c r="G44" s="341">
        <f>Транспортування_2ст!F33+Транспортування_2ст!F34+(ЗВВ_1ст!F26+ЗВВ_1ст!F25)*'БАЗИ РОЗПОДІЛУ'!G15+(Адміністративні_1ст!F25+Адміністративні_1ст!F26)*'БАЗИ РОЗПОДІЛУ'!G22</f>
        <v>2731.568029261317</v>
      </c>
      <c r="H44" s="340" t="s">
        <v>657</v>
      </c>
    </row>
    <row r="45" spans="1:10" s="2307" customFormat="1" ht="39.6" x14ac:dyDescent="0.3">
      <c r="A45" s="968" t="s">
        <v>154</v>
      </c>
      <c r="B45" s="1" t="s">
        <v>477</v>
      </c>
      <c r="C45" s="99" t="s">
        <v>40</v>
      </c>
      <c r="D45" s="339">
        <f>'Ремонт-БФ'!C16/1000</f>
        <v>706.36614000000009</v>
      </c>
      <c r="E45" s="339">
        <f>'Ремонт-БФ'!C25/1000</f>
        <v>1303.88256</v>
      </c>
      <c r="F45" s="339">
        <v>3630.5072250964163</v>
      </c>
      <c r="G45" s="339">
        <f>G44</f>
        <v>2731.568029261317</v>
      </c>
      <c r="H45" s="340" t="s">
        <v>657</v>
      </c>
    </row>
    <row r="46" spans="1:10" s="2307" customFormat="1" x14ac:dyDescent="0.3">
      <c r="A46" s="968">
        <v>10</v>
      </c>
      <c r="B46" s="1" t="s">
        <v>475</v>
      </c>
      <c r="C46" s="99" t="s">
        <v>40</v>
      </c>
      <c r="D46" s="3597">
        <f>(Амортизація!B13+Амортизація!B20+Амортизація!B26)/1000</f>
        <v>4611.8923400000003</v>
      </c>
      <c r="E46" s="3597">
        <v>4001.9</v>
      </c>
      <c r="F46" s="339">
        <v>6508.4832392963799</v>
      </c>
      <c r="G46" s="341">
        <f>Транспортування_2ст!F31+Транспортування_2ст!F32+(ЗВВ_1ст!F37+ЗВВ_1ст!F39)*'БАЗИ РОЗПОДІЛУ'!G15+'БАЗИ РОЗПОДІЛУ'!G22*(Адміністративні_1ст!F36+Адміністративні_1ст!F38)</f>
        <v>4917.9916520751449</v>
      </c>
      <c r="H46" s="340" t="s">
        <v>657</v>
      </c>
    </row>
    <row r="47" spans="1:10" ht="26.4" x14ac:dyDescent="0.3">
      <c r="A47" s="968" t="s">
        <v>189</v>
      </c>
      <c r="B47" s="1" t="s">
        <v>148</v>
      </c>
      <c r="C47" s="99" t="s">
        <v>40</v>
      </c>
      <c r="D47" s="339">
        <v>2511.88</v>
      </c>
      <c r="E47" s="339">
        <v>2511.88</v>
      </c>
      <c r="F47" s="339">
        <v>13841.216688410033</v>
      </c>
      <c r="G47" s="341">
        <f>Транспортування_2ст!F14+Транспортування_2ст!F36+ЗВВ_1ст!H28+Адміністративні_1ст!H28</f>
        <v>15303.795627800224</v>
      </c>
    </row>
    <row r="48" spans="1:10" ht="55.2" customHeight="1" x14ac:dyDescent="0.3">
      <c r="A48" s="968" t="s">
        <v>286</v>
      </c>
      <c r="B48" s="1" t="s">
        <v>559</v>
      </c>
      <c r="C48" s="99" t="s">
        <v>31</v>
      </c>
      <c r="D48" s="339">
        <v>0</v>
      </c>
      <c r="E48" s="339">
        <v>0</v>
      </c>
      <c r="F48" s="339">
        <v>0</v>
      </c>
      <c r="G48" s="339">
        <v>0</v>
      </c>
      <c r="H48" s="340" t="s">
        <v>657</v>
      </c>
      <c r="I48" s="962" t="s">
        <v>2012</v>
      </c>
      <c r="J48" s="962"/>
    </row>
    <row r="49" spans="1:13" x14ac:dyDescent="0.3">
      <c r="A49" s="968" t="s">
        <v>93</v>
      </c>
      <c r="B49" s="1" t="s">
        <v>3</v>
      </c>
      <c r="C49" s="99" t="s">
        <v>31</v>
      </c>
      <c r="D49" s="339">
        <v>0</v>
      </c>
      <c r="E49" s="339">
        <v>0</v>
      </c>
      <c r="F49" s="339">
        <v>0</v>
      </c>
      <c r="G49" s="339">
        <v>0</v>
      </c>
    </row>
    <row r="50" spans="1:13" x14ac:dyDescent="0.3">
      <c r="A50" s="968" t="s">
        <v>94</v>
      </c>
      <c r="B50" s="1" t="s">
        <v>166</v>
      </c>
      <c r="C50" s="99" t="s">
        <v>31</v>
      </c>
      <c r="D50" s="339">
        <v>0</v>
      </c>
      <c r="E50" s="339">
        <v>0</v>
      </c>
      <c r="F50" s="339">
        <v>0</v>
      </c>
      <c r="G50" s="339">
        <v>0</v>
      </c>
    </row>
    <row r="51" spans="1:13" x14ac:dyDescent="0.3">
      <c r="A51" s="968" t="s">
        <v>96</v>
      </c>
      <c r="B51" s="1" t="s">
        <v>97</v>
      </c>
      <c r="C51" s="99" t="s">
        <v>31</v>
      </c>
      <c r="D51" s="339">
        <v>0</v>
      </c>
      <c r="E51" s="339">
        <v>0</v>
      </c>
      <c r="F51" s="339">
        <v>0</v>
      </c>
      <c r="G51" s="339">
        <v>0</v>
      </c>
      <c r="H51" s="340" t="s">
        <v>657</v>
      </c>
    </row>
    <row r="52" spans="1:13" x14ac:dyDescent="0.3">
      <c r="A52" s="968" t="s">
        <v>165</v>
      </c>
      <c r="B52" s="1" t="s">
        <v>98</v>
      </c>
      <c r="C52" s="99" t="s">
        <v>31</v>
      </c>
      <c r="D52" s="339">
        <v>0</v>
      </c>
      <c r="E52" s="339">
        <v>0</v>
      </c>
      <c r="F52" s="339">
        <v>0</v>
      </c>
      <c r="G52" s="339">
        <v>0</v>
      </c>
    </row>
    <row r="53" spans="1:13" x14ac:dyDescent="0.3">
      <c r="A53" s="5342" t="s">
        <v>2</v>
      </c>
      <c r="B53" s="5342"/>
      <c r="C53" s="5342"/>
      <c r="D53" s="5342"/>
      <c r="E53" s="5342"/>
      <c r="F53" s="5342"/>
      <c r="G53" s="5342"/>
    </row>
    <row r="54" spans="1:13" ht="26.4" x14ac:dyDescent="0.3">
      <c r="A54" s="968">
        <v>1</v>
      </c>
      <c r="B54" s="1" t="s">
        <v>561</v>
      </c>
      <c r="C54" s="99" t="s">
        <v>75</v>
      </c>
      <c r="D54" s="338">
        <f>D55+D56+D57+D58+D59</f>
        <v>18919</v>
      </c>
      <c r="E54" s="338">
        <f>E55+E56+E57+E58+E59</f>
        <v>18919</v>
      </c>
      <c r="F54" s="338">
        <v>18975</v>
      </c>
      <c r="G54" s="338">
        <f>G55+G56+G57+G58+G59</f>
        <v>19064</v>
      </c>
      <c r="H54" s="340" t="s">
        <v>657</v>
      </c>
      <c r="I54" s="964" t="s">
        <v>2016</v>
      </c>
    </row>
    <row r="55" spans="1:13" x14ac:dyDescent="0.3">
      <c r="A55" s="968" t="s">
        <v>23</v>
      </c>
      <c r="B55" s="1" t="s">
        <v>155</v>
      </c>
      <c r="C55" s="99" t="s">
        <v>75</v>
      </c>
      <c r="D55" s="338">
        <v>18614</v>
      </c>
      <c r="E55" s="338">
        <v>18614</v>
      </c>
      <c r="F55" s="338">
        <v>18681</v>
      </c>
      <c r="G55" s="338">
        <f>'Д 13_12'!D14</f>
        <v>18780</v>
      </c>
    </row>
    <row r="56" spans="1:13" x14ac:dyDescent="0.3">
      <c r="A56" s="968" t="s">
        <v>24</v>
      </c>
      <c r="B56" s="1" t="s">
        <v>848</v>
      </c>
      <c r="C56" s="99" t="s">
        <v>75</v>
      </c>
      <c r="D56" s="338">
        <v>0</v>
      </c>
      <c r="E56" s="338">
        <v>0</v>
      </c>
      <c r="F56" s="338">
        <v>0</v>
      </c>
      <c r="G56" s="338">
        <v>0</v>
      </c>
      <c r="H56" s="340" t="s">
        <v>657</v>
      </c>
      <c r="K56" s="2283"/>
    </row>
    <row r="57" spans="1:13" x14ac:dyDescent="0.3">
      <c r="A57" s="968" t="s">
        <v>48</v>
      </c>
      <c r="B57" s="1" t="s">
        <v>163</v>
      </c>
      <c r="C57" s="99" t="s">
        <v>75</v>
      </c>
      <c r="D57" s="338">
        <v>2</v>
      </c>
      <c r="E57" s="338">
        <v>2</v>
      </c>
      <c r="F57" s="338">
        <v>2</v>
      </c>
      <c r="G57" s="338">
        <f>'Д 13_12'!F14</f>
        <v>2</v>
      </c>
    </row>
    <row r="58" spans="1:13" x14ac:dyDescent="0.3">
      <c r="A58" s="968" t="s">
        <v>53</v>
      </c>
      <c r="B58" s="1" t="s">
        <v>770</v>
      </c>
      <c r="C58" s="99" t="s">
        <v>75</v>
      </c>
      <c r="D58" s="338">
        <v>19</v>
      </c>
      <c r="E58" s="338">
        <v>19</v>
      </c>
      <c r="F58" s="338">
        <v>23</v>
      </c>
      <c r="G58" s="338">
        <f>'Д 13_12'!I14</f>
        <v>22</v>
      </c>
      <c r="H58" s="340" t="s">
        <v>657</v>
      </c>
    </row>
    <row r="59" spans="1:13" x14ac:dyDescent="0.3">
      <c r="A59" s="968" t="s">
        <v>291</v>
      </c>
      <c r="B59" s="1" t="s">
        <v>156</v>
      </c>
      <c r="C59" s="99" t="s">
        <v>75</v>
      </c>
      <c r="D59" s="338">
        <v>284</v>
      </c>
      <c r="E59" s="338">
        <v>284</v>
      </c>
      <c r="F59" s="338">
        <v>269</v>
      </c>
      <c r="G59" s="338">
        <f>'Д 13_12'!L14</f>
        <v>260</v>
      </c>
    </row>
    <row r="60" spans="1:13" ht="26.4" x14ac:dyDescent="0.3">
      <c r="A60" s="968">
        <v>2</v>
      </c>
      <c r="B60" s="1" t="s">
        <v>143</v>
      </c>
      <c r="C60" s="99" t="s">
        <v>144</v>
      </c>
      <c r="D60" s="341">
        <v>2</v>
      </c>
      <c r="E60" s="341">
        <v>2</v>
      </c>
      <c r="F60" s="339">
        <v>2.1662076263182928</v>
      </c>
      <c r="G60" s="341">
        <f>ФОП!G24+ФОП!G44*'БАЗИ РОЗПОДІЛУ'!J15+ФОП!G49*'БАЗИ РОЗПОДІЛУ'!J22</f>
        <v>2.2978947383029387</v>
      </c>
    </row>
    <row r="61" spans="1:13" ht="26.4" x14ac:dyDescent="0.3">
      <c r="A61" s="968">
        <v>3</v>
      </c>
      <c r="B61" s="1" t="s">
        <v>145</v>
      </c>
      <c r="C61" s="99" t="s">
        <v>146</v>
      </c>
      <c r="D61" s="341">
        <f>D75/D60/12*1000</f>
        <v>33712.699583333342</v>
      </c>
      <c r="E61" s="341">
        <f>E75/E60/12*1000</f>
        <v>38166.083802447087</v>
      </c>
      <c r="F61" s="341">
        <v>28435.174737656962</v>
      </c>
      <c r="G61" s="341">
        <f>G75/G60/12*1000</f>
        <v>31357.202770195017</v>
      </c>
    </row>
    <row r="62" spans="1:13" ht="26.4" x14ac:dyDescent="0.3">
      <c r="A62" s="968">
        <v>4</v>
      </c>
      <c r="B62" s="1" t="s">
        <v>288</v>
      </c>
      <c r="C62" s="99" t="s">
        <v>22</v>
      </c>
      <c r="D62" s="341">
        <f>D63+D65+D67+D69+D71+D73</f>
        <v>92629.076156792129</v>
      </c>
      <c r="E62" s="341">
        <f>E63+E65+E67+E69+E71+E73</f>
        <v>66853.217303102632</v>
      </c>
      <c r="F62" s="341">
        <v>102741.28008206467</v>
      </c>
      <c r="G62" s="341">
        <f>G63+G65+G67+G69+G71+G73</f>
        <v>98954.227682935714</v>
      </c>
    </row>
    <row r="63" spans="1:13" x14ac:dyDescent="0.3">
      <c r="A63" s="968" t="s">
        <v>27</v>
      </c>
      <c r="B63" s="1" t="s">
        <v>157</v>
      </c>
      <c r="C63" s="99" t="s">
        <v>22</v>
      </c>
      <c r="D63" s="341">
        <f>'Д 7_РП'!E75</f>
        <v>78679.744151229883</v>
      </c>
      <c r="E63" s="341">
        <f>'Д 7_РП'!F75</f>
        <v>57582.226975534839</v>
      </c>
      <c r="F63" s="341">
        <v>84703.963282475335</v>
      </c>
      <c r="G63" s="341">
        <f>'Д 7_РП'!G75</f>
        <v>82049.34254390448</v>
      </c>
    </row>
    <row r="64" spans="1:13" ht="16.2" customHeight="1" x14ac:dyDescent="0.3">
      <c r="A64" s="968" t="s">
        <v>158</v>
      </c>
      <c r="B64" s="1" t="s">
        <v>289</v>
      </c>
      <c r="C64" s="99" t="s">
        <v>22</v>
      </c>
      <c r="D64" s="339">
        <f>D63</f>
        <v>78679.744151229883</v>
      </c>
      <c r="E64" s="339">
        <f>E63</f>
        <v>57582.226975534839</v>
      </c>
      <c r="F64" s="339">
        <v>84703.963282475335</v>
      </c>
      <c r="G64" s="339">
        <f>G63</f>
        <v>82049.34254390448</v>
      </c>
      <c r="H64" s="331"/>
      <c r="I64" s="2995" t="s">
        <v>3386</v>
      </c>
      <c r="J64" s="2282">
        <f>D62-D63-D67-D69-D71-D73</f>
        <v>-3.979039320256561E-12</v>
      </c>
      <c r="K64" s="2282">
        <f>E62-E63-E67-E69-E71-E73</f>
        <v>0</v>
      </c>
      <c r="L64" s="2282">
        <f>F62-F63-F67-F69-F71-F73</f>
        <v>-1.1425527191022411E-11</v>
      </c>
      <c r="M64" s="2282">
        <f>G62-G63-G67-G69-G71-G73</f>
        <v>-4.3769432522822171E-12</v>
      </c>
    </row>
    <row r="65" spans="1:12" x14ac:dyDescent="0.3">
      <c r="A65" s="968" t="s">
        <v>112</v>
      </c>
      <c r="B65" s="1" t="s">
        <v>2026</v>
      </c>
      <c r="C65" s="99" t="s">
        <v>22</v>
      </c>
      <c r="D65" s="339">
        <v>0</v>
      </c>
      <c r="E65" s="339">
        <v>0</v>
      </c>
      <c r="F65" s="339">
        <v>0</v>
      </c>
      <c r="G65" s="339">
        <v>0</v>
      </c>
      <c r="H65" s="340" t="s">
        <v>657</v>
      </c>
    </row>
    <row r="66" spans="1:12" ht="15" customHeight="1" x14ac:dyDescent="0.3">
      <c r="A66" s="968" t="s">
        <v>159</v>
      </c>
      <c r="B66" s="1" t="s">
        <v>289</v>
      </c>
      <c r="C66" s="99" t="s">
        <v>22</v>
      </c>
      <c r="D66" s="339">
        <v>0</v>
      </c>
      <c r="E66" s="339">
        <v>0</v>
      </c>
      <c r="F66" s="339">
        <v>0</v>
      </c>
      <c r="G66" s="339">
        <v>0</v>
      </c>
    </row>
    <row r="67" spans="1:12" x14ac:dyDescent="0.3">
      <c r="A67" s="968" t="s">
        <v>160</v>
      </c>
      <c r="B67" s="1" t="s">
        <v>166</v>
      </c>
      <c r="C67" s="99" t="s">
        <v>22</v>
      </c>
      <c r="D67" s="341">
        <f>'Д 7_РП'!E83</f>
        <v>13.195123224395186</v>
      </c>
      <c r="E67" s="341">
        <f>'Д 7_РП'!F83</f>
        <v>9.0310899163150786</v>
      </c>
      <c r="F67" s="341">
        <v>13.721712910080001</v>
      </c>
      <c r="G67" s="341">
        <f>'Д 7_РП'!G83</f>
        <v>13.291675959893333</v>
      </c>
      <c r="I67" s="2282"/>
    </row>
    <row r="68" spans="1:12" ht="15" customHeight="1" x14ac:dyDescent="0.3">
      <c r="A68" s="968" t="s">
        <v>161</v>
      </c>
      <c r="B68" s="1" t="s">
        <v>289</v>
      </c>
      <c r="C68" s="99" t="s">
        <v>22</v>
      </c>
      <c r="D68" s="341">
        <f>D67</f>
        <v>13.195123224395186</v>
      </c>
      <c r="E68" s="341">
        <f>E67</f>
        <v>9.0310899163150786</v>
      </c>
      <c r="F68" s="341">
        <v>13.721712910080001</v>
      </c>
      <c r="G68" s="341">
        <f>G67</f>
        <v>13.291675959893333</v>
      </c>
      <c r="I68" s="2995" t="s">
        <v>3386</v>
      </c>
    </row>
    <row r="69" spans="1:12" x14ac:dyDescent="0.3">
      <c r="A69" s="968" t="s">
        <v>162</v>
      </c>
      <c r="B69" s="1" t="s">
        <v>97</v>
      </c>
      <c r="C69" s="99" t="s">
        <v>22</v>
      </c>
      <c r="D69" s="341">
        <f>'Д 7_РП'!E87</f>
        <v>8759.9737474263693</v>
      </c>
      <c r="E69" s="341">
        <f>'Д 7_РП'!F87</f>
        <v>6752.6432291627516</v>
      </c>
      <c r="F69" s="339">
        <v>12796.611465525326</v>
      </c>
      <c r="G69" s="341">
        <f>'Д 7_РП'!G87</f>
        <v>12519.553368115807</v>
      </c>
      <c r="H69" s="340" t="s">
        <v>657</v>
      </c>
    </row>
    <row r="70" spans="1:12" ht="14.4" customHeight="1" x14ac:dyDescent="0.3">
      <c r="A70" s="968" t="s">
        <v>298</v>
      </c>
      <c r="B70" s="1" t="s">
        <v>289</v>
      </c>
      <c r="C70" s="99" t="s">
        <v>22</v>
      </c>
      <c r="D70" s="339">
        <v>8565</v>
      </c>
      <c r="E70" s="339">
        <v>8565</v>
      </c>
      <c r="F70" s="339">
        <v>12722.532450646002</v>
      </c>
      <c r="G70" s="341">
        <f>'Д 13_12'!J19</f>
        <v>12447.795981292998</v>
      </c>
      <c r="H70" s="331"/>
      <c r="L70" s="2282"/>
    </row>
    <row r="71" spans="1:12" x14ac:dyDescent="0.3">
      <c r="A71" s="968" t="s">
        <v>167</v>
      </c>
      <c r="B71" s="1" t="s">
        <v>98</v>
      </c>
      <c r="C71" s="99" t="s">
        <v>22</v>
      </c>
      <c r="D71" s="341">
        <f>'Д 7_РП'!E91</f>
        <v>4921.2771352268846</v>
      </c>
      <c r="E71" s="341">
        <f>'Д 7_РП'!F91</f>
        <v>2341.1847332118145</v>
      </c>
      <c r="F71" s="339">
        <v>5063.4371006490574</v>
      </c>
      <c r="G71" s="341">
        <f>'Д 7_РП'!G91</f>
        <v>4213.6191041387128</v>
      </c>
      <c r="H71" s="331"/>
    </row>
    <row r="72" spans="1:12" ht="15" customHeight="1" x14ac:dyDescent="0.3">
      <c r="A72" s="968" t="s">
        <v>168</v>
      </c>
      <c r="B72" s="1" t="s">
        <v>289</v>
      </c>
      <c r="C72" s="99" t="s">
        <v>22</v>
      </c>
      <c r="D72" s="339">
        <f>D71</f>
        <v>4921.2771352268846</v>
      </c>
      <c r="E72" s="339">
        <f>E71</f>
        <v>2341.1847332118145</v>
      </c>
      <c r="F72" s="339">
        <v>5063.4371006490583</v>
      </c>
      <c r="G72" s="341">
        <f>'Д 13_12'!M19-G73</f>
        <v>4055.198113321886</v>
      </c>
      <c r="H72" s="331"/>
      <c r="I72" s="2995" t="s">
        <v>3386</v>
      </c>
    </row>
    <row r="73" spans="1:12" ht="26.4" x14ac:dyDescent="0.3">
      <c r="A73" s="968" t="s">
        <v>2017</v>
      </c>
      <c r="B73" s="1" t="s">
        <v>203</v>
      </c>
      <c r="C73" s="99" t="s">
        <v>22</v>
      </c>
      <c r="D73" s="341">
        <f>'Д 7_РП'!E71</f>
        <v>254.88599968460073</v>
      </c>
      <c r="E73" s="341">
        <f>'Д 7_РП'!F71</f>
        <v>168.13127527691125</v>
      </c>
      <c r="F73" s="339">
        <v>163.54652050487999</v>
      </c>
      <c r="G73" s="341">
        <f>'Д 7_РП'!G71</f>
        <v>158.42099081682665</v>
      </c>
      <c r="H73" s="331"/>
    </row>
    <row r="74" spans="1:12" ht="14.4" customHeight="1" x14ac:dyDescent="0.3">
      <c r="A74" s="968" t="s">
        <v>2018</v>
      </c>
      <c r="B74" s="1" t="s">
        <v>289</v>
      </c>
      <c r="C74" s="99" t="s">
        <v>22</v>
      </c>
      <c r="D74" s="339">
        <f>D73</f>
        <v>254.88599968460073</v>
      </c>
      <c r="E74" s="339">
        <f>E73</f>
        <v>168.13127527691125</v>
      </c>
      <c r="F74" s="339">
        <v>163.54652050487999</v>
      </c>
      <c r="G74" s="341">
        <f>G73</f>
        <v>158.42099081682665</v>
      </c>
      <c r="H74" s="331"/>
    </row>
    <row r="75" spans="1:12" ht="26.4" x14ac:dyDescent="0.3">
      <c r="A75" s="968">
        <v>5</v>
      </c>
      <c r="B75" s="1" t="s">
        <v>147</v>
      </c>
      <c r="C75" s="99" t="s">
        <v>40</v>
      </c>
      <c r="D75" s="3595">
        <f>'Зарплата Факт'!D13/1000</f>
        <v>809.10479000000009</v>
      </c>
      <c r="E75" s="3595">
        <f>'Зарплата Факт'!H13/1000</f>
        <v>915.98601125873006</v>
      </c>
      <c r="F75" s="341">
        <v>739.15790846886898</v>
      </c>
      <c r="G75" s="939">
        <f>(ФОП!H24+ФОП!H44*'БАЗИ РОЗПОДІЛУ'!J15+ФОП!H49*'БАЗИ РОЗПОДІЛУ'!J22)/1000</f>
        <v>864.66661504235356</v>
      </c>
    </row>
    <row r="76" spans="1:12" ht="26.4" x14ac:dyDescent="0.3">
      <c r="A76" s="968">
        <v>6</v>
      </c>
      <c r="B76" s="1" t="s">
        <v>474</v>
      </c>
      <c r="C76" s="99" t="s">
        <v>40</v>
      </c>
      <c r="D76" s="341">
        <f>'Ремонт-БФ'!B17/1000</f>
        <v>0.91425999999999996</v>
      </c>
      <c r="E76" s="341">
        <f>'Ремонт-БФ'!B26/1000</f>
        <v>0.80353999999999992</v>
      </c>
      <c r="F76" s="339">
        <v>8.2525525077524239E-2</v>
      </c>
      <c r="G76" s="939">
        <f>(ЗВВ_1ст!F25+ЗВВ_1ст!F26)*'БАЗИ РОЗПОДІЛУ'!J15+'БАЗИ РОЗПОДІЛУ'!J22*(Адміністративні_1ст!F25+Адміністративні_1ст!F26)</f>
        <v>0.13275078801597481</v>
      </c>
      <c r="H76" s="340" t="s">
        <v>657</v>
      </c>
    </row>
    <row r="77" spans="1:12" ht="39.6" x14ac:dyDescent="0.3">
      <c r="A77" s="968" t="s">
        <v>32</v>
      </c>
      <c r="B77" s="1" t="s">
        <v>477</v>
      </c>
      <c r="C77" s="99" t="s">
        <v>40</v>
      </c>
      <c r="D77" s="339">
        <f>'Ремонт-БФ'!C17/1000</f>
        <v>0.91425999999999996</v>
      </c>
      <c r="E77" s="339">
        <f>'Ремонт-БФ'!C26/1000</f>
        <v>0.80353999999999992</v>
      </c>
      <c r="F77" s="339">
        <v>8.2525525077524239E-2</v>
      </c>
      <c r="G77" s="2286">
        <f>G76</f>
        <v>0.13275078801597481</v>
      </c>
      <c r="H77" s="340" t="s">
        <v>657</v>
      </c>
    </row>
    <row r="78" spans="1:12" x14ac:dyDescent="0.3">
      <c r="A78" s="968">
        <v>7</v>
      </c>
      <c r="B78" s="1" t="s">
        <v>475</v>
      </c>
      <c r="C78" s="99" t="s">
        <v>40</v>
      </c>
      <c r="D78" s="3598">
        <f>(Амортизація!B14+Амортизація!B21+Амортизація!B27)/1000</f>
        <v>30.885120000000004</v>
      </c>
      <c r="E78" s="3598">
        <f>(Амортизація!C14+Амортизація!C21+Амортизація!C27)/1000</f>
        <v>892.48420999999985</v>
      </c>
      <c r="F78" s="339">
        <v>827.97928182715634</v>
      </c>
      <c r="G78" s="939">
        <f>Постачання_1ст!F25+Постачання_1ст!F26+(ЗВВ_1ст!F37+ЗВВ_1ст!F39)*'БАЗИ РОЗПОДІЛУ'!J15+(Адміністративні_1ст!F36+Адміністративні_1ст!F38)*'БАЗИ РОЗПОДІЛУ'!J22</f>
        <v>845.05835389847755</v>
      </c>
      <c r="H78" s="340" t="s">
        <v>657</v>
      </c>
    </row>
    <row r="79" spans="1:12" ht="26.4" x14ac:dyDescent="0.3">
      <c r="A79" s="968">
        <v>8</v>
      </c>
      <c r="B79" s="1" t="s">
        <v>148</v>
      </c>
      <c r="C79" s="99" t="s">
        <v>40</v>
      </c>
      <c r="D79" s="341">
        <v>5.0199999999999996</v>
      </c>
      <c r="E79" s="341">
        <v>5.0199999999999996</v>
      </c>
      <c r="F79" s="339">
        <v>15.013667871932029</v>
      </c>
      <c r="G79" s="939">
        <f>Постачання_1ст!F30+ЗВВ_1ст!F28*'БАЗИ РОЗПОДІЛУ'!J15+Адміністративні_1ст!F28*'БАЗИ РОЗПОДІЛУ'!J22</f>
        <v>26.360766112701942</v>
      </c>
    </row>
    <row r="80" spans="1:12" x14ac:dyDescent="0.3">
      <c r="A80" s="5342" t="s">
        <v>290</v>
      </c>
      <c r="B80" s="5342"/>
      <c r="C80" s="5342"/>
      <c r="D80" s="5342"/>
      <c r="E80" s="5342"/>
      <c r="F80" s="5342"/>
      <c r="G80" s="5342"/>
    </row>
    <row r="81" spans="1:12" ht="39.6" x14ac:dyDescent="0.3">
      <c r="A81" s="968">
        <v>1</v>
      </c>
      <c r="B81" s="337" t="s">
        <v>295</v>
      </c>
      <c r="C81" s="99" t="s">
        <v>75</v>
      </c>
      <c r="D81" s="338">
        <f>D54</f>
        <v>18919</v>
      </c>
      <c r="E81" s="338">
        <f>E54</f>
        <v>18919</v>
      </c>
      <c r="F81" s="338">
        <v>18975</v>
      </c>
      <c r="G81" s="338">
        <f>G54</f>
        <v>19064</v>
      </c>
    </row>
    <row r="82" spans="1:12" x14ac:dyDescent="0.3">
      <c r="A82" s="968" t="s">
        <v>23</v>
      </c>
      <c r="B82" s="1" t="s">
        <v>155</v>
      </c>
      <c r="C82" s="99" t="s">
        <v>75</v>
      </c>
      <c r="D82" s="338">
        <f>D55</f>
        <v>18614</v>
      </c>
      <c r="E82" s="338">
        <f>E55</f>
        <v>18614</v>
      </c>
      <c r="F82" s="338">
        <v>18681</v>
      </c>
      <c r="G82" s="338">
        <f>G55</f>
        <v>18780</v>
      </c>
    </row>
    <row r="83" spans="1:12" x14ac:dyDescent="0.3">
      <c r="A83" s="968" t="s">
        <v>24</v>
      </c>
      <c r="B83" s="1" t="s">
        <v>163</v>
      </c>
      <c r="C83" s="99" t="s">
        <v>75</v>
      </c>
      <c r="D83" s="338">
        <f>D57</f>
        <v>2</v>
      </c>
      <c r="E83" s="338">
        <f t="shared" ref="E83:G85" si="0">E57</f>
        <v>2</v>
      </c>
      <c r="F83" s="338">
        <v>2</v>
      </c>
      <c r="G83" s="338">
        <f t="shared" si="0"/>
        <v>2</v>
      </c>
    </row>
    <row r="84" spans="1:12" x14ac:dyDescent="0.3">
      <c r="A84" s="968" t="s">
        <v>48</v>
      </c>
      <c r="B84" s="1" t="s">
        <v>770</v>
      </c>
      <c r="C84" s="99" t="s">
        <v>75</v>
      </c>
      <c r="D84" s="338">
        <f>D58</f>
        <v>19</v>
      </c>
      <c r="E84" s="338">
        <f>E58</f>
        <v>19</v>
      </c>
      <c r="F84" s="338">
        <v>23</v>
      </c>
      <c r="G84" s="338">
        <f t="shared" si="0"/>
        <v>22</v>
      </c>
      <c r="L84" s="2287" t="s">
        <v>657</v>
      </c>
    </row>
    <row r="85" spans="1:12" x14ac:dyDescent="0.3">
      <c r="A85" s="968" t="s">
        <v>53</v>
      </c>
      <c r="B85" s="1" t="s">
        <v>156</v>
      </c>
      <c r="C85" s="99" t="s">
        <v>75</v>
      </c>
      <c r="D85" s="338">
        <f>D59</f>
        <v>284</v>
      </c>
      <c r="E85" s="338">
        <f>E59</f>
        <v>284</v>
      </c>
      <c r="F85" s="338">
        <v>269</v>
      </c>
      <c r="G85" s="338">
        <f t="shared" si="0"/>
        <v>260</v>
      </c>
    </row>
    <row r="86" spans="1:12" ht="52.8" x14ac:dyDescent="0.3">
      <c r="A86" s="968">
        <v>2</v>
      </c>
      <c r="B86" s="337" t="s">
        <v>292</v>
      </c>
      <c r="C86" s="99" t="s">
        <v>144</v>
      </c>
      <c r="D86" s="336">
        <v>0</v>
      </c>
      <c r="E86" s="336">
        <v>0</v>
      </c>
      <c r="F86" s="336">
        <v>0</v>
      </c>
      <c r="G86" s="966">
        <v>0</v>
      </c>
      <c r="H86" s="967" t="s">
        <v>478</v>
      </c>
      <c r="I86" s="967" t="s">
        <v>479</v>
      </c>
    </row>
    <row r="87" spans="1:12" ht="52.8" x14ac:dyDescent="0.3">
      <c r="A87" s="968">
        <v>3</v>
      </c>
      <c r="B87" s="337" t="s">
        <v>293</v>
      </c>
      <c r="C87" s="99" t="s">
        <v>146</v>
      </c>
      <c r="D87" s="336">
        <v>0</v>
      </c>
      <c r="E87" s="336">
        <v>0</v>
      </c>
      <c r="F87" s="336">
        <v>0</v>
      </c>
      <c r="G87" s="342">
        <v>0</v>
      </c>
      <c r="H87" s="967" t="s">
        <v>478</v>
      </c>
      <c r="I87" s="967" t="s">
        <v>479</v>
      </c>
    </row>
    <row r="88" spans="1:12" ht="26.4" x14ac:dyDescent="0.3">
      <c r="A88" s="968">
        <v>4</v>
      </c>
      <c r="B88" s="337" t="s">
        <v>294</v>
      </c>
      <c r="C88" s="99" t="s">
        <v>22</v>
      </c>
      <c r="D88" s="339">
        <f>D62</f>
        <v>92629.076156792129</v>
      </c>
      <c r="E88" s="339">
        <f t="shared" ref="E88:G90" si="1">E62</f>
        <v>66853.217303102632</v>
      </c>
      <c r="F88" s="339">
        <v>102741.28008206467</v>
      </c>
      <c r="G88" s="341">
        <f t="shared" si="1"/>
        <v>98954.227682935714</v>
      </c>
      <c r="H88" s="2288">
        <f>'Д 7_РП'!G69</f>
        <v>98954.227682935714</v>
      </c>
    </row>
    <row r="89" spans="1:12" x14ac:dyDescent="0.3">
      <c r="A89" s="968" t="s">
        <v>27</v>
      </c>
      <c r="B89" s="1" t="s">
        <v>157</v>
      </c>
      <c r="C89" s="99" t="s">
        <v>22</v>
      </c>
      <c r="D89" s="339">
        <f>D63</f>
        <v>78679.744151229883</v>
      </c>
      <c r="E89" s="339">
        <f t="shared" si="1"/>
        <v>57582.226975534839</v>
      </c>
      <c r="F89" s="339">
        <v>84703.963282475335</v>
      </c>
      <c r="G89" s="341">
        <f t="shared" si="1"/>
        <v>82049.34254390448</v>
      </c>
      <c r="H89" s="340" t="s">
        <v>847</v>
      </c>
    </row>
    <row r="90" spans="1:12" ht="16.2" customHeight="1" x14ac:dyDescent="0.3">
      <c r="A90" s="968" t="s">
        <v>158</v>
      </c>
      <c r="B90" s="1" t="s">
        <v>289</v>
      </c>
      <c r="C90" s="99" t="s">
        <v>22</v>
      </c>
      <c r="D90" s="339">
        <f>D64</f>
        <v>78679.744151229883</v>
      </c>
      <c r="E90" s="339">
        <f t="shared" si="1"/>
        <v>57582.226975534839</v>
      </c>
      <c r="F90" s="339">
        <v>84703.963282475335</v>
      </c>
      <c r="G90" s="341">
        <f t="shared" si="1"/>
        <v>82049.34254390448</v>
      </c>
    </row>
    <row r="91" spans="1:12" x14ac:dyDescent="0.3">
      <c r="A91" s="968" t="s">
        <v>112</v>
      </c>
      <c r="B91" s="1" t="s">
        <v>296</v>
      </c>
      <c r="C91" s="99" t="s">
        <v>22</v>
      </c>
      <c r="D91" s="339">
        <f t="shared" ref="D91:E98" si="2">D67</f>
        <v>13.195123224395186</v>
      </c>
      <c r="E91" s="339">
        <f t="shared" si="2"/>
        <v>9.0310899163150786</v>
      </c>
      <c r="F91" s="339">
        <v>13.721712910080001</v>
      </c>
      <c r="G91" s="341">
        <f>G67</f>
        <v>13.291675959893333</v>
      </c>
    </row>
    <row r="92" spans="1:12" ht="13.95" customHeight="1" x14ac:dyDescent="0.3">
      <c r="A92" s="968" t="s">
        <v>159</v>
      </c>
      <c r="B92" s="1" t="s">
        <v>289</v>
      </c>
      <c r="C92" s="99" t="s">
        <v>22</v>
      </c>
      <c r="D92" s="339">
        <f t="shared" si="2"/>
        <v>13.195123224395186</v>
      </c>
      <c r="E92" s="339">
        <f t="shared" si="2"/>
        <v>9.0310899163150786</v>
      </c>
      <c r="F92" s="339">
        <v>13.721712910080001</v>
      </c>
      <c r="G92" s="341">
        <f t="shared" ref="G92:G98" si="3">G68</f>
        <v>13.291675959893333</v>
      </c>
    </row>
    <row r="93" spans="1:12" x14ac:dyDescent="0.3">
      <c r="A93" s="968" t="s">
        <v>160</v>
      </c>
      <c r="B93" s="1" t="s">
        <v>845</v>
      </c>
      <c r="C93" s="99" t="s">
        <v>22</v>
      </c>
      <c r="D93" s="339">
        <f t="shared" si="2"/>
        <v>8759.9737474263693</v>
      </c>
      <c r="E93" s="339">
        <f t="shared" si="2"/>
        <v>6752.6432291627516</v>
      </c>
      <c r="F93" s="339">
        <v>12796.611465525326</v>
      </c>
      <c r="G93" s="341">
        <f t="shared" si="3"/>
        <v>12519.553368115807</v>
      </c>
      <c r="H93" s="340" t="s">
        <v>657</v>
      </c>
    </row>
    <row r="94" spans="1:12" ht="16.95" customHeight="1" x14ac:dyDescent="0.3">
      <c r="A94" s="968" t="s">
        <v>161</v>
      </c>
      <c r="B94" s="1" t="s">
        <v>289</v>
      </c>
      <c r="C94" s="99" t="s">
        <v>22</v>
      </c>
      <c r="D94" s="339">
        <f t="shared" si="2"/>
        <v>8565</v>
      </c>
      <c r="E94" s="339">
        <f t="shared" si="2"/>
        <v>8565</v>
      </c>
      <c r="F94" s="339">
        <v>12722.532450646002</v>
      </c>
      <c r="G94" s="341">
        <f t="shared" si="3"/>
        <v>12447.795981292998</v>
      </c>
    </row>
    <row r="95" spans="1:12" x14ac:dyDescent="0.3">
      <c r="A95" s="968" t="s">
        <v>162</v>
      </c>
      <c r="B95" s="1" t="s">
        <v>304</v>
      </c>
      <c r="C95" s="99" t="s">
        <v>22</v>
      </c>
      <c r="D95" s="339">
        <f t="shared" si="2"/>
        <v>4921.2771352268846</v>
      </c>
      <c r="E95" s="339">
        <f t="shared" si="2"/>
        <v>2341.1847332118145</v>
      </c>
      <c r="F95" s="339">
        <v>5063.4371006490574</v>
      </c>
      <c r="G95" s="341">
        <f t="shared" si="3"/>
        <v>4213.6191041387128</v>
      </c>
    </row>
    <row r="96" spans="1:12" x14ac:dyDescent="0.3">
      <c r="A96" s="968" t="s">
        <v>299</v>
      </c>
      <c r="B96" s="1" t="s">
        <v>289</v>
      </c>
      <c r="C96" s="99" t="s">
        <v>22</v>
      </c>
      <c r="D96" s="339">
        <f t="shared" si="2"/>
        <v>4921.2771352268846</v>
      </c>
      <c r="E96" s="339">
        <f t="shared" si="2"/>
        <v>2341.1847332118145</v>
      </c>
      <c r="F96" s="339">
        <v>5063.4371006490583</v>
      </c>
      <c r="G96" s="341">
        <f t="shared" si="3"/>
        <v>4055.198113321886</v>
      </c>
    </row>
    <row r="97" spans="1:9" ht="26.4" x14ac:dyDescent="0.3">
      <c r="A97" s="968" t="s">
        <v>167</v>
      </c>
      <c r="B97" s="1" t="s">
        <v>2025</v>
      </c>
      <c r="C97" s="99" t="s">
        <v>22</v>
      </c>
      <c r="D97" s="339">
        <f t="shared" si="2"/>
        <v>254.88599968460073</v>
      </c>
      <c r="E97" s="339">
        <f t="shared" si="2"/>
        <v>168.13127527691125</v>
      </c>
      <c r="F97" s="339">
        <v>163.54652050487999</v>
      </c>
      <c r="G97" s="341">
        <f t="shared" si="3"/>
        <v>158.42099081682665</v>
      </c>
      <c r="H97" s="340" t="s">
        <v>818</v>
      </c>
    </row>
    <row r="98" spans="1:9" ht="16.95" customHeight="1" x14ac:dyDescent="0.3">
      <c r="A98" s="968" t="s">
        <v>168</v>
      </c>
      <c r="B98" s="1" t="s">
        <v>289</v>
      </c>
      <c r="C98" s="99" t="s">
        <v>22</v>
      </c>
      <c r="D98" s="339">
        <f t="shared" si="2"/>
        <v>254.88599968460073</v>
      </c>
      <c r="E98" s="339">
        <f t="shared" si="2"/>
        <v>168.13127527691125</v>
      </c>
      <c r="F98" s="339">
        <v>163.54652050487999</v>
      </c>
      <c r="G98" s="341">
        <f t="shared" si="3"/>
        <v>158.42099081682665</v>
      </c>
      <c r="H98" s="340" t="s">
        <v>818</v>
      </c>
    </row>
    <row r="99" spans="1:9" ht="26.4" x14ac:dyDescent="0.3">
      <c r="A99" s="2289">
        <v>5</v>
      </c>
      <c r="B99" s="2290" t="s">
        <v>147</v>
      </c>
      <c r="C99" s="2291" t="s">
        <v>40</v>
      </c>
      <c r="D99" s="339">
        <v>0</v>
      </c>
      <c r="E99" s="339">
        <v>0</v>
      </c>
      <c r="F99" s="339">
        <v>0</v>
      </c>
      <c r="G99" s="1623">
        <v>0</v>
      </c>
      <c r="I99" s="2292" t="s">
        <v>2019</v>
      </c>
    </row>
    <row r="100" spans="1:9" ht="27" x14ac:dyDescent="0.3">
      <c r="A100" s="2293">
        <v>6</v>
      </c>
      <c r="B100" s="2294" t="s">
        <v>843</v>
      </c>
      <c r="C100" s="2295" t="s">
        <v>40</v>
      </c>
      <c r="D100" s="339">
        <v>0</v>
      </c>
      <c r="E100" s="339">
        <v>0</v>
      </c>
      <c r="F100" s="339">
        <v>0</v>
      </c>
      <c r="G100" s="341">
        <v>0</v>
      </c>
      <c r="H100" s="340" t="s">
        <v>657</v>
      </c>
      <c r="I100" s="2292" t="s">
        <v>2019</v>
      </c>
    </row>
    <row r="101" spans="1:9" ht="40.200000000000003" x14ac:dyDescent="0.3">
      <c r="A101" s="2293" t="s">
        <v>32</v>
      </c>
      <c r="B101" s="2294" t="s">
        <v>477</v>
      </c>
      <c r="C101" s="2295" t="s">
        <v>40</v>
      </c>
      <c r="D101" s="339">
        <v>0</v>
      </c>
      <c r="E101" s="339">
        <v>0</v>
      </c>
      <c r="F101" s="339">
        <v>0</v>
      </c>
      <c r="G101" s="339">
        <v>0</v>
      </c>
      <c r="H101" s="340" t="s">
        <v>657</v>
      </c>
      <c r="I101" s="2292" t="s">
        <v>2019</v>
      </c>
    </row>
    <row r="102" spans="1:9" ht="17.399999999999999" customHeight="1" x14ac:dyDescent="0.3">
      <c r="A102" s="2293">
        <v>7</v>
      </c>
      <c r="B102" s="2294" t="s">
        <v>844</v>
      </c>
      <c r="C102" s="2295" t="s">
        <v>40</v>
      </c>
      <c r="D102" s="339">
        <v>0</v>
      </c>
      <c r="E102" s="339">
        <v>0</v>
      </c>
      <c r="F102" s="339">
        <v>0</v>
      </c>
      <c r="G102" s="341">
        <v>0</v>
      </c>
      <c r="H102" s="340" t="s">
        <v>657</v>
      </c>
      <c r="I102" s="2292" t="s">
        <v>2019</v>
      </c>
    </row>
    <row r="103" spans="1:9" ht="26.4" x14ac:dyDescent="0.3">
      <c r="A103" s="968">
        <v>8</v>
      </c>
      <c r="B103" s="1" t="s">
        <v>148</v>
      </c>
      <c r="C103" s="99" t="s">
        <v>40</v>
      </c>
      <c r="D103" s="339">
        <v>0</v>
      </c>
      <c r="E103" s="339">
        <v>0</v>
      </c>
      <c r="F103" s="339">
        <v>0</v>
      </c>
      <c r="G103" s="341">
        <v>0</v>
      </c>
      <c r="H103" s="340" t="s">
        <v>657</v>
      </c>
      <c r="I103" s="2292" t="s">
        <v>2019</v>
      </c>
    </row>
    <row r="104" spans="1:9" hidden="1" x14ac:dyDescent="0.3">
      <c r="A104" s="5342" t="s">
        <v>300</v>
      </c>
      <c r="B104" s="5343"/>
      <c r="C104" s="5342"/>
      <c r="D104" s="5342"/>
      <c r="E104" s="5342"/>
      <c r="F104" s="5342"/>
      <c r="G104" s="5342"/>
      <c r="I104" s="2283" t="s">
        <v>553</v>
      </c>
    </row>
    <row r="105" spans="1:9" ht="39.6" hidden="1" x14ac:dyDescent="0.3">
      <c r="A105" s="2293">
        <v>1</v>
      </c>
      <c r="B105" s="337" t="s">
        <v>555</v>
      </c>
      <c r="C105" s="2295" t="s">
        <v>75</v>
      </c>
      <c r="D105" s="336">
        <v>0</v>
      </c>
      <c r="E105" s="336">
        <v>0</v>
      </c>
      <c r="F105" s="336">
        <v>0</v>
      </c>
      <c r="G105" s="336">
        <v>0</v>
      </c>
      <c r="I105" s="2283" t="s">
        <v>553</v>
      </c>
    </row>
    <row r="106" spans="1:9" hidden="1" x14ac:dyDescent="0.3">
      <c r="A106" s="968" t="s">
        <v>23</v>
      </c>
      <c r="B106" s="2296" t="s">
        <v>155</v>
      </c>
      <c r="C106" s="99" t="s">
        <v>75</v>
      </c>
      <c r="D106" s="336">
        <v>0</v>
      </c>
      <c r="E106" s="336">
        <v>0</v>
      </c>
      <c r="F106" s="336">
        <v>0</v>
      </c>
      <c r="G106" s="336">
        <v>0</v>
      </c>
      <c r="I106" s="2283" t="s">
        <v>553</v>
      </c>
    </row>
    <row r="107" spans="1:9" hidden="1" x14ac:dyDescent="0.3">
      <c r="A107" s="968" t="s">
        <v>24</v>
      </c>
      <c r="B107" s="1" t="s">
        <v>163</v>
      </c>
      <c r="C107" s="99" t="s">
        <v>75</v>
      </c>
      <c r="D107" s="336">
        <v>0</v>
      </c>
      <c r="E107" s="336">
        <v>0</v>
      </c>
      <c r="F107" s="336">
        <v>0</v>
      </c>
      <c r="G107" s="336">
        <v>0</v>
      </c>
      <c r="I107" s="2283" t="s">
        <v>553</v>
      </c>
    </row>
    <row r="108" spans="1:9" hidden="1" x14ac:dyDescent="0.3">
      <c r="A108" s="968" t="s">
        <v>48</v>
      </c>
      <c r="B108" s="1" t="s">
        <v>287</v>
      </c>
      <c r="C108" s="99" t="s">
        <v>75</v>
      </c>
      <c r="D108" s="336">
        <v>0</v>
      </c>
      <c r="E108" s="336">
        <v>0</v>
      </c>
      <c r="F108" s="336">
        <v>0</v>
      </c>
      <c r="G108" s="336">
        <v>0</v>
      </c>
      <c r="H108" s="340" t="s">
        <v>560</v>
      </c>
      <c r="I108" s="2283" t="s">
        <v>553</v>
      </c>
    </row>
    <row r="109" spans="1:9" hidden="1" x14ac:dyDescent="0.3">
      <c r="A109" s="2297" t="s">
        <v>53</v>
      </c>
      <c r="B109" s="2298" t="s">
        <v>156</v>
      </c>
      <c r="C109" s="2299" t="s">
        <v>75</v>
      </c>
      <c r="D109" s="2300">
        <v>0</v>
      </c>
      <c r="E109" s="2300">
        <v>0</v>
      </c>
      <c r="F109" s="2300">
        <v>0</v>
      </c>
      <c r="G109" s="2300">
        <v>0</v>
      </c>
      <c r="I109" s="2283" t="s">
        <v>553</v>
      </c>
    </row>
    <row r="110" spans="1:9" ht="52.8" hidden="1" x14ac:dyDescent="0.3">
      <c r="A110" s="968">
        <v>2</v>
      </c>
      <c r="B110" s="337" t="s">
        <v>301</v>
      </c>
      <c r="C110" s="99" t="s">
        <v>144</v>
      </c>
      <c r="D110" s="342">
        <v>0</v>
      </c>
      <c r="E110" s="342">
        <v>0</v>
      </c>
      <c r="F110" s="342">
        <v>0</v>
      </c>
      <c r="G110" s="342">
        <v>0</v>
      </c>
      <c r="H110" s="340" t="s">
        <v>562</v>
      </c>
      <c r="I110" s="2283" t="s">
        <v>553</v>
      </c>
    </row>
    <row r="111" spans="1:9" ht="52.8" hidden="1" x14ac:dyDescent="0.3">
      <c r="A111" s="968">
        <v>3</v>
      </c>
      <c r="B111" s="337" t="s">
        <v>302</v>
      </c>
      <c r="C111" s="99" t="s">
        <v>146</v>
      </c>
      <c r="D111" s="342">
        <v>0</v>
      </c>
      <c r="E111" s="342">
        <v>0</v>
      </c>
      <c r="F111" s="342">
        <v>0</v>
      </c>
      <c r="G111" s="342">
        <v>0</v>
      </c>
      <c r="H111" s="340" t="s">
        <v>562</v>
      </c>
      <c r="I111" s="2283" t="s">
        <v>553</v>
      </c>
    </row>
    <row r="112" spans="1:9" ht="24" hidden="1" x14ac:dyDescent="0.3">
      <c r="A112" s="968">
        <v>4</v>
      </c>
      <c r="B112" s="919" t="s">
        <v>303</v>
      </c>
      <c r="C112" s="99" t="s">
        <v>22</v>
      </c>
      <c r="D112" s="342">
        <v>0</v>
      </c>
      <c r="E112" s="342">
        <v>0</v>
      </c>
      <c r="F112" s="342">
        <v>0</v>
      </c>
      <c r="G112" s="342">
        <v>0</v>
      </c>
      <c r="I112" s="2283" t="s">
        <v>553</v>
      </c>
    </row>
    <row r="113" spans="1:9" hidden="1" x14ac:dyDescent="0.3">
      <c r="A113" s="968" t="s">
        <v>27</v>
      </c>
      <c r="B113" s="1" t="s">
        <v>157</v>
      </c>
      <c r="C113" s="99" t="s">
        <v>22</v>
      </c>
      <c r="D113" s="342">
        <v>0</v>
      </c>
      <c r="E113" s="342">
        <v>0</v>
      </c>
      <c r="F113" s="342">
        <v>0</v>
      </c>
      <c r="G113" s="342">
        <v>0</v>
      </c>
      <c r="I113" s="2283" t="s">
        <v>553</v>
      </c>
    </row>
    <row r="114" spans="1:9" ht="26.4" hidden="1" x14ac:dyDescent="0.3">
      <c r="A114" s="968" t="s">
        <v>158</v>
      </c>
      <c r="B114" s="1" t="s">
        <v>289</v>
      </c>
      <c r="C114" s="99" t="s">
        <v>22</v>
      </c>
      <c r="D114" s="342">
        <v>0</v>
      </c>
      <c r="E114" s="342">
        <v>0</v>
      </c>
      <c r="F114" s="342">
        <v>0</v>
      </c>
      <c r="G114" s="342">
        <v>0</v>
      </c>
      <c r="I114" s="2283" t="s">
        <v>553</v>
      </c>
    </row>
    <row r="115" spans="1:9" hidden="1" x14ac:dyDescent="0.3">
      <c r="A115" s="968" t="s">
        <v>112</v>
      </c>
      <c r="B115" s="1" t="s">
        <v>296</v>
      </c>
      <c r="C115" s="99" t="s">
        <v>22</v>
      </c>
      <c r="D115" s="342">
        <v>0</v>
      </c>
      <c r="E115" s="342">
        <v>0</v>
      </c>
      <c r="F115" s="342">
        <v>0</v>
      </c>
      <c r="G115" s="342">
        <v>0</v>
      </c>
      <c r="I115" s="2283" t="s">
        <v>553</v>
      </c>
    </row>
    <row r="116" spans="1:9" ht="26.4" hidden="1" x14ac:dyDescent="0.3">
      <c r="A116" s="968" t="s">
        <v>159</v>
      </c>
      <c r="B116" s="1" t="s">
        <v>289</v>
      </c>
      <c r="C116" s="99" t="s">
        <v>22</v>
      </c>
      <c r="D116" s="342">
        <v>0</v>
      </c>
      <c r="E116" s="342">
        <v>0</v>
      </c>
      <c r="F116" s="342">
        <v>0</v>
      </c>
      <c r="G116" s="342">
        <v>0</v>
      </c>
      <c r="I116" s="2283" t="s">
        <v>553</v>
      </c>
    </row>
    <row r="117" spans="1:9" hidden="1" x14ac:dyDescent="0.3">
      <c r="A117" s="968" t="s">
        <v>160</v>
      </c>
      <c r="B117" s="1" t="s">
        <v>297</v>
      </c>
      <c r="C117" s="99" t="s">
        <v>22</v>
      </c>
      <c r="D117" s="342">
        <v>0</v>
      </c>
      <c r="E117" s="342">
        <v>0</v>
      </c>
      <c r="F117" s="342">
        <v>0</v>
      </c>
      <c r="G117" s="342">
        <v>0</v>
      </c>
      <c r="I117" s="2283" t="s">
        <v>553</v>
      </c>
    </row>
    <row r="118" spans="1:9" ht="26.4" hidden="1" x14ac:dyDescent="0.3">
      <c r="A118" s="968" t="s">
        <v>161</v>
      </c>
      <c r="B118" s="1" t="s">
        <v>289</v>
      </c>
      <c r="C118" s="99" t="s">
        <v>22</v>
      </c>
      <c r="D118" s="342">
        <v>0</v>
      </c>
      <c r="E118" s="342">
        <v>0</v>
      </c>
      <c r="F118" s="342">
        <v>0</v>
      </c>
      <c r="G118" s="342">
        <v>0</v>
      </c>
      <c r="I118" s="2283" t="s">
        <v>553</v>
      </c>
    </row>
    <row r="119" spans="1:9" hidden="1" x14ac:dyDescent="0.3">
      <c r="A119" s="968" t="s">
        <v>162</v>
      </c>
      <c r="B119" s="1" t="s">
        <v>304</v>
      </c>
      <c r="C119" s="99" t="s">
        <v>22</v>
      </c>
      <c r="D119" s="342">
        <v>0</v>
      </c>
      <c r="E119" s="342">
        <v>0</v>
      </c>
      <c r="F119" s="342">
        <v>0</v>
      </c>
      <c r="G119" s="342">
        <v>0</v>
      </c>
      <c r="I119" s="2283" t="s">
        <v>553</v>
      </c>
    </row>
    <row r="120" spans="1:9" hidden="1" x14ac:dyDescent="0.3">
      <c r="A120" s="968" t="s">
        <v>299</v>
      </c>
      <c r="B120" s="1" t="s">
        <v>289</v>
      </c>
      <c r="C120" s="99" t="s">
        <v>22</v>
      </c>
      <c r="D120" s="342">
        <v>0</v>
      </c>
      <c r="E120" s="342">
        <v>0</v>
      </c>
      <c r="F120" s="342">
        <v>0</v>
      </c>
      <c r="G120" s="342">
        <v>0</v>
      </c>
      <c r="I120" s="2283" t="s">
        <v>553</v>
      </c>
    </row>
    <row r="121" spans="1:9" ht="26.4" hidden="1" x14ac:dyDescent="0.3">
      <c r="A121" s="968">
        <v>5</v>
      </c>
      <c r="B121" s="1" t="s">
        <v>147</v>
      </c>
      <c r="C121" s="99" t="s">
        <v>40</v>
      </c>
      <c r="D121" s="342">
        <v>0</v>
      </c>
      <c r="E121" s="342">
        <v>0</v>
      </c>
      <c r="F121" s="342">
        <v>0</v>
      </c>
      <c r="G121" s="342">
        <v>0</v>
      </c>
      <c r="H121" s="340" t="s">
        <v>481</v>
      </c>
      <c r="I121" s="2283" t="s">
        <v>553</v>
      </c>
    </row>
    <row r="122" spans="1:9" ht="26.4" hidden="1" x14ac:dyDescent="0.3">
      <c r="A122" s="968">
        <v>6</v>
      </c>
      <c r="B122" s="1" t="s">
        <v>476</v>
      </c>
      <c r="C122" s="99" t="s">
        <v>40</v>
      </c>
      <c r="D122" s="342">
        <v>0</v>
      </c>
      <c r="E122" s="342">
        <v>0</v>
      </c>
      <c r="F122" s="342">
        <v>0</v>
      </c>
      <c r="G122" s="342">
        <v>0</v>
      </c>
      <c r="H122" s="340" t="s">
        <v>481</v>
      </c>
      <c r="I122" s="2283" t="s">
        <v>553</v>
      </c>
    </row>
    <row r="123" spans="1:9" ht="39.6" hidden="1" x14ac:dyDescent="0.3">
      <c r="A123" s="968" t="s">
        <v>32</v>
      </c>
      <c r="B123" s="1" t="s">
        <v>477</v>
      </c>
      <c r="C123" s="99" t="s">
        <v>40</v>
      </c>
      <c r="D123" s="342">
        <v>0</v>
      </c>
      <c r="E123" s="342">
        <v>0</v>
      </c>
      <c r="F123" s="342">
        <v>0</v>
      </c>
      <c r="G123" s="342">
        <v>0</v>
      </c>
      <c r="H123" s="340" t="s">
        <v>481</v>
      </c>
      <c r="I123" s="2283" t="s">
        <v>553</v>
      </c>
    </row>
    <row r="124" spans="1:9" hidden="1" x14ac:dyDescent="0.3">
      <c r="A124" s="968">
        <v>7</v>
      </c>
      <c r="B124" s="1" t="s">
        <v>475</v>
      </c>
      <c r="C124" s="99" t="s">
        <v>40</v>
      </c>
      <c r="D124" s="342">
        <v>0</v>
      </c>
      <c r="E124" s="342">
        <v>0</v>
      </c>
      <c r="F124" s="342">
        <v>0</v>
      </c>
      <c r="G124" s="342">
        <v>0</v>
      </c>
      <c r="H124" s="340" t="s">
        <v>481</v>
      </c>
      <c r="I124" s="2283" t="s">
        <v>553</v>
      </c>
    </row>
    <row r="125" spans="1:9" ht="26.4" hidden="1" x14ac:dyDescent="0.3">
      <c r="A125" s="968">
        <v>8</v>
      </c>
      <c r="B125" s="1" t="s">
        <v>148</v>
      </c>
      <c r="C125" s="99" t="s">
        <v>40</v>
      </c>
      <c r="D125" s="342">
        <v>0</v>
      </c>
      <c r="E125" s="342">
        <v>0</v>
      </c>
      <c r="F125" s="342">
        <v>0</v>
      </c>
      <c r="G125" s="342">
        <v>0</v>
      </c>
      <c r="H125" s="340" t="s">
        <v>481</v>
      </c>
      <c r="I125" s="2283" t="s">
        <v>553</v>
      </c>
    </row>
    <row r="126" spans="1:9" ht="3.6" customHeight="1" x14ac:dyDescent="0.3">
      <c r="A126" s="2301"/>
      <c r="B126" s="2302"/>
    </row>
    <row r="127" spans="1:9" x14ac:dyDescent="0.3">
      <c r="B127" s="1326" t="s">
        <v>305</v>
      </c>
    </row>
    <row r="129" spans="2:7" ht="15" customHeight="1" x14ac:dyDescent="0.3">
      <c r="B129" s="2304" t="str">
        <f>'Вхідні дані'!B13</f>
        <v>Директор підприємства</v>
      </c>
      <c r="C129" s="2305" t="s">
        <v>240</v>
      </c>
      <c r="D129" s="2305"/>
      <c r="E129" s="5344" t="str">
        <f>'Вхідні дані'!F13</f>
        <v>Анатолій ПАНШИН</v>
      </c>
      <c r="F129" s="5344"/>
      <c r="G129" s="5344"/>
    </row>
    <row r="130" spans="2:7" ht="15" customHeight="1" x14ac:dyDescent="0.3">
      <c r="B130" s="2306" t="s">
        <v>232</v>
      </c>
      <c r="C130" s="470" t="s">
        <v>100</v>
      </c>
      <c r="D130" s="470"/>
      <c r="E130" s="5345" t="s">
        <v>101</v>
      </c>
      <c r="F130" s="5345"/>
      <c r="G130" s="5345"/>
    </row>
    <row r="135" spans="2:7" ht="62.4" x14ac:dyDescent="0.3">
      <c r="B135" s="2309" t="s">
        <v>849</v>
      </c>
    </row>
  </sheetData>
  <mergeCells count="18">
    <mergeCell ref="B7:F7"/>
    <mergeCell ref="E8:G8"/>
    <mergeCell ref="A9:A10"/>
    <mergeCell ref="B9:B10"/>
    <mergeCell ref="C9:C10"/>
    <mergeCell ref="E1:G1"/>
    <mergeCell ref="B3:F3"/>
    <mergeCell ref="B4:F4"/>
    <mergeCell ref="B5:F5"/>
    <mergeCell ref="B6:F6"/>
    <mergeCell ref="E2:G2"/>
    <mergeCell ref="A80:G80"/>
    <mergeCell ref="A104:G104"/>
    <mergeCell ref="E129:G129"/>
    <mergeCell ref="E130:G130"/>
    <mergeCell ref="A12:G12"/>
    <mergeCell ref="A29:G29"/>
    <mergeCell ref="A53:G53"/>
  </mergeCells>
  <conditionalFormatting sqref="B4:F7">
    <cfRule type="cellIs" dxfId="28" priority="4" operator="equal">
      <formula>0</formula>
    </cfRule>
  </conditionalFormatting>
  <printOptions horizontalCentered="1"/>
  <pageMargins left="0.23622047244094491" right="0.23622047244094491" top="0.42" bottom="0.34" header="0.31496062992125984" footer="0.32"/>
  <pageSetup paperSize="9" fitToHeight="0" orientation="portrait"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600-000000000000}">
  <sheetPr codeName="Лист32">
    <pageSetUpPr fitToPage="1"/>
  </sheetPr>
  <dimension ref="A1:F51"/>
  <sheetViews>
    <sheetView view="pageBreakPreview" zoomScaleNormal="100" zoomScaleSheetLayoutView="100" workbookViewId="0">
      <selection activeCell="E13" sqref="E13"/>
    </sheetView>
  </sheetViews>
  <sheetFormatPr defaultRowHeight="14.4" x14ac:dyDescent="0.3"/>
  <cols>
    <col min="1" max="1" width="5.44140625" style="17" customWidth="1"/>
    <col min="2" max="2" width="45.33203125" customWidth="1"/>
    <col min="3" max="3" width="14.109375" bestFit="1" customWidth="1"/>
    <col min="4" max="4" width="29.88671875" customWidth="1"/>
    <col min="5" max="5" width="36" customWidth="1"/>
  </cols>
  <sheetData>
    <row r="1" spans="1:6" ht="126.75" customHeight="1" x14ac:dyDescent="0.3">
      <c r="A1" s="18"/>
      <c r="B1" s="10"/>
      <c r="C1" s="5356" t="s">
        <v>546</v>
      </c>
      <c r="D1" s="5357"/>
      <c r="E1" s="56" t="s">
        <v>1021</v>
      </c>
      <c r="F1" s="427"/>
    </row>
    <row r="2" spans="1:6" x14ac:dyDescent="0.3">
      <c r="A2" s="18"/>
      <c r="B2" s="10"/>
      <c r="C2" s="10"/>
      <c r="D2" s="10"/>
    </row>
    <row r="3" spans="1:6" x14ac:dyDescent="0.3">
      <c r="A3" s="5358" t="s">
        <v>552</v>
      </c>
      <c r="B3" s="5359"/>
      <c r="C3" s="5359"/>
      <c r="D3" s="5359"/>
    </row>
    <row r="4" spans="1:6" x14ac:dyDescent="0.3">
      <c r="A4" s="5360" t="s">
        <v>335</v>
      </c>
      <c r="B4" s="5361"/>
      <c r="C4" s="5361"/>
      <c r="D4" s="5361"/>
    </row>
    <row r="5" spans="1:6" x14ac:dyDescent="0.3">
      <c r="A5" s="5362" t="str">
        <f>'Вхідні дані'!$F$4</f>
        <v>Комунальне підприємство «Чорноморськтеплоенерго» Чорноморської міської ради Одеського району Одеської області</v>
      </c>
      <c r="B5" s="5362"/>
      <c r="C5" s="5362"/>
      <c r="D5" s="5362"/>
    </row>
    <row r="6" spans="1:6" ht="23.25" customHeight="1" x14ac:dyDescent="0.3">
      <c r="A6" s="5363" t="s">
        <v>336</v>
      </c>
      <c r="B6" s="5364"/>
      <c r="C6" s="5364"/>
      <c r="D6" s="5364"/>
    </row>
    <row r="7" spans="1:6" x14ac:dyDescent="0.3">
      <c r="A7" s="5355" t="s">
        <v>7</v>
      </c>
      <c r="B7" s="5215" t="s">
        <v>306</v>
      </c>
      <c r="C7" s="5215" t="s">
        <v>307</v>
      </c>
      <c r="D7" s="5215"/>
    </row>
    <row r="8" spans="1:6" x14ac:dyDescent="0.3">
      <c r="A8" s="5355"/>
      <c r="B8" s="5215"/>
      <c r="C8" s="5215"/>
      <c r="D8" s="5215"/>
    </row>
    <row r="9" spans="1:6" ht="19.5" customHeight="1" x14ac:dyDescent="0.3">
      <c r="A9" s="5355"/>
      <c r="B9" s="5215"/>
      <c r="C9" s="9" t="s">
        <v>40</v>
      </c>
      <c r="D9" s="9" t="s">
        <v>547</v>
      </c>
    </row>
    <row r="10" spans="1:6" ht="15.6" x14ac:dyDescent="0.3">
      <c r="A10" s="21">
        <v>1</v>
      </c>
      <c r="B10" s="7">
        <v>2</v>
      </c>
      <c r="C10" s="7">
        <v>3</v>
      </c>
      <c r="D10" s="7">
        <v>4</v>
      </c>
    </row>
    <row r="11" spans="1:6" ht="41.4" x14ac:dyDescent="0.3">
      <c r="A11" s="37">
        <v>1</v>
      </c>
      <c r="B11" s="11" t="s">
        <v>308</v>
      </c>
      <c r="C11" s="9"/>
      <c r="D11" s="9"/>
    </row>
    <row r="12" spans="1:6" x14ac:dyDescent="0.3">
      <c r="A12" s="37" t="s">
        <v>23</v>
      </c>
      <c r="B12" s="11" t="s">
        <v>309</v>
      </c>
      <c r="C12" s="9"/>
      <c r="D12" s="9"/>
    </row>
    <row r="13" spans="1:6" ht="27.6" x14ac:dyDescent="0.3">
      <c r="A13" s="37">
        <v>2</v>
      </c>
      <c r="B13" s="11" t="s">
        <v>310</v>
      </c>
      <c r="C13" s="9"/>
      <c r="D13" s="9"/>
    </row>
    <row r="14" spans="1:6" x14ac:dyDescent="0.3">
      <c r="A14" s="37" t="s">
        <v>25</v>
      </c>
      <c r="B14" s="11" t="s">
        <v>55</v>
      </c>
      <c r="C14" s="9"/>
      <c r="D14" s="9"/>
    </row>
    <row r="15" spans="1:6" ht="27.6" x14ac:dyDescent="0.3">
      <c r="A15" s="37" t="s">
        <v>26</v>
      </c>
      <c r="B15" s="97" t="s">
        <v>548</v>
      </c>
      <c r="C15" s="9"/>
      <c r="D15" s="9"/>
    </row>
    <row r="16" spans="1:6" x14ac:dyDescent="0.3">
      <c r="A16" s="37" t="s">
        <v>59</v>
      </c>
      <c r="B16" s="11" t="s">
        <v>311</v>
      </c>
      <c r="C16" s="9"/>
      <c r="D16" s="9"/>
    </row>
    <row r="17" spans="1:4" ht="27.6" x14ac:dyDescent="0.3">
      <c r="A17" s="37">
        <v>3</v>
      </c>
      <c r="B17" s="97" t="s">
        <v>551</v>
      </c>
      <c r="C17" s="9"/>
      <c r="D17" s="9"/>
    </row>
    <row r="18" spans="1:4" ht="41.4" x14ac:dyDescent="0.3">
      <c r="A18" s="37">
        <v>4</v>
      </c>
      <c r="B18" s="11" t="s">
        <v>312</v>
      </c>
      <c r="C18" s="9"/>
      <c r="D18" s="9"/>
    </row>
    <row r="19" spans="1:4" ht="41.4" x14ac:dyDescent="0.3">
      <c r="A19" s="37">
        <v>5</v>
      </c>
      <c r="B19" s="11" t="s">
        <v>313</v>
      </c>
      <c r="C19" s="9"/>
      <c r="D19" s="9"/>
    </row>
    <row r="20" spans="1:4" x14ac:dyDescent="0.3">
      <c r="A20" s="37">
        <v>6</v>
      </c>
      <c r="B20" s="11" t="s">
        <v>242</v>
      </c>
      <c r="C20" s="9"/>
      <c r="D20" s="9"/>
    </row>
    <row r="21" spans="1:4" ht="27.6" x14ac:dyDescent="0.3">
      <c r="A21" s="37" t="s">
        <v>32</v>
      </c>
      <c r="B21" s="11" t="s">
        <v>314</v>
      </c>
      <c r="C21" s="9"/>
      <c r="D21" s="9"/>
    </row>
    <row r="22" spans="1:4" x14ac:dyDescent="0.3">
      <c r="A22" s="37" t="s">
        <v>33</v>
      </c>
      <c r="B22" s="11" t="s">
        <v>65</v>
      </c>
      <c r="C22" s="9"/>
      <c r="D22" s="9"/>
    </row>
    <row r="23" spans="1:4" ht="27.6" x14ac:dyDescent="0.3">
      <c r="A23" s="37">
        <v>7</v>
      </c>
      <c r="B23" s="11" t="s">
        <v>315</v>
      </c>
      <c r="C23" s="9"/>
      <c r="D23" s="9"/>
    </row>
    <row r="24" spans="1:4" ht="41.4" x14ac:dyDescent="0.3">
      <c r="A24" s="37">
        <v>8</v>
      </c>
      <c r="B24" s="11" t="s">
        <v>316</v>
      </c>
      <c r="C24" s="9">
        <f>SUM(C25:C35)</f>
        <v>0</v>
      </c>
      <c r="D24" s="9"/>
    </row>
    <row r="25" spans="1:4" x14ac:dyDescent="0.3">
      <c r="A25" s="37">
        <v>9</v>
      </c>
      <c r="B25" s="97" t="s">
        <v>549</v>
      </c>
      <c r="C25" s="9"/>
      <c r="D25" s="9" t="s">
        <v>317</v>
      </c>
    </row>
    <row r="26" spans="1:4" ht="27.6" x14ac:dyDescent="0.3">
      <c r="A26" s="37">
        <v>10</v>
      </c>
      <c r="B26" s="11" t="s">
        <v>318</v>
      </c>
      <c r="C26" s="9" t="s">
        <v>317</v>
      </c>
      <c r="D26" s="9"/>
    </row>
    <row r="27" spans="1:4" ht="27.6" x14ac:dyDescent="0.3">
      <c r="A27" s="37">
        <v>11</v>
      </c>
      <c r="B27" s="97" t="s">
        <v>550</v>
      </c>
      <c r="C27" s="9" t="s">
        <v>317</v>
      </c>
      <c r="D27" s="9"/>
    </row>
    <row r="28" spans="1:4" x14ac:dyDescent="0.3">
      <c r="A28" s="37" t="s">
        <v>91</v>
      </c>
      <c r="B28" s="11" t="s">
        <v>319</v>
      </c>
      <c r="C28" s="9" t="s">
        <v>317</v>
      </c>
      <c r="D28" s="9"/>
    </row>
    <row r="29" spans="1:4" x14ac:dyDescent="0.3">
      <c r="A29" s="37" t="s">
        <v>92</v>
      </c>
      <c r="B29" s="11" t="s">
        <v>320</v>
      </c>
      <c r="C29" s="9" t="s">
        <v>317</v>
      </c>
      <c r="D29" s="9"/>
    </row>
    <row r="30" spans="1:4" ht="27.6" x14ac:dyDescent="0.3">
      <c r="A30" s="37">
        <v>12</v>
      </c>
      <c r="B30" s="11" t="s">
        <v>321</v>
      </c>
      <c r="C30" s="9"/>
      <c r="D30" s="9" t="s">
        <v>317</v>
      </c>
    </row>
    <row r="31" spans="1:4" ht="30.6" x14ac:dyDescent="0.3">
      <c r="A31" s="37">
        <v>13</v>
      </c>
      <c r="B31" s="11" t="s">
        <v>329</v>
      </c>
      <c r="C31" s="9"/>
      <c r="D31" s="9" t="s">
        <v>317</v>
      </c>
    </row>
    <row r="32" spans="1:4" x14ac:dyDescent="0.3">
      <c r="A32" s="37">
        <v>14</v>
      </c>
      <c r="B32" s="11" t="s">
        <v>322</v>
      </c>
      <c r="C32" s="9"/>
      <c r="D32" s="9" t="s">
        <v>317</v>
      </c>
    </row>
    <row r="33" spans="1:4" ht="27.6" x14ac:dyDescent="0.3">
      <c r="A33" s="37">
        <v>15</v>
      </c>
      <c r="B33" s="11" t="s">
        <v>323</v>
      </c>
      <c r="C33" s="9"/>
      <c r="D33" s="9" t="s">
        <v>317</v>
      </c>
    </row>
    <row r="34" spans="1:4" x14ac:dyDescent="0.3">
      <c r="A34" s="37" t="s">
        <v>333</v>
      </c>
      <c r="B34" s="11" t="s">
        <v>324</v>
      </c>
      <c r="C34" s="9"/>
      <c r="D34" s="9" t="s">
        <v>317</v>
      </c>
    </row>
    <row r="35" spans="1:4" x14ac:dyDescent="0.3">
      <c r="A35" s="37" t="s">
        <v>334</v>
      </c>
      <c r="B35" s="11" t="s">
        <v>325</v>
      </c>
      <c r="C35" s="9"/>
      <c r="D35" s="9" t="s">
        <v>317</v>
      </c>
    </row>
    <row r="36" spans="1:4" ht="32.25" customHeight="1" x14ac:dyDescent="0.3">
      <c r="A36" s="37">
        <v>16</v>
      </c>
      <c r="B36" s="11" t="s">
        <v>326</v>
      </c>
      <c r="C36" s="9"/>
      <c r="D36" s="9" t="s">
        <v>317</v>
      </c>
    </row>
    <row r="37" spans="1:4" x14ac:dyDescent="0.3">
      <c r="A37" s="37" t="s">
        <v>194</v>
      </c>
      <c r="B37" s="11" t="s">
        <v>324</v>
      </c>
      <c r="C37" s="9"/>
      <c r="D37" s="9" t="s">
        <v>317</v>
      </c>
    </row>
    <row r="38" spans="1:4" x14ac:dyDescent="0.3">
      <c r="A38" s="37" t="s">
        <v>195</v>
      </c>
      <c r="B38" s="11" t="s">
        <v>325</v>
      </c>
      <c r="C38" s="9"/>
      <c r="D38" s="9" t="s">
        <v>317</v>
      </c>
    </row>
    <row r="39" spans="1:4" x14ac:dyDescent="0.3">
      <c r="A39" s="37">
        <v>17</v>
      </c>
      <c r="B39" s="11" t="s">
        <v>327</v>
      </c>
      <c r="C39" s="9"/>
      <c r="D39" s="9" t="s">
        <v>317</v>
      </c>
    </row>
    <row r="40" spans="1:4" ht="16.8" x14ac:dyDescent="0.3">
      <c r="A40" s="37">
        <v>18</v>
      </c>
      <c r="B40" s="11" t="s">
        <v>330</v>
      </c>
      <c r="C40" s="9"/>
      <c r="D40" s="9" t="s">
        <v>317</v>
      </c>
    </row>
    <row r="41" spans="1:4" ht="16.8" x14ac:dyDescent="0.3">
      <c r="A41" s="37">
        <v>19</v>
      </c>
      <c r="B41" s="11" t="s">
        <v>331</v>
      </c>
      <c r="C41" s="9"/>
      <c r="D41" s="9" t="s">
        <v>317</v>
      </c>
    </row>
    <row r="42" spans="1:4" ht="41.4" x14ac:dyDescent="0.3">
      <c r="A42" s="37">
        <v>20</v>
      </c>
      <c r="B42" s="11" t="s">
        <v>328</v>
      </c>
      <c r="C42" s="9"/>
      <c r="D42" s="9" t="s">
        <v>317</v>
      </c>
    </row>
    <row r="43" spans="1:4" ht="30.6" x14ac:dyDescent="0.3">
      <c r="A43" s="37">
        <v>21</v>
      </c>
      <c r="B43" s="11" t="s">
        <v>332</v>
      </c>
      <c r="C43" s="9" t="s">
        <v>317</v>
      </c>
      <c r="D43" s="9"/>
    </row>
    <row r="44" spans="1:4" ht="30" customHeight="1" x14ac:dyDescent="0.3">
      <c r="A44" s="22"/>
      <c r="B44" s="23" t="s">
        <v>277</v>
      </c>
      <c r="C44" s="24"/>
      <c r="D44" s="24"/>
    </row>
    <row r="45" spans="1:4" ht="30.75" customHeight="1" x14ac:dyDescent="0.3">
      <c r="B45" s="19" t="s">
        <v>340</v>
      </c>
      <c r="C45" s="91"/>
    </row>
    <row r="46" spans="1:4" ht="60.75" customHeight="1" x14ac:dyDescent="0.3">
      <c r="B46" s="5354" t="s">
        <v>337</v>
      </c>
      <c r="C46" s="5354"/>
      <c r="D46" s="5354"/>
    </row>
    <row r="48" spans="1:4" x14ac:dyDescent="0.3">
      <c r="B48" s="96" t="str">
        <f>'Вхідні дані'!B13</f>
        <v>Директор підприємства</v>
      </c>
      <c r="C48" s="467" t="s">
        <v>339</v>
      </c>
      <c r="D48" s="87" t="str">
        <f>'Вхідні дані'!F13</f>
        <v>Анатолій ПАНШИН</v>
      </c>
    </row>
    <row r="49" spans="2:4" x14ac:dyDescent="0.3">
      <c r="B49" s="19" t="s">
        <v>232</v>
      </c>
      <c r="C49" s="20" t="s">
        <v>209</v>
      </c>
      <c r="D49" s="20" t="s">
        <v>230</v>
      </c>
    </row>
    <row r="51" spans="2:4" x14ac:dyDescent="0.3">
      <c r="C51">
        <v>4.68</v>
      </c>
    </row>
  </sheetData>
  <mergeCells count="9">
    <mergeCell ref="B46:D46"/>
    <mergeCell ref="A7:A9"/>
    <mergeCell ref="B7:B9"/>
    <mergeCell ref="C7:D8"/>
    <mergeCell ref="C1:D1"/>
    <mergeCell ref="A3:D3"/>
    <mergeCell ref="A4:D4"/>
    <mergeCell ref="A5:D5"/>
    <mergeCell ref="A6:D6"/>
  </mergeCells>
  <pageMargins left="0.7" right="0.7" top="0.75" bottom="0.75" header="0.3" footer="0.3"/>
  <pageSetup paperSize="9" scale="62" fitToHeight="0" orientation="portrait" horizontalDpi="120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Лист8">
    <tabColor rgb="FF0000FF"/>
    <pageSetUpPr fitToPage="1"/>
  </sheetPr>
  <dimension ref="A1:N142"/>
  <sheetViews>
    <sheetView workbookViewId="0">
      <selection activeCell="A2" sqref="A2:G2"/>
    </sheetView>
  </sheetViews>
  <sheetFormatPr defaultColWidth="8.88671875" defaultRowHeight="13.8" x14ac:dyDescent="0.25"/>
  <cols>
    <col min="1" max="1" width="5.33203125" style="1816" customWidth="1"/>
    <col min="2" max="2" width="42.88671875" style="1788" customWidth="1"/>
    <col min="3" max="3" width="9.109375" style="1788" customWidth="1"/>
    <col min="4" max="4" width="13.33203125" style="10" customWidth="1"/>
    <col min="5" max="5" width="12.33203125" style="10" hidden="1" customWidth="1"/>
    <col min="6" max="6" width="11.88671875" style="10" customWidth="1"/>
    <col min="7" max="7" width="12" style="10" customWidth="1"/>
    <col min="8" max="8" width="0" style="10" hidden="1" customWidth="1"/>
    <col min="9" max="9" width="12" style="1121" hidden="1" customWidth="1"/>
    <col min="10" max="12" width="12" style="10" hidden="1" customWidth="1"/>
    <col min="13" max="15" width="0" style="10" hidden="1" customWidth="1"/>
    <col min="16" max="16384" width="8.88671875" style="10"/>
  </cols>
  <sheetData>
    <row r="1" spans="1:14" s="45" customFormat="1" ht="92.4" customHeight="1" x14ac:dyDescent="0.3">
      <c r="A1" s="1815"/>
      <c r="B1" s="1796"/>
      <c r="C1" s="1796"/>
      <c r="D1" s="3079"/>
      <c r="E1" s="3079"/>
      <c r="F1" s="4895" t="s">
        <v>3469</v>
      </c>
      <c r="G1" s="4895"/>
      <c r="I1" s="1499"/>
      <c r="L1" s="4910"/>
      <c r="M1" s="4910"/>
      <c r="N1" s="4910"/>
    </row>
    <row r="2" spans="1:14" s="45" customFormat="1" ht="15.6" x14ac:dyDescent="0.3">
      <c r="A2" s="4911" t="s">
        <v>4170</v>
      </c>
      <c r="B2" s="4911"/>
      <c r="C2" s="4911"/>
      <c r="D2" s="4911"/>
      <c r="E2" s="4911"/>
      <c r="F2" s="4911"/>
      <c r="G2" s="4911"/>
      <c r="I2" s="1499"/>
    </row>
    <row r="3" spans="1:14" s="45" customFormat="1" ht="63.6" customHeight="1" x14ac:dyDescent="0.3">
      <c r="A3" s="4912" t="s">
        <v>4171</v>
      </c>
      <c r="B3" s="4912"/>
      <c r="C3" s="4912"/>
      <c r="D3" s="4912"/>
      <c r="E3" s="4912"/>
      <c r="F3" s="4912"/>
      <c r="G3" s="4912"/>
      <c r="I3" s="1499"/>
    </row>
    <row r="4" spans="1:14" s="45" customFormat="1" ht="14.4" customHeight="1" x14ac:dyDescent="0.3">
      <c r="A4" s="1817"/>
      <c r="B4" s="1811"/>
      <c r="C4" s="1811"/>
      <c r="D4" s="4920" t="s">
        <v>211</v>
      </c>
      <c r="E4" s="4920"/>
      <c r="F4" s="4920"/>
      <c r="G4" s="4920"/>
      <c r="I4" s="1499"/>
    </row>
    <row r="5" spans="1:14" s="40" customFormat="1" ht="15.6" x14ac:dyDescent="0.3">
      <c r="A5" s="4913" t="s">
        <v>2864</v>
      </c>
      <c r="B5" s="4915" t="s">
        <v>110</v>
      </c>
      <c r="C5" s="4915" t="s">
        <v>2255</v>
      </c>
      <c r="D5" s="4917" t="s">
        <v>2865</v>
      </c>
      <c r="E5" s="4918"/>
      <c r="F5" s="4918"/>
      <c r="G5" s="4919"/>
      <c r="I5" s="1806"/>
    </row>
    <row r="6" spans="1:14" s="40" customFormat="1" ht="39.6" x14ac:dyDescent="0.3">
      <c r="A6" s="4914"/>
      <c r="B6" s="4916"/>
      <c r="C6" s="4916"/>
      <c r="D6" s="1475" t="s">
        <v>2736</v>
      </c>
      <c r="E6" s="1475" t="s">
        <v>2737</v>
      </c>
      <c r="F6" s="1475" t="s">
        <v>2866</v>
      </c>
      <c r="G6" s="1475" t="s">
        <v>2810</v>
      </c>
      <c r="I6" s="1806"/>
    </row>
    <row r="7" spans="1:14" s="40" customFormat="1" ht="15.6" x14ac:dyDescent="0.3">
      <c r="A7" s="1798" t="s">
        <v>2691</v>
      </c>
      <c r="B7" s="1810">
        <v>1</v>
      </c>
      <c r="C7" s="1810">
        <v>2</v>
      </c>
      <c r="D7" s="1611">
        <v>3</v>
      </c>
      <c r="E7" s="1611">
        <v>4</v>
      </c>
      <c r="F7" s="1611">
        <v>4</v>
      </c>
      <c r="G7" s="1611">
        <v>5</v>
      </c>
      <c r="I7" s="1806"/>
    </row>
    <row r="8" spans="1:14" s="45" customFormat="1" ht="15.6" x14ac:dyDescent="0.3">
      <c r="A8" s="4902" t="s">
        <v>2867</v>
      </c>
      <c r="B8" s="4902"/>
      <c r="C8" s="4902"/>
      <c r="D8" s="4902"/>
      <c r="E8" s="4902"/>
      <c r="F8" s="4902"/>
      <c r="G8" s="4902"/>
      <c r="I8" s="1499"/>
    </row>
    <row r="9" spans="1:14" s="45" customFormat="1" ht="39.6" x14ac:dyDescent="0.3">
      <c r="A9" s="1798">
        <v>1</v>
      </c>
      <c r="B9" s="1800" t="s">
        <v>2868</v>
      </c>
      <c r="C9" s="2010" t="s">
        <v>2286</v>
      </c>
      <c r="D9" s="1804">
        <f>'ТЕ_2ст_тариф_з ЦТП'!I214</f>
        <v>1143.25</v>
      </c>
      <c r="E9" s="1804">
        <f>'ТЕ_2ст_тариф_з ЦТП'!L214</f>
        <v>0</v>
      </c>
      <c r="F9" s="1804">
        <f>'ТЕ_2ст_тариф_з ЦТП'!O214</f>
        <v>2130.2600000000002</v>
      </c>
      <c r="G9" s="1804">
        <f>'ТЕ_2ст_тариф_з ЦТП'!R214</f>
        <v>2130.2600000000002</v>
      </c>
      <c r="I9" s="3078">
        <f t="shared" ref="I9:L10" si="0">D9*1.2</f>
        <v>1371.8999999999999</v>
      </c>
      <c r="J9" s="3078">
        <f t="shared" si="0"/>
        <v>0</v>
      </c>
      <c r="K9" s="3078">
        <f t="shared" si="0"/>
        <v>2556.3120000000004</v>
      </c>
      <c r="L9" s="3078">
        <f t="shared" si="0"/>
        <v>2556.3120000000004</v>
      </c>
    </row>
    <row r="10" spans="1:14" s="45" customFormat="1" ht="42" customHeight="1" x14ac:dyDescent="0.3">
      <c r="A10" s="1798">
        <v>2</v>
      </c>
      <c r="B10" s="1800" t="s">
        <v>2869</v>
      </c>
      <c r="C10" s="2010" t="s">
        <v>3058</v>
      </c>
      <c r="D10" s="1804">
        <f>'ТЕ_2ст_тариф_з ЦТП'!J224</f>
        <v>132136.79999999999</v>
      </c>
      <c r="E10" s="1804">
        <f>'ТЕ_2ст_тариф_з ЦТП'!M224/12</f>
        <v>0</v>
      </c>
      <c r="F10" s="1804">
        <f>'ТЕ_2ст_тариф_з ЦТП'!P224</f>
        <v>150830.23000000001</v>
      </c>
      <c r="G10" s="1804">
        <f>'ТЕ_2ст_тариф_з ЦТП'!S224</f>
        <v>150830.23000000001</v>
      </c>
      <c r="I10" s="3078">
        <f t="shared" si="0"/>
        <v>158564.15999999997</v>
      </c>
      <c r="J10" s="3078">
        <f t="shared" si="0"/>
        <v>0</v>
      </c>
      <c r="K10" s="3078">
        <f t="shared" si="0"/>
        <v>180996.27600000001</v>
      </c>
      <c r="L10" s="3078">
        <f t="shared" si="0"/>
        <v>180996.27600000001</v>
      </c>
    </row>
    <row r="11" spans="1:14" s="45" customFormat="1" ht="15.6" x14ac:dyDescent="0.3">
      <c r="A11" s="4903" t="s">
        <v>2870</v>
      </c>
      <c r="B11" s="4904"/>
      <c r="C11" s="4904"/>
      <c r="D11" s="4904"/>
      <c r="E11" s="4904"/>
      <c r="F11" s="4904"/>
      <c r="G11" s="4905"/>
      <c r="I11" s="1499"/>
    </row>
    <row r="12" spans="1:14" s="45" customFormat="1" ht="27" customHeight="1" x14ac:dyDescent="0.3">
      <c r="A12" s="1798">
        <v>3</v>
      </c>
      <c r="B12" s="1800" t="s">
        <v>2872</v>
      </c>
      <c r="C12" s="1475" t="s">
        <v>2160</v>
      </c>
      <c r="D12" s="3147">
        <f>'ТЕ_2ст_тариф_з ЦТП'!I30</f>
        <v>90.271057497103627</v>
      </c>
      <c r="E12" s="3147">
        <f>'ТЕ_2ст_тариф_з ЦТП'!L30</f>
        <v>1.4602989074179139E-2</v>
      </c>
      <c r="F12" s="3147">
        <f>'ТЕ_2ст_тариф_з ЦТП'!O30</f>
        <v>13.752767963175286</v>
      </c>
      <c r="G12" s="3147">
        <f>'ТЕ_2ст_тариф_з ЦТП'!R30</f>
        <v>4.6371042268930927</v>
      </c>
      <c r="I12" s="1807">
        <f>'ТЕ_2ст_тариф_з ЦТП'!E30-'Рішення 3Д'!D16-'Рішення 3Д'!E16-'Рішення 3Д'!F16-'Рішення 3Д'!G16</f>
        <v>-7.9936057773011271E-15</v>
      </c>
    </row>
    <row r="13" spans="1:14" s="45" customFormat="1" ht="26.4" x14ac:dyDescent="0.3">
      <c r="A13" s="1799" t="s">
        <v>2873</v>
      </c>
      <c r="B13" s="1802" t="s">
        <v>2876</v>
      </c>
      <c r="C13" s="1006" t="s">
        <v>2160</v>
      </c>
      <c r="D13" s="3147">
        <f>'ТЕ_2ст_тариф_з ЦТП'!I14</f>
        <v>82.049342543904487</v>
      </c>
      <c r="E13" s="3147">
        <f>'ТЕ_2ст_тариф_з ЦТП'!L14</f>
        <v>1.3291675959893333E-2</v>
      </c>
      <c r="F13" s="3147">
        <f>'ТЕ_2ст_тариф_з ЦТП'!O14</f>
        <v>12.519553368115806</v>
      </c>
      <c r="G13" s="3147">
        <f>'ТЕ_2ст_тариф_з ЦТП'!R14</f>
        <v>4.2136191041387132</v>
      </c>
      <c r="I13" s="1157">
        <f>D28+D64+D100</f>
        <v>132136.80145902259</v>
      </c>
      <c r="J13" s="1157" t="e">
        <f>E28+E64+E100</f>
        <v>#DIV/0!</v>
      </c>
      <c r="K13" s="1157">
        <f>F28+F64+F100</f>
        <v>150830.23964620027</v>
      </c>
      <c r="L13" s="1157">
        <f>G28+G64+G100</f>
        <v>150830.23964620024</v>
      </c>
    </row>
    <row r="14" spans="1:14" s="45" customFormat="1" ht="15.6" x14ac:dyDescent="0.3">
      <c r="A14" s="1798" t="s">
        <v>2874</v>
      </c>
      <c r="B14" s="1802" t="s">
        <v>644</v>
      </c>
      <c r="C14" s="1006" t="s">
        <v>2160</v>
      </c>
      <c r="D14" s="3147">
        <f>'ТЕ_2ст_тариф_з ЦТП'!I15</f>
        <v>13.668480880354855</v>
      </c>
      <c r="E14" s="3147">
        <f>'ТЕ_2ст_тариф_з ЦТП'!L15</f>
        <v>0</v>
      </c>
      <c r="F14" s="3147">
        <f>'ТЕ_2ст_тариф_з ЦТП'!O15</f>
        <v>2.0104763849135998</v>
      </c>
      <c r="G14" s="3147">
        <f>'ТЕ_2ст_тариф_з ЦТП'!R15</f>
        <v>0.76925616016375076</v>
      </c>
      <c r="I14" s="1157">
        <f>D20</f>
        <v>889.12343253867959</v>
      </c>
      <c r="J14" s="1157">
        <f>E20</f>
        <v>1876.1334419091138</v>
      </c>
      <c r="K14" s="1157">
        <f>F20</f>
        <v>1876.1334419091138</v>
      </c>
      <c r="L14" s="1157">
        <f>G20</f>
        <v>1876.133441909114</v>
      </c>
    </row>
    <row r="15" spans="1:14" s="45" customFormat="1" ht="15.6" x14ac:dyDescent="0.3">
      <c r="A15" s="1798" t="s">
        <v>2875</v>
      </c>
      <c r="B15" s="1802" t="s">
        <v>643</v>
      </c>
      <c r="C15" s="1006" t="s">
        <v>2160</v>
      </c>
      <c r="D15" s="3147">
        <f>'ТЕ_2ст_тариф_з ЦТП'!I16</f>
        <v>68.380861663549609</v>
      </c>
      <c r="E15" s="3147">
        <f>'ТЕ_2ст_тариф_з ЦТП'!L16</f>
        <v>1.3291675959893333E-2</v>
      </c>
      <c r="F15" s="3147">
        <f>'ТЕ_2ст_тариф_з ЦТП'!O16</f>
        <v>10.509076983202204</v>
      </c>
      <c r="G15" s="3147">
        <f>'ТЕ_2ст_тариф_з ЦТП'!R16</f>
        <v>3.4443629439749621</v>
      </c>
      <c r="I15" s="1157">
        <f>D59</f>
        <v>254.12664028823843</v>
      </c>
      <c r="J15" s="1157" t="e">
        <f>E59</f>
        <v>#DIV/0!</v>
      </c>
      <c r="K15" s="1157">
        <f>F59</f>
        <v>254.12664028823846</v>
      </c>
      <c r="L15" s="1157">
        <f>G59</f>
        <v>254.12664028823843</v>
      </c>
    </row>
    <row r="16" spans="1:14" s="45" customFormat="1" ht="15.6" x14ac:dyDescent="0.3">
      <c r="A16" s="1798">
        <v>4</v>
      </c>
      <c r="B16" s="1802" t="s">
        <v>2189</v>
      </c>
      <c r="C16" s="2010" t="s">
        <v>31</v>
      </c>
      <c r="D16" s="3147">
        <f>'ТЕ_2ст_тариф_з ЦТП'!J17</f>
        <v>59.458515646999999</v>
      </c>
      <c r="E16" s="3147">
        <f>'ТЕ_2ст_тариф_з ЦТП'!M17</f>
        <v>9.6319999999999999E-3</v>
      </c>
      <c r="F16" s="3147">
        <f>'ТЕ_2ст_тариф_з ЦТП'!P17</f>
        <v>9.0724704999999997</v>
      </c>
      <c r="G16" s="3147">
        <f>'ТЕ_2ст_тариф_з ЦТП'!S17</f>
        <v>3.05345837</v>
      </c>
      <c r="I16" s="1157">
        <f>D9</f>
        <v>1143.25</v>
      </c>
      <c r="J16" s="1157">
        <f>E9</f>
        <v>0</v>
      </c>
      <c r="K16" s="1157">
        <f>F9</f>
        <v>2130.2600000000002</v>
      </c>
      <c r="L16" s="1157">
        <f>G9</f>
        <v>2130.2600000000002</v>
      </c>
    </row>
    <row r="17" spans="1:9" s="45" customFormat="1" ht="15.6" x14ac:dyDescent="0.3">
      <c r="A17" s="1798" t="s">
        <v>1775</v>
      </c>
      <c r="B17" s="1802" t="s">
        <v>644</v>
      </c>
      <c r="C17" s="2010" t="s">
        <v>31</v>
      </c>
      <c r="D17" s="3147">
        <f>'ТЕ_2ст_тариф_з ЦТП'!J18</f>
        <v>9.9052058670000012</v>
      </c>
      <c r="E17" s="3147">
        <f>'ТЕ_2ст_тариф_з ЦТП'!M18</f>
        <v>0</v>
      </c>
      <c r="F17" s="3147">
        <f>'ТЕ_2ст_тариф_з ЦТП'!P18</f>
        <v>1.45692</v>
      </c>
      <c r="G17" s="3147">
        <f>'ТЕ_2ст_тариф_з ЦТП'!S18</f>
        <v>0.5574522999999999</v>
      </c>
      <c r="I17" s="1499"/>
    </row>
    <row r="18" spans="1:9" s="45" customFormat="1" ht="15.6" x14ac:dyDescent="0.3">
      <c r="A18" s="1798" t="s">
        <v>1778</v>
      </c>
      <c r="B18" s="1802" t="s">
        <v>643</v>
      </c>
      <c r="C18" s="2010" t="s">
        <v>31</v>
      </c>
      <c r="D18" s="3147">
        <f>'ТЕ_2ст_тариф_з ЦТП'!J19</f>
        <v>49.553309780062136</v>
      </c>
      <c r="E18" s="3147">
        <f>'ТЕ_2ст_тариф_з ЦТП'!M19</f>
        <v>9.6319999999999999E-3</v>
      </c>
      <c r="F18" s="3147">
        <f>'ТЕ_2ст_тариф_з ЦТП'!P19</f>
        <v>7.6155505000000003</v>
      </c>
      <c r="G18" s="3147">
        <f>'ТЕ_2ст_тариф_з ЦТП'!S19</f>
        <v>2.4960060699999995</v>
      </c>
      <c r="I18" s="1499"/>
    </row>
    <row r="19" spans="1:9" s="45" customFormat="1" ht="15.6" x14ac:dyDescent="0.3">
      <c r="A19" s="4906" t="s">
        <v>4146</v>
      </c>
      <c r="B19" s="4906"/>
      <c r="C19" s="4906"/>
      <c r="D19" s="4906"/>
      <c r="E19" s="4906"/>
      <c r="F19" s="4906"/>
      <c r="G19" s="4906"/>
      <c r="I19" s="1499"/>
    </row>
    <row r="20" spans="1:9" s="1489" customFormat="1" ht="15.6" customHeight="1" x14ac:dyDescent="0.3">
      <c r="A20" s="1798">
        <v>5</v>
      </c>
      <c r="B20" s="1823" t="s">
        <v>2963</v>
      </c>
      <c r="C20" s="2010" t="s">
        <v>2286</v>
      </c>
      <c r="D20" s="3159">
        <f>'ТЕ_2ст_тариф_без ЦТП'!I76/D$12</f>
        <v>889.12343253867959</v>
      </c>
      <c r="E20" s="3159">
        <f>'ТЕ_2ст_тариф_без ЦТП'!L76/E$12</f>
        <v>1876.1334419091138</v>
      </c>
      <c r="F20" s="3159">
        <f>'ТЕ_2ст_тариф_без ЦТП'!O76/F$12</f>
        <v>1876.1334419091138</v>
      </c>
      <c r="G20" s="3159">
        <f>'ТЕ_2ст_тариф_без ЦТП'!R76/G$12</f>
        <v>1876.133441909114</v>
      </c>
      <c r="I20" s="3080"/>
    </row>
    <row r="21" spans="1:9" s="45" customFormat="1" ht="15.6" x14ac:dyDescent="0.3">
      <c r="A21" s="1798" t="s">
        <v>1847</v>
      </c>
      <c r="B21" s="337" t="s">
        <v>216</v>
      </c>
      <c r="C21" s="2010" t="s">
        <v>2286</v>
      </c>
      <c r="D21" s="2798">
        <f>'ТЕ_2ст_тариф_з ЦТП'!I38/D$12</f>
        <v>889.12343253867959</v>
      </c>
      <c r="E21" s="2798">
        <f>'ТЕ_2ст_тариф_з ЦТП'!L38/E$12</f>
        <v>1876.1334419091138</v>
      </c>
      <c r="F21" s="2798">
        <f>'ТЕ_2ст_тариф_з ЦТП'!O38/F$12</f>
        <v>1876.1334419091138</v>
      </c>
      <c r="G21" s="2798">
        <f>'ТЕ_2ст_тариф_з ЦТП'!R38/G$12</f>
        <v>1876.133441909114</v>
      </c>
      <c r="I21" s="1499"/>
    </row>
    <row r="22" spans="1:9" s="45" customFormat="1" ht="15.6" x14ac:dyDescent="0.3">
      <c r="A22" s="1813" t="s">
        <v>2880</v>
      </c>
      <c r="B22" s="147" t="s">
        <v>454</v>
      </c>
      <c r="C22" s="2010" t="s">
        <v>2286</v>
      </c>
      <c r="D22" s="2798">
        <f>'ТЕ_2ст_тариф_з ЦТП'!I39/D$12</f>
        <v>834.48969635856406</v>
      </c>
      <c r="E22" s="2798">
        <f>'ТЕ_2ст_тариф_з ЦТП'!L39/E$12</f>
        <v>1821.4997057289984</v>
      </c>
      <c r="F22" s="2798">
        <f>'ТЕ_2ст_тариф_з ЦТП'!O39/F$12</f>
        <v>1821.4997057289984</v>
      </c>
      <c r="G22" s="2798">
        <f>'ТЕ_2ст_тариф_з ЦТП'!R39/G$12</f>
        <v>1821.4997057289986</v>
      </c>
      <c r="I22" s="1499"/>
    </row>
    <row r="23" spans="1:9" s="45" customFormat="1" ht="15.6" x14ac:dyDescent="0.3">
      <c r="A23" s="1798"/>
      <c r="B23" s="1797" t="s">
        <v>440</v>
      </c>
      <c r="C23" s="2010" t="s">
        <v>2286</v>
      </c>
      <c r="D23" s="2798">
        <f>'ТЕ_2ст_тариф_з ЦТП'!I40/D$12</f>
        <v>816.45600016595188</v>
      </c>
      <c r="E23" s="2798">
        <f>'ТЕ_2ст_тариф_з ЦТП'!L40/E$12</f>
        <v>1803.4660095363861</v>
      </c>
      <c r="F23" s="2798">
        <f>'ТЕ_2ст_тариф_з ЦТП'!O40/F$12</f>
        <v>1803.4660095363861</v>
      </c>
      <c r="G23" s="2798">
        <f>'ТЕ_2ст_тариф_з ЦТП'!R40/G$12</f>
        <v>1803.4660095363865</v>
      </c>
      <c r="I23" s="1499"/>
    </row>
    <row r="24" spans="1:9" s="45" customFormat="1" ht="15.6" x14ac:dyDescent="0.3">
      <c r="A24" s="1798"/>
      <c r="B24" s="1797" t="s">
        <v>1904</v>
      </c>
      <c r="C24" s="2010" t="s">
        <v>2286</v>
      </c>
      <c r="D24" s="2798">
        <f>'ТЕ_2ст_тариф_з ЦТП'!I41/D$12</f>
        <v>18.033696192612236</v>
      </c>
      <c r="E24" s="2798">
        <f>'ТЕ_2ст_тариф_з ЦТП'!L41/E$12</f>
        <v>18.033696192612236</v>
      </c>
      <c r="F24" s="2798">
        <f>'ТЕ_2ст_тариф_з ЦТП'!O41/F$12</f>
        <v>18.033696192612233</v>
      </c>
      <c r="G24" s="2798">
        <f>'ТЕ_2ст_тариф_з ЦТП'!R41/G$12</f>
        <v>18.03369619261224</v>
      </c>
      <c r="I24" s="1499"/>
    </row>
    <row r="25" spans="1:9" s="45" customFormat="1" ht="15.6" x14ac:dyDescent="0.3">
      <c r="A25" s="1798" t="s">
        <v>1849</v>
      </c>
      <c r="B25" s="147" t="s">
        <v>43</v>
      </c>
      <c r="C25" s="2010" t="s">
        <v>2286</v>
      </c>
      <c r="D25" s="2798">
        <f>'ТЕ_2ст_тариф_з ЦТП'!I43/D$12</f>
        <v>54.633736180115534</v>
      </c>
      <c r="E25" s="2798">
        <f>'ТЕ_2ст_тариф_з ЦТП'!L43/E$12</f>
        <v>54.633736180115527</v>
      </c>
      <c r="F25" s="2798">
        <f>'ТЕ_2ст_тариф_з ЦТП'!O43/F$12</f>
        <v>54.633736180115527</v>
      </c>
      <c r="G25" s="2798">
        <f>'ТЕ_2ст_тариф_з ЦТП'!R43/G$12</f>
        <v>54.633736180115534</v>
      </c>
      <c r="I25" s="1499"/>
    </row>
    <row r="26" spans="1:9" s="45" customFormat="1" ht="15.6" hidden="1" customHeight="1" x14ac:dyDescent="0.3">
      <c r="A26" s="1799" t="s">
        <v>3424</v>
      </c>
      <c r="B26" s="1097" t="s">
        <v>2654</v>
      </c>
      <c r="C26" s="2010" t="s">
        <v>2286</v>
      </c>
      <c r="D26" s="3159">
        <f>'ТЕ_2ст_тариф_без ЦТП'!I69/D$12</f>
        <v>0</v>
      </c>
      <c r="E26" s="3159">
        <f>'ТЕ_2ст_тариф_без ЦТП'!L69/E$12</f>
        <v>0</v>
      </c>
      <c r="F26" s="3159">
        <f>'ТЕ_2ст_тариф_без ЦТП'!O69/F$12</f>
        <v>0</v>
      </c>
      <c r="G26" s="3159">
        <f>'ТЕ_2ст_тариф_без ЦТП'!R69/G$12</f>
        <v>0</v>
      </c>
      <c r="I26" s="1499"/>
    </row>
    <row r="27" spans="1:9" s="45" customFormat="1" ht="15.6" x14ac:dyDescent="0.3">
      <c r="A27" s="4906" t="s">
        <v>4147</v>
      </c>
      <c r="B27" s="4906"/>
      <c r="C27" s="4906"/>
      <c r="D27" s="4906"/>
      <c r="E27" s="4906"/>
      <c r="F27" s="4906"/>
      <c r="G27" s="4906"/>
      <c r="I27" s="1499"/>
    </row>
    <row r="28" spans="1:9" s="45" customFormat="1" ht="26.4" x14ac:dyDescent="0.3">
      <c r="A28" s="1798">
        <v>6</v>
      </c>
      <c r="B28" s="147" t="s">
        <v>2964</v>
      </c>
      <c r="C28" s="2010" t="s">
        <v>3058</v>
      </c>
      <c r="D28" s="1805">
        <f>'ТЕ_2ст_тариф_без ЦТП'!J76/D$16*1000/12</f>
        <v>54678.243989172748</v>
      </c>
      <c r="E28" s="1805">
        <f>'ТЕ_2ст_тариф_без ЦТП'!M76/E$16*1000/12</f>
        <v>60453.204509315598</v>
      </c>
      <c r="F28" s="1805">
        <f>'ТЕ_2ст_тариф_без ЦТП'!P76/F$16*1000/12</f>
        <v>60453.204509315598</v>
      </c>
      <c r="G28" s="1805">
        <f>'ТЕ_2ст_тариф_без ЦТП'!S76/G$16*1000/12</f>
        <v>60453.204509315576</v>
      </c>
      <c r="I28" s="1499"/>
    </row>
    <row r="29" spans="1:9" s="45" customFormat="1" ht="15.6" x14ac:dyDescent="0.3">
      <c r="A29" s="1798">
        <v>7</v>
      </c>
      <c r="B29" s="337" t="s">
        <v>215</v>
      </c>
      <c r="C29" s="2009" t="s">
        <v>3060</v>
      </c>
      <c r="D29" s="1805">
        <f>'ТЕ_2ст_тариф_без ЦТП'!J37/D$16*1000/12</f>
        <v>39900.889675577782</v>
      </c>
      <c r="E29" s="1805">
        <f>'ТЕ_2ст_тариф_без ЦТП'!M37/E$16*1000/12</f>
        <v>39900.889675548191</v>
      </c>
      <c r="F29" s="1805">
        <f>'ТЕ_2ст_тариф_без ЦТП'!P37/F$16*1000/12</f>
        <v>39900.889675548191</v>
      </c>
      <c r="G29" s="1805">
        <f>'ТЕ_2ст_тариф_без ЦТП'!S37/G$16*1000/12</f>
        <v>39900.889675548176</v>
      </c>
      <c r="I29" s="1499"/>
    </row>
    <row r="30" spans="1:9" s="45" customFormat="1" ht="15.6" x14ac:dyDescent="0.3">
      <c r="A30" s="1798" t="s">
        <v>1029</v>
      </c>
      <c r="B30" s="337" t="s">
        <v>216</v>
      </c>
      <c r="C30" s="2009" t="s">
        <v>3060</v>
      </c>
      <c r="D30" s="1805">
        <f>'ТЕ_2ст_тариф_без ЦТП'!J38/D$16*1000/12</f>
        <v>12345.839733709254</v>
      </c>
      <c r="E30" s="1805">
        <f>'ТЕ_2ст_тариф_без ЦТП'!M38/E$16*1000/12</f>
        <v>12345.839733708459</v>
      </c>
      <c r="F30" s="1805">
        <f>'ТЕ_2ст_тариф_без ЦТП'!P38/F$16*1000/12</f>
        <v>12345.839733708459</v>
      </c>
      <c r="G30" s="1805">
        <f>'ТЕ_2ст_тариф_без ЦТП'!S38/G$16*1000/12</f>
        <v>12345.839733708459</v>
      </c>
      <c r="I30" s="1499"/>
    </row>
    <row r="31" spans="1:9" s="45" customFormat="1" ht="15.6" x14ac:dyDescent="0.3">
      <c r="A31" s="1798" t="s">
        <v>3136</v>
      </c>
      <c r="B31" s="147" t="s">
        <v>454</v>
      </c>
      <c r="C31" s="2009" t="s">
        <v>3060</v>
      </c>
      <c r="D31" s="1805">
        <f>'ТЕ_2ст_тариф_без ЦТП'!J39/D$16*1000/12</f>
        <v>11581.902435319133</v>
      </c>
      <c r="E31" s="1805">
        <f>'ТЕ_2ст_тариф_без ЦТП'!M39/E$16*1000/12</f>
        <v>11581.902435319133</v>
      </c>
      <c r="F31" s="1805">
        <f>'ТЕ_2ст_тариф_без ЦТП'!P39/F$16*1000/12</f>
        <v>11581.902435319133</v>
      </c>
      <c r="G31" s="1805">
        <f>'ТЕ_2ст_тариф_без ЦТП'!S39/G$16*1000/12</f>
        <v>11581.902435319133</v>
      </c>
      <c r="I31" s="1499"/>
    </row>
    <row r="32" spans="1:9" s="45" customFormat="1" ht="15.6" x14ac:dyDescent="0.3">
      <c r="A32" s="1798" t="s">
        <v>3184</v>
      </c>
      <c r="B32" s="147" t="s">
        <v>1905</v>
      </c>
      <c r="C32" s="2009" t="s">
        <v>3060</v>
      </c>
      <c r="D32" s="1805">
        <f>'ТЕ_2ст_тариф_без ЦТП'!J42/D$16*1000/12</f>
        <v>11581.902435319133</v>
      </c>
      <c r="E32" s="1805">
        <f>'ТЕ_2ст_тариф_без ЦТП'!M42/E$16*1000/12</f>
        <v>11581.902435319133</v>
      </c>
      <c r="F32" s="1805">
        <f>'ТЕ_2ст_тариф_без ЦТП'!P42/F$16*1000/12</f>
        <v>11581.902435319133</v>
      </c>
      <c r="G32" s="1805">
        <f>'ТЕ_2ст_тариф_без ЦТП'!S42/G$16*1000/12</f>
        <v>11581.902435319133</v>
      </c>
      <c r="I32" s="1499"/>
    </row>
    <row r="33" spans="1:9" s="45" customFormat="1" ht="26.4" x14ac:dyDescent="0.3">
      <c r="A33" s="1798" t="s">
        <v>3137</v>
      </c>
      <c r="B33" s="337" t="s">
        <v>1689</v>
      </c>
      <c r="C33" s="2009" t="s">
        <v>3060</v>
      </c>
      <c r="D33" s="1805">
        <f>'ТЕ_2ст_тариф_без ЦТП'!J47/D$16*1000/12</f>
        <v>38.776394808818559</v>
      </c>
      <c r="E33" s="1805">
        <f>'ТЕ_2ст_тариф_без ЦТП'!M47/E$16*1000/12</f>
        <v>38.776394808778043</v>
      </c>
      <c r="F33" s="1805">
        <f>'ТЕ_2ст_тариф_без ЦТП'!P47/F$16*1000/12</f>
        <v>38.776394808778036</v>
      </c>
      <c r="G33" s="1805">
        <f>'ТЕ_2ст_тариф_без ЦТП'!S47/G$16*1000/12</f>
        <v>38.776394808778029</v>
      </c>
      <c r="I33" s="1499"/>
    </row>
    <row r="34" spans="1:9" s="45" customFormat="1" ht="15.6" x14ac:dyDescent="0.3">
      <c r="A34" s="1798" t="s">
        <v>3138</v>
      </c>
      <c r="B34" s="337" t="s">
        <v>610</v>
      </c>
      <c r="C34" s="2009" t="s">
        <v>3060</v>
      </c>
      <c r="D34" s="1805">
        <f>'ТЕ_2ст_тариф_без ЦТП'!J48/D$16*1000/12</f>
        <v>725.16090358130612</v>
      </c>
      <c r="E34" s="1805">
        <f>'ТЕ_2ст_тариф_без ЦТП'!M48/E$16*1000/12</f>
        <v>725.16090358054828</v>
      </c>
      <c r="F34" s="1805">
        <f>'ТЕ_2ст_тариф_без ЦТП'!P48/F$16*1000/12</f>
        <v>725.16090358054851</v>
      </c>
      <c r="G34" s="1805">
        <f>'ТЕ_2ст_тариф_без ЦТП'!S48/G$16*1000/12</f>
        <v>725.16090358054817</v>
      </c>
      <c r="I34" s="1499"/>
    </row>
    <row r="35" spans="1:9" s="45" customFormat="1" ht="15.6" x14ac:dyDescent="0.3">
      <c r="A35" s="1798" t="s">
        <v>2793</v>
      </c>
      <c r="B35" s="337" t="s">
        <v>47</v>
      </c>
      <c r="C35" s="2009" t="s">
        <v>3060</v>
      </c>
      <c r="D35" s="1805">
        <f>'ТЕ_2ст_тариф_без ЦТП'!J49/D$16*1000/12</f>
        <v>13070.144791286863</v>
      </c>
      <c r="E35" s="1805">
        <f>'ТЕ_2ст_тариф_без ЦТП'!M49/E$16*1000/12</f>
        <v>13070.144791273206</v>
      </c>
      <c r="F35" s="1805">
        <f>'ТЕ_2ст_тариф_без ЦТП'!P49/F$16*1000/12</f>
        <v>13070.144791273204</v>
      </c>
      <c r="G35" s="1805">
        <f>'ТЕ_2ст_тариф_без ЦТП'!S49/G$16*1000/12</f>
        <v>13070.144791273204</v>
      </c>
      <c r="I35" s="1499"/>
    </row>
    <row r="36" spans="1:9" s="45" customFormat="1" ht="15.6" x14ac:dyDescent="0.3">
      <c r="A36" s="1798" t="s">
        <v>2794</v>
      </c>
      <c r="B36" s="337" t="s">
        <v>217</v>
      </c>
      <c r="C36" s="2009" t="s">
        <v>3060</v>
      </c>
      <c r="D36" s="1805">
        <f>'ТЕ_2ст_тариф_без ЦТП'!J50/D$16*1000/12</f>
        <v>8419.746090909719</v>
      </c>
      <c r="E36" s="1805">
        <f>'ТЕ_2ст_тариф_без ЦТП'!M50/E$16*1000/12</f>
        <v>8419.7460909009205</v>
      </c>
      <c r="F36" s="1805">
        <f>'ТЕ_2ст_тариф_без ЦТП'!P50/F$16*1000/12</f>
        <v>8419.7460909009224</v>
      </c>
      <c r="G36" s="1805">
        <f>'ТЕ_2ст_тариф_без ЦТП'!S50/G$16*1000/12</f>
        <v>8419.7460909009187</v>
      </c>
      <c r="I36" s="1499"/>
    </row>
    <row r="37" spans="1:9" s="45" customFormat="1" ht="26.4" x14ac:dyDescent="0.3">
      <c r="A37" s="1798" t="s">
        <v>3139</v>
      </c>
      <c r="B37" s="147" t="s">
        <v>452</v>
      </c>
      <c r="C37" s="2009" t="s">
        <v>3060</v>
      </c>
      <c r="D37" s="1805">
        <f>'ТЕ_2ст_тариф_без ЦТП'!J51/D$16*1000/12</f>
        <v>2875.4318540831096</v>
      </c>
      <c r="E37" s="1805">
        <f>'ТЕ_2ст_тариф_без ЦТП'!M51/E$16*1000/12</f>
        <v>2875.4318540801046</v>
      </c>
      <c r="F37" s="1805">
        <f>'ТЕ_2ст_тариф_без ЦТП'!P51/F$16*1000/12</f>
        <v>2875.4318540801046</v>
      </c>
      <c r="G37" s="1805">
        <f>'ТЕ_2ст_тариф_без ЦТП'!S51/G$16*1000/12</f>
        <v>2875.4318540801037</v>
      </c>
      <c r="I37" s="1499"/>
    </row>
    <row r="38" spans="1:9" s="45" customFormat="1" ht="15.6" x14ac:dyDescent="0.3">
      <c r="A38" s="1798" t="s">
        <v>3140</v>
      </c>
      <c r="B38" s="147" t="s">
        <v>453</v>
      </c>
      <c r="C38" s="2009" t="s">
        <v>3060</v>
      </c>
      <c r="D38" s="1805">
        <f>'ТЕ_2ст_тариф_без ЦТП'!J52/D$16*1000/12</f>
        <v>2471.0643711521288</v>
      </c>
      <c r="E38" s="1805">
        <f>'ТЕ_2ст_тариф_без ЦТП'!M52/E$16*1000/12</f>
        <v>2471.0643711495463</v>
      </c>
      <c r="F38" s="1805">
        <f>'ТЕ_2ст_тариф_без ЦТП'!P52/F$16*1000/12</f>
        <v>2471.0643711495468</v>
      </c>
      <c r="G38" s="1805">
        <f>'ТЕ_2ст_тариф_без ЦТП'!S52/G$16*1000/12</f>
        <v>2471.0643711495463</v>
      </c>
      <c r="I38" s="1499"/>
    </row>
    <row r="39" spans="1:9" s="45" customFormat="1" ht="15.6" x14ac:dyDescent="0.3">
      <c r="A39" s="1798" t="s">
        <v>3141</v>
      </c>
      <c r="B39" s="147" t="s">
        <v>52</v>
      </c>
      <c r="C39" s="2009" t="s">
        <v>3060</v>
      </c>
      <c r="D39" s="1805">
        <f>'ТЕ_2ст_тариф_без ЦТП'!J53/D$16*1000/12</f>
        <v>3073.2498656744833</v>
      </c>
      <c r="E39" s="1805">
        <f>'ТЕ_2ст_тариф_без ЦТП'!M53/E$16*1000/12</f>
        <v>3073.2498656712719</v>
      </c>
      <c r="F39" s="1805">
        <f>'ТЕ_2ст_тариф_без ЦТП'!P53/F$16*1000/12</f>
        <v>3073.2498656712719</v>
      </c>
      <c r="G39" s="1805">
        <f>'ТЕ_2ст_тариф_без ЦТП'!S53/G$16*1000/12</f>
        <v>3073.249865671271</v>
      </c>
      <c r="I39" s="1499"/>
    </row>
    <row r="40" spans="1:9" s="45" customFormat="1" ht="15.6" x14ac:dyDescent="0.3">
      <c r="A40" s="1798" t="s">
        <v>2795</v>
      </c>
      <c r="B40" s="147" t="s">
        <v>218</v>
      </c>
      <c r="C40" s="2009" t="s">
        <v>3060</v>
      </c>
      <c r="D40" s="1805">
        <f>'ТЕ_2ст_тариф_без ЦТП'!J54/D$16*1000/12</f>
        <v>6065.1590596719434</v>
      </c>
      <c r="E40" s="1805">
        <f>'ТЕ_2ст_тариф_без ЦТП'!M54/E$16*1000/12</f>
        <v>6065.1590596656069</v>
      </c>
      <c r="F40" s="1805">
        <f>'ТЕ_2ст_тариф_без ЦТП'!P54/F$16*1000/12</f>
        <v>6065.1590596656069</v>
      </c>
      <c r="G40" s="1805">
        <f>'ТЕ_2ст_тариф_без ЦТП'!S54/G$16*1000/12</f>
        <v>6065.159059665606</v>
      </c>
      <c r="I40" s="1499"/>
    </row>
    <row r="41" spans="1:9" s="45" customFormat="1" ht="15.6" x14ac:dyDescent="0.3">
      <c r="A41" s="1798" t="s">
        <v>3142</v>
      </c>
      <c r="B41" s="147" t="s">
        <v>55</v>
      </c>
      <c r="C41" s="2009" t="s">
        <v>3060</v>
      </c>
      <c r="D41" s="1805">
        <f>'ТЕ_2ст_тариф_без ЦТП'!J55/D$16*1000/12</f>
        <v>4634.5435098456674</v>
      </c>
      <c r="E41" s="1805">
        <f>'ТЕ_2ст_тариф_без ЦТП'!M55/E$16*1000/12</f>
        <v>4634.5435098408252</v>
      </c>
      <c r="F41" s="1805">
        <f>'ТЕ_2ст_тариф_без ЦТП'!P55/F$16*1000/12</f>
        <v>4634.5435098408252</v>
      </c>
      <c r="G41" s="1805">
        <f>'ТЕ_2ст_тариф_без ЦТП'!S55/G$16*1000/12</f>
        <v>4634.5435098408243</v>
      </c>
      <c r="I41" s="1499"/>
    </row>
    <row r="42" spans="1:9" s="45" customFormat="1" ht="26.4" x14ac:dyDescent="0.3">
      <c r="A42" s="1798" t="s">
        <v>3143</v>
      </c>
      <c r="B42" s="147" t="s">
        <v>452</v>
      </c>
      <c r="C42" s="2009" t="s">
        <v>3060</v>
      </c>
      <c r="D42" s="1805">
        <f>'ТЕ_2ст_тариф_без ЦТП'!J56/D$16*1000/12</f>
        <v>989.25505326845257</v>
      </c>
      <c r="E42" s="1805">
        <f>'ТЕ_2ст_тариф_без ЦТП'!M56/E$16*1000/12</f>
        <v>989.2550532674187</v>
      </c>
      <c r="F42" s="1805">
        <f>'ТЕ_2ст_тариф_без ЦТП'!P56/F$16*1000/12</f>
        <v>989.25505326741893</v>
      </c>
      <c r="G42" s="1805">
        <f>'ТЕ_2ст_тариф_без ЦТП'!S56/G$16*1000/12</f>
        <v>989.25505326741859</v>
      </c>
      <c r="I42" s="1499"/>
    </row>
    <row r="43" spans="1:9" s="45" customFormat="1" ht="15.6" x14ac:dyDescent="0.3">
      <c r="A43" s="1798" t="s">
        <v>3144</v>
      </c>
      <c r="B43" s="147" t="s">
        <v>58</v>
      </c>
      <c r="C43" s="2009" t="s">
        <v>3060</v>
      </c>
      <c r="D43" s="1805">
        <f>'ТЕ_2ст_тариф_без ЦТП'!J57/D$16*1000/12</f>
        <v>441.36049655782426</v>
      </c>
      <c r="E43" s="1805">
        <f>'ТЕ_2ст_тариф_без ЦТП'!M57/E$16*1000/12</f>
        <v>441.36049655736309</v>
      </c>
      <c r="F43" s="1805">
        <f>'ТЕ_2ст_тариф_без ЦТП'!P57/F$16*1000/12</f>
        <v>441.36049655736309</v>
      </c>
      <c r="G43" s="1805">
        <f>'ТЕ_2ст_тариф_без ЦТП'!S57/G$16*1000/12</f>
        <v>441.36049655736298</v>
      </c>
      <c r="I43" s="1499"/>
    </row>
    <row r="44" spans="1:9" s="45" customFormat="1" ht="15.6" x14ac:dyDescent="0.3">
      <c r="A44" s="1798">
        <v>8</v>
      </c>
      <c r="B44" s="147" t="s">
        <v>219</v>
      </c>
      <c r="C44" s="2009" t="s">
        <v>3060</v>
      </c>
      <c r="D44" s="1805">
        <f>'ТЕ_2ст_тариф_без ЦТП'!J58/D$16*1000/12</f>
        <v>7373.6169467997343</v>
      </c>
      <c r="E44" s="1805">
        <f>'ТЕ_2ст_тариф_без ЦТП'!M58/E$16*1000/12</f>
        <v>7373.6169467920299</v>
      </c>
      <c r="F44" s="1805">
        <f>'ТЕ_2ст_тариф_без ЦТП'!P58/F$16*1000/12</f>
        <v>7373.6169467920308</v>
      </c>
      <c r="G44" s="1805">
        <f>'ТЕ_2ст_тариф_без ЦТП'!S58/G$16*1000/12</f>
        <v>7373.616946792029</v>
      </c>
      <c r="I44" s="1499"/>
    </row>
    <row r="45" spans="1:9" s="45" customFormat="1" ht="15.6" x14ac:dyDescent="0.3">
      <c r="A45" s="1798" t="s">
        <v>1030</v>
      </c>
      <c r="B45" s="147" t="s">
        <v>55</v>
      </c>
      <c r="C45" s="2009" t="s">
        <v>3060</v>
      </c>
      <c r="D45" s="1805">
        <f>'ТЕ_2ст_тариф_без ЦТП'!J59/D$16*1000/12</f>
        <v>5521.8372596453919</v>
      </c>
      <c r="E45" s="1805">
        <f>'ТЕ_2ст_тариф_без ЦТП'!M59/E$16*1000/12</f>
        <v>5521.8372596396221</v>
      </c>
      <c r="F45" s="1805">
        <f>'ТЕ_2ст_тариф_без ЦТП'!P59/F$16*1000/12</f>
        <v>5521.8372596396221</v>
      </c>
      <c r="G45" s="1805">
        <f>'ТЕ_2ст_тариф_без ЦТП'!S59/G$16*1000/12</f>
        <v>5521.8372596396221</v>
      </c>
      <c r="I45" s="1499"/>
    </row>
    <row r="46" spans="1:9" s="45" customFormat="1" ht="26.4" x14ac:dyDescent="0.3">
      <c r="A46" s="1798" t="s">
        <v>2783</v>
      </c>
      <c r="B46" s="147" t="s">
        <v>452</v>
      </c>
      <c r="C46" s="2009" t="s">
        <v>3060</v>
      </c>
      <c r="D46" s="1805">
        <f>'ТЕ_2ст_тариф_без ЦТП'!J60/D$16*1000/12</f>
        <v>1214.8041971219864</v>
      </c>
      <c r="E46" s="1805">
        <f>'ТЕ_2ст_тариф_без ЦТП'!M60/E$16*1000/12</f>
        <v>1214.8041971207169</v>
      </c>
      <c r="F46" s="1805">
        <f>'ТЕ_2ст_тариф_без ЦТП'!P60/F$16*1000/12</f>
        <v>1214.8041971207172</v>
      </c>
      <c r="G46" s="1805">
        <f>'ТЕ_2ст_тариф_без ЦТП'!S60/G$16*1000/12</f>
        <v>1214.8041971207167</v>
      </c>
      <c r="I46" s="1499"/>
    </row>
    <row r="47" spans="1:9" s="45" customFormat="1" ht="15.6" x14ac:dyDescent="0.3">
      <c r="A47" s="1798" t="s">
        <v>2784</v>
      </c>
      <c r="B47" s="147" t="s">
        <v>58</v>
      </c>
      <c r="C47" s="2009" t="s">
        <v>3060</v>
      </c>
      <c r="D47" s="1805">
        <f>'ТЕ_2ст_тариф_без ЦТП'!J61/D$16*1000/12</f>
        <v>636.97549003235565</v>
      </c>
      <c r="E47" s="1805">
        <f>'ТЕ_2ст_тариф_без ЦТП'!M61/E$16*1000/12</f>
        <v>636.97549003169013</v>
      </c>
      <c r="F47" s="1805">
        <f>'ТЕ_2ст_тариф_без ЦТП'!P61/F$16*1000/12</f>
        <v>636.97549003169013</v>
      </c>
      <c r="G47" s="1805">
        <f>'ТЕ_2ст_тариф_без ЦТП'!S61/G$16*1000/12</f>
        <v>636.9754900316899</v>
      </c>
      <c r="I47" s="1499"/>
    </row>
    <row r="48" spans="1:9" s="45" customFormat="1" ht="15.6" x14ac:dyDescent="0.3">
      <c r="A48" s="1798">
        <v>9</v>
      </c>
      <c r="B48" s="147" t="s">
        <v>5</v>
      </c>
      <c r="C48" s="2009" t="s">
        <v>3060</v>
      </c>
      <c r="D48" s="1805">
        <f>'ТЕ_2ст_тариф_без ЦТП'!J67/D$16*1000/12</f>
        <v>0</v>
      </c>
      <c r="E48" s="1805">
        <f>'ТЕ_2ст_тариф_без ЦТП'!M67/E$16*1000/12</f>
        <v>0</v>
      </c>
      <c r="F48" s="1805">
        <f>'ТЕ_2ст_тариф_без ЦТП'!P67/F$16*1000/12</f>
        <v>0</v>
      </c>
      <c r="G48" s="1805">
        <f>'ТЕ_2ст_тариф_без ЦТП'!S67/G$16*1000/12</f>
        <v>0</v>
      </c>
      <c r="I48" s="1499"/>
    </row>
    <row r="49" spans="1:9" s="45" customFormat="1" ht="15.6" x14ac:dyDescent="0.3">
      <c r="A49" s="1798">
        <v>10</v>
      </c>
      <c r="B49" s="147" t="s">
        <v>2442</v>
      </c>
      <c r="C49" s="2009" t="s">
        <v>3060</v>
      </c>
      <c r="D49" s="1805">
        <f>'ТЕ_2ст_тариф_без ЦТП'!J68/D$16*1000/12</f>
        <v>47274.506622377514</v>
      </c>
      <c r="E49" s="1805">
        <f>'ТЕ_2ст_тариф_без ЦТП'!M68/E$16*1000/12</f>
        <v>47274.506622340232</v>
      </c>
      <c r="F49" s="1805">
        <f>'ТЕ_2ст_тариф_без ЦТП'!P68/F$16*1000/12</f>
        <v>47274.506622340232</v>
      </c>
      <c r="G49" s="1805">
        <f>'ТЕ_2ст_тариф_без ЦТП'!S68/G$16*1000/12</f>
        <v>47274.50662234021</v>
      </c>
      <c r="I49" s="1499"/>
    </row>
    <row r="50" spans="1:9" s="45" customFormat="1" ht="15.6" x14ac:dyDescent="0.3">
      <c r="A50" s="1798">
        <v>11</v>
      </c>
      <c r="B50" s="147" t="s">
        <v>221</v>
      </c>
      <c r="C50" s="2009" t="s">
        <v>3060</v>
      </c>
      <c r="D50" s="1805">
        <v>0</v>
      </c>
      <c r="E50" s="1805">
        <v>0</v>
      </c>
      <c r="F50" s="1805">
        <v>0</v>
      </c>
      <c r="G50" s="1805">
        <v>0</v>
      </c>
      <c r="I50" s="1499"/>
    </row>
    <row r="51" spans="1:9" s="45" customFormat="1" ht="15.6" x14ac:dyDescent="0.3">
      <c r="A51" s="1798">
        <v>12</v>
      </c>
      <c r="B51" s="147" t="s">
        <v>2879</v>
      </c>
      <c r="C51" s="2009" t="s">
        <v>3060</v>
      </c>
      <c r="D51" s="1805">
        <f>'ТЕ_2ст_тариф_без ЦТП'!J69/D$16*1000/12</f>
        <v>0</v>
      </c>
      <c r="E51" s="1805">
        <f>'ТЕ_2ст_тариф_без ЦТП'!M69/E$16*1000/12</f>
        <v>0</v>
      </c>
      <c r="F51" s="1805">
        <f>'ТЕ_2ст_тариф_без ЦТП'!P69/F$16*1000/12</f>
        <v>0</v>
      </c>
      <c r="G51" s="1805">
        <f>'ТЕ_2ст_тариф_без ЦТП'!S69/G$16*1000/12</f>
        <v>0</v>
      </c>
      <c r="I51" s="1499"/>
    </row>
    <row r="52" spans="1:9" s="45" customFormat="1" ht="15.6" x14ac:dyDescent="0.3">
      <c r="A52" s="1798">
        <v>13</v>
      </c>
      <c r="B52" s="1506" t="s">
        <v>3461</v>
      </c>
      <c r="C52" s="2009" t="s">
        <v>3060</v>
      </c>
      <c r="D52" s="1805">
        <f>'ТЕ_2ст_тариф_без ЦТП'!J70/D$16*1000/12</f>
        <v>7403.7373667952343</v>
      </c>
      <c r="E52" s="1805">
        <f>'ТЕ_2ст_тариф_без ЦТП'!M70/E$16*1000/12</f>
        <v>13178.697886975368</v>
      </c>
      <c r="F52" s="1805">
        <f>'ТЕ_2ст_тариф_без ЦТП'!P70/F$16*1000/12</f>
        <v>13178.697886975366</v>
      </c>
      <c r="G52" s="1805">
        <f>'ТЕ_2ст_тариф_без ЦТП'!S70/G$16*1000/12</f>
        <v>13178.697886975368</v>
      </c>
      <c r="I52" s="1499"/>
    </row>
    <row r="53" spans="1:9" s="45" customFormat="1" ht="15.6" x14ac:dyDescent="0.3">
      <c r="A53" s="1798" t="s">
        <v>2901</v>
      </c>
      <c r="B53" s="147" t="s">
        <v>2897</v>
      </c>
      <c r="C53" s="2009" t="s">
        <v>3060</v>
      </c>
      <c r="D53" s="1805">
        <f>'ТЕ_2ст_тариф_без ЦТП'!J71/D$16*1000/12</f>
        <v>1332.6727260231419</v>
      </c>
      <c r="E53" s="1805">
        <f>'ТЕ_2ст_тариф_без ЦТП'!M71/E$16*1000/12</f>
        <v>2372.1656196555664</v>
      </c>
      <c r="F53" s="1805">
        <f>'ТЕ_2ст_тариф_без ЦТП'!P71/F$16*1000/12</f>
        <v>2372.1656196555655</v>
      </c>
      <c r="G53" s="1805">
        <f>'ТЕ_2ст_тариф_без ЦТП'!S71/G$16*1000/12</f>
        <v>2372.1656196555659</v>
      </c>
      <c r="I53" s="1499"/>
    </row>
    <row r="54" spans="1:9" s="45" customFormat="1" ht="27" x14ac:dyDescent="0.3">
      <c r="A54" s="4604" t="s">
        <v>3145</v>
      </c>
      <c r="B54" s="1506" t="s">
        <v>4145</v>
      </c>
      <c r="C54" s="4603" t="s">
        <v>3060</v>
      </c>
      <c r="D54" s="1805">
        <f>'ТЕ_2ст_тариф_без ЦТП'!J72/D$16*1000/12</f>
        <v>0</v>
      </c>
      <c r="E54" s="1805">
        <f>'ТЕ_2ст_тариф_без ЦТП'!M72/E$16*1000/12</f>
        <v>0</v>
      </c>
      <c r="F54" s="1805">
        <f>'ТЕ_2ст_тариф_без ЦТП'!P72/F$16*1000/12</f>
        <v>0</v>
      </c>
      <c r="G54" s="1805">
        <f>'ТЕ_2ст_тариф_без ЦТП'!S72/G$16*1000/12</f>
        <v>0</v>
      </c>
      <c r="I54" s="1499"/>
    </row>
    <row r="55" spans="1:9" s="45" customFormat="1" ht="15.6" x14ac:dyDescent="0.3">
      <c r="A55" s="1798" t="s">
        <v>3146</v>
      </c>
      <c r="B55" s="147" t="s">
        <v>69</v>
      </c>
      <c r="C55" s="2009" t="s">
        <v>3060</v>
      </c>
      <c r="D55" s="1805">
        <f>'ТЕ_2ст_тариф_без ЦТП'!J73/D$16*1000/12</f>
        <v>0</v>
      </c>
      <c r="E55" s="1805">
        <f>'ТЕ_2ст_тариф_без ЦТП'!M73/E$16*1000/12</f>
        <v>0</v>
      </c>
      <c r="F55" s="1805">
        <f>'ТЕ_2ст_тариф_без ЦТП'!P73/F$16*1000/12</f>
        <v>0</v>
      </c>
      <c r="G55" s="1805">
        <f>'ТЕ_2ст_тариф_без ЦТП'!S73/G$16*1000/12</f>
        <v>0</v>
      </c>
      <c r="I55" s="1499"/>
    </row>
    <row r="56" spans="1:9" s="45" customFormat="1" ht="15.6" x14ac:dyDescent="0.3">
      <c r="A56" s="1798" t="s">
        <v>3147</v>
      </c>
      <c r="B56" s="147" t="s">
        <v>2898</v>
      </c>
      <c r="C56" s="2009" t="s">
        <v>3060</v>
      </c>
      <c r="D56" s="1805">
        <f>'ТЕ_2ст_тариф_без ЦТП'!J74/D$16*1000/12</f>
        <v>0</v>
      </c>
      <c r="E56" s="1805">
        <f>'ТЕ_2ст_тариф_без ЦТП'!M74/E$16*1000/12</f>
        <v>0</v>
      </c>
      <c r="F56" s="1805">
        <f>'ТЕ_2ст_тариф_без ЦТП'!P74/F$16*1000/12</f>
        <v>0</v>
      </c>
      <c r="G56" s="1805">
        <f>'ТЕ_2ст_тариф_без ЦТП'!S74/G$16*1000/12</f>
        <v>0</v>
      </c>
      <c r="I56" s="1499"/>
    </row>
    <row r="57" spans="1:9" s="45" customFormat="1" ht="28.2" x14ac:dyDescent="0.3">
      <c r="A57" s="1798" t="s">
        <v>3148</v>
      </c>
      <c r="B57" s="2003" t="s">
        <v>2545</v>
      </c>
      <c r="C57" s="2009" t="s">
        <v>3060</v>
      </c>
      <c r="D57" s="1805">
        <f>'ТЕ_2ст_тариф_без ЦТП'!J75/D$16*1000/12</f>
        <v>6071.0646407720924</v>
      </c>
      <c r="E57" s="1805">
        <f>'ТЕ_2ст_тариф_без ЦТП'!M75/E$16*1000/12</f>
        <v>10806.532267319802</v>
      </c>
      <c r="F57" s="1805">
        <f>'ТЕ_2ст_тариф_без ЦТП'!P75/F$16*1000/12</f>
        <v>10806.532267319802</v>
      </c>
      <c r="G57" s="1805">
        <f>'ТЕ_2ст_тариф_без ЦТП'!S75/G$16*1000/12</f>
        <v>10806.532267319802</v>
      </c>
      <c r="I57" s="1499"/>
    </row>
    <row r="58" spans="1:9" s="45" customFormat="1" ht="31.2" customHeight="1" x14ac:dyDescent="0.3">
      <c r="A58" s="4907" t="s">
        <v>4148</v>
      </c>
      <c r="B58" s="4908"/>
      <c r="C58" s="4908"/>
      <c r="D58" s="4908"/>
      <c r="E58" s="4908"/>
      <c r="F58" s="4908"/>
      <c r="G58" s="4909"/>
      <c r="I58" s="1499"/>
    </row>
    <row r="59" spans="1:9" s="45" customFormat="1" ht="15.6" x14ac:dyDescent="0.3">
      <c r="A59" s="1798" t="s">
        <v>1873</v>
      </c>
      <c r="B59" s="337" t="s">
        <v>2963</v>
      </c>
      <c r="C59" s="2010" t="s">
        <v>2286</v>
      </c>
      <c r="D59" s="2798">
        <f>'ТЕ_2ст_тариф_з ЦТП'!I120/D$14</f>
        <v>254.12664028823843</v>
      </c>
      <c r="E59" s="2798" t="e">
        <f>'ТЕ_2ст_тариф_з ЦТП'!L86/E$14</f>
        <v>#DIV/0!</v>
      </c>
      <c r="F59" s="2798">
        <f>'ТЕ_2ст_тариф_з ЦТП'!O120/F$14</f>
        <v>254.12664028823846</v>
      </c>
      <c r="G59" s="2798">
        <f>'ТЕ_2ст_тариф_з ЦТП'!R120/G$14</f>
        <v>254.12664028823843</v>
      </c>
      <c r="I59" s="1499"/>
    </row>
    <row r="60" spans="1:9" s="45" customFormat="1" ht="15.6" x14ac:dyDescent="0.3">
      <c r="A60" s="1798" t="s">
        <v>3149</v>
      </c>
      <c r="B60" s="337" t="s">
        <v>216</v>
      </c>
      <c r="C60" s="2010" t="s">
        <v>2286</v>
      </c>
      <c r="D60" s="2798">
        <f>'ТЕ_2ст_тариф_з ЦТП'!I87/D$14</f>
        <v>254.12664028823843</v>
      </c>
      <c r="E60" s="2798" t="e">
        <f>'ТЕ_2ст_тариф_з ЦТП'!L87/E$14</f>
        <v>#DIV/0!</v>
      </c>
      <c r="F60" s="2798">
        <f>'ТЕ_2ст_тариф_з ЦТП'!O87/F$14</f>
        <v>254.12664028823846</v>
      </c>
      <c r="G60" s="2798">
        <f>'ТЕ_2ст_тариф_з ЦТП'!R87/G$14</f>
        <v>254.12664028823843</v>
      </c>
      <c r="I60" s="1499"/>
    </row>
    <row r="61" spans="1:9" s="45" customFormat="1" ht="15.6" x14ac:dyDescent="0.3">
      <c r="A61" s="1798" t="s">
        <v>3150</v>
      </c>
      <c r="B61" s="337" t="s">
        <v>43</v>
      </c>
      <c r="C61" s="2010" t="s">
        <v>2286</v>
      </c>
      <c r="D61" s="2798">
        <f>'ТЕ_2ст_тариф_з ЦТП'!I88/D$14</f>
        <v>254.12664028823843</v>
      </c>
      <c r="E61" s="2798" t="e">
        <f>'ТЕ_2ст_тариф_з ЦТП'!L88/E$14</f>
        <v>#DIV/0!</v>
      </c>
      <c r="F61" s="2798">
        <f>'ТЕ_2ст_тариф_з ЦТП'!O88/F$14</f>
        <v>254.12664028823846</v>
      </c>
      <c r="G61" s="2798">
        <f>'ТЕ_2ст_тариф_з ЦТП'!R88/G$14</f>
        <v>254.12664028823843</v>
      </c>
      <c r="I61" s="1499"/>
    </row>
    <row r="62" spans="1:9" s="45" customFormat="1" ht="15.6" hidden="1" customHeight="1" x14ac:dyDescent="0.3">
      <c r="A62" s="1798" t="s">
        <v>3423</v>
      </c>
      <c r="B62" s="1097" t="s">
        <v>2654</v>
      </c>
      <c r="C62" s="2010" t="s">
        <v>2286</v>
      </c>
      <c r="D62" s="2798">
        <f>'ТЕ_2ст_тариф_з ЦТП'!I113/D$15</f>
        <v>0</v>
      </c>
      <c r="E62" s="2798">
        <f>'ТЕ_2ст_тариф_без ЦТП'!L113/E$15</f>
        <v>0</v>
      </c>
      <c r="F62" s="2798">
        <f>'ТЕ_2ст_тариф_з ЦТП'!O113/F$14</f>
        <v>0</v>
      </c>
      <c r="G62" s="2798">
        <f>'ТЕ_2ст_тариф_з ЦТП'!R113/G$15</f>
        <v>0</v>
      </c>
      <c r="I62" s="1499"/>
    </row>
    <row r="63" spans="1:9" s="45" customFormat="1" ht="31.2" customHeight="1" x14ac:dyDescent="0.3">
      <c r="A63" s="4907" t="s">
        <v>4149</v>
      </c>
      <c r="B63" s="4908"/>
      <c r="C63" s="4908"/>
      <c r="D63" s="4908"/>
      <c r="E63" s="4908"/>
      <c r="F63" s="4908"/>
      <c r="G63" s="4909"/>
      <c r="I63" s="1499"/>
    </row>
    <row r="64" spans="1:9" s="45" customFormat="1" ht="26.4" x14ac:dyDescent="0.3">
      <c r="A64" s="1798">
        <v>15</v>
      </c>
      <c r="B64" s="147" t="s">
        <v>2965</v>
      </c>
      <c r="C64" s="2010" t="s">
        <v>3058</v>
      </c>
      <c r="D64" s="1805">
        <f>'ТЕ_2ст_тариф_з ЦТП'!J120/D$17*1000/12</f>
        <v>75068.476464111271</v>
      </c>
      <c r="E64" s="1805" t="e">
        <f>'ТЕ_2ст_тариф_з ЦТП'!M120/E$17*1000/12</f>
        <v>#DIV/0!</v>
      </c>
      <c r="F64" s="1805">
        <f>'ТЕ_2ст_тариф_з ЦТП'!P120/F$17*1000/12</f>
        <v>87986.954131146078</v>
      </c>
      <c r="G64" s="1805">
        <f>'ТЕ_2ст_тариф_з ЦТП'!S120/G$17*1000/12</f>
        <v>87986.954131146078</v>
      </c>
      <c r="I64" s="1499"/>
    </row>
    <row r="65" spans="1:9" s="45" customFormat="1" ht="15.6" x14ac:dyDescent="0.3">
      <c r="A65" s="1820" t="s">
        <v>688</v>
      </c>
      <c r="B65" s="337" t="s">
        <v>215</v>
      </c>
      <c r="C65" s="2009" t="s">
        <v>3060</v>
      </c>
      <c r="D65" s="1805">
        <f>'ТЕ_2ст_тариф_з ЦТП'!J86/D$17*1000/12</f>
        <v>66839.858772710591</v>
      </c>
      <c r="E65" s="1805" t="e">
        <f>'ТЕ_2ст_тариф_з ЦТП'!M86/E$17*1000/12</f>
        <v>#DIV/0!</v>
      </c>
      <c r="F65" s="1805">
        <f>'ТЕ_2ст_тариф_з ЦТП'!P86/F$17*1000/12</f>
        <v>79186.169956580576</v>
      </c>
      <c r="G65" s="1805">
        <f>'ТЕ_2ст_тариф_з ЦТП'!S86/G$17*1000/12</f>
        <v>79186.169956580605</v>
      </c>
      <c r="I65" s="1499"/>
    </row>
    <row r="66" spans="1:9" s="45" customFormat="1" ht="15.6" x14ac:dyDescent="0.3">
      <c r="A66" s="1820" t="s">
        <v>194</v>
      </c>
      <c r="B66" s="337" t="s">
        <v>216</v>
      </c>
      <c r="C66" s="2009" t="s">
        <v>3060</v>
      </c>
      <c r="D66" s="1805">
        <f>'ТЕ_2ст_тариф_з ЦТП'!J87/D$17*1000/12</f>
        <v>12922.841928192551</v>
      </c>
      <c r="E66" s="1805" t="e">
        <f>'ТЕ_2ст_тариф_з ЦТП'!M87/E$17*1000/12</f>
        <v>#DIV/0!</v>
      </c>
      <c r="F66" s="1805">
        <f>'ТЕ_2ст_тариф_з ЦТП'!P87/F$17*1000/12</f>
        <v>25269.153112062555</v>
      </c>
      <c r="G66" s="1805">
        <f>'ТЕ_2ст_тариф_з ЦТП'!S87/G$17*1000/12</f>
        <v>25269.153112062562</v>
      </c>
      <c r="I66" s="1499"/>
    </row>
    <row r="67" spans="1:9" s="45" customFormat="1" ht="15.6" x14ac:dyDescent="0.3">
      <c r="A67" s="1820" t="s">
        <v>3151</v>
      </c>
      <c r="B67" s="337" t="s">
        <v>43</v>
      </c>
      <c r="C67" s="2009" t="s">
        <v>3060</v>
      </c>
      <c r="D67" s="1805">
        <f>'ТЕ_2ст_тариф_з ЦТП'!J88/D$17*1000/12</f>
        <v>0</v>
      </c>
      <c r="E67" s="1805" t="e">
        <f>'ТЕ_2ст_тариф_з ЦТП'!M88/E$17*1000/12</f>
        <v>#DIV/0!</v>
      </c>
      <c r="F67" s="1805">
        <f>'ТЕ_2ст_тариф_з ЦТП'!P88/F$17*1000/12</f>
        <v>0</v>
      </c>
      <c r="G67" s="1805">
        <f>'ТЕ_2ст_тариф_з ЦТП'!S88/G$17*1000/12</f>
        <v>0</v>
      </c>
      <c r="I67" s="1499"/>
    </row>
    <row r="68" spans="1:9" s="45" customFormat="1" ht="26.4" x14ac:dyDescent="0.3">
      <c r="A68" s="1824" t="s">
        <v>3152</v>
      </c>
      <c r="B68" s="337" t="s">
        <v>608</v>
      </c>
      <c r="C68" s="2009" t="s">
        <v>3060</v>
      </c>
      <c r="D68" s="1805">
        <f>'ТЕ_2ст_тариф_з ЦТП'!J89/D$17*1000/12</f>
        <v>0</v>
      </c>
      <c r="E68" s="1805" t="e">
        <f>'ТЕ_2ст_тариф_з ЦТП'!M89/E$17*1000/12</f>
        <v>#DIV/0!</v>
      </c>
      <c r="F68" s="1805">
        <f>'ТЕ_2ст_тариф_з ЦТП'!P89/F$17*1000/12</f>
        <v>0</v>
      </c>
      <c r="G68" s="1805">
        <f>'ТЕ_2ст_тариф_з ЦТП'!S89/G$17*1000/12</f>
        <v>0</v>
      </c>
      <c r="I68" s="1499"/>
    </row>
    <row r="69" spans="1:9" s="45" customFormat="1" ht="26.4" x14ac:dyDescent="0.3">
      <c r="A69" s="1824" t="s">
        <v>3153</v>
      </c>
      <c r="B69" s="337" t="s">
        <v>609</v>
      </c>
      <c r="C69" s="2009" t="s">
        <v>3060</v>
      </c>
      <c r="D69" s="1805">
        <f>'ТЕ_2ст_тариф_з ЦТП'!J90/D$17*1000/12</f>
        <v>759.14307313442112</v>
      </c>
      <c r="E69" s="1805" t="e">
        <f>'ТЕ_2ст_тариф_з ЦТП'!M90/E$17*1000/12</f>
        <v>#DIV/0!</v>
      </c>
      <c r="F69" s="1805">
        <f>'ТЕ_2ст_тариф_з ЦТП'!P90/F$17*1000/12</f>
        <v>759.14307313442112</v>
      </c>
      <c r="G69" s="1805">
        <f>'ТЕ_2ст_тариф_з ЦТП'!S90/G$17*1000/12</f>
        <v>759.14307313442112</v>
      </c>
      <c r="I69" s="1499"/>
    </row>
    <row r="70" spans="1:9" s="45" customFormat="1" ht="15.6" x14ac:dyDescent="0.3">
      <c r="A70" s="1824" t="s">
        <v>3154</v>
      </c>
      <c r="B70" s="337" t="s">
        <v>610</v>
      </c>
      <c r="C70" s="2009" t="s">
        <v>3060</v>
      </c>
      <c r="D70" s="1805">
        <f>'ТЕ_2ст_тариф_з ЦТП'!J91/D$17*1000/12</f>
        <v>12163.698855058128</v>
      </c>
      <c r="E70" s="1805" t="e">
        <f>'ТЕ_2ст_тариф_з ЦТП'!M91/E$17*1000/12</f>
        <v>#DIV/0!</v>
      </c>
      <c r="F70" s="1805">
        <f>'ТЕ_2ст_тариф_з ЦТП'!P91/F$17*1000/12</f>
        <v>24510.010038928132</v>
      </c>
      <c r="G70" s="1805">
        <f>'ТЕ_2ст_тариф_з ЦТП'!S91/G$17*1000/12</f>
        <v>24510.010038928143</v>
      </c>
      <c r="I70" s="1499"/>
    </row>
    <row r="71" spans="1:9" ht="26.4" x14ac:dyDescent="0.25">
      <c r="A71" s="1824" t="s">
        <v>3155</v>
      </c>
      <c r="B71" s="337" t="s">
        <v>2731</v>
      </c>
      <c r="C71" s="2009" t="s">
        <v>3060</v>
      </c>
      <c r="D71" s="1805">
        <f>'ТЕ_2ст_тариф_з ЦТП'!J92/D$17*1000/12</f>
        <v>11121.506953875853</v>
      </c>
      <c r="E71" s="1805" t="e">
        <f>'ТЕ_2ст_тариф_з ЦТП'!M92/E$17*1000/12</f>
        <v>#DIV/0!</v>
      </c>
      <c r="F71" s="1805">
        <f>'ТЕ_2ст_тариф_з ЦТП'!P92/F$17*1000/12</f>
        <v>23467.818137745857</v>
      </c>
      <c r="G71" s="1805">
        <f>'ТЕ_2ст_тариф_з ЦТП'!S92/G$17*1000/12</f>
        <v>23467.818137745871</v>
      </c>
    </row>
    <row r="72" spans="1:9" x14ac:dyDescent="0.25">
      <c r="A72" s="1824" t="s">
        <v>195</v>
      </c>
      <c r="B72" s="147" t="s">
        <v>47</v>
      </c>
      <c r="C72" s="2009" t="s">
        <v>3060</v>
      </c>
      <c r="D72" s="1805">
        <f>'ТЕ_2ст_тариф_з ЦТП'!J93/D$17*1000/12</f>
        <v>24232.987059565774</v>
      </c>
      <c r="E72" s="1805" t="e">
        <f>'ТЕ_2ст_тариф_з ЦТП'!M93/E$17*1000/12</f>
        <v>#DIV/0!</v>
      </c>
      <c r="F72" s="1805">
        <f>'ТЕ_2ст_тариф_з ЦТП'!P93/F$17*1000/12</f>
        <v>24232.98705956577</v>
      </c>
      <c r="G72" s="1805">
        <f>'ТЕ_2ст_тариф_з ЦТП'!S93/G$17*1000/12</f>
        <v>24232.98705956577</v>
      </c>
    </row>
    <row r="73" spans="1:9" x14ac:dyDescent="0.25">
      <c r="A73" s="1824" t="s">
        <v>2924</v>
      </c>
      <c r="B73" s="337" t="s">
        <v>217</v>
      </c>
      <c r="C73" s="2009" t="s">
        <v>3060</v>
      </c>
      <c r="D73" s="1805">
        <f>'ТЕ_2ст_тариф_з ЦТП'!J94/D$17*1000/12</f>
        <v>26714.920800127074</v>
      </c>
      <c r="E73" s="1805" t="e">
        <f>'ТЕ_2ст_тариф_з ЦТП'!M94/E$17*1000/12</f>
        <v>#DIV/0!</v>
      </c>
      <c r="F73" s="1805">
        <f>'ТЕ_2ст_тариф_з ЦТП'!P94/F$17*1000/12</f>
        <v>26714.920800127074</v>
      </c>
      <c r="G73" s="1805">
        <f>'ТЕ_2ст_тариф_з ЦТП'!S94/G$17*1000/12</f>
        <v>26714.920800127074</v>
      </c>
    </row>
    <row r="74" spans="1:9" ht="26.4" x14ac:dyDescent="0.25">
      <c r="A74" s="1824" t="s">
        <v>3156</v>
      </c>
      <c r="B74" s="337" t="s">
        <v>452</v>
      </c>
      <c r="C74" s="2009" t="s">
        <v>3060</v>
      </c>
      <c r="D74" s="1805">
        <f>'ТЕ_2ст_тариф_з ЦТП'!J95/D$17*1000/12</f>
        <v>5308.2943326874938</v>
      </c>
      <c r="E74" s="1805" t="e">
        <f>'ТЕ_2ст_тариф_з ЦТП'!M95/E$17*1000/12</f>
        <v>#DIV/0!</v>
      </c>
      <c r="F74" s="1805">
        <f>'ТЕ_2ст_тариф_з ЦТП'!P95/F$17*1000/12</f>
        <v>5308.2943326874938</v>
      </c>
      <c r="G74" s="1805">
        <f>'ТЕ_2ст_тариф_з ЦТП'!S95/G$17*1000/12</f>
        <v>5308.2943326874929</v>
      </c>
    </row>
    <row r="75" spans="1:9" x14ac:dyDescent="0.25">
      <c r="A75" s="1824" t="s">
        <v>3157</v>
      </c>
      <c r="B75" s="337" t="s">
        <v>460</v>
      </c>
      <c r="C75" s="2009" t="s">
        <v>3060</v>
      </c>
      <c r="D75" s="1805">
        <f>'ТЕ_2ст_тариф_з ЦТП'!J96/D$17*1000/12</f>
        <v>17546.471356994738</v>
      </c>
      <c r="E75" s="1805" t="e">
        <f>'ТЕ_2ст_тариф_з ЦТП'!M96/E$17*1000/12</f>
        <v>#DIV/0!</v>
      </c>
      <c r="F75" s="1805">
        <f>'ТЕ_2ст_тариф_з ЦТП'!P96/F$17*1000/12</f>
        <v>17546.471356994738</v>
      </c>
      <c r="G75" s="1805">
        <f>'ТЕ_2ст_тариф_з ЦТП'!S96/G$17*1000/12</f>
        <v>17546.471356994738</v>
      </c>
    </row>
    <row r="76" spans="1:9" x14ac:dyDescent="0.25">
      <c r="A76" s="1824" t="s">
        <v>3158</v>
      </c>
      <c r="B76" s="337" t="s">
        <v>81</v>
      </c>
      <c r="C76" s="2009" t="s">
        <v>3060</v>
      </c>
      <c r="D76" s="1805">
        <f>'ТЕ_2ст_тариф_з ЦТП'!J97/D$17*1000/12</f>
        <v>3860.1551104448449</v>
      </c>
      <c r="E76" s="1805" t="e">
        <f>'ТЕ_2ст_тариф_з ЦТП'!M97/E$17*1000/12</f>
        <v>#DIV/0!</v>
      </c>
      <c r="F76" s="1805">
        <f>'ТЕ_2ст_тариф_з ЦТП'!P97/F$17*1000/12</f>
        <v>3860.1551104448445</v>
      </c>
      <c r="G76" s="1805">
        <f>'ТЕ_2ст_тариф_з ЦТП'!S97/G$17*1000/12</f>
        <v>3860.1551104448445</v>
      </c>
    </row>
    <row r="77" spans="1:9" x14ac:dyDescent="0.25">
      <c r="A77" s="1824" t="s">
        <v>3159</v>
      </c>
      <c r="B77" s="337" t="s">
        <v>218</v>
      </c>
      <c r="C77" s="2009" t="s">
        <v>3060</v>
      </c>
      <c r="D77" s="1805">
        <f>'ТЕ_2ст_тариф_з ЦТП'!J98/D$17*1000/12</f>
        <v>2969.1089848251904</v>
      </c>
      <c r="E77" s="1805" t="e">
        <f>'ТЕ_2ст_тариф_з ЦТП'!M98/E$17*1000/12</f>
        <v>#DIV/0!</v>
      </c>
      <c r="F77" s="1805">
        <f>'ТЕ_2ст_тариф_з ЦТП'!P98/F$17*1000/12</f>
        <v>2969.1089848251904</v>
      </c>
      <c r="G77" s="1805">
        <f>'ТЕ_2ст_тариф_з ЦТП'!S98/G$17*1000/12</f>
        <v>2969.1089848251904</v>
      </c>
    </row>
    <row r="78" spans="1:9" x14ac:dyDescent="0.25">
      <c r="A78" s="1824" t="s">
        <v>3160</v>
      </c>
      <c r="B78" s="337" t="s">
        <v>55</v>
      </c>
      <c r="C78" s="2009" t="s">
        <v>3060</v>
      </c>
      <c r="D78" s="1805">
        <f>'ТЕ_2ст_тариф_з ЦТП'!J99/D$17*1000/12</f>
        <v>2268.7722844964146</v>
      </c>
      <c r="E78" s="1805" t="e">
        <f>'ТЕ_2ст_тариф_з ЦТП'!M99/E$17*1000/12</f>
        <v>#DIV/0!</v>
      </c>
      <c r="F78" s="1805">
        <f>'ТЕ_2ст_тариф_з ЦТП'!P99/F$17*1000/12</f>
        <v>2268.7722844964142</v>
      </c>
      <c r="G78" s="1805">
        <f>'ТЕ_2ст_тариф_з ЦТП'!S99/G$17*1000/12</f>
        <v>2268.7722844964142</v>
      </c>
    </row>
    <row r="79" spans="1:9" ht="26.4" x14ac:dyDescent="0.25">
      <c r="A79" s="1824" t="s">
        <v>3161</v>
      </c>
      <c r="B79" s="337" t="s">
        <v>452</v>
      </c>
      <c r="C79" s="2009" t="s">
        <v>3060</v>
      </c>
      <c r="D79" s="1805">
        <f>'ТЕ_2ст_тариф_з ЦТП'!J100/D$17*1000/12</f>
        <v>484.27519180378323</v>
      </c>
      <c r="E79" s="1805" t="e">
        <f>'ТЕ_2ст_тариф_з ЦТП'!M100/E$17*1000/12</f>
        <v>#DIV/0!</v>
      </c>
      <c r="F79" s="1805">
        <f>'ТЕ_2ст_тариф_з ЦТП'!P100/F$17*1000/12</f>
        <v>484.27519180378317</v>
      </c>
      <c r="G79" s="1805">
        <f>'ТЕ_2ст_тариф_з ЦТП'!S100/G$17*1000/12</f>
        <v>484.27519180378317</v>
      </c>
    </row>
    <row r="80" spans="1:9" x14ac:dyDescent="0.25">
      <c r="A80" s="1824" t="s">
        <v>3162</v>
      </c>
      <c r="B80" s="337" t="s">
        <v>58</v>
      </c>
      <c r="C80" s="2009" t="s">
        <v>3060</v>
      </c>
      <c r="D80" s="1805">
        <f>'ТЕ_2ст_тариф_з ЦТП'!J101/D$17*1000/12</f>
        <v>216.06150852499277</v>
      </c>
      <c r="E80" s="1805" t="e">
        <f>'ТЕ_2ст_тариф_з ЦТП'!M101/E$17*1000/12</f>
        <v>#DIV/0!</v>
      </c>
      <c r="F80" s="1805">
        <f>'ТЕ_2ст_тариф_з ЦТП'!P101/F$17*1000/12</f>
        <v>216.06150852499275</v>
      </c>
      <c r="G80" s="1805">
        <f>'ТЕ_2ст_тариф_з ЦТП'!S101/G$17*1000/12</f>
        <v>216.06150852499275</v>
      </c>
    </row>
    <row r="81" spans="1:7" x14ac:dyDescent="0.25">
      <c r="A81" s="1824" t="s">
        <v>689</v>
      </c>
      <c r="B81" s="147" t="s">
        <v>219</v>
      </c>
      <c r="C81" s="2009" t="s">
        <v>3060</v>
      </c>
      <c r="D81" s="1805">
        <f>'ТЕ_2ст_тариф_з ЦТП'!J102/D$17*1000/12</f>
        <v>3609.6452066644633</v>
      </c>
      <c r="E81" s="1805" t="e">
        <f>'ТЕ_2ст_тариф_з ЦТП'!M102/E$17*1000/12</f>
        <v>#DIV/0!</v>
      </c>
      <c r="F81" s="1805">
        <f>'ТЕ_2ст_тариф_з ЦТП'!P102/F$17*1000/12</f>
        <v>3609.6452066644633</v>
      </c>
      <c r="G81" s="1805">
        <f>'ТЕ_2ст_тариф_з ЦТП'!S102/G$17*1000/12</f>
        <v>3609.6452066644633</v>
      </c>
    </row>
    <row r="82" spans="1:7" x14ac:dyDescent="0.25">
      <c r="A82" s="1824" t="s">
        <v>2227</v>
      </c>
      <c r="B82" s="147" t="s">
        <v>55</v>
      </c>
      <c r="C82" s="2009" t="s">
        <v>3060</v>
      </c>
      <c r="D82" s="1805">
        <f>'ТЕ_2ст_тариф_з ЦТП'!J103/D$17*1000/12</f>
        <v>2703.1338270034453</v>
      </c>
      <c r="E82" s="1805" t="e">
        <f>'ТЕ_2ст_тариф_з ЦТП'!M103/E$17*1000/12</f>
        <v>#DIV/0!</v>
      </c>
      <c r="F82" s="1805">
        <f>'ТЕ_2ст_тариф_з ЦТП'!P103/F$17*1000/12</f>
        <v>2703.1338270034444</v>
      </c>
      <c r="G82" s="1805">
        <f>'ТЕ_2ст_тариф_з ЦТП'!S103/G$17*1000/12</f>
        <v>2703.1338270034444</v>
      </c>
    </row>
    <row r="83" spans="1:7" ht="26.4" x14ac:dyDescent="0.25">
      <c r="A83" s="1824" t="s">
        <v>2228</v>
      </c>
      <c r="B83" s="147" t="s">
        <v>452</v>
      </c>
      <c r="C83" s="2009" t="s">
        <v>3060</v>
      </c>
      <c r="D83" s="1805">
        <f>'ТЕ_2ст_тариф_з ЦТП'!J104/D$17*1000/12</f>
        <v>594.68944194075789</v>
      </c>
      <c r="E83" s="1805" t="e">
        <f>'ТЕ_2ст_тариф_з ЦТП'!M104/E$17*1000/12</f>
        <v>#DIV/0!</v>
      </c>
      <c r="F83" s="1805">
        <f>'ТЕ_2ст_тариф_з ЦТП'!P104/F$17*1000/12</f>
        <v>594.68944194075789</v>
      </c>
      <c r="G83" s="1805">
        <f>'ТЕ_2ст_тариф_з ЦТП'!S104/G$17*1000/12</f>
        <v>594.68944194075777</v>
      </c>
    </row>
    <row r="84" spans="1:7" x14ac:dyDescent="0.25">
      <c r="A84" s="1824" t="s">
        <v>2925</v>
      </c>
      <c r="B84" s="147" t="s">
        <v>58</v>
      </c>
      <c r="C84" s="2009" t="s">
        <v>3060</v>
      </c>
      <c r="D84" s="1805">
        <f>'ТЕ_2ст_тариф_з ЦТП'!J105/D$17*1000/12</f>
        <v>311.82193772026039</v>
      </c>
      <c r="E84" s="1805" t="e">
        <f>'ТЕ_2ст_тариф_з ЦТП'!M105/E$17*1000/12</f>
        <v>#DIV/0!</v>
      </c>
      <c r="F84" s="1805">
        <f>'ТЕ_2ст_тариф_з ЦТП'!P105/F$17*1000/12</f>
        <v>311.82193772026034</v>
      </c>
      <c r="G84" s="1805">
        <f>'ТЕ_2ст_тариф_з ЦТП'!S105/G$17*1000/12</f>
        <v>311.82193772026034</v>
      </c>
    </row>
    <row r="85" spans="1:7" x14ac:dyDescent="0.25">
      <c r="A85" s="1824" t="s">
        <v>690</v>
      </c>
      <c r="B85" s="337" t="s">
        <v>220</v>
      </c>
      <c r="C85" s="2009" t="s">
        <v>3060</v>
      </c>
      <c r="D85" s="1805">
        <f>'ТЕ_2ст_тариф_з ЦТП'!J106/D$17*1000/12</f>
        <v>0</v>
      </c>
      <c r="E85" s="1805" t="e">
        <f>'ТЕ_2ст_тариф_з ЦТП'!M106/E$17*1000/12</f>
        <v>#DIV/0!</v>
      </c>
      <c r="F85" s="1805">
        <f>'ТЕ_2ст_тариф_з ЦТП'!P106/F$17*1000/12</f>
        <v>0</v>
      </c>
      <c r="G85" s="1805">
        <f>'ТЕ_2ст_тариф_з ЦТП'!S106/G$17*1000/12</f>
        <v>0</v>
      </c>
    </row>
    <row r="86" spans="1:7" x14ac:dyDescent="0.25">
      <c r="A86" s="1824" t="s">
        <v>3163</v>
      </c>
      <c r="B86" s="337" t="s">
        <v>55</v>
      </c>
      <c r="C86" s="2009" t="s">
        <v>3060</v>
      </c>
      <c r="D86" s="1805">
        <f>'ТЕ_2ст_тариф_з ЦТП'!J107/D$17*1000/12</f>
        <v>0</v>
      </c>
      <c r="E86" s="1805" t="e">
        <f>'ТЕ_2ст_тариф_з ЦТП'!M107/E$17*1000/12</f>
        <v>#DIV/0!</v>
      </c>
      <c r="F86" s="1805">
        <f>'ТЕ_2ст_тариф_з ЦТП'!P107/F$17*1000/12</f>
        <v>0</v>
      </c>
      <c r="G86" s="1805">
        <f>'ТЕ_2ст_тариф_з ЦТП'!S107/G$17*1000/12</f>
        <v>0</v>
      </c>
    </row>
    <row r="87" spans="1:7" ht="26.4" x14ac:dyDescent="0.25">
      <c r="A87" s="1824" t="s">
        <v>3164</v>
      </c>
      <c r="B87" s="147" t="s">
        <v>452</v>
      </c>
      <c r="C87" s="2009" t="s">
        <v>3060</v>
      </c>
      <c r="D87" s="1805">
        <f>'ТЕ_2ст_тариф_з ЦТП'!J108/D$17*1000/12</f>
        <v>0</v>
      </c>
      <c r="E87" s="1805" t="e">
        <f>'ТЕ_2ст_тариф_з ЦТП'!M108/E$17*1000/12</f>
        <v>#DIV/0!</v>
      </c>
      <c r="F87" s="1805">
        <f>'ТЕ_2ст_тариф_з ЦТП'!P108/F$17*1000/12</f>
        <v>0</v>
      </c>
      <c r="G87" s="1805">
        <f>'ТЕ_2ст_тариф_з ЦТП'!S108/G$17*1000/12</f>
        <v>0</v>
      </c>
    </row>
    <row r="88" spans="1:7" x14ac:dyDescent="0.25">
      <c r="A88" s="1824" t="s">
        <v>3165</v>
      </c>
      <c r="B88" s="1814" t="s">
        <v>58</v>
      </c>
      <c r="C88" s="2009" t="s">
        <v>3060</v>
      </c>
      <c r="D88" s="1805">
        <f>'ТЕ_2ст_тариф_з ЦТП'!J109/D$17*1000/12</f>
        <v>0</v>
      </c>
      <c r="E88" s="1805" t="e">
        <f>'ТЕ_2ст_тариф_з ЦТП'!M109/E$17*1000/12</f>
        <v>#DIV/0!</v>
      </c>
      <c r="F88" s="1805">
        <f>'ТЕ_2ст_тариф_з ЦТП'!P109/F$17*1000/12</f>
        <v>0</v>
      </c>
      <c r="G88" s="1805">
        <f>'ТЕ_2ст_тариф_з ЦТП'!S109/G$17*1000/12</f>
        <v>0</v>
      </c>
    </row>
    <row r="89" spans="1:7" x14ac:dyDescent="0.25">
      <c r="A89" s="1824" t="s">
        <v>2926</v>
      </c>
      <c r="B89" s="147" t="s">
        <v>2441</v>
      </c>
      <c r="C89" s="2009" t="s">
        <v>3060</v>
      </c>
      <c r="D89" s="1805">
        <f>'ТЕ_2ст_тариф_з ЦТП'!J110/D$17*1000/12</f>
        <v>0</v>
      </c>
      <c r="E89" s="1805" t="e">
        <f>'ТЕ_2ст_тариф_з ЦТП'!M110/E$17*1000/12</f>
        <v>#DIV/0!</v>
      </c>
      <c r="F89" s="1805">
        <f>'ТЕ_2ст_тариф_з ЦТП'!P110/F$17*1000/12</f>
        <v>0</v>
      </c>
      <c r="G89" s="1805">
        <f>'ТЕ_2ст_тариф_з ЦТП'!S110/G$17*1000/12</f>
        <v>0</v>
      </c>
    </row>
    <row r="90" spans="1:7" x14ac:dyDescent="0.25">
      <c r="A90" s="1824" t="s">
        <v>2927</v>
      </c>
      <c r="B90" s="147" t="s">
        <v>5</v>
      </c>
      <c r="C90" s="2009" t="s">
        <v>3060</v>
      </c>
      <c r="D90" s="1805">
        <f>'ТЕ_2ст_тариф_з ЦТП'!J111/D$17*1000/12</f>
        <v>0</v>
      </c>
      <c r="E90" s="1805" t="e">
        <f>'ТЕ_2ст_тариф_з ЦТП'!M111/E$17*1000/12</f>
        <v>#DIV/0!</v>
      </c>
      <c r="F90" s="1805">
        <f>'ТЕ_2ст_тариф_з ЦТП'!P111/F$17*1000/12</f>
        <v>0</v>
      </c>
      <c r="G90" s="1805">
        <f>'ТЕ_2ст_тариф_з ЦТП'!S111/G$17*1000/12</f>
        <v>0</v>
      </c>
    </row>
    <row r="91" spans="1:7" x14ac:dyDescent="0.25">
      <c r="A91" s="1824" t="s">
        <v>2928</v>
      </c>
      <c r="B91" s="147" t="s">
        <v>2442</v>
      </c>
      <c r="C91" s="2009" t="s">
        <v>3060</v>
      </c>
      <c r="D91" s="1805">
        <f>'ТЕ_2ст_тариф_з ЦТП'!J112/D$17*1000/12</f>
        <v>70449.503979375047</v>
      </c>
      <c r="E91" s="1805" t="e">
        <f>'ТЕ_2ст_тариф_з ЦТП'!M112/E$17*1000/12</f>
        <v>#DIV/0!</v>
      </c>
      <c r="F91" s="1805">
        <f>'ТЕ_2ст_тариф_з ЦТП'!P112/F$17*1000/12</f>
        <v>82795.815163245061</v>
      </c>
      <c r="G91" s="1805">
        <f>'ТЕ_2ст_тариф_з ЦТП'!S112/G$17*1000/12</f>
        <v>82795.815163245061</v>
      </c>
    </row>
    <row r="92" spans="1:7" x14ac:dyDescent="0.25">
      <c r="A92" s="1824" t="s">
        <v>2929</v>
      </c>
      <c r="B92" s="147" t="s">
        <v>234</v>
      </c>
      <c r="C92" s="2009" t="s">
        <v>3060</v>
      </c>
      <c r="D92" s="1805">
        <f>'ТЕ_2ст_тариф_з ЦТП'!J113/D$17*1000/12</f>
        <v>0</v>
      </c>
      <c r="E92" s="1805" t="e">
        <f>'ТЕ_2ст_тариф_з ЦТП'!M113/E$17*1000/12</f>
        <v>#DIV/0!</v>
      </c>
      <c r="F92" s="1805">
        <f>'ТЕ_2ст_тариф_з ЦТП'!P113/F$17*1000/12</f>
        <v>0</v>
      </c>
      <c r="G92" s="1805">
        <f>'ТЕ_2ст_тариф_з ЦТП'!S113/G$17*1000/12</f>
        <v>0</v>
      </c>
    </row>
    <row r="93" spans="1:7" x14ac:dyDescent="0.25">
      <c r="A93" s="1824" t="s">
        <v>2935</v>
      </c>
      <c r="B93" s="147" t="s">
        <v>3462</v>
      </c>
      <c r="C93" s="2009" t="s">
        <v>3060</v>
      </c>
      <c r="D93" s="1805">
        <f>'ТЕ_2ст_тариф_з ЦТП'!J114/D$17*1000/12</f>
        <v>4618.972484736204</v>
      </c>
      <c r="E93" s="1805" t="e">
        <f>'ТЕ_2ст_тариф_з ЦТП'!M114/E$17*1000/12</f>
        <v>#DIV/0!</v>
      </c>
      <c r="F93" s="1805">
        <f>'ТЕ_2ст_тариф_з ЦТП'!P114/F$17*1000/12</f>
        <v>5191.1389679010163</v>
      </c>
      <c r="G93" s="1805">
        <f>'ТЕ_2ст_тариф_з ЦТП'!S114/G$17*1000/12</f>
        <v>5191.1389679010153</v>
      </c>
    </row>
    <row r="94" spans="1:7" x14ac:dyDescent="0.25">
      <c r="A94" s="1824" t="s">
        <v>2096</v>
      </c>
      <c r="B94" s="147" t="s">
        <v>65</v>
      </c>
      <c r="C94" s="2009" t="s">
        <v>3060</v>
      </c>
      <c r="D94" s="1805">
        <f>'ТЕ_2ст_тариф_з ЦТП'!J115/D$17*1000/12</f>
        <v>831.41504725251673</v>
      </c>
      <c r="E94" s="1805" t="e">
        <f>'ТЕ_2ст_тариф_з ЦТП'!M115/E$17*1000/12</f>
        <v>#DIV/0!</v>
      </c>
      <c r="F94" s="1805">
        <f>'ТЕ_2ст_тариф_з ЦТП'!P115/F$17*1000/12</f>
        <v>934.40501422218267</v>
      </c>
      <c r="G94" s="1805">
        <f>'ТЕ_2ст_тариф_з ЦТП'!S115/G$17*1000/12</f>
        <v>934.40501422218233</v>
      </c>
    </row>
    <row r="95" spans="1:7" ht="26.4" x14ac:dyDescent="0.25">
      <c r="A95" s="4506" t="s">
        <v>2099</v>
      </c>
      <c r="B95" s="1506" t="s">
        <v>4145</v>
      </c>
      <c r="C95" s="4603" t="s">
        <v>3060</v>
      </c>
      <c r="D95" s="1805">
        <f>'ТЕ_2ст_тариф_з ЦТП'!J116/D$17*1000/12</f>
        <v>0</v>
      </c>
      <c r="E95" s="1805" t="e">
        <f>'ТЕ_2ст_тариф_з ЦТП'!M116/E$17*1000/12</f>
        <v>#DIV/0!</v>
      </c>
      <c r="F95" s="1805">
        <f>'ТЕ_2ст_тариф_з ЦТП'!P116/F$17*1000/12</f>
        <v>0</v>
      </c>
      <c r="G95" s="1805">
        <f>'ТЕ_2ст_тариф_з ЦТП'!S116/G$17*1000/12</f>
        <v>0</v>
      </c>
    </row>
    <row r="96" spans="1:7" x14ac:dyDescent="0.25">
      <c r="A96" s="1824" t="s">
        <v>2101</v>
      </c>
      <c r="B96" s="147" t="s">
        <v>85</v>
      </c>
      <c r="C96" s="2009" t="s">
        <v>3060</v>
      </c>
      <c r="D96" s="1805">
        <f>'ТЕ_2ст_тариф_з ЦТП'!J117/D$17*1000/12</f>
        <v>0</v>
      </c>
      <c r="E96" s="1805" t="e">
        <f>'ТЕ_2ст_тариф_з ЦТП'!M117/E$17*1000/12</f>
        <v>#DIV/0!</v>
      </c>
      <c r="F96" s="1805">
        <f>'ТЕ_2ст_тариф_з ЦТП'!P117/F$17*1000/12</f>
        <v>0</v>
      </c>
      <c r="G96" s="1805">
        <f>'ТЕ_2ст_тариф_з ЦТП'!S117/G$17*1000/12</f>
        <v>0</v>
      </c>
    </row>
    <row r="97" spans="1:9" x14ac:dyDescent="0.25">
      <c r="A97" s="1824" t="s">
        <v>3166</v>
      </c>
      <c r="B97" s="147" t="s">
        <v>71</v>
      </c>
      <c r="C97" s="2009" t="s">
        <v>3060</v>
      </c>
      <c r="D97" s="1805">
        <f>'ТЕ_2ст_тариф_з ЦТП'!J118/D$17*1000/12</f>
        <v>0</v>
      </c>
      <c r="E97" s="1805" t="e">
        <f>'ТЕ_2ст_тариф_з ЦТП'!M118/E$17*1000/12</f>
        <v>#DIV/0!</v>
      </c>
      <c r="F97" s="1805">
        <f>'ТЕ_2ст_тариф_з ЦТП'!P118/F$17*1000/12</f>
        <v>0</v>
      </c>
      <c r="G97" s="1805">
        <f>'ТЕ_2ст_тариф_з ЦТП'!S118/G$17*1000/12</f>
        <v>0</v>
      </c>
    </row>
    <row r="98" spans="1:9" ht="27.6" x14ac:dyDescent="0.25">
      <c r="A98" s="1824" t="s">
        <v>3167</v>
      </c>
      <c r="B98" s="2003" t="s">
        <v>2545</v>
      </c>
      <c r="C98" s="2009" t="s">
        <v>3060</v>
      </c>
      <c r="D98" s="1805">
        <f>'ТЕ_2ст_тариф_з ЦТП'!J119/D$17*1000/12</f>
        <v>3787.5574374836874</v>
      </c>
      <c r="E98" s="1805" t="e">
        <f>'ТЕ_2ст_тариф_з ЦТП'!M119/E$17*1000/12</f>
        <v>#DIV/0!</v>
      </c>
      <c r="F98" s="1805">
        <f>'ТЕ_2ст_тариф_з ЦТП'!P119/F$17*1000/12</f>
        <v>4256.733953678834</v>
      </c>
      <c r="G98" s="1805">
        <f>'ТЕ_2ст_тариф_з ЦТП'!S119/G$17*1000/12</f>
        <v>4256.733953678834</v>
      </c>
    </row>
    <row r="99" spans="1:9" x14ac:dyDescent="0.25">
      <c r="A99" s="4899" t="s">
        <v>4150</v>
      </c>
      <c r="B99" s="4899"/>
      <c r="C99" s="4899"/>
      <c r="D99" s="4899"/>
      <c r="E99" s="4899"/>
      <c r="F99" s="4899"/>
      <c r="G99" s="4899"/>
    </row>
    <row r="100" spans="1:9" ht="26.4" x14ac:dyDescent="0.25">
      <c r="A100" s="1820" t="s">
        <v>2936</v>
      </c>
      <c r="B100" s="147" t="s">
        <v>2966</v>
      </c>
      <c r="C100" s="2007" t="s">
        <v>3058</v>
      </c>
      <c r="D100" s="1805">
        <f>'ТЕ_2ст_тариф_з ЦТП'!J159/D$16*1000/12</f>
        <v>2390.0810057385866</v>
      </c>
      <c r="E100" s="1805">
        <f>'ТЕ_2ст_тариф_з ЦТП'!M159/E$16*1000/12</f>
        <v>2390.0810057385866</v>
      </c>
      <c r="F100" s="1805">
        <f>'ТЕ_2ст_тариф_з ЦТП'!P159/F$16*1000/12</f>
        <v>2390.0810057385866</v>
      </c>
      <c r="G100" s="1805">
        <f>'ТЕ_2ст_тариф_з ЦТП'!S159/G$16*1000/12</f>
        <v>2390.0810057385866</v>
      </c>
      <c r="I100" s="1223"/>
    </row>
    <row r="101" spans="1:9" x14ac:dyDescent="0.25">
      <c r="A101" s="1822" t="s">
        <v>2947</v>
      </c>
      <c r="B101" s="147" t="s">
        <v>215</v>
      </c>
      <c r="C101" s="2009" t="s">
        <v>3060</v>
      </c>
      <c r="D101" s="1805">
        <f>'ТЕ_2ст_тариф_з ЦТП'!J130/D$16*1000/12</f>
        <v>2191.1137591288457</v>
      </c>
      <c r="E101" s="1805">
        <f>'ТЕ_2ст_тариф_з ЦТП'!M130/E$16*1000/12</f>
        <v>2191.1137591288452</v>
      </c>
      <c r="F101" s="1805">
        <f>'ТЕ_2ст_тариф_з ЦТП'!P130/F$16*1000/12</f>
        <v>2191.1137591288452</v>
      </c>
      <c r="G101" s="1805">
        <f>'ТЕ_2ст_тариф_з ЦТП'!S130/G$16*1000/12</f>
        <v>2191.1137591288448</v>
      </c>
    </row>
    <row r="102" spans="1:9" x14ac:dyDescent="0.25">
      <c r="A102" s="1822" t="s">
        <v>2948</v>
      </c>
      <c r="B102" s="147" t="s">
        <v>102</v>
      </c>
      <c r="C102" s="2009" t="s">
        <v>3060</v>
      </c>
      <c r="D102" s="1805">
        <f>'ТЕ_2ст_тариф_з ЦТП'!J131/D$16*1000/12</f>
        <v>18.862391084887296</v>
      </c>
      <c r="E102" s="1805">
        <f>'ТЕ_2ст_тариф_з ЦТП'!M131/E$16*1000/12</f>
        <v>18.862391084887296</v>
      </c>
      <c r="F102" s="1805">
        <f>'ТЕ_2ст_тариф_з ЦТП'!P131/F$16*1000/12</f>
        <v>18.862391084887296</v>
      </c>
      <c r="G102" s="1805">
        <f>'ТЕ_2ст_тариф_з ЦТП'!S131/G$16*1000/12</f>
        <v>18.8623910848873</v>
      </c>
    </row>
    <row r="103" spans="1:9" x14ac:dyDescent="0.25">
      <c r="A103" s="1822" t="s">
        <v>2949</v>
      </c>
      <c r="B103" s="147" t="s">
        <v>47</v>
      </c>
      <c r="C103" s="2009" t="s">
        <v>3060</v>
      </c>
      <c r="D103" s="1805">
        <f>'ТЕ_2ст_тариф_з ЦТП'!J132/D$16*1000/12</f>
        <v>878.19257624016871</v>
      </c>
      <c r="E103" s="1805">
        <f>'ТЕ_2ст_тариф_з ЦТП'!M132/E$16*1000/12</f>
        <v>878.19257624016871</v>
      </c>
      <c r="F103" s="1805">
        <f>'ТЕ_2ст_тариф_з ЦТП'!P132/F$16*1000/12</f>
        <v>878.19257624016848</v>
      </c>
      <c r="G103" s="1805">
        <f>'ТЕ_2ст_тариф_з ЦТП'!S132/G$16*1000/12</f>
        <v>878.19257624016848</v>
      </c>
    </row>
    <row r="104" spans="1:9" x14ac:dyDescent="0.25">
      <c r="A104" s="1822" t="s">
        <v>2950</v>
      </c>
      <c r="B104" s="147" t="s">
        <v>217</v>
      </c>
      <c r="C104" s="2009" t="s">
        <v>3060</v>
      </c>
      <c r="D104" s="1805">
        <f>'ТЕ_2ст_тариф_з ЦТП'!J133/D$16*1000/12</f>
        <v>1217.4689434394177</v>
      </c>
      <c r="E104" s="1805">
        <f>'ТЕ_2ст_тариф_з ЦТП'!M133/E$16*1000/12</f>
        <v>1217.4689434394177</v>
      </c>
      <c r="F104" s="1805">
        <f>'ТЕ_2ст_тариф_з ЦТП'!P133/F$16*1000/12</f>
        <v>1217.4689434394177</v>
      </c>
      <c r="G104" s="1805">
        <f>'ТЕ_2ст_тариф_з ЦТП'!S133/G$16*1000/12</f>
        <v>1217.4689434394174</v>
      </c>
    </row>
    <row r="105" spans="1:9" ht="26.4" x14ac:dyDescent="0.25">
      <c r="A105" s="1822" t="s">
        <v>3168</v>
      </c>
      <c r="B105" s="147" t="s">
        <v>452</v>
      </c>
      <c r="C105" s="2009" t="s">
        <v>3060</v>
      </c>
      <c r="D105" s="1805">
        <f>'ТЕ_2ст_тариф_з ЦТП'!J134/D$16*1000/12</f>
        <v>193.20236677283708</v>
      </c>
      <c r="E105" s="1805">
        <f>'ТЕ_2ст_тариф_з ЦТП'!M134/E$16*1000/12</f>
        <v>193.20236677283708</v>
      </c>
      <c r="F105" s="1805">
        <f>'ТЕ_2ст_тариф_з ЦТП'!P134/F$16*1000/12</f>
        <v>193.20236677283708</v>
      </c>
      <c r="G105" s="1805">
        <f>'ТЕ_2ст_тариф_з ЦТП'!S134/G$16*1000/12</f>
        <v>193.20236677283705</v>
      </c>
    </row>
    <row r="106" spans="1:9" x14ac:dyDescent="0.25">
      <c r="A106" s="1822" t="s">
        <v>3169</v>
      </c>
      <c r="B106" s="147" t="s">
        <v>460</v>
      </c>
      <c r="C106" s="2009" t="s">
        <v>3060</v>
      </c>
      <c r="D106" s="1805">
        <f>'ТЕ_2ст_тариф_з ЦТП'!J135/D$16*1000/12</f>
        <v>982.3826577323922</v>
      </c>
      <c r="E106" s="1805">
        <f>'ТЕ_2ст_тариф_з ЦТП'!M135/E$16*1000/12</f>
        <v>982.3826577323922</v>
      </c>
      <c r="F106" s="1805">
        <f>'ТЕ_2ст_тариф_з ЦТП'!P135/F$16*1000/12</f>
        <v>982.3826577323922</v>
      </c>
      <c r="G106" s="1805">
        <f>'ТЕ_2ст_тариф_з ЦТП'!S135/G$16*1000/12</f>
        <v>982.38265773239209</v>
      </c>
    </row>
    <row r="107" spans="1:9" x14ac:dyDescent="0.25">
      <c r="A107" s="1822" t="s">
        <v>3170</v>
      </c>
      <c r="B107" s="147" t="s">
        <v>52</v>
      </c>
      <c r="C107" s="2009" t="s">
        <v>3060</v>
      </c>
      <c r="D107" s="1805">
        <f>'ТЕ_2ст_тариф_з ЦТП'!J136/D$16*1000/12</f>
        <v>41.883918934188237</v>
      </c>
      <c r="E107" s="1805">
        <f>'ТЕ_2ст_тариф_з ЦТП'!M136/E$16*1000/12</f>
        <v>41.883918934188237</v>
      </c>
      <c r="F107" s="1805">
        <f>'ТЕ_2ст_тариф_з ЦТП'!P136/F$16*1000/12</f>
        <v>41.883918934188237</v>
      </c>
      <c r="G107" s="1805">
        <f>'ТЕ_2ст_тариф_з ЦТП'!S136/G$16*1000/12</f>
        <v>41.883918934188237</v>
      </c>
    </row>
    <row r="108" spans="1:9" x14ac:dyDescent="0.25">
      <c r="A108" s="1822" t="s">
        <v>3171</v>
      </c>
      <c r="B108" s="147" t="s">
        <v>218</v>
      </c>
      <c r="C108" s="2009" t="s">
        <v>3060</v>
      </c>
      <c r="D108" s="1805">
        <f>'ТЕ_2ст_тариф_з ЦТП'!J137/D$16*1000/12</f>
        <v>76.589848364372031</v>
      </c>
      <c r="E108" s="1805">
        <f>'ТЕ_2ст_тариф_з ЦТП'!M137/E$16*1000/12</f>
        <v>76.589848364372031</v>
      </c>
      <c r="F108" s="1805">
        <f>'ТЕ_2ст_тариф_з ЦТП'!P137/F$16*1000/12</f>
        <v>76.589848364372031</v>
      </c>
      <c r="G108" s="1805">
        <f>'ТЕ_2ст_тариф_з ЦТП'!S137/G$16*1000/12</f>
        <v>76.589848364372031</v>
      </c>
    </row>
    <row r="109" spans="1:9" x14ac:dyDescent="0.25">
      <c r="A109" s="1822" t="s">
        <v>3172</v>
      </c>
      <c r="B109" s="147" t="s">
        <v>55</v>
      </c>
      <c r="C109" s="2009" t="s">
        <v>3060</v>
      </c>
      <c r="D109" s="1805">
        <f>'ТЕ_2ст_тариф_з ЦТП'!J138/D$16*1000/12</f>
        <v>58.524266414929514</v>
      </c>
      <c r="E109" s="1805">
        <f>'ТЕ_2ст_тариф_з ЦТП'!M138/E$16*1000/12</f>
        <v>58.524266414929507</v>
      </c>
      <c r="F109" s="1805">
        <f>'ТЕ_2ст_тариф_з ЦТП'!P138/F$16*1000/12</f>
        <v>58.524266414929507</v>
      </c>
      <c r="G109" s="1805">
        <f>'ТЕ_2ст_тариф_з ЦТП'!S138/G$16*1000/12</f>
        <v>58.524266414929514</v>
      </c>
    </row>
    <row r="110" spans="1:9" ht="26.4" x14ac:dyDescent="0.25">
      <c r="A110" s="1822" t="s">
        <v>3173</v>
      </c>
      <c r="B110" s="147" t="s">
        <v>452</v>
      </c>
      <c r="C110" s="2009" t="s">
        <v>3060</v>
      </c>
      <c r="D110" s="1805">
        <f>'ТЕ_2ст_тариф_з ЦТП'!J139/D$16*1000/12</f>
        <v>12.492152930877575</v>
      </c>
      <c r="E110" s="1805">
        <f>'ТЕ_2ст_тариф_з ЦТП'!M139/E$16*1000/12</f>
        <v>12.492152930877575</v>
      </c>
      <c r="F110" s="1805">
        <f>'ТЕ_2ст_тариф_з ЦТП'!P139/F$16*1000/12</f>
        <v>12.492152930877575</v>
      </c>
      <c r="G110" s="1805">
        <f>'ТЕ_2ст_тариф_з ЦТП'!S139/G$16*1000/12</f>
        <v>12.492152930877573</v>
      </c>
    </row>
    <row r="111" spans="1:9" x14ac:dyDescent="0.25">
      <c r="A111" s="1822" t="s">
        <v>3174</v>
      </c>
      <c r="B111" s="147" t="s">
        <v>58</v>
      </c>
      <c r="C111" s="2009" t="s">
        <v>3060</v>
      </c>
      <c r="D111" s="1805">
        <f>'ТЕ_2ст_тариф_з ЦТП'!J140/D$16*1000/12</f>
        <v>5.5734290185649478</v>
      </c>
      <c r="E111" s="1805">
        <f>'ТЕ_2ст_тариф_з ЦТП'!M140/E$16*1000/12</f>
        <v>5.5734290185649478</v>
      </c>
      <c r="F111" s="1805">
        <f>'ТЕ_2ст_тариф_з ЦТП'!P140/F$16*1000/12</f>
        <v>5.5734290185649487</v>
      </c>
      <c r="G111" s="1805">
        <f>'ТЕ_2ст_тариф_з ЦТП'!S140/G$16*1000/12</f>
        <v>5.5734290185649478</v>
      </c>
    </row>
    <row r="112" spans="1:9" x14ac:dyDescent="0.25">
      <c r="A112" s="1822" t="s">
        <v>2951</v>
      </c>
      <c r="B112" s="147" t="s">
        <v>219</v>
      </c>
      <c r="C112" s="2009" t="s">
        <v>3060</v>
      </c>
      <c r="D112" s="1805">
        <f>'ТЕ_2ст_тариф_з ЦТП'!J141/D$16*1000/12</f>
        <v>93.112843092181308</v>
      </c>
      <c r="E112" s="1805">
        <f>'ТЕ_2ст_тариф_з ЦТП'!M141/E$16*1000/12</f>
        <v>93.112843092181279</v>
      </c>
      <c r="F112" s="1805">
        <f>'ТЕ_2ст_тариф_з ЦТП'!P141/F$16*1000/12</f>
        <v>93.112843092181279</v>
      </c>
      <c r="G112" s="1805">
        <f>'ТЕ_2ст_тариф_з ЦТП'!S141/G$16*1000/12</f>
        <v>93.112843092181279</v>
      </c>
    </row>
    <row r="113" spans="1:7" x14ac:dyDescent="0.25">
      <c r="A113" s="1822" t="s">
        <v>2112</v>
      </c>
      <c r="B113" s="147" t="s">
        <v>55</v>
      </c>
      <c r="C113" s="2009" t="s">
        <v>3060</v>
      </c>
      <c r="D113" s="1805">
        <f>'ТЕ_2ст_тариф_з ЦТП'!J142/D$16*1000/12</f>
        <v>69.72886848442441</v>
      </c>
      <c r="E113" s="1805">
        <f>'ТЕ_2ст_тариф_з ЦТП'!M142/E$16*1000/12</f>
        <v>69.728868484424396</v>
      </c>
      <c r="F113" s="1805">
        <f>'ТЕ_2ст_тариф_з ЦТП'!P142/F$16*1000/12</f>
        <v>69.72886848442441</v>
      </c>
      <c r="G113" s="1805">
        <f>'ТЕ_2ст_тариф_з ЦТП'!S142/G$16*1000/12</f>
        <v>69.728868484424396</v>
      </c>
    </row>
    <row r="114" spans="1:7" ht="26.4" x14ac:dyDescent="0.25">
      <c r="A114" s="1822" t="s">
        <v>2114</v>
      </c>
      <c r="B114" s="147" t="s">
        <v>452</v>
      </c>
      <c r="C114" s="2009" t="s">
        <v>3060</v>
      </c>
      <c r="D114" s="1805">
        <f>'ТЕ_2ст_тариф_з ЦТП'!J143/D$16*1000/12</f>
        <v>15.340351066573369</v>
      </c>
      <c r="E114" s="1805">
        <f>'ТЕ_2ст_тариф_з ЦТП'!M143/E$16*1000/12</f>
        <v>15.340351066573371</v>
      </c>
      <c r="F114" s="1805">
        <f>'ТЕ_2ст_тариф_з ЦТП'!P143/F$16*1000/12</f>
        <v>15.340351066573369</v>
      </c>
      <c r="G114" s="1805">
        <f>'ТЕ_2ст_тариф_з ЦТП'!S143/G$16*1000/12</f>
        <v>15.340351066573369</v>
      </c>
    </row>
    <row r="115" spans="1:7" x14ac:dyDescent="0.25">
      <c r="A115" s="1822" t="s">
        <v>2952</v>
      </c>
      <c r="B115" s="147" t="s">
        <v>58</v>
      </c>
      <c r="C115" s="2009" t="s">
        <v>3060</v>
      </c>
      <c r="D115" s="1805">
        <f>'ТЕ_2ст_тариф_з ЦТП'!J144/D$16*1000/12</f>
        <v>8.0436235411835124</v>
      </c>
      <c r="E115" s="1805">
        <f>'ТЕ_2ст_тариф_з ЦТП'!M144/E$16*1000/12</f>
        <v>8.0436235411835142</v>
      </c>
      <c r="F115" s="1805">
        <f>'ТЕ_2ст_тариф_з ЦТП'!P144/F$16*1000/12</f>
        <v>8.0436235411835124</v>
      </c>
      <c r="G115" s="1805">
        <f>'ТЕ_2ст_тариф_з ЦТП'!S144/G$16*1000/12</f>
        <v>8.0436235411835142</v>
      </c>
    </row>
    <row r="116" spans="1:7" x14ac:dyDescent="0.25">
      <c r="A116" s="1822" t="s">
        <v>2953</v>
      </c>
      <c r="B116" s="337" t="s">
        <v>220</v>
      </c>
      <c r="C116" s="2009" t="s">
        <v>3060</v>
      </c>
      <c r="D116" s="1805">
        <f>'ТЕ_2ст_тариф_з ЦТП'!J145/D$16*1000/12</f>
        <v>0</v>
      </c>
      <c r="E116" s="1805">
        <f>'ТЕ_2ст_тариф_з ЦТП'!M145/E$16*1000/12</f>
        <v>0</v>
      </c>
      <c r="F116" s="1805">
        <f>'ТЕ_2ст_тариф_з ЦТП'!P145/F$16*1000/12</f>
        <v>0</v>
      </c>
      <c r="G116" s="1805">
        <f>'ТЕ_2ст_тариф_з ЦТП'!S145/G$16*1000/12</f>
        <v>0</v>
      </c>
    </row>
    <row r="117" spans="1:7" x14ac:dyDescent="0.25">
      <c r="A117" s="1822" t="s">
        <v>3175</v>
      </c>
      <c r="B117" s="337" t="s">
        <v>55</v>
      </c>
      <c r="C117" s="2009" t="s">
        <v>3060</v>
      </c>
      <c r="D117" s="1805">
        <f>'ТЕ_2ст_тариф_з ЦТП'!J146/D$16*1000/12</f>
        <v>0</v>
      </c>
      <c r="E117" s="1805">
        <f>'ТЕ_2ст_тариф_з ЦТП'!M146/E$16*1000/12</f>
        <v>0</v>
      </c>
      <c r="F117" s="1805">
        <f>'ТЕ_2ст_тариф_з ЦТП'!P146/F$16*1000/12</f>
        <v>0</v>
      </c>
      <c r="G117" s="1805">
        <f>'ТЕ_2ст_тариф_з ЦТП'!S146/G$16*1000/12</f>
        <v>0</v>
      </c>
    </row>
    <row r="118" spans="1:7" ht="26.4" x14ac:dyDescent="0.25">
      <c r="A118" s="1822" t="s">
        <v>3176</v>
      </c>
      <c r="B118" s="337" t="s">
        <v>452</v>
      </c>
      <c r="C118" s="2009" t="s">
        <v>3060</v>
      </c>
      <c r="D118" s="1805">
        <f>'ТЕ_2ст_тариф_з ЦТП'!J147/D$16*1000/12</f>
        <v>0</v>
      </c>
      <c r="E118" s="1805">
        <f>'ТЕ_2ст_тариф_з ЦТП'!M147/E$16*1000/12</f>
        <v>0</v>
      </c>
      <c r="F118" s="1805">
        <f>'ТЕ_2ст_тариф_з ЦТП'!P147/F$16*1000/12</f>
        <v>0</v>
      </c>
      <c r="G118" s="1805">
        <f>'ТЕ_2ст_тариф_з ЦТП'!S147/G$16*1000/12</f>
        <v>0</v>
      </c>
    </row>
    <row r="119" spans="1:7" x14ac:dyDescent="0.25">
      <c r="A119" s="1822" t="s">
        <v>3177</v>
      </c>
      <c r="B119" s="1814" t="s">
        <v>58</v>
      </c>
      <c r="C119" s="2009" t="s">
        <v>3060</v>
      </c>
      <c r="D119" s="1805">
        <f>'ТЕ_2ст_тариф_з ЦТП'!J148/D$16*1000/12</f>
        <v>0</v>
      </c>
      <c r="E119" s="1805">
        <f>'ТЕ_2ст_тариф_з ЦТП'!M148/E$16*1000/12</f>
        <v>0</v>
      </c>
      <c r="F119" s="1805">
        <f>'ТЕ_2ст_тариф_з ЦТП'!P148/F$16*1000/12</f>
        <v>0</v>
      </c>
      <c r="G119" s="1805">
        <f>'ТЕ_2ст_тариф_з ЦТП'!S148/G$16*1000/12</f>
        <v>0</v>
      </c>
    </row>
    <row r="120" spans="1:7" x14ac:dyDescent="0.25">
      <c r="A120" s="1822" t="s">
        <v>2954</v>
      </c>
      <c r="B120" s="147" t="s">
        <v>3463</v>
      </c>
      <c r="C120" s="2009" t="s">
        <v>3060</v>
      </c>
      <c r="D120" s="1805">
        <f>'ТЕ_2ст_тариф_з ЦТП'!J149/D$16*1000/12</f>
        <v>0</v>
      </c>
      <c r="E120" s="1805">
        <f>'ТЕ_2ст_тариф_з ЦТП'!M149/E$16*1000/12</f>
        <v>0</v>
      </c>
      <c r="F120" s="1805">
        <f>'ТЕ_2ст_тариф_з ЦТП'!P149/F$16*1000/12</f>
        <v>0</v>
      </c>
      <c r="G120" s="1805">
        <f>'ТЕ_2ст_тариф_з ЦТП'!S149/G$16*1000/12</f>
        <v>0</v>
      </c>
    </row>
    <row r="121" spans="1:7" x14ac:dyDescent="0.25">
      <c r="A121" s="1822" t="s">
        <v>2955</v>
      </c>
      <c r="B121" s="147" t="s">
        <v>5</v>
      </c>
      <c r="C121" s="2009" t="s">
        <v>3060</v>
      </c>
      <c r="D121" s="1805">
        <f>'ТЕ_2ст_тариф_з ЦТП'!J150/D$16*1000/12</f>
        <v>0</v>
      </c>
      <c r="E121" s="1805">
        <f>'ТЕ_2ст_тариф_з ЦТП'!M150/E$16*1000/12</f>
        <v>0</v>
      </c>
      <c r="F121" s="1805">
        <f>'ТЕ_2ст_тариф_з ЦТП'!P150/F$16*1000/12</f>
        <v>0</v>
      </c>
      <c r="G121" s="1805">
        <f>'ТЕ_2ст_тариф_з ЦТП'!S150/G$16*1000/12</f>
        <v>0</v>
      </c>
    </row>
    <row r="122" spans="1:7" x14ac:dyDescent="0.25">
      <c r="A122" s="1822" t="s">
        <v>2956</v>
      </c>
      <c r="B122" s="147" t="s">
        <v>2442</v>
      </c>
      <c r="C122" s="2009" t="s">
        <v>3060</v>
      </c>
      <c r="D122" s="1805">
        <f>'ТЕ_2ст_тариф_з ЦТП'!J151/D$16*1000/12</f>
        <v>2284.226602221027</v>
      </c>
      <c r="E122" s="1805">
        <f>'ТЕ_2ст_тариф_з ЦТП'!M151/E$16*1000/12</f>
        <v>2284.2266022210274</v>
      </c>
      <c r="F122" s="1805">
        <f>'ТЕ_2ст_тариф_з ЦТП'!P151/F$16*1000/12</f>
        <v>2284.226602221027</v>
      </c>
      <c r="G122" s="1805">
        <f>'ТЕ_2ст_тариф_з ЦТП'!S151/G$16*1000/12</f>
        <v>2284.226602221027</v>
      </c>
    </row>
    <row r="123" spans="1:7" x14ac:dyDescent="0.25">
      <c r="A123" s="1822" t="s">
        <v>2957</v>
      </c>
      <c r="B123" s="147" t="s">
        <v>221</v>
      </c>
      <c r="C123" s="2009" t="s">
        <v>3060</v>
      </c>
      <c r="D123" s="1805">
        <f>'ТЕ_2ст_тариф_з ЦТП'!J152/D$16*1000/12</f>
        <v>0</v>
      </c>
      <c r="E123" s="1805">
        <f>'ТЕ_2ст_тариф_з ЦТП'!M152/E$16*1000/12</f>
        <v>0</v>
      </c>
      <c r="F123" s="1805">
        <f>'ТЕ_2ст_тариф_з ЦТП'!P152/F$16*1000/12</f>
        <v>0</v>
      </c>
      <c r="G123" s="1805">
        <f>'ТЕ_2ст_тариф_з ЦТП'!S152/G$16*1000/12</f>
        <v>0</v>
      </c>
    </row>
    <row r="124" spans="1:7" x14ac:dyDescent="0.25">
      <c r="A124" s="1822" t="s">
        <v>3178</v>
      </c>
      <c r="B124" s="147" t="s">
        <v>3461</v>
      </c>
      <c r="C124" s="2009" t="s">
        <v>3060</v>
      </c>
      <c r="D124" s="1805">
        <f>'ТЕ_2ст_тариф_з ЦТП'!J153/D$16*1000/12</f>
        <v>105.85440351755976</v>
      </c>
      <c r="E124" s="1805">
        <f>'ТЕ_2ст_тариф_з ЦТП'!M153/E$16*1000/12</f>
        <v>105.85440351755977</v>
      </c>
      <c r="F124" s="1805">
        <f>'ТЕ_2ст_тариф_з ЦТП'!P153/F$16*1000/12</f>
        <v>105.85440351755977</v>
      </c>
      <c r="G124" s="1805">
        <f>'ТЕ_2ст_тариф_з ЦТП'!S153/G$16*1000/12</f>
        <v>105.85440351755976</v>
      </c>
    </row>
    <row r="125" spans="1:7" x14ac:dyDescent="0.25">
      <c r="A125" s="1822" t="s">
        <v>3179</v>
      </c>
      <c r="B125" s="147" t="s">
        <v>65</v>
      </c>
      <c r="C125" s="2009" t="s">
        <v>3060</v>
      </c>
      <c r="D125" s="1805">
        <f>'ТЕ_2ст_тариф_з ЦТП'!J154/D$16*1000/12</f>
        <v>19.053792633160743</v>
      </c>
      <c r="E125" s="1805">
        <f>'ТЕ_2ст_тариф_з ЦТП'!M154/E$16*1000/12</f>
        <v>19.05379263316075</v>
      </c>
      <c r="F125" s="1805">
        <f>'ТЕ_2ст_тариф_з ЦТП'!P154/F$16*1000/12</f>
        <v>19.053792633160754</v>
      </c>
      <c r="G125" s="1805">
        <f>'ТЕ_2ст_тариф_з ЦТП'!S154/G$16*1000/12</f>
        <v>19.05379263316075</v>
      </c>
    </row>
    <row r="126" spans="1:7" ht="26.4" x14ac:dyDescent="0.25">
      <c r="A126" s="4602" t="s">
        <v>3180</v>
      </c>
      <c r="B126" s="1506" t="s">
        <v>4145</v>
      </c>
      <c r="C126" s="4603" t="s">
        <v>3060</v>
      </c>
      <c r="D126" s="1805">
        <f>'ТЕ_2ст_тариф_з ЦТП'!J155/D$16*1000/12</f>
        <v>0</v>
      </c>
      <c r="E126" s="1805">
        <f>'ТЕ_2ст_тариф_з ЦТП'!M155/E$16*1000/12</f>
        <v>0</v>
      </c>
      <c r="F126" s="1805">
        <f>'ТЕ_2ст_тариф_з ЦТП'!P155/F$16*1000/12</f>
        <v>0</v>
      </c>
      <c r="G126" s="1805">
        <f>'ТЕ_2ст_тариф_з ЦТП'!S155/G$16*1000/12</f>
        <v>0</v>
      </c>
    </row>
    <row r="127" spans="1:7" x14ac:dyDescent="0.25">
      <c r="A127" s="1822" t="s">
        <v>3181</v>
      </c>
      <c r="B127" s="147" t="s">
        <v>85</v>
      </c>
      <c r="C127" s="2009" t="s">
        <v>3060</v>
      </c>
      <c r="D127" s="1805">
        <f>'ТЕ_2ст_тариф_з ЦТП'!J156/D$16*1000/12</f>
        <v>0</v>
      </c>
      <c r="E127" s="1805">
        <f>'ТЕ_2ст_тариф_з ЦТП'!M156/E$16*1000/12</f>
        <v>0</v>
      </c>
      <c r="F127" s="1805">
        <f>'ТЕ_2ст_тариф_з ЦТП'!P156/F$16*1000/12</f>
        <v>0</v>
      </c>
      <c r="G127" s="1805">
        <f>'ТЕ_2ст_тариф_з ЦТП'!S156/G$16*1000/12</f>
        <v>0</v>
      </c>
    </row>
    <row r="128" spans="1:7" x14ac:dyDescent="0.25">
      <c r="A128" s="1822" t="s">
        <v>3182</v>
      </c>
      <c r="B128" s="147" t="s">
        <v>71</v>
      </c>
      <c r="C128" s="2009" t="s">
        <v>3060</v>
      </c>
      <c r="D128" s="1805">
        <f>'ТЕ_2ст_тариф_з ЦТП'!J157/D$16*1000/12</f>
        <v>0</v>
      </c>
      <c r="E128" s="1805">
        <f>'ТЕ_2ст_тариф_з ЦТП'!M157/E$16*1000/12</f>
        <v>0</v>
      </c>
      <c r="F128" s="1805">
        <f>'ТЕ_2ст_тариф_з ЦТП'!P157/F$16*1000/12</f>
        <v>0</v>
      </c>
      <c r="G128" s="1805">
        <f>'ТЕ_2ст_тариф_з ЦТП'!S157/G$16*1000/12</f>
        <v>0</v>
      </c>
    </row>
    <row r="129" spans="1:7" ht="27.6" x14ac:dyDescent="0.25">
      <c r="A129" s="1822" t="s">
        <v>3183</v>
      </c>
      <c r="B129" s="2003" t="s">
        <v>2545</v>
      </c>
      <c r="C129" s="2009" t="s">
        <v>3060</v>
      </c>
      <c r="D129" s="1805">
        <f>'ТЕ_2ст_тариф_з ЦТП'!J158/D$16*1000/12</f>
        <v>86.800610884399021</v>
      </c>
      <c r="E129" s="1805">
        <f>'ТЕ_2ст_тариф_з ЦТП'!M158/E$16*1000/12</f>
        <v>86.800610884399021</v>
      </c>
      <c r="F129" s="1805">
        <f>'ТЕ_2ст_тариф_з ЦТП'!P158/F$16*1000/12</f>
        <v>86.800610884399021</v>
      </c>
      <c r="G129" s="1805">
        <f>'ТЕ_2ст_тариф_з ЦТП'!S158/G$16*1000/12</f>
        <v>86.800610884399021</v>
      </c>
    </row>
    <row r="133" spans="1:7" ht="31.2" x14ac:dyDescent="0.3">
      <c r="B133" s="4399" t="str">
        <f>'D1_2023-2024'!B108</f>
        <v>Начальник управління економічного
розвитку та торгівлі</v>
      </c>
      <c r="C133" s="1587"/>
      <c r="D133" s="4900" t="str">
        <f>'D1_2023-2024'!F108</f>
        <v>Наталія ГЄНЧЕВА</v>
      </c>
      <c r="E133" s="4901"/>
      <c r="F133" s="4901"/>
      <c r="G133" s="4901"/>
    </row>
    <row r="137" spans="1:7" hidden="1" x14ac:dyDescent="0.25">
      <c r="A137" s="1445"/>
      <c r="D137" s="1223">
        <f>D20+D59</f>
        <v>1143.2500728269181</v>
      </c>
      <c r="E137" s="1223" t="e">
        <f>E20+E59</f>
        <v>#DIV/0!</v>
      </c>
      <c r="F137" s="1223">
        <f>F20+F59</f>
        <v>2130.2600821973524</v>
      </c>
      <c r="G137" s="1223">
        <f>G20+G59</f>
        <v>2130.2600821973524</v>
      </c>
    </row>
    <row r="138" spans="1:7" hidden="1" x14ac:dyDescent="0.25">
      <c r="A138" s="1445"/>
      <c r="D138" s="1223">
        <f>D100+D64+D28</f>
        <v>132136.80145902259</v>
      </c>
      <c r="E138" s="1223" t="e">
        <f>E100+E64+E28</f>
        <v>#DIV/0!</v>
      </c>
      <c r="F138" s="1223">
        <f>F100+F64+F28</f>
        <v>150830.23964620027</v>
      </c>
      <c r="G138" s="1223">
        <f>G100+G64+G28</f>
        <v>150830.23964620024</v>
      </c>
    </row>
    <row r="139" spans="1:7" hidden="1" x14ac:dyDescent="0.25">
      <c r="A139" s="1445"/>
      <c r="D139" s="1121"/>
      <c r="E139" s="1121"/>
      <c r="F139" s="1121"/>
      <c r="G139" s="1121"/>
    </row>
    <row r="140" spans="1:7" hidden="1" x14ac:dyDescent="0.25">
      <c r="A140" s="1445"/>
      <c r="D140" s="1223">
        <f t="shared" ref="D140:G141" si="1">D137-D9</f>
        <v>7.2826918085411307E-5</v>
      </c>
      <c r="E140" s="1223" t="e">
        <f t="shared" si="1"/>
        <v>#DIV/0!</v>
      </c>
      <c r="F140" s="1223">
        <f t="shared" si="1"/>
        <v>8.2197352185175987E-5</v>
      </c>
      <c r="G140" s="1223">
        <f t="shared" si="1"/>
        <v>8.2197352185175987E-5</v>
      </c>
    </row>
    <row r="141" spans="1:7" hidden="1" x14ac:dyDescent="0.25">
      <c r="A141" s="1445"/>
      <c r="D141" s="1223">
        <f t="shared" si="1"/>
        <v>1.4590226055588573E-3</v>
      </c>
      <c r="E141" s="1223" t="e">
        <f t="shared" si="1"/>
        <v>#DIV/0!</v>
      </c>
      <c r="F141" s="1223">
        <f t="shared" si="1"/>
        <v>9.6462002547923476E-3</v>
      </c>
      <c r="G141" s="1223">
        <f t="shared" si="1"/>
        <v>9.6462002256885171E-3</v>
      </c>
    </row>
    <row r="142" spans="1:7" hidden="1" x14ac:dyDescent="0.25"/>
  </sheetData>
  <mergeCells count="17">
    <mergeCell ref="L1:N1"/>
    <mergeCell ref="F1:G1"/>
    <mergeCell ref="A2:G2"/>
    <mergeCell ref="A3:G3"/>
    <mergeCell ref="A5:A6"/>
    <mergeCell ref="B5:B6"/>
    <mergeCell ref="C5:C6"/>
    <mergeCell ref="D5:G5"/>
    <mergeCell ref="D4:G4"/>
    <mergeCell ref="A99:G99"/>
    <mergeCell ref="D133:G133"/>
    <mergeCell ref="A8:G8"/>
    <mergeCell ref="A11:G11"/>
    <mergeCell ref="A19:G19"/>
    <mergeCell ref="A27:G27"/>
    <mergeCell ref="A58:G58"/>
    <mergeCell ref="A63:G63"/>
  </mergeCells>
  <pageMargins left="0.70866141732283472" right="0.47244094488188981" top="0.56000000000000005" bottom="0.53" header="0.31496062992125984" footer="0.31496062992125984"/>
  <pageSetup paperSize="9" scale="89" fitToHeight="3" orientation="portrait" r:id="rId1"/>
  <headerFooter differentFirst="1">
    <oddHeader>&amp;RПродовження Додатку 3</oddHeader>
    <oddFooter>&amp;RСтор. &amp;P з &amp;N</oddFooter>
  </headerFooter>
</worksheet>
</file>

<file path=xl/worksheets/sheet4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700-000000000000}">
  <sheetPr codeName="Лист33">
    <tabColor theme="9"/>
    <pageSetUpPr fitToPage="1"/>
  </sheetPr>
  <dimension ref="A1:Y728"/>
  <sheetViews>
    <sheetView topLeftCell="A11" zoomScale="110" zoomScaleNormal="110" workbookViewId="0">
      <pane xSplit="4" ySplit="3" topLeftCell="E605" activePane="bottomRight" state="frozen"/>
      <selection activeCell="C11" sqref="C11"/>
      <selection pane="topRight" activeCell="E11" sqref="E11"/>
      <selection pane="bottomLeft" activeCell="C14" sqref="C14"/>
      <selection pane="bottomRight" activeCell="F694" sqref="F694"/>
    </sheetView>
  </sheetViews>
  <sheetFormatPr defaultColWidth="8.88671875" defaultRowHeight="14.4" x14ac:dyDescent="0.3"/>
  <cols>
    <col min="1" max="2" width="9.109375" style="948" hidden="1" customWidth="1"/>
    <col min="3" max="3" width="4.6640625" style="948" customWidth="1"/>
    <col min="4" max="4" width="30.6640625" style="948" customWidth="1"/>
    <col min="5" max="5" width="5.33203125" style="948" customWidth="1"/>
    <col min="6" max="6" width="9.88671875" style="1296" customWidth="1"/>
    <col min="7" max="7" width="9.33203125" style="948" customWidth="1"/>
    <col min="8" max="8" width="4.5546875" style="948" customWidth="1"/>
    <col min="9" max="9" width="5.88671875" style="948" customWidth="1"/>
    <col min="10" max="12" width="4.5546875" style="948" customWidth="1"/>
    <col min="13" max="13" width="11.44140625" style="948" customWidth="1"/>
    <col min="14" max="14" width="7.88671875" style="948" hidden="1" customWidth="1"/>
    <col min="15" max="15" width="9.44140625" style="948" customWidth="1"/>
    <col min="16" max="16" width="8.33203125" style="948" customWidth="1"/>
    <col min="17" max="17" width="8.5546875" style="948" customWidth="1"/>
    <col min="18" max="18" width="8.44140625" style="948" customWidth="1"/>
    <col min="19" max="19" width="10" style="948" customWidth="1"/>
    <col min="20" max="20" width="8.88671875" style="948" customWidth="1"/>
    <col min="21" max="25" width="8.88671875" style="949"/>
    <col min="26" max="16384" width="8.88671875" style="948"/>
  </cols>
  <sheetData>
    <row r="1" spans="1:25" ht="18" customHeight="1" x14ac:dyDescent="0.3">
      <c r="B1" s="947"/>
      <c r="C1" s="2994" t="s">
        <v>3384</v>
      </c>
      <c r="M1" s="5379" t="s">
        <v>3527</v>
      </c>
      <c r="N1" s="5379"/>
      <c r="O1" s="5379"/>
      <c r="P1" s="5379"/>
      <c r="Q1" s="5379"/>
      <c r="R1" s="921"/>
      <c r="S1" s="921"/>
    </row>
    <row r="2" spans="1:25" hidden="1" x14ac:dyDescent="0.3">
      <c r="M2" s="949"/>
      <c r="N2" s="949"/>
      <c r="O2" s="949"/>
    </row>
    <row r="3" spans="1:25" x14ac:dyDescent="0.3">
      <c r="M3" s="949"/>
      <c r="N3" s="949"/>
      <c r="O3" s="949"/>
    </row>
    <row r="4" spans="1:25" ht="15.6" x14ac:dyDescent="0.3">
      <c r="C4" s="5387" t="s">
        <v>472</v>
      </c>
      <c r="D4" s="5387"/>
      <c r="E4" s="5387"/>
      <c r="F4" s="5387"/>
      <c r="G4" s="5387"/>
      <c r="H4" s="5387"/>
      <c r="I4" s="5387"/>
      <c r="J4" s="5387"/>
      <c r="K4" s="5387"/>
      <c r="L4" s="5387"/>
      <c r="M4" s="5387"/>
      <c r="N4" s="5387"/>
      <c r="O4" s="5387"/>
      <c r="P4" s="5387"/>
      <c r="Q4" s="5387"/>
      <c r="R4" s="5387"/>
      <c r="S4" s="5387"/>
    </row>
    <row r="5" spans="1:25" ht="15.6" x14ac:dyDescent="0.3">
      <c r="C5" s="5388" t="s">
        <v>3528</v>
      </c>
      <c r="D5" s="5388"/>
      <c r="E5" s="5388"/>
      <c r="F5" s="5388"/>
      <c r="G5" s="5388"/>
      <c r="H5" s="5388"/>
      <c r="I5" s="5388"/>
      <c r="J5" s="5388"/>
      <c r="K5" s="5388"/>
      <c r="L5" s="5388"/>
      <c r="M5" s="5388"/>
      <c r="N5" s="5388"/>
      <c r="O5" s="5388"/>
      <c r="P5" s="5388"/>
      <c r="Q5" s="5388"/>
      <c r="R5" s="5388"/>
      <c r="S5" s="5388"/>
    </row>
    <row r="6" spans="1:25" ht="16.2" thickBot="1" x14ac:dyDescent="0.35">
      <c r="C6" s="5375" t="str">
        <f>'Вхідні дані'!$F$4</f>
        <v>Комунальне підприємство «Чорноморськтеплоенерго» Чорноморської міської ради Одеського району Одеської області</v>
      </c>
      <c r="D6" s="5375"/>
      <c r="E6" s="5375"/>
      <c r="F6" s="5375"/>
      <c r="G6" s="5375"/>
      <c r="H6" s="5375"/>
      <c r="I6" s="5375"/>
      <c r="J6" s="5375"/>
      <c r="K6" s="5375"/>
      <c r="L6" s="5375"/>
      <c r="M6" s="5375"/>
      <c r="N6" s="5375"/>
      <c r="O6" s="5375"/>
      <c r="P6" s="5375"/>
      <c r="Q6" s="5375"/>
      <c r="R6" s="5375"/>
      <c r="S6" s="5375"/>
    </row>
    <row r="7" spans="1:25" x14ac:dyDescent="0.3">
      <c r="C7" s="5365" t="s">
        <v>369</v>
      </c>
      <c r="D7" s="5365"/>
      <c r="E7" s="5365"/>
      <c r="F7" s="5365"/>
      <c r="G7" s="5365"/>
      <c r="H7" s="5365"/>
      <c r="I7" s="5365"/>
      <c r="J7" s="5365"/>
      <c r="K7" s="5365"/>
      <c r="L7" s="5365"/>
      <c r="M7" s="5365"/>
      <c r="N7" s="5365"/>
      <c r="O7" s="5365"/>
      <c r="P7" s="5365"/>
      <c r="Q7" s="5365"/>
      <c r="R7" s="5365"/>
      <c r="S7" s="5365"/>
    </row>
    <row r="8" spans="1:25" ht="15.6" x14ac:dyDescent="0.3">
      <c r="C8" s="5366" t="s">
        <v>1388</v>
      </c>
      <c r="D8" s="5366"/>
      <c r="E8" s="5366"/>
      <c r="F8" s="5366"/>
      <c r="G8" s="5366"/>
      <c r="H8" s="5366"/>
      <c r="I8" s="5366"/>
      <c r="J8" s="5366"/>
      <c r="K8" s="5366"/>
      <c r="L8" s="5366"/>
      <c r="M8" s="5366"/>
      <c r="N8" s="5366"/>
      <c r="O8" s="5366"/>
      <c r="P8" s="5366"/>
      <c r="Q8" s="5366"/>
      <c r="R8" s="5366"/>
      <c r="S8" s="5366"/>
    </row>
    <row r="9" spans="1:25" x14ac:dyDescent="0.3">
      <c r="C9" s="5365" t="s">
        <v>1024</v>
      </c>
      <c r="D9" s="5365"/>
      <c r="E9" s="5365"/>
      <c r="F9" s="5365"/>
      <c r="G9" s="5365"/>
      <c r="H9" s="5365"/>
      <c r="I9" s="5365"/>
      <c r="J9" s="5365"/>
      <c r="K9" s="5365"/>
      <c r="L9" s="5365"/>
      <c r="M9" s="5365"/>
      <c r="N9" s="5365"/>
      <c r="O9" s="5365"/>
      <c r="P9" s="5365"/>
      <c r="Q9" s="5365"/>
      <c r="R9" s="5365"/>
      <c r="S9" s="5365"/>
    </row>
    <row r="10" spans="1:25" ht="15" thickBot="1" x14ac:dyDescent="0.35">
      <c r="R10" s="950" t="s">
        <v>2003</v>
      </c>
    </row>
    <row r="11" spans="1:25" ht="21" customHeight="1" thickBot="1" x14ac:dyDescent="0.35">
      <c r="C11" s="5367" t="s">
        <v>7</v>
      </c>
      <c r="D11" s="5369" t="s">
        <v>353</v>
      </c>
      <c r="E11" s="5371" t="s">
        <v>341</v>
      </c>
      <c r="F11" s="5373" t="s">
        <v>342</v>
      </c>
      <c r="G11" s="5371" t="s">
        <v>354</v>
      </c>
      <c r="H11" s="5371" t="s">
        <v>1025</v>
      </c>
      <c r="I11" s="5371" t="s">
        <v>343</v>
      </c>
      <c r="J11" s="5371" t="s">
        <v>355</v>
      </c>
      <c r="K11" s="5383" t="s">
        <v>2024</v>
      </c>
      <c r="L11" s="5371" t="s">
        <v>1026</v>
      </c>
      <c r="M11" s="5385" t="s">
        <v>2687</v>
      </c>
      <c r="N11" s="3282"/>
      <c r="O11" s="5380" t="s">
        <v>344</v>
      </c>
      <c r="P11" s="5381"/>
      <c r="Q11" s="5381"/>
      <c r="R11" s="5382"/>
      <c r="S11" s="5371" t="s">
        <v>2682</v>
      </c>
    </row>
    <row r="12" spans="1:25" ht="127.5" customHeight="1" thickBot="1" x14ac:dyDescent="0.35">
      <c r="A12" s="948" t="s">
        <v>1028</v>
      </c>
      <c r="C12" s="5368"/>
      <c r="D12" s="5370"/>
      <c r="E12" s="5372"/>
      <c r="F12" s="5374"/>
      <c r="G12" s="5372"/>
      <c r="H12" s="5372"/>
      <c r="I12" s="5372"/>
      <c r="J12" s="5372"/>
      <c r="K12" s="5384"/>
      <c r="L12" s="5372"/>
      <c r="M12" s="5386"/>
      <c r="N12" s="958" t="s">
        <v>2004</v>
      </c>
      <c r="O12" s="3281" t="s">
        <v>2686</v>
      </c>
      <c r="P12" s="3281" t="s">
        <v>2685</v>
      </c>
      <c r="Q12" s="959" t="s">
        <v>2684</v>
      </c>
      <c r="R12" s="952" t="s">
        <v>2683</v>
      </c>
      <c r="S12" s="5372"/>
      <c r="U12" s="1647" t="s">
        <v>2695</v>
      </c>
      <c r="V12" s="1647" t="s">
        <v>2688</v>
      </c>
      <c r="W12" s="1647" t="s">
        <v>2696</v>
      </c>
      <c r="X12" s="1648" t="s">
        <v>2689</v>
      </c>
      <c r="Y12" s="1648" t="s">
        <v>2690</v>
      </c>
    </row>
    <row r="13" spans="1:25" ht="15" thickBot="1" x14ac:dyDescent="0.35">
      <c r="A13" s="948">
        <v>41</v>
      </c>
      <c r="B13" s="948">
        <v>42</v>
      </c>
      <c r="C13" s="951">
        <v>1</v>
      </c>
      <c r="D13" s="951">
        <v>2</v>
      </c>
      <c r="E13" s="951">
        <v>3</v>
      </c>
      <c r="F13" s="951">
        <v>4</v>
      </c>
      <c r="G13" s="951">
        <v>5</v>
      </c>
      <c r="H13" s="951">
        <v>6</v>
      </c>
      <c r="I13" s="960">
        <v>7</v>
      </c>
      <c r="J13" s="961" t="s">
        <v>1029</v>
      </c>
      <c r="K13" s="951">
        <v>8</v>
      </c>
      <c r="L13" s="961" t="s">
        <v>1030</v>
      </c>
      <c r="M13" s="951">
        <v>9</v>
      </c>
      <c r="N13" s="951">
        <v>74</v>
      </c>
      <c r="O13" s="961" t="s">
        <v>1031</v>
      </c>
      <c r="P13" s="961" t="s">
        <v>1032</v>
      </c>
      <c r="Q13" s="961" t="s">
        <v>1033</v>
      </c>
      <c r="R13" s="961" t="s">
        <v>2015</v>
      </c>
      <c r="S13" s="951">
        <v>10</v>
      </c>
      <c r="T13" s="948">
        <v>56</v>
      </c>
      <c r="U13" s="1649" t="s">
        <v>2691</v>
      </c>
      <c r="V13" s="1650" t="s">
        <v>2692</v>
      </c>
      <c r="W13" s="1650" t="s">
        <v>2693</v>
      </c>
      <c r="X13" s="1651" t="s">
        <v>2694</v>
      </c>
      <c r="Y13" s="1652" t="s">
        <v>986</v>
      </c>
    </row>
    <row r="14" spans="1:25" ht="15" thickBot="1" x14ac:dyDescent="0.35">
      <c r="C14" s="1631">
        <v>1</v>
      </c>
      <c r="D14" s="1632" t="s">
        <v>1034</v>
      </c>
      <c r="E14" s="1631">
        <v>9</v>
      </c>
      <c r="F14" s="1632" t="s">
        <v>1035</v>
      </c>
      <c r="G14" s="1631" t="s">
        <v>1036</v>
      </c>
      <c r="H14" s="1631"/>
      <c r="I14" s="1633">
        <v>143</v>
      </c>
      <c r="J14" s="1634"/>
      <c r="K14" s="1631"/>
      <c r="L14" s="1634"/>
      <c r="M14" s="1637">
        <v>6904.6</v>
      </c>
      <c r="N14" s="1637"/>
      <c r="O14" s="1637">
        <v>6904.6</v>
      </c>
      <c r="P14" s="1637">
        <v>0</v>
      </c>
      <c r="Q14" s="1637">
        <v>0</v>
      </c>
      <c r="R14" s="1637">
        <v>0</v>
      </c>
      <c r="S14" s="1637">
        <v>0</v>
      </c>
      <c r="U14" s="1653">
        <v>0.46330660300000004</v>
      </c>
      <c r="V14" s="1654">
        <v>0</v>
      </c>
      <c r="W14" s="1654">
        <v>0.46330660300000004</v>
      </c>
      <c r="X14" s="1654">
        <v>5.3042105333589801E-2</v>
      </c>
      <c r="Y14" s="1655">
        <v>1000</v>
      </c>
    </row>
    <row r="15" spans="1:25" ht="15" thickBot="1" x14ac:dyDescent="0.35">
      <c r="C15" s="1631">
        <v>2</v>
      </c>
      <c r="D15" s="1632" t="s">
        <v>1037</v>
      </c>
      <c r="E15" s="1631">
        <v>9</v>
      </c>
      <c r="F15" s="1632" t="s">
        <v>1038</v>
      </c>
      <c r="G15" s="1631" t="s">
        <v>1036</v>
      </c>
      <c r="H15" s="1631"/>
      <c r="I15" s="1633">
        <v>108</v>
      </c>
      <c r="J15" s="1634"/>
      <c r="K15" s="1631"/>
      <c r="L15" s="1634"/>
      <c r="M15" s="1637">
        <v>5859.19</v>
      </c>
      <c r="N15" s="1637"/>
      <c r="O15" s="1637">
        <v>5859.19</v>
      </c>
      <c r="P15" s="1637">
        <v>0</v>
      </c>
      <c r="Q15" s="1637">
        <v>0</v>
      </c>
      <c r="R15" s="1637">
        <v>0</v>
      </c>
      <c r="S15" s="1637">
        <v>0</v>
      </c>
      <c r="U15" s="1656">
        <v>0.37985638099999997</v>
      </c>
      <c r="V15" s="1657">
        <v>0</v>
      </c>
      <c r="W15" s="1657">
        <v>0.37985638099999997</v>
      </c>
      <c r="X15" s="1657">
        <v>0</v>
      </c>
      <c r="Y15" s="1658">
        <v>0</v>
      </c>
    </row>
    <row r="16" spans="1:25" ht="15" thickBot="1" x14ac:dyDescent="0.35">
      <c r="C16" s="1631">
        <v>3</v>
      </c>
      <c r="D16" s="1632" t="s">
        <v>1039</v>
      </c>
      <c r="E16" s="1631">
        <v>9</v>
      </c>
      <c r="F16" s="1632" t="s">
        <v>1040</v>
      </c>
      <c r="G16" s="1631" t="s">
        <v>1036</v>
      </c>
      <c r="H16" s="1631"/>
      <c r="I16" s="1633">
        <v>77</v>
      </c>
      <c r="J16" s="1634"/>
      <c r="K16" s="1631"/>
      <c r="L16" s="1634"/>
      <c r="M16" s="1637">
        <v>4396.6000000000004</v>
      </c>
      <c r="N16" s="1637"/>
      <c r="O16" s="1637">
        <v>4397.87</v>
      </c>
      <c r="P16" s="1637">
        <v>0</v>
      </c>
      <c r="Q16" s="1637">
        <v>0</v>
      </c>
      <c r="R16" s="1637">
        <v>0</v>
      </c>
      <c r="S16" s="1637">
        <v>0</v>
      </c>
      <c r="U16" s="1656">
        <v>0.25305069000000002</v>
      </c>
      <c r="V16" s="1657">
        <v>0</v>
      </c>
      <c r="W16" s="1657">
        <v>0.25305069000000002</v>
      </c>
      <c r="X16" s="1657">
        <v>0</v>
      </c>
      <c r="Y16" s="1658">
        <v>0</v>
      </c>
    </row>
    <row r="17" spans="3:25" ht="15" thickBot="1" x14ac:dyDescent="0.35">
      <c r="C17" s="1631">
        <v>4</v>
      </c>
      <c r="D17" s="1632" t="s">
        <v>2665</v>
      </c>
      <c r="E17" s="1631">
        <v>1</v>
      </c>
      <c r="F17" s="1635">
        <v>39814</v>
      </c>
      <c r="G17" s="1631" t="s">
        <v>1036</v>
      </c>
      <c r="H17" s="1631"/>
      <c r="I17" s="1633">
        <v>2</v>
      </c>
      <c r="J17" s="1634"/>
      <c r="K17" s="1631"/>
      <c r="L17" s="1634"/>
      <c r="M17" s="1637">
        <v>201.1</v>
      </c>
      <c r="N17" s="1637"/>
      <c r="O17" s="1637">
        <v>201.1</v>
      </c>
      <c r="P17" s="1637">
        <v>0</v>
      </c>
      <c r="Q17" s="1637">
        <v>0</v>
      </c>
      <c r="R17" s="1637">
        <v>0</v>
      </c>
      <c r="S17" s="1637">
        <v>0</v>
      </c>
      <c r="U17" s="1656">
        <v>1.217E-2</v>
      </c>
      <c r="V17" s="1657">
        <v>0</v>
      </c>
      <c r="W17" s="1657">
        <v>1.217E-2</v>
      </c>
      <c r="X17" s="1657">
        <v>0</v>
      </c>
      <c r="Y17" s="1658">
        <v>0</v>
      </c>
    </row>
    <row r="18" spans="3:25" ht="15" thickBot="1" x14ac:dyDescent="0.35">
      <c r="C18" s="1631">
        <v>5</v>
      </c>
      <c r="D18" s="1632" t="s">
        <v>1041</v>
      </c>
      <c r="E18" s="1631">
        <v>9</v>
      </c>
      <c r="F18" s="1632" t="s">
        <v>1042</v>
      </c>
      <c r="G18" s="1631" t="s">
        <v>1036</v>
      </c>
      <c r="H18" s="1631"/>
      <c r="I18" s="1633">
        <v>270</v>
      </c>
      <c r="J18" s="1634"/>
      <c r="K18" s="1631"/>
      <c r="L18" s="1634"/>
      <c r="M18" s="1637">
        <v>6791.4</v>
      </c>
      <c r="N18" s="1637"/>
      <c r="O18" s="1637">
        <v>6792.25</v>
      </c>
      <c r="P18" s="1637">
        <v>0</v>
      </c>
      <c r="Q18" s="1637">
        <v>0</v>
      </c>
      <c r="R18" s="1637">
        <v>0</v>
      </c>
      <c r="S18" s="1637">
        <v>0</v>
      </c>
      <c r="U18" s="1656">
        <v>0.44917034</v>
      </c>
      <c r="V18" s="1657">
        <v>0</v>
      </c>
      <c r="W18" s="1657">
        <v>0.44917034</v>
      </c>
      <c r="X18" s="1657">
        <v>6.5300845608534412E-3</v>
      </c>
      <c r="Y18" s="1658">
        <v>112</v>
      </c>
    </row>
    <row r="19" spans="3:25" ht="15" thickBot="1" x14ac:dyDescent="0.35">
      <c r="C19" s="1631">
        <v>6</v>
      </c>
      <c r="D19" s="1632" t="s">
        <v>1043</v>
      </c>
      <c r="E19" s="1631">
        <v>9</v>
      </c>
      <c r="F19" s="1632" t="s">
        <v>1044</v>
      </c>
      <c r="G19" s="1631" t="s">
        <v>1036</v>
      </c>
      <c r="H19" s="1631"/>
      <c r="I19" s="1633">
        <v>100</v>
      </c>
      <c r="J19" s="1634"/>
      <c r="K19" s="1631"/>
      <c r="L19" s="1634"/>
      <c r="M19" s="1637">
        <v>5705.2</v>
      </c>
      <c r="N19" s="1637"/>
      <c r="O19" s="1637">
        <v>5705.2</v>
      </c>
      <c r="P19" s="1637">
        <v>0</v>
      </c>
      <c r="Q19" s="1637">
        <v>0</v>
      </c>
      <c r="R19" s="1637">
        <v>0</v>
      </c>
      <c r="S19" s="1637">
        <v>0</v>
      </c>
      <c r="U19" s="1656">
        <v>0.47468181799999998</v>
      </c>
      <c r="V19" s="1657">
        <v>0</v>
      </c>
      <c r="W19" s="1657">
        <v>0.47468181799999998</v>
      </c>
      <c r="X19" s="1657">
        <v>1.5639517049725441E-2</v>
      </c>
      <c r="Y19" s="1658">
        <v>246</v>
      </c>
    </row>
    <row r="20" spans="3:25" ht="15" thickBot="1" x14ac:dyDescent="0.35">
      <c r="C20" s="1631">
        <v>7</v>
      </c>
      <c r="D20" s="1632" t="s">
        <v>1045</v>
      </c>
      <c r="E20" s="1631">
        <v>9</v>
      </c>
      <c r="F20" s="1632" t="s">
        <v>1046</v>
      </c>
      <c r="G20" s="1631" t="s">
        <v>1036</v>
      </c>
      <c r="H20" s="1631"/>
      <c r="I20" s="1633">
        <v>106</v>
      </c>
      <c r="J20" s="1634"/>
      <c r="K20" s="1631"/>
      <c r="L20" s="1634"/>
      <c r="M20" s="1637">
        <v>6576</v>
      </c>
      <c r="N20" s="1637"/>
      <c r="O20" s="1637">
        <v>6572.32</v>
      </c>
      <c r="P20" s="1637">
        <v>0</v>
      </c>
      <c r="Q20" s="1637">
        <v>0</v>
      </c>
      <c r="R20" s="1637">
        <v>0</v>
      </c>
      <c r="S20" s="1637">
        <v>0</v>
      </c>
      <c r="U20" s="1656">
        <v>0.37794107999999998</v>
      </c>
      <c r="V20" s="1657">
        <v>0</v>
      </c>
      <c r="W20" s="1657">
        <v>0.37794107999999998</v>
      </c>
      <c r="X20" s="1657">
        <v>3.8553570660690178E-2</v>
      </c>
      <c r="Y20" s="1658">
        <v>985</v>
      </c>
    </row>
    <row r="21" spans="3:25" ht="15" thickBot="1" x14ac:dyDescent="0.35">
      <c r="C21" s="1631">
        <v>8</v>
      </c>
      <c r="D21" s="1632" t="s">
        <v>1047</v>
      </c>
      <c r="E21" s="1631">
        <v>9</v>
      </c>
      <c r="F21" s="1632" t="s">
        <v>1048</v>
      </c>
      <c r="G21" s="1631" t="s">
        <v>1036</v>
      </c>
      <c r="H21" s="1631"/>
      <c r="I21" s="1633">
        <v>261</v>
      </c>
      <c r="J21" s="1634"/>
      <c r="K21" s="1631"/>
      <c r="L21" s="1634"/>
      <c r="M21" s="1637">
        <v>6710.27</v>
      </c>
      <c r="N21" s="1637"/>
      <c r="O21" s="1637">
        <v>6550.97</v>
      </c>
      <c r="P21" s="1637">
        <v>0</v>
      </c>
      <c r="Q21" s="1637">
        <v>0</v>
      </c>
      <c r="R21" s="1637">
        <v>0</v>
      </c>
      <c r="S21" s="1637">
        <v>0</v>
      </c>
      <c r="U21" s="1656">
        <v>0.47521048999999999</v>
      </c>
      <c r="V21" s="1657">
        <v>0</v>
      </c>
      <c r="W21" s="1657">
        <v>0.47521048999999999</v>
      </c>
      <c r="X21" s="1657">
        <v>0</v>
      </c>
      <c r="Y21" s="1658">
        <v>0</v>
      </c>
    </row>
    <row r="22" spans="3:25" ht="15" thickBot="1" x14ac:dyDescent="0.35">
      <c r="C22" s="1631">
        <v>9</v>
      </c>
      <c r="D22" s="1632" t="s">
        <v>1047</v>
      </c>
      <c r="E22" s="1631">
        <v>1</v>
      </c>
      <c r="F22" s="1632" t="s">
        <v>1048</v>
      </c>
      <c r="G22" s="1631" t="s">
        <v>1036</v>
      </c>
      <c r="H22" s="1631"/>
      <c r="I22" s="1633">
        <v>0</v>
      </c>
      <c r="J22" s="1634"/>
      <c r="K22" s="1631"/>
      <c r="L22" s="1634"/>
      <c r="M22" s="1637">
        <v>0</v>
      </c>
      <c r="N22" s="1637"/>
      <c r="O22" s="1637">
        <v>0</v>
      </c>
      <c r="P22" s="1637">
        <v>0</v>
      </c>
      <c r="Q22" s="1637">
        <v>0</v>
      </c>
      <c r="R22" s="1637">
        <v>0</v>
      </c>
      <c r="S22" s="1637">
        <v>0</v>
      </c>
      <c r="U22" s="1656">
        <v>0</v>
      </c>
      <c r="V22" s="1657"/>
      <c r="W22" s="1657">
        <v>0</v>
      </c>
      <c r="X22" s="1657">
        <v>0</v>
      </c>
      <c r="Y22" s="1658">
        <v>0</v>
      </c>
    </row>
    <row r="23" spans="3:25" ht="15" thickBot="1" x14ac:dyDescent="0.35">
      <c r="C23" s="1631">
        <v>10</v>
      </c>
      <c r="D23" s="1632" t="s">
        <v>1047</v>
      </c>
      <c r="E23" s="1631">
        <v>9</v>
      </c>
      <c r="F23" s="1632" t="s">
        <v>1048</v>
      </c>
      <c r="G23" s="1631" t="s">
        <v>1036</v>
      </c>
      <c r="H23" s="1631"/>
      <c r="I23" s="1633">
        <v>1</v>
      </c>
      <c r="J23" s="1634"/>
      <c r="K23" s="1631"/>
      <c r="L23" s="1634"/>
      <c r="M23" s="1637">
        <v>0</v>
      </c>
      <c r="N23" s="1637"/>
      <c r="O23" s="1637">
        <v>0</v>
      </c>
      <c r="P23" s="1637">
        <v>0</v>
      </c>
      <c r="Q23" s="1637">
        <v>24</v>
      </c>
      <c r="R23" s="1637">
        <v>0</v>
      </c>
      <c r="S23" s="1637">
        <v>0</v>
      </c>
      <c r="U23" s="1656">
        <v>2.516E-3</v>
      </c>
      <c r="V23" s="1657"/>
      <c r="W23" s="1657">
        <v>2.516E-3</v>
      </c>
      <c r="X23" s="1657">
        <v>0</v>
      </c>
      <c r="Y23" s="1658">
        <v>0</v>
      </c>
    </row>
    <row r="24" spans="3:25" ht="15" thickBot="1" x14ac:dyDescent="0.35">
      <c r="C24" s="1631">
        <v>11</v>
      </c>
      <c r="D24" s="1632" t="s">
        <v>1047</v>
      </c>
      <c r="E24" s="1631">
        <v>9</v>
      </c>
      <c r="F24" s="1632" t="s">
        <v>1048</v>
      </c>
      <c r="G24" s="1631" t="s">
        <v>1036</v>
      </c>
      <c r="H24" s="1631"/>
      <c r="I24" s="1633">
        <v>0</v>
      </c>
      <c r="J24" s="1634"/>
      <c r="K24" s="1631"/>
      <c r="L24" s="1634"/>
      <c r="M24" s="1637">
        <v>0</v>
      </c>
      <c r="N24" s="1637"/>
      <c r="O24" s="1637">
        <v>0</v>
      </c>
      <c r="P24" s="1637">
        <v>0</v>
      </c>
      <c r="Q24" s="1637">
        <v>135.30000000000001</v>
      </c>
      <c r="R24" s="1637">
        <v>0</v>
      </c>
      <c r="S24" s="1637">
        <v>0</v>
      </c>
      <c r="U24" s="1656">
        <v>1.0999999999999999E-2</v>
      </c>
      <c r="V24" s="1657"/>
      <c r="W24" s="1657">
        <v>1.0999999999999999E-2</v>
      </c>
      <c r="X24" s="1657">
        <v>0</v>
      </c>
      <c r="Y24" s="1658">
        <v>0</v>
      </c>
    </row>
    <row r="25" spans="3:25" ht="15" thickBot="1" x14ac:dyDescent="0.35">
      <c r="C25" s="1631">
        <v>12</v>
      </c>
      <c r="D25" s="1632" t="s">
        <v>1049</v>
      </c>
      <c r="E25" s="1631">
        <v>9</v>
      </c>
      <c r="F25" s="1632" t="s">
        <v>1050</v>
      </c>
      <c r="G25" s="1631" t="s">
        <v>1036</v>
      </c>
      <c r="H25" s="1631"/>
      <c r="I25" s="1633">
        <v>245</v>
      </c>
      <c r="J25" s="1634"/>
      <c r="K25" s="1631"/>
      <c r="L25" s="1634"/>
      <c r="M25" s="1637">
        <v>14365.1</v>
      </c>
      <c r="N25" s="1637"/>
      <c r="O25" s="1637">
        <v>13971.98</v>
      </c>
      <c r="P25" s="1637">
        <v>0</v>
      </c>
      <c r="Q25" s="1637">
        <v>0</v>
      </c>
      <c r="R25" s="1637">
        <v>0</v>
      </c>
      <c r="S25" s="1637">
        <v>0</v>
      </c>
      <c r="U25" s="1656">
        <v>0.84060091199999998</v>
      </c>
      <c r="V25" s="1657">
        <v>0</v>
      </c>
      <c r="W25" s="1657">
        <v>0.84060091199999998</v>
      </c>
      <c r="X25" s="1657">
        <v>4.9333350918420102E-2</v>
      </c>
      <c r="Y25" s="1658">
        <v>1120</v>
      </c>
    </row>
    <row r="26" spans="3:25" ht="15" thickBot="1" x14ac:dyDescent="0.35">
      <c r="C26" s="1631">
        <v>13</v>
      </c>
      <c r="D26" s="1632" t="s">
        <v>1049</v>
      </c>
      <c r="E26" s="1631">
        <v>9</v>
      </c>
      <c r="F26" s="1632" t="s">
        <v>1050</v>
      </c>
      <c r="G26" s="1631" t="s">
        <v>1036</v>
      </c>
      <c r="H26" s="1631"/>
      <c r="I26" s="1633">
        <v>1</v>
      </c>
      <c r="J26" s="1634"/>
      <c r="K26" s="1631"/>
      <c r="L26" s="1634"/>
      <c r="M26" s="1637">
        <v>0</v>
      </c>
      <c r="N26" s="1637"/>
      <c r="O26" s="1637">
        <v>0</v>
      </c>
      <c r="P26" s="1637">
        <v>0</v>
      </c>
      <c r="Q26" s="1637">
        <v>243.4</v>
      </c>
      <c r="R26" s="1637">
        <v>0</v>
      </c>
      <c r="S26" s="1637">
        <v>0</v>
      </c>
      <c r="U26" s="1656">
        <v>2.3865000000000001E-2</v>
      </c>
      <c r="V26" s="1657">
        <v>0</v>
      </c>
      <c r="W26" s="1657">
        <v>2.3865000000000001E-2</v>
      </c>
      <c r="X26" s="1657">
        <v>0</v>
      </c>
      <c r="Y26" s="1658">
        <v>0</v>
      </c>
    </row>
    <row r="27" spans="3:25" ht="15" thickBot="1" x14ac:dyDescent="0.35">
      <c r="C27" s="1631">
        <v>14</v>
      </c>
      <c r="D27" s="1632" t="s">
        <v>1049</v>
      </c>
      <c r="E27" s="1631">
        <v>9</v>
      </c>
      <c r="F27" s="1632" t="s">
        <v>1050</v>
      </c>
      <c r="G27" s="1631" t="s">
        <v>1036</v>
      </c>
      <c r="H27" s="1631"/>
      <c r="I27" s="1633">
        <v>0</v>
      </c>
      <c r="J27" s="1634"/>
      <c r="K27" s="1631"/>
      <c r="L27" s="1634"/>
      <c r="M27" s="1637">
        <v>0</v>
      </c>
      <c r="N27" s="1637"/>
      <c r="O27" s="1637">
        <v>0</v>
      </c>
      <c r="P27" s="1637">
        <v>0</v>
      </c>
      <c r="Q27" s="1637">
        <v>19.600000000000001</v>
      </c>
      <c r="R27" s="1637">
        <v>0</v>
      </c>
      <c r="S27" s="1637">
        <v>0</v>
      </c>
      <c r="U27" s="1656">
        <v>9.3400000000000004E-4</v>
      </c>
      <c r="V27" s="1657">
        <v>0</v>
      </c>
      <c r="W27" s="1657">
        <v>9.3400000000000004E-4</v>
      </c>
      <c r="X27" s="1657">
        <v>0</v>
      </c>
      <c r="Y27" s="1658">
        <v>0</v>
      </c>
    </row>
    <row r="28" spans="3:25" ht="15" thickBot="1" x14ac:dyDescent="0.35">
      <c r="C28" s="1631">
        <v>15</v>
      </c>
      <c r="D28" s="1632" t="s">
        <v>1049</v>
      </c>
      <c r="E28" s="1631">
        <v>9</v>
      </c>
      <c r="F28" s="1632" t="s">
        <v>1050</v>
      </c>
      <c r="G28" s="1631" t="s">
        <v>1036</v>
      </c>
      <c r="H28" s="1631"/>
      <c r="I28" s="1633">
        <v>1</v>
      </c>
      <c r="J28" s="1634"/>
      <c r="K28" s="1631"/>
      <c r="L28" s="1634"/>
      <c r="M28" s="1637">
        <v>0</v>
      </c>
      <c r="N28" s="1637"/>
      <c r="O28" s="1637">
        <v>0</v>
      </c>
      <c r="P28" s="1637">
        <v>0</v>
      </c>
      <c r="Q28" s="1637">
        <v>15.8</v>
      </c>
      <c r="R28" s="1637">
        <v>0</v>
      </c>
      <c r="S28" s="1637">
        <v>0</v>
      </c>
      <c r="U28" s="1656">
        <v>1.0838E-3</v>
      </c>
      <c r="V28" s="1657">
        <v>0</v>
      </c>
      <c r="W28" s="1657">
        <v>1.0838E-3</v>
      </c>
      <c r="X28" s="1657">
        <v>0</v>
      </c>
      <c r="Y28" s="1658">
        <v>0</v>
      </c>
    </row>
    <row r="29" spans="3:25" s="3427" customFormat="1" ht="15" thickBot="1" x14ac:dyDescent="0.35">
      <c r="C29" s="3423">
        <v>16</v>
      </c>
      <c r="D29" s="3424" t="s">
        <v>1049</v>
      </c>
      <c r="E29" s="3423">
        <v>9</v>
      </c>
      <c r="F29" s="3424" t="s">
        <v>1050</v>
      </c>
      <c r="G29" s="3423" t="s">
        <v>1036</v>
      </c>
      <c r="H29" s="3423"/>
      <c r="I29" s="3425">
        <v>1</v>
      </c>
      <c r="J29" s="3426"/>
      <c r="K29" s="3423"/>
      <c r="L29" s="3426"/>
      <c r="M29" s="1637">
        <v>0</v>
      </c>
      <c r="N29" s="1637"/>
      <c r="O29" s="1637">
        <v>0</v>
      </c>
      <c r="P29" s="1637">
        <v>0</v>
      </c>
      <c r="Q29" s="1637">
        <v>114.3</v>
      </c>
      <c r="R29" s="1637">
        <v>0</v>
      </c>
      <c r="S29" s="1637">
        <v>0</v>
      </c>
      <c r="U29" s="3428">
        <v>3.4979999999999998E-3</v>
      </c>
      <c r="V29" s="3429">
        <v>0</v>
      </c>
      <c r="W29" s="3429">
        <v>3.4979999999999998E-3</v>
      </c>
      <c r="X29" s="3429">
        <v>0</v>
      </c>
      <c r="Y29" s="3430">
        <v>0</v>
      </c>
    </row>
    <row r="30" spans="3:25" ht="15" thickBot="1" x14ac:dyDescent="0.35">
      <c r="C30" s="1631">
        <v>17</v>
      </c>
      <c r="D30" s="1632" t="s">
        <v>1051</v>
      </c>
      <c r="E30" s="1631">
        <v>3</v>
      </c>
      <c r="F30" s="1632" t="s">
        <v>1044</v>
      </c>
      <c r="G30" s="1631" t="s">
        <v>1036</v>
      </c>
      <c r="H30" s="1631"/>
      <c r="I30" s="1633" t="s">
        <v>2677</v>
      </c>
      <c r="J30" s="1634"/>
      <c r="K30" s="1631"/>
      <c r="L30" s="1634"/>
      <c r="M30" s="1637">
        <v>0</v>
      </c>
      <c r="N30" s="1637"/>
      <c r="O30" s="1637">
        <v>0</v>
      </c>
      <c r="P30" s="1637">
        <v>0</v>
      </c>
      <c r="Q30" s="1637">
        <v>0</v>
      </c>
      <c r="R30" s="1637">
        <v>0</v>
      </c>
      <c r="S30" s="1637">
        <v>534</v>
      </c>
      <c r="U30" s="1656">
        <v>1.6E-2</v>
      </c>
      <c r="V30" s="1657">
        <v>0</v>
      </c>
      <c r="W30" s="1657">
        <v>1.6E-2</v>
      </c>
      <c r="X30" s="1657">
        <v>0</v>
      </c>
      <c r="Y30" s="1658">
        <v>0</v>
      </c>
    </row>
    <row r="31" spans="3:25" ht="15" thickBot="1" x14ac:dyDescent="0.35">
      <c r="C31" s="1631">
        <v>18</v>
      </c>
      <c r="D31" s="1632" t="s">
        <v>1051</v>
      </c>
      <c r="E31" s="1631">
        <v>3</v>
      </c>
      <c r="F31" s="1632" t="s">
        <v>1044</v>
      </c>
      <c r="G31" s="1631" t="s">
        <v>1036</v>
      </c>
      <c r="H31" s="1631"/>
      <c r="I31" s="1633" t="s">
        <v>2677</v>
      </c>
      <c r="J31" s="1634"/>
      <c r="K31" s="1631"/>
      <c r="L31" s="1634"/>
      <c r="M31" s="1637">
        <v>0</v>
      </c>
      <c r="N31" s="1637"/>
      <c r="O31" s="1637">
        <v>0</v>
      </c>
      <c r="P31" s="1637">
        <v>0</v>
      </c>
      <c r="Q31" s="1637">
        <v>0</v>
      </c>
      <c r="R31" s="1637">
        <v>0</v>
      </c>
      <c r="S31" s="1637">
        <v>410</v>
      </c>
      <c r="U31" s="1656">
        <v>2.8323999999999998E-2</v>
      </c>
      <c r="V31" s="1657">
        <v>0</v>
      </c>
      <c r="W31" s="1657">
        <v>2.8323999999999998E-2</v>
      </c>
      <c r="X31" s="1657">
        <v>0</v>
      </c>
      <c r="Y31" s="1658">
        <v>0</v>
      </c>
    </row>
    <row r="32" spans="3:25" ht="15" thickBot="1" x14ac:dyDescent="0.35">
      <c r="C32" s="1631">
        <v>19</v>
      </c>
      <c r="D32" s="1632" t="s">
        <v>1051</v>
      </c>
      <c r="E32" s="1631">
        <v>3</v>
      </c>
      <c r="F32" s="1632" t="s">
        <v>1044</v>
      </c>
      <c r="G32" s="1631" t="s">
        <v>1036</v>
      </c>
      <c r="H32" s="1631"/>
      <c r="I32" s="1633" t="s">
        <v>2677</v>
      </c>
      <c r="J32" s="1634"/>
      <c r="K32" s="1631"/>
      <c r="L32" s="1634"/>
      <c r="M32" s="1637">
        <v>0</v>
      </c>
      <c r="N32" s="1637"/>
      <c r="O32" s="1637">
        <v>0</v>
      </c>
      <c r="P32" s="1637">
        <v>0</v>
      </c>
      <c r="Q32" s="1637">
        <v>0</v>
      </c>
      <c r="R32" s="1637">
        <v>0</v>
      </c>
      <c r="S32" s="1637">
        <v>7500</v>
      </c>
      <c r="U32" s="1656">
        <v>0.80900000000000005</v>
      </c>
      <c r="V32" s="1657">
        <v>0</v>
      </c>
      <c r="W32" s="1657">
        <v>0.80900000000000005</v>
      </c>
      <c r="X32" s="1657">
        <v>0</v>
      </c>
      <c r="Y32" s="1658">
        <v>0</v>
      </c>
    </row>
    <row r="33" spans="3:25" ht="15" thickBot="1" x14ac:dyDescent="0.35">
      <c r="C33" s="1631">
        <v>20</v>
      </c>
      <c r="D33" s="1632" t="s">
        <v>1052</v>
      </c>
      <c r="E33" s="1631">
        <v>9</v>
      </c>
      <c r="F33" s="1632" t="s">
        <v>1046</v>
      </c>
      <c r="G33" s="1631" t="s">
        <v>1036</v>
      </c>
      <c r="H33" s="1631"/>
      <c r="I33" s="1633">
        <v>67</v>
      </c>
      <c r="J33" s="1634"/>
      <c r="K33" s="1631"/>
      <c r="L33" s="1634"/>
      <c r="M33" s="1637">
        <v>4093.6</v>
      </c>
      <c r="N33" s="1637"/>
      <c r="O33" s="1637">
        <v>4093.6</v>
      </c>
      <c r="P33" s="1637">
        <v>0</v>
      </c>
      <c r="Q33" s="1637">
        <v>0</v>
      </c>
      <c r="R33" s="1637">
        <v>0</v>
      </c>
      <c r="S33" s="1637">
        <v>0</v>
      </c>
      <c r="U33" s="1656">
        <v>0.31545818999999997</v>
      </c>
      <c r="V33" s="1657">
        <v>0</v>
      </c>
      <c r="W33" s="1657">
        <v>0.31545818999999997</v>
      </c>
      <c r="X33" s="1657">
        <v>2.26176876974871E-2</v>
      </c>
      <c r="Y33" s="1658">
        <v>541</v>
      </c>
    </row>
    <row r="34" spans="3:25" ht="15" thickBot="1" x14ac:dyDescent="0.35">
      <c r="C34" s="1631">
        <v>21</v>
      </c>
      <c r="D34" s="1632" t="s">
        <v>1053</v>
      </c>
      <c r="E34" s="1631">
        <v>9</v>
      </c>
      <c r="F34" s="1632" t="s">
        <v>1054</v>
      </c>
      <c r="G34" s="1631" t="s">
        <v>1036</v>
      </c>
      <c r="H34" s="1631"/>
      <c r="I34" s="3425">
        <v>108</v>
      </c>
      <c r="J34" s="1634"/>
      <c r="K34" s="1631"/>
      <c r="L34" s="1634"/>
      <c r="M34" s="1637">
        <v>5872.9</v>
      </c>
      <c r="N34" s="1637"/>
      <c r="O34" s="1637">
        <v>5872.9</v>
      </c>
      <c r="P34" s="1637">
        <v>0</v>
      </c>
      <c r="Q34" s="1637">
        <v>0</v>
      </c>
      <c r="R34" s="1637">
        <v>0</v>
      </c>
      <c r="S34" s="1637">
        <v>0</v>
      </c>
      <c r="U34" s="1656">
        <v>0.39026185099999999</v>
      </c>
      <c r="V34" s="1657">
        <v>0</v>
      </c>
      <c r="W34" s="1657">
        <v>0.39026185099999999</v>
      </c>
      <c r="X34" s="1657">
        <v>0</v>
      </c>
      <c r="Y34" s="1658">
        <v>0</v>
      </c>
    </row>
    <row r="35" spans="3:25" ht="15" thickBot="1" x14ac:dyDescent="0.35">
      <c r="C35" s="1631">
        <v>22</v>
      </c>
      <c r="D35" s="1632" t="s">
        <v>1986</v>
      </c>
      <c r="E35" s="1631">
        <v>3</v>
      </c>
      <c r="F35" s="1632" t="s">
        <v>1055</v>
      </c>
      <c r="G35" s="1631" t="s">
        <v>1036</v>
      </c>
      <c r="H35" s="1631"/>
      <c r="I35" s="1633">
        <v>1</v>
      </c>
      <c r="J35" s="1634"/>
      <c r="K35" s="1631"/>
      <c r="L35" s="1634"/>
      <c r="M35" s="1637">
        <v>0</v>
      </c>
      <c r="N35" s="1637"/>
      <c r="O35" s="1637">
        <v>0</v>
      </c>
      <c r="P35" s="1637">
        <v>0</v>
      </c>
      <c r="Q35" s="1637">
        <v>0</v>
      </c>
      <c r="R35" s="1637">
        <v>0</v>
      </c>
      <c r="S35" s="1637">
        <v>342</v>
      </c>
      <c r="U35" s="1656">
        <v>4.2349999999999999E-2</v>
      </c>
      <c r="V35" s="1657">
        <v>0</v>
      </c>
      <c r="W35" s="1657">
        <v>4.2349999999999999E-2</v>
      </c>
      <c r="X35" s="1657">
        <v>0</v>
      </c>
      <c r="Y35" s="1658">
        <v>0</v>
      </c>
    </row>
    <row r="36" spans="3:25" ht="15" thickBot="1" x14ac:dyDescent="0.35">
      <c r="C36" s="1631">
        <v>23</v>
      </c>
      <c r="D36" s="1632" t="s">
        <v>1056</v>
      </c>
      <c r="E36" s="1631">
        <v>3</v>
      </c>
      <c r="F36" s="1632" t="s">
        <v>1055</v>
      </c>
      <c r="G36" s="1631" t="s">
        <v>1036</v>
      </c>
      <c r="H36" s="1631"/>
      <c r="I36" s="1633">
        <v>1</v>
      </c>
      <c r="J36" s="1634"/>
      <c r="K36" s="1631"/>
      <c r="L36" s="1634"/>
      <c r="M36" s="1637">
        <v>1012.4</v>
      </c>
      <c r="N36" s="1637"/>
      <c r="O36" s="1637">
        <v>1012.4</v>
      </c>
      <c r="P36" s="1637">
        <v>0</v>
      </c>
      <c r="Q36" s="1637">
        <v>0</v>
      </c>
      <c r="R36" s="1637">
        <v>1012.4</v>
      </c>
      <c r="S36" s="1637">
        <v>0</v>
      </c>
      <c r="U36" s="1656">
        <v>5.7054019999999997E-2</v>
      </c>
      <c r="V36" s="1657">
        <v>0</v>
      </c>
      <c r="W36" s="1657">
        <v>5.7054019999999997E-2</v>
      </c>
      <c r="X36" s="1657">
        <v>0</v>
      </c>
      <c r="Y36" s="1658">
        <v>0</v>
      </c>
    </row>
    <row r="37" spans="3:25" ht="15" thickBot="1" x14ac:dyDescent="0.35">
      <c r="C37" s="1631">
        <v>24</v>
      </c>
      <c r="D37" s="1632" t="s">
        <v>1057</v>
      </c>
      <c r="E37" s="1631">
        <v>9</v>
      </c>
      <c r="F37" s="1632" t="s">
        <v>1048</v>
      </c>
      <c r="G37" s="1631" t="s">
        <v>1036</v>
      </c>
      <c r="H37" s="1631"/>
      <c r="I37" s="1633">
        <v>100</v>
      </c>
      <c r="J37" s="1634"/>
      <c r="K37" s="1631"/>
      <c r="L37" s="1634"/>
      <c r="M37" s="1637">
        <v>6578.5</v>
      </c>
      <c r="N37" s="1637"/>
      <c r="O37" s="1637">
        <v>5694.6</v>
      </c>
      <c r="P37" s="1637">
        <v>0</v>
      </c>
      <c r="Q37" s="1637">
        <v>0</v>
      </c>
      <c r="R37" s="1637">
        <v>0</v>
      </c>
      <c r="S37" s="1637">
        <v>0</v>
      </c>
      <c r="U37" s="1656">
        <v>0.42867359700000002</v>
      </c>
      <c r="V37" s="1657">
        <v>0</v>
      </c>
      <c r="W37" s="1657">
        <v>0.42867359700000002</v>
      </c>
      <c r="X37" s="1657">
        <v>2.7095059936140642E-2</v>
      </c>
      <c r="Y37" s="1658">
        <v>493</v>
      </c>
    </row>
    <row r="38" spans="3:25" ht="15" thickBot="1" x14ac:dyDescent="0.35">
      <c r="C38" s="1631">
        <v>25</v>
      </c>
      <c r="D38" s="1632" t="s">
        <v>1057</v>
      </c>
      <c r="E38" s="1631">
        <v>9</v>
      </c>
      <c r="F38" s="1632" t="s">
        <v>1048</v>
      </c>
      <c r="G38" s="1631" t="s">
        <v>1036</v>
      </c>
      <c r="H38" s="1631"/>
      <c r="I38" s="1633">
        <v>1</v>
      </c>
      <c r="J38" s="1634"/>
      <c r="K38" s="1631"/>
      <c r="L38" s="1634"/>
      <c r="M38" s="1637">
        <v>0</v>
      </c>
      <c r="N38" s="1637"/>
      <c r="O38" s="1637">
        <v>0</v>
      </c>
      <c r="P38" s="1637">
        <v>0</v>
      </c>
      <c r="Q38" s="1637">
        <v>416.9</v>
      </c>
      <c r="R38" s="1637">
        <v>0</v>
      </c>
      <c r="S38" s="1637">
        <v>0</v>
      </c>
      <c r="U38" s="1656">
        <v>3.159E-2</v>
      </c>
      <c r="V38" s="1657">
        <v>0</v>
      </c>
      <c r="W38" s="1657">
        <v>3.159E-2</v>
      </c>
      <c r="X38" s="1657">
        <v>0</v>
      </c>
      <c r="Y38" s="1658">
        <v>0</v>
      </c>
    </row>
    <row r="39" spans="3:25" ht="15" thickBot="1" x14ac:dyDescent="0.35">
      <c r="C39" s="1631">
        <v>26</v>
      </c>
      <c r="D39" s="1632" t="s">
        <v>1057</v>
      </c>
      <c r="E39" s="1631">
        <v>9</v>
      </c>
      <c r="F39" s="1632" t="s">
        <v>1048</v>
      </c>
      <c r="G39" s="1631" t="s">
        <v>1036</v>
      </c>
      <c r="H39" s="1631"/>
      <c r="I39" s="1633">
        <v>1</v>
      </c>
      <c r="J39" s="1634"/>
      <c r="K39" s="1631"/>
      <c r="L39" s="1634"/>
      <c r="M39" s="1637">
        <v>0</v>
      </c>
      <c r="N39" s="1637"/>
      <c r="O39" s="1637">
        <v>0</v>
      </c>
      <c r="P39" s="1637">
        <v>0</v>
      </c>
      <c r="Q39" s="1637">
        <v>467</v>
      </c>
      <c r="R39" s="1637">
        <v>0</v>
      </c>
      <c r="S39" s="1637">
        <v>0</v>
      </c>
      <c r="U39" s="1656">
        <v>2.129E-2</v>
      </c>
      <c r="V39" s="1657">
        <v>0</v>
      </c>
      <c r="W39" s="1657">
        <v>2.129E-2</v>
      </c>
      <c r="X39" s="1657">
        <v>0</v>
      </c>
      <c r="Y39" s="1658">
        <v>0</v>
      </c>
    </row>
    <row r="40" spans="3:25" ht="15" thickBot="1" x14ac:dyDescent="0.35">
      <c r="C40" s="1631">
        <v>27</v>
      </c>
      <c r="D40" s="1632" t="s">
        <v>1057</v>
      </c>
      <c r="E40" s="1631">
        <v>1</v>
      </c>
      <c r="F40" s="1632" t="s">
        <v>1048</v>
      </c>
      <c r="G40" s="1631" t="s">
        <v>1036</v>
      </c>
      <c r="H40" s="1631"/>
      <c r="I40" s="1633">
        <v>0</v>
      </c>
      <c r="J40" s="1634"/>
      <c r="K40" s="1631"/>
      <c r="L40" s="1634"/>
      <c r="M40" s="1637">
        <v>0</v>
      </c>
      <c r="N40" s="1637"/>
      <c r="O40" s="1637">
        <v>0</v>
      </c>
      <c r="P40" s="1637">
        <v>0</v>
      </c>
      <c r="Q40" s="1637">
        <v>0</v>
      </c>
      <c r="R40" s="1637">
        <v>0</v>
      </c>
      <c r="S40" s="1637">
        <v>31.1</v>
      </c>
      <c r="U40" s="1656">
        <v>2.5024000000000001E-2</v>
      </c>
      <c r="V40" s="1657">
        <v>0</v>
      </c>
      <c r="W40" s="1657">
        <v>2.5024000000000001E-2</v>
      </c>
      <c r="X40" s="1657">
        <v>0</v>
      </c>
      <c r="Y40" s="1658">
        <v>0</v>
      </c>
    </row>
    <row r="41" spans="3:25" ht="15" thickBot="1" x14ac:dyDescent="0.35">
      <c r="C41" s="1631">
        <v>28</v>
      </c>
      <c r="D41" s="1632" t="s">
        <v>1058</v>
      </c>
      <c r="E41" s="1631">
        <v>9</v>
      </c>
      <c r="F41" s="1632" t="s">
        <v>1059</v>
      </c>
      <c r="G41" s="1631" t="s">
        <v>1036</v>
      </c>
      <c r="H41" s="1631"/>
      <c r="I41" s="1633">
        <v>48</v>
      </c>
      <c r="J41" s="1634"/>
      <c r="K41" s="1631"/>
      <c r="L41" s="1634"/>
      <c r="M41" s="1637">
        <v>2151.5</v>
      </c>
      <c r="N41" s="3415"/>
      <c r="O41" s="1637">
        <v>2064.3000000000002</v>
      </c>
      <c r="P41" s="1637">
        <v>0</v>
      </c>
      <c r="Q41" s="1637">
        <v>0</v>
      </c>
      <c r="R41" s="1637">
        <v>0</v>
      </c>
      <c r="S41" s="1637">
        <v>0</v>
      </c>
      <c r="U41" s="1656">
        <v>0.14620245000000001</v>
      </c>
      <c r="V41" s="1657">
        <v>0</v>
      </c>
      <c r="W41" s="1657">
        <v>0.14620245000000001</v>
      </c>
      <c r="X41" s="1657">
        <v>1.0015903266291125E-3</v>
      </c>
      <c r="Y41" s="1658">
        <v>16</v>
      </c>
    </row>
    <row r="42" spans="3:25" ht="15" thickBot="1" x14ac:dyDescent="0.35">
      <c r="C42" s="1631">
        <v>29</v>
      </c>
      <c r="D42" s="1632" t="s">
        <v>1058</v>
      </c>
      <c r="E42" s="1631">
        <v>9</v>
      </c>
      <c r="F42" s="1632" t="s">
        <v>1059</v>
      </c>
      <c r="G42" s="1631" t="s">
        <v>1036</v>
      </c>
      <c r="H42" s="1631"/>
      <c r="I42" s="1633">
        <v>0</v>
      </c>
      <c r="J42" s="1634"/>
      <c r="K42" s="1631"/>
      <c r="L42" s="1634"/>
      <c r="M42" s="1637">
        <v>0</v>
      </c>
      <c r="N42" s="1637"/>
      <c r="O42" s="1637">
        <v>0</v>
      </c>
      <c r="P42" s="1637">
        <v>0</v>
      </c>
      <c r="Q42" s="1637">
        <v>18</v>
      </c>
      <c r="R42" s="1637">
        <v>0</v>
      </c>
      <c r="S42" s="1637">
        <v>0</v>
      </c>
      <c r="U42" s="1656">
        <v>3.7000000000000002E-3</v>
      </c>
      <c r="V42" s="1657">
        <v>0</v>
      </c>
      <c r="W42" s="1657">
        <v>3.7000000000000002E-3</v>
      </c>
      <c r="X42" s="1657">
        <v>0</v>
      </c>
      <c r="Y42" s="1658">
        <v>0</v>
      </c>
    </row>
    <row r="43" spans="3:25" ht="15" thickBot="1" x14ac:dyDescent="0.35">
      <c r="C43" s="1631">
        <v>30</v>
      </c>
      <c r="D43" s="1632" t="s">
        <v>1058</v>
      </c>
      <c r="E43" s="1631">
        <v>9</v>
      </c>
      <c r="F43" s="1632" t="s">
        <v>1059</v>
      </c>
      <c r="G43" s="1631" t="s">
        <v>1036</v>
      </c>
      <c r="H43" s="1631"/>
      <c r="I43" s="1633">
        <v>0</v>
      </c>
      <c r="J43" s="1634"/>
      <c r="K43" s="1631"/>
      <c r="L43" s="1634"/>
      <c r="M43" s="1637">
        <v>0</v>
      </c>
      <c r="N43" s="1637"/>
      <c r="O43" s="1637">
        <v>0</v>
      </c>
      <c r="P43" s="1637">
        <v>0</v>
      </c>
      <c r="Q43" s="1637">
        <v>69.2</v>
      </c>
      <c r="R43" s="1637">
        <v>0</v>
      </c>
      <c r="S43" s="1637">
        <v>0</v>
      </c>
      <c r="U43" s="1656">
        <v>8.6799999999999996E-4</v>
      </c>
      <c r="V43" s="1657">
        <v>0</v>
      </c>
      <c r="W43" s="1657">
        <v>8.6799999999999996E-4</v>
      </c>
      <c r="X43" s="1657">
        <v>0</v>
      </c>
      <c r="Y43" s="1658">
        <v>0</v>
      </c>
    </row>
    <row r="44" spans="3:25" ht="15" thickBot="1" x14ac:dyDescent="0.35">
      <c r="C44" s="1631">
        <v>31</v>
      </c>
      <c r="D44" s="1632" t="s">
        <v>1060</v>
      </c>
      <c r="E44" s="1631">
        <v>2</v>
      </c>
      <c r="F44" s="1632" t="s">
        <v>1061</v>
      </c>
      <c r="G44" s="1631" t="s">
        <v>1036</v>
      </c>
      <c r="H44" s="1631"/>
      <c r="I44" s="1633">
        <v>11</v>
      </c>
      <c r="J44" s="1634"/>
      <c r="K44" s="1631"/>
      <c r="L44" s="1634"/>
      <c r="M44" s="1637">
        <v>558.9</v>
      </c>
      <c r="N44" s="1637"/>
      <c r="O44" s="1637">
        <v>558.9</v>
      </c>
      <c r="P44" s="1637">
        <v>0</v>
      </c>
      <c r="Q44" s="1637">
        <v>0</v>
      </c>
      <c r="R44" s="1637">
        <v>0</v>
      </c>
      <c r="S44" s="1637">
        <v>0</v>
      </c>
      <c r="U44" s="1656">
        <v>4.5205990000000001E-2</v>
      </c>
      <c r="V44" s="1657">
        <v>0</v>
      </c>
      <c r="W44" s="1657">
        <v>4.5205990000000001E-2</v>
      </c>
      <c r="X44" s="1657">
        <v>1.9342417637154561E-3</v>
      </c>
      <c r="Y44" s="1658">
        <v>28</v>
      </c>
    </row>
    <row r="45" spans="3:25" ht="15" thickBot="1" x14ac:dyDescent="0.35">
      <c r="C45" s="1631">
        <v>32</v>
      </c>
      <c r="D45" s="1632" t="s">
        <v>1062</v>
      </c>
      <c r="E45" s="1631">
        <v>5</v>
      </c>
      <c r="F45" s="1632" t="s">
        <v>1063</v>
      </c>
      <c r="G45" s="1631" t="s">
        <v>1036</v>
      </c>
      <c r="H45" s="1631"/>
      <c r="I45" s="1633">
        <v>79</v>
      </c>
      <c r="J45" s="1634"/>
      <c r="K45" s="1631"/>
      <c r="L45" s="1634"/>
      <c r="M45" s="1637">
        <v>3144.4</v>
      </c>
      <c r="N45" s="1637"/>
      <c r="O45" s="1637">
        <v>3144.4</v>
      </c>
      <c r="P45" s="1637">
        <v>0</v>
      </c>
      <c r="Q45" s="1637">
        <v>0</v>
      </c>
      <c r="R45" s="1637">
        <v>0</v>
      </c>
      <c r="S45" s="1637">
        <v>0</v>
      </c>
      <c r="U45" s="1656">
        <v>0.17201437</v>
      </c>
      <c r="V45" s="1657">
        <v>0</v>
      </c>
      <c r="W45" s="1657">
        <v>0.17201437</v>
      </c>
      <c r="X45" s="1657">
        <v>0</v>
      </c>
      <c r="Y45" s="1658">
        <v>0</v>
      </c>
    </row>
    <row r="46" spans="3:25" ht="15" thickBot="1" x14ac:dyDescent="0.35">
      <c r="C46" s="1631">
        <v>33</v>
      </c>
      <c r="D46" s="1632" t="s">
        <v>1064</v>
      </c>
      <c r="E46" s="1631">
        <v>5</v>
      </c>
      <c r="F46" s="1632" t="s">
        <v>1065</v>
      </c>
      <c r="G46" s="1631" t="s">
        <v>1036</v>
      </c>
      <c r="H46" s="1631"/>
      <c r="I46" s="1633">
        <v>51</v>
      </c>
      <c r="J46" s="1634"/>
      <c r="K46" s="1631"/>
      <c r="L46" s="1634"/>
      <c r="M46" s="1637">
        <v>2314.9</v>
      </c>
      <c r="N46" s="1637"/>
      <c r="O46" s="1637">
        <v>2104.6999999999998</v>
      </c>
      <c r="P46" s="1637">
        <v>0</v>
      </c>
      <c r="Q46" s="1637">
        <v>0</v>
      </c>
      <c r="R46" s="1637">
        <v>0</v>
      </c>
      <c r="S46" s="1637">
        <v>0</v>
      </c>
      <c r="U46" s="1656">
        <v>0.16295799999999999</v>
      </c>
      <c r="V46" s="1657">
        <v>0</v>
      </c>
      <c r="W46" s="1657">
        <v>0.16295799999999999</v>
      </c>
      <c r="X46" s="1657">
        <v>0</v>
      </c>
      <c r="Y46" s="1658">
        <v>0</v>
      </c>
    </row>
    <row r="47" spans="3:25" ht="15" thickBot="1" x14ac:dyDescent="0.35">
      <c r="C47" s="1631">
        <v>34</v>
      </c>
      <c r="D47" s="1632" t="s">
        <v>1064</v>
      </c>
      <c r="E47" s="1631">
        <v>5</v>
      </c>
      <c r="F47" s="1632" t="s">
        <v>1065</v>
      </c>
      <c r="G47" s="1631" t="s">
        <v>1036</v>
      </c>
      <c r="H47" s="1631"/>
      <c r="I47" s="1633">
        <v>1</v>
      </c>
      <c r="J47" s="1634"/>
      <c r="K47" s="1631"/>
      <c r="L47" s="1634"/>
      <c r="M47" s="1637">
        <v>0</v>
      </c>
      <c r="N47" s="1637"/>
      <c r="O47" s="1637">
        <v>0</v>
      </c>
      <c r="P47" s="1637">
        <v>0</v>
      </c>
      <c r="Q47" s="1637">
        <v>30.9</v>
      </c>
      <c r="R47" s="1637">
        <v>0</v>
      </c>
      <c r="S47" s="1637">
        <v>0</v>
      </c>
      <c r="U47" s="1656">
        <v>2.6340000000000001E-3</v>
      </c>
      <c r="V47" s="1657">
        <v>0</v>
      </c>
      <c r="W47" s="1657">
        <v>2.6340000000000001E-3</v>
      </c>
      <c r="X47" s="1657">
        <v>0</v>
      </c>
      <c r="Y47" s="1658">
        <v>0</v>
      </c>
    </row>
    <row r="48" spans="3:25" ht="15" thickBot="1" x14ac:dyDescent="0.35">
      <c r="C48" s="1631">
        <v>35</v>
      </c>
      <c r="D48" s="1632" t="s">
        <v>1064</v>
      </c>
      <c r="E48" s="1631">
        <v>5</v>
      </c>
      <c r="F48" s="1632" t="s">
        <v>1065</v>
      </c>
      <c r="G48" s="1631" t="s">
        <v>1036</v>
      </c>
      <c r="H48" s="1631"/>
      <c r="I48" s="1633">
        <v>1</v>
      </c>
      <c r="J48" s="1634"/>
      <c r="K48" s="1631"/>
      <c r="L48" s="1634"/>
      <c r="M48" s="1637">
        <v>0</v>
      </c>
      <c r="N48" s="1637"/>
      <c r="O48" s="1637">
        <v>0</v>
      </c>
      <c r="P48" s="1637">
        <v>0</v>
      </c>
      <c r="Q48" s="1637">
        <v>16</v>
      </c>
      <c r="R48" s="1637">
        <v>0</v>
      </c>
      <c r="S48" s="1637">
        <v>0</v>
      </c>
      <c r="U48" s="1656">
        <v>3.3100000000000002E-4</v>
      </c>
      <c r="V48" s="1657">
        <v>0</v>
      </c>
      <c r="W48" s="1657">
        <v>3.3100000000000002E-4</v>
      </c>
      <c r="X48" s="1657">
        <v>0</v>
      </c>
      <c r="Y48" s="1658">
        <v>0</v>
      </c>
    </row>
    <row r="49" spans="3:25" ht="15" thickBot="1" x14ac:dyDescent="0.35">
      <c r="C49" s="1631">
        <v>36</v>
      </c>
      <c r="D49" s="1632" t="s">
        <v>1064</v>
      </c>
      <c r="E49" s="1631">
        <v>5</v>
      </c>
      <c r="F49" s="1632" t="s">
        <v>1065</v>
      </c>
      <c r="G49" s="1631" t="s">
        <v>1036</v>
      </c>
      <c r="H49" s="1631"/>
      <c r="I49" s="1633">
        <v>1</v>
      </c>
      <c r="J49" s="1634"/>
      <c r="K49" s="1631"/>
      <c r="L49" s="1634"/>
      <c r="M49" s="1637">
        <v>0</v>
      </c>
      <c r="N49" s="1637"/>
      <c r="O49" s="1637">
        <v>0</v>
      </c>
      <c r="P49" s="1637">
        <v>0</v>
      </c>
      <c r="Q49" s="1637">
        <v>89.5</v>
      </c>
      <c r="R49" s="1637">
        <v>0</v>
      </c>
      <c r="S49" s="1637">
        <v>0</v>
      </c>
      <c r="U49" s="1656">
        <v>9.1999999999999998E-3</v>
      </c>
      <c r="V49" s="1657">
        <v>0</v>
      </c>
      <c r="W49" s="1657">
        <v>9.1999999999999998E-3</v>
      </c>
      <c r="X49" s="1657">
        <v>0</v>
      </c>
      <c r="Y49" s="1658">
        <v>0</v>
      </c>
    </row>
    <row r="50" spans="3:25" ht="15" thickBot="1" x14ac:dyDescent="0.35">
      <c r="C50" s="1631">
        <v>37</v>
      </c>
      <c r="D50" s="1632" t="s">
        <v>1064</v>
      </c>
      <c r="E50" s="1631">
        <v>1</v>
      </c>
      <c r="F50" s="1632" t="s">
        <v>1065</v>
      </c>
      <c r="G50" s="1631" t="s">
        <v>1036</v>
      </c>
      <c r="H50" s="1631"/>
      <c r="I50" s="1633">
        <v>1</v>
      </c>
      <c r="J50" s="1634"/>
      <c r="K50" s="1631"/>
      <c r="L50" s="1634"/>
      <c r="M50" s="1637">
        <v>0</v>
      </c>
      <c r="N50" s="1637"/>
      <c r="O50" s="1637">
        <v>0</v>
      </c>
      <c r="P50" s="1637">
        <v>0</v>
      </c>
      <c r="Q50" s="1637">
        <v>0</v>
      </c>
      <c r="R50" s="1637">
        <v>0</v>
      </c>
      <c r="S50" s="1637">
        <v>57.3</v>
      </c>
      <c r="U50" s="1656">
        <v>4.2420000000000001E-3</v>
      </c>
      <c r="V50" s="1657">
        <v>0</v>
      </c>
      <c r="W50" s="1657">
        <v>4.2420000000000001E-3</v>
      </c>
      <c r="X50" s="1657">
        <v>0</v>
      </c>
      <c r="Y50" s="1658">
        <v>0</v>
      </c>
    </row>
    <row r="51" spans="3:25" ht="15" thickBot="1" x14ac:dyDescent="0.35">
      <c r="C51" s="1631">
        <v>38</v>
      </c>
      <c r="D51" s="1632" t="s">
        <v>1064</v>
      </c>
      <c r="E51" s="1631">
        <v>5</v>
      </c>
      <c r="F51" s="1632" t="s">
        <v>1065</v>
      </c>
      <c r="G51" s="1631" t="s">
        <v>1036</v>
      </c>
      <c r="H51" s="1631"/>
      <c r="I51" s="1633">
        <v>1</v>
      </c>
      <c r="J51" s="1634"/>
      <c r="K51" s="1631"/>
      <c r="L51" s="1634"/>
      <c r="M51" s="1637">
        <v>0</v>
      </c>
      <c r="N51" s="1637"/>
      <c r="O51" s="1637">
        <v>0</v>
      </c>
      <c r="P51" s="1637">
        <v>0</v>
      </c>
      <c r="Q51" s="1637">
        <v>73.8</v>
      </c>
      <c r="R51" s="1637">
        <v>0</v>
      </c>
      <c r="S51" s="1637">
        <v>0</v>
      </c>
      <c r="U51" s="1656">
        <v>3.771E-3</v>
      </c>
      <c r="V51" s="1657">
        <v>0</v>
      </c>
      <c r="W51" s="1657">
        <v>3.771E-3</v>
      </c>
      <c r="X51" s="1657">
        <v>0</v>
      </c>
      <c r="Y51" s="1658">
        <v>0</v>
      </c>
    </row>
    <row r="52" spans="3:25" ht="15" thickBot="1" x14ac:dyDescent="0.35">
      <c r="C52" s="1631">
        <v>39</v>
      </c>
      <c r="D52" s="1632" t="s">
        <v>1064</v>
      </c>
      <c r="E52" s="1631">
        <v>1</v>
      </c>
      <c r="F52" s="1632" t="s">
        <v>1065</v>
      </c>
      <c r="G52" s="1631" t="s">
        <v>1036</v>
      </c>
      <c r="H52" s="1631"/>
      <c r="I52" s="1633">
        <v>0</v>
      </c>
      <c r="J52" s="1634"/>
      <c r="K52" s="1631"/>
      <c r="L52" s="1634"/>
      <c r="M52" s="1637">
        <v>0</v>
      </c>
      <c r="N52" s="1637"/>
      <c r="O52" s="1637">
        <v>0</v>
      </c>
      <c r="P52" s="1637">
        <v>0</v>
      </c>
      <c r="Q52" s="1637">
        <v>0</v>
      </c>
      <c r="R52" s="1637">
        <v>0</v>
      </c>
      <c r="S52" s="1637">
        <v>25</v>
      </c>
      <c r="U52" s="1656">
        <v>1.854E-3</v>
      </c>
      <c r="V52" s="1657">
        <v>0</v>
      </c>
      <c r="W52" s="1657">
        <v>1.854E-3</v>
      </c>
      <c r="X52" s="1657">
        <v>0</v>
      </c>
      <c r="Y52" s="1658">
        <v>0</v>
      </c>
    </row>
    <row r="53" spans="3:25" ht="15" thickBot="1" x14ac:dyDescent="0.35">
      <c r="C53" s="1631">
        <v>40</v>
      </c>
      <c r="D53" s="1632" t="s">
        <v>1066</v>
      </c>
      <c r="E53" s="1631">
        <v>5</v>
      </c>
      <c r="F53" s="1632" t="s">
        <v>1067</v>
      </c>
      <c r="G53" s="1631" t="s">
        <v>1036</v>
      </c>
      <c r="H53" s="1631"/>
      <c r="I53" s="1633">
        <v>138</v>
      </c>
      <c r="J53" s="1634"/>
      <c r="K53" s="1631"/>
      <c r="L53" s="1634"/>
      <c r="M53" s="3415">
        <v>2890</v>
      </c>
      <c r="N53" s="3415"/>
      <c r="O53" s="3415">
        <v>2867</v>
      </c>
      <c r="P53" s="1637">
        <v>0</v>
      </c>
      <c r="Q53" s="1637">
        <v>0</v>
      </c>
      <c r="R53" s="1637">
        <v>0</v>
      </c>
      <c r="S53" s="1637">
        <v>0</v>
      </c>
      <c r="U53" s="1656">
        <v>0.13737682000000001</v>
      </c>
      <c r="V53" s="1657">
        <v>0</v>
      </c>
      <c r="W53" s="1657">
        <v>0.13737682000000001</v>
      </c>
      <c r="X53" s="1657">
        <v>0</v>
      </c>
      <c r="Y53" s="1658">
        <v>0</v>
      </c>
    </row>
    <row r="54" spans="3:25" ht="15" thickBot="1" x14ac:dyDescent="0.35">
      <c r="C54" s="1631">
        <v>41</v>
      </c>
      <c r="D54" s="1632" t="s">
        <v>1066</v>
      </c>
      <c r="E54" s="1631">
        <v>5</v>
      </c>
      <c r="F54" s="1632" t="s">
        <v>1067</v>
      </c>
      <c r="G54" s="1631" t="s">
        <v>1036</v>
      </c>
      <c r="H54" s="1631"/>
      <c r="I54" s="1633">
        <v>1</v>
      </c>
      <c r="J54" s="1634"/>
      <c r="K54" s="1631"/>
      <c r="L54" s="1634"/>
      <c r="M54" s="1637">
        <v>0</v>
      </c>
      <c r="N54" s="1637"/>
      <c r="O54" s="1637">
        <v>0</v>
      </c>
      <c r="P54" s="1637">
        <v>0</v>
      </c>
      <c r="Q54" s="1637">
        <v>23</v>
      </c>
      <c r="R54" s="1637">
        <v>0</v>
      </c>
      <c r="S54" s="1637">
        <v>0</v>
      </c>
      <c r="U54" s="1656">
        <v>9.5E-4</v>
      </c>
      <c r="V54" s="1657">
        <v>0</v>
      </c>
      <c r="W54" s="1657">
        <v>9.5E-4</v>
      </c>
      <c r="X54" s="1657">
        <v>0</v>
      </c>
      <c r="Y54" s="1658">
        <v>0</v>
      </c>
    </row>
    <row r="55" spans="3:25" ht="15" thickBot="1" x14ac:dyDescent="0.35">
      <c r="C55" s="1631">
        <v>42</v>
      </c>
      <c r="D55" s="1632" t="s">
        <v>1068</v>
      </c>
      <c r="E55" s="1631">
        <v>5</v>
      </c>
      <c r="F55" s="1632" t="s">
        <v>1069</v>
      </c>
      <c r="G55" s="1631" t="s">
        <v>1036</v>
      </c>
      <c r="H55" s="1631"/>
      <c r="I55" s="1633">
        <v>52</v>
      </c>
      <c r="J55" s="1634"/>
      <c r="K55" s="1631"/>
      <c r="L55" s="1634"/>
      <c r="M55" s="3415">
        <v>2416.8000000000002</v>
      </c>
      <c r="N55" s="3415"/>
      <c r="O55" s="3415">
        <v>2138.1999999999998</v>
      </c>
      <c r="P55" s="1637">
        <v>0</v>
      </c>
      <c r="Q55" s="1637">
        <v>0</v>
      </c>
      <c r="R55" s="1637">
        <v>0</v>
      </c>
      <c r="S55" s="1637">
        <v>0</v>
      </c>
      <c r="U55" s="1656">
        <v>0.15571482</v>
      </c>
      <c r="V55" s="1657">
        <v>0</v>
      </c>
      <c r="W55" s="1657">
        <v>0.15571482</v>
      </c>
      <c r="X55" s="1657">
        <v>0</v>
      </c>
      <c r="Y55" s="1658">
        <v>0</v>
      </c>
    </row>
    <row r="56" spans="3:25" ht="15" thickBot="1" x14ac:dyDescent="0.35">
      <c r="C56" s="1631">
        <v>43</v>
      </c>
      <c r="D56" s="1632" t="s">
        <v>1068</v>
      </c>
      <c r="E56" s="1631">
        <v>5</v>
      </c>
      <c r="F56" s="1632" t="s">
        <v>1069</v>
      </c>
      <c r="G56" s="1631" t="s">
        <v>1036</v>
      </c>
      <c r="H56" s="1631"/>
      <c r="I56" s="1633">
        <v>1</v>
      </c>
      <c r="J56" s="1634"/>
      <c r="K56" s="1631"/>
      <c r="L56" s="1634"/>
      <c r="M56" s="1637">
        <v>0</v>
      </c>
      <c r="N56" s="1637"/>
      <c r="O56" s="1637">
        <v>0</v>
      </c>
      <c r="P56" s="1637">
        <v>0</v>
      </c>
      <c r="Q56" s="1637">
        <v>79.400000000000006</v>
      </c>
      <c r="R56" s="1637">
        <v>0</v>
      </c>
      <c r="S56" s="1637">
        <v>0</v>
      </c>
      <c r="U56" s="1656">
        <v>8.2959999999999996E-3</v>
      </c>
      <c r="V56" s="1657">
        <v>0</v>
      </c>
      <c r="W56" s="1657">
        <v>8.2959999999999996E-3</v>
      </c>
      <c r="X56" s="1657">
        <v>0</v>
      </c>
      <c r="Y56" s="1658">
        <v>0</v>
      </c>
    </row>
    <row r="57" spans="3:25" ht="15" thickBot="1" x14ac:dyDescent="0.35">
      <c r="C57" s="1631">
        <v>44</v>
      </c>
      <c r="D57" s="1632" t="s">
        <v>1068</v>
      </c>
      <c r="E57" s="1631">
        <v>5</v>
      </c>
      <c r="F57" s="1632" t="s">
        <v>1069</v>
      </c>
      <c r="G57" s="1631" t="s">
        <v>1036</v>
      </c>
      <c r="H57" s="1631"/>
      <c r="I57" s="1633">
        <v>0</v>
      </c>
      <c r="J57" s="1634"/>
      <c r="K57" s="1631"/>
      <c r="L57" s="1634"/>
      <c r="M57" s="1637">
        <v>0</v>
      </c>
      <c r="N57" s="1637"/>
      <c r="O57" s="1637">
        <v>0</v>
      </c>
      <c r="P57" s="1637">
        <v>0</v>
      </c>
      <c r="Q57" s="1637">
        <v>54.3</v>
      </c>
      <c r="R57" s="1637">
        <v>0</v>
      </c>
      <c r="S57" s="1637">
        <v>0</v>
      </c>
      <c r="U57" s="1656">
        <v>5.4279999999999997E-3</v>
      </c>
      <c r="V57" s="1657">
        <v>0</v>
      </c>
      <c r="W57" s="1657">
        <v>5.4279999999999997E-3</v>
      </c>
      <c r="X57" s="1657">
        <v>0</v>
      </c>
      <c r="Y57" s="1658">
        <v>0</v>
      </c>
    </row>
    <row r="58" spans="3:25" ht="15" thickBot="1" x14ac:dyDescent="0.35">
      <c r="C58" s="1631">
        <v>45</v>
      </c>
      <c r="D58" s="1632" t="s">
        <v>1068</v>
      </c>
      <c r="E58" s="1631">
        <v>5</v>
      </c>
      <c r="F58" s="1632" t="s">
        <v>1069</v>
      </c>
      <c r="G58" s="1631" t="s">
        <v>1036</v>
      </c>
      <c r="H58" s="1631"/>
      <c r="I58" s="1633">
        <v>1</v>
      </c>
      <c r="J58" s="1634"/>
      <c r="K58" s="1631"/>
      <c r="L58" s="1634"/>
      <c r="M58" s="1637">
        <v>0</v>
      </c>
      <c r="N58" s="1637"/>
      <c r="O58" s="1637">
        <v>0</v>
      </c>
      <c r="P58" s="1637">
        <v>0</v>
      </c>
      <c r="Q58" s="1637">
        <v>30.5</v>
      </c>
      <c r="R58" s="1637">
        <v>0</v>
      </c>
      <c r="S58" s="1637">
        <v>0</v>
      </c>
      <c r="U58" s="1656">
        <v>7.4600000000000003E-4</v>
      </c>
      <c r="V58" s="1657">
        <v>0</v>
      </c>
      <c r="W58" s="1657">
        <v>7.4600000000000003E-4</v>
      </c>
      <c r="X58" s="1657">
        <v>0</v>
      </c>
      <c r="Y58" s="1658">
        <v>0</v>
      </c>
    </row>
    <row r="59" spans="3:25" ht="15" thickBot="1" x14ac:dyDescent="0.35">
      <c r="C59" s="1631">
        <v>46</v>
      </c>
      <c r="D59" s="1632" t="s">
        <v>1068</v>
      </c>
      <c r="E59" s="1631">
        <v>5</v>
      </c>
      <c r="F59" s="1632" t="s">
        <v>1069</v>
      </c>
      <c r="G59" s="1631" t="s">
        <v>1036</v>
      </c>
      <c r="H59" s="1631"/>
      <c r="I59" s="1633">
        <v>1</v>
      </c>
      <c r="J59" s="1634"/>
      <c r="K59" s="1631"/>
      <c r="L59" s="1634"/>
      <c r="M59" s="1637">
        <v>0</v>
      </c>
      <c r="N59" s="1637"/>
      <c r="O59" s="1637">
        <v>0</v>
      </c>
      <c r="P59" s="1637">
        <v>0</v>
      </c>
      <c r="Q59" s="1637">
        <v>43.1</v>
      </c>
      <c r="R59" s="1637">
        <v>0</v>
      </c>
      <c r="S59" s="1637">
        <v>0</v>
      </c>
      <c r="U59" s="1656">
        <v>3.6800000000000001E-3</v>
      </c>
      <c r="V59" s="1657">
        <v>0</v>
      </c>
      <c r="W59" s="1657">
        <v>3.6800000000000001E-3</v>
      </c>
      <c r="X59" s="1657">
        <v>0</v>
      </c>
      <c r="Y59" s="1658">
        <v>0</v>
      </c>
    </row>
    <row r="60" spans="3:25" ht="15" thickBot="1" x14ac:dyDescent="0.35">
      <c r="C60" s="1631">
        <v>47</v>
      </c>
      <c r="D60" s="1632" t="s">
        <v>1068</v>
      </c>
      <c r="E60" s="1631">
        <v>5</v>
      </c>
      <c r="F60" s="1632" t="s">
        <v>1069</v>
      </c>
      <c r="G60" s="1631" t="s">
        <v>1036</v>
      </c>
      <c r="H60" s="1631"/>
      <c r="I60" s="1633">
        <v>1</v>
      </c>
      <c r="J60" s="1634"/>
      <c r="K60" s="1631"/>
      <c r="L60" s="1634"/>
      <c r="M60" s="1637">
        <v>0</v>
      </c>
      <c r="N60" s="1637"/>
      <c r="O60" s="1637">
        <v>0</v>
      </c>
      <c r="P60" s="1637">
        <v>0</v>
      </c>
      <c r="Q60" s="1637">
        <v>29.8</v>
      </c>
      <c r="R60" s="1637">
        <v>0</v>
      </c>
      <c r="S60" s="1637">
        <v>0</v>
      </c>
      <c r="U60" s="1656">
        <v>2.395E-3</v>
      </c>
      <c r="V60" s="1657">
        <v>0</v>
      </c>
      <c r="W60" s="1657">
        <v>2.395E-3</v>
      </c>
      <c r="X60" s="1657">
        <v>0</v>
      </c>
      <c r="Y60" s="1658">
        <v>0</v>
      </c>
    </row>
    <row r="61" spans="3:25" ht="15" thickBot="1" x14ac:dyDescent="0.35">
      <c r="C61" s="1631">
        <v>48</v>
      </c>
      <c r="D61" s="1632" t="s">
        <v>1068</v>
      </c>
      <c r="E61" s="1631">
        <v>5</v>
      </c>
      <c r="F61" s="1632" t="s">
        <v>1069</v>
      </c>
      <c r="G61" s="1631" t="s">
        <v>1036</v>
      </c>
      <c r="H61" s="1631"/>
      <c r="I61" s="1633">
        <v>0</v>
      </c>
      <c r="J61" s="1634"/>
      <c r="K61" s="1631"/>
      <c r="L61" s="1634"/>
      <c r="M61" s="1637">
        <v>0</v>
      </c>
      <c r="N61" s="1637"/>
      <c r="O61" s="1637">
        <v>0</v>
      </c>
      <c r="P61" s="1637">
        <v>0</v>
      </c>
      <c r="Q61" s="1637">
        <v>41.5</v>
      </c>
      <c r="R61" s="1637">
        <v>0</v>
      </c>
      <c r="S61" s="1637">
        <v>0</v>
      </c>
      <c r="U61" s="1656">
        <v>2.8999999999999998E-3</v>
      </c>
      <c r="V61" s="1657">
        <v>0</v>
      </c>
      <c r="W61" s="1657">
        <v>2.8999999999999998E-3</v>
      </c>
      <c r="X61" s="1657">
        <v>0</v>
      </c>
      <c r="Y61" s="1658">
        <v>0</v>
      </c>
    </row>
    <row r="62" spans="3:25" ht="15" thickBot="1" x14ac:dyDescent="0.35">
      <c r="C62" s="1631">
        <v>49</v>
      </c>
      <c r="D62" s="1632" t="s">
        <v>1068</v>
      </c>
      <c r="E62" s="1631">
        <v>1</v>
      </c>
      <c r="F62" s="1632" t="s">
        <v>1069</v>
      </c>
      <c r="G62" s="1631" t="s">
        <v>1036</v>
      </c>
      <c r="H62" s="1631"/>
      <c r="I62" s="1633">
        <v>0</v>
      </c>
      <c r="J62" s="1634"/>
      <c r="K62" s="1631"/>
      <c r="L62" s="1634"/>
      <c r="M62" s="1637">
        <v>0</v>
      </c>
      <c r="N62" s="1637"/>
      <c r="O62" s="1637">
        <v>0</v>
      </c>
      <c r="P62" s="1637">
        <v>0</v>
      </c>
      <c r="Q62" s="1637">
        <v>0</v>
      </c>
      <c r="R62" s="1637">
        <v>0</v>
      </c>
      <c r="S62" s="1637">
        <v>44.3</v>
      </c>
      <c r="U62" s="1656">
        <v>4.0070000000000001E-3</v>
      </c>
      <c r="V62" s="1657">
        <v>0</v>
      </c>
      <c r="W62" s="1657">
        <v>4.0070000000000001E-3</v>
      </c>
      <c r="X62" s="1657">
        <v>0</v>
      </c>
      <c r="Y62" s="1658">
        <v>0</v>
      </c>
    </row>
    <row r="63" spans="3:25" ht="15" thickBot="1" x14ac:dyDescent="0.35">
      <c r="C63" s="1631">
        <v>50</v>
      </c>
      <c r="D63" s="1632" t="s">
        <v>1070</v>
      </c>
      <c r="E63" s="1631">
        <v>5</v>
      </c>
      <c r="F63" s="1632" t="s">
        <v>1067</v>
      </c>
      <c r="G63" s="1631" t="s">
        <v>1036</v>
      </c>
      <c r="H63" s="1631"/>
      <c r="I63" s="1633">
        <v>163</v>
      </c>
      <c r="J63" s="1634"/>
      <c r="K63" s="1631"/>
      <c r="L63" s="1634"/>
      <c r="M63" s="3415">
        <v>2773.2</v>
      </c>
      <c r="N63" s="3415"/>
      <c r="O63" s="3415">
        <v>2773.2</v>
      </c>
      <c r="P63" s="1637">
        <v>0</v>
      </c>
      <c r="Q63" s="1637">
        <v>0</v>
      </c>
      <c r="R63" s="1637">
        <v>0</v>
      </c>
      <c r="S63" s="1637">
        <v>0</v>
      </c>
      <c r="U63" s="1656">
        <v>0.15219155000000001</v>
      </c>
      <c r="V63" s="1657">
        <v>0</v>
      </c>
      <c r="W63" s="1657">
        <v>0.15219155000000001</v>
      </c>
      <c r="X63" s="1657">
        <v>0</v>
      </c>
      <c r="Y63" s="1658">
        <v>0</v>
      </c>
    </row>
    <row r="64" spans="3:25" ht="15" thickBot="1" x14ac:dyDescent="0.35">
      <c r="C64" s="1631">
        <v>51</v>
      </c>
      <c r="D64" s="1632" t="s">
        <v>1071</v>
      </c>
      <c r="E64" s="1631">
        <v>2</v>
      </c>
      <c r="F64" s="1632" t="s">
        <v>1072</v>
      </c>
      <c r="G64" s="1631" t="s">
        <v>1036</v>
      </c>
      <c r="H64" s="1631"/>
      <c r="I64" s="1633">
        <v>10</v>
      </c>
      <c r="J64" s="1634"/>
      <c r="K64" s="1631"/>
      <c r="L64" s="1634"/>
      <c r="M64" s="1637">
        <v>394.9</v>
      </c>
      <c r="N64" s="1637"/>
      <c r="O64" s="1637">
        <v>394.9</v>
      </c>
      <c r="P64" s="1637">
        <v>0</v>
      </c>
      <c r="Q64" s="1637">
        <v>0</v>
      </c>
      <c r="R64" s="1637">
        <v>0</v>
      </c>
      <c r="S64" s="1637">
        <v>0</v>
      </c>
      <c r="U64" s="1656">
        <v>2.2039739999999999E-2</v>
      </c>
      <c r="V64" s="1657">
        <v>0</v>
      </c>
      <c r="W64" s="1657">
        <v>2.2039739999999999E-2</v>
      </c>
      <c r="X64" s="1657">
        <v>0</v>
      </c>
      <c r="Y64" s="1658">
        <v>0</v>
      </c>
    </row>
    <row r="65" spans="3:25" ht="15" thickBot="1" x14ac:dyDescent="0.35">
      <c r="C65" s="1631">
        <v>52</v>
      </c>
      <c r="D65" s="1632" t="s">
        <v>1073</v>
      </c>
      <c r="E65" s="1631">
        <v>5</v>
      </c>
      <c r="F65" s="1632" t="s">
        <v>1074</v>
      </c>
      <c r="G65" s="1631" t="s">
        <v>1036</v>
      </c>
      <c r="H65" s="1631"/>
      <c r="I65" s="1633">
        <v>57</v>
      </c>
      <c r="J65" s="1634"/>
      <c r="K65" s="1631"/>
      <c r="L65" s="1634"/>
      <c r="M65" s="1637">
        <v>3026.5</v>
      </c>
      <c r="N65" s="1637"/>
      <c r="O65" s="1637">
        <v>2515.3000000000002</v>
      </c>
      <c r="P65" s="1637">
        <v>0</v>
      </c>
      <c r="Q65" s="1637">
        <v>0</v>
      </c>
      <c r="R65" s="1637">
        <v>0</v>
      </c>
      <c r="S65" s="1637">
        <v>0</v>
      </c>
      <c r="U65" s="1656">
        <v>0.19650005000000001</v>
      </c>
      <c r="V65" s="1657">
        <v>0</v>
      </c>
      <c r="W65" s="1657">
        <v>0.19650005000000001</v>
      </c>
      <c r="X65" s="1657">
        <v>0</v>
      </c>
      <c r="Y65" s="1658">
        <v>0</v>
      </c>
    </row>
    <row r="66" spans="3:25" ht="15" thickBot="1" x14ac:dyDescent="0.35">
      <c r="C66" s="1631">
        <v>53</v>
      </c>
      <c r="D66" s="1632" t="s">
        <v>1073</v>
      </c>
      <c r="E66" s="1631">
        <v>5</v>
      </c>
      <c r="F66" s="1632" t="s">
        <v>1074</v>
      </c>
      <c r="G66" s="1631" t="s">
        <v>1036</v>
      </c>
      <c r="H66" s="1631"/>
      <c r="I66" s="1633">
        <v>1</v>
      </c>
      <c r="J66" s="1634"/>
      <c r="K66" s="1631"/>
      <c r="L66" s="1634"/>
      <c r="M66" s="1637">
        <v>0</v>
      </c>
      <c r="N66" s="1637"/>
      <c r="O66" s="1637">
        <v>0</v>
      </c>
      <c r="P66" s="1637">
        <v>0</v>
      </c>
      <c r="Q66" s="1637">
        <v>122.7</v>
      </c>
      <c r="R66" s="1637">
        <v>0</v>
      </c>
      <c r="S66" s="1637">
        <v>0</v>
      </c>
      <c r="U66" s="1656">
        <v>8.2150000000000001E-3</v>
      </c>
      <c r="V66" s="1657">
        <v>0</v>
      </c>
      <c r="W66" s="1657">
        <v>8.2150000000000001E-3</v>
      </c>
      <c r="X66" s="1657">
        <v>0</v>
      </c>
      <c r="Y66" s="1658">
        <v>0</v>
      </c>
    </row>
    <row r="67" spans="3:25" ht="15" thickBot="1" x14ac:dyDescent="0.35">
      <c r="C67" s="1631">
        <v>54</v>
      </c>
      <c r="D67" s="1632" t="s">
        <v>1073</v>
      </c>
      <c r="E67" s="1631">
        <v>5</v>
      </c>
      <c r="F67" s="1632" t="s">
        <v>1074</v>
      </c>
      <c r="G67" s="1631" t="s">
        <v>1036</v>
      </c>
      <c r="H67" s="1631"/>
      <c r="I67" s="1633">
        <v>1</v>
      </c>
      <c r="J67" s="1634"/>
      <c r="K67" s="1631"/>
      <c r="L67" s="1634"/>
      <c r="M67" s="1637">
        <v>0</v>
      </c>
      <c r="N67" s="1637"/>
      <c r="O67" s="1637">
        <v>0</v>
      </c>
      <c r="P67" s="1637">
        <v>0</v>
      </c>
      <c r="Q67" s="1637">
        <v>68</v>
      </c>
      <c r="R67" s="1637">
        <v>0</v>
      </c>
      <c r="S67" s="1637">
        <v>0</v>
      </c>
      <c r="U67" s="1656">
        <v>6.8139999999999997E-3</v>
      </c>
      <c r="V67" s="1657">
        <v>0</v>
      </c>
      <c r="W67" s="1657">
        <v>6.8139999999999997E-3</v>
      </c>
      <c r="X67" s="1657">
        <v>0</v>
      </c>
      <c r="Y67" s="1658">
        <v>0</v>
      </c>
    </row>
    <row r="68" spans="3:25" ht="15" thickBot="1" x14ac:dyDescent="0.35">
      <c r="C68" s="1631">
        <v>55</v>
      </c>
      <c r="D68" s="1632" t="s">
        <v>1073</v>
      </c>
      <c r="E68" s="1631">
        <v>5</v>
      </c>
      <c r="F68" s="1632" t="s">
        <v>1074</v>
      </c>
      <c r="G68" s="1631" t="s">
        <v>1036</v>
      </c>
      <c r="H68" s="1631"/>
      <c r="I68" s="1633">
        <v>1</v>
      </c>
      <c r="J68" s="1634"/>
      <c r="K68" s="1631"/>
      <c r="L68" s="1634"/>
      <c r="M68" s="1637">
        <v>0</v>
      </c>
      <c r="N68" s="1637"/>
      <c r="O68" s="1637">
        <v>0</v>
      </c>
      <c r="P68" s="1637">
        <v>0</v>
      </c>
      <c r="Q68" s="1637">
        <v>186.8</v>
      </c>
      <c r="R68" s="1637">
        <v>0</v>
      </c>
      <c r="S68" s="1637">
        <v>0</v>
      </c>
      <c r="U68" s="1656">
        <v>1.3162999999999999E-2</v>
      </c>
      <c r="V68" s="1657">
        <v>0</v>
      </c>
      <c r="W68" s="1657">
        <v>1.3162999999999999E-2</v>
      </c>
      <c r="X68" s="1657">
        <v>0</v>
      </c>
      <c r="Y68" s="1658">
        <v>0</v>
      </c>
    </row>
    <row r="69" spans="3:25" ht="15" thickBot="1" x14ac:dyDescent="0.35">
      <c r="C69" s="1631">
        <v>56</v>
      </c>
      <c r="D69" s="1632" t="s">
        <v>1073</v>
      </c>
      <c r="E69" s="1631">
        <v>5</v>
      </c>
      <c r="F69" s="1632" t="s">
        <v>1074</v>
      </c>
      <c r="G69" s="1631" t="s">
        <v>1036</v>
      </c>
      <c r="H69" s="1631"/>
      <c r="I69" s="1633">
        <v>1</v>
      </c>
      <c r="J69" s="1634"/>
      <c r="K69" s="1631"/>
      <c r="L69" s="1634"/>
      <c r="M69" s="1637">
        <v>0</v>
      </c>
      <c r="N69" s="1637"/>
      <c r="O69" s="1637">
        <v>0</v>
      </c>
      <c r="P69" s="1637">
        <v>0</v>
      </c>
      <c r="Q69" s="1637">
        <v>74.5</v>
      </c>
      <c r="R69" s="1637">
        <v>0</v>
      </c>
      <c r="S69" s="1637">
        <v>0</v>
      </c>
      <c r="U69" s="1656">
        <v>3.2209999999999999E-3</v>
      </c>
      <c r="V69" s="1657">
        <v>0</v>
      </c>
      <c r="W69" s="1657">
        <v>3.2209999999999999E-3</v>
      </c>
      <c r="X69" s="1657">
        <v>0</v>
      </c>
      <c r="Y69" s="1658">
        <v>0</v>
      </c>
    </row>
    <row r="70" spans="3:25" ht="15" thickBot="1" x14ac:dyDescent="0.35">
      <c r="C70" s="1631">
        <v>57</v>
      </c>
      <c r="D70" s="1632" t="s">
        <v>1073</v>
      </c>
      <c r="E70" s="1631">
        <v>5</v>
      </c>
      <c r="F70" s="1632" t="s">
        <v>1074</v>
      </c>
      <c r="G70" s="1631" t="s">
        <v>1036</v>
      </c>
      <c r="H70" s="1631"/>
      <c r="I70" s="1633">
        <v>1</v>
      </c>
      <c r="J70" s="1634"/>
      <c r="K70" s="1631"/>
      <c r="L70" s="1634"/>
      <c r="M70" s="1637">
        <v>0</v>
      </c>
      <c r="N70" s="1637"/>
      <c r="O70" s="1637">
        <v>0</v>
      </c>
      <c r="P70" s="1637">
        <v>0</v>
      </c>
      <c r="Q70" s="1637">
        <v>59.2</v>
      </c>
      <c r="R70" s="1637">
        <v>0</v>
      </c>
      <c r="S70" s="1637">
        <v>0</v>
      </c>
      <c r="U70" s="1656">
        <v>4.1289999999999999E-3</v>
      </c>
      <c r="V70" s="1657">
        <v>0</v>
      </c>
      <c r="W70" s="1657">
        <v>4.1289999999999999E-3</v>
      </c>
      <c r="X70" s="1657">
        <v>0</v>
      </c>
      <c r="Y70" s="1658">
        <v>0</v>
      </c>
    </row>
    <row r="71" spans="3:25" ht="15" thickBot="1" x14ac:dyDescent="0.35">
      <c r="C71" s="1631">
        <v>58</v>
      </c>
      <c r="D71" s="1632" t="s">
        <v>1075</v>
      </c>
      <c r="E71" s="1631">
        <v>5</v>
      </c>
      <c r="F71" s="1632" t="s">
        <v>1069</v>
      </c>
      <c r="G71" s="1631" t="s">
        <v>1036</v>
      </c>
      <c r="H71" s="1631"/>
      <c r="I71" s="1633">
        <v>80</v>
      </c>
      <c r="J71" s="1634"/>
      <c r="K71" s="1631"/>
      <c r="L71" s="1634"/>
      <c r="M71" s="1637">
        <v>3084.2</v>
      </c>
      <c r="N71" s="1637"/>
      <c r="O71" s="1637">
        <v>3084.2</v>
      </c>
      <c r="P71" s="1637">
        <v>0</v>
      </c>
      <c r="Q71" s="1637">
        <v>0</v>
      </c>
      <c r="R71" s="1637">
        <v>0</v>
      </c>
      <c r="S71" s="1637">
        <v>0</v>
      </c>
      <c r="U71" s="1656">
        <v>0.17286977000000001</v>
      </c>
      <c r="V71" s="1657">
        <v>0</v>
      </c>
      <c r="W71" s="1657">
        <v>0.17286977000000001</v>
      </c>
      <c r="X71" s="1657">
        <v>4.5218068483373315E-3</v>
      </c>
      <c r="Y71" s="1658">
        <v>93</v>
      </c>
    </row>
    <row r="72" spans="3:25" ht="15" thickBot="1" x14ac:dyDescent="0.35">
      <c r="C72" s="1631">
        <v>59</v>
      </c>
      <c r="D72" s="1632" t="s">
        <v>1076</v>
      </c>
      <c r="E72" s="1631">
        <v>5</v>
      </c>
      <c r="F72" s="1632" t="s">
        <v>1074</v>
      </c>
      <c r="G72" s="1631" t="s">
        <v>1036</v>
      </c>
      <c r="H72" s="1631"/>
      <c r="I72" s="1633">
        <v>100</v>
      </c>
      <c r="J72" s="1634"/>
      <c r="K72" s="1631"/>
      <c r="L72" s="1634"/>
      <c r="M72" s="3415">
        <v>4447.25</v>
      </c>
      <c r="N72" s="3415"/>
      <c r="O72" s="3415">
        <v>4447.25</v>
      </c>
      <c r="P72" s="1637">
        <v>0</v>
      </c>
      <c r="Q72" s="1637">
        <v>0</v>
      </c>
      <c r="R72" s="1637">
        <v>0</v>
      </c>
      <c r="S72" s="1637">
        <v>0</v>
      </c>
      <c r="U72" s="1656">
        <v>0.24877088999999999</v>
      </c>
      <c r="V72" s="1657">
        <v>0</v>
      </c>
      <c r="W72" s="1657">
        <v>0.24877088999999999</v>
      </c>
      <c r="X72" s="1657">
        <v>3.2420993500618198E-3</v>
      </c>
      <c r="Y72" s="1658">
        <v>66</v>
      </c>
    </row>
    <row r="73" spans="3:25" ht="15" thickBot="1" x14ac:dyDescent="0.35">
      <c r="C73" s="1631">
        <v>60</v>
      </c>
      <c r="D73" s="1632" t="s">
        <v>1077</v>
      </c>
      <c r="E73" s="1631">
        <v>5</v>
      </c>
      <c r="F73" s="1632" t="s">
        <v>1078</v>
      </c>
      <c r="G73" s="1631" t="s">
        <v>1036</v>
      </c>
      <c r="H73" s="1631"/>
      <c r="I73" s="3418">
        <v>65</v>
      </c>
      <c r="J73" s="1634"/>
      <c r="K73" s="1631"/>
      <c r="L73" s="1634"/>
      <c r="M73" s="1637">
        <v>3105.4</v>
      </c>
      <c r="N73" s="1637"/>
      <c r="O73" s="1637">
        <v>2996.5</v>
      </c>
      <c r="P73" s="1637">
        <v>0</v>
      </c>
      <c r="Q73" s="1637">
        <v>0</v>
      </c>
      <c r="R73" s="1637">
        <v>0</v>
      </c>
      <c r="S73" s="1637">
        <v>0</v>
      </c>
      <c r="U73" s="1656">
        <v>0.18617412</v>
      </c>
      <c r="V73" s="1657">
        <v>0</v>
      </c>
      <c r="W73" s="1657">
        <v>0.18617412</v>
      </c>
      <c r="X73" s="1657">
        <v>0</v>
      </c>
      <c r="Y73" s="1658">
        <v>0</v>
      </c>
    </row>
    <row r="74" spans="3:25" ht="15" thickBot="1" x14ac:dyDescent="0.35">
      <c r="C74" s="1631">
        <v>61</v>
      </c>
      <c r="D74" s="1632" t="s">
        <v>1077</v>
      </c>
      <c r="E74" s="1631">
        <v>5</v>
      </c>
      <c r="F74" s="1632">
        <v>24473</v>
      </c>
      <c r="G74" s="1631" t="s">
        <v>1036</v>
      </c>
      <c r="H74" s="1631"/>
      <c r="I74" s="1633">
        <v>1</v>
      </c>
      <c r="J74" s="1634"/>
      <c r="K74" s="1631"/>
      <c r="L74" s="1634"/>
      <c r="M74" s="1637">
        <v>0</v>
      </c>
      <c r="N74" s="1637"/>
      <c r="O74" s="1637">
        <v>0</v>
      </c>
      <c r="P74" s="1637">
        <v>0</v>
      </c>
      <c r="Q74" s="1637">
        <v>46.9</v>
      </c>
      <c r="R74" s="1637">
        <v>0</v>
      </c>
      <c r="S74" s="1637">
        <v>0</v>
      </c>
      <c r="U74" s="1656">
        <v>2.6689999999999999E-3</v>
      </c>
      <c r="V74" s="1657">
        <v>0</v>
      </c>
      <c r="W74" s="1657">
        <v>2.6689999999999999E-3</v>
      </c>
      <c r="X74" s="1657">
        <v>0</v>
      </c>
      <c r="Y74" s="1658">
        <v>0</v>
      </c>
    </row>
    <row r="75" spans="3:25" ht="15" thickBot="1" x14ac:dyDescent="0.35">
      <c r="C75" s="1631">
        <v>62</v>
      </c>
      <c r="D75" s="1632" t="s">
        <v>1077</v>
      </c>
      <c r="E75" s="1631">
        <v>5</v>
      </c>
      <c r="F75" s="1632">
        <v>24473</v>
      </c>
      <c r="G75" s="1631" t="s">
        <v>1036</v>
      </c>
      <c r="H75" s="1631"/>
      <c r="I75" s="1633">
        <v>0</v>
      </c>
      <c r="J75" s="1634"/>
      <c r="K75" s="1631"/>
      <c r="L75" s="1634"/>
      <c r="M75" s="1637">
        <v>0</v>
      </c>
      <c r="N75" s="1637"/>
      <c r="O75" s="1637">
        <v>0</v>
      </c>
      <c r="P75" s="1637">
        <v>0</v>
      </c>
      <c r="Q75" s="1637">
        <v>62</v>
      </c>
      <c r="R75" s="1637">
        <v>0</v>
      </c>
      <c r="S75" s="1637">
        <v>0</v>
      </c>
      <c r="U75" s="1656">
        <v>4.0699999999999998E-3</v>
      </c>
      <c r="V75" s="1657">
        <v>0</v>
      </c>
      <c r="W75" s="1657">
        <v>4.0699999999999998E-3</v>
      </c>
      <c r="X75" s="1657">
        <v>0</v>
      </c>
      <c r="Y75" s="1658">
        <v>0</v>
      </c>
    </row>
    <row r="76" spans="3:25" ht="15" thickBot="1" x14ac:dyDescent="0.35">
      <c r="C76" s="1631">
        <v>63</v>
      </c>
      <c r="D76" s="1632" t="s">
        <v>1077</v>
      </c>
      <c r="E76" s="1631">
        <v>1</v>
      </c>
      <c r="F76" s="1632">
        <v>24473</v>
      </c>
      <c r="G76" s="1631" t="s">
        <v>1036</v>
      </c>
      <c r="H76" s="1631"/>
      <c r="I76" s="1633">
        <v>0</v>
      </c>
      <c r="J76" s="1634"/>
      <c r="K76" s="1631"/>
      <c r="L76" s="1634"/>
      <c r="M76" s="1637">
        <v>0</v>
      </c>
      <c r="N76" s="1637"/>
      <c r="O76" s="1637">
        <v>0</v>
      </c>
      <c r="P76" s="1637">
        <v>0</v>
      </c>
      <c r="Q76" s="1637">
        <v>0</v>
      </c>
      <c r="R76" s="1637">
        <v>0</v>
      </c>
      <c r="S76" s="1637">
        <v>41.7</v>
      </c>
      <c r="U76" s="1656">
        <v>2.7160000000000001E-3</v>
      </c>
      <c r="V76" s="1657">
        <v>0</v>
      </c>
      <c r="W76" s="1657">
        <v>2.7160000000000001E-3</v>
      </c>
      <c r="X76" s="1657">
        <v>0</v>
      </c>
      <c r="Y76" s="1658">
        <v>0</v>
      </c>
    </row>
    <row r="77" spans="3:25" ht="15" thickBot="1" x14ac:dyDescent="0.35">
      <c r="C77" s="1631">
        <v>64</v>
      </c>
      <c r="D77" s="1632" t="s">
        <v>1079</v>
      </c>
      <c r="E77" s="1631">
        <v>2</v>
      </c>
      <c r="F77" s="1632" t="s">
        <v>1080</v>
      </c>
      <c r="G77" s="1631" t="s">
        <v>1036</v>
      </c>
      <c r="H77" s="1631"/>
      <c r="I77" s="1633">
        <v>8</v>
      </c>
      <c r="J77" s="1634"/>
      <c r="K77" s="1631"/>
      <c r="L77" s="1634"/>
      <c r="M77" s="1637">
        <v>397.1</v>
      </c>
      <c r="N77" s="1637"/>
      <c r="O77" s="1637">
        <v>397.1</v>
      </c>
      <c r="P77" s="1637">
        <v>0</v>
      </c>
      <c r="Q77" s="1637">
        <v>0</v>
      </c>
      <c r="R77" s="1637">
        <v>0</v>
      </c>
      <c r="S77" s="1637">
        <v>0</v>
      </c>
      <c r="U77" s="1656">
        <v>2.4945760000000001E-2</v>
      </c>
      <c r="V77" s="1657">
        <v>0</v>
      </c>
      <c r="W77" s="1657">
        <v>2.4945760000000001E-2</v>
      </c>
      <c r="X77" s="1657">
        <v>0</v>
      </c>
      <c r="Y77" s="1658">
        <v>0</v>
      </c>
    </row>
    <row r="78" spans="3:25" ht="15" thickBot="1" x14ac:dyDescent="0.35">
      <c r="C78" s="1631">
        <v>65</v>
      </c>
      <c r="D78" s="1632" t="s">
        <v>1081</v>
      </c>
      <c r="E78" s="1631">
        <v>5</v>
      </c>
      <c r="F78" s="1632" t="s">
        <v>1063</v>
      </c>
      <c r="G78" s="1631" t="s">
        <v>1036</v>
      </c>
      <c r="H78" s="1631"/>
      <c r="I78" s="1633">
        <v>78</v>
      </c>
      <c r="J78" s="1634"/>
      <c r="K78" s="1631"/>
      <c r="L78" s="1634"/>
      <c r="M78" s="3415">
        <v>3189.6</v>
      </c>
      <c r="N78" s="3415"/>
      <c r="O78" s="3415">
        <v>3106.3</v>
      </c>
      <c r="P78" s="1637">
        <v>0</v>
      </c>
      <c r="Q78" s="1637">
        <v>0</v>
      </c>
      <c r="R78" s="1637">
        <v>0</v>
      </c>
      <c r="S78" s="1637">
        <v>0</v>
      </c>
      <c r="U78" s="1656">
        <v>0.18858631000000001</v>
      </c>
      <c r="V78" s="1657">
        <v>0</v>
      </c>
      <c r="W78" s="1657">
        <v>0.18858631000000001</v>
      </c>
      <c r="X78" s="1657">
        <v>3.1316820873947926E-3</v>
      </c>
      <c r="Y78" s="1658">
        <v>59</v>
      </c>
    </row>
    <row r="79" spans="3:25" ht="15" thickBot="1" x14ac:dyDescent="0.35">
      <c r="C79" s="1631">
        <v>66</v>
      </c>
      <c r="D79" s="1632" t="s">
        <v>1081</v>
      </c>
      <c r="E79" s="1631">
        <v>5</v>
      </c>
      <c r="F79" s="1632" t="s">
        <v>1063</v>
      </c>
      <c r="G79" s="1631" t="s">
        <v>1036</v>
      </c>
      <c r="H79" s="1631"/>
      <c r="I79" s="1633">
        <v>1</v>
      </c>
      <c r="J79" s="1634"/>
      <c r="K79" s="1631"/>
      <c r="L79" s="1634"/>
      <c r="M79" s="1637">
        <v>0</v>
      </c>
      <c r="N79" s="1637"/>
      <c r="O79" s="1637">
        <v>0</v>
      </c>
      <c r="P79" s="1637">
        <v>0</v>
      </c>
      <c r="Q79" s="1637">
        <v>83.3</v>
      </c>
      <c r="R79" s="1637">
        <v>0</v>
      </c>
      <c r="S79" s="1637">
        <v>0</v>
      </c>
      <c r="U79" s="1656">
        <v>3.973E-3</v>
      </c>
      <c r="V79" s="1657">
        <v>0</v>
      </c>
      <c r="W79" s="1657">
        <v>3.973E-3</v>
      </c>
      <c r="X79" s="1657">
        <v>0</v>
      </c>
      <c r="Y79" s="1658">
        <v>0</v>
      </c>
    </row>
    <row r="80" spans="3:25" ht="15" thickBot="1" x14ac:dyDescent="0.35">
      <c r="C80" s="1631">
        <v>67</v>
      </c>
      <c r="D80" s="1632" t="s">
        <v>1082</v>
      </c>
      <c r="E80" s="1631">
        <v>2</v>
      </c>
      <c r="F80" s="1632" t="s">
        <v>1072</v>
      </c>
      <c r="G80" s="1631" t="s">
        <v>1036</v>
      </c>
      <c r="H80" s="1631"/>
      <c r="I80" s="1633">
        <v>9</v>
      </c>
      <c r="J80" s="1634"/>
      <c r="K80" s="1631"/>
      <c r="L80" s="1634"/>
      <c r="M80" s="3415">
        <v>402.5</v>
      </c>
      <c r="N80" s="3415"/>
      <c r="O80" s="3415">
        <v>402.5</v>
      </c>
      <c r="P80" s="1637">
        <v>0</v>
      </c>
      <c r="Q80" s="1637">
        <v>0</v>
      </c>
      <c r="R80" s="1637">
        <v>0</v>
      </c>
      <c r="S80" s="1637">
        <v>0</v>
      </c>
      <c r="U80" s="1656">
        <v>2.688494E-2</v>
      </c>
      <c r="V80" s="1657">
        <v>0</v>
      </c>
      <c r="W80" s="1657">
        <v>2.688494E-2</v>
      </c>
      <c r="X80" s="1657">
        <v>0</v>
      </c>
      <c r="Y80" s="1658">
        <v>0</v>
      </c>
    </row>
    <row r="81" spans="3:25" ht="15" thickBot="1" x14ac:dyDescent="0.35">
      <c r="C81" s="1631">
        <v>68</v>
      </c>
      <c r="D81" s="1632" t="s">
        <v>1083</v>
      </c>
      <c r="E81" s="1631">
        <v>2</v>
      </c>
      <c r="F81" s="1632" t="s">
        <v>1080</v>
      </c>
      <c r="G81" s="1631" t="s">
        <v>1036</v>
      </c>
      <c r="H81" s="1631"/>
      <c r="I81" s="1633">
        <v>8</v>
      </c>
      <c r="J81" s="1634"/>
      <c r="K81" s="1631"/>
      <c r="L81" s="1634"/>
      <c r="M81" s="1637">
        <v>374.7</v>
      </c>
      <c r="N81" s="1637"/>
      <c r="O81" s="1637">
        <v>374.7</v>
      </c>
      <c r="P81" s="1637">
        <v>0</v>
      </c>
      <c r="Q81" s="1637">
        <v>0</v>
      </c>
      <c r="R81" s="1637">
        <v>0</v>
      </c>
      <c r="S81" s="1637">
        <v>0</v>
      </c>
      <c r="U81" s="1656">
        <v>2.5711600000000001E-2</v>
      </c>
      <c r="V81" s="1657">
        <v>0</v>
      </c>
      <c r="W81" s="1657">
        <v>2.5711600000000001E-2</v>
      </c>
      <c r="X81" s="1657">
        <v>0</v>
      </c>
      <c r="Y81" s="1658">
        <v>0</v>
      </c>
    </row>
    <row r="82" spans="3:25" ht="15" thickBot="1" x14ac:dyDescent="0.35">
      <c r="C82" s="1631">
        <v>69</v>
      </c>
      <c r="D82" s="1632" t="s">
        <v>1084</v>
      </c>
      <c r="E82" s="1631">
        <v>2</v>
      </c>
      <c r="F82" s="1632" t="s">
        <v>1080</v>
      </c>
      <c r="G82" s="1631" t="s">
        <v>1036</v>
      </c>
      <c r="H82" s="1631"/>
      <c r="I82" s="1633">
        <v>8</v>
      </c>
      <c r="J82" s="1634"/>
      <c r="K82" s="1631"/>
      <c r="L82" s="1634"/>
      <c r="M82" s="1637">
        <v>379.2</v>
      </c>
      <c r="N82" s="1637"/>
      <c r="O82" s="1637">
        <v>379.2</v>
      </c>
      <c r="P82" s="1637">
        <v>0</v>
      </c>
      <c r="Q82" s="1637">
        <v>0</v>
      </c>
      <c r="R82" s="1637">
        <v>0</v>
      </c>
      <c r="S82" s="1637">
        <v>0</v>
      </c>
      <c r="U82" s="1656">
        <v>2.6060610000000001E-2</v>
      </c>
      <c r="V82" s="1657">
        <v>0</v>
      </c>
      <c r="W82" s="1657">
        <v>2.6060610000000001E-2</v>
      </c>
      <c r="X82" s="1657">
        <v>0</v>
      </c>
      <c r="Y82" s="1658">
        <v>0</v>
      </c>
    </row>
    <row r="83" spans="3:25" ht="15" thickBot="1" x14ac:dyDescent="0.35">
      <c r="C83" s="1631">
        <v>70</v>
      </c>
      <c r="D83" s="1632" t="s">
        <v>1085</v>
      </c>
      <c r="E83" s="1631">
        <v>5</v>
      </c>
      <c r="F83" s="1632" t="s">
        <v>1086</v>
      </c>
      <c r="G83" s="1631" t="s">
        <v>1036</v>
      </c>
      <c r="H83" s="1631"/>
      <c r="I83" s="1633">
        <v>129</v>
      </c>
      <c r="J83" s="1634"/>
      <c r="K83" s="1631"/>
      <c r="L83" s="1634"/>
      <c r="M83" s="3415">
        <v>6057</v>
      </c>
      <c r="N83" s="3415"/>
      <c r="O83" s="3415">
        <v>6057</v>
      </c>
      <c r="P83" s="1637">
        <v>0</v>
      </c>
      <c r="Q83" s="1637">
        <v>0</v>
      </c>
      <c r="R83" s="1637">
        <v>0</v>
      </c>
      <c r="S83" s="1637">
        <v>0</v>
      </c>
      <c r="U83" s="1656">
        <v>0.31612149</v>
      </c>
      <c r="V83" s="1657">
        <v>0</v>
      </c>
      <c r="W83" s="1657">
        <v>0.31612149</v>
      </c>
      <c r="X83" s="1657">
        <v>3.9362071749635798E-3</v>
      </c>
      <c r="Y83" s="1658">
        <v>86</v>
      </c>
    </row>
    <row r="84" spans="3:25" ht="15" thickBot="1" x14ac:dyDescent="0.35">
      <c r="C84" s="1631">
        <v>71</v>
      </c>
      <c r="D84" s="1632" t="s">
        <v>1087</v>
      </c>
      <c r="E84" s="1631">
        <v>5</v>
      </c>
      <c r="F84" s="1632" t="s">
        <v>1088</v>
      </c>
      <c r="G84" s="1631" t="s">
        <v>1036</v>
      </c>
      <c r="H84" s="1631"/>
      <c r="I84" s="1633">
        <v>129</v>
      </c>
      <c r="J84" s="1634"/>
      <c r="K84" s="1631"/>
      <c r="L84" s="1634"/>
      <c r="M84" s="1637">
        <v>5991.67</v>
      </c>
      <c r="N84" s="1637"/>
      <c r="O84" s="1637">
        <v>5991.67</v>
      </c>
      <c r="P84" s="1637">
        <v>0</v>
      </c>
      <c r="Q84" s="1637">
        <v>0</v>
      </c>
      <c r="R84" s="1637">
        <v>0</v>
      </c>
      <c r="S84" s="1637">
        <v>0</v>
      </c>
      <c r="U84" s="1656">
        <v>0.26824689000000002</v>
      </c>
      <c r="V84" s="1657">
        <v>0</v>
      </c>
      <c r="W84" s="1657">
        <v>0.26824689000000002</v>
      </c>
      <c r="X84" s="1657">
        <v>3.3921020898517299E-3</v>
      </c>
      <c r="Y84" s="1658">
        <v>86</v>
      </c>
    </row>
    <row r="85" spans="3:25" ht="15" thickBot="1" x14ac:dyDescent="0.35">
      <c r="C85" s="1631">
        <v>72</v>
      </c>
      <c r="D85" s="1632" t="s">
        <v>1089</v>
      </c>
      <c r="E85" s="1631">
        <v>16</v>
      </c>
      <c r="F85" s="1632" t="s">
        <v>1090</v>
      </c>
      <c r="G85" s="1631" t="s">
        <v>1036</v>
      </c>
      <c r="H85" s="1631"/>
      <c r="I85" s="1633">
        <v>192</v>
      </c>
      <c r="J85" s="1634"/>
      <c r="K85" s="1631"/>
      <c r="L85" s="1634"/>
      <c r="M85" s="3415">
        <v>10771.5</v>
      </c>
      <c r="N85" s="3415"/>
      <c r="O85" s="3415">
        <v>10469.9</v>
      </c>
      <c r="P85" s="1637">
        <v>0</v>
      </c>
      <c r="Q85" s="1637">
        <v>0</v>
      </c>
      <c r="R85" s="1637">
        <v>0</v>
      </c>
      <c r="S85" s="1637">
        <v>0</v>
      </c>
      <c r="U85" s="1656">
        <v>0.62794930999999998</v>
      </c>
      <c r="V85" s="1657">
        <v>0</v>
      </c>
      <c r="W85" s="1657">
        <v>0.62794930999999998</v>
      </c>
      <c r="X85" s="1657">
        <v>0</v>
      </c>
      <c r="Y85" s="1658">
        <v>0</v>
      </c>
    </row>
    <row r="86" spans="3:25" ht="15" thickBot="1" x14ac:dyDescent="0.35">
      <c r="C86" s="1631">
        <v>73</v>
      </c>
      <c r="D86" s="1632" t="s">
        <v>1089</v>
      </c>
      <c r="E86" s="1631">
        <v>16</v>
      </c>
      <c r="F86" s="1632" t="s">
        <v>1090</v>
      </c>
      <c r="G86" s="1631" t="s">
        <v>1036</v>
      </c>
      <c r="H86" s="1631"/>
      <c r="I86" s="1633">
        <v>1</v>
      </c>
      <c r="J86" s="1634"/>
      <c r="K86" s="1631"/>
      <c r="L86" s="1634"/>
      <c r="M86" s="1637">
        <v>0</v>
      </c>
      <c r="N86" s="1637"/>
      <c r="O86" s="1637">
        <v>0</v>
      </c>
      <c r="P86" s="1637">
        <v>0</v>
      </c>
      <c r="Q86" s="1637">
        <v>14</v>
      </c>
      <c r="R86" s="1637">
        <v>0</v>
      </c>
      <c r="S86" s="1637">
        <v>0</v>
      </c>
      <c r="U86" s="1656">
        <v>8.0000000000000004E-4</v>
      </c>
      <c r="V86" s="1657">
        <v>0</v>
      </c>
      <c r="W86" s="1657">
        <v>8.0000000000000004E-4</v>
      </c>
      <c r="X86" s="1657">
        <v>0</v>
      </c>
      <c r="Y86" s="1658">
        <v>0</v>
      </c>
    </row>
    <row r="87" spans="3:25" ht="15" thickBot="1" x14ac:dyDescent="0.35">
      <c r="C87" s="1631">
        <v>74</v>
      </c>
      <c r="D87" s="1632" t="s">
        <v>1089</v>
      </c>
      <c r="E87" s="1631">
        <v>16</v>
      </c>
      <c r="F87" s="1632" t="s">
        <v>1090</v>
      </c>
      <c r="G87" s="1631" t="s">
        <v>1036</v>
      </c>
      <c r="H87" s="1631"/>
      <c r="I87" s="1633">
        <v>1</v>
      </c>
      <c r="J87" s="1634"/>
      <c r="K87" s="1631"/>
      <c r="L87" s="1634"/>
      <c r="M87" s="1637">
        <v>0</v>
      </c>
      <c r="N87" s="1637"/>
      <c r="O87" s="1637">
        <v>0</v>
      </c>
      <c r="P87" s="1637">
        <v>0</v>
      </c>
      <c r="Q87" s="1637">
        <v>29.1</v>
      </c>
      <c r="R87" s="1637">
        <v>0</v>
      </c>
      <c r="S87" s="1637">
        <v>0</v>
      </c>
      <c r="U87" s="1656">
        <v>1.753E-3</v>
      </c>
      <c r="V87" s="1657">
        <v>0</v>
      </c>
      <c r="W87" s="1657">
        <v>1.753E-3</v>
      </c>
      <c r="X87" s="1657">
        <v>0</v>
      </c>
      <c r="Y87" s="1658">
        <v>0</v>
      </c>
    </row>
    <row r="88" spans="3:25" ht="15" thickBot="1" x14ac:dyDescent="0.35">
      <c r="C88" s="1631">
        <v>75</v>
      </c>
      <c r="D88" s="1632" t="s">
        <v>1089</v>
      </c>
      <c r="E88" s="1631">
        <v>16</v>
      </c>
      <c r="F88" s="1632" t="s">
        <v>1090</v>
      </c>
      <c r="G88" s="1631" t="s">
        <v>1036</v>
      </c>
      <c r="H88" s="1631"/>
      <c r="I88" s="1633">
        <v>1</v>
      </c>
      <c r="J88" s="1634"/>
      <c r="K88" s="1631"/>
      <c r="L88" s="1634"/>
      <c r="M88" s="1637">
        <v>0</v>
      </c>
      <c r="N88" s="1637"/>
      <c r="O88" s="1637">
        <v>0</v>
      </c>
      <c r="P88" s="1637">
        <v>0</v>
      </c>
      <c r="Q88" s="1637">
        <v>93.19</v>
      </c>
      <c r="R88" s="1637">
        <v>0</v>
      </c>
      <c r="S88" s="1637">
        <v>0</v>
      </c>
      <c r="U88" s="1656">
        <v>2.5170000000000001E-3</v>
      </c>
      <c r="V88" s="1657">
        <v>0</v>
      </c>
      <c r="W88" s="1657">
        <v>2.5170000000000001E-3</v>
      </c>
      <c r="X88" s="1657">
        <v>0</v>
      </c>
      <c r="Y88" s="1658">
        <v>0</v>
      </c>
    </row>
    <row r="89" spans="3:25" ht="15" thickBot="1" x14ac:dyDescent="0.35">
      <c r="C89" s="1631">
        <v>76</v>
      </c>
      <c r="D89" s="1632" t="s">
        <v>1089</v>
      </c>
      <c r="E89" s="1631">
        <v>16</v>
      </c>
      <c r="F89" s="1632" t="s">
        <v>1090</v>
      </c>
      <c r="G89" s="1631" t="s">
        <v>1036</v>
      </c>
      <c r="H89" s="1631"/>
      <c r="I89" s="1633">
        <v>0</v>
      </c>
      <c r="J89" s="1634"/>
      <c r="K89" s="1631"/>
      <c r="L89" s="1634"/>
      <c r="M89" s="1637">
        <v>0</v>
      </c>
      <c r="N89" s="1637"/>
      <c r="O89" s="1637">
        <v>0</v>
      </c>
      <c r="P89" s="1637">
        <v>0</v>
      </c>
      <c r="Q89" s="1637">
        <v>18.2</v>
      </c>
      <c r="R89" s="1637">
        <v>0</v>
      </c>
      <c r="S89" s="1637">
        <v>0</v>
      </c>
      <c r="U89" s="1656">
        <v>1.3799999999999999E-3</v>
      </c>
      <c r="V89" s="1657">
        <v>0</v>
      </c>
      <c r="W89" s="1657">
        <v>1.3799999999999999E-3</v>
      </c>
      <c r="X89" s="1657">
        <v>0</v>
      </c>
      <c r="Y89" s="1658">
        <v>0</v>
      </c>
    </row>
    <row r="90" spans="3:25" ht="15" thickBot="1" x14ac:dyDescent="0.35">
      <c r="C90" s="1631">
        <v>77</v>
      </c>
      <c r="D90" s="1632" t="s">
        <v>1089</v>
      </c>
      <c r="E90" s="1631">
        <v>16</v>
      </c>
      <c r="F90" s="1632" t="s">
        <v>1090</v>
      </c>
      <c r="G90" s="1631" t="s">
        <v>1036</v>
      </c>
      <c r="H90" s="1631"/>
      <c r="I90" s="1633">
        <v>1</v>
      </c>
      <c r="J90" s="1634"/>
      <c r="K90" s="1631"/>
      <c r="L90" s="1634"/>
      <c r="M90" s="1637">
        <v>0</v>
      </c>
      <c r="N90" s="1637"/>
      <c r="O90" s="1637">
        <v>0</v>
      </c>
      <c r="P90" s="1637">
        <v>0</v>
      </c>
      <c r="Q90" s="1637">
        <v>72.75</v>
      </c>
      <c r="R90" s="1637">
        <v>0</v>
      </c>
      <c r="S90" s="1637">
        <v>0</v>
      </c>
      <c r="U90" s="1656">
        <v>5.0499999999999998E-3</v>
      </c>
      <c r="V90" s="1657">
        <v>0</v>
      </c>
      <c r="W90" s="1657">
        <v>5.0499999999999998E-3</v>
      </c>
      <c r="X90" s="1657">
        <v>0</v>
      </c>
      <c r="Y90" s="1658">
        <v>0</v>
      </c>
    </row>
    <row r="91" spans="3:25" ht="15" thickBot="1" x14ac:dyDescent="0.35">
      <c r="C91" s="1631">
        <v>78</v>
      </c>
      <c r="D91" s="1632" t="s">
        <v>1089</v>
      </c>
      <c r="E91" s="1631">
        <v>16</v>
      </c>
      <c r="F91" s="1632" t="s">
        <v>1090</v>
      </c>
      <c r="G91" s="1631" t="s">
        <v>1036</v>
      </c>
      <c r="H91" s="1631"/>
      <c r="I91" s="1633">
        <v>0</v>
      </c>
      <c r="J91" s="1634"/>
      <c r="K91" s="1631"/>
      <c r="L91" s="1634"/>
      <c r="M91" s="1637">
        <v>0</v>
      </c>
      <c r="N91" s="1637"/>
      <c r="O91" s="1637">
        <v>0</v>
      </c>
      <c r="P91" s="1637">
        <v>0</v>
      </c>
      <c r="Q91" s="1637">
        <v>74.36</v>
      </c>
      <c r="R91" s="1637">
        <v>0</v>
      </c>
      <c r="S91" s="1637">
        <v>0</v>
      </c>
      <c r="U91" s="1656">
        <v>1.9469999999999999E-3</v>
      </c>
      <c r="V91" s="1657">
        <v>0</v>
      </c>
      <c r="W91" s="1657">
        <v>1.9469999999999999E-3</v>
      </c>
      <c r="X91" s="1657">
        <v>0</v>
      </c>
      <c r="Y91" s="1658">
        <v>0</v>
      </c>
    </row>
    <row r="92" spans="3:25" ht="15" thickBot="1" x14ac:dyDescent="0.35">
      <c r="C92" s="1631">
        <v>79</v>
      </c>
      <c r="D92" s="1632" t="s">
        <v>2666</v>
      </c>
      <c r="E92" s="1631">
        <v>2</v>
      </c>
      <c r="F92" s="1632" t="s">
        <v>1090</v>
      </c>
      <c r="G92" s="1631" t="s">
        <v>1036</v>
      </c>
      <c r="H92" s="1631"/>
      <c r="I92" s="1633">
        <v>0</v>
      </c>
      <c r="J92" s="1634"/>
      <c r="K92" s="1631"/>
      <c r="L92" s="1634"/>
      <c r="M92" s="1637">
        <v>0</v>
      </c>
      <c r="N92" s="1637"/>
      <c r="O92" s="1637">
        <v>0</v>
      </c>
      <c r="P92" s="1637">
        <v>0</v>
      </c>
      <c r="Q92" s="1637">
        <v>0</v>
      </c>
      <c r="R92" s="1637">
        <v>0</v>
      </c>
      <c r="S92" s="1637">
        <v>84.91</v>
      </c>
      <c r="U92" s="1656">
        <v>7.7460000000000003E-3</v>
      </c>
      <c r="V92" s="1657">
        <v>0</v>
      </c>
      <c r="W92" s="1657">
        <v>7.7460000000000003E-3</v>
      </c>
      <c r="X92" s="1657">
        <v>0</v>
      </c>
      <c r="Y92" s="1658">
        <v>0</v>
      </c>
    </row>
    <row r="93" spans="3:25" ht="15" thickBot="1" x14ac:dyDescent="0.35">
      <c r="C93" s="1631">
        <v>80</v>
      </c>
      <c r="D93" s="1632" t="s">
        <v>2666</v>
      </c>
      <c r="E93" s="1631">
        <v>2</v>
      </c>
      <c r="F93" s="1632" t="s">
        <v>1090</v>
      </c>
      <c r="G93" s="1631" t="s">
        <v>1036</v>
      </c>
      <c r="H93" s="1631"/>
      <c r="I93" s="1633">
        <v>1</v>
      </c>
      <c r="J93" s="1634"/>
      <c r="K93" s="1631"/>
      <c r="L93" s="1634"/>
      <c r="M93" s="1637">
        <v>0</v>
      </c>
      <c r="N93" s="1637"/>
      <c r="O93" s="1637">
        <v>0</v>
      </c>
      <c r="P93" s="1637">
        <v>0</v>
      </c>
      <c r="Q93" s="1637">
        <v>0</v>
      </c>
      <c r="R93" s="1637">
        <v>0</v>
      </c>
      <c r="S93" s="1637">
        <v>76.400000000000006</v>
      </c>
      <c r="U93" s="1656">
        <v>6.7400000000000003E-3</v>
      </c>
      <c r="V93" s="1657">
        <v>0</v>
      </c>
      <c r="W93" s="1657">
        <v>6.7400000000000003E-3</v>
      </c>
      <c r="X93" s="1657">
        <v>0</v>
      </c>
      <c r="Y93" s="1658">
        <v>0</v>
      </c>
    </row>
    <row r="94" spans="3:25" ht="15" thickBot="1" x14ac:dyDescent="0.35">
      <c r="C94" s="1631">
        <v>81</v>
      </c>
      <c r="D94" s="3417" t="s">
        <v>2666</v>
      </c>
      <c r="E94" s="3416">
        <v>2</v>
      </c>
      <c r="F94" s="3417" t="s">
        <v>1090</v>
      </c>
      <c r="G94" s="3416" t="s">
        <v>1036</v>
      </c>
      <c r="H94" s="3416"/>
      <c r="I94" s="3418">
        <v>0</v>
      </c>
      <c r="J94" s="3419"/>
      <c r="K94" s="3416"/>
      <c r="L94" s="3419"/>
      <c r="M94" s="3415">
        <v>0</v>
      </c>
      <c r="N94" s="3415"/>
      <c r="O94" s="3415">
        <v>0</v>
      </c>
      <c r="P94" s="3415">
        <v>0</v>
      </c>
      <c r="Q94" s="3415">
        <v>0</v>
      </c>
      <c r="R94" s="3415">
        <v>0</v>
      </c>
      <c r="S94" s="3415">
        <v>0</v>
      </c>
      <c r="T94" s="1630"/>
      <c r="U94" s="3420">
        <v>0</v>
      </c>
      <c r="V94" s="3421">
        <v>0</v>
      </c>
      <c r="W94" s="3421">
        <v>0</v>
      </c>
      <c r="X94" s="3421">
        <v>0</v>
      </c>
      <c r="Y94" s="3422">
        <v>0</v>
      </c>
    </row>
    <row r="95" spans="3:25" ht="15" thickBot="1" x14ac:dyDescent="0.35">
      <c r="C95" s="1631">
        <v>82</v>
      </c>
      <c r="D95" s="1632" t="s">
        <v>2666</v>
      </c>
      <c r="E95" s="1631">
        <v>2</v>
      </c>
      <c r="F95" s="1632" t="s">
        <v>1090</v>
      </c>
      <c r="G95" s="1631" t="s">
        <v>1036</v>
      </c>
      <c r="H95" s="1631"/>
      <c r="I95" s="1633">
        <v>0</v>
      </c>
      <c r="J95" s="1634"/>
      <c r="K95" s="1631"/>
      <c r="L95" s="1634"/>
      <c r="M95" s="1637">
        <v>0</v>
      </c>
      <c r="N95" s="1637"/>
      <c r="O95" s="1637">
        <v>0</v>
      </c>
      <c r="P95" s="1637">
        <v>0</v>
      </c>
      <c r="Q95" s="1637">
        <v>0</v>
      </c>
      <c r="R95" s="1637">
        <v>0</v>
      </c>
      <c r="S95" s="1637">
        <v>75.400000000000006</v>
      </c>
      <c r="U95" s="1656">
        <v>7.1279999999999998E-3</v>
      </c>
      <c r="V95" s="1657">
        <v>0</v>
      </c>
      <c r="W95" s="1657">
        <v>7.1279999999999998E-3</v>
      </c>
      <c r="X95" s="1657">
        <v>0</v>
      </c>
      <c r="Y95" s="1658">
        <v>0</v>
      </c>
    </row>
    <row r="96" spans="3:25" ht="15" thickBot="1" x14ac:dyDescent="0.35">
      <c r="C96" s="1631">
        <v>83</v>
      </c>
      <c r="D96" s="1632" t="s">
        <v>1091</v>
      </c>
      <c r="E96" s="1631">
        <v>5</v>
      </c>
      <c r="F96" s="1632" t="s">
        <v>1050</v>
      </c>
      <c r="G96" s="1631" t="s">
        <v>1036</v>
      </c>
      <c r="H96" s="1631"/>
      <c r="I96" s="3418">
        <v>129</v>
      </c>
      <c r="J96" s="1634"/>
      <c r="K96" s="1631"/>
      <c r="L96" s="1634"/>
      <c r="M96" s="3415">
        <v>5139.3999999999996</v>
      </c>
      <c r="N96" s="1637"/>
      <c r="O96" s="3415">
        <v>5027.7</v>
      </c>
      <c r="P96" s="1637">
        <v>111.7</v>
      </c>
      <c r="Q96" s="1637">
        <v>0</v>
      </c>
      <c r="R96" s="1637">
        <v>0</v>
      </c>
      <c r="S96" s="1637">
        <v>0</v>
      </c>
      <c r="U96" s="1656">
        <v>0.367943458</v>
      </c>
      <c r="V96" s="1657">
        <v>9.0723401170331416E-5</v>
      </c>
      <c r="W96" s="1657">
        <v>0.36785273459882967</v>
      </c>
      <c r="X96" s="1657">
        <v>4.881750339311988E-3</v>
      </c>
      <c r="Y96" s="1658">
        <v>76</v>
      </c>
    </row>
    <row r="97" spans="3:25" ht="15" thickBot="1" x14ac:dyDescent="0.35">
      <c r="C97" s="1631">
        <v>84</v>
      </c>
      <c r="D97" s="1632" t="s">
        <v>1092</v>
      </c>
      <c r="E97" s="1631">
        <v>5</v>
      </c>
      <c r="F97" s="1632" t="s">
        <v>1067</v>
      </c>
      <c r="G97" s="1631" t="s">
        <v>1036</v>
      </c>
      <c r="H97" s="1631"/>
      <c r="I97" s="1633">
        <v>39</v>
      </c>
      <c r="J97" s="1634"/>
      <c r="K97" s="1631"/>
      <c r="L97" s="1634"/>
      <c r="M97" s="1637">
        <v>1786.3</v>
      </c>
      <c r="N97" s="1637"/>
      <c r="O97" s="1637">
        <v>1745.2</v>
      </c>
      <c r="P97" s="1637">
        <v>0</v>
      </c>
      <c r="Q97" s="1637">
        <v>0</v>
      </c>
      <c r="R97" s="1637">
        <v>0</v>
      </c>
      <c r="S97" s="1637">
        <v>0</v>
      </c>
      <c r="U97" s="1656">
        <v>0.11225244</v>
      </c>
      <c r="V97" s="1657">
        <v>0</v>
      </c>
      <c r="W97" s="1657">
        <v>0.11225244</v>
      </c>
      <c r="X97" s="1657">
        <v>0</v>
      </c>
      <c r="Y97" s="1658">
        <v>0</v>
      </c>
    </row>
    <row r="98" spans="3:25" ht="15" thickBot="1" x14ac:dyDescent="0.35">
      <c r="C98" s="1631">
        <v>85</v>
      </c>
      <c r="D98" s="1632" t="s">
        <v>1092</v>
      </c>
      <c r="E98" s="1631">
        <v>5</v>
      </c>
      <c r="F98" s="1632" t="s">
        <v>1067</v>
      </c>
      <c r="G98" s="1631" t="s">
        <v>1036</v>
      </c>
      <c r="H98" s="1631"/>
      <c r="I98" s="1633">
        <v>1</v>
      </c>
      <c r="J98" s="1634"/>
      <c r="K98" s="1631"/>
      <c r="L98" s="1634"/>
      <c r="M98" s="1637">
        <v>0</v>
      </c>
      <c r="N98" s="1637"/>
      <c r="O98" s="1637">
        <v>0</v>
      </c>
      <c r="P98" s="1637">
        <v>0</v>
      </c>
      <c r="Q98" s="1637">
        <v>41.1</v>
      </c>
      <c r="R98" s="1637">
        <v>0</v>
      </c>
      <c r="S98" s="1637">
        <v>0</v>
      </c>
      <c r="U98" s="1656">
        <v>2.3E-3</v>
      </c>
      <c r="V98" s="1657">
        <v>0</v>
      </c>
      <c r="W98" s="1657">
        <v>2.3E-3</v>
      </c>
      <c r="X98" s="1657">
        <v>0</v>
      </c>
      <c r="Y98" s="1658">
        <v>0</v>
      </c>
    </row>
    <row r="99" spans="3:25" ht="15" thickBot="1" x14ac:dyDescent="0.35">
      <c r="C99" s="1631">
        <v>86</v>
      </c>
      <c r="D99" s="1632" t="s">
        <v>1093</v>
      </c>
      <c r="E99" s="1631">
        <v>5</v>
      </c>
      <c r="F99" s="1632" t="s">
        <v>1088</v>
      </c>
      <c r="G99" s="1631" t="s">
        <v>1036</v>
      </c>
      <c r="H99" s="1631"/>
      <c r="I99" s="1633">
        <v>94</v>
      </c>
      <c r="J99" s="1634"/>
      <c r="K99" s="1631"/>
      <c r="L99" s="1634"/>
      <c r="M99" s="1637">
        <v>4584.3900000000003</v>
      </c>
      <c r="N99" s="1637"/>
      <c r="O99" s="1637">
        <v>4248.09</v>
      </c>
      <c r="P99" s="1637">
        <v>0</v>
      </c>
      <c r="Q99" s="1637">
        <v>0</v>
      </c>
      <c r="R99" s="1637">
        <v>0</v>
      </c>
      <c r="S99" s="1637">
        <v>0</v>
      </c>
      <c r="U99" s="1656">
        <v>0.23026147999999999</v>
      </c>
      <c r="V99" s="1657">
        <v>0</v>
      </c>
      <c r="W99" s="1657">
        <v>0.23026147999999999</v>
      </c>
      <c r="X99" s="1657">
        <v>3.1317513209400999E-3</v>
      </c>
      <c r="Y99" s="1658">
        <v>66</v>
      </c>
    </row>
    <row r="100" spans="3:25" ht="15" thickBot="1" x14ac:dyDescent="0.35">
      <c r="C100" s="1631">
        <v>87</v>
      </c>
      <c r="D100" s="1632" t="s">
        <v>1093</v>
      </c>
      <c r="E100" s="1631">
        <v>5</v>
      </c>
      <c r="F100" s="1632" t="s">
        <v>1088</v>
      </c>
      <c r="G100" s="1631" t="s">
        <v>1036</v>
      </c>
      <c r="H100" s="1631"/>
      <c r="I100" s="1633">
        <v>1</v>
      </c>
      <c r="J100" s="1634"/>
      <c r="K100" s="1631"/>
      <c r="L100" s="1634"/>
      <c r="M100" s="1637">
        <v>0</v>
      </c>
      <c r="N100" s="1637"/>
      <c r="O100" s="1637">
        <v>0</v>
      </c>
      <c r="P100" s="1637">
        <v>0</v>
      </c>
      <c r="Q100" s="1637">
        <v>16.2</v>
      </c>
      <c r="R100" s="1637">
        <v>0</v>
      </c>
      <c r="S100" s="1637">
        <v>0</v>
      </c>
      <c r="U100" s="1656">
        <v>9.2800000000000001E-4</v>
      </c>
      <c r="V100" s="1657">
        <v>0</v>
      </c>
      <c r="W100" s="1657">
        <v>9.2800000000000001E-4</v>
      </c>
      <c r="X100" s="1657">
        <v>0</v>
      </c>
      <c r="Y100" s="1658">
        <v>0</v>
      </c>
    </row>
    <row r="101" spans="3:25" ht="15" thickBot="1" x14ac:dyDescent="0.35">
      <c r="C101" s="1631">
        <v>88</v>
      </c>
      <c r="D101" s="1632" t="s">
        <v>1093</v>
      </c>
      <c r="E101" s="1631">
        <v>5</v>
      </c>
      <c r="F101" s="1632" t="s">
        <v>1088</v>
      </c>
      <c r="G101" s="1631" t="s">
        <v>1036</v>
      </c>
      <c r="H101" s="1631"/>
      <c r="I101" s="1633">
        <v>1</v>
      </c>
      <c r="J101" s="1634"/>
      <c r="K101" s="1631"/>
      <c r="L101" s="1634"/>
      <c r="M101" s="1637">
        <v>0</v>
      </c>
      <c r="N101" s="1637"/>
      <c r="O101" s="1637">
        <v>0</v>
      </c>
      <c r="P101" s="1637">
        <v>0</v>
      </c>
      <c r="Q101" s="1637">
        <v>22.8</v>
      </c>
      <c r="R101" s="1637">
        <v>0</v>
      </c>
      <c r="S101" s="1637">
        <v>0</v>
      </c>
      <c r="U101" s="1656">
        <v>1.2719999999999999E-3</v>
      </c>
      <c r="V101" s="1657">
        <v>0</v>
      </c>
      <c r="W101" s="1657">
        <v>1.2719999999999999E-3</v>
      </c>
      <c r="X101" s="1657">
        <v>0</v>
      </c>
      <c r="Y101" s="1658">
        <v>0</v>
      </c>
    </row>
    <row r="102" spans="3:25" ht="15" thickBot="1" x14ac:dyDescent="0.35">
      <c r="C102" s="1631">
        <v>89</v>
      </c>
      <c r="D102" s="1632" t="s">
        <v>1093</v>
      </c>
      <c r="E102" s="1631">
        <v>5</v>
      </c>
      <c r="F102" s="1632" t="s">
        <v>1088</v>
      </c>
      <c r="G102" s="1631" t="s">
        <v>1036</v>
      </c>
      <c r="H102" s="1631"/>
      <c r="I102" s="1633">
        <v>1</v>
      </c>
      <c r="J102" s="1634"/>
      <c r="K102" s="1631"/>
      <c r="L102" s="1634"/>
      <c r="M102" s="1637">
        <v>0</v>
      </c>
      <c r="N102" s="1637"/>
      <c r="O102" s="1637">
        <v>0</v>
      </c>
      <c r="P102" s="1637">
        <v>0</v>
      </c>
      <c r="Q102" s="1637">
        <v>95.4</v>
      </c>
      <c r="R102" s="1637">
        <v>0</v>
      </c>
      <c r="S102" s="1637">
        <v>0</v>
      </c>
      <c r="U102" s="1656">
        <v>2.7360000000000002E-3</v>
      </c>
      <c r="V102" s="1657">
        <v>0</v>
      </c>
      <c r="W102" s="1657">
        <v>2.7360000000000002E-3</v>
      </c>
      <c r="X102" s="1657">
        <v>0</v>
      </c>
      <c r="Y102" s="1658">
        <v>0</v>
      </c>
    </row>
    <row r="103" spans="3:25" ht="15" thickBot="1" x14ac:dyDescent="0.35">
      <c r="C103" s="1631">
        <v>90</v>
      </c>
      <c r="D103" s="1632" t="s">
        <v>1093</v>
      </c>
      <c r="E103" s="1631">
        <v>5</v>
      </c>
      <c r="F103" s="1632" t="s">
        <v>1088</v>
      </c>
      <c r="G103" s="1631" t="s">
        <v>1036</v>
      </c>
      <c r="H103" s="1631"/>
      <c r="I103" s="1633">
        <v>1</v>
      </c>
      <c r="J103" s="1634"/>
      <c r="K103" s="1631"/>
      <c r="L103" s="1634"/>
      <c r="M103" s="1637">
        <v>0</v>
      </c>
      <c r="N103" s="1637"/>
      <c r="O103" s="1637">
        <v>0</v>
      </c>
      <c r="P103" s="1637">
        <v>0</v>
      </c>
      <c r="Q103" s="1637">
        <v>44.9</v>
      </c>
      <c r="R103" s="1637">
        <v>0</v>
      </c>
      <c r="S103" s="1637">
        <v>0</v>
      </c>
      <c r="U103" s="1656">
        <v>1.24E-3</v>
      </c>
      <c r="V103" s="1657">
        <v>0</v>
      </c>
      <c r="W103" s="1657">
        <v>1.24E-3</v>
      </c>
      <c r="X103" s="1657">
        <v>0</v>
      </c>
      <c r="Y103" s="1658">
        <v>0</v>
      </c>
    </row>
    <row r="104" spans="3:25" ht="15" thickBot="1" x14ac:dyDescent="0.35">
      <c r="C104" s="1631">
        <v>91</v>
      </c>
      <c r="D104" s="1632" t="s">
        <v>1093</v>
      </c>
      <c r="E104" s="1631">
        <v>5</v>
      </c>
      <c r="F104" s="1632" t="s">
        <v>1088</v>
      </c>
      <c r="G104" s="1631" t="s">
        <v>1036</v>
      </c>
      <c r="H104" s="1631"/>
      <c r="I104" s="1633">
        <v>1</v>
      </c>
      <c r="J104" s="1634"/>
      <c r="K104" s="1631"/>
      <c r="L104" s="1634"/>
      <c r="M104" s="1637">
        <v>0</v>
      </c>
      <c r="N104" s="1637"/>
      <c r="O104" s="1637">
        <v>0</v>
      </c>
      <c r="P104" s="1637">
        <v>0</v>
      </c>
      <c r="Q104" s="1637">
        <v>81.400000000000006</v>
      </c>
      <c r="R104" s="1637">
        <v>0</v>
      </c>
      <c r="S104" s="1637">
        <v>0</v>
      </c>
      <c r="U104" s="1656">
        <v>4.7000000000000002E-3</v>
      </c>
      <c r="V104" s="1657">
        <v>0</v>
      </c>
      <c r="W104" s="1657">
        <v>4.7000000000000002E-3</v>
      </c>
      <c r="X104" s="1657">
        <v>0</v>
      </c>
      <c r="Y104" s="1658">
        <v>0</v>
      </c>
    </row>
    <row r="105" spans="3:25" ht="15" thickBot="1" x14ac:dyDescent="0.35">
      <c r="C105" s="1631">
        <v>92</v>
      </c>
      <c r="D105" s="1632" t="s">
        <v>1093</v>
      </c>
      <c r="E105" s="1631">
        <v>5</v>
      </c>
      <c r="F105" s="1632" t="s">
        <v>1088</v>
      </c>
      <c r="G105" s="1631" t="s">
        <v>1036</v>
      </c>
      <c r="H105" s="1631"/>
      <c r="I105" s="1633">
        <v>1</v>
      </c>
      <c r="J105" s="1634"/>
      <c r="K105" s="1631"/>
      <c r="L105" s="1634"/>
      <c r="M105" s="1637">
        <v>0</v>
      </c>
      <c r="N105" s="1637"/>
      <c r="O105" s="1637">
        <v>0</v>
      </c>
      <c r="P105" s="1637">
        <v>0</v>
      </c>
      <c r="Q105" s="1637">
        <v>75.599999999999994</v>
      </c>
      <c r="R105" s="1637">
        <v>0</v>
      </c>
      <c r="S105" s="1637">
        <v>0</v>
      </c>
      <c r="U105" s="1656">
        <v>2.8999999999999998E-3</v>
      </c>
      <c r="V105" s="1657">
        <v>0</v>
      </c>
      <c r="W105" s="1657">
        <v>2.8999999999999998E-3</v>
      </c>
      <c r="X105" s="1657">
        <v>0</v>
      </c>
      <c r="Y105" s="1658">
        <v>0</v>
      </c>
    </row>
    <row r="106" spans="3:25" ht="15" thickBot="1" x14ac:dyDescent="0.35">
      <c r="C106" s="1631">
        <v>93</v>
      </c>
      <c r="D106" s="1632" t="s">
        <v>1093</v>
      </c>
      <c r="E106" s="1631">
        <v>1</v>
      </c>
      <c r="F106" s="1632" t="s">
        <v>1088</v>
      </c>
      <c r="G106" s="1631" t="s">
        <v>1036</v>
      </c>
      <c r="H106" s="1631"/>
      <c r="I106" s="1633">
        <v>0</v>
      </c>
      <c r="J106" s="1634"/>
      <c r="K106" s="1631"/>
      <c r="L106" s="1634"/>
      <c r="M106" s="1637">
        <v>0</v>
      </c>
      <c r="N106" s="1637"/>
      <c r="O106" s="1637">
        <v>0</v>
      </c>
      <c r="P106" s="1637">
        <v>0</v>
      </c>
      <c r="Q106" s="1637">
        <v>0</v>
      </c>
      <c r="R106" s="1637">
        <v>0</v>
      </c>
      <c r="S106" s="1637">
        <v>17</v>
      </c>
      <c r="U106" s="1656">
        <v>3.3370000000000001E-3</v>
      </c>
      <c r="V106" s="1657">
        <v>0</v>
      </c>
      <c r="W106" s="1657">
        <v>3.3370000000000001E-3</v>
      </c>
      <c r="X106" s="1657">
        <v>0</v>
      </c>
      <c r="Y106" s="1658">
        <v>0</v>
      </c>
    </row>
    <row r="107" spans="3:25" ht="15" thickBot="1" x14ac:dyDescent="0.35">
      <c r="C107" s="1631">
        <v>94</v>
      </c>
      <c r="D107" s="1632" t="s">
        <v>1093</v>
      </c>
      <c r="E107" s="1631">
        <v>1</v>
      </c>
      <c r="F107" s="1632" t="s">
        <v>1088</v>
      </c>
      <c r="G107" s="1631" t="s">
        <v>1036</v>
      </c>
      <c r="H107" s="1631"/>
      <c r="I107" s="1633">
        <v>0</v>
      </c>
      <c r="J107" s="1634"/>
      <c r="K107" s="1631"/>
      <c r="L107" s="1634"/>
      <c r="M107" s="1637">
        <v>0</v>
      </c>
      <c r="N107" s="1637"/>
      <c r="O107" s="1637">
        <v>0</v>
      </c>
      <c r="P107" s="1637">
        <v>0</v>
      </c>
      <c r="Q107" s="1637">
        <v>0</v>
      </c>
      <c r="R107" s="1637">
        <v>0</v>
      </c>
      <c r="S107" s="1637">
        <v>22.8</v>
      </c>
      <c r="U107" s="1656">
        <v>1.24E-3</v>
      </c>
      <c r="V107" s="1657">
        <v>0</v>
      </c>
      <c r="W107" s="1657">
        <v>1.24E-3</v>
      </c>
      <c r="X107" s="1657">
        <v>0</v>
      </c>
      <c r="Y107" s="1658">
        <v>0</v>
      </c>
    </row>
    <row r="108" spans="3:25" ht="15" thickBot="1" x14ac:dyDescent="0.35">
      <c r="C108" s="1631">
        <v>95</v>
      </c>
      <c r="D108" s="1632" t="s">
        <v>1093</v>
      </c>
      <c r="E108" s="1631">
        <v>1</v>
      </c>
      <c r="F108" s="1632" t="s">
        <v>1088</v>
      </c>
      <c r="G108" s="1631" t="s">
        <v>1036</v>
      </c>
      <c r="H108" s="1631"/>
      <c r="I108" s="1633">
        <v>0</v>
      </c>
      <c r="J108" s="1634"/>
      <c r="K108" s="1631"/>
      <c r="L108" s="1634"/>
      <c r="M108" s="1637">
        <v>0</v>
      </c>
      <c r="N108" s="1637"/>
      <c r="O108" s="1637">
        <v>0</v>
      </c>
      <c r="P108" s="1637">
        <v>0</v>
      </c>
      <c r="Q108" s="1637">
        <v>0</v>
      </c>
      <c r="R108" s="1637">
        <v>0</v>
      </c>
      <c r="S108" s="1637">
        <v>0</v>
      </c>
      <c r="U108" s="1656">
        <v>0</v>
      </c>
      <c r="V108" s="1657">
        <v>0</v>
      </c>
      <c r="W108" s="1657">
        <v>0</v>
      </c>
      <c r="X108" s="1657">
        <v>0</v>
      </c>
      <c r="Y108" s="1658">
        <v>0</v>
      </c>
    </row>
    <row r="109" spans="3:25" ht="15" thickBot="1" x14ac:dyDescent="0.35">
      <c r="C109" s="1631">
        <v>96</v>
      </c>
      <c r="D109" s="1632" t="s">
        <v>1094</v>
      </c>
      <c r="E109" s="1631">
        <v>5</v>
      </c>
      <c r="F109" s="1632" t="s">
        <v>1074</v>
      </c>
      <c r="G109" s="1631" t="s">
        <v>1036</v>
      </c>
      <c r="H109" s="1631"/>
      <c r="I109" s="1633">
        <v>100</v>
      </c>
      <c r="J109" s="1634"/>
      <c r="K109" s="1631"/>
      <c r="L109" s="1634"/>
      <c r="M109" s="1637">
        <v>4486.8999999999996</v>
      </c>
      <c r="N109" s="1637"/>
      <c r="O109" s="1637">
        <v>4486.8999999999996</v>
      </c>
      <c r="P109" s="1637">
        <v>0</v>
      </c>
      <c r="Q109" s="1637">
        <v>0</v>
      </c>
      <c r="R109" s="1637">
        <v>0</v>
      </c>
      <c r="S109" s="1637">
        <v>0</v>
      </c>
      <c r="U109" s="1656">
        <v>0.25000802999999999</v>
      </c>
      <c r="V109" s="1657">
        <v>0</v>
      </c>
      <c r="W109" s="1657">
        <v>0.25000802999999999</v>
      </c>
      <c r="X109" s="1657">
        <v>3.22512985192361E-3</v>
      </c>
      <c r="Y109" s="1658">
        <v>66</v>
      </c>
    </row>
    <row r="110" spans="3:25" ht="15" thickBot="1" x14ac:dyDescent="0.35">
      <c r="C110" s="1631">
        <v>97</v>
      </c>
      <c r="D110" s="1632" t="s">
        <v>1987</v>
      </c>
      <c r="E110" s="1631">
        <v>5</v>
      </c>
      <c r="F110" s="1632" t="s">
        <v>1067</v>
      </c>
      <c r="G110" s="1631" t="s">
        <v>1036</v>
      </c>
      <c r="H110" s="1631"/>
      <c r="I110" s="1633">
        <v>54</v>
      </c>
      <c r="J110" s="1634"/>
      <c r="K110" s="1631"/>
      <c r="L110" s="1634"/>
      <c r="M110" s="1637">
        <v>2470.9</v>
      </c>
      <c r="N110" s="1637"/>
      <c r="O110" s="1637">
        <v>2223.9</v>
      </c>
      <c r="P110" s="1637">
        <v>0</v>
      </c>
      <c r="Q110" s="1637">
        <v>0</v>
      </c>
      <c r="R110" s="1637">
        <v>0</v>
      </c>
      <c r="S110" s="1637">
        <v>0</v>
      </c>
      <c r="U110" s="1656">
        <v>0.13149739999999999</v>
      </c>
      <c r="V110" s="1657">
        <v>0</v>
      </c>
      <c r="W110" s="1657">
        <v>0.13149739999999999</v>
      </c>
      <c r="X110" s="1657">
        <v>2.4845622716806949E-3</v>
      </c>
      <c r="Y110" s="1658">
        <v>48</v>
      </c>
    </row>
    <row r="111" spans="3:25" ht="15" thickBot="1" x14ac:dyDescent="0.35">
      <c r="C111" s="1631">
        <v>98</v>
      </c>
      <c r="D111" s="1632" t="s">
        <v>1987</v>
      </c>
      <c r="E111" s="1631">
        <v>5</v>
      </c>
      <c r="F111" s="1632" t="s">
        <v>1067</v>
      </c>
      <c r="G111" s="1631" t="s">
        <v>1036</v>
      </c>
      <c r="H111" s="1631"/>
      <c r="I111" s="1633">
        <v>0</v>
      </c>
      <c r="J111" s="1634"/>
      <c r="K111" s="1631"/>
      <c r="L111" s="1634"/>
      <c r="M111" s="1637">
        <v>0</v>
      </c>
      <c r="N111" s="1637"/>
      <c r="O111" s="1637">
        <v>0</v>
      </c>
      <c r="P111" s="1637">
        <v>0</v>
      </c>
      <c r="Q111" s="1637">
        <v>86.6</v>
      </c>
      <c r="R111" s="1637">
        <v>0</v>
      </c>
      <c r="S111" s="1637">
        <v>0</v>
      </c>
      <c r="U111" s="1656">
        <v>6.711E-3</v>
      </c>
      <c r="V111" s="1657">
        <v>0</v>
      </c>
      <c r="W111" s="1657">
        <v>6.711E-3</v>
      </c>
      <c r="X111" s="1657">
        <v>0</v>
      </c>
      <c r="Y111" s="1658">
        <v>0</v>
      </c>
    </row>
    <row r="112" spans="3:25" ht="15" thickBot="1" x14ac:dyDescent="0.35">
      <c r="C112" s="1631">
        <v>99</v>
      </c>
      <c r="D112" s="1632" t="s">
        <v>1987</v>
      </c>
      <c r="E112" s="1631">
        <v>5</v>
      </c>
      <c r="F112" s="1632" t="s">
        <v>1067</v>
      </c>
      <c r="G112" s="1631" t="s">
        <v>1036</v>
      </c>
      <c r="H112" s="1631"/>
      <c r="I112" s="1633">
        <v>1</v>
      </c>
      <c r="J112" s="1634"/>
      <c r="K112" s="1631"/>
      <c r="L112" s="1634"/>
      <c r="M112" s="1637">
        <v>0</v>
      </c>
      <c r="N112" s="1637"/>
      <c r="O112" s="1637">
        <v>0</v>
      </c>
      <c r="P112" s="1637">
        <v>0</v>
      </c>
      <c r="Q112" s="1637">
        <v>30.6</v>
      </c>
      <c r="R112" s="1637">
        <v>0</v>
      </c>
      <c r="S112" s="1637">
        <v>0</v>
      </c>
      <c r="U112" s="1656">
        <v>1.8400000000000001E-3</v>
      </c>
      <c r="V112" s="1657">
        <v>0</v>
      </c>
      <c r="W112" s="1657">
        <v>1.8400000000000001E-3</v>
      </c>
      <c r="X112" s="1657">
        <v>0</v>
      </c>
      <c r="Y112" s="1658">
        <v>0</v>
      </c>
    </row>
    <row r="113" spans="3:25" ht="15" thickBot="1" x14ac:dyDescent="0.35">
      <c r="C113" s="1631">
        <v>100</v>
      </c>
      <c r="D113" s="1632" t="s">
        <v>1987</v>
      </c>
      <c r="E113" s="1631">
        <v>5</v>
      </c>
      <c r="F113" s="1632" t="s">
        <v>1067</v>
      </c>
      <c r="G113" s="1631" t="s">
        <v>1036</v>
      </c>
      <c r="H113" s="1631"/>
      <c r="I113" s="1633">
        <v>1</v>
      </c>
      <c r="J113" s="1634"/>
      <c r="K113" s="1631"/>
      <c r="L113" s="1634"/>
      <c r="M113" s="1637">
        <v>0</v>
      </c>
      <c r="N113" s="1637"/>
      <c r="O113" s="1637">
        <v>0</v>
      </c>
      <c r="P113" s="1637">
        <v>0</v>
      </c>
      <c r="Q113" s="1637">
        <v>45.3</v>
      </c>
      <c r="R113" s="1637">
        <v>0</v>
      </c>
      <c r="S113" s="1637">
        <v>0</v>
      </c>
      <c r="U113" s="1656">
        <v>2.6554E-3</v>
      </c>
      <c r="V113" s="1657">
        <v>0</v>
      </c>
      <c r="W113" s="1657">
        <v>2.6554E-3</v>
      </c>
      <c r="X113" s="1657">
        <v>0</v>
      </c>
      <c r="Y113" s="1658">
        <v>0</v>
      </c>
    </row>
    <row r="114" spans="3:25" ht="15" thickBot="1" x14ac:dyDescent="0.35">
      <c r="C114" s="1631">
        <v>101</v>
      </c>
      <c r="D114" s="1632" t="s">
        <v>1987</v>
      </c>
      <c r="E114" s="1631">
        <v>5</v>
      </c>
      <c r="F114" s="1632" t="s">
        <v>1067</v>
      </c>
      <c r="G114" s="1631" t="s">
        <v>1036</v>
      </c>
      <c r="H114" s="1631"/>
      <c r="I114" s="1633">
        <v>1</v>
      </c>
      <c r="J114" s="1634"/>
      <c r="K114" s="1631"/>
      <c r="L114" s="1634"/>
      <c r="M114" s="1637">
        <v>0</v>
      </c>
      <c r="N114" s="1637"/>
      <c r="O114" s="1637">
        <v>0</v>
      </c>
      <c r="P114" s="1637">
        <v>0</v>
      </c>
      <c r="Q114" s="1637">
        <v>84.5</v>
      </c>
      <c r="R114" s="1637">
        <v>0</v>
      </c>
      <c r="S114" s="1637">
        <v>0</v>
      </c>
      <c r="U114" s="1656">
        <v>5.2430000000000003E-3</v>
      </c>
      <c r="V114" s="1657">
        <v>0</v>
      </c>
      <c r="W114" s="1657">
        <v>5.2430000000000003E-3</v>
      </c>
      <c r="X114" s="1657">
        <v>0</v>
      </c>
      <c r="Y114" s="1658">
        <v>0</v>
      </c>
    </row>
    <row r="115" spans="3:25" ht="15" thickBot="1" x14ac:dyDescent="0.35">
      <c r="C115" s="1631">
        <v>102</v>
      </c>
      <c r="D115" s="1632" t="s">
        <v>1095</v>
      </c>
      <c r="E115" s="1631">
        <v>5</v>
      </c>
      <c r="F115" s="1632" t="s">
        <v>1074</v>
      </c>
      <c r="G115" s="1631" t="s">
        <v>1036</v>
      </c>
      <c r="H115" s="1631"/>
      <c r="I115" s="1633">
        <v>67</v>
      </c>
      <c r="J115" s="1634"/>
      <c r="K115" s="1631"/>
      <c r="L115" s="1634"/>
      <c r="M115" s="1637">
        <v>3230.4</v>
      </c>
      <c r="N115" s="1637"/>
      <c r="O115" s="1637">
        <v>2667.5</v>
      </c>
      <c r="P115" s="1637">
        <v>0</v>
      </c>
      <c r="Q115" s="1637">
        <v>0</v>
      </c>
      <c r="R115" s="1637">
        <v>0</v>
      </c>
      <c r="S115" s="1637">
        <v>0</v>
      </c>
      <c r="U115" s="1656">
        <v>0.17801875</v>
      </c>
      <c r="V115" s="1657">
        <v>0</v>
      </c>
      <c r="W115" s="1657">
        <v>0.17801875</v>
      </c>
      <c r="X115" s="1657">
        <v>0</v>
      </c>
      <c r="Y115" s="1658">
        <v>0</v>
      </c>
    </row>
    <row r="116" spans="3:25" ht="15" thickBot="1" x14ac:dyDescent="0.35">
      <c r="C116" s="1631">
        <v>103</v>
      </c>
      <c r="D116" s="1632" t="s">
        <v>1095</v>
      </c>
      <c r="E116" s="1631">
        <v>5</v>
      </c>
      <c r="F116" s="1632" t="s">
        <v>1074</v>
      </c>
      <c r="G116" s="1631" t="s">
        <v>1036</v>
      </c>
      <c r="H116" s="1631"/>
      <c r="I116" s="1633">
        <v>1</v>
      </c>
      <c r="J116" s="1634"/>
      <c r="K116" s="1631"/>
      <c r="L116" s="1634"/>
      <c r="M116" s="1637">
        <v>0</v>
      </c>
      <c r="N116" s="1637"/>
      <c r="O116" s="1637">
        <v>0</v>
      </c>
      <c r="P116" s="1637">
        <v>0</v>
      </c>
      <c r="Q116" s="1637">
        <v>28.1</v>
      </c>
      <c r="R116" s="1637">
        <v>0</v>
      </c>
      <c r="S116" s="1637">
        <v>0</v>
      </c>
      <c r="U116" s="1656">
        <v>1.9E-3</v>
      </c>
      <c r="V116" s="1657">
        <v>0</v>
      </c>
      <c r="W116" s="1657">
        <v>1.9E-3</v>
      </c>
      <c r="X116" s="1657">
        <v>0</v>
      </c>
      <c r="Y116" s="1658">
        <v>0</v>
      </c>
    </row>
    <row r="117" spans="3:25" ht="15" thickBot="1" x14ac:dyDescent="0.35">
      <c r="C117" s="1631">
        <v>104</v>
      </c>
      <c r="D117" s="1632" t="s">
        <v>1095</v>
      </c>
      <c r="E117" s="1631">
        <v>5</v>
      </c>
      <c r="F117" s="1632" t="s">
        <v>1074</v>
      </c>
      <c r="G117" s="1631" t="s">
        <v>1036</v>
      </c>
      <c r="H117" s="1631"/>
      <c r="I117" s="1633">
        <v>1</v>
      </c>
      <c r="J117" s="1634"/>
      <c r="K117" s="1631"/>
      <c r="L117" s="1634"/>
      <c r="M117" s="1637">
        <v>0</v>
      </c>
      <c r="N117" s="1637"/>
      <c r="O117" s="1637">
        <v>0</v>
      </c>
      <c r="P117" s="1637">
        <v>0</v>
      </c>
      <c r="Q117" s="1637">
        <v>52.8</v>
      </c>
      <c r="R117" s="1637">
        <v>0</v>
      </c>
      <c r="S117" s="1637">
        <v>0</v>
      </c>
      <c r="U117" s="1656">
        <v>3.5669999999999999E-3</v>
      </c>
      <c r="V117" s="1657">
        <v>0</v>
      </c>
      <c r="W117" s="1657">
        <v>3.5669999999999999E-3</v>
      </c>
      <c r="X117" s="1657">
        <v>0</v>
      </c>
      <c r="Y117" s="1658">
        <v>0</v>
      </c>
    </row>
    <row r="118" spans="3:25" ht="15" thickBot="1" x14ac:dyDescent="0.35">
      <c r="C118" s="1631">
        <v>105</v>
      </c>
      <c r="D118" s="1632" t="s">
        <v>1095</v>
      </c>
      <c r="E118" s="1631">
        <v>5</v>
      </c>
      <c r="F118" s="1632" t="s">
        <v>1074</v>
      </c>
      <c r="G118" s="1631" t="s">
        <v>1036</v>
      </c>
      <c r="H118" s="1631"/>
      <c r="I118" s="1633">
        <v>1</v>
      </c>
      <c r="J118" s="1634"/>
      <c r="K118" s="1631"/>
      <c r="L118" s="1634"/>
      <c r="M118" s="1637">
        <v>0</v>
      </c>
      <c r="N118" s="1637"/>
      <c r="O118" s="1637">
        <v>0</v>
      </c>
      <c r="P118" s="1637">
        <v>0</v>
      </c>
      <c r="Q118" s="1637">
        <v>56.7</v>
      </c>
      <c r="R118" s="1637">
        <v>0</v>
      </c>
      <c r="S118" s="1637">
        <v>0</v>
      </c>
      <c r="U118" s="1656">
        <v>2.1210000000000001E-3</v>
      </c>
      <c r="V118" s="1657">
        <v>0</v>
      </c>
      <c r="W118" s="1657">
        <v>2.1210000000000001E-3</v>
      </c>
      <c r="X118" s="1657">
        <v>0</v>
      </c>
      <c r="Y118" s="1658">
        <v>0</v>
      </c>
    </row>
    <row r="119" spans="3:25" ht="15" thickBot="1" x14ac:dyDescent="0.35">
      <c r="C119" s="1631">
        <v>106</v>
      </c>
      <c r="D119" s="1632" t="s">
        <v>1095</v>
      </c>
      <c r="E119" s="1631">
        <v>5</v>
      </c>
      <c r="F119" s="1632" t="s">
        <v>1074</v>
      </c>
      <c r="G119" s="1631" t="s">
        <v>1036</v>
      </c>
      <c r="H119" s="1631"/>
      <c r="I119" s="1633">
        <v>1</v>
      </c>
      <c r="J119" s="1634"/>
      <c r="K119" s="1631"/>
      <c r="L119" s="1634"/>
      <c r="M119" s="1637">
        <v>0</v>
      </c>
      <c r="N119" s="1637"/>
      <c r="O119" s="1637">
        <v>0</v>
      </c>
      <c r="P119" s="1637">
        <v>0</v>
      </c>
      <c r="Q119" s="1637">
        <v>55.5</v>
      </c>
      <c r="R119" s="1637">
        <v>0</v>
      </c>
      <c r="S119" s="1637">
        <v>0</v>
      </c>
      <c r="U119" s="1656">
        <v>2.0200000000000001E-3</v>
      </c>
      <c r="V119" s="1657">
        <v>0</v>
      </c>
      <c r="W119" s="1657">
        <v>2.0200000000000001E-3</v>
      </c>
      <c r="X119" s="1657">
        <v>0</v>
      </c>
      <c r="Y119" s="1658">
        <v>0</v>
      </c>
    </row>
    <row r="120" spans="3:25" ht="15" thickBot="1" x14ac:dyDescent="0.35">
      <c r="C120" s="1631">
        <v>107</v>
      </c>
      <c r="D120" s="1632" t="s">
        <v>1095</v>
      </c>
      <c r="E120" s="1631">
        <v>5</v>
      </c>
      <c r="F120" s="1632" t="s">
        <v>1074</v>
      </c>
      <c r="G120" s="1631" t="s">
        <v>1036</v>
      </c>
      <c r="H120" s="1631"/>
      <c r="I120" s="1633">
        <v>1</v>
      </c>
      <c r="J120" s="1634"/>
      <c r="K120" s="1631"/>
      <c r="L120" s="1634"/>
      <c r="M120" s="1637">
        <v>0</v>
      </c>
      <c r="N120" s="1637"/>
      <c r="O120" s="1637">
        <v>0</v>
      </c>
      <c r="P120" s="1637">
        <v>0</v>
      </c>
      <c r="Q120" s="1637">
        <v>42.6</v>
      </c>
      <c r="R120" s="1637">
        <v>0</v>
      </c>
      <c r="S120" s="1637">
        <v>0</v>
      </c>
      <c r="U120" s="1656">
        <v>2.65E-3</v>
      </c>
      <c r="V120" s="1657">
        <v>0</v>
      </c>
      <c r="W120" s="1657">
        <v>2.65E-3</v>
      </c>
      <c r="X120" s="1657">
        <v>0</v>
      </c>
      <c r="Y120" s="1658">
        <v>0</v>
      </c>
    </row>
    <row r="121" spans="3:25" ht="15" thickBot="1" x14ac:dyDescent="0.35">
      <c r="C121" s="1631">
        <v>108</v>
      </c>
      <c r="D121" s="1632" t="s">
        <v>1095</v>
      </c>
      <c r="E121" s="1631">
        <v>5</v>
      </c>
      <c r="F121" s="1632" t="s">
        <v>1074</v>
      </c>
      <c r="G121" s="1631" t="s">
        <v>1036</v>
      </c>
      <c r="H121" s="1631"/>
      <c r="I121" s="1633">
        <v>1</v>
      </c>
      <c r="J121" s="1634"/>
      <c r="K121" s="1631"/>
      <c r="L121" s="1634"/>
      <c r="M121" s="1637">
        <v>0</v>
      </c>
      <c r="N121" s="1637"/>
      <c r="O121" s="1637">
        <v>0</v>
      </c>
      <c r="P121" s="1637">
        <v>0</v>
      </c>
      <c r="Q121" s="1637">
        <v>85.4</v>
      </c>
      <c r="R121" s="1637">
        <v>0</v>
      </c>
      <c r="S121" s="1637">
        <v>0</v>
      </c>
      <c r="U121" s="1656">
        <v>4.1515199999999997E-3</v>
      </c>
      <c r="V121" s="1657">
        <v>0</v>
      </c>
      <c r="W121" s="1657">
        <v>4.1515199999999997E-3</v>
      </c>
      <c r="X121" s="1657">
        <v>0</v>
      </c>
      <c r="Y121" s="1658">
        <v>0</v>
      </c>
    </row>
    <row r="122" spans="3:25" ht="15" thickBot="1" x14ac:dyDescent="0.35">
      <c r="C122" s="1631">
        <v>109</v>
      </c>
      <c r="D122" s="1632" t="s">
        <v>1095</v>
      </c>
      <c r="E122" s="1631">
        <v>5</v>
      </c>
      <c r="F122" s="1632" t="s">
        <v>1074</v>
      </c>
      <c r="G122" s="1631" t="s">
        <v>1036</v>
      </c>
      <c r="H122" s="1631"/>
      <c r="I122" s="1633">
        <v>1</v>
      </c>
      <c r="J122" s="1634"/>
      <c r="K122" s="1631"/>
      <c r="L122" s="1634"/>
      <c r="M122" s="1637">
        <v>0</v>
      </c>
      <c r="N122" s="1637"/>
      <c r="O122" s="1637">
        <v>0</v>
      </c>
      <c r="P122" s="1637">
        <v>0</v>
      </c>
      <c r="Q122" s="1637">
        <v>42.4</v>
      </c>
      <c r="R122" s="1637">
        <v>0</v>
      </c>
      <c r="S122" s="1637">
        <v>0</v>
      </c>
      <c r="U122" s="1656">
        <v>2.516E-3</v>
      </c>
      <c r="V122" s="1657">
        <v>0</v>
      </c>
      <c r="W122" s="1657">
        <v>2.516E-3</v>
      </c>
      <c r="X122" s="1657">
        <v>0</v>
      </c>
      <c r="Y122" s="1658">
        <v>0</v>
      </c>
    </row>
    <row r="123" spans="3:25" ht="15" thickBot="1" x14ac:dyDescent="0.35">
      <c r="C123" s="1631">
        <v>110</v>
      </c>
      <c r="D123" s="1632" t="s">
        <v>1095</v>
      </c>
      <c r="E123" s="1631">
        <v>5</v>
      </c>
      <c r="F123" s="1632" t="s">
        <v>1074</v>
      </c>
      <c r="G123" s="1631" t="s">
        <v>1036</v>
      </c>
      <c r="H123" s="1631"/>
      <c r="I123" s="1633">
        <v>1</v>
      </c>
      <c r="J123" s="1634"/>
      <c r="K123" s="1631"/>
      <c r="L123" s="1634"/>
      <c r="M123" s="1637">
        <v>0</v>
      </c>
      <c r="N123" s="1637"/>
      <c r="O123" s="1637">
        <v>0</v>
      </c>
      <c r="P123" s="1637">
        <v>0</v>
      </c>
      <c r="Q123" s="1637">
        <v>41</v>
      </c>
      <c r="R123" s="1637">
        <v>0</v>
      </c>
      <c r="S123" s="1637">
        <v>0</v>
      </c>
      <c r="U123" s="1656">
        <v>1.7156999999999999E-3</v>
      </c>
      <c r="V123" s="1657">
        <v>0</v>
      </c>
      <c r="W123" s="1657">
        <v>1.7156999999999999E-3</v>
      </c>
      <c r="X123" s="1657">
        <v>0</v>
      </c>
      <c r="Y123" s="1658">
        <v>0</v>
      </c>
    </row>
    <row r="124" spans="3:25" ht="15" thickBot="1" x14ac:dyDescent="0.35">
      <c r="C124" s="1631">
        <v>111</v>
      </c>
      <c r="D124" s="1632" t="s">
        <v>1095</v>
      </c>
      <c r="E124" s="1631">
        <v>5</v>
      </c>
      <c r="F124" s="1632" t="s">
        <v>1074</v>
      </c>
      <c r="G124" s="1631" t="s">
        <v>1036</v>
      </c>
      <c r="H124" s="1631"/>
      <c r="I124" s="1633">
        <v>1</v>
      </c>
      <c r="J124" s="1634"/>
      <c r="K124" s="1631"/>
      <c r="L124" s="1634"/>
      <c r="M124" s="1637">
        <v>0</v>
      </c>
      <c r="N124" s="1637"/>
      <c r="O124" s="1637">
        <v>0</v>
      </c>
      <c r="P124" s="1637">
        <v>0</v>
      </c>
      <c r="Q124" s="1637">
        <v>29.1</v>
      </c>
      <c r="R124" s="1637">
        <v>0</v>
      </c>
      <c r="S124" s="1637">
        <v>0</v>
      </c>
      <c r="U124" s="1656">
        <v>1.6999999999999999E-3</v>
      </c>
      <c r="V124" s="1657">
        <v>0</v>
      </c>
      <c r="W124" s="1657">
        <v>1.6999999999999999E-3</v>
      </c>
      <c r="X124" s="1657">
        <v>0</v>
      </c>
      <c r="Y124" s="1658">
        <v>0</v>
      </c>
    </row>
    <row r="125" spans="3:25" ht="15" thickBot="1" x14ac:dyDescent="0.35">
      <c r="C125" s="1631">
        <v>112</v>
      </c>
      <c r="D125" s="1632" t="s">
        <v>1095</v>
      </c>
      <c r="E125" s="1631">
        <v>5</v>
      </c>
      <c r="F125" s="1632" t="s">
        <v>1074</v>
      </c>
      <c r="G125" s="1631" t="s">
        <v>1036</v>
      </c>
      <c r="H125" s="1631"/>
      <c r="I125" s="1633">
        <v>1</v>
      </c>
      <c r="J125" s="1634"/>
      <c r="K125" s="1631"/>
      <c r="L125" s="1634"/>
      <c r="M125" s="1637">
        <v>0</v>
      </c>
      <c r="N125" s="1637"/>
      <c r="O125" s="1637">
        <v>0</v>
      </c>
      <c r="P125" s="1637">
        <v>0</v>
      </c>
      <c r="Q125" s="1637">
        <v>75</v>
      </c>
      <c r="R125" s="1637">
        <v>0</v>
      </c>
      <c r="S125" s="1637">
        <v>0</v>
      </c>
      <c r="U125" s="1656">
        <v>4.627E-3</v>
      </c>
      <c r="V125" s="1657">
        <v>0</v>
      </c>
      <c r="W125" s="1657">
        <v>4.627E-3</v>
      </c>
      <c r="X125" s="1657">
        <v>0</v>
      </c>
      <c r="Y125" s="1658">
        <v>0</v>
      </c>
    </row>
    <row r="126" spans="3:25" ht="15" thickBot="1" x14ac:dyDescent="0.35">
      <c r="C126" s="1631">
        <v>113</v>
      </c>
      <c r="D126" s="1632" t="s">
        <v>1095</v>
      </c>
      <c r="E126" s="1631">
        <v>5</v>
      </c>
      <c r="F126" s="1632" t="s">
        <v>1074</v>
      </c>
      <c r="G126" s="1631" t="s">
        <v>1036</v>
      </c>
      <c r="H126" s="1631"/>
      <c r="I126" s="1633">
        <v>1</v>
      </c>
      <c r="J126" s="1634"/>
      <c r="K126" s="1631"/>
      <c r="L126" s="1634"/>
      <c r="M126" s="1637">
        <v>0</v>
      </c>
      <c r="N126" s="1637"/>
      <c r="O126" s="1637">
        <v>0</v>
      </c>
      <c r="P126" s="1637">
        <v>0</v>
      </c>
      <c r="Q126" s="1637">
        <v>54.3</v>
      </c>
      <c r="R126" s="1637">
        <v>0</v>
      </c>
      <c r="S126" s="1637">
        <v>0</v>
      </c>
      <c r="U126" s="1656">
        <v>3.0000000000000001E-3</v>
      </c>
      <c r="V126" s="1657">
        <v>0</v>
      </c>
      <c r="W126" s="1657">
        <v>3.0000000000000001E-3</v>
      </c>
      <c r="X126" s="1657">
        <v>0</v>
      </c>
      <c r="Y126" s="1658">
        <v>0</v>
      </c>
    </row>
    <row r="127" spans="3:25" ht="15" thickBot="1" x14ac:dyDescent="0.35">
      <c r="C127" s="1631">
        <v>114</v>
      </c>
      <c r="D127" s="1632" t="s">
        <v>1095</v>
      </c>
      <c r="E127" s="1631">
        <v>1</v>
      </c>
      <c r="F127" s="1632" t="s">
        <v>1074</v>
      </c>
      <c r="G127" s="1631" t="s">
        <v>1036</v>
      </c>
      <c r="H127" s="1631"/>
      <c r="I127" s="1633">
        <v>0</v>
      </c>
      <c r="J127" s="1634"/>
      <c r="K127" s="1631"/>
      <c r="L127" s="1634"/>
      <c r="M127" s="1637">
        <v>0</v>
      </c>
      <c r="N127" s="1637"/>
      <c r="O127" s="1637">
        <v>0</v>
      </c>
      <c r="P127" s="1637">
        <v>0</v>
      </c>
      <c r="Q127" s="1637">
        <v>0</v>
      </c>
      <c r="R127" s="1637">
        <v>0</v>
      </c>
      <c r="S127" s="1637">
        <v>30.2</v>
      </c>
      <c r="U127" s="1656">
        <v>4.7559999999999998E-3</v>
      </c>
      <c r="V127" s="1657">
        <v>0</v>
      </c>
      <c r="W127" s="1657">
        <v>4.7559999999999998E-3</v>
      </c>
      <c r="X127" s="1657">
        <v>0</v>
      </c>
      <c r="Y127" s="1658">
        <v>0</v>
      </c>
    </row>
    <row r="128" spans="3:25" ht="15" thickBot="1" x14ac:dyDescent="0.35">
      <c r="C128" s="1631">
        <v>115</v>
      </c>
      <c r="D128" s="1632" t="s">
        <v>1096</v>
      </c>
      <c r="E128" s="1631">
        <v>5</v>
      </c>
      <c r="F128" s="1632" t="s">
        <v>1067</v>
      </c>
      <c r="G128" s="1631" t="s">
        <v>1036</v>
      </c>
      <c r="H128" s="1631"/>
      <c r="I128" s="1633">
        <v>34</v>
      </c>
      <c r="J128" s="1634"/>
      <c r="K128" s="1631"/>
      <c r="L128" s="1634"/>
      <c r="M128" s="1637">
        <v>1796.2</v>
      </c>
      <c r="N128" s="1637"/>
      <c r="O128" s="1637">
        <v>1519.4</v>
      </c>
      <c r="P128" s="1637">
        <v>0</v>
      </c>
      <c r="Q128" s="1637">
        <v>0</v>
      </c>
      <c r="R128" s="1637">
        <v>0</v>
      </c>
      <c r="S128" s="1637">
        <v>0</v>
      </c>
      <c r="U128" s="1656">
        <v>9.278111E-2</v>
      </c>
      <c r="V128" s="1657">
        <v>0</v>
      </c>
      <c r="W128" s="1657">
        <v>9.278111E-2</v>
      </c>
      <c r="X128" s="1657">
        <v>1.866353760057775E-3</v>
      </c>
      <c r="Y128" s="1658">
        <v>35</v>
      </c>
    </row>
    <row r="129" spans="3:25" ht="15" thickBot="1" x14ac:dyDescent="0.35">
      <c r="C129" s="1631">
        <v>116</v>
      </c>
      <c r="D129" s="1632" t="s">
        <v>1096</v>
      </c>
      <c r="E129" s="1631">
        <v>5</v>
      </c>
      <c r="F129" s="1632" t="s">
        <v>1067</v>
      </c>
      <c r="G129" s="1631" t="s">
        <v>1036</v>
      </c>
      <c r="H129" s="1631"/>
      <c r="I129" s="1633">
        <v>1</v>
      </c>
      <c r="J129" s="1634"/>
      <c r="K129" s="1631"/>
      <c r="L129" s="1634"/>
      <c r="M129" s="1637">
        <v>0</v>
      </c>
      <c r="N129" s="1637"/>
      <c r="O129" s="1637">
        <v>0</v>
      </c>
      <c r="P129" s="1637">
        <v>0</v>
      </c>
      <c r="Q129" s="1637">
        <v>53.9</v>
      </c>
      <c r="R129" s="1637">
        <v>0</v>
      </c>
      <c r="S129" s="1637">
        <v>0</v>
      </c>
      <c r="U129" s="1656">
        <v>8.9999999999999998E-4</v>
      </c>
      <c r="V129" s="1657">
        <v>0</v>
      </c>
      <c r="W129" s="1657">
        <v>8.9999999999999998E-4</v>
      </c>
      <c r="X129" s="1657">
        <v>0</v>
      </c>
      <c r="Y129" s="1658">
        <v>0</v>
      </c>
    </row>
    <row r="130" spans="3:25" ht="15" thickBot="1" x14ac:dyDescent="0.35">
      <c r="C130" s="1631">
        <v>117</v>
      </c>
      <c r="D130" s="1632" t="s">
        <v>1096</v>
      </c>
      <c r="E130" s="1631">
        <v>5</v>
      </c>
      <c r="F130" s="1632" t="s">
        <v>1067</v>
      </c>
      <c r="G130" s="1631" t="s">
        <v>1036</v>
      </c>
      <c r="H130" s="1631"/>
      <c r="I130" s="1633">
        <v>1</v>
      </c>
      <c r="J130" s="1634"/>
      <c r="K130" s="1631"/>
      <c r="L130" s="1634"/>
      <c r="M130" s="1637">
        <v>0</v>
      </c>
      <c r="N130" s="1637"/>
      <c r="O130" s="1637">
        <v>0</v>
      </c>
      <c r="P130" s="1637">
        <v>0</v>
      </c>
      <c r="Q130" s="1637">
        <v>52.8</v>
      </c>
      <c r="R130" s="1637">
        <v>0</v>
      </c>
      <c r="S130" s="1637">
        <v>0</v>
      </c>
      <c r="U130" s="1656">
        <v>2.5430000000000001E-3</v>
      </c>
      <c r="V130" s="1657">
        <v>0</v>
      </c>
      <c r="W130" s="1657">
        <v>2.5430000000000001E-3</v>
      </c>
      <c r="X130" s="1657">
        <v>0</v>
      </c>
      <c r="Y130" s="1658">
        <v>0</v>
      </c>
    </row>
    <row r="131" spans="3:25" ht="15" thickBot="1" x14ac:dyDescent="0.35">
      <c r="C131" s="1631">
        <v>118</v>
      </c>
      <c r="D131" s="1632" t="s">
        <v>1096</v>
      </c>
      <c r="E131" s="1631">
        <v>5</v>
      </c>
      <c r="F131" s="1632" t="s">
        <v>1067</v>
      </c>
      <c r="G131" s="1631" t="s">
        <v>1036</v>
      </c>
      <c r="H131" s="1631"/>
      <c r="I131" s="1633">
        <v>0</v>
      </c>
      <c r="J131" s="1634"/>
      <c r="K131" s="1631"/>
      <c r="L131" s="1634"/>
      <c r="M131" s="1637">
        <v>0</v>
      </c>
      <c r="N131" s="1637"/>
      <c r="O131" s="1637">
        <v>0</v>
      </c>
      <c r="P131" s="1637">
        <v>0</v>
      </c>
      <c r="Q131" s="1637">
        <v>32</v>
      </c>
      <c r="R131" s="1637">
        <v>0</v>
      </c>
      <c r="S131" s="1637">
        <v>0</v>
      </c>
      <c r="U131" s="1656">
        <v>2.2269999999999998E-3</v>
      </c>
      <c r="V131" s="1657">
        <v>0</v>
      </c>
      <c r="W131" s="1657">
        <v>2.2269999999999998E-3</v>
      </c>
      <c r="X131" s="1657">
        <v>0</v>
      </c>
      <c r="Y131" s="1658">
        <v>0</v>
      </c>
    </row>
    <row r="132" spans="3:25" ht="15" thickBot="1" x14ac:dyDescent="0.35">
      <c r="C132" s="1631">
        <v>119</v>
      </c>
      <c r="D132" s="1632" t="s">
        <v>1096</v>
      </c>
      <c r="E132" s="1631">
        <v>5</v>
      </c>
      <c r="F132" s="1632" t="s">
        <v>1067</v>
      </c>
      <c r="G132" s="1631" t="s">
        <v>1036</v>
      </c>
      <c r="H132" s="1631"/>
      <c r="I132" s="1633">
        <v>1</v>
      </c>
      <c r="J132" s="1634"/>
      <c r="K132" s="1631"/>
      <c r="L132" s="1634"/>
      <c r="M132" s="1637">
        <v>0</v>
      </c>
      <c r="N132" s="1637"/>
      <c r="O132" s="1637">
        <v>0</v>
      </c>
      <c r="P132" s="1637">
        <v>0</v>
      </c>
      <c r="Q132" s="1637">
        <v>53.5</v>
      </c>
      <c r="R132" s="1637">
        <v>0</v>
      </c>
      <c r="S132" s="1637">
        <v>0</v>
      </c>
      <c r="U132" s="1656">
        <v>2.428E-3</v>
      </c>
      <c r="V132" s="1657">
        <v>0</v>
      </c>
      <c r="W132" s="1657">
        <v>2.428E-3</v>
      </c>
      <c r="X132" s="1657">
        <v>0</v>
      </c>
      <c r="Y132" s="1658">
        <v>0</v>
      </c>
    </row>
    <row r="133" spans="3:25" ht="15" thickBot="1" x14ac:dyDescent="0.35">
      <c r="C133" s="1631">
        <v>120</v>
      </c>
      <c r="D133" s="1632" t="s">
        <v>1096</v>
      </c>
      <c r="E133" s="1631">
        <v>5</v>
      </c>
      <c r="F133" s="1632" t="s">
        <v>1067</v>
      </c>
      <c r="G133" s="1631" t="s">
        <v>1036</v>
      </c>
      <c r="H133" s="1631"/>
      <c r="I133" s="1633">
        <v>1</v>
      </c>
      <c r="J133" s="1634"/>
      <c r="K133" s="1631"/>
      <c r="L133" s="1634"/>
      <c r="M133" s="1637">
        <v>0</v>
      </c>
      <c r="N133" s="1637"/>
      <c r="O133" s="1637">
        <v>0</v>
      </c>
      <c r="P133" s="1637">
        <v>0</v>
      </c>
      <c r="Q133" s="1637">
        <v>44.9</v>
      </c>
      <c r="R133" s="1637">
        <v>0</v>
      </c>
      <c r="S133" s="1637">
        <v>0</v>
      </c>
      <c r="U133" s="1656">
        <v>2.0539999999999998E-3</v>
      </c>
      <c r="V133" s="1657">
        <v>0</v>
      </c>
      <c r="W133" s="1657">
        <v>2.0539999999999998E-3</v>
      </c>
      <c r="X133" s="1657">
        <v>0</v>
      </c>
      <c r="Y133" s="1658">
        <v>0</v>
      </c>
    </row>
    <row r="134" spans="3:25" ht="15" thickBot="1" x14ac:dyDescent="0.35">
      <c r="C134" s="1631">
        <v>121</v>
      </c>
      <c r="D134" s="1632" t="s">
        <v>1096</v>
      </c>
      <c r="E134" s="1631">
        <v>5</v>
      </c>
      <c r="F134" s="1632" t="s">
        <v>1067</v>
      </c>
      <c r="G134" s="1631" t="s">
        <v>1036</v>
      </c>
      <c r="H134" s="1631"/>
      <c r="I134" s="1633">
        <v>1</v>
      </c>
      <c r="J134" s="1634"/>
      <c r="K134" s="1631"/>
      <c r="L134" s="1634"/>
      <c r="M134" s="1637">
        <v>0</v>
      </c>
      <c r="N134" s="1637"/>
      <c r="O134" s="1637">
        <v>0</v>
      </c>
      <c r="P134" s="1637">
        <v>0</v>
      </c>
      <c r="Q134" s="1637">
        <v>39.700000000000003</v>
      </c>
      <c r="R134" s="1637">
        <v>0</v>
      </c>
      <c r="S134" s="1637">
        <v>0</v>
      </c>
      <c r="U134" s="1656">
        <v>2.49E-3</v>
      </c>
      <c r="V134" s="1657">
        <v>0</v>
      </c>
      <c r="W134" s="1657">
        <v>2.49E-3</v>
      </c>
      <c r="X134" s="1657">
        <v>0</v>
      </c>
      <c r="Y134" s="1658">
        <v>0</v>
      </c>
    </row>
    <row r="135" spans="3:25" ht="15" thickBot="1" x14ac:dyDescent="0.35">
      <c r="C135" s="1631">
        <v>122</v>
      </c>
      <c r="D135" s="1632" t="s">
        <v>1096</v>
      </c>
      <c r="E135" s="1631">
        <v>1</v>
      </c>
      <c r="F135" s="1632" t="s">
        <v>1067</v>
      </c>
      <c r="G135" s="1631" t="s">
        <v>1036</v>
      </c>
      <c r="H135" s="1631"/>
      <c r="I135" s="1633">
        <v>0</v>
      </c>
      <c r="J135" s="1634"/>
      <c r="K135" s="1631"/>
      <c r="L135" s="1634"/>
      <c r="M135" s="1637">
        <v>0</v>
      </c>
      <c r="N135" s="1637"/>
      <c r="O135" s="1637">
        <v>0</v>
      </c>
      <c r="P135" s="1637">
        <v>0</v>
      </c>
      <c r="Q135" s="1637">
        <v>0</v>
      </c>
      <c r="R135" s="1637">
        <v>0</v>
      </c>
      <c r="S135" s="1637">
        <v>0</v>
      </c>
      <c r="U135" s="1656">
        <v>0</v>
      </c>
      <c r="V135" s="1657">
        <v>0</v>
      </c>
      <c r="W135" s="1657">
        <v>0</v>
      </c>
      <c r="X135" s="1657">
        <v>0</v>
      </c>
      <c r="Y135" s="1658">
        <v>0</v>
      </c>
    </row>
    <row r="136" spans="3:25" ht="15" thickBot="1" x14ac:dyDescent="0.35">
      <c r="C136" s="1631">
        <v>123</v>
      </c>
      <c r="D136" s="1632" t="s">
        <v>1097</v>
      </c>
      <c r="E136" s="1631">
        <v>5</v>
      </c>
      <c r="F136" s="1632" t="s">
        <v>1078</v>
      </c>
      <c r="G136" s="1631" t="s">
        <v>1036</v>
      </c>
      <c r="H136" s="1631"/>
      <c r="I136" s="1633">
        <v>72</v>
      </c>
      <c r="J136" s="1634"/>
      <c r="K136" s="1631"/>
      <c r="L136" s="1634"/>
      <c r="M136" s="1637">
        <v>3138.69</v>
      </c>
      <c r="N136" s="1637"/>
      <c r="O136" s="1637">
        <v>2845.19</v>
      </c>
      <c r="P136" s="1637">
        <v>0</v>
      </c>
      <c r="Q136" s="1637">
        <v>0</v>
      </c>
      <c r="R136" s="1637">
        <v>0</v>
      </c>
      <c r="S136" s="1637">
        <v>0</v>
      </c>
      <c r="U136" s="1656">
        <v>0.17322177</v>
      </c>
      <c r="V136" s="1657">
        <v>0</v>
      </c>
      <c r="W136" s="1657">
        <v>0.17322177</v>
      </c>
      <c r="X136" s="1657">
        <v>0</v>
      </c>
      <c r="Y136" s="1658">
        <v>0</v>
      </c>
    </row>
    <row r="137" spans="3:25" ht="15" thickBot="1" x14ac:dyDescent="0.35">
      <c r="C137" s="1631">
        <v>124</v>
      </c>
      <c r="D137" s="1632" t="s">
        <v>1097</v>
      </c>
      <c r="E137" s="1631">
        <v>5</v>
      </c>
      <c r="F137" s="1632" t="s">
        <v>1078</v>
      </c>
      <c r="G137" s="1631" t="s">
        <v>1036</v>
      </c>
      <c r="H137" s="1631"/>
      <c r="I137" s="1633">
        <v>1</v>
      </c>
      <c r="J137" s="1634"/>
      <c r="K137" s="1631"/>
      <c r="L137" s="1634"/>
      <c r="M137" s="1637">
        <v>0</v>
      </c>
      <c r="N137" s="1637"/>
      <c r="O137" s="1637">
        <v>0</v>
      </c>
      <c r="P137" s="1637">
        <v>0</v>
      </c>
      <c r="Q137" s="1637">
        <v>40.799999999999997</v>
      </c>
      <c r="R137" s="1637">
        <v>0</v>
      </c>
      <c r="S137" s="1637">
        <v>0</v>
      </c>
      <c r="U137" s="1656">
        <v>2.2000000000000001E-3</v>
      </c>
      <c r="V137" s="1657">
        <v>0</v>
      </c>
      <c r="W137" s="1657">
        <v>2.2000000000000001E-3</v>
      </c>
      <c r="X137" s="1657">
        <v>0</v>
      </c>
      <c r="Y137" s="1658">
        <v>0</v>
      </c>
    </row>
    <row r="138" spans="3:25" ht="15" thickBot="1" x14ac:dyDescent="0.35">
      <c r="C138" s="1631">
        <v>125</v>
      </c>
      <c r="D138" s="1632" t="s">
        <v>1097</v>
      </c>
      <c r="E138" s="1631">
        <v>5</v>
      </c>
      <c r="F138" s="1632" t="s">
        <v>1078</v>
      </c>
      <c r="G138" s="1631" t="s">
        <v>1036</v>
      </c>
      <c r="H138" s="1631"/>
      <c r="I138" s="1633">
        <v>1</v>
      </c>
      <c r="J138" s="1634"/>
      <c r="K138" s="1631"/>
      <c r="L138" s="1634"/>
      <c r="M138" s="1637">
        <v>0</v>
      </c>
      <c r="N138" s="1637"/>
      <c r="O138" s="1637">
        <v>0</v>
      </c>
      <c r="P138" s="1637">
        <v>0</v>
      </c>
      <c r="Q138" s="1637">
        <v>52.7</v>
      </c>
      <c r="R138" s="1637">
        <v>0</v>
      </c>
      <c r="S138" s="1637">
        <v>0</v>
      </c>
      <c r="U138" s="1656">
        <v>1.4120000000000001E-3</v>
      </c>
      <c r="V138" s="1657">
        <v>0</v>
      </c>
      <c r="W138" s="1657">
        <v>1.4120000000000001E-3</v>
      </c>
      <c r="X138" s="1657">
        <v>0</v>
      </c>
      <c r="Y138" s="1658">
        <v>0</v>
      </c>
    </row>
    <row r="139" spans="3:25" ht="15" thickBot="1" x14ac:dyDescent="0.35">
      <c r="C139" s="1631">
        <v>126</v>
      </c>
      <c r="D139" s="1632" t="s">
        <v>1097</v>
      </c>
      <c r="E139" s="1631">
        <v>5</v>
      </c>
      <c r="F139" s="1632" t="s">
        <v>1078</v>
      </c>
      <c r="G139" s="1631" t="s">
        <v>1036</v>
      </c>
      <c r="H139" s="1631"/>
      <c r="I139" s="1633">
        <v>1</v>
      </c>
      <c r="J139" s="1634"/>
      <c r="K139" s="1631"/>
      <c r="L139" s="1634"/>
      <c r="M139" s="1637">
        <v>0</v>
      </c>
      <c r="N139" s="1637"/>
      <c r="O139" s="1637">
        <v>0</v>
      </c>
      <c r="P139" s="1637">
        <v>0</v>
      </c>
      <c r="Q139" s="1637">
        <v>52.7</v>
      </c>
      <c r="R139" s="1637">
        <v>0</v>
      </c>
      <c r="S139" s="1637">
        <v>0</v>
      </c>
      <c r="U139" s="1656">
        <v>1.4120000000000001E-3</v>
      </c>
      <c r="V139" s="1657">
        <v>0</v>
      </c>
      <c r="W139" s="1657">
        <v>1.4120000000000001E-3</v>
      </c>
      <c r="X139" s="1657">
        <v>0</v>
      </c>
      <c r="Y139" s="1658">
        <v>0</v>
      </c>
    </row>
    <row r="140" spans="3:25" ht="15" thickBot="1" x14ac:dyDescent="0.35">
      <c r="C140" s="1631">
        <v>127</v>
      </c>
      <c r="D140" s="1632" t="s">
        <v>1097</v>
      </c>
      <c r="E140" s="1631">
        <v>5</v>
      </c>
      <c r="F140" s="1632" t="s">
        <v>1078</v>
      </c>
      <c r="G140" s="1631" t="s">
        <v>1036</v>
      </c>
      <c r="H140" s="1631"/>
      <c r="I140" s="1633">
        <v>1</v>
      </c>
      <c r="J140" s="1634"/>
      <c r="K140" s="1631"/>
      <c r="L140" s="1634"/>
      <c r="M140" s="1637">
        <v>0</v>
      </c>
      <c r="N140" s="1637"/>
      <c r="O140" s="1637">
        <v>0</v>
      </c>
      <c r="P140" s="1637">
        <v>0</v>
      </c>
      <c r="Q140" s="1637">
        <v>31</v>
      </c>
      <c r="R140" s="1637">
        <v>0</v>
      </c>
      <c r="S140" s="1637">
        <v>0</v>
      </c>
      <c r="U140" s="1656">
        <v>2.8440000000000002E-3</v>
      </c>
      <c r="V140" s="1657">
        <v>0</v>
      </c>
      <c r="W140" s="1657">
        <v>2.8440000000000002E-3</v>
      </c>
      <c r="X140" s="1657">
        <v>0</v>
      </c>
      <c r="Y140" s="1658">
        <v>0</v>
      </c>
    </row>
    <row r="141" spans="3:25" ht="15" thickBot="1" x14ac:dyDescent="0.35">
      <c r="C141" s="1631">
        <v>128</v>
      </c>
      <c r="D141" s="1632" t="s">
        <v>1097</v>
      </c>
      <c r="E141" s="1631">
        <v>5</v>
      </c>
      <c r="F141" s="1632" t="s">
        <v>1078</v>
      </c>
      <c r="G141" s="1631" t="s">
        <v>1036</v>
      </c>
      <c r="H141" s="1631"/>
      <c r="I141" s="1633">
        <v>1</v>
      </c>
      <c r="J141" s="1634"/>
      <c r="K141" s="1631"/>
      <c r="L141" s="1634"/>
      <c r="M141" s="1637">
        <v>0</v>
      </c>
      <c r="N141" s="1637"/>
      <c r="O141" s="1637">
        <v>0</v>
      </c>
      <c r="P141" s="1637">
        <v>0</v>
      </c>
      <c r="Q141" s="1637">
        <v>116.3</v>
      </c>
      <c r="R141" s="1637">
        <v>0</v>
      </c>
      <c r="S141" s="1637">
        <v>0</v>
      </c>
      <c r="U141" s="1656">
        <v>6.6049999999999998E-3</v>
      </c>
      <c r="V141" s="1657">
        <v>0</v>
      </c>
      <c r="W141" s="1657">
        <v>6.6049999999999998E-3</v>
      </c>
      <c r="X141" s="1657">
        <v>0</v>
      </c>
      <c r="Y141" s="1658">
        <v>0</v>
      </c>
    </row>
    <row r="142" spans="3:25" ht="15" thickBot="1" x14ac:dyDescent="0.35">
      <c r="C142" s="1631">
        <v>129</v>
      </c>
      <c r="D142" s="1632" t="s">
        <v>1097</v>
      </c>
      <c r="E142" s="1631">
        <v>1</v>
      </c>
      <c r="F142" s="1632" t="s">
        <v>1078</v>
      </c>
      <c r="G142" s="1631" t="s">
        <v>1036</v>
      </c>
      <c r="H142" s="1631"/>
      <c r="I142" s="1633">
        <v>0</v>
      </c>
      <c r="J142" s="1634"/>
      <c r="K142" s="1631"/>
      <c r="L142" s="1634"/>
      <c r="M142" s="1637">
        <v>0</v>
      </c>
      <c r="N142" s="1637"/>
      <c r="O142" s="1637">
        <v>0</v>
      </c>
      <c r="P142" s="1637">
        <v>0</v>
      </c>
      <c r="Q142" s="1637">
        <v>0</v>
      </c>
      <c r="R142" s="1637">
        <v>0</v>
      </c>
      <c r="S142" s="1637">
        <v>66</v>
      </c>
      <c r="U142" s="1656">
        <v>5.6160000000000003E-3</v>
      </c>
      <c r="V142" s="1657">
        <v>0</v>
      </c>
      <c r="W142" s="1657">
        <v>5.6160000000000003E-3</v>
      </c>
      <c r="X142" s="1657">
        <v>0</v>
      </c>
      <c r="Y142" s="1658">
        <v>0</v>
      </c>
    </row>
    <row r="143" spans="3:25" ht="15" thickBot="1" x14ac:dyDescent="0.35">
      <c r="C143" s="1631">
        <v>130</v>
      </c>
      <c r="D143" s="1632" t="s">
        <v>3204</v>
      </c>
      <c r="E143" s="1631">
        <v>3</v>
      </c>
      <c r="F143" s="1632" t="s">
        <v>1098</v>
      </c>
      <c r="G143" s="1631" t="s">
        <v>1036</v>
      </c>
      <c r="H143" s="1631"/>
      <c r="I143" s="1633">
        <v>0</v>
      </c>
      <c r="J143" s="1634"/>
      <c r="K143" s="1631"/>
      <c r="L143" s="1634"/>
      <c r="M143" s="1637">
        <v>0</v>
      </c>
      <c r="N143" s="1637"/>
      <c r="O143" s="1637">
        <v>0</v>
      </c>
      <c r="P143" s="1637">
        <v>0</v>
      </c>
      <c r="Q143" s="1637">
        <v>0</v>
      </c>
      <c r="R143" s="1637">
        <v>0</v>
      </c>
      <c r="S143" s="1637">
        <v>5057.7</v>
      </c>
      <c r="U143" s="1656">
        <v>0.23039999999999999</v>
      </c>
      <c r="V143" s="1657">
        <v>0</v>
      </c>
      <c r="W143" s="1657">
        <v>0.23039999999999999</v>
      </c>
      <c r="X143" s="1657">
        <v>0</v>
      </c>
      <c r="Y143" s="1658">
        <v>0</v>
      </c>
    </row>
    <row r="144" spans="3:25" ht="15" thickBot="1" x14ac:dyDescent="0.35">
      <c r="C144" s="1631">
        <v>131</v>
      </c>
      <c r="D144" s="1632" t="s">
        <v>1099</v>
      </c>
      <c r="E144" s="1631">
        <v>3</v>
      </c>
      <c r="F144" s="1632" t="s">
        <v>1100</v>
      </c>
      <c r="G144" s="1631" t="s">
        <v>1036</v>
      </c>
      <c r="H144" s="1631"/>
      <c r="I144" s="1633">
        <v>55</v>
      </c>
      <c r="J144" s="1634"/>
      <c r="K144" s="1631"/>
      <c r="L144" s="1634"/>
      <c r="M144" s="1637">
        <v>2341.3000000000002</v>
      </c>
      <c r="N144" s="1637"/>
      <c r="O144" s="1637">
        <v>2341.3000000000002</v>
      </c>
      <c r="P144" s="1637">
        <v>0</v>
      </c>
      <c r="Q144" s="1637">
        <v>0</v>
      </c>
      <c r="R144" s="1637">
        <v>0</v>
      </c>
      <c r="S144" s="1637">
        <v>0</v>
      </c>
      <c r="U144" s="1656">
        <v>0.11694</v>
      </c>
      <c r="V144" s="1657">
        <v>0</v>
      </c>
      <c r="W144" s="1657">
        <v>0.11694</v>
      </c>
      <c r="X144" s="1657">
        <v>0</v>
      </c>
      <c r="Y144" s="1658">
        <v>0</v>
      </c>
    </row>
    <row r="145" spans="3:25" ht="15" thickBot="1" x14ac:dyDescent="0.35">
      <c r="C145" s="1631">
        <v>132</v>
      </c>
      <c r="D145" s="1632" t="s">
        <v>1101</v>
      </c>
      <c r="E145" s="1631">
        <v>4</v>
      </c>
      <c r="F145" s="1632" t="s">
        <v>1067</v>
      </c>
      <c r="G145" s="1631" t="s">
        <v>1036</v>
      </c>
      <c r="H145" s="1631"/>
      <c r="I145" s="1633">
        <v>1</v>
      </c>
      <c r="J145" s="1634"/>
      <c r="K145" s="1631"/>
      <c r="L145" s="1634"/>
      <c r="M145" s="1637">
        <v>0</v>
      </c>
      <c r="N145" s="1637"/>
      <c r="O145" s="1637">
        <v>0</v>
      </c>
      <c r="P145" s="1637">
        <v>0</v>
      </c>
      <c r="Q145" s="1637">
        <v>0</v>
      </c>
      <c r="R145" s="1637">
        <v>0</v>
      </c>
      <c r="S145" s="1637">
        <v>1660</v>
      </c>
      <c r="U145" s="1656">
        <v>0.13100000000000001</v>
      </c>
      <c r="V145" s="1657">
        <v>0</v>
      </c>
      <c r="W145" s="1657">
        <v>0.13100000000000001</v>
      </c>
      <c r="X145" s="1657">
        <v>0</v>
      </c>
      <c r="Y145" s="1658">
        <v>0</v>
      </c>
    </row>
    <row r="146" spans="3:25" ht="15" thickBot="1" x14ac:dyDescent="0.35">
      <c r="C146" s="1631">
        <v>133</v>
      </c>
      <c r="D146" s="1632" t="s">
        <v>1102</v>
      </c>
      <c r="E146" s="1631">
        <v>3</v>
      </c>
      <c r="F146" s="1632" t="s">
        <v>1103</v>
      </c>
      <c r="G146" s="1631" t="s">
        <v>1036</v>
      </c>
      <c r="H146" s="1631"/>
      <c r="I146" s="1633">
        <v>0</v>
      </c>
      <c r="J146" s="1634"/>
      <c r="K146" s="1631"/>
      <c r="L146" s="1634"/>
      <c r="M146" s="1637">
        <v>0</v>
      </c>
      <c r="N146" s="1637"/>
      <c r="O146" s="1637">
        <v>0</v>
      </c>
      <c r="P146" s="1637">
        <v>0</v>
      </c>
      <c r="Q146" s="1637">
        <v>0</v>
      </c>
      <c r="R146" s="1637">
        <v>0</v>
      </c>
      <c r="S146" s="1637">
        <v>1179</v>
      </c>
      <c r="U146" s="1656">
        <v>0.218</v>
      </c>
      <c r="V146" s="1657">
        <v>0</v>
      </c>
      <c r="W146" s="1657">
        <v>0.218</v>
      </c>
      <c r="X146" s="1657">
        <v>0</v>
      </c>
      <c r="Y146" s="1658">
        <v>0</v>
      </c>
    </row>
    <row r="147" spans="3:25" ht="15" thickBot="1" x14ac:dyDescent="0.35">
      <c r="C147" s="1631">
        <v>134</v>
      </c>
      <c r="D147" s="1632" t="s">
        <v>1104</v>
      </c>
      <c r="E147" s="1631">
        <v>2</v>
      </c>
      <c r="F147" s="1632" t="s">
        <v>1105</v>
      </c>
      <c r="G147" s="1631" t="s">
        <v>1036</v>
      </c>
      <c r="H147" s="1631"/>
      <c r="I147" s="1633">
        <v>16</v>
      </c>
      <c r="J147" s="1634"/>
      <c r="K147" s="1631"/>
      <c r="L147" s="1634"/>
      <c r="M147" s="1637">
        <v>1074.7</v>
      </c>
      <c r="N147" s="1637"/>
      <c r="O147" s="1637">
        <v>974.2</v>
      </c>
      <c r="P147" s="1637">
        <v>0</v>
      </c>
      <c r="Q147" s="1637">
        <v>0</v>
      </c>
      <c r="R147" s="1637">
        <v>0</v>
      </c>
      <c r="S147" s="1637">
        <v>0</v>
      </c>
      <c r="U147" s="1656">
        <v>6.8826059999999994E-2</v>
      </c>
      <c r="V147" s="1657">
        <v>0</v>
      </c>
      <c r="W147" s="1657">
        <v>6.8826059999999994E-2</v>
      </c>
      <c r="X147" s="1657">
        <v>2.5455692362113215E-3</v>
      </c>
      <c r="Y147" s="1658">
        <v>42</v>
      </c>
    </row>
    <row r="148" spans="3:25" ht="15" thickBot="1" x14ac:dyDescent="0.35">
      <c r="C148" s="1631">
        <v>135</v>
      </c>
      <c r="D148" s="1632" t="s">
        <v>1104</v>
      </c>
      <c r="E148" s="1631">
        <v>2</v>
      </c>
      <c r="F148" s="1632" t="s">
        <v>1105</v>
      </c>
      <c r="G148" s="1631" t="s">
        <v>1036</v>
      </c>
      <c r="H148" s="1631"/>
      <c r="I148" s="1633">
        <v>1</v>
      </c>
      <c r="J148" s="1634"/>
      <c r="K148" s="1631"/>
      <c r="L148" s="1634"/>
      <c r="M148" s="1637">
        <v>0</v>
      </c>
      <c r="N148" s="1637"/>
      <c r="O148" s="1637">
        <v>0</v>
      </c>
      <c r="P148" s="1637">
        <v>0</v>
      </c>
      <c r="Q148" s="1637">
        <v>63.6</v>
      </c>
      <c r="R148" s="1637">
        <v>0</v>
      </c>
      <c r="S148" s="1637">
        <v>0</v>
      </c>
      <c r="U148" s="1656">
        <v>3.8700000000000002E-3</v>
      </c>
      <c r="V148" s="1657">
        <v>0</v>
      </c>
      <c r="W148" s="1657">
        <v>3.8700000000000002E-3</v>
      </c>
      <c r="X148" s="1657">
        <v>0</v>
      </c>
      <c r="Y148" s="1658">
        <v>0</v>
      </c>
    </row>
    <row r="149" spans="3:25" ht="15" thickBot="1" x14ac:dyDescent="0.35">
      <c r="C149" s="1631">
        <v>136</v>
      </c>
      <c r="D149" s="1632" t="s">
        <v>1104</v>
      </c>
      <c r="E149" s="1631">
        <v>2</v>
      </c>
      <c r="F149" s="1632" t="s">
        <v>1105</v>
      </c>
      <c r="G149" s="1631" t="s">
        <v>1036</v>
      </c>
      <c r="H149" s="1631"/>
      <c r="I149" s="1633">
        <v>1</v>
      </c>
      <c r="J149" s="1634"/>
      <c r="K149" s="1631"/>
      <c r="L149" s="1634"/>
      <c r="M149" s="1637">
        <v>0</v>
      </c>
      <c r="N149" s="1637"/>
      <c r="O149" s="1637">
        <v>0</v>
      </c>
      <c r="P149" s="1637">
        <v>0</v>
      </c>
      <c r="Q149" s="1637">
        <v>36.9</v>
      </c>
      <c r="R149" s="1637">
        <v>0</v>
      </c>
      <c r="S149" s="1637">
        <v>0</v>
      </c>
      <c r="U149" s="1656">
        <v>4.8268E-3</v>
      </c>
      <c r="V149" s="1657">
        <v>0</v>
      </c>
      <c r="W149" s="1657">
        <v>4.8268E-3</v>
      </c>
      <c r="X149" s="1657">
        <v>0</v>
      </c>
      <c r="Y149" s="1658">
        <v>0</v>
      </c>
    </row>
    <row r="150" spans="3:25" ht="15" thickBot="1" x14ac:dyDescent="0.35">
      <c r="C150" s="1631">
        <v>137</v>
      </c>
      <c r="D150" s="1632" t="s">
        <v>1106</v>
      </c>
      <c r="E150" s="1631">
        <v>4</v>
      </c>
      <c r="F150" s="1632" t="s">
        <v>1046</v>
      </c>
      <c r="G150" s="1631" t="s">
        <v>1036</v>
      </c>
      <c r="H150" s="1631"/>
      <c r="I150" s="1633">
        <v>24</v>
      </c>
      <c r="J150" s="1634"/>
      <c r="K150" s="1631"/>
      <c r="L150" s="1634"/>
      <c r="M150" s="1637">
        <v>1555.1</v>
      </c>
      <c r="N150" s="1637"/>
      <c r="O150" s="1637">
        <v>1555.1</v>
      </c>
      <c r="P150" s="1637">
        <v>0</v>
      </c>
      <c r="Q150" s="1637">
        <v>0</v>
      </c>
      <c r="R150" s="1637">
        <v>0</v>
      </c>
      <c r="S150" s="1637">
        <v>0</v>
      </c>
      <c r="U150" s="1656">
        <v>0.10253283000000001</v>
      </c>
      <c r="V150" s="1657">
        <v>0</v>
      </c>
      <c r="W150" s="1657">
        <v>0.10253283000000001</v>
      </c>
      <c r="X150" s="1657">
        <v>7.925620553197078E-3</v>
      </c>
      <c r="Y150" s="1658">
        <v>142</v>
      </c>
    </row>
    <row r="151" spans="3:25" ht="15" thickBot="1" x14ac:dyDescent="0.35">
      <c r="C151" s="1631">
        <v>138</v>
      </c>
      <c r="D151" s="1632" t="s">
        <v>1102</v>
      </c>
      <c r="E151" s="1631">
        <v>1</v>
      </c>
      <c r="F151" s="1632" t="s">
        <v>1103</v>
      </c>
      <c r="G151" s="1631" t="s">
        <v>1036</v>
      </c>
      <c r="H151" s="1631"/>
      <c r="I151" s="1633">
        <v>0</v>
      </c>
      <c r="J151" s="1634"/>
      <c r="K151" s="1631"/>
      <c r="L151" s="1634"/>
      <c r="M151" s="1637">
        <v>0</v>
      </c>
      <c r="N151" s="1637"/>
      <c r="O151" s="1637">
        <v>0</v>
      </c>
      <c r="P151" s="1637">
        <v>0</v>
      </c>
      <c r="Q151" s="1637">
        <v>0</v>
      </c>
      <c r="R151" s="1637">
        <v>0</v>
      </c>
      <c r="S151" s="1637">
        <v>82.8</v>
      </c>
      <c r="U151" s="1656">
        <v>1.1028E-2</v>
      </c>
      <c r="V151" s="1657">
        <v>0</v>
      </c>
      <c r="W151" s="1657">
        <v>1.1028E-2</v>
      </c>
      <c r="X151" s="1657">
        <v>0</v>
      </c>
      <c r="Y151" s="1658">
        <v>0</v>
      </c>
    </row>
    <row r="152" spans="3:25" ht="15" thickBot="1" x14ac:dyDescent="0.35">
      <c r="C152" s="1631">
        <v>139</v>
      </c>
      <c r="D152" s="1632" t="s">
        <v>1107</v>
      </c>
      <c r="E152" s="1631">
        <v>4</v>
      </c>
      <c r="F152" s="1632" t="s">
        <v>1046</v>
      </c>
      <c r="G152" s="1631" t="s">
        <v>1036</v>
      </c>
      <c r="H152" s="1631"/>
      <c r="I152" s="1633">
        <v>24</v>
      </c>
      <c r="J152" s="1634"/>
      <c r="K152" s="1631"/>
      <c r="L152" s="1634"/>
      <c r="M152" s="1637">
        <v>1493.89</v>
      </c>
      <c r="N152" s="1637"/>
      <c r="O152" s="1637">
        <v>1493.89</v>
      </c>
      <c r="P152" s="1637">
        <v>0</v>
      </c>
      <c r="Q152" s="1637">
        <v>0</v>
      </c>
      <c r="R152" s="1637">
        <v>0</v>
      </c>
      <c r="S152" s="1637">
        <v>0</v>
      </c>
      <c r="U152" s="1656">
        <v>9.8791539999999997E-2</v>
      </c>
      <c r="V152" s="1657">
        <v>0</v>
      </c>
      <c r="W152" s="1657">
        <v>9.8791539999999997E-2</v>
      </c>
      <c r="X152" s="1657">
        <v>7.6816322617920775E-3</v>
      </c>
      <c r="Y152" s="1658">
        <v>142</v>
      </c>
    </row>
    <row r="153" spans="3:25" ht="15" thickBot="1" x14ac:dyDescent="0.35">
      <c r="C153" s="1631">
        <v>140</v>
      </c>
      <c r="D153" s="1632" t="s">
        <v>1108</v>
      </c>
      <c r="E153" s="1631">
        <v>4</v>
      </c>
      <c r="F153" s="1632" t="s">
        <v>1065</v>
      </c>
      <c r="G153" s="1631" t="s">
        <v>1036</v>
      </c>
      <c r="H153" s="1631"/>
      <c r="I153" s="1633">
        <v>30</v>
      </c>
      <c r="J153" s="1634"/>
      <c r="K153" s="1631"/>
      <c r="L153" s="1634"/>
      <c r="M153" s="1637">
        <v>1439.3</v>
      </c>
      <c r="N153" s="1637"/>
      <c r="O153" s="1637">
        <v>1364.3</v>
      </c>
      <c r="P153" s="1637">
        <v>0</v>
      </c>
      <c r="Q153" s="1637">
        <v>0</v>
      </c>
      <c r="R153" s="1637">
        <v>0</v>
      </c>
      <c r="S153" s="1637">
        <v>0</v>
      </c>
      <c r="U153" s="1656">
        <v>8.7087280000000003E-2</v>
      </c>
      <c r="V153" s="1657">
        <v>0</v>
      </c>
      <c r="W153" s="1657">
        <v>8.7087280000000003E-2</v>
      </c>
      <c r="X153" s="1657">
        <v>0</v>
      </c>
      <c r="Y153" s="1658">
        <v>0</v>
      </c>
    </row>
    <row r="154" spans="3:25" ht="15" thickBot="1" x14ac:dyDescent="0.35">
      <c r="C154" s="1631">
        <v>141</v>
      </c>
      <c r="D154" s="1632" t="s">
        <v>1108</v>
      </c>
      <c r="E154" s="1631">
        <v>4</v>
      </c>
      <c r="F154" s="1632" t="s">
        <v>1065</v>
      </c>
      <c r="G154" s="1631" t="s">
        <v>1036</v>
      </c>
      <c r="H154" s="1631"/>
      <c r="I154" s="1633">
        <v>1</v>
      </c>
      <c r="J154" s="1634"/>
      <c r="K154" s="1631"/>
      <c r="L154" s="1634"/>
      <c r="M154" s="1637">
        <v>0</v>
      </c>
      <c r="N154" s="1637"/>
      <c r="O154" s="1637">
        <v>0</v>
      </c>
      <c r="P154" s="1637">
        <v>0</v>
      </c>
      <c r="Q154" s="1637">
        <v>75</v>
      </c>
      <c r="R154" s="1637">
        <v>0</v>
      </c>
      <c r="S154" s="1637">
        <v>0</v>
      </c>
      <c r="U154" s="1656">
        <v>4.0000000000000001E-3</v>
      </c>
      <c r="V154" s="1657">
        <v>0</v>
      </c>
      <c r="W154" s="1657">
        <v>4.0000000000000001E-3</v>
      </c>
      <c r="X154" s="1657">
        <v>0</v>
      </c>
      <c r="Y154" s="1658">
        <v>0</v>
      </c>
    </row>
    <row r="155" spans="3:25" ht="15" thickBot="1" x14ac:dyDescent="0.35">
      <c r="C155" s="1631">
        <v>142</v>
      </c>
      <c r="D155" s="1632" t="s">
        <v>1109</v>
      </c>
      <c r="E155" s="1631">
        <v>2</v>
      </c>
      <c r="F155" s="1632" t="s">
        <v>1046</v>
      </c>
      <c r="G155" s="1631" t="s">
        <v>1036</v>
      </c>
      <c r="H155" s="1631"/>
      <c r="I155" s="1633">
        <v>9</v>
      </c>
      <c r="J155" s="1634"/>
      <c r="K155" s="1631"/>
      <c r="L155" s="1634"/>
      <c r="M155" s="1637">
        <v>517.79999999999995</v>
      </c>
      <c r="N155" s="1637"/>
      <c r="O155" s="1637">
        <v>454.3</v>
      </c>
      <c r="P155" s="1637">
        <v>63.5</v>
      </c>
      <c r="Q155" s="1637">
        <v>0</v>
      </c>
      <c r="R155" s="1637">
        <v>0</v>
      </c>
      <c r="S155" s="1637">
        <v>0</v>
      </c>
      <c r="U155" s="1656">
        <v>3.5322760000000002E-2</v>
      </c>
      <c r="V155" s="1657">
        <v>0</v>
      </c>
      <c r="W155" s="1657">
        <v>3.5322760000000002E-2</v>
      </c>
      <c r="X155" s="1657">
        <v>0</v>
      </c>
      <c r="Y155" s="1658">
        <v>0</v>
      </c>
    </row>
    <row r="156" spans="3:25" ht="15" thickBot="1" x14ac:dyDescent="0.35">
      <c r="C156" s="1631">
        <v>143</v>
      </c>
      <c r="D156" s="1632" t="s">
        <v>1110</v>
      </c>
      <c r="E156" s="1631">
        <v>4</v>
      </c>
      <c r="F156" s="1632" t="s">
        <v>1111</v>
      </c>
      <c r="G156" s="1631" t="s">
        <v>1036</v>
      </c>
      <c r="H156" s="1631"/>
      <c r="I156" s="1633">
        <v>32</v>
      </c>
      <c r="J156" s="1634"/>
      <c r="K156" s="1631"/>
      <c r="L156" s="1634"/>
      <c r="M156" s="1637">
        <v>1460.8</v>
      </c>
      <c r="N156" s="1637"/>
      <c r="O156" s="1637">
        <v>1460.8</v>
      </c>
      <c r="P156" s="1637">
        <v>0</v>
      </c>
      <c r="Q156" s="1637">
        <v>0</v>
      </c>
      <c r="R156" s="1637">
        <v>0</v>
      </c>
      <c r="S156" s="1637">
        <v>0</v>
      </c>
      <c r="U156" s="1656">
        <v>0.11759361</v>
      </c>
      <c r="V156" s="1657">
        <v>0</v>
      </c>
      <c r="W156" s="1657">
        <v>0.11759361</v>
      </c>
      <c r="X156" s="1657">
        <v>0</v>
      </c>
      <c r="Y156" s="1658">
        <v>0</v>
      </c>
    </row>
    <row r="157" spans="3:25" ht="15" thickBot="1" x14ac:dyDescent="0.35">
      <c r="C157" s="1631">
        <v>144</v>
      </c>
      <c r="D157" s="1632" t="s">
        <v>1112</v>
      </c>
      <c r="E157" s="1631">
        <v>3</v>
      </c>
      <c r="F157" s="1632" t="s">
        <v>1054</v>
      </c>
      <c r="G157" s="1631" t="s">
        <v>1036</v>
      </c>
      <c r="H157" s="1631"/>
      <c r="I157" s="1633">
        <v>12</v>
      </c>
      <c r="J157" s="1634"/>
      <c r="K157" s="1631"/>
      <c r="L157" s="1634"/>
      <c r="M157" s="1637">
        <v>839.14</v>
      </c>
      <c r="N157" s="1637"/>
      <c r="O157" s="1637">
        <v>839.14</v>
      </c>
      <c r="P157" s="1637">
        <v>0</v>
      </c>
      <c r="Q157" s="1637">
        <v>0</v>
      </c>
      <c r="R157" s="1637">
        <v>0</v>
      </c>
      <c r="S157" s="1637">
        <v>0</v>
      </c>
      <c r="U157" s="1656">
        <v>6.8714010000000006E-2</v>
      </c>
      <c r="V157" s="1657">
        <v>0</v>
      </c>
      <c r="W157" s="1657">
        <v>6.8714010000000006E-2</v>
      </c>
      <c r="X157" s="1657">
        <v>3.8799255032810924E-3</v>
      </c>
      <c r="Y157" s="1658">
        <v>55</v>
      </c>
    </row>
    <row r="158" spans="3:25" ht="15" thickBot="1" x14ac:dyDescent="0.35">
      <c r="C158" s="1631">
        <v>145</v>
      </c>
      <c r="D158" s="1632" t="s">
        <v>1113</v>
      </c>
      <c r="E158" s="1631">
        <v>4</v>
      </c>
      <c r="F158" s="1632" t="s">
        <v>1114</v>
      </c>
      <c r="G158" s="1631" t="s">
        <v>1036</v>
      </c>
      <c r="H158" s="1631"/>
      <c r="I158" s="1633">
        <v>29</v>
      </c>
      <c r="J158" s="1634"/>
      <c r="K158" s="1631"/>
      <c r="L158" s="1634"/>
      <c r="M158" s="1637">
        <v>1457.5</v>
      </c>
      <c r="N158" s="1637"/>
      <c r="O158" s="1637">
        <v>1320.7</v>
      </c>
      <c r="P158" s="1637">
        <v>0</v>
      </c>
      <c r="Q158" s="1637">
        <v>0</v>
      </c>
      <c r="R158" s="1637">
        <v>0</v>
      </c>
      <c r="S158" s="1637">
        <v>0</v>
      </c>
      <c r="U158" s="1656">
        <v>8.6108180000000006E-2</v>
      </c>
      <c r="V158" s="1657">
        <v>0</v>
      </c>
      <c r="W158" s="1657">
        <v>8.6108180000000006E-2</v>
      </c>
      <c r="X158" s="1657">
        <v>0</v>
      </c>
      <c r="Y158" s="1658">
        <v>0</v>
      </c>
    </row>
    <row r="159" spans="3:25" ht="15" thickBot="1" x14ac:dyDescent="0.35">
      <c r="C159" s="1631">
        <v>146</v>
      </c>
      <c r="D159" s="1632" t="s">
        <v>1113</v>
      </c>
      <c r="E159" s="1631">
        <v>4</v>
      </c>
      <c r="F159" s="1632" t="s">
        <v>1114</v>
      </c>
      <c r="G159" s="1631" t="s">
        <v>1036</v>
      </c>
      <c r="H159" s="1631"/>
      <c r="I159" s="1633">
        <v>1</v>
      </c>
      <c r="J159" s="1634"/>
      <c r="K159" s="1631"/>
      <c r="L159" s="1634"/>
      <c r="M159" s="1637">
        <v>0</v>
      </c>
      <c r="N159" s="1637"/>
      <c r="O159" s="1637">
        <v>0</v>
      </c>
      <c r="P159" s="1637">
        <v>0</v>
      </c>
      <c r="Q159" s="1637">
        <v>84.2</v>
      </c>
      <c r="R159" s="1637">
        <v>0</v>
      </c>
      <c r="S159" s="1637">
        <v>0</v>
      </c>
      <c r="U159" s="1656">
        <v>4.4000000000000003E-3</v>
      </c>
      <c r="V159" s="1657">
        <v>0</v>
      </c>
      <c r="W159" s="1657">
        <v>4.4000000000000003E-3</v>
      </c>
      <c r="X159" s="1657">
        <v>0</v>
      </c>
      <c r="Y159" s="1658">
        <v>0</v>
      </c>
    </row>
    <row r="160" spans="3:25" ht="15" thickBot="1" x14ac:dyDescent="0.35">
      <c r="C160" s="1631">
        <v>147</v>
      </c>
      <c r="D160" s="1632" t="s">
        <v>1113</v>
      </c>
      <c r="E160" s="1631">
        <v>4</v>
      </c>
      <c r="F160" s="1632" t="s">
        <v>1114</v>
      </c>
      <c r="G160" s="1631" t="s">
        <v>1036</v>
      </c>
      <c r="H160" s="1631"/>
      <c r="I160" s="1633">
        <v>1</v>
      </c>
      <c r="J160" s="1634"/>
      <c r="K160" s="1631"/>
      <c r="L160" s="1634"/>
      <c r="M160" s="1637">
        <v>0</v>
      </c>
      <c r="N160" s="1637"/>
      <c r="O160" s="1637">
        <v>0</v>
      </c>
      <c r="P160" s="1637">
        <v>0</v>
      </c>
      <c r="Q160" s="1637">
        <v>52.6</v>
      </c>
      <c r="R160" s="1637">
        <v>0</v>
      </c>
      <c r="S160" s="1637">
        <v>0</v>
      </c>
      <c r="U160" s="1656">
        <v>3.8E-3</v>
      </c>
      <c r="V160" s="1657">
        <v>0</v>
      </c>
      <c r="W160" s="1657">
        <v>3.8E-3</v>
      </c>
      <c r="X160" s="1657">
        <v>0</v>
      </c>
      <c r="Y160" s="1658">
        <v>0</v>
      </c>
    </row>
    <row r="161" spans="3:25" ht="15" thickBot="1" x14ac:dyDescent="0.35">
      <c r="C161" s="1631">
        <v>148</v>
      </c>
      <c r="D161" s="1632" t="s">
        <v>1115</v>
      </c>
      <c r="E161" s="1631">
        <v>2</v>
      </c>
      <c r="F161" s="1632" t="s">
        <v>1114</v>
      </c>
      <c r="G161" s="1631" t="s">
        <v>1036</v>
      </c>
      <c r="H161" s="1631"/>
      <c r="I161" s="1633">
        <v>11</v>
      </c>
      <c r="J161" s="1634"/>
      <c r="K161" s="1631"/>
      <c r="L161" s="1634"/>
      <c r="M161" s="1637">
        <v>665.4</v>
      </c>
      <c r="N161" s="1637"/>
      <c r="O161" s="1637">
        <v>623.9</v>
      </c>
      <c r="P161" s="1637">
        <v>0</v>
      </c>
      <c r="Q161" s="1637">
        <v>0</v>
      </c>
      <c r="R161" s="1637">
        <v>0</v>
      </c>
      <c r="S161" s="1637">
        <v>0</v>
      </c>
      <c r="U161" s="1656">
        <v>4.5919990000000001E-2</v>
      </c>
      <c r="V161" s="1657">
        <v>0</v>
      </c>
      <c r="W161" s="1657">
        <v>4.5919990000000001E-2</v>
      </c>
      <c r="X161" s="1657">
        <v>1.7577931664502703E-3</v>
      </c>
      <c r="Y161" s="1658">
        <v>28</v>
      </c>
    </row>
    <row r="162" spans="3:25" ht="15" thickBot="1" x14ac:dyDescent="0.35">
      <c r="C162" s="1631">
        <v>149</v>
      </c>
      <c r="D162" s="1632" t="s">
        <v>1115</v>
      </c>
      <c r="E162" s="1631">
        <v>2</v>
      </c>
      <c r="F162" s="1632" t="s">
        <v>1114</v>
      </c>
      <c r="G162" s="1631" t="s">
        <v>1036</v>
      </c>
      <c r="H162" s="1631"/>
      <c r="I162" s="1633">
        <v>1</v>
      </c>
      <c r="J162" s="1634"/>
      <c r="K162" s="1631"/>
      <c r="L162" s="1634"/>
      <c r="M162" s="1637">
        <v>0</v>
      </c>
      <c r="N162" s="1637"/>
      <c r="O162" s="1637">
        <v>0</v>
      </c>
      <c r="P162" s="1637">
        <v>0</v>
      </c>
      <c r="Q162" s="1637">
        <v>41.5</v>
      </c>
      <c r="R162" s="1637">
        <v>0</v>
      </c>
      <c r="S162" s="1637">
        <v>0</v>
      </c>
      <c r="U162" s="1656">
        <v>3.8549999999999999E-3</v>
      </c>
      <c r="V162" s="1657">
        <v>0</v>
      </c>
      <c r="W162" s="1657">
        <v>3.8549999999999999E-3</v>
      </c>
      <c r="X162" s="1657">
        <v>0</v>
      </c>
      <c r="Y162" s="1658">
        <v>0</v>
      </c>
    </row>
    <row r="163" spans="3:25" ht="15" thickBot="1" x14ac:dyDescent="0.35">
      <c r="C163" s="1631">
        <v>150</v>
      </c>
      <c r="D163" s="1632" t="s">
        <v>1116</v>
      </c>
      <c r="E163" s="1631">
        <v>4</v>
      </c>
      <c r="F163" s="1632" t="s">
        <v>1114</v>
      </c>
      <c r="G163" s="1631" t="s">
        <v>1036</v>
      </c>
      <c r="H163" s="1631"/>
      <c r="I163" s="1633">
        <v>32</v>
      </c>
      <c r="J163" s="1634"/>
      <c r="K163" s="1631"/>
      <c r="L163" s="1634"/>
      <c r="M163" s="1637">
        <v>1535.7</v>
      </c>
      <c r="N163" s="1637"/>
      <c r="O163" s="1637">
        <v>1535.7</v>
      </c>
      <c r="P163" s="1637">
        <v>0</v>
      </c>
      <c r="Q163" s="1637">
        <v>0</v>
      </c>
      <c r="R163" s="1637">
        <v>0</v>
      </c>
      <c r="S163" s="1637">
        <v>0</v>
      </c>
      <c r="U163" s="1656">
        <v>9.959817E-2</v>
      </c>
      <c r="V163" s="1657">
        <v>0</v>
      </c>
      <c r="W163" s="1657">
        <v>9.959817E-2</v>
      </c>
      <c r="X163" s="1657">
        <v>3.0919979018177966E-3</v>
      </c>
      <c r="Y163" s="1658">
        <v>55</v>
      </c>
    </row>
    <row r="164" spans="3:25" ht="15" thickBot="1" x14ac:dyDescent="0.35">
      <c r="C164" s="1631">
        <v>151</v>
      </c>
      <c r="D164" s="1632" t="s">
        <v>1117</v>
      </c>
      <c r="E164" s="1631">
        <v>4</v>
      </c>
      <c r="F164" s="1632" t="s">
        <v>1065</v>
      </c>
      <c r="G164" s="1631" t="s">
        <v>1036</v>
      </c>
      <c r="H164" s="1631"/>
      <c r="I164" s="1633">
        <v>32</v>
      </c>
      <c r="J164" s="1634"/>
      <c r="K164" s="1631"/>
      <c r="L164" s="1634"/>
      <c r="M164" s="1637">
        <v>1480.2</v>
      </c>
      <c r="N164" s="1637"/>
      <c r="O164" s="1637">
        <v>1480.2</v>
      </c>
      <c r="P164" s="1637">
        <v>0</v>
      </c>
      <c r="Q164" s="1637">
        <v>0</v>
      </c>
      <c r="R164" s="1637">
        <v>0</v>
      </c>
      <c r="S164" s="1637">
        <v>0</v>
      </c>
      <c r="U164" s="1656">
        <v>0.10307587999999999</v>
      </c>
      <c r="V164" s="1657">
        <v>0</v>
      </c>
      <c r="W164" s="1657">
        <v>0.10307587999999999</v>
      </c>
      <c r="X164" s="1657">
        <v>0</v>
      </c>
      <c r="Y164" s="1658">
        <v>0</v>
      </c>
    </row>
    <row r="165" spans="3:25" ht="15" thickBot="1" x14ac:dyDescent="0.35">
      <c r="C165" s="1631">
        <v>152</v>
      </c>
      <c r="D165" s="1632" t="s">
        <v>1117</v>
      </c>
      <c r="E165" s="1631">
        <v>1</v>
      </c>
      <c r="F165" s="1632" t="s">
        <v>1065</v>
      </c>
      <c r="G165" s="1631" t="s">
        <v>1036</v>
      </c>
      <c r="H165" s="1631"/>
      <c r="I165" s="1633">
        <v>1</v>
      </c>
      <c r="J165" s="1634"/>
      <c r="K165" s="1631"/>
      <c r="L165" s="1634"/>
      <c r="M165" s="1637">
        <v>0</v>
      </c>
      <c r="N165" s="1637"/>
      <c r="O165" s="1637">
        <v>0</v>
      </c>
      <c r="P165" s="1637">
        <v>0</v>
      </c>
      <c r="Q165" s="1637">
        <v>0</v>
      </c>
      <c r="R165" s="1637">
        <v>0</v>
      </c>
      <c r="S165" s="1637">
        <v>10.5</v>
      </c>
      <c r="U165" s="1656">
        <v>7.4200000000000004E-4</v>
      </c>
      <c r="V165" s="1657">
        <v>0</v>
      </c>
      <c r="W165" s="1657">
        <v>7.4200000000000004E-4</v>
      </c>
      <c r="X165" s="1657">
        <v>0</v>
      </c>
      <c r="Y165" s="1658">
        <v>0</v>
      </c>
    </row>
    <row r="166" spans="3:25" ht="15" thickBot="1" x14ac:dyDescent="0.35">
      <c r="C166" s="1631">
        <v>153</v>
      </c>
      <c r="D166" s="1632" t="s">
        <v>1118</v>
      </c>
      <c r="E166" s="1631">
        <v>4</v>
      </c>
      <c r="F166" s="1632" t="s">
        <v>1069</v>
      </c>
      <c r="G166" s="1631" t="s">
        <v>1036</v>
      </c>
      <c r="H166" s="1631"/>
      <c r="I166" s="1633">
        <v>1</v>
      </c>
      <c r="J166" s="1634"/>
      <c r="K166" s="1631"/>
      <c r="L166" s="1634"/>
      <c r="M166" s="1637">
        <v>1698.1</v>
      </c>
      <c r="N166" s="1637"/>
      <c r="O166" s="1637">
        <v>1698.1</v>
      </c>
      <c r="P166" s="1637">
        <v>0</v>
      </c>
      <c r="Q166" s="1637">
        <v>0</v>
      </c>
      <c r="R166" s="1637">
        <v>1698.1</v>
      </c>
      <c r="S166" s="1637">
        <v>0</v>
      </c>
      <c r="U166" s="1656">
        <v>8.9464630000000003E-2</v>
      </c>
      <c r="V166" s="1657">
        <v>0</v>
      </c>
      <c r="W166" s="1657">
        <v>8.9464630000000003E-2</v>
      </c>
      <c r="X166" s="1657">
        <v>0</v>
      </c>
      <c r="Y166" s="1658">
        <v>0</v>
      </c>
    </row>
    <row r="167" spans="3:25" ht="15" thickBot="1" x14ac:dyDescent="0.35">
      <c r="C167" s="1631">
        <v>154</v>
      </c>
      <c r="D167" s="1632" t="s">
        <v>1119</v>
      </c>
      <c r="E167" s="1631">
        <v>2</v>
      </c>
      <c r="F167" s="1632" t="s">
        <v>1061</v>
      </c>
      <c r="G167" s="1631" t="s">
        <v>1036</v>
      </c>
      <c r="H167" s="1631"/>
      <c r="I167" s="1633">
        <v>12</v>
      </c>
      <c r="J167" s="1634"/>
      <c r="K167" s="1631"/>
      <c r="L167" s="1634"/>
      <c r="M167" s="1637">
        <v>631</v>
      </c>
      <c r="N167" s="1637"/>
      <c r="O167" s="1637">
        <v>586</v>
      </c>
      <c r="P167" s="1637">
        <v>45</v>
      </c>
      <c r="Q167" s="1637">
        <v>0</v>
      </c>
      <c r="R167" s="1637">
        <v>0</v>
      </c>
      <c r="S167" s="1637">
        <v>0</v>
      </c>
      <c r="U167" s="1656">
        <v>4.5991230000000001E-2</v>
      </c>
      <c r="V167" s="1657">
        <v>1.249372377979604E-4</v>
      </c>
      <c r="W167" s="1657">
        <v>4.5866292762202041E-2</v>
      </c>
      <c r="X167" s="1657">
        <v>1.7518977122336226E-3</v>
      </c>
      <c r="Y167" s="1658">
        <v>28</v>
      </c>
    </row>
    <row r="168" spans="3:25" ht="15" thickBot="1" x14ac:dyDescent="0.35">
      <c r="C168" s="1631">
        <v>155</v>
      </c>
      <c r="D168" s="1632" t="s">
        <v>1120</v>
      </c>
      <c r="E168" s="1631">
        <v>5</v>
      </c>
      <c r="F168" s="1632" t="s">
        <v>1067</v>
      </c>
      <c r="G168" s="1631" t="s">
        <v>1036</v>
      </c>
      <c r="H168" s="1631"/>
      <c r="I168" s="1633">
        <v>34</v>
      </c>
      <c r="J168" s="1634"/>
      <c r="K168" s="1631"/>
      <c r="L168" s="1634"/>
      <c r="M168" s="1637">
        <v>1766.8000000000002</v>
      </c>
      <c r="N168" s="1637"/>
      <c r="O168" s="1637">
        <v>1544.2</v>
      </c>
      <c r="P168" s="1637">
        <v>53.2</v>
      </c>
      <c r="Q168" s="1637">
        <v>0</v>
      </c>
      <c r="R168" s="1637">
        <v>0</v>
      </c>
      <c r="S168" s="1637">
        <v>0</v>
      </c>
      <c r="U168" s="1656">
        <v>9.4902810000000004E-2</v>
      </c>
      <c r="V168" s="1657">
        <v>0</v>
      </c>
      <c r="W168" s="1657">
        <v>9.4902810000000004E-2</v>
      </c>
      <c r="X168" s="1657">
        <v>0</v>
      </c>
      <c r="Y168" s="1658">
        <v>0</v>
      </c>
    </row>
    <row r="169" spans="3:25" ht="15" thickBot="1" x14ac:dyDescent="0.35">
      <c r="C169" s="1631">
        <v>156</v>
      </c>
      <c r="D169" s="1632" t="s">
        <v>1120</v>
      </c>
      <c r="E169" s="1631">
        <v>5</v>
      </c>
      <c r="F169" s="1632" t="s">
        <v>1067</v>
      </c>
      <c r="G169" s="1631" t="s">
        <v>1036</v>
      </c>
      <c r="H169" s="1631"/>
      <c r="I169" s="1633">
        <v>1</v>
      </c>
      <c r="J169" s="1634"/>
      <c r="K169" s="1631"/>
      <c r="L169" s="1634"/>
      <c r="M169" s="1637">
        <v>0</v>
      </c>
      <c r="N169" s="1637"/>
      <c r="O169" s="1637">
        <v>0</v>
      </c>
      <c r="P169" s="1637">
        <v>0</v>
      </c>
      <c r="Q169" s="1637">
        <v>41.3</v>
      </c>
      <c r="R169" s="1637">
        <v>0</v>
      </c>
      <c r="S169" s="1637">
        <v>0</v>
      </c>
      <c r="U169" s="1656">
        <v>2.63E-3</v>
      </c>
      <c r="V169" s="1657">
        <v>0</v>
      </c>
      <c r="W169" s="1657">
        <v>2.63E-3</v>
      </c>
      <c r="X169" s="1657">
        <v>0</v>
      </c>
      <c r="Y169" s="1658">
        <v>0</v>
      </c>
    </row>
    <row r="170" spans="3:25" ht="15" thickBot="1" x14ac:dyDescent="0.35">
      <c r="C170" s="1631">
        <v>157</v>
      </c>
      <c r="D170" s="1632" t="s">
        <v>1120</v>
      </c>
      <c r="E170" s="1631">
        <v>5</v>
      </c>
      <c r="F170" s="1632" t="s">
        <v>1067</v>
      </c>
      <c r="G170" s="1631" t="s">
        <v>1036</v>
      </c>
      <c r="H170" s="1631"/>
      <c r="I170" s="1633">
        <v>1</v>
      </c>
      <c r="J170" s="1634"/>
      <c r="K170" s="1631"/>
      <c r="L170" s="1634"/>
      <c r="M170" s="1637">
        <v>0</v>
      </c>
      <c r="N170" s="1637"/>
      <c r="O170" s="1637">
        <v>0</v>
      </c>
      <c r="P170" s="1637">
        <v>0</v>
      </c>
      <c r="Q170" s="1637">
        <v>44</v>
      </c>
      <c r="R170" s="1637">
        <v>0</v>
      </c>
      <c r="S170" s="1637">
        <v>0</v>
      </c>
      <c r="U170" s="1656">
        <v>2.5149999999999999E-3</v>
      </c>
      <c r="V170" s="1657">
        <v>0</v>
      </c>
      <c r="W170" s="1657">
        <v>2.5149999999999999E-3</v>
      </c>
      <c r="X170" s="1657">
        <v>0</v>
      </c>
      <c r="Y170" s="1658">
        <v>0</v>
      </c>
    </row>
    <row r="171" spans="3:25" ht="15" thickBot="1" x14ac:dyDescent="0.35">
      <c r="C171" s="1631">
        <v>158</v>
      </c>
      <c r="D171" s="1632" t="s">
        <v>1120</v>
      </c>
      <c r="E171" s="1631">
        <v>5</v>
      </c>
      <c r="F171" s="1632" t="s">
        <v>1067</v>
      </c>
      <c r="G171" s="1631" t="s">
        <v>1036</v>
      </c>
      <c r="H171" s="1631"/>
      <c r="I171" s="1633">
        <v>1</v>
      </c>
      <c r="J171" s="1634"/>
      <c r="K171" s="1631"/>
      <c r="L171" s="1634"/>
      <c r="M171" s="1637">
        <v>0</v>
      </c>
      <c r="N171" s="1637"/>
      <c r="O171" s="1637">
        <v>0</v>
      </c>
      <c r="P171" s="1637">
        <v>0</v>
      </c>
      <c r="Q171" s="1637">
        <v>42.8</v>
      </c>
      <c r="R171" s="1637">
        <v>0</v>
      </c>
      <c r="S171" s="1637">
        <v>0</v>
      </c>
      <c r="U171" s="1656">
        <v>3.604E-3</v>
      </c>
      <c r="V171" s="1657">
        <v>0</v>
      </c>
      <c r="W171" s="1657">
        <v>3.604E-3</v>
      </c>
      <c r="X171" s="1657">
        <v>0</v>
      </c>
      <c r="Y171" s="1658">
        <v>0</v>
      </c>
    </row>
    <row r="172" spans="3:25" ht="15" thickBot="1" x14ac:dyDescent="0.35">
      <c r="C172" s="1631">
        <v>159</v>
      </c>
      <c r="D172" s="1632" t="s">
        <v>1120</v>
      </c>
      <c r="E172" s="1631">
        <v>5</v>
      </c>
      <c r="F172" s="1632" t="s">
        <v>1067</v>
      </c>
      <c r="G172" s="1631" t="s">
        <v>1036</v>
      </c>
      <c r="H172" s="1631"/>
      <c r="I172" s="1633">
        <v>1</v>
      </c>
      <c r="J172" s="1634"/>
      <c r="K172" s="1631"/>
      <c r="L172" s="1634"/>
      <c r="M172" s="1637">
        <v>0</v>
      </c>
      <c r="N172" s="1637"/>
      <c r="O172" s="1637">
        <v>0</v>
      </c>
      <c r="P172" s="1637">
        <v>0</v>
      </c>
      <c r="Q172" s="3431">
        <v>41.3</v>
      </c>
      <c r="R172" s="1637">
        <v>0</v>
      </c>
      <c r="S172" s="1637">
        <v>0</v>
      </c>
      <c r="U172" s="1656">
        <v>1.8600000000000001E-3</v>
      </c>
      <c r="V172" s="1657">
        <v>0</v>
      </c>
      <c r="W172" s="1657">
        <v>1.8600000000000001E-3</v>
      </c>
      <c r="X172" s="1657">
        <v>0</v>
      </c>
      <c r="Y172" s="1658">
        <v>0</v>
      </c>
    </row>
    <row r="173" spans="3:25" ht="15" thickBot="1" x14ac:dyDescent="0.35">
      <c r="C173" s="1631">
        <v>160</v>
      </c>
      <c r="D173" s="1632" t="s">
        <v>1121</v>
      </c>
      <c r="E173" s="1631">
        <v>9</v>
      </c>
      <c r="F173" s="1632" t="s">
        <v>1054</v>
      </c>
      <c r="G173" s="1631" t="s">
        <v>1036</v>
      </c>
      <c r="H173" s="1631"/>
      <c r="I173" s="1633">
        <v>1</v>
      </c>
      <c r="J173" s="1634"/>
      <c r="K173" s="1631"/>
      <c r="L173" s="1634"/>
      <c r="M173" s="1637">
        <v>14045</v>
      </c>
      <c r="N173" s="1637"/>
      <c r="O173" s="1637">
        <v>14045</v>
      </c>
      <c r="P173" s="1637">
        <v>0</v>
      </c>
      <c r="Q173" s="1637">
        <v>0</v>
      </c>
      <c r="R173" s="1637">
        <v>14045</v>
      </c>
      <c r="S173" s="1637">
        <v>0</v>
      </c>
      <c r="U173" s="1656">
        <v>0.91683914</v>
      </c>
      <c r="V173" s="1657">
        <v>0</v>
      </c>
      <c r="W173" s="1657">
        <v>0.91683914</v>
      </c>
      <c r="X173" s="1657">
        <v>0</v>
      </c>
      <c r="Y173" s="1658">
        <v>0</v>
      </c>
    </row>
    <row r="174" spans="3:25" ht="15" thickBot="1" x14ac:dyDescent="0.35">
      <c r="C174" s="1631">
        <v>161</v>
      </c>
      <c r="D174" s="1632" t="s">
        <v>1122</v>
      </c>
      <c r="E174" s="1631">
        <v>9</v>
      </c>
      <c r="F174" s="1632" t="s">
        <v>1054</v>
      </c>
      <c r="G174" s="1631" t="s">
        <v>1036</v>
      </c>
      <c r="H174" s="1631"/>
      <c r="I174" s="1633">
        <v>143</v>
      </c>
      <c r="J174" s="1634"/>
      <c r="K174" s="1631"/>
      <c r="L174" s="1634"/>
      <c r="M174" s="1637">
        <v>8078.12</v>
      </c>
      <c r="N174" s="1637"/>
      <c r="O174" s="1637">
        <v>8024.82</v>
      </c>
      <c r="P174" s="1637">
        <v>0</v>
      </c>
      <c r="Q174" s="1637">
        <v>0</v>
      </c>
      <c r="R174" s="1637">
        <v>0</v>
      </c>
      <c r="S174" s="1637">
        <v>0</v>
      </c>
      <c r="U174" s="1656">
        <v>0.45773123999999998</v>
      </c>
      <c r="V174" s="1657">
        <v>0</v>
      </c>
      <c r="W174" s="1657">
        <v>0.45773123999999998</v>
      </c>
      <c r="X174" s="1657">
        <v>4.7948408337818403E-2</v>
      </c>
      <c r="Y174" s="1658">
        <v>1057</v>
      </c>
    </row>
    <row r="175" spans="3:25" ht="15" thickBot="1" x14ac:dyDescent="0.35">
      <c r="C175" s="1631">
        <v>162</v>
      </c>
      <c r="D175" s="1632" t="s">
        <v>1122</v>
      </c>
      <c r="E175" s="1631">
        <v>9</v>
      </c>
      <c r="F175" s="1632" t="s">
        <v>1054</v>
      </c>
      <c r="G175" s="1631" t="s">
        <v>1036</v>
      </c>
      <c r="H175" s="1631"/>
      <c r="I175" s="1633">
        <v>1</v>
      </c>
      <c r="J175" s="1634"/>
      <c r="K175" s="1631"/>
      <c r="L175" s="1634"/>
      <c r="M175" s="1637">
        <v>0</v>
      </c>
      <c r="N175" s="1637"/>
      <c r="O175" s="1637">
        <v>0</v>
      </c>
      <c r="P175" s="1637">
        <v>0</v>
      </c>
      <c r="Q175" s="1637">
        <v>53.3</v>
      </c>
      <c r="R175" s="1637">
        <v>0</v>
      </c>
      <c r="S175" s="1637">
        <v>0</v>
      </c>
      <c r="U175" s="1656">
        <v>1.7979999999999999E-3</v>
      </c>
      <c r="V175" s="1657">
        <v>0</v>
      </c>
      <c r="W175" s="1657">
        <v>1.7979999999999999E-3</v>
      </c>
      <c r="X175" s="1657">
        <v>0</v>
      </c>
      <c r="Y175" s="1658">
        <v>0</v>
      </c>
    </row>
    <row r="176" spans="3:25" ht="15" thickBot="1" x14ac:dyDescent="0.35">
      <c r="C176" s="1631">
        <v>163</v>
      </c>
      <c r="D176" s="1632" t="s">
        <v>1122</v>
      </c>
      <c r="E176" s="1631">
        <v>1</v>
      </c>
      <c r="F176" s="1632" t="s">
        <v>1054</v>
      </c>
      <c r="G176" s="1631" t="s">
        <v>1036</v>
      </c>
      <c r="H176" s="1631"/>
      <c r="I176" s="1633">
        <v>0</v>
      </c>
      <c r="J176" s="1634"/>
      <c r="K176" s="1631"/>
      <c r="L176" s="1634"/>
      <c r="M176" s="1637">
        <v>0</v>
      </c>
      <c r="N176" s="1637"/>
      <c r="O176" s="1637">
        <v>0</v>
      </c>
      <c r="P176" s="1637">
        <v>0</v>
      </c>
      <c r="Q176" s="1637">
        <v>0</v>
      </c>
      <c r="R176" s="1637">
        <v>0</v>
      </c>
      <c r="S176" s="1637">
        <v>19</v>
      </c>
      <c r="U176" s="1656">
        <v>3.529E-3</v>
      </c>
      <c r="V176" s="1657">
        <v>0</v>
      </c>
      <c r="W176" s="1657">
        <v>3.529E-3</v>
      </c>
      <c r="X176" s="1657">
        <v>0</v>
      </c>
      <c r="Y176" s="1658">
        <v>0</v>
      </c>
    </row>
    <row r="177" spans="3:25" ht="15" thickBot="1" x14ac:dyDescent="0.35">
      <c r="C177" s="1631">
        <v>164</v>
      </c>
      <c r="D177" s="1632" t="s">
        <v>1123</v>
      </c>
      <c r="E177" s="1631">
        <v>9</v>
      </c>
      <c r="F177" s="1632" t="s">
        <v>1124</v>
      </c>
      <c r="G177" s="1631" t="s">
        <v>1036</v>
      </c>
      <c r="H177" s="1631"/>
      <c r="I177" s="1633">
        <v>102</v>
      </c>
      <c r="J177" s="1634"/>
      <c r="K177" s="1631"/>
      <c r="L177" s="1634"/>
      <c r="M177" s="1637">
        <v>5364.8</v>
      </c>
      <c r="N177" s="1637"/>
      <c r="O177" s="1637">
        <v>5364.8</v>
      </c>
      <c r="P177" s="1637">
        <v>0</v>
      </c>
      <c r="Q177" s="1637">
        <v>0</v>
      </c>
      <c r="R177" s="1637">
        <v>0</v>
      </c>
      <c r="S177" s="1637">
        <v>0</v>
      </c>
      <c r="U177" s="1656">
        <v>0.28342317</v>
      </c>
      <c r="V177" s="1657">
        <v>0</v>
      </c>
      <c r="W177" s="1657">
        <v>0.28342317</v>
      </c>
      <c r="X177" s="1657">
        <v>0</v>
      </c>
      <c r="Y177" s="1658">
        <v>0</v>
      </c>
    </row>
    <row r="178" spans="3:25" ht="15" thickBot="1" x14ac:dyDescent="0.35">
      <c r="C178" s="1631">
        <v>165</v>
      </c>
      <c r="D178" s="1632" t="s">
        <v>1125</v>
      </c>
      <c r="E178" s="1631">
        <v>9</v>
      </c>
      <c r="F178" s="1632" t="s">
        <v>1126</v>
      </c>
      <c r="G178" s="1631" t="s">
        <v>1036</v>
      </c>
      <c r="H178" s="1631"/>
      <c r="I178" s="1633">
        <v>250</v>
      </c>
      <c r="J178" s="1634"/>
      <c r="K178" s="1631"/>
      <c r="L178" s="1634"/>
      <c r="M178" s="1637">
        <v>13145.6</v>
      </c>
      <c r="N178" s="1637"/>
      <c r="O178" s="1637">
        <v>13125.8</v>
      </c>
      <c r="P178" s="1637">
        <v>0</v>
      </c>
      <c r="Q178" s="1637">
        <v>0</v>
      </c>
      <c r="R178" s="1637">
        <v>0</v>
      </c>
      <c r="S178" s="1637">
        <v>0</v>
      </c>
      <c r="U178" s="1656">
        <v>0.686776155</v>
      </c>
      <c r="V178" s="1657">
        <v>0</v>
      </c>
      <c r="W178" s="1657">
        <v>0.686776155</v>
      </c>
      <c r="X178" s="1657">
        <v>9.4649343299671104E-2</v>
      </c>
      <c r="Y178" s="1658">
        <v>2357</v>
      </c>
    </row>
    <row r="179" spans="3:25" ht="15" thickBot="1" x14ac:dyDescent="0.35">
      <c r="C179" s="1631">
        <v>166</v>
      </c>
      <c r="D179" s="1632" t="s">
        <v>1125</v>
      </c>
      <c r="E179" s="1631">
        <v>9</v>
      </c>
      <c r="F179" s="1632" t="s">
        <v>1126</v>
      </c>
      <c r="G179" s="1631" t="s">
        <v>1036</v>
      </c>
      <c r="H179" s="1631"/>
      <c r="I179" s="1633">
        <v>1</v>
      </c>
      <c r="J179" s="1634"/>
      <c r="K179" s="1631"/>
      <c r="L179" s="1634"/>
      <c r="M179" s="1637">
        <v>0</v>
      </c>
      <c r="N179" s="1637"/>
      <c r="O179" s="1637">
        <v>0</v>
      </c>
      <c r="P179" s="1637">
        <v>0</v>
      </c>
      <c r="Q179" s="1637">
        <v>19.8</v>
      </c>
      <c r="R179" s="1637">
        <v>0</v>
      </c>
      <c r="S179" s="1637">
        <v>0</v>
      </c>
      <c r="U179" s="1656">
        <v>9.7300000000000002E-4</v>
      </c>
      <c r="V179" s="1657">
        <v>0</v>
      </c>
      <c r="W179" s="1657">
        <v>9.7300000000000002E-4</v>
      </c>
      <c r="X179" s="1657">
        <v>0</v>
      </c>
      <c r="Y179" s="1658">
        <v>0</v>
      </c>
    </row>
    <row r="180" spans="3:25" ht="15" thickBot="1" x14ac:dyDescent="0.35">
      <c r="C180" s="1631">
        <v>167</v>
      </c>
      <c r="D180" s="1632" t="s">
        <v>1127</v>
      </c>
      <c r="E180" s="1631">
        <v>5</v>
      </c>
      <c r="F180" s="1632" t="s">
        <v>1069</v>
      </c>
      <c r="G180" s="1631" t="s">
        <v>1036</v>
      </c>
      <c r="H180" s="1631"/>
      <c r="I180" s="1633">
        <v>80</v>
      </c>
      <c r="J180" s="1634"/>
      <c r="K180" s="1631"/>
      <c r="L180" s="1634"/>
      <c r="M180" s="1637">
        <v>3115.5</v>
      </c>
      <c r="N180" s="1637"/>
      <c r="O180" s="1637">
        <v>3115.5</v>
      </c>
      <c r="P180" s="1637">
        <v>0</v>
      </c>
      <c r="Q180" s="1637">
        <v>0</v>
      </c>
      <c r="R180" s="1637">
        <v>0</v>
      </c>
      <c r="S180" s="1637">
        <v>0</v>
      </c>
      <c r="U180" s="1656">
        <v>0.18632386000000001</v>
      </c>
      <c r="V180" s="1657">
        <v>0</v>
      </c>
      <c r="W180" s="1657">
        <v>0.18632386000000001</v>
      </c>
      <c r="X180" s="1657">
        <v>6.0867414843599746E-3</v>
      </c>
      <c r="Y180" s="1658">
        <v>118</v>
      </c>
    </row>
    <row r="181" spans="3:25" ht="15" thickBot="1" x14ac:dyDescent="0.35">
      <c r="C181" s="1631">
        <v>168</v>
      </c>
      <c r="D181" s="1632" t="s">
        <v>1128</v>
      </c>
      <c r="E181" s="1631">
        <v>9</v>
      </c>
      <c r="F181" s="1632" t="s">
        <v>1035</v>
      </c>
      <c r="G181" s="1631" t="s">
        <v>1036</v>
      </c>
      <c r="H181" s="1631"/>
      <c r="I181" s="1633">
        <v>215</v>
      </c>
      <c r="J181" s="1634"/>
      <c r="K181" s="1631"/>
      <c r="L181" s="1634"/>
      <c r="M181" s="1637">
        <v>11129.5</v>
      </c>
      <c r="N181" s="1637"/>
      <c r="O181" s="1637">
        <v>11082.6</v>
      </c>
      <c r="P181" s="1637">
        <v>46.9</v>
      </c>
      <c r="Q181" s="1637">
        <v>0</v>
      </c>
      <c r="R181" s="1637">
        <v>0</v>
      </c>
      <c r="S181" s="1637">
        <v>0</v>
      </c>
      <c r="U181" s="1656">
        <v>0.70798647999999997</v>
      </c>
      <c r="V181" s="1657">
        <v>0</v>
      </c>
      <c r="W181" s="1657">
        <v>0.70798647999999997</v>
      </c>
      <c r="X181" s="1657">
        <v>0</v>
      </c>
      <c r="Y181" s="1658">
        <v>0</v>
      </c>
    </row>
    <row r="182" spans="3:25" ht="15" thickBot="1" x14ac:dyDescent="0.35">
      <c r="C182" s="1631">
        <v>169</v>
      </c>
      <c r="D182" s="1632" t="s">
        <v>1129</v>
      </c>
      <c r="E182" s="1631">
        <v>5</v>
      </c>
      <c r="F182" s="1632" t="s">
        <v>1130</v>
      </c>
      <c r="G182" s="1631" t="s">
        <v>1036</v>
      </c>
      <c r="H182" s="1631"/>
      <c r="I182" s="1633">
        <v>130</v>
      </c>
      <c r="J182" s="1634"/>
      <c r="K182" s="1631"/>
      <c r="L182" s="1634"/>
      <c r="M182" s="1637">
        <v>6010.5</v>
      </c>
      <c r="N182" s="1637"/>
      <c r="O182" s="1637">
        <v>5974.5</v>
      </c>
      <c r="P182" s="1637">
        <v>0</v>
      </c>
      <c r="Q182" s="1637">
        <v>0</v>
      </c>
      <c r="R182" s="1637">
        <v>0</v>
      </c>
      <c r="S182" s="1637">
        <v>0</v>
      </c>
      <c r="U182" s="1656">
        <v>0.32184550000000001</v>
      </c>
      <c r="V182" s="1657">
        <v>0</v>
      </c>
      <c r="W182" s="1657">
        <v>0.32184550000000001</v>
      </c>
      <c r="X182" s="1657">
        <v>2.8106994843328202E-2</v>
      </c>
      <c r="Y182" s="1658">
        <v>643.24</v>
      </c>
    </row>
    <row r="183" spans="3:25" ht="15" thickBot="1" x14ac:dyDescent="0.35">
      <c r="C183" s="1631">
        <v>170</v>
      </c>
      <c r="D183" s="1632" t="s">
        <v>1129</v>
      </c>
      <c r="E183" s="1631">
        <v>5</v>
      </c>
      <c r="F183" s="1632" t="s">
        <v>1130</v>
      </c>
      <c r="G183" s="1631" t="s">
        <v>1036</v>
      </c>
      <c r="H183" s="1631"/>
      <c r="I183" s="1633">
        <v>1</v>
      </c>
      <c r="J183" s="1634"/>
      <c r="K183" s="1631"/>
      <c r="L183" s="1634"/>
      <c r="M183" s="1637">
        <v>0</v>
      </c>
      <c r="N183" s="1637"/>
      <c r="O183" s="1637">
        <v>0</v>
      </c>
      <c r="P183" s="1637">
        <v>0</v>
      </c>
      <c r="Q183" s="1637">
        <v>36</v>
      </c>
      <c r="R183" s="1637">
        <v>0</v>
      </c>
      <c r="S183" s="1637">
        <v>0</v>
      </c>
      <c r="U183" s="1656">
        <v>3.3E-3</v>
      </c>
      <c r="V183" s="1657">
        <v>0</v>
      </c>
      <c r="W183" s="1657">
        <v>3.3E-3</v>
      </c>
      <c r="X183" s="1657">
        <v>0</v>
      </c>
      <c r="Y183" s="1658">
        <v>0</v>
      </c>
    </row>
    <row r="184" spans="3:25" ht="15" thickBot="1" x14ac:dyDescent="0.35">
      <c r="C184" s="1631">
        <v>171</v>
      </c>
      <c r="D184" s="1632" t="s">
        <v>1131</v>
      </c>
      <c r="E184" s="1631">
        <v>9</v>
      </c>
      <c r="F184" s="1632" t="s">
        <v>1050</v>
      </c>
      <c r="G184" s="1631" t="s">
        <v>1036</v>
      </c>
      <c r="H184" s="1631"/>
      <c r="I184" s="1633">
        <v>270</v>
      </c>
      <c r="J184" s="1634"/>
      <c r="K184" s="1631"/>
      <c r="L184" s="1634"/>
      <c r="M184" s="1637">
        <v>11924.7</v>
      </c>
      <c r="N184" s="1637"/>
      <c r="O184" s="1637">
        <v>11888.3</v>
      </c>
      <c r="P184" s="1637">
        <v>0</v>
      </c>
      <c r="Q184" s="1637">
        <v>0</v>
      </c>
      <c r="R184" s="1637">
        <v>0</v>
      </c>
      <c r="S184" s="1637">
        <v>0</v>
      </c>
      <c r="U184" s="1656">
        <v>0.82320672299999997</v>
      </c>
      <c r="V184" s="1657">
        <v>0</v>
      </c>
      <c r="W184" s="1657">
        <v>0.82320672299999997</v>
      </c>
      <c r="X184" s="1657">
        <v>1.2798674914372381E-2</v>
      </c>
      <c r="Y184" s="1658">
        <v>240</v>
      </c>
    </row>
    <row r="185" spans="3:25" ht="15" thickBot="1" x14ac:dyDescent="0.35">
      <c r="C185" s="1631">
        <v>172</v>
      </c>
      <c r="D185" s="1632" t="s">
        <v>1131</v>
      </c>
      <c r="E185" s="1631">
        <v>9</v>
      </c>
      <c r="F185" s="1632" t="s">
        <v>1050</v>
      </c>
      <c r="G185" s="1631" t="s">
        <v>1036</v>
      </c>
      <c r="H185" s="1631"/>
      <c r="I185" s="1633">
        <v>1</v>
      </c>
      <c r="J185" s="1634"/>
      <c r="K185" s="1631"/>
      <c r="L185" s="1634"/>
      <c r="M185" s="1637">
        <v>0</v>
      </c>
      <c r="N185" s="1637"/>
      <c r="O185" s="1637">
        <v>0</v>
      </c>
      <c r="P185" s="1637">
        <v>0</v>
      </c>
      <c r="Q185" s="1637">
        <v>36.4</v>
      </c>
      <c r="R185" s="1637">
        <v>0</v>
      </c>
      <c r="S185" s="1637">
        <v>0</v>
      </c>
      <c r="U185" s="1656">
        <v>3.2139999999999998E-3</v>
      </c>
      <c r="V185" s="1657">
        <v>0</v>
      </c>
      <c r="W185" s="1657">
        <v>3.2139999999999998E-3</v>
      </c>
      <c r="X185" s="1657">
        <v>0</v>
      </c>
      <c r="Y185" s="1658">
        <v>0</v>
      </c>
    </row>
    <row r="186" spans="3:25" ht="15" thickBot="1" x14ac:dyDescent="0.35">
      <c r="C186" s="1631">
        <v>173</v>
      </c>
      <c r="D186" s="1632" t="s">
        <v>1131</v>
      </c>
      <c r="E186" s="1631">
        <v>1</v>
      </c>
      <c r="F186" s="1632" t="s">
        <v>1050</v>
      </c>
      <c r="G186" s="1631" t="s">
        <v>1036</v>
      </c>
      <c r="H186" s="1631"/>
      <c r="I186" s="1633">
        <v>1</v>
      </c>
      <c r="J186" s="1634"/>
      <c r="K186" s="1631"/>
      <c r="L186" s="1634"/>
      <c r="M186" s="1637">
        <v>0</v>
      </c>
      <c r="N186" s="1637"/>
      <c r="O186" s="1637">
        <v>0</v>
      </c>
      <c r="P186" s="1637">
        <v>0</v>
      </c>
      <c r="Q186" s="1637">
        <v>0</v>
      </c>
      <c r="R186" s="1637">
        <v>0</v>
      </c>
      <c r="S186" s="1637">
        <v>856.9</v>
      </c>
      <c r="U186" s="1656">
        <v>8.0199999999999994E-2</v>
      </c>
      <c r="V186" s="1657">
        <v>0</v>
      </c>
      <c r="W186" s="1657">
        <v>8.0199999999999994E-2</v>
      </c>
      <c r="X186" s="1657">
        <v>0</v>
      </c>
      <c r="Y186" s="1658">
        <v>0</v>
      </c>
    </row>
    <row r="187" spans="3:25" ht="15" thickBot="1" x14ac:dyDescent="0.35">
      <c r="C187" s="1631">
        <v>174</v>
      </c>
      <c r="D187" s="1632" t="s">
        <v>1132</v>
      </c>
      <c r="E187" s="1631">
        <v>1</v>
      </c>
      <c r="F187" s="1632" t="s">
        <v>1133</v>
      </c>
      <c r="G187" s="1631" t="s">
        <v>1036</v>
      </c>
      <c r="H187" s="1631"/>
      <c r="I187" s="1633">
        <v>0</v>
      </c>
      <c r="J187" s="1634"/>
      <c r="K187" s="1631"/>
      <c r="L187" s="1634"/>
      <c r="M187" s="1637">
        <v>0</v>
      </c>
      <c r="N187" s="1637"/>
      <c r="O187" s="1637">
        <v>0</v>
      </c>
      <c r="P187" s="1637">
        <v>0</v>
      </c>
      <c r="Q187" s="1637">
        <v>0</v>
      </c>
      <c r="R187" s="1637">
        <v>0</v>
      </c>
      <c r="S187" s="1637">
        <v>0</v>
      </c>
      <c r="U187" s="1656">
        <v>0</v>
      </c>
      <c r="V187" s="1657">
        <v>0</v>
      </c>
      <c r="W187" s="1657">
        <v>0</v>
      </c>
      <c r="X187" s="1657">
        <v>0</v>
      </c>
      <c r="Y187" s="1658">
        <v>0</v>
      </c>
    </row>
    <row r="188" spans="3:25" ht="15" thickBot="1" x14ac:dyDescent="0.35">
      <c r="C188" s="1631">
        <v>175</v>
      </c>
      <c r="D188" s="1632" t="s">
        <v>1134</v>
      </c>
      <c r="E188" s="1631">
        <v>5</v>
      </c>
      <c r="F188" s="1632" t="s">
        <v>1135</v>
      </c>
      <c r="G188" s="1631" t="s">
        <v>1036</v>
      </c>
      <c r="H188" s="1631"/>
      <c r="I188" s="1633">
        <v>100</v>
      </c>
      <c r="J188" s="1634"/>
      <c r="K188" s="1631"/>
      <c r="L188" s="1634"/>
      <c r="M188" s="1637">
        <v>4436.8</v>
      </c>
      <c r="N188" s="1637"/>
      <c r="O188" s="1637">
        <v>4436.8</v>
      </c>
      <c r="P188" s="1637">
        <v>0</v>
      </c>
      <c r="Q188" s="1637">
        <v>0</v>
      </c>
      <c r="R188" s="1637">
        <v>0</v>
      </c>
      <c r="S188" s="1637">
        <v>0</v>
      </c>
      <c r="U188" s="1656">
        <v>0.22194754</v>
      </c>
      <c r="V188" s="1657">
        <v>0</v>
      </c>
      <c r="W188" s="1657">
        <v>0.22194754</v>
      </c>
      <c r="X188" s="1657">
        <v>1.9659765286941272E-2</v>
      </c>
      <c r="Y188" s="1658">
        <v>483.58000000000004</v>
      </c>
    </row>
    <row r="189" spans="3:25" ht="15" thickBot="1" x14ac:dyDescent="0.35">
      <c r="C189" s="1631">
        <v>176</v>
      </c>
      <c r="D189" s="1632" t="s">
        <v>1136</v>
      </c>
      <c r="E189" s="1631">
        <v>1</v>
      </c>
      <c r="F189" s="1632" t="s">
        <v>1137</v>
      </c>
      <c r="G189" s="1631" t="s">
        <v>1036</v>
      </c>
      <c r="H189" s="1631"/>
      <c r="I189" s="1633">
        <v>1</v>
      </c>
      <c r="J189" s="1634"/>
      <c r="K189" s="1631"/>
      <c r="L189" s="1634"/>
      <c r="M189" s="1637">
        <v>0</v>
      </c>
      <c r="N189" s="1637"/>
      <c r="O189" s="1637">
        <v>0</v>
      </c>
      <c r="P189" s="1637">
        <v>0</v>
      </c>
      <c r="Q189" s="1637">
        <v>0</v>
      </c>
      <c r="R189" s="1637">
        <v>0</v>
      </c>
      <c r="S189" s="1637">
        <v>161.1</v>
      </c>
      <c r="U189" s="1656">
        <v>2.4840000000000001E-3</v>
      </c>
      <c r="V189" s="1657">
        <v>0</v>
      </c>
      <c r="W189" s="1657">
        <v>2.4840000000000001E-3</v>
      </c>
      <c r="X189" s="1657">
        <v>0</v>
      </c>
      <c r="Y189" s="1658">
        <v>0</v>
      </c>
    </row>
    <row r="190" spans="3:25" ht="15" thickBot="1" x14ac:dyDescent="0.35">
      <c r="C190" s="1631">
        <v>177</v>
      </c>
      <c r="D190" s="1632" t="s">
        <v>1138</v>
      </c>
      <c r="E190" s="1631">
        <v>5</v>
      </c>
      <c r="F190" s="1632" t="s">
        <v>1130</v>
      </c>
      <c r="G190" s="1631" t="s">
        <v>1036</v>
      </c>
      <c r="H190" s="1631"/>
      <c r="I190" s="1633">
        <v>98</v>
      </c>
      <c r="J190" s="1634"/>
      <c r="K190" s="1631"/>
      <c r="L190" s="1634"/>
      <c r="M190" s="1637">
        <v>4453.17</v>
      </c>
      <c r="N190" s="1637"/>
      <c r="O190" s="1637">
        <v>4365.47</v>
      </c>
      <c r="P190" s="1637">
        <v>0</v>
      </c>
      <c r="Q190" s="1637">
        <v>0</v>
      </c>
      <c r="R190" s="1637">
        <v>0</v>
      </c>
      <c r="S190" s="1637">
        <v>0</v>
      </c>
      <c r="U190" s="1656">
        <v>0.25241082999999997</v>
      </c>
      <c r="V190" s="1657">
        <v>0</v>
      </c>
      <c r="W190" s="1657">
        <v>0.25241082999999997</v>
      </c>
      <c r="X190" s="1657">
        <v>1.943482716837E-2</v>
      </c>
      <c r="Y190" s="1658">
        <v>497.08000000000004</v>
      </c>
    </row>
    <row r="191" spans="3:25" ht="15" thickBot="1" x14ac:dyDescent="0.35">
      <c r="C191" s="1631">
        <v>178</v>
      </c>
      <c r="D191" s="1632" t="s">
        <v>1138</v>
      </c>
      <c r="E191" s="1631">
        <v>5</v>
      </c>
      <c r="F191" s="1632" t="s">
        <v>1130</v>
      </c>
      <c r="G191" s="1631" t="s">
        <v>1036</v>
      </c>
      <c r="H191" s="1631"/>
      <c r="I191" s="1633">
        <v>1</v>
      </c>
      <c r="J191" s="1634"/>
      <c r="K191" s="1631"/>
      <c r="L191" s="1634"/>
      <c r="M191" s="1637">
        <v>0</v>
      </c>
      <c r="N191" s="1637"/>
      <c r="O191" s="1637">
        <v>0</v>
      </c>
      <c r="P191" s="1637">
        <v>0</v>
      </c>
      <c r="Q191" s="1637">
        <v>38.9</v>
      </c>
      <c r="R191" s="1637">
        <v>0</v>
      </c>
      <c r="S191" s="1637">
        <v>0</v>
      </c>
      <c r="U191" s="1656">
        <v>2.2269999999999998E-3</v>
      </c>
      <c r="V191" s="1657">
        <v>0</v>
      </c>
      <c r="W191" s="1657">
        <v>2.2269999999999998E-3</v>
      </c>
      <c r="X191" s="1657">
        <v>0</v>
      </c>
      <c r="Y191" s="1658">
        <v>0</v>
      </c>
    </row>
    <row r="192" spans="3:25" ht="15" thickBot="1" x14ac:dyDescent="0.35">
      <c r="C192" s="1631">
        <v>179</v>
      </c>
      <c r="D192" s="1632" t="s">
        <v>1138</v>
      </c>
      <c r="E192" s="1631">
        <v>5</v>
      </c>
      <c r="F192" s="1632" t="s">
        <v>1130</v>
      </c>
      <c r="G192" s="1631" t="s">
        <v>1036</v>
      </c>
      <c r="H192" s="1631"/>
      <c r="I192" s="1633">
        <v>1</v>
      </c>
      <c r="J192" s="1634"/>
      <c r="K192" s="1631"/>
      <c r="L192" s="1634"/>
      <c r="M192" s="1637">
        <v>0</v>
      </c>
      <c r="N192" s="1637"/>
      <c r="O192" s="1637">
        <v>0</v>
      </c>
      <c r="P192" s="1637">
        <v>0</v>
      </c>
      <c r="Q192" s="1637">
        <v>48.8</v>
      </c>
      <c r="R192" s="1637">
        <v>0</v>
      </c>
      <c r="S192" s="1637">
        <v>0</v>
      </c>
      <c r="U192" s="1656">
        <v>1.4419999999999999E-3</v>
      </c>
      <c r="V192" s="1657">
        <v>0</v>
      </c>
      <c r="W192" s="1657">
        <v>1.4419999999999999E-3</v>
      </c>
      <c r="X192" s="1657">
        <v>0</v>
      </c>
      <c r="Y192" s="1658">
        <v>0</v>
      </c>
    </row>
    <row r="193" spans="3:25" ht="15" thickBot="1" x14ac:dyDescent="0.35">
      <c r="C193" s="1631">
        <v>180</v>
      </c>
      <c r="D193" s="1632" t="s">
        <v>1139</v>
      </c>
      <c r="E193" s="1631">
        <v>9</v>
      </c>
      <c r="F193" s="1632" t="s">
        <v>1140</v>
      </c>
      <c r="G193" s="1631" t="s">
        <v>1036</v>
      </c>
      <c r="H193" s="1631"/>
      <c r="I193" s="1633">
        <v>226</v>
      </c>
      <c r="J193" s="1634"/>
      <c r="K193" s="1631"/>
      <c r="L193" s="1634"/>
      <c r="M193" s="1637">
        <v>3773.1</v>
      </c>
      <c r="N193" s="1637"/>
      <c r="O193" s="1637">
        <v>3773.1</v>
      </c>
      <c r="P193" s="1637">
        <v>0</v>
      </c>
      <c r="Q193" s="1637">
        <v>0</v>
      </c>
      <c r="R193" s="1637">
        <v>0</v>
      </c>
      <c r="S193" s="1637">
        <v>0</v>
      </c>
      <c r="U193" s="1656">
        <v>0.32341161000000002</v>
      </c>
      <c r="V193" s="1657">
        <v>0</v>
      </c>
      <c r="W193" s="1657">
        <v>0.32341161000000002</v>
      </c>
      <c r="X193" s="1657">
        <v>0</v>
      </c>
      <c r="Y193" s="1658">
        <v>0</v>
      </c>
    </row>
    <row r="194" spans="3:25" ht="15" thickBot="1" x14ac:dyDescent="0.35">
      <c r="C194" s="1631">
        <v>181</v>
      </c>
      <c r="D194" s="1632" t="s">
        <v>1141</v>
      </c>
      <c r="E194" s="1631">
        <v>5</v>
      </c>
      <c r="F194" s="1632" t="s">
        <v>1133</v>
      </c>
      <c r="G194" s="1631" t="s">
        <v>1036</v>
      </c>
      <c r="H194" s="1631"/>
      <c r="I194" s="1633">
        <v>1</v>
      </c>
      <c r="J194" s="1634"/>
      <c r="K194" s="1631"/>
      <c r="L194" s="1634"/>
      <c r="M194" s="1637">
        <v>2614</v>
      </c>
      <c r="N194" s="1637"/>
      <c r="O194" s="1637">
        <v>2614</v>
      </c>
      <c r="P194" s="1637">
        <v>0</v>
      </c>
      <c r="Q194" s="1637">
        <v>0</v>
      </c>
      <c r="R194" s="1637">
        <v>2614</v>
      </c>
      <c r="S194" s="1637">
        <v>0</v>
      </c>
      <c r="U194" s="1656">
        <v>0.22054095000000001</v>
      </c>
      <c r="V194" s="1657">
        <v>0</v>
      </c>
      <c r="W194" s="1657">
        <v>0.22054095000000001</v>
      </c>
      <c r="X194" s="1657">
        <v>0</v>
      </c>
      <c r="Y194" s="1658">
        <v>0</v>
      </c>
    </row>
    <row r="195" spans="3:25" ht="15" thickBot="1" x14ac:dyDescent="0.35">
      <c r="C195" s="1631">
        <v>182</v>
      </c>
      <c r="D195" s="1632" t="s">
        <v>1142</v>
      </c>
      <c r="E195" s="1631">
        <v>9</v>
      </c>
      <c r="F195" s="1632" t="s">
        <v>1059</v>
      </c>
      <c r="G195" s="1631" t="s">
        <v>1036</v>
      </c>
      <c r="H195" s="1631"/>
      <c r="I195" s="1633">
        <v>267</v>
      </c>
      <c r="J195" s="1634"/>
      <c r="K195" s="1631"/>
      <c r="L195" s="1634"/>
      <c r="M195" s="1637">
        <v>6997.49</v>
      </c>
      <c r="N195" s="1637"/>
      <c r="O195" s="1637">
        <v>6629.09</v>
      </c>
      <c r="P195" s="1637">
        <v>0</v>
      </c>
      <c r="Q195" s="1637">
        <v>0</v>
      </c>
      <c r="R195" s="1637">
        <v>0</v>
      </c>
      <c r="S195" s="1637">
        <v>0</v>
      </c>
      <c r="U195" s="1656">
        <v>0.45125753000000002</v>
      </c>
      <c r="V195" s="1657">
        <v>0</v>
      </c>
      <c r="W195" s="1657">
        <v>0.45125753000000002</v>
      </c>
      <c r="X195" s="1657">
        <v>0</v>
      </c>
      <c r="Y195" s="1658">
        <v>0</v>
      </c>
    </row>
    <row r="196" spans="3:25" ht="15" thickBot="1" x14ac:dyDescent="0.35">
      <c r="C196" s="1631">
        <v>183</v>
      </c>
      <c r="D196" s="1632" t="s">
        <v>1142</v>
      </c>
      <c r="E196" s="1631">
        <v>9</v>
      </c>
      <c r="F196" s="1632" t="s">
        <v>1059</v>
      </c>
      <c r="G196" s="1631" t="s">
        <v>1036</v>
      </c>
      <c r="H196" s="1631"/>
      <c r="I196" s="1633">
        <v>1</v>
      </c>
      <c r="J196" s="1634"/>
      <c r="K196" s="1631"/>
      <c r="L196" s="1634"/>
      <c r="M196" s="1637">
        <v>0</v>
      </c>
      <c r="N196" s="1637"/>
      <c r="O196" s="1637">
        <v>0</v>
      </c>
      <c r="P196" s="1637">
        <v>0</v>
      </c>
      <c r="Q196" s="1637">
        <v>10.1</v>
      </c>
      <c r="R196" s="1637">
        <v>0</v>
      </c>
      <c r="S196" s="1637">
        <v>0</v>
      </c>
      <c r="U196" s="1656">
        <v>1.854E-3</v>
      </c>
      <c r="V196" s="1657">
        <v>0</v>
      </c>
      <c r="W196" s="1657">
        <v>1.854E-3</v>
      </c>
      <c r="X196" s="1657">
        <v>0</v>
      </c>
      <c r="Y196" s="1658">
        <v>0</v>
      </c>
    </row>
    <row r="197" spans="3:25" ht="15" thickBot="1" x14ac:dyDescent="0.35">
      <c r="C197" s="1631">
        <v>184</v>
      </c>
      <c r="D197" s="1632" t="s">
        <v>1142</v>
      </c>
      <c r="E197" s="1631">
        <v>9</v>
      </c>
      <c r="F197" s="1632" t="s">
        <v>1059</v>
      </c>
      <c r="G197" s="1631" t="s">
        <v>1036</v>
      </c>
      <c r="H197" s="1631"/>
      <c r="I197" s="1633">
        <v>0</v>
      </c>
      <c r="J197" s="1634"/>
      <c r="K197" s="1631"/>
      <c r="L197" s="1634"/>
      <c r="M197" s="1637">
        <v>0</v>
      </c>
      <c r="N197" s="1637"/>
      <c r="O197" s="1637">
        <v>0</v>
      </c>
      <c r="P197" s="1637">
        <v>0</v>
      </c>
      <c r="Q197" s="1637">
        <v>32.5</v>
      </c>
      <c r="R197" s="1637">
        <v>0</v>
      </c>
      <c r="S197" s="1637">
        <v>0</v>
      </c>
      <c r="U197" s="1656">
        <v>1.4499999999999999E-3</v>
      </c>
      <c r="V197" s="1657">
        <v>0</v>
      </c>
      <c r="W197" s="1657">
        <v>1.4499999999999999E-3</v>
      </c>
      <c r="X197" s="1657">
        <v>0</v>
      </c>
      <c r="Y197" s="1658">
        <v>0</v>
      </c>
    </row>
    <row r="198" spans="3:25" ht="15" thickBot="1" x14ac:dyDescent="0.35">
      <c r="C198" s="1631">
        <v>185</v>
      </c>
      <c r="D198" s="1632" t="s">
        <v>1142</v>
      </c>
      <c r="E198" s="1631">
        <v>9</v>
      </c>
      <c r="F198" s="1632" t="s">
        <v>1059</v>
      </c>
      <c r="G198" s="1631" t="s">
        <v>1036</v>
      </c>
      <c r="H198" s="1631"/>
      <c r="I198" s="1633">
        <v>1</v>
      </c>
      <c r="J198" s="1634"/>
      <c r="K198" s="1631"/>
      <c r="L198" s="1634"/>
      <c r="M198" s="1637">
        <v>0</v>
      </c>
      <c r="N198" s="1637"/>
      <c r="O198" s="1637">
        <v>0</v>
      </c>
      <c r="P198" s="1637">
        <v>0</v>
      </c>
      <c r="Q198" s="1637">
        <v>17.2</v>
      </c>
      <c r="R198" s="1637">
        <v>0</v>
      </c>
      <c r="S198" s="1637">
        <v>0</v>
      </c>
      <c r="U198" s="1656">
        <v>1.3470000000000001E-3</v>
      </c>
      <c r="V198" s="1657">
        <v>0</v>
      </c>
      <c r="W198" s="1657">
        <v>1.3470000000000001E-3</v>
      </c>
      <c r="X198" s="1657">
        <v>0</v>
      </c>
      <c r="Y198" s="1658">
        <v>0</v>
      </c>
    </row>
    <row r="199" spans="3:25" ht="15" thickBot="1" x14ac:dyDescent="0.35">
      <c r="C199" s="1631">
        <v>186</v>
      </c>
      <c r="D199" s="1632" t="s">
        <v>1142</v>
      </c>
      <c r="E199" s="1631">
        <v>9</v>
      </c>
      <c r="F199" s="1632" t="s">
        <v>1059</v>
      </c>
      <c r="G199" s="1631" t="s">
        <v>1036</v>
      </c>
      <c r="H199" s="1631"/>
      <c r="I199" s="1633">
        <v>1</v>
      </c>
      <c r="J199" s="1634"/>
      <c r="K199" s="1631"/>
      <c r="L199" s="1634"/>
      <c r="M199" s="1637">
        <v>0</v>
      </c>
      <c r="N199" s="1637"/>
      <c r="O199" s="1637">
        <v>0</v>
      </c>
      <c r="P199" s="1637">
        <v>0</v>
      </c>
      <c r="Q199" s="1637">
        <v>35.4</v>
      </c>
      <c r="R199" s="1637">
        <v>0</v>
      </c>
      <c r="S199" s="1637">
        <v>0</v>
      </c>
      <c r="U199" s="1656">
        <v>1.8E-3</v>
      </c>
      <c r="V199" s="1657">
        <v>0</v>
      </c>
      <c r="W199" s="1657">
        <v>1.8E-3</v>
      </c>
      <c r="X199" s="1657">
        <v>0</v>
      </c>
      <c r="Y199" s="1658">
        <v>0</v>
      </c>
    </row>
    <row r="200" spans="3:25" ht="15" thickBot="1" x14ac:dyDescent="0.35">
      <c r="C200" s="1631">
        <v>187</v>
      </c>
      <c r="D200" s="1632" t="s">
        <v>1142</v>
      </c>
      <c r="E200" s="1631">
        <v>9</v>
      </c>
      <c r="F200" s="1632" t="s">
        <v>1059</v>
      </c>
      <c r="G200" s="1631" t="s">
        <v>1036</v>
      </c>
      <c r="H200" s="1631"/>
      <c r="I200" s="1633">
        <v>0</v>
      </c>
      <c r="J200" s="1634"/>
      <c r="K200" s="1631"/>
      <c r="L200" s="1634"/>
      <c r="M200" s="1637">
        <v>0</v>
      </c>
      <c r="N200" s="1637"/>
      <c r="O200" s="1637">
        <v>0</v>
      </c>
      <c r="P200" s="1637">
        <v>0</v>
      </c>
      <c r="Q200" s="1637">
        <v>273.2</v>
      </c>
      <c r="R200" s="1637">
        <v>0</v>
      </c>
      <c r="S200" s="1637">
        <v>0</v>
      </c>
      <c r="U200" s="1656">
        <v>1.7448000000000002E-2</v>
      </c>
      <c r="V200" s="1657">
        <v>0</v>
      </c>
      <c r="W200" s="1657">
        <v>1.7448000000000002E-2</v>
      </c>
      <c r="X200" s="1657">
        <v>0</v>
      </c>
      <c r="Y200" s="1658">
        <v>0</v>
      </c>
    </row>
    <row r="201" spans="3:25" ht="15" thickBot="1" x14ac:dyDescent="0.35">
      <c r="C201" s="1631">
        <v>188</v>
      </c>
      <c r="D201" s="1632" t="s">
        <v>1143</v>
      </c>
      <c r="E201" s="1631">
        <v>9</v>
      </c>
      <c r="F201" s="1632" t="s">
        <v>1042</v>
      </c>
      <c r="G201" s="1631" t="s">
        <v>1036</v>
      </c>
      <c r="H201" s="1631"/>
      <c r="I201" s="1633">
        <v>180</v>
      </c>
      <c r="J201" s="1634"/>
      <c r="K201" s="1631"/>
      <c r="L201" s="1634"/>
      <c r="M201" s="1637">
        <v>10058.4</v>
      </c>
      <c r="N201" s="1637"/>
      <c r="O201" s="1637">
        <v>10058.4</v>
      </c>
      <c r="P201" s="1637">
        <v>0</v>
      </c>
      <c r="Q201" s="1637">
        <v>0</v>
      </c>
      <c r="R201" s="1637">
        <v>0</v>
      </c>
      <c r="S201" s="1637">
        <v>0</v>
      </c>
      <c r="U201" s="1656">
        <v>0.69985198999999998</v>
      </c>
      <c r="V201" s="1657">
        <v>0</v>
      </c>
      <c r="W201" s="1657">
        <v>0.69985198999999998</v>
      </c>
      <c r="X201" s="1657">
        <v>0</v>
      </c>
      <c r="Y201" s="1658">
        <v>0</v>
      </c>
    </row>
    <row r="202" spans="3:25" ht="15" thickBot="1" x14ac:dyDescent="0.35">
      <c r="C202" s="1631">
        <v>189</v>
      </c>
      <c r="D202" s="1632" t="s">
        <v>1144</v>
      </c>
      <c r="E202" s="1631">
        <v>5</v>
      </c>
      <c r="F202" s="1632" t="s">
        <v>1130</v>
      </c>
      <c r="G202" s="1631" t="s">
        <v>1036</v>
      </c>
      <c r="H202" s="1631"/>
      <c r="I202" s="1633">
        <v>162</v>
      </c>
      <c r="J202" s="1634"/>
      <c r="K202" s="1631"/>
      <c r="L202" s="1634"/>
      <c r="M202" s="1637">
        <v>4631.2</v>
      </c>
      <c r="N202" s="1637"/>
      <c r="O202" s="1637">
        <v>4409.3999999999996</v>
      </c>
      <c r="P202" s="1637">
        <v>0</v>
      </c>
      <c r="Q202" s="1637">
        <v>0</v>
      </c>
      <c r="R202" s="1637">
        <v>0</v>
      </c>
      <c r="S202" s="1637">
        <v>0</v>
      </c>
      <c r="U202" s="1656">
        <v>0.24982373999999999</v>
      </c>
      <c r="V202" s="1657">
        <v>0</v>
      </c>
      <c r="W202" s="1657">
        <v>0.24982373999999999</v>
      </c>
      <c r="X202" s="1657">
        <v>0</v>
      </c>
      <c r="Y202" s="1658">
        <v>0</v>
      </c>
    </row>
    <row r="203" spans="3:25" ht="15" thickBot="1" x14ac:dyDescent="0.35">
      <c r="C203" s="1631">
        <v>190</v>
      </c>
      <c r="D203" s="1632" t="s">
        <v>1144</v>
      </c>
      <c r="E203" s="1631">
        <v>5</v>
      </c>
      <c r="F203" s="1632" t="s">
        <v>1130</v>
      </c>
      <c r="G203" s="1631" t="s">
        <v>1036</v>
      </c>
      <c r="H203" s="1631"/>
      <c r="I203" s="1633">
        <v>1</v>
      </c>
      <c r="J203" s="1634"/>
      <c r="K203" s="1631"/>
      <c r="L203" s="1634"/>
      <c r="M203" s="1637">
        <v>0</v>
      </c>
      <c r="N203" s="1637"/>
      <c r="O203" s="1637">
        <v>0</v>
      </c>
      <c r="P203" s="1637">
        <v>0</v>
      </c>
      <c r="Q203" s="1637">
        <v>9</v>
      </c>
      <c r="R203" s="1637">
        <v>0</v>
      </c>
      <c r="S203" s="1637">
        <v>0</v>
      </c>
      <c r="U203" s="1656">
        <v>1.0499999999999999E-3</v>
      </c>
      <c r="V203" s="1657">
        <v>0</v>
      </c>
      <c r="W203" s="1657">
        <v>1.0499999999999999E-3</v>
      </c>
      <c r="X203" s="1657">
        <v>0</v>
      </c>
      <c r="Y203" s="1658">
        <v>0</v>
      </c>
    </row>
    <row r="204" spans="3:25" ht="15" thickBot="1" x14ac:dyDescent="0.35">
      <c r="C204" s="1631">
        <v>191</v>
      </c>
      <c r="D204" s="1632" t="s">
        <v>1144</v>
      </c>
      <c r="E204" s="1631">
        <v>5</v>
      </c>
      <c r="F204" s="1632" t="s">
        <v>1130</v>
      </c>
      <c r="G204" s="1631" t="s">
        <v>1036</v>
      </c>
      <c r="H204" s="1631"/>
      <c r="I204" s="1633">
        <v>1</v>
      </c>
      <c r="J204" s="1634"/>
      <c r="K204" s="1631"/>
      <c r="L204" s="1634"/>
      <c r="M204" s="1637">
        <v>0</v>
      </c>
      <c r="N204" s="1637"/>
      <c r="O204" s="1637">
        <v>0</v>
      </c>
      <c r="P204" s="1637">
        <v>0</v>
      </c>
      <c r="Q204" s="1637">
        <v>59</v>
      </c>
      <c r="R204" s="1637">
        <v>0</v>
      </c>
      <c r="S204" s="1637">
        <v>0</v>
      </c>
      <c r="U204" s="1656">
        <v>4.9319999999999998E-3</v>
      </c>
      <c r="V204" s="1657">
        <v>0</v>
      </c>
      <c r="W204" s="1657">
        <v>4.9319999999999998E-3</v>
      </c>
      <c r="X204" s="1657">
        <v>0</v>
      </c>
      <c r="Y204" s="1658">
        <v>0</v>
      </c>
    </row>
    <row r="205" spans="3:25" ht="15" thickBot="1" x14ac:dyDescent="0.35">
      <c r="C205" s="1631">
        <v>192</v>
      </c>
      <c r="D205" s="1632" t="s">
        <v>1144</v>
      </c>
      <c r="E205" s="1631">
        <v>5</v>
      </c>
      <c r="F205" s="1632" t="s">
        <v>1130</v>
      </c>
      <c r="G205" s="1631" t="s">
        <v>1036</v>
      </c>
      <c r="H205" s="1631"/>
      <c r="I205" s="1633">
        <v>0</v>
      </c>
      <c r="J205" s="1634"/>
      <c r="K205" s="1631"/>
      <c r="L205" s="1634"/>
      <c r="M205" s="1637">
        <v>0</v>
      </c>
      <c r="N205" s="1637"/>
      <c r="O205" s="1637">
        <v>0</v>
      </c>
      <c r="P205" s="1637">
        <v>0</v>
      </c>
      <c r="Q205" s="1637">
        <v>68.400000000000006</v>
      </c>
      <c r="R205" s="1637">
        <v>0</v>
      </c>
      <c r="S205" s="1637">
        <v>0</v>
      </c>
      <c r="U205" s="1656">
        <v>3.0999999999999999E-3</v>
      </c>
      <c r="V205" s="1657">
        <v>0</v>
      </c>
      <c r="W205" s="1657">
        <v>3.0999999999999999E-3</v>
      </c>
      <c r="X205" s="1657">
        <v>0</v>
      </c>
      <c r="Y205" s="1658">
        <v>0</v>
      </c>
    </row>
    <row r="206" spans="3:25" ht="15" thickBot="1" x14ac:dyDescent="0.35">
      <c r="C206" s="1631">
        <v>193</v>
      </c>
      <c r="D206" s="1632" t="s">
        <v>1144</v>
      </c>
      <c r="E206" s="1631">
        <v>5</v>
      </c>
      <c r="F206" s="1632" t="s">
        <v>1130</v>
      </c>
      <c r="G206" s="1631" t="s">
        <v>1036</v>
      </c>
      <c r="H206" s="1631"/>
      <c r="I206" s="1633">
        <v>1</v>
      </c>
      <c r="J206" s="1634"/>
      <c r="K206" s="1631"/>
      <c r="L206" s="1634"/>
      <c r="M206" s="1637">
        <v>0</v>
      </c>
      <c r="N206" s="1637"/>
      <c r="O206" s="1637">
        <v>0</v>
      </c>
      <c r="P206" s="1637">
        <v>0</v>
      </c>
      <c r="Q206" s="1637">
        <v>29.2</v>
      </c>
      <c r="R206" s="1637">
        <v>0</v>
      </c>
      <c r="S206" s="1637">
        <v>0</v>
      </c>
      <c r="U206" s="1656">
        <v>1.523E-3</v>
      </c>
      <c r="V206" s="1657">
        <v>0</v>
      </c>
      <c r="W206" s="1657">
        <v>1.523E-3</v>
      </c>
      <c r="X206" s="1657">
        <v>0</v>
      </c>
      <c r="Y206" s="1658">
        <v>0</v>
      </c>
    </row>
    <row r="207" spans="3:25" ht="15" thickBot="1" x14ac:dyDescent="0.35">
      <c r="C207" s="1631">
        <v>194</v>
      </c>
      <c r="D207" s="1632" t="s">
        <v>1144</v>
      </c>
      <c r="E207" s="1631">
        <v>5</v>
      </c>
      <c r="F207" s="1632" t="s">
        <v>1130</v>
      </c>
      <c r="G207" s="1631" t="s">
        <v>1036</v>
      </c>
      <c r="H207" s="1631"/>
      <c r="I207" s="1633">
        <v>1</v>
      </c>
      <c r="J207" s="1634"/>
      <c r="K207" s="1631"/>
      <c r="L207" s="1634"/>
      <c r="M207" s="1637">
        <v>0</v>
      </c>
      <c r="N207" s="1637"/>
      <c r="O207" s="1637">
        <v>0</v>
      </c>
      <c r="P207" s="1637">
        <v>0</v>
      </c>
      <c r="Q207" s="1637">
        <v>30.2</v>
      </c>
      <c r="R207" s="1637">
        <v>0</v>
      </c>
      <c r="S207" s="1637">
        <v>0</v>
      </c>
      <c r="U207" s="1656">
        <v>1.24E-3</v>
      </c>
      <c r="V207" s="1657">
        <v>0</v>
      </c>
      <c r="W207" s="1657">
        <v>1.24E-3</v>
      </c>
      <c r="X207" s="1657">
        <v>0</v>
      </c>
      <c r="Y207" s="1658">
        <v>0</v>
      </c>
    </row>
    <row r="208" spans="3:25" ht="15" thickBot="1" x14ac:dyDescent="0.35">
      <c r="C208" s="1631">
        <v>195</v>
      </c>
      <c r="D208" s="1632" t="s">
        <v>1144</v>
      </c>
      <c r="E208" s="1631">
        <v>1</v>
      </c>
      <c r="F208" s="1632" t="s">
        <v>1130</v>
      </c>
      <c r="G208" s="1631" t="s">
        <v>1036</v>
      </c>
      <c r="H208" s="1631"/>
      <c r="I208" s="1633">
        <v>0</v>
      </c>
      <c r="J208" s="1634"/>
      <c r="K208" s="1631"/>
      <c r="L208" s="1634"/>
      <c r="M208" s="1637">
        <v>0</v>
      </c>
      <c r="N208" s="1637"/>
      <c r="O208" s="1637">
        <v>0</v>
      </c>
      <c r="P208" s="1637">
        <v>0</v>
      </c>
      <c r="Q208" s="1637">
        <v>0</v>
      </c>
      <c r="R208" s="1637">
        <v>0</v>
      </c>
      <c r="S208" s="1637">
        <v>25.5</v>
      </c>
      <c r="U208" s="1656">
        <v>3.4889999999999999E-3</v>
      </c>
      <c r="V208" s="1657">
        <v>0</v>
      </c>
      <c r="W208" s="1657">
        <v>3.4889999999999999E-3</v>
      </c>
      <c r="X208" s="1657">
        <v>0</v>
      </c>
      <c r="Y208" s="1658">
        <v>0</v>
      </c>
    </row>
    <row r="209" spans="3:25" ht="15" thickBot="1" x14ac:dyDescent="0.35">
      <c r="C209" s="1631">
        <v>196</v>
      </c>
      <c r="D209" s="1632" t="s">
        <v>1144</v>
      </c>
      <c r="E209" s="1631">
        <v>1</v>
      </c>
      <c r="F209" s="1632" t="s">
        <v>1130</v>
      </c>
      <c r="G209" s="1631" t="s">
        <v>1036</v>
      </c>
      <c r="H209" s="1631"/>
      <c r="I209" s="1633">
        <v>0</v>
      </c>
      <c r="J209" s="1634"/>
      <c r="K209" s="1631"/>
      <c r="L209" s="1634"/>
      <c r="M209" s="1637">
        <v>0</v>
      </c>
      <c r="N209" s="1637"/>
      <c r="O209" s="1637">
        <v>0</v>
      </c>
      <c r="P209" s="1637">
        <v>0</v>
      </c>
      <c r="Q209" s="1637">
        <v>0</v>
      </c>
      <c r="R209" s="1637">
        <v>0</v>
      </c>
      <c r="S209" s="1637">
        <v>19.899999999999999</v>
      </c>
      <c r="U209" s="1656">
        <v>1.47E-3</v>
      </c>
      <c r="V209" s="1657">
        <v>0</v>
      </c>
      <c r="W209" s="1657">
        <v>1.47E-3</v>
      </c>
      <c r="X209" s="1657">
        <v>0</v>
      </c>
      <c r="Y209" s="1658">
        <v>0</v>
      </c>
    </row>
    <row r="210" spans="3:25" ht="15" thickBot="1" x14ac:dyDescent="0.35">
      <c r="C210" s="1631"/>
      <c r="D210" s="1632" t="s">
        <v>1144</v>
      </c>
      <c r="E210" s="1631">
        <v>5</v>
      </c>
      <c r="F210" s="1632" t="s">
        <v>1130</v>
      </c>
      <c r="G210" s="1631" t="s">
        <v>1036</v>
      </c>
      <c r="H210" s="1631"/>
      <c r="I210" s="1633">
        <v>1</v>
      </c>
      <c r="J210" s="1634"/>
      <c r="K210" s="1631"/>
      <c r="L210" s="1634"/>
      <c r="M210" s="1637">
        <v>0</v>
      </c>
      <c r="N210" s="1637"/>
      <c r="O210" s="1637">
        <v>0</v>
      </c>
      <c r="P210" s="1637">
        <v>0</v>
      </c>
      <c r="Q210" s="1637">
        <v>26</v>
      </c>
      <c r="R210" s="1637">
        <v>0</v>
      </c>
      <c r="S210" s="1637">
        <v>0</v>
      </c>
      <c r="U210" s="1656">
        <v>1.583E-3</v>
      </c>
      <c r="V210" s="1657">
        <v>0</v>
      </c>
      <c r="W210" s="1657">
        <v>1.583E-3</v>
      </c>
      <c r="X210" s="1657"/>
      <c r="Y210" s="1658"/>
    </row>
    <row r="211" spans="3:25" ht="15" thickBot="1" x14ac:dyDescent="0.35">
      <c r="C211" s="1631">
        <v>197</v>
      </c>
      <c r="D211" s="1632" t="s">
        <v>1145</v>
      </c>
      <c r="E211" s="1631">
        <v>3</v>
      </c>
      <c r="F211" s="1632" t="s">
        <v>1140</v>
      </c>
      <c r="G211" s="1631" t="s">
        <v>1036</v>
      </c>
      <c r="H211" s="1631"/>
      <c r="I211" s="1633">
        <v>0</v>
      </c>
      <c r="J211" s="1634"/>
      <c r="K211" s="1631"/>
      <c r="L211" s="1634"/>
      <c r="M211" s="1637">
        <v>0</v>
      </c>
      <c r="N211" s="1637"/>
      <c r="O211" s="1637">
        <v>0</v>
      </c>
      <c r="P211" s="1637">
        <v>0</v>
      </c>
      <c r="Q211" s="1637">
        <v>0</v>
      </c>
      <c r="R211" s="1637">
        <v>0</v>
      </c>
      <c r="S211" s="1637">
        <v>1430.2</v>
      </c>
      <c r="U211" s="1656">
        <v>0.19600000000000001</v>
      </c>
      <c r="V211" s="1657">
        <v>0</v>
      </c>
      <c r="W211" s="1657">
        <v>0.19600000000000001</v>
      </c>
      <c r="X211" s="1657">
        <v>0</v>
      </c>
      <c r="Y211" s="1658">
        <v>0</v>
      </c>
    </row>
    <row r="212" spans="3:25" ht="15" thickBot="1" x14ac:dyDescent="0.35">
      <c r="C212" s="1631">
        <v>198</v>
      </c>
      <c r="D212" s="1632" t="s">
        <v>1146</v>
      </c>
      <c r="E212" s="1631">
        <v>3</v>
      </c>
      <c r="F212" s="1632" t="s">
        <v>1147</v>
      </c>
      <c r="G212" s="1631" t="s">
        <v>1036</v>
      </c>
      <c r="H212" s="1631"/>
      <c r="I212" s="1633">
        <v>1</v>
      </c>
      <c r="J212" s="1634"/>
      <c r="K212" s="1631"/>
      <c r="L212" s="1634"/>
      <c r="M212" s="1637">
        <v>526.29999999999995</v>
      </c>
      <c r="N212" s="1637"/>
      <c r="O212" s="1637">
        <v>526.29999999999995</v>
      </c>
      <c r="P212" s="1637">
        <v>0</v>
      </c>
      <c r="Q212" s="1637">
        <v>0</v>
      </c>
      <c r="R212" s="1637">
        <v>526.29999999999995</v>
      </c>
      <c r="S212" s="1637">
        <v>0</v>
      </c>
      <c r="U212" s="1656">
        <v>2.2562700000000002E-2</v>
      </c>
      <c r="V212" s="1657">
        <v>0</v>
      </c>
      <c r="W212" s="1657">
        <v>2.2562700000000002E-2</v>
      </c>
      <c r="X212" s="1657">
        <v>0</v>
      </c>
      <c r="Y212" s="1658">
        <v>0</v>
      </c>
    </row>
    <row r="213" spans="3:25" ht="15" thickBot="1" x14ac:dyDescent="0.35">
      <c r="C213" s="1631">
        <v>199</v>
      </c>
      <c r="D213" s="1632" t="s">
        <v>1148</v>
      </c>
      <c r="E213" s="1631">
        <v>5</v>
      </c>
      <c r="F213" s="1632" t="s">
        <v>1149</v>
      </c>
      <c r="G213" s="1631" t="s">
        <v>1036</v>
      </c>
      <c r="H213" s="1631"/>
      <c r="I213" s="1633">
        <v>1</v>
      </c>
      <c r="J213" s="1634"/>
      <c r="K213" s="1631"/>
      <c r="L213" s="1634"/>
      <c r="M213" s="1637">
        <v>2193.4</v>
      </c>
      <c r="N213" s="1637"/>
      <c r="O213" s="1637">
        <v>2193.4</v>
      </c>
      <c r="P213" s="1637">
        <v>0</v>
      </c>
      <c r="Q213" s="1637">
        <v>0</v>
      </c>
      <c r="R213" s="1637">
        <v>2193.4</v>
      </c>
      <c r="S213" s="1637">
        <v>0</v>
      </c>
      <c r="U213" s="1656">
        <v>0.13607043999999999</v>
      </c>
      <c r="V213" s="1657">
        <v>0</v>
      </c>
      <c r="W213" s="1657">
        <v>0.13607043999999999</v>
      </c>
      <c r="X213" s="1657">
        <v>0</v>
      </c>
      <c r="Y213" s="1658">
        <v>0</v>
      </c>
    </row>
    <row r="214" spans="3:25" ht="15" thickBot="1" x14ac:dyDescent="0.35">
      <c r="C214" s="1631">
        <v>200</v>
      </c>
      <c r="D214" s="1632" t="s">
        <v>1150</v>
      </c>
      <c r="E214" s="1631">
        <v>9</v>
      </c>
      <c r="F214" s="1632" t="s">
        <v>1044</v>
      </c>
      <c r="G214" s="1631" t="s">
        <v>1036</v>
      </c>
      <c r="H214" s="1631"/>
      <c r="I214" s="1633">
        <v>106</v>
      </c>
      <c r="J214" s="1634"/>
      <c r="K214" s="1631"/>
      <c r="L214" s="1634"/>
      <c r="M214" s="1637">
        <v>5201.79</v>
      </c>
      <c r="N214" s="1637"/>
      <c r="O214" s="1637">
        <v>5094.09</v>
      </c>
      <c r="P214" s="1637">
        <v>0</v>
      </c>
      <c r="Q214" s="1637">
        <v>0</v>
      </c>
      <c r="R214" s="1637">
        <v>0</v>
      </c>
      <c r="S214" s="1637">
        <v>0</v>
      </c>
      <c r="U214" s="1656">
        <v>0.30034540999999998</v>
      </c>
      <c r="V214" s="1657">
        <v>0</v>
      </c>
      <c r="W214" s="1657">
        <v>0.30034540999999998</v>
      </c>
      <c r="X214" s="1657">
        <v>0</v>
      </c>
      <c r="Y214" s="1658">
        <v>0</v>
      </c>
    </row>
    <row r="215" spans="3:25" ht="15" thickBot="1" x14ac:dyDescent="0.35">
      <c r="C215" s="1631">
        <v>201</v>
      </c>
      <c r="D215" s="1632" t="s">
        <v>1150</v>
      </c>
      <c r="E215" s="1631">
        <v>9</v>
      </c>
      <c r="F215" s="1632" t="s">
        <v>1044</v>
      </c>
      <c r="G215" s="1631" t="s">
        <v>1036</v>
      </c>
      <c r="H215" s="1631"/>
      <c r="I215" s="1633">
        <v>1</v>
      </c>
      <c r="J215" s="1634"/>
      <c r="K215" s="1631"/>
      <c r="L215" s="1634"/>
      <c r="M215" s="1637">
        <v>0</v>
      </c>
      <c r="N215" s="1637"/>
      <c r="O215" s="1637">
        <v>0</v>
      </c>
      <c r="P215" s="1637">
        <v>0</v>
      </c>
      <c r="Q215" s="1637">
        <v>66.2</v>
      </c>
      <c r="R215" s="1637">
        <v>0</v>
      </c>
      <c r="S215" s="1637">
        <v>0</v>
      </c>
      <c r="U215" s="1656">
        <v>5.4999999999999997E-3</v>
      </c>
      <c r="V215" s="1657">
        <v>0</v>
      </c>
      <c r="W215" s="1657">
        <v>5.4999999999999997E-3</v>
      </c>
      <c r="X215" s="1657">
        <v>0</v>
      </c>
      <c r="Y215" s="1658">
        <v>0</v>
      </c>
    </row>
    <row r="216" spans="3:25" ht="15" thickBot="1" x14ac:dyDescent="0.35">
      <c r="C216" s="1631">
        <v>202</v>
      </c>
      <c r="D216" s="1632" t="s">
        <v>1150</v>
      </c>
      <c r="E216" s="1631">
        <v>9</v>
      </c>
      <c r="F216" s="1632" t="s">
        <v>1044</v>
      </c>
      <c r="G216" s="1631" t="s">
        <v>1036</v>
      </c>
      <c r="H216" s="1631"/>
      <c r="I216" s="1633">
        <v>1</v>
      </c>
      <c r="J216" s="1634"/>
      <c r="K216" s="1631"/>
      <c r="L216" s="1634"/>
      <c r="M216" s="1637">
        <v>0</v>
      </c>
      <c r="N216" s="1637"/>
      <c r="O216" s="1637">
        <v>0</v>
      </c>
      <c r="P216" s="1637">
        <v>0</v>
      </c>
      <c r="Q216" s="1637">
        <v>41.5</v>
      </c>
      <c r="R216" s="1637">
        <v>0</v>
      </c>
      <c r="S216" s="1637">
        <v>0</v>
      </c>
      <c r="U216" s="1656">
        <v>2.5360000000000001E-3</v>
      </c>
      <c r="V216" s="1657">
        <v>0</v>
      </c>
      <c r="W216" s="1657">
        <v>2.5360000000000001E-3</v>
      </c>
      <c r="X216" s="1657">
        <v>0</v>
      </c>
      <c r="Y216" s="1658">
        <v>0</v>
      </c>
    </row>
    <row r="217" spans="3:25" ht="15" thickBot="1" x14ac:dyDescent="0.35">
      <c r="C217" s="1631">
        <v>203</v>
      </c>
      <c r="D217" s="1632" t="s">
        <v>1150</v>
      </c>
      <c r="E217" s="1631">
        <v>1</v>
      </c>
      <c r="F217" s="1632" t="s">
        <v>1044</v>
      </c>
      <c r="G217" s="1631" t="s">
        <v>1036</v>
      </c>
      <c r="H217" s="1631"/>
      <c r="I217" s="1633">
        <v>0</v>
      </c>
      <c r="J217" s="1634"/>
      <c r="K217" s="1631"/>
      <c r="L217" s="1634"/>
      <c r="M217" s="1637">
        <v>0</v>
      </c>
      <c r="N217" s="1637"/>
      <c r="O217" s="1637">
        <v>0</v>
      </c>
      <c r="P217" s="1637">
        <v>0</v>
      </c>
      <c r="Q217" s="1637">
        <v>0</v>
      </c>
      <c r="R217" s="1637">
        <v>0</v>
      </c>
      <c r="S217" s="1637">
        <v>0</v>
      </c>
      <c r="U217" s="1656">
        <v>0</v>
      </c>
      <c r="V217" s="1657">
        <v>0</v>
      </c>
      <c r="W217" s="1657">
        <v>0</v>
      </c>
      <c r="X217" s="1657">
        <v>0</v>
      </c>
      <c r="Y217" s="1658">
        <v>0</v>
      </c>
    </row>
    <row r="218" spans="3:25" ht="15" thickBot="1" x14ac:dyDescent="0.35">
      <c r="C218" s="1631">
        <v>204</v>
      </c>
      <c r="D218" s="1632" t="s">
        <v>1151</v>
      </c>
      <c r="E218" s="1631">
        <v>9</v>
      </c>
      <c r="F218" s="1632" t="s">
        <v>1152</v>
      </c>
      <c r="G218" s="1631" t="s">
        <v>1036</v>
      </c>
      <c r="H218" s="1631"/>
      <c r="I218" s="1633">
        <v>270</v>
      </c>
      <c r="J218" s="1634"/>
      <c r="K218" s="1631"/>
      <c r="L218" s="1634"/>
      <c r="M218" s="1637">
        <v>6798.8</v>
      </c>
      <c r="N218" s="1637"/>
      <c r="O218" s="1637">
        <v>6672.6</v>
      </c>
      <c r="P218" s="1637">
        <v>0</v>
      </c>
      <c r="Q218" s="1637">
        <v>0</v>
      </c>
      <c r="R218" s="1637">
        <v>0</v>
      </c>
      <c r="S218" s="1637">
        <v>0</v>
      </c>
      <c r="U218" s="1656">
        <v>0.49951582999999999</v>
      </c>
      <c r="V218" s="1657">
        <v>0</v>
      </c>
      <c r="W218" s="1657">
        <v>0.49951582999999999</v>
      </c>
      <c r="X218" s="1657">
        <v>0</v>
      </c>
      <c r="Y218" s="1658">
        <v>0</v>
      </c>
    </row>
    <row r="219" spans="3:25" ht="15" thickBot="1" x14ac:dyDescent="0.35">
      <c r="C219" s="1631">
        <v>205</v>
      </c>
      <c r="D219" s="1632" t="s">
        <v>1151</v>
      </c>
      <c r="E219" s="1631">
        <v>9</v>
      </c>
      <c r="F219" s="1632" t="s">
        <v>1152</v>
      </c>
      <c r="G219" s="1631" t="s">
        <v>1036</v>
      </c>
      <c r="H219" s="1631"/>
      <c r="I219" s="1633">
        <v>1</v>
      </c>
      <c r="J219" s="1634"/>
      <c r="K219" s="1631"/>
      <c r="L219" s="1634"/>
      <c r="M219" s="1637">
        <v>0</v>
      </c>
      <c r="N219" s="1637"/>
      <c r="O219" s="1637">
        <v>0</v>
      </c>
      <c r="P219" s="1637">
        <v>0</v>
      </c>
      <c r="Q219" s="1637">
        <v>104.92</v>
      </c>
      <c r="R219" s="1637">
        <v>0</v>
      </c>
      <c r="S219" s="1637">
        <v>0</v>
      </c>
      <c r="U219" s="1656">
        <v>6.2220000000000001E-3</v>
      </c>
      <c r="V219" s="1657">
        <v>0</v>
      </c>
      <c r="W219" s="1657">
        <v>6.2220000000000001E-3</v>
      </c>
      <c r="X219" s="1657">
        <v>0</v>
      </c>
      <c r="Y219" s="1658">
        <v>0</v>
      </c>
    </row>
    <row r="220" spans="3:25" ht="15" thickBot="1" x14ac:dyDescent="0.35">
      <c r="C220" s="1631">
        <v>206</v>
      </c>
      <c r="D220" s="1632" t="s">
        <v>1151</v>
      </c>
      <c r="E220" s="1631">
        <v>9</v>
      </c>
      <c r="F220" s="1632" t="s">
        <v>1152</v>
      </c>
      <c r="G220" s="1631" t="s">
        <v>1036</v>
      </c>
      <c r="H220" s="1631"/>
      <c r="I220" s="1633">
        <v>1</v>
      </c>
      <c r="J220" s="1634"/>
      <c r="K220" s="1631"/>
      <c r="L220" s="1634"/>
      <c r="M220" s="1637">
        <v>0</v>
      </c>
      <c r="N220" s="1637"/>
      <c r="O220" s="1637">
        <v>0</v>
      </c>
      <c r="P220" s="1637">
        <v>0</v>
      </c>
      <c r="Q220" s="1637">
        <v>21.3</v>
      </c>
      <c r="R220" s="1637">
        <v>0</v>
      </c>
      <c r="S220" s="1637">
        <v>0</v>
      </c>
      <c r="U220" s="1656">
        <v>2.0530000000000001E-3</v>
      </c>
      <c r="V220" s="1657">
        <v>0</v>
      </c>
      <c r="W220" s="1657">
        <v>2.0530000000000001E-3</v>
      </c>
      <c r="X220" s="1657">
        <v>0</v>
      </c>
      <c r="Y220" s="1658">
        <v>0</v>
      </c>
    </row>
    <row r="221" spans="3:25" ht="15" thickBot="1" x14ac:dyDescent="0.35">
      <c r="C221" s="1631">
        <v>207</v>
      </c>
      <c r="D221" s="1632" t="s">
        <v>1153</v>
      </c>
      <c r="E221" s="1631">
        <v>9</v>
      </c>
      <c r="F221" s="1632" t="s">
        <v>1154</v>
      </c>
      <c r="G221" s="1631" t="s">
        <v>1036</v>
      </c>
      <c r="H221" s="1631"/>
      <c r="I221" s="1633">
        <v>1</v>
      </c>
      <c r="J221" s="1634"/>
      <c r="K221" s="1631"/>
      <c r="L221" s="1634"/>
      <c r="M221" s="1637">
        <v>4119</v>
      </c>
      <c r="N221" s="1637"/>
      <c r="O221" s="1637">
        <v>4119</v>
      </c>
      <c r="P221" s="1637">
        <v>0</v>
      </c>
      <c r="Q221" s="1637">
        <v>0</v>
      </c>
      <c r="R221" s="1637">
        <v>4119</v>
      </c>
      <c r="S221" s="1637">
        <v>0</v>
      </c>
      <c r="U221" s="1656">
        <v>0.20526578000000001</v>
      </c>
      <c r="V221" s="1657">
        <v>0</v>
      </c>
      <c r="W221" s="1657">
        <v>0.20526578000000001</v>
      </c>
      <c r="X221" s="1657">
        <v>0</v>
      </c>
      <c r="Y221" s="1658">
        <v>0</v>
      </c>
    </row>
    <row r="222" spans="3:25" ht="15" thickBot="1" x14ac:dyDescent="0.35">
      <c r="C222" s="1631">
        <v>208</v>
      </c>
      <c r="D222" s="1632" t="s">
        <v>1155</v>
      </c>
      <c r="E222" s="1631">
        <v>9</v>
      </c>
      <c r="F222" s="1632" t="s">
        <v>1140</v>
      </c>
      <c r="G222" s="1631" t="s">
        <v>1036</v>
      </c>
      <c r="H222" s="1631"/>
      <c r="I222" s="1633">
        <v>107</v>
      </c>
      <c r="J222" s="1634"/>
      <c r="K222" s="1631"/>
      <c r="L222" s="1634"/>
      <c r="M222" s="1637">
        <v>6179.5</v>
      </c>
      <c r="N222" s="1637"/>
      <c r="O222" s="1637">
        <v>6067.4</v>
      </c>
      <c r="P222" s="1637">
        <v>0</v>
      </c>
      <c r="Q222" s="1637">
        <v>0</v>
      </c>
      <c r="R222" s="1637">
        <v>0</v>
      </c>
      <c r="S222" s="1637">
        <v>0</v>
      </c>
      <c r="U222" s="1656">
        <v>0.39642671000000002</v>
      </c>
      <c r="V222" s="1657">
        <v>0</v>
      </c>
      <c r="W222" s="1657">
        <v>0.39642671000000002</v>
      </c>
      <c r="X222" s="1657">
        <v>1.3840428181243909E-2</v>
      </c>
      <c r="Y222" s="1658">
        <v>247</v>
      </c>
    </row>
    <row r="223" spans="3:25" ht="15" thickBot="1" x14ac:dyDescent="0.35">
      <c r="C223" s="1631">
        <v>209</v>
      </c>
      <c r="D223" s="1632" t="s">
        <v>1155</v>
      </c>
      <c r="E223" s="1631">
        <v>9</v>
      </c>
      <c r="F223" s="1632" t="s">
        <v>1140</v>
      </c>
      <c r="G223" s="1631" t="s">
        <v>1036</v>
      </c>
      <c r="H223" s="1631"/>
      <c r="I223" s="1633">
        <v>1</v>
      </c>
      <c r="J223" s="1634"/>
      <c r="K223" s="1631"/>
      <c r="L223" s="1634"/>
      <c r="M223" s="1637">
        <v>0</v>
      </c>
      <c r="N223" s="1637"/>
      <c r="O223" s="1637">
        <v>0</v>
      </c>
      <c r="P223" s="1637">
        <v>0</v>
      </c>
      <c r="Q223" s="1637">
        <v>73.8</v>
      </c>
      <c r="R223" s="1637">
        <v>0</v>
      </c>
      <c r="S223" s="1637">
        <v>0</v>
      </c>
      <c r="U223" s="1656">
        <v>1.237E-3</v>
      </c>
      <c r="V223" s="1657">
        <v>0</v>
      </c>
      <c r="W223" s="1657">
        <v>1.237E-3</v>
      </c>
      <c r="X223" s="1657">
        <v>0</v>
      </c>
      <c r="Y223" s="1658">
        <v>0</v>
      </c>
    </row>
    <row r="224" spans="3:25" ht="15" thickBot="1" x14ac:dyDescent="0.35">
      <c r="C224" s="1631">
        <v>210</v>
      </c>
      <c r="D224" s="1632" t="s">
        <v>1155</v>
      </c>
      <c r="E224" s="1631">
        <v>9</v>
      </c>
      <c r="F224" s="1632" t="s">
        <v>1140</v>
      </c>
      <c r="G224" s="1631" t="s">
        <v>1036</v>
      </c>
      <c r="H224" s="1631"/>
      <c r="I224" s="1633">
        <v>1</v>
      </c>
      <c r="J224" s="1634"/>
      <c r="K224" s="1631"/>
      <c r="L224" s="1634"/>
      <c r="M224" s="1637">
        <v>0</v>
      </c>
      <c r="N224" s="1637"/>
      <c r="O224" s="1637">
        <v>0</v>
      </c>
      <c r="P224" s="1637">
        <v>0</v>
      </c>
      <c r="Q224" s="1637">
        <v>38.299999999999997</v>
      </c>
      <c r="R224" s="1637">
        <v>0</v>
      </c>
      <c r="S224" s="1637">
        <v>0</v>
      </c>
      <c r="U224" s="1656">
        <v>3.2000000000000002E-3</v>
      </c>
      <c r="V224" s="1657">
        <v>0</v>
      </c>
      <c r="W224" s="1657">
        <v>3.2000000000000002E-3</v>
      </c>
      <c r="X224" s="1657">
        <v>0</v>
      </c>
      <c r="Y224" s="1658">
        <v>0</v>
      </c>
    </row>
    <row r="225" spans="3:25" ht="15" thickBot="1" x14ac:dyDescent="0.35">
      <c r="C225" s="1631">
        <v>211</v>
      </c>
      <c r="D225" s="1632" t="s">
        <v>1156</v>
      </c>
      <c r="E225" s="1631">
        <v>9</v>
      </c>
      <c r="F225" s="1632" t="s">
        <v>1044</v>
      </c>
      <c r="G225" s="1631" t="s">
        <v>1036</v>
      </c>
      <c r="H225" s="1631"/>
      <c r="I225" s="1633">
        <v>107</v>
      </c>
      <c r="J225" s="1634"/>
      <c r="K225" s="1631"/>
      <c r="L225" s="1634"/>
      <c r="M225" s="1637">
        <v>5229.3</v>
      </c>
      <c r="N225" s="1637"/>
      <c r="O225" s="1637">
        <v>5117.5</v>
      </c>
      <c r="P225" s="1637">
        <v>0</v>
      </c>
      <c r="Q225" s="1637">
        <v>0</v>
      </c>
      <c r="R225" s="1637">
        <v>0</v>
      </c>
      <c r="S225" s="1637">
        <v>0</v>
      </c>
      <c r="U225" s="1656">
        <v>0.29388112</v>
      </c>
      <c r="V225" s="1657">
        <v>0</v>
      </c>
      <c r="W225" s="1657">
        <v>0.29388112</v>
      </c>
      <c r="X225" s="1657">
        <v>0</v>
      </c>
      <c r="Y225" s="1658">
        <v>0</v>
      </c>
    </row>
    <row r="226" spans="3:25" ht="15" thickBot="1" x14ac:dyDescent="0.35">
      <c r="C226" s="1631">
        <v>212</v>
      </c>
      <c r="D226" s="1632" t="s">
        <v>1156</v>
      </c>
      <c r="E226" s="1631">
        <v>9</v>
      </c>
      <c r="F226" s="1632" t="s">
        <v>1044</v>
      </c>
      <c r="G226" s="1631" t="s">
        <v>1036</v>
      </c>
      <c r="H226" s="1631"/>
      <c r="I226" s="1633">
        <v>1</v>
      </c>
      <c r="J226" s="1634"/>
      <c r="K226" s="1631"/>
      <c r="L226" s="1634"/>
      <c r="M226" s="1637">
        <v>0</v>
      </c>
      <c r="N226" s="1637"/>
      <c r="O226" s="1637">
        <v>0</v>
      </c>
      <c r="P226" s="1637">
        <v>0</v>
      </c>
      <c r="Q226" s="1637">
        <v>26.3</v>
      </c>
      <c r="R226" s="1637">
        <v>0</v>
      </c>
      <c r="S226" s="1637">
        <v>0</v>
      </c>
      <c r="U226" s="1656">
        <v>1.835E-3</v>
      </c>
      <c r="V226" s="1657">
        <v>0</v>
      </c>
      <c r="W226" s="1657">
        <v>1.835E-3</v>
      </c>
      <c r="X226" s="1657">
        <v>0</v>
      </c>
      <c r="Y226" s="1658">
        <v>0</v>
      </c>
    </row>
    <row r="227" spans="3:25" ht="15" thickBot="1" x14ac:dyDescent="0.35">
      <c r="C227" s="1631">
        <v>213</v>
      </c>
      <c r="D227" s="1632" t="s">
        <v>1156</v>
      </c>
      <c r="E227" s="1631">
        <v>9</v>
      </c>
      <c r="F227" s="1632" t="s">
        <v>1044</v>
      </c>
      <c r="G227" s="1631" t="s">
        <v>1036</v>
      </c>
      <c r="H227" s="1631"/>
      <c r="I227" s="1633">
        <v>1</v>
      </c>
      <c r="J227" s="1634"/>
      <c r="K227" s="1631"/>
      <c r="L227" s="1634"/>
      <c r="M227" s="1637">
        <v>0</v>
      </c>
      <c r="N227" s="1637"/>
      <c r="O227" s="1637">
        <v>0</v>
      </c>
      <c r="P227" s="1637">
        <v>0</v>
      </c>
      <c r="Q227" s="1637">
        <v>85.5</v>
      </c>
      <c r="R227" s="1637">
        <v>0</v>
      </c>
      <c r="S227" s="1637">
        <v>0</v>
      </c>
      <c r="U227" s="1656">
        <v>8.234E-3</v>
      </c>
      <c r="V227" s="1657">
        <v>0</v>
      </c>
      <c r="W227" s="1657">
        <v>8.234E-3</v>
      </c>
      <c r="X227" s="1657">
        <v>0</v>
      </c>
      <c r="Y227" s="1658">
        <v>0</v>
      </c>
    </row>
    <row r="228" spans="3:25" ht="15" thickBot="1" x14ac:dyDescent="0.35">
      <c r="C228" s="1631">
        <v>214</v>
      </c>
      <c r="D228" s="1632" t="s">
        <v>1157</v>
      </c>
      <c r="E228" s="1631">
        <v>10</v>
      </c>
      <c r="F228" s="1632" t="s">
        <v>1126</v>
      </c>
      <c r="G228" s="1631" t="s">
        <v>1036</v>
      </c>
      <c r="H228" s="1631"/>
      <c r="I228" s="1633">
        <v>21</v>
      </c>
      <c r="J228" s="1634"/>
      <c r="K228" s="1631"/>
      <c r="L228" s="1634"/>
      <c r="M228" s="1637">
        <v>1739</v>
      </c>
      <c r="N228" s="1637"/>
      <c r="O228" s="1637">
        <v>1739</v>
      </c>
      <c r="P228" s="1637">
        <v>0</v>
      </c>
      <c r="Q228" s="1637">
        <v>0</v>
      </c>
      <c r="R228" s="1637">
        <v>0</v>
      </c>
      <c r="S228" s="1637">
        <v>0</v>
      </c>
      <c r="U228" s="1656">
        <v>0.11909326000000001</v>
      </c>
      <c r="V228" s="1657">
        <v>0</v>
      </c>
      <c r="W228" s="1657">
        <v>0.11909326000000001</v>
      </c>
      <c r="X228" s="1657">
        <v>1.6297940985586103E-2</v>
      </c>
      <c r="Y228" s="1658">
        <v>310</v>
      </c>
    </row>
    <row r="229" spans="3:25" ht="15" thickBot="1" x14ac:dyDescent="0.35">
      <c r="C229" s="1631">
        <v>215</v>
      </c>
      <c r="D229" s="1632" t="s">
        <v>1158</v>
      </c>
      <c r="E229" s="1631">
        <v>2</v>
      </c>
      <c r="F229" s="1632" t="s">
        <v>1140</v>
      </c>
      <c r="G229" s="1631" t="s">
        <v>1036</v>
      </c>
      <c r="H229" s="1631"/>
      <c r="I229" s="1633">
        <v>1</v>
      </c>
      <c r="J229" s="1634"/>
      <c r="K229" s="1631"/>
      <c r="L229" s="1634"/>
      <c r="M229" s="1637">
        <v>0</v>
      </c>
      <c r="N229" s="1637"/>
      <c r="O229" s="1637">
        <v>0</v>
      </c>
      <c r="P229" s="1637">
        <v>0</v>
      </c>
      <c r="Q229" s="1637">
        <v>0</v>
      </c>
      <c r="R229" s="1637">
        <v>0</v>
      </c>
      <c r="S229" s="1637">
        <v>679.5</v>
      </c>
      <c r="U229" s="1656">
        <v>8.4510000000000002E-2</v>
      </c>
      <c r="V229" s="1657">
        <v>0</v>
      </c>
      <c r="W229" s="1657">
        <v>8.4510000000000002E-2</v>
      </c>
      <c r="X229" s="1657">
        <v>0</v>
      </c>
      <c r="Y229" s="1658">
        <v>0</v>
      </c>
    </row>
    <row r="230" spans="3:25" ht="15" thickBot="1" x14ac:dyDescent="0.35">
      <c r="C230" s="1631">
        <v>216</v>
      </c>
      <c r="D230" s="1632" t="s">
        <v>1159</v>
      </c>
      <c r="E230" s="1631">
        <v>5</v>
      </c>
      <c r="F230" s="1632" t="s">
        <v>1074</v>
      </c>
      <c r="G230" s="1631" t="s">
        <v>1036</v>
      </c>
      <c r="H230" s="1631"/>
      <c r="I230" s="1633">
        <v>80</v>
      </c>
      <c r="J230" s="1634"/>
      <c r="K230" s="1631"/>
      <c r="L230" s="1634"/>
      <c r="M230" s="1637">
        <v>3152.1</v>
      </c>
      <c r="N230" s="1637"/>
      <c r="O230" s="1637">
        <v>3152.1</v>
      </c>
      <c r="P230" s="1637">
        <v>0</v>
      </c>
      <c r="Q230" s="1637">
        <v>0</v>
      </c>
      <c r="R230" s="1637">
        <v>0</v>
      </c>
      <c r="S230" s="1637">
        <v>0</v>
      </c>
      <c r="U230" s="1656">
        <v>0.21330036999999999</v>
      </c>
      <c r="V230" s="1657">
        <v>0</v>
      </c>
      <c r="W230" s="1657">
        <v>0.21330036999999999</v>
      </c>
      <c r="X230" s="1657">
        <v>3.0326096468236158E-3</v>
      </c>
      <c r="Y230" s="1658">
        <v>67</v>
      </c>
    </row>
    <row r="231" spans="3:25" ht="15" thickBot="1" x14ac:dyDescent="0.35">
      <c r="C231" s="1631">
        <v>217</v>
      </c>
      <c r="D231" s="1632" t="s">
        <v>1160</v>
      </c>
      <c r="E231" s="1631">
        <v>9</v>
      </c>
      <c r="F231" s="1632" t="s">
        <v>1042</v>
      </c>
      <c r="G231" s="1631" t="s">
        <v>1036</v>
      </c>
      <c r="H231" s="1631"/>
      <c r="I231" s="1633">
        <v>106</v>
      </c>
      <c r="J231" s="1634"/>
      <c r="K231" s="1631"/>
      <c r="L231" s="1634"/>
      <c r="M231" s="1637">
        <v>5233</v>
      </c>
      <c r="N231" s="1637"/>
      <c r="O231" s="1637">
        <v>5128.3</v>
      </c>
      <c r="P231" s="1637">
        <v>0</v>
      </c>
      <c r="Q231" s="1637">
        <v>0</v>
      </c>
      <c r="R231" s="1637">
        <v>0</v>
      </c>
      <c r="S231" s="1637">
        <v>0</v>
      </c>
      <c r="U231" s="1656">
        <v>0.30705219</v>
      </c>
      <c r="V231" s="1657">
        <v>0</v>
      </c>
      <c r="W231" s="1657">
        <v>0.30705219</v>
      </c>
      <c r="X231" s="1657">
        <v>4.4725756836914432E-3</v>
      </c>
      <c r="Y231" s="1658">
        <v>85</v>
      </c>
    </row>
    <row r="232" spans="3:25" ht="15" thickBot="1" x14ac:dyDescent="0.35">
      <c r="C232" s="1631">
        <v>218</v>
      </c>
      <c r="D232" s="1632" t="s">
        <v>1160</v>
      </c>
      <c r="E232" s="1631">
        <v>9</v>
      </c>
      <c r="F232" s="1632" t="s">
        <v>1042</v>
      </c>
      <c r="G232" s="1631" t="s">
        <v>1036</v>
      </c>
      <c r="H232" s="1631"/>
      <c r="I232" s="1633">
        <v>1</v>
      </c>
      <c r="J232" s="1634"/>
      <c r="K232" s="1631"/>
      <c r="L232" s="1634"/>
      <c r="M232" s="1637">
        <v>0</v>
      </c>
      <c r="N232" s="1637"/>
      <c r="O232" s="1637">
        <v>0</v>
      </c>
      <c r="P232" s="1637">
        <v>0</v>
      </c>
      <c r="Q232" s="1637">
        <v>104.7</v>
      </c>
      <c r="R232" s="1637">
        <v>0</v>
      </c>
      <c r="S232" s="1637">
        <v>0</v>
      </c>
      <c r="U232" s="1656">
        <v>0.01</v>
      </c>
      <c r="V232" s="1657">
        <v>0</v>
      </c>
      <c r="W232" s="1657">
        <v>0.01</v>
      </c>
      <c r="X232" s="1657">
        <v>0</v>
      </c>
      <c r="Y232" s="1658">
        <v>0</v>
      </c>
    </row>
    <row r="233" spans="3:25" ht="15" thickBot="1" x14ac:dyDescent="0.35">
      <c r="C233" s="1631">
        <v>219</v>
      </c>
      <c r="D233" s="1632" t="s">
        <v>1161</v>
      </c>
      <c r="E233" s="1631">
        <v>9</v>
      </c>
      <c r="F233" s="1632" t="s">
        <v>1162</v>
      </c>
      <c r="G233" s="1631" t="s">
        <v>1036</v>
      </c>
      <c r="H233" s="1631"/>
      <c r="I233" s="1633">
        <v>216</v>
      </c>
      <c r="J233" s="1634"/>
      <c r="K233" s="1631"/>
      <c r="L233" s="1634"/>
      <c r="M233" s="1637">
        <v>11382.4</v>
      </c>
      <c r="N233" s="1637"/>
      <c r="O233" s="1637">
        <v>11382.4</v>
      </c>
      <c r="P233" s="1637">
        <v>0</v>
      </c>
      <c r="Q233" s="1637">
        <v>0</v>
      </c>
      <c r="R233" s="1637">
        <v>0</v>
      </c>
      <c r="S233" s="1637">
        <v>0</v>
      </c>
      <c r="U233" s="1656">
        <v>0.57867807699999996</v>
      </c>
      <c r="V233" s="1657">
        <v>0</v>
      </c>
      <c r="W233" s="1657">
        <v>0.57867807699999996</v>
      </c>
      <c r="X233" s="1657">
        <v>2.3559351527719402E-2</v>
      </c>
      <c r="Y233" s="1658">
        <v>544</v>
      </c>
    </row>
    <row r="234" spans="3:25" ht="15" thickBot="1" x14ac:dyDescent="0.35">
      <c r="C234" s="1631">
        <v>220</v>
      </c>
      <c r="D234" s="1632" t="s">
        <v>1163</v>
      </c>
      <c r="E234" s="1631">
        <v>5</v>
      </c>
      <c r="F234" s="1632" t="s">
        <v>1063</v>
      </c>
      <c r="G234" s="1631" t="s">
        <v>1036</v>
      </c>
      <c r="H234" s="1631"/>
      <c r="I234" s="1633">
        <v>60</v>
      </c>
      <c r="J234" s="1634"/>
      <c r="K234" s="1631"/>
      <c r="L234" s="1634"/>
      <c r="M234" s="1637">
        <v>2470.8000000000002</v>
      </c>
      <c r="N234" s="1637"/>
      <c r="O234" s="1637">
        <v>2470.8000000000002</v>
      </c>
      <c r="P234" s="1637">
        <v>0</v>
      </c>
      <c r="Q234" s="1637">
        <v>0</v>
      </c>
      <c r="R234" s="1637">
        <v>0</v>
      </c>
      <c r="S234" s="1637">
        <v>0</v>
      </c>
      <c r="U234" s="1656">
        <v>0.13995340000000001</v>
      </c>
      <c r="V234" s="1657">
        <v>0</v>
      </c>
      <c r="W234" s="1657">
        <v>0.13995340000000001</v>
      </c>
      <c r="X234" s="1657">
        <v>3.2959600000000001E-3</v>
      </c>
      <c r="Y234" s="1658">
        <v>67</v>
      </c>
    </row>
    <row r="235" spans="3:25" ht="15" thickBot="1" x14ac:dyDescent="0.35">
      <c r="C235" s="1631">
        <v>221</v>
      </c>
      <c r="D235" s="1632" t="s">
        <v>1164</v>
      </c>
      <c r="E235" s="1631">
        <v>4</v>
      </c>
      <c r="F235" s="1632" t="s">
        <v>1050</v>
      </c>
      <c r="G235" s="1631" t="s">
        <v>1036</v>
      </c>
      <c r="H235" s="1631"/>
      <c r="I235" s="1633">
        <v>0</v>
      </c>
      <c r="J235" s="1634"/>
      <c r="K235" s="1631"/>
      <c r="L235" s="1634"/>
      <c r="M235" s="1637">
        <v>0</v>
      </c>
      <c r="N235" s="1637"/>
      <c r="O235" s="1637">
        <v>0</v>
      </c>
      <c r="P235" s="1637">
        <v>0</v>
      </c>
      <c r="Q235" s="1637">
        <v>0</v>
      </c>
      <c r="R235" s="1637">
        <v>0</v>
      </c>
      <c r="S235" s="1637">
        <v>0</v>
      </c>
      <c r="U235" s="1656">
        <v>0</v>
      </c>
      <c r="V235" s="1657">
        <v>0</v>
      </c>
      <c r="W235" s="1657">
        <v>0</v>
      </c>
      <c r="X235" s="1657">
        <v>0</v>
      </c>
      <c r="Y235" s="1658">
        <v>0</v>
      </c>
    </row>
    <row r="236" spans="3:25" ht="15" thickBot="1" x14ac:dyDescent="0.35">
      <c r="C236" s="1631">
        <v>222</v>
      </c>
      <c r="D236" s="1632" t="s">
        <v>2667</v>
      </c>
      <c r="E236" s="1631">
        <v>2</v>
      </c>
      <c r="F236" s="1632" t="s">
        <v>1050</v>
      </c>
      <c r="G236" s="1631" t="s">
        <v>1036</v>
      </c>
      <c r="H236" s="1631"/>
      <c r="I236" s="1633">
        <v>1</v>
      </c>
      <c r="J236" s="1634"/>
      <c r="K236" s="1631"/>
      <c r="L236" s="1634"/>
      <c r="M236" s="1637">
        <v>0</v>
      </c>
      <c r="N236" s="1637"/>
      <c r="O236" s="1637">
        <v>0</v>
      </c>
      <c r="P236" s="1637">
        <v>0</v>
      </c>
      <c r="Q236" s="1637">
        <v>0</v>
      </c>
      <c r="R236" s="1637">
        <v>0</v>
      </c>
      <c r="S236" s="1637">
        <v>355.2</v>
      </c>
      <c r="U236" s="1656">
        <v>3.1455999999999998E-2</v>
      </c>
      <c r="V236" s="1657">
        <v>0</v>
      </c>
      <c r="W236" s="1657">
        <v>3.1455999999999998E-2</v>
      </c>
      <c r="X236" s="1657">
        <v>0</v>
      </c>
      <c r="Y236" s="1658">
        <v>0</v>
      </c>
    </row>
    <row r="237" spans="3:25" ht="15" thickBot="1" x14ac:dyDescent="0.35">
      <c r="C237" s="1631">
        <v>223</v>
      </c>
      <c r="D237" s="1632" t="s">
        <v>1165</v>
      </c>
      <c r="E237" s="1631">
        <v>5</v>
      </c>
      <c r="F237" s="1632" t="s">
        <v>1078</v>
      </c>
      <c r="G237" s="1631" t="s">
        <v>1036</v>
      </c>
      <c r="H237" s="1631"/>
      <c r="I237" s="1633">
        <v>60</v>
      </c>
      <c r="J237" s="1634"/>
      <c r="K237" s="1631"/>
      <c r="L237" s="1634"/>
      <c r="M237" s="1637">
        <v>2499.6</v>
      </c>
      <c r="N237" s="1637"/>
      <c r="O237" s="1637">
        <v>2499.6</v>
      </c>
      <c r="P237" s="1637">
        <v>0</v>
      </c>
      <c r="Q237" s="1637">
        <v>0</v>
      </c>
      <c r="R237" s="1637">
        <v>0</v>
      </c>
      <c r="S237" s="1637">
        <v>0</v>
      </c>
      <c r="U237" s="1656">
        <v>0.15109860999999999</v>
      </c>
      <c r="V237" s="1657">
        <v>0</v>
      </c>
      <c r="W237" s="1657">
        <v>0.15109860999999999</v>
      </c>
      <c r="X237" s="1657">
        <v>3.5200149741468185E-3</v>
      </c>
      <c r="Y237" s="1658">
        <v>67</v>
      </c>
    </row>
    <row r="238" spans="3:25" ht="15" thickBot="1" x14ac:dyDescent="0.35">
      <c r="C238" s="1631">
        <v>224</v>
      </c>
      <c r="D238" s="1632" t="s">
        <v>1166</v>
      </c>
      <c r="E238" s="1631">
        <v>5</v>
      </c>
      <c r="F238" s="1632" t="s">
        <v>1063</v>
      </c>
      <c r="G238" s="1631" t="s">
        <v>1036</v>
      </c>
      <c r="H238" s="1631"/>
      <c r="I238" s="1633">
        <v>59</v>
      </c>
      <c r="J238" s="1634"/>
      <c r="K238" s="1631"/>
      <c r="L238" s="1634"/>
      <c r="M238" s="1637">
        <v>2496.1</v>
      </c>
      <c r="N238" s="1637"/>
      <c r="O238" s="1637">
        <v>2452</v>
      </c>
      <c r="P238" s="1637">
        <v>0</v>
      </c>
      <c r="Q238" s="1637">
        <v>0</v>
      </c>
      <c r="R238" s="1637">
        <v>0</v>
      </c>
      <c r="S238" s="1637">
        <v>0</v>
      </c>
      <c r="U238" s="1656">
        <v>0.13448860000000001</v>
      </c>
      <c r="V238" s="1657">
        <v>0</v>
      </c>
      <c r="W238" s="1657">
        <v>0.13448860000000001</v>
      </c>
      <c r="X238" s="1657">
        <v>0</v>
      </c>
      <c r="Y238" s="1658">
        <v>0</v>
      </c>
    </row>
    <row r="239" spans="3:25" ht="15" thickBot="1" x14ac:dyDescent="0.35">
      <c r="C239" s="1631">
        <v>225</v>
      </c>
      <c r="D239" s="1632" t="s">
        <v>1166</v>
      </c>
      <c r="E239" s="1631">
        <v>5</v>
      </c>
      <c r="F239" s="1632" t="s">
        <v>1063</v>
      </c>
      <c r="G239" s="1631" t="s">
        <v>1036</v>
      </c>
      <c r="H239" s="1631"/>
      <c r="I239" s="1633">
        <v>1</v>
      </c>
      <c r="J239" s="1634"/>
      <c r="K239" s="1631"/>
      <c r="L239" s="1634"/>
      <c r="M239" s="1637">
        <v>0</v>
      </c>
      <c r="N239" s="1637"/>
      <c r="O239" s="1637">
        <v>0</v>
      </c>
      <c r="P239" s="1637">
        <v>0</v>
      </c>
      <c r="Q239" s="1637">
        <v>44.1</v>
      </c>
      <c r="R239" s="1637">
        <v>0</v>
      </c>
      <c r="S239" s="1637">
        <v>0</v>
      </c>
      <c r="U239" s="1656">
        <v>3.0000000000000001E-3</v>
      </c>
      <c r="V239" s="1657">
        <v>0</v>
      </c>
      <c r="W239" s="1657">
        <v>3.0000000000000001E-3</v>
      </c>
      <c r="X239" s="1657">
        <v>0</v>
      </c>
      <c r="Y239" s="1658">
        <v>0</v>
      </c>
    </row>
    <row r="240" spans="3:25" ht="15" thickBot="1" x14ac:dyDescent="0.35">
      <c r="C240" s="1631">
        <v>226</v>
      </c>
      <c r="D240" s="1632" t="s">
        <v>1167</v>
      </c>
      <c r="E240" s="1631">
        <v>5</v>
      </c>
      <c r="F240" s="1632" t="s">
        <v>1086</v>
      </c>
      <c r="G240" s="1631" t="s">
        <v>1036</v>
      </c>
      <c r="H240" s="1631"/>
      <c r="I240" s="1633">
        <v>131</v>
      </c>
      <c r="J240" s="1634"/>
      <c r="K240" s="1631"/>
      <c r="L240" s="1634"/>
      <c r="M240" s="1637">
        <v>6028.8</v>
      </c>
      <c r="N240" s="1637"/>
      <c r="O240" s="1637">
        <v>6028.8</v>
      </c>
      <c r="P240" s="1637">
        <v>0</v>
      </c>
      <c r="Q240" s="1637">
        <v>0</v>
      </c>
      <c r="R240" s="1637">
        <v>0</v>
      </c>
      <c r="S240" s="1637">
        <v>0</v>
      </c>
      <c r="U240" s="1656">
        <v>0.31624725999999997</v>
      </c>
      <c r="V240" s="1657">
        <v>0</v>
      </c>
      <c r="W240" s="1657">
        <v>0.31624725999999997</v>
      </c>
      <c r="X240" s="1657">
        <v>3.9676695916088904E-3</v>
      </c>
      <c r="Y240" s="1658">
        <v>86</v>
      </c>
    </row>
    <row r="241" spans="3:25" ht="15" thickBot="1" x14ac:dyDescent="0.35">
      <c r="C241" s="1631">
        <v>227</v>
      </c>
      <c r="D241" s="1632" t="s">
        <v>1168</v>
      </c>
      <c r="E241" s="1631">
        <v>3</v>
      </c>
      <c r="F241" s="1632" t="s">
        <v>1086</v>
      </c>
      <c r="G241" s="1631" t="s">
        <v>1036</v>
      </c>
      <c r="H241" s="1631"/>
      <c r="I241" s="1633">
        <v>0</v>
      </c>
      <c r="J241" s="1634"/>
      <c r="K241" s="1631"/>
      <c r="L241" s="1634"/>
      <c r="M241" s="1637">
        <v>0</v>
      </c>
      <c r="N241" s="1637"/>
      <c r="O241" s="1637">
        <v>0</v>
      </c>
      <c r="P241" s="1637">
        <v>0</v>
      </c>
      <c r="Q241" s="1637">
        <v>0</v>
      </c>
      <c r="R241" s="1637">
        <v>0</v>
      </c>
      <c r="S241" s="1637">
        <v>4345.7</v>
      </c>
      <c r="U241" s="1656">
        <v>0.36599999999999999</v>
      </c>
      <c r="V241" s="1657">
        <v>0</v>
      </c>
      <c r="W241" s="1657">
        <v>0.36599999999999999</v>
      </c>
      <c r="X241" s="1657">
        <v>0</v>
      </c>
      <c r="Y241" s="1658">
        <v>0</v>
      </c>
    </row>
    <row r="242" spans="3:25" ht="15" thickBot="1" x14ac:dyDescent="0.35">
      <c r="C242" s="1631">
        <v>228</v>
      </c>
      <c r="D242" s="1632" t="s">
        <v>1169</v>
      </c>
      <c r="E242" s="1631">
        <v>5</v>
      </c>
      <c r="F242" s="1632" t="s">
        <v>1130</v>
      </c>
      <c r="G242" s="1631" t="s">
        <v>1036</v>
      </c>
      <c r="H242" s="1631"/>
      <c r="I242" s="1633">
        <v>129</v>
      </c>
      <c r="J242" s="1634"/>
      <c r="K242" s="1631"/>
      <c r="L242" s="1634"/>
      <c r="M242" s="1637">
        <v>6071.7000000000007</v>
      </c>
      <c r="N242" s="1637"/>
      <c r="O242" s="1637">
        <v>6043.1</v>
      </c>
      <c r="P242" s="1637">
        <v>0</v>
      </c>
      <c r="Q242" s="1637">
        <v>0</v>
      </c>
      <c r="R242" s="1637">
        <v>0</v>
      </c>
      <c r="S242" s="1637">
        <v>0</v>
      </c>
      <c r="U242" s="1656">
        <v>0.31117113000000002</v>
      </c>
      <c r="V242" s="1657">
        <v>0</v>
      </c>
      <c r="W242" s="1657">
        <v>0.31117113000000002</v>
      </c>
      <c r="X242" s="1657">
        <v>3.8867861667274198E-3</v>
      </c>
      <c r="Y242" s="1658">
        <v>86</v>
      </c>
    </row>
    <row r="243" spans="3:25" ht="15" thickBot="1" x14ac:dyDescent="0.35">
      <c r="C243" s="1631">
        <v>229</v>
      </c>
      <c r="D243" s="1632" t="s">
        <v>1169</v>
      </c>
      <c r="E243" s="1631">
        <v>5</v>
      </c>
      <c r="F243" s="1632" t="s">
        <v>1130</v>
      </c>
      <c r="G243" s="1631" t="s">
        <v>1036</v>
      </c>
      <c r="H243" s="1631"/>
      <c r="I243" s="1633">
        <v>1</v>
      </c>
      <c r="J243" s="1634"/>
      <c r="K243" s="1631"/>
      <c r="L243" s="1634"/>
      <c r="M243" s="1637">
        <v>0</v>
      </c>
      <c r="N243" s="1637"/>
      <c r="O243" s="1637">
        <v>0</v>
      </c>
      <c r="P243" s="1637">
        <v>0</v>
      </c>
      <c r="Q243" s="1637">
        <v>28.6</v>
      </c>
      <c r="R243" s="1637">
        <v>0</v>
      </c>
      <c r="S243" s="1637">
        <v>0</v>
      </c>
      <c r="U243" s="1656">
        <v>3.202E-3</v>
      </c>
      <c r="V243" s="1657">
        <v>0</v>
      </c>
      <c r="W243" s="1657">
        <v>3.202E-3</v>
      </c>
      <c r="X243" s="1657">
        <v>0</v>
      </c>
      <c r="Y243" s="1658">
        <v>0</v>
      </c>
    </row>
    <row r="244" spans="3:25" ht="15" thickBot="1" x14ac:dyDescent="0.35">
      <c r="C244" s="1631">
        <v>230</v>
      </c>
      <c r="D244" s="1632" t="s">
        <v>1169</v>
      </c>
      <c r="E244" s="1631">
        <v>1</v>
      </c>
      <c r="F244" s="1632" t="s">
        <v>1130</v>
      </c>
      <c r="G244" s="1631" t="s">
        <v>1036</v>
      </c>
      <c r="H244" s="1631"/>
      <c r="I244" s="1633">
        <v>1</v>
      </c>
      <c r="J244" s="1634"/>
      <c r="K244" s="1631"/>
      <c r="L244" s="1634"/>
      <c r="M244" s="1637">
        <v>0</v>
      </c>
      <c r="N244" s="1637"/>
      <c r="O244" s="1637">
        <v>0</v>
      </c>
      <c r="P244" s="1637">
        <v>0</v>
      </c>
      <c r="Q244" s="1637">
        <v>0</v>
      </c>
      <c r="R244" s="1637">
        <v>0</v>
      </c>
      <c r="S244" s="1637">
        <v>11.8</v>
      </c>
      <c r="U244" s="1656">
        <v>2.5000000000000001E-3</v>
      </c>
      <c r="V244" s="1657">
        <v>0</v>
      </c>
      <c r="W244" s="1657">
        <v>2.5000000000000001E-3</v>
      </c>
      <c r="X244" s="1657">
        <v>0</v>
      </c>
      <c r="Y244" s="1658">
        <v>0</v>
      </c>
    </row>
    <row r="245" spans="3:25" ht="15" thickBot="1" x14ac:dyDescent="0.35">
      <c r="C245" s="1631">
        <v>231</v>
      </c>
      <c r="D245" s="1632" t="s">
        <v>1170</v>
      </c>
      <c r="E245" s="1631">
        <v>9</v>
      </c>
      <c r="F245" s="1632" t="s">
        <v>1044</v>
      </c>
      <c r="G245" s="1631" t="s">
        <v>1036</v>
      </c>
      <c r="H245" s="1631"/>
      <c r="I245" s="1633">
        <v>64</v>
      </c>
      <c r="J245" s="1634"/>
      <c r="K245" s="1631"/>
      <c r="L245" s="1634"/>
      <c r="M245" s="1637">
        <v>3619.6</v>
      </c>
      <c r="N245" s="1637"/>
      <c r="O245" s="1637">
        <v>3619.6</v>
      </c>
      <c r="P245" s="1637">
        <v>0</v>
      </c>
      <c r="Q245" s="1637">
        <v>0</v>
      </c>
      <c r="R245" s="1637">
        <v>0</v>
      </c>
      <c r="S245" s="1637">
        <v>0</v>
      </c>
      <c r="U245" s="1656">
        <v>0.22505956999999999</v>
      </c>
      <c r="V245" s="1657">
        <v>0</v>
      </c>
      <c r="W245" s="1657">
        <v>0.22505956999999999</v>
      </c>
      <c r="X245" s="1657">
        <v>1.9832859155314909E-3</v>
      </c>
      <c r="Y245" s="1658">
        <v>36</v>
      </c>
    </row>
    <row r="246" spans="3:25" ht="15" thickBot="1" x14ac:dyDescent="0.35">
      <c r="C246" s="1631">
        <v>232</v>
      </c>
      <c r="D246" s="1632" t="s">
        <v>2668</v>
      </c>
      <c r="E246" s="1631">
        <v>1</v>
      </c>
      <c r="F246" s="1632" t="s">
        <v>1044</v>
      </c>
      <c r="G246" s="1631" t="s">
        <v>1036</v>
      </c>
      <c r="H246" s="1631"/>
      <c r="I246" s="1633">
        <v>1</v>
      </c>
      <c r="J246" s="1634"/>
      <c r="K246" s="1631"/>
      <c r="L246" s="1634"/>
      <c r="M246" s="1637">
        <v>0</v>
      </c>
      <c r="N246" s="1637"/>
      <c r="O246" s="1637">
        <v>0</v>
      </c>
      <c r="P246" s="1637">
        <v>0</v>
      </c>
      <c r="Q246" s="1637">
        <v>0</v>
      </c>
      <c r="R246" s="1637">
        <v>0</v>
      </c>
      <c r="S246" s="1637">
        <v>256.2</v>
      </c>
      <c r="U246" s="1656">
        <v>6.6540000000000002E-3</v>
      </c>
      <c r="V246" s="1657">
        <v>0</v>
      </c>
      <c r="W246" s="1657">
        <v>6.6540000000000002E-3</v>
      </c>
      <c r="X246" s="1657">
        <v>0</v>
      </c>
      <c r="Y246" s="1658">
        <v>0</v>
      </c>
    </row>
    <row r="247" spans="3:25" ht="15" thickBot="1" x14ac:dyDescent="0.35">
      <c r="C247" s="1631">
        <v>233</v>
      </c>
      <c r="D247" s="1632" t="s">
        <v>1171</v>
      </c>
      <c r="E247" s="1631">
        <v>5</v>
      </c>
      <c r="F247" s="1632" t="s">
        <v>1130</v>
      </c>
      <c r="G247" s="1631" t="s">
        <v>1036</v>
      </c>
      <c r="H247" s="1631"/>
      <c r="I247" s="1633">
        <v>1</v>
      </c>
      <c r="J247" s="1634"/>
      <c r="K247" s="1631"/>
      <c r="L247" s="1634"/>
      <c r="M247" s="1637">
        <v>4488.04</v>
      </c>
      <c r="N247" s="1637"/>
      <c r="O247" s="1637">
        <v>4488.04</v>
      </c>
      <c r="P247" s="1637">
        <v>0</v>
      </c>
      <c r="Q247" s="1637">
        <v>0</v>
      </c>
      <c r="R247" s="1637">
        <v>4488.04</v>
      </c>
      <c r="S247" s="1637">
        <v>0</v>
      </c>
      <c r="U247" s="1656">
        <v>0.21411200999999999</v>
      </c>
      <c r="V247" s="1657">
        <v>0</v>
      </c>
      <c r="W247" s="1657">
        <v>0.21411200999999999</v>
      </c>
      <c r="X247" s="1657">
        <v>0</v>
      </c>
      <c r="Y247" s="1658">
        <v>0</v>
      </c>
    </row>
    <row r="248" spans="3:25" ht="15" thickBot="1" x14ac:dyDescent="0.35">
      <c r="C248" s="1631">
        <v>234</v>
      </c>
      <c r="D248" s="1632" t="s">
        <v>1172</v>
      </c>
      <c r="E248" s="1631">
        <v>5</v>
      </c>
      <c r="F248" s="1632" t="s">
        <v>1130</v>
      </c>
      <c r="G248" s="1631" t="s">
        <v>1036</v>
      </c>
      <c r="H248" s="1631"/>
      <c r="I248" s="1633">
        <v>129</v>
      </c>
      <c r="J248" s="1634"/>
      <c r="K248" s="1631"/>
      <c r="L248" s="1634"/>
      <c r="M248" s="1637">
        <v>6098</v>
      </c>
      <c r="N248" s="1637"/>
      <c r="O248" s="1637">
        <v>6098</v>
      </c>
      <c r="P248" s="1637">
        <v>0</v>
      </c>
      <c r="Q248" s="1637">
        <v>0</v>
      </c>
      <c r="R248" s="1637">
        <v>0</v>
      </c>
      <c r="S248" s="1637">
        <v>0</v>
      </c>
      <c r="U248" s="1656">
        <v>0.30490969000000001</v>
      </c>
      <c r="V248" s="1657">
        <v>0</v>
      </c>
      <c r="W248" s="1657">
        <v>0.30490969000000001</v>
      </c>
      <c r="X248" s="1657">
        <v>3.7757539190930601E-3</v>
      </c>
      <c r="Y248" s="1658">
        <v>86</v>
      </c>
    </row>
    <row r="249" spans="3:25" ht="15" thickBot="1" x14ac:dyDescent="0.35">
      <c r="C249" s="1631">
        <v>235</v>
      </c>
      <c r="D249" s="1632" t="s">
        <v>1173</v>
      </c>
      <c r="E249" s="1631">
        <v>5</v>
      </c>
      <c r="F249" s="1632" t="s">
        <v>1086</v>
      </c>
      <c r="G249" s="1631" t="s">
        <v>1036</v>
      </c>
      <c r="H249" s="1631"/>
      <c r="I249" s="1633">
        <v>129</v>
      </c>
      <c r="J249" s="1634"/>
      <c r="K249" s="1631"/>
      <c r="L249" s="1634"/>
      <c r="M249" s="1637">
        <v>6019.2</v>
      </c>
      <c r="N249" s="1637"/>
      <c r="O249" s="1637">
        <v>6019.2</v>
      </c>
      <c r="P249" s="1637">
        <v>0</v>
      </c>
      <c r="Q249" s="1637">
        <v>0</v>
      </c>
      <c r="R249" s="1637">
        <v>0</v>
      </c>
      <c r="S249" s="1637">
        <v>0</v>
      </c>
      <c r="U249" s="1656">
        <v>0.28643475000000002</v>
      </c>
      <c r="V249" s="1657">
        <v>0</v>
      </c>
      <c r="W249" s="1657">
        <v>0.28643475000000002</v>
      </c>
      <c r="X249" s="1657">
        <v>3.5885680335858402E-3</v>
      </c>
      <c r="Y249" s="1658">
        <v>86</v>
      </c>
    </row>
    <row r="250" spans="3:25" ht="15" thickBot="1" x14ac:dyDescent="0.35">
      <c r="C250" s="1631">
        <v>236</v>
      </c>
      <c r="D250" s="1632" t="s">
        <v>1174</v>
      </c>
      <c r="E250" s="1631">
        <v>3</v>
      </c>
      <c r="F250" s="1632" t="s">
        <v>1063</v>
      </c>
      <c r="G250" s="1631" t="s">
        <v>1036</v>
      </c>
      <c r="H250" s="1631"/>
      <c r="I250" s="1633">
        <v>0</v>
      </c>
      <c r="J250" s="1634"/>
      <c r="K250" s="1631"/>
      <c r="L250" s="1634"/>
      <c r="M250" s="1637">
        <v>0</v>
      </c>
      <c r="N250" s="1637"/>
      <c r="O250" s="1637">
        <v>0</v>
      </c>
      <c r="P250" s="1637">
        <v>0</v>
      </c>
      <c r="Q250" s="1637">
        <v>0</v>
      </c>
      <c r="R250" s="1637">
        <v>0</v>
      </c>
      <c r="S250" s="1637">
        <v>1789</v>
      </c>
      <c r="U250" s="1656">
        <v>0.33400000000000002</v>
      </c>
      <c r="V250" s="1657">
        <v>0</v>
      </c>
      <c r="W250" s="1657">
        <v>0.33400000000000002</v>
      </c>
      <c r="X250" s="1657">
        <v>0</v>
      </c>
      <c r="Y250" s="1658">
        <v>0</v>
      </c>
    </row>
    <row r="251" spans="3:25" ht="15" thickBot="1" x14ac:dyDescent="0.35">
      <c r="C251" s="1631">
        <v>237</v>
      </c>
      <c r="D251" s="1632" t="s">
        <v>1175</v>
      </c>
      <c r="E251" s="1631">
        <v>9</v>
      </c>
      <c r="F251" s="1632" t="s">
        <v>1176</v>
      </c>
      <c r="G251" s="1631" t="s">
        <v>1036</v>
      </c>
      <c r="H251" s="1631"/>
      <c r="I251" s="1633">
        <v>50</v>
      </c>
      <c r="J251" s="1634"/>
      <c r="K251" s="1631"/>
      <c r="L251" s="1634"/>
      <c r="M251" s="1637">
        <v>2247</v>
      </c>
      <c r="N251" s="1637"/>
      <c r="O251" s="1637">
        <v>2160.1</v>
      </c>
      <c r="P251" s="1637">
        <v>0</v>
      </c>
      <c r="Q251" s="1637">
        <v>0</v>
      </c>
      <c r="R251" s="1637">
        <v>0</v>
      </c>
      <c r="S251" s="1637">
        <v>0</v>
      </c>
      <c r="U251" s="1656">
        <v>0.14936276000000001</v>
      </c>
      <c r="V251" s="1657">
        <v>0</v>
      </c>
      <c r="W251" s="1657">
        <v>0.14936276000000001</v>
      </c>
      <c r="X251" s="1657">
        <v>2.1847640820587652E-3</v>
      </c>
      <c r="Y251" s="1658">
        <v>36</v>
      </c>
    </row>
    <row r="252" spans="3:25" ht="15" thickBot="1" x14ac:dyDescent="0.35">
      <c r="C252" s="1631">
        <v>238</v>
      </c>
      <c r="D252" s="1632" t="s">
        <v>1175</v>
      </c>
      <c r="E252" s="1631">
        <v>9</v>
      </c>
      <c r="F252" s="1632" t="s">
        <v>1176</v>
      </c>
      <c r="G252" s="1631" t="s">
        <v>1036</v>
      </c>
      <c r="H252" s="1631"/>
      <c r="I252" s="1633">
        <v>1</v>
      </c>
      <c r="J252" s="1634"/>
      <c r="K252" s="1631"/>
      <c r="L252" s="1634"/>
      <c r="M252" s="1637">
        <v>0</v>
      </c>
      <c r="N252" s="1637"/>
      <c r="O252" s="1637">
        <v>0</v>
      </c>
      <c r="P252" s="1637">
        <v>0</v>
      </c>
      <c r="Q252" s="1637">
        <v>86.9</v>
      </c>
      <c r="R252" s="1637">
        <v>0</v>
      </c>
      <c r="S252" s="1637">
        <v>0</v>
      </c>
      <c r="U252" s="1656">
        <v>8.3000000000000001E-3</v>
      </c>
      <c r="V252" s="1657">
        <v>0</v>
      </c>
      <c r="W252" s="1657">
        <v>8.3000000000000001E-3</v>
      </c>
      <c r="X252" s="1657">
        <v>0</v>
      </c>
      <c r="Y252" s="1658">
        <v>0</v>
      </c>
    </row>
    <row r="253" spans="3:25" ht="15" thickBot="1" x14ac:dyDescent="0.35">
      <c r="C253" s="1631">
        <v>239</v>
      </c>
      <c r="D253" s="1632" t="s">
        <v>1177</v>
      </c>
      <c r="E253" s="1631">
        <v>9</v>
      </c>
      <c r="F253" s="1632" t="s">
        <v>1178</v>
      </c>
      <c r="G253" s="1631" t="s">
        <v>1036</v>
      </c>
      <c r="H253" s="1631"/>
      <c r="I253" s="1633">
        <v>67</v>
      </c>
      <c r="J253" s="1634"/>
      <c r="K253" s="1631"/>
      <c r="L253" s="1634"/>
      <c r="M253" s="1637">
        <v>3843.4</v>
      </c>
      <c r="N253" s="1637"/>
      <c r="O253" s="1637">
        <v>3843.4</v>
      </c>
      <c r="P253" s="1637">
        <v>0</v>
      </c>
      <c r="Q253" s="1637">
        <v>0</v>
      </c>
      <c r="R253" s="1637">
        <v>0</v>
      </c>
      <c r="S253" s="1637">
        <v>0</v>
      </c>
      <c r="U253" s="1656">
        <v>0.24864642000000001</v>
      </c>
      <c r="V253" s="1657">
        <v>0</v>
      </c>
      <c r="W253" s="1657">
        <v>0.24864642000000001</v>
      </c>
      <c r="X253" s="1657">
        <v>1.6004219254410926E-3</v>
      </c>
      <c r="Y253" s="1658">
        <v>36</v>
      </c>
    </row>
    <row r="254" spans="3:25" ht="15" thickBot="1" x14ac:dyDescent="0.35">
      <c r="C254" s="1631">
        <v>240</v>
      </c>
      <c r="D254" s="1632" t="s">
        <v>1177</v>
      </c>
      <c r="E254" s="1631">
        <v>1</v>
      </c>
      <c r="F254" s="1632" t="s">
        <v>1178</v>
      </c>
      <c r="G254" s="1631" t="s">
        <v>1036</v>
      </c>
      <c r="H254" s="1631"/>
      <c r="I254" s="1633">
        <v>1</v>
      </c>
      <c r="J254" s="1634"/>
      <c r="K254" s="1631"/>
      <c r="L254" s="1634"/>
      <c r="M254" s="1637">
        <v>0</v>
      </c>
      <c r="N254" s="1637"/>
      <c r="O254" s="1637">
        <v>0</v>
      </c>
      <c r="P254" s="1637">
        <v>0</v>
      </c>
      <c r="Q254" s="1637">
        <v>0</v>
      </c>
      <c r="R254" s="1637">
        <v>0</v>
      </c>
      <c r="S254" s="1637">
        <v>301.89999999999998</v>
      </c>
      <c r="U254" s="1656">
        <v>1.7000000000000001E-2</v>
      </c>
      <c r="V254" s="1657">
        <v>0</v>
      </c>
      <c r="W254" s="1657">
        <v>1.7000000000000001E-2</v>
      </c>
      <c r="X254" s="1657">
        <v>0</v>
      </c>
      <c r="Y254" s="1658">
        <v>0</v>
      </c>
    </row>
    <row r="255" spans="3:25" ht="15" thickBot="1" x14ac:dyDescent="0.35">
      <c r="C255" s="1631">
        <v>241</v>
      </c>
      <c r="D255" s="1632" t="s">
        <v>1177</v>
      </c>
      <c r="E255" s="1631">
        <v>1</v>
      </c>
      <c r="F255" s="1632" t="s">
        <v>1178</v>
      </c>
      <c r="G255" s="1631" t="s">
        <v>1036</v>
      </c>
      <c r="H255" s="1631"/>
      <c r="I255" s="1633">
        <v>1</v>
      </c>
      <c r="J255" s="1634"/>
      <c r="K255" s="1631"/>
      <c r="L255" s="1634"/>
      <c r="M255" s="1637">
        <v>0</v>
      </c>
      <c r="N255" s="1637"/>
      <c r="O255" s="1637">
        <v>0</v>
      </c>
      <c r="P255" s="1637">
        <v>0</v>
      </c>
      <c r="Q255" s="1637">
        <v>0</v>
      </c>
      <c r="R255" s="1637">
        <v>0</v>
      </c>
      <c r="S255" s="1637">
        <v>216.5</v>
      </c>
      <c r="U255" s="1656">
        <v>2.9000000000000001E-2</v>
      </c>
      <c r="V255" s="1657">
        <v>0</v>
      </c>
      <c r="W255" s="1657">
        <v>2.9000000000000001E-2</v>
      </c>
      <c r="X255" s="1657">
        <v>0</v>
      </c>
      <c r="Y255" s="1658">
        <v>0</v>
      </c>
    </row>
    <row r="256" spans="3:25" ht="15" thickBot="1" x14ac:dyDescent="0.35">
      <c r="C256" s="1631">
        <v>242</v>
      </c>
      <c r="D256" s="1632" t="s">
        <v>1179</v>
      </c>
      <c r="E256" s="1631">
        <v>5</v>
      </c>
      <c r="F256" s="1632" t="s">
        <v>1042</v>
      </c>
      <c r="G256" s="1631" t="s">
        <v>1036</v>
      </c>
      <c r="H256" s="1631"/>
      <c r="I256" s="1633">
        <v>143</v>
      </c>
      <c r="J256" s="1634"/>
      <c r="K256" s="1631"/>
      <c r="L256" s="1634"/>
      <c r="M256" s="1637">
        <v>2615.3000000000002</v>
      </c>
      <c r="N256" s="1637"/>
      <c r="O256" s="1637">
        <v>2418</v>
      </c>
      <c r="P256" s="1637">
        <v>0</v>
      </c>
      <c r="Q256" s="1637">
        <v>0</v>
      </c>
      <c r="R256" s="1637">
        <v>0</v>
      </c>
      <c r="S256" s="1637">
        <v>0</v>
      </c>
      <c r="U256" s="1656">
        <v>0.13938713</v>
      </c>
      <c r="V256" s="1657">
        <v>0</v>
      </c>
      <c r="W256" s="1657">
        <v>0.13938713</v>
      </c>
      <c r="X256" s="1657">
        <v>0</v>
      </c>
      <c r="Y256" s="1658">
        <v>0</v>
      </c>
    </row>
    <row r="257" spans="3:25" ht="15" thickBot="1" x14ac:dyDescent="0.35">
      <c r="C257" s="1631">
        <v>243</v>
      </c>
      <c r="D257" s="1632" t="s">
        <v>1179</v>
      </c>
      <c r="E257" s="1631">
        <v>5</v>
      </c>
      <c r="F257" s="1632" t="s">
        <v>1042</v>
      </c>
      <c r="G257" s="1631" t="s">
        <v>1036</v>
      </c>
      <c r="H257" s="1631"/>
      <c r="I257" s="1633">
        <v>0</v>
      </c>
      <c r="J257" s="1634"/>
      <c r="K257" s="1631"/>
      <c r="L257" s="1634"/>
      <c r="M257" s="1637">
        <v>0</v>
      </c>
      <c r="N257" s="1637"/>
      <c r="O257" s="1637">
        <v>0</v>
      </c>
      <c r="P257" s="1637">
        <v>0</v>
      </c>
      <c r="Q257" s="1637">
        <v>143.69999999999999</v>
      </c>
      <c r="R257" s="1637">
        <v>0</v>
      </c>
      <c r="S257" s="1637">
        <v>0</v>
      </c>
      <c r="U257" s="1656">
        <v>1.17E-2</v>
      </c>
      <c r="V257" s="1657">
        <v>0</v>
      </c>
      <c r="W257" s="1657">
        <v>1.17E-2</v>
      </c>
      <c r="X257" s="1657">
        <v>0</v>
      </c>
      <c r="Y257" s="1658">
        <v>0</v>
      </c>
    </row>
    <row r="258" spans="3:25" ht="15" thickBot="1" x14ac:dyDescent="0.35">
      <c r="C258" s="1631">
        <v>244</v>
      </c>
      <c r="D258" s="1632" t="s">
        <v>1179</v>
      </c>
      <c r="E258" s="1631">
        <v>5</v>
      </c>
      <c r="F258" s="1632" t="s">
        <v>1042</v>
      </c>
      <c r="G258" s="1631" t="s">
        <v>1036</v>
      </c>
      <c r="H258" s="1631"/>
      <c r="I258" s="1633">
        <v>0</v>
      </c>
      <c r="J258" s="1634"/>
      <c r="K258" s="1631"/>
      <c r="L258" s="1634"/>
      <c r="M258" s="1637">
        <v>0</v>
      </c>
      <c r="N258" s="1637"/>
      <c r="O258" s="1637">
        <v>0</v>
      </c>
      <c r="P258" s="1637">
        <v>0</v>
      </c>
      <c r="Q258" s="1637">
        <v>53.6</v>
      </c>
      <c r="R258" s="1637">
        <v>0</v>
      </c>
      <c r="S258" s="1637">
        <v>0</v>
      </c>
      <c r="U258" s="1656">
        <v>4.2339999999999999E-3</v>
      </c>
      <c r="V258" s="1657">
        <v>0</v>
      </c>
      <c r="W258" s="1657">
        <v>4.2339999999999999E-3</v>
      </c>
      <c r="X258" s="1657">
        <v>0</v>
      </c>
      <c r="Y258" s="1658">
        <v>0</v>
      </c>
    </row>
    <row r="259" spans="3:25" ht="15" thickBot="1" x14ac:dyDescent="0.35">
      <c r="C259" s="1631">
        <v>245</v>
      </c>
      <c r="D259" s="1632" t="s">
        <v>1180</v>
      </c>
      <c r="E259" s="1631">
        <v>5</v>
      </c>
      <c r="F259" s="1632" t="s">
        <v>1086</v>
      </c>
      <c r="G259" s="1631" t="s">
        <v>1036</v>
      </c>
      <c r="H259" s="1631"/>
      <c r="I259" s="1633">
        <v>129</v>
      </c>
      <c r="J259" s="1634"/>
      <c r="K259" s="1631"/>
      <c r="L259" s="1634"/>
      <c r="M259" s="1637">
        <v>6005.5</v>
      </c>
      <c r="N259" s="1637"/>
      <c r="O259" s="1637">
        <v>6005.5</v>
      </c>
      <c r="P259" s="1637">
        <v>0</v>
      </c>
      <c r="Q259" s="1637">
        <v>0</v>
      </c>
      <c r="R259" s="1637">
        <v>0</v>
      </c>
      <c r="S259" s="1637">
        <v>0</v>
      </c>
      <c r="U259" s="1656">
        <v>0.32269144999999999</v>
      </c>
      <c r="V259" s="1657">
        <v>0</v>
      </c>
      <c r="W259" s="1657">
        <v>0.32269144999999999</v>
      </c>
      <c r="X259" s="1657">
        <v>4.0644886132482402E-3</v>
      </c>
      <c r="Y259" s="1658">
        <v>86</v>
      </c>
    </row>
    <row r="260" spans="3:25" ht="15" thickBot="1" x14ac:dyDescent="0.35">
      <c r="C260" s="1631">
        <v>246</v>
      </c>
      <c r="D260" s="1632" t="s">
        <v>1181</v>
      </c>
      <c r="E260" s="1631">
        <v>5</v>
      </c>
      <c r="F260" s="1632" t="s">
        <v>1086</v>
      </c>
      <c r="G260" s="1631" t="s">
        <v>1036</v>
      </c>
      <c r="H260" s="1631"/>
      <c r="I260" s="1633">
        <v>129</v>
      </c>
      <c r="J260" s="1634"/>
      <c r="K260" s="1631"/>
      <c r="L260" s="1634"/>
      <c r="M260" s="1637">
        <v>6073.7</v>
      </c>
      <c r="N260" s="1637"/>
      <c r="O260" s="1637">
        <v>6052.3</v>
      </c>
      <c r="P260" s="1637">
        <v>0</v>
      </c>
      <c r="Q260" s="1637">
        <v>0</v>
      </c>
      <c r="R260" s="1637">
        <v>0</v>
      </c>
      <c r="S260" s="1637">
        <v>0</v>
      </c>
      <c r="U260" s="1656">
        <v>0.23663308999999999</v>
      </c>
      <c r="V260" s="1657">
        <v>0</v>
      </c>
      <c r="W260" s="1657">
        <v>0.23663308999999999</v>
      </c>
      <c r="X260" s="1657">
        <v>2.9558406299711798E-3</v>
      </c>
      <c r="Y260" s="1658">
        <v>86</v>
      </c>
    </row>
    <row r="261" spans="3:25" ht="15" thickBot="1" x14ac:dyDescent="0.35">
      <c r="C261" s="1631">
        <v>247</v>
      </c>
      <c r="D261" s="1632" t="s">
        <v>1181</v>
      </c>
      <c r="E261" s="1631">
        <v>5</v>
      </c>
      <c r="F261" s="1632" t="s">
        <v>1086</v>
      </c>
      <c r="G261" s="1631" t="s">
        <v>1036</v>
      </c>
      <c r="H261" s="1631"/>
      <c r="I261" s="1633">
        <v>1</v>
      </c>
      <c r="J261" s="1634"/>
      <c r="K261" s="1631"/>
      <c r="L261" s="1634"/>
      <c r="M261" s="1637">
        <v>0</v>
      </c>
      <c r="N261" s="1637"/>
      <c r="O261" s="1637">
        <v>0</v>
      </c>
      <c r="P261" s="1637">
        <v>0</v>
      </c>
      <c r="Q261" s="1637">
        <v>21.4</v>
      </c>
      <c r="R261" s="1637">
        <v>0</v>
      </c>
      <c r="S261" s="1637">
        <v>0</v>
      </c>
      <c r="U261" s="1656">
        <v>1.1000000000000001E-3</v>
      </c>
      <c r="V261" s="1657">
        <v>0</v>
      </c>
      <c r="W261" s="1657">
        <v>1.1000000000000001E-3</v>
      </c>
      <c r="X261" s="1657">
        <v>0</v>
      </c>
      <c r="Y261" s="1658">
        <v>0</v>
      </c>
    </row>
    <row r="262" spans="3:25" ht="15" thickBot="1" x14ac:dyDescent="0.35">
      <c r="C262" s="1631">
        <v>248</v>
      </c>
      <c r="D262" s="1632" t="s">
        <v>1182</v>
      </c>
      <c r="E262" s="1631">
        <v>5</v>
      </c>
      <c r="F262" s="1632" t="s">
        <v>1086</v>
      </c>
      <c r="G262" s="1631" t="s">
        <v>1036</v>
      </c>
      <c r="H262" s="1631"/>
      <c r="I262" s="1633">
        <v>100</v>
      </c>
      <c r="J262" s="1634"/>
      <c r="K262" s="1631"/>
      <c r="L262" s="1634"/>
      <c r="M262" s="1637">
        <v>4467.3999999999996</v>
      </c>
      <c r="N262" s="1637"/>
      <c r="O262" s="1637">
        <v>4467.3999999999996</v>
      </c>
      <c r="P262" s="1637">
        <v>0</v>
      </c>
      <c r="Q262" s="1637">
        <v>0</v>
      </c>
      <c r="R262" s="1637">
        <v>0</v>
      </c>
      <c r="S262" s="1637">
        <v>0</v>
      </c>
      <c r="U262" s="1656">
        <v>0.22600044999999999</v>
      </c>
      <c r="V262" s="1657">
        <v>0</v>
      </c>
      <c r="W262" s="1657">
        <v>0.22600044999999999</v>
      </c>
      <c r="X262" s="1657">
        <v>2.9362191460860802E-3</v>
      </c>
      <c r="Y262" s="1658">
        <v>66</v>
      </c>
    </row>
    <row r="263" spans="3:25" ht="15" thickBot="1" x14ac:dyDescent="0.35">
      <c r="C263" s="1631">
        <v>249</v>
      </c>
      <c r="D263" s="1632" t="s">
        <v>1183</v>
      </c>
      <c r="E263" s="1631">
        <v>9</v>
      </c>
      <c r="F263" s="1632" t="s">
        <v>1176</v>
      </c>
      <c r="G263" s="1631" t="s">
        <v>1036</v>
      </c>
      <c r="H263" s="1631"/>
      <c r="I263" s="1633">
        <v>49</v>
      </c>
      <c r="J263" s="1634"/>
      <c r="K263" s="1631"/>
      <c r="L263" s="1634"/>
      <c r="M263" s="1637">
        <v>2083.4</v>
      </c>
      <c r="N263" s="1637"/>
      <c r="O263" s="1637">
        <v>2083.4</v>
      </c>
      <c r="P263" s="1637">
        <v>0</v>
      </c>
      <c r="Q263" s="1637">
        <v>0</v>
      </c>
      <c r="R263" s="1637">
        <v>0</v>
      </c>
      <c r="S263" s="1637">
        <v>0</v>
      </c>
      <c r="U263" s="1656">
        <v>0.15706485000000001</v>
      </c>
      <c r="V263" s="1657">
        <v>0</v>
      </c>
      <c r="W263" s="1657">
        <v>0.15706485000000001</v>
      </c>
      <c r="X263" s="1657">
        <v>2.4058567413015939E-3</v>
      </c>
      <c r="Y263" s="1658">
        <v>36</v>
      </c>
    </row>
    <row r="264" spans="3:25" ht="15" thickBot="1" x14ac:dyDescent="0.35">
      <c r="C264" s="1631">
        <v>250</v>
      </c>
      <c r="D264" s="1632" t="s">
        <v>1184</v>
      </c>
      <c r="E264" s="1631">
        <v>9</v>
      </c>
      <c r="F264" s="1632" t="s">
        <v>1126</v>
      </c>
      <c r="G264" s="1631" t="s">
        <v>1036</v>
      </c>
      <c r="H264" s="1631"/>
      <c r="I264" s="1633">
        <v>72</v>
      </c>
      <c r="J264" s="1634"/>
      <c r="K264" s="1631"/>
      <c r="L264" s="1634"/>
      <c r="M264" s="1637">
        <v>3729.4</v>
      </c>
      <c r="N264" s="1637"/>
      <c r="O264" s="1637">
        <v>3729.4</v>
      </c>
      <c r="P264" s="1637">
        <v>0</v>
      </c>
      <c r="Q264" s="1637">
        <v>0</v>
      </c>
      <c r="R264" s="1637">
        <v>0</v>
      </c>
      <c r="S264" s="1637">
        <v>0</v>
      </c>
      <c r="U264" s="1656">
        <v>0.24050721999999999</v>
      </c>
      <c r="V264" s="1657">
        <v>0</v>
      </c>
      <c r="W264" s="1657">
        <v>0.24050721999999999</v>
      </c>
      <c r="X264" s="1657">
        <v>1.2080536383951124E-2</v>
      </c>
      <c r="Y264" s="1658">
        <v>221</v>
      </c>
    </row>
    <row r="265" spans="3:25" ht="15" thickBot="1" x14ac:dyDescent="0.35">
      <c r="C265" s="1631">
        <v>251</v>
      </c>
      <c r="D265" s="1632" t="s">
        <v>1185</v>
      </c>
      <c r="E265" s="1631">
        <v>1</v>
      </c>
      <c r="F265" s="1632" t="s">
        <v>1149</v>
      </c>
      <c r="G265" s="1631" t="s">
        <v>1036</v>
      </c>
      <c r="H265" s="1631"/>
      <c r="I265" s="1633">
        <v>0</v>
      </c>
      <c r="J265" s="1634"/>
      <c r="K265" s="1631"/>
      <c r="L265" s="1634"/>
      <c r="M265" s="1637">
        <v>0</v>
      </c>
      <c r="N265" s="1637"/>
      <c r="O265" s="1637">
        <v>0</v>
      </c>
      <c r="P265" s="1637">
        <v>0</v>
      </c>
      <c r="Q265" s="1637">
        <v>0</v>
      </c>
      <c r="R265" s="1637">
        <v>0</v>
      </c>
      <c r="S265" s="1637">
        <v>0</v>
      </c>
      <c r="U265" s="1656">
        <v>0</v>
      </c>
      <c r="V265" s="1657">
        <v>0</v>
      </c>
      <c r="W265" s="1657">
        <v>0</v>
      </c>
      <c r="X265" s="1657">
        <v>0</v>
      </c>
      <c r="Y265" s="1658">
        <v>0</v>
      </c>
    </row>
    <row r="266" spans="3:25" ht="15" thickBot="1" x14ac:dyDescent="0.35">
      <c r="C266" s="1631">
        <v>252</v>
      </c>
      <c r="D266" s="1632" t="s">
        <v>1186</v>
      </c>
      <c r="E266" s="1631">
        <v>9</v>
      </c>
      <c r="F266" s="1632" t="s">
        <v>1187</v>
      </c>
      <c r="G266" s="1631" t="s">
        <v>1036</v>
      </c>
      <c r="H266" s="1631"/>
      <c r="I266" s="1633">
        <v>1</v>
      </c>
      <c r="J266" s="1634"/>
      <c r="K266" s="1631"/>
      <c r="L266" s="1634"/>
      <c r="M266" s="1637">
        <v>5056.51</v>
      </c>
      <c r="N266" s="1637"/>
      <c r="O266" s="1637">
        <v>5056.51</v>
      </c>
      <c r="P266" s="1637">
        <v>0</v>
      </c>
      <c r="Q266" s="1637">
        <v>0</v>
      </c>
      <c r="R266" s="1637">
        <v>5056.51</v>
      </c>
      <c r="S266" s="1637">
        <v>0</v>
      </c>
      <c r="U266" s="1656">
        <v>0.30545542999999997</v>
      </c>
      <c r="V266" s="1657">
        <v>0</v>
      </c>
      <c r="W266" s="1657">
        <v>0.30545542999999997</v>
      </c>
      <c r="X266" s="1657">
        <v>0</v>
      </c>
      <c r="Y266" s="1658">
        <v>0</v>
      </c>
    </row>
    <row r="267" spans="3:25" ht="15" thickBot="1" x14ac:dyDescent="0.35">
      <c r="C267" s="1631">
        <v>253</v>
      </c>
      <c r="D267" s="1632" t="s">
        <v>1188</v>
      </c>
      <c r="E267" s="1631">
        <v>9</v>
      </c>
      <c r="F267" s="1632" t="s">
        <v>1040</v>
      </c>
      <c r="G267" s="1631" t="s">
        <v>1036</v>
      </c>
      <c r="H267" s="1631"/>
      <c r="I267" s="1633">
        <v>385</v>
      </c>
      <c r="J267" s="1634"/>
      <c r="K267" s="1631"/>
      <c r="L267" s="1634"/>
      <c r="M267" s="1637">
        <v>17557.41</v>
      </c>
      <c r="N267" s="1637"/>
      <c r="O267" s="1637">
        <v>17557.41</v>
      </c>
      <c r="P267" s="1637">
        <v>0</v>
      </c>
      <c r="Q267" s="1637">
        <v>0</v>
      </c>
      <c r="R267" s="1637">
        <v>0</v>
      </c>
      <c r="S267" s="1637">
        <v>0</v>
      </c>
      <c r="U267" s="1656">
        <v>0.90609883499999999</v>
      </c>
      <c r="V267" s="1657">
        <v>0</v>
      </c>
      <c r="W267" s="1657">
        <v>0.90609883499999999</v>
      </c>
      <c r="X267" s="1657">
        <v>4.8954008680286501E-2</v>
      </c>
      <c r="Y267" s="1658">
        <v>1129</v>
      </c>
    </row>
    <row r="268" spans="3:25" ht="15" thickBot="1" x14ac:dyDescent="0.35">
      <c r="C268" s="1631">
        <v>254</v>
      </c>
      <c r="D268" s="1632" t="s">
        <v>1189</v>
      </c>
      <c r="E268" s="1631">
        <v>5</v>
      </c>
      <c r="F268" s="1632" t="s">
        <v>1088</v>
      </c>
      <c r="G268" s="1631" t="s">
        <v>1036</v>
      </c>
      <c r="H268" s="1631"/>
      <c r="I268" s="1633">
        <v>129</v>
      </c>
      <c r="J268" s="1634"/>
      <c r="K268" s="1631"/>
      <c r="L268" s="1634"/>
      <c r="M268" s="1637">
        <v>6134.3</v>
      </c>
      <c r="N268" s="1637"/>
      <c r="O268" s="1637">
        <v>6134.3</v>
      </c>
      <c r="P268" s="1637">
        <v>0</v>
      </c>
      <c r="Q268" s="1637">
        <v>0</v>
      </c>
      <c r="R268" s="1637">
        <v>0</v>
      </c>
      <c r="S268" s="1637">
        <v>0</v>
      </c>
      <c r="U268" s="1656">
        <v>0.30451166000000002</v>
      </c>
      <c r="V268" s="1657">
        <v>0</v>
      </c>
      <c r="W268" s="1657">
        <v>0.30451166000000002</v>
      </c>
      <c r="X268" s="1657">
        <v>3.75416815830095E-3</v>
      </c>
      <c r="Y268" s="1658">
        <v>86</v>
      </c>
    </row>
    <row r="269" spans="3:25" ht="15" thickBot="1" x14ac:dyDescent="0.35">
      <c r="C269" s="1631">
        <v>255</v>
      </c>
      <c r="D269" s="1632" t="s">
        <v>1190</v>
      </c>
      <c r="E269" s="1631">
        <v>14</v>
      </c>
      <c r="F269" s="1632" t="s">
        <v>1191</v>
      </c>
      <c r="G269" s="1631" t="s">
        <v>1036</v>
      </c>
      <c r="H269" s="1631"/>
      <c r="I269" s="1633">
        <v>1</v>
      </c>
      <c r="J269" s="1634"/>
      <c r="K269" s="1631"/>
      <c r="L269" s="1634"/>
      <c r="M269" s="1637">
        <v>7355.68</v>
      </c>
      <c r="N269" s="1637"/>
      <c r="O269" s="1637">
        <v>7355.68</v>
      </c>
      <c r="P269" s="1637">
        <v>0</v>
      </c>
      <c r="Q269" s="1637">
        <v>0</v>
      </c>
      <c r="R269" s="1637">
        <v>7355.68</v>
      </c>
      <c r="S269" s="1637">
        <v>0</v>
      </c>
      <c r="U269" s="1656">
        <v>0.31501368000000002</v>
      </c>
      <c r="V269" s="1657">
        <v>0</v>
      </c>
      <c r="W269" s="1657">
        <v>0.31501368000000002</v>
      </c>
      <c r="X269" s="1657">
        <v>0</v>
      </c>
      <c r="Y269" s="1658">
        <v>0</v>
      </c>
    </row>
    <row r="270" spans="3:25" ht="15" thickBot="1" x14ac:dyDescent="0.35">
      <c r="C270" s="1631">
        <v>256</v>
      </c>
      <c r="D270" s="1632" t="s">
        <v>1192</v>
      </c>
      <c r="E270" s="1631">
        <v>14</v>
      </c>
      <c r="F270" s="1632" t="s">
        <v>1193</v>
      </c>
      <c r="G270" s="1631" t="s">
        <v>1036</v>
      </c>
      <c r="H270" s="1631"/>
      <c r="I270" s="1633">
        <v>1</v>
      </c>
      <c r="J270" s="1634"/>
      <c r="K270" s="1631"/>
      <c r="L270" s="1634"/>
      <c r="M270" s="1637">
        <v>4254</v>
      </c>
      <c r="N270" s="1637"/>
      <c r="O270" s="1637">
        <v>4254</v>
      </c>
      <c r="P270" s="1637">
        <v>0</v>
      </c>
      <c r="Q270" s="1637">
        <v>0</v>
      </c>
      <c r="R270" s="1637">
        <v>4254</v>
      </c>
      <c r="S270" s="1637">
        <v>0</v>
      </c>
      <c r="U270" s="1656">
        <v>0.19141404000000001</v>
      </c>
      <c r="V270" s="1657">
        <v>0</v>
      </c>
      <c r="W270" s="1657">
        <v>0.19141404000000001</v>
      </c>
      <c r="X270" s="1657">
        <v>0</v>
      </c>
      <c r="Y270" s="1658">
        <v>0</v>
      </c>
    </row>
    <row r="271" spans="3:25" ht="15" thickBot="1" x14ac:dyDescent="0.35">
      <c r="C271" s="1631">
        <v>257</v>
      </c>
      <c r="D271" s="1632" t="s">
        <v>1194</v>
      </c>
      <c r="E271" s="1631">
        <v>14</v>
      </c>
      <c r="F271" s="1632" t="s">
        <v>1187</v>
      </c>
      <c r="G271" s="1631" t="s">
        <v>1036</v>
      </c>
      <c r="H271" s="1631"/>
      <c r="I271" s="1633">
        <v>1</v>
      </c>
      <c r="J271" s="1634"/>
      <c r="K271" s="1631"/>
      <c r="L271" s="1634"/>
      <c r="M271" s="1637">
        <v>4037.1</v>
      </c>
      <c r="N271" s="1637"/>
      <c r="O271" s="1637">
        <v>4037.1</v>
      </c>
      <c r="P271" s="1637">
        <v>0</v>
      </c>
      <c r="Q271" s="1637">
        <v>0</v>
      </c>
      <c r="R271" s="1637">
        <v>4037.1</v>
      </c>
      <c r="S271" s="1637">
        <v>0</v>
      </c>
      <c r="U271" s="1656">
        <v>0.24497165000000001</v>
      </c>
      <c r="V271" s="1657">
        <v>0</v>
      </c>
      <c r="W271" s="1657">
        <v>0.24497165000000001</v>
      </c>
      <c r="X271" s="1657">
        <v>0</v>
      </c>
      <c r="Y271" s="1658">
        <v>0</v>
      </c>
    </row>
    <row r="272" spans="3:25" ht="15" thickBot="1" x14ac:dyDescent="0.35">
      <c r="C272" s="1631">
        <v>258</v>
      </c>
      <c r="D272" s="1632" t="s">
        <v>1195</v>
      </c>
      <c r="E272" s="1631">
        <v>5</v>
      </c>
      <c r="F272" s="1632" t="s">
        <v>1088</v>
      </c>
      <c r="G272" s="1631" t="s">
        <v>1036</v>
      </c>
      <c r="H272" s="1631"/>
      <c r="I272" s="1633">
        <v>129</v>
      </c>
      <c r="J272" s="1634"/>
      <c r="K272" s="1631"/>
      <c r="L272" s="1634"/>
      <c r="M272" s="1637">
        <v>6059.98</v>
      </c>
      <c r="N272" s="1637"/>
      <c r="O272" s="1637">
        <v>6059.98</v>
      </c>
      <c r="P272" s="1637">
        <v>0</v>
      </c>
      <c r="Q272" s="1637">
        <v>0</v>
      </c>
      <c r="R272" s="1637">
        <v>0</v>
      </c>
      <c r="S272" s="1637">
        <v>0</v>
      </c>
      <c r="U272" s="1656">
        <v>0.296356019062118</v>
      </c>
      <c r="V272" s="1657">
        <v>0</v>
      </c>
      <c r="W272" s="1657">
        <v>0.296356019062118</v>
      </c>
      <c r="X272" s="1657">
        <v>3.6912866166391202E-3</v>
      </c>
      <c r="Y272" s="1658">
        <v>86</v>
      </c>
    </row>
    <row r="273" spans="3:25" ht="15" thickBot="1" x14ac:dyDescent="0.35">
      <c r="C273" s="1631">
        <v>259</v>
      </c>
      <c r="D273" s="1632" t="s">
        <v>1196</v>
      </c>
      <c r="E273" s="1631">
        <v>3</v>
      </c>
      <c r="F273" s="1632" t="s">
        <v>1114</v>
      </c>
      <c r="G273" s="1631" t="s">
        <v>1036</v>
      </c>
      <c r="H273" s="1631"/>
      <c r="I273" s="1633">
        <v>0</v>
      </c>
      <c r="J273" s="1634"/>
      <c r="K273" s="1631"/>
      <c r="L273" s="1634"/>
      <c r="M273" s="1637">
        <v>0</v>
      </c>
      <c r="N273" s="1637"/>
      <c r="O273" s="1637">
        <v>0</v>
      </c>
      <c r="P273" s="1637">
        <v>0</v>
      </c>
      <c r="Q273" s="1637">
        <v>0</v>
      </c>
      <c r="R273" s="1637">
        <v>0</v>
      </c>
      <c r="S273" s="1637">
        <v>2034</v>
      </c>
      <c r="U273" s="1656">
        <v>0.23200000000000001</v>
      </c>
      <c r="V273" s="1657">
        <v>0</v>
      </c>
      <c r="W273" s="1657">
        <v>0.23200000000000001</v>
      </c>
      <c r="X273" s="1657">
        <v>0</v>
      </c>
      <c r="Y273" s="1658">
        <v>0</v>
      </c>
    </row>
    <row r="274" spans="3:25" ht="15" thickBot="1" x14ac:dyDescent="0.35">
      <c r="C274" s="1631">
        <v>260</v>
      </c>
      <c r="D274" s="1632" t="s">
        <v>1197</v>
      </c>
      <c r="E274" s="1631">
        <v>9</v>
      </c>
      <c r="F274" s="1632" t="s">
        <v>1152</v>
      </c>
      <c r="G274" s="1631" t="s">
        <v>1036</v>
      </c>
      <c r="H274" s="1631"/>
      <c r="I274" s="1633">
        <v>64</v>
      </c>
      <c r="J274" s="1634"/>
      <c r="K274" s="1631"/>
      <c r="L274" s="1634"/>
      <c r="M274" s="1637">
        <v>3920.7</v>
      </c>
      <c r="N274" s="1637"/>
      <c r="O274" s="1637">
        <v>3618.7</v>
      </c>
      <c r="P274" s="1637">
        <v>0</v>
      </c>
      <c r="Q274" s="1637">
        <v>0</v>
      </c>
      <c r="R274" s="1637">
        <v>0</v>
      </c>
      <c r="S274" s="1637">
        <v>0</v>
      </c>
      <c r="U274" s="1656">
        <v>0.23556299999999999</v>
      </c>
      <c r="V274" s="1657">
        <v>0</v>
      </c>
      <c r="W274" s="1657">
        <v>0.23556299999999999</v>
      </c>
      <c r="X274" s="1657">
        <v>2.0675890183097616E-3</v>
      </c>
      <c r="Y274" s="1658">
        <v>36</v>
      </c>
    </row>
    <row r="275" spans="3:25" ht="15" thickBot="1" x14ac:dyDescent="0.35">
      <c r="C275" s="1631">
        <v>261</v>
      </c>
      <c r="D275" s="1632" t="s">
        <v>1197</v>
      </c>
      <c r="E275" s="1631">
        <v>9</v>
      </c>
      <c r="F275" s="1632" t="s">
        <v>1152</v>
      </c>
      <c r="G275" s="1631" t="s">
        <v>1036</v>
      </c>
      <c r="H275" s="1631"/>
      <c r="I275" s="1633">
        <v>0</v>
      </c>
      <c r="J275" s="1634"/>
      <c r="K275" s="1631"/>
      <c r="L275" s="1634"/>
      <c r="M275" s="1637">
        <v>0</v>
      </c>
      <c r="N275" s="1637"/>
      <c r="O275" s="1637">
        <v>0</v>
      </c>
      <c r="P275" s="1637">
        <v>0</v>
      </c>
      <c r="Q275" s="1637">
        <v>202</v>
      </c>
      <c r="R275" s="1637">
        <v>0</v>
      </c>
      <c r="S275" s="1637">
        <v>0</v>
      </c>
      <c r="U275" s="1656">
        <v>2.0778000000000001E-2</v>
      </c>
      <c r="V275" s="1657">
        <v>0</v>
      </c>
      <c r="W275" s="1657">
        <v>2.0778000000000001E-2</v>
      </c>
      <c r="X275" s="1657">
        <v>0</v>
      </c>
      <c r="Y275" s="1658">
        <v>0</v>
      </c>
    </row>
    <row r="276" spans="3:25" ht="15" thickBot="1" x14ac:dyDescent="0.35">
      <c r="C276" s="1631">
        <v>262</v>
      </c>
      <c r="D276" s="1632" t="s">
        <v>1197</v>
      </c>
      <c r="E276" s="1631">
        <v>9</v>
      </c>
      <c r="F276" s="1632" t="s">
        <v>1152</v>
      </c>
      <c r="G276" s="1631" t="s">
        <v>1036</v>
      </c>
      <c r="H276" s="1631"/>
      <c r="I276" s="1633">
        <v>1</v>
      </c>
      <c r="J276" s="1634"/>
      <c r="K276" s="1631"/>
      <c r="L276" s="1634"/>
      <c r="M276" s="1637">
        <v>0</v>
      </c>
      <c r="N276" s="1637"/>
      <c r="O276" s="1637">
        <v>0</v>
      </c>
      <c r="P276" s="1637">
        <v>0</v>
      </c>
      <c r="Q276" s="1637">
        <v>100</v>
      </c>
      <c r="R276" s="1637">
        <v>0</v>
      </c>
      <c r="S276" s="1637">
        <v>0</v>
      </c>
      <c r="U276" s="1656">
        <v>3.826E-3</v>
      </c>
      <c r="V276" s="1657">
        <v>0</v>
      </c>
      <c r="W276" s="1657">
        <v>3.826E-3</v>
      </c>
      <c r="X276" s="1657">
        <v>0</v>
      </c>
      <c r="Y276" s="1658">
        <v>0</v>
      </c>
    </row>
    <row r="277" spans="3:25" ht="15" thickBot="1" x14ac:dyDescent="0.35">
      <c r="C277" s="1631">
        <v>263</v>
      </c>
      <c r="D277" s="1632" t="s">
        <v>1197</v>
      </c>
      <c r="E277" s="1631">
        <v>1</v>
      </c>
      <c r="F277" s="1632" t="s">
        <v>1152</v>
      </c>
      <c r="G277" s="1631" t="s">
        <v>1036</v>
      </c>
      <c r="H277" s="1631"/>
      <c r="I277" s="1633">
        <v>0</v>
      </c>
      <c r="J277" s="1634"/>
      <c r="K277" s="1631"/>
      <c r="L277" s="1634"/>
      <c r="M277" s="1637">
        <v>0</v>
      </c>
      <c r="N277" s="1637"/>
      <c r="O277" s="1637">
        <v>0</v>
      </c>
      <c r="P277" s="1637">
        <v>0</v>
      </c>
      <c r="Q277" s="1637">
        <v>0</v>
      </c>
      <c r="R277" s="1637">
        <v>0</v>
      </c>
      <c r="S277" s="1637">
        <v>715.9</v>
      </c>
      <c r="U277" s="1656">
        <v>3.1815999999999997E-2</v>
      </c>
      <c r="V277" s="1657">
        <v>0</v>
      </c>
      <c r="W277" s="1657">
        <v>3.1815999999999997E-2</v>
      </c>
      <c r="X277" s="1657">
        <v>0</v>
      </c>
      <c r="Y277" s="1658">
        <v>0</v>
      </c>
    </row>
    <row r="278" spans="3:25" ht="15" thickBot="1" x14ac:dyDescent="0.35">
      <c r="C278" s="1631">
        <v>264</v>
      </c>
      <c r="D278" s="1632" t="s">
        <v>1198</v>
      </c>
      <c r="E278" s="1631">
        <v>5</v>
      </c>
      <c r="F278" s="1632" t="s">
        <v>1086</v>
      </c>
      <c r="G278" s="1631" t="s">
        <v>1036</v>
      </c>
      <c r="H278" s="1631"/>
      <c r="I278" s="1633">
        <v>100</v>
      </c>
      <c r="J278" s="1634"/>
      <c r="K278" s="1631"/>
      <c r="L278" s="1634"/>
      <c r="M278" s="1637">
        <v>4531.6000000000004</v>
      </c>
      <c r="N278" s="1637"/>
      <c r="O278" s="1637">
        <v>4531.6000000000004</v>
      </c>
      <c r="P278" s="1637">
        <v>0</v>
      </c>
      <c r="Q278" s="1637">
        <v>0</v>
      </c>
      <c r="R278" s="1637">
        <v>0</v>
      </c>
      <c r="S278" s="1637">
        <v>0</v>
      </c>
      <c r="U278" s="1656">
        <v>0.20731782000000001</v>
      </c>
      <c r="V278" s="1657">
        <v>0</v>
      </c>
      <c r="W278" s="1657">
        <v>0.20731782000000001</v>
      </c>
      <c r="X278" s="1657">
        <v>2.66685696948829E-3</v>
      </c>
      <c r="Y278" s="1658">
        <v>66</v>
      </c>
    </row>
    <row r="279" spans="3:25" ht="15" thickBot="1" x14ac:dyDescent="0.35">
      <c r="C279" s="1631">
        <v>265</v>
      </c>
      <c r="D279" s="1632" t="s">
        <v>1199</v>
      </c>
      <c r="E279" s="1631">
        <v>9</v>
      </c>
      <c r="F279" s="1632" t="s">
        <v>1044</v>
      </c>
      <c r="G279" s="1631" t="s">
        <v>1036</v>
      </c>
      <c r="H279" s="1631"/>
      <c r="I279" s="1633">
        <v>244</v>
      </c>
      <c r="J279" s="1634"/>
      <c r="K279" s="1631"/>
      <c r="L279" s="1634"/>
      <c r="M279" s="1637">
        <v>6324.9</v>
      </c>
      <c r="N279" s="1637"/>
      <c r="O279" s="1637">
        <v>5985.5</v>
      </c>
      <c r="P279" s="1637">
        <v>0</v>
      </c>
      <c r="Q279" s="1637">
        <v>0</v>
      </c>
      <c r="R279" s="1637">
        <v>0</v>
      </c>
      <c r="S279" s="1637">
        <v>0</v>
      </c>
      <c r="U279" s="1656">
        <v>0.33118421999999997</v>
      </c>
      <c r="V279" s="1657">
        <v>0</v>
      </c>
      <c r="W279" s="1657">
        <v>0.33118421999999997</v>
      </c>
      <c r="X279" s="1657">
        <v>0</v>
      </c>
      <c r="Y279" s="1658">
        <v>0</v>
      </c>
    </row>
    <row r="280" spans="3:25" ht="15" thickBot="1" x14ac:dyDescent="0.35">
      <c r="C280" s="1631">
        <v>266</v>
      </c>
      <c r="D280" s="1632" t="s">
        <v>1199</v>
      </c>
      <c r="E280" s="1631">
        <v>9</v>
      </c>
      <c r="F280" s="1632" t="s">
        <v>1044</v>
      </c>
      <c r="G280" s="1631" t="s">
        <v>1036</v>
      </c>
      <c r="H280" s="1631"/>
      <c r="I280" s="1633">
        <v>1</v>
      </c>
      <c r="J280" s="1634"/>
      <c r="K280" s="1631"/>
      <c r="L280" s="1634"/>
      <c r="M280" s="1637">
        <v>0</v>
      </c>
      <c r="N280" s="1637"/>
      <c r="O280" s="1637">
        <v>0</v>
      </c>
      <c r="P280" s="1637">
        <v>0</v>
      </c>
      <c r="Q280" s="1637">
        <v>248.9</v>
      </c>
      <c r="R280" s="1637">
        <v>0</v>
      </c>
      <c r="S280" s="1637">
        <v>0</v>
      </c>
      <c r="U280" s="1656">
        <v>6.0000000000000001E-3</v>
      </c>
      <c r="V280" s="1657">
        <v>0</v>
      </c>
      <c r="W280" s="1657">
        <v>6.0000000000000001E-3</v>
      </c>
      <c r="X280" s="1657">
        <v>0</v>
      </c>
      <c r="Y280" s="1658">
        <v>0</v>
      </c>
    </row>
    <row r="281" spans="3:25" ht="15" thickBot="1" x14ac:dyDescent="0.35">
      <c r="C281" s="1631">
        <v>267</v>
      </c>
      <c r="D281" s="1632" t="s">
        <v>1199</v>
      </c>
      <c r="E281" s="1631">
        <v>9</v>
      </c>
      <c r="F281" s="1632" t="s">
        <v>1044</v>
      </c>
      <c r="G281" s="1631" t="s">
        <v>1036</v>
      </c>
      <c r="H281" s="1631"/>
      <c r="I281" s="1633">
        <v>1</v>
      </c>
      <c r="J281" s="1634"/>
      <c r="K281" s="1631"/>
      <c r="L281" s="1634"/>
      <c r="M281" s="1637">
        <v>0</v>
      </c>
      <c r="N281" s="1637"/>
      <c r="O281" s="1637">
        <v>0</v>
      </c>
      <c r="P281" s="1637">
        <v>0</v>
      </c>
      <c r="Q281" s="1637">
        <v>41.9</v>
      </c>
      <c r="R281" s="1637">
        <v>0</v>
      </c>
      <c r="S281" s="1637">
        <v>0</v>
      </c>
      <c r="U281" s="1656">
        <v>1.4E-3</v>
      </c>
      <c r="V281" s="1657">
        <v>0</v>
      </c>
      <c r="W281" s="1657">
        <v>1.4E-3</v>
      </c>
      <c r="X281" s="1657">
        <v>0</v>
      </c>
      <c r="Y281" s="1658">
        <v>0</v>
      </c>
    </row>
    <row r="282" spans="3:25" ht="15" thickBot="1" x14ac:dyDescent="0.35">
      <c r="C282" s="1631">
        <v>268</v>
      </c>
      <c r="D282" s="1632" t="s">
        <v>1199</v>
      </c>
      <c r="E282" s="1631">
        <v>9</v>
      </c>
      <c r="F282" s="1632" t="s">
        <v>1044</v>
      </c>
      <c r="G282" s="1631" t="s">
        <v>1036</v>
      </c>
      <c r="H282" s="1631"/>
      <c r="I282" s="1633">
        <v>1</v>
      </c>
      <c r="J282" s="1634"/>
      <c r="K282" s="1631"/>
      <c r="L282" s="1634"/>
      <c r="M282" s="1637">
        <v>0</v>
      </c>
      <c r="N282" s="1637"/>
      <c r="O282" s="1637">
        <v>0</v>
      </c>
      <c r="P282" s="1637">
        <v>0</v>
      </c>
      <c r="Q282" s="1637">
        <v>35.6</v>
      </c>
      <c r="R282" s="1637">
        <v>0</v>
      </c>
      <c r="S282" s="1637">
        <v>0</v>
      </c>
      <c r="U282" s="1656">
        <v>2.3410000000000002E-3</v>
      </c>
      <c r="V282" s="1657">
        <v>0</v>
      </c>
      <c r="W282" s="1657">
        <v>2.3410000000000002E-3</v>
      </c>
      <c r="X282" s="1657">
        <v>0</v>
      </c>
      <c r="Y282" s="1658">
        <v>0</v>
      </c>
    </row>
    <row r="283" spans="3:25" ht="15" thickBot="1" x14ac:dyDescent="0.35">
      <c r="C283" s="1631">
        <v>269</v>
      </c>
      <c r="D283" s="1632" t="s">
        <v>1199</v>
      </c>
      <c r="E283" s="1631">
        <v>9</v>
      </c>
      <c r="F283" s="1632" t="s">
        <v>1044</v>
      </c>
      <c r="G283" s="1631" t="s">
        <v>1036</v>
      </c>
      <c r="H283" s="1631"/>
      <c r="I283" s="1633">
        <v>1</v>
      </c>
      <c r="J283" s="1634"/>
      <c r="K283" s="1631"/>
      <c r="L283" s="1634"/>
      <c r="M283" s="1637">
        <v>0</v>
      </c>
      <c r="N283" s="1637"/>
      <c r="O283" s="1637">
        <v>0</v>
      </c>
      <c r="P283" s="1637">
        <v>0</v>
      </c>
      <c r="Q283" s="1637">
        <v>13</v>
      </c>
      <c r="R283" s="1637">
        <v>0</v>
      </c>
      <c r="S283" s="1637">
        <v>0</v>
      </c>
      <c r="U283" s="1656">
        <v>6.1700000000000004E-4</v>
      </c>
      <c r="V283" s="1657">
        <v>0</v>
      </c>
      <c r="W283" s="1657">
        <v>6.1700000000000004E-4</v>
      </c>
      <c r="X283" s="1657">
        <v>0</v>
      </c>
      <c r="Y283" s="1658">
        <v>0</v>
      </c>
    </row>
    <row r="284" spans="3:25" ht="15" thickBot="1" x14ac:dyDescent="0.35">
      <c r="C284" s="1631">
        <v>270</v>
      </c>
      <c r="D284" s="1632" t="s">
        <v>1200</v>
      </c>
      <c r="E284" s="1631">
        <v>1</v>
      </c>
      <c r="F284" s="1632" t="s">
        <v>1133</v>
      </c>
      <c r="G284" s="1631" t="s">
        <v>1036</v>
      </c>
      <c r="H284" s="1631"/>
      <c r="I284" s="1633">
        <v>1</v>
      </c>
      <c r="J284" s="1634"/>
      <c r="K284" s="1631"/>
      <c r="L284" s="1634"/>
      <c r="M284" s="1637">
        <v>0</v>
      </c>
      <c r="N284" s="1637"/>
      <c r="O284" s="1637">
        <v>0</v>
      </c>
      <c r="P284" s="1637">
        <v>0</v>
      </c>
      <c r="Q284" s="1637">
        <v>0</v>
      </c>
      <c r="R284" s="1637">
        <v>0</v>
      </c>
      <c r="S284" s="1637">
        <v>63</v>
      </c>
      <c r="U284" s="1656">
        <v>8.4770000000000002E-3</v>
      </c>
      <c r="V284" s="1657">
        <v>0</v>
      </c>
      <c r="W284" s="1657">
        <v>8.4770000000000002E-3</v>
      </c>
      <c r="X284" s="1657">
        <v>0</v>
      </c>
      <c r="Y284" s="1658">
        <v>0</v>
      </c>
    </row>
    <row r="285" spans="3:25" ht="15" thickBot="1" x14ac:dyDescent="0.35">
      <c r="C285" s="1631">
        <v>271</v>
      </c>
      <c r="D285" s="1632" t="s">
        <v>1201</v>
      </c>
      <c r="E285" s="1631">
        <v>9</v>
      </c>
      <c r="F285" s="1632" t="s">
        <v>1202</v>
      </c>
      <c r="G285" s="1631" t="s">
        <v>1036</v>
      </c>
      <c r="H285" s="1631"/>
      <c r="I285" s="1633">
        <v>162</v>
      </c>
      <c r="J285" s="1634"/>
      <c r="K285" s="1631"/>
      <c r="L285" s="1634"/>
      <c r="M285" s="1637">
        <v>5790.3</v>
      </c>
      <c r="N285" s="1637"/>
      <c r="O285" s="1637">
        <v>5790.3</v>
      </c>
      <c r="P285" s="1637">
        <v>0</v>
      </c>
      <c r="Q285" s="1637">
        <v>0</v>
      </c>
      <c r="R285" s="1637">
        <v>0</v>
      </c>
      <c r="S285" s="1637">
        <v>0</v>
      </c>
      <c r="U285" s="1656">
        <v>0.33440303999999998</v>
      </c>
      <c r="V285" s="1657">
        <v>0</v>
      </c>
      <c r="W285" s="1657">
        <v>0.33440303999999998</v>
      </c>
      <c r="X285" s="1657">
        <v>0</v>
      </c>
      <c r="Y285" s="1658">
        <v>0</v>
      </c>
    </row>
    <row r="286" spans="3:25" ht="15" thickBot="1" x14ac:dyDescent="0.35">
      <c r="C286" s="1631">
        <v>272</v>
      </c>
      <c r="D286" s="1632" t="s">
        <v>1203</v>
      </c>
      <c r="E286" s="1631">
        <v>5</v>
      </c>
      <c r="F286" s="1632" t="s">
        <v>1059</v>
      </c>
      <c r="G286" s="1631" t="s">
        <v>1036</v>
      </c>
      <c r="H286" s="1631"/>
      <c r="I286" s="1633">
        <v>70</v>
      </c>
      <c r="J286" s="1634"/>
      <c r="K286" s="1631"/>
      <c r="L286" s="1634"/>
      <c r="M286" s="1637">
        <v>3373.4</v>
      </c>
      <c r="N286" s="1637"/>
      <c r="O286" s="1637">
        <v>3373.4</v>
      </c>
      <c r="P286" s="1637">
        <v>0</v>
      </c>
      <c r="Q286" s="1637">
        <v>0</v>
      </c>
      <c r="R286" s="1637">
        <v>0</v>
      </c>
      <c r="S286" s="1637">
        <v>0</v>
      </c>
      <c r="U286" s="1656">
        <v>0.19564612000000001</v>
      </c>
      <c r="V286" s="1657">
        <v>0</v>
      </c>
      <c r="W286" s="1657">
        <v>0.19564612000000001</v>
      </c>
      <c r="X286" s="1657">
        <v>0</v>
      </c>
      <c r="Y286" s="1658">
        <v>0</v>
      </c>
    </row>
    <row r="287" spans="3:25" ht="15" thickBot="1" x14ac:dyDescent="0.35">
      <c r="C287" s="1631">
        <v>273</v>
      </c>
      <c r="D287" s="1632" t="s">
        <v>1204</v>
      </c>
      <c r="E287" s="1631">
        <v>9</v>
      </c>
      <c r="F287" s="1632" t="s">
        <v>1090</v>
      </c>
      <c r="G287" s="1631" t="s">
        <v>1036</v>
      </c>
      <c r="H287" s="1631"/>
      <c r="I287" s="1633">
        <v>36</v>
      </c>
      <c r="J287" s="1634"/>
      <c r="K287" s="1631"/>
      <c r="L287" s="1634"/>
      <c r="M287" s="1637">
        <v>2048.9</v>
      </c>
      <c r="N287" s="1637"/>
      <c r="O287" s="1637">
        <v>2048.9</v>
      </c>
      <c r="P287" s="1637">
        <v>0</v>
      </c>
      <c r="Q287" s="1637">
        <v>0</v>
      </c>
      <c r="R287" s="1637">
        <v>0</v>
      </c>
      <c r="S287" s="1637">
        <v>0</v>
      </c>
      <c r="U287" s="1656">
        <v>0.11270362</v>
      </c>
      <c r="V287" s="1657">
        <v>0</v>
      </c>
      <c r="W287" s="1657">
        <v>0.11270362</v>
      </c>
      <c r="X287" s="1657">
        <v>0</v>
      </c>
      <c r="Y287" s="1658">
        <v>0</v>
      </c>
    </row>
    <row r="288" spans="3:25" ht="15" thickBot="1" x14ac:dyDescent="0.35">
      <c r="C288" s="1631">
        <v>274</v>
      </c>
      <c r="D288" s="1632" t="s">
        <v>1205</v>
      </c>
      <c r="E288" s="1631">
        <v>9</v>
      </c>
      <c r="F288" s="1632" t="s">
        <v>1035</v>
      </c>
      <c r="G288" s="1631" t="s">
        <v>1036</v>
      </c>
      <c r="H288" s="1631"/>
      <c r="I288" s="1633">
        <v>1</v>
      </c>
      <c r="J288" s="1634"/>
      <c r="K288" s="1631"/>
      <c r="L288" s="1634"/>
      <c r="M288" s="1637">
        <v>5854.6</v>
      </c>
      <c r="N288" s="1637"/>
      <c r="O288" s="1637">
        <v>5854.6</v>
      </c>
      <c r="P288" s="1637">
        <v>0</v>
      </c>
      <c r="Q288" s="1637">
        <v>0</v>
      </c>
      <c r="R288" s="1637">
        <v>5854.6</v>
      </c>
      <c r="S288" s="1637">
        <v>0</v>
      </c>
      <c r="U288" s="1656">
        <v>0.32341490000000001</v>
      </c>
      <c r="V288" s="1657">
        <v>0</v>
      </c>
      <c r="W288" s="1657">
        <v>0.32341490000000001</v>
      </c>
      <c r="X288" s="1657">
        <v>0</v>
      </c>
      <c r="Y288" s="1658">
        <v>0</v>
      </c>
    </row>
    <row r="289" spans="3:25" ht="15" thickBot="1" x14ac:dyDescent="0.35">
      <c r="C289" s="1631">
        <v>275</v>
      </c>
      <c r="D289" s="1632" t="s">
        <v>1206</v>
      </c>
      <c r="E289" s="1631">
        <v>9</v>
      </c>
      <c r="F289" s="1632" t="s">
        <v>1178</v>
      </c>
      <c r="G289" s="1631" t="s">
        <v>1036</v>
      </c>
      <c r="H289" s="1631"/>
      <c r="I289" s="1633">
        <v>144</v>
      </c>
      <c r="J289" s="1634"/>
      <c r="K289" s="1631"/>
      <c r="L289" s="1634"/>
      <c r="M289" s="1637">
        <v>6961</v>
      </c>
      <c r="N289" s="1637"/>
      <c r="O289" s="1637">
        <v>6961</v>
      </c>
      <c r="P289" s="1637">
        <v>0</v>
      </c>
      <c r="Q289" s="1637">
        <v>0</v>
      </c>
      <c r="R289" s="1637">
        <v>0</v>
      </c>
      <c r="S289" s="1637">
        <v>0</v>
      </c>
      <c r="U289" s="1656">
        <v>0.37183159999999998</v>
      </c>
      <c r="V289" s="1657">
        <v>0</v>
      </c>
      <c r="W289" s="1657">
        <v>0.37183159999999998</v>
      </c>
      <c r="X289" s="1657">
        <v>0</v>
      </c>
      <c r="Y289" s="1658">
        <v>0</v>
      </c>
    </row>
    <row r="290" spans="3:25" ht="15" thickBot="1" x14ac:dyDescent="0.35">
      <c r="C290" s="1631">
        <v>276</v>
      </c>
      <c r="D290" s="1632" t="s">
        <v>1207</v>
      </c>
      <c r="E290" s="1631">
        <v>9</v>
      </c>
      <c r="F290" s="1632" t="s">
        <v>1038</v>
      </c>
      <c r="G290" s="1631" t="s">
        <v>1036</v>
      </c>
      <c r="H290" s="1631"/>
      <c r="I290" s="1633">
        <v>248</v>
      </c>
      <c r="J290" s="1634"/>
      <c r="K290" s="1631"/>
      <c r="L290" s="1634"/>
      <c r="M290" s="1637">
        <v>14080.1</v>
      </c>
      <c r="N290" s="1637"/>
      <c r="O290" s="1637">
        <v>13980.1</v>
      </c>
      <c r="P290" s="1637">
        <v>0</v>
      </c>
      <c r="Q290" s="1637">
        <v>0</v>
      </c>
      <c r="R290" s="1637">
        <v>0</v>
      </c>
      <c r="S290" s="1637">
        <v>0</v>
      </c>
      <c r="U290" s="1656">
        <v>0.86181203699999998</v>
      </c>
      <c r="V290" s="1657">
        <v>0</v>
      </c>
      <c r="W290" s="1657">
        <v>0.86181203699999998</v>
      </c>
      <c r="X290" s="1657">
        <v>6.8533476811167698E-3</v>
      </c>
      <c r="Y290" s="1658">
        <v>126</v>
      </c>
    </row>
    <row r="291" spans="3:25" ht="15" thickBot="1" x14ac:dyDescent="0.35">
      <c r="C291" s="1631">
        <v>277</v>
      </c>
      <c r="D291" s="1632" t="s">
        <v>1207</v>
      </c>
      <c r="E291" s="1631">
        <v>9</v>
      </c>
      <c r="F291" s="1632" t="s">
        <v>1038</v>
      </c>
      <c r="G291" s="1631" t="s">
        <v>1036</v>
      </c>
      <c r="H291" s="1631"/>
      <c r="I291" s="1633">
        <v>0</v>
      </c>
      <c r="J291" s="1634"/>
      <c r="K291" s="1631"/>
      <c r="L291" s="1634"/>
      <c r="M291" s="1637">
        <v>0</v>
      </c>
      <c r="N291" s="1637"/>
      <c r="O291" s="1637">
        <v>0</v>
      </c>
      <c r="P291" s="1637">
        <v>0</v>
      </c>
      <c r="Q291" s="1637">
        <v>100</v>
      </c>
      <c r="R291" s="1637">
        <v>0</v>
      </c>
      <c r="S291" s="1637">
        <v>0</v>
      </c>
      <c r="U291" s="1656">
        <v>2.8080000000000002E-3</v>
      </c>
      <c r="V291" s="1657">
        <v>0</v>
      </c>
      <c r="W291" s="1657">
        <v>2.8080000000000002E-3</v>
      </c>
      <c r="X291" s="1657">
        <v>0</v>
      </c>
      <c r="Y291" s="1658">
        <v>0</v>
      </c>
    </row>
    <row r="292" spans="3:25" ht="15" thickBot="1" x14ac:dyDescent="0.35">
      <c r="C292" s="1631">
        <v>278</v>
      </c>
      <c r="D292" s="1632" t="s">
        <v>1207</v>
      </c>
      <c r="E292" s="1631">
        <v>1</v>
      </c>
      <c r="F292" s="1632" t="s">
        <v>1038</v>
      </c>
      <c r="G292" s="1631" t="s">
        <v>1036</v>
      </c>
      <c r="H292" s="1631"/>
      <c r="I292" s="1633">
        <v>0</v>
      </c>
      <c r="J292" s="1634"/>
      <c r="K292" s="1631"/>
      <c r="L292" s="1634"/>
      <c r="M292" s="1637">
        <v>0</v>
      </c>
      <c r="N292" s="1637"/>
      <c r="O292" s="1637">
        <v>0</v>
      </c>
      <c r="P292" s="1637">
        <v>0</v>
      </c>
      <c r="Q292" s="1637">
        <v>0</v>
      </c>
      <c r="R292" s="1637">
        <v>0</v>
      </c>
      <c r="S292" s="1637">
        <v>22.8</v>
      </c>
      <c r="U292" s="1656">
        <v>1.335E-3</v>
      </c>
      <c r="V292" s="1657">
        <v>0</v>
      </c>
      <c r="W292" s="1657">
        <v>1.335E-3</v>
      </c>
      <c r="X292" s="1657">
        <v>0</v>
      </c>
      <c r="Y292" s="1658">
        <v>0</v>
      </c>
    </row>
    <row r="293" spans="3:25" ht="15" thickBot="1" x14ac:dyDescent="0.35">
      <c r="C293" s="1631">
        <v>279</v>
      </c>
      <c r="D293" s="1632" t="s">
        <v>1208</v>
      </c>
      <c r="E293" s="1631">
        <v>5</v>
      </c>
      <c r="F293" s="1632" t="s">
        <v>1055</v>
      </c>
      <c r="G293" s="1631" t="s">
        <v>1036</v>
      </c>
      <c r="H293" s="1631"/>
      <c r="I293" s="1633">
        <v>161</v>
      </c>
      <c r="J293" s="1634"/>
      <c r="K293" s="1631"/>
      <c r="L293" s="1634"/>
      <c r="M293" s="1637">
        <v>4259.7</v>
      </c>
      <c r="N293" s="1637"/>
      <c r="O293" s="1637">
        <v>4259.7</v>
      </c>
      <c r="P293" s="1637">
        <v>0</v>
      </c>
      <c r="Q293" s="1637">
        <v>0</v>
      </c>
      <c r="R293" s="1637">
        <v>0</v>
      </c>
      <c r="S293" s="1637">
        <v>0</v>
      </c>
      <c r="U293" s="1656">
        <v>0.27829605000000002</v>
      </c>
      <c r="V293" s="1657">
        <v>0</v>
      </c>
      <c r="W293" s="1657">
        <v>0.27829605000000002</v>
      </c>
      <c r="X293" s="1657">
        <v>0</v>
      </c>
      <c r="Y293" s="1658">
        <v>0</v>
      </c>
    </row>
    <row r="294" spans="3:25" ht="15" thickBot="1" x14ac:dyDescent="0.35">
      <c r="C294" s="1631">
        <v>280</v>
      </c>
      <c r="D294" s="1632" t="s">
        <v>1208</v>
      </c>
      <c r="E294" s="1631">
        <v>1</v>
      </c>
      <c r="F294" s="1632" t="s">
        <v>1055</v>
      </c>
      <c r="G294" s="1631" t="s">
        <v>1036</v>
      </c>
      <c r="H294" s="1631"/>
      <c r="I294" s="1633">
        <v>1</v>
      </c>
      <c r="J294" s="1634"/>
      <c r="K294" s="1631"/>
      <c r="L294" s="1634"/>
      <c r="M294" s="1637">
        <v>0</v>
      </c>
      <c r="N294" s="1637"/>
      <c r="O294" s="1637">
        <v>0</v>
      </c>
      <c r="P294" s="1637">
        <v>0</v>
      </c>
      <c r="Q294" s="1637">
        <v>0</v>
      </c>
      <c r="R294" s="1637">
        <v>0</v>
      </c>
      <c r="S294" s="1637">
        <v>39.4</v>
      </c>
      <c r="U294" s="1656">
        <v>2.5999999999999999E-3</v>
      </c>
      <c r="V294" s="1657">
        <v>0</v>
      </c>
      <c r="W294" s="1657">
        <v>2.5999999999999999E-3</v>
      </c>
      <c r="X294" s="1657">
        <v>0</v>
      </c>
      <c r="Y294" s="1658">
        <v>0</v>
      </c>
    </row>
    <row r="295" spans="3:25" ht="15" thickBot="1" x14ac:dyDescent="0.35">
      <c r="C295" s="1631">
        <v>281</v>
      </c>
      <c r="D295" s="1632" t="s">
        <v>1209</v>
      </c>
      <c r="E295" s="1631">
        <v>2</v>
      </c>
      <c r="F295" s="1632" t="s">
        <v>1044</v>
      </c>
      <c r="G295" s="1631" t="s">
        <v>1036</v>
      </c>
      <c r="H295" s="1631"/>
      <c r="I295" s="1633">
        <v>2</v>
      </c>
      <c r="J295" s="1634"/>
      <c r="K295" s="1631"/>
      <c r="L295" s="1634"/>
      <c r="M295" s="1637">
        <v>645.5</v>
      </c>
      <c r="N295" s="1637"/>
      <c r="O295" s="1637">
        <v>240.2</v>
      </c>
      <c r="P295" s="1637">
        <v>226.4</v>
      </c>
      <c r="Q295" s="1637">
        <v>0</v>
      </c>
      <c r="R295" s="1637">
        <v>0</v>
      </c>
      <c r="S295" s="1637">
        <v>0</v>
      </c>
      <c r="U295" s="1656">
        <v>1.3623E-2</v>
      </c>
      <c r="V295" s="1657">
        <v>0</v>
      </c>
      <c r="W295" s="1657">
        <v>1.3623E-2</v>
      </c>
      <c r="X295" s="1657">
        <v>0</v>
      </c>
      <c r="Y295" s="1658">
        <v>0</v>
      </c>
    </row>
    <row r="296" spans="3:25" ht="15" thickBot="1" x14ac:dyDescent="0.35">
      <c r="C296" s="1631">
        <v>282</v>
      </c>
      <c r="D296" s="1632" t="s">
        <v>1209</v>
      </c>
      <c r="E296" s="1631">
        <v>2</v>
      </c>
      <c r="F296" s="1632" t="s">
        <v>1044</v>
      </c>
      <c r="G296" s="1631" t="s">
        <v>1036</v>
      </c>
      <c r="H296" s="1631"/>
      <c r="I296" s="1633">
        <v>1</v>
      </c>
      <c r="J296" s="1634"/>
      <c r="K296" s="1631"/>
      <c r="L296" s="1634"/>
      <c r="M296" s="1637">
        <v>0</v>
      </c>
      <c r="N296" s="1637"/>
      <c r="O296" s="1637">
        <v>0</v>
      </c>
      <c r="P296" s="1637">
        <v>0</v>
      </c>
      <c r="Q296" s="1637">
        <v>178.9</v>
      </c>
      <c r="R296" s="1637">
        <v>0</v>
      </c>
      <c r="S296" s="1637">
        <v>0</v>
      </c>
      <c r="U296" s="1656">
        <v>1.418E-2</v>
      </c>
      <c r="V296" s="1657">
        <v>0</v>
      </c>
      <c r="W296" s="1657">
        <v>1.418E-2</v>
      </c>
      <c r="X296" s="1657">
        <v>0</v>
      </c>
      <c r="Y296" s="1658">
        <v>0</v>
      </c>
    </row>
    <row r="297" spans="3:25" ht="15" thickBot="1" x14ac:dyDescent="0.35">
      <c r="C297" s="1631">
        <v>283</v>
      </c>
      <c r="D297" s="1632" t="s">
        <v>1210</v>
      </c>
      <c r="E297" s="1631">
        <v>3</v>
      </c>
      <c r="F297" s="1632" t="s">
        <v>1059</v>
      </c>
      <c r="G297" s="1631" t="s">
        <v>1036</v>
      </c>
      <c r="H297" s="1631"/>
      <c r="I297" s="1633">
        <v>0</v>
      </c>
      <c r="J297" s="1634"/>
      <c r="K297" s="1631"/>
      <c r="L297" s="1634"/>
      <c r="M297" s="1637">
        <v>0</v>
      </c>
      <c r="N297" s="1637"/>
      <c r="O297" s="1637">
        <v>0</v>
      </c>
      <c r="P297" s="1637">
        <v>0</v>
      </c>
      <c r="Q297" s="1637">
        <v>0</v>
      </c>
      <c r="R297" s="1637">
        <v>0</v>
      </c>
      <c r="S297" s="1637">
        <v>2041.4</v>
      </c>
      <c r="U297" s="1656">
        <v>0.22900000000000001</v>
      </c>
      <c r="V297" s="1657">
        <v>0</v>
      </c>
      <c r="W297" s="1657">
        <v>0.22900000000000001</v>
      </c>
      <c r="X297" s="1657">
        <v>0</v>
      </c>
      <c r="Y297" s="1658">
        <v>0</v>
      </c>
    </row>
    <row r="298" spans="3:25" ht="15" thickBot="1" x14ac:dyDescent="0.35">
      <c r="C298" s="1631">
        <v>284</v>
      </c>
      <c r="D298" s="1632" t="s">
        <v>1211</v>
      </c>
      <c r="E298" s="1631">
        <v>3</v>
      </c>
      <c r="F298" s="1632" t="s">
        <v>1054</v>
      </c>
      <c r="G298" s="1631" t="s">
        <v>1036</v>
      </c>
      <c r="H298" s="1631"/>
      <c r="I298" s="1633">
        <v>0</v>
      </c>
      <c r="J298" s="1634"/>
      <c r="K298" s="1631"/>
      <c r="L298" s="1634"/>
      <c r="M298" s="1637">
        <v>0</v>
      </c>
      <c r="N298" s="1637"/>
      <c r="O298" s="1637">
        <v>0</v>
      </c>
      <c r="P298" s="1637">
        <v>0</v>
      </c>
      <c r="Q298" s="1637">
        <v>0</v>
      </c>
      <c r="R298" s="1637">
        <v>0</v>
      </c>
      <c r="S298" s="1637">
        <v>2750</v>
      </c>
      <c r="U298" s="1656">
        <v>0.18</v>
      </c>
      <c r="V298" s="1657">
        <v>0</v>
      </c>
      <c r="W298" s="1657">
        <v>0.18</v>
      </c>
      <c r="X298" s="1657">
        <v>0</v>
      </c>
      <c r="Y298" s="1658">
        <v>0</v>
      </c>
    </row>
    <row r="299" spans="3:25" ht="15" thickBot="1" x14ac:dyDescent="0.35">
      <c r="C299" s="1631">
        <v>285</v>
      </c>
      <c r="D299" s="1632" t="s">
        <v>1212</v>
      </c>
      <c r="E299" s="1631">
        <v>9</v>
      </c>
      <c r="F299" s="1632" t="s">
        <v>1154</v>
      </c>
      <c r="G299" s="1631" t="s">
        <v>1036</v>
      </c>
      <c r="H299" s="1631"/>
      <c r="I299" s="1633">
        <v>145</v>
      </c>
      <c r="J299" s="1634"/>
      <c r="K299" s="1631"/>
      <c r="L299" s="1634"/>
      <c r="M299" s="1637">
        <v>7244.39</v>
      </c>
      <c r="N299" s="1637"/>
      <c r="O299" s="1637">
        <v>7244.39</v>
      </c>
      <c r="P299" s="1637">
        <v>0</v>
      </c>
      <c r="Q299" s="1637">
        <v>0</v>
      </c>
      <c r="R299" s="1637">
        <v>0</v>
      </c>
      <c r="S299" s="1637">
        <v>0</v>
      </c>
      <c r="U299" s="1656">
        <v>0.43564090999999999</v>
      </c>
      <c r="V299" s="1657">
        <v>0</v>
      </c>
      <c r="W299" s="1657">
        <v>0.43564090999999999</v>
      </c>
      <c r="X299" s="1657">
        <v>0</v>
      </c>
      <c r="Y299" s="1658">
        <v>0</v>
      </c>
    </row>
    <row r="300" spans="3:25" ht="15" thickBot="1" x14ac:dyDescent="0.35">
      <c r="C300" s="1631">
        <v>286</v>
      </c>
      <c r="D300" s="1632" t="s">
        <v>1213</v>
      </c>
      <c r="E300" s="1631">
        <v>9</v>
      </c>
      <c r="F300" s="1632" t="s">
        <v>1176</v>
      </c>
      <c r="G300" s="1631" t="s">
        <v>1036</v>
      </c>
      <c r="H300" s="1631"/>
      <c r="I300" s="1633">
        <v>73</v>
      </c>
      <c r="J300" s="1634"/>
      <c r="K300" s="1631"/>
      <c r="L300" s="1634"/>
      <c r="M300" s="1637">
        <v>4102</v>
      </c>
      <c r="N300" s="1637"/>
      <c r="O300" s="1637">
        <v>4102</v>
      </c>
      <c r="P300" s="1637">
        <v>0</v>
      </c>
      <c r="Q300" s="1637">
        <v>0</v>
      </c>
      <c r="R300" s="1637">
        <v>0</v>
      </c>
      <c r="S300" s="1637">
        <v>0</v>
      </c>
      <c r="U300" s="1656">
        <v>0.22467754000000001</v>
      </c>
      <c r="V300" s="1657">
        <v>0</v>
      </c>
      <c r="W300" s="1657">
        <v>0.22467754000000001</v>
      </c>
      <c r="X300" s="1657">
        <v>2.1027355875715893E-2</v>
      </c>
      <c r="Y300" s="1658">
        <v>474.66</v>
      </c>
    </row>
    <row r="301" spans="3:25" ht="15" thickBot="1" x14ac:dyDescent="0.35">
      <c r="C301" s="1631">
        <v>287</v>
      </c>
      <c r="D301" s="1632" t="s">
        <v>1214</v>
      </c>
      <c r="E301" s="1631">
        <v>5</v>
      </c>
      <c r="F301" s="1632" t="s">
        <v>1055</v>
      </c>
      <c r="G301" s="1631" t="s">
        <v>1036</v>
      </c>
      <c r="H301" s="1631"/>
      <c r="I301" s="1633">
        <v>100</v>
      </c>
      <c r="J301" s="1634"/>
      <c r="K301" s="1631"/>
      <c r="L301" s="1634"/>
      <c r="M301" s="1637">
        <v>4421.2</v>
      </c>
      <c r="N301" s="1637"/>
      <c r="O301" s="1637">
        <v>4421.2</v>
      </c>
      <c r="P301" s="1637">
        <v>0</v>
      </c>
      <c r="Q301" s="1637">
        <v>0</v>
      </c>
      <c r="R301" s="1637">
        <v>0</v>
      </c>
      <c r="S301" s="1637">
        <v>0</v>
      </c>
      <c r="U301" s="1656">
        <v>0.22470820999999999</v>
      </c>
      <c r="V301" s="1657">
        <v>0</v>
      </c>
      <c r="W301" s="1657">
        <v>0.22470820999999999</v>
      </c>
      <c r="X301" s="1657">
        <v>1.97256045251906E-2</v>
      </c>
      <c r="Y301" s="1658">
        <v>478.68</v>
      </c>
    </row>
    <row r="302" spans="3:25" ht="15" thickBot="1" x14ac:dyDescent="0.35">
      <c r="C302" s="1631">
        <v>288</v>
      </c>
      <c r="D302" s="1632" t="s">
        <v>1215</v>
      </c>
      <c r="E302" s="1631">
        <v>16</v>
      </c>
      <c r="F302" s="1632" t="s">
        <v>1048</v>
      </c>
      <c r="G302" s="1631" t="s">
        <v>1036</v>
      </c>
      <c r="H302" s="1631"/>
      <c r="I302" s="1633">
        <v>96</v>
      </c>
      <c r="J302" s="1634"/>
      <c r="K302" s="1631"/>
      <c r="L302" s="1634"/>
      <c r="M302" s="1637">
        <v>5003.7</v>
      </c>
      <c r="N302" s="1637"/>
      <c r="O302" s="1637">
        <v>5003.7</v>
      </c>
      <c r="P302" s="1637">
        <v>0</v>
      </c>
      <c r="Q302" s="1637">
        <v>0</v>
      </c>
      <c r="R302" s="1637">
        <v>0</v>
      </c>
      <c r="S302" s="1637">
        <v>0</v>
      </c>
      <c r="U302" s="1656">
        <v>0.36732703</v>
      </c>
      <c r="V302" s="1657">
        <v>0</v>
      </c>
      <c r="W302" s="1657">
        <v>0.36732703</v>
      </c>
      <c r="X302" s="1657">
        <v>0</v>
      </c>
      <c r="Y302" s="1658">
        <v>0</v>
      </c>
    </row>
    <row r="303" spans="3:25" ht="15" thickBot="1" x14ac:dyDescent="0.35">
      <c r="C303" s="1631">
        <v>289</v>
      </c>
      <c r="D303" s="1632" t="s">
        <v>1216</v>
      </c>
      <c r="E303" s="1631">
        <v>5</v>
      </c>
      <c r="F303" s="1632" t="s">
        <v>1130</v>
      </c>
      <c r="G303" s="1631" t="s">
        <v>1036</v>
      </c>
      <c r="H303" s="1631"/>
      <c r="I303" s="1633">
        <v>159</v>
      </c>
      <c r="J303" s="1634"/>
      <c r="K303" s="1631"/>
      <c r="L303" s="1634"/>
      <c r="M303" s="1637">
        <v>4228.5</v>
      </c>
      <c r="N303" s="1637"/>
      <c r="O303" s="1637">
        <v>4228.5</v>
      </c>
      <c r="P303" s="1637">
        <v>0</v>
      </c>
      <c r="Q303" s="1637">
        <v>0</v>
      </c>
      <c r="R303" s="1637">
        <v>0</v>
      </c>
      <c r="S303" s="1637">
        <v>0</v>
      </c>
      <c r="U303" s="1656">
        <v>0.25638548999999999</v>
      </c>
      <c r="V303" s="1657">
        <v>0</v>
      </c>
      <c r="W303" s="1657">
        <v>0.25638548999999999</v>
      </c>
      <c r="X303" s="1657">
        <v>0</v>
      </c>
      <c r="Y303" s="1658">
        <v>0</v>
      </c>
    </row>
    <row r="304" spans="3:25" ht="15" thickBot="1" x14ac:dyDescent="0.35">
      <c r="C304" s="1631">
        <v>290</v>
      </c>
      <c r="D304" s="1632" t="s">
        <v>1217</v>
      </c>
      <c r="E304" s="1631">
        <v>9</v>
      </c>
      <c r="F304" s="1632" t="s">
        <v>1035</v>
      </c>
      <c r="G304" s="1631" t="s">
        <v>1036</v>
      </c>
      <c r="H304" s="1631"/>
      <c r="I304" s="1633">
        <v>157</v>
      </c>
      <c r="J304" s="1634"/>
      <c r="K304" s="1631"/>
      <c r="L304" s="1634"/>
      <c r="M304" s="1637">
        <v>5788</v>
      </c>
      <c r="N304" s="1637"/>
      <c r="O304" s="1637">
        <v>5604.5</v>
      </c>
      <c r="P304" s="1637">
        <v>0</v>
      </c>
      <c r="Q304" s="1637">
        <v>0</v>
      </c>
      <c r="R304" s="1637">
        <v>0</v>
      </c>
      <c r="S304" s="1637">
        <v>0</v>
      </c>
      <c r="U304" s="1656">
        <v>0.34146138999999998</v>
      </c>
      <c r="V304" s="1657">
        <v>0</v>
      </c>
      <c r="W304" s="1657">
        <v>0.34146138999999998</v>
      </c>
      <c r="X304" s="1657">
        <v>0</v>
      </c>
      <c r="Y304" s="1658">
        <v>0</v>
      </c>
    </row>
    <row r="305" spans="3:25" ht="15" thickBot="1" x14ac:dyDescent="0.35">
      <c r="C305" s="1631">
        <v>291</v>
      </c>
      <c r="D305" s="1632" t="s">
        <v>1217</v>
      </c>
      <c r="E305" s="1631">
        <v>9</v>
      </c>
      <c r="F305" s="1632" t="s">
        <v>1035</v>
      </c>
      <c r="G305" s="1631" t="s">
        <v>1036</v>
      </c>
      <c r="H305" s="1631"/>
      <c r="I305" s="1633">
        <v>0</v>
      </c>
      <c r="J305" s="1634"/>
      <c r="K305" s="1631"/>
      <c r="L305" s="1634"/>
      <c r="M305" s="1637">
        <v>0</v>
      </c>
      <c r="N305" s="1637"/>
      <c r="O305" s="1637">
        <v>0</v>
      </c>
      <c r="P305" s="1637">
        <v>0</v>
      </c>
      <c r="Q305" s="1637">
        <v>42</v>
      </c>
      <c r="R305" s="1637">
        <v>0</v>
      </c>
      <c r="S305" s="1637">
        <v>0</v>
      </c>
      <c r="U305" s="1656">
        <v>3.64E-3</v>
      </c>
      <c r="V305" s="1657">
        <v>0</v>
      </c>
      <c r="W305" s="1657">
        <v>3.64E-3</v>
      </c>
      <c r="X305" s="1657">
        <v>0</v>
      </c>
      <c r="Y305" s="1658">
        <v>0</v>
      </c>
    </row>
    <row r="306" spans="3:25" ht="15" customHeight="1" thickBot="1" x14ac:dyDescent="0.35">
      <c r="C306" s="1624">
        <v>292</v>
      </c>
      <c r="D306" s="1625" t="s">
        <v>1217</v>
      </c>
      <c r="E306" s="1626">
        <v>9</v>
      </c>
      <c r="F306" s="3405" t="s">
        <v>1035</v>
      </c>
      <c r="G306" s="3406" t="s">
        <v>1036</v>
      </c>
      <c r="H306" s="3406"/>
      <c r="I306" s="3406">
        <v>1</v>
      </c>
      <c r="J306" s="3406"/>
      <c r="K306" s="3406"/>
      <c r="L306" s="3406"/>
      <c r="M306" s="1637">
        <v>0</v>
      </c>
      <c r="N306" s="1637"/>
      <c r="O306" s="1637">
        <v>0</v>
      </c>
      <c r="P306" s="1637">
        <v>0</v>
      </c>
      <c r="Q306" s="1637">
        <v>141.5</v>
      </c>
      <c r="R306" s="1637">
        <v>0</v>
      </c>
      <c r="S306" s="1637">
        <v>0</v>
      </c>
      <c r="U306" s="1656">
        <v>6.7600000000000004E-3</v>
      </c>
      <c r="V306" s="1657">
        <v>0</v>
      </c>
      <c r="W306" s="1657">
        <v>6.7600000000000004E-3</v>
      </c>
      <c r="X306" s="1657">
        <v>0</v>
      </c>
      <c r="Y306" s="1658">
        <v>0</v>
      </c>
    </row>
    <row r="307" spans="3:25" ht="16.5" customHeight="1" thickBot="1" x14ac:dyDescent="0.35">
      <c r="C307" s="1057">
        <v>293</v>
      </c>
      <c r="D307" s="1058" t="s">
        <v>1218</v>
      </c>
      <c r="E307" s="1059">
        <v>16</v>
      </c>
      <c r="F307" s="3408" t="s">
        <v>1038</v>
      </c>
      <c r="G307" s="3409" t="s">
        <v>1036</v>
      </c>
      <c r="H307" s="3409"/>
      <c r="I307" s="3409">
        <v>95</v>
      </c>
      <c r="J307" s="3409"/>
      <c r="K307" s="3409"/>
      <c r="L307" s="3409"/>
      <c r="M307" s="3410">
        <v>5061.59</v>
      </c>
      <c r="N307" s="3410"/>
      <c r="O307" s="3410">
        <v>5023.8900000000003</v>
      </c>
      <c r="P307" s="3410">
        <v>0</v>
      </c>
      <c r="Q307" s="3410">
        <v>0</v>
      </c>
      <c r="R307" s="3410">
        <v>0</v>
      </c>
      <c r="S307" s="3410">
        <v>0</v>
      </c>
      <c r="U307" s="1656">
        <v>0.32968083999999998</v>
      </c>
      <c r="V307" s="1657">
        <v>0</v>
      </c>
      <c r="W307" s="1657">
        <v>0.32968083999999998</v>
      </c>
      <c r="X307" s="1657">
        <v>0</v>
      </c>
      <c r="Y307" s="1658">
        <v>0</v>
      </c>
    </row>
    <row r="308" spans="3:25" ht="15.75" customHeight="1" thickBot="1" x14ac:dyDescent="0.35">
      <c r="C308" s="1057">
        <v>294</v>
      </c>
      <c r="D308" s="1058" t="s">
        <v>1218</v>
      </c>
      <c r="E308" s="1059">
        <v>16</v>
      </c>
      <c r="F308" s="3411" t="s">
        <v>1038</v>
      </c>
      <c r="G308" s="3412" t="s">
        <v>1036</v>
      </c>
      <c r="H308" s="3412"/>
      <c r="I308" s="3412">
        <v>1</v>
      </c>
      <c r="J308" s="3412"/>
      <c r="K308" s="3412"/>
      <c r="L308" s="3412"/>
      <c r="M308" s="3413">
        <v>0</v>
      </c>
      <c r="N308" s="3413"/>
      <c r="O308" s="3413">
        <v>0</v>
      </c>
      <c r="P308" s="3413">
        <v>0</v>
      </c>
      <c r="Q308" s="3413">
        <v>37.700000000000003</v>
      </c>
      <c r="R308" s="3413">
        <v>0</v>
      </c>
      <c r="S308" s="3413">
        <v>0</v>
      </c>
      <c r="U308" s="1656">
        <v>2.8E-3</v>
      </c>
      <c r="V308" s="1657">
        <v>0</v>
      </c>
      <c r="W308" s="1657">
        <v>2.8E-3</v>
      </c>
      <c r="X308" s="1657">
        <v>0</v>
      </c>
      <c r="Y308" s="1658">
        <v>0</v>
      </c>
    </row>
    <row r="309" spans="3:25" ht="15.75" customHeight="1" thickBot="1" x14ac:dyDescent="0.35">
      <c r="C309" s="1057">
        <v>295</v>
      </c>
      <c r="D309" s="1058" t="s">
        <v>1218</v>
      </c>
      <c r="E309" s="1059">
        <v>1</v>
      </c>
      <c r="F309" s="3414" t="s">
        <v>1038</v>
      </c>
      <c r="G309" s="3409" t="s">
        <v>1036</v>
      </c>
      <c r="H309" s="3409"/>
      <c r="I309" s="3409">
        <v>0</v>
      </c>
      <c r="J309" s="3409"/>
      <c r="K309" s="3409"/>
      <c r="L309" s="3409"/>
      <c r="M309" s="3410">
        <v>0</v>
      </c>
      <c r="N309" s="3410"/>
      <c r="O309" s="3410">
        <v>0</v>
      </c>
      <c r="P309" s="3410">
        <v>0</v>
      </c>
      <c r="Q309" s="3410">
        <v>0</v>
      </c>
      <c r="R309" s="3410">
        <v>0</v>
      </c>
      <c r="S309" s="3410">
        <v>6.8</v>
      </c>
      <c r="U309" s="1656">
        <v>1.3309999999999999E-3</v>
      </c>
      <c r="V309" s="1657">
        <v>0</v>
      </c>
      <c r="W309" s="1657">
        <v>1.3309999999999999E-3</v>
      </c>
      <c r="X309" s="1657">
        <v>0</v>
      </c>
      <c r="Y309" s="1658">
        <v>0</v>
      </c>
    </row>
    <row r="310" spans="3:25" ht="15.75" customHeight="1" x14ac:dyDescent="0.3">
      <c r="C310" s="1057">
        <v>296</v>
      </c>
      <c r="D310" s="1058" t="s">
        <v>1219</v>
      </c>
      <c r="E310" s="1059">
        <v>9</v>
      </c>
      <c r="F310" s="1643" t="s">
        <v>1090</v>
      </c>
      <c r="G310" s="1641" t="s">
        <v>1036</v>
      </c>
      <c r="H310" s="1641"/>
      <c r="I310" s="1641">
        <v>141</v>
      </c>
      <c r="J310" s="1641"/>
      <c r="K310" s="1641"/>
      <c r="L310" s="1641"/>
      <c r="M310" s="3407">
        <v>6958.7</v>
      </c>
      <c r="N310" s="3407"/>
      <c r="O310" s="3407">
        <v>6748.7</v>
      </c>
      <c r="P310" s="3407">
        <v>0</v>
      </c>
      <c r="Q310" s="3407">
        <v>0</v>
      </c>
      <c r="R310" s="3407">
        <v>0</v>
      </c>
      <c r="S310" s="3407">
        <v>0</v>
      </c>
      <c r="U310" s="1656">
        <v>0.38697426000000001</v>
      </c>
      <c r="V310" s="1657">
        <v>0</v>
      </c>
      <c r="W310" s="1657">
        <v>0.38697426000000001</v>
      </c>
      <c r="X310" s="1657">
        <v>3.4840714272295098E-2</v>
      </c>
      <c r="Y310" s="1658">
        <v>749</v>
      </c>
    </row>
    <row r="311" spans="3:25" ht="15.75" customHeight="1" x14ac:dyDescent="0.3">
      <c r="C311" s="1057">
        <v>297</v>
      </c>
      <c r="D311" s="1058" t="s">
        <v>1219</v>
      </c>
      <c r="E311" s="1059">
        <v>9</v>
      </c>
      <c r="F311" s="1297" t="s">
        <v>1090</v>
      </c>
      <c r="G311" s="1057" t="s">
        <v>1036</v>
      </c>
      <c r="H311" s="1057"/>
      <c r="I311" s="1057" t="s">
        <v>2677</v>
      </c>
      <c r="J311" s="1057"/>
      <c r="K311" s="1057"/>
      <c r="L311" s="1057"/>
      <c r="M311" s="1636">
        <v>0</v>
      </c>
      <c r="N311" s="1636"/>
      <c r="O311" s="1636">
        <v>0</v>
      </c>
      <c r="P311" s="1636">
        <v>0</v>
      </c>
      <c r="Q311" s="1636">
        <v>210</v>
      </c>
      <c r="R311" s="1636">
        <v>0</v>
      </c>
      <c r="S311" s="1636">
        <v>0</v>
      </c>
      <c r="U311" s="1656">
        <v>5.0000000000000001E-3</v>
      </c>
      <c r="V311" s="1657">
        <v>0</v>
      </c>
      <c r="W311" s="1657">
        <v>5.0000000000000001E-3</v>
      </c>
      <c r="X311" s="1657">
        <v>0</v>
      </c>
      <c r="Y311" s="1658">
        <v>0</v>
      </c>
    </row>
    <row r="312" spans="3:25" ht="13.5" customHeight="1" x14ac:dyDescent="0.3">
      <c r="C312" s="1057">
        <v>298</v>
      </c>
      <c r="D312" s="1058" t="s">
        <v>1220</v>
      </c>
      <c r="E312" s="1059">
        <v>1</v>
      </c>
      <c r="F312" s="1297" t="s">
        <v>1221</v>
      </c>
      <c r="G312" s="1057" t="s">
        <v>1036</v>
      </c>
      <c r="H312" s="1057"/>
      <c r="I312" s="1057">
        <v>1</v>
      </c>
      <c r="J312" s="1057"/>
      <c r="K312" s="1057"/>
      <c r="L312" s="1057"/>
      <c r="M312" s="1636">
        <v>0</v>
      </c>
      <c r="N312" s="1636"/>
      <c r="O312" s="1636">
        <v>0</v>
      </c>
      <c r="P312" s="1636">
        <v>0</v>
      </c>
      <c r="Q312" s="1636">
        <v>0</v>
      </c>
      <c r="R312" s="1636">
        <v>0</v>
      </c>
      <c r="S312" s="1636">
        <v>1302.7</v>
      </c>
      <c r="U312" s="1656">
        <v>9.127600000000001E-2</v>
      </c>
      <c r="V312" s="1657">
        <v>0</v>
      </c>
      <c r="W312" s="1657">
        <v>9.127600000000001E-2</v>
      </c>
      <c r="X312" s="1657">
        <v>0</v>
      </c>
      <c r="Y312" s="1658">
        <v>0</v>
      </c>
    </row>
    <row r="313" spans="3:25" ht="13.95" customHeight="1" x14ac:dyDescent="0.3">
      <c r="C313" s="1057">
        <v>299</v>
      </c>
      <c r="D313" s="1058" t="s">
        <v>1222</v>
      </c>
      <c r="E313" s="1059">
        <v>1</v>
      </c>
      <c r="F313" s="1297" t="s">
        <v>1221</v>
      </c>
      <c r="G313" s="1057" t="s">
        <v>1036</v>
      </c>
      <c r="H313" s="1057"/>
      <c r="I313" s="1057">
        <v>1</v>
      </c>
      <c r="J313" s="1057"/>
      <c r="K313" s="1057"/>
      <c r="L313" s="1057"/>
      <c r="M313" s="1636">
        <v>0</v>
      </c>
      <c r="N313" s="1636"/>
      <c r="O313" s="1636">
        <v>0</v>
      </c>
      <c r="P313" s="1636">
        <v>0</v>
      </c>
      <c r="Q313" s="1636">
        <v>0</v>
      </c>
      <c r="R313" s="1636">
        <v>0</v>
      </c>
      <c r="S313" s="1636">
        <v>279.8</v>
      </c>
      <c r="U313" s="1656">
        <v>1.2E-2</v>
      </c>
      <c r="V313" s="1657">
        <v>0</v>
      </c>
      <c r="W313" s="1657">
        <v>1.2E-2</v>
      </c>
      <c r="X313" s="1657">
        <v>0</v>
      </c>
      <c r="Y313" s="1658">
        <v>0</v>
      </c>
    </row>
    <row r="314" spans="3:25" ht="13.95" customHeight="1" x14ac:dyDescent="0.3">
      <c r="C314" s="1057">
        <v>300</v>
      </c>
      <c r="D314" s="1058" t="s">
        <v>1223</v>
      </c>
      <c r="E314" s="1059">
        <v>1</v>
      </c>
      <c r="F314" s="1297" t="s">
        <v>1086</v>
      </c>
      <c r="G314" s="1057" t="s">
        <v>1036</v>
      </c>
      <c r="H314" s="1057"/>
      <c r="I314" s="1057">
        <v>0</v>
      </c>
      <c r="J314" s="1057"/>
      <c r="K314" s="1057"/>
      <c r="L314" s="1057"/>
      <c r="M314" s="1636">
        <v>0</v>
      </c>
      <c r="N314" s="1636"/>
      <c r="O314" s="1636">
        <v>0</v>
      </c>
      <c r="P314" s="1636">
        <v>0</v>
      </c>
      <c r="Q314" s="1636">
        <v>0</v>
      </c>
      <c r="R314" s="1636">
        <v>0</v>
      </c>
      <c r="S314" s="1636">
        <v>653.55999999999995</v>
      </c>
      <c r="U314" s="1656">
        <v>4.6614999999999997E-2</v>
      </c>
      <c r="V314" s="1657">
        <v>0</v>
      </c>
      <c r="W314" s="1657">
        <v>4.6614999999999997E-2</v>
      </c>
      <c r="X314" s="1657">
        <v>0</v>
      </c>
      <c r="Y314" s="1658">
        <v>0</v>
      </c>
    </row>
    <row r="315" spans="3:25" ht="13.95" customHeight="1" x14ac:dyDescent="0.3">
      <c r="C315" s="1057">
        <v>301</v>
      </c>
      <c r="D315" s="1058" t="s">
        <v>2669</v>
      </c>
      <c r="E315" s="1059">
        <v>14</v>
      </c>
      <c r="F315" s="1297" t="s">
        <v>1224</v>
      </c>
      <c r="G315" s="1057" t="s">
        <v>1036</v>
      </c>
      <c r="H315" s="1058"/>
      <c r="I315" s="1057">
        <v>1</v>
      </c>
      <c r="J315" s="1058"/>
      <c r="K315" s="1058"/>
      <c r="L315" s="1058"/>
      <c r="M315" s="1636">
        <v>23003.190000000002</v>
      </c>
      <c r="N315" s="1636"/>
      <c r="O315" s="1636">
        <v>21762.49</v>
      </c>
      <c r="P315" s="1636">
        <v>0</v>
      </c>
      <c r="Q315" s="1636">
        <v>0</v>
      </c>
      <c r="R315" s="1636">
        <v>21762.49</v>
      </c>
      <c r="S315" s="1636">
        <v>0</v>
      </c>
      <c r="U315" s="1656">
        <v>0.74667258999999997</v>
      </c>
      <c r="V315" s="1657">
        <v>0</v>
      </c>
      <c r="W315" s="1657">
        <v>0.74667258999999997</v>
      </c>
      <c r="X315" s="1657">
        <v>0</v>
      </c>
      <c r="Y315" s="1658">
        <v>0</v>
      </c>
    </row>
    <row r="316" spans="3:25" ht="13.95" customHeight="1" x14ac:dyDescent="0.3">
      <c r="C316" s="1057">
        <v>302</v>
      </c>
      <c r="D316" s="1058" t="s">
        <v>2669</v>
      </c>
      <c r="E316" s="1059">
        <v>14</v>
      </c>
      <c r="F316" s="1297" t="s">
        <v>1224</v>
      </c>
      <c r="G316" s="1057" t="s">
        <v>1036</v>
      </c>
      <c r="H316" s="1058"/>
      <c r="I316" s="1057">
        <v>1</v>
      </c>
      <c r="J316" s="1058"/>
      <c r="K316" s="1058"/>
      <c r="L316" s="1058"/>
      <c r="M316" s="1636">
        <v>0</v>
      </c>
      <c r="N316" s="1636"/>
      <c r="O316" s="1636">
        <v>0</v>
      </c>
      <c r="P316" s="1636">
        <v>0</v>
      </c>
      <c r="Q316" s="1636">
        <v>1240.7</v>
      </c>
      <c r="R316" s="1636">
        <v>0</v>
      </c>
      <c r="S316" s="1636">
        <v>0</v>
      </c>
      <c r="U316" s="1656">
        <v>8.2521999999999998E-2</v>
      </c>
      <c r="V316" s="1657">
        <v>0</v>
      </c>
      <c r="W316" s="1657">
        <v>8.2521999999999998E-2</v>
      </c>
      <c r="X316" s="1657">
        <v>0</v>
      </c>
      <c r="Y316" s="1658">
        <v>0</v>
      </c>
    </row>
    <row r="317" spans="3:25" ht="13.95" customHeight="1" x14ac:dyDescent="0.3">
      <c r="C317" s="1057">
        <v>303</v>
      </c>
      <c r="D317" s="1058" t="s">
        <v>1225</v>
      </c>
      <c r="E317" s="1059">
        <v>7</v>
      </c>
      <c r="F317" s="1297" t="s">
        <v>1176</v>
      </c>
      <c r="G317" s="1057" t="s">
        <v>1036</v>
      </c>
      <c r="H317" s="1058"/>
      <c r="I317" s="1057">
        <v>1</v>
      </c>
      <c r="J317" s="1058"/>
      <c r="K317" s="1058"/>
      <c r="L317" s="1058"/>
      <c r="M317" s="1636">
        <v>0</v>
      </c>
      <c r="N317" s="1636"/>
      <c r="O317" s="1636">
        <v>0</v>
      </c>
      <c r="P317" s="1636">
        <v>0</v>
      </c>
      <c r="Q317" s="1636">
        <v>0</v>
      </c>
      <c r="R317" s="1636">
        <v>0</v>
      </c>
      <c r="S317" s="1636">
        <v>106.7</v>
      </c>
      <c r="U317" s="1656">
        <v>5.45E-3</v>
      </c>
      <c r="V317" s="1657">
        <v>0</v>
      </c>
      <c r="W317" s="1657">
        <v>5.45E-3</v>
      </c>
      <c r="X317" s="1657">
        <v>0</v>
      </c>
      <c r="Y317" s="1658">
        <v>0</v>
      </c>
    </row>
    <row r="318" spans="3:25" ht="13.95" customHeight="1" x14ac:dyDescent="0.3">
      <c r="C318" s="1057">
        <v>304</v>
      </c>
      <c r="D318" s="1058" t="s">
        <v>1225</v>
      </c>
      <c r="E318" s="1059">
        <v>7</v>
      </c>
      <c r="F318" s="1297" t="s">
        <v>1176</v>
      </c>
      <c r="G318" s="1057" t="s">
        <v>1036</v>
      </c>
      <c r="H318" s="1058"/>
      <c r="I318" s="1057">
        <v>1</v>
      </c>
      <c r="J318" s="1058"/>
      <c r="K318" s="1058"/>
      <c r="L318" s="1058"/>
      <c r="M318" s="1636">
        <v>0</v>
      </c>
      <c r="N318" s="1636"/>
      <c r="O318" s="1636">
        <v>0</v>
      </c>
      <c r="P318" s="1636">
        <v>0</v>
      </c>
      <c r="Q318" s="1636">
        <v>0</v>
      </c>
      <c r="R318" s="1636">
        <v>0</v>
      </c>
      <c r="S318" s="1636">
        <v>8640.31</v>
      </c>
      <c r="U318" s="1656">
        <v>0.44089</v>
      </c>
      <c r="V318" s="1657">
        <v>0</v>
      </c>
      <c r="W318" s="1657">
        <v>0.44089</v>
      </c>
      <c r="X318" s="1657">
        <v>0</v>
      </c>
      <c r="Y318" s="1658">
        <v>0</v>
      </c>
    </row>
    <row r="319" spans="3:25" ht="13.95" customHeight="1" x14ac:dyDescent="0.3">
      <c r="C319" s="1057">
        <v>305</v>
      </c>
      <c r="D319" s="1058" t="s">
        <v>1226</v>
      </c>
      <c r="E319" s="1059">
        <v>5</v>
      </c>
      <c r="F319" s="1297" t="s">
        <v>1074</v>
      </c>
      <c r="G319" s="1057" t="s">
        <v>1036</v>
      </c>
      <c r="H319" s="1058"/>
      <c r="I319" s="1057">
        <v>89</v>
      </c>
      <c r="J319" s="1058"/>
      <c r="K319" s="1058"/>
      <c r="L319" s="1058"/>
      <c r="M319" s="1636">
        <v>4509.8999999999996</v>
      </c>
      <c r="N319" s="1636"/>
      <c r="O319" s="1636">
        <v>3948.4</v>
      </c>
      <c r="P319" s="1636">
        <v>0</v>
      </c>
      <c r="Q319" s="1636">
        <v>0</v>
      </c>
      <c r="R319" s="1636">
        <v>0</v>
      </c>
      <c r="S319" s="1636">
        <v>0</v>
      </c>
      <c r="U319" s="1656">
        <v>0.21299025999999999</v>
      </c>
      <c r="V319" s="1657">
        <v>0</v>
      </c>
      <c r="W319" s="1657">
        <v>0.21299025999999999</v>
      </c>
      <c r="X319" s="1657">
        <v>3.11632451999223E-3</v>
      </c>
      <c r="Y319" s="1658">
        <v>66</v>
      </c>
    </row>
    <row r="320" spans="3:25" ht="15" customHeight="1" x14ac:dyDescent="0.3">
      <c r="C320" s="1057">
        <v>306</v>
      </c>
      <c r="D320" s="1058" t="s">
        <v>1226</v>
      </c>
      <c r="E320" s="1059">
        <v>5</v>
      </c>
      <c r="F320" s="1297" t="s">
        <v>1074</v>
      </c>
      <c r="G320" s="1057" t="s">
        <v>1036</v>
      </c>
      <c r="H320" s="1058"/>
      <c r="I320" s="1057">
        <v>1</v>
      </c>
      <c r="J320" s="1058"/>
      <c r="K320" s="1058"/>
      <c r="L320" s="1058"/>
      <c r="M320" s="1636">
        <v>0</v>
      </c>
      <c r="N320" s="1636"/>
      <c r="O320" s="1636">
        <v>0</v>
      </c>
      <c r="P320" s="1636">
        <v>0</v>
      </c>
      <c r="Q320" s="1636">
        <v>43.1</v>
      </c>
      <c r="R320" s="1636">
        <v>0</v>
      </c>
      <c r="S320" s="1636">
        <v>0</v>
      </c>
      <c r="U320" s="1656">
        <v>2.1940000000000002E-3</v>
      </c>
      <c r="V320" s="1657">
        <v>0</v>
      </c>
      <c r="W320" s="1657">
        <v>2.1940000000000002E-3</v>
      </c>
      <c r="X320" s="1657">
        <v>0</v>
      </c>
      <c r="Y320" s="1658">
        <v>0</v>
      </c>
    </row>
    <row r="321" spans="3:25" ht="15" customHeight="1" x14ac:dyDescent="0.3">
      <c r="C321" s="1057">
        <v>307</v>
      </c>
      <c r="D321" s="1058" t="s">
        <v>1226</v>
      </c>
      <c r="E321" s="1059">
        <v>5</v>
      </c>
      <c r="F321" s="1297" t="s">
        <v>1074</v>
      </c>
      <c r="G321" s="1057" t="s">
        <v>1036</v>
      </c>
      <c r="H321" s="1058"/>
      <c r="I321" s="1057">
        <v>1</v>
      </c>
      <c r="J321" s="1058"/>
      <c r="K321" s="1058"/>
      <c r="L321" s="1058"/>
      <c r="M321" s="1636">
        <v>0</v>
      </c>
      <c r="N321" s="1636"/>
      <c r="O321" s="1636">
        <v>0</v>
      </c>
      <c r="P321" s="1636">
        <v>0</v>
      </c>
      <c r="Q321" s="1636">
        <v>19.600000000000001</v>
      </c>
      <c r="R321" s="1636">
        <v>0</v>
      </c>
      <c r="S321" s="1636">
        <v>0</v>
      </c>
      <c r="U321" s="1656">
        <v>2E-3</v>
      </c>
      <c r="V321" s="1657">
        <v>0</v>
      </c>
      <c r="W321" s="1657">
        <v>2E-3</v>
      </c>
      <c r="X321" s="1657">
        <v>0</v>
      </c>
      <c r="Y321" s="1658">
        <v>0</v>
      </c>
    </row>
    <row r="322" spans="3:25" ht="13.95" customHeight="1" x14ac:dyDescent="0.3">
      <c r="C322" s="1057">
        <v>308</v>
      </c>
      <c r="D322" s="1058" t="s">
        <v>1226</v>
      </c>
      <c r="E322" s="1059">
        <v>5</v>
      </c>
      <c r="F322" s="1297" t="s">
        <v>1074</v>
      </c>
      <c r="G322" s="1057" t="s">
        <v>1036</v>
      </c>
      <c r="H322" s="1058"/>
      <c r="I322" s="1629">
        <v>1</v>
      </c>
      <c r="J322" s="1058"/>
      <c r="K322" s="1058"/>
      <c r="L322" s="1058"/>
      <c r="M322" s="1636">
        <v>0</v>
      </c>
      <c r="N322" s="1636"/>
      <c r="O322" s="1636">
        <v>0</v>
      </c>
      <c r="P322" s="1636">
        <v>0</v>
      </c>
      <c r="Q322" s="1636">
        <v>71.5</v>
      </c>
      <c r="R322" s="1636">
        <v>0</v>
      </c>
      <c r="S322" s="1636">
        <v>0</v>
      </c>
      <c r="U322" s="1656">
        <v>4.313E-3</v>
      </c>
      <c r="V322" s="1657">
        <v>0</v>
      </c>
      <c r="W322" s="1657">
        <v>4.313E-3</v>
      </c>
      <c r="X322" s="1657">
        <v>0</v>
      </c>
      <c r="Y322" s="1658">
        <v>0</v>
      </c>
    </row>
    <row r="323" spans="3:25" ht="13.95" customHeight="1" x14ac:dyDescent="0.3">
      <c r="C323" s="1057">
        <v>309</v>
      </c>
      <c r="D323" s="1058" t="s">
        <v>1226</v>
      </c>
      <c r="E323" s="1059">
        <v>5</v>
      </c>
      <c r="F323" s="1297" t="s">
        <v>1074</v>
      </c>
      <c r="G323" s="1057" t="s">
        <v>1036</v>
      </c>
      <c r="H323" s="1058"/>
      <c r="I323" s="1629">
        <v>1</v>
      </c>
      <c r="J323" s="1058"/>
      <c r="K323" s="1058"/>
      <c r="L323" s="1058"/>
      <c r="M323" s="1636">
        <v>0</v>
      </c>
      <c r="N323" s="1636"/>
      <c r="O323" s="1636">
        <v>0</v>
      </c>
      <c r="P323" s="1636">
        <v>0</v>
      </c>
      <c r="Q323" s="1636">
        <v>18.34</v>
      </c>
      <c r="R323" s="1636">
        <v>0</v>
      </c>
      <c r="S323" s="1636">
        <v>0</v>
      </c>
      <c r="U323" s="1656">
        <v>1.8140000000000001E-3</v>
      </c>
      <c r="V323" s="1657">
        <v>0</v>
      </c>
      <c r="W323" s="1657">
        <v>1.8140000000000001E-3</v>
      </c>
      <c r="X323" s="1657">
        <v>0</v>
      </c>
      <c r="Y323" s="1658">
        <v>0</v>
      </c>
    </row>
    <row r="324" spans="3:25" ht="13.95" customHeight="1" x14ac:dyDescent="0.3">
      <c r="C324" s="1057">
        <v>310</v>
      </c>
      <c r="D324" s="1058" t="s">
        <v>1226</v>
      </c>
      <c r="E324" s="1059">
        <v>5</v>
      </c>
      <c r="F324" s="1297" t="s">
        <v>1074</v>
      </c>
      <c r="G324" s="1057" t="s">
        <v>1036</v>
      </c>
      <c r="H324" s="1058"/>
      <c r="I324" s="1057">
        <v>0</v>
      </c>
      <c r="J324" s="1058"/>
      <c r="K324" s="1058"/>
      <c r="L324" s="1058"/>
      <c r="M324" s="1636">
        <v>0</v>
      </c>
      <c r="N324" s="1636"/>
      <c r="O324" s="1636">
        <v>0</v>
      </c>
      <c r="P324" s="1636">
        <v>0</v>
      </c>
      <c r="Q324" s="1636">
        <v>27.25</v>
      </c>
      <c r="R324" s="1636">
        <v>0</v>
      </c>
      <c r="S324" s="1636">
        <v>0</v>
      </c>
      <c r="U324" s="1656">
        <v>2.6949999999999999E-3</v>
      </c>
      <c r="V324" s="1657">
        <v>0</v>
      </c>
      <c r="W324" s="1657">
        <v>2.6949999999999999E-3</v>
      </c>
      <c r="X324" s="1657">
        <v>0</v>
      </c>
      <c r="Y324" s="1658">
        <v>0</v>
      </c>
    </row>
    <row r="325" spans="3:25" ht="13.95" customHeight="1" x14ac:dyDescent="0.3">
      <c r="C325" s="1057">
        <v>311</v>
      </c>
      <c r="D325" s="1058" t="s">
        <v>1226</v>
      </c>
      <c r="E325" s="1059">
        <v>5</v>
      </c>
      <c r="F325" s="1297" t="s">
        <v>1074</v>
      </c>
      <c r="G325" s="1057" t="s">
        <v>1036</v>
      </c>
      <c r="H325" s="1058"/>
      <c r="I325" s="1057">
        <v>1</v>
      </c>
      <c r="J325" s="1058"/>
      <c r="K325" s="1058"/>
      <c r="L325" s="1058"/>
      <c r="M325" s="1636">
        <v>0</v>
      </c>
      <c r="N325" s="1636"/>
      <c r="O325" s="1636">
        <v>0</v>
      </c>
      <c r="P325" s="1636">
        <v>0</v>
      </c>
      <c r="Q325" s="1636">
        <v>63.4</v>
      </c>
      <c r="R325" s="1636">
        <v>0</v>
      </c>
      <c r="S325" s="1636">
        <v>0</v>
      </c>
      <c r="U325" s="1656">
        <v>2.696E-3</v>
      </c>
      <c r="V325" s="1657">
        <v>0</v>
      </c>
      <c r="W325" s="1657">
        <v>2.696E-3</v>
      </c>
      <c r="X325" s="1657">
        <v>0</v>
      </c>
      <c r="Y325" s="1658">
        <v>0</v>
      </c>
    </row>
    <row r="326" spans="3:25" ht="13.95" customHeight="1" x14ac:dyDescent="0.3">
      <c r="C326" s="1057">
        <v>312</v>
      </c>
      <c r="D326" s="1058" t="s">
        <v>1226</v>
      </c>
      <c r="E326" s="1059">
        <v>5</v>
      </c>
      <c r="F326" s="1297" t="s">
        <v>1074</v>
      </c>
      <c r="G326" s="1057" t="s">
        <v>1036</v>
      </c>
      <c r="H326" s="1058"/>
      <c r="I326" s="1057">
        <v>1</v>
      </c>
      <c r="J326" s="1058"/>
      <c r="K326" s="1058"/>
      <c r="L326" s="1058"/>
      <c r="M326" s="1636">
        <v>0</v>
      </c>
      <c r="N326" s="1636"/>
      <c r="O326" s="1636">
        <v>0</v>
      </c>
      <c r="P326" s="1636">
        <v>0</v>
      </c>
      <c r="Q326" s="1636">
        <v>43.6</v>
      </c>
      <c r="R326" s="1636">
        <v>0</v>
      </c>
      <c r="S326" s="1636">
        <v>0</v>
      </c>
      <c r="U326" s="1656">
        <v>1.5920000000000001E-3</v>
      </c>
      <c r="V326" s="1657">
        <v>0</v>
      </c>
      <c r="W326" s="1657">
        <v>1.5920000000000001E-3</v>
      </c>
      <c r="X326" s="1657">
        <v>0</v>
      </c>
      <c r="Y326" s="1658">
        <v>0</v>
      </c>
    </row>
    <row r="327" spans="3:25" ht="13.95" customHeight="1" x14ac:dyDescent="0.3">
      <c r="C327" s="1057">
        <v>313</v>
      </c>
      <c r="D327" s="1058" t="s">
        <v>1226</v>
      </c>
      <c r="E327" s="1059">
        <v>5</v>
      </c>
      <c r="F327" s="1297" t="s">
        <v>1074</v>
      </c>
      <c r="G327" s="1057" t="s">
        <v>1036</v>
      </c>
      <c r="H327" s="1058"/>
      <c r="I327" s="1629">
        <v>0</v>
      </c>
      <c r="J327" s="1058"/>
      <c r="K327" s="1058"/>
      <c r="L327" s="1058"/>
      <c r="M327" s="1636">
        <v>0</v>
      </c>
      <c r="N327" s="1636"/>
      <c r="O327" s="1636">
        <v>0</v>
      </c>
      <c r="P327" s="1636">
        <v>0</v>
      </c>
      <c r="Q327" s="1636">
        <v>60.64</v>
      </c>
      <c r="R327" s="1636">
        <v>0</v>
      </c>
      <c r="S327" s="1636">
        <v>0</v>
      </c>
      <c r="U327" s="1656">
        <v>5.9979999999999999E-3</v>
      </c>
      <c r="V327" s="1657">
        <v>0</v>
      </c>
      <c r="W327" s="1657">
        <v>5.9979999999999999E-3</v>
      </c>
      <c r="X327" s="1657">
        <v>0</v>
      </c>
      <c r="Y327" s="1658">
        <v>0</v>
      </c>
    </row>
    <row r="328" spans="3:25" ht="13.95" customHeight="1" x14ac:dyDescent="0.3">
      <c r="C328" s="1057">
        <v>314</v>
      </c>
      <c r="D328" s="1058" t="s">
        <v>1226</v>
      </c>
      <c r="E328" s="1059">
        <v>5</v>
      </c>
      <c r="F328" s="1297" t="s">
        <v>1074</v>
      </c>
      <c r="G328" s="1057" t="s">
        <v>1036</v>
      </c>
      <c r="H328" s="1058"/>
      <c r="I328" s="1057">
        <v>1</v>
      </c>
      <c r="J328" s="1058"/>
      <c r="K328" s="1058"/>
      <c r="L328" s="1058"/>
      <c r="M328" s="1636">
        <v>0</v>
      </c>
      <c r="N328" s="1636"/>
      <c r="O328" s="1636">
        <v>0</v>
      </c>
      <c r="P328" s="1636">
        <v>0</v>
      </c>
      <c r="Q328" s="1636">
        <v>48.2</v>
      </c>
      <c r="R328" s="1636">
        <v>0</v>
      </c>
      <c r="S328" s="1636">
        <v>0</v>
      </c>
      <c r="U328" s="1656">
        <v>3.1700000000000001E-3</v>
      </c>
      <c r="V328" s="1657">
        <v>0</v>
      </c>
      <c r="W328" s="1657">
        <v>3.1700000000000001E-3</v>
      </c>
      <c r="X328" s="1657">
        <v>0</v>
      </c>
      <c r="Y328" s="1658">
        <v>0</v>
      </c>
    </row>
    <row r="329" spans="3:25" ht="13.95" customHeight="1" x14ac:dyDescent="0.3">
      <c r="C329" s="1057">
        <v>315</v>
      </c>
      <c r="D329" s="1058" t="s">
        <v>1226</v>
      </c>
      <c r="E329" s="1059">
        <v>5</v>
      </c>
      <c r="F329" s="1297" t="s">
        <v>1074</v>
      </c>
      <c r="G329" s="1057" t="s">
        <v>1036</v>
      </c>
      <c r="H329" s="1058"/>
      <c r="I329" s="1057">
        <v>0</v>
      </c>
      <c r="J329" s="1058"/>
      <c r="K329" s="1058"/>
      <c r="L329" s="1058"/>
      <c r="M329" s="1636">
        <v>0</v>
      </c>
      <c r="N329" s="1636"/>
      <c r="O329" s="1636">
        <v>0</v>
      </c>
      <c r="P329" s="1636">
        <v>0</v>
      </c>
      <c r="Q329" s="1636">
        <v>48.2</v>
      </c>
      <c r="R329" s="1636">
        <v>0</v>
      </c>
      <c r="S329" s="1636">
        <v>0</v>
      </c>
      <c r="U329" s="1656">
        <v>3.6779999999999998E-3</v>
      </c>
      <c r="V329" s="1657">
        <v>0</v>
      </c>
      <c r="W329" s="1657">
        <v>3.6779999999999998E-3</v>
      </c>
      <c r="X329" s="1657">
        <v>0</v>
      </c>
      <c r="Y329" s="1658">
        <v>0</v>
      </c>
    </row>
    <row r="330" spans="3:25" ht="13.95" customHeight="1" x14ac:dyDescent="0.3">
      <c r="C330" s="1057">
        <v>316</v>
      </c>
      <c r="D330" s="1058" t="s">
        <v>1226</v>
      </c>
      <c r="E330" s="1059">
        <v>5</v>
      </c>
      <c r="F330" s="1297" t="s">
        <v>1074</v>
      </c>
      <c r="G330" s="1057" t="s">
        <v>1036</v>
      </c>
      <c r="H330" s="1058"/>
      <c r="I330" s="1057">
        <v>0</v>
      </c>
      <c r="J330" s="1058"/>
      <c r="K330" s="1058"/>
      <c r="L330" s="1058"/>
      <c r="M330" s="1636">
        <v>0</v>
      </c>
      <c r="N330" s="1636"/>
      <c r="O330" s="1636">
        <v>0</v>
      </c>
      <c r="P330" s="1636">
        <v>0</v>
      </c>
      <c r="Q330" s="1636">
        <v>44.4</v>
      </c>
      <c r="R330" s="1636">
        <v>0</v>
      </c>
      <c r="S330" s="1636">
        <v>0</v>
      </c>
      <c r="U330" s="1656">
        <v>3.6779999999999998E-3</v>
      </c>
      <c r="V330" s="1657">
        <v>0</v>
      </c>
      <c r="W330" s="1657">
        <v>3.6779999999999998E-3</v>
      </c>
      <c r="X330" s="1657">
        <v>0</v>
      </c>
      <c r="Y330" s="1658">
        <v>0</v>
      </c>
    </row>
    <row r="331" spans="3:25" ht="13.95" customHeight="1" x14ac:dyDescent="0.3">
      <c r="C331" s="1057">
        <v>317</v>
      </c>
      <c r="D331" s="1058" t="s">
        <v>1226</v>
      </c>
      <c r="E331" s="1059">
        <v>5</v>
      </c>
      <c r="F331" s="1297" t="s">
        <v>1074</v>
      </c>
      <c r="G331" s="1057" t="s">
        <v>1036</v>
      </c>
      <c r="H331" s="1058"/>
      <c r="I331" s="1057">
        <v>1</v>
      </c>
      <c r="J331" s="1058"/>
      <c r="K331" s="1058"/>
      <c r="L331" s="1058"/>
      <c r="M331" s="1636">
        <v>0</v>
      </c>
      <c r="N331" s="1636"/>
      <c r="O331" s="1636">
        <v>0</v>
      </c>
      <c r="P331" s="1636">
        <v>0</v>
      </c>
      <c r="Q331" s="1636">
        <v>19.7</v>
      </c>
      <c r="R331" s="1636">
        <v>0</v>
      </c>
      <c r="S331" s="1636">
        <v>0</v>
      </c>
      <c r="U331" s="1656">
        <v>1.01E-3</v>
      </c>
      <c r="V331" s="1657">
        <v>0</v>
      </c>
      <c r="W331" s="1657">
        <v>1.01E-3</v>
      </c>
      <c r="X331" s="1657">
        <v>0</v>
      </c>
      <c r="Y331" s="1658">
        <v>0</v>
      </c>
    </row>
    <row r="332" spans="3:25" ht="13.95" customHeight="1" x14ac:dyDescent="0.3">
      <c r="C332" s="1057">
        <v>318</v>
      </c>
      <c r="D332" s="1058" t="s">
        <v>1226</v>
      </c>
      <c r="E332" s="1059">
        <v>5</v>
      </c>
      <c r="F332" s="1297" t="s">
        <v>1074</v>
      </c>
      <c r="G332" s="1057" t="s">
        <v>1036</v>
      </c>
      <c r="H332" s="1058"/>
      <c r="I332" s="1057">
        <v>1</v>
      </c>
      <c r="J332" s="1058"/>
      <c r="K332" s="1058"/>
      <c r="L332" s="1058"/>
      <c r="M332" s="1636">
        <v>0</v>
      </c>
      <c r="N332" s="1636"/>
      <c r="O332" s="1636">
        <v>0</v>
      </c>
      <c r="P332" s="1636">
        <v>0</v>
      </c>
      <c r="Q332" s="1636">
        <v>53.6</v>
      </c>
      <c r="R332" s="1636">
        <v>0</v>
      </c>
      <c r="S332" s="1636">
        <v>0</v>
      </c>
      <c r="U332" s="1656">
        <v>2.7810000000000001E-3</v>
      </c>
      <c r="V332" s="1657">
        <v>0</v>
      </c>
      <c r="W332" s="1657">
        <v>2.7810000000000001E-3</v>
      </c>
      <c r="X332" s="1657">
        <v>0</v>
      </c>
      <c r="Y332" s="1658">
        <v>0</v>
      </c>
    </row>
    <row r="333" spans="3:25" ht="13.95" customHeight="1" x14ac:dyDescent="0.3">
      <c r="C333" s="1057">
        <v>319</v>
      </c>
      <c r="D333" s="1058" t="s">
        <v>1226</v>
      </c>
      <c r="E333" s="1059">
        <v>1</v>
      </c>
      <c r="F333" s="1297" t="s">
        <v>1074</v>
      </c>
      <c r="G333" s="1057" t="s">
        <v>1036</v>
      </c>
      <c r="H333" s="1058"/>
      <c r="I333" s="1057">
        <v>0</v>
      </c>
      <c r="J333" s="1058"/>
      <c r="K333" s="1058"/>
      <c r="L333" s="1058"/>
      <c r="M333" s="1636">
        <v>0</v>
      </c>
      <c r="N333" s="1636"/>
      <c r="O333" s="1636">
        <v>0</v>
      </c>
      <c r="P333" s="1636">
        <v>0</v>
      </c>
      <c r="Q333" s="1636">
        <v>0</v>
      </c>
      <c r="R333" s="1636">
        <v>0</v>
      </c>
      <c r="S333" s="1636">
        <v>53.67</v>
      </c>
      <c r="U333" s="1656">
        <v>5.3080000000000002E-3</v>
      </c>
      <c r="V333" s="1657">
        <v>0</v>
      </c>
      <c r="W333" s="1657">
        <v>5.3080000000000002E-3</v>
      </c>
      <c r="X333" s="1657">
        <v>0</v>
      </c>
      <c r="Y333" s="1658">
        <v>0</v>
      </c>
    </row>
    <row r="334" spans="3:25" ht="13.95" customHeight="1" x14ac:dyDescent="0.3">
      <c r="C334" s="1057">
        <v>320</v>
      </c>
      <c r="D334" s="1058" t="s">
        <v>1227</v>
      </c>
      <c r="E334" s="1059">
        <v>5</v>
      </c>
      <c r="F334" s="1297" t="s">
        <v>1124</v>
      </c>
      <c r="G334" s="1057" t="s">
        <v>1036</v>
      </c>
      <c r="H334" s="1058"/>
      <c r="I334" s="1057">
        <v>0</v>
      </c>
      <c r="J334" s="1058"/>
      <c r="K334" s="1058"/>
      <c r="L334" s="1058"/>
      <c r="M334" s="1636">
        <v>6604.7</v>
      </c>
      <c r="N334" s="1636"/>
      <c r="O334" s="1636">
        <v>6474.7</v>
      </c>
      <c r="P334" s="1636">
        <v>0</v>
      </c>
      <c r="Q334" s="1636">
        <v>0</v>
      </c>
      <c r="R334" s="1636">
        <v>6474.7</v>
      </c>
      <c r="S334" s="1636">
        <v>0</v>
      </c>
      <c r="U334" s="1656">
        <v>0.32769999999999999</v>
      </c>
      <c r="V334" s="1657">
        <v>0</v>
      </c>
      <c r="W334" s="1657">
        <v>0.32769999999999999</v>
      </c>
      <c r="X334" s="1657">
        <v>0</v>
      </c>
      <c r="Y334" s="1658">
        <v>0</v>
      </c>
    </row>
    <row r="335" spans="3:25" ht="13.95" customHeight="1" x14ac:dyDescent="0.3">
      <c r="C335" s="1057">
        <v>321</v>
      </c>
      <c r="D335" s="1058" t="s">
        <v>1227</v>
      </c>
      <c r="E335" s="1059">
        <v>5</v>
      </c>
      <c r="F335" s="1297" t="s">
        <v>1124</v>
      </c>
      <c r="G335" s="1057" t="s">
        <v>1036</v>
      </c>
      <c r="H335" s="1058"/>
      <c r="I335" s="1057">
        <v>0</v>
      </c>
      <c r="J335" s="1058"/>
      <c r="K335" s="1058"/>
      <c r="L335" s="1058"/>
      <c r="M335" s="1636">
        <v>0</v>
      </c>
      <c r="N335" s="1636"/>
      <c r="O335" s="1636">
        <v>0</v>
      </c>
      <c r="P335" s="1636">
        <v>0</v>
      </c>
      <c r="Q335" s="1636">
        <v>130</v>
      </c>
      <c r="R335" s="1636">
        <v>0</v>
      </c>
      <c r="S335" s="1636">
        <v>0</v>
      </c>
      <c r="U335" s="1656">
        <v>7.1999999999999998E-3</v>
      </c>
      <c r="V335" s="1657">
        <v>0</v>
      </c>
      <c r="W335" s="1657">
        <v>7.1999999999999998E-3</v>
      </c>
      <c r="X335" s="1657">
        <v>0</v>
      </c>
      <c r="Y335" s="1658">
        <v>0</v>
      </c>
    </row>
    <row r="336" spans="3:25" ht="13.95" customHeight="1" x14ac:dyDescent="0.3">
      <c r="C336" s="1057">
        <v>322</v>
      </c>
      <c r="D336" s="1058" t="s">
        <v>1228</v>
      </c>
      <c r="E336" s="1059">
        <v>5</v>
      </c>
      <c r="F336" s="1297" t="s">
        <v>1130</v>
      </c>
      <c r="G336" s="1057" t="s">
        <v>1036</v>
      </c>
      <c r="H336" s="1058"/>
      <c r="I336" s="1057">
        <v>287</v>
      </c>
      <c r="J336" s="1058"/>
      <c r="K336" s="1058"/>
      <c r="L336" s="1058"/>
      <c r="M336" s="1636">
        <v>5425.5</v>
      </c>
      <c r="N336" s="1636"/>
      <c r="O336" s="1636">
        <v>5333.8</v>
      </c>
      <c r="P336" s="1636">
        <v>0</v>
      </c>
      <c r="Q336" s="1636">
        <v>0</v>
      </c>
      <c r="R336" s="1636">
        <v>0</v>
      </c>
      <c r="S336" s="1636">
        <v>0</v>
      </c>
      <c r="U336" s="1656">
        <v>0.29910830999999999</v>
      </c>
      <c r="V336" s="1657">
        <v>0</v>
      </c>
      <c r="W336" s="1657">
        <v>0.29910830999999999</v>
      </c>
      <c r="X336" s="1657">
        <v>0</v>
      </c>
      <c r="Y336" s="1658">
        <v>0</v>
      </c>
    </row>
    <row r="337" spans="3:25" ht="13.95" customHeight="1" x14ac:dyDescent="0.3">
      <c r="C337" s="1057">
        <v>323</v>
      </c>
      <c r="D337" s="1058" t="s">
        <v>1228</v>
      </c>
      <c r="E337" s="1059">
        <v>5</v>
      </c>
      <c r="F337" s="1297" t="s">
        <v>1130</v>
      </c>
      <c r="G337" s="1057" t="s">
        <v>1036</v>
      </c>
      <c r="H337" s="1058"/>
      <c r="I337" s="1057">
        <v>1</v>
      </c>
      <c r="J337" s="1058"/>
      <c r="K337" s="1058"/>
      <c r="L337" s="1058"/>
      <c r="M337" s="1636">
        <v>0</v>
      </c>
      <c r="N337" s="1636"/>
      <c r="O337" s="1636">
        <v>0</v>
      </c>
      <c r="P337" s="1636">
        <v>0</v>
      </c>
      <c r="Q337" s="1636">
        <v>13.6</v>
      </c>
      <c r="R337" s="1636">
        <v>0</v>
      </c>
      <c r="S337" s="1636">
        <v>0</v>
      </c>
      <c r="U337" s="1656">
        <v>1.4959999999999999E-3</v>
      </c>
      <c r="V337" s="1657">
        <v>0</v>
      </c>
      <c r="W337" s="1657">
        <v>1.4959999999999999E-3</v>
      </c>
      <c r="X337" s="1657">
        <v>0</v>
      </c>
      <c r="Y337" s="1658">
        <v>0</v>
      </c>
    </row>
    <row r="338" spans="3:25" ht="13.95" customHeight="1" x14ac:dyDescent="0.3">
      <c r="C338" s="1057">
        <v>324</v>
      </c>
      <c r="D338" s="1058" t="s">
        <v>1228</v>
      </c>
      <c r="E338" s="1059">
        <v>5</v>
      </c>
      <c r="F338" s="1297" t="s">
        <v>1130</v>
      </c>
      <c r="G338" s="1057" t="s">
        <v>1036</v>
      </c>
      <c r="H338" s="1058"/>
      <c r="I338" s="1057">
        <v>1</v>
      </c>
      <c r="J338" s="1058"/>
      <c r="K338" s="1058"/>
      <c r="L338" s="1058"/>
      <c r="M338" s="1636">
        <v>0</v>
      </c>
      <c r="N338" s="1636"/>
      <c r="O338" s="1636">
        <v>0</v>
      </c>
      <c r="P338" s="1636">
        <v>0</v>
      </c>
      <c r="Q338" s="1636">
        <v>48.1</v>
      </c>
      <c r="R338" s="1636">
        <v>0</v>
      </c>
      <c r="S338" s="1636">
        <v>0</v>
      </c>
      <c r="U338" s="1656">
        <v>3.0620000000000001E-3</v>
      </c>
      <c r="V338" s="1657">
        <v>0</v>
      </c>
      <c r="W338" s="1657">
        <v>3.0620000000000001E-3</v>
      </c>
      <c r="X338" s="1657">
        <v>0</v>
      </c>
      <c r="Y338" s="1658">
        <v>0</v>
      </c>
    </row>
    <row r="339" spans="3:25" ht="13.95" customHeight="1" x14ac:dyDescent="0.3">
      <c r="C339" s="1057">
        <v>325</v>
      </c>
      <c r="D339" s="1058" t="s">
        <v>1228</v>
      </c>
      <c r="E339" s="1059">
        <v>5</v>
      </c>
      <c r="F339" s="1297" t="s">
        <v>1130</v>
      </c>
      <c r="G339" s="1057" t="s">
        <v>1036</v>
      </c>
      <c r="H339" s="1058"/>
      <c r="I339" s="1057">
        <v>0</v>
      </c>
      <c r="J339" s="1058"/>
      <c r="K339" s="1058"/>
      <c r="L339" s="1058"/>
      <c r="M339" s="1636">
        <v>0</v>
      </c>
      <c r="N339" s="1636"/>
      <c r="O339" s="1636">
        <v>0</v>
      </c>
      <c r="P339" s="1636">
        <v>0</v>
      </c>
      <c r="Q339" s="1636">
        <v>30</v>
      </c>
      <c r="R339" s="1636">
        <v>0</v>
      </c>
      <c r="S339" s="1636">
        <v>0</v>
      </c>
      <c r="U339" s="1656">
        <v>4.5649999999999996E-3</v>
      </c>
      <c r="V339" s="1657">
        <v>0</v>
      </c>
      <c r="W339" s="1657">
        <v>4.5649999999999996E-3</v>
      </c>
      <c r="X339" s="1657">
        <v>0</v>
      </c>
      <c r="Y339" s="1658">
        <v>0</v>
      </c>
    </row>
    <row r="340" spans="3:25" ht="13.95" customHeight="1" x14ac:dyDescent="0.3">
      <c r="C340" s="1057">
        <v>326</v>
      </c>
      <c r="D340" s="1058" t="s">
        <v>1228</v>
      </c>
      <c r="E340" s="1059">
        <v>1</v>
      </c>
      <c r="F340" s="1297" t="s">
        <v>1130</v>
      </c>
      <c r="G340" s="1057" t="s">
        <v>1036</v>
      </c>
      <c r="H340" s="1058"/>
      <c r="I340" s="1057">
        <v>1</v>
      </c>
      <c r="J340" s="1058"/>
      <c r="K340" s="1058"/>
      <c r="L340" s="1058"/>
      <c r="M340" s="1636">
        <v>0</v>
      </c>
      <c r="N340" s="1636"/>
      <c r="O340" s="1636">
        <v>0</v>
      </c>
      <c r="P340" s="1636">
        <v>0</v>
      </c>
      <c r="Q340" s="1636">
        <v>0</v>
      </c>
      <c r="R340" s="1636">
        <v>0</v>
      </c>
      <c r="S340" s="1636">
        <v>84.7</v>
      </c>
      <c r="U340" s="1656">
        <v>6.5139999999999998E-3</v>
      </c>
      <c r="V340" s="1657">
        <v>0</v>
      </c>
      <c r="W340" s="1657">
        <v>6.5139999999999998E-3</v>
      </c>
      <c r="X340" s="1657">
        <v>0</v>
      </c>
      <c r="Y340" s="1658">
        <v>0</v>
      </c>
    </row>
    <row r="341" spans="3:25" ht="13.95" customHeight="1" x14ac:dyDescent="0.3">
      <c r="C341" s="1057">
        <v>327</v>
      </c>
      <c r="D341" s="1058" t="s">
        <v>1228</v>
      </c>
      <c r="E341" s="1059">
        <v>1</v>
      </c>
      <c r="F341" s="1297" t="s">
        <v>1130</v>
      </c>
      <c r="G341" s="1057" t="s">
        <v>1036</v>
      </c>
      <c r="H341" s="1058"/>
      <c r="I341" s="1057">
        <v>1</v>
      </c>
      <c r="J341" s="1058"/>
      <c r="K341" s="1058"/>
      <c r="L341" s="1058"/>
      <c r="M341" s="1636">
        <v>0</v>
      </c>
      <c r="N341" s="1636"/>
      <c r="O341" s="1636">
        <v>0</v>
      </c>
      <c r="P341" s="1636">
        <v>0</v>
      </c>
      <c r="Q341" s="1636">
        <v>0</v>
      </c>
      <c r="R341" s="1636">
        <v>0</v>
      </c>
      <c r="S341" s="1636">
        <v>31.5</v>
      </c>
      <c r="U341" s="1656">
        <v>2.8370000000000001E-3</v>
      </c>
      <c r="V341" s="1657">
        <v>0</v>
      </c>
      <c r="W341" s="1657">
        <v>2.8370000000000001E-3</v>
      </c>
      <c r="X341" s="1657">
        <v>0</v>
      </c>
      <c r="Y341" s="1658">
        <v>0</v>
      </c>
    </row>
    <row r="342" spans="3:25" ht="13.95" customHeight="1" x14ac:dyDescent="0.3">
      <c r="C342" s="1057">
        <v>328</v>
      </c>
      <c r="D342" s="1058" t="s">
        <v>1229</v>
      </c>
      <c r="E342" s="1059">
        <v>3</v>
      </c>
      <c r="F342" s="1297" t="s">
        <v>1135</v>
      </c>
      <c r="G342" s="1057" t="s">
        <v>1036</v>
      </c>
      <c r="H342" s="1058"/>
      <c r="I342" s="1629">
        <v>0</v>
      </c>
      <c r="J342" s="1058"/>
      <c r="K342" s="1058"/>
      <c r="L342" s="1058"/>
      <c r="M342" s="1636">
        <v>0</v>
      </c>
      <c r="N342" s="1636"/>
      <c r="O342" s="1636">
        <v>0</v>
      </c>
      <c r="P342" s="1636">
        <v>0</v>
      </c>
      <c r="Q342" s="1636">
        <v>0</v>
      </c>
      <c r="R342" s="1636">
        <v>0</v>
      </c>
      <c r="S342" s="1636">
        <v>2017.2</v>
      </c>
      <c r="U342" s="1656">
        <v>0.254</v>
      </c>
      <c r="V342" s="1657">
        <v>0</v>
      </c>
      <c r="W342" s="1657">
        <v>0.254</v>
      </c>
      <c r="X342" s="1657">
        <v>0</v>
      </c>
      <c r="Y342" s="1658">
        <v>0</v>
      </c>
    </row>
    <row r="343" spans="3:25" ht="13.95" customHeight="1" x14ac:dyDescent="0.3">
      <c r="C343" s="1057">
        <v>329</v>
      </c>
      <c r="D343" s="1058" t="s">
        <v>1230</v>
      </c>
      <c r="E343" s="1059">
        <v>9</v>
      </c>
      <c r="F343" s="1297" t="s">
        <v>1231</v>
      </c>
      <c r="G343" s="1057" t="s">
        <v>1036</v>
      </c>
      <c r="H343" s="1058"/>
      <c r="I343" s="1057">
        <v>144</v>
      </c>
      <c r="J343" s="1058"/>
      <c r="K343" s="1058"/>
      <c r="L343" s="1058"/>
      <c r="M343" s="1636">
        <v>7697.7</v>
      </c>
      <c r="N343" s="1636"/>
      <c r="O343" s="1636">
        <v>7697.7</v>
      </c>
      <c r="P343" s="1636">
        <v>0</v>
      </c>
      <c r="Q343" s="1636">
        <v>0</v>
      </c>
      <c r="R343" s="1636">
        <v>0</v>
      </c>
      <c r="S343" s="1636">
        <v>0</v>
      </c>
      <c r="U343" s="1656">
        <v>0.50354566000000001</v>
      </c>
      <c r="V343" s="1657">
        <v>0</v>
      </c>
      <c r="W343" s="1657">
        <v>0.50354566000000001</v>
      </c>
      <c r="X343" s="1657">
        <v>4.5558968988603364E-2</v>
      </c>
      <c r="Y343" s="1658">
        <v>861</v>
      </c>
    </row>
    <row r="344" spans="3:25" ht="13.95" customHeight="1" x14ac:dyDescent="0.3">
      <c r="C344" s="1057">
        <v>330</v>
      </c>
      <c r="D344" s="1058" t="s">
        <v>1232</v>
      </c>
      <c r="E344" s="1059">
        <v>9</v>
      </c>
      <c r="F344" s="1297" t="s">
        <v>1050</v>
      </c>
      <c r="G344" s="1057" t="s">
        <v>1036</v>
      </c>
      <c r="H344" s="1058"/>
      <c r="I344" s="1057">
        <v>162</v>
      </c>
      <c r="J344" s="1058"/>
      <c r="K344" s="1058"/>
      <c r="L344" s="1058"/>
      <c r="M344" s="1636">
        <v>5891.8</v>
      </c>
      <c r="N344" s="1636"/>
      <c r="O344" s="1636">
        <v>5891.8</v>
      </c>
      <c r="P344" s="1636">
        <v>0</v>
      </c>
      <c r="Q344" s="1636">
        <v>0</v>
      </c>
      <c r="R344" s="1636">
        <v>0</v>
      </c>
      <c r="S344" s="1636">
        <v>0</v>
      </c>
      <c r="U344" s="1656">
        <v>0.35912998000000002</v>
      </c>
      <c r="V344" s="1657">
        <v>0</v>
      </c>
      <c r="W344" s="1657">
        <v>0.35912998000000002</v>
      </c>
      <c r="X344" s="1657">
        <v>1.7150977915165722E-2</v>
      </c>
      <c r="Y344" s="1658">
        <v>330</v>
      </c>
    </row>
    <row r="345" spans="3:25" ht="13.95" customHeight="1" x14ac:dyDescent="0.3">
      <c r="C345" s="1057">
        <v>331</v>
      </c>
      <c r="D345" s="1058" t="s">
        <v>1233</v>
      </c>
      <c r="E345" s="1059">
        <v>3</v>
      </c>
      <c r="F345" s="1297" t="s">
        <v>1234</v>
      </c>
      <c r="G345" s="1057" t="s">
        <v>1036</v>
      </c>
      <c r="H345" s="1058"/>
      <c r="I345" s="1057">
        <v>1</v>
      </c>
      <c r="J345" s="1058"/>
      <c r="K345" s="1058"/>
      <c r="L345" s="1058"/>
      <c r="M345" s="1636">
        <v>0</v>
      </c>
      <c r="N345" s="1636"/>
      <c r="O345" s="1636">
        <v>0</v>
      </c>
      <c r="P345" s="1636">
        <v>0</v>
      </c>
      <c r="Q345" s="1636">
        <v>0</v>
      </c>
      <c r="R345" s="1636">
        <v>0</v>
      </c>
      <c r="S345" s="1636">
        <v>601</v>
      </c>
      <c r="U345" s="1656">
        <v>3.5000000000000003E-2</v>
      </c>
      <c r="V345" s="1657">
        <v>0</v>
      </c>
      <c r="W345" s="1657">
        <v>3.5000000000000003E-2</v>
      </c>
      <c r="X345" s="1657">
        <v>0</v>
      </c>
      <c r="Y345" s="1658">
        <v>0</v>
      </c>
    </row>
    <row r="346" spans="3:25" ht="13.95" customHeight="1" x14ac:dyDescent="0.3">
      <c r="C346" s="1057">
        <v>332</v>
      </c>
      <c r="D346" s="1058" t="s">
        <v>1235</v>
      </c>
      <c r="E346" s="1059">
        <v>9</v>
      </c>
      <c r="F346" s="1297" t="s">
        <v>1042</v>
      </c>
      <c r="G346" s="1057" t="s">
        <v>1036</v>
      </c>
      <c r="H346" s="1058"/>
      <c r="I346" s="1057">
        <v>180</v>
      </c>
      <c r="J346" s="1058"/>
      <c r="K346" s="1058"/>
      <c r="L346" s="1058"/>
      <c r="M346" s="1636">
        <v>10220.1</v>
      </c>
      <c r="N346" s="1636"/>
      <c r="O346" s="1636">
        <v>10189.700000000001</v>
      </c>
      <c r="P346" s="1636">
        <v>0</v>
      </c>
      <c r="Q346" s="1636">
        <v>0</v>
      </c>
      <c r="R346" s="1636">
        <v>0</v>
      </c>
      <c r="S346" s="1636">
        <v>0</v>
      </c>
      <c r="U346" s="1656">
        <v>0.53935471999999995</v>
      </c>
      <c r="V346" s="1657">
        <v>0</v>
      </c>
      <c r="W346" s="1657">
        <v>0.53935471999999995</v>
      </c>
      <c r="X346" s="1657">
        <v>0</v>
      </c>
      <c r="Y346" s="1658">
        <v>0</v>
      </c>
    </row>
    <row r="347" spans="3:25" ht="13.95" customHeight="1" x14ac:dyDescent="0.3">
      <c r="C347" s="1057">
        <v>333</v>
      </c>
      <c r="D347" s="1058" t="s">
        <v>1235</v>
      </c>
      <c r="E347" s="1059">
        <v>9</v>
      </c>
      <c r="F347" s="1297" t="s">
        <v>1042</v>
      </c>
      <c r="G347" s="1057" t="s">
        <v>1036</v>
      </c>
      <c r="H347" s="1058"/>
      <c r="I347" s="1629">
        <v>1</v>
      </c>
      <c r="J347" s="1058"/>
      <c r="K347" s="1058"/>
      <c r="L347" s="1058"/>
      <c r="M347" s="1636">
        <v>0</v>
      </c>
      <c r="N347" s="1636"/>
      <c r="O347" s="1636">
        <v>0</v>
      </c>
      <c r="P347" s="1636">
        <v>0</v>
      </c>
      <c r="Q347" s="1636">
        <v>30.4</v>
      </c>
      <c r="R347" s="1636">
        <v>0</v>
      </c>
      <c r="S347" s="1636">
        <v>0</v>
      </c>
      <c r="U347" s="1656">
        <v>1.243E-3</v>
      </c>
      <c r="V347" s="1657">
        <v>0</v>
      </c>
      <c r="W347" s="1657">
        <v>1.243E-3</v>
      </c>
      <c r="X347" s="1657">
        <v>0</v>
      </c>
      <c r="Y347" s="1658">
        <v>0</v>
      </c>
    </row>
    <row r="348" spans="3:25" ht="13.95" customHeight="1" x14ac:dyDescent="0.3">
      <c r="C348" s="1057">
        <v>334</v>
      </c>
      <c r="D348" s="1058" t="s">
        <v>1235</v>
      </c>
      <c r="E348" s="1059">
        <v>1</v>
      </c>
      <c r="F348" s="1297" t="s">
        <v>1042</v>
      </c>
      <c r="G348" s="1057" t="s">
        <v>1036</v>
      </c>
      <c r="H348" s="1058"/>
      <c r="I348" s="1057">
        <v>1</v>
      </c>
      <c r="J348" s="1058"/>
      <c r="K348" s="1058"/>
      <c r="L348" s="1058"/>
      <c r="M348" s="1636">
        <v>0</v>
      </c>
      <c r="N348" s="1636"/>
      <c r="O348" s="1636">
        <v>0</v>
      </c>
      <c r="P348" s="1636">
        <v>0</v>
      </c>
      <c r="Q348" s="1636">
        <v>0</v>
      </c>
      <c r="R348" s="1636">
        <v>0</v>
      </c>
      <c r="S348" s="1636">
        <v>146.69999999999999</v>
      </c>
      <c r="U348" s="1656">
        <v>3.4259999999999998E-3</v>
      </c>
      <c r="V348" s="1657">
        <v>0</v>
      </c>
      <c r="W348" s="1657">
        <v>3.4259999999999998E-3</v>
      </c>
      <c r="X348" s="1657">
        <v>0</v>
      </c>
      <c r="Y348" s="1658">
        <v>0</v>
      </c>
    </row>
    <row r="349" spans="3:25" ht="13.95" customHeight="1" x14ac:dyDescent="0.3">
      <c r="C349" s="1057">
        <v>335</v>
      </c>
      <c r="D349" s="1058" t="s">
        <v>1235</v>
      </c>
      <c r="E349" s="1059">
        <v>1</v>
      </c>
      <c r="F349" s="1297" t="s">
        <v>1042</v>
      </c>
      <c r="G349" s="1057" t="s">
        <v>1036</v>
      </c>
      <c r="H349" s="1058"/>
      <c r="I349" s="1057">
        <v>0</v>
      </c>
      <c r="J349" s="1058"/>
      <c r="K349" s="1058"/>
      <c r="L349" s="1058"/>
      <c r="M349" s="1636">
        <v>0</v>
      </c>
      <c r="N349" s="1636"/>
      <c r="O349" s="1636">
        <v>0</v>
      </c>
      <c r="P349" s="1636">
        <v>0</v>
      </c>
      <c r="Q349" s="1636">
        <v>0</v>
      </c>
      <c r="R349" s="1636">
        <v>0</v>
      </c>
      <c r="S349" s="1636">
        <v>211</v>
      </c>
      <c r="U349" s="1656">
        <v>2.0986000000000001E-2</v>
      </c>
      <c r="V349" s="1657">
        <v>0</v>
      </c>
      <c r="W349" s="1657">
        <v>2.0986000000000001E-2</v>
      </c>
      <c r="X349" s="1657">
        <v>0</v>
      </c>
      <c r="Y349" s="1658">
        <v>0</v>
      </c>
    </row>
    <row r="350" spans="3:25" ht="13.95" customHeight="1" x14ac:dyDescent="0.3">
      <c r="C350" s="1057">
        <v>336</v>
      </c>
      <c r="D350" s="1058" t="s">
        <v>1236</v>
      </c>
      <c r="E350" s="1059">
        <v>16</v>
      </c>
      <c r="F350" s="1297" t="s">
        <v>1038</v>
      </c>
      <c r="G350" s="1057" t="s">
        <v>1036</v>
      </c>
      <c r="H350" s="1058"/>
      <c r="I350" s="1057">
        <v>196</v>
      </c>
      <c r="J350" s="1058"/>
      <c r="K350" s="1058"/>
      <c r="L350" s="1058"/>
      <c r="M350" s="1636">
        <v>10412.1</v>
      </c>
      <c r="N350" s="1636"/>
      <c r="O350" s="1636">
        <v>10299</v>
      </c>
      <c r="P350" s="1636">
        <v>0</v>
      </c>
      <c r="Q350" s="1636">
        <v>0</v>
      </c>
      <c r="R350" s="1636">
        <v>0</v>
      </c>
      <c r="S350" s="1636">
        <v>0</v>
      </c>
      <c r="U350" s="1656">
        <v>0.64390409000000004</v>
      </c>
      <c r="V350" s="1657">
        <v>0</v>
      </c>
      <c r="W350" s="1657">
        <v>0.64390409000000004</v>
      </c>
      <c r="X350" s="1657">
        <v>0</v>
      </c>
      <c r="Y350" s="1658">
        <v>0</v>
      </c>
    </row>
    <row r="351" spans="3:25" ht="13.95" customHeight="1" x14ac:dyDescent="0.3">
      <c r="C351" s="1057">
        <v>337</v>
      </c>
      <c r="D351" s="1058" t="s">
        <v>1236</v>
      </c>
      <c r="E351" s="1059">
        <v>16</v>
      </c>
      <c r="F351" s="1297" t="s">
        <v>1038</v>
      </c>
      <c r="G351" s="1057" t="s">
        <v>1036</v>
      </c>
      <c r="H351" s="1058"/>
      <c r="I351" s="1057">
        <v>1</v>
      </c>
      <c r="J351" s="1058"/>
      <c r="K351" s="1058"/>
      <c r="L351" s="1058"/>
      <c r="M351" s="1636">
        <v>0</v>
      </c>
      <c r="N351" s="1636"/>
      <c r="O351" s="1636">
        <v>0</v>
      </c>
      <c r="P351" s="1636">
        <v>0</v>
      </c>
      <c r="Q351" s="1636">
        <v>51.1</v>
      </c>
      <c r="R351" s="1636">
        <v>0</v>
      </c>
      <c r="S351" s="1636">
        <v>0</v>
      </c>
      <c r="U351" s="1656">
        <v>4.6020000000000002E-3</v>
      </c>
      <c r="V351" s="1657">
        <v>0</v>
      </c>
      <c r="W351" s="1657">
        <v>4.6020000000000002E-3</v>
      </c>
      <c r="X351" s="1657">
        <v>0</v>
      </c>
      <c r="Y351" s="1658">
        <v>0</v>
      </c>
    </row>
    <row r="352" spans="3:25" ht="13.95" customHeight="1" x14ac:dyDescent="0.3">
      <c r="C352" s="1057">
        <v>338</v>
      </c>
      <c r="D352" s="1058" t="s">
        <v>1236</v>
      </c>
      <c r="E352" s="1059">
        <v>16</v>
      </c>
      <c r="F352" s="1297" t="s">
        <v>1038</v>
      </c>
      <c r="G352" s="1057" t="s">
        <v>1036</v>
      </c>
      <c r="H352" s="1058"/>
      <c r="I352" s="1057">
        <v>1</v>
      </c>
      <c r="J352" s="1058"/>
      <c r="K352" s="1058"/>
      <c r="L352" s="1058"/>
      <c r="M352" s="1636">
        <v>0</v>
      </c>
      <c r="N352" s="1636"/>
      <c r="O352" s="1636">
        <v>0</v>
      </c>
      <c r="P352" s="1636">
        <v>0</v>
      </c>
      <c r="Q352" s="1636">
        <v>31.2</v>
      </c>
      <c r="R352" s="1636">
        <v>0</v>
      </c>
      <c r="S352" s="1636">
        <v>0</v>
      </c>
      <c r="U352" s="1656">
        <v>1.9E-3</v>
      </c>
      <c r="V352" s="1657">
        <v>0</v>
      </c>
      <c r="W352" s="1657">
        <v>1.9E-3</v>
      </c>
      <c r="X352" s="1657">
        <v>0</v>
      </c>
      <c r="Y352" s="1658">
        <v>0</v>
      </c>
    </row>
    <row r="353" spans="3:25" ht="13.95" customHeight="1" x14ac:dyDescent="0.3">
      <c r="C353" s="1057">
        <v>339</v>
      </c>
      <c r="D353" s="1058" t="s">
        <v>1236</v>
      </c>
      <c r="E353" s="1059">
        <v>16</v>
      </c>
      <c r="F353" s="1297" t="s">
        <v>1038</v>
      </c>
      <c r="G353" s="1057" t="s">
        <v>1036</v>
      </c>
      <c r="H353" s="1058"/>
      <c r="I353" s="1057">
        <v>1</v>
      </c>
      <c r="J353" s="1058"/>
      <c r="K353" s="1058"/>
      <c r="L353" s="1058"/>
      <c r="M353" s="1636">
        <v>0</v>
      </c>
      <c r="N353" s="1636"/>
      <c r="O353" s="1636">
        <v>0</v>
      </c>
      <c r="P353" s="1636">
        <v>0</v>
      </c>
      <c r="Q353" s="1636">
        <v>30.8</v>
      </c>
      <c r="R353" s="1636">
        <v>0</v>
      </c>
      <c r="S353" s="1636">
        <v>0</v>
      </c>
      <c r="U353" s="1656">
        <v>1.8600000000000001E-3</v>
      </c>
      <c r="V353" s="1657">
        <v>0</v>
      </c>
      <c r="W353" s="1657">
        <v>1.8600000000000001E-3</v>
      </c>
      <c r="X353" s="1657">
        <v>0</v>
      </c>
      <c r="Y353" s="1658">
        <v>0</v>
      </c>
    </row>
    <row r="354" spans="3:25" ht="13.95" customHeight="1" x14ac:dyDescent="0.3">
      <c r="C354" s="1057">
        <v>340</v>
      </c>
      <c r="D354" s="1058" t="s">
        <v>1237</v>
      </c>
      <c r="E354" s="1059">
        <v>5</v>
      </c>
      <c r="F354" s="1297" t="s">
        <v>1130</v>
      </c>
      <c r="G354" s="1057" t="s">
        <v>1036</v>
      </c>
      <c r="H354" s="1058"/>
      <c r="I354" s="1057">
        <v>160</v>
      </c>
      <c r="J354" s="1058"/>
      <c r="K354" s="1058"/>
      <c r="L354" s="1058"/>
      <c r="M354" s="1636">
        <v>4305.3900000000003</v>
      </c>
      <c r="N354" s="1636"/>
      <c r="O354" s="1636">
        <v>4305.3900000000003</v>
      </c>
      <c r="P354" s="1636">
        <v>0</v>
      </c>
      <c r="Q354" s="1636">
        <v>0</v>
      </c>
      <c r="R354" s="1636">
        <v>0</v>
      </c>
      <c r="S354" s="1636">
        <v>0</v>
      </c>
      <c r="U354" s="1656">
        <v>0.23442154000000001</v>
      </c>
      <c r="V354" s="1657">
        <v>0</v>
      </c>
      <c r="W354" s="1657">
        <v>0.23442154000000001</v>
      </c>
      <c r="X354" s="1657">
        <v>8.1280461827409802E-3</v>
      </c>
      <c r="Y354" s="1658">
        <v>172</v>
      </c>
    </row>
    <row r="355" spans="3:25" ht="13.95" customHeight="1" x14ac:dyDescent="0.3">
      <c r="C355" s="1057">
        <v>341</v>
      </c>
      <c r="D355" s="1058" t="s">
        <v>1238</v>
      </c>
      <c r="E355" s="1059">
        <v>5</v>
      </c>
      <c r="F355" s="1297" t="s">
        <v>1231</v>
      </c>
      <c r="G355" s="1057" t="s">
        <v>1036</v>
      </c>
      <c r="H355" s="1058"/>
      <c r="I355" s="1057">
        <v>1</v>
      </c>
      <c r="J355" s="1058"/>
      <c r="K355" s="1058"/>
      <c r="L355" s="1058"/>
      <c r="M355" s="1636">
        <v>0</v>
      </c>
      <c r="N355" s="1636"/>
      <c r="O355" s="1636">
        <v>0</v>
      </c>
      <c r="P355" s="1636">
        <v>0</v>
      </c>
      <c r="Q355" s="1636">
        <v>0</v>
      </c>
      <c r="R355" s="1636">
        <v>0</v>
      </c>
      <c r="S355" s="1636">
        <v>2664.9</v>
      </c>
      <c r="U355" s="1656">
        <v>0.19735900000000001</v>
      </c>
      <c r="V355" s="1657">
        <v>0</v>
      </c>
      <c r="W355" s="1657">
        <v>0.19735900000000001</v>
      </c>
      <c r="X355" s="1657">
        <v>0</v>
      </c>
      <c r="Y355" s="1658">
        <v>0</v>
      </c>
    </row>
    <row r="356" spans="3:25" ht="13.95" customHeight="1" x14ac:dyDescent="0.3">
      <c r="C356" s="1057">
        <v>342</v>
      </c>
      <c r="D356" s="1058" t="s">
        <v>1239</v>
      </c>
      <c r="E356" s="1059">
        <v>5</v>
      </c>
      <c r="F356" s="1297" t="s">
        <v>1130</v>
      </c>
      <c r="G356" s="1057" t="s">
        <v>1036</v>
      </c>
      <c r="H356" s="1058"/>
      <c r="I356" s="1057">
        <v>99</v>
      </c>
      <c r="J356" s="1058"/>
      <c r="K356" s="1058"/>
      <c r="L356" s="1058"/>
      <c r="M356" s="1636">
        <v>4501.8999999999996</v>
      </c>
      <c r="N356" s="1636"/>
      <c r="O356" s="1636">
        <v>4444.1000000000004</v>
      </c>
      <c r="P356" s="1636">
        <v>57.8</v>
      </c>
      <c r="Q356" s="1636">
        <v>0</v>
      </c>
      <c r="R356" s="1636">
        <v>0</v>
      </c>
      <c r="S356" s="1636">
        <v>0</v>
      </c>
      <c r="U356" s="1656">
        <v>0.21895248</v>
      </c>
      <c r="V356" s="1657">
        <v>1.4475510704515852E-5</v>
      </c>
      <c r="W356" s="1657">
        <v>0.21893800448929548</v>
      </c>
      <c r="X356" s="1657">
        <v>2.8624002784851301E-3</v>
      </c>
      <c r="Y356" s="1658">
        <v>66</v>
      </c>
    </row>
    <row r="357" spans="3:25" ht="13.95" customHeight="1" x14ac:dyDescent="0.3">
      <c r="C357" s="1057">
        <v>343</v>
      </c>
      <c r="D357" s="1058" t="s">
        <v>2670</v>
      </c>
      <c r="E357" s="1059">
        <v>14</v>
      </c>
      <c r="F357" s="1297" t="s">
        <v>1240</v>
      </c>
      <c r="G357" s="1057" t="s">
        <v>1036</v>
      </c>
      <c r="H357" s="1058"/>
      <c r="I357" s="1057">
        <v>1</v>
      </c>
      <c r="J357" s="1058"/>
      <c r="K357" s="1058"/>
      <c r="L357" s="1058"/>
      <c r="M357" s="1636">
        <v>8559.1</v>
      </c>
      <c r="N357" s="1636"/>
      <c r="O357" s="1636">
        <v>8559.1</v>
      </c>
      <c r="P357" s="1636">
        <v>0</v>
      </c>
      <c r="Q357" s="1636">
        <v>0</v>
      </c>
      <c r="R357" s="1636">
        <v>8559.1</v>
      </c>
      <c r="S357" s="1636">
        <v>0</v>
      </c>
      <c r="U357" s="1656">
        <v>0.55434499999999998</v>
      </c>
      <c r="V357" s="1657">
        <v>0</v>
      </c>
      <c r="W357" s="1657">
        <v>0.55434499999999998</v>
      </c>
      <c r="X357" s="1657">
        <v>0</v>
      </c>
      <c r="Y357" s="1658">
        <v>0</v>
      </c>
    </row>
    <row r="358" spans="3:25" ht="13.95" customHeight="1" x14ac:dyDescent="0.3">
      <c r="C358" s="1057">
        <v>344</v>
      </c>
      <c r="D358" s="1058" t="s">
        <v>2671</v>
      </c>
      <c r="E358" s="1059">
        <v>10</v>
      </c>
      <c r="F358" s="1297" t="s">
        <v>1241</v>
      </c>
      <c r="G358" s="1057" t="s">
        <v>1036</v>
      </c>
      <c r="H358" s="1058"/>
      <c r="I358" s="1057">
        <v>0</v>
      </c>
      <c r="J358" s="1058"/>
      <c r="K358" s="1058"/>
      <c r="L358" s="1058"/>
      <c r="M358" s="1636">
        <v>10706.8</v>
      </c>
      <c r="N358" s="1636"/>
      <c r="O358" s="1636">
        <v>10706.8</v>
      </c>
      <c r="P358" s="1636">
        <v>0</v>
      </c>
      <c r="Q358" s="1636">
        <v>0</v>
      </c>
      <c r="R358" s="1636">
        <v>10706.8</v>
      </c>
      <c r="S358" s="1636">
        <v>0</v>
      </c>
      <c r="U358" s="1656">
        <v>0.52728299999999995</v>
      </c>
      <c r="V358" s="1657">
        <v>0</v>
      </c>
      <c r="W358" s="1657">
        <v>0.52728299999999995</v>
      </c>
      <c r="X358" s="1657">
        <v>0</v>
      </c>
      <c r="Y358" s="1658">
        <v>0</v>
      </c>
    </row>
    <row r="359" spans="3:25" ht="13.95" customHeight="1" x14ac:dyDescent="0.3">
      <c r="C359" s="1057">
        <v>345</v>
      </c>
      <c r="D359" s="1058" t="s">
        <v>2672</v>
      </c>
      <c r="E359" s="1059">
        <v>10</v>
      </c>
      <c r="F359" s="1297" t="s">
        <v>1240</v>
      </c>
      <c r="G359" s="1057" t="s">
        <v>1036</v>
      </c>
      <c r="H359" s="1058"/>
      <c r="I359" s="1057">
        <v>0</v>
      </c>
      <c r="J359" s="1058"/>
      <c r="K359" s="1058"/>
      <c r="L359" s="1058"/>
      <c r="M359" s="1636">
        <v>9630.5</v>
      </c>
      <c r="N359" s="1636"/>
      <c r="O359" s="1636">
        <v>9630.5</v>
      </c>
      <c r="P359" s="1636">
        <v>0</v>
      </c>
      <c r="Q359" s="1636">
        <v>0</v>
      </c>
      <c r="R359" s="1636">
        <v>9630.5</v>
      </c>
      <c r="S359" s="1636">
        <v>0</v>
      </c>
      <c r="U359" s="1656">
        <v>0.63787000000000005</v>
      </c>
      <c r="V359" s="1657">
        <v>0</v>
      </c>
      <c r="W359" s="1657">
        <v>0.63787000000000005</v>
      </c>
      <c r="X359" s="1657">
        <v>0</v>
      </c>
      <c r="Y359" s="1658">
        <v>0</v>
      </c>
    </row>
    <row r="360" spans="3:25" ht="13.95" customHeight="1" x14ac:dyDescent="0.3">
      <c r="C360" s="1057">
        <v>346</v>
      </c>
      <c r="D360" s="1058" t="s">
        <v>2673</v>
      </c>
      <c r="E360" s="1059">
        <v>10</v>
      </c>
      <c r="F360" s="1297" t="s">
        <v>1240</v>
      </c>
      <c r="G360" s="1057" t="s">
        <v>1036</v>
      </c>
      <c r="H360" s="1058"/>
      <c r="I360" s="1057">
        <v>0</v>
      </c>
      <c r="J360" s="1058"/>
      <c r="K360" s="1058"/>
      <c r="L360" s="1058"/>
      <c r="M360" s="1636">
        <v>9333.2000000000007</v>
      </c>
      <c r="N360" s="1636"/>
      <c r="O360" s="1636">
        <v>9333.2000000000007</v>
      </c>
      <c r="P360" s="1636">
        <v>0</v>
      </c>
      <c r="Q360" s="1636">
        <v>0</v>
      </c>
      <c r="R360" s="1636">
        <v>9333.2000000000007</v>
      </c>
      <c r="S360" s="1636">
        <v>0</v>
      </c>
      <c r="U360" s="1656">
        <v>0.43</v>
      </c>
      <c r="V360" s="1657">
        <v>0</v>
      </c>
      <c r="W360" s="1657">
        <v>0.43</v>
      </c>
      <c r="X360" s="1657">
        <v>0</v>
      </c>
      <c r="Y360" s="1658">
        <v>0</v>
      </c>
    </row>
    <row r="361" spans="3:25" ht="13.95" customHeight="1" x14ac:dyDescent="0.3">
      <c r="C361" s="1057">
        <v>347</v>
      </c>
      <c r="D361" s="1058" t="s">
        <v>1242</v>
      </c>
      <c r="E361" s="1059">
        <v>5</v>
      </c>
      <c r="F361" s="1297" t="s">
        <v>1086</v>
      </c>
      <c r="G361" s="1057" t="s">
        <v>1036</v>
      </c>
      <c r="H361" s="1058"/>
      <c r="I361" s="1057">
        <v>98</v>
      </c>
      <c r="J361" s="1058"/>
      <c r="K361" s="1058"/>
      <c r="L361" s="1058"/>
      <c r="M361" s="1636">
        <v>4440.8999999999996</v>
      </c>
      <c r="N361" s="1636"/>
      <c r="O361" s="1636">
        <v>4335.8999999999996</v>
      </c>
      <c r="P361" s="1636">
        <v>0</v>
      </c>
      <c r="Q361" s="1636">
        <v>0</v>
      </c>
      <c r="R361" s="1636">
        <v>0</v>
      </c>
      <c r="S361" s="1636">
        <v>0</v>
      </c>
      <c r="U361" s="1656">
        <v>0.20003866000000001</v>
      </c>
      <c r="V361" s="1657">
        <v>0</v>
      </c>
      <c r="W361" s="1657">
        <v>0.20003866000000001</v>
      </c>
      <c r="X361" s="1657">
        <v>2.67913670489787E-3</v>
      </c>
      <c r="Y361" s="1658">
        <v>66</v>
      </c>
    </row>
    <row r="362" spans="3:25" ht="13.95" customHeight="1" x14ac:dyDescent="0.3">
      <c r="C362" s="1057">
        <v>348</v>
      </c>
      <c r="D362" s="1058" t="s">
        <v>1242</v>
      </c>
      <c r="E362" s="1059">
        <v>5</v>
      </c>
      <c r="F362" s="1297" t="s">
        <v>1086</v>
      </c>
      <c r="G362" s="1057" t="s">
        <v>1036</v>
      </c>
      <c r="H362" s="1058"/>
      <c r="I362" s="1057">
        <v>1</v>
      </c>
      <c r="J362" s="1058"/>
      <c r="K362" s="1058"/>
      <c r="L362" s="1058"/>
      <c r="M362" s="1636">
        <v>0</v>
      </c>
      <c r="N362" s="1636"/>
      <c r="O362" s="1636">
        <v>0</v>
      </c>
      <c r="P362" s="1636">
        <v>0</v>
      </c>
      <c r="Q362" s="1636">
        <v>47</v>
      </c>
      <c r="R362" s="1636">
        <v>0</v>
      </c>
      <c r="S362" s="1636">
        <v>0</v>
      </c>
      <c r="U362" s="1656">
        <v>3.1199999999999999E-3</v>
      </c>
      <c r="V362" s="1657">
        <v>0</v>
      </c>
      <c r="W362" s="1657">
        <v>3.1199999999999999E-3</v>
      </c>
      <c r="X362" s="1657">
        <v>0</v>
      </c>
      <c r="Y362" s="1658">
        <v>0</v>
      </c>
    </row>
    <row r="363" spans="3:25" ht="13.95" customHeight="1" x14ac:dyDescent="0.3">
      <c r="C363" s="1057">
        <v>349</v>
      </c>
      <c r="D363" s="1058" t="s">
        <v>1242</v>
      </c>
      <c r="E363" s="1059">
        <v>5</v>
      </c>
      <c r="F363" s="1297" t="s">
        <v>1086</v>
      </c>
      <c r="G363" s="1057" t="s">
        <v>1036</v>
      </c>
      <c r="H363" s="1058"/>
      <c r="I363" s="1057">
        <v>0</v>
      </c>
      <c r="J363" s="1058"/>
      <c r="K363" s="1058"/>
      <c r="L363" s="1058"/>
      <c r="M363" s="1636">
        <v>0</v>
      </c>
      <c r="N363" s="1636"/>
      <c r="O363" s="1636">
        <v>0</v>
      </c>
      <c r="P363" s="1636">
        <v>0</v>
      </c>
      <c r="Q363" s="1636">
        <v>58</v>
      </c>
      <c r="R363" s="1636">
        <v>0</v>
      </c>
      <c r="S363" s="1636">
        <v>0</v>
      </c>
      <c r="U363" s="1656">
        <v>3.0000000000000001E-3</v>
      </c>
      <c r="V363" s="1657">
        <v>0</v>
      </c>
      <c r="W363" s="1657">
        <v>3.0000000000000001E-3</v>
      </c>
      <c r="X363" s="1657">
        <v>0</v>
      </c>
      <c r="Y363" s="1658">
        <v>0</v>
      </c>
    </row>
    <row r="364" spans="3:25" ht="13.95" customHeight="1" x14ac:dyDescent="0.3">
      <c r="C364" s="1057">
        <v>350</v>
      </c>
      <c r="D364" s="1058" t="s">
        <v>1243</v>
      </c>
      <c r="E364" s="1059">
        <v>3</v>
      </c>
      <c r="F364" s="1297" t="s">
        <v>1054</v>
      </c>
      <c r="G364" s="1057" t="s">
        <v>1036</v>
      </c>
      <c r="H364" s="1058"/>
      <c r="I364" s="1057">
        <v>0</v>
      </c>
      <c r="J364" s="1058"/>
      <c r="K364" s="1058"/>
      <c r="L364" s="1058"/>
      <c r="M364" s="1636">
        <v>0</v>
      </c>
      <c r="N364" s="1636"/>
      <c r="O364" s="1636">
        <v>0</v>
      </c>
      <c r="P364" s="1636">
        <v>0</v>
      </c>
      <c r="Q364" s="1636">
        <v>0</v>
      </c>
      <c r="R364" s="1636">
        <v>0</v>
      </c>
      <c r="S364" s="1636">
        <v>1211.9000000000001</v>
      </c>
      <c r="U364" s="1656">
        <v>0.09</v>
      </c>
      <c r="V364" s="1657">
        <v>0</v>
      </c>
      <c r="W364" s="1657">
        <v>0.09</v>
      </c>
      <c r="X364" s="1657">
        <v>0</v>
      </c>
      <c r="Y364" s="1658">
        <v>0</v>
      </c>
    </row>
    <row r="365" spans="3:25" ht="13.95" customHeight="1" x14ac:dyDescent="0.3">
      <c r="C365" s="1057">
        <v>351</v>
      </c>
      <c r="D365" s="1058" t="s">
        <v>1244</v>
      </c>
      <c r="E365" s="1059">
        <v>9</v>
      </c>
      <c r="F365" s="1297" t="s">
        <v>1044</v>
      </c>
      <c r="G365" s="1057" t="s">
        <v>1036</v>
      </c>
      <c r="H365" s="1058"/>
      <c r="I365" s="1057">
        <v>175</v>
      </c>
      <c r="J365" s="1058"/>
      <c r="K365" s="1058"/>
      <c r="L365" s="1058"/>
      <c r="M365" s="1636">
        <v>10021.6</v>
      </c>
      <c r="N365" s="1636"/>
      <c r="O365" s="1636">
        <v>9875.4</v>
      </c>
      <c r="P365" s="1636">
        <v>75.900000000000006</v>
      </c>
      <c r="Q365" s="1636">
        <v>0</v>
      </c>
      <c r="R365" s="1636">
        <v>0</v>
      </c>
      <c r="S365" s="1636">
        <v>0</v>
      </c>
      <c r="U365" s="1656">
        <v>0.62407886999999995</v>
      </c>
      <c r="V365" s="1657">
        <v>4.0822642270160259E-4</v>
      </c>
      <c r="W365" s="1657">
        <v>0.6236706435772984</v>
      </c>
      <c r="X365" s="1657">
        <v>5.4982021458621903E-2</v>
      </c>
      <c r="Y365" s="1658">
        <v>1074.5899999999999</v>
      </c>
    </row>
    <row r="366" spans="3:25" ht="13.95" customHeight="1" x14ac:dyDescent="0.3">
      <c r="C366" s="1057">
        <v>352</v>
      </c>
      <c r="D366" s="1058" t="s">
        <v>1244</v>
      </c>
      <c r="E366" s="1059">
        <v>9</v>
      </c>
      <c r="F366" s="1297" t="s">
        <v>1044</v>
      </c>
      <c r="G366" s="1057" t="s">
        <v>1036</v>
      </c>
      <c r="H366" s="1058"/>
      <c r="I366" s="1057">
        <v>0</v>
      </c>
      <c r="J366" s="1058"/>
      <c r="K366" s="1058"/>
      <c r="L366" s="1058"/>
      <c r="M366" s="1636">
        <v>0</v>
      </c>
      <c r="N366" s="1636"/>
      <c r="O366" s="1636">
        <v>0</v>
      </c>
      <c r="P366" s="1636">
        <v>0</v>
      </c>
      <c r="Q366" s="1636">
        <v>0</v>
      </c>
      <c r="R366" s="1636">
        <v>0</v>
      </c>
      <c r="S366" s="1636">
        <v>0</v>
      </c>
      <c r="U366" s="1656">
        <v>0</v>
      </c>
      <c r="V366" s="1657">
        <v>0</v>
      </c>
      <c r="W366" s="1657">
        <v>0</v>
      </c>
      <c r="X366" s="1657">
        <v>0</v>
      </c>
      <c r="Y366" s="1658">
        <v>0</v>
      </c>
    </row>
    <row r="367" spans="3:25" ht="13.95" customHeight="1" x14ac:dyDescent="0.3">
      <c r="C367" s="1057">
        <v>353</v>
      </c>
      <c r="D367" s="1058" t="s">
        <v>1244</v>
      </c>
      <c r="E367" s="1059">
        <v>9</v>
      </c>
      <c r="F367" s="1297" t="s">
        <v>1044</v>
      </c>
      <c r="G367" s="1057" t="s">
        <v>1036</v>
      </c>
      <c r="H367" s="1058"/>
      <c r="I367" s="1057">
        <v>0</v>
      </c>
      <c r="J367" s="1058"/>
      <c r="K367" s="1058"/>
      <c r="L367" s="1058"/>
      <c r="M367" s="1636">
        <v>0</v>
      </c>
      <c r="N367" s="1636"/>
      <c r="O367" s="1636">
        <v>0</v>
      </c>
      <c r="P367" s="1636">
        <v>0</v>
      </c>
      <c r="Q367" s="1636">
        <v>19.5</v>
      </c>
      <c r="R367" s="1636">
        <v>0</v>
      </c>
      <c r="S367" s="1636">
        <v>0</v>
      </c>
      <c r="U367" s="1656">
        <v>1.0759999999999999E-3</v>
      </c>
      <c r="V367" s="1657">
        <v>0</v>
      </c>
      <c r="W367" s="1657">
        <v>1.0759999999999999E-3</v>
      </c>
      <c r="X367" s="1657">
        <v>0</v>
      </c>
      <c r="Y367" s="1658">
        <v>0</v>
      </c>
    </row>
    <row r="368" spans="3:25" ht="13.95" customHeight="1" x14ac:dyDescent="0.3">
      <c r="C368" s="1057">
        <v>354</v>
      </c>
      <c r="D368" s="1058" t="s">
        <v>1244</v>
      </c>
      <c r="E368" s="1059">
        <v>9</v>
      </c>
      <c r="F368" s="1297" t="s">
        <v>1044</v>
      </c>
      <c r="G368" s="1057" t="s">
        <v>1036</v>
      </c>
      <c r="H368" s="1058"/>
      <c r="I368" s="1057">
        <v>1</v>
      </c>
      <c r="J368" s="1058"/>
      <c r="K368" s="1058"/>
      <c r="L368" s="1058"/>
      <c r="M368" s="1636">
        <v>0</v>
      </c>
      <c r="N368" s="1636"/>
      <c r="O368" s="1636">
        <v>0</v>
      </c>
      <c r="P368" s="1636">
        <v>0</v>
      </c>
      <c r="Q368" s="1636">
        <v>50.8</v>
      </c>
      <c r="R368" s="1636">
        <v>0</v>
      </c>
      <c r="S368" s="1636">
        <v>0</v>
      </c>
      <c r="U368" s="1656">
        <v>3.0980000000000001E-3</v>
      </c>
      <c r="V368" s="1657">
        <v>0</v>
      </c>
      <c r="W368" s="1657">
        <v>3.0980000000000001E-3</v>
      </c>
      <c r="X368" s="1657">
        <v>0</v>
      </c>
      <c r="Y368" s="1658">
        <v>0</v>
      </c>
    </row>
    <row r="369" spans="3:25" ht="13.95" customHeight="1" x14ac:dyDescent="0.3">
      <c r="C369" s="1057">
        <v>355</v>
      </c>
      <c r="D369" s="1058" t="s">
        <v>1244</v>
      </c>
      <c r="E369" s="1059">
        <v>1</v>
      </c>
      <c r="F369" s="1297" t="s">
        <v>1044</v>
      </c>
      <c r="G369" s="1057" t="s">
        <v>1036</v>
      </c>
      <c r="H369" s="1058"/>
      <c r="I369" s="1057">
        <v>0</v>
      </c>
      <c r="J369" s="1058"/>
      <c r="K369" s="1058"/>
      <c r="L369" s="1058"/>
      <c r="M369" s="1636">
        <v>0</v>
      </c>
      <c r="N369" s="1636"/>
      <c r="O369" s="1636">
        <v>0</v>
      </c>
      <c r="P369" s="1636">
        <v>0</v>
      </c>
      <c r="Q369" s="1636">
        <v>0</v>
      </c>
      <c r="R369" s="1636">
        <v>0</v>
      </c>
      <c r="S369" s="1636">
        <v>46.7</v>
      </c>
      <c r="U369" s="1656">
        <v>2.5769999999999999E-3</v>
      </c>
      <c r="V369" s="1657">
        <v>0</v>
      </c>
      <c r="W369" s="1657">
        <v>2.5769999999999999E-3</v>
      </c>
      <c r="X369" s="1657">
        <v>0</v>
      </c>
      <c r="Y369" s="1658">
        <v>0</v>
      </c>
    </row>
    <row r="370" spans="3:25" ht="13.95" customHeight="1" x14ac:dyDescent="0.3">
      <c r="C370" s="1057">
        <v>356</v>
      </c>
      <c r="D370" s="1058" t="s">
        <v>1244</v>
      </c>
      <c r="E370" s="1059">
        <v>1</v>
      </c>
      <c r="F370" s="1297" t="s">
        <v>1044</v>
      </c>
      <c r="G370" s="1057" t="s">
        <v>1036</v>
      </c>
      <c r="H370" s="1058"/>
      <c r="I370" s="1057">
        <v>0</v>
      </c>
      <c r="J370" s="1058"/>
      <c r="K370" s="1058"/>
      <c r="L370" s="1058"/>
      <c r="M370" s="1636">
        <v>0</v>
      </c>
      <c r="N370" s="1636"/>
      <c r="O370" s="1636">
        <v>0</v>
      </c>
      <c r="P370" s="1636">
        <v>0</v>
      </c>
      <c r="Q370" s="1636">
        <v>0</v>
      </c>
      <c r="R370" s="1636">
        <v>0</v>
      </c>
      <c r="S370" s="1636">
        <v>366.6</v>
      </c>
      <c r="U370" s="1656">
        <v>2.7349999999999999E-2</v>
      </c>
      <c r="V370" s="1657">
        <v>0</v>
      </c>
      <c r="W370" s="1657">
        <v>2.7349999999999999E-2</v>
      </c>
      <c r="X370" s="1657">
        <v>0</v>
      </c>
      <c r="Y370" s="1658">
        <v>0</v>
      </c>
    </row>
    <row r="371" spans="3:25" ht="13.95" customHeight="1" x14ac:dyDescent="0.3">
      <c r="C371" s="1057">
        <v>357</v>
      </c>
      <c r="D371" s="1058" t="s">
        <v>1245</v>
      </c>
      <c r="E371" s="1059">
        <v>5</v>
      </c>
      <c r="F371" s="1297" t="s">
        <v>1246</v>
      </c>
      <c r="G371" s="1057" t="s">
        <v>1036</v>
      </c>
      <c r="H371" s="1058"/>
      <c r="I371" s="1057">
        <v>1</v>
      </c>
      <c r="J371" s="1058"/>
      <c r="K371" s="1058"/>
      <c r="L371" s="1058"/>
      <c r="M371" s="1636">
        <v>3451.1</v>
      </c>
      <c r="N371" s="1636"/>
      <c r="O371" s="1636">
        <v>3451.1</v>
      </c>
      <c r="P371" s="1636">
        <v>0</v>
      </c>
      <c r="Q371" s="1636">
        <v>0</v>
      </c>
      <c r="R371" s="1636">
        <v>3451.1</v>
      </c>
      <c r="S371" s="1636">
        <v>0</v>
      </c>
      <c r="U371" s="1656">
        <v>0.15372696999999999</v>
      </c>
      <c r="V371" s="1657">
        <v>0</v>
      </c>
      <c r="W371" s="1657">
        <v>0.15372696999999999</v>
      </c>
      <c r="X371" s="1657">
        <v>0</v>
      </c>
      <c r="Y371" s="1658">
        <v>0</v>
      </c>
    </row>
    <row r="372" spans="3:25" ht="13.95" customHeight="1" x14ac:dyDescent="0.3">
      <c r="C372" s="1057">
        <v>358</v>
      </c>
      <c r="D372" s="1058" t="s">
        <v>1247</v>
      </c>
      <c r="E372" s="1059">
        <v>5</v>
      </c>
      <c r="F372" s="1297" t="s">
        <v>1248</v>
      </c>
      <c r="G372" s="1057" t="s">
        <v>1036</v>
      </c>
      <c r="H372" s="1058"/>
      <c r="I372" s="1057">
        <v>0</v>
      </c>
      <c r="J372" s="1058"/>
      <c r="K372" s="1058"/>
      <c r="L372" s="1058"/>
      <c r="M372" s="1636">
        <v>1695.4</v>
      </c>
      <c r="N372" s="1636"/>
      <c r="O372" s="1636">
        <v>1695.4</v>
      </c>
      <c r="P372" s="1636">
        <v>0</v>
      </c>
      <c r="Q372" s="1636">
        <v>0</v>
      </c>
      <c r="R372" s="1636">
        <v>1695.4</v>
      </c>
      <c r="S372" s="1636">
        <v>0</v>
      </c>
      <c r="U372" s="1656">
        <v>0.10952041999999999</v>
      </c>
      <c r="V372" s="1657">
        <v>0</v>
      </c>
      <c r="W372" s="1657">
        <v>0.10952041999999999</v>
      </c>
      <c r="X372" s="1657">
        <v>0</v>
      </c>
      <c r="Y372" s="1658">
        <v>0</v>
      </c>
    </row>
    <row r="373" spans="3:25" ht="13.95" customHeight="1" x14ac:dyDescent="0.3">
      <c r="C373" s="1057">
        <v>359</v>
      </c>
      <c r="D373" s="1058" t="s">
        <v>1249</v>
      </c>
      <c r="E373" s="1059">
        <v>5</v>
      </c>
      <c r="F373" s="1297" t="s">
        <v>1086</v>
      </c>
      <c r="G373" s="1057" t="s">
        <v>1036</v>
      </c>
      <c r="H373" s="1058"/>
      <c r="I373" s="1057">
        <v>286</v>
      </c>
      <c r="J373" s="1058"/>
      <c r="K373" s="1058"/>
      <c r="L373" s="1058"/>
      <c r="M373" s="1636">
        <v>5287.88</v>
      </c>
      <c r="N373" s="1636"/>
      <c r="O373" s="1636">
        <v>5139.58</v>
      </c>
      <c r="P373" s="1636">
        <v>0</v>
      </c>
      <c r="Q373" s="1636">
        <v>0</v>
      </c>
      <c r="R373" s="1636">
        <v>0</v>
      </c>
      <c r="S373" s="1636">
        <v>0</v>
      </c>
      <c r="U373" s="1656">
        <v>0.35383075600000002</v>
      </c>
      <c r="V373" s="1657">
        <v>0</v>
      </c>
      <c r="W373" s="1657">
        <v>0.35383075600000002</v>
      </c>
      <c r="X373" s="1657">
        <v>4.7620190261691399E-3</v>
      </c>
      <c r="Y373" s="1658">
        <v>78</v>
      </c>
    </row>
    <row r="374" spans="3:25" ht="13.95" customHeight="1" x14ac:dyDescent="0.3">
      <c r="C374" s="1057">
        <v>360</v>
      </c>
      <c r="D374" s="1058" t="s">
        <v>1249</v>
      </c>
      <c r="E374" s="1059">
        <v>5</v>
      </c>
      <c r="F374" s="1297" t="s">
        <v>1086</v>
      </c>
      <c r="G374" s="1057" t="s">
        <v>1036</v>
      </c>
      <c r="H374" s="1058"/>
      <c r="I374" s="1057">
        <v>1</v>
      </c>
      <c r="J374" s="1058"/>
      <c r="K374" s="1058"/>
      <c r="L374" s="1058"/>
      <c r="M374" s="1636">
        <v>0</v>
      </c>
      <c r="N374" s="1636"/>
      <c r="O374" s="1636">
        <v>0</v>
      </c>
      <c r="P374" s="1636">
        <v>0</v>
      </c>
      <c r="Q374" s="1636">
        <v>21.5</v>
      </c>
      <c r="R374" s="1636">
        <v>0</v>
      </c>
      <c r="S374" s="1636">
        <v>0</v>
      </c>
      <c r="U374" s="1656">
        <v>2E-3</v>
      </c>
      <c r="V374" s="1657">
        <v>0</v>
      </c>
      <c r="W374" s="1657">
        <v>2E-3</v>
      </c>
      <c r="X374" s="1657">
        <v>0</v>
      </c>
      <c r="Y374" s="1658">
        <v>0</v>
      </c>
    </row>
    <row r="375" spans="3:25" ht="13.95" customHeight="1" x14ac:dyDescent="0.3">
      <c r="C375" s="1057">
        <v>361</v>
      </c>
      <c r="D375" s="1058" t="s">
        <v>1249</v>
      </c>
      <c r="E375" s="1059">
        <v>5</v>
      </c>
      <c r="F375" s="1297" t="s">
        <v>1086</v>
      </c>
      <c r="G375" s="1057" t="s">
        <v>1036</v>
      </c>
      <c r="H375" s="1058"/>
      <c r="I375" s="1057">
        <v>1</v>
      </c>
      <c r="J375" s="1058"/>
      <c r="K375" s="1058"/>
      <c r="L375" s="1058"/>
      <c r="M375" s="1636">
        <v>0</v>
      </c>
      <c r="N375" s="1636"/>
      <c r="O375" s="1636">
        <v>0</v>
      </c>
      <c r="P375" s="1636">
        <v>0</v>
      </c>
      <c r="Q375" s="1636">
        <v>40</v>
      </c>
      <c r="R375" s="1636">
        <v>0</v>
      </c>
      <c r="S375" s="1636">
        <v>0</v>
      </c>
      <c r="U375" s="1656">
        <v>1.464E-3</v>
      </c>
      <c r="V375" s="1657">
        <v>0</v>
      </c>
      <c r="W375" s="1657">
        <v>1.464E-3</v>
      </c>
      <c r="X375" s="1657">
        <v>0</v>
      </c>
      <c r="Y375" s="1658">
        <v>0</v>
      </c>
    </row>
    <row r="376" spans="3:25" ht="13.95" customHeight="1" x14ac:dyDescent="0.3">
      <c r="C376" s="1057">
        <v>362</v>
      </c>
      <c r="D376" s="1058" t="s">
        <v>1249</v>
      </c>
      <c r="E376" s="1059">
        <v>5</v>
      </c>
      <c r="F376" s="1297" t="s">
        <v>1086</v>
      </c>
      <c r="G376" s="1057" t="s">
        <v>1036</v>
      </c>
      <c r="H376" s="1058"/>
      <c r="I376" s="1057">
        <v>1</v>
      </c>
      <c r="J376" s="1058"/>
      <c r="K376" s="1058"/>
      <c r="L376" s="1058"/>
      <c r="M376" s="1636">
        <v>0</v>
      </c>
      <c r="N376" s="1636"/>
      <c r="O376" s="1636">
        <v>0</v>
      </c>
      <c r="P376" s="1636">
        <v>0</v>
      </c>
      <c r="Q376" s="1636">
        <v>26.7</v>
      </c>
      <c r="R376" s="1636">
        <v>0</v>
      </c>
      <c r="S376" s="1636">
        <v>0</v>
      </c>
      <c r="U376" s="1656">
        <v>5.9400000000000002E-4</v>
      </c>
      <c r="V376" s="1657">
        <v>0</v>
      </c>
      <c r="W376" s="1657">
        <v>5.9400000000000002E-4</v>
      </c>
      <c r="X376" s="1657">
        <v>0</v>
      </c>
      <c r="Y376" s="1658">
        <v>0</v>
      </c>
    </row>
    <row r="377" spans="3:25" ht="13.95" customHeight="1" x14ac:dyDescent="0.3">
      <c r="C377" s="1057">
        <v>363</v>
      </c>
      <c r="D377" s="1058" t="s">
        <v>1249</v>
      </c>
      <c r="E377" s="1059">
        <v>5</v>
      </c>
      <c r="F377" s="1297" t="s">
        <v>1086</v>
      </c>
      <c r="G377" s="1057" t="s">
        <v>1036</v>
      </c>
      <c r="H377" s="1058"/>
      <c r="I377" s="1057">
        <v>1</v>
      </c>
      <c r="J377" s="1058"/>
      <c r="K377" s="1058"/>
      <c r="L377" s="1058"/>
      <c r="M377" s="1636">
        <v>0</v>
      </c>
      <c r="N377" s="1636"/>
      <c r="O377" s="1636">
        <v>0</v>
      </c>
      <c r="P377" s="1636">
        <v>0</v>
      </c>
      <c r="Q377" s="1636">
        <v>38.799999999999997</v>
      </c>
      <c r="R377" s="1636">
        <v>0</v>
      </c>
      <c r="S377" s="1636">
        <v>0</v>
      </c>
      <c r="U377" s="1656">
        <v>2.813E-3</v>
      </c>
      <c r="V377" s="1657">
        <v>0</v>
      </c>
      <c r="W377" s="1657">
        <v>2.813E-3</v>
      </c>
      <c r="X377" s="1657">
        <v>0</v>
      </c>
      <c r="Y377" s="1658">
        <v>0</v>
      </c>
    </row>
    <row r="378" spans="3:25" ht="13.95" customHeight="1" x14ac:dyDescent="0.3">
      <c r="C378" s="1057">
        <v>364</v>
      </c>
      <c r="D378" s="1058" t="s">
        <v>1249</v>
      </c>
      <c r="E378" s="1059">
        <v>5</v>
      </c>
      <c r="F378" s="1297" t="s">
        <v>1086</v>
      </c>
      <c r="G378" s="1057" t="s">
        <v>1036</v>
      </c>
      <c r="H378" s="1058"/>
      <c r="I378" s="1057">
        <v>1</v>
      </c>
      <c r="J378" s="1058"/>
      <c r="K378" s="1058"/>
      <c r="L378" s="1058"/>
      <c r="M378" s="1636">
        <v>0</v>
      </c>
      <c r="N378" s="1636"/>
      <c r="O378" s="1636">
        <v>0</v>
      </c>
      <c r="P378" s="1636">
        <v>0</v>
      </c>
      <c r="Q378" s="1636">
        <v>21.3</v>
      </c>
      <c r="R378" s="1636">
        <v>0</v>
      </c>
      <c r="S378" s="1636">
        <v>0</v>
      </c>
      <c r="U378" s="1656">
        <v>1.3420000000000001E-3</v>
      </c>
      <c r="V378" s="1657">
        <v>0</v>
      </c>
      <c r="W378" s="1657">
        <v>1.3420000000000001E-3</v>
      </c>
      <c r="X378" s="1657">
        <v>0</v>
      </c>
      <c r="Y378" s="1658">
        <v>0</v>
      </c>
    </row>
    <row r="379" spans="3:25" ht="13.95" customHeight="1" x14ac:dyDescent="0.3">
      <c r="C379" s="1057">
        <v>365</v>
      </c>
      <c r="D379" s="1058" t="s">
        <v>2674</v>
      </c>
      <c r="E379" s="1059">
        <v>1</v>
      </c>
      <c r="F379" s="1297" t="s">
        <v>1086</v>
      </c>
      <c r="G379" s="1057" t="s">
        <v>1036</v>
      </c>
      <c r="H379" s="1058"/>
      <c r="I379" s="1057">
        <v>0</v>
      </c>
      <c r="J379" s="1058"/>
      <c r="K379" s="1058"/>
      <c r="L379" s="1058"/>
      <c r="M379" s="1636">
        <v>0</v>
      </c>
      <c r="N379" s="1636"/>
      <c r="O379" s="1636">
        <v>0</v>
      </c>
      <c r="P379" s="1636">
        <v>0</v>
      </c>
      <c r="Q379" s="1636">
        <v>0</v>
      </c>
      <c r="R379" s="1636">
        <v>0</v>
      </c>
      <c r="S379" s="1636">
        <v>0</v>
      </c>
      <c r="U379" s="1656">
        <v>0</v>
      </c>
      <c r="V379" s="1657">
        <v>0</v>
      </c>
      <c r="W379" s="1657">
        <v>0</v>
      </c>
      <c r="X379" s="1657">
        <v>0</v>
      </c>
      <c r="Y379" s="1658">
        <v>0</v>
      </c>
    </row>
    <row r="380" spans="3:25" ht="13.95" customHeight="1" x14ac:dyDescent="0.3">
      <c r="C380" s="1057">
        <v>366</v>
      </c>
      <c r="D380" s="1058" t="s">
        <v>1249</v>
      </c>
      <c r="E380" s="1059">
        <v>1</v>
      </c>
      <c r="F380" s="1297" t="s">
        <v>1086</v>
      </c>
      <c r="G380" s="1057" t="s">
        <v>1036</v>
      </c>
      <c r="H380" s="1058"/>
      <c r="I380" s="1057">
        <v>0</v>
      </c>
      <c r="J380" s="1058"/>
      <c r="K380" s="1058"/>
      <c r="L380" s="1058"/>
      <c r="M380" s="1636">
        <v>0</v>
      </c>
      <c r="N380" s="1636"/>
      <c r="O380" s="1636">
        <v>0</v>
      </c>
      <c r="P380" s="1636">
        <v>0</v>
      </c>
      <c r="Q380" s="1636">
        <v>0</v>
      </c>
      <c r="R380" s="1636">
        <v>0</v>
      </c>
      <c r="S380" s="1636">
        <v>16.600000000000001</v>
      </c>
      <c r="U380" s="1656">
        <v>6.4720000000000003E-3</v>
      </c>
      <c r="V380" s="1657">
        <v>0</v>
      </c>
      <c r="W380" s="1657">
        <v>6.4720000000000003E-3</v>
      </c>
      <c r="X380" s="1657">
        <v>0</v>
      </c>
      <c r="Y380" s="1658">
        <v>0</v>
      </c>
    </row>
    <row r="381" spans="3:25" ht="13.95" customHeight="1" x14ac:dyDescent="0.3">
      <c r="C381" s="1057">
        <v>367</v>
      </c>
      <c r="D381" s="1058" t="s">
        <v>1249</v>
      </c>
      <c r="E381" s="1059">
        <v>1</v>
      </c>
      <c r="F381" s="1297" t="s">
        <v>1086</v>
      </c>
      <c r="G381" s="1057" t="s">
        <v>1036</v>
      </c>
      <c r="H381" s="1058"/>
      <c r="I381" s="1057">
        <v>1</v>
      </c>
      <c r="J381" s="1058"/>
      <c r="K381" s="1058"/>
      <c r="L381" s="1058"/>
      <c r="M381" s="1636">
        <v>0</v>
      </c>
      <c r="N381" s="1636"/>
      <c r="O381" s="1636">
        <v>0</v>
      </c>
      <c r="P381" s="1636">
        <v>0</v>
      </c>
      <c r="Q381" s="1636">
        <v>0</v>
      </c>
      <c r="R381" s="1636">
        <v>0</v>
      </c>
      <c r="S381" s="1636">
        <v>19</v>
      </c>
      <c r="U381" s="1656">
        <v>1.6659999999999999E-3</v>
      </c>
      <c r="V381" s="1657">
        <v>0</v>
      </c>
      <c r="W381" s="1657">
        <v>1.6659999999999999E-3</v>
      </c>
      <c r="X381" s="1657">
        <v>0</v>
      </c>
      <c r="Y381" s="1658">
        <v>0</v>
      </c>
    </row>
    <row r="382" spans="3:25" ht="13.95" customHeight="1" x14ac:dyDescent="0.3">
      <c r="C382" s="1057">
        <v>368</v>
      </c>
      <c r="D382" s="1058" t="s">
        <v>1250</v>
      </c>
      <c r="E382" s="1059">
        <v>5</v>
      </c>
      <c r="F382" s="1297" t="s">
        <v>1135</v>
      </c>
      <c r="G382" s="1057" t="s">
        <v>1036</v>
      </c>
      <c r="H382" s="1058"/>
      <c r="I382" s="1057">
        <v>100</v>
      </c>
      <c r="J382" s="1058"/>
      <c r="K382" s="1058"/>
      <c r="L382" s="1058"/>
      <c r="M382" s="1636">
        <v>4440.3</v>
      </c>
      <c r="N382" s="1636"/>
      <c r="O382" s="1636">
        <v>4440.3</v>
      </c>
      <c r="P382" s="1636">
        <v>0</v>
      </c>
      <c r="Q382" s="1636">
        <v>0</v>
      </c>
      <c r="R382" s="1636">
        <v>0</v>
      </c>
      <c r="S382" s="1636">
        <v>0</v>
      </c>
      <c r="U382" s="1656">
        <v>0.2160445</v>
      </c>
      <c r="V382" s="1657">
        <v>0</v>
      </c>
      <c r="W382" s="1657">
        <v>0.2160445</v>
      </c>
      <c r="X382" s="1657">
        <v>1.6346092833795799E-2</v>
      </c>
      <c r="Y382" s="1658">
        <v>408.98</v>
      </c>
    </row>
    <row r="383" spans="3:25" ht="13.95" customHeight="1" x14ac:dyDescent="0.3">
      <c r="C383" s="1057">
        <v>369</v>
      </c>
      <c r="D383" s="1058" t="s">
        <v>1251</v>
      </c>
      <c r="E383" s="1059">
        <v>5</v>
      </c>
      <c r="F383" s="1297" t="s">
        <v>1063</v>
      </c>
      <c r="G383" s="1057" t="s">
        <v>1036</v>
      </c>
      <c r="H383" s="1058"/>
      <c r="I383" s="1057">
        <v>1</v>
      </c>
      <c r="J383" s="1058"/>
      <c r="K383" s="1058"/>
      <c r="L383" s="1058"/>
      <c r="M383" s="1636">
        <v>3275</v>
      </c>
      <c r="N383" s="1636"/>
      <c r="O383" s="1636">
        <v>3275</v>
      </c>
      <c r="P383" s="1636">
        <v>0</v>
      </c>
      <c r="Q383" s="1636">
        <v>0</v>
      </c>
      <c r="R383" s="1636">
        <v>3275</v>
      </c>
      <c r="S383" s="1636">
        <v>0</v>
      </c>
      <c r="U383" s="1656">
        <v>0.17338386</v>
      </c>
      <c r="V383" s="1657">
        <v>0</v>
      </c>
      <c r="W383" s="1657">
        <v>0.17338386</v>
      </c>
      <c r="X383" s="1657">
        <v>0</v>
      </c>
      <c r="Y383" s="1658">
        <v>0</v>
      </c>
    </row>
    <row r="384" spans="3:25" ht="13.95" customHeight="1" x14ac:dyDescent="0.3">
      <c r="C384" s="1057">
        <v>370</v>
      </c>
      <c r="D384" s="1058" t="s">
        <v>1252</v>
      </c>
      <c r="E384" s="1059">
        <v>9</v>
      </c>
      <c r="F384" s="1297" t="s">
        <v>1202</v>
      </c>
      <c r="G384" s="1057" t="s">
        <v>1036</v>
      </c>
      <c r="H384" s="1058"/>
      <c r="I384" s="1057">
        <v>108</v>
      </c>
      <c r="J384" s="1058"/>
      <c r="K384" s="1058"/>
      <c r="L384" s="1058"/>
      <c r="M384" s="1636">
        <v>6082.6</v>
      </c>
      <c r="N384" s="1636"/>
      <c r="O384" s="1636">
        <v>6082.6</v>
      </c>
      <c r="P384" s="1636">
        <v>0</v>
      </c>
      <c r="Q384" s="1636">
        <v>0</v>
      </c>
      <c r="R384" s="1636">
        <v>0</v>
      </c>
      <c r="S384" s="1636">
        <v>0</v>
      </c>
      <c r="U384" s="1656">
        <v>0.40215105000000001</v>
      </c>
      <c r="V384" s="1657">
        <v>0</v>
      </c>
      <c r="W384" s="1657">
        <v>0.40215105000000001</v>
      </c>
      <c r="X384" s="1657">
        <v>3.8398033264452672E-3</v>
      </c>
      <c r="Y384" s="1658">
        <v>75</v>
      </c>
    </row>
    <row r="385" spans="3:25" ht="13.95" customHeight="1" x14ac:dyDescent="0.3">
      <c r="C385" s="1057">
        <v>371</v>
      </c>
      <c r="D385" s="1058" t="s">
        <v>1253</v>
      </c>
      <c r="E385" s="1059">
        <v>1</v>
      </c>
      <c r="F385" s="1297" t="s">
        <v>1035</v>
      </c>
      <c r="G385" s="1057" t="s">
        <v>1036</v>
      </c>
      <c r="H385" s="1058"/>
      <c r="I385" s="1057">
        <v>0</v>
      </c>
      <c r="J385" s="1058"/>
      <c r="K385" s="1058"/>
      <c r="L385" s="1058"/>
      <c r="M385" s="1636">
        <v>0</v>
      </c>
      <c r="N385" s="1636"/>
      <c r="O385" s="1636">
        <v>0</v>
      </c>
      <c r="P385" s="1636">
        <v>0</v>
      </c>
      <c r="Q385" s="1636">
        <v>0</v>
      </c>
      <c r="R385" s="1636">
        <v>0</v>
      </c>
      <c r="S385" s="1636">
        <v>1150.5</v>
      </c>
      <c r="U385" s="1656">
        <v>0.182</v>
      </c>
      <c r="V385" s="1657">
        <v>0</v>
      </c>
      <c r="W385" s="1657">
        <v>0.182</v>
      </c>
      <c r="X385" s="1657">
        <v>0</v>
      </c>
      <c r="Y385" s="1658">
        <v>0</v>
      </c>
    </row>
    <row r="386" spans="3:25" ht="13.95" customHeight="1" x14ac:dyDescent="0.3">
      <c r="C386" s="1057">
        <v>372</v>
      </c>
      <c r="D386" s="1058" t="s">
        <v>1254</v>
      </c>
      <c r="E386" s="1059">
        <v>3</v>
      </c>
      <c r="F386" s="1297" t="s">
        <v>1130</v>
      </c>
      <c r="G386" s="1057" t="s">
        <v>1036</v>
      </c>
      <c r="H386" s="1058"/>
      <c r="I386" s="1057">
        <v>0</v>
      </c>
      <c r="J386" s="1058"/>
      <c r="K386" s="1058"/>
      <c r="L386" s="1058"/>
      <c r="M386" s="1636">
        <v>0</v>
      </c>
      <c r="N386" s="1636"/>
      <c r="O386" s="1636">
        <v>0</v>
      </c>
      <c r="P386" s="1636">
        <v>0</v>
      </c>
      <c r="Q386" s="1636">
        <v>0</v>
      </c>
      <c r="R386" s="1636">
        <v>0</v>
      </c>
      <c r="S386" s="1636">
        <v>2034</v>
      </c>
      <c r="U386" s="1656">
        <v>0.25</v>
      </c>
      <c r="V386" s="1657">
        <v>0</v>
      </c>
      <c r="W386" s="1657">
        <v>0.25</v>
      </c>
      <c r="X386" s="1657">
        <v>0</v>
      </c>
      <c r="Y386" s="1658">
        <v>0</v>
      </c>
    </row>
    <row r="387" spans="3:25" ht="13.95" customHeight="1" x14ac:dyDescent="0.3">
      <c r="C387" s="1057">
        <v>373</v>
      </c>
      <c r="D387" s="1058" t="s">
        <v>1255</v>
      </c>
      <c r="E387" s="1059">
        <v>9</v>
      </c>
      <c r="F387" s="1297" t="s">
        <v>1152</v>
      </c>
      <c r="G387" s="1057" t="s">
        <v>1036</v>
      </c>
      <c r="H387" s="1058"/>
      <c r="I387" s="1057">
        <v>1</v>
      </c>
      <c r="J387" s="1058"/>
      <c r="K387" s="1058"/>
      <c r="L387" s="1058"/>
      <c r="M387" s="1636">
        <v>4201.8999999999996</v>
      </c>
      <c r="N387" s="1636"/>
      <c r="O387" s="1636">
        <v>4201.8999999999996</v>
      </c>
      <c r="P387" s="1636">
        <v>0</v>
      </c>
      <c r="Q387" s="1636">
        <v>0</v>
      </c>
      <c r="R387" s="1636">
        <v>4201.8999999999996</v>
      </c>
      <c r="S387" s="1636">
        <v>0</v>
      </c>
      <c r="U387" s="1656">
        <v>0.24547656000000001</v>
      </c>
      <c r="V387" s="1657">
        <v>0</v>
      </c>
      <c r="W387" s="1657">
        <v>0.24547656000000001</v>
      </c>
      <c r="X387" s="1657">
        <v>0</v>
      </c>
      <c r="Y387" s="1658">
        <v>0</v>
      </c>
    </row>
    <row r="388" spans="3:25" ht="13.95" customHeight="1" x14ac:dyDescent="0.3">
      <c r="C388" s="1057">
        <v>374</v>
      </c>
      <c r="D388" s="1058" t="s">
        <v>1256</v>
      </c>
      <c r="E388" s="1059">
        <v>3</v>
      </c>
      <c r="F388" s="1297" t="s">
        <v>1154</v>
      </c>
      <c r="G388" s="1057" t="s">
        <v>1036</v>
      </c>
      <c r="H388" s="1058"/>
      <c r="I388" s="1057">
        <v>0</v>
      </c>
      <c r="J388" s="1058"/>
      <c r="K388" s="1058"/>
      <c r="L388" s="1058"/>
      <c r="M388" s="1636">
        <v>0</v>
      </c>
      <c r="N388" s="1636"/>
      <c r="O388" s="1636">
        <v>0</v>
      </c>
      <c r="P388" s="1636">
        <v>0</v>
      </c>
      <c r="Q388" s="1636">
        <v>0</v>
      </c>
      <c r="R388" s="1636">
        <v>0</v>
      </c>
      <c r="S388" s="1636">
        <v>6022</v>
      </c>
      <c r="U388" s="1656">
        <v>0.42399999999999999</v>
      </c>
      <c r="V388" s="1657">
        <v>0</v>
      </c>
      <c r="W388" s="1657">
        <v>0.42399999999999999</v>
      </c>
      <c r="X388" s="1657">
        <v>0</v>
      </c>
      <c r="Y388" s="1658">
        <v>0</v>
      </c>
    </row>
    <row r="389" spans="3:25" ht="13.95" customHeight="1" x14ac:dyDescent="0.3">
      <c r="C389" s="1057">
        <v>375</v>
      </c>
      <c r="D389" s="1058" t="s">
        <v>1257</v>
      </c>
      <c r="E389" s="1059">
        <v>3</v>
      </c>
      <c r="F389" s="1297" t="s">
        <v>1154</v>
      </c>
      <c r="G389" s="1057" t="s">
        <v>1036</v>
      </c>
      <c r="H389" s="1058"/>
      <c r="I389" s="1057">
        <v>0</v>
      </c>
      <c r="J389" s="1058"/>
      <c r="K389" s="1058"/>
      <c r="L389" s="1058"/>
      <c r="M389" s="1636">
        <v>0</v>
      </c>
      <c r="N389" s="1636"/>
      <c r="O389" s="1636">
        <v>0</v>
      </c>
      <c r="P389" s="1636">
        <v>0</v>
      </c>
      <c r="Q389" s="1636">
        <v>0</v>
      </c>
      <c r="R389" s="1636">
        <v>0</v>
      </c>
      <c r="S389" s="1636">
        <v>1983.7</v>
      </c>
      <c r="U389" s="1656">
        <v>0.185</v>
      </c>
      <c r="V389" s="1657">
        <v>0</v>
      </c>
      <c r="W389" s="1657">
        <v>0.185</v>
      </c>
      <c r="X389" s="1657">
        <v>0</v>
      </c>
      <c r="Y389" s="1658">
        <v>0</v>
      </c>
    </row>
    <row r="390" spans="3:25" ht="13.95" customHeight="1" x14ac:dyDescent="0.3">
      <c r="C390" s="1057">
        <v>376</v>
      </c>
      <c r="D390" s="1058" t="s">
        <v>1258</v>
      </c>
      <c r="E390" s="1059">
        <v>2</v>
      </c>
      <c r="F390" s="1297" t="s">
        <v>1221</v>
      </c>
      <c r="G390" s="1057" t="s">
        <v>1036</v>
      </c>
      <c r="H390" s="1058"/>
      <c r="I390" s="1057">
        <v>1</v>
      </c>
      <c r="J390" s="1058"/>
      <c r="K390" s="1058"/>
      <c r="L390" s="1058"/>
      <c r="M390" s="1636">
        <v>0</v>
      </c>
      <c r="N390" s="1636"/>
      <c r="O390" s="1636">
        <v>0</v>
      </c>
      <c r="P390" s="1636">
        <v>0</v>
      </c>
      <c r="Q390" s="1636">
        <v>0</v>
      </c>
      <c r="R390" s="1636">
        <v>0</v>
      </c>
      <c r="S390" s="1636">
        <v>532</v>
      </c>
      <c r="U390" s="1656">
        <v>3.7449999999999997E-2</v>
      </c>
      <c r="V390" s="1657">
        <v>0</v>
      </c>
      <c r="W390" s="1657">
        <v>3.7449999999999997E-2</v>
      </c>
      <c r="X390" s="1657">
        <v>0</v>
      </c>
      <c r="Y390" s="1658">
        <v>0</v>
      </c>
    </row>
    <row r="391" spans="3:25" ht="13.95" customHeight="1" x14ac:dyDescent="0.3">
      <c r="C391" s="1057">
        <v>377</v>
      </c>
      <c r="D391" s="1058" t="s">
        <v>1259</v>
      </c>
      <c r="E391" s="1059">
        <v>3</v>
      </c>
      <c r="F391" s="1297" t="s">
        <v>1061</v>
      </c>
      <c r="G391" s="1057" t="s">
        <v>1036</v>
      </c>
      <c r="H391" s="1058"/>
      <c r="I391" s="1057">
        <v>16</v>
      </c>
      <c r="J391" s="1058"/>
      <c r="K391" s="1058"/>
      <c r="L391" s="1058"/>
      <c r="M391" s="1636">
        <v>1721.3</v>
      </c>
      <c r="N391" s="1636"/>
      <c r="O391" s="1636">
        <v>1164.9000000000001</v>
      </c>
      <c r="P391" s="1636">
        <v>172.3</v>
      </c>
      <c r="Q391" s="1636">
        <v>0</v>
      </c>
      <c r="R391" s="1636">
        <v>0</v>
      </c>
      <c r="S391" s="1636">
        <v>0</v>
      </c>
      <c r="U391" s="1656">
        <v>6.8790619999999997E-2</v>
      </c>
      <c r="V391" s="1657">
        <v>2.5398410592978986E-4</v>
      </c>
      <c r="W391" s="1657">
        <v>6.8536635894070205E-2</v>
      </c>
      <c r="X391" s="1657">
        <v>2.5323232476888338E-3</v>
      </c>
      <c r="Y391" s="1658">
        <v>50</v>
      </c>
    </row>
    <row r="392" spans="3:25" ht="13.95" customHeight="1" x14ac:dyDescent="0.3">
      <c r="C392" s="1057">
        <v>378</v>
      </c>
      <c r="D392" s="1058" t="s">
        <v>1259</v>
      </c>
      <c r="E392" s="1059">
        <v>3</v>
      </c>
      <c r="F392" s="1297" t="s">
        <v>1061</v>
      </c>
      <c r="G392" s="1057" t="s">
        <v>1036</v>
      </c>
      <c r="H392" s="1058"/>
      <c r="I392" s="1057">
        <v>1</v>
      </c>
      <c r="J392" s="1058"/>
      <c r="K392" s="1058"/>
      <c r="L392" s="1058"/>
      <c r="M392" s="1636">
        <v>0</v>
      </c>
      <c r="N392" s="1636"/>
      <c r="O392" s="1636">
        <v>0</v>
      </c>
      <c r="P392" s="1636">
        <v>0</v>
      </c>
      <c r="Q392" s="1636">
        <v>70</v>
      </c>
      <c r="R392" s="1636">
        <v>0</v>
      </c>
      <c r="S392" s="1636">
        <v>0</v>
      </c>
      <c r="U392" s="1656">
        <v>3.176E-3</v>
      </c>
      <c r="V392" s="1657">
        <v>0</v>
      </c>
      <c r="W392" s="1657">
        <v>3.176E-3</v>
      </c>
      <c r="X392" s="1657">
        <v>0</v>
      </c>
      <c r="Y392" s="1658">
        <v>0</v>
      </c>
    </row>
    <row r="393" spans="3:25" ht="13.95" customHeight="1" x14ac:dyDescent="0.3">
      <c r="C393" s="1057">
        <v>379</v>
      </c>
      <c r="D393" s="1058" t="s">
        <v>1259</v>
      </c>
      <c r="E393" s="1059">
        <v>3</v>
      </c>
      <c r="F393" s="1297" t="s">
        <v>1061</v>
      </c>
      <c r="G393" s="1057" t="s">
        <v>1036</v>
      </c>
      <c r="H393" s="1058"/>
      <c r="I393" s="1057">
        <v>1</v>
      </c>
      <c r="J393" s="1058"/>
      <c r="K393" s="1058"/>
      <c r="L393" s="1058"/>
      <c r="M393" s="1636">
        <v>0</v>
      </c>
      <c r="N393" s="1636"/>
      <c r="O393" s="1636">
        <v>0</v>
      </c>
      <c r="P393" s="1636">
        <v>0</v>
      </c>
      <c r="Q393" s="1636">
        <v>314.10000000000002</v>
      </c>
      <c r="R393" s="1636">
        <v>0</v>
      </c>
      <c r="S393" s="1636">
        <v>0</v>
      </c>
      <c r="U393" s="1656">
        <v>2.9729999999999999E-3</v>
      </c>
      <c r="V393" s="1657">
        <v>0</v>
      </c>
      <c r="W393" s="1657">
        <v>2.9729999999999999E-3</v>
      </c>
      <c r="X393" s="1657">
        <v>0</v>
      </c>
      <c r="Y393" s="1658">
        <v>0</v>
      </c>
    </row>
    <row r="394" spans="3:25" ht="13.95" customHeight="1" x14ac:dyDescent="0.3">
      <c r="C394" s="1057">
        <v>380</v>
      </c>
      <c r="D394" s="1058" t="s">
        <v>1260</v>
      </c>
      <c r="E394" s="1059">
        <v>2</v>
      </c>
      <c r="F394" s="1297" t="s">
        <v>1080</v>
      </c>
      <c r="G394" s="1057" t="s">
        <v>1036</v>
      </c>
      <c r="H394" s="1058"/>
      <c r="I394" s="1057">
        <v>8</v>
      </c>
      <c r="J394" s="1058"/>
      <c r="K394" s="1058"/>
      <c r="L394" s="1058"/>
      <c r="M394" s="1636">
        <v>375</v>
      </c>
      <c r="N394" s="1636"/>
      <c r="O394" s="1636">
        <v>375</v>
      </c>
      <c r="P394" s="1636">
        <v>0</v>
      </c>
      <c r="Q394" s="1636">
        <v>0</v>
      </c>
      <c r="R394" s="1636">
        <v>0</v>
      </c>
      <c r="S394" s="1636">
        <v>0</v>
      </c>
      <c r="U394" s="1656">
        <v>2.7581060000000001E-2</v>
      </c>
      <c r="V394" s="1657">
        <v>0</v>
      </c>
      <c r="W394" s="1657">
        <v>2.7581060000000001E-2</v>
      </c>
      <c r="X394" s="1657">
        <v>0</v>
      </c>
      <c r="Y394" s="1658">
        <v>0</v>
      </c>
    </row>
    <row r="395" spans="3:25" ht="13.95" customHeight="1" x14ac:dyDescent="0.3">
      <c r="C395" s="1057">
        <v>381</v>
      </c>
      <c r="D395" s="1058" t="s">
        <v>1261</v>
      </c>
      <c r="E395" s="1059">
        <v>3</v>
      </c>
      <c r="F395" s="1297" t="s">
        <v>1044</v>
      </c>
      <c r="G395" s="1057" t="s">
        <v>1036</v>
      </c>
      <c r="H395" s="1058"/>
      <c r="I395" s="1057">
        <v>0</v>
      </c>
      <c r="J395" s="1058"/>
      <c r="K395" s="1058"/>
      <c r="L395" s="1058"/>
      <c r="M395" s="1636">
        <v>0</v>
      </c>
      <c r="N395" s="1636"/>
      <c r="O395" s="1636">
        <v>0</v>
      </c>
      <c r="P395" s="1636">
        <v>0</v>
      </c>
      <c r="Q395" s="1636">
        <v>0</v>
      </c>
      <c r="R395" s="1636">
        <v>0</v>
      </c>
      <c r="S395" s="1636">
        <v>10425</v>
      </c>
      <c r="U395" s="1656">
        <v>0.45600000000000002</v>
      </c>
      <c r="V395" s="1657">
        <v>0</v>
      </c>
      <c r="W395" s="1657">
        <v>0.45600000000000002</v>
      </c>
      <c r="X395" s="1657">
        <v>0</v>
      </c>
      <c r="Y395" s="1658">
        <v>0</v>
      </c>
    </row>
    <row r="396" spans="3:25" ht="13.95" customHeight="1" x14ac:dyDescent="0.3">
      <c r="C396" s="1057">
        <v>382</v>
      </c>
      <c r="D396" s="1058" t="s">
        <v>1262</v>
      </c>
      <c r="E396" s="1059">
        <v>1</v>
      </c>
      <c r="F396" s="1297" t="s">
        <v>1221</v>
      </c>
      <c r="G396" s="1057" t="s">
        <v>1036</v>
      </c>
      <c r="H396" s="1058"/>
      <c r="I396" s="1057">
        <v>0</v>
      </c>
      <c r="J396" s="1058"/>
      <c r="K396" s="1058"/>
      <c r="L396" s="1058"/>
      <c r="M396" s="1636">
        <v>0</v>
      </c>
      <c r="N396" s="1636"/>
      <c r="O396" s="1636">
        <v>0</v>
      </c>
      <c r="P396" s="1636">
        <v>0</v>
      </c>
      <c r="Q396" s="1636">
        <v>0</v>
      </c>
      <c r="R396" s="1636">
        <v>0</v>
      </c>
      <c r="S396" s="1636">
        <v>500</v>
      </c>
      <c r="U396" s="1656">
        <v>0.01</v>
      </c>
      <c r="V396" s="1657">
        <v>0</v>
      </c>
      <c r="W396" s="1657">
        <v>0.01</v>
      </c>
      <c r="X396" s="1657">
        <v>0</v>
      </c>
      <c r="Y396" s="1658">
        <v>0</v>
      </c>
    </row>
    <row r="397" spans="3:25" ht="13.95" customHeight="1" x14ac:dyDescent="0.3">
      <c r="C397" s="1057">
        <v>383</v>
      </c>
      <c r="D397" s="1058" t="s">
        <v>1262</v>
      </c>
      <c r="E397" s="1059">
        <v>1</v>
      </c>
      <c r="F397" s="1297" t="s">
        <v>1221</v>
      </c>
      <c r="G397" s="1057" t="s">
        <v>1036</v>
      </c>
      <c r="H397" s="1058"/>
      <c r="I397" s="1057">
        <v>0</v>
      </c>
      <c r="J397" s="1058"/>
      <c r="K397" s="1058"/>
      <c r="L397" s="1058"/>
      <c r="M397" s="1636">
        <v>0</v>
      </c>
      <c r="N397" s="1636"/>
      <c r="O397" s="1636">
        <v>0</v>
      </c>
      <c r="P397" s="1636">
        <v>0</v>
      </c>
      <c r="Q397" s="1636">
        <v>0</v>
      </c>
      <c r="R397" s="1636">
        <v>0</v>
      </c>
      <c r="S397" s="1636">
        <v>1169.5999999999999</v>
      </c>
      <c r="U397" s="1656">
        <v>0.05</v>
      </c>
      <c r="V397" s="1657">
        <v>0</v>
      </c>
      <c r="W397" s="1657">
        <v>0.05</v>
      </c>
      <c r="X397" s="1657">
        <v>0</v>
      </c>
      <c r="Y397" s="1658">
        <v>0</v>
      </c>
    </row>
    <row r="398" spans="3:25" ht="13.95" customHeight="1" x14ac:dyDescent="0.3">
      <c r="C398" s="1057">
        <v>384</v>
      </c>
      <c r="D398" s="1058" t="s">
        <v>1263</v>
      </c>
      <c r="E398" s="1059">
        <v>4</v>
      </c>
      <c r="F398" s="1297" t="s">
        <v>1065</v>
      </c>
      <c r="G398" s="1057" t="s">
        <v>1036</v>
      </c>
      <c r="H398" s="1058"/>
      <c r="I398" s="1057">
        <v>48</v>
      </c>
      <c r="J398" s="1058"/>
      <c r="K398" s="1058"/>
      <c r="L398" s="1058"/>
      <c r="M398" s="1636">
        <v>1963.4</v>
      </c>
      <c r="N398" s="1636"/>
      <c r="O398" s="1636">
        <v>1963.4</v>
      </c>
      <c r="P398" s="1636">
        <v>0</v>
      </c>
      <c r="Q398" s="1636">
        <v>0</v>
      </c>
      <c r="R398" s="1636">
        <v>0</v>
      </c>
      <c r="S398" s="1636">
        <v>0</v>
      </c>
      <c r="U398" s="1656">
        <v>0.13585532</v>
      </c>
      <c r="V398" s="1657">
        <v>0</v>
      </c>
      <c r="W398" s="1657">
        <v>0.13585532</v>
      </c>
      <c r="X398" s="1657">
        <v>0</v>
      </c>
      <c r="Y398" s="1658">
        <v>0</v>
      </c>
    </row>
    <row r="399" spans="3:25" ht="13.95" customHeight="1" x14ac:dyDescent="0.3">
      <c r="C399" s="1057">
        <v>385</v>
      </c>
      <c r="D399" s="1058" t="s">
        <v>1264</v>
      </c>
      <c r="E399" s="1059">
        <v>2</v>
      </c>
      <c r="F399" s="1297" t="s">
        <v>1080</v>
      </c>
      <c r="G399" s="1057" t="s">
        <v>1036</v>
      </c>
      <c r="H399" s="1058"/>
      <c r="I399" s="1057">
        <v>9</v>
      </c>
      <c r="J399" s="1058"/>
      <c r="K399" s="1058"/>
      <c r="L399" s="1058"/>
      <c r="M399" s="1636">
        <v>375.3</v>
      </c>
      <c r="N399" s="1636"/>
      <c r="O399" s="1636">
        <v>375.3</v>
      </c>
      <c r="P399" s="1636">
        <v>0</v>
      </c>
      <c r="Q399" s="1636">
        <v>0</v>
      </c>
      <c r="R399" s="1636">
        <v>0</v>
      </c>
      <c r="S399" s="1636">
        <v>0</v>
      </c>
      <c r="U399" s="1656">
        <v>2.9895229999999998E-2</v>
      </c>
      <c r="V399" s="1657">
        <v>0</v>
      </c>
      <c r="W399" s="1657">
        <v>2.9895229999999998E-2</v>
      </c>
      <c r="X399" s="1657">
        <v>0</v>
      </c>
      <c r="Y399" s="1658">
        <v>0</v>
      </c>
    </row>
    <row r="400" spans="3:25" ht="13.95" customHeight="1" x14ac:dyDescent="0.3">
      <c r="C400" s="1057">
        <v>386</v>
      </c>
      <c r="D400" s="1058" t="s">
        <v>1265</v>
      </c>
      <c r="E400" s="1059">
        <v>3</v>
      </c>
      <c r="F400" s="1297" t="s">
        <v>1149</v>
      </c>
      <c r="G400" s="1057" t="s">
        <v>1036</v>
      </c>
      <c r="H400" s="1058"/>
      <c r="I400" s="1057">
        <v>1</v>
      </c>
      <c r="J400" s="1058"/>
      <c r="K400" s="1058"/>
      <c r="L400" s="1058"/>
      <c r="M400" s="1636">
        <v>0</v>
      </c>
      <c r="N400" s="1636"/>
      <c r="O400" s="1636">
        <v>0</v>
      </c>
      <c r="P400" s="1636">
        <v>0</v>
      </c>
      <c r="Q400" s="1636">
        <v>0</v>
      </c>
      <c r="R400" s="1636">
        <v>0</v>
      </c>
      <c r="S400" s="1636">
        <v>1344</v>
      </c>
      <c r="U400" s="1656">
        <v>0.10148</v>
      </c>
      <c r="V400" s="1657">
        <v>0</v>
      </c>
      <c r="W400" s="1657">
        <v>0.10148</v>
      </c>
      <c r="X400" s="1657">
        <v>0</v>
      </c>
      <c r="Y400" s="1658">
        <v>0</v>
      </c>
    </row>
    <row r="401" spans="3:25" ht="13.95" customHeight="1" x14ac:dyDescent="0.3">
      <c r="C401" s="1057">
        <v>387</v>
      </c>
      <c r="D401" s="1058" t="s">
        <v>1266</v>
      </c>
      <c r="E401" s="1059">
        <v>3</v>
      </c>
      <c r="F401" s="1297" t="s">
        <v>1267</v>
      </c>
      <c r="G401" s="1057" t="s">
        <v>1036</v>
      </c>
      <c r="H401" s="1058"/>
      <c r="I401" s="1057">
        <v>9</v>
      </c>
      <c r="J401" s="1058"/>
      <c r="K401" s="1058"/>
      <c r="L401" s="1058"/>
      <c r="M401" s="1636">
        <v>946.7</v>
      </c>
      <c r="N401" s="1636"/>
      <c r="O401" s="1636">
        <v>659.3</v>
      </c>
      <c r="P401" s="1636">
        <v>79.599999999999994</v>
      </c>
      <c r="Q401" s="1636">
        <v>0</v>
      </c>
      <c r="R401" s="1636">
        <v>0</v>
      </c>
      <c r="S401" s="1636">
        <v>0</v>
      </c>
      <c r="U401" s="1656">
        <v>4.3869289999999998E-2</v>
      </c>
      <c r="V401" s="1657">
        <v>1.4952635107674093E-4</v>
      </c>
      <c r="W401" s="1657">
        <v>4.3719763648923257E-2</v>
      </c>
      <c r="X401" s="1657">
        <v>1.7783492030697314E-3</v>
      </c>
      <c r="Y401" s="1658">
        <v>31</v>
      </c>
    </row>
    <row r="402" spans="3:25" ht="13.95" customHeight="1" x14ac:dyDescent="0.3">
      <c r="C402" s="1057">
        <v>388</v>
      </c>
      <c r="D402" s="1058" t="s">
        <v>1266</v>
      </c>
      <c r="E402" s="1059">
        <v>3</v>
      </c>
      <c r="F402" s="1297" t="s">
        <v>1267</v>
      </c>
      <c r="G402" s="1057" t="s">
        <v>1036</v>
      </c>
      <c r="H402" s="1058"/>
      <c r="I402" s="1057">
        <v>1</v>
      </c>
      <c r="J402" s="1058"/>
      <c r="K402" s="1058"/>
      <c r="L402" s="1058"/>
      <c r="M402" s="1636">
        <v>0</v>
      </c>
      <c r="N402" s="1636"/>
      <c r="O402" s="1636">
        <v>0</v>
      </c>
      <c r="P402" s="1636">
        <v>0</v>
      </c>
      <c r="Q402" s="1636">
        <v>80</v>
      </c>
      <c r="R402" s="1636">
        <v>0</v>
      </c>
      <c r="S402" s="1636">
        <v>0</v>
      </c>
      <c r="U402" s="1656">
        <v>5.6429999999999996E-3</v>
      </c>
      <c r="V402" s="1657">
        <v>0</v>
      </c>
      <c r="W402" s="1657">
        <v>5.6429999999999996E-3</v>
      </c>
      <c r="X402" s="1657">
        <v>0</v>
      </c>
      <c r="Y402" s="1658">
        <v>0</v>
      </c>
    </row>
    <row r="403" spans="3:25" ht="13.95" customHeight="1" x14ac:dyDescent="0.3">
      <c r="C403" s="1057">
        <v>389</v>
      </c>
      <c r="D403" s="1058" t="s">
        <v>1266</v>
      </c>
      <c r="E403" s="1059">
        <v>3</v>
      </c>
      <c r="F403" s="1297" t="s">
        <v>1267</v>
      </c>
      <c r="G403" s="1057" t="s">
        <v>1036</v>
      </c>
      <c r="H403" s="1058"/>
      <c r="I403" s="1057">
        <v>1</v>
      </c>
      <c r="J403" s="1058"/>
      <c r="K403" s="1058"/>
      <c r="L403" s="1058"/>
      <c r="M403" s="1636">
        <v>0</v>
      </c>
      <c r="N403" s="1636"/>
      <c r="O403" s="1636">
        <v>0</v>
      </c>
      <c r="P403" s="1636">
        <v>0</v>
      </c>
      <c r="Q403" s="1636">
        <v>127.8</v>
      </c>
      <c r="R403" s="1636">
        <v>0</v>
      </c>
      <c r="S403" s="1636">
        <v>0</v>
      </c>
      <c r="U403" s="1656">
        <v>1.11E-2</v>
      </c>
      <c r="V403" s="1657">
        <v>0</v>
      </c>
      <c r="W403" s="1657">
        <v>1.11E-2</v>
      </c>
      <c r="X403" s="1657">
        <v>0</v>
      </c>
      <c r="Y403" s="1658">
        <v>0</v>
      </c>
    </row>
    <row r="404" spans="3:25" ht="13.95" customHeight="1" x14ac:dyDescent="0.3">
      <c r="C404" s="1057">
        <v>390</v>
      </c>
      <c r="D404" s="1058" t="s">
        <v>1268</v>
      </c>
      <c r="E404" s="1059">
        <v>2</v>
      </c>
      <c r="F404" s="1297" t="s">
        <v>1269</v>
      </c>
      <c r="G404" s="1057" t="s">
        <v>1036</v>
      </c>
      <c r="H404" s="1058"/>
      <c r="I404" s="1057">
        <v>9</v>
      </c>
      <c r="J404" s="1058"/>
      <c r="K404" s="1058"/>
      <c r="L404" s="1058"/>
      <c r="M404" s="1636">
        <v>386.1</v>
      </c>
      <c r="N404" s="1636"/>
      <c r="O404" s="1636">
        <v>386.1</v>
      </c>
      <c r="P404" s="1636">
        <v>0</v>
      </c>
      <c r="Q404" s="1636">
        <v>0</v>
      </c>
      <c r="R404" s="1636">
        <v>0</v>
      </c>
      <c r="S404" s="1636">
        <v>0</v>
      </c>
      <c r="U404" s="1656">
        <v>3.2635070000000002E-2</v>
      </c>
      <c r="V404" s="1657">
        <v>0</v>
      </c>
      <c r="W404" s="1657">
        <v>3.2635070000000002E-2</v>
      </c>
      <c r="X404" s="1657">
        <v>0</v>
      </c>
      <c r="Y404" s="1658">
        <v>0</v>
      </c>
    </row>
    <row r="405" spans="3:25" ht="13.95" customHeight="1" x14ac:dyDescent="0.3">
      <c r="C405" s="1057">
        <v>391</v>
      </c>
      <c r="D405" s="1058" t="s">
        <v>1270</v>
      </c>
      <c r="E405" s="1059">
        <v>16</v>
      </c>
      <c r="F405" s="1297" t="s">
        <v>1271</v>
      </c>
      <c r="G405" s="1057" t="s">
        <v>1036</v>
      </c>
      <c r="H405" s="1058"/>
      <c r="I405" s="1057">
        <v>1</v>
      </c>
      <c r="J405" s="1058"/>
      <c r="K405" s="1058"/>
      <c r="L405" s="1058"/>
      <c r="M405" s="1636">
        <v>12314.9</v>
      </c>
      <c r="N405" s="1636"/>
      <c r="O405" s="1636">
        <v>12314.9</v>
      </c>
      <c r="P405" s="1636">
        <v>0</v>
      </c>
      <c r="Q405" s="1636">
        <v>0</v>
      </c>
      <c r="R405" s="1636">
        <v>12314.9</v>
      </c>
      <c r="S405" s="1636">
        <v>0</v>
      </c>
      <c r="U405" s="1656">
        <v>0.85726500000000005</v>
      </c>
      <c r="V405" s="1657">
        <v>0</v>
      </c>
      <c r="W405" s="1657">
        <v>0.85726500000000005</v>
      </c>
      <c r="X405" s="1657">
        <v>0</v>
      </c>
      <c r="Y405" s="1658">
        <v>0</v>
      </c>
    </row>
    <row r="406" spans="3:25" ht="13.95" customHeight="1" x14ac:dyDescent="0.3">
      <c r="C406" s="1057">
        <v>392</v>
      </c>
      <c r="D406" s="1058" t="s">
        <v>1272</v>
      </c>
      <c r="E406" s="1059">
        <v>4</v>
      </c>
      <c r="F406" s="1297" t="s">
        <v>1114</v>
      </c>
      <c r="G406" s="1057" t="s">
        <v>1036</v>
      </c>
      <c r="H406" s="1058"/>
      <c r="I406" s="1057">
        <v>55</v>
      </c>
      <c r="J406" s="1058"/>
      <c r="K406" s="1058"/>
      <c r="L406" s="1058"/>
      <c r="M406" s="1636">
        <v>4695.3999999999996</v>
      </c>
      <c r="N406" s="1636"/>
      <c r="O406" s="1636">
        <v>3689.29</v>
      </c>
      <c r="P406" s="1636">
        <v>288.10000000000002</v>
      </c>
      <c r="Q406" s="1636">
        <v>0</v>
      </c>
      <c r="R406" s="1636">
        <v>0</v>
      </c>
      <c r="S406" s="1636">
        <v>0</v>
      </c>
      <c r="U406" s="1656">
        <v>0.23372736999999999</v>
      </c>
      <c r="V406" s="1657">
        <v>0</v>
      </c>
      <c r="W406" s="1657">
        <v>0.23372736999999999</v>
      </c>
      <c r="X406" s="1657">
        <v>0</v>
      </c>
      <c r="Y406" s="1658">
        <v>0</v>
      </c>
    </row>
    <row r="407" spans="3:25" ht="13.95" customHeight="1" x14ac:dyDescent="0.3">
      <c r="C407" s="1057">
        <v>393</v>
      </c>
      <c r="D407" s="1058" t="s">
        <v>1272</v>
      </c>
      <c r="E407" s="1059">
        <v>4</v>
      </c>
      <c r="F407" s="1297" t="s">
        <v>1114</v>
      </c>
      <c r="G407" s="1057" t="s">
        <v>1036</v>
      </c>
      <c r="H407" s="1058"/>
      <c r="I407" s="1057">
        <v>0</v>
      </c>
      <c r="J407" s="1058"/>
      <c r="K407" s="1058"/>
      <c r="L407" s="1058"/>
      <c r="M407" s="1636">
        <v>0</v>
      </c>
      <c r="N407" s="1636"/>
      <c r="O407" s="1636">
        <v>0</v>
      </c>
      <c r="P407" s="1636">
        <v>0</v>
      </c>
      <c r="Q407" s="1636">
        <v>206.6</v>
      </c>
      <c r="R407" s="1636">
        <v>0</v>
      </c>
      <c r="S407" s="1636">
        <v>0</v>
      </c>
      <c r="U407" s="1656">
        <v>1.9893999999999998E-2</v>
      </c>
      <c r="V407" s="1657">
        <v>0</v>
      </c>
      <c r="W407" s="1657">
        <v>1.9893999999999998E-2</v>
      </c>
      <c r="X407" s="1657">
        <v>0</v>
      </c>
      <c r="Y407" s="1658">
        <v>0</v>
      </c>
    </row>
    <row r="408" spans="3:25" ht="13.95" customHeight="1" x14ac:dyDescent="0.3">
      <c r="C408" s="1057">
        <v>394</v>
      </c>
      <c r="D408" s="1058" t="s">
        <v>1272</v>
      </c>
      <c r="E408" s="1059">
        <v>4</v>
      </c>
      <c r="F408" s="1297" t="s">
        <v>1114</v>
      </c>
      <c r="G408" s="1057" t="s">
        <v>1036</v>
      </c>
      <c r="H408" s="1058"/>
      <c r="I408" s="1057">
        <v>1</v>
      </c>
      <c r="J408" s="1058"/>
      <c r="K408" s="1058"/>
      <c r="L408" s="1058"/>
      <c r="M408" s="1636">
        <v>0</v>
      </c>
      <c r="N408" s="1636"/>
      <c r="O408" s="1636">
        <v>0</v>
      </c>
      <c r="P408" s="1636">
        <v>0</v>
      </c>
      <c r="Q408" s="1636">
        <v>65.900000000000006</v>
      </c>
      <c r="R408" s="1636">
        <v>0</v>
      </c>
      <c r="S408" s="1636">
        <v>0</v>
      </c>
      <c r="U408" s="1656">
        <v>3.5999999999999999E-3</v>
      </c>
      <c r="V408" s="1657">
        <v>0</v>
      </c>
      <c r="W408" s="1657">
        <v>3.5999999999999999E-3</v>
      </c>
      <c r="X408" s="1657">
        <v>0</v>
      </c>
      <c r="Y408" s="1658">
        <v>0</v>
      </c>
    </row>
    <row r="409" spans="3:25" ht="13.95" customHeight="1" x14ac:dyDescent="0.3">
      <c r="C409" s="1057">
        <v>395</v>
      </c>
      <c r="D409" s="1058" t="s">
        <v>1272</v>
      </c>
      <c r="E409" s="1059">
        <v>4</v>
      </c>
      <c r="F409" s="1297" t="s">
        <v>1114</v>
      </c>
      <c r="G409" s="1057" t="s">
        <v>1036</v>
      </c>
      <c r="H409" s="1058"/>
      <c r="I409" s="1057">
        <v>1</v>
      </c>
      <c r="J409" s="1058"/>
      <c r="K409" s="1058"/>
      <c r="L409" s="1058"/>
      <c r="M409" s="1636">
        <v>0</v>
      </c>
      <c r="N409" s="1636"/>
      <c r="O409" s="1636">
        <v>0</v>
      </c>
      <c r="P409" s="1636">
        <v>0</v>
      </c>
      <c r="Q409" s="1636">
        <v>82.69</v>
      </c>
      <c r="R409" s="1636">
        <v>0</v>
      </c>
      <c r="S409" s="1636">
        <v>0</v>
      </c>
      <c r="U409" s="1656">
        <v>6.3400000000000001E-3</v>
      </c>
      <c r="V409" s="1657">
        <v>0</v>
      </c>
      <c r="W409" s="1657">
        <v>6.3400000000000001E-3</v>
      </c>
      <c r="X409" s="1657">
        <v>0</v>
      </c>
      <c r="Y409" s="1658">
        <v>0</v>
      </c>
    </row>
    <row r="410" spans="3:25" ht="13.95" customHeight="1" x14ac:dyDescent="0.3">
      <c r="C410" s="1057">
        <v>396</v>
      </c>
      <c r="D410" s="1058" t="s">
        <v>1272</v>
      </c>
      <c r="E410" s="1059">
        <v>4</v>
      </c>
      <c r="F410" s="1297" t="s">
        <v>1114</v>
      </c>
      <c r="G410" s="1057" t="s">
        <v>1036</v>
      </c>
      <c r="H410" s="1058"/>
      <c r="I410" s="1057">
        <v>1</v>
      </c>
      <c r="J410" s="1058"/>
      <c r="K410" s="1058"/>
      <c r="L410" s="1058"/>
      <c r="M410" s="1636">
        <v>0</v>
      </c>
      <c r="N410" s="1636"/>
      <c r="O410" s="1636">
        <v>0</v>
      </c>
      <c r="P410" s="1636">
        <v>0</v>
      </c>
      <c r="Q410" s="1636">
        <v>38</v>
      </c>
      <c r="R410" s="1636">
        <v>0</v>
      </c>
      <c r="S410" s="1636">
        <v>0</v>
      </c>
      <c r="U410" s="1656">
        <v>1.5150000000000001E-3</v>
      </c>
      <c r="V410" s="1657">
        <v>0</v>
      </c>
      <c r="W410" s="1657">
        <v>1.5150000000000001E-3</v>
      </c>
      <c r="X410" s="1657">
        <v>0</v>
      </c>
      <c r="Y410" s="1658">
        <v>0</v>
      </c>
    </row>
    <row r="411" spans="3:25" ht="13.95" customHeight="1" x14ac:dyDescent="0.3">
      <c r="C411" s="1057">
        <v>397</v>
      </c>
      <c r="D411" s="1058" t="s">
        <v>1272</v>
      </c>
      <c r="E411" s="1059">
        <v>4</v>
      </c>
      <c r="F411" s="1297" t="s">
        <v>1114</v>
      </c>
      <c r="G411" s="1057" t="s">
        <v>1036</v>
      </c>
      <c r="H411" s="1058"/>
      <c r="I411" s="1057">
        <v>1</v>
      </c>
      <c r="J411" s="1058"/>
      <c r="K411" s="1058"/>
      <c r="L411" s="1058"/>
      <c r="M411" s="1636">
        <v>0</v>
      </c>
      <c r="N411" s="1636"/>
      <c r="O411" s="1636">
        <v>0</v>
      </c>
      <c r="P411" s="1636">
        <v>0</v>
      </c>
      <c r="Q411" s="1636">
        <v>85</v>
      </c>
      <c r="R411" s="1636">
        <v>0</v>
      </c>
      <c r="S411" s="1636">
        <v>0</v>
      </c>
      <c r="U411" s="1656">
        <v>5.4140000000000004E-3</v>
      </c>
      <c r="V411" s="1657">
        <v>0</v>
      </c>
      <c r="W411" s="1657">
        <v>5.4140000000000004E-3</v>
      </c>
      <c r="X411" s="1657">
        <v>0</v>
      </c>
      <c r="Y411" s="1658">
        <v>0</v>
      </c>
    </row>
    <row r="412" spans="3:25" ht="13.95" customHeight="1" x14ac:dyDescent="0.3">
      <c r="C412" s="1057">
        <v>398</v>
      </c>
      <c r="D412" s="1058" t="s">
        <v>1272</v>
      </c>
      <c r="E412" s="1059">
        <v>4</v>
      </c>
      <c r="F412" s="1297" t="s">
        <v>1114</v>
      </c>
      <c r="G412" s="1057" t="s">
        <v>1036</v>
      </c>
      <c r="H412" s="1058"/>
      <c r="I412" s="1057">
        <v>1</v>
      </c>
      <c r="J412" s="1058"/>
      <c r="K412" s="1058"/>
      <c r="L412" s="1058"/>
      <c r="M412" s="1636">
        <v>0</v>
      </c>
      <c r="N412" s="1636"/>
      <c r="O412" s="1636">
        <v>0</v>
      </c>
      <c r="P412" s="1636">
        <v>0</v>
      </c>
      <c r="Q412" s="1636">
        <v>61.2</v>
      </c>
      <c r="R412" s="1636">
        <v>0</v>
      </c>
      <c r="S412" s="1636">
        <v>0</v>
      </c>
      <c r="U412" s="1656">
        <v>3.2000000000000002E-3</v>
      </c>
      <c r="V412" s="1657">
        <v>0</v>
      </c>
      <c r="W412" s="1657">
        <v>3.2000000000000002E-3</v>
      </c>
      <c r="X412" s="1657">
        <v>0</v>
      </c>
      <c r="Y412" s="1658">
        <v>0</v>
      </c>
    </row>
    <row r="413" spans="3:25" ht="13.95" customHeight="1" x14ac:dyDescent="0.3">
      <c r="C413" s="1057">
        <v>399</v>
      </c>
      <c r="D413" s="1058" t="s">
        <v>1272</v>
      </c>
      <c r="E413" s="1059">
        <v>4</v>
      </c>
      <c r="F413" s="1297" t="s">
        <v>1114</v>
      </c>
      <c r="G413" s="1057" t="s">
        <v>1036</v>
      </c>
      <c r="H413" s="1058"/>
      <c r="I413" s="1057">
        <v>1</v>
      </c>
      <c r="J413" s="1058"/>
      <c r="K413" s="1058"/>
      <c r="L413" s="1058"/>
      <c r="M413" s="1636">
        <v>0</v>
      </c>
      <c r="N413" s="1636"/>
      <c r="O413" s="1636">
        <v>0</v>
      </c>
      <c r="P413" s="1636">
        <v>0</v>
      </c>
      <c r="Q413" s="1636">
        <v>14.3</v>
      </c>
      <c r="R413" s="1636">
        <v>0</v>
      </c>
      <c r="S413" s="1636">
        <v>0</v>
      </c>
      <c r="U413" s="1656">
        <v>1.299E-3</v>
      </c>
      <c r="V413" s="1657">
        <v>0</v>
      </c>
      <c r="W413" s="1657">
        <v>1.299E-3</v>
      </c>
      <c r="X413" s="1657">
        <v>0</v>
      </c>
      <c r="Y413" s="1658">
        <v>0</v>
      </c>
    </row>
    <row r="414" spans="3:25" ht="13.95" customHeight="1" x14ac:dyDescent="0.3">
      <c r="C414" s="1057">
        <v>400</v>
      </c>
      <c r="D414" s="1058" t="s">
        <v>1272</v>
      </c>
      <c r="E414" s="1059">
        <v>4</v>
      </c>
      <c r="F414" s="1297" t="s">
        <v>1114</v>
      </c>
      <c r="G414" s="1057" t="s">
        <v>1036</v>
      </c>
      <c r="H414" s="1058"/>
      <c r="I414" s="1057">
        <v>0</v>
      </c>
      <c r="J414" s="1058"/>
      <c r="K414" s="1058"/>
      <c r="L414" s="1058"/>
      <c r="M414" s="1636">
        <v>0</v>
      </c>
      <c r="N414" s="1636"/>
      <c r="O414" s="1636">
        <v>0</v>
      </c>
      <c r="P414" s="1636">
        <v>0</v>
      </c>
      <c r="Q414" s="1636">
        <v>0</v>
      </c>
      <c r="R414" s="1636">
        <v>0</v>
      </c>
      <c r="S414" s="1636">
        <v>0</v>
      </c>
      <c r="U414" s="1656">
        <v>0</v>
      </c>
      <c r="V414" s="1657">
        <v>0</v>
      </c>
      <c r="W414" s="1657">
        <v>0</v>
      </c>
      <c r="X414" s="1657">
        <v>0</v>
      </c>
      <c r="Y414" s="1658">
        <v>0</v>
      </c>
    </row>
    <row r="415" spans="3:25" ht="13.95" customHeight="1" x14ac:dyDescent="0.3">
      <c r="C415" s="1057">
        <v>401</v>
      </c>
      <c r="D415" s="1058" t="s">
        <v>1272</v>
      </c>
      <c r="E415" s="1059">
        <v>4</v>
      </c>
      <c r="F415" s="1297" t="s">
        <v>1114</v>
      </c>
      <c r="G415" s="1057" t="s">
        <v>1036</v>
      </c>
      <c r="H415" s="1058"/>
      <c r="I415" s="1057">
        <v>0</v>
      </c>
      <c r="J415" s="1058"/>
      <c r="K415" s="1058"/>
      <c r="L415" s="1058"/>
      <c r="M415" s="1636">
        <v>0</v>
      </c>
      <c r="N415" s="1636"/>
      <c r="O415" s="1636">
        <v>0</v>
      </c>
      <c r="P415" s="1636">
        <v>0</v>
      </c>
      <c r="Q415" s="1636">
        <v>10.4</v>
      </c>
      <c r="R415" s="1636">
        <v>0</v>
      </c>
      <c r="S415" s="1636">
        <v>0</v>
      </c>
      <c r="U415" s="1656">
        <v>7.7999999999999999E-4</v>
      </c>
      <c r="V415" s="1657">
        <v>0</v>
      </c>
      <c r="W415" s="1657">
        <v>7.7999999999999999E-4</v>
      </c>
      <c r="X415" s="1657">
        <v>0</v>
      </c>
      <c r="Y415" s="1658">
        <v>0</v>
      </c>
    </row>
    <row r="416" spans="3:25" ht="13.95" customHeight="1" x14ac:dyDescent="0.3">
      <c r="C416" s="1057">
        <v>402</v>
      </c>
      <c r="D416" s="1058" t="s">
        <v>1272</v>
      </c>
      <c r="E416" s="1059">
        <v>4</v>
      </c>
      <c r="F416" s="1297" t="s">
        <v>1114</v>
      </c>
      <c r="G416" s="1057" t="s">
        <v>1036</v>
      </c>
      <c r="H416" s="1058"/>
      <c r="I416" s="1057">
        <v>1</v>
      </c>
      <c r="J416" s="1058"/>
      <c r="K416" s="1058"/>
      <c r="L416" s="1058"/>
      <c r="M416" s="1636">
        <v>0</v>
      </c>
      <c r="N416" s="1636"/>
      <c r="O416" s="1636">
        <v>0</v>
      </c>
      <c r="P416" s="1636">
        <v>0</v>
      </c>
      <c r="Q416" s="1636">
        <v>152.9</v>
      </c>
      <c r="R416" s="1636">
        <v>0</v>
      </c>
      <c r="S416" s="1636">
        <v>0</v>
      </c>
      <c r="U416" s="1656">
        <v>1.4999999999999999E-2</v>
      </c>
      <c r="V416" s="1657">
        <v>0</v>
      </c>
      <c r="W416" s="1657">
        <v>1.4999999999999999E-2</v>
      </c>
      <c r="X416" s="1657">
        <v>0</v>
      </c>
      <c r="Y416" s="1658">
        <v>0</v>
      </c>
    </row>
    <row r="417" spans="3:25" ht="13.95" customHeight="1" x14ac:dyDescent="0.3">
      <c r="C417" s="1057">
        <v>403</v>
      </c>
      <c r="D417" s="1058" t="s">
        <v>1273</v>
      </c>
      <c r="E417" s="1059">
        <v>5</v>
      </c>
      <c r="F417" s="1297" t="s">
        <v>1063</v>
      </c>
      <c r="G417" s="1057" t="s">
        <v>1036</v>
      </c>
      <c r="H417" s="1058"/>
      <c r="I417" s="1057">
        <v>67</v>
      </c>
      <c r="J417" s="1058"/>
      <c r="K417" s="1058"/>
      <c r="L417" s="1058"/>
      <c r="M417" s="1636">
        <v>2816</v>
      </c>
      <c r="N417" s="1636"/>
      <c r="O417" s="1636">
        <v>2605.4</v>
      </c>
      <c r="P417" s="1636">
        <v>0</v>
      </c>
      <c r="Q417" s="1636">
        <v>0</v>
      </c>
      <c r="R417" s="1636">
        <v>0</v>
      </c>
      <c r="S417" s="1636">
        <v>0</v>
      </c>
      <c r="U417" s="1656">
        <v>0.19052690999999999</v>
      </c>
      <c r="V417" s="1657">
        <v>0</v>
      </c>
      <c r="W417" s="1657">
        <v>0.19052690999999999</v>
      </c>
      <c r="X417" s="1657">
        <v>4.0804129348041198E-3</v>
      </c>
      <c r="Y417" s="1658">
        <v>64</v>
      </c>
    </row>
    <row r="418" spans="3:25" ht="13.95" customHeight="1" x14ac:dyDescent="0.3">
      <c r="C418" s="1057">
        <v>404</v>
      </c>
      <c r="D418" s="1058" t="s">
        <v>1273</v>
      </c>
      <c r="E418" s="1059">
        <v>5</v>
      </c>
      <c r="F418" s="1297" t="s">
        <v>1063</v>
      </c>
      <c r="G418" s="1057" t="s">
        <v>1036</v>
      </c>
      <c r="H418" s="1058"/>
      <c r="I418" s="1057">
        <v>0</v>
      </c>
      <c r="J418" s="1058"/>
      <c r="K418" s="1058"/>
      <c r="L418" s="1058"/>
      <c r="M418" s="1636">
        <v>0</v>
      </c>
      <c r="N418" s="1636"/>
      <c r="O418" s="1636">
        <v>0</v>
      </c>
      <c r="P418" s="1636">
        <v>0</v>
      </c>
      <c r="Q418" s="1636">
        <v>67.8</v>
      </c>
      <c r="R418" s="1636">
        <v>0</v>
      </c>
      <c r="S418" s="1636">
        <v>0</v>
      </c>
      <c r="U418" s="1656">
        <v>3.1110000000000001E-3</v>
      </c>
      <c r="V418" s="1657">
        <v>0</v>
      </c>
      <c r="W418" s="1657">
        <v>3.1110000000000001E-3</v>
      </c>
      <c r="X418" s="1657">
        <v>0</v>
      </c>
      <c r="Y418" s="1658">
        <v>0</v>
      </c>
    </row>
    <row r="419" spans="3:25" ht="13.95" customHeight="1" x14ac:dyDescent="0.3">
      <c r="C419" s="1057">
        <v>405</v>
      </c>
      <c r="D419" s="1058" t="s">
        <v>1273</v>
      </c>
      <c r="E419" s="1059">
        <v>5</v>
      </c>
      <c r="F419" s="1297" t="s">
        <v>1063</v>
      </c>
      <c r="G419" s="1057" t="s">
        <v>1036</v>
      </c>
      <c r="H419" s="1058"/>
      <c r="I419" s="1057">
        <v>0</v>
      </c>
      <c r="J419" s="1058"/>
      <c r="K419" s="1058"/>
      <c r="L419" s="1058"/>
      <c r="M419" s="1636">
        <v>0</v>
      </c>
      <c r="N419" s="1636"/>
      <c r="O419" s="1636">
        <v>0</v>
      </c>
      <c r="P419" s="1636">
        <v>0</v>
      </c>
      <c r="Q419" s="1636">
        <v>36.1</v>
      </c>
      <c r="R419" s="1636">
        <v>0</v>
      </c>
      <c r="S419" s="1636">
        <v>0</v>
      </c>
      <c r="U419" s="1656">
        <v>2.483E-3</v>
      </c>
      <c r="V419" s="1657">
        <v>0</v>
      </c>
      <c r="W419" s="1657">
        <v>2.483E-3</v>
      </c>
      <c r="X419" s="1657">
        <v>0</v>
      </c>
      <c r="Y419" s="1658">
        <v>0</v>
      </c>
    </row>
    <row r="420" spans="3:25" ht="13.95" customHeight="1" x14ac:dyDescent="0.3">
      <c r="C420" s="1057">
        <v>406</v>
      </c>
      <c r="D420" s="1058" t="s">
        <v>1273</v>
      </c>
      <c r="E420" s="1059">
        <v>5</v>
      </c>
      <c r="F420" s="1297" t="s">
        <v>1063</v>
      </c>
      <c r="G420" s="1057" t="s">
        <v>1036</v>
      </c>
      <c r="H420" s="1058"/>
      <c r="I420" s="1057">
        <v>1</v>
      </c>
      <c r="J420" s="1058"/>
      <c r="K420" s="1058"/>
      <c r="L420" s="1058"/>
      <c r="M420" s="1636">
        <v>0</v>
      </c>
      <c r="N420" s="1636"/>
      <c r="O420" s="1636">
        <v>0</v>
      </c>
      <c r="P420" s="1636">
        <v>0</v>
      </c>
      <c r="Q420" s="1636">
        <v>29.9</v>
      </c>
      <c r="R420" s="1636">
        <v>0</v>
      </c>
      <c r="S420" s="1636">
        <v>0</v>
      </c>
      <c r="U420" s="1656">
        <v>2.0140000000000002E-3</v>
      </c>
      <c r="V420" s="1657">
        <v>0</v>
      </c>
      <c r="W420" s="1657">
        <v>2.0140000000000002E-3</v>
      </c>
      <c r="X420" s="1657">
        <v>0</v>
      </c>
      <c r="Y420" s="1658">
        <v>0</v>
      </c>
    </row>
    <row r="421" spans="3:25" ht="13.95" customHeight="1" x14ac:dyDescent="0.3">
      <c r="C421" s="1057">
        <v>407</v>
      </c>
      <c r="D421" s="1058" t="s">
        <v>1273</v>
      </c>
      <c r="E421" s="1059">
        <v>5</v>
      </c>
      <c r="F421" s="1297" t="s">
        <v>1063</v>
      </c>
      <c r="G421" s="1057" t="s">
        <v>1036</v>
      </c>
      <c r="H421" s="1058"/>
      <c r="I421" s="1057">
        <v>1</v>
      </c>
      <c r="J421" s="1058"/>
      <c r="K421" s="1058"/>
      <c r="L421" s="1058"/>
      <c r="M421" s="1636">
        <v>0</v>
      </c>
      <c r="N421" s="1636"/>
      <c r="O421" s="1636">
        <v>0</v>
      </c>
      <c r="P421" s="1636">
        <v>0</v>
      </c>
      <c r="Q421" s="1636">
        <v>56.8</v>
      </c>
      <c r="R421" s="1636">
        <v>0</v>
      </c>
      <c r="S421" s="1636">
        <v>0</v>
      </c>
      <c r="U421" s="1656">
        <v>1.554E-3</v>
      </c>
      <c r="V421" s="1657">
        <v>0</v>
      </c>
      <c r="W421" s="1657">
        <v>1.554E-3</v>
      </c>
      <c r="X421" s="1657">
        <v>0</v>
      </c>
      <c r="Y421" s="1658">
        <v>0</v>
      </c>
    </row>
    <row r="422" spans="3:25" ht="13.95" customHeight="1" x14ac:dyDescent="0.3">
      <c r="C422" s="1057">
        <v>408</v>
      </c>
      <c r="D422" s="1058" t="s">
        <v>1273</v>
      </c>
      <c r="E422" s="1059">
        <v>5</v>
      </c>
      <c r="F422" s="1297" t="s">
        <v>1063</v>
      </c>
      <c r="G422" s="1057" t="s">
        <v>1036</v>
      </c>
      <c r="H422" s="1058"/>
      <c r="I422" s="1057">
        <v>1</v>
      </c>
      <c r="J422" s="1058"/>
      <c r="K422" s="1058"/>
      <c r="L422" s="1058"/>
      <c r="M422" s="1636">
        <v>0</v>
      </c>
      <c r="N422" s="1636"/>
      <c r="O422" s="1636">
        <v>0</v>
      </c>
      <c r="P422" s="1636">
        <v>0</v>
      </c>
      <c r="Q422" s="1636">
        <v>20</v>
      </c>
      <c r="R422" s="1636">
        <v>0</v>
      </c>
      <c r="S422" s="1636">
        <v>0</v>
      </c>
      <c r="U422" s="1656">
        <v>2.111E-3</v>
      </c>
      <c r="V422" s="1657">
        <v>0</v>
      </c>
      <c r="W422" s="1657">
        <v>2.111E-3</v>
      </c>
      <c r="X422" s="1657">
        <v>0</v>
      </c>
      <c r="Y422" s="1658">
        <v>0</v>
      </c>
    </row>
    <row r="423" spans="3:25" ht="13.95" customHeight="1" x14ac:dyDescent="0.3">
      <c r="C423" s="1057">
        <v>409</v>
      </c>
      <c r="D423" s="1058" t="s">
        <v>1273</v>
      </c>
      <c r="E423" s="1059">
        <v>1</v>
      </c>
      <c r="F423" s="1297" t="s">
        <v>1063</v>
      </c>
      <c r="G423" s="1057" t="s">
        <v>1036</v>
      </c>
      <c r="H423" s="1058"/>
      <c r="I423" s="1057">
        <v>1</v>
      </c>
      <c r="J423" s="1058"/>
      <c r="K423" s="1058"/>
      <c r="L423" s="1058"/>
      <c r="M423" s="1636">
        <v>0</v>
      </c>
      <c r="N423" s="1636"/>
      <c r="O423" s="1636">
        <v>0</v>
      </c>
      <c r="P423" s="1636">
        <v>0</v>
      </c>
      <c r="Q423" s="1636">
        <v>0</v>
      </c>
      <c r="R423" s="1636">
        <v>0</v>
      </c>
      <c r="S423" s="1636">
        <v>130.1</v>
      </c>
      <c r="U423" s="1656">
        <v>3.6159999999999999E-3</v>
      </c>
      <c r="V423" s="1657">
        <v>0</v>
      </c>
      <c r="W423" s="1657">
        <v>3.6159999999999999E-3</v>
      </c>
      <c r="X423" s="1657">
        <v>0</v>
      </c>
      <c r="Y423" s="1658">
        <v>0</v>
      </c>
    </row>
    <row r="424" spans="3:25" ht="13.95" customHeight="1" x14ac:dyDescent="0.3">
      <c r="C424" s="1057">
        <v>410</v>
      </c>
      <c r="D424" s="1058" t="s">
        <v>1273</v>
      </c>
      <c r="E424" s="1059">
        <v>1</v>
      </c>
      <c r="F424" s="1297" t="s">
        <v>1063</v>
      </c>
      <c r="G424" s="1057" t="s">
        <v>1036</v>
      </c>
      <c r="H424" s="1058"/>
      <c r="I424" s="1057">
        <v>1</v>
      </c>
      <c r="J424" s="1058"/>
      <c r="K424" s="1058"/>
      <c r="L424" s="1058"/>
      <c r="M424" s="1636">
        <v>0</v>
      </c>
      <c r="N424" s="1636"/>
      <c r="O424" s="1636">
        <v>0</v>
      </c>
      <c r="P424" s="1636">
        <v>0</v>
      </c>
      <c r="Q424" s="1636">
        <v>0</v>
      </c>
      <c r="R424" s="1636">
        <v>0</v>
      </c>
      <c r="S424" s="1636">
        <v>23.4</v>
      </c>
      <c r="U424" s="1656">
        <v>2.5249999999999999E-3</v>
      </c>
      <c r="V424" s="1657">
        <v>0</v>
      </c>
      <c r="W424" s="1657">
        <v>2.5249999999999999E-3</v>
      </c>
      <c r="X424" s="1657">
        <v>0</v>
      </c>
      <c r="Y424" s="1658">
        <v>0</v>
      </c>
    </row>
    <row r="425" spans="3:25" ht="13.95" customHeight="1" x14ac:dyDescent="0.3">
      <c r="C425" s="1057">
        <v>411</v>
      </c>
      <c r="D425" s="1058" t="s">
        <v>1274</v>
      </c>
      <c r="E425" s="1059">
        <v>5</v>
      </c>
      <c r="F425" s="1297" t="s">
        <v>1063</v>
      </c>
      <c r="G425" s="1057" t="s">
        <v>1036</v>
      </c>
      <c r="H425" s="1058"/>
      <c r="I425" s="1057">
        <v>1</v>
      </c>
      <c r="J425" s="1058"/>
      <c r="K425" s="1058"/>
      <c r="L425" s="1058"/>
      <c r="M425" s="1636">
        <v>2472.6</v>
      </c>
      <c r="N425" s="1636"/>
      <c r="O425" s="1636">
        <v>2472.6</v>
      </c>
      <c r="P425" s="1636">
        <v>0</v>
      </c>
      <c r="Q425" s="1636">
        <v>0</v>
      </c>
      <c r="R425" s="1636">
        <v>2472.6</v>
      </c>
      <c r="S425" s="1636">
        <v>0</v>
      </c>
      <c r="U425" s="1656">
        <v>0.10998222000000001</v>
      </c>
      <c r="V425" s="1657">
        <v>0</v>
      </c>
      <c r="W425" s="1657">
        <v>0.10998222000000001</v>
      </c>
      <c r="X425" s="1657">
        <v>0</v>
      </c>
      <c r="Y425" s="1658">
        <v>0</v>
      </c>
    </row>
    <row r="426" spans="3:25" ht="13.95" customHeight="1" x14ac:dyDescent="0.3">
      <c r="C426" s="1057">
        <v>412</v>
      </c>
      <c r="D426" s="1058" t="s">
        <v>1275</v>
      </c>
      <c r="E426" s="1059">
        <v>5</v>
      </c>
      <c r="F426" s="1297" t="s">
        <v>1088</v>
      </c>
      <c r="G426" s="1057" t="s">
        <v>1036</v>
      </c>
      <c r="H426" s="1058"/>
      <c r="I426" s="1057">
        <v>64</v>
      </c>
      <c r="J426" s="1058"/>
      <c r="K426" s="1058"/>
      <c r="L426" s="1058"/>
      <c r="M426" s="1636">
        <v>3000.5</v>
      </c>
      <c r="N426" s="1636"/>
      <c r="O426" s="1636">
        <v>2511.1</v>
      </c>
      <c r="P426" s="1636">
        <v>0</v>
      </c>
      <c r="Q426" s="1636">
        <v>0</v>
      </c>
      <c r="R426" s="1636">
        <v>0</v>
      </c>
      <c r="S426" s="1636">
        <v>0</v>
      </c>
      <c r="U426" s="1656">
        <v>0.22455088000000001</v>
      </c>
      <c r="V426" s="1657">
        <v>0</v>
      </c>
      <c r="W426" s="1657">
        <v>0.22455088000000001</v>
      </c>
      <c r="X426" s="1657">
        <v>2.3683071027492861E-3</v>
      </c>
      <c r="Y426" s="1658">
        <v>44</v>
      </c>
    </row>
    <row r="427" spans="3:25" ht="13.95" customHeight="1" x14ac:dyDescent="0.3">
      <c r="C427" s="1057">
        <v>413</v>
      </c>
      <c r="D427" s="1058" t="s">
        <v>1275</v>
      </c>
      <c r="E427" s="1059">
        <v>5</v>
      </c>
      <c r="F427" s="1297" t="s">
        <v>1088</v>
      </c>
      <c r="G427" s="1057" t="s">
        <v>1036</v>
      </c>
      <c r="H427" s="1058"/>
      <c r="I427" s="1057">
        <v>1</v>
      </c>
      <c r="J427" s="1058"/>
      <c r="K427" s="1058"/>
      <c r="L427" s="1058"/>
      <c r="M427" s="1636">
        <v>0</v>
      </c>
      <c r="N427" s="1636"/>
      <c r="O427" s="1636">
        <v>0</v>
      </c>
      <c r="P427" s="1636">
        <v>0</v>
      </c>
      <c r="Q427" s="1636">
        <v>164.6</v>
      </c>
      <c r="R427" s="1636">
        <v>0</v>
      </c>
      <c r="S427" s="1636">
        <v>0</v>
      </c>
      <c r="U427" s="1656">
        <v>1.754E-2</v>
      </c>
      <c r="V427" s="1657">
        <v>0</v>
      </c>
      <c r="W427" s="1657">
        <v>1.754E-2</v>
      </c>
      <c r="X427" s="1657">
        <v>0</v>
      </c>
      <c r="Y427" s="1658">
        <v>0</v>
      </c>
    </row>
    <row r="428" spans="3:25" ht="13.95" customHeight="1" x14ac:dyDescent="0.3">
      <c r="C428" s="1057">
        <v>414</v>
      </c>
      <c r="D428" s="1058" t="s">
        <v>1275</v>
      </c>
      <c r="E428" s="1059">
        <v>5</v>
      </c>
      <c r="F428" s="1297" t="s">
        <v>1088</v>
      </c>
      <c r="G428" s="1057" t="s">
        <v>1036</v>
      </c>
      <c r="H428" s="1058"/>
      <c r="I428" s="1057">
        <v>1</v>
      </c>
      <c r="J428" s="1058"/>
      <c r="K428" s="1058"/>
      <c r="L428" s="1058"/>
      <c r="M428" s="1636">
        <v>0</v>
      </c>
      <c r="N428" s="1636"/>
      <c r="O428" s="1636">
        <v>0</v>
      </c>
      <c r="P428" s="1636">
        <v>0</v>
      </c>
      <c r="Q428" s="1636">
        <v>324.77</v>
      </c>
      <c r="R428" s="1636">
        <v>0</v>
      </c>
      <c r="S428" s="1636">
        <v>0</v>
      </c>
      <c r="U428" s="1656">
        <v>2.7E-2</v>
      </c>
      <c r="V428" s="1657">
        <v>0</v>
      </c>
      <c r="W428" s="1657">
        <v>2.7E-2</v>
      </c>
      <c r="X428" s="1657">
        <v>0</v>
      </c>
      <c r="Y428" s="1658">
        <v>0</v>
      </c>
    </row>
    <row r="429" spans="3:25" ht="13.95" customHeight="1" x14ac:dyDescent="0.3">
      <c r="C429" s="1057">
        <v>415</v>
      </c>
      <c r="D429" s="1058" t="s">
        <v>1276</v>
      </c>
      <c r="E429" s="1059">
        <v>5</v>
      </c>
      <c r="F429" s="1297" t="s">
        <v>1074</v>
      </c>
      <c r="G429" s="1057" t="s">
        <v>1036</v>
      </c>
      <c r="H429" s="1058"/>
      <c r="I429" s="1057">
        <v>64</v>
      </c>
      <c r="J429" s="1058"/>
      <c r="K429" s="1058"/>
      <c r="L429" s="1058"/>
      <c r="M429" s="1636">
        <v>2518.6</v>
      </c>
      <c r="N429" s="1636"/>
      <c r="O429" s="1636">
        <v>2518.6</v>
      </c>
      <c r="P429" s="1636">
        <v>0</v>
      </c>
      <c r="Q429" s="1636">
        <v>0</v>
      </c>
      <c r="R429" s="1636">
        <v>0</v>
      </c>
      <c r="S429" s="1636">
        <v>0</v>
      </c>
      <c r="U429" s="1656">
        <v>0.16674806</v>
      </c>
      <c r="V429" s="1657">
        <v>0</v>
      </c>
      <c r="W429" s="1657">
        <v>0.16674806</v>
      </c>
      <c r="X429" s="1657">
        <v>0</v>
      </c>
      <c r="Y429" s="1658">
        <v>0</v>
      </c>
    </row>
    <row r="430" spans="3:25" ht="13.95" customHeight="1" x14ac:dyDescent="0.3">
      <c r="C430" s="1057">
        <v>416</v>
      </c>
      <c r="D430" s="1058" t="s">
        <v>1277</v>
      </c>
      <c r="E430" s="1059">
        <v>5</v>
      </c>
      <c r="F430" s="1297" t="s">
        <v>1088</v>
      </c>
      <c r="G430" s="1057" t="s">
        <v>1036</v>
      </c>
      <c r="H430" s="1058"/>
      <c r="I430" s="1057">
        <v>95</v>
      </c>
      <c r="J430" s="1058"/>
      <c r="K430" s="1058"/>
      <c r="L430" s="1058"/>
      <c r="M430" s="1636">
        <v>4379.7</v>
      </c>
      <c r="N430" s="1636"/>
      <c r="O430" s="1636">
        <v>4184.7</v>
      </c>
      <c r="P430" s="1636">
        <v>0</v>
      </c>
      <c r="Q430" s="1636">
        <v>0</v>
      </c>
      <c r="R430" s="1636">
        <v>0</v>
      </c>
      <c r="S430" s="1636">
        <v>0</v>
      </c>
      <c r="U430" s="1656">
        <v>0.21468464000000001</v>
      </c>
      <c r="V430" s="1657">
        <v>0</v>
      </c>
      <c r="W430" s="1657">
        <v>0.21468464000000001</v>
      </c>
      <c r="X430" s="1657">
        <v>2.96069879836564E-3</v>
      </c>
      <c r="Y430" s="1658">
        <v>66</v>
      </c>
    </row>
    <row r="431" spans="3:25" ht="13.95" customHeight="1" x14ac:dyDescent="0.3">
      <c r="C431" s="1057">
        <v>417</v>
      </c>
      <c r="D431" s="1058" t="s">
        <v>1277</v>
      </c>
      <c r="E431" s="1059">
        <v>5</v>
      </c>
      <c r="F431" s="1297" t="s">
        <v>1088</v>
      </c>
      <c r="G431" s="1057" t="s">
        <v>1036</v>
      </c>
      <c r="H431" s="1058"/>
      <c r="I431" s="1057">
        <v>1</v>
      </c>
      <c r="J431" s="1058"/>
      <c r="K431" s="1058"/>
      <c r="L431" s="1058"/>
      <c r="M431" s="1636">
        <v>0</v>
      </c>
      <c r="N431" s="1636"/>
      <c r="O431" s="1636">
        <v>0</v>
      </c>
      <c r="P431" s="1636">
        <v>0</v>
      </c>
      <c r="Q431" s="1636">
        <v>30</v>
      </c>
      <c r="R431" s="1636">
        <v>0</v>
      </c>
      <c r="S431" s="1636">
        <v>0</v>
      </c>
      <c r="U431" s="1656">
        <v>2.4819999999999998E-3</v>
      </c>
      <c r="V431" s="1657">
        <v>0</v>
      </c>
      <c r="W431" s="1657">
        <v>2.4819999999999998E-3</v>
      </c>
      <c r="X431" s="1657">
        <v>0</v>
      </c>
      <c r="Y431" s="1658">
        <v>0</v>
      </c>
    </row>
    <row r="432" spans="3:25" ht="13.95" customHeight="1" x14ac:dyDescent="0.3">
      <c r="C432" s="1057">
        <v>418</v>
      </c>
      <c r="D432" s="1058" t="s">
        <v>1277</v>
      </c>
      <c r="E432" s="1059">
        <v>5</v>
      </c>
      <c r="F432" s="1297" t="s">
        <v>1088</v>
      </c>
      <c r="G432" s="1057" t="s">
        <v>1036</v>
      </c>
      <c r="H432" s="1058"/>
      <c r="I432" s="1057">
        <v>1</v>
      </c>
      <c r="J432" s="1058"/>
      <c r="K432" s="1058"/>
      <c r="L432" s="1058"/>
      <c r="M432" s="1636">
        <v>0</v>
      </c>
      <c r="N432" s="1636"/>
      <c r="O432" s="1636">
        <v>0</v>
      </c>
      <c r="P432" s="1636">
        <v>0</v>
      </c>
      <c r="Q432" s="1636">
        <v>47.6</v>
      </c>
      <c r="R432" s="1636">
        <v>0</v>
      </c>
      <c r="S432" s="1636">
        <v>0</v>
      </c>
      <c r="U432" s="1656">
        <v>4.3150000000000003E-3</v>
      </c>
      <c r="V432" s="1657">
        <v>0</v>
      </c>
      <c r="W432" s="1657">
        <v>4.3150000000000003E-3</v>
      </c>
      <c r="X432" s="1657">
        <v>0</v>
      </c>
      <c r="Y432" s="1658">
        <v>0</v>
      </c>
    </row>
    <row r="433" spans="3:25" ht="13.95" customHeight="1" x14ac:dyDescent="0.3">
      <c r="C433" s="1057">
        <v>419</v>
      </c>
      <c r="D433" s="1058" t="s">
        <v>1277</v>
      </c>
      <c r="E433" s="1059">
        <v>5</v>
      </c>
      <c r="F433" s="1297" t="s">
        <v>1088</v>
      </c>
      <c r="G433" s="1057" t="s">
        <v>1036</v>
      </c>
      <c r="H433" s="1058"/>
      <c r="I433" s="1057">
        <v>1</v>
      </c>
      <c r="J433" s="1058"/>
      <c r="K433" s="1058"/>
      <c r="L433" s="1058"/>
      <c r="M433" s="1636">
        <v>0</v>
      </c>
      <c r="N433" s="1636"/>
      <c r="O433" s="1636">
        <v>0</v>
      </c>
      <c r="P433" s="1636">
        <v>0</v>
      </c>
      <c r="Q433" s="1636">
        <v>30.6</v>
      </c>
      <c r="R433" s="1636">
        <v>0</v>
      </c>
      <c r="S433" s="1636">
        <v>0</v>
      </c>
      <c r="U433" s="1656">
        <v>1.5E-3</v>
      </c>
      <c r="V433" s="1657">
        <v>0</v>
      </c>
      <c r="W433" s="1657">
        <v>1.5E-3</v>
      </c>
      <c r="X433" s="1657">
        <v>0</v>
      </c>
      <c r="Y433" s="1658">
        <v>0</v>
      </c>
    </row>
    <row r="434" spans="3:25" ht="13.95" customHeight="1" x14ac:dyDescent="0.3">
      <c r="C434" s="1057">
        <v>420</v>
      </c>
      <c r="D434" s="1058" t="s">
        <v>1277</v>
      </c>
      <c r="E434" s="1059">
        <v>5</v>
      </c>
      <c r="F434" s="1297" t="s">
        <v>1088</v>
      </c>
      <c r="G434" s="1057" t="s">
        <v>1036</v>
      </c>
      <c r="H434" s="1058"/>
      <c r="I434" s="1057">
        <v>1</v>
      </c>
      <c r="J434" s="1058"/>
      <c r="K434" s="1058"/>
      <c r="L434" s="1058"/>
      <c r="M434" s="1636">
        <v>0</v>
      </c>
      <c r="N434" s="1636"/>
      <c r="O434" s="1636">
        <v>0</v>
      </c>
      <c r="P434" s="1636">
        <v>0</v>
      </c>
      <c r="Q434" s="1636">
        <v>43.8</v>
      </c>
      <c r="R434" s="1636">
        <v>0</v>
      </c>
      <c r="S434" s="1636">
        <v>0</v>
      </c>
      <c r="U434" s="1656">
        <v>2.15E-3</v>
      </c>
      <c r="V434" s="1657">
        <v>0</v>
      </c>
      <c r="W434" s="1657">
        <v>2.15E-3</v>
      </c>
      <c r="X434" s="1657">
        <v>0</v>
      </c>
      <c r="Y434" s="1658">
        <v>0</v>
      </c>
    </row>
    <row r="435" spans="3:25" ht="13.95" customHeight="1" x14ac:dyDescent="0.3">
      <c r="C435" s="1057">
        <v>421</v>
      </c>
      <c r="D435" s="1058" t="s">
        <v>1277</v>
      </c>
      <c r="E435" s="1059">
        <v>5</v>
      </c>
      <c r="F435" s="1297" t="s">
        <v>1088</v>
      </c>
      <c r="G435" s="1057" t="s">
        <v>1036</v>
      </c>
      <c r="H435" s="1058"/>
      <c r="I435" s="1057">
        <v>1</v>
      </c>
      <c r="J435" s="1058"/>
      <c r="K435" s="1058"/>
      <c r="L435" s="1058"/>
      <c r="M435" s="1636">
        <v>0</v>
      </c>
      <c r="N435" s="1636"/>
      <c r="O435" s="1636">
        <v>0</v>
      </c>
      <c r="P435" s="1636">
        <v>0</v>
      </c>
      <c r="Q435" s="1636">
        <v>43</v>
      </c>
      <c r="R435" s="1636">
        <v>0</v>
      </c>
      <c r="S435" s="1636">
        <v>0</v>
      </c>
      <c r="U435" s="1656">
        <v>2.372E-3</v>
      </c>
      <c r="V435" s="1657">
        <v>0</v>
      </c>
      <c r="W435" s="1657">
        <v>2.372E-3</v>
      </c>
      <c r="X435" s="1657">
        <v>0</v>
      </c>
      <c r="Y435" s="1658">
        <v>0</v>
      </c>
    </row>
    <row r="436" spans="3:25" ht="13.95" customHeight="1" x14ac:dyDescent="0.3">
      <c r="C436" s="1057">
        <v>422</v>
      </c>
      <c r="D436" s="1058" t="s">
        <v>1277</v>
      </c>
      <c r="E436" s="1059">
        <v>1</v>
      </c>
      <c r="F436" s="1297" t="s">
        <v>1088</v>
      </c>
      <c r="G436" s="1057" t="s">
        <v>1036</v>
      </c>
      <c r="H436" s="1058"/>
      <c r="I436" s="1057">
        <v>0</v>
      </c>
      <c r="J436" s="1058"/>
      <c r="K436" s="1058"/>
      <c r="L436" s="1058"/>
      <c r="M436" s="1636">
        <v>0</v>
      </c>
      <c r="N436" s="1636"/>
      <c r="O436" s="1636">
        <v>0</v>
      </c>
      <c r="P436" s="1636">
        <v>0</v>
      </c>
      <c r="Q436" s="1636">
        <v>0</v>
      </c>
      <c r="R436" s="1636">
        <v>0</v>
      </c>
      <c r="S436" s="1636">
        <v>13.5</v>
      </c>
      <c r="U436" s="1656">
        <v>1.2160000000000001E-3</v>
      </c>
      <c r="V436" s="1657">
        <v>0</v>
      </c>
      <c r="W436" s="1657">
        <v>1.2160000000000001E-3</v>
      </c>
      <c r="X436" s="1657">
        <v>0</v>
      </c>
      <c r="Y436" s="1658">
        <v>0</v>
      </c>
    </row>
    <row r="437" spans="3:25" ht="13.95" customHeight="1" x14ac:dyDescent="0.3">
      <c r="C437" s="1057">
        <v>423</v>
      </c>
      <c r="D437" s="1058" t="s">
        <v>1278</v>
      </c>
      <c r="E437" s="1059">
        <v>5</v>
      </c>
      <c r="F437" s="1297" t="s">
        <v>1078</v>
      </c>
      <c r="G437" s="1057" t="s">
        <v>1036</v>
      </c>
      <c r="H437" s="1058"/>
      <c r="I437" s="1057">
        <v>60</v>
      </c>
      <c r="J437" s="1058"/>
      <c r="K437" s="1058"/>
      <c r="L437" s="1058"/>
      <c r="M437" s="1636">
        <v>2543.15</v>
      </c>
      <c r="N437" s="1636"/>
      <c r="O437" s="1636">
        <v>2543.15</v>
      </c>
      <c r="P437" s="1636">
        <v>0</v>
      </c>
      <c r="Q437" s="1636">
        <v>0</v>
      </c>
      <c r="R437" s="1636">
        <v>0</v>
      </c>
      <c r="S437" s="1636">
        <v>0</v>
      </c>
      <c r="U437" s="1656">
        <v>0.14061831999999999</v>
      </c>
      <c r="V437" s="1657">
        <v>0</v>
      </c>
      <c r="W437" s="1657">
        <v>0.14061831999999999</v>
      </c>
      <c r="X437" s="1657">
        <v>0</v>
      </c>
      <c r="Y437" s="1658">
        <v>0</v>
      </c>
    </row>
    <row r="438" spans="3:25" ht="13.95" customHeight="1" x14ac:dyDescent="0.3">
      <c r="C438" s="1057">
        <v>424</v>
      </c>
      <c r="D438" s="1058" t="s">
        <v>1279</v>
      </c>
      <c r="E438" s="1059">
        <v>9</v>
      </c>
      <c r="F438" s="1297" t="s">
        <v>1152</v>
      </c>
      <c r="G438" s="1057" t="s">
        <v>1036</v>
      </c>
      <c r="H438" s="1058"/>
      <c r="I438" s="1057">
        <v>144</v>
      </c>
      <c r="J438" s="1058"/>
      <c r="K438" s="1058"/>
      <c r="L438" s="1058"/>
      <c r="M438" s="1636">
        <v>7269.1</v>
      </c>
      <c r="N438" s="1636"/>
      <c r="O438" s="1636">
        <v>7269.1</v>
      </c>
      <c r="P438" s="1636">
        <v>0</v>
      </c>
      <c r="Q438" s="1636">
        <v>0</v>
      </c>
      <c r="R438" s="1636">
        <v>0</v>
      </c>
      <c r="S438" s="1636">
        <v>0</v>
      </c>
      <c r="U438" s="1656">
        <v>0.52454339999999999</v>
      </c>
      <c r="V438" s="1657">
        <v>0</v>
      </c>
      <c r="W438" s="1657">
        <v>0.52454339999999999</v>
      </c>
      <c r="X438" s="1657">
        <v>6.3419682575906692E-3</v>
      </c>
      <c r="Y438" s="1658">
        <v>100</v>
      </c>
    </row>
    <row r="439" spans="3:25" ht="13.95" customHeight="1" x14ac:dyDescent="0.3">
      <c r="C439" s="1057">
        <v>425</v>
      </c>
      <c r="D439" s="1058" t="s">
        <v>1280</v>
      </c>
      <c r="E439" s="1059">
        <v>5</v>
      </c>
      <c r="F439" s="1297" t="s">
        <v>1281</v>
      </c>
      <c r="G439" s="1057" t="s">
        <v>1036</v>
      </c>
      <c r="H439" s="1058"/>
      <c r="I439" s="1057">
        <v>50</v>
      </c>
      <c r="J439" s="1058"/>
      <c r="K439" s="1058"/>
      <c r="L439" s="1058"/>
      <c r="M439" s="1636">
        <v>2870.39</v>
      </c>
      <c r="N439" s="1636"/>
      <c r="O439" s="1636">
        <v>2870.39</v>
      </c>
      <c r="P439" s="1636">
        <v>0</v>
      </c>
      <c r="Q439" s="1636">
        <v>0</v>
      </c>
      <c r="R439" s="1636">
        <v>0</v>
      </c>
      <c r="S439" s="1636">
        <v>0</v>
      </c>
      <c r="U439" s="1656">
        <v>0.20111198999999999</v>
      </c>
      <c r="V439" s="1657">
        <v>0</v>
      </c>
      <c r="W439" s="1657">
        <v>0.20111198999999999</v>
      </c>
      <c r="X439" s="1657">
        <v>2.9546438712672305E-3</v>
      </c>
      <c r="Y439" s="1658">
        <v>48</v>
      </c>
    </row>
    <row r="440" spans="3:25" ht="13.95" customHeight="1" x14ac:dyDescent="0.3">
      <c r="C440" s="1057">
        <v>426</v>
      </c>
      <c r="D440" s="1058" t="s">
        <v>1282</v>
      </c>
      <c r="E440" s="1059">
        <v>5</v>
      </c>
      <c r="F440" s="1297" t="s">
        <v>1063</v>
      </c>
      <c r="G440" s="1057" t="s">
        <v>1036</v>
      </c>
      <c r="H440" s="1058"/>
      <c r="I440" s="1057">
        <v>56</v>
      </c>
      <c r="J440" s="1058"/>
      <c r="K440" s="1058"/>
      <c r="L440" s="1058"/>
      <c r="M440" s="1636">
        <v>3200.8</v>
      </c>
      <c r="N440" s="1636"/>
      <c r="O440" s="1636">
        <v>2540</v>
      </c>
      <c r="P440" s="1636">
        <v>0</v>
      </c>
      <c r="Q440" s="1636">
        <v>0</v>
      </c>
      <c r="R440" s="1636">
        <v>0</v>
      </c>
      <c r="S440" s="1636">
        <v>0</v>
      </c>
      <c r="U440" s="1656">
        <v>0.19404157999999999</v>
      </c>
      <c r="V440" s="1657">
        <v>0</v>
      </c>
      <c r="W440" s="1657">
        <v>0.19404157999999999</v>
      </c>
      <c r="X440" s="1657">
        <v>8.7022897631943968E-3</v>
      </c>
      <c r="Y440" s="1658">
        <v>134</v>
      </c>
    </row>
    <row r="441" spans="3:25" ht="13.95" customHeight="1" x14ac:dyDescent="0.3">
      <c r="C441" s="1057">
        <v>427</v>
      </c>
      <c r="D441" s="1058" t="s">
        <v>1282</v>
      </c>
      <c r="E441" s="1059">
        <v>5</v>
      </c>
      <c r="F441" s="1297" t="s">
        <v>1063</v>
      </c>
      <c r="G441" s="1057" t="s">
        <v>1036</v>
      </c>
      <c r="H441" s="1058"/>
      <c r="I441" s="1057">
        <v>1</v>
      </c>
      <c r="J441" s="1058"/>
      <c r="K441" s="1058"/>
      <c r="L441" s="1058"/>
      <c r="M441" s="1636">
        <v>0</v>
      </c>
      <c r="N441" s="1636"/>
      <c r="O441" s="1636">
        <v>0</v>
      </c>
      <c r="P441" s="1636">
        <v>0</v>
      </c>
      <c r="Q441" s="1636">
        <v>162.30000000000001</v>
      </c>
      <c r="R441" s="1636">
        <v>0</v>
      </c>
      <c r="S441" s="1636">
        <v>0</v>
      </c>
      <c r="U441" s="1656">
        <v>5.8999999999999999E-3</v>
      </c>
      <c r="V441" s="1657">
        <v>0</v>
      </c>
      <c r="W441" s="1657">
        <v>5.8999999999999999E-3</v>
      </c>
      <c r="X441" s="1657">
        <v>0</v>
      </c>
      <c r="Y441" s="1658">
        <v>0</v>
      </c>
    </row>
    <row r="442" spans="3:25" ht="13.95" customHeight="1" x14ac:dyDescent="0.3">
      <c r="C442" s="1057">
        <v>428</v>
      </c>
      <c r="D442" s="1058" t="s">
        <v>1282</v>
      </c>
      <c r="E442" s="1059">
        <v>5</v>
      </c>
      <c r="F442" s="1297" t="s">
        <v>1063</v>
      </c>
      <c r="G442" s="1057" t="s">
        <v>1036</v>
      </c>
      <c r="H442" s="1058"/>
      <c r="I442" s="1057">
        <v>1</v>
      </c>
      <c r="J442" s="1058"/>
      <c r="K442" s="1058"/>
      <c r="L442" s="1058"/>
      <c r="M442" s="1636">
        <v>0</v>
      </c>
      <c r="N442" s="1636"/>
      <c r="O442" s="1636">
        <v>0</v>
      </c>
      <c r="P442" s="1636">
        <v>0</v>
      </c>
      <c r="Q442" s="1636">
        <v>107.3</v>
      </c>
      <c r="R442" s="1636">
        <v>0</v>
      </c>
      <c r="S442" s="1636">
        <v>0</v>
      </c>
      <c r="U442" s="1656">
        <v>6.195E-3</v>
      </c>
      <c r="V442" s="1657">
        <v>0</v>
      </c>
      <c r="W442" s="1657">
        <v>6.195E-3</v>
      </c>
      <c r="X442" s="1657">
        <v>0</v>
      </c>
      <c r="Y442" s="1658">
        <v>0</v>
      </c>
    </row>
    <row r="443" spans="3:25" ht="13.95" customHeight="1" x14ac:dyDescent="0.3">
      <c r="C443" s="1057">
        <v>429</v>
      </c>
      <c r="D443" s="1058" t="s">
        <v>1282</v>
      </c>
      <c r="E443" s="1059">
        <v>5</v>
      </c>
      <c r="F443" s="1297" t="s">
        <v>1063</v>
      </c>
      <c r="G443" s="1057" t="s">
        <v>1036</v>
      </c>
      <c r="H443" s="1058"/>
      <c r="I443" s="1057">
        <v>1</v>
      </c>
      <c r="J443" s="1058"/>
      <c r="K443" s="1058"/>
      <c r="L443" s="1058"/>
      <c r="M443" s="1636">
        <v>0</v>
      </c>
      <c r="N443" s="1636"/>
      <c r="O443" s="1636">
        <v>0</v>
      </c>
      <c r="P443" s="1636">
        <v>0</v>
      </c>
      <c r="Q443" s="1636">
        <v>241</v>
      </c>
      <c r="R443" s="1636">
        <v>0</v>
      </c>
      <c r="S443" s="1636">
        <v>0</v>
      </c>
      <c r="U443" s="1656">
        <v>7.0159999999999997E-3</v>
      </c>
      <c r="V443" s="1657">
        <v>0</v>
      </c>
      <c r="W443" s="1656">
        <v>7.0159999999999997E-3</v>
      </c>
      <c r="X443" s="1657">
        <v>0</v>
      </c>
      <c r="Y443" s="1658">
        <v>0</v>
      </c>
    </row>
    <row r="444" spans="3:25" ht="13.95" customHeight="1" x14ac:dyDescent="0.3">
      <c r="C444" s="1057">
        <v>430</v>
      </c>
      <c r="D444" s="1058" t="s">
        <v>1282</v>
      </c>
      <c r="E444" s="1059">
        <v>5</v>
      </c>
      <c r="F444" s="1297" t="s">
        <v>1063</v>
      </c>
      <c r="G444" s="1057" t="s">
        <v>1036</v>
      </c>
      <c r="H444" s="1058"/>
      <c r="I444" s="1057">
        <v>1</v>
      </c>
      <c r="J444" s="1058"/>
      <c r="K444" s="1058"/>
      <c r="L444" s="1058"/>
      <c r="M444" s="1636">
        <v>0</v>
      </c>
      <c r="N444" s="1636"/>
      <c r="O444" s="1636">
        <v>0</v>
      </c>
      <c r="P444" s="1636">
        <v>0</v>
      </c>
      <c r="Q444" s="1636">
        <v>30.4</v>
      </c>
      <c r="R444" s="1636">
        <v>0</v>
      </c>
      <c r="S444" s="1636">
        <v>0</v>
      </c>
      <c r="U444" s="1656">
        <v>2.7239999999999999E-3</v>
      </c>
      <c r="V444" s="1657">
        <v>0</v>
      </c>
      <c r="W444" s="1657">
        <v>2.7239999999999999E-3</v>
      </c>
      <c r="X444" s="1657">
        <v>0</v>
      </c>
      <c r="Y444" s="1658">
        <v>0</v>
      </c>
    </row>
    <row r="445" spans="3:25" ht="13.95" customHeight="1" x14ac:dyDescent="0.3">
      <c r="C445" s="1057">
        <v>431</v>
      </c>
      <c r="D445" s="1058" t="s">
        <v>1282</v>
      </c>
      <c r="E445" s="1059">
        <v>5</v>
      </c>
      <c r="F445" s="1297" t="s">
        <v>1063</v>
      </c>
      <c r="G445" s="1057" t="s">
        <v>1036</v>
      </c>
      <c r="H445" s="1058"/>
      <c r="I445" s="1057">
        <v>1</v>
      </c>
      <c r="J445" s="1058"/>
      <c r="K445" s="1058"/>
      <c r="L445" s="1058"/>
      <c r="M445" s="1636">
        <v>0</v>
      </c>
      <c r="N445" s="1636"/>
      <c r="O445" s="1636">
        <v>0</v>
      </c>
      <c r="P445" s="1636">
        <v>0</v>
      </c>
      <c r="Q445" s="1636">
        <v>31</v>
      </c>
      <c r="R445" s="1636">
        <v>0</v>
      </c>
      <c r="S445" s="1636">
        <v>0</v>
      </c>
      <c r="U445" s="1656">
        <v>3.0969999999999999E-3</v>
      </c>
      <c r="V445" s="1657">
        <v>0</v>
      </c>
      <c r="W445" s="1657">
        <v>3.0969999999999999E-3</v>
      </c>
      <c r="X445" s="1657">
        <v>0</v>
      </c>
      <c r="Y445" s="1658">
        <v>0</v>
      </c>
    </row>
    <row r="446" spans="3:25" ht="13.95" customHeight="1" x14ac:dyDescent="0.3">
      <c r="C446" s="1057">
        <v>432</v>
      </c>
      <c r="D446" s="1058" t="s">
        <v>1282</v>
      </c>
      <c r="E446" s="1059">
        <v>5</v>
      </c>
      <c r="F446" s="1297" t="s">
        <v>1063</v>
      </c>
      <c r="G446" s="1057" t="s">
        <v>1036</v>
      </c>
      <c r="H446" s="1058"/>
      <c r="I446" s="1057">
        <v>1</v>
      </c>
      <c r="J446" s="1058"/>
      <c r="K446" s="1058"/>
      <c r="L446" s="1058"/>
      <c r="M446" s="1636">
        <v>0</v>
      </c>
      <c r="N446" s="1636"/>
      <c r="O446" s="1636">
        <v>0</v>
      </c>
      <c r="P446" s="1636">
        <v>0</v>
      </c>
      <c r="Q446" s="1636">
        <v>88.8</v>
      </c>
      <c r="R446" s="1636">
        <v>0</v>
      </c>
      <c r="S446" s="1636">
        <v>0</v>
      </c>
      <c r="U446" s="1656">
        <v>4.1279999999999997E-3</v>
      </c>
      <c r="V446" s="1657">
        <v>0</v>
      </c>
      <c r="W446" s="1657">
        <v>4.1279999999999997E-3</v>
      </c>
      <c r="X446" s="1657">
        <v>0</v>
      </c>
      <c r="Y446" s="1658">
        <v>0</v>
      </c>
    </row>
    <row r="447" spans="3:25" ht="13.95" customHeight="1" x14ac:dyDescent="0.3">
      <c r="C447" s="1057">
        <v>433</v>
      </c>
      <c r="D447" s="1058" t="s">
        <v>1282</v>
      </c>
      <c r="E447" s="1059">
        <v>1</v>
      </c>
      <c r="F447" s="1297" t="s">
        <v>1063</v>
      </c>
      <c r="G447" s="1057" t="s">
        <v>1036</v>
      </c>
      <c r="H447" s="1058"/>
      <c r="I447" s="1057">
        <v>1</v>
      </c>
      <c r="J447" s="1058"/>
      <c r="K447" s="1058"/>
      <c r="L447" s="1058"/>
      <c r="M447" s="1636">
        <v>0</v>
      </c>
      <c r="N447" s="1636"/>
      <c r="O447" s="1636">
        <v>0</v>
      </c>
      <c r="P447" s="1636">
        <v>0</v>
      </c>
      <c r="Q447" s="1636">
        <v>0</v>
      </c>
      <c r="R447" s="1636">
        <v>0</v>
      </c>
      <c r="S447" s="1636">
        <v>106</v>
      </c>
      <c r="U447" s="1656">
        <v>9.0159999999999997E-3</v>
      </c>
      <c r="V447" s="1657">
        <v>0</v>
      </c>
      <c r="W447" s="1657">
        <v>9.0159999999999997E-3</v>
      </c>
      <c r="X447" s="1657">
        <v>0</v>
      </c>
      <c r="Y447" s="1658">
        <v>0</v>
      </c>
    </row>
    <row r="448" spans="3:25" ht="13.95" customHeight="1" x14ac:dyDescent="0.3">
      <c r="C448" s="1057">
        <v>434</v>
      </c>
      <c r="D448" s="1058" t="s">
        <v>1283</v>
      </c>
      <c r="E448" s="1059">
        <v>5</v>
      </c>
      <c r="F448" s="1297" t="s">
        <v>1088</v>
      </c>
      <c r="G448" s="1057" t="s">
        <v>1036</v>
      </c>
      <c r="H448" s="1058"/>
      <c r="I448" s="1057">
        <v>97</v>
      </c>
      <c r="J448" s="1058"/>
      <c r="K448" s="1058"/>
      <c r="L448" s="1058"/>
      <c r="M448" s="1636">
        <v>4423.9500000000007</v>
      </c>
      <c r="N448" s="1636"/>
      <c r="O448" s="1636">
        <v>4297.8500000000004</v>
      </c>
      <c r="P448" s="1636">
        <v>0</v>
      </c>
      <c r="Q448" s="1636">
        <v>0</v>
      </c>
      <c r="R448" s="1636">
        <v>0</v>
      </c>
      <c r="S448" s="1636">
        <v>0</v>
      </c>
      <c r="U448" s="1656">
        <v>0.22971929999999999</v>
      </c>
      <c r="V448" s="1657">
        <v>0</v>
      </c>
      <c r="W448" s="1657">
        <v>0.22971929999999999</v>
      </c>
      <c r="X448" s="1657">
        <v>3.0893118184548898E-3</v>
      </c>
      <c r="Y448" s="1658">
        <v>66</v>
      </c>
    </row>
    <row r="449" spans="3:25" ht="13.95" customHeight="1" x14ac:dyDescent="0.3">
      <c r="C449" s="1057">
        <v>435</v>
      </c>
      <c r="D449" s="1058" t="s">
        <v>1283</v>
      </c>
      <c r="E449" s="1059">
        <v>5</v>
      </c>
      <c r="F449" s="1297" t="s">
        <v>1088</v>
      </c>
      <c r="G449" s="1057" t="s">
        <v>1036</v>
      </c>
      <c r="H449" s="1058"/>
      <c r="I449" s="1057">
        <v>1</v>
      </c>
      <c r="J449" s="1058"/>
      <c r="K449" s="1058"/>
      <c r="L449" s="1058"/>
      <c r="M449" s="1636">
        <v>0</v>
      </c>
      <c r="N449" s="1636"/>
      <c r="O449" s="1636">
        <v>0</v>
      </c>
      <c r="P449" s="1636">
        <v>0</v>
      </c>
      <c r="Q449" s="1636">
        <v>46.1</v>
      </c>
      <c r="R449" s="1636">
        <v>0</v>
      </c>
      <c r="S449" s="1636">
        <v>0</v>
      </c>
      <c r="U449" s="1656">
        <v>1.6999999999999999E-3</v>
      </c>
      <c r="V449" s="1657">
        <v>0</v>
      </c>
      <c r="W449" s="1657">
        <v>1.6999999999999999E-3</v>
      </c>
      <c r="X449" s="1657">
        <v>0</v>
      </c>
      <c r="Y449" s="1658">
        <v>0</v>
      </c>
    </row>
    <row r="450" spans="3:25" ht="13.95" customHeight="1" x14ac:dyDescent="0.3">
      <c r="C450" s="1057">
        <v>436</v>
      </c>
      <c r="D450" s="1058" t="s">
        <v>1283</v>
      </c>
      <c r="E450" s="1059">
        <v>5</v>
      </c>
      <c r="F450" s="1297" t="s">
        <v>1088</v>
      </c>
      <c r="G450" s="1057" t="s">
        <v>1036</v>
      </c>
      <c r="H450" s="1058"/>
      <c r="I450" s="1057">
        <v>1</v>
      </c>
      <c r="J450" s="1058"/>
      <c r="K450" s="1058"/>
      <c r="L450" s="1058"/>
      <c r="M450" s="1636">
        <v>0</v>
      </c>
      <c r="N450" s="1636"/>
      <c r="O450" s="1636">
        <v>0</v>
      </c>
      <c r="P450" s="1636">
        <v>0</v>
      </c>
      <c r="Q450" s="1636">
        <v>80</v>
      </c>
      <c r="R450" s="1636">
        <v>0</v>
      </c>
      <c r="S450" s="1636">
        <v>0</v>
      </c>
      <c r="U450" s="1656">
        <v>6.7699999999999998E-4</v>
      </c>
      <c r="V450" s="1657">
        <v>0</v>
      </c>
      <c r="W450" s="1656">
        <v>6.7699999999999998E-4</v>
      </c>
      <c r="X450" s="1657">
        <v>0</v>
      </c>
      <c r="Y450" s="1658">
        <v>0</v>
      </c>
    </row>
    <row r="451" spans="3:25" ht="13.95" customHeight="1" x14ac:dyDescent="0.3">
      <c r="C451" s="1057">
        <v>437</v>
      </c>
      <c r="D451" s="1058" t="s">
        <v>1283</v>
      </c>
      <c r="E451" s="1059">
        <v>1</v>
      </c>
      <c r="F451" s="1297" t="s">
        <v>1088</v>
      </c>
      <c r="G451" s="1057" t="s">
        <v>1036</v>
      </c>
      <c r="H451" s="1058"/>
      <c r="I451" s="1057">
        <v>0</v>
      </c>
      <c r="J451" s="1058"/>
      <c r="K451" s="1058"/>
      <c r="L451" s="1058"/>
      <c r="M451" s="1636">
        <v>0</v>
      </c>
      <c r="N451" s="1636"/>
      <c r="O451" s="1636">
        <v>0</v>
      </c>
      <c r="P451" s="1636">
        <v>0</v>
      </c>
      <c r="Q451" s="1636">
        <v>0</v>
      </c>
      <c r="R451" s="1636">
        <v>0</v>
      </c>
      <c r="S451" s="1636">
        <v>0</v>
      </c>
      <c r="U451" s="1656">
        <v>0</v>
      </c>
      <c r="V451" s="1657">
        <v>0</v>
      </c>
      <c r="W451" s="1656">
        <v>0</v>
      </c>
      <c r="X451" s="1657">
        <v>0</v>
      </c>
      <c r="Y451" s="1658">
        <v>0</v>
      </c>
    </row>
    <row r="452" spans="3:25" ht="13.95" customHeight="1" x14ac:dyDescent="0.3">
      <c r="C452" s="1057">
        <v>438</v>
      </c>
      <c r="D452" s="1058" t="s">
        <v>1284</v>
      </c>
      <c r="E452" s="1059">
        <v>3</v>
      </c>
      <c r="F452" s="1297" t="s">
        <v>1078</v>
      </c>
      <c r="G452" s="1057" t="s">
        <v>1036</v>
      </c>
      <c r="H452" s="1058"/>
      <c r="I452" s="1057">
        <v>0</v>
      </c>
      <c r="J452" s="1058"/>
      <c r="K452" s="1058"/>
      <c r="L452" s="1058"/>
      <c r="M452" s="1636">
        <v>0</v>
      </c>
      <c r="N452" s="1636"/>
      <c r="O452" s="1636">
        <v>0</v>
      </c>
      <c r="P452" s="1636">
        <v>0</v>
      </c>
      <c r="Q452" s="1636">
        <v>0</v>
      </c>
      <c r="R452" s="1636">
        <v>0</v>
      </c>
      <c r="S452" s="1636">
        <v>4345.5</v>
      </c>
      <c r="U452" s="1656">
        <v>0.36599999999999999</v>
      </c>
      <c r="V452" s="1657">
        <v>0</v>
      </c>
      <c r="W452" s="1657">
        <v>0.36599999999999999</v>
      </c>
      <c r="X452" s="1657">
        <v>0</v>
      </c>
      <c r="Y452" s="1658">
        <v>0</v>
      </c>
    </row>
    <row r="453" spans="3:25" ht="13.95" customHeight="1" x14ac:dyDescent="0.3">
      <c r="C453" s="1057">
        <v>439</v>
      </c>
      <c r="D453" s="1058" t="s">
        <v>1284</v>
      </c>
      <c r="E453" s="1059">
        <v>3</v>
      </c>
      <c r="F453" s="1297" t="s">
        <v>1078</v>
      </c>
      <c r="G453" s="1057" t="s">
        <v>1036</v>
      </c>
      <c r="H453" s="1058"/>
      <c r="I453" s="1057">
        <v>0</v>
      </c>
      <c r="J453" s="1058"/>
      <c r="K453" s="1058"/>
      <c r="L453" s="1058"/>
      <c r="M453" s="1636">
        <v>0</v>
      </c>
      <c r="N453" s="1636"/>
      <c r="O453" s="1636">
        <v>0</v>
      </c>
      <c r="P453" s="1636">
        <v>0</v>
      </c>
      <c r="Q453" s="1636">
        <v>0</v>
      </c>
      <c r="R453" s="1636">
        <v>0</v>
      </c>
      <c r="S453" s="1636">
        <v>1022</v>
      </c>
      <c r="U453" s="1656">
        <v>0.13</v>
      </c>
      <c r="V453" s="1657">
        <v>0</v>
      </c>
      <c r="W453" s="1657">
        <v>0.13</v>
      </c>
      <c r="X453" s="1657">
        <v>0</v>
      </c>
      <c r="Y453" s="1658">
        <v>0</v>
      </c>
    </row>
    <row r="454" spans="3:25" ht="13.95" customHeight="1" x14ac:dyDescent="0.3">
      <c r="C454" s="1057">
        <v>440</v>
      </c>
      <c r="D454" s="1058" t="s">
        <v>1285</v>
      </c>
      <c r="E454" s="1059">
        <v>5</v>
      </c>
      <c r="F454" s="1297" t="s">
        <v>1063</v>
      </c>
      <c r="G454" s="1057" t="s">
        <v>1036</v>
      </c>
      <c r="H454" s="1058"/>
      <c r="I454" s="1057">
        <v>50</v>
      </c>
      <c r="J454" s="1058"/>
      <c r="K454" s="1058"/>
      <c r="L454" s="1058"/>
      <c r="M454" s="1636">
        <v>2310.4</v>
      </c>
      <c r="N454" s="1636"/>
      <c r="O454" s="1636">
        <v>2057.6</v>
      </c>
      <c r="P454" s="1636">
        <v>0</v>
      </c>
      <c r="Q454" s="1636">
        <v>0</v>
      </c>
      <c r="R454" s="1636">
        <v>0</v>
      </c>
      <c r="S454" s="1636">
        <v>0</v>
      </c>
      <c r="U454" s="1656">
        <v>0.11619415</v>
      </c>
      <c r="V454" s="1657">
        <v>0</v>
      </c>
      <c r="W454" s="1657">
        <v>0.11619415</v>
      </c>
      <c r="X454" s="1657">
        <v>5.6465614074245165E-3</v>
      </c>
      <c r="Y454" s="1658">
        <v>118</v>
      </c>
    </row>
    <row r="455" spans="3:25" ht="13.95" customHeight="1" x14ac:dyDescent="0.3">
      <c r="C455" s="1057">
        <v>441</v>
      </c>
      <c r="D455" s="1058" t="s">
        <v>1285</v>
      </c>
      <c r="E455" s="1059">
        <v>5</v>
      </c>
      <c r="F455" s="1297" t="s">
        <v>1063</v>
      </c>
      <c r="G455" s="1057" t="s">
        <v>1036</v>
      </c>
      <c r="H455" s="1058"/>
      <c r="I455" s="1057">
        <v>0</v>
      </c>
      <c r="J455" s="1058"/>
      <c r="K455" s="1058"/>
      <c r="L455" s="1058"/>
      <c r="M455" s="1636">
        <v>0</v>
      </c>
      <c r="N455" s="1636"/>
      <c r="O455" s="1636">
        <v>0</v>
      </c>
      <c r="P455" s="1636">
        <v>0</v>
      </c>
      <c r="Q455" s="1636">
        <v>62.1</v>
      </c>
      <c r="R455" s="1636">
        <v>0</v>
      </c>
      <c r="S455" s="1636">
        <v>0</v>
      </c>
      <c r="U455" s="1656">
        <v>3.3700000000000002E-3</v>
      </c>
      <c r="V455" s="1657">
        <v>0</v>
      </c>
      <c r="W455" s="1657">
        <v>3.3700000000000002E-3</v>
      </c>
      <c r="X455" s="1657">
        <v>0</v>
      </c>
      <c r="Y455" s="1658">
        <v>0</v>
      </c>
    </row>
    <row r="456" spans="3:25" ht="13.95" customHeight="1" x14ac:dyDescent="0.3">
      <c r="C456" s="1057">
        <v>442</v>
      </c>
      <c r="D456" s="1058" t="s">
        <v>1285</v>
      </c>
      <c r="E456" s="1059">
        <v>5</v>
      </c>
      <c r="F456" s="1297" t="s">
        <v>1063</v>
      </c>
      <c r="G456" s="1057" t="s">
        <v>1036</v>
      </c>
      <c r="H456" s="1058"/>
      <c r="I456" s="1057">
        <v>1</v>
      </c>
      <c r="J456" s="1058"/>
      <c r="K456" s="1058"/>
      <c r="L456" s="1058"/>
      <c r="M456" s="1636">
        <v>0</v>
      </c>
      <c r="N456" s="1636"/>
      <c r="O456" s="1636">
        <v>0</v>
      </c>
      <c r="P456" s="1636">
        <v>0</v>
      </c>
      <c r="Q456" s="1636">
        <v>43.5</v>
      </c>
      <c r="R456" s="1636">
        <v>0</v>
      </c>
      <c r="S456" s="1636">
        <v>0</v>
      </c>
      <c r="U456" s="1656">
        <v>3.6059999999999998E-3</v>
      </c>
      <c r="V456" s="1657">
        <v>0</v>
      </c>
      <c r="W456" s="1657">
        <v>3.6059999999999998E-3</v>
      </c>
      <c r="X456" s="1657">
        <v>0</v>
      </c>
      <c r="Y456" s="1658">
        <v>0</v>
      </c>
    </row>
    <row r="457" spans="3:25" ht="13.95" customHeight="1" x14ac:dyDescent="0.3">
      <c r="C457" s="1057">
        <v>443</v>
      </c>
      <c r="D457" s="1058" t="s">
        <v>1285</v>
      </c>
      <c r="E457" s="1059">
        <v>5</v>
      </c>
      <c r="F457" s="1297" t="s">
        <v>1063</v>
      </c>
      <c r="G457" s="1057" t="s">
        <v>1036</v>
      </c>
      <c r="H457" s="1058"/>
      <c r="I457" s="1057">
        <v>1</v>
      </c>
      <c r="J457" s="1058"/>
      <c r="K457" s="1058"/>
      <c r="L457" s="1058"/>
      <c r="M457" s="1636">
        <v>0</v>
      </c>
      <c r="N457" s="1636"/>
      <c r="O457" s="1636">
        <v>0</v>
      </c>
      <c r="P457" s="1636">
        <v>0</v>
      </c>
      <c r="Q457" s="1636">
        <v>46.9</v>
      </c>
      <c r="R457" s="1636">
        <v>0</v>
      </c>
      <c r="S457" s="1636">
        <v>0</v>
      </c>
      <c r="U457" s="1656">
        <v>2.8800000000000002E-3</v>
      </c>
      <c r="V457" s="1657">
        <v>0</v>
      </c>
      <c r="W457" s="1657">
        <v>2.8800000000000002E-3</v>
      </c>
      <c r="X457" s="1657">
        <v>0</v>
      </c>
      <c r="Y457" s="1658">
        <v>0</v>
      </c>
    </row>
    <row r="458" spans="3:25" ht="13.95" customHeight="1" x14ac:dyDescent="0.3">
      <c r="C458" s="1057">
        <v>444</v>
      </c>
      <c r="D458" s="1058" t="s">
        <v>1285</v>
      </c>
      <c r="E458" s="1059">
        <v>5</v>
      </c>
      <c r="F458" s="1297" t="s">
        <v>1063</v>
      </c>
      <c r="G458" s="1057" t="s">
        <v>1036</v>
      </c>
      <c r="H458" s="1058"/>
      <c r="I458" s="1057">
        <v>1</v>
      </c>
      <c r="J458" s="1058"/>
      <c r="K458" s="1058"/>
      <c r="L458" s="1058"/>
      <c r="M458" s="1636">
        <v>0</v>
      </c>
      <c r="N458" s="1636"/>
      <c r="O458" s="1636">
        <v>0</v>
      </c>
      <c r="P458" s="1636">
        <v>0</v>
      </c>
      <c r="Q458" s="1636">
        <v>30</v>
      </c>
      <c r="R458" s="1636">
        <v>0</v>
      </c>
      <c r="S458" s="1636">
        <v>0</v>
      </c>
      <c r="U458" s="1656">
        <v>2.1559999999999999E-3</v>
      </c>
      <c r="V458" s="1657">
        <v>0</v>
      </c>
      <c r="W458" s="1657">
        <v>2.1559999999999999E-3</v>
      </c>
      <c r="X458" s="1657">
        <v>0</v>
      </c>
      <c r="Y458" s="1658">
        <v>0</v>
      </c>
    </row>
    <row r="459" spans="3:25" ht="13.95" customHeight="1" x14ac:dyDescent="0.3">
      <c r="C459" s="1057">
        <v>445</v>
      </c>
      <c r="D459" s="1058" t="s">
        <v>1285</v>
      </c>
      <c r="E459" s="1059">
        <v>5</v>
      </c>
      <c r="F459" s="1297" t="s">
        <v>1063</v>
      </c>
      <c r="G459" s="1057" t="s">
        <v>1036</v>
      </c>
      <c r="H459" s="1058"/>
      <c r="I459" s="1057">
        <v>1</v>
      </c>
      <c r="J459" s="1058"/>
      <c r="K459" s="1058"/>
      <c r="L459" s="1058"/>
      <c r="M459" s="1636">
        <v>0</v>
      </c>
      <c r="N459" s="1636"/>
      <c r="O459" s="1636">
        <v>0</v>
      </c>
      <c r="P459" s="1636">
        <v>0</v>
      </c>
      <c r="Q459" s="1636">
        <v>54.9</v>
      </c>
      <c r="R459" s="1636">
        <v>0</v>
      </c>
      <c r="S459" s="1636">
        <v>0</v>
      </c>
      <c r="U459" s="1656">
        <v>3.2659999999999998E-3</v>
      </c>
      <c r="V459" s="1657">
        <v>0</v>
      </c>
      <c r="W459" s="1657">
        <v>3.2659999999999998E-3</v>
      </c>
      <c r="X459" s="1657">
        <v>0</v>
      </c>
      <c r="Y459" s="1658">
        <v>0</v>
      </c>
    </row>
    <row r="460" spans="3:25" ht="13.95" customHeight="1" x14ac:dyDescent="0.3">
      <c r="C460" s="1057">
        <v>446</v>
      </c>
      <c r="D460" s="1058" t="s">
        <v>1285</v>
      </c>
      <c r="E460" s="1059">
        <v>5</v>
      </c>
      <c r="F460" s="1297" t="s">
        <v>1063</v>
      </c>
      <c r="G460" s="1057" t="s">
        <v>1036</v>
      </c>
      <c r="H460" s="1058"/>
      <c r="I460" s="1057">
        <v>1</v>
      </c>
      <c r="J460" s="1058"/>
      <c r="K460" s="1058"/>
      <c r="L460" s="1058"/>
      <c r="M460" s="1636">
        <v>0</v>
      </c>
      <c r="N460" s="1636"/>
      <c r="O460" s="1636">
        <v>0</v>
      </c>
      <c r="P460" s="1636">
        <v>0</v>
      </c>
      <c r="Q460" s="1636">
        <v>15.4</v>
      </c>
      <c r="R460" s="1636">
        <v>0</v>
      </c>
      <c r="S460" s="1636">
        <v>0</v>
      </c>
      <c r="U460" s="1656">
        <v>1.214E-3</v>
      </c>
      <c r="V460" s="1657">
        <v>0</v>
      </c>
      <c r="W460" s="1657">
        <v>1.214E-3</v>
      </c>
      <c r="X460" s="1657">
        <v>0</v>
      </c>
      <c r="Y460" s="1658">
        <v>0</v>
      </c>
    </row>
    <row r="461" spans="3:25" ht="13.95" customHeight="1" x14ac:dyDescent="0.3">
      <c r="C461" s="1057">
        <v>447</v>
      </c>
      <c r="D461" s="1058" t="s">
        <v>1285</v>
      </c>
      <c r="E461" s="1059">
        <v>1</v>
      </c>
      <c r="F461" s="1297" t="s">
        <v>1063</v>
      </c>
      <c r="G461" s="1057" t="s">
        <v>1036</v>
      </c>
      <c r="H461" s="1058"/>
      <c r="I461" s="1057">
        <v>0</v>
      </c>
      <c r="J461" s="1058"/>
      <c r="K461" s="1058"/>
      <c r="L461" s="1058"/>
      <c r="M461" s="1636">
        <v>0</v>
      </c>
      <c r="N461" s="1636"/>
      <c r="O461" s="1636">
        <v>0</v>
      </c>
      <c r="P461" s="1636">
        <v>0</v>
      </c>
      <c r="Q461" s="1636">
        <v>0</v>
      </c>
      <c r="R461" s="1636">
        <v>0</v>
      </c>
      <c r="S461" s="1636">
        <v>18.899999999999999</v>
      </c>
      <c r="U461" s="1656">
        <v>1.469E-3</v>
      </c>
      <c r="V461" s="1657">
        <v>0</v>
      </c>
      <c r="W461" s="1657">
        <v>1.469E-3</v>
      </c>
      <c r="X461" s="1657">
        <v>0</v>
      </c>
      <c r="Y461" s="1658">
        <v>0</v>
      </c>
    </row>
    <row r="462" spans="3:25" ht="13.95" customHeight="1" x14ac:dyDescent="0.3">
      <c r="C462" s="1057">
        <v>448</v>
      </c>
      <c r="D462" s="1058" t="s">
        <v>1285</v>
      </c>
      <c r="E462" s="1059">
        <v>1</v>
      </c>
      <c r="F462" s="1297" t="s">
        <v>1063</v>
      </c>
      <c r="G462" s="1057" t="s">
        <v>1036</v>
      </c>
      <c r="H462" s="1058"/>
      <c r="I462" s="1057">
        <v>1</v>
      </c>
      <c r="J462" s="1058"/>
      <c r="K462" s="1058"/>
      <c r="L462" s="1058"/>
      <c r="M462" s="1636">
        <v>0</v>
      </c>
      <c r="N462" s="1636"/>
      <c r="O462" s="1636">
        <v>0</v>
      </c>
      <c r="P462" s="1636">
        <v>0</v>
      </c>
      <c r="Q462" s="1636">
        <v>0</v>
      </c>
      <c r="R462" s="1636">
        <v>0</v>
      </c>
      <c r="S462" s="1636">
        <v>27.4</v>
      </c>
      <c r="U462" s="1656">
        <v>1.196E-3</v>
      </c>
      <c r="V462" s="1657">
        <v>0</v>
      </c>
      <c r="W462" s="1657">
        <v>1.196E-3</v>
      </c>
      <c r="X462" s="1657">
        <v>0</v>
      </c>
      <c r="Y462" s="1658">
        <v>0</v>
      </c>
    </row>
    <row r="463" spans="3:25" ht="13.95" customHeight="1" x14ac:dyDescent="0.3">
      <c r="C463" s="1057">
        <v>449</v>
      </c>
      <c r="D463" s="1058" t="s">
        <v>1286</v>
      </c>
      <c r="E463" s="1059">
        <v>5</v>
      </c>
      <c r="F463" s="1297" t="s">
        <v>1063</v>
      </c>
      <c r="G463" s="1057" t="s">
        <v>1036</v>
      </c>
      <c r="H463" s="1058"/>
      <c r="I463" s="1057">
        <v>60</v>
      </c>
      <c r="J463" s="1058"/>
      <c r="K463" s="1058"/>
      <c r="L463" s="1058"/>
      <c r="M463" s="1636">
        <v>2479.4</v>
      </c>
      <c r="N463" s="1636"/>
      <c r="O463" s="1636">
        <v>2479.4</v>
      </c>
      <c r="P463" s="1636">
        <v>0</v>
      </c>
      <c r="Q463" s="1636">
        <v>0</v>
      </c>
      <c r="R463" s="1636">
        <v>0</v>
      </c>
      <c r="S463" s="1636">
        <v>0</v>
      </c>
      <c r="U463" s="1656">
        <v>0.15032056999999999</v>
      </c>
      <c r="V463" s="1657">
        <v>0</v>
      </c>
      <c r="W463" s="1657">
        <v>0.15032056999999999</v>
      </c>
      <c r="X463" s="1657">
        <v>3.1275647989348378E-3</v>
      </c>
      <c r="Y463" s="1658">
        <v>59</v>
      </c>
    </row>
    <row r="464" spans="3:25" ht="13.95" customHeight="1" x14ac:dyDescent="0.3">
      <c r="C464" s="1057">
        <v>450</v>
      </c>
      <c r="D464" s="1058" t="s">
        <v>1287</v>
      </c>
      <c r="E464" s="1059">
        <v>1</v>
      </c>
      <c r="F464" s="1297" t="s">
        <v>1288</v>
      </c>
      <c r="G464" s="1057" t="s">
        <v>1036</v>
      </c>
      <c r="H464" s="1058"/>
      <c r="I464" s="1057">
        <v>1</v>
      </c>
      <c r="J464" s="1058"/>
      <c r="K464" s="1058"/>
      <c r="L464" s="1058"/>
      <c r="M464" s="1636">
        <v>0</v>
      </c>
      <c r="N464" s="1636"/>
      <c r="O464" s="1636">
        <v>0</v>
      </c>
      <c r="P464" s="1636">
        <v>0</v>
      </c>
      <c r="Q464" s="1636">
        <v>0</v>
      </c>
      <c r="R464" s="1636">
        <v>0</v>
      </c>
      <c r="S464" s="1636">
        <v>60</v>
      </c>
      <c r="U464" s="1656">
        <v>6.3179999999999998E-3</v>
      </c>
      <c r="V464" s="1657">
        <v>0</v>
      </c>
      <c r="W464" s="1657">
        <v>6.3179999999999998E-3</v>
      </c>
      <c r="X464" s="1657">
        <v>0</v>
      </c>
      <c r="Y464" s="1658">
        <v>0</v>
      </c>
    </row>
    <row r="465" spans="3:25" ht="13.95" customHeight="1" x14ac:dyDescent="0.3">
      <c r="C465" s="1057">
        <v>451</v>
      </c>
      <c r="D465" s="1058" t="s">
        <v>1289</v>
      </c>
      <c r="E465" s="1059">
        <v>9</v>
      </c>
      <c r="F465" s="1297" t="s">
        <v>1059</v>
      </c>
      <c r="G465" s="1057" t="s">
        <v>1036</v>
      </c>
      <c r="H465" s="1058"/>
      <c r="I465" s="1057">
        <v>129</v>
      </c>
      <c r="J465" s="1058"/>
      <c r="K465" s="1058"/>
      <c r="L465" s="1058"/>
      <c r="M465" s="1636">
        <v>7542.6</v>
      </c>
      <c r="N465" s="1636"/>
      <c r="O465" s="1636">
        <v>7417.8</v>
      </c>
      <c r="P465" s="1636">
        <v>0</v>
      </c>
      <c r="Q465" s="1636">
        <v>0</v>
      </c>
      <c r="R465" s="1636">
        <v>0</v>
      </c>
      <c r="S465" s="1636">
        <v>0</v>
      </c>
      <c r="U465" s="1656">
        <v>0.37488320099999994</v>
      </c>
      <c r="V465" s="1657">
        <v>0</v>
      </c>
      <c r="W465" s="1657">
        <v>0.37488320099999994</v>
      </c>
      <c r="X465" s="1657">
        <v>3.556497653840539E-3</v>
      </c>
      <c r="Y465" s="1658">
        <v>80</v>
      </c>
    </row>
    <row r="466" spans="3:25" ht="13.95" customHeight="1" x14ac:dyDescent="0.3">
      <c r="C466" s="1057">
        <v>452</v>
      </c>
      <c r="D466" s="1058" t="s">
        <v>1289</v>
      </c>
      <c r="E466" s="1059">
        <v>9</v>
      </c>
      <c r="F466" s="1297" t="s">
        <v>1059</v>
      </c>
      <c r="G466" s="1057" t="s">
        <v>1036</v>
      </c>
      <c r="H466" s="1058"/>
      <c r="I466" s="1057">
        <v>1</v>
      </c>
      <c r="J466" s="1058"/>
      <c r="K466" s="1058"/>
      <c r="L466" s="1058"/>
      <c r="M466" s="1636">
        <v>0</v>
      </c>
      <c r="N466" s="1636"/>
      <c r="O466" s="1636">
        <v>0</v>
      </c>
      <c r="P466" s="1636">
        <v>0</v>
      </c>
      <c r="Q466" s="1636">
        <v>29.8</v>
      </c>
      <c r="R466" s="1636">
        <v>0</v>
      </c>
      <c r="S466" s="1636">
        <v>0</v>
      </c>
      <c r="U466" s="1656">
        <v>3.7320000000000001E-3</v>
      </c>
      <c r="V466" s="1657">
        <v>0</v>
      </c>
      <c r="W466" s="1657">
        <v>3.7320000000000001E-3</v>
      </c>
      <c r="X466" s="1657">
        <v>0</v>
      </c>
      <c r="Y466" s="1658">
        <v>0</v>
      </c>
    </row>
    <row r="467" spans="3:25" ht="13.95" customHeight="1" x14ac:dyDescent="0.3">
      <c r="C467" s="1057">
        <v>453</v>
      </c>
      <c r="D467" s="1058" t="s">
        <v>1289</v>
      </c>
      <c r="E467" s="1059">
        <v>9</v>
      </c>
      <c r="F467" s="1297" t="s">
        <v>1059</v>
      </c>
      <c r="G467" s="1057" t="s">
        <v>1036</v>
      </c>
      <c r="H467" s="1058"/>
      <c r="I467" s="1057">
        <v>0</v>
      </c>
      <c r="J467" s="1058"/>
      <c r="K467" s="1058"/>
      <c r="L467" s="1058"/>
      <c r="M467" s="1636">
        <v>0</v>
      </c>
      <c r="N467" s="1636"/>
      <c r="O467" s="1636">
        <v>0</v>
      </c>
      <c r="P467" s="1636">
        <v>0</v>
      </c>
      <c r="Q467" s="1636">
        <v>0</v>
      </c>
      <c r="R467" s="1636">
        <v>0</v>
      </c>
      <c r="S467" s="1636">
        <v>0</v>
      </c>
      <c r="U467" s="1656">
        <v>0</v>
      </c>
      <c r="V467" s="1657">
        <v>0</v>
      </c>
      <c r="W467" s="1656">
        <v>0</v>
      </c>
      <c r="X467" s="1657">
        <v>0</v>
      </c>
      <c r="Y467" s="1658">
        <v>0</v>
      </c>
    </row>
    <row r="468" spans="3:25" ht="13.95" customHeight="1" x14ac:dyDescent="0.3">
      <c r="C468" s="1057">
        <v>454</v>
      </c>
      <c r="D468" s="1058" t="s">
        <v>1289</v>
      </c>
      <c r="E468" s="1059">
        <v>9</v>
      </c>
      <c r="F468" s="1297" t="s">
        <v>1059</v>
      </c>
      <c r="G468" s="1057" t="s">
        <v>1036</v>
      </c>
      <c r="H468" s="1058"/>
      <c r="I468" s="1057">
        <v>0</v>
      </c>
      <c r="J468" s="1058"/>
      <c r="K468" s="1058"/>
      <c r="L468" s="1058"/>
      <c r="M468" s="1636">
        <v>0</v>
      </c>
      <c r="N468" s="1636"/>
      <c r="O468" s="1636">
        <v>0</v>
      </c>
      <c r="P468" s="1636">
        <v>0</v>
      </c>
      <c r="Q468" s="1636">
        <v>95</v>
      </c>
      <c r="R468" s="1636">
        <v>0</v>
      </c>
      <c r="S468" s="1636">
        <v>0</v>
      </c>
      <c r="U468" s="1656">
        <v>2.2599999999999999E-2</v>
      </c>
      <c r="V468" s="1657">
        <v>0</v>
      </c>
      <c r="W468" s="1657">
        <v>2.2599999999999999E-2</v>
      </c>
      <c r="X468" s="1657">
        <v>0</v>
      </c>
      <c r="Y468" s="1658">
        <v>0</v>
      </c>
    </row>
    <row r="469" spans="3:25" ht="13.95" customHeight="1" x14ac:dyDescent="0.3">
      <c r="C469" s="1057">
        <v>455</v>
      </c>
      <c r="D469" s="1058" t="s">
        <v>1289</v>
      </c>
      <c r="E469" s="1059">
        <v>1</v>
      </c>
      <c r="F469" s="1297" t="s">
        <v>1059</v>
      </c>
      <c r="G469" s="1057" t="s">
        <v>1036</v>
      </c>
      <c r="H469" s="1058"/>
      <c r="I469" s="1057">
        <v>0</v>
      </c>
      <c r="J469" s="1058"/>
      <c r="K469" s="1058"/>
      <c r="L469" s="1058"/>
      <c r="M469" s="1636">
        <v>0</v>
      </c>
      <c r="N469" s="1636"/>
      <c r="O469" s="1636">
        <v>0</v>
      </c>
      <c r="P469" s="1636">
        <v>0</v>
      </c>
      <c r="Q469" s="1636">
        <v>0</v>
      </c>
      <c r="R469" s="1636">
        <v>0</v>
      </c>
      <c r="S469" s="1636">
        <v>0</v>
      </c>
      <c r="U469" s="1656">
        <v>0</v>
      </c>
      <c r="V469" s="1657">
        <v>0</v>
      </c>
      <c r="W469" s="1657">
        <v>0</v>
      </c>
      <c r="X469" s="1657">
        <v>0</v>
      </c>
      <c r="Y469" s="1658">
        <v>0</v>
      </c>
    </row>
    <row r="470" spans="3:25" ht="13.95" customHeight="1" x14ac:dyDescent="0.3">
      <c r="C470" s="1057">
        <v>456</v>
      </c>
      <c r="D470" s="1058" t="s">
        <v>1290</v>
      </c>
      <c r="E470" s="1059">
        <v>4</v>
      </c>
      <c r="F470" s="1297" t="s">
        <v>1291</v>
      </c>
      <c r="G470" s="1057" t="s">
        <v>1036</v>
      </c>
      <c r="H470" s="1058"/>
      <c r="I470" s="1057">
        <v>58</v>
      </c>
      <c r="J470" s="1058"/>
      <c r="K470" s="1058"/>
      <c r="L470" s="1058"/>
      <c r="M470" s="1636">
        <v>4414.33</v>
      </c>
      <c r="N470" s="1636"/>
      <c r="O470" s="1636">
        <v>3859.83</v>
      </c>
      <c r="P470" s="1636">
        <v>0</v>
      </c>
      <c r="Q470" s="1636">
        <v>0</v>
      </c>
      <c r="R470" s="1636">
        <v>0</v>
      </c>
      <c r="S470" s="1636">
        <v>0</v>
      </c>
      <c r="U470" s="1656">
        <v>0.26423221000000002</v>
      </c>
      <c r="V470" s="1657">
        <v>0</v>
      </c>
      <c r="W470" s="1657">
        <v>0.26423221000000002</v>
      </c>
      <c r="X470" s="1657">
        <v>6.5409053026771443E-3</v>
      </c>
      <c r="Y470" s="1658">
        <v>110</v>
      </c>
    </row>
    <row r="471" spans="3:25" ht="13.95" customHeight="1" x14ac:dyDescent="0.3">
      <c r="C471" s="1057">
        <v>457</v>
      </c>
      <c r="D471" s="1058" t="s">
        <v>1290</v>
      </c>
      <c r="E471" s="1059">
        <v>4</v>
      </c>
      <c r="F471" s="1297" t="s">
        <v>1291</v>
      </c>
      <c r="G471" s="1057" t="s">
        <v>1036</v>
      </c>
      <c r="H471" s="1058"/>
      <c r="I471" s="1057">
        <v>1</v>
      </c>
      <c r="J471" s="1058"/>
      <c r="K471" s="1058"/>
      <c r="L471" s="1058"/>
      <c r="M471" s="1636">
        <v>0</v>
      </c>
      <c r="N471" s="1636"/>
      <c r="O471" s="1636">
        <v>0</v>
      </c>
      <c r="P471" s="1636">
        <v>0</v>
      </c>
      <c r="Q471" s="1636">
        <v>338.8</v>
      </c>
      <c r="R471" s="1636">
        <v>0</v>
      </c>
      <c r="S471" s="1636">
        <v>0</v>
      </c>
      <c r="U471" s="1656">
        <v>1.9E-2</v>
      </c>
      <c r="V471" s="1657">
        <v>0</v>
      </c>
      <c r="W471" s="1657">
        <v>1.9E-2</v>
      </c>
      <c r="X471" s="1657">
        <v>0</v>
      </c>
      <c r="Y471" s="1658">
        <v>0</v>
      </c>
    </row>
    <row r="472" spans="3:25" ht="13.95" customHeight="1" x14ac:dyDescent="0.3">
      <c r="C472" s="1057">
        <v>458</v>
      </c>
      <c r="D472" s="1058" t="s">
        <v>1290</v>
      </c>
      <c r="E472" s="1059">
        <v>4</v>
      </c>
      <c r="F472" s="1297" t="s">
        <v>1291</v>
      </c>
      <c r="G472" s="1057" t="s">
        <v>1036</v>
      </c>
      <c r="H472" s="1058"/>
      <c r="I472" s="1057">
        <v>1</v>
      </c>
      <c r="J472" s="1058"/>
      <c r="K472" s="1058"/>
      <c r="L472" s="1058"/>
      <c r="M472" s="1636">
        <v>0</v>
      </c>
      <c r="N472" s="1636"/>
      <c r="O472" s="1636">
        <v>0</v>
      </c>
      <c r="P472" s="1636">
        <v>0</v>
      </c>
      <c r="Q472" s="1636">
        <v>149.4</v>
      </c>
      <c r="R472" s="1636">
        <v>0</v>
      </c>
      <c r="S472" s="1636">
        <v>0</v>
      </c>
      <c r="U472" s="1656">
        <v>9.9000000000000008E-3</v>
      </c>
      <c r="V472" s="1657">
        <v>0</v>
      </c>
      <c r="W472" s="1657">
        <v>9.9000000000000008E-3</v>
      </c>
      <c r="X472" s="1657">
        <v>0</v>
      </c>
      <c r="Y472" s="1658">
        <v>0</v>
      </c>
    </row>
    <row r="473" spans="3:25" ht="13.95" customHeight="1" x14ac:dyDescent="0.3">
      <c r="C473" s="1057">
        <v>459</v>
      </c>
      <c r="D473" s="1058" t="s">
        <v>1290</v>
      </c>
      <c r="E473" s="1059">
        <v>4</v>
      </c>
      <c r="F473" s="1297" t="s">
        <v>1291</v>
      </c>
      <c r="G473" s="1057" t="s">
        <v>1036</v>
      </c>
      <c r="H473" s="1058"/>
      <c r="I473" s="1057">
        <v>1</v>
      </c>
      <c r="J473" s="1058"/>
      <c r="K473" s="1058"/>
      <c r="L473" s="1058"/>
      <c r="M473" s="1636">
        <v>0</v>
      </c>
      <c r="N473" s="1636"/>
      <c r="O473" s="1636">
        <v>0</v>
      </c>
      <c r="P473" s="1636">
        <v>0</v>
      </c>
      <c r="Q473" s="1636">
        <v>66.3</v>
      </c>
      <c r="R473" s="1636">
        <v>0</v>
      </c>
      <c r="S473" s="1636">
        <v>0</v>
      </c>
      <c r="U473" s="1656">
        <v>4.8999999999999998E-3</v>
      </c>
      <c r="V473" s="1657">
        <v>0</v>
      </c>
      <c r="W473" s="1657">
        <v>4.8999999999999998E-3</v>
      </c>
      <c r="X473" s="1657">
        <v>0</v>
      </c>
      <c r="Y473" s="1658">
        <v>0</v>
      </c>
    </row>
    <row r="474" spans="3:25" ht="13.95" customHeight="1" x14ac:dyDescent="0.3">
      <c r="C474" s="1057">
        <v>460</v>
      </c>
      <c r="D474" s="1058" t="s">
        <v>1292</v>
      </c>
      <c r="E474" s="1059">
        <v>5</v>
      </c>
      <c r="F474" s="1297" t="s">
        <v>1086</v>
      </c>
      <c r="G474" s="1057" t="s">
        <v>1036</v>
      </c>
      <c r="H474" s="1058"/>
      <c r="I474" s="1057">
        <v>100</v>
      </c>
      <c r="J474" s="1058"/>
      <c r="K474" s="1058"/>
      <c r="L474" s="1058"/>
      <c r="M474" s="1636">
        <v>4447.8</v>
      </c>
      <c r="N474" s="1636"/>
      <c r="O474" s="1636">
        <v>4447.8</v>
      </c>
      <c r="P474" s="1636">
        <v>0</v>
      </c>
      <c r="Q474" s="1636">
        <v>0</v>
      </c>
      <c r="R474" s="1636">
        <v>0</v>
      </c>
      <c r="S474" s="1636">
        <v>0</v>
      </c>
      <c r="U474" s="1656">
        <v>0.22179821999999999</v>
      </c>
      <c r="V474" s="1657">
        <v>0</v>
      </c>
      <c r="W474" s="1657">
        <v>0.22179821999999999</v>
      </c>
      <c r="X474" s="1657">
        <v>1.6129991220193089E-2</v>
      </c>
      <c r="Y474" s="1658">
        <v>390.62</v>
      </c>
    </row>
    <row r="475" spans="3:25" ht="13.95" customHeight="1" x14ac:dyDescent="0.3">
      <c r="C475" s="1057">
        <v>461</v>
      </c>
      <c r="D475" s="1058" t="s">
        <v>3530</v>
      </c>
      <c r="E475" s="1059">
        <v>2</v>
      </c>
      <c r="F475" s="1297" t="s">
        <v>1086</v>
      </c>
      <c r="G475" s="1057" t="s">
        <v>1036</v>
      </c>
      <c r="H475" s="1058"/>
      <c r="I475" s="1057">
        <v>1</v>
      </c>
      <c r="J475" s="1058"/>
      <c r="K475" s="1058"/>
      <c r="L475" s="1058"/>
      <c r="M475" s="1636">
        <v>0</v>
      </c>
      <c r="N475" s="1636"/>
      <c r="O475" s="1636">
        <v>0</v>
      </c>
      <c r="P475" s="1636">
        <v>0</v>
      </c>
      <c r="Q475" s="1636">
        <v>0</v>
      </c>
      <c r="R475" s="1636">
        <v>0</v>
      </c>
      <c r="S475" s="1636">
        <v>5607.85</v>
      </c>
      <c r="U475" s="1656">
        <v>0.51100000000000001</v>
      </c>
      <c r="V475" s="1657">
        <v>0</v>
      </c>
      <c r="W475" s="1657">
        <v>0.51100000000000001</v>
      </c>
      <c r="X475" s="1657">
        <v>0</v>
      </c>
      <c r="Y475" s="1658">
        <v>0</v>
      </c>
    </row>
    <row r="476" spans="3:25" ht="13.95" customHeight="1" x14ac:dyDescent="0.3">
      <c r="C476" s="1057">
        <v>462</v>
      </c>
      <c r="D476" s="1058" t="s">
        <v>1293</v>
      </c>
      <c r="E476" s="1059">
        <v>5</v>
      </c>
      <c r="F476" s="1297" t="s">
        <v>1074</v>
      </c>
      <c r="G476" s="1057" t="s">
        <v>1036</v>
      </c>
      <c r="H476" s="1058"/>
      <c r="I476" s="1057">
        <v>80</v>
      </c>
      <c r="J476" s="1058"/>
      <c r="K476" s="1058"/>
      <c r="L476" s="1058"/>
      <c r="M476" s="1636">
        <v>3189.1</v>
      </c>
      <c r="N476" s="1636"/>
      <c r="O476" s="1636">
        <v>3189.1</v>
      </c>
      <c r="P476" s="1636">
        <v>0</v>
      </c>
      <c r="Q476" s="1636">
        <v>0</v>
      </c>
      <c r="R476" s="1636">
        <v>0</v>
      </c>
      <c r="S476" s="1636">
        <v>0</v>
      </c>
      <c r="U476" s="1656">
        <v>0.18463810999999999</v>
      </c>
      <c r="V476" s="1657">
        <v>0</v>
      </c>
      <c r="W476" s="1657">
        <v>0.18463810999999999</v>
      </c>
      <c r="X476" s="1657">
        <v>2.4410416927526301E-3</v>
      </c>
      <c r="Y476" s="1658">
        <v>48</v>
      </c>
    </row>
    <row r="477" spans="3:25" ht="13.95" customHeight="1" x14ac:dyDescent="0.3">
      <c r="C477" s="1057">
        <v>463</v>
      </c>
      <c r="D477" s="1058" t="s">
        <v>1294</v>
      </c>
      <c r="E477" s="1059">
        <v>9</v>
      </c>
      <c r="F477" s="1297" t="s">
        <v>1176</v>
      </c>
      <c r="G477" s="1057" t="s">
        <v>1036</v>
      </c>
      <c r="H477" s="1058"/>
      <c r="I477" s="1057">
        <v>138</v>
      </c>
      <c r="J477" s="1058"/>
      <c r="K477" s="1058"/>
      <c r="L477" s="1058"/>
      <c r="M477" s="1636">
        <v>8077.5</v>
      </c>
      <c r="N477" s="1636"/>
      <c r="O477" s="1636">
        <v>7780.5</v>
      </c>
      <c r="P477" s="1636">
        <v>48</v>
      </c>
      <c r="Q477" s="1636">
        <v>0</v>
      </c>
      <c r="R477" s="1636">
        <v>0</v>
      </c>
      <c r="S477" s="1636">
        <v>0</v>
      </c>
      <c r="U477" s="1656">
        <v>0.44807110999999999</v>
      </c>
      <c r="V477" s="1657">
        <v>2.5393319062887214E-4</v>
      </c>
      <c r="W477" s="1657">
        <v>0.44781717680937111</v>
      </c>
      <c r="X477" s="1657">
        <v>4.2736321149862602E-2</v>
      </c>
      <c r="Y477" s="1658">
        <v>921.26</v>
      </c>
    </row>
    <row r="478" spans="3:25" ht="13.95" customHeight="1" x14ac:dyDescent="0.3">
      <c r="C478" s="1057">
        <v>464</v>
      </c>
      <c r="D478" s="1058" t="s">
        <v>1294</v>
      </c>
      <c r="E478" s="1059">
        <v>9</v>
      </c>
      <c r="F478" s="1297" t="s">
        <v>1176</v>
      </c>
      <c r="G478" s="1057" t="s">
        <v>1036</v>
      </c>
      <c r="H478" s="1058"/>
      <c r="I478" s="1057">
        <v>1</v>
      </c>
      <c r="J478" s="1058"/>
      <c r="K478" s="1058"/>
      <c r="L478" s="1058"/>
      <c r="M478" s="1636">
        <v>0</v>
      </c>
      <c r="N478" s="1636"/>
      <c r="O478" s="1636">
        <v>0</v>
      </c>
      <c r="P478" s="1636">
        <v>0</v>
      </c>
      <c r="Q478" s="1636">
        <v>20</v>
      </c>
      <c r="R478" s="1636">
        <v>0</v>
      </c>
      <c r="S478" s="1636">
        <v>0</v>
      </c>
      <c r="U478" s="1656">
        <v>1.4E-3</v>
      </c>
      <c r="V478" s="1657">
        <v>0</v>
      </c>
      <c r="W478" s="1657">
        <v>1.4E-3</v>
      </c>
      <c r="X478" s="1657">
        <v>0</v>
      </c>
      <c r="Y478" s="1658">
        <v>0</v>
      </c>
    </row>
    <row r="479" spans="3:25" ht="13.95" customHeight="1" x14ac:dyDescent="0.3">
      <c r="C479" s="1057">
        <v>465</v>
      </c>
      <c r="D479" s="1058" t="s">
        <v>1294</v>
      </c>
      <c r="E479" s="1059">
        <v>9</v>
      </c>
      <c r="F479" s="1297" t="s">
        <v>1176</v>
      </c>
      <c r="G479" s="1057" t="s">
        <v>1036</v>
      </c>
      <c r="H479" s="1058"/>
      <c r="I479" s="1057">
        <v>1</v>
      </c>
      <c r="J479" s="1058"/>
      <c r="K479" s="1058"/>
      <c r="L479" s="1058"/>
      <c r="M479" s="1636">
        <v>0</v>
      </c>
      <c r="N479" s="1636"/>
      <c r="O479" s="1636">
        <v>0</v>
      </c>
      <c r="P479" s="1636">
        <v>0</v>
      </c>
      <c r="Q479" s="1636">
        <v>75.5</v>
      </c>
      <c r="R479" s="1636">
        <v>0</v>
      </c>
      <c r="S479" s="1636">
        <v>0</v>
      </c>
      <c r="U479" s="1656">
        <v>4.0400000000000002E-3</v>
      </c>
      <c r="V479" s="1657">
        <v>0</v>
      </c>
      <c r="W479" s="1657">
        <v>4.0400000000000002E-3</v>
      </c>
      <c r="X479" s="1657">
        <v>0</v>
      </c>
      <c r="Y479" s="1658">
        <v>0</v>
      </c>
    </row>
    <row r="480" spans="3:25" ht="13.95" customHeight="1" x14ac:dyDescent="0.3">
      <c r="C480" s="1057">
        <v>466</v>
      </c>
      <c r="D480" s="1058" t="s">
        <v>1294</v>
      </c>
      <c r="E480" s="1059">
        <v>9</v>
      </c>
      <c r="F480" s="1297" t="s">
        <v>1176</v>
      </c>
      <c r="G480" s="1057" t="s">
        <v>1036</v>
      </c>
      <c r="H480" s="1058"/>
      <c r="I480" s="1057">
        <v>1</v>
      </c>
      <c r="J480" s="1058"/>
      <c r="K480" s="1058"/>
      <c r="L480" s="1058"/>
      <c r="M480" s="1636">
        <v>0</v>
      </c>
      <c r="N480" s="1636"/>
      <c r="O480" s="1636">
        <v>0</v>
      </c>
      <c r="P480" s="1636">
        <v>0</v>
      </c>
      <c r="Q480" s="1636">
        <v>42.2</v>
      </c>
      <c r="R480" s="1636">
        <v>0</v>
      </c>
      <c r="S480" s="1636">
        <v>0</v>
      </c>
      <c r="U480" s="1656">
        <v>2.47E-3</v>
      </c>
      <c r="V480" s="1657">
        <v>0</v>
      </c>
      <c r="W480" s="1657">
        <v>2.47E-3</v>
      </c>
      <c r="X480" s="1657">
        <v>0</v>
      </c>
      <c r="Y480" s="1658">
        <v>0</v>
      </c>
    </row>
    <row r="481" spans="3:25" ht="13.95" customHeight="1" x14ac:dyDescent="0.3">
      <c r="C481" s="1057">
        <v>467</v>
      </c>
      <c r="D481" s="1058" t="s">
        <v>1294</v>
      </c>
      <c r="E481" s="1059">
        <v>9</v>
      </c>
      <c r="F481" s="1297" t="s">
        <v>1176</v>
      </c>
      <c r="G481" s="1057" t="s">
        <v>1036</v>
      </c>
      <c r="H481" s="1058"/>
      <c r="I481" s="1057">
        <v>0</v>
      </c>
      <c r="J481" s="1058"/>
      <c r="K481" s="1058"/>
      <c r="L481" s="1058"/>
      <c r="M481" s="1636">
        <v>0</v>
      </c>
      <c r="N481" s="1636"/>
      <c r="O481" s="1636">
        <v>0</v>
      </c>
      <c r="P481" s="1636">
        <v>0</v>
      </c>
      <c r="Q481" s="1636">
        <v>36.6</v>
      </c>
      <c r="R481" s="1636">
        <v>0</v>
      </c>
      <c r="S481" s="1636">
        <v>0</v>
      </c>
      <c r="U481" s="1656">
        <v>2.2959999999999999E-3</v>
      </c>
      <c r="V481" s="1657">
        <v>0</v>
      </c>
      <c r="W481" s="1657">
        <v>2.2959999999999999E-3</v>
      </c>
      <c r="X481" s="1657">
        <v>0</v>
      </c>
      <c r="Y481" s="1658">
        <v>0</v>
      </c>
    </row>
    <row r="482" spans="3:25" ht="13.95" customHeight="1" x14ac:dyDescent="0.3">
      <c r="C482" s="1057">
        <v>468</v>
      </c>
      <c r="D482" s="1058" t="s">
        <v>1294</v>
      </c>
      <c r="E482" s="1059">
        <v>9</v>
      </c>
      <c r="F482" s="1297" t="s">
        <v>1176</v>
      </c>
      <c r="G482" s="1057" t="s">
        <v>1036</v>
      </c>
      <c r="H482" s="1058"/>
      <c r="I482" s="1057">
        <v>1</v>
      </c>
      <c r="J482" s="1058"/>
      <c r="K482" s="1058"/>
      <c r="L482" s="1058"/>
      <c r="M482" s="1636">
        <v>0</v>
      </c>
      <c r="N482" s="1636"/>
      <c r="O482" s="1636">
        <v>0</v>
      </c>
      <c r="P482" s="1636">
        <v>0</v>
      </c>
      <c r="Q482" s="1636">
        <v>74.7</v>
      </c>
      <c r="R482" s="1636">
        <v>0</v>
      </c>
      <c r="S482" s="1636">
        <v>0</v>
      </c>
      <c r="U482" s="1656">
        <v>3.0500000000000002E-3</v>
      </c>
      <c r="V482" s="1657">
        <v>0</v>
      </c>
      <c r="W482" s="1657">
        <v>3.0500000000000002E-3</v>
      </c>
      <c r="X482" s="1657">
        <v>0</v>
      </c>
      <c r="Y482" s="1658">
        <v>0</v>
      </c>
    </row>
    <row r="483" spans="3:25" ht="13.95" customHeight="1" x14ac:dyDescent="0.3">
      <c r="C483" s="1057">
        <v>469</v>
      </c>
      <c r="D483" s="1058" t="s">
        <v>1294</v>
      </c>
      <c r="E483" s="1059">
        <v>1</v>
      </c>
      <c r="F483" s="1297" t="s">
        <v>1176</v>
      </c>
      <c r="G483" s="1057" t="s">
        <v>1036</v>
      </c>
      <c r="H483" s="1058"/>
      <c r="I483" s="1057">
        <v>0</v>
      </c>
      <c r="J483" s="1058"/>
      <c r="K483" s="1058"/>
      <c r="L483" s="1058"/>
      <c r="M483" s="1636">
        <v>0</v>
      </c>
      <c r="N483" s="1636"/>
      <c r="O483" s="1636">
        <v>0</v>
      </c>
      <c r="P483" s="1636">
        <v>0</v>
      </c>
      <c r="Q483" s="1636">
        <v>0</v>
      </c>
      <c r="R483" s="1636">
        <v>0</v>
      </c>
      <c r="S483" s="1636">
        <v>8.1999999999999993</v>
      </c>
      <c r="U483" s="1656">
        <v>5.5999999999999995E-4</v>
      </c>
      <c r="V483" s="1657">
        <v>0</v>
      </c>
      <c r="W483" s="1657">
        <v>5.5999999999999995E-4</v>
      </c>
      <c r="X483" s="1657">
        <v>0</v>
      </c>
      <c r="Y483" s="1658">
        <v>0</v>
      </c>
    </row>
    <row r="484" spans="3:25" ht="13.95" customHeight="1" x14ac:dyDescent="0.3">
      <c r="C484" s="1057">
        <v>470</v>
      </c>
      <c r="D484" s="1058" t="s">
        <v>1294</v>
      </c>
      <c r="E484" s="1059">
        <v>1</v>
      </c>
      <c r="F484" s="1297" t="s">
        <v>1176</v>
      </c>
      <c r="G484" s="1057" t="s">
        <v>1036</v>
      </c>
      <c r="H484" s="1058"/>
      <c r="I484" s="1057">
        <v>0</v>
      </c>
      <c r="J484" s="1058"/>
      <c r="K484" s="1058"/>
      <c r="L484" s="1058"/>
      <c r="M484" s="1636">
        <v>0</v>
      </c>
      <c r="N484" s="1636"/>
      <c r="O484" s="1636">
        <v>0</v>
      </c>
      <c r="P484" s="1636">
        <v>0</v>
      </c>
      <c r="Q484" s="1636">
        <v>0</v>
      </c>
      <c r="R484" s="1636">
        <v>0</v>
      </c>
      <c r="S484" s="1636">
        <v>43.1</v>
      </c>
      <c r="U484" s="1656">
        <v>3.954E-3</v>
      </c>
      <c r="V484" s="1657">
        <v>0</v>
      </c>
      <c r="W484" s="1657">
        <v>3.954E-3</v>
      </c>
      <c r="X484" s="1657">
        <v>0</v>
      </c>
      <c r="Y484" s="1658">
        <v>0</v>
      </c>
    </row>
    <row r="485" spans="3:25" ht="13.95" customHeight="1" x14ac:dyDescent="0.3">
      <c r="C485" s="1057">
        <v>471</v>
      </c>
      <c r="D485" s="1058" t="s">
        <v>1295</v>
      </c>
      <c r="E485" s="1059">
        <v>5</v>
      </c>
      <c r="F485" s="1297" t="s">
        <v>1078</v>
      </c>
      <c r="G485" s="1057" t="s">
        <v>1036</v>
      </c>
      <c r="H485" s="1058"/>
      <c r="I485" s="1057">
        <v>80</v>
      </c>
      <c r="J485" s="1058"/>
      <c r="K485" s="1058"/>
      <c r="L485" s="1058"/>
      <c r="M485" s="1636">
        <v>3160.9</v>
      </c>
      <c r="N485" s="1636"/>
      <c r="O485" s="1636">
        <v>3160.9</v>
      </c>
      <c r="P485" s="1636">
        <v>0</v>
      </c>
      <c r="Q485" s="1636">
        <v>0</v>
      </c>
      <c r="R485" s="1636">
        <v>0</v>
      </c>
      <c r="S485" s="1636">
        <v>0</v>
      </c>
      <c r="U485" s="1656">
        <v>0.18689126</v>
      </c>
      <c r="V485" s="1657">
        <v>0</v>
      </c>
      <c r="W485" s="1657">
        <v>0.18689126</v>
      </c>
      <c r="X485" s="1657">
        <v>2.5002306201648296E-3</v>
      </c>
      <c r="Y485" s="1658">
        <v>48</v>
      </c>
    </row>
    <row r="486" spans="3:25" ht="13.95" customHeight="1" x14ac:dyDescent="0.3">
      <c r="C486" s="1057">
        <v>472</v>
      </c>
      <c r="D486" s="1058" t="s">
        <v>1296</v>
      </c>
      <c r="E486" s="1059">
        <v>9</v>
      </c>
      <c r="F486" s="1297" t="s">
        <v>1176</v>
      </c>
      <c r="G486" s="1057" t="s">
        <v>1036</v>
      </c>
      <c r="H486" s="1058"/>
      <c r="I486" s="1057">
        <v>139</v>
      </c>
      <c r="J486" s="1058"/>
      <c r="K486" s="1058"/>
      <c r="L486" s="1058"/>
      <c r="M486" s="1636">
        <v>8129.1</v>
      </c>
      <c r="N486" s="1636"/>
      <c r="O486" s="1636">
        <v>7862.6</v>
      </c>
      <c r="P486" s="1636">
        <v>0</v>
      </c>
      <c r="Q486" s="1636">
        <v>0</v>
      </c>
      <c r="R486" s="1636">
        <v>0</v>
      </c>
      <c r="S486" s="1636">
        <v>0</v>
      </c>
      <c r="U486" s="1656">
        <v>0.44658104000000004</v>
      </c>
      <c r="V486" s="1657">
        <v>0</v>
      </c>
      <c r="W486" s="1657">
        <v>0.44658104000000004</v>
      </c>
      <c r="X486" s="1657">
        <v>4.2095110574750794E-2</v>
      </c>
      <c r="Y486" s="1658">
        <v>917.59999999999991</v>
      </c>
    </row>
    <row r="487" spans="3:25" ht="13.95" customHeight="1" x14ac:dyDescent="0.3">
      <c r="C487" s="1057">
        <v>473</v>
      </c>
      <c r="D487" s="1058" t="s">
        <v>1296</v>
      </c>
      <c r="E487" s="1059">
        <v>9</v>
      </c>
      <c r="F487" s="1297" t="s">
        <v>1176</v>
      </c>
      <c r="G487" s="1057" t="s">
        <v>1036</v>
      </c>
      <c r="H487" s="1058"/>
      <c r="I487" s="1057">
        <v>1</v>
      </c>
      <c r="J487" s="1058"/>
      <c r="K487" s="1058"/>
      <c r="L487" s="1058"/>
      <c r="M487" s="1636">
        <v>0</v>
      </c>
      <c r="N487" s="1636"/>
      <c r="O487" s="1636">
        <v>0</v>
      </c>
      <c r="P487" s="1636">
        <v>0</v>
      </c>
      <c r="Q487" s="1636">
        <v>68</v>
      </c>
      <c r="R487" s="1636">
        <v>0</v>
      </c>
      <c r="S487" s="1636">
        <v>0</v>
      </c>
      <c r="U487" s="1656">
        <v>5.2160000000000002E-3</v>
      </c>
      <c r="V487" s="1657">
        <v>0</v>
      </c>
      <c r="W487" s="1657">
        <v>5.2160000000000002E-3</v>
      </c>
      <c r="X487" s="1657">
        <v>0</v>
      </c>
      <c r="Y487" s="1658">
        <v>0</v>
      </c>
    </row>
    <row r="488" spans="3:25" ht="13.95" customHeight="1" x14ac:dyDescent="0.3">
      <c r="C488" s="1057">
        <v>474</v>
      </c>
      <c r="D488" s="1058" t="s">
        <v>1296</v>
      </c>
      <c r="E488" s="1059">
        <v>9</v>
      </c>
      <c r="F488" s="1297" t="s">
        <v>1176</v>
      </c>
      <c r="G488" s="1057" t="s">
        <v>1036</v>
      </c>
      <c r="H488" s="1058"/>
      <c r="I488" s="1057">
        <v>1</v>
      </c>
      <c r="J488" s="1058"/>
      <c r="K488" s="1058"/>
      <c r="L488" s="1058"/>
      <c r="M488" s="1636">
        <v>0</v>
      </c>
      <c r="N488" s="1636"/>
      <c r="O488" s="1636">
        <v>0</v>
      </c>
      <c r="P488" s="1636">
        <v>0</v>
      </c>
      <c r="Q488" s="1636">
        <v>77.2</v>
      </c>
      <c r="R488" s="1636">
        <v>0</v>
      </c>
      <c r="S488" s="1636">
        <v>0</v>
      </c>
      <c r="U488" s="1656">
        <v>3.127E-3</v>
      </c>
      <c r="V488" s="1657">
        <v>0</v>
      </c>
      <c r="W488" s="1657">
        <v>3.127E-3</v>
      </c>
      <c r="X488" s="1657">
        <v>0</v>
      </c>
      <c r="Y488" s="1658">
        <v>0</v>
      </c>
    </row>
    <row r="489" spans="3:25" ht="13.95" customHeight="1" x14ac:dyDescent="0.3">
      <c r="C489" s="1057">
        <v>475</v>
      </c>
      <c r="D489" s="1058" t="s">
        <v>1296</v>
      </c>
      <c r="E489" s="1059">
        <v>9</v>
      </c>
      <c r="F489" s="1297" t="s">
        <v>1176</v>
      </c>
      <c r="G489" s="1057" t="s">
        <v>1036</v>
      </c>
      <c r="H489" s="1058"/>
      <c r="I489" s="1057">
        <v>1</v>
      </c>
      <c r="J489" s="1058"/>
      <c r="K489" s="1058"/>
      <c r="L489" s="1058"/>
      <c r="M489" s="1636">
        <v>0</v>
      </c>
      <c r="N489" s="1636"/>
      <c r="O489" s="1636">
        <v>0</v>
      </c>
      <c r="P489" s="1636">
        <v>0</v>
      </c>
      <c r="Q489" s="1636">
        <v>109.8</v>
      </c>
      <c r="R489" s="1636">
        <v>0</v>
      </c>
      <c r="S489" s="1636">
        <v>0</v>
      </c>
      <c r="U489" s="1656">
        <v>1.0584E-2</v>
      </c>
      <c r="V489" s="1657">
        <v>0</v>
      </c>
      <c r="W489" s="1657">
        <v>1.0584E-2</v>
      </c>
      <c r="X489" s="1657">
        <v>0</v>
      </c>
      <c r="Y489" s="1658">
        <v>0</v>
      </c>
    </row>
    <row r="490" spans="3:25" ht="13.95" customHeight="1" x14ac:dyDescent="0.3">
      <c r="C490" s="1057">
        <v>476</v>
      </c>
      <c r="D490" s="1058" t="s">
        <v>1296</v>
      </c>
      <c r="E490" s="1059">
        <v>1</v>
      </c>
      <c r="F490" s="1297" t="s">
        <v>1176</v>
      </c>
      <c r="G490" s="1057" t="s">
        <v>1036</v>
      </c>
      <c r="H490" s="1058"/>
      <c r="I490" s="1057">
        <v>0</v>
      </c>
      <c r="J490" s="1058"/>
      <c r="K490" s="1058"/>
      <c r="L490" s="1058"/>
      <c r="M490" s="1636">
        <v>0</v>
      </c>
      <c r="N490" s="1636"/>
      <c r="O490" s="1636">
        <v>0</v>
      </c>
      <c r="P490" s="1636">
        <v>0</v>
      </c>
      <c r="Q490" s="1636">
        <v>0</v>
      </c>
      <c r="R490" s="1636">
        <v>0</v>
      </c>
      <c r="S490" s="1636">
        <v>82.3</v>
      </c>
      <c r="U490" s="1656">
        <v>3.333E-3</v>
      </c>
      <c r="V490" s="1657">
        <v>0</v>
      </c>
      <c r="W490" s="1657">
        <v>3.333E-3</v>
      </c>
      <c r="X490" s="1657">
        <v>0</v>
      </c>
      <c r="Y490" s="1658">
        <v>0</v>
      </c>
    </row>
    <row r="491" spans="3:25" ht="13.95" customHeight="1" x14ac:dyDescent="0.3">
      <c r="C491" s="1057">
        <v>477</v>
      </c>
      <c r="D491" s="1058" t="s">
        <v>1296</v>
      </c>
      <c r="E491" s="1059">
        <v>1</v>
      </c>
      <c r="F491" s="1297" t="s">
        <v>1176</v>
      </c>
      <c r="G491" s="1057" t="s">
        <v>1036</v>
      </c>
      <c r="H491" s="1058"/>
      <c r="I491" s="1057">
        <v>1</v>
      </c>
      <c r="J491" s="1058"/>
      <c r="K491" s="1058"/>
      <c r="L491" s="1058"/>
      <c r="M491" s="1636">
        <v>0</v>
      </c>
      <c r="N491" s="1636"/>
      <c r="O491" s="1636">
        <v>0</v>
      </c>
      <c r="P491" s="1636">
        <v>0</v>
      </c>
      <c r="Q491" s="1636">
        <v>0</v>
      </c>
      <c r="R491" s="1636">
        <v>0</v>
      </c>
      <c r="S491" s="1636">
        <v>52</v>
      </c>
      <c r="U491" s="1656">
        <v>5.8995000000000002E-3</v>
      </c>
      <c r="V491" s="1657">
        <v>0</v>
      </c>
      <c r="W491" s="1657">
        <v>5.8995000000000002E-3</v>
      </c>
      <c r="X491" s="1657">
        <v>0</v>
      </c>
      <c r="Y491" s="1658">
        <v>0</v>
      </c>
    </row>
    <row r="492" spans="3:25" ht="13.95" customHeight="1" x14ac:dyDescent="0.3">
      <c r="C492" s="1057">
        <v>478</v>
      </c>
      <c r="D492" s="1058" t="s">
        <v>1296</v>
      </c>
      <c r="E492" s="1059">
        <v>9</v>
      </c>
      <c r="F492" s="1297" t="s">
        <v>1176</v>
      </c>
      <c r="G492" s="1057" t="s">
        <v>1036</v>
      </c>
      <c r="H492" s="1058"/>
      <c r="I492" s="1057">
        <v>1</v>
      </c>
      <c r="J492" s="1058"/>
      <c r="K492" s="1058"/>
      <c r="L492" s="1058"/>
      <c r="M492" s="1636">
        <v>0</v>
      </c>
      <c r="N492" s="1636"/>
      <c r="O492" s="1636">
        <v>0</v>
      </c>
      <c r="P492" s="1636">
        <v>0</v>
      </c>
      <c r="Q492" s="1636">
        <v>11.5</v>
      </c>
      <c r="R492" s="1636">
        <v>0</v>
      </c>
      <c r="S492" s="1636">
        <v>0</v>
      </c>
      <c r="U492" s="1656">
        <v>1.1709999999999999E-3</v>
      </c>
      <c r="V492" s="1657">
        <v>0</v>
      </c>
      <c r="W492" s="1657">
        <v>1.1709999999999999E-3</v>
      </c>
      <c r="X492" s="1657">
        <v>0</v>
      </c>
      <c r="Y492" s="1658">
        <v>0</v>
      </c>
    </row>
    <row r="493" spans="3:25" ht="13.95" customHeight="1" x14ac:dyDescent="0.3">
      <c r="C493" s="1057">
        <v>479</v>
      </c>
      <c r="D493" s="1058" t="s">
        <v>1297</v>
      </c>
      <c r="E493" s="1059">
        <v>3</v>
      </c>
      <c r="F493" s="1297" t="s">
        <v>1069</v>
      </c>
      <c r="G493" s="1057" t="s">
        <v>1036</v>
      </c>
      <c r="H493" s="1058"/>
      <c r="I493" s="1057">
        <v>0</v>
      </c>
      <c r="J493" s="1058"/>
      <c r="K493" s="1058"/>
      <c r="L493" s="1058"/>
      <c r="M493" s="1636">
        <v>0</v>
      </c>
      <c r="N493" s="1636"/>
      <c r="O493" s="1636">
        <v>0</v>
      </c>
      <c r="P493" s="1636">
        <v>0</v>
      </c>
      <c r="Q493" s="1636">
        <v>0</v>
      </c>
      <c r="R493" s="1636">
        <v>0</v>
      </c>
      <c r="S493" s="1636">
        <v>1999.5</v>
      </c>
      <c r="U493" s="1656">
        <v>0.25</v>
      </c>
      <c r="V493" s="1657">
        <v>0</v>
      </c>
      <c r="W493" s="1657">
        <v>0.25</v>
      </c>
      <c r="X493" s="1657">
        <v>0</v>
      </c>
      <c r="Y493" s="1658">
        <v>0</v>
      </c>
    </row>
    <row r="494" spans="3:25" ht="13.95" customHeight="1" x14ac:dyDescent="0.3">
      <c r="C494" s="1057">
        <v>480</v>
      </c>
      <c r="D494" s="1058" t="s">
        <v>1298</v>
      </c>
      <c r="E494" s="1059">
        <v>5</v>
      </c>
      <c r="F494" s="1297" t="s">
        <v>1078</v>
      </c>
      <c r="G494" s="1057" t="s">
        <v>1036</v>
      </c>
      <c r="H494" s="1058"/>
      <c r="I494" s="1057">
        <v>79</v>
      </c>
      <c r="J494" s="1058"/>
      <c r="K494" s="1058"/>
      <c r="L494" s="1058"/>
      <c r="M494" s="1636">
        <v>3167.3</v>
      </c>
      <c r="N494" s="1636"/>
      <c r="O494" s="1636">
        <v>3114.4</v>
      </c>
      <c r="P494" s="1636">
        <v>0</v>
      </c>
      <c r="Q494" s="1636">
        <v>0</v>
      </c>
      <c r="R494" s="1636">
        <v>0</v>
      </c>
      <c r="S494" s="1636">
        <v>0</v>
      </c>
      <c r="U494" s="1656">
        <v>0.20696139</v>
      </c>
      <c r="V494" s="1657">
        <v>0</v>
      </c>
      <c r="W494" s="1657">
        <v>0.20696139</v>
      </c>
      <c r="X494" s="1657">
        <v>2.7978093707683028E-3</v>
      </c>
      <c r="Y494" s="1658">
        <v>48</v>
      </c>
    </row>
    <row r="495" spans="3:25" ht="13.95" customHeight="1" x14ac:dyDescent="0.3">
      <c r="C495" s="1057">
        <v>481</v>
      </c>
      <c r="D495" s="1058" t="s">
        <v>1298</v>
      </c>
      <c r="E495" s="1059">
        <v>5</v>
      </c>
      <c r="F495" s="1297" t="s">
        <v>1078</v>
      </c>
      <c r="G495" s="1057" t="s">
        <v>1036</v>
      </c>
      <c r="H495" s="1058"/>
      <c r="I495" s="1057">
        <v>1</v>
      </c>
      <c r="J495" s="1058"/>
      <c r="K495" s="1058"/>
      <c r="L495" s="1058"/>
      <c r="M495" s="1636">
        <v>0</v>
      </c>
      <c r="N495" s="1636"/>
      <c r="O495" s="1636">
        <v>0</v>
      </c>
      <c r="P495" s="1636">
        <v>0</v>
      </c>
      <c r="Q495" s="1636">
        <v>52.9</v>
      </c>
      <c r="R495" s="1636">
        <v>0</v>
      </c>
      <c r="S495" s="1636">
        <v>0</v>
      </c>
      <c r="U495" s="1656">
        <v>3.8930000000000002E-3</v>
      </c>
      <c r="V495" s="1657">
        <v>0</v>
      </c>
      <c r="W495" s="1657">
        <v>3.8930000000000002E-3</v>
      </c>
      <c r="X495" s="1657">
        <v>0</v>
      </c>
      <c r="Y495" s="1658">
        <v>0</v>
      </c>
    </row>
    <row r="496" spans="3:25" ht="13.95" customHeight="1" x14ac:dyDescent="0.3">
      <c r="C496" s="1057">
        <v>482</v>
      </c>
      <c r="D496" s="1058" t="s">
        <v>1299</v>
      </c>
      <c r="E496" s="1059">
        <v>9</v>
      </c>
      <c r="F496" s="1297" t="s">
        <v>1154</v>
      </c>
      <c r="G496" s="1057" t="s">
        <v>1036</v>
      </c>
      <c r="H496" s="1058"/>
      <c r="I496" s="1057">
        <v>101</v>
      </c>
      <c r="J496" s="1058"/>
      <c r="K496" s="1058"/>
      <c r="L496" s="1058"/>
      <c r="M496" s="1636">
        <v>5954.2999999999993</v>
      </c>
      <c r="N496" s="1636"/>
      <c r="O496" s="1636">
        <v>5718.4</v>
      </c>
      <c r="P496" s="1636">
        <v>0</v>
      </c>
      <c r="Q496" s="1636">
        <v>0</v>
      </c>
      <c r="R496" s="1636">
        <v>0</v>
      </c>
      <c r="S496" s="1636">
        <v>0</v>
      </c>
      <c r="U496" s="1656">
        <v>0.35262247000000002</v>
      </c>
      <c r="V496" s="1657">
        <v>0</v>
      </c>
      <c r="W496" s="1657">
        <v>0.35262247000000002</v>
      </c>
      <c r="X496" s="1657">
        <v>3.4538482825043904E-2</v>
      </c>
      <c r="Y496" s="1658">
        <v>698.56000000000006</v>
      </c>
    </row>
    <row r="497" spans="3:25" ht="13.95" customHeight="1" x14ac:dyDescent="0.3">
      <c r="C497" s="1057">
        <v>483</v>
      </c>
      <c r="D497" s="1058" t="s">
        <v>1299</v>
      </c>
      <c r="E497" s="1059">
        <v>9</v>
      </c>
      <c r="F497" s="1297" t="s">
        <v>1154</v>
      </c>
      <c r="G497" s="1057" t="s">
        <v>1036</v>
      </c>
      <c r="H497" s="1058"/>
      <c r="I497" s="1057">
        <v>1</v>
      </c>
      <c r="J497" s="1058"/>
      <c r="K497" s="1058"/>
      <c r="L497" s="1058"/>
      <c r="M497" s="1636">
        <v>0</v>
      </c>
      <c r="N497" s="1636"/>
      <c r="O497" s="1636">
        <v>0</v>
      </c>
      <c r="P497" s="1636">
        <v>0</v>
      </c>
      <c r="Q497" s="1636">
        <v>56.2</v>
      </c>
      <c r="R497" s="1636">
        <v>0</v>
      </c>
      <c r="S497" s="1636">
        <v>0</v>
      </c>
      <c r="U497" s="1656">
        <v>3.6259999999999999E-3</v>
      </c>
      <c r="V497" s="1657">
        <v>0</v>
      </c>
      <c r="W497" s="1657">
        <v>3.6259999999999999E-3</v>
      </c>
      <c r="X497" s="1657">
        <v>0</v>
      </c>
      <c r="Y497" s="1658">
        <v>0</v>
      </c>
    </row>
    <row r="498" spans="3:25" ht="13.95" customHeight="1" x14ac:dyDescent="0.3">
      <c r="C498" s="1057">
        <v>484</v>
      </c>
      <c r="D498" s="1058" t="s">
        <v>1299</v>
      </c>
      <c r="E498" s="1059">
        <v>9</v>
      </c>
      <c r="F498" s="1297" t="s">
        <v>1154</v>
      </c>
      <c r="G498" s="1057" t="s">
        <v>1036</v>
      </c>
      <c r="H498" s="1058"/>
      <c r="I498" s="1057">
        <v>1</v>
      </c>
      <c r="J498" s="1058"/>
      <c r="K498" s="1058"/>
      <c r="L498" s="1058"/>
      <c r="M498" s="1636">
        <v>0</v>
      </c>
      <c r="N498" s="1636"/>
      <c r="O498" s="1636">
        <v>0</v>
      </c>
      <c r="P498" s="1636">
        <v>0</v>
      </c>
      <c r="Q498" s="1636">
        <v>16.600000000000001</v>
      </c>
      <c r="R498" s="1636">
        <v>0</v>
      </c>
      <c r="S498" s="1636">
        <v>0</v>
      </c>
      <c r="U498" s="1656">
        <v>1.2260000000000001E-3</v>
      </c>
      <c r="V498" s="1657">
        <v>0</v>
      </c>
      <c r="W498" s="1657">
        <v>1.2260000000000001E-3</v>
      </c>
      <c r="X498" s="1657">
        <v>0</v>
      </c>
      <c r="Y498" s="1658">
        <v>0</v>
      </c>
    </row>
    <row r="499" spans="3:25" ht="13.95" customHeight="1" x14ac:dyDescent="0.3">
      <c r="C499" s="1057">
        <v>485</v>
      </c>
      <c r="D499" s="1058" t="s">
        <v>1299</v>
      </c>
      <c r="E499" s="1059">
        <v>9</v>
      </c>
      <c r="F499" s="1297" t="s">
        <v>1154</v>
      </c>
      <c r="G499" s="1057" t="s">
        <v>1036</v>
      </c>
      <c r="H499" s="1058"/>
      <c r="I499" s="1057">
        <v>0</v>
      </c>
      <c r="J499" s="1058"/>
      <c r="K499" s="1058"/>
      <c r="L499" s="1058"/>
      <c r="M499" s="1636">
        <v>0</v>
      </c>
      <c r="N499" s="1636"/>
      <c r="O499" s="1636">
        <v>0</v>
      </c>
      <c r="P499" s="1636">
        <v>0</v>
      </c>
      <c r="Q499" s="1636">
        <v>36.4</v>
      </c>
      <c r="R499" s="1636">
        <v>0</v>
      </c>
      <c r="S499" s="1636">
        <v>0</v>
      </c>
      <c r="U499" s="1656">
        <v>2.1640000000000001E-3</v>
      </c>
      <c r="V499" s="1657">
        <v>0</v>
      </c>
      <c r="W499" s="1657">
        <v>2.1640000000000001E-3</v>
      </c>
      <c r="X499" s="1657">
        <v>0</v>
      </c>
      <c r="Y499" s="1658">
        <v>0</v>
      </c>
    </row>
    <row r="500" spans="3:25" ht="13.95" customHeight="1" x14ac:dyDescent="0.3">
      <c r="C500" s="1057">
        <v>486</v>
      </c>
      <c r="D500" s="1058" t="s">
        <v>1299</v>
      </c>
      <c r="E500" s="1059">
        <v>9</v>
      </c>
      <c r="F500" s="1297" t="s">
        <v>1154</v>
      </c>
      <c r="G500" s="1057" t="s">
        <v>1036</v>
      </c>
      <c r="H500" s="1058"/>
      <c r="I500" s="1057">
        <v>1</v>
      </c>
      <c r="J500" s="1058"/>
      <c r="K500" s="1058"/>
      <c r="L500" s="1058"/>
      <c r="M500" s="1636">
        <v>0</v>
      </c>
      <c r="N500" s="1636"/>
      <c r="O500" s="1636">
        <v>0</v>
      </c>
      <c r="P500" s="1636">
        <v>0</v>
      </c>
      <c r="Q500" s="1636">
        <v>38.799999999999997</v>
      </c>
      <c r="R500" s="1636">
        <v>0</v>
      </c>
      <c r="S500" s="1636">
        <v>0</v>
      </c>
      <c r="U500" s="1656">
        <v>1.2999999999999999E-3</v>
      </c>
      <c r="V500" s="1657">
        <v>0</v>
      </c>
      <c r="W500" s="1657">
        <v>1.2999999999999999E-3</v>
      </c>
      <c r="X500" s="1657">
        <v>0</v>
      </c>
      <c r="Y500" s="1658">
        <v>0</v>
      </c>
    </row>
    <row r="501" spans="3:25" ht="13.95" customHeight="1" x14ac:dyDescent="0.3">
      <c r="C501" s="1057">
        <v>487</v>
      </c>
      <c r="D501" s="1058" t="s">
        <v>1299</v>
      </c>
      <c r="E501" s="1059">
        <v>9</v>
      </c>
      <c r="F501" s="1297" t="s">
        <v>1154</v>
      </c>
      <c r="G501" s="1057" t="s">
        <v>1036</v>
      </c>
      <c r="H501" s="1058"/>
      <c r="I501" s="1057">
        <v>1</v>
      </c>
      <c r="J501" s="1058"/>
      <c r="K501" s="1058"/>
      <c r="L501" s="1058"/>
      <c r="M501" s="1636">
        <v>0</v>
      </c>
      <c r="N501" s="1636"/>
      <c r="O501" s="1636">
        <v>0</v>
      </c>
      <c r="P501" s="1636">
        <v>0</v>
      </c>
      <c r="Q501" s="1636">
        <v>32.799999999999997</v>
      </c>
      <c r="R501" s="1636">
        <v>0</v>
      </c>
      <c r="S501" s="1636">
        <v>0</v>
      </c>
      <c r="U501" s="1656">
        <v>2.4220000000000001E-3</v>
      </c>
      <c r="V501" s="1657">
        <v>0</v>
      </c>
      <c r="W501" s="1657">
        <v>2.4220000000000001E-3</v>
      </c>
      <c r="X501" s="1657">
        <v>0</v>
      </c>
      <c r="Y501" s="1658">
        <v>0</v>
      </c>
    </row>
    <row r="502" spans="3:25" ht="13.95" customHeight="1" x14ac:dyDescent="0.3">
      <c r="C502" s="1057">
        <v>488</v>
      </c>
      <c r="D502" s="1058" t="s">
        <v>1299</v>
      </c>
      <c r="E502" s="1059">
        <v>9</v>
      </c>
      <c r="F502" s="1297" t="s">
        <v>1154</v>
      </c>
      <c r="G502" s="1057" t="s">
        <v>1036</v>
      </c>
      <c r="H502" s="1058"/>
      <c r="I502" s="1057">
        <v>1</v>
      </c>
      <c r="J502" s="1058"/>
      <c r="K502" s="1058"/>
      <c r="L502" s="1058"/>
      <c r="M502" s="1636">
        <v>0</v>
      </c>
      <c r="N502" s="1636"/>
      <c r="O502" s="1636">
        <v>0</v>
      </c>
      <c r="P502" s="1636">
        <v>0</v>
      </c>
      <c r="Q502" s="1636">
        <v>55.1</v>
      </c>
      <c r="R502" s="1636">
        <v>0</v>
      </c>
      <c r="S502" s="1636">
        <v>0</v>
      </c>
      <c r="U502" s="1656">
        <v>4.0000000000000001E-3</v>
      </c>
      <c r="V502" s="1657">
        <v>0</v>
      </c>
      <c r="W502" s="1657">
        <v>4.0000000000000001E-3</v>
      </c>
      <c r="X502" s="1657">
        <v>0</v>
      </c>
      <c r="Y502" s="1658">
        <v>0</v>
      </c>
    </row>
    <row r="503" spans="3:25" ht="13.95" customHeight="1" x14ac:dyDescent="0.3">
      <c r="C503" s="1057">
        <v>489</v>
      </c>
      <c r="D503" s="1058" t="s">
        <v>1299</v>
      </c>
      <c r="E503" s="1059">
        <v>1</v>
      </c>
      <c r="F503" s="1297" t="s">
        <v>1154</v>
      </c>
      <c r="G503" s="1057" t="s">
        <v>1036</v>
      </c>
      <c r="H503" s="1058"/>
      <c r="I503" s="1057">
        <v>1</v>
      </c>
      <c r="J503" s="1058"/>
      <c r="K503" s="1058"/>
      <c r="L503" s="1058"/>
      <c r="M503" s="1636">
        <v>0</v>
      </c>
      <c r="N503" s="1636"/>
      <c r="O503" s="1636">
        <v>0</v>
      </c>
      <c r="P503" s="1636">
        <v>0</v>
      </c>
      <c r="Q503" s="1636">
        <v>0</v>
      </c>
      <c r="R503" s="1636">
        <v>0</v>
      </c>
      <c r="S503" s="1636">
        <v>31</v>
      </c>
      <c r="U503" s="1656">
        <v>3.6579999999999998E-3</v>
      </c>
      <c r="V503" s="1657">
        <v>0</v>
      </c>
      <c r="W503" s="1657">
        <v>3.6579999999999998E-3</v>
      </c>
      <c r="X503" s="1657">
        <v>0</v>
      </c>
      <c r="Y503" s="1658">
        <v>0</v>
      </c>
    </row>
    <row r="504" spans="3:25" ht="13.95" customHeight="1" x14ac:dyDescent="0.3">
      <c r="C504" s="1057">
        <v>490</v>
      </c>
      <c r="D504" s="1058" t="s">
        <v>1299</v>
      </c>
      <c r="E504" s="1059">
        <v>1</v>
      </c>
      <c r="F504" s="1297" t="s">
        <v>1154</v>
      </c>
      <c r="G504" s="1057" t="s">
        <v>1036</v>
      </c>
      <c r="H504" s="1058"/>
      <c r="I504" s="1057">
        <v>1</v>
      </c>
      <c r="J504" s="1058"/>
      <c r="K504" s="1058"/>
      <c r="L504" s="1058"/>
      <c r="M504" s="1636">
        <v>0</v>
      </c>
      <c r="N504" s="1636"/>
      <c r="O504" s="1636">
        <v>0</v>
      </c>
      <c r="P504" s="1636">
        <v>0</v>
      </c>
      <c r="Q504" s="1636">
        <v>0</v>
      </c>
      <c r="R504" s="1636">
        <v>0</v>
      </c>
      <c r="S504" s="1636">
        <v>29.2</v>
      </c>
      <c r="U504" s="1656">
        <v>2.9550000000000002E-3</v>
      </c>
      <c r="V504" s="1657">
        <v>0</v>
      </c>
      <c r="W504" s="1657">
        <v>2.9550000000000002E-3</v>
      </c>
      <c r="X504" s="1657">
        <v>0</v>
      </c>
      <c r="Y504" s="1658">
        <v>0</v>
      </c>
    </row>
    <row r="505" spans="3:25" ht="13.95" customHeight="1" x14ac:dyDescent="0.3">
      <c r="C505" s="1057">
        <v>491</v>
      </c>
      <c r="D505" s="1058" t="s">
        <v>1299</v>
      </c>
      <c r="E505" s="1059">
        <v>1</v>
      </c>
      <c r="F505" s="1297" t="s">
        <v>1154</v>
      </c>
      <c r="G505" s="1057" t="s">
        <v>1036</v>
      </c>
      <c r="H505" s="1058"/>
      <c r="I505" s="1057">
        <v>0</v>
      </c>
      <c r="J505" s="1058"/>
      <c r="K505" s="1058"/>
      <c r="L505" s="1058"/>
      <c r="M505" s="1636">
        <v>0</v>
      </c>
      <c r="N505" s="1636"/>
      <c r="O505" s="1636">
        <v>0</v>
      </c>
      <c r="P505" s="1636">
        <v>0</v>
      </c>
      <c r="Q505" s="1636">
        <v>0</v>
      </c>
      <c r="R505" s="1636">
        <v>0</v>
      </c>
      <c r="S505" s="1636">
        <v>47.6</v>
      </c>
      <c r="U505" s="1656">
        <v>1.6000000000000001E-3</v>
      </c>
      <c r="V505" s="1657">
        <v>0</v>
      </c>
      <c r="W505" s="1657">
        <v>1.6000000000000001E-3</v>
      </c>
      <c r="X505" s="1657">
        <v>0</v>
      </c>
      <c r="Y505" s="1658">
        <v>0</v>
      </c>
    </row>
    <row r="506" spans="3:25" ht="13.95" customHeight="1" x14ac:dyDescent="0.3">
      <c r="C506" s="1057">
        <v>492</v>
      </c>
      <c r="D506" s="1058" t="s">
        <v>1300</v>
      </c>
      <c r="E506" s="1059">
        <v>5</v>
      </c>
      <c r="F506" s="1297" t="s">
        <v>1078</v>
      </c>
      <c r="G506" s="1057" t="s">
        <v>1036</v>
      </c>
      <c r="H506" s="1058"/>
      <c r="I506" s="1057">
        <v>100</v>
      </c>
      <c r="J506" s="1058"/>
      <c r="K506" s="1058"/>
      <c r="L506" s="1058"/>
      <c r="M506" s="1636">
        <v>4490.3999999999996</v>
      </c>
      <c r="N506" s="1636"/>
      <c r="O506" s="1636">
        <v>4490.3999999999996</v>
      </c>
      <c r="P506" s="1636">
        <v>0</v>
      </c>
      <c r="Q506" s="1636">
        <v>0</v>
      </c>
      <c r="R506" s="1636">
        <v>0</v>
      </c>
      <c r="S506" s="1636">
        <v>0</v>
      </c>
      <c r="U506" s="1656">
        <v>0.20494026000000001</v>
      </c>
      <c r="V506" s="1657">
        <v>0</v>
      </c>
      <c r="W506" s="1657">
        <v>0.20494026000000001</v>
      </c>
      <c r="X506" s="1657">
        <v>2.6374295085601603E-3</v>
      </c>
      <c r="Y506" s="1658">
        <v>66</v>
      </c>
    </row>
    <row r="507" spans="3:25" ht="13.95" customHeight="1" x14ac:dyDescent="0.3">
      <c r="C507" s="1057">
        <v>493</v>
      </c>
      <c r="D507" s="1058" t="s">
        <v>1301</v>
      </c>
      <c r="E507" s="1059">
        <v>9</v>
      </c>
      <c r="F507" s="1297" t="s">
        <v>1044</v>
      </c>
      <c r="G507" s="1057" t="s">
        <v>1036</v>
      </c>
      <c r="H507" s="1058"/>
      <c r="I507" s="1057">
        <v>178</v>
      </c>
      <c r="J507" s="1058"/>
      <c r="K507" s="1058"/>
      <c r="L507" s="1058"/>
      <c r="M507" s="1636">
        <v>10572.3</v>
      </c>
      <c r="N507" s="1636"/>
      <c r="O507" s="1636">
        <v>10126.48</v>
      </c>
      <c r="P507" s="1636">
        <v>0</v>
      </c>
      <c r="Q507" s="1636">
        <v>0</v>
      </c>
      <c r="R507" s="1636">
        <v>0</v>
      </c>
      <c r="S507" s="1636">
        <v>0</v>
      </c>
      <c r="U507" s="1656">
        <v>0.62866887699999996</v>
      </c>
      <c r="V507" s="1657">
        <v>0</v>
      </c>
      <c r="W507" s="1657">
        <v>0.62866887699999996</v>
      </c>
      <c r="X507" s="1657">
        <v>6.9530270050817994E-2</v>
      </c>
      <c r="Y507" s="1658">
        <v>1415.5600000000002</v>
      </c>
    </row>
    <row r="508" spans="3:25" ht="13.95" customHeight="1" x14ac:dyDescent="0.3">
      <c r="C508" s="1057">
        <v>494</v>
      </c>
      <c r="D508" s="1058" t="s">
        <v>1301</v>
      </c>
      <c r="E508" s="1059">
        <v>9</v>
      </c>
      <c r="F508" s="1297" t="s">
        <v>1044</v>
      </c>
      <c r="G508" s="1057" t="s">
        <v>1036</v>
      </c>
      <c r="H508" s="1058"/>
      <c r="I508" s="1057">
        <v>1</v>
      </c>
      <c r="J508" s="1058"/>
      <c r="K508" s="1058"/>
      <c r="L508" s="1058"/>
      <c r="M508" s="1636">
        <v>0</v>
      </c>
      <c r="N508" s="1636"/>
      <c r="O508" s="1636">
        <v>0</v>
      </c>
      <c r="P508" s="1636">
        <v>0</v>
      </c>
      <c r="Q508" s="1636">
        <v>87.53</v>
      </c>
      <c r="R508" s="1636">
        <v>0</v>
      </c>
      <c r="S508" s="1636">
        <v>0</v>
      </c>
      <c r="U508" s="1656">
        <v>3.9189999999999997E-3</v>
      </c>
      <c r="V508" s="1657">
        <v>0</v>
      </c>
      <c r="W508" s="1657">
        <v>3.9189999999999997E-3</v>
      </c>
      <c r="X508" s="1657">
        <v>0</v>
      </c>
      <c r="Y508" s="1658">
        <v>0</v>
      </c>
    </row>
    <row r="509" spans="3:25" ht="13.95" customHeight="1" x14ac:dyDescent="0.3">
      <c r="C509" s="1057">
        <v>495</v>
      </c>
      <c r="D509" s="1058" t="s">
        <v>1301</v>
      </c>
      <c r="E509" s="1059">
        <v>9</v>
      </c>
      <c r="F509" s="1297" t="s">
        <v>1044</v>
      </c>
      <c r="G509" s="1057" t="s">
        <v>1036</v>
      </c>
      <c r="H509" s="1058"/>
      <c r="I509" s="1057">
        <v>1</v>
      </c>
      <c r="J509" s="1058"/>
      <c r="K509" s="1058"/>
      <c r="L509" s="1058"/>
      <c r="M509" s="1636">
        <v>0</v>
      </c>
      <c r="N509" s="1636"/>
      <c r="O509" s="1636">
        <v>0</v>
      </c>
      <c r="P509" s="1636">
        <v>0</v>
      </c>
      <c r="Q509" s="1636">
        <v>29.7</v>
      </c>
      <c r="R509" s="1636">
        <v>0</v>
      </c>
      <c r="S509" s="1636">
        <v>0</v>
      </c>
      <c r="U509" s="1656">
        <v>1.0989999999999999E-3</v>
      </c>
      <c r="V509" s="1657">
        <v>0</v>
      </c>
      <c r="W509" s="1657">
        <v>1.0989999999999999E-3</v>
      </c>
      <c r="X509" s="1657">
        <v>0</v>
      </c>
      <c r="Y509" s="1658">
        <v>0</v>
      </c>
    </row>
    <row r="510" spans="3:25" ht="13.95" customHeight="1" x14ac:dyDescent="0.3">
      <c r="C510" s="1057">
        <v>496</v>
      </c>
      <c r="D510" s="1058" t="s">
        <v>1301</v>
      </c>
      <c r="E510" s="1059">
        <v>9</v>
      </c>
      <c r="F510" s="1297" t="s">
        <v>1044</v>
      </c>
      <c r="G510" s="1057" t="s">
        <v>1036</v>
      </c>
      <c r="H510" s="1058"/>
      <c r="I510" s="1057">
        <v>0</v>
      </c>
      <c r="J510" s="1058"/>
      <c r="K510" s="1058"/>
      <c r="L510" s="1058"/>
      <c r="M510" s="1636">
        <v>0</v>
      </c>
      <c r="N510" s="1636"/>
      <c r="O510" s="1636">
        <v>0</v>
      </c>
      <c r="P510" s="1636">
        <v>0</v>
      </c>
      <c r="Q510" s="1636">
        <v>0</v>
      </c>
      <c r="R510" s="1636">
        <v>0</v>
      </c>
      <c r="S510" s="1636">
        <v>0</v>
      </c>
      <c r="U510" s="1656">
        <v>0</v>
      </c>
      <c r="V510" s="1657">
        <v>0</v>
      </c>
      <c r="W510" s="1656">
        <v>0</v>
      </c>
      <c r="X510" s="1657">
        <v>0</v>
      </c>
      <c r="Y510" s="1658">
        <v>0</v>
      </c>
    </row>
    <row r="511" spans="3:25" ht="13.95" customHeight="1" x14ac:dyDescent="0.3">
      <c r="C511" s="1057">
        <v>497</v>
      </c>
      <c r="D511" s="1058" t="s">
        <v>1301</v>
      </c>
      <c r="E511" s="1059">
        <v>9</v>
      </c>
      <c r="F511" s="1297" t="s">
        <v>1044</v>
      </c>
      <c r="G511" s="1057" t="s">
        <v>1036</v>
      </c>
      <c r="H511" s="1058"/>
      <c r="I511" s="1057">
        <v>1</v>
      </c>
      <c r="J511" s="1058"/>
      <c r="K511" s="1058"/>
      <c r="L511" s="1058"/>
      <c r="M511" s="1636">
        <v>0</v>
      </c>
      <c r="N511" s="1636"/>
      <c r="O511" s="1636">
        <v>0</v>
      </c>
      <c r="P511" s="1636">
        <v>0</v>
      </c>
      <c r="Q511" s="1636">
        <v>255.9</v>
      </c>
      <c r="R511" s="1636">
        <v>0</v>
      </c>
      <c r="S511" s="1636">
        <v>0</v>
      </c>
      <c r="U511" s="1656">
        <v>1.8211999999999999E-2</v>
      </c>
      <c r="V511" s="1657">
        <v>0</v>
      </c>
      <c r="W511" s="1657">
        <v>1.8211999999999999E-2</v>
      </c>
      <c r="X511" s="1657">
        <v>0</v>
      </c>
      <c r="Y511" s="1658">
        <v>0</v>
      </c>
    </row>
    <row r="512" spans="3:25" ht="13.95" customHeight="1" x14ac:dyDescent="0.3">
      <c r="C512" s="1057">
        <v>498</v>
      </c>
      <c r="D512" s="1058" t="s">
        <v>1301</v>
      </c>
      <c r="E512" s="1059">
        <v>9</v>
      </c>
      <c r="F512" s="1297" t="s">
        <v>1044</v>
      </c>
      <c r="G512" s="1057" t="s">
        <v>1036</v>
      </c>
      <c r="H512" s="1058"/>
      <c r="I512" s="1057">
        <v>1</v>
      </c>
      <c r="J512" s="1058"/>
      <c r="K512" s="1058"/>
      <c r="L512" s="1058"/>
      <c r="M512" s="1636">
        <v>0</v>
      </c>
      <c r="N512" s="1636"/>
      <c r="O512" s="1636">
        <v>0</v>
      </c>
      <c r="P512" s="1636">
        <v>0</v>
      </c>
      <c r="Q512" s="3446">
        <v>72.7</v>
      </c>
      <c r="R512" s="1636">
        <v>0</v>
      </c>
      <c r="S512" s="1636">
        <v>0</v>
      </c>
      <c r="U512" s="1656">
        <v>6.8649999999999996E-3</v>
      </c>
      <c r="V512" s="1657">
        <v>0</v>
      </c>
      <c r="W512" s="1657">
        <v>6.8649999999999996E-3</v>
      </c>
      <c r="X512" s="1657">
        <v>0</v>
      </c>
      <c r="Y512" s="1658">
        <v>0</v>
      </c>
    </row>
    <row r="513" spans="3:25" ht="13.95" customHeight="1" x14ac:dyDescent="0.3">
      <c r="C513" s="1057">
        <v>499</v>
      </c>
      <c r="D513" s="1058" t="s">
        <v>2675</v>
      </c>
      <c r="E513" s="1059">
        <v>1</v>
      </c>
      <c r="F513" s="1297" t="s">
        <v>1044</v>
      </c>
      <c r="G513" s="1057" t="s">
        <v>1036</v>
      </c>
      <c r="H513" s="1058"/>
      <c r="I513" s="1057">
        <v>0</v>
      </c>
      <c r="J513" s="1058"/>
      <c r="K513" s="1058"/>
      <c r="L513" s="1058"/>
      <c r="M513" s="1636">
        <v>0</v>
      </c>
      <c r="N513" s="1636"/>
      <c r="O513" s="1636">
        <v>0</v>
      </c>
      <c r="P513" s="1636">
        <v>0</v>
      </c>
      <c r="Q513" s="1636">
        <v>0</v>
      </c>
      <c r="R513" s="1636">
        <v>0</v>
      </c>
      <c r="S513" s="1636">
        <v>68.900000000000006</v>
      </c>
      <c r="U513" s="1656">
        <v>5.7000000000000002E-3</v>
      </c>
      <c r="V513" s="1657">
        <v>0</v>
      </c>
      <c r="W513" s="1657">
        <v>5.7000000000000002E-3</v>
      </c>
      <c r="X513" s="1657">
        <v>0</v>
      </c>
      <c r="Y513" s="1658">
        <v>0</v>
      </c>
    </row>
    <row r="514" spans="3:25" ht="13.95" customHeight="1" x14ac:dyDescent="0.3">
      <c r="C514" s="1057">
        <v>500</v>
      </c>
      <c r="D514" s="1058" t="s">
        <v>1301</v>
      </c>
      <c r="E514" s="1059">
        <v>1</v>
      </c>
      <c r="F514" s="1297" t="s">
        <v>1044</v>
      </c>
      <c r="G514" s="1057" t="s">
        <v>1036</v>
      </c>
      <c r="H514" s="1058"/>
      <c r="I514" s="1057">
        <v>1</v>
      </c>
      <c r="J514" s="1058"/>
      <c r="K514" s="1058"/>
      <c r="L514" s="1058"/>
      <c r="M514" s="1636">
        <v>0</v>
      </c>
      <c r="N514" s="1636"/>
      <c r="O514" s="1636">
        <v>0</v>
      </c>
      <c r="P514" s="1636">
        <v>0</v>
      </c>
      <c r="Q514" s="1636">
        <v>0</v>
      </c>
      <c r="R514" s="1636">
        <v>0</v>
      </c>
      <c r="S514" s="1636">
        <v>438</v>
      </c>
      <c r="U514" s="1656">
        <v>2.3484000000000001E-2</v>
      </c>
      <c r="V514" s="1657">
        <v>0</v>
      </c>
      <c r="W514" s="1657">
        <v>2.3484000000000001E-2</v>
      </c>
      <c r="X514" s="1657">
        <v>0</v>
      </c>
      <c r="Y514" s="1658">
        <v>0</v>
      </c>
    </row>
    <row r="515" spans="3:25" ht="13.95" customHeight="1" x14ac:dyDescent="0.3">
      <c r="C515" s="1057">
        <v>501</v>
      </c>
      <c r="D515" s="1058" t="s">
        <v>1301</v>
      </c>
      <c r="E515" s="1059">
        <v>1</v>
      </c>
      <c r="F515" s="1297" t="s">
        <v>1044</v>
      </c>
      <c r="G515" s="1057" t="s">
        <v>1036</v>
      </c>
      <c r="H515" s="1058"/>
      <c r="I515" s="1057">
        <v>0</v>
      </c>
      <c r="J515" s="1058"/>
      <c r="K515" s="1058"/>
      <c r="L515" s="1058"/>
      <c r="M515" s="1636">
        <v>0</v>
      </c>
      <c r="N515" s="1636"/>
      <c r="O515" s="1636">
        <v>0</v>
      </c>
      <c r="P515" s="1636">
        <v>0</v>
      </c>
      <c r="Q515" s="1636">
        <v>0</v>
      </c>
      <c r="R515" s="1636">
        <v>0</v>
      </c>
      <c r="S515" s="1636">
        <v>370</v>
      </c>
      <c r="U515" s="1656">
        <v>2.1991E-2</v>
      </c>
      <c r="V515" s="1657">
        <v>0</v>
      </c>
      <c r="W515" s="1657">
        <v>2.1991E-2</v>
      </c>
      <c r="X515" s="1657">
        <v>0</v>
      </c>
      <c r="Y515" s="1658">
        <v>0</v>
      </c>
    </row>
    <row r="516" spans="3:25" ht="13.95" customHeight="1" x14ac:dyDescent="0.3">
      <c r="C516" s="1057">
        <v>502</v>
      </c>
      <c r="D516" s="1058" t="s">
        <v>1302</v>
      </c>
      <c r="E516" s="1059">
        <v>5</v>
      </c>
      <c r="F516" s="1297" t="s">
        <v>1074</v>
      </c>
      <c r="G516" s="1057" t="s">
        <v>1036</v>
      </c>
      <c r="H516" s="1058"/>
      <c r="I516" s="1057">
        <v>64</v>
      </c>
      <c r="J516" s="1058"/>
      <c r="K516" s="1058"/>
      <c r="L516" s="1058"/>
      <c r="M516" s="1636">
        <v>2915.7</v>
      </c>
      <c r="N516" s="1636"/>
      <c r="O516" s="1636">
        <v>2529.4</v>
      </c>
      <c r="P516" s="1636">
        <v>0</v>
      </c>
      <c r="Q516" s="1636">
        <v>0</v>
      </c>
      <c r="R516" s="1636">
        <v>0</v>
      </c>
      <c r="S516" s="1636">
        <v>0</v>
      </c>
      <c r="U516" s="1656">
        <v>0.19119016</v>
      </c>
      <c r="V516" s="1657">
        <v>0</v>
      </c>
      <c r="W516" s="1657">
        <v>0.19119016</v>
      </c>
      <c r="X516" s="1657">
        <v>2.9032564363676247E-3</v>
      </c>
      <c r="Y516" s="1658">
        <v>44</v>
      </c>
    </row>
    <row r="517" spans="3:25" ht="13.95" customHeight="1" x14ac:dyDescent="0.3">
      <c r="C517" s="1057">
        <v>503</v>
      </c>
      <c r="D517" s="1058" t="s">
        <v>1302</v>
      </c>
      <c r="E517" s="1059">
        <v>5</v>
      </c>
      <c r="F517" s="1297" t="s">
        <v>1074</v>
      </c>
      <c r="G517" s="1057" t="s">
        <v>1036</v>
      </c>
      <c r="H517" s="1058"/>
      <c r="I517" s="1057">
        <v>0</v>
      </c>
      <c r="J517" s="1058"/>
      <c r="K517" s="1058"/>
      <c r="L517" s="1058"/>
      <c r="M517" s="1636">
        <v>0</v>
      </c>
      <c r="N517" s="1636"/>
      <c r="O517" s="1636">
        <v>0</v>
      </c>
      <c r="P517" s="1636">
        <v>0</v>
      </c>
      <c r="Q517" s="1636">
        <v>0</v>
      </c>
      <c r="R517" s="1636">
        <v>0</v>
      </c>
      <c r="S517" s="1636">
        <v>0</v>
      </c>
      <c r="U517" s="1656">
        <v>0</v>
      </c>
      <c r="V517" s="1657">
        <v>0</v>
      </c>
      <c r="W517" s="1657">
        <v>0</v>
      </c>
      <c r="X517" s="1657">
        <v>0</v>
      </c>
      <c r="Y517" s="1658">
        <v>0</v>
      </c>
    </row>
    <row r="518" spans="3:25" ht="13.95" customHeight="1" x14ac:dyDescent="0.3">
      <c r="C518" s="1057">
        <v>504</v>
      </c>
      <c r="D518" s="1058" t="s">
        <v>1302</v>
      </c>
      <c r="E518" s="1059">
        <v>5</v>
      </c>
      <c r="F518" s="1297" t="s">
        <v>1074</v>
      </c>
      <c r="G518" s="1057" t="s">
        <v>1036</v>
      </c>
      <c r="H518" s="1058"/>
      <c r="I518" s="1057">
        <v>1</v>
      </c>
      <c r="J518" s="1058"/>
      <c r="K518" s="1058"/>
      <c r="L518" s="1058"/>
      <c r="M518" s="1636">
        <v>0</v>
      </c>
      <c r="N518" s="1636"/>
      <c r="O518" s="1636">
        <v>0</v>
      </c>
      <c r="P518" s="1636">
        <v>0</v>
      </c>
      <c r="Q518" s="1636">
        <v>38.700000000000003</v>
      </c>
      <c r="R518" s="1636">
        <v>0</v>
      </c>
      <c r="S518" s="1636">
        <v>0</v>
      </c>
      <c r="U518" s="1656">
        <v>2.2599999999999999E-3</v>
      </c>
      <c r="V518" s="1657">
        <v>0</v>
      </c>
      <c r="W518" s="1657">
        <v>2.2599999999999999E-3</v>
      </c>
      <c r="X518" s="1657">
        <v>0</v>
      </c>
      <c r="Y518" s="1658">
        <v>0</v>
      </c>
    </row>
    <row r="519" spans="3:25" ht="13.95" customHeight="1" x14ac:dyDescent="0.3">
      <c r="C519" s="1057">
        <v>505</v>
      </c>
      <c r="D519" s="1058" t="s">
        <v>1302</v>
      </c>
      <c r="E519" s="1059">
        <v>5</v>
      </c>
      <c r="F519" s="1297" t="s">
        <v>1074</v>
      </c>
      <c r="G519" s="1057" t="s">
        <v>1036</v>
      </c>
      <c r="H519" s="1058"/>
      <c r="I519" s="1057">
        <v>1</v>
      </c>
      <c r="J519" s="1058"/>
      <c r="K519" s="1058"/>
      <c r="L519" s="1058"/>
      <c r="M519" s="1636">
        <v>0</v>
      </c>
      <c r="N519" s="1636"/>
      <c r="O519" s="1636">
        <v>0</v>
      </c>
      <c r="P519" s="1636">
        <v>0</v>
      </c>
      <c r="Q519" s="1636">
        <v>105.9</v>
      </c>
      <c r="R519" s="1636">
        <v>0</v>
      </c>
      <c r="S519" s="1636">
        <v>0</v>
      </c>
      <c r="U519" s="1656">
        <v>6.1999999999999998E-3</v>
      </c>
      <c r="V519" s="1657">
        <v>0</v>
      </c>
      <c r="W519" s="1657">
        <v>6.1999999999999998E-3</v>
      </c>
      <c r="X519" s="1657">
        <v>0</v>
      </c>
      <c r="Y519" s="1658">
        <v>0</v>
      </c>
    </row>
    <row r="520" spans="3:25" ht="13.95" customHeight="1" x14ac:dyDescent="0.3">
      <c r="C520" s="1057">
        <v>506</v>
      </c>
      <c r="D520" s="1058" t="s">
        <v>1302</v>
      </c>
      <c r="E520" s="1059">
        <v>5</v>
      </c>
      <c r="F520" s="1297" t="s">
        <v>1074</v>
      </c>
      <c r="G520" s="1057" t="s">
        <v>1036</v>
      </c>
      <c r="H520" s="1058"/>
      <c r="I520" s="1057">
        <v>1</v>
      </c>
      <c r="J520" s="1058"/>
      <c r="K520" s="1058"/>
      <c r="L520" s="1058"/>
      <c r="M520" s="1636">
        <v>0</v>
      </c>
      <c r="N520" s="1636"/>
      <c r="O520" s="1636">
        <v>0</v>
      </c>
      <c r="P520" s="1636">
        <v>0</v>
      </c>
      <c r="Q520" s="1636">
        <v>184.7</v>
      </c>
      <c r="R520" s="1636">
        <v>0</v>
      </c>
      <c r="S520" s="1636">
        <v>0</v>
      </c>
      <c r="U520" s="1656">
        <v>9.2650000000000007E-3</v>
      </c>
      <c r="V520" s="1657">
        <v>0</v>
      </c>
      <c r="W520" s="1657">
        <v>9.2650000000000007E-3</v>
      </c>
      <c r="X520" s="1657">
        <v>0</v>
      </c>
      <c r="Y520" s="1658">
        <v>0</v>
      </c>
    </row>
    <row r="521" spans="3:25" ht="13.95" customHeight="1" x14ac:dyDescent="0.3">
      <c r="C521" s="1057">
        <v>507</v>
      </c>
      <c r="D521" s="1058" t="s">
        <v>1302</v>
      </c>
      <c r="E521" s="1059">
        <v>5</v>
      </c>
      <c r="F521" s="1297" t="s">
        <v>1074</v>
      </c>
      <c r="G521" s="1057" t="s">
        <v>1036</v>
      </c>
      <c r="H521" s="1058"/>
      <c r="I521" s="1057">
        <v>1</v>
      </c>
      <c r="J521" s="1058"/>
      <c r="K521" s="1058"/>
      <c r="L521" s="1058"/>
      <c r="M521" s="1636">
        <v>0</v>
      </c>
      <c r="N521" s="1636"/>
      <c r="O521" s="1636">
        <v>0</v>
      </c>
      <c r="P521" s="1636">
        <v>0</v>
      </c>
      <c r="Q521" s="1636">
        <v>57</v>
      </c>
      <c r="R521" s="1636">
        <v>0</v>
      </c>
      <c r="S521" s="1636">
        <v>0</v>
      </c>
      <c r="U521" s="1656">
        <v>4.4999999999999997E-3</v>
      </c>
      <c r="V521" s="1657">
        <v>0</v>
      </c>
      <c r="W521" s="1657">
        <v>4.4999999999999997E-3</v>
      </c>
      <c r="X521" s="1657">
        <v>0</v>
      </c>
      <c r="Y521" s="1658">
        <v>0</v>
      </c>
    </row>
    <row r="522" spans="3:25" ht="13.95" customHeight="1" x14ac:dyDescent="0.3">
      <c r="C522" s="1057">
        <v>508</v>
      </c>
      <c r="D522" s="1058" t="s">
        <v>1303</v>
      </c>
      <c r="E522" s="1059">
        <v>4</v>
      </c>
      <c r="F522" s="1297" t="s">
        <v>1114</v>
      </c>
      <c r="G522" s="1057" t="s">
        <v>1036</v>
      </c>
      <c r="H522" s="1058"/>
      <c r="I522" s="1057">
        <v>30</v>
      </c>
      <c r="J522" s="1058"/>
      <c r="K522" s="1058"/>
      <c r="L522" s="1058"/>
      <c r="M522" s="1636">
        <v>1427.8</v>
      </c>
      <c r="N522" s="1636"/>
      <c r="O522" s="1636">
        <v>1354.2</v>
      </c>
      <c r="P522" s="1636">
        <v>0</v>
      </c>
      <c r="Q522" s="1636">
        <v>0</v>
      </c>
      <c r="R522" s="1636">
        <v>0</v>
      </c>
      <c r="S522" s="1636">
        <v>0</v>
      </c>
      <c r="U522" s="1656">
        <v>9.0016159999999998E-2</v>
      </c>
      <c r="V522" s="1657">
        <v>0</v>
      </c>
      <c r="W522" s="1657">
        <v>9.0016159999999998E-2</v>
      </c>
      <c r="X522" s="1657">
        <v>0</v>
      </c>
      <c r="Y522" s="1658">
        <v>0</v>
      </c>
    </row>
    <row r="523" spans="3:25" ht="13.95" customHeight="1" x14ac:dyDescent="0.3">
      <c r="C523" s="1057">
        <v>509</v>
      </c>
      <c r="D523" s="1058" t="s">
        <v>1303</v>
      </c>
      <c r="E523" s="1059">
        <v>4</v>
      </c>
      <c r="F523" s="1297" t="s">
        <v>1114</v>
      </c>
      <c r="G523" s="1057" t="s">
        <v>1036</v>
      </c>
      <c r="H523" s="1058"/>
      <c r="I523" s="1057">
        <v>1</v>
      </c>
      <c r="J523" s="1058"/>
      <c r="K523" s="1058"/>
      <c r="L523" s="1058"/>
      <c r="M523" s="1636">
        <v>0</v>
      </c>
      <c r="N523" s="1636"/>
      <c r="O523" s="1636">
        <v>0</v>
      </c>
      <c r="P523" s="1636">
        <v>0</v>
      </c>
      <c r="Q523" s="1636">
        <v>30</v>
      </c>
      <c r="R523" s="1636">
        <v>0</v>
      </c>
      <c r="S523" s="1636">
        <v>0</v>
      </c>
      <c r="U523" s="1656">
        <v>3.0149999999999999E-3</v>
      </c>
      <c r="V523" s="1657">
        <v>0</v>
      </c>
      <c r="W523" s="1657">
        <v>3.0149999999999999E-3</v>
      </c>
      <c r="X523" s="1657">
        <v>0</v>
      </c>
      <c r="Y523" s="1658">
        <v>0</v>
      </c>
    </row>
    <row r="524" spans="3:25" ht="13.95" customHeight="1" x14ac:dyDescent="0.3">
      <c r="C524" s="1057">
        <v>510</v>
      </c>
      <c r="D524" s="1058" t="s">
        <v>1303</v>
      </c>
      <c r="E524" s="1059">
        <v>4</v>
      </c>
      <c r="F524" s="1297" t="s">
        <v>1114</v>
      </c>
      <c r="G524" s="1057" t="s">
        <v>1036</v>
      </c>
      <c r="H524" s="1058"/>
      <c r="I524" s="1057">
        <v>1</v>
      </c>
      <c r="J524" s="1058"/>
      <c r="K524" s="1058"/>
      <c r="L524" s="1058"/>
      <c r="M524" s="1636">
        <v>0</v>
      </c>
      <c r="N524" s="1636"/>
      <c r="O524" s="1636">
        <v>0</v>
      </c>
      <c r="P524" s="1636">
        <v>0</v>
      </c>
      <c r="Q524" s="1636">
        <v>43.6</v>
      </c>
      <c r="R524" s="1636">
        <v>0</v>
      </c>
      <c r="S524" s="1636">
        <v>0</v>
      </c>
      <c r="U524" s="1656">
        <v>2.9889999999999999E-3</v>
      </c>
      <c r="V524" s="1657">
        <v>0</v>
      </c>
      <c r="W524" s="1657">
        <v>2.9889999999999999E-3</v>
      </c>
      <c r="X524" s="1657">
        <v>0</v>
      </c>
      <c r="Y524" s="1658">
        <v>0</v>
      </c>
    </row>
    <row r="525" spans="3:25" ht="13.95" customHeight="1" x14ac:dyDescent="0.3">
      <c r="C525" s="1057">
        <v>511</v>
      </c>
      <c r="D525" s="1058" t="s">
        <v>1304</v>
      </c>
      <c r="E525" s="1059">
        <v>9</v>
      </c>
      <c r="F525" s="1297" t="s">
        <v>1044</v>
      </c>
      <c r="G525" s="1057" t="s">
        <v>1036</v>
      </c>
      <c r="H525" s="1058"/>
      <c r="I525" s="1057">
        <v>176</v>
      </c>
      <c r="J525" s="1058"/>
      <c r="K525" s="1058"/>
      <c r="L525" s="1058"/>
      <c r="M525" s="1636">
        <v>10826</v>
      </c>
      <c r="N525" s="1636"/>
      <c r="O525" s="1636">
        <v>9994.5</v>
      </c>
      <c r="P525" s="1636">
        <v>65.400000000000006</v>
      </c>
      <c r="Q525" s="1636">
        <v>0</v>
      </c>
      <c r="R525" s="1636">
        <v>0</v>
      </c>
      <c r="S525" s="1636">
        <v>0</v>
      </c>
      <c r="U525" s="1656">
        <v>0.59571227100000002</v>
      </c>
      <c r="V525" s="1657">
        <v>3.9853964852844568E-4</v>
      </c>
      <c r="W525" s="1657">
        <v>0.59531373135147159</v>
      </c>
      <c r="X525" s="1657">
        <v>6.5971048037351099E-2</v>
      </c>
      <c r="Y525" s="1658">
        <v>1405.87</v>
      </c>
    </row>
    <row r="526" spans="3:25" ht="13.95" customHeight="1" x14ac:dyDescent="0.3">
      <c r="C526" s="1057">
        <v>512</v>
      </c>
      <c r="D526" s="1058" t="s">
        <v>1304</v>
      </c>
      <c r="E526" s="1059">
        <v>9</v>
      </c>
      <c r="F526" s="1297" t="s">
        <v>1044</v>
      </c>
      <c r="G526" s="1057" t="s">
        <v>1036</v>
      </c>
      <c r="H526" s="1058"/>
      <c r="I526" s="1057">
        <v>0</v>
      </c>
      <c r="J526" s="1058"/>
      <c r="K526" s="1058"/>
      <c r="L526" s="1058"/>
      <c r="M526" s="1636">
        <v>0</v>
      </c>
      <c r="N526" s="1636"/>
      <c r="O526" s="1636">
        <v>0</v>
      </c>
      <c r="P526" s="1636">
        <v>0</v>
      </c>
      <c r="Q526" s="1636">
        <v>92.8</v>
      </c>
      <c r="R526" s="1636">
        <v>0</v>
      </c>
      <c r="S526" s="1636">
        <v>0</v>
      </c>
      <c r="U526" s="1656">
        <v>6.3E-3</v>
      </c>
      <c r="V526" s="1657">
        <v>0</v>
      </c>
      <c r="W526" s="1657">
        <v>6.3E-3</v>
      </c>
      <c r="X526" s="1657">
        <v>0</v>
      </c>
      <c r="Y526" s="1658">
        <v>0</v>
      </c>
    </row>
    <row r="527" spans="3:25" ht="13.95" customHeight="1" x14ac:dyDescent="0.3">
      <c r="C527" s="1057">
        <v>513</v>
      </c>
      <c r="D527" s="1058" t="s">
        <v>1304</v>
      </c>
      <c r="E527" s="1059">
        <v>1</v>
      </c>
      <c r="F527" s="1297" t="s">
        <v>1044</v>
      </c>
      <c r="G527" s="1057" t="s">
        <v>1036</v>
      </c>
      <c r="H527" s="1058"/>
      <c r="I527" s="1057">
        <v>0</v>
      </c>
      <c r="J527" s="1058"/>
      <c r="K527" s="1058"/>
      <c r="L527" s="1058"/>
      <c r="M527" s="1636">
        <v>0</v>
      </c>
      <c r="N527" s="1636"/>
      <c r="O527" s="1636">
        <v>0</v>
      </c>
      <c r="P527" s="1636">
        <v>0</v>
      </c>
      <c r="Q527" s="1636">
        <v>0</v>
      </c>
      <c r="R527" s="1636">
        <v>0</v>
      </c>
      <c r="S527" s="1636">
        <v>1533.66</v>
      </c>
      <c r="U527" s="1656">
        <v>0.15271199999999999</v>
      </c>
      <c r="V527" s="1657">
        <v>0</v>
      </c>
      <c r="W527" s="1657">
        <v>0.15271199999999999</v>
      </c>
      <c r="X527" s="1657">
        <v>0</v>
      </c>
      <c r="Y527" s="1658">
        <v>0</v>
      </c>
    </row>
    <row r="528" spans="3:25" ht="13.95" customHeight="1" x14ac:dyDescent="0.3">
      <c r="C528" s="1057">
        <v>514</v>
      </c>
      <c r="D528" s="1058" t="s">
        <v>1304</v>
      </c>
      <c r="E528" s="1059">
        <v>1</v>
      </c>
      <c r="F528" s="1297" t="s">
        <v>1044</v>
      </c>
      <c r="G528" s="1057" t="s">
        <v>1036</v>
      </c>
      <c r="H528" s="1058"/>
      <c r="I528" s="1057">
        <v>0</v>
      </c>
      <c r="J528" s="1058"/>
      <c r="K528" s="1058"/>
      <c r="L528" s="1058"/>
      <c r="M528" s="1636">
        <v>0</v>
      </c>
      <c r="N528" s="1636"/>
      <c r="O528" s="1636">
        <v>0</v>
      </c>
      <c r="P528" s="1636">
        <v>0</v>
      </c>
      <c r="Q528" s="1636">
        <v>0</v>
      </c>
      <c r="R528" s="1636">
        <v>0</v>
      </c>
      <c r="S528" s="1636">
        <v>46.6</v>
      </c>
      <c r="U528" s="1656">
        <v>4.2360000000000002E-3</v>
      </c>
      <c r="V528" s="1657">
        <v>0</v>
      </c>
      <c r="W528" s="1657">
        <v>4.2360000000000002E-3</v>
      </c>
      <c r="X528" s="1657">
        <v>0</v>
      </c>
      <c r="Y528" s="1658">
        <v>0</v>
      </c>
    </row>
    <row r="529" spans="1:25" ht="13.95" customHeight="1" x14ac:dyDescent="0.3">
      <c r="A529" s="1630"/>
      <c r="C529" s="1057">
        <v>515</v>
      </c>
      <c r="D529" s="1058" t="s">
        <v>1304</v>
      </c>
      <c r="E529" s="1059">
        <v>9</v>
      </c>
      <c r="F529" s="1297" t="s">
        <v>1044</v>
      </c>
      <c r="G529" s="1057" t="s">
        <v>1036</v>
      </c>
      <c r="H529" s="1058"/>
      <c r="I529" s="1057">
        <v>1</v>
      </c>
      <c r="J529" s="1058"/>
      <c r="K529" s="1058"/>
      <c r="L529" s="1058"/>
      <c r="M529" s="1636">
        <v>0</v>
      </c>
      <c r="N529" s="1636"/>
      <c r="O529" s="1636">
        <v>0</v>
      </c>
      <c r="P529" s="1636">
        <v>0</v>
      </c>
      <c r="Q529" s="1636">
        <v>37.1</v>
      </c>
      <c r="R529" s="1636">
        <v>0</v>
      </c>
      <c r="S529" s="1636">
        <v>0</v>
      </c>
      <c r="U529" s="1656">
        <v>3.7000000000000002E-3</v>
      </c>
      <c r="V529" s="1657">
        <v>0</v>
      </c>
      <c r="W529" s="1657">
        <v>3.7000000000000002E-3</v>
      </c>
      <c r="X529" s="1657">
        <v>0</v>
      </c>
      <c r="Y529" s="1658">
        <v>0</v>
      </c>
    </row>
    <row r="530" spans="1:25" ht="13.95" customHeight="1" x14ac:dyDescent="0.3">
      <c r="C530" s="1057">
        <v>516</v>
      </c>
      <c r="D530" s="1058" t="s">
        <v>1304</v>
      </c>
      <c r="E530" s="1059">
        <v>9</v>
      </c>
      <c r="F530" s="1297" t="s">
        <v>1044</v>
      </c>
      <c r="G530" s="1057" t="s">
        <v>1036</v>
      </c>
      <c r="H530" s="1058"/>
      <c r="I530" s="1057">
        <v>1</v>
      </c>
      <c r="J530" s="1058"/>
      <c r="K530" s="1058"/>
      <c r="L530" s="1058"/>
      <c r="M530" s="1636">
        <v>0</v>
      </c>
      <c r="N530" s="1636"/>
      <c r="O530" s="1636">
        <v>0</v>
      </c>
      <c r="P530" s="1636">
        <v>0</v>
      </c>
      <c r="Q530" s="1636">
        <v>52.3</v>
      </c>
      <c r="R530" s="1636">
        <v>0</v>
      </c>
      <c r="S530" s="1636">
        <v>0</v>
      </c>
      <c r="U530" s="1656">
        <v>3.1020000000000002E-3</v>
      </c>
      <c r="V530" s="1657">
        <v>0</v>
      </c>
      <c r="W530" s="1657">
        <v>3.1020000000000002E-3</v>
      </c>
      <c r="X530" s="1657">
        <v>0</v>
      </c>
      <c r="Y530" s="1658">
        <v>0</v>
      </c>
    </row>
    <row r="531" spans="1:25" ht="13.95" customHeight="1" x14ac:dyDescent="0.3">
      <c r="C531" s="1057">
        <v>517</v>
      </c>
      <c r="D531" s="1058" t="s">
        <v>1304</v>
      </c>
      <c r="E531" s="1059">
        <v>9</v>
      </c>
      <c r="F531" s="1297" t="s">
        <v>1044</v>
      </c>
      <c r="G531" s="1057" t="s">
        <v>1036</v>
      </c>
      <c r="H531" s="1058"/>
      <c r="I531" s="1057">
        <v>0</v>
      </c>
      <c r="J531" s="1058"/>
      <c r="K531" s="1058"/>
      <c r="L531" s="1058"/>
      <c r="M531" s="1636">
        <v>0</v>
      </c>
      <c r="N531" s="1636"/>
      <c r="O531" s="1636">
        <v>0</v>
      </c>
      <c r="P531" s="1636">
        <v>0</v>
      </c>
      <c r="Q531" s="1636">
        <v>37.520000000000003</v>
      </c>
      <c r="R531" s="1636">
        <v>0</v>
      </c>
      <c r="S531" s="1636">
        <v>0</v>
      </c>
      <c r="U531" s="1656">
        <v>5.8840000000000003E-3</v>
      </c>
      <c r="V531" s="1657">
        <v>0</v>
      </c>
      <c r="W531" s="1657">
        <v>5.8840000000000003E-3</v>
      </c>
      <c r="X531" s="1657">
        <v>0</v>
      </c>
      <c r="Y531" s="1658">
        <v>0</v>
      </c>
    </row>
    <row r="532" spans="1:25" ht="13.95" customHeight="1" x14ac:dyDescent="0.3">
      <c r="C532" s="1057">
        <v>518</v>
      </c>
      <c r="D532" s="1058" t="s">
        <v>1304</v>
      </c>
      <c r="E532" s="1059">
        <v>9</v>
      </c>
      <c r="F532" s="1297" t="s">
        <v>1044</v>
      </c>
      <c r="G532" s="1057" t="s">
        <v>1036</v>
      </c>
      <c r="H532" s="1058"/>
      <c r="I532" s="1057">
        <v>0</v>
      </c>
      <c r="J532" s="1058"/>
      <c r="K532" s="1058"/>
      <c r="L532" s="1058"/>
      <c r="M532" s="1636">
        <v>0</v>
      </c>
      <c r="N532" s="1636"/>
      <c r="O532" s="1636">
        <v>0</v>
      </c>
      <c r="P532" s="1636">
        <v>0</v>
      </c>
      <c r="Q532" s="1636">
        <v>115.33</v>
      </c>
      <c r="R532" s="1636">
        <v>0</v>
      </c>
      <c r="S532" s="1636">
        <v>0</v>
      </c>
      <c r="U532" s="1656">
        <v>1.2E-2</v>
      </c>
      <c r="V532" s="1657">
        <v>0</v>
      </c>
      <c r="W532" s="1657">
        <v>1.2E-2</v>
      </c>
      <c r="X532" s="1657">
        <v>0</v>
      </c>
      <c r="Y532" s="1658">
        <v>0</v>
      </c>
    </row>
    <row r="533" spans="1:25" ht="13.95" customHeight="1" x14ac:dyDescent="0.3">
      <c r="C533" s="1057">
        <v>519</v>
      </c>
      <c r="D533" s="1058" t="s">
        <v>1304</v>
      </c>
      <c r="E533" s="1059">
        <v>9</v>
      </c>
      <c r="F533" s="1297" t="s">
        <v>1044</v>
      </c>
      <c r="G533" s="1057" t="s">
        <v>1036</v>
      </c>
      <c r="H533" s="1058"/>
      <c r="I533" s="1057">
        <v>1</v>
      </c>
      <c r="J533" s="1058"/>
      <c r="K533" s="1058"/>
      <c r="L533" s="1058"/>
      <c r="M533" s="1636">
        <v>0</v>
      </c>
      <c r="N533" s="1636"/>
      <c r="O533" s="1636">
        <v>0</v>
      </c>
      <c r="P533" s="1636">
        <v>0</v>
      </c>
      <c r="Q533" s="1636">
        <v>48.5</v>
      </c>
      <c r="R533" s="1636">
        <v>0</v>
      </c>
      <c r="S533" s="1636">
        <v>0</v>
      </c>
      <c r="U533" s="1656">
        <v>2.6580000000000002E-3</v>
      </c>
      <c r="V533" s="1657">
        <v>0</v>
      </c>
      <c r="W533" s="1657">
        <v>2.6580000000000002E-3</v>
      </c>
      <c r="X533" s="1657">
        <v>0</v>
      </c>
      <c r="Y533" s="1658">
        <v>0</v>
      </c>
    </row>
    <row r="534" spans="1:25" ht="13.95" customHeight="1" x14ac:dyDescent="0.3">
      <c r="C534" s="1057">
        <v>520</v>
      </c>
      <c r="D534" s="1058" t="s">
        <v>1304</v>
      </c>
      <c r="E534" s="1059">
        <v>9</v>
      </c>
      <c r="F534" s="1297" t="s">
        <v>1044</v>
      </c>
      <c r="G534" s="1057" t="s">
        <v>1036</v>
      </c>
      <c r="H534" s="1058"/>
      <c r="I534" s="1057">
        <v>1</v>
      </c>
      <c r="J534" s="1058"/>
      <c r="K534" s="1058"/>
      <c r="L534" s="1058"/>
      <c r="M534" s="1636">
        <v>0</v>
      </c>
      <c r="N534" s="1636"/>
      <c r="O534" s="1636">
        <v>0</v>
      </c>
      <c r="P534" s="1636">
        <v>0</v>
      </c>
      <c r="Q534" s="1636">
        <v>307.5</v>
      </c>
      <c r="R534" s="1636">
        <v>0</v>
      </c>
      <c r="S534" s="1636">
        <v>0</v>
      </c>
      <c r="U534" s="1656">
        <v>1.61E-2</v>
      </c>
      <c r="V534" s="1657">
        <v>0</v>
      </c>
      <c r="W534" s="1656">
        <v>1.61E-2</v>
      </c>
      <c r="X534" s="1657">
        <v>0</v>
      </c>
      <c r="Y534" s="1658">
        <v>0</v>
      </c>
    </row>
    <row r="535" spans="1:25" ht="13.95" customHeight="1" x14ac:dyDescent="0.3">
      <c r="C535" s="1057">
        <v>521</v>
      </c>
      <c r="D535" s="1058" t="s">
        <v>1304</v>
      </c>
      <c r="E535" s="1059">
        <v>9</v>
      </c>
      <c r="F535" s="1297" t="s">
        <v>1044</v>
      </c>
      <c r="G535" s="1057" t="s">
        <v>1036</v>
      </c>
      <c r="H535" s="1058"/>
      <c r="I535" s="1057">
        <v>0</v>
      </c>
      <c r="J535" s="1058"/>
      <c r="K535" s="1058"/>
      <c r="L535" s="1058"/>
      <c r="M535" s="1636">
        <v>0</v>
      </c>
      <c r="N535" s="1636"/>
      <c r="O535" s="1636">
        <v>0</v>
      </c>
      <c r="P535" s="1636">
        <v>0</v>
      </c>
      <c r="Q535" s="1636">
        <v>75</v>
      </c>
      <c r="R535" s="1636">
        <v>0</v>
      </c>
      <c r="S535" s="1636">
        <v>0</v>
      </c>
      <c r="U535" s="1656">
        <v>4.0200000000000001E-3</v>
      </c>
      <c r="V535" s="1657">
        <v>0</v>
      </c>
      <c r="W535" s="1657">
        <v>4.0200000000000001E-3</v>
      </c>
      <c r="X535" s="1657">
        <v>0</v>
      </c>
      <c r="Y535" s="1658">
        <v>0</v>
      </c>
    </row>
    <row r="536" spans="1:25" ht="13.95" customHeight="1" x14ac:dyDescent="0.3">
      <c r="C536" s="1057">
        <v>522</v>
      </c>
      <c r="D536" s="1058" t="s">
        <v>1305</v>
      </c>
      <c r="E536" s="1059">
        <v>9</v>
      </c>
      <c r="F536" s="1297" t="s">
        <v>1090</v>
      </c>
      <c r="G536" s="1057" t="s">
        <v>1036</v>
      </c>
      <c r="H536" s="1058"/>
      <c r="I536" s="1057">
        <v>175</v>
      </c>
      <c r="J536" s="1058"/>
      <c r="K536" s="1058"/>
      <c r="L536" s="1058"/>
      <c r="M536" s="1636">
        <v>10168.4</v>
      </c>
      <c r="N536" s="1636"/>
      <c r="O536" s="1636">
        <v>10133.6</v>
      </c>
      <c r="P536" s="1636">
        <v>0</v>
      </c>
      <c r="Q536" s="1636">
        <v>0</v>
      </c>
      <c r="R536" s="1636">
        <v>0</v>
      </c>
      <c r="S536" s="1636">
        <v>0</v>
      </c>
      <c r="U536" s="1656">
        <v>0.61212620299999998</v>
      </c>
      <c r="V536" s="1657">
        <v>0</v>
      </c>
      <c r="W536" s="1657">
        <v>0.61212620299999998</v>
      </c>
      <c r="X536" s="1657">
        <v>5.8399464668110301E-2</v>
      </c>
      <c r="Y536" s="1658">
        <v>1201.6999999999998</v>
      </c>
    </row>
    <row r="537" spans="1:25" ht="13.95" customHeight="1" x14ac:dyDescent="0.3">
      <c r="C537" s="1057">
        <v>523</v>
      </c>
      <c r="D537" s="1058" t="s">
        <v>1305</v>
      </c>
      <c r="E537" s="1059">
        <v>1</v>
      </c>
      <c r="F537" s="1297" t="s">
        <v>1090</v>
      </c>
      <c r="G537" s="1057" t="s">
        <v>1036</v>
      </c>
      <c r="H537" s="1058"/>
      <c r="I537" s="1057">
        <v>0</v>
      </c>
      <c r="J537" s="1058"/>
      <c r="K537" s="1058"/>
      <c r="L537" s="1058"/>
      <c r="M537" s="1636">
        <v>0</v>
      </c>
      <c r="N537" s="1636"/>
      <c r="O537" s="1636">
        <v>0</v>
      </c>
      <c r="P537" s="1636">
        <v>0</v>
      </c>
      <c r="Q537" s="1636">
        <v>0</v>
      </c>
      <c r="R537" s="1636">
        <v>0</v>
      </c>
      <c r="S537" s="1636">
        <v>0</v>
      </c>
      <c r="U537" s="1656">
        <v>0</v>
      </c>
      <c r="V537" s="1657">
        <v>0</v>
      </c>
      <c r="W537" s="1656">
        <v>0</v>
      </c>
      <c r="X537" s="1657">
        <v>0</v>
      </c>
      <c r="Y537" s="1658">
        <v>0</v>
      </c>
    </row>
    <row r="538" spans="1:25" ht="13.95" customHeight="1" x14ac:dyDescent="0.3">
      <c r="C538" s="1057">
        <v>524</v>
      </c>
      <c r="D538" s="1058" t="s">
        <v>1305</v>
      </c>
      <c r="E538" s="1059">
        <v>9</v>
      </c>
      <c r="F538" s="1297" t="s">
        <v>1090</v>
      </c>
      <c r="G538" s="1057" t="s">
        <v>1036</v>
      </c>
      <c r="H538" s="1058"/>
      <c r="I538" s="1057">
        <v>1</v>
      </c>
      <c r="J538" s="1058"/>
      <c r="K538" s="1058"/>
      <c r="L538" s="1058"/>
      <c r="M538" s="1636">
        <v>0</v>
      </c>
      <c r="N538" s="1636"/>
      <c r="O538" s="1636">
        <v>0</v>
      </c>
      <c r="P538" s="1636">
        <v>0</v>
      </c>
      <c r="Q538" s="1636">
        <v>34.799999999999997</v>
      </c>
      <c r="R538" s="1636">
        <v>0</v>
      </c>
      <c r="S538" s="1636">
        <v>0</v>
      </c>
      <c r="U538" s="1656">
        <v>2.6640000000000001E-3</v>
      </c>
      <c r="V538" s="1657">
        <v>0</v>
      </c>
      <c r="W538" s="1657">
        <v>2.6640000000000001E-3</v>
      </c>
      <c r="X538" s="1657">
        <v>0</v>
      </c>
      <c r="Y538" s="1658">
        <v>0</v>
      </c>
    </row>
    <row r="539" spans="1:25" ht="13.95" customHeight="1" x14ac:dyDescent="0.3">
      <c r="C539" s="1057">
        <v>525</v>
      </c>
      <c r="D539" s="1058" t="s">
        <v>1306</v>
      </c>
      <c r="E539" s="1059">
        <v>5</v>
      </c>
      <c r="F539" s="1297" t="s">
        <v>1055</v>
      </c>
      <c r="G539" s="1057" t="s">
        <v>1036</v>
      </c>
      <c r="H539" s="1058"/>
      <c r="I539" s="1057">
        <v>1</v>
      </c>
      <c r="J539" s="1058"/>
      <c r="K539" s="1058"/>
      <c r="L539" s="1058"/>
      <c r="M539" s="1636">
        <v>0</v>
      </c>
      <c r="N539" s="1636"/>
      <c r="O539" s="1636">
        <v>0</v>
      </c>
      <c r="P539" s="1636">
        <v>0</v>
      </c>
      <c r="Q539" s="1636">
        <v>0</v>
      </c>
      <c r="R539" s="1636">
        <v>0</v>
      </c>
      <c r="S539" s="1636">
        <v>129.19999999999999</v>
      </c>
      <c r="U539" s="1656">
        <v>1.0857E-2</v>
      </c>
      <c r="V539" s="1657">
        <v>0</v>
      </c>
      <c r="W539" s="1657">
        <v>1.0857E-2</v>
      </c>
      <c r="X539" s="1657">
        <v>0</v>
      </c>
      <c r="Y539" s="1658">
        <v>0</v>
      </c>
    </row>
    <row r="540" spans="1:25" ht="13.95" customHeight="1" x14ac:dyDescent="0.3">
      <c r="C540" s="1057">
        <v>526</v>
      </c>
      <c r="D540" s="1058" t="s">
        <v>1306</v>
      </c>
      <c r="E540" s="1059">
        <v>5</v>
      </c>
      <c r="F540" s="1297" t="s">
        <v>1055</v>
      </c>
      <c r="G540" s="1057" t="s">
        <v>1036</v>
      </c>
      <c r="H540" s="1058"/>
      <c r="I540" s="1057">
        <v>0</v>
      </c>
      <c r="J540" s="1058"/>
      <c r="K540" s="1058"/>
      <c r="L540" s="1058"/>
      <c r="M540" s="1636">
        <v>0</v>
      </c>
      <c r="N540" s="1636"/>
      <c r="O540" s="1636">
        <v>0</v>
      </c>
      <c r="P540" s="1636">
        <v>0</v>
      </c>
      <c r="Q540" s="1636">
        <v>0</v>
      </c>
      <c r="R540" s="1636">
        <v>0</v>
      </c>
      <c r="S540" s="1636">
        <v>0</v>
      </c>
      <c r="U540" s="1656">
        <v>0</v>
      </c>
      <c r="V540" s="1657">
        <v>0</v>
      </c>
      <c r="W540" s="1656">
        <v>0</v>
      </c>
      <c r="X540" s="1657">
        <v>0</v>
      </c>
      <c r="Y540" s="1658">
        <v>0</v>
      </c>
    </row>
    <row r="541" spans="1:25" ht="13.95" customHeight="1" x14ac:dyDescent="0.3">
      <c r="C541" s="1057">
        <v>527</v>
      </c>
      <c r="D541" s="1058" t="s">
        <v>1306</v>
      </c>
      <c r="E541" s="1059">
        <v>5</v>
      </c>
      <c r="F541" s="1297" t="s">
        <v>1055</v>
      </c>
      <c r="G541" s="1057" t="s">
        <v>1036</v>
      </c>
      <c r="H541" s="1058"/>
      <c r="I541" s="1057">
        <v>0</v>
      </c>
      <c r="J541" s="1058"/>
      <c r="K541" s="1058"/>
      <c r="L541" s="1058"/>
      <c r="M541" s="1636">
        <v>0</v>
      </c>
      <c r="N541" s="1636"/>
      <c r="O541" s="1636">
        <v>0</v>
      </c>
      <c r="P541" s="1636">
        <v>0</v>
      </c>
      <c r="Q541" s="1636">
        <v>0</v>
      </c>
      <c r="R541" s="1636">
        <v>0</v>
      </c>
      <c r="S541" s="1636">
        <v>8.6999999999999993</v>
      </c>
      <c r="U541" s="1656">
        <v>7.2999999999999996E-4</v>
      </c>
      <c r="V541" s="1657">
        <v>0</v>
      </c>
      <c r="W541" s="1657">
        <v>7.2999999999999996E-4</v>
      </c>
      <c r="X541" s="1657">
        <v>0</v>
      </c>
      <c r="Y541" s="1658">
        <v>0</v>
      </c>
    </row>
    <row r="542" spans="1:25" ht="13.95" customHeight="1" x14ac:dyDescent="0.3">
      <c r="C542" s="1057">
        <v>528</v>
      </c>
      <c r="D542" s="1058" t="s">
        <v>1306</v>
      </c>
      <c r="E542" s="1059">
        <v>5</v>
      </c>
      <c r="F542" s="1297" t="s">
        <v>1055</v>
      </c>
      <c r="G542" s="1057" t="s">
        <v>1036</v>
      </c>
      <c r="H542" s="1058"/>
      <c r="I542" s="1057">
        <v>0</v>
      </c>
      <c r="J542" s="1058"/>
      <c r="K542" s="1058"/>
      <c r="L542" s="1058"/>
      <c r="M542" s="1636">
        <v>0</v>
      </c>
      <c r="N542" s="1636"/>
      <c r="O542" s="1636">
        <v>0</v>
      </c>
      <c r="P542" s="1636">
        <v>0</v>
      </c>
      <c r="Q542" s="1636">
        <v>0</v>
      </c>
      <c r="R542" s="1636">
        <v>0</v>
      </c>
      <c r="S542" s="1636">
        <v>12.3</v>
      </c>
      <c r="U542" s="1656">
        <v>1.0399999999999999E-3</v>
      </c>
      <c r="V542" s="1657">
        <v>0</v>
      </c>
      <c r="W542" s="1657">
        <v>1.0399999999999999E-3</v>
      </c>
      <c r="X542" s="1657">
        <v>0</v>
      </c>
      <c r="Y542" s="1658">
        <v>0</v>
      </c>
    </row>
    <row r="543" spans="1:25" ht="13.95" customHeight="1" x14ac:dyDescent="0.3">
      <c r="C543" s="1057">
        <v>529</v>
      </c>
      <c r="D543" s="1058" t="s">
        <v>1306</v>
      </c>
      <c r="E543" s="1059">
        <v>5</v>
      </c>
      <c r="F543" s="1297" t="s">
        <v>1055</v>
      </c>
      <c r="G543" s="1057" t="s">
        <v>1036</v>
      </c>
      <c r="H543" s="1058"/>
      <c r="I543" s="1057">
        <v>0</v>
      </c>
      <c r="J543" s="1058"/>
      <c r="K543" s="1058"/>
      <c r="L543" s="1058"/>
      <c r="M543" s="1636">
        <v>0</v>
      </c>
      <c r="N543" s="1636"/>
      <c r="O543" s="1636">
        <v>0</v>
      </c>
      <c r="P543" s="1636">
        <v>0</v>
      </c>
      <c r="Q543" s="1636">
        <v>0</v>
      </c>
      <c r="R543" s="1636">
        <v>0</v>
      </c>
      <c r="S543" s="1636">
        <v>13.1</v>
      </c>
      <c r="U543" s="1656">
        <v>1.1100000000000001E-3</v>
      </c>
      <c r="V543" s="1657">
        <v>0</v>
      </c>
      <c r="W543" s="1657">
        <v>1.1100000000000001E-3</v>
      </c>
      <c r="X543" s="1657">
        <v>0</v>
      </c>
      <c r="Y543" s="1658">
        <v>0</v>
      </c>
    </row>
    <row r="544" spans="1:25" ht="13.95" customHeight="1" x14ac:dyDescent="0.3">
      <c r="C544" s="1057">
        <v>530</v>
      </c>
      <c r="D544" s="1058" t="s">
        <v>1306</v>
      </c>
      <c r="E544" s="1059">
        <v>5</v>
      </c>
      <c r="F544" s="1297" t="s">
        <v>1055</v>
      </c>
      <c r="G544" s="1057" t="s">
        <v>1036</v>
      </c>
      <c r="H544" s="1058"/>
      <c r="I544" s="1057">
        <v>0</v>
      </c>
      <c r="J544" s="1058"/>
      <c r="K544" s="1058"/>
      <c r="L544" s="1058"/>
      <c r="M544" s="1636">
        <v>0</v>
      </c>
      <c r="N544" s="1636"/>
      <c r="O544" s="1636">
        <v>0</v>
      </c>
      <c r="P544" s="1636">
        <v>0</v>
      </c>
      <c r="Q544" s="1636">
        <v>0</v>
      </c>
      <c r="R544" s="1636">
        <v>0</v>
      </c>
      <c r="S544" s="1636">
        <v>14.2</v>
      </c>
      <c r="U544" s="1656">
        <v>1.1999999999999999E-3</v>
      </c>
      <c r="V544" s="1657">
        <v>0</v>
      </c>
      <c r="W544" s="1657">
        <v>1.1999999999999999E-3</v>
      </c>
      <c r="X544" s="1657">
        <v>0</v>
      </c>
      <c r="Y544" s="1658">
        <v>0</v>
      </c>
    </row>
    <row r="545" spans="3:25" ht="13.95" customHeight="1" x14ac:dyDescent="0.3">
      <c r="C545" s="1057">
        <v>531</v>
      </c>
      <c r="D545" s="1058" t="s">
        <v>1306</v>
      </c>
      <c r="E545" s="1059">
        <v>5</v>
      </c>
      <c r="F545" s="1297" t="s">
        <v>1055</v>
      </c>
      <c r="G545" s="1057" t="s">
        <v>1036</v>
      </c>
      <c r="H545" s="1058"/>
      <c r="I545" s="1057">
        <v>1</v>
      </c>
      <c r="J545" s="1058"/>
      <c r="K545" s="1058"/>
      <c r="L545" s="1058"/>
      <c r="M545" s="1636">
        <v>0</v>
      </c>
      <c r="N545" s="1636"/>
      <c r="O545" s="1636">
        <v>0</v>
      </c>
      <c r="P545" s="1636">
        <v>0</v>
      </c>
      <c r="Q545" s="1636">
        <v>0</v>
      </c>
      <c r="R545" s="1636">
        <v>0</v>
      </c>
      <c r="S545" s="1636">
        <v>3173.2</v>
      </c>
      <c r="U545" s="1656">
        <v>0.35524339999999999</v>
      </c>
      <c r="V545" s="1657">
        <v>0</v>
      </c>
      <c r="W545" s="1656">
        <v>0.35524339999999999</v>
      </c>
      <c r="X545" s="1657">
        <v>0</v>
      </c>
      <c r="Y545" s="1658">
        <v>0</v>
      </c>
    </row>
    <row r="546" spans="3:25" ht="13.95" customHeight="1" x14ac:dyDescent="0.3">
      <c r="C546" s="1057">
        <v>532</v>
      </c>
      <c r="D546" s="1058" t="s">
        <v>1306</v>
      </c>
      <c r="E546" s="1059">
        <v>5</v>
      </c>
      <c r="F546" s="1297" t="s">
        <v>1055</v>
      </c>
      <c r="G546" s="1057" t="s">
        <v>1036</v>
      </c>
      <c r="H546" s="1058"/>
      <c r="I546" s="1057">
        <v>0</v>
      </c>
      <c r="J546" s="1058"/>
      <c r="K546" s="1058"/>
      <c r="L546" s="1058"/>
      <c r="M546" s="1636">
        <v>0</v>
      </c>
      <c r="N546" s="1636"/>
      <c r="O546" s="1636">
        <v>0</v>
      </c>
      <c r="P546" s="1636">
        <v>0</v>
      </c>
      <c r="Q546" s="1636">
        <v>0</v>
      </c>
      <c r="R546" s="1636">
        <v>0</v>
      </c>
      <c r="S546" s="1636">
        <v>0</v>
      </c>
      <c r="U546" s="1656">
        <v>0</v>
      </c>
      <c r="V546" s="1657">
        <v>0</v>
      </c>
      <c r="W546" s="1656">
        <v>0</v>
      </c>
      <c r="X546" s="1657">
        <v>0</v>
      </c>
      <c r="Y546" s="1658">
        <v>0</v>
      </c>
    </row>
    <row r="547" spans="3:25" ht="13.95" customHeight="1" x14ac:dyDescent="0.3">
      <c r="C547" s="1057">
        <v>533</v>
      </c>
      <c r="D547" s="1058" t="s">
        <v>1306</v>
      </c>
      <c r="E547" s="1059">
        <v>5</v>
      </c>
      <c r="F547" s="1297" t="s">
        <v>1055</v>
      </c>
      <c r="G547" s="1057" t="s">
        <v>1036</v>
      </c>
      <c r="H547" s="1058"/>
      <c r="I547" s="1057">
        <v>0</v>
      </c>
      <c r="J547" s="1058"/>
      <c r="K547" s="1058"/>
      <c r="L547" s="1058"/>
      <c r="M547" s="1636">
        <v>0</v>
      </c>
      <c r="N547" s="1636"/>
      <c r="O547" s="1636">
        <v>0</v>
      </c>
      <c r="P547" s="1636">
        <v>0</v>
      </c>
      <c r="Q547" s="1636">
        <v>0</v>
      </c>
      <c r="R547" s="1636">
        <v>0</v>
      </c>
      <c r="S547" s="1636">
        <v>0</v>
      </c>
      <c r="U547" s="1656">
        <v>0</v>
      </c>
      <c r="V547" s="1657">
        <v>0</v>
      </c>
      <c r="W547" s="1657">
        <v>0</v>
      </c>
      <c r="X547" s="1657">
        <v>0</v>
      </c>
      <c r="Y547" s="1658">
        <v>0</v>
      </c>
    </row>
    <row r="548" spans="3:25" ht="13.95" customHeight="1" x14ac:dyDescent="0.3">
      <c r="C548" s="1057">
        <v>534</v>
      </c>
      <c r="D548" s="1058" t="s">
        <v>1306</v>
      </c>
      <c r="E548" s="1059">
        <v>5</v>
      </c>
      <c r="F548" s="1297" t="s">
        <v>1055</v>
      </c>
      <c r="G548" s="1057" t="s">
        <v>1036</v>
      </c>
      <c r="H548" s="1058"/>
      <c r="I548" s="1057">
        <v>1</v>
      </c>
      <c r="J548" s="1058"/>
      <c r="K548" s="1058"/>
      <c r="L548" s="1058"/>
      <c r="M548" s="1636">
        <v>0</v>
      </c>
      <c r="N548" s="1636"/>
      <c r="O548" s="1636">
        <v>0</v>
      </c>
      <c r="P548" s="1636">
        <v>0</v>
      </c>
      <c r="Q548" s="1636">
        <v>0</v>
      </c>
      <c r="R548" s="1636">
        <v>0</v>
      </c>
      <c r="S548" s="1636">
        <v>9.1</v>
      </c>
      <c r="U548" s="1656">
        <v>7.6800000000000002E-4</v>
      </c>
      <c r="V548" s="1657">
        <v>0</v>
      </c>
      <c r="W548" s="1657">
        <v>7.6800000000000002E-4</v>
      </c>
      <c r="X548" s="1657">
        <v>0</v>
      </c>
      <c r="Y548" s="1658">
        <v>0</v>
      </c>
    </row>
    <row r="549" spans="3:25" ht="13.95" customHeight="1" x14ac:dyDescent="0.3">
      <c r="C549" s="1057">
        <v>535</v>
      </c>
      <c r="D549" s="1058" t="s">
        <v>1306</v>
      </c>
      <c r="E549" s="1059">
        <v>5</v>
      </c>
      <c r="F549" s="1297" t="s">
        <v>1055</v>
      </c>
      <c r="G549" s="1057" t="s">
        <v>1036</v>
      </c>
      <c r="H549" s="1058"/>
      <c r="I549" s="1057">
        <v>1</v>
      </c>
      <c r="J549" s="1058"/>
      <c r="K549" s="1058"/>
      <c r="L549" s="1058"/>
      <c r="M549" s="1636">
        <v>0</v>
      </c>
      <c r="N549" s="1636"/>
      <c r="O549" s="1636">
        <v>0</v>
      </c>
      <c r="P549" s="1636">
        <v>0</v>
      </c>
      <c r="Q549" s="1636">
        <v>0</v>
      </c>
      <c r="R549" s="1636">
        <v>0</v>
      </c>
      <c r="S549" s="1636">
        <v>27.9</v>
      </c>
      <c r="U549" s="1656">
        <v>2.3549999999999999E-3</v>
      </c>
      <c r="V549" s="1657">
        <v>0</v>
      </c>
      <c r="W549" s="1657">
        <v>2.3549999999999999E-3</v>
      </c>
      <c r="X549" s="1657">
        <v>0</v>
      </c>
      <c r="Y549" s="1658">
        <v>0</v>
      </c>
    </row>
    <row r="550" spans="3:25" ht="13.95" customHeight="1" x14ac:dyDescent="0.3">
      <c r="C550" s="1057">
        <v>536</v>
      </c>
      <c r="D550" s="1058" t="s">
        <v>1306</v>
      </c>
      <c r="E550" s="1059">
        <v>5</v>
      </c>
      <c r="F550" s="1297" t="s">
        <v>1055</v>
      </c>
      <c r="G550" s="1057" t="s">
        <v>1036</v>
      </c>
      <c r="H550" s="1058"/>
      <c r="I550" s="1057">
        <v>1</v>
      </c>
      <c r="J550" s="1058"/>
      <c r="K550" s="1058"/>
      <c r="L550" s="1058"/>
      <c r="M550" s="1636">
        <v>0</v>
      </c>
      <c r="N550" s="1636"/>
      <c r="O550" s="1636">
        <v>0</v>
      </c>
      <c r="P550" s="1636">
        <v>0</v>
      </c>
      <c r="Q550" s="1636">
        <v>0</v>
      </c>
      <c r="R550" s="1636">
        <v>0</v>
      </c>
      <c r="S550" s="1636">
        <v>98</v>
      </c>
      <c r="U550" s="1656">
        <v>8.071E-3</v>
      </c>
      <c r="V550" s="1657">
        <v>0</v>
      </c>
      <c r="W550" s="1657">
        <v>8.071E-3</v>
      </c>
      <c r="X550" s="1657">
        <v>0</v>
      </c>
      <c r="Y550" s="1658">
        <v>0</v>
      </c>
    </row>
    <row r="551" spans="3:25" ht="13.95" customHeight="1" x14ac:dyDescent="0.3">
      <c r="C551" s="1057">
        <v>537</v>
      </c>
      <c r="D551" s="1058" t="s">
        <v>1306</v>
      </c>
      <c r="E551" s="1059">
        <v>5</v>
      </c>
      <c r="F551" s="1297" t="s">
        <v>1055</v>
      </c>
      <c r="G551" s="1057" t="s">
        <v>1036</v>
      </c>
      <c r="H551" s="1058"/>
      <c r="I551" s="1057">
        <v>0</v>
      </c>
      <c r="J551" s="1058"/>
      <c r="K551" s="1058"/>
      <c r="L551" s="1058"/>
      <c r="M551" s="1636">
        <v>0</v>
      </c>
      <c r="N551" s="1636"/>
      <c r="O551" s="1636">
        <v>0</v>
      </c>
      <c r="P551" s="1636">
        <v>0</v>
      </c>
      <c r="Q551" s="1636">
        <v>0</v>
      </c>
      <c r="R551" s="1636">
        <v>0</v>
      </c>
      <c r="S551" s="1636">
        <v>0</v>
      </c>
      <c r="U551" s="1656">
        <v>0</v>
      </c>
      <c r="V551" s="1657">
        <v>0</v>
      </c>
      <c r="W551" s="1656">
        <v>0</v>
      </c>
      <c r="X551" s="1657">
        <v>0</v>
      </c>
      <c r="Y551" s="1658">
        <v>0</v>
      </c>
    </row>
    <row r="552" spans="3:25" ht="13.95" customHeight="1" x14ac:dyDescent="0.3">
      <c r="C552" s="1057">
        <v>538</v>
      </c>
      <c r="D552" s="1058" t="s">
        <v>1307</v>
      </c>
      <c r="E552" s="1059">
        <v>14</v>
      </c>
      <c r="F552" s="1297" t="s">
        <v>1308</v>
      </c>
      <c r="G552" s="1057" t="s">
        <v>1036</v>
      </c>
      <c r="H552" s="1058"/>
      <c r="I552" s="1057">
        <v>58</v>
      </c>
      <c r="J552" s="1058"/>
      <c r="K552" s="1058"/>
      <c r="L552" s="1058"/>
      <c r="M552" s="1636">
        <v>3190.25</v>
      </c>
      <c r="N552" s="1636"/>
      <c r="O552" s="1636">
        <v>3102.4</v>
      </c>
      <c r="P552" s="1636">
        <v>0</v>
      </c>
      <c r="Q552" s="1636">
        <v>0</v>
      </c>
      <c r="R552" s="1636">
        <v>0</v>
      </c>
      <c r="S552" s="1636">
        <v>0</v>
      </c>
      <c r="U552" s="1656">
        <v>0.19408491</v>
      </c>
      <c r="V552" s="1657">
        <v>0</v>
      </c>
      <c r="W552" s="1657">
        <v>0.19408491</v>
      </c>
      <c r="X552" s="1657">
        <v>2.1382725364499762E-2</v>
      </c>
      <c r="Y552" s="1658">
        <v>430</v>
      </c>
    </row>
    <row r="553" spans="3:25" ht="13.95" customHeight="1" x14ac:dyDescent="0.3">
      <c r="C553" s="1057">
        <v>539</v>
      </c>
      <c r="D553" s="1058" t="s">
        <v>1307</v>
      </c>
      <c r="E553" s="1059">
        <v>14</v>
      </c>
      <c r="F553" s="1297" t="s">
        <v>1308</v>
      </c>
      <c r="G553" s="1057" t="s">
        <v>1036</v>
      </c>
      <c r="H553" s="1058"/>
      <c r="I553" s="1057">
        <v>1</v>
      </c>
      <c r="J553" s="1058"/>
      <c r="K553" s="1058"/>
      <c r="L553" s="1058"/>
      <c r="M553" s="1636">
        <v>0</v>
      </c>
      <c r="N553" s="1636"/>
      <c r="O553" s="1636">
        <v>0</v>
      </c>
      <c r="P553" s="1636">
        <v>0</v>
      </c>
      <c r="Q553" s="1636">
        <v>63.3</v>
      </c>
      <c r="R553" s="1636">
        <v>0</v>
      </c>
      <c r="S553" s="1636">
        <v>0</v>
      </c>
      <c r="U553" s="1656">
        <v>2.5000000000000001E-3</v>
      </c>
      <c r="V553" s="1657">
        <v>0</v>
      </c>
      <c r="W553" s="1657">
        <v>2.5000000000000001E-3</v>
      </c>
      <c r="X553" s="1657">
        <v>0</v>
      </c>
      <c r="Y553" s="1658">
        <v>0</v>
      </c>
    </row>
    <row r="554" spans="3:25" ht="13.95" customHeight="1" x14ac:dyDescent="0.3">
      <c r="C554" s="1057">
        <v>540</v>
      </c>
      <c r="D554" s="1058" t="s">
        <v>1307</v>
      </c>
      <c r="E554" s="1059">
        <v>14</v>
      </c>
      <c r="F554" s="1297" t="s">
        <v>1308</v>
      </c>
      <c r="G554" s="1057" t="s">
        <v>1036</v>
      </c>
      <c r="H554" s="1058"/>
      <c r="I554" s="1057">
        <v>1</v>
      </c>
      <c r="J554" s="1058"/>
      <c r="K554" s="1058"/>
      <c r="L554" s="1058"/>
      <c r="M554" s="1636">
        <v>0</v>
      </c>
      <c r="N554" s="1636"/>
      <c r="O554" s="1636">
        <v>0</v>
      </c>
      <c r="P554" s="1636">
        <v>0</v>
      </c>
      <c r="Q554" s="1636">
        <v>24.55</v>
      </c>
      <c r="R554" s="1636">
        <v>0</v>
      </c>
      <c r="S554" s="1636">
        <v>0</v>
      </c>
      <c r="U554" s="1656">
        <v>1.4159999999999999E-3</v>
      </c>
      <c r="V554" s="1657">
        <v>0</v>
      </c>
      <c r="W554" s="1657">
        <v>1.4159999999999999E-3</v>
      </c>
      <c r="X554" s="1657">
        <v>0</v>
      </c>
      <c r="Y554" s="1658">
        <v>0</v>
      </c>
    </row>
    <row r="555" spans="3:25" ht="13.95" customHeight="1" x14ac:dyDescent="0.3">
      <c r="C555" s="1057">
        <v>541</v>
      </c>
      <c r="D555" s="1058" t="s">
        <v>1307</v>
      </c>
      <c r="E555" s="1059">
        <v>1</v>
      </c>
      <c r="F555" s="1297" t="s">
        <v>1308</v>
      </c>
      <c r="G555" s="1057" t="s">
        <v>1036</v>
      </c>
      <c r="H555" s="1058"/>
      <c r="I555" s="1057">
        <v>0</v>
      </c>
      <c r="J555" s="1058"/>
      <c r="K555" s="1058"/>
      <c r="L555" s="1058"/>
      <c r="M555" s="1636">
        <v>0</v>
      </c>
      <c r="N555" s="1636"/>
      <c r="O555" s="1636">
        <v>0</v>
      </c>
      <c r="P555" s="1636">
        <v>0</v>
      </c>
      <c r="Q555" s="1636">
        <v>0</v>
      </c>
      <c r="R555" s="1636">
        <v>0</v>
      </c>
      <c r="S555" s="1636">
        <v>0</v>
      </c>
      <c r="U555" s="1656">
        <v>0</v>
      </c>
      <c r="V555" s="1657">
        <v>0</v>
      </c>
      <c r="W555" s="1656">
        <v>0</v>
      </c>
      <c r="X555" s="1657">
        <v>0</v>
      </c>
      <c r="Y555" s="1658">
        <v>0</v>
      </c>
    </row>
    <row r="556" spans="3:25" ht="13.95" customHeight="1" x14ac:dyDescent="0.3">
      <c r="C556" s="1057">
        <v>542</v>
      </c>
      <c r="D556" s="1058" t="s">
        <v>1309</v>
      </c>
      <c r="E556" s="1059">
        <v>14</v>
      </c>
      <c r="F556" s="1297" t="s">
        <v>1310</v>
      </c>
      <c r="G556" s="1057" t="s">
        <v>1036</v>
      </c>
      <c r="H556" s="1058"/>
      <c r="I556" s="1057">
        <v>65</v>
      </c>
      <c r="J556" s="1058"/>
      <c r="K556" s="1058"/>
      <c r="L556" s="1058"/>
      <c r="M556" s="1636">
        <v>3953.7</v>
      </c>
      <c r="N556" s="1636"/>
      <c r="O556" s="1636">
        <v>3953.7</v>
      </c>
      <c r="P556" s="1636">
        <v>0</v>
      </c>
      <c r="Q556" s="1636">
        <v>0</v>
      </c>
      <c r="R556" s="1636">
        <v>0</v>
      </c>
      <c r="S556" s="1636">
        <v>0</v>
      </c>
      <c r="U556" s="1656">
        <v>0.25101857</v>
      </c>
      <c r="V556" s="1657">
        <v>0</v>
      </c>
      <c r="W556" s="1657">
        <v>0.25101857</v>
      </c>
      <c r="X556" s="1657">
        <v>0</v>
      </c>
      <c r="Y556" s="1658">
        <v>0</v>
      </c>
    </row>
    <row r="557" spans="3:25" ht="13.95" customHeight="1" x14ac:dyDescent="0.3">
      <c r="C557" s="1057">
        <v>543</v>
      </c>
      <c r="D557" s="1058" t="s">
        <v>1311</v>
      </c>
      <c r="E557" s="1059">
        <v>14</v>
      </c>
      <c r="F557" s="1297" t="s">
        <v>1046</v>
      </c>
      <c r="G557" s="1057" t="s">
        <v>1036</v>
      </c>
      <c r="H557" s="1058"/>
      <c r="I557" s="1057">
        <v>65</v>
      </c>
      <c r="J557" s="1058"/>
      <c r="K557" s="1058"/>
      <c r="L557" s="1058"/>
      <c r="M557" s="1636">
        <v>3863.4</v>
      </c>
      <c r="N557" s="1636"/>
      <c r="O557" s="1636">
        <v>3863.4</v>
      </c>
      <c r="P557" s="1636">
        <v>0</v>
      </c>
      <c r="Q557" s="1636">
        <v>0</v>
      </c>
      <c r="R557" s="1636">
        <v>0</v>
      </c>
      <c r="S557" s="1636">
        <v>0</v>
      </c>
      <c r="U557" s="1656">
        <v>0.26907059999999999</v>
      </c>
      <c r="V557" s="1657">
        <v>0</v>
      </c>
      <c r="W557" s="1657">
        <v>0.26907059999999999</v>
      </c>
      <c r="X557" s="1657">
        <v>0</v>
      </c>
      <c r="Y557" s="1658">
        <v>0</v>
      </c>
    </row>
    <row r="558" spans="3:25" ht="13.95" customHeight="1" x14ac:dyDescent="0.3">
      <c r="C558" s="1057">
        <v>544</v>
      </c>
      <c r="D558" s="1058" t="s">
        <v>1312</v>
      </c>
      <c r="E558" s="1059">
        <v>9</v>
      </c>
      <c r="F558" s="1297" t="s">
        <v>1281</v>
      </c>
      <c r="G558" s="1057" t="s">
        <v>1036</v>
      </c>
      <c r="H558" s="1058"/>
      <c r="I558" s="1057">
        <v>140</v>
      </c>
      <c r="J558" s="1058"/>
      <c r="K558" s="1058"/>
      <c r="L558" s="1058"/>
      <c r="M558" s="1636">
        <v>8627.5</v>
      </c>
      <c r="N558" s="1636"/>
      <c r="O558" s="1636">
        <v>8576.5</v>
      </c>
      <c r="P558" s="1636">
        <v>0</v>
      </c>
      <c r="Q558" s="1636">
        <v>0</v>
      </c>
      <c r="R558" s="1636">
        <v>0</v>
      </c>
      <c r="S558" s="1636">
        <v>0</v>
      </c>
      <c r="U558" s="1656">
        <v>0.47347566000000002</v>
      </c>
      <c r="V558" s="1657">
        <v>0</v>
      </c>
      <c r="W558" s="1657">
        <v>0.47347566000000002</v>
      </c>
      <c r="X558" s="1657">
        <v>3.1870336776699627E-2</v>
      </c>
      <c r="Y558" s="1658">
        <v>1201.57</v>
      </c>
    </row>
    <row r="559" spans="3:25" ht="13.95" customHeight="1" x14ac:dyDescent="0.3">
      <c r="C559" s="1057">
        <v>545</v>
      </c>
      <c r="D559" s="1058" t="s">
        <v>1312</v>
      </c>
      <c r="E559" s="1059">
        <v>9</v>
      </c>
      <c r="F559" s="1297" t="s">
        <v>1281</v>
      </c>
      <c r="G559" s="1057" t="s">
        <v>1036</v>
      </c>
      <c r="H559" s="1058"/>
      <c r="I559" s="1057">
        <v>1</v>
      </c>
      <c r="J559" s="1058"/>
      <c r="K559" s="1058"/>
      <c r="L559" s="1058"/>
      <c r="M559" s="1636">
        <v>0</v>
      </c>
      <c r="N559" s="1636"/>
      <c r="O559" s="1636">
        <v>0</v>
      </c>
      <c r="P559" s="1636">
        <v>0</v>
      </c>
      <c r="Q559" s="1636">
        <v>51</v>
      </c>
      <c r="R559" s="1636">
        <v>0</v>
      </c>
      <c r="S559" s="1636">
        <v>0</v>
      </c>
      <c r="U559" s="1656">
        <v>2.281E-3</v>
      </c>
      <c r="V559" s="1657">
        <v>0</v>
      </c>
      <c r="W559" s="1657">
        <v>2.281E-3</v>
      </c>
      <c r="X559" s="1657">
        <v>0</v>
      </c>
      <c r="Y559" s="1658">
        <v>0</v>
      </c>
    </row>
    <row r="560" spans="3:25" ht="13.95" customHeight="1" x14ac:dyDescent="0.3">
      <c r="C560" s="1057">
        <v>546</v>
      </c>
      <c r="D560" s="1058" t="s">
        <v>2676</v>
      </c>
      <c r="E560" s="1059">
        <v>9</v>
      </c>
      <c r="F560" s="1297" t="s">
        <v>1281</v>
      </c>
      <c r="G560" s="1057" t="s">
        <v>1036</v>
      </c>
      <c r="H560" s="1058"/>
      <c r="I560" s="1057">
        <v>1</v>
      </c>
      <c r="J560" s="1058"/>
      <c r="K560" s="1058"/>
      <c r="L560" s="1058"/>
      <c r="M560" s="1636">
        <v>6258.07</v>
      </c>
      <c r="N560" s="1636"/>
      <c r="O560" s="1636">
        <v>6258.07</v>
      </c>
      <c r="P560" s="1636">
        <v>0</v>
      </c>
      <c r="Q560" s="1636">
        <v>0</v>
      </c>
      <c r="R560" s="1636">
        <v>6258.07</v>
      </c>
      <c r="S560" s="1636">
        <v>0</v>
      </c>
      <c r="U560" s="1656">
        <v>0.32200308</v>
      </c>
      <c r="V560" s="1657">
        <v>0</v>
      </c>
      <c r="W560" s="1657">
        <v>0.32200308</v>
      </c>
      <c r="X560" s="1657">
        <v>0</v>
      </c>
      <c r="Y560" s="1658">
        <v>0</v>
      </c>
    </row>
    <row r="561" spans="3:25" ht="13.95" customHeight="1" x14ac:dyDescent="0.3">
      <c r="C561" s="1057">
        <v>547</v>
      </c>
      <c r="D561" s="1058" t="s">
        <v>1313</v>
      </c>
      <c r="E561" s="1059">
        <v>4</v>
      </c>
      <c r="F561" s="1297" t="s">
        <v>1050</v>
      </c>
      <c r="G561" s="1057" t="s">
        <v>1036</v>
      </c>
      <c r="H561" s="1058"/>
      <c r="I561" s="1057">
        <v>23</v>
      </c>
      <c r="J561" s="1058"/>
      <c r="K561" s="1058"/>
      <c r="L561" s="1058"/>
      <c r="M561" s="1636">
        <v>1517.9</v>
      </c>
      <c r="N561" s="1636"/>
      <c r="O561" s="1636">
        <v>1435.5</v>
      </c>
      <c r="P561" s="1636">
        <v>0</v>
      </c>
      <c r="Q561" s="1636">
        <v>0</v>
      </c>
      <c r="R561" s="1636">
        <v>0</v>
      </c>
      <c r="S561" s="1636">
        <v>0</v>
      </c>
      <c r="U561" s="1656">
        <v>8.5175440000000005E-2</v>
      </c>
      <c r="V561" s="1657">
        <v>0</v>
      </c>
      <c r="W561" s="1657">
        <v>8.5175440000000005E-2</v>
      </c>
      <c r="X561" s="1657">
        <v>3.7311763146380644E-3</v>
      </c>
      <c r="Y561" s="1658">
        <v>74</v>
      </c>
    </row>
    <row r="562" spans="3:25" ht="13.95" customHeight="1" x14ac:dyDescent="0.3">
      <c r="C562" s="1057">
        <v>548</v>
      </c>
      <c r="D562" s="1058" t="s">
        <v>1313</v>
      </c>
      <c r="E562" s="1059">
        <v>4</v>
      </c>
      <c r="F562" s="1297" t="s">
        <v>1050</v>
      </c>
      <c r="G562" s="1057" t="s">
        <v>1036</v>
      </c>
      <c r="H562" s="1058"/>
      <c r="I562" s="1057">
        <v>1</v>
      </c>
      <c r="J562" s="1058"/>
      <c r="K562" s="1058"/>
      <c r="L562" s="1058"/>
      <c r="M562" s="1636">
        <v>0</v>
      </c>
      <c r="N562" s="1636"/>
      <c r="O562" s="1636">
        <v>0</v>
      </c>
      <c r="P562" s="1636">
        <v>0</v>
      </c>
      <c r="Q562" s="1636">
        <v>82.4</v>
      </c>
      <c r="R562" s="1636">
        <v>0</v>
      </c>
      <c r="S562" s="1636">
        <v>0</v>
      </c>
      <c r="U562" s="1656">
        <v>6.8999999999999999E-3</v>
      </c>
      <c r="V562" s="1657">
        <v>0</v>
      </c>
      <c r="W562" s="1657">
        <v>6.8999999999999999E-3</v>
      </c>
      <c r="X562" s="1657">
        <v>0</v>
      </c>
      <c r="Y562" s="1658">
        <v>0</v>
      </c>
    </row>
    <row r="563" spans="3:25" ht="13.95" customHeight="1" x14ac:dyDescent="0.3">
      <c r="C563" s="1057">
        <v>549</v>
      </c>
      <c r="D563" s="1058" t="s">
        <v>1314</v>
      </c>
      <c r="E563" s="1059">
        <v>3</v>
      </c>
      <c r="F563" s="1297" t="s">
        <v>1267</v>
      </c>
      <c r="G563" s="1057" t="s">
        <v>1036</v>
      </c>
      <c r="H563" s="1058"/>
      <c r="I563" s="1057">
        <v>15</v>
      </c>
      <c r="J563" s="1058"/>
      <c r="K563" s="1058"/>
      <c r="L563" s="1058"/>
      <c r="M563" s="1636">
        <v>1401.4</v>
      </c>
      <c r="N563" s="1636"/>
      <c r="O563" s="1636">
        <v>1181.0999999999999</v>
      </c>
      <c r="P563" s="1636">
        <v>220.3</v>
      </c>
      <c r="Q563" s="1636">
        <v>0</v>
      </c>
      <c r="R563" s="1636">
        <v>0</v>
      </c>
      <c r="S563" s="1636">
        <v>0</v>
      </c>
      <c r="U563" s="1656">
        <v>7.9312750000000001E-2</v>
      </c>
      <c r="V563" s="1657">
        <v>8.8759049054160978E-4</v>
      </c>
      <c r="W563" s="1657">
        <v>7.8425159509458386E-2</v>
      </c>
      <c r="X563" s="1657">
        <v>5.6015300000000004E-3</v>
      </c>
      <c r="Y563" s="1658">
        <v>100</v>
      </c>
    </row>
    <row r="564" spans="3:25" ht="13.95" customHeight="1" x14ac:dyDescent="0.3">
      <c r="C564" s="1057">
        <v>550</v>
      </c>
      <c r="D564" s="1058" t="s">
        <v>1315</v>
      </c>
      <c r="E564" s="1059">
        <v>9</v>
      </c>
      <c r="F564" s="1297" t="s">
        <v>1231</v>
      </c>
      <c r="G564" s="1057" t="s">
        <v>1036</v>
      </c>
      <c r="H564" s="1058"/>
      <c r="I564" s="1057">
        <v>306</v>
      </c>
      <c r="J564" s="1058"/>
      <c r="K564" s="1058"/>
      <c r="L564" s="1058"/>
      <c r="M564" s="1636">
        <v>17686.099999999999</v>
      </c>
      <c r="N564" s="1636"/>
      <c r="O564" s="1636">
        <v>17554.36</v>
      </c>
      <c r="P564" s="1636">
        <v>77</v>
      </c>
      <c r="Q564" s="1636">
        <v>0</v>
      </c>
      <c r="R564" s="1636">
        <v>0</v>
      </c>
      <c r="S564" s="1636">
        <v>0</v>
      </c>
      <c r="U564" s="1656">
        <v>0.89696399799999993</v>
      </c>
      <c r="V564" s="1657">
        <v>3.562451776271055E-4</v>
      </c>
      <c r="W564" s="1657">
        <v>0.89660775282237282</v>
      </c>
      <c r="X564" s="1657">
        <v>8.1884989764319488E-2</v>
      </c>
      <c r="Y564" s="1658">
        <v>1823.5</v>
      </c>
    </row>
    <row r="565" spans="3:25" ht="13.95" customHeight="1" x14ac:dyDescent="0.3">
      <c r="C565" s="1057">
        <v>551</v>
      </c>
      <c r="D565" s="1058" t="s">
        <v>1315</v>
      </c>
      <c r="E565" s="1059">
        <v>9</v>
      </c>
      <c r="F565" s="1297" t="s">
        <v>1231</v>
      </c>
      <c r="G565" s="1057" t="s">
        <v>1036</v>
      </c>
      <c r="H565" s="1058"/>
      <c r="I565" s="1057">
        <v>1</v>
      </c>
      <c r="J565" s="1058"/>
      <c r="K565" s="1058"/>
      <c r="L565" s="1058"/>
      <c r="M565" s="1636">
        <v>0</v>
      </c>
      <c r="N565" s="1636"/>
      <c r="O565" s="1636">
        <v>0</v>
      </c>
      <c r="P565" s="1636">
        <v>0</v>
      </c>
      <c r="Q565" s="1636">
        <v>17.8</v>
      </c>
      <c r="R565" s="1636">
        <v>0</v>
      </c>
      <c r="S565" s="1636">
        <v>0</v>
      </c>
      <c r="U565" s="1656">
        <v>8.83E-4</v>
      </c>
      <c r="V565" s="1657">
        <v>0</v>
      </c>
      <c r="W565" s="1657">
        <v>8.83E-4</v>
      </c>
      <c r="X565" s="1657">
        <v>0</v>
      </c>
      <c r="Y565" s="1658">
        <v>0</v>
      </c>
    </row>
    <row r="566" spans="3:25" ht="13.95" customHeight="1" x14ac:dyDescent="0.3">
      <c r="C566" s="1057">
        <v>552</v>
      </c>
      <c r="D566" s="1058" t="s">
        <v>1315</v>
      </c>
      <c r="E566" s="1059">
        <v>9</v>
      </c>
      <c r="F566" s="1297" t="s">
        <v>1231</v>
      </c>
      <c r="G566" s="1057" t="s">
        <v>1036</v>
      </c>
      <c r="H566" s="1058"/>
      <c r="I566" s="1057">
        <v>1</v>
      </c>
      <c r="J566" s="1058"/>
      <c r="K566" s="1058"/>
      <c r="L566" s="1058"/>
      <c r="M566" s="1636">
        <v>0</v>
      </c>
      <c r="N566" s="1636"/>
      <c r="O566" s="1636">
        <v>0</v>
      </c>
      <c r="P566" s="1636">
        <v>0</v>
      </c>
      <c r="Q566" s="1636">
        <v>36.9</v>
      </c>
      <c r="R566" s="1636">
        <v>0</v>
      </c>
      <c r="S566" s="1636">
        <v>0</v>
      </c>
      <c r="U566" s="1656">
        <v>3.0100000000000001E-3</v>
      </c>
      <c r="V566" s="1657">
        <v>0</v>
      </c>
      <c r="W566" s="1657">
        <v>3.0100000000000001E-3</v>
      </c>
      <c r="X566" s="1657">
        <v>0</v>
      </c>
      <c r="Y566" s="1658">
        <v>0</v>
      </c>
    </row>
    <row r="567" spans="3:25" ht="13.95" customHeight="1" x14ac:dyDescent="0.3">
      <c r="C567" s="1057">
        <v>553</v>
      </c>
      <c r="D567" s="1058" t="s">
        <v>1315</v>
      </c>
      <c r="E567" s="1059">
        <v>9</v>
      </c>
      <c r="F567" s="1297" t="s">
        <v>1231</v>
      </c>
      <c r="G567" s="1057" t="s">
        <v>1036</v>
      </c>
      <c r="H567" s="1058"/>
      <c r="I567" s="1057">
        <v>0</v>
      </c>
      <c r="J567" s="1058"/>
      <c r="K567" s="1058"/>
      <c r="L567" s="1058"/>
      <c r="M567" s="1636">
        <v>0</v>
      </c>
      <c r="N567" s="1636"/>
      <c r="O567" s="1636">
        <v>0</v>
      </c>
      <c r="P567" s="1636">
        <v>0</v>
      </c>
      <c r="Q567" s="1636">
        <v>0</v>
      </c>
      <c r="R567" s="1636">
        <v>0</v>
      </c>
      <c r="S567" s="1636">
        <v>0</v>
      </c>
      <c r="U567" s="1656">
        <v>0</v>
      </c>
      <c r="V567" s="1657">
        <v>0</v>
      </c>
      <c r="W567" s="1656">
        <v>0</v>
      </c>
      <c r="X567" s="1657">
        <v>0</v>
      </c>
      <c r="Y567" s="1658">
        <v>0</v>
      </c>
    </row>
    <row r="568" spans="3:25" ht="13.95" customHeight="1" x14ac:dyDescent="0.3">
      <c r="C568" s="1057">
        <v>554</v>
      </c>
      <c r="D568" s="1058" t="s">
        <v>1315</v>
      </c>
      <c r="E568" s="1059">
        <v>1</v>
      </c>
      <c r="F568" s="1297" t="s">
        <v>1231</v>
      </c>
      <c r="G568" s="1057" t="s">
        <v>1036</v>
      </c>
      <c r="H568" s="1058"/>
      <c r="I568" s="1057">
        <v>1</v>
      </c>
      <c r="J568" s="1058"/>
      <c r="K568" s="1058"/>
      <c r="L568" s="1058"/>
      <c r="M568" s="1636">
        <v>0</v>
      </c>
      <c r="N568" s="1636"/>
      <c r="O568" s="1636">
        <v>0</v>
      </c>
      <c r="P568" s="1636">
        <v>0</v>
      </c>
      <c r="Q568" s="1636">
        <v>0</v>
      </c>
      <c r="R568" s="1636">
        <v>0</v>
      </c>
      <c r="S568" s="1636">
        <v>115</v>
      </c>
      <c r="U568" s="1656">
        <v>6.0489999999999997E-3</v>
      </c>
      <c r="V568" s="1657">
        <v>0</v>
      </c>
      <c r="W568" s="1657">
        <v>6.0489999999999997E-3</v>
      </c>
      <c r="X568" s="1657">
        <v>0</v>
      </c>
      <c r="Y568" s="1658">
        <v>0</v>
      </c>
    </row>
    <row r="569" spans="3:25" ht="13.95" customHeight="1" x14ac:dyDescent="0.3">
      <c r="C569" s="1057">
        <v>555</v>
      </c>
      <c r="D569" s="1058" t="s">
        <v>1315</v>
      </c>
      <c r="E569" s="1059">
        <v>1</v>
      </c>
      <c r="F569" s="1297" t="s">
        <v>1231</v>
      </c>
      <c r="G569" s="1057" t="s">
        <v>1036</v>
      </c>
      <c r="H569" s="1058"/>
      <c r="I569" s="1057">
        <v>1</v>
      </c>
      <c r="J569" s="1058"/>
      <c r="K569" s="1058"/>
      <c r="L569" s="1058"/>
      <c r="M569" s="1636">
        <v>0</v>
      </c>
      <c r="N569" s="1636"/>
      <c r="O569" s="1636">
        <v>0</v>
      </c>
      <c r="P569" s="1636">
        <v>0</v>
      </c>
      <c r="Q569" s="1636">
        <v>0</v>
      </c>
      <c r="R569" s="1636">
        <v>0</v>
      </c>
      <c r="S569" s="1636">
        <v>136.4</v>
      </c>
      <c r="U569" s="1656">
        <v>6.2139999999999999E-3</v>
      </c>
      <c r="V569" s="1657">
        <v>0</v>
      </c>
      <c r="W569" s="1657">
        <v>6.2139999999999999E-3</v>
      </c>
      <c r="X569" s="1657">
        <v>0</v>
      </c>
      <c r="Y569" s="1658">
        <v>0</v>
      </c>
    </row>
    <row r="570" spans="3:25" ht="13.95" customHeight="1" x14ac:dyDescent="0.3">
      <c r="C570" s="1057">
        <v>556</v>
      </c>
      <c r="D570" s="1058" t="s">
        <v>1316</v>
      </c>
      <c r="E570" s="1059">
        <v>3</v>
      </c>
      <c r="F570" s="1297" t="s">
        <v>1281</v>
      </c>
      <c r="G570" s="1057" t="s">
        <v>1036</v>
      </c>
      <c r="H570" s="1058"/>
      <c r="I570" s="1057">
        <v>1</v>
      </c>
      <c r="J570" s="1058"/>
      <c r="K570" s="1058"/>
      <c r="L570" s="1058"/>
      <c r="M570" s="1636">
        <v>0</v>
      </c>
      <c r="N570" s="1636"/>
      <c r="O570" s="1636">
        <v>0</v>
      </c>
      <c r="P570" s="1636">
        <v>0</v>
      </c>
      <c r="Q570" s="1636">
        <v>0</v>
      </c>
      <c r="R570" s="1636">
        <v>0</v>
      </c>
      <c r="S570" s="1636">
        <v>779.8</v>
      </c>
      <c r="U570" s="1656">
        <v>6.7405000000000007E-2</v>
      </c>
      <c r="V570" s="1657">
        <v>0</v>
      </c>
      <c r="W570" s="1657">
        <v>6.7405000000000007E-2</v>
      </c>
      <c r="X570" s="1657">
        <v>0</v>
      </c>
      <c r="Y570" s="1658">
        <v>0</v>
      </c>
    </row>
    <row r="571" spans="3:25" ht="13.95" customHeight="1" x14ac:dyDescent="0.3">
      <c r="C571" s="1057">
        <v>557</v>
      </c>
      <c r="D571" s="1058" t="s">
        <v>1317</v>
      </c>
      <c r="E571" s="1059">
        <v>9</v>
      </c>
      <c r="F571" s="1297" t="s">
        <v>1246</v>
      </c>
      <c r="G571" s="1057" t="s">
        <v>1036</v>
      </c>
      <c r="H571" s="1058"/>
      <c r="I571" s="1057">
        <v>286</v>
      </c>
      <c r="J571" s="1058"/>
      <c r="K571" s="1058"/>
      <c r="L571" s="1058"/>
      <c r="M571" s="1636">
        <v>14966.6</v>
      </c>
      <c r="N571" s="1636"/>
      <c r="O571" s="1636">
        <v>14941.9</v>
      </c>
      <c r="P571" s="1636">
        <v>0</v>
      </c>
      <c r="Q571" s="1636">
        <v>0</v>
      </c>
      <c r="R571" s="1636">
        <v>0</v>
      </c>
      <c r="S571" s="1636">
        <v>0</v>
      </c>
      <c r="U571" s="1656">
        <v>0.94766011499999991</v>
      </c>
      <c r="V571" s="1657">
        <v>0</v>
      </c>
      <c r="W571" s="1657">
        <v>0.94766011499999991</v>
      </c>
      <c r="X571" s="1657">
        <v>0.1078986861280974</v>
      </c>
      <c r="Y571" s="1658">
        <v>2166.17</v>
      </c>
    </row>
    <row r="572" spans="3:25" ht="13.95" customHeight="1" x14ac:dyDescent="0.3">
      <c r="C572" s="1057">
        <v>558</v>
      </c>
      <c r="D572" s="1058" t="s">
        <v>1317</v>
      </c>
      <c r="E572" s="1059">
        <v>9</v>
      </c>
      <c r="F572" s="1297" t="s">
        <v>1246</v>
      </c>
      <c r="G572" s="1057" t="s">
        <v>1036</v>
      </c>
      <c r="H572" s="1058"/>
      <c r="I572" s="1057">
        <v>1</v>
      </c>
      <c r="J572" s="1058"/>
      <c r="K572" s="1058"/>
      <c r="L572" s="1058"/>
      <c r="M572" s="1636">
        <v>0</v>
      </c>
      <c r="N572" s="1636"/>
      <c r="O572" s="1636">
        <v>0</v>
      </c>
      <c r="P572" s="1636">
        <v>0</v>
      </c>
      <c r="Q572" s="1636">
        <v>24.7</v>
      </c>
      <c r="R572" s="1636">
        <v>0</v>
      </c>
      <c r="S572" s="1636">
        <v>0</v>
      </c>
      <c r="U572" s="1656">
        <v>1.1039999999999999E-3</v>
      </c>
      <c r="V572" s="1657">
        <v>0</v>
      </c>
      <c r="W572" s="1657">
        <v>1.1039999999999999E-3</v>
      </c>
      <c r="X572" s="1657">
        <v>0</v>
      </c>
      <c r="Y572" s="1658">
        <v>0</v>
      </c>
    </row>
    <row r="573" spans="3:25" ht="13.95" customHeight="1" x14ac:dyDescent="0.3">
      <c r="C573" s="1057">
        <v>559</v>
      </c>
      <c r="D573" s="1058" t="s">
        <v>1317</v>
      </c>
      <c r="E573" s="1059">
        <v>1</v>
      </c>
      <c r="F573" s="1297" t="s">
        <v>1246</v>
      </c>
      <c r="G573" s="1057" t="s">
        <v>1036</v>
      </c>
      <c r="H573" s="1058"/>
      <c r="I573" s="1057">
        <v>0</v>
      </c>
      <c r="J573" s="1058"/>
      <c r="K573" s="1058"/>
      <c r="L573" s="1058"/>
      <c r="M573" s="1636">
        <v>0</v>
      </c>
      <c r="N573" s="1636"/>
      <c r="O573" s="1636">
        <v>0</v>
      </c>
      <c r="P573" s="1636">
        <v>0</v>
      </c>
      <c r="Q573" s="1636">
        <v>0</v>
      </c>
      <c r="R573" s="1636">
        <v>0</v>
      </c>
      <c r="S573" s="1636">
        <v>0</v>
      </c>
      <c r="U573" s="1656">
        <v>0</v>
      </c>
      <c r="V573" s="1657">
        <v>0</v>
      </c>
      <c r="W573" s="1657">
        <v>0</v>
      </c>
      <c r="X573" s="1657">
        <v>0</v>
      </c>
      <c r="Y573" s="1658">
        <v>0</v>
      </c>
    </row>
    <row r="574" spans="3:25" ht="13.95" customHeight="1" x14ac:dyDescent="0.3">
      <c r="C574" s="1057">
        <v>560</v>
      </c>
      <c r="D574" s="1058" t="s">
        <v>1318</v>
      </c>
      <c r="E574" s="1059">
        <v>3</v>
      </c>
      <c r="F574" s="1297" t="s">
        <v>1246</v>
      </c>
      <c r="G574" s="1057" t="s">
        <v>1036</v>
      </c>
      <c r="H574" s="1058"/>
      <c r="I574" s="1057">
        <v>0</v>
      </c>
      <c r="J574" s="1058"/>
      <c r="K574" s="1058"/>
      <c r="L574" s="1058"/>
      <c r="M574" s="1636">
        <v>0</v>
      </c>
      <c r="N574" s="1636"/>
      <c r="O574" s="1636">
        <v>0</v>
      </c>
      <c r="P574" s="1636">
        <v>0</v>
      </c>
      <c r="Q574" s="1636">
        <v>0</v>
      </c>
      <c r="R574" s="1636">
        <v>0</v>
      </c>
      <c r="S574" s="1636">
        <v>8899.6</v>
      </c>
      <c r="U574" s="1656">
        <v>0.5615</v>
      </c>
      <c r="V574" s="1657">
        <v>0</v>
      </c>
      <c r="W574" s="1657">
        <v>0.5615</v>
      </c>
      <c r="X574" s="1657">
        <v>0</v>
      </c>
      <c r="Y574" s="1658">
        <v>0</v>
      </c>
    </row>
    <row r="575" spans="3:25" ht="13.95" customHeight="1" x14ac:dyDescent="0.3">
      <c r="C575" s="1057">
        <v>561</v>
      </c>
      <c r="D575" s="1058" t="s">
        <v>1319</v>
      </c>
      <c r="E575" s="1059">
        <v>2</v>
      </c>
      <c r="F575" s="1297" t="s">
        <v>1080</v>
      </c>
      <c r="G575" s="1057" t="s">
        <v>1036</v>
      </c>
      <c r="H575" s="1058"/>
      <c r="I575" s="1057">
        <v>8</v>
      </c>
      <c r="J575" s="1058"/>
      <c r="K575" s="1058"/>
      <c r="L575" s="1058"/>
      <c r="M575" s="1636">
        <v>396.6</v>
      </c>
      <c r="N575" s="1636"/>
      <c r="O575" s="1636">
        <v>396.6</v>
      </c>
      <c r="P575" s="1636">
        <v>0</v>
      </c>
      <c r="Q575" s="1636">
        <v>0</v>
      </c>
      <c r="R575" s="1636">
        <v>0</v>
      </c>
      <c r="S575" s="1636">
        <v>0</v>
      </c>
      <c r="U575" s="1656">
        <v>3.1046540000000001E-2</v>
      </c>
      <c r="V575" s="1657">
        <v>0</v>
      </c>
      <c r="W575" s="1657">
        <v>3.1046540000000001E-2</v>
      </c>
      <c r="X575" s="1657">
        <v>0</v>
      </c>
      <c r="Y575" s="1658">
        <v>0</v>
      </c>
    </row>
    <row r="576" spans="3:25" ht="13.95" customHeight="1" x14ac:dyDescent="0.3">
      <c r="C576" s="1057">
        <v>562</v>
      </c>
      <c r="D576" s="1058" t="s">
        <v>1320</v>
      </c>
      <c r="E576" s="1059">
        <v>2</v>
      </c>
      <c r="F576" s="1297" t="s">
        <v>1080</v>
      </c>
      <c r="G576" s="1057" t="s">
        <v>1036</v>
      </c>
      <c r="H576" s="1058"/>
      <c r="I576" s="1057">
        <v>9</v>
      </c>
      <c r="J576" s="1058"/>
      <c r="K576" s="1058"/>
      <c r="L576" s="1058"/>
      <c r="M576" s="1636">
        <v>391.2</v>
      </c>
      <c r="N576" s="1636"/>
      <c r="O576" s="1636">
        <v>391.2</v>
      </c>
      <c r="P576" s="1636">
        <v>0</v>
      </c>
      <c r="Q576" s="1636">
        <v>0</v>
      </c>
      <c r="R576" s="1636">
        <v>0</v>
      </c>
      <c r="S576" s="1636">
        <v>0</v>
      </c>
      <c r="U576" s="1656">
        <v>2.9808270000000001E-2</v>
      </c>
      <c r="V576" s="1657">
        <v>0</v>
      </c>
      <c r="W576" s="1657">
        <v>2.9808270000000001E-2</v>
      </c>
      <c r="X576" s="1657">
        <v>0</v>
      </c>
      <c r="Y576" s="1658">
        <v>0</v>
      </c>
    </row>
    <row r="577" spans="3:25" ht="13.95" customHeight="1" x14ac:dyDescent="0.3">
      <c r="C577" s="1057">
        <v>563</v>
      </c>
      <c r="D577" s="1058" t="s">
        <v>1321</v>
      </c>
      <c r="E577" s="1059">
        <v>4</v>
      </c>
      <c r="F577" s="1297" t="s">
        <v>1114</v>
      </c>
      <c r="G577" s="1057" t="s">
        <v>1036</v>
      </c>
      <c r="H577" s="1058"/>
      <c r="I577" s="1057">
        <v>32</v>
      </c>
      <c r="J577" s="1058"/>
      <c r="K577" s="1058"/>
      <c r="L577" s="1058"/>
      <c r="M577" s="1636">
        <v>1450.5</v>
      </c>
      <c r="N577" s="1636"/>
      <c r="O577" s="1636">
        <v>1450.5</v>
      </c>
      <c r="P577" s="1636">
        <v>0</v>
      </c>
      <c r="Q577" s="1636">
        <v>0</v>
      </c>
      <c r="R577" s="1636">
        <v>0</v>
      </c>
      <c r="S577" s="1636">
        <v>0</v>
      </c>
      <c r="U577" s="1656">
        <v>0.10078099</v>
      </c>
      <c r="V577" s="1657">
        <v>0</v>
      </c>
      <c r="W577" s="1657">
        <v>0.10078099</v>
      </c>
      <c r="X577" s="1657">
        <v>0</v>
      </c>
      <c r="Y577" s="1658">
        <v>0</v>
      </c>
    </row>
    <row r="578" spans="3:25" ht="13.95" customHeight="1" x14ac:dyDescent="0.3">
      <c r="C578" s="1057">
        <v>564</v>
      </c>
      <c r="D578" s="1058" t="s">
        <v>1322</v>
      </c>
      <c r="E578" s="1059">
        <v>3</v>
      </c>
      <c r="F578" s="1297" t="s">
        <v>1267</v>
      </c>
      <c r="G578" s="1057" t="s">
        <v>1036</v>
      </c>
      <c r="H578" s="1058"/>
      <c r="I578" s="1057">
        <v>15</v>
      </c>
      <c r="J578" s="1058"/>
      <c r="K578" s="1058"/>
      <c r="L578" s="1058"/>
      <c r="M578" s="1636">
        <v>1429.13</v>
      </c>
      <c r="N578" s="1636"/>
      <c r="O578" s="1636">
        <v>1155.93</v>
      </c>
      <c r="P578" s="1636">
        <v>72.5</v>
      </c>
      <c r="Q578" s="1636">
        <v>0</v>
      </c>
      <c r="R578" s="1636">
        <v>0</v>
      </c>
      <c r="S578" s="1636">
        <v>0</v>
      </c>
      <c r="U578" s="1656">
        <v>6.9643389999999999E-2</v>
      </c>
      <c r="V578" s="1657">
        <v>1.233610626953449E-4</v>
      </c>
      <c r="W578" s="1657">
        <v>6.9520028937304648E-2</v>
      </c>
      <c r="X578" s="1657">
        <v>2.4317102831696315E-3</v>
      </c>
      <c r="Y578" s="1658">
        <v>50</v>
      </c>
    </row>
    <row r="579" spans="3:25" ht="13.95" customHeight="1" x14ac:dyDescent="0.3">
      <c r="C579" s="1057">
        <v>565</v>
      </c>
      <c r="D579" s="1058" t="s">
        <v>1322</v>
      </c>
      <c r="E579" s="1059">
        <v>3</v>
      </c>
      <c r="F579" s="1297" t="s">
        <v>1267</v>
      </c>
      <c r="G579" s="1057" t="s">
        <v>1036</v>
      </c>
      <c r="H579" s="1058"/>
      <c r="I579" s="1057">
        <v>1</v>
      </c>
      <c r="J579" s="1058"/>
      <c r="K579" s="1058"/>
      <c r="L579" s="1058"/>
      <c r="M579" s="1636">
        <v>0</v>
      </c>
      <c r="N579" s="1636"/>
      <c r="O579" s="1636">
        <v>0</v>
      </c>
      <c r="P579" s="1636">
        <v>0</v>
      </c>
      <c r="Q579" s="1636">
        <v>90.2</v>
      </c>
      <c r="R579" s="1636">
        <v>0</v>
      </c>
      <c r="S579" s="1636">
        <v>0</v>
      </c>
      <c r="U579" s="1656">
        <v>8.5000000000000006E-3</v>
      </c>
      <c r="V579" s="1657">
        <v>0</v>
      </c>
      <c r="W579" s="1657">
        <v>8.5000000000000006E-3</v>
      </c>
      <c r="X579" s="1657">
        <v>0</v>
      </c>
      <c r="Y579" s="1658">
        <v>0</v>
      </c>
    </row>
    <row r="580" spans="3:25" ht="13.95" customHeight="1" x14ac:dyDescent="0.3">
      <c r="C580" s="1057">
        <v>566</v>
      </c>
      <c r="D580" s="1058" t="s">
        <v>1322</v>
      </c>
      <c r="E580" s="1059">
        <v>3</v>
      </c>
      <c r="F580" s="1297" t="s">
        <v>1267</v>
      </c>
      <c r="G580" s="1057" t="s">
        <v>1036</v>
      </c>
      <c r="H580" s="1058"/>
      <c r="I580" s="1057">
        <v>1</v>
      </c>
      <c r="J580" s="1058"/>
      <c r="K580" s="1058"/>
      <c r="L580" s="1058"/>
      <c r="M580" s="1636">
        <v>0</v>
      </c>
      <c r="N580" s="1636"/>
      <c r="O580" s="1636">
        <v>0</v>
      </c>
      <c r="P580" s="1636">
        <v>0</v>
      </c>
      <c r="Q580" s="1636">
        <v>110.5</v>
      </c>
      <c r="R580" s="1636">
        <v>0</v>
      </c>
      <c r="S580" s="1636">
        <v>0</v>
      </c>
      <c r="U580" s="1656">
        <v>7.463E-3</v>
      </c>
      <c r="V580" s="1657">
        <v>0</v>
      </c>
      <c r="W580" s="1657">
        <v>7.463E-3</v>
      </c>
      <c r="X580" s="1657">
        <v>0</v>
      </c>
      <c r="Y580" s="1658">
        <v>0</v>
      </c>
    </row>
    <row r="581" spans="3:25" ht="13.95" customHeight="1" x14ac:dyDescent="0.3">
      <c r="C581" s="1057">
        <v>567</v>
      </c>
      <c r="D581" s="1058" t="s">
        <v>1323</v>
      </c>
      <c r="E581" s="1059">
        <v>2</v>
      </c>
      <c r="F581" s="1297" t="s">
        <v>1080</v>
      </c>
      <c r="G581" s="1057" t="s">
        <v>1036</v>
      </c>
      <c r="H581" s="1058"/>
      <c r="I581" s="1057">
        <v>9</v>
      </c>
      <c r="J581" s="1058"/>
      <c r="K581" s="1058"/>
      <c r="L581" s="1058"/>
      <c r="M581" s="1636">
        <v>394.2</v>
      </c>
      <c r="N581" s="1636"/>
      <c r="O581" s="1636">
        <v>394.2</v>
      </c>
      <c r="P581" s="1636">
        <v>0</v>
      </c>
      <c r="Q581" s="1636">
        <v>0</v>
      </c>
      <c r="R581" s="1636">
        <v>0</v>
      </c>
      <c r="S581" s="1636">
        <v>0</v>
      </c>
      <c r="U581" s="1656">
        <v>2.6336140000000001E-2</v>
      </c>
      <c r="V581" s="1657">
        <v>0</v>
      </c>
      <c r="W581" s="1657">
        <v>2.6336140000000001E-2</v>
      </c>
      <c r="X581" s="1657">
        <v>0</v>
      </c>
      <c r="Y581" s="1658">
        <v>0</v>
      </c>
    </row>
    <row r="582" spans="3:25" ht="13.95" customHeight="1" x14ac:dyDescent="0.3">
      <c r="C582" s="1057">
        <v>568</v>
      </c>
      <c r="D582" s="1058" t="s">
        <v>1324</v>
      </c>
      <c r="E582" s="1059">
        <v>4</v>
      </c>
      <c r="F582" s="1297" t="s">
        <v>1114</v>
      </c>
      <c r="G582" s="1057" t="s">
        <v>1036</v>
      </c>
      <c r="H582" s="1058"/>
      <c r="I582" s="1057">
        <v>30</v>
      </c>
      <c r="J582" s="1058"/>
      <c r="K582" s="1058"/>
      <c r="L582" s="1058"/>
      <c r="M582" s="1636">
        <v>1489.2</v>
      </c>
      <c r="N582" s="1636"/>
      <c r="O582" s="1636">
        <v>1435.2</v>
      </c>
      <c r="P582" s="1636">
        <v>0</v>
      </c>
      <c r="Q582" s="1636">
        <v>0</v>
      </c>
      <c r="R582" s="1636">
        <v>0</v>
      </c>
      <c r="S582" s="1636">
        <v>0</v>
      </c>
      <c r="U582" s="1656">
        <v>9.2704679999999998E-2</v>
      </c>
      <c r="V582" s="1657">
        <v>0</v>
      </c>
      <c r="W582" s="1657">
        <v>9.2704679999999998E-2</v>
      </c>
      <c r="X582" s="1657">
        <v>0</v>
      </c>
      <c r="Y582" s="1658">
        <v>0</v>
      </c>
    </row>
    <row r="583" spans="3:25" ht="13.95" customHeight="1" x14ac:dyDescent="0.3">
      <c r="C583" s="1057">
        <v>569</v>
      </c>
      <c r="D583" s="1058" t="s">
        <v>1324</v>
      </c>
      <c r="E583" s="1059">
        <v>4</v>
      </c>
      <c r="F583" s="1297" t="s">
        <v>1114</v>
      </c>
      <c r="G583" s="1057" t="s">
        <v>1036</v>
      </c>
      <c r="H583" s="1058"/>
      <c r="I583" s="1057">
        <v>1</v>
      </c>
      <c r="J583" s="1058"/>
      <c r="K583" s="1058"/>
      <c r="L583" s="1058"/>
      <c r="M583" s="1636">
        <v>0</v>
      </c>
      <c r="N583" s="1636"/>
      <c r="O583" s="1636">
        <v>0</v>
      </c>
      <c r="P583" s="1636">
        <v>0</v>
      </c>
      <c r="Q583" s="1636">
        <v>54</v>
      </c>
      <c r="R583" s="1636">
        <v>0</v>
      </c>
      <c r="S583" s="1636">
        <v>0</v>
      </c>
      <c r="U583" s="1656">
        <v>2.7720000000000002E-3</v>
      </c>
      <c r="V583" s="1657">
        <v>0</v>
      </c>
      <c r="W583" s="1657">
        <v>2.7720000000000002E-3</v>
      </c>
      <c r="X583" s="1657">
        <v>0</v>
      </c>
      <c r="Y583" s="1658">
        <v>0</v>
      </c>
    </row>
    <row r="584" spans="3:25" ht="13.95" customHeight="1" x14ac:dyDescent="0.3">
      <c r="C584" s="1057">
        <v>570</v>
      </c>
      <c r="D584" s="1058" t="s">
        <v>1325</v>
      </c>
      <c r="E584" s="1059">
        <v>4</v>
      </c>
      <c r="F584" s="1297" t="s">
        <v>1221</v>
      </c>
      <c r="G584" s="1057" t="s">
        <v>1036</v>
      </c>
      <c r="H584" s="1058"/>
      <c r="I584" s="1057">
        <v>32</v>
      </c>
      <c r="J584" s="1058"/>
      <c r="K584" s="1058"/>
      <c r="L584" s="1058"/>
      <c r="M584" s="1636">
        <v>1445</v>
      </c>
      <c r="N584" s="1636"/>
      <c r="O584" s="1636">
        <v>1445</v>
      </c>
      <c r="P584" s="1636">
        <v>0</v>
      </c>
      <c r="Q584" s="1636">
        <v>0</v>
      </c>
      <c r="R584" s="1636">
        <v>0</v>
      </c>
      <c r="S584" s="1636">
        <v>0</v>
      </c>
      <c r="U584" s="1656">
        <v>0.104325</v>
      </c>
      <c r="V584" s="1657">
        <v>0</v>
      </c>
      <c r="W584" s="1657">
        <v>0.104325</v>
      </c>
      <c r="X584" s="1657">
        <v>0</v>
      </c>
      <c r="Y584" s="1658">
        <v>0</v>
      </c>
    </row>
    <row r="585" spans="3:25" ht="13.95" customHeight="1" x14ac:dyDescent="0.3">
      <c r="C585" s="1057">
        <v>571</v>
      </c>
      <c r="D585" s="1058" t="s">
        <v>1326</v>
      </c>
      <c r="E585" s="1059">
        <v>5</v>
      </c>
      <c r="F585" s="1297" t="s">
        <v>1063</v>
      </c>
      <c r="G585" s="1057" t="s">
        <v>1036</v>
      </c>
      <c r="H585" s="1058"/>
      <c r="I585" s="1057">
        <v>64</v>
      </c>
      <c r="J585" s="1058"/>
      <c r="K585" s="1058"/>
      <c r="L585" s="1058"/>
      <c r="M585" s="1636">
        <v>3041</v>
      </c>
      <c r="N585" s="1636"/>
      <c r="O585" s="1636">
        <v>2502.3000000000002</v>
      </c>
      <c r="P585" s="1636">
        <v>0</v>
      </c>
      <c r="Q585" s="1636">
        <v>0</v>
      </c>
      <c r="R585" s="1636">
        <v>0</v>
      </c>
      <c r="S585" s="1636">
        <v>0</v>
      </c>
      <c r="U585" s="1656">
        <v>0.18661261000000001</v>
      </c>
      <c r="V585" s="1657">
        <v>0</v>
      </c>
      <c r="W585" s="1657">
        <v>0.18661261000000001</v>
      </c>
      <c r="X585" s="1657">
        <v>5.9570042211909554E-3</v>
      </c>
      <c r="Y585" s="1658">
        <v>128</v>
      </c>
    </row>
    <row r="586" spans="3:25" ht="13.95" customHeight="1" x14ac:dyDescent="0.3">
      <c r="C586" s="1057">
        <v>572</v>
      </c>
      <c r="D586" s="1058" t="s">
        <v>1326</v>
      </c>
      <c r="E586" s="1059">
        <v>5</v>
      </c>
      <c r="F586" s="1297" t="s">
        <v>1063</v>
      </c>
      <c r="G586" s="1057" t="s">
        <v>1036</v>
      </c>
      <c r="H586" s="1058"/>
      <c r="I586" s="1057">
        <v>0</v>
      </c>
      <c r="J586" s="1058"/>
      <c r="K586" s="1058"/>
      <c r="L586" s="1058"/>
      <c r="M586" s="1636">
        <v>0</v>
      </c>
      <c r="N586" s="1636"/>
      <c r="O586" s="1636">
        <v>0</v>
      </c>
      <c r="P586" s="1636">
        <v>0</v>
      </c>
      <c r="Q586" s="1636">
        <v>352.7</v>
      </c>
      <c r="R586" s="1636">
        <v>0</v>
      </c>
      <c r="S586" s="1636">
        <v>0</v>
      </c>
      <c r="U586" s="1656">
        <v>2.1684999999999999E-2</v>
      </c>
      <c r="V586" s="1657">
        <v>0</v>
      </c>
      <c r="W586" s="1657">
        <v>2.1684999999999999E-2</v>
      </c>
      <c r="X586" s="1657">
        <v>0</v>
      </c>
      <c r="Y586" s="1658">
        <v>0</v>
      </c>
    </row>
    <row r="587" spans="3:25" ht="13.95" customHeight="1" x14ac:dyDescent="0.3">
      <c r="C587" s="1057">
        <v>573</v>
      </c>
      <c r="D587" s="1058" t="s">
        <v>1326</v>
      </c>
      <c r="E587" s="1059">
        <v>5</v>
      </c>
      <c r="F587" s="1297" t="s">
        <v>1063</v>
      </c>
      <c r="G587" s="1057" t="s">
        <v>1036</v>
      </c>
      <c r="H587" s="1058"/>
      <c r="I587" s="1057">
        <v>1</v>
      </c>
      <c r="J587" s="1058"/>
      <c r="K587" s="1058"/>
      <c r="L587" s="1058"/>
      <c r="M587" s="1636">
        <v>0</v>
      </c>
      <c r="N587" s="1636"/>
      <c r="O587" s="1636">
        <v>0</v>
      </c>
      <c r="P587" s="1636">
        <v>0</v>
      </c>
      <c r="Q587" s="1636">
        <v>186</v>
      </c>
      <c r="R587" s="1636">
        <v>0</v>
      </c>
      <c r="S587" s="1636">
        <v>0</v>
      </c>
      <c r="U587" s="1656">
        <v>0.02</v>
      </c>
      <c r="V587" s="1657">
        <v>0</v>
      </c>
      <c r="W587" s="1657">
        <v>0.02</v>
      </c>
      <c r="X587" s="1657">
        <v>0</v>
      </c>
      <c r="Y587" s="1658">
        <v>0</v>
      </c>
    </row>
    <row r="588" spans="3:25" ht="13.95" customHeight="1" x14ac:dyDescent="0.3">
      <c r="C588" s="1057">
        <v>574</v>
      </c>
      <c r="D588" s="1058" t="s">
        <v>1327</v>
      </c>
      <c r="E588" s="1059">
        <v>5</v>
      </c>
      <c r="F588" s="1297" t="s">
        <v>1065</v>
      </c>
      <c r="G588" s="1057" t="s">
        <v>1036</v>
      </c>
      <c r="H588" s="1058"/>
      <c r="I588" s="1057">
        <v>72</v>
      </c>
      <c r="J588" s="1058"/>
      <c r="K588" s="1058"/>
      <c r="L588" s="1058"/>
      <c r="M588" s="1636">
        <v>3159</v>
      </c>
      <c r="N588" s="1636"/>
      <c r="O588" s="1636">
        <v>2841.2</v>
      </c>
      <c r="P588" s="1636">
        <v>44.9</v>
      </c>
      <c r="Q588" s="1636">
        <v>0</v>
      </c>
      <c r="R588" s="1636">
        <v>0</v>
      </c>
      <c r="S588" s="1636">
        <v>0</v>
      </c>
      <c r="U588" s="1656">
        <v>0.20017534000000001</v>
      </c>
      <c r="V588" s="1657">
        <v>5.5991319178145136E-5</v>
      </c>
      <c r="W588" s="1657">
        <v>0.20011934868082187</v>
      </c>
      <c r="X588" s="1657">
        <v>3.933608401236994E-3</v>
      </c>
      <c r="Y588" s="1658">
        <v>64</v>
      </c>
    </row>
    <row r="589" spans="3:25" ht="13.95" customHeight="1" x14ac:dyDescent="0.3">
      <c r="C589" s="1057">
        <v>575</v>
      </c>
      <c r="D589" s="1058" t="s">
        <v>1327</v>
      </c>
      <c r="E589" s="1059">
        <v>5</v>
      </c>
      <c r="F589" s="1297" t="s">
        <v>1065</v>
      </c>
      <c r="G589" s="1057" t="s">
        <v>1036</v>
      </c>
      <c r="H589" s="1058"/>
      <c r="I589" s="1057">
        <v>1</v>
      </c>
      <c r="J589" s="1058"/>
      <c r="K589" s="1058"/>
      <c r="L589" s="1058"/>
      <c r="M589" s="1636">
        <v>0</v>
      </c>
      <c r="N589" s="1636"/>
      <c r="O589" s="1636">
        <v>0</v>
      </c>
      <c r="P589" s="1636">
        <v>0</v>
      </c>
      <c r="Q589" s="1636">
        <v>107.3</v>
      </c>
      <c r="R589" s="1636">
        <v>0</v>
      </c>
      <c r="S589" s="1636">
        <v>0</v>
      </c>
      <c r="U589" s="1656">
        <v>4.5820000000000001E-3</v>
      </c>
      <c r="V589" s="1657">
        <v>0</v>
      </c>
      <c r="W589" s="1657">
        <v>4.5820000000000001E-3</v>
      </c>
      <c r="X589" s="1657">
        <v>0</v>
      </c>
      <c r="Y589" s="1658">
        <v>0</v>
      </c>
    </row>
    <row r="590" spans="3:25" ht="13.95" customHeight="1" x14ac:dyDescent="0.3">
      <c r="C590" s="1057">
        <v>576</v>
      </c>
      <c r="D590" s="1058" t="s">
        <v>1327</v>
      </c>
      <c r="E590" s="1059">
        <v>5</v>
      </c>
      <c r="F590" s="1297" t="s">
        <v>1065</v>
      </c>
      <c r="G590" s="1057" t="s">
        <v>1036</v>
      </c>
      <c r="H590" s="1058"/>
      <c r="I590" s="1057">
        <v>1</v>
      </c>
      <c r="J590" s="1058"/>
      <c r="K590" s="1058"/>
      <c r="L590" s="1058"/>
      <c r="M590" s="1636">
        <v>0</v>
      </c>
      <c r="N590" s="1636"/>
      <c r="O590" s="1636">
        <v>0</v>
      </c>
      <c r="P590" s="1636">
        <v>0</v>
      </c>
      <c r="Q590" s="1636">
        <v>92.9</v>
      </c>
      <c r="R590" s="1636">
        <v>0</v>
      </c>
      <c r="S590" s="1636">
        <v>0</v>
      </c>
      <c r="U590" s="1656">
        <v>6.0499999999999998E-3</v>
      </c>
      <c r="V590" s="1657">
        <v>0</v>
      </c>
      <c r="W590" s="1657">
        <v>6.0499999999999998E-3</v>
      </c>
      <c r="X590" s="1657">
        <v>0</v>
      </c>
      <c r="Y590" s="1658">
        <v>0</v>
      </c>
    </row>
    <row r="591" spans="3:25" ht="13.95" customHeight="1" x14ac:dyDescent="0.3">
      <c r="C591" s="1057">
        <v>577</v>
      </c>
      <c r="D591" s="1058" t="s">
        <v>1327</v>
      </c>
      <c r="E591" s="1059">
        <v>5</v>
      </c>
      <c r="F591" s="1297" t="s">
        <v>1065</v>
      </c>
      <c r="G591" s="1057" t="s">
        <v>1036</v>
      </c>
      <c r="H591" s="1058"/>
      <c r="I591" s="1057">
        <v>1</v>
      </c>
      <c r="J591" s="1058"/>
      <c r="K591" s="1058"/>
      <c r="L591" s="1058"/>
      <c r="M591" s="1636">
        <v>0</v>
      </c>
      <c r="N591" s="1636"/>
      <c r="O591" s="1636">
        <v>0</v>
      </c>
      <c r="P591" s="1636">
        <v>0</v>
      </c>
      <c r="Q591" s="1636">
        <v>40</v>
      </c>
      <c r="R591" s="1636">
        <v>0</v>
      </c>
      <c r="S591" s="1636">
        <v>0</v>
      </c>
      <c r="U591" s="1656">
        <v>1.9589999999999998E-3</v>
      </c>
      <c r="V591" s="1657">
        <v>0</v>
      </c>
      <c r="W591" s="1657">
        <v>1.9589999999999998E-3</v>
      </c>
      <c r="X591" s="1657">
        <v>0</v>
      </c>
      <c r="Y591" s="1658">
        <v>0</v>
      </c>
    </row>
    <row r="592" spans="3:25" ht="13.95" customHeight="1" x14ac:dyDescent="0.3">
      <c r="C592" s="1057">
        <v>578</v>
      </c>
      <c r="D592" s="1058" t="s">
        <v>1327</v>
      </c>
      <c r="E592" s="1059">
        <v>5</v>
      </c>
      <c r="F592" s="1297" t="s">
        <v>1065</v>
      </c>
      <c r="G592" s="1057" t="s">
        <v>1036</v>
      </c>
      <c r="H592" s="1058"/>
      <c r="I592" s="1057">
        <v>1</v>
      </c>
      <c r="J592" s="1058"/>
      <c r="K592" s="1058"/>
      <c r="L592" s="1058"/>
      <c r="M592" s="1636">
        <v>0</v>
      </c>
      <c r="N592" s="1636"/>
      <c r="O592" s="1636">
        <v>0</v>
      </c>
      <c r="P592" s="1636">
        <v>0</v>
      </c>
      <c r="Q592" s="1636">
        <v>32.700000000000003</v>
      </c>
      <c r="R592" s="1636">
        <v>0</v>
      </c>
      <c r="S592" s="1636">
        <v>0</v>
      </c>
      <c r="U592" s="1656">
        <v>1.7700000000000001E-3</v>
      </c>
      <c r="V592" s="1657">
        <v>0</v>
      </c>
      <c r="W592" s="1657">
        <v>1.7700000000000001E-3</v>
      </c>
      <c r="X592" s="1657">
        <v>0</v>
      </c>
      <c r="Y592" s="1658">
        <v>0</v>
      </c>
    </row>
    <row r="593" spans="3:25" ht="13.95" customHeight="1" x14ac:dyDescent="0.3">
      <c r="C593" s="1057">
        <v>579</v>
      </c>
      <c r="D593" s="1058" t="s">
        <v>1328</v>
      </c>
      <c r="E593" s="1059">
        <v>1</v>
      </c>
      <c r="F593" s="1297" t="s">
        <v>1329</v>
      </c>
      <c r="G593" s="1057" t="s">
        <v>1036</v>
      </c>
      <c r="H593" s="1058"/>
      <c r="I593" s="1057">
        <v>0</v>
      </c>
      <c r="J593" s="1058"/>
      <c r="K593" s="1058"/>
      <c r="L593" s="1058"/>
      <c r="M593" s="1636">
        <v>0</v>
      </c>
      <c r="N593" s="1636"/>
      <c r="O593" s="1636">
        <v>0</v>
      </c>
      <c r="P593" s="1636">
        <v>0</v>
      </c>
      <c r="Q593" s="1636">
        <v>0</v>
      </c>
      <c r="R593" s="1636">
        <v>0</v>
      </c>
      <c r="S593" s="1636">
        <v>0</v>
      </c>
      <c r="U593" s="1656">
        <v>0</v>
      </c>
      <c r="V593" s="1657">
        <v>0</v>
      </c>
      <c r="W593" s="1657">
        <v>0</v>
      </c>
      <c r="X593" s="1657">
        <v>0</v>
      </c>
      <c r="Y593" s="1658">
        <v>0</v>
      </c>
    </row>
    <row r="594" spans="3:25" ht="13.95" customHeight="1" x14ac:dyDescent="0.3">
      <c r="C594" s="1057">
        <v>580</v>
      </c>
      <c r="D594" s="1058" t="s">
        <v>1330</v>
      </c>
      <c r="E594" s="1059">
        <v>9</v>
      </c>
      <c r="F594" s="1297" t="s">
        <v>1178</v>
      </c>
      <c r="G594" s="1057" t="s">
        <v>1036</v>
      </c>
      <c r="H594" s="1058"/>
      <c r="I594" s="1057">
        <v>68</v>
      </c>
      <c r="J594" s="1058"/>
      <c r="K594" s="1058"/>
      <c r="L594" s="1058"/>
      <c r="M594" s="1636">
        <v>4327</v>
      </c>
      <c r="N594" s="1636"/>
      <c r="O594" s="1636">
        <v>3841.9</v>
      </c>
      <c r="P594" s="1636">
        <v>0</v>
      </c>
      <c r="Q594" s="1636">
        <v>0</v>
      </c>
      <c r="R594" s="1636">
        <v>0</v>
      </c>
      <c r="S594" s="1636">
        <v>0</v>
      </c>
      <c r="U594" s="1656">
        <v>0.22794754</v>
      </c>
      <c r="V594" s="1657">
        <v>0</v>
      </c>
      <c r="W594" s="1657">
        <v>0.22794754</v>
      </c>
      <c r="X594" s="1657">
        <v>2.1838118817616818E-2</v>
      </c>
      <c r="Y594" s="1658">
        <v>459.7</v>
      </c>
    </row>
    <row r="595" spans="3:25" ht="13.95" customHeight="1" x14ac:dyDescent="0.3">
      <c r="C595" s="1057">
        <v>581</v>
      </c>
      <c r="D595" s="1058" t="s">
        <v>1330</v>
      </c>
      <c r="E595" s="1059">
        <v>9</v>
      </c>
      <c r="F595" s="1297" t="s">
        <v>1178</v>
      </c>
      <c r="G595" s="1057" t="s">
        <v>1036</v>
      </c>
      <c r="H595" s="1058"/>
      <c r="I595" s="1057">
        <v>0</v>
      </c>
      <c r="J595" s="1058"/>
      <c r="K595" s="1058"/>
      <c r="L595" s="1058"/>
      <c r="M595" s="1636">
        <v>0</v>
      </c>
      <c r="N595" s="1636"/>
      <c r="O595" s="1636">
        <v>0</v>
      </c>
      <c r="P595" s="1636">
        <v>0</v>
      </c>
      <c r="Q595" s="1636">
        <v>460.1</v>
      </c>
      <c r="R595" s="1636">
        <v>0</v>
      </c>
      <c r="S595" s="1636">
        <v>0</v>
      </c>
      <c r="U595" s="1656">
        <v>2.6700000000000002E-2</v>
      </c>
      <c r="V595" s="1657">
        <v>0</v>
      </c>
      <c r="W595" s="1657">
        <v>2.6700000000000002E-2</v>
      </c>
      <c r="X595" s="1657">
        <v>0</v>
      </c>
      <c r="Y595" s="1658">
        <v>0</v>
      </c>
    </row>
    <row r="596" spans="3:25" ht="13.95" customHeight="1" x14ac:dyDescent="0.3">
      <c r="C596" s="1057">
        <v>582</v>
      </c>
      <c r="D596" s="1058" t="s">
        <v>1330</v>
      </c>
      <c r="E596" s="1059">
        <v>9</v>
      </c>
      <c r="F596" s="1297" t="s">
        <v>1178</v>
      </c>
      <c r="G596" s="1057" t="s">
        <v>1036</v>
      </c>
      <c r="H596" s="1058"/>
      <c r="I596" s="1057">
        <v>1</v>
      </c>
      <c r="J596" s="1058"/>
      <c r="K596" s="1058"/>
      <c r="L596" s="1058"/>
      <c r="M596" s="1636">
        <v>0</v>
      </c>
      <c r="N596" s="1636"/>
      <c r="O596" s="1636">
        <v>0</v>
      </c>
      <c r="P596" s="1636">
        <v>0</v>
      </c>
      <c r="Q596" s="1636">
        <v>25</v>
      </c>
      <c r="R596" s="1636">
        <v>0</v>
      </c>
      <c r="S596" s="1636">
        <v>0</v>
      </c>
      <c r="U596" s="1656">
        <v>1.2999999999999999E-3</v>
      </c>
      <c r="V596" s="1657">
        <v>0</v>
      </c>
      <c r="W596" s="1657">
        <v>1.2999999999999999E-3</v>
      </c>
      <c r="X596" s="1657">
        <v>0</v>
      </c>
      <c r="Y596" s="1658">
        <v>0</v>
      </c>
    </row>
    <row r="597" spans="3:25" ht="12.6" customHeight="1" x14ac:dyDescent="0.3">
      <c r="C597" s="1641">
        <v>583</v>
      </c>
      <c r="D597" s="1642" t="s">
        <v>1331</v>
      </c>
      <c r="E597" s="3455">
        <v>5</v>
      </c>
      <c r="F597" s="1643" t="s">
        <v>1055</v>
      </c>
      <c r="G597" s="1641" t="s">
        <v>1036</v>
      </c>
      <c r="H597" s="1641"/>
      <c r="I597" s="1641">
        <v>70</v>
      </c>
      <c r="J597" s="1641"/>
      <c r="K597" s="1641"/>
      <c r="L597" s="1641"/>
      <c r="M597" s="3407">
        <v>3300.4</v>
      </c>
      <c r="N597" s="3407"/>
      <c r="O597" s="3407">
        <v>3272.4</v>
      </c>
      <c r="P597" s="3407">
        <v>0</v>
      </c>
      <c r="Q597" s="3407">
        <v>0</v>
      </c>
      <c r="R597" s="3407">
        <v>0</v>
      </c>
      <c r="S597" s="3407">
        <v>0</v>
      </c>
      <c r="U597" s="1656">
        <v>0.18329192</v>
      </c>
      <c r="V597" s="1657">
        <v>0</v>
      </c>
      <c r="W597" s="1657">
        <v>0.18329192</v>
      </c>
      <c r="X597" s="1657">
        <v>1.3415787244982099E-2</v>
      </c>
      <c r="Y597" s="1658">
        <v>290.17</v>
      </c>
    </row>
    <row r="598" spans="3:25" ht="13.2" customHeight="1" x14ac:dyDescent="0.3">
      <c r="C598" s="1057">
        <v>584</v>
      </c>
      <c r="D598" s="1058" t="s">
        <v>1331</v>
      </c>
      <c r="E598" s="1059">
        <v>5</v>
      </c>
      <c r="F598" s="1297" t="s">
        <v>1055</v>
      </c>
      <c r="G598" s="1057" t="s">
        <v>1036</v>
      </c>
      <c r="H598" s="1057"/>
      <c r="I598" s="1057">
        <v>1</v>
      </c>
      <c r="J598" s="1057"/>
      <c r="K598" s="1057"/>
      <c r="L598" s="1057"/>
      <c r="M598" s="1636">
        <v>0</v>
      </c>
      <c r="N598" s="1636"/>
      <c r="O598" s="1636">
        <v>0</v>
      </c>
      <c r="P598" s="1636">
        <v>0</v>
      </c>
      <c r="Q598" s="1636">
        <v>28</v>
      </c>
      <c r="R598" s="1636">
        <v>0</v>
      </c>
      <c r="S598" s="1636">
        <v>0</v>
      </c>
      <c r="U598" s="1656">
        <v>1E-3</v>
      </c>
      <c r="V598" s="1657">
        <v>0</v>
      </c>
      <c r="W598" s="1657">
        <v>1E-3</v>
      </c>
      <c r="X598" s="1657">
        <v>0</v>
      </c>
      <c r="Y598" s="1658">
        <v>0</v>
      </c>
    </row>
    <row r="599" spans="3:25" ht="12.6" customHeight="1" x14ac:dyDescent="0.3">
      <c r="C599" s="1057">
        <v>585</v>
      </c>
      <c r="D599" s="1058" t="s">
        <v>1332</v>
      </c>
      <c r="E599" s="1059">
        <v>5</v>
      </c>
      <c r="F599" s="1297" t="s">
        <v>1055</v>
      </c>
      <c r="G599" s="1057" t="s">
        <v>1036</v>
      </c>
      <c r="H599" s="1057"/>
      <c r="I599" s="1057">
        <v>99</v>
      </c>
      <c r="J599" s="1057"/>
      <c r="K599" s="1057"/>
      <c r="L599" s="1057"/>
      <c r="M599" s="1636">
        <v>4397.6000000000004</v>
      </c>
      <c r="N599" s="1636"/>
      <c r="O599" s="1636">
        <v>4348.3999999999996</v>
      </c>
      <c r="P599" s="1636">
        <v>49.2</v>
      </c>
      <c r="Q599" s="1636">
        <v>0</v>
      </c>
      <c r="R599" s="1636">
        <v>0</v>
      </c>
      <c r="S599" s="1636">
        <v>0</v>
      </c>
      <c r="U599" s="1656">
        <v>0.23811302000000001</v>
      </c>
      <c r="V599" s="1657">
        <v>8.2556942783869975E-5</v>
      </c>
      <c r="W599" s="1657">
        <v>0.23803046305721615</v>
      </c>
      <c r="X599" s="1657">
        <v>1.937792082521677E-2</v>
      </c>
      <c r="Y599" s="1658">
        <v>432.44000000000005</v>
      </c>
    </row>
    <row r="600" spans="3:25" ht="12.6" customHeight="1" x14ac:dyDescent="0.3">
      <c r="C600" s="1057">
        <v>586</v>
      </c>
      <c r="D600" s="1058" t="s">
        <v>1333</v>
      </c>
      <c r="E600" s="1059">
        <v>5</v>
      </c>
      <c r="F600" s="1628" t="s">
        <v>1038</v>
      </c>
      <c r="G600" s="1057" t="s">
        <v>1036</v>
      </c>
      <c r="H600" s="1057"/>
      <c r="I600" s="1057">
        <v>1</v>
      </c>
      <c r="J600" s="1057"/>
      <c r="K600" s="1057"/>
      <c r="L600" s="1057"/>
      <c r="M600" s="1636">
        <v>3384.6</v>
      </c>
      <c r="N600" s="1636"/>
      <c r="O600" s="1636">
        <v>3384.6</v>
      </c>
      <c r="P600" s="1636">
        <v>0</v>
      </c>
      <c r="Q600" s="1636">
        <v>0</v>
      </c>
      <c r="R600" s="1636">
        <v>3384.6</v>
      </c>
      <c r="S600" s="1636">
        <v>0</v>
      </c>
      <c r="U600" s="1656">
        <v>0.14440447000000001</v>
      </c>
      <c r="V600" s="1657">
        <v>0</v>
      </c>
      <c r="W600" s="1657">
        <v>0.14440447000000001</v>
      </c>
      <c r="X600" s="1657">
        <v>0</v>
      </c>
      <c r="Y600" s="1658">
        <v>0</v>
      </c>
    </row>
    <row r="601" spans="3:25" ht="12.6" customHeight="1" x14ac:dyDescent="0.3">
      <c r="C601" s="1057">
        <v>587</v>
      </c>
      <c r="D601" s="1058" t="s">
        <v>1334</v>
      </c>
      <c r="E601" s="1059">
        <v>5</v>
      </c>
      <c r="F601" s="1297" t="s">
        <v>1055</v>
      </c>
      <c r="G601" s="1057" t="s">
        <v>1036</v>
      </c>
      <c r="H601" s="1057"/>
      <c r="I601" s="1057">
        <v>157</v>
      </c>
      <c r="J601" s="1057"/>
      <c r="K601" s="1057"/>
      <c r="L601" s="1057"/>
      <c r="M601" s="1636">
        <v>4216.3</v>
      </c>
      <c r="N601" s="1636"/>
      <c r="O601" s="1636">
        <v>4116.2</v>
      </c>
      <c r="P601" s="1636">
        <v>0</v>
      </c>
      <c r="Q601" s="1636">
        <v>0</v>
      </c>
      <c r="R601" s="1636">
        <v>0</v>
      </c>
      <c r="S601" s="1636">
        <v>0</v>
      </c>
      <c r="U601" s="1656">
        <v>0.22570942999999999</v>
      </c>
      <c r="V601" s="1657">
        <v>0</v>
      </c>
      <c r="W601" s="1657">
        <v>0.22570942999999999</v>
      </c>
      <c r="X601" s="1657">
        <v>6.637989560705531E-3</v>
      </c>
      <c r="Y601" s="1658">
        <v>140</v>
      </c>
    </row>
    <row r="602" spans="3:25" ht="12" customHeight="1" x14ac:dyDescent="0.3">
      <c r="C602" s="1057">
        <v>588</v>
      </c>
      <c r="D602" s="1058" t="s">
        <v>1334</v>
      </c>
      <c r="E602" s="1059">
        <v>5</v>
      </c>
      <c r="F602" s="1297" t="s">
        <v>1055</v>
      </c>
      <c r="G602" s="1057" t="s">
        <v>1036</v>
      </c>
      <c r="H602" s="1057"/>
      <c r="I602" s="1057">
        <v>1</v>
      </c>
      <c r="J602" s="1057"/>
      <c r="K602" s="1057"/>
      <c r="L602" s="1057"/>
      <c r="M602" s="1636">
        <v>0</v>
      </c>
      <c r="N602" s="1636"/>
      <c r="O602" s="1636">
        <v>0</v>
      </c>
      <c r="P602" s="1636">
        <v>0</v>
      </c>
      <c r="Q602" s="1636">
        <v>30.4</v>
      </c>
      <c r="R602" s="1636">
        <v>0</v>
      </c>
      <c r="S602" s="1636">
        <v>0</v>
      </c>
      <c r="U602" s="1656">
        <v>1.799E-3</v>
      </c>
      <c r="V602" s="1657">
        <v>0</v>
      </c>
      <c r="W602" s="1657">
        <v>1.799E-3</v>
      </c>
      <c r="X602" s="1657">
        <v>0</v>
      </c>
      <c r="Y602" s="1658">
        <v>0</v>
      </c>
    </row>
    <row r="603" spans="3:25" ht="13.5" customHeight="1" x14ac:dyDescent="0.3">
      <c r="C603" s="1057">
        <v>589</v>
      </c>
      <c r="D603" s="1058" t="s">
        <v>1334</v>
      </c>
      <c r="E603" s="1059">
        <v>5</v>
      </c>
      <c r="F603" s="1297" t="s">
        <v>1055</v>
      </c>
      <c r="G603" s="1057" t="s">
        <v>1036</v>
      </c>
      <c r="H603" s="1057"/>
      <c r="I603" s="1057">
        <v>1</v>
      </c>
      <c r="J603" s="1057"/>
      <c r="K603" s="1057"/>
      <c r="L603" s="1057"/>
      <c r="M603" s="1636">
        <v>0</v>
      </c>
      <c r="N603" s="1636"/>
      <c r="O603" s="1636">
        <v>0</v>
      </c>
      <c r="P603" s="1636">
        <v>0</v>
      </c>
      <c r="Q603" s="1636">
        <v>10.5</v>
      </c>
      <c r="R603" s="1636">
        <v>0</v>
      </c>
      <c r="S603" s="1636">
        <v>0</v>
      </c>
      <c r="U603" s="1656">
        <v>4.6000000000000001E-4</v>
      </c>
      <c r="V603" s="1657">
        <v>0</v>
      </c>
      <c r="W603" s="1657">
        <v>4.6000000000000001E-4</v>
      </c>
      <c r="X603" s="1657">
        <v>0</v>
      </c>
      <c r="Y603" s="1658">
        <v>0</v>
      </c>
    </row>
    <row r="604" spans="3:25" ht="13.95" customHeight="1" x14ac:dyDescent="0.3">
      <c r="C604" s="1057">
        <v>590</v>
      </c>
      <c r="D604" s="1058" t="s">
        <v>1334</v>
      </c>
      <c r="E604" s="1059">
        <v>5</v>
      </c>
      <c r="F604" s="1297" t="s">
        <v>1055</v>
      </c>
      <c r="G604" s="1057" t="s">
        <v>1036</v>
      </c>
      <c r="H604" s="1057"/>
      <c r="I604" s="1057">
        <v>1</v>
      </c>
      <c r="J604" s="1057"/>
      <c r="K604" s="1057"/>
      <c r="L604" s="1057"/>
      <c r="M604" s="1636">
        <v>0</v>
      </c>
      <c r="N604" s="1636"/>
      <c r="O604" s="1636">
        <v>0</v>
      </c>
      <c r="P604" s="1636">
        <v>0</v>
      </c>
      <c r="Q604" s="1636">
        <v>28.2</v>
      </c>
      <c r="R604" s="1636">
        <v>0</v>
      </c>
      <c r="S604" s="1636">
        <v>0</v>
      </c>
      <c r="U604" s="1656">
        <v>1.279E-3</v>
      </c>
      <c r="V604" s="1657">
        <v>0</v>
      </c>
      <c r="W604" s="1657">
        <v>1.279E-3</v>
      </c>
      <c r="X604" s="1657">
        <v>0</v>
      </c>
      <c r="Y604" s="1658">
        <v>0</v>
      </c>
    </row>
    <row r="605" spans="3:25" ht="13.95" customHeight="1" x14ac:dyDescent="0.3">
      <c r="C605" s="1057">
        <v>591</v>
      </c>
      <c r="D605" s="1058" t="s">
        <v>1334</v>
      </c>
      <c r="E605" s="1059">
        <v>5</v>
      </c>
      <c r="F605" s="1297" t="s">
        <v>1055</v>
      </c>
      <c r="G605" s="1057" t="s">
        <v>1036</v>
      </c>
      <c r="H605" s="1057"/>
      <c r="I605" s="1057">
        <v>0</v>
      </c>
      <c r="J605" s="1057"/>
      <c r="K605" s="1057"/>
      <c r="L605" s="1057"/>
      <c r="M605" s="1636">
        <v>0</v>
      </c>
      <c r="N605" s="1636"/>
      <c r="O605" s="1636">
        <v>0</v>
      </c>
      <c r="P605" s="1636">
        <v>0</v>
      </c>
      <c r="Q605" s="1636">
        <v>31</v>
      </c>
      <c r="R605" s="1636">
        <v>0</v>
      </c>
      <c r="S605" s="1636">
        <v>0</v>
      </c>
      <c r="U605" s="1656">
        <v>1.6000000000000001E-3</v>
      </c>
      <c r="V605" s="1657">
        <v>0</v>
      </c>
      <c r="W605" s="1657">
        <v>1.6000000000000001E-3</v>
      </c>
      <c r="X605" s="1657">
        <v>0</v>
      </c>
      <c r="Y605" s="1658">
        <v>0</v>
      </c>
    </row>
    <row r="606" spans="3:25" ht="13.95" customHeight="1" x14ac:dyDescent="0.3">
      <c r="C606" s="1057">
        <v>592</v>
      </c>
      <c r="D606" s="1058" t="s">
        <v>1335</v>
      </c>
      <c r="E606" s="1059">
        <v>3</v>
      </c>
      <c r="F606" s="1297" t="s">
        <v>1038</v>
      </c>
      <c r="G606" s="1057" t="s">
        <v>1036</v>
      </c>
      <c r="H606" s="1058"/>
      <c r="I606" s="1057">
        <v>0</v>
      </c>
      <c r="J606" s="1058"/>
      <c r="K606" s="1058"/>
      <c r="L606" s="1058"/>
      <c r="M606" s="1636">
        <v>0</v>
      </c>
      <c r="N606" s="1636"/>
      <c r="O606" s="1636">
        <v>0</v>
      </c>
      <c r="P606" s="1636">
        <v>0</v>
      </c>
      <c r="Q606" s="1636">
        <v>0</v>
      </c>
      <c r="R606" s="1636">
        <v>0</v>
      </c>
      <c r="S606" s="1636">
        <v>6000.7</v>
      </c>
      <c r="U606" s="1656">
        <v>0.57699999999999996</v>
      </c>
      <c r="V606" s="1657">
        <v>0</v>
      </c>
      <c r="W606" s="1657">
        <v>0.57699999999999996</v>
      </c>
      <c r="X606" s="1657">
        <v>0</v>
      </c>
      <c r="Y606" s="1658">
        <v>0</v>
      </c>
    </row>
    <row r="607" spans="3:25" ht="13.95" customHeight="1" x14ac:dyDescent="0.3">
      <c r="C607" s="1057">
        <v>593</v>
      </c>
      <c r="D607" s="1058" t="s">
        <v>1336</v>
      </c>
      <c r="E607" s="1059">
        <v>5</v>
      </c>
      <c r="F607" s="1297" t="s">
        <v>1086</v>
      </c>
      <c r="G607" s="1057" t="s">
        <v>1036</v>
      </c>
      <c r="H607" s="1058"/>
      <c r="I607" s="1057">
        <v>1</v>
      </c>
      <c r="J607" s="1058"/>
      <c r="K607" s="1058"/>
      <c r="L607" s="1058"/>
      <c r="M607" s="1636">
        <v>3365.5</v>
      </c>
      <c r="N607" s="1636"/>
      <c r="O607" s="1636">
        <v>3365.5</v>
      </c>
      <c r="P607" s="1636">
        <v>0</v>
      </c>
      <c r="Q607" s="1636">
        <v>0</v>
      </c>
      <c r="R607" s="1636">
        <v>3365.5</v>
      </c>
      <c r="S607" s="1636">
        <v>0</v>
      </c>
      <c r="U607" s="1656">
        <v>0.16886196000000001</v>
      </c>
      <c r="V607" s="1657">
        <v>0</v>
      </c>
      <c r="W607" s="1657">
        <v>0.16886196000000001</v>
      </c>
      <c r="X607" s="1657">
        <v>0</v>
      </c>
      <c r="Y607" s="1658">
        <v>0</v>
      </c>
    </row>
    <row r="608" spans="3:25" ht="13.95" customHeight="1" x14ac:dyDescent="0.3">
      <c r="C608" s="1057">
        <v>594</v>
      </c>
      <c r="D608" s="1058" t="s">
        <v>1337</v>
      </c>
      <c r="E608" s="1059">
        <v>5</v>
      </c>
      <c r="F608" s="1297" t="s">
        <v>1055</v>
      </c>
      <c r="G608" s="1057" t="s">
        <v>1036</v>
      </c>
      <c r="H608" s="1058"/>
      <c r="I608" s="1057">
        <v>99</v>
      </c>
      <c r="J608" s="1058"/>
      <c r="K608" s="1058"/>
      <c r="L608" s="1058"/>
      <c r="M608" s="1636">
        <v>4404.2</v>
      </c>
      <c r="N608" s="1636"/>
      <c r="O608" s="1636">
        <v>4365</v>
      </c>
      <c r="P608" s="1636">
        <v>0</v>
      </c>
      <c r="Q608" s="1636">
        <v>0</v>
      </c>
      <c r="R608" s="1636">
        <v>0</v>
      </c>
      <c r="S608" s="1636">
        <v>0</v>
      </c>
      <c r="U608" s="1656">
        <v>0.23737488000000001</v>
      </c>
      <c r="V608" s="1657">
        <v>0</v>
      </c>
      <c r="W608" s="1657">
        <v>0.23737488000000001</v>
      </c>
      <c r="X608" s="1657">
        <v>1.924309105396519E-2</v>
      </c>
      <c r="Y608" s="1658">
        <v>432.44000000000005</v>
      </c>
    </row>
    <row r="609" spans="3:25" ht="13.95" customHeight="1" x14ac:dyDescent="0.3">
      <c r="C609" s="1057">
        <v>595</v>
      </c>
      <c r="D609" s="1058" t="s">
        <v>1337</v>
      </c>
      <c r="E609" s="1059">
        <v>5</v>
      </c>
      <c r="F609" s="1297" t="s">
        <v>1055</v>
      </c>
      <c r="G609" s="1057" t="s">
        <v>1036</v>
      </c>
      <c r="H609" s="1058"/>
      <c r="I609" s="1057">
        <v>1</v>
      </c>
      <c r="J609" s="1058"/>
      <c r="K609" s="1058"/>
      <c r="L609" s="1058"/>
      <c r="M609" s="1636">
        <v>0</v>
      </c>
      <c r="N609" s="1636"/>
      <c r="O609" s="1636">
        <v>0</v>
      </c>
      <c r="P609" s="1636">
        <v>0</v>
      </c>
      <c r="Q609" s="1636">
        <v>39.200000000000003</v>
      </c>
      <c r="R609" s="1636">
        <v>0</v>
      </c>
      <c r="S609" s="1636">
        <v>0</v>
      </c>
      <c r="U609" s="1656">
        <v>1.9400000000000001E-3</v>
      </c>
      <c r="V609" s="1657">
        <v>0</v>
      </c>
      <c r="W609" s="1657">
        <v>1.9400000000000001E-3</v>
      </c>
      <c r="X609" s="1657">
        <v>0</v>
      </c>
      <c r="Y609" s="1658">
        <v>0</v>
      </c>
    </row>
    <row r="610" spans="3:25" ht="13.95" customHeight="1" x14ac:dyDescent="0.3">
      <c r="C610" s="1057">
        <v>596</v>
      </c>
      <c r="D610" s="1058" t="s">
        <v>1338</v>
      </c>
      <c r="E610" s="1059">
        <v>1</v>
      </c>
      <c r="F610" s="1297" t="s">
        <v>1176</v>
      </c>
      <c r="G610" s="1057" t="s">
        <v>1036</v>
      </c>
      <c r="H610" s="1058"/>
      <c r="I610" s="1057">
        <v>1</v>
      </c>
      <c r="J610" s="1058"/>
      <c r="K610" s="1058"/>
      <c r="L610" s="1058"/>
      <c r="M610" s="1636">
        <v>0</v>
      </c>
      <c r="N610" s="1636"/>
      <c r="O610" s="1636">
        <v>0</v>
      </c>
      <c r="P610" s="1636">
        <v>0</v>
      </c>
      <c r="Q610" s="1636">
        <v>0</v>
      </c>
      <c r="R610" s="1636">
        <v>0</v>
      </c>
      <c r="S610" s="1636">
        <v>70</v>
      </c>
      <c r="U610" s="1656">
        <v>6.9760000000000004E-3</v>
      </c>
      <c r="V610" s="1657">
        <v>0</v>
      </c>
      <c r="W610" s="1657">
        <v>6.9760000000000004E-3</v>
      </c>
      <c r="X610" s="1657">
        <v>0</v>
      </c>
      <c r="Y610" s="1658">
        <v>0</v>
      </c>
    </row>
    <row r="611" spans="3:25" ht="15" customHeight="1" x14ac:dyDescent="0.3">
      <c r="C611" s="1057">
        <v>597</v>
      </c>
      <c r="D611" s="1058" t="s">
        <v>1339</v>
      </c>
      <c r="E611" s="1059">
        <v>5</v>
      </c>
      <c r="F611" s="1297" t="s">
        <v>1176</v>
      </c>
      <c r="G611" s="1057" t="s">
        <v>1036</v>
      </c>
      <c r="H611" s="1058"/>
      <c r="I611" s="1057">
        <v>69</v>
      </c>
      <c r="J611" s="1058"/>
      <c r="K611" s="1058"/>
      <c r="L611" s="1058"/>
      <c r="M611" s="1636">
        <v>3260</v>
      </c>
      <c r="N611" s="1636"/>
      <c r="O611" s="1636">
        <v>3202.2</v>
      </c>
      <c r="P611" s="1636">
        <v>0</v>
      </c>
      <c r="Q611" s="1636">
        <v>0</v>
      </c>
      <c r="R611" s="1636">
        <v>0</v>
      </c>
      <c r="S611" s="1636">
        <v>0</v>
      </c>
      <c r="U611" s="1656">
        <v>0.16539891000000001</v>
      </c>
      <c r="V611" s="1657">
        <v>0</v>
      </c>
      <c r="W611" s="1657">
        <v>0.16539891000000001</v>
      </c>
      <c r="X611" s="1657">
        <v>1.2379639476687659E-2</v>
      </c>
      <c r="Y611" s="1658">
        <v>290.17</v>
      </c>
    </row>
    <row r="612" spans="3:25" ht="15" customHeight="1" x14ac:dyDescent="0.3">
      <c r="C612" s="1057">
        <v>598</v>
      </c>
      <c r="D612" s="1058" t="s">
        <v>1339</v>
      </c>
      <c r="E612" s="1059">
        <v>5</v>
      </c>
      <c r="F612" s="1297" t="s">
        <v>1176</v>
      </c>
      <c r="G612" s="1057" t="s">
        <v>1036</v>
      </c>
      <c r="H612" s="1058"/>
      <c r="I612" s="1057">
        <v>0</v>
      </c>
      <c r="J612" s="1058"/>
      <c r="K612" s="1058"/>
      <c r="L612" s="1058"/>
      <c r="M612" s="1636">
        <v>0</v>
      </c>
      <c r="N612" s="1636"/>
      <c r="O612" s="1636">
        <v>0</v>
      </c>
      <c r="P612" s="1636">
        <v>0</v>
      </c>
      <c r="Q612" s="1636">
        <v>57.8</v>
      </c>
      <c r="R612" s="1636">
        <v>0</v>
      </c>
      <c r="S612" s="1636">
        <v>0</v>
      </c>
      <c r="U612" s="1656">
        <v>7.1000000000000004E-3</v>
      </c>
      <c r="V612" s="1657">
        <v>0</v>
      </c>
      <c r="W612" s="1657">
        <v>7.1000000000000004E-3</v>
      </c>
      <c r="X612" s="1657">
        <v>0</v>
      </c>
      <c r="Y612" s="1658">
        <v>0</v>
      </c>
    </row>
    <row r="613" spans="3:25" ht="13.95" customHeight="1" x14ac:dyDescent="0.3">
      <c r="C613" s="1057">
        <v>599</v>
      </c>
      <c r="D613" s="1058" t="s">
        <v>1340</v>
      </c>
      <c r="E613" s="1059">
        <v>5</v>
      </c>
      <c r="F613" s="1297" t="s">
        <v>1135</v>
      </c>
      <c r="G613" s="1057" t="s">
        <v>1036</v>
      </c>
      <c r="H613" s="1058"/>
      <c r="I613" s="1059">
        <v>100</v>
      </c>
      <c r="J613" s="1058"/>
      <c r="K613" s="1058"/>
      <c r="L613" s="1058"/>
      <c r="M613" s="1636">
        <v>4433.5</v>
      </c>
      <c r="N613" s="1636"/>
      <c r="O613" s="1636">
        <v>4433.5</v>
      </c>
      <c r="P613" s="1636">
        <v>0</v>
      </c>
      <c r="Q613" s="1636">
        <v>0</v>
      </c>
      <c r="R613" s="1636">
        <v>0</v>
      </c>
      <c r="S613" s="1636">
        <v>0</v>
      </c>
      <c r="U613" s="1656">
        <v>0.23387790999999999</v>
      </c>
      <c r="V613" s="1657">
        <v>0</v>
      </c>
      <c r="W613" s="1657">
        <v>0.23387790999999999</v>
      </c>
      <c r="X613" s="1657">
        <v>1.8746859967028181E-2</v>
      </c>
      <c r="Y613" s="1658">
        <v>432.44000000000005</v>
      </c>
    </row>
    <row r="614" spans="3:25" ht="13.95" customHeight="1" x14ac:dyDescent="0.3">
      <c r="C614" s="1057">
        <v>600</v>
      </c>
      <c r="D614" s="1058" t="s">
        <v>1341</v>
      </c>
      <c r="E614" s="1059">
        <v>5</v>
      </c>
      <c r="F614" s="1297" t="s">
        <v>1135</v>
      </c>
      <c r="G614" s="1057" t="s">
        <v>1036</v>
      </c>
      <c r="H614" s="1058"/>
      <c r="I614" s="1059">
        <v>68</v>
      </c>
      <c r="J614" s="1058"/>
      <c r="K614" s="1058"/>
      <c r="L614" s="1058"/>
      <c r="M614" s="1636">
        <v>3301.8</v>
      </c>
      <c r="N614" s="1636"/>
      <c r="O614" s="1636">
        <v>3199.6</v>
      </c>
      <c r="P614" s="1636">
        <v>0</v>
      </c>
      <c r="Q614" s="1636">
        <v>0</v>
      </c>
      <c r="R614" s="1636">
        <v>0</v>
      </c>
      <c r="S614" s="1636">
        <v>0</v>
      </c>
      <c r="U614" s="1656">
        <v>0.16599622</v>
      </c>
      <c r="V614" s="1657">
        <v>0</v>
      </c>
      <c r="W614" s="1657">
        <v>0.16599622</v>
      </c>
      <c r="X614" s="1657">
        <v>1.2854231896860739E-2</v>
      </c>
      <c r="Y614" s="1658">
        <v>301.36</v>
      </c>
    </row>
    <row r="615" spans="3:25" ht="13.95" customHeight="1" x14ac:dyDescent="0.3">
      <c r="C615" s="1057">
        <v>601</v>
      </c>
      <c r="D615" s="1058" t="s">
        <v>1341</v>
      </c>
      <c r="E615" s="1059">
        <v>5</v>
      </c>
      <c r="F615" s="1297" t="s">
        <v>1135</v>
      </c>
      <c r="G615" s="1057" t="s">
        <v>1036</v>
      </c>
      <c r="H615" s="1058"/>
      <c r="I615" s="1057">
        <v>0</v>
      </c>
      <c r="J615" s="1058"/>
      <c r="K615" s="1058"/>
      <c r="L615" s="1058"/>
      <c r="M615" s="1636">
        <v>0</v>
      </c>
      <c r="N615" s="1636"/>
      <c r="O615" s="1636">
        <v>0</v>
      </c>
      <c r="P615" s="1636">
        <v>0</v>
      </c>
      <c r="Q615" s="1636">
        <v>102.2</v>
      </c>
      <c r="R615" s="1636">
        <v>0</v>
      </c>
      <c r="S615" s="1636">
        <v>0</v>
      </c>
      <c r="U615" s="1656">
        <v>5.2110000000000004E-3</v>
      </c>
      <c r="V615" s="1657">
        <v>0</v>
      </c>
      <c r="W615" s="1657">
        <v>5.2110000000000004E-3</v>
      </c>
      <c r="X615" s="1657">
        <v>0</v>
      </c>
      <c r="Y615" s="1658">
        <v>0</v>
      </c>
    </row>
    <row r="616" spans="3:25" ht="13.95" customHeight="1" x14ac:dyDescent="0.3">
      <c r="C616" s="1057">
        <v>602</v>
      </c>
      <c r="D616" s="1058" t="s">
        <v>1342</v>
      </c>
      <c r="E616" s="1059">
        <v>2</v>
      </c>
      <c r="F616" s="1297" t="s">
        <v>1343</v>
      </c>
      <c r="G616" s="1057" t="s">
        <v>1036</v>
      </c>
      <c r="H616" s="1058"/>
      <c r="I616" s="1057">
        <v>13</v>
      </c>
      <c r="J616" s="1058"/>
      <c r="K616" s="1058"/>
      <c r="L616" s="1058"/>
      <c r="M616" s="1636">
        <v>759.30000000000007</v>
      </c>
      <c r="N616" s="1636"/>
      <c r="O616" s="1636">
        <v>718.7</v>
      </c>
      <c r="P616" s="1636">
        <v>40.6</v>
      </c>
      <c r="Q616" s="1636">
        <v>0</v>
      </c>
      <c r="R616" s="1636">
        <v>0</v>
      </c>
      <c r="S616" s="1636">
        <v>0</v>
      </c>
      <c r="U616" s="1656">
        <v>4.4303809999999999E-2</v>
      </c>
      <c r="V616" s="1657">
        <v>0</v>
      </c>
      <c r="W616" s="1657">
        <v>4.4303809999999999E-2</v>
      </c>
      <c r="X616" s="1657">
        <v>0</v>
      </c>
      <c r="Y616" s="1658">
        <v>0</v>
      </c>
    </row>
    <row r="617" spans="3:25" ht="13.95" customHeight="1" x14ac:dyDescent="0.3">
      <c r="C617" s="1057">
        <v>603</v>
      </c>
      <c r="D617" s="1058" t="s">
        <v>1344</v>
      </c>
      <c r="E617" s="1059">
        <v>3</v>
      </c>
      <c r="F617" s="1297" t="s">
        <v>1078</v>
      </c>
      <c r="G617" s="1057" t="s">
        <v>1036</v>
      </c>
      <c r="H617" s="1058"/>
      <c r="I617" s="1057">
        <v>1</v>
      </c>
      <c r="J617" s="1058"/>
      <c r="K617" s="1058"/>
      <c r="L617" s="1058"/>
      <c r="M617" s="1636">
        <v>0</v>
      </c>
      <c r="N617" s="1636"/>
      <c r="O617" s="1636">
        <v>0</v>
      </c>
      <c r="P617" s="1636">
        <v>0</v>
      </c>
      <c r="Q617" s="1636">
        <v>0</v>
      </c>
      <c r="R617" s="1636">
        <v>0</v>
      </c>
      <c r="S617" s="1636">
        <v>522.6</v>
      </c>
      <c r="U617" s="1656">
        <v>3.1551999999999997E-2</v>
      </c>
      <c r="V617" s="1657">
        <v>0</v>
      </c>
      <c r="W617" s="1657">
        <v>3.1551999999999997E-2</v>
      </c>
      <c r="X617" s="1657">
        <v>0</v>
      </c>
      <c r="Y617" s="1658">
        <v>0</v>
      </c>
    </row>
    <row r="618" spans="3:25" ht="13.95" customHeight="1" x14ac:dyDescent="0.3">
      <c r="C618" s="1057">
        <v>604</v>
      </c>
      <c r="D618" s="1058" t="s">
        <v>1344</v>
      </c>
      <c r="E618" s="1059">
        <v>1</v>
      </c>
      <c r="F618" s="1297" t="s">
        <v>1078</v>
      </c>
      <c r="G618" s="1057" t="s">
        <v>1036</v>
      </c>
      <c r="H618" s="1058"/>
      <c r="I618" s="1059">
        <v>0</v>
      </c>
      <c r="J618" s="1058"/>
      <c r="K618" s="1058"/>
      <c r="L618" s="1058"/>
      <c r="M618" s="1636">
        <v>0</v>
      </c>
      <c r="N618" s="1636"/>
      <c r="O618" s="1636">
        <v>0</v>
      </c>
      <c r="P618" s="1636">
        <v>0</v>
      </c>
      <c r="Q618" s="1636">
        <v>0</v>
      </c>
      <c r="R618" s="1636">
        <v>0</v>
      </c>
      <c r="S618" s="1636">
        <v>264.5</v>
      </c>
      <c r="U618" s="1656">
        <v>2.4947E-2</v>
      </c>
      <c r="V618" s="1657">
        <v>0</v>
      </c>
      <c r="W618" s="1657">
        <v>2.4947E-2</v>
      </c>
      <c r="X618" s="1657">
        <v>0</v>
      </c>
      <c r="Y618" s="1658">
        <v>0</v>
      </c>
    </row>
    <row r="619" spans="3:25" ht="13.95" customHeight="1" x14ac:dyDescent="0.3">
      <c r="C619" s="1057">
        <v>605</v>
      </c>
      <c r="D619" s="1058" t="s">
        <v>1344</v>
      </c>
      <c r="E619" s="1059">
        <v>1</v>
      </c>
      <c r="F619" s="1297" t="s">
        <v>1078</v>
      </c>
      <c r="G619" s="1057" t="s">
        <v>1036</v>
      </c>
      <c r="H619" s="1058"/>
      <c r="I619" s="1057">
        <v>0</v>
      </c>
      <c r="J619" s="1058"/>
      <c r="K619" s="1058"/>
      <c r="L619" s="1058"/>
      <c r="M619" s="1636">
        <v>0</v>
      </c>
      <c r="N619" s="1636"/>
      <c r="O619" s="1636">
        <v>0</v>
      </c>
      <c r="P619" s="1636">
        <v>0</v>
      </c>
      <c r="Q619" s="1636">
        <v>0</v>
      </c>
      <c r="R619" s="1636">
        <v>0</v>
      </c>
      <c r="S619" s="1636">
        <v>48.5</v>
      </c>
      <c r="U619" s="1656">
        <v>3.4849999999999998E-3</v>
      </c>
      <c r="V619" s="1657">
        <v>0</v>
      </c>
      <c r="W619" s="1657">
        <v>3.4849999999999998E-3</v>
      </c>
      <c r="X619" s="1657">
        <v>0</v>
      </c>
      <c r="Y619" s="1658">
        <v>0</v>
      </c>
    </row>
    <row r="620" spans="3:25" ht="13.95" customHeight="1" x14ac:dyDescent="0.3">
      <c r="C620" s="1057">
        <v>606</v>
      </c>
      <c r="D620" s="1058" t="s">
        <v>1344</v>
      </c>
      <c r="E620" s="1059">
        <v>1</v>
      </c>
      <c r="F620" s="1297" t="s">
        <v>1078</v>
      </c>
      <c r="G620" s="1057" t="s">
        <v>1036</v>
      </c>
      <c r="H620" s="1058"/>
      <c r="I620" s="1057">
        <v>0</v>
      </c>
      <c r="J620" s="1058"/>
      <c r="K620" s="1058"/>
      <c r="L620" s="1058"/>
      <c r="M620" s="1636">
        <v>0</v>
      </c>
      <c r="N620" s="1636"/>
      <c r="O620" s="1636">
        <v>0</v>
      </c>
      <c r="P620" s="1636">
        <v>0</v>
      </c>
      <c r="Q620" s="1636">
        <v>0</v>
      </c>
      <c r="R620" s="1636">
        <v>0</v>
      </c>
      <c r="S620" s="1636">
        <v>1831.3</v>
      </c>
      <c r="U620" s="1656">
        <v>5.4817999999999999E-2</v>
      </c>
      <c r="V620" s="1657">
        <v>0</v>
      </c>
      <c r="W620" s="1657">
        <v>5.4817999999999999E-2</v>
      </c>
      <c r="X620" s="1657">
        <v>0</v>
      </c>
      <c r="Y620" s="1658">
        <v>0</v>
      </c>
    </row>
    <row r="621" spans="3:25" ht="13.95" customHeight="1" x14ac:dyDescent="0.3">
      <c r="C621" s="1057">
        <v>607</v>
      </c>
      <c r="D621" s="1058" t="s">
        <v>1344</v>
      </c>
      <c r="E621" s="1059">
        <v>1</v>
      </c>
      <c r="F621" s="1297" t="s">
        <v>1078</v>
      </c>
      <c r="G621" s="1057" t="s">
        <v>1036</v>
      </c>
      <c r="H621" s="1058"/>
      <c r="I621" s="1057">
        <v>1</v>
      </c>
      <c r="J621" s="1058"/>
      <c r="K621" s="1058"/>
      <c r="L621" s="1058"/>
      <c r="M621" s="1636">
        <v>68.900000000000006</v>
      </c>
      <c r="N621" s="1636"/>
      <c r="O621" s="1636">
        <v>68.900000000000006</v>
      </c>
      <c r="P621" s="1636">
        <v>0</v>
      </c>
      <c r="Q621" s="1636">
        <v>0</v>
      </c>
      <c r="R621" s="1636">
        <v>0</v>
      </c>
      <c r="S621" s="1636">
        <v>0</v>
      </c>
      <c r="U621" s="1656">
        <v>8.5339999999999999E-3</v>
      </c>
      <c r="V621" s="1657">
        <v>0</v>
      </c>
      <c r="W621" s="1657">
        <v>8.5339999999999999E-3</v>
      </c>
      <c r="X621" s="1657">
        <v>0</v>
      </c>
      <c r="Y621" s="1658">
        <v>0</v>
      </c>
    </row>
    <row r="622" spans="3:25" ht="13.95" customHeight="1" x14ac:dyDescent="0.3">
      <c r="C622" s="1057">
        <v>608</v>
      </c>
      <c r="D622" s="1058" t="s">
        <v>1345</v>
      </c>
      <c r="E622" s="1059">
        <v>3</v>
      </c>
      <c r="F622" s="1297" t="s">
        <v>1078</v>
      </c>
      <c r="G622" s="1057" t="s">
        <v>1036</v>
      </c>
      <c r="H622" s="1058"/>
      <c r="I622" s="1057">
        <v>1</v>
      </c>
      <c r="J622" s="1058"/>
      <c r="K622" s="1058"/>
      <c r="L622" s="1058"/>
      <c r="M622" s="1636">
        <v>0</v>
      </c>
      <c r="N622" s="1636"/>
      <c r="O622" s="1636">
        <v>0</v>
      </c>
      <c r="P622" s="1636">
        <v>0</v>
      </c>
      <c r="Q622" s="1636">
        <v>0</v>
      </c>
      <c r="R622" s="1636">
        <v>0</v>
      </c>
      <c r="S622" s="1636">
        <v>1469.5</v>
      </c>
      <c r="U622" s="1656">
        <v>7.5999999999999998E-2</v>
      </c>
      <c r="V622" s="1657">
        <v>0</v>
      </c>
      <c r="W622" s="1657">
        <v>7.5999999999999998E-2</v>
      </c>
      <c r="X622" s="1657">
        <v>0</v>
      </c>
      <c r="Y622" s="1658">
        <v>0</v>
      </c>
    </row>
    <row r="623" spans="3:25" ht="13.95" customHeight="1" x14ac:dyDescent="0.3">
      <c r="C623" s="1057">
        <v>609</v>
      </c>
      <c r="D623" s="1058" t="s">
        <v>1346</v>
      </c>
      <c r="E623" s="1059">
        <v>2</v>
      </c>
      <c r="F623" s="1297" t="s">
        <v>1067</v>
      </c>
      <c r="G623" s="1057" t="s">
        <v>1036</v>
      </c>
      <c r="H623" s="1058"/>
      <c r="I623" s="1057">
        <v>0</v>
      </c>
      <c r="J623" s="1058"/>
      <c r="K623" s="1058"/>
      <c r="L623" s="1058"/>
      <c r="M623" s="1636">
        <v>0</v>
      </c>
      <c r="N623" s="1636"/>
      <c r="O623" s="1636">
        <v>0</v>
      </c>
      <c r="P623" s="1636">
        <v>0</v>
      </c>
      <c r="Q623" s="1636">
        <v>0</v>
      </c>
      <c r="R623" s="1636">
        <v>0</v>
      </c>
      <c r="S623" s="1636">
        <v>681.9</v>
      </c>
      <c r="U623" s="1656">
        <v>0.104584</v>
      </c>
      <c r="V623" s="1657">
        <v>0</v>
      </c>
      <c r="W623" s="1657">
        <v>0.104584</v>
      </c>
      <c r="X623" s="1657">
        <v>0</v>
      </c>
      <c r="Y623" s="1658">
        <v>0</v>
      </c>
    </row>
    <row r="624" spans="3:25" ht="13.95" customHeight="1" x14ac:dyDescent="0.3">
      <c r="C624" s="1057">
        <v>610</v>
      </c>
      <c r="D624" s="1058" t="s">
        <v>1347</v>
      </c>
      <c r="E624" s="1059">
        <v>4</v>
      </c>
      <c r="F624" s="1297" t="s">
        <v>1114</v>
      </c>
      <c r="G624" s="1057" t="s">
        <v>1036</v>
      </c>
      <c r="H624" s="1058"/>
      <c r="I624" s="1057">
        <v>32</v>
      </c>
      <c r="J624" s="1058"/>
      <c r="K624" s="1058"/>
      <c r="L624" s="1058"/>
      <c r="M624" s="1636">
        <v>1535.7</v>
      </c>
      <c r="N624" s="1636"/>
      <c r="O624" s="1636">
        <v>1535.7</v>
      </c>
      <c r="P624" s="1636">
        <v>0</v>
      </c>
      <c r="Q624" s="1636">
        <v>0</v>
      </c>
      <c r="R624" s="1636">
        <v>0</v>
      </c>
      <c r="S624" s="1636">
        <v>0</v>
      </c>
      <c r="U624" s="1656">
        <v>9.9594279999999993E-2</v>
      </c>
      <c r="V624" s="1657">
        <v>0</v>
      </c>
      <c r="W624" s="1657">
        <v>9.9594279999999993E-2</v>
      </c>
      <c r="X624" s="1657">
        <v>0</v>
      </c>
      <c r="Y624" s="1658">
        <v>0</v>
      </c>
    </row>
    <row r="625" spans="3:25" ht="13.95" customHeight="1" x14ac:dyDescent="0.3">
      <c r="C625" s="1057">
        <v>611</v>
      </c>
      <c r="D625" s="1058" t="s">
        <v>1348</v>
      </c>
      <c r="E625" s="1059">
        <v>4</v>
      </c>
      <c r="F625" s="1297" t="s">
        <v>1114</v>
      </c>
      <c r="G625" s="1057" t="s">
        <v>1036</v>
      </c>
      <c r="H625" s="1058"/>
      <c r="I625" s="1057">
        <v>32</v>
      </c>
      <c r="J625" s="1058"/>
      <c r="K625" s="1058"/>
      <c r="L625" s="1058"/>
      <c r="M625" s="1636">
        <v>1456.7</v>
      </c>
      <c r="N625" s="1636"/>
      <c r="O625" s="1636">
        <v>1456.7</v>
      </c>
      <c r="P625" s="1636">
        <v>0</v>
      </c>
      <c r="Q625" s="1636">
        <v>0</v>
      </c>
      <c r="R625" s="1636">
        <v>0</v>
      </c>
      <c r="S625" s="1636">
        <v>0</v>
      </c>
      <c r="U625" s="1656">
        <v>0.10409184</v>
      </c>
      <c r="V625" s="1657">
        <v>0</v>
      </c>
      <c r="W625" s="1657">
        <v>0.10409184</v>
      </c>
      <c r="X625" s="1657">
        <v>2.8477392770057302E-3</v>
      </c>
      <c r="Y625" s="1658">
        <v>46</v>
      </c>
    </row>
    <row r="626" spans="3:25" ht="13.95" customHeight="1" x14ac:dyDescent="0.3">
      <c r="C626" s="1057">
        <v>612</v>
      </c>
      <c r="D626" s="1058" t="s">
        <v>1349</v>
      </c>
      <c r="E626" s="1059">
        <v>4</v>
      </c>
      <c r="F626" s="1297" t="s">
        <v>1065</v>
      </c>
      <c r="G626" s="1057" t="s">
        <v>1036</v>
      </c>
      <c r="H626" s="1058"/>
      <c r="I626" s="1057">
        <v>32</v>
      </c>
      <c r="J626" s="1058"/>
      <c r="K626" s="1058"/>
      <c r="L626" s="1058"/>
      <c r="M626" s="1636">
        <v>1445.5</v>
      </c>
      <c r="N626" s="1636"/>
      <c r="O626" s="1636">
        <v>1445.5</v>
      </c>
      <c r="P626" s="1636">
        <v>0</v>
      </c>
      <c r="Q626" s="1636">
        <v>0</v>
      </c>
      <c r="R626" s="1636">
        <v>0</v>
      </c>
      <c r="S626" s="1636">
        <v>0</v>
      </c>
      <c r="U626" s="1656">
        <v>7.8717229999999999E-2</v>
      </c>
      <c r="V626" s="1657">
        <v>0</v>
      </c>
      <c r="W626" s="1657">
        <v>7.8717229999999999E-2</v>
      </c>
      <c r="X626" s="1657">
        <v>2.1681940029228135E-3</v>
      </c>
      <c r="Y626" s="1658">
        <v>46</v>
      </c>
    </row>
    <row r="627" spans="3:25" ht="13.95" customHeight="1" x14ac:dyDescent="0.3">
      <c r="C627" s="1057">
        <v>613</v>
      </c>
      <c r="D627" s="1058" t="s">
        <v>1350</v>
      </c>
      <c r="E627" s="1059">
        <v>1</v>
      </c>
      <c r="F627" s="1297" t="s">
        <v>1061</v>
      </c>
      <c r="G627" s="1057" t="s">
        <v>1036</v>
      </c>
      <c r="H627" s="1058"/>
      <c r="I627" s="1057">
        <v>0</v>
      </c>
      <c r="J627" s="1058"/>
      <c r="K627" s="1058"/>
      <c r="L627" s="1058"/>
      <c r="M627" s="1636">
        <v>0</v>
      </c>
      <c r="N627" s="1636"/>
      <c r="O627" s="1636">
        <v>0</v>
      </c>
      <c r="P627" s="1636">
        <v>0</v>
      </c>
      <c r="Q627" s="1636">
        <v>0</v>
      </c>
      <c r="R627" s="1636">
        <v>0</v>
      </c>
      <c r="S627" s="1636">
        <v>102.1</v>
      </c>
      <c r="U627" s="1656">
        <v>9.1450000000000004E-3</v>
      </c>
      <c r="V627" s="1657">
        <v>0</v>
      </c>
      <c r="W627" s="1657">
        <v>9.1450000000000004E-3</v>
      </c>
      <c r="X627" s="1657">
        <v>0</v>
      </c>
      <c r="Y627" s="1658">
        <v>0</v>
      </c>
    </row>
    <row r="628" spans="3:25" ht="13.95" customHeight="1" x14ac:dyDescent="0.3">
      <c r="C628" s="1057">
        <v>614</v>
      </c>
      <c r="D628" s="1058" t="s">
        <v>1350</v>
      </c>
      <c r="E628" s="1059">
        <v>1</v>
      </c>
      <c r="F628" s="1297" t="s">
        <v>1061</v>
      </c>
      <c r="G628" s="1057" t="s">
        <v>1036</v>
      </c>
      <c r="H628" s="1058"/>
      <c r="I628" s="1057">
        <v>1</v>
      </c>
      <c r="J628" s="1058"/>
      <c r="K628" s="1058"/>
      <c r="L628" s="1058"/>
      <c r="M628" s="1636">
        <v>0</v>
      </c>
      <c r="N628" s="1636"/>
      <c r="O628" s="1636">
        <v>0</v>
      </c>
      <c r="P628" s="1636">
        <v>0</v>
      </c>
      <c r="Q628" s="1636">
        <v>0</v>
      </c>
      <c r="R628" s="1636">
        <v>0</v>
      </c>
      <c r="S628" s="1636">
        <v>73.599999999999994</v>
      </c>
      <c r="U628" s="1656">
        <v>6.5919999999999998E-3</v>
      </c>
      <c r="V628" s="1657">
        <v>0</v>
      </c>
      <c r="W628" s="1657">
        <v>6.5919999999999998E-3</v>
      </c>
      <c r="X628" s="1657">
        <v>0</v>
      </c>
      <c r="Y628" s="1658">
        <v>0</v>
      </c>
    </row>
    <row r="629" spans="3:25" ht="13.95" customHeight="1" x14ac:dyDescent="0.3">
      <c r="C629" s="1057">
        <v>615</v>
      </c>
      <c r="D629" s="1058" t="s">
        <v>1350</v>
      </c>
      <c r="E629" s="1059">
        <v>1</v>
      </c>
      <c r="F629" s="1297" t="s">
        <v>1061</v>
      </c>
      <c r="G629" s="1057" t="s">
        <v>1036</v>
      </c>
      <c r="H629" s="1058"/>
      <c r="I629" s="1057">
        <v>1</v>
      </c>
      <c r="J629" s="1058"/>
      <c r="K629" s="1058"/>
      <c r="L629" s="1058"/>
      <c r="M629" s="1636">
        <v>0</v>
      </c>
      <c r="N629" s="1636"/>
      <c r="O629" s="1636">
        <v>0</v>
      </c>
      <c r="P629" s="1636">
        <v>0</v>
      </c>
      <c r="Q629" s="1636">
        <v>0</v>
      </c>
      <c r="R629" s="1636">
        <v>0</v>
      </c>
      <c r="S629" s="1636">
        <v>30.5</v>
      </c>
      <c r="U629" s="1656">
        <v>2.8211E-3</v>
      </c>
      <c r="V629" s="1657">
        <v>0</v>
      </c>
      <c r="W629" s="1657">
        <v>2.8211E-3</v>
      </c>
      <c r="X629" s="1657">
        <v>0</v>
      </c>
      <c r="Y629" s="1658">
        <v>0</v>
      </c>
    </row>
    <row r="630" spans="3:25" ht="13.95" customHeight="1" x14ac:dyDescent="0.3">
      <c r="C630" s="1057">
        <v>616</v>
      </c>
      <c r="D630" s="1058" t="s">
        <v>1350</v>
      </c>
      <c r="E630" s="1059">
        <v>1</v>
      </c>
      <c r="F630" s="1297" t="s">
        <v>1061</v>
      </c>
      <c r="G630" s="1057" t="s">
        <v>1036</v>
      </c>
      <c r="H630" s="1058"/>
      <c r="I630" s="1057">
        <v>1</v>
      </c>
      <c r="J630" s="1058"/>
      <c r="K630" s="1058"/>
      <c r="L630" s="1058"/>
      <c r="M630" s="1636">
        <v>0</v>
      </c>
      <c r="N630" s="1636"/>
      <c r="O630" s="1636">
        <v>0</v>
      </c>
      <c r="P630" s="1636">
        <v>0</v>
      </c>
      <c r="Q630" s="1636">
        <v>0</v>
      </c>
      <c r="R630" s="1636">
        <v>0</v>
      </c>
      <c r="S630" s="1636">
        <v>40.119999999999997</v>
      </c>
      <c r="U630" s="1656">
        <v>3.5999999999999999E-3</v>
      </c>
      <c r="V630" s="1657">
        <v>0</v>
      </c>
      <c r="W630" s="1657">
        <v>3.5999999999999999E-3</v>
      </c>
      <c r="X630" s="1657">
        <v>0</v>
      </c>
      <c r="Y630" s="1658">
        <v>0</v>
      </c>
    </row>
    <row r="631" spans="3:25" ht="13.95" customHeight="1" x14ac:dyDescent="0.3">
      <c r="C631" s="1057">
        <v>617</v>
      </c>
      <c r="D631" s="1058" t="s">
        <v>1351</v>
      </c>
      <c r="E631" s="1059">
        <v>5</v>
      </c>
      <c r="F631" s="1297" t="s">
        <v>1352</v>
      </c>
      <c r="G631" s="1057" t="s">
        <v>1036</v>
      </c>
      <c r="H631" s="1058"/>
      <c r="I631" s="1057">
        <v>37</v>
      </c>
      <c r="J631" s="1058"/>
      <c r="K631" s="1058"/>
      <c r="L631" s="1058"/>
      <c r="M631" s="1636">
        <v>1812.2</v>
      </c>
      <c r="N631" s="1636"/>
      <c r="O631" s="1636">
        <v>1685.1</v>
      </c>
      <c r="P631" s="1636">
        <v>0</v>
      </c>
      <c r="Q631" s="1636">
        <v>0</v>
      </c>
      <c r="R631" s="1636">
        <v>0</v>
      </c>
      <c r="S631" s="1636">
        <v>0</v>
      </c>
      <c r="U631" s="1656">
        <v>0.10713311</v>
      </c>
      <c r="V631" s="1657">
        <v>0</v>
      </c>
      <c r="W631" s="1657">
        <v>0.10713311</v>
      </c>
      <c r="X631" s="1657">
        <v>0</v>
      </c>
      <c r="Y631" s="1658">
        <v>0</v>
      </c>
    </row>
    <row r="632" spans="3:25" ht="13.95" customHeight="1" x14ac:dyDescent="0.3">
      <c r="C632" s="1057">
        <v>618</v>
      </c>
      <c r="D632" s="1058" t="s">
        <v>1351</v>
      </c>
      <c r="E632" s="1059">
        <v>5</v>
      </c>
      <c r="F632" s="1297" t="s">
        <v>1352</v>
      </c>
      <c r="G632" s="1057" t="s">
        <v>1036</v>
      </c>
      <c r="H632" s="1058"/>
      <c r="I632" s="1057">
        <v>0</v>
      </c>
      <c r="J632" s="1058"/>
      <c r="K632" s="1058"/>
      <c r="L632" s="1058"/>
      <c r="M632" s="1636">
        <v>0</v>
      </c>
      <c r="N632" s="1636"/>
      <c r="O632" s="1636">
        <v>0</v>
      </c>
      <c r="P632" s="1636">
        <v>0</v>
      </c>
      <c r="Q632" s="1636">
        <v>44</v>
      </c>
      <c r="R632" s="1636">
        <v>0</v>
      </c>
      <c r="S632" s="1636">
        <v>0</v>
      </c>
      <c r="U632" s="1656">
        <v>4.241E-3</v>
      </c>
      <c r="V632" s="1657">
        <v>0</v>
      </c>
      <c r="W632" s="1657">
        <v>4.241E-3</v>
      </c>
      <c r="X632" s="1657">
        <v>0</v>
      </c>
      <c r="Y632" s="1658">
        <v>0</v>
      </c>
    </row>
    <row r="633" spans="3:25" ht="13.95" customHeight="1" x14ac:dyDescent="0.3">
      <c r="C633" s="1057">
        <v>619</v>
      </c>
      <c r="D633" s="1058" t="s">
        <v>1351</v>
      </c>
      <c r="E633" s="1059">
        <v>5</v>
      </c>
      <c r="F633" s="1297" t="s">
        <v>1352</v>
      </c>
      <c r="G633" s="1057" t="s">
        <v>1036</v>
      </c>
      <c r="H633" s="1058"/>
      <c r="I633" s="1629">
        <v>0</v>
      </c>
      <c r="J633" s="1058"/>
      <c r="K633" s="1058"/>
      <c r="L633" s="1058"/>
      <c r="M633" s="1636">
        <v>0</v>
      </c>
      <c r="N633" s="1636"/>
      <c r="O633" s="1636">
        <v>0</v>
      </c>
      <c r="P633" s="1636">
        <v>0</v>
      </c>
      <c r="Q633" s="1636">
        <v>41</v>
      </c>
      <c r="R633" s="1636">
        <v>0</v>
      </c>
      <c r="S633" s="1636">
        <v>0</v>
      </c>
      <c r="U633" s="1656">
        <v>2.4789999999999999E-3</v>
      </c>
      <c r="V633" s="1657">
        <v>0</v>
      </c>
      <c r="W633" s="1657">
        <v>2.4789999999999999E-3</v>
      </c>
      <c r="X633" s="1657">
        <v>0</v>
      </c>
      <c r="Y633" s="1658">
        <v>0</v>
      </c>
    </row>
    <row r="634" spans="3:25" ht="13.95" customHeight="1" x14ac:dyDescent="0.3">
      <c r="C634" s="1057">
        <v>620</v>
      </c>
      <c r="D634" s="1058" t="s">
        <v>1351</v>
      </c>
      <c r="E634" s="1059">
        <v>5</v>
      </c>
      <c r="F634" s="1297" t="s">
        <v>1352</v>
      </c>
      <c r="G634" s="1057" t="s">
        <v>1036</v>
      </c>
      <c r="H634" s="1058"/>
      <c r="I634" s="1057">
        <v>1</v>
      </c>
      <c r="J634" s="1058"/>
      <c r="K634" s="1058"/>
      <c r="L634" s="1058"/>
      <c r="M634" s="1636">
        <v>0</v>
      </c>
      <c r="N634" s="1636"/>
      <c r="O634" s="1636">
        <v>0</v>
      </c>
      <c r="P634" s="1636">
        <v>0</v>
      </c>
      <c r="Q634" s="1636">
        <v>42.5</v>
      </c>
      <c r="R634" s="1636">
        <v>0</v>
      </c>
      <c r="S634" s="1636">
        <v>0</v>
      </c>
      <c r="U634" s="1656">
        <v>2.3999999999999998E-3</v>
      </c>
      <c r="V634" s="1657">
        <v>0</v>
      </c>
      <c r="W634" s="1657">
        <v>2.3999999999999998E-3</v>
      </c>
      <c r="X634" s="1657">
        <v>0</v>
      </c>
      <c r="Y634" s="1658">
        <v>0</v>
      </c>
    </row>
    <row r="635" spans="3:25" ht="13.95" customHeight="1" x14ac:dyDescent="0.3">
      <c r="C635" s="1057">
        <v>621</v>
      </c>
      <c r="D635" s="1058" t="s">
        <v>1353</v>
      </c>
      <c r="E635" s="1059">
        <v>1</v>
      </c>
      <c r="F635" s="1297" t="s">
        <v>1061</v>
      </c>
      <c r="G635" s="1057" t="s">
        <v>1036</v>
      </c>
      <c r="H635" s="1058"/>
      <c r="I635" s="1057">
        <v>1</v>
      </c>
      <c r="J635" s="1058"/>
      <c r="K635" s="1058"/>
      <c r="L635" s="1058"/>
      <c r="M635" s="1636">
        <v>0</v>
      </c>
      <c r="N635" s="1636"/>
      <c r="O635" s="1636">
        <v>0</v>
      </c>
      <c r="P635" s="1636">
        <v>0</v>
      </c>
      <c r="Q635" s="1636">
        <v>0</v>
      </c>
      <c r="R635" s="1636">
        <v>0</v>
      </c>
      <c r="S635" s="1636">
        <v>1700.7</v>
      </c>
      <c r="U635" s="1656">
        <v>0.22800000000000001</v>
      </c>
      <c r="V635" s="1657">
        <v>0</v>
      </c>
      <c r="W635" s="1657">
        <v>0.22800000000000001</v>
      </c>
      <c r="X635" s="1657">
        <v>0</v>
      </c>
      <c r="Y635" s="1658">
        <v>0</v>
      </c>
    </row>
    <row r="636" spans="3:25" ht="13.95" customHeight="1" x14ac:dyDescent="0.3">
      <c r="C636" s="1057">
        <v>622</v>
      </c>
      <c r="D636" s="1058" t="s">
        <v>1354</v>
      </c>
      <c r="E636" s="1059">
        <v>3</v>
      </c>
      <c r="F636" s="1297" t="s">
        <v>1063</v>
      </c>
      <c r="G636" s="1057" t="s">
        <v>1036</v>
      </c>
      <c r="H636" s="1058"/>
      <c r="I636" s="1057">
        <v>12</v>
      </c>
      <c r="J636" s="1058"/>
      <c r="K636" s="1058"/>
      <c r="L636" s="1058"/>
      <c r="M636" s="1636">
        <v>556.20000000000005</v>
      </c>
      <c r="N636" s="1636"/>
      <c r="O636" s="1636">
        <v>556.20000000000005</v>
      </c>
      <c r="P636" s="1636">
        <v>0</v>
      </c>
      <c r="Q636" s="1636">
        <v>0</v>
      </c>
      <c r="R636" s="1636">
        <v>0</v>
      </c>
      <c r="S636" s="1636">
        <v>0</v>
      </c>
      <c r="U636" s="1656">
        <v>4.2040130000000002E-2</v>
      </c>
      <c r="V636" s="1657">
        <v>0</v>
      </c>
      <c r="W636" s="1657">
        <v>4.2040130000000002E-2</v>
      </c>
      <c r="X636" s="1657">
        <v>2.7743535812630553E-3</v>
      </c>
      <c r="Y636" s="1658">
        <v>45</v>
      </c>
    </row>
    <row r="637" spans="3:25" ht="13.95" customHeight="1" x14ac:dyDescent="0.3">
      <c r="C637" s="1057">
        <v>623</v>
      </c>
      <c r="D637" s="1058" t="s">
        <v>1355</v>
      </c>
      <c r="E637" s="1059">
        <v>1</v>
      </c>
      <c r="F637" s="1297" t="s">
        <v>1080</v>
      </c>
      <c r="G637" s="1057" t="s">
        <v>1356</v>
      </c>
      <c r="H637" s="1058"/>
      <c r="I637" s="1057">
        <v>1</v>
      </c>
      <c r="J637" s="1058"/>
      <c r="K637" s="1058"/>
      <c r="L637" s="1058"/>
      <c r="M637" s="1636">
        <v>0</v>
      </c>
      <c r="N637" s="1636"/>
      <c r="O637" s="1636">
        <v>0</v>
      </c>
      <c r="P637" s="1636">
        <v>0</v>
      </c>
      <c r="Q637" s="1636">
        <v>0</v>
      </c>
      <c r="R637" s="1636">
        <v>0</v>
      </c>
      <c r="S637" s="1636">
        <v>242.5</v>
      </c>
      <c r="U637" s="1656">
        <v>1.95E-2</v>
      </c>
      <c r="V637" s="1657">
        <v>0</v>
      </c>
      <c r="W637" s="1657">
        <v>1.95E-2</v>
      </c>
      <c r="X637" s="1657">
        <v>0</v>
      </c>
      <c r="Y637" s="1658">
        <v>0</v>
      </c>
    </row>
    <row r="638" spans="3:25" ht="13.95" customHeight="1" x14ac:dyDescent="0.3">
      <c r="C638" s="1057">
        <v>624</v>
      </c>
      <c r="D638" s="1058" t="s">
        <v>1355</v>
      </c>
      <c r="E638" s="1059">
        <v>1</v>
      </c>
      <c r="F638" s="1297" t="s">
        <v>1080</v>
      </c>
      <c r="G638" s="1057" t="s">
        <v>1356</v>
      </c>
      <c r="H638" s="1058"/>
      <c r="I638" s="1629">
        <v>0</v>
      </c>
      <c r="J638" s="1058"/>
      <c r="K638" s="1058"/>
      <c r="L638" s="1058"/>
      <c r="M638" s="1636">
        <v>0</v>
      </c>
      <c r="N638" s="1636"/>
      <c r="O638" s="1636">
        <v>0</v>
      </c>
      <c r="P638" s="1636">
        <v>0</v>
      </c>
      <c r="Q638" s="1636">
        <v>0</v>
      </c>
      <c r="R638" s="1636">
        <v>0</v>
      </c>
      <c r="S638" s="1636">
        <v>562.5</v>
      </c>
      <c r="U638" s="1656">
        <v>3.117E-2</v>
      </c>
      <c r="V638" s="1657">
        <v>0</v>
      </c>
      <c r="W638" s="1657">
        <v>3.117E-2</v>
      </c>
      <c r="X638" s="1657">
        <v>0</v>
      </c>
      <c r="Y638" s="1658">
        <v>0</v>
      </c>
    </row>
    <row r="639" spans="3:25" ht="13.95" customHeight="1" x14ac:dyDescent="0.3">
      <c r="C639" s="1057">
        <v>625</v>
      </c>
      <c r="D639" s="1058" t="s">
        <v>1355</v>
      </c>
      <c r="E639" s="1059">
        <v>1</v>
      </c>
      <c r="F639" s="1297" t="s">
        <v>1080</v>
      </c>
      <c r="G639" s="1057" t="s">
        <v>1356</v>
      </c>
      <c r="H639" s="1058"/>
      <c r="I639" s="1057">
        <v>1</v>
      </c>
      <c r="J639" s="1058"/>
      <c r="K639" s="1058"/>
      <c r="L639" s="1058"/>
      <c r="M639" s="1636">
        <v>0</v>
      </c>
      <c r="N639" s="1636"/>
      <c r="O639" s="1636">
        <v>0</v>
      </c>
      <c r="P639" s="1636">
        <v>0</v>
      </c>
      <c r="Q639" s="1636">
        <v>0</v>
      </c>
      <c r="R639" s="1636">
        <v>0</v>
      </c>
      <c r="S639" s="1636">
        <v>105</v>
      </c>
      <c r="U639" s="1656">
        <v>1.33E-3</v>
      </c>
      <c r="V639" s="1657">
        <v>0</v>
      </c>
      <c r="W639" s="1657">
        <v>1.33E-3</v>
      </c>
      <c r="X639" s="1657">
        <v>0</v>
      </c>
      <c r="Y639" s="1658">
        <v>0</v>
      </c>
    </row>
    <row r="640" spans="3:25" ht="13.95" customHeight="1" x14ac:dyDescent="0.3">
      <c r="C640" s="1057">
        <v>626</v>
      </c>
      <c r="D640" s="1058" t="s">
        <v>1357</v>
      </c>
      <c r="E640" s="1059">
        <v>2</v>
      </c>
      <c r="F640" s="1297" t="s">
        <v>1111</v>
      </c>
      <c r="G640" s="1057" t="s">
        <v>1036</v>
      </c>
      <c r="H640" s="1058"/>
      <c r="I640" s="1057">
        <v>51</v>
      </c>
      <c r="J640" s="1058"/>
      <c r="K640" s="1058"/>
      <c r="L640" s="1058"/>
      <c r="M640" s="1636">
        <v>3065.5</v>
      </c>
      <c r="N640" s="1636"/>
      <c r="O640" s="1636">
        <v>2713.3</v>
      </c>
      <c r="P640" s="1636">
        <v>47.2</v>
      </c>
      <c r="Q640" s="1636">
        <v>0</v>
      </c>
      <c r="R640" s="1636">
        <v>0</v>
      </c>
      <c r="S640" s="1636">
        <v>0</v>
      </c>
      <c r="U640" s="1656">
        <v>0.197237</v>
      </c>
      <c r="V640" s="1657">
        <v>6.0411353364925071E-5</v>
      </c>
      <c r="W640" s="1657">
        <v>0.19717658864663506</v>
      </c>
      <c r="X640" s="1657">
        <v>3.8129547205391586E-3</v>
      </c>
      <c r="Y640" s="1658">
        <v>60</v>
      </c>
    </row>
    <row r="641" spans="3:25" ht="13.95" customHeight="1" x14ac:dyDescent="0.3">
      <c r="C641" s="1057">
        <v>627</v>
      </c>
      <c r="D641" s="1058" t="s">
        <v>1357</v>
      </c>
      <c r="E641" s="1059">
        <v>2</v>
      </c>
      <c r="F641" s="1297" t="s">
        <v>1111</v>
      </c>
      <c r="G641" s="1057" t="s">
        <v>1036</v>
      </c>
      <c r="H641" s="1058"/>
      <c r="I641" s="1057">
        <v>1</v>
      </c>
      <c r="J641" s="1058"/>
      <c r="K641" s="1058"/>
      <c r="L641" s="1058"/>
      <c r="M641" s="1636">
        <v>0</v>
      </c>
      <c r="N641" s="1636"/>
      <c r="O641" s="1636">
        <v>0</v>
      </c>
      <c r="P641" s="1636">
        <v>0</v>
      </c>
      <c r="Q641" s="1636">
        <v>32.5</v>
      </c>
      <c r="R641" s="1636">
        <v>0</v>
      </c>
      <c r="S641" s="1636">
        <v>0</v>
      </c>
      <c r="U641" s="1656">
        <v>2.5536E-2</v>
      </c>
      <c r="V641" s="1657">
        <v>0</v>
      </c>
      <c r="W641" s="1657">
        <v>2.5536E-2</v>
      </c>
      <c r="X641" s="1657">
        <v>0</v>
      </c>
      <c r="Y641" s="1658">
        <v>0</v>
      </c>
    </row>
    <row r="642" spans="3:25" ht="13.95" customHeight="1" x14ac:dyDescent="0.3">
      <c r="C642" s="1057">
        <v>628</v>
      </c>
      <c r="D642" s="1058" t="s">
        <v>1357</v>
      </c>
      <c r="E642" s="1059">
        <v>2</v>
      </c>
      <c r="F642" s="1297" t="s">
        <v>1111</v>
      </c>
      <c r="G642" s="1057" t="s">
        <v>1036</v>
      </c>
      <c r="H642" s="1058"/>
      <c r="I642" s="1057">
        <v>1</v>
      </c>
      <c r="J642" s="1058"/>
      <c r="K642" s="1058"/>
      <c r="L642" s="1058"/>
      <c r="M642" s="1636">
        <v>0</v>
      </c>
      <c r="N642" s="1636"/>
      <c r="O642" s="1636">
        <v>0</v>
      </c>
      <c r="P642" s="1636">
        <v>0</v>
      </c>
      <c r="Q642" s="1636">
        <v>64.5</v>
      </c>
      <c r="R642" s="1636">
        <v>0</v>
      </c>
      <c r="S642" s="1636">
        <v>0</v>
      </c>
      <c r="U642" s="1656">
        <v>5.9280000000000001E-3</v>
      </c>
      <c r="V642" s="1657">
        <v>0</v>
      </c>
      <c r="W642" s="1657">
        <v>5.9280000000000001E-3</v>
      </c>
      <c r="X642" s="1657">
        <v>0</v>
      </c>
      <c r="Y642" s="1658">
        <v>0</v>
      </c>
    </row>
    <row r="643" spans="3:25" ht="13.95" customHeight="1" x14ac:dyDescent="0.3">
      <c r="C643" s="1057">
        <v>629</v>
      </c>
      <c r="D643" s="1058" t="s">
        <v>1357</v>
      </c>
      <c r="E643" s="1059">
        <v>2</v>
      </c>
      <c r="F643" s="1297" t="s">
        <v>1111</v>
      </c>
      <c r="G643" s="1057" t="s">
        <v>1036</v>
      </c>
      <c r="H643" s="1058"/>
      <c r="I643" s="1057">
        <v>1</v>
      </c>
      <c r="J643" s="1058"/>
      <c r="K643" s="1058"/>
      <c r="L643" s="1058"/>
      <c r="M643" s="1636">
        <v>0</v>
      </c>
      <c r="N643" s="1636"/>
      <c r="O643" s="1636">
        <v>0</v>
      </c>
      <c r="P643" s="1636">
        <v>0</v>
      </c>
      <c r="Q643" s="1636">
        <v>121.1</v>
      </c>
      <c r="R643" s="1636">
        <v>0</v>
      </c>
      <c r="S643" s="1636">
        <v>0</v>
      </c>
      <c r="U643" s="1656">
        <v>5.5370000000000003E-3</v>
      </c>
      <c r="V643" s="1657">
        <v>0</v>
      </c>
      <c r="W643" s="1657">
        <v>5.5370000000000003E-3</v>
      </c>
      <c r="X643" s="1657">
        <v>0</v>
      </c>
      <c r="Y643" s="1658">
        <v>0</v>
      </c>
    </row>
    <row r="644" spans="3:25" ht="13.95" customHeight="1" x14ac:dyDescent="0.3">
      <c r="C644" s="1057">
        <v>630</v>
      </c>
      <c r="D644" s="1058" t="s">
        <v>1357</v>
      </c>
      <c r="E644" s="1059">
        <v>2</v>
      </c>
      <c r="F644" s="1297" t="s">
        <v>1111</v>
      </c>
      <c r="G644" s="1057" t="s">
        <v>1036</v>
      </c>
      <c r="H644" s="1058"/>
      <c r="I644" s="1057">
        <v>0</v>
      </c>
      <c r="J644" s="1058"/>
      <c r="K644" s="1058"/>
      <c r="L644" s="1058"/>
      <c r="M644" s="1636">
        <v>0</v>
      </c>
      <c r="N644" s="1636"/>
      <c r="O644" s="1636">
        <v>0</v>
      </c>
      <c r="P644" s="1636">
        <v>0</v>
      </c>
      <c r="Q644" s="1636">
        <v>86.9</v>
      </c>
      <c r="R644" s="1636">
        <v>0</v>
      </c>
      <c r="S644" s="1636">
        <v>0</v>
      </c>
      <c r="U644" s="1656">
        <v>1.433E-3</v>
      </c>
      <c r="V644" s="1657">
        <v>0</v>
      </c>
      <c r="W644" s="1657">
        <v>1.433E-3</v>
      </c>
      <c r="X644" s="1657">
        <v>0</v>
      </c>
      <c r="Y644" s="1658">
        <v>0</v>
      </c>
    </row>
    <row r="645" spans="3:25" ht="13.95" customHeight="1" x14ac:dyDescent="0.3">
      <c r="C645" s="1057">
        <v>631</v>
      </c>
      <c r="D645" s="1058" t="s">
        <v>1358</v>
      </c>
      <c r="E645" s="1059">
        <v>2</v>
      </c>
      <c r="F645" s="1297" t="s">
        <v>1359</v>
      </c>
      <c r="G645" s="1057" t="s">
        <v>1036</v>
      </c>
      <c r="H645" s="1058"/>
      <c r="I645" s="1057">
        <v>23</v>
      </c>
      <c r="J645" s="1058"/>
      <c r="K645" s="1058"/>
      <c r="L645" s="1058"/>
      <c r="M645" s="1636">
        <v>1245.2</v>
      </c>
      <c r="N645" s="1636"/>
      <c r="O645" s="1636">
        <v>1183.9000000000001</v>
      </c>
      <c r="P645" s="1636">
        <v>0</v>
      </c>
      <c r="Q645" s="1636">
        <v>0</v>
      </c>
      <c r="R645" s="1636">
        <v>0</v>
      </c>
      <c r="S645" s="1636">
        <v>0</v>
      </c>
      <c r="U645" s="1656">
        <v>7.3564850000000001E-2</v>
      </c>
      <c r="V645" s="1657">
        <v>0</v>
      </c>
      <c r="W645" s="1657">
        <v>7.3564850000000001E-2</v>
      </c>
      <c r="X645" s="1657">
        <v>2.9747855930090578E-3</v>
      </c>
      <c r="Y645" s="1658">
        <v>56</v>
      </c>
    </row>
    <row r="646" spans="3:25" ht="13.95" customHeight="1" x14ac:dyDescent="0.3">
      <c r="C646" s="1057">
        <v>632</v>
      </c>
      <c r="D646" s="1058" t="s">
        <v>1358</v>
      </c>
      <c r="E646" s="1059">
        <v>2</v>
      </c>
      <c r="F646" s="1297" t="s">
        <v>1359</v>
      </c>
      <c r="G646" s="1057" t="s">
        <v>1036</v>
      </c>
      <c r="H646" s="1058"/>
      <c r="I646" s="1057">
        <v>1</v>
      </c>
      <c r="J646" s="1058"/>
      <c r="K646" s="1058"/>
      <c r="L646" s="1058"/>
      <c r="M646" s="1636">
        <v>0</v>
      </c>
      <c r="N646" s="1636"/>
      <c r="O646" s="1636">
        <v>0</v>
      </c>
      <c r="P646" s="1636">
        <v>0</v>
      </c>
      <c r="Q646" s="1636">
        <v>61.3</v>
      </c>
      <c r="R646" s="1636">
        <v>0</v>
      </c>
      <c r="S646" s="1636">
        <v>0</v>
      </c>
      <c r="U646" s="1656">
        <v>4.9981000000000001E-3</v>
      </c>
      <c r="V646" s="1657">
        <v>0</v>
      </c>
      <c r="W646" s="1657">
        <v>4.9981000000000001E-3</v>
      </c>
      <c r="X646" s="1657">
        <v>0</v>
      </c>
      <c r="Y646" s="1658">
        <v>0</v>
      </c>
    </row>
    <row r="647" spans="3:25" ht="13.95" customHeight="1" x14ac:dyDescent="0.3">
      <c r="C647" s="1057">
        <v>633</v>
      </c>
      <c r="D647" s="1058" t="s">
        <v>1360</v>
      </c>
      <c r="E647" s="1059">
        <v>2</v>
      </c>
      <c r="F647" s="1297" t="s">
        <v>1359</v>
      </c>
      <c r="G647" s="1057" t="s">
        <v>1036</v>
      </c>
      <c r="H647" s="1058"/>
      <c r="I647" s="1057">
        <v>26</v>
      </c>
      <c r="J647" s="1058"/>
      <c r="K647" s="1058"/>
      <c r="L647" s="1058"/>
      <c r="M647" s="1636">
        <v>1260.9000000000001</v>
      </c>
      <c r="N647" s="1636"/>
      <c r="O647" s="1636">
        <v>1260.9000000000001</v>
      </c>
      <c r="P647" s="1636">
        <v>0</v>
      </c>
      <c r="Q647" s="1636">
        <v>0</v>
      </c>
      <c r="R647" s="1636">
        <v>0</v>
      </c>
      <c r="S647" s="1636">
        <v>0</v>
      </c>
      <c r="U647" s="1656">
        <v>8.4728410000000004E-2</v>
      </c>
      <c r="V647" s="1657">
        <v>0</v>
      </c>
      <c r="W647" s="1657">
        <v>8.4728410000000004E-2</v>
      </c>
      <c r="X647" s="1657">
        <v>1.5336823488858787E-3</v>
      </c>
      <c r="Y647" s="1658">
        <v>28</v>
      </c>
    </row>
    <row r="648" spans="3:25" ht="13.95" customHeight="1" x14ac:dyDescent="0.3">
      <c r="C648" s="1057">
        <v>634</v>
      </c>
      <c r="D648" s="1058" t="s">
        <v>1361</v>
      </c>
      <c r="E648" s="1059">
        <v>3</v>
      </c>
      <c r="F648" s="1297" t="s">
        <v>1130</v>
      </c>
      <c r="G648" s="1057" t="s">
        <v>1036</v>
      </c>
      <c r="H648" s="1058"/>
      <c r="I648" s="1057">
        <v>1</v>
      </c>
      <c r="J648" s="1058"/>
      <c r="K648" s="1058"/>
      <c r="L648" s="1058"/>
      <c r="M648" s="1636">
        <v>0</v>
      </c>
      <c r="N648" s="1636"/>
      <c r="O648" s="1636">
        <v>0</v>
      </c>
      <c r="P648" s="1636">
        <v>0</v>
      </c>
      <c r="Q648" s="1636">
        <v>0</v>
      </c>
      <c r="R648" s="1636">
        <v>0</v>
      </c>
      <c r="S648" s="1636">
        <v>537.6</v>
      </c>
      <c r="U648" s="1656">
        <v>0.12715000000000001</v>
      </c>
      <c r="V648" s="1657">
        <v>0</v>
      </c>
      <c r="W648" s="1657">
        <v>0.12715000000000001</v>
      </c>
      <c r="X648" s="1657">
        <v>0</v>
      </c>
      <c r="Y648" s="1658">
        <v>0</v>
      </c>
    </row>
    <row r="649" spans="3:25" ht="13.95" customHeight="1" x14ac:dyDescent="0.3">
      <c r="C649" s="1057">
        <v>635</v>
      </c>
      <c r="D649" s="1058" t="s">
        <v>1361</v>
      </c>
      <c r="E649" s="1059">
        <v>3</v>
      </c>
      <c r="F649" s="1297" t="s">
        <v>1130</v>
      </c>
      <c r="G649" s="1057" t="s">
        <v>1036</v>
      </c>
      <c r="H649" s="1058"/>
      <c r="I649" s="1057">
        <v>1</v>
      </c>
      <c r="J649" s="1058"/>
      <c r="K649" s="1058"/>
      <c r="L649" s="1058"/>
      <c r="M649" s="1636">
        <v>0</v>
      </c>
      <c r="N649" s="1636"/>
      <c r="O649" s="1636">
        <v>0</v>
      </c>
      <c r="P649" s="1636">
        <v>0</v>
      </c>
      <c r="Q649" s="1636">
        <v>0</v>
      </c>
      <c r="R649" s="1636">
        <v>0</v>
      </c>
      <c r="S649" s="1636">
        <v>519.4</v>
      </c>
      <c r="U649" s="1656">
        <v>0.122846</v>
      </c>
      <c r="V649" s="1657">
        <v>0</v>
      </c>
      <c r="W649" s="1657">
        <v>0.122846</v>
      </c>
      <c r="X649" s="1657">
        <v>0</v>
      </c>
      <c r="Y649" s="1658">
        <v>0</v>
      </c>
    </row>
    <row r="650" spans="3:25" ht="13.95" customHeight="1" x14ac:dyDescent="0.3">
      <c r="C650" s="1057">
        <v>636</v>
      </c>
      <c r="D650" s="1058" t="s">
        <v>1362</v>
      </c>
      <c r="E650" s="1059">
        <v>2</v>
      </c>
      <c r="F650" s="1297" t="s">
        <v>1267</v>
      </c>
      <c r="G650" s="1057" t="s">
        <v>1036</v>
      </c>
      <c r="H650" s="1058"/>
      <c r="I650" s="1057">
        <v>0</v>
      </c>
      <c r="J650" s="1058"/>
      <c r="K650" s="1058"/>
      <c r="L650" s="1058"/>
      <c r="M650" s="1636">
        <v>0</v>
      </c>
      <c r="N650" s="1636"/>
      <c r="O650" s="1636">
        <v>0</v>
      </c>
      <c r="P650" s="1636">
        <v>0</v>
      </c>
      <c r="Q650" s="1636">
        <v>0</v>
      </c>
      <c r="R650" s="1636">
        <v>0</v>
      </c>
      <c r="S650" s="1636">
        <v>213.6</v>
      </c>
      <c r="U650" s="1656">
        <v>8.9999999999999993E-3</v>
      </c>
      <c r="V650" s="1657">
        <v>0</v>
      </c>
      <c r="W650" s="1657">
        <v>8.9999999999999993E-3</v>
      </c>
      <c r="X650" s="1657">
        <v>0</v>
      </c>
      <c r="Y650" s="1658">
        <v>0</v>
      </c>
    </row>
    <row r="651" spans="3:25" ht="13.95" customHeight="1" x14ac:dyDescent="0.3">
      <c r="C651" s="1057">
        <v>637</v>
      </c>
      <c r="D651" s="1058" t="s">
        <v>1363</v>
      </c>
      <c r="E651" s="1059">
        <v>2</v>
      </c>
      <c r="F651" s="1297" t="s">
        <v>1072</v>
      </c>
      <c r="G651" s="1057" t="s">
        <v>1036</v>
      </c>
      <c r="H651" s="1058"/>
      <c r="I651" s="1057">
        <v>2</v>
      </c>
      <c r="J651" s="1058"/>
      <c r="K651" s="1058"/>
      <c r="L651" s="1058"/>
      <c r="M651" s="1636">
        <v>779.7</v>
      </c>
      <c r="N651" s="1636"/>
      <c r="O651" s="1636">
        <v>89.7</v>
      </c>
      <c r="P651" s="1636">
        <v>0</v>
      </c>
      <c r="Q651" s="1636">
        <v>0</v>
      </c>
      <c r="R651" s="1636">
        <v>0</v>
      </c>
      <c r="S651" s="1636">
        <v>0</v>
      </c>
      <c r="U651" s="1656">
        <v>4.1136599999999999E-3</v>
      </c>
      <c r="V651" s="1657">
        <v>0</v>
      </c>
      <c r="W651" s="1657">
        <v>4.1136599999999999E-3</v>
      </c>
      <c r="X651" s="1657">
        <v>0</v>
      </c>
      <c r="Y651" s="1658">
        <v>0</v>
      </c>
    </row>
    <row r="652" spans="3:25" ht="13.95" customHeight="1" x14ac:dyDescent="0.3">
      <c r="C652" s="1057">
        <v>638</v>
      </c>
      <c r="D652" s="1058" t="s">
        <v>1363</v>
      </c>
      <c r="E652" s="1059">
        <v>2</v>
      </c>
      <c r="F652" s="1297" t="s">
        <v>1072</v>
      </c>
      <c r="G652" s="1057" t="s">
        <v>1036</v>
      </c>
      <c r="H652" s="1058"/>
      <c r="I652" s="1057">
        <v>1</v>
      </c>
      <c r="J652" s="1058"/>
      <c r="K652" s="1058"/>
      <c r="L652" s="1058"/>
      <c r="M652" s="1636">
        <v>0</v>
      </c>
      <c r="N652" s="1636"/>
      <c r="O652" s="1636">
        <v>0</v>
      </c>
      <c r="P652" s="1636">
        <v>0</v>
      </c>
      <c r="Q652" s="1636">
        <v>690</v>
      </c>
      <c r="R652" s="1636">
        <v>0</v>
      </c>
      <c r="S652" s="1636">
        <v>0</v>
      </c>
      <c r="U652" s="1656">
        <v>0.05</v>
      </c>
      <c r="V652" s="1657">
        <v>0</v>
      </c>
      <c r="W652" s="1657">
        <v>0.05</v>
      </c>
      <c r="X652" s="1657">
        <v>0</v>
      </c>
      <c r="Y652" s="1658">
        <v>0</v>
      </c>
    </row>
    <row r="653" spans="3:25" ht="13.95" customHeight="1" x14ac:dyDescent="0.3">
      <c r="C653" s="1057">
        <v>639</v>
      </c>
      <c r="D653" s="1058" t="s">
        <v>1364</v>
      </c>
      <c r="E653" s="1059">
        <v>2</v>
      </c>
      <c r="F653" s="1297" t="s">
        <v>1080</v>
      </c>
      <c r="G653" s="1057" t="s">
        <v>1036</v>
      </c>
      <c r="H653" s="1058"/>
      <c r="I653" s="1057">
        <v>8</v>
      </c>
      <c r="J653" s="1058"/>
      <c r="K653" s="1058"/>
      <c r="L653" s="1058"/>
      <c r="M653" s="1636">
        <v>372</v>
      </c>
      <c r="N653" s="1636"/>
      <c r="O653" s="1636">
        <v>372</v>
      </c>
      <c r="P653" s="1636">
        <v>0</v>
      </c>
      <c r="Q653" s="1636">
        <v>0</v>
      </c>
      <c r="R653" s="1636">
        <v>0</v>
      </c>
      <c r="S653" s="1636">
        <v>0</v>
      </c>
      <c r="U653" s="1656">
        <v>1.7250910000000001E-2</v>
      </c>
      <c r="V653" s="1657">
        <v>0</v>
      </c>
      <c r="W653" s="1657">
        <v>1.7250910000000001E-2</v>
      </c>
      <c r="X653" s="1657">
        <v>0</v>
      </c>
      <c r="Y653" s="1658">
        <v>0</v>
      </c>
    </row>
    <row r="654" spans="3:25" ht="13.95" customHeight="1" x14ac:dyDescent="0.3">
      <c r="C654" s="1057">
        <v>640</v>
      </c>
      <c r="D654" s="1058" t="s">
        <v>1365</v>
      </c>
      <c r="E654" s="1059">
        <v>2</v>
      </c>
      <c r="F654" s="1297" t="s">
        <v>1072</v>
      </c>
      <c r="G654" s="1057" t="s">
        <v>1036</v>
      </c>
      <c r="H654" s="1058"/>
      <c r="I654" s="1057">
        <v>22</v>
      </c>
      <c r="J654" s="1058"/>
      <c r="K654" s="1058"/>
      <c r="L654" s="1058"/>
      <c r="M654" s="1636">
        <v>1035.0999999999999</v>
      </c>
      <c r="N654" s="1636"/>
      <c r="O654" s="1636">
        <v>1035.0999999999999</v>
      </c>
      <c r="P654" s="1636">
        <v>0</v>
      </c>
      <c r="Q654" s="1636">
        <v>0</v>
      </c>
      <c r="R654" s="1636">
        <v>0</v>
      </c>
      <c r="S654" s="1636">
        <v>0</v>
      </c>
      <c r="U654" s="1656">
        <v>3.1860260000000001E-2</v>
      </c>
      <c r="V654" s="1657">
        <v>0</v>
      </c>
      <c r="W654" s="1657">
        <v>3.1860260000000001E-2</v>
      </c>
      <c r="X654" s="1657">
        <v>9.5613656281742863E-4</v>
      </c>
      <c r="Y654" s="1658">
        <v>36</v>
      </c>
    </row>
    <row r="655" spans="3:25" ht="13.95" customHeight="1" x14ac:dyDescent="0.3">
      <c r="C655" s="1057">
        <v>641</v>
      </c>
      <c r="D655" s="1058" t="s">
        <v>1366</v>
      </c>
      <c r="E655" s="1059">
        <v>2</v>
      </c>
      <c r="F655" s="1297" t="s">
        <v>1069</v>
      </c>
      <c r="G655" s="1057" t="s">
        <v>1036</v>
      </c>
      <c r="H655" s="1058"/>
      <c r="I655" s="1057">
        <v>1</v>
      </c>
      <c r="J655" s="1058"/>
      <c r="K655" s="1058"/>
      <c r="L655" s="1058"/>
      <c r="M655" s="1636">
        <v>0</v>
      </c>
      <c r="N655" s="1636"/>
      <c r="O655" s="1636">
        <v>0</v>
      </c>
      <c r="P655" s="1636">
        <v>0</v>
      </c>
      <c r="Q655" s="1636">
        <v>0</v>
      </c>
      <c r="R655" s="1636">
        <v>0</v>
      </c>
      <c r="S655" s="1636">
        <f>159.2+318.9</f>
        <v>478.09999999999997</v>
      </c>
      <c r="U655" s="1656">
        <f>0.011611+0.023258</f>
        <v>3.4868999999999997E-2</v>
      </c>
      <c r="V655" s="1657">
        <v>0</v>
      </c>
      <c r="W655" s="1657">
        <v>1.1611E-2</v>
      </c>
      <c r="X655" s="1657">
        <v>0</v>
      </c>
      <c r="Y655" s="1658">
        <v>0</v>
      </c>
    </row>
    <row r="656" spans="3:25" ht="13.95" customHeight="1" x14ac:dyDescent="0.3">
      <c r="C656" s="1057">
        <v>642</v>
      </c>
      <c r="D656" s="1058" t="s">
        <v>1366</v>
      </c>
      <c r="E656" s="1059">
        <v>2</v>
      </c>
      <c r="F656" s="1297" t="s">
        <v>1069</v>
      </c>
      <c r="G656" s="1057" t="s">
        <v>1036</v>
      </c>
      <c r="H656" s="1058"/>
      <c r="I656" s="1057">
        <v>0</v>
      </c>
      <c r="J656" s="1058"/>
      <c r="K656" s="1058"/>
      <c r="L656" s="1058"/>
      <c r="M656" s="1636">
        <v>0</v>
      </c>
      <c r="N656" s="1636"/>
      <c r="O656" s="1636">
        <v>0</v>
      </c>
      <c r="P656" s="1636">
        <v>0</v>
      </c>
      <c r="Q656" s="1636">
        <v>0</v>
      </c>
      <c r="R656" s="1636">
        <v>0</v>
      </c>
      <c r="S656" s="1636">
        <v>0</v>
      </c>
      <c r="U656" s="1656">
        <v>0</v>
      </c>
      <c r="V656" s="1657">
        <v>0</v>
      </c>
      <c r="W656" s="1656">
        <v>0</v>
      </c>
      <c r="X656" s="1657">
        <v>0</v>
      </c>
      <c r="Y656" s="1658">
        <v>0</v>
      </c>
    </row>
    <row r="657" spans="3:25" ht="13.95" customHeight="1" x14ac:dyDescent="0.3">
      <c r="C657" s="1057">
        <v>643</v>
      </c>
      <c r="D657" s="1058" t="s">
        <v>1367</v>
      </c>
      <c r="E657" s="1059">
        <v>3</v>
      </c>
      <c r="F657" s="1297" t="s">
        <v>1069</v>
      </c>
      <c r="G657" s="1057" t="s">
        <v>1036</v>
      </c>
      <c r="H657" s="1058"/>
      <c r="I657" s="1057">
        <v>12</v>
      </c>
      <c r="J657" s="1058"/>
      <c r="K657" s="1058"/>
      <c r="L657" s="1058"/>
      <c r="M657" s="1636">
        <v>571.29999999999995</v>
      </c>
      <c r="N657" s="1636"/>
      <c r="O657" s="1636">
        <v>571.29999999999995</v>
      </c>
      <c r="P657" s="1636">
        <v>0</v>
      </c>
      <c r="Q657" s="1636">
        <v>0</v>
      </c>
      <c r="R657" s="1636">
        <v>0</v>
      </c>
      <c r="S657" s="1636">
        <v>0</v>
      </c>
      <c r="U657" s="1656">
        <v>3.9546699999999997E-2</v>
      </c>
      <c r="V657" s="1657">
        <v>0</v>
      </c>
      <c r="W657" s="1657">
        <v>3.9546699999999997E-2</v>
      </c>
      <c r="X657" s="1657">
        <v>1.4824266315480491E-3</v>
      </c>
      <c r="Y657" s="1658">
        <v>25</v>
      </c>
    </row>
    <row r="658" spans="3:25" ht="13.95" customHeight="1" x14ac:dyDescent="0.3">
      <c r="C658" s="1057">
        <v>644</v>
      </c>
      <c r="D658" s="1058" t="s">
        <v>1368</v>
      </c>
      <c r="E658" s="1059">
        <v>2</v>
      </c>
      <c r="F658" s="1297" t="s">
        <v>1080</v>
      </c>
      <c r="G658" s="1057" t="s">
        <v>1036</v>
      </c>
      <c r="H658" s="1058"/>
      <c r="I658" s="1057">
        <v>9</v>
      </c>
      <c r="J658" s="1058"/>
      <c r="K658" s="1058"/>
      <c r="L658" s="1058"/>
      <c r="M658" s="1636">
        <v>449.39</v>
      </c>
      <c r="N658" s="1636"/>
      <c r="O658" s="1636">
        <v>449.39</v>
      </c>
      <c r="P658" s="1636">
        <v>0</v>
      </c>
      <c r="Q658" s="1636">
        <v>0</v>
      </c>
      <c r="R658" s="1636">
        <v>0</v>
      </c>
      <c r="S658" s="1636">
        <v>0</v>
      </c>
      <c r="U658" s="1656">
        <v>2.2489550000000001E-2</v>
      </c>
      <c r="V658" s="1657">
        <v>0</v>
      </c>
      <c r="W658" s="1657">
        <v>2.2489550000000001E-2</v>
      </c>
      <c r="X658" s="1657">
        <v>0</v>
      </c>
      <c r="Y658" s="1658">
        <v>0</v>
      </c>
    </row>
    <row r="659" spans="3:25" ht="13.95" customHeight="1" x14ac:dyDescent="0.3">
      <c r="C659" s="1057">
        <v>645</v>
      </c>
      <c r="D659" s="1058" t="s">
        <v>1369</v>
      </c>
      <c r="E659" s="1059">
        <v>2</v>
      </c>
      <c r="F659" s="1297" t="s">
        <v>1343</v>
      </c>
      <c r="G659" s="1057" t="s">
        <v>1036</v>
      </c>
      <c r="H659" s="1058"/>
      <c r="I659" s="1057">
        <v>18</v>
      </c>
      <c r="J659" s="1058"/>
      <c r="K659" s="1058"/>
      <c r="L659" s="1058"/>
      <c r="M659" s="1636">
        <v>1051.99</v>
      </c>
      <c r="N659" s="1636"/>
      <c r="O659" s="1636">
        <v>869.49</v>
      </c>
      <c r="P659" s="1636">
        <v>0</v>
      </c>
      <c r="Q659" s="1636">
        <v>0</v>
      </c>
      <c r="R659" s="1636">
        <v>0</v>
      </c>
      <c r="S659" s="1636">
        <v>0</v>
      </c>
      <c r="U659" s="1656">
        <v>4.814732E-2</v>
      </c>
      <c r="V659" s="1657">
        <v>0</v>
      </c>
      <c r="W659" s="1657">
        <v>4.814732E-2</v>
      </c>
      <c r="X659" s="1657">
        <v>0</v>
      </c>
      <c r="Y659" s="1658">
        <v>0</v>
      </c>
    </row>
    <row r="660" spans="3:25" ht="13.95" customHeight="1" x14ac:dyDescent="0.3">
      <c r="C660" s="1057">
        <v>646</v>
      </c>
      <c r="D660" s="1058" t="s">
        <v>1369</v>
      </c>
      <c r="E660" s="1059">
        <v>2</v>
      </c>
      <c r="F660" s="1297" t="s">
        <v>1343</v>
      </c>
      <c r="G660" s="1057" t="s">
        <v>1036</v>
      </c>
      <c r="H660" s="1058"/>
      <c r="I660" s="1057">
        <v>1</v>
      </c>
      <c r="J660" s="1058"/>
      <c r="K660" s="1058"/>
      <c r="L660" s="1058"/>
      <c r="M660" s="1636">
        <v>0</v>
      </c>
      <c r="N660" s="1636"/>
      <c r="O660" s="1636">
        <v>0</v>
      </c>
      <c r="P660" s="1636">
        <v>0</v>
      </c>
      <c r="Q660" s="1636">
        <v>67.8</v>
      </c>
      <c r="R660" s="1636">
        <v>0</v>
      </c>
      <c r="S660" s="1636">
        <v>0</v>
      </c>
      <c r="U660" s="1656">
        <v>6.1910000000000003E-3</v>
      </c>
      <c r="V660" s="1657">
        <v>0</v>
      </c>
      <c r="W660" s="1657">
        <v>6.1910000000000003E-3</v>
      </c>
      <c r="X660" s="1657">
        <v>0</v>
      </c>
      <c r="Y660" s="1658">
        <v>0</v>
      </c>
    </row>
    <row r="661" spans="3:25" ht="13.95" customHeight="1" x14ac:dyDescent="0.3">
      <c r="C661" s="1057">
        <v>647</v>
      </c>
      <c r="D661" s="1058" t="s">
        <v>1369</v>
      </c>
      <c r="E661" s="1059">
        <v>2</v>
      </c>
      <c r="F661" s="1297" t="s">
        <v>1343</v>
      </c>
      <c r="G661" s="1057" t="s">
        <v>1036</v>
      </c>
      <c r="H661" s="1058"/>
      <c r="I661" s="1057">
        <v>1</v>
      </c>
      <c r="J661" s="1058"/>
      <c r="K661" s="1058"/>
      <c r="L661" s="1058"/>
      <c r="M661" s="1636">
        <v>0</v>
      </c>
      <c r="N661" s="1636"/>
      <c r="O661" s="1636">
        <v>0</v>
      </c>
      <c r="P661" s="1636">
        <v>0</v>
      </c>
      <c r="Q661" s="1636">
        <v>114.7</v>
      </c>
      <c r="R661" s="1636">
        <v>0</v>
      </c>
      <c r="S661" s="1636">
        <v>0</v>
      </c>
      <c r="U661" s="1656">
        <v>1.1642E-2</v>
      </c>
      <c r="V661" s="1657">
        <v>0</v>
      </c>
      <c r="W661" s="1657">
        <v>1.1642E-2</v>
      </c>
      <c r="X661" s="1657">
        <v>0</v>
      </c>
      <c r="Y661" s="1658">
        <v>0</v>
      </c>
    </row>
    <row r="662" spans="3:25" ht="13.95" customHeight="1" x14ac:dyDescent="0.3">
      <c r="C662" s="1057">
        <v>648</v>
      </c>
      <c r="D662" s="1058" t="s">
        <v>1370</v>
      </c>
      <c r="E662" s="1059">
        <v>2</v>
      </c>
      <c r="F662" s="1297" t="s">
        <v>1343</v>
      </c>
      <c r="G662" s="1057" t="s">
        <v>1036</v>
      </c>
      <c r="H662" s="1058"/>
      <c r="I662" s="1057">
        <v>19</v>
      </c>
      <c r="J662" s="1058"/>
      <c r="K662" s="1058"/>
      <c r="L662" s="1058"/>
      <c r="M662" s="1636">
        <v>248.2</v>
      </c>
      <c r="N662" s="1636"/>
      <c r="O662" s="1636">
        <v>248.2</v>
      </c>
      <c r="P662" s="1636">
        <v>0</v>
      </c>
      <c r="Q662" s="1636">
        <v>0</v>
      </c>
      <c r="R662" s="1636">
        <v>0</v>
      </c>
      <c r="S662" s="1636">
        <v>0</v>
      </c>
      <c r="U662" s="1656">
        <v>2.6836039999999999E-2</v>
      </c>
      <c r="V662" s="1657">
        <v>0</v>
      </c>
      <c r="W662" s="1657">
        <v>2.6836039999999999E-2</v>
      </c>
      <c r="X662" s="1657">
        <v>0</v>
      </c>
      <c r="Y662" s="1658">
        <v>0</v>
      </c>
    </row>
    <row r="663" spans="3:25" ht="13.95" customHeight="1" x14ac:dyDescent="0.3">
      <c r="C663" s="1057">
        <v>649</v>
      </c>
      <c r="D663" s="1058" t="s">
        <v>1371</v>
      </c>
      <c r="E663" s="1059">
        <v>3</v>
      </c>
      <c r="F663" s="1297" t="s">
        <v>1072</v>
      </c>
      <c r="G663" s="1057" t="s">
        <v>1036</v>
      </c>
      <c r="H663" s="1058"/>
      <c r="I663" s="1057">
        <v>0</v>
      </c>
      <c r="J663" s="1058"/>
      <c r="K663" s="1058"/>
      <c r="L663" s="1058"/>
      <c r="M663" s="1636">
        <v>0</v>
      </c>
      <c r="N663" s="1636"/>
      <c r="O663" s="1636">
        <v>0</v>
      </c>
      <c r="P663" s="1636">
        <v>0</v>
      </c>
      <c r="Q663" s="1636">
        <v>0</v>
      </c>
      <c r="R663" s="1636">
        <v>0</v>
      </c>
      <c r="S663" s="1636">
        <v>1436.2</v>
      </c>
      <c r="U663" s="1656">
        <v>0.2</v>
      </c>
      <c r="V663" s="1657">
        <v>0</v>
      </c>
      <c r="W663" s="1657">
        <v>0.2</v>
      </c>
      <c r="X663" s="1657">
        <v>0</v>
      </c>
      <c r="Y663" s="1658">
        <v>0</v>
      </c>
    </row>
    <row r="664" spans="3:25" ht="13.95" customHeight="1" x14ac:dyDescent="0.3">
      <c r="C664" s="1057">
        <v>650</v>
      </c>
      <c r="D664" s="1058" t="s">
        <v>1372</v>
      </c>
      <c r="E664" s="1059">
        <v>5</v>
      </c>
      <c r="F664" s="1297" t="s">
        <v>1063</v>
      </c>
      <c r="G664" s="1057" t="s">
        <v>1036</v>
      </c>
      <c r="H664" s="1058"/>
      <c r="I664" s="1057">
        <v>74</v>
      </c>
      <c r="J664" s="1058"/>
      <c r="K664" s="1058"/>
      <c r="L664" s="1058"/>
      <c r="M664" s="1636">
        <v>3037.4</v>
      </c>
      <c r="N664" s="1636"/>
      <c r="O664" s="1636">
        <v>2931.3</v>
      </c>
      <c r="P664" s="1636">
        <v>0</v>
      </c>
      <c r="Q664" s="1636">
        <v>0</v>
      </c>
      <c r="R664" s="1636">
        <v>0</v>
      </c>
      <c r="S664" s="1636">
        <v>0</v>
      </c>
      <c r="U664" s="1656">
        <v>0.16812389</v>
      </c>
      <c r="V664" s="1657">
        <v>0</v>
      </c>
      <c r="W664" s="1657">
        <v>0.16812389</v>
      </c>
      <c r="X664" s="1657">
        <v>0</v>
      </c>
      <c r="Y664" s="1658">
        <v>0</v>
      </c>
    </row>
    <row r="665" spans="3:25" ht="13.95" customHeight="1" x14ac:dyDescent="0.3">
      <c r="C665" s="1057">
        <v>651</v>
      </c>
      <c r="D665" s="1058" t="s">
        <v>1372</v>
      </c>
      <c r="E665" s="1059">
        <v>5</v>
      </c>
      <c r="F665" s="1297" t="s">
        <v>1063</v>
      </c>
      <c r="G665" s="1057" t="s">
        <v>1036</v>
      </c>
      <c r="H665" s="1058"/>
      <c r="I665" s="1057">
        <v>1</v>
      </c>
      <c r="J665" s="1058"/>
      <c r="K665" s="1058"/>
      <c r="L665" s="1058"/>
      <c r="M665" s="1636">
        <v>0</v>
      </c>
      <c r="N665" s="1636"/>
      <c r="O665" s="1636">
        <v>0</v>
      </c>
      <c r="P665" s="1636">
        <v>0</v>
      </c>
      <c r="Q665" s="1636">
        <v>30.9</v>
      </c>
      <c r="R665" s="1636">
        <v>0</v>
      </c>
      <c r="S665" s="1636">
        <v>0</v>
      </c>
      <c r="U665" s="1656">
        <v>3.8409999999999998E-3</v>
      </c>
      <c r="V665" s="1657">
        <v>0</v>
      </c>
      <c r="W665" s="1657">
        <v>3.8409999999999998E-3</v>
      </c>
      <c r="X665" s="1657">
        <v>0</v>
      </c>
      <c r="Y665" s="1658">
        <v>0</v>
      </c>
    </row>
    <row r="666" spans="3:25" ht="13.95" customHeight="1" x14ac:dyDescent="0.3">
      <c r="C666" s="1057">
        <v>652</v>
      </c>
      <c r="D666" s="1058" t="s">
        <v>1372</v>
      </c>
      <c r="E666" s="1059">
        <v>5</v>
      </c>
      <c r="F666" s="1297" t="s">
        <v>1063</v>
      </c>
      <c r="G666" s="1057" t="s">
        <v>1036</v>
      </c>
      <c r="H666" s="1058"/>
      <c r="I666" s="1057">
        <v>0</v>
      </c>
      <c r="J666" s="1058"/>
      <c r="K666" s="1058"/>
      <c r="L666" s="1058"/>
      <c r="M666" s="1636">
        <v>0</v>
      </c>
      <c r="N666" s="1636"/>
      <c r="O666" s="1636">
        <v>0</v>
      </c>
      <c r="P666" s="1636">
        <v>0</v>
      </c>
      <c r="Q666" s="1636">
        <v>29.9</v>
      </c>
      <c r="R666" s="1636">
        <v>0</v>
      </c>
      <c r="S666" s="1636">
        <v>0</v>
      </c>
      <c r="U666" s="1656">
        <v>1.1005500000000001E-3</v>
      </c>
      <c r="V666" s="1657">
        <v>0</v>
      </c>
      <c r="W666" s="1657">
        <v>1.1005500000000001E-3</v>
      </c>
      <c r="X666" s="1657">
        <v>0</v>
      </c>
      <c r="Y666" s="1658">
        <v>0</v>
      </c>
    </row>
    <row r="667" spans="3:25" ht="13.95" customHeight="1" x14ac:dyDescent="0.3">
      <c r="C667" s="1057">
        <v>653</v>
      </c>
      <c r="D667" s="1058" t="s">
        <v>1372</v>
      </c>
      <c r="E667" s="1059">
        <v>5</v>
      </c>
      <c r="F667" s="1297" t="s">
        <v>1063</v>
      </c>
      <c r="G667" s="1057" t="s">
        <v>1036</v>
      </c>
      <c r="H667" s="1058"/>
      <c r="I667" s="1057">
        <v>1</v>
      </c>
      <c r="J667" s="1058"/>
      <c r="K667" s="1058"/>
      <c r="L667" s="1058"/>
      <c r="M667" s="1636">
        <v>0</v>
      </c>
      <c r="N667" s="1636"/>
      <c r="O667" s="1636">
        <v>0</v>
      </c>
      <c r="P667" s="1636">
        <v>0</v>
      </c>
      <c r="Q667" s="1636">
        <v>45.3</v>
      </c>
      <c r="R667" s="1636">
        <v>0</v>
      </c>
      <c r="S667" s="1636">
        <v>0</v>
      </c>
      <c r="U667" s="1656">
        <v>2.8869999999999998E-3</v>
      </c>
      <c r="V667" s="1657">
        <v>0</v>
      </c>
      <c r="W667" s="1657">
        <v>2.8869999999999998E-3</v>
      </c>
      <c r="X667" s="1657">
        <v>0</v>
      </c>
      <c r="Y667" s="1658">
        <v>0</v>
      </c>
    </row>
    <row r="668" spans="3:25" ht="13.95" customHeight="1" x14ac:dyDescent="0.3">
      <c r="C668" s="1057">
        <v>654</v>
      </c>
      <c r="D668" s="1058" t="s">
        <v>1373</v>
      </c>
      <c r="E668" s="1059">
        <v>5</v>
      </c>
      <c r="F668" s="1297" t="s">
        <v>1063</v>
      </c>
      <c r="G668" s="1057" t="s">
        <v>1036</v>
      </c>
      <c r="H668" s="1058"/>
      <c r="I668" s="1057">
        <v>68</v>
      </c>
      <c r="J668" s="1058"/>
      <c r="K668" s="1058"/>
      <c r="L668" s="1058"/>
      <c r="M668" s="1636">
        <v>3169.2999999999997</v>
      </c>
      <c r="N668" s="1636"/>
      <c r="O668" s="1636">
        <v>3055.2</v>
      </c>
      <c r="P668" s="1636">
        <v>0</v>
      </c>
      <c r="Q668" s="1636">
        <v>0</v>
      </c>
      <c r="R668" s="1636">
        <v>0</v>
      </c>
      <c r="S668" s="1636">
        <v>0</v>
      </c>
      <c r="U668" s="1656">
        <v>0.16033153999999999</v>
      </c>
      <c r="V668" s="1657">
        <v>0</v>
      </c>
      <c r="W668" s="1657">
        <v>0.16033153999999999</v>
      </c>
      <c r="X668" s="1657">
        <v>0</v>
      </c>
      <c r="Y668" s="1658">
        <v>0</v>
      </c>
    </row>
    <row r="669" spans="3:25" ht="13.95" customHeight="1" x14ac:dyDescent="0.3">
      <c r="C669" s="1057">
        <v>655</v>
      </c>
      <c r="D669" s="1058" t="s">
        <v>1373</v>
      </c>
      <c r="E669" s="1059">
        <v>5</v>
      </c>
      <c r="F669" s="1297" t="s">
        <v>1063</v>
      </c>
      <c r="G669" s="1057" t="s">
        <v>1036</v>
      </c>
      <c r="H669" s="1058"/>
      <c r="I669" s="1057">
        <v>1</v>
      </c>
      <c r="J669" s="1058"/>
      <c r="K669" s="1058"/>
      <c r="L669" s="1058"/>
      <c r="M669" s="1636">
        <v>0</v>
      </c>
      <c r="N669" s="1636"/>
      <c r="O669" s="1636">
        <v>0</v>
      </c>
      <c r="P669" s="1636">
        <v>0</v>
      </c>
      <c r="Q669" s="1636">
        <v>20.6</v>
      </c>
      <c r="R669" s="1636">
        <v>0</v>
      </c>
      <c r="S669" s="1636">
        <v>0</v>
      </c>
      <c r="U669" s="1656">
        <v>1.1999999999999999E-3</v>
      </c>
      <c r="V669" s="1657">
        <v>0</v>
      </c>
      <c r="W669" s="1657">
        <v>1.1999999999999999E-3</v>
      </c>
      <c r="X669" s="1657">
        <v>0</v>
      </c>
      <c r="Y669" s="1658">
        <v>0</v>
      </c>
    </row>
    <row r="670" spans="3:25" ht="13.95" customHeight="1" x14ac:dyDescent="0.3">
      <c r="C670" s="1057">
        <v>656</v>
      </c>
      <c r="D670" s="1058" t="s">
        <v>1373</v>
      </c>
      <c r="E670" s="1059">
        <v>5</v>
      </c>
      <c r="F670" s="1297" t="s">
        <v>1063</v>
      </c>
      <c r="G670" s="1057" t="s">
        <v>1036</v>
      </c>
      <c r="H670" s="1058"/>
      <c r="I670" s="1057">
        <v>1</v>
      </c>
      <c r="J670" s="1058"/>
      <c r="K670" s="1058"/>
      <c r="L670" s="1058"/>
      <c r="M670" s="1636">
        <v>0</v>
      </c>
      <c r="N670" s="1636"/>
      <c r="O670" s="1636">
        <v>0</v>
      </c>
      <c r="P670" s="1636">
        <v>0</v>
      </c>
      <c r="Q670" s="1636">
        <v>21.7</v>
      </c>
      <c r="R670" s="1636">
        <v>0</v>
      </c>
      <c r="S670" s="1636">
        <v>0</v>
      </c>
      <c r="U670" s="1656">
        <v>1.1999999999999999E-3</v>
      </c>
      <c r="V670" s="1657">
        <v>0</v>
      </c>
      <c r="W670" s="1657">
        <v>1.1999999999999999E-3</v>
      </c>
      <c r="X670" s="1657">
        <v>0</v>
      </c>
      <c r="Y670" s="1658">
        <v>0</v>
      </c>
    </row>
    <row r="671" spans="3:25" ht="13.95" customHeight="1" x14ac:dyDescent="0.3">
      <c r="C671" s="1057">
        <v>657</v>
      </c>
      <c r="D671" s="1058" t="s">
        <v>1373</v>
      </c>
      <c r="E671" s="1059">
        <v>5</v>
      </c>
      <c r="F671" s="1297" t="s">
        <v>1063</v>
      </c>
      <c r="G671" s="1057" t="s">
        <v>1036</v>
      </c>
      <c r="H671" s="1058"/>
      <c r="I671" s="1057">
        <v>1</v>
      </c>
      <c r="J671" s="1058"/>
      <c r="K671" s="1058"/>
      <c r="L671" s="1058"/>
      <c r="M671" s="1636">
        <v>0</v>
      </c>
      <c r="N671" s="1636"/>
      <c r="O671" s="1636">
        <v>0</v>
      </c>
      <c r="P671" s="1636">
        <v>0</v>
      </c>
      <c r="Q671" s="1636">
        <v>42.5</v>
      </c>
      <c r="R671" s="1636">
        <v>0</v>
      </c>
      <c r="S671" s="1636">
        <v>0</v>
      </c>
      <c r="U671" s="1656">
        <v>2.7200000000000002E-3</v>
      </c>
      <c r="V671" s="1657">
        <v>0</v>
      </c>
      <c r="W671" s="1657">
        <v>2.7200000000000002E-3</v>
      </c>
      <c r="X671" s="1657">
        <v>0</v>
      </c>
      <c r="Y671" s="1658">
        <v>0</v>
      </c>
    </row>
    <row r="672" spans="3:25" ht="13.95" customHeight="1" x14ac:dyDescent="0.3">
      <c r="C672" s="1057">
        <v>658</v>
      </c>
      <c r="D672" s="1058" t="s">
        <v>1373</v>
      </c>
      <c r="E672" s="1059">
        <v>5</v>
      </c>
      <c r="F672" s="1297" t="s">
        <v>1063</v>
      </c>
      <c r="G672" s="1057" t="s">
        <v>1036</v>
      </c>
      <c r="H672" s="1058"/>
      <c r="I672" s="1057">
        <v>1</v>
      </c>
      <c r="J672" s="1058"/>
      <c r="K672" s="1058"/>
      <c r="L672" s="1058"/>
      <c r="M672" s="1636">
        <v>0</v>
      </c>
      <c r="N672" s="1636"/>
      <c r="O672" s="1636">
        <v>0</v>
      </c>
      <c r="P672" s="1636">
        <v>0</v>
      </c>
      <c r="Q672" s="1636">
        <v>29.3</v>
      </c>
      <c r="R672" s="1636">
        <v>0</v>
      </c>
      <c r="S672" s="1636">
        <v>0</v>
      </c>
      <c r="U672" s="1656">
        <v>1.572E-3</v>
      </c>
      <c r="V672" s="1657">
        <v>0</v>
      </c>
      <c r="W672" s="1657">
        <v>1.572E-3</v>
      </c>
      <c r="X672" s="1657">
        <v>0</v>
      </c>
      <c r="Y672" s="1658">
        <v>0</v>
      </c>
    </row>
    <row r="673" spans="3:25" ht="13.95" customHeight="1" x14ac:dyDescent="0.3">
      <c r="C673" s="1057">
        <v>659</v>
      </c>
      <c r="D673" s="1058" t="s">
        <v>1374</v>
      </c>
      <c r="E673" s="1059">
        <v>5</v>
      </c>
      <c r="F673" s="1297" t="s">
        <v>1069</v>
      </c>
      <c r="G673" s="1057" t="s">
        <v>1036</v>
      </c>
      <c r="H673" s="1058"/>
      <c r="I673" s="1057">
        <v>114</v>
      </c>
      <c r="J673" s="1058"/>
      <c r="K673" s="1058"/>
      <c r="L673" s="1058"/>
      <c r="M673" s="1636">
        <v>2284.9</v>
      </c>
      <c r="N673" s="1636"/>
      <c r="O673" s="1636">
        <v>2284.9</v>
      </c>
      <c r="P673" s="1636">
        <v>0</v>
      </c>
      <c r="Q673" s="1636">
        <v>0</v>
      </c>
      <c r="R673" s="1636">
        <v>0</v>
      </c>
      <c r="S673" s="1636">
        <v>0</v>
      </c>
      <c r="U673" s="1656">
        <v>0.19252159999999999</v>
      </c>
      <c r="V673" s="1657">
        <v>0</v>
      </c>
      <c r="W673" s="1657">
        <v>0.19252159999999999</v>
      </c>
      <c r="X673" s="1657">
        <v>0</v>
      </c>
      <c r="Y673" s="1658">
        <v>0</v>
      </c>
    </row>
    <row r="674" spans="3:25" ht="13.95" customHeight="1" x14ac:dyDescent="0.3">
      <c r="C674" s="1057">
        <v>660</v>
      </c>
      <c r="D674" s="1058" t="s">
        <v>1375</v>
      </c>
      <c r="E674" s="1059">
        <v>5</v>
      </c>
      <c r="F674" s="1297" t="s">
        <v>1065</v>
      </c>
      <c r="G674" s="1057" t="s">
        <v>1036</v>
      </c>
      <c r="H674" s="1058"/>
      <c r="I674" s="1057">
        <v>1</v>
      </c>
      <c r="J674" s="1058"/>
      <c r="K674" s="1058"/>
      <c r="L674" s="1058"/>
      <c r="M674" s="1636">
        <v>3072.8</v>
      </c>
      <c r="N674" s="1636"/>
      <c r="O674" s="1636">
        <v>3072.8</v>
      </c>
      <c r="P674" s="1636">
        <v>0</v>
      </c>
      <c r="Q674" s="1636">
        <v>0</v>
      </c>
      <c r="R674" s="1636">
        <v>3072.8</v>
      </c>
      <c r="S674" s="1636">
        <v>0</v>
      </c>
      <c r="U674" s="1656">
        <v>0.13803004999999999</v>
      </c>
      <c r="V674" s="1657">
        <v>0</v>
      </c>
      <c r="W674" s="1657">
        <v>0.13803004999999999</v>
      </c>
      <c r="X674" s="1657">
        <v>0</v>
      </c>
      <c r="Y674" s="1658">
        <v>0</v>
      </c>
    </row>
    <row r="675" spans="3:25" ht="13.95" customHeight="1" x14ac:dyDescent="0.3">
      <c r="C675" s="1057">
        <v>661</v>
      </c>
      <c r="D675" s="1058" t="s">
        <v>1376</v>
      </c>
      <c r="E675" s="1059">
        <v>5</v>
      </c>
      <c r="F675" s="1297" t="s">
        <v>1078</v>
      </c>
      <c r="G675" s="1057" t="s">
        <v>1036</v>
      </c>
      <c r="H675" s="1058"/>
      <c r="I675" s="1057">
        <v>1</v>
      </c>
      <c r="J675" s="1058"/>
      <c r="K675" s="1058"/>
      <c r="L675" s="1058"/>
      <c r="M675" s="1636">
        <v>2487.1</v>
      </c>
      <c r="N675" s="1636"/>
      <c r="O675" s="1636">
        <v>2487.1</v>
      </c>
      <c r="P675" s="1636">
        <v>0</v>
      </c>
      <c r="Q675" s="1636">
        <v>0</v>
      </c>
      <c r="R675" s="1636">
        <v>2487.1</v>
      </c>
      <c r="S675" s="1636">
        <v>0</v>
      </c>
      <c r="U675" s="1656">
        <v>0.13861793</v>
      </c>
      <c r="V675" s="1657">
        <v>0</v>
      </c>
      <c r="W675" s="1657">
        <v>0.13861793</v>
      </c>
      <c r="X675" s="1657">
        <v>0</v>
      </c>
      <c r="Y675" s="1658">
        <v>0</v>
      </c>
    </row>
    <row r="676" spans="3:25" ht="13.95" customHeight="1" x14ac:dyDescent="0.3">
      <c r="C676" s="1057">
        <v>662</v>
      </c>
      <c r="D676" s="1058" t="s">
        <v>1377</v>
      </c>
      <c r="E676" s="1059">
        <v>3</v>
      </c>
      <c r="F676" s="1297" t="s">
        <v>1065</v>
      </c>
      <c r="G676" s="1057" t="s">
        <v>1036</v>
      </c>
      <c r="H676" s="1058"/>
      <c r="I676" s="1057">
        <v>0</v>
      </c>
      <c r="J676" s="1058"/>
      <c r="K676" s="1058"/>
      <c r="L676" s="1058"/>
      <c r="M676" s="1636">
        <v>0</v>
      </c>
      <c r="N676" s="1636"/>
      <c r="O676" s="1636">
        <v>0</v>
      </c>
      <c r="P676" s="1636">
        <v>0</v>
      </c>
      <c r="Q676" s="1636">
        <v>0</v>
      </c>
      <c r="R676" s="1636">
        <v>0</v>
      </c>
      <c r="S676" s="1636">
        <v>3327.5</v>
      </c>
      <c r="U676" s="1656">
        <v>0.30599999999999999</v>
      </c>
      <c r="V676" s="1657">
        <v>0</v>
      </c>
      <c r="W676" s="1657">
        <v>0.30599999999999999</v>
      </c>
      <c r="X676" s="1657">
        <v>0</v>
      </c>
      <c r="Y676" s="1658">
        <v>0</v>
      </c>
    </row>
    <row r="677" spans="3:25" ht="13.95" customHeight="1" x14ac:dyDescent="0.3">
      <c r="C677" s="1057">
        <v>663</v>
      </c>
      <c r="D677" s="1058" t="s">
        <v>3205</v>
      </c>
      <c r="E677" s="1059">
        <v>10</v>
      </c>
      <c r="F677" s="1628">
        <v>44197</v>
      </c>
      <c r="G677" s="1057" t="s">
        <v>1036</v>
      </c>
      <c r="H677" s="1058"/>
      <c r="I677" s="1057">
        <v>0</v>
      </c>
      <c r="J677" s="1058"/>
      <c r="K677" s="1058"/>
      <c r="L677" s="1058"/>
      <c r="M677" s="1636">
        <v>10554.8</v>
      </c>
      <c r="N677" s="1636"/>
      <c r="O677" s="1636">
        <v>10554.8</v>
      </c>
      <c r="P677" s="1636">
        <v>0</v>
      </c>
      <c r="Q677" s="1636">
        <v>0</v>
      </c>
      <c r="R677" s="1636">
        <v>10554.8</v>
      </c>
      <c r="S677" s="1636">
        <v>0</v>
      </c>
      <c r="U677" s="1656">
        <v>0.57138</v>
      </c>
      <c r="V677" s="1657">
        <v>0</v>
      </c>
      <c r="W677" s="1657">
        <v>0.57138</v>
      </c>
      <c r="X677" s="1657">
        <v>0</v>
      </c>
      <c r="Y677" s="1658">
        <v>0</v>
      </c>
    </row>
    <row r="678" spans="3:25" ht="13.95" hidden="1" customHeight="1" x14ac:dyDescent="0.3">
      <c r="C678" s="1057"/>
      <c r="D678" s="1058"/>
      <c r="E678" s="1059"/>
      <c r="F678" s="1297"/>
      <c r="G678" s="1057"/>
      <c r="H678" s="1058"/>
      <c r="I678" s="1057"/>
      <c r="J678" s="1058"/>
      <c r="K678" s="1058"/>
      <c r="L678" s="1058"/>
      <c r="M678" s="1636"/>
      <c r="N678" s="1636"/>
      <c r="O678" s="1636"/>
      <c r="P678" s="1636"/>
      <c r="Q678" s="1636"/>
      <c r="R678" s="1636"/>
      <c r="S678" s="1636"/>
      <c r="U678" s="1656"/>
      <c r="V678" s="1657"/>
      <c r="W678" s="1657"/>
      <c r="X678" s="1657"/>
      <c r="Y678" s="1658"/>
    </row>
    <row r="679" spans="3:25" ht="13.95" hidden="1" customHeight="1" x14ac:dyDescent="0.3">
      <c r="C679" s="1057"/>
      <c r="D679" s="1058"/>
      <c r="E679" s="1059"/>
      <c r="F679" s="1297"/>
      <c r="G679" s="1057"/>
      <c r="H679" s="1058"/>
      <c r="I679" s="1057"/>
      <c r="J679" s="1058"/>
      <c r="K679" s="1058"/>
      <c r="L679" s="1058"/>
      <c r="M679" s="1636"/>
      <c r="N679" s="1636"/>
      <c r="O679" s="1636"/>
      <c r="P679" s="1636"/>
      <c r="Q679" s="1636"/>
      <c r="R679" s="1636"/>
      <c r="S679" s="1636"/>
      <c r="U679" s="1656"/>
      <c r="V679" s="1657"/>
      <c r="W679" s="1657"/>
      <c r="X679" s="1657"/>
      <c r="Y679" s="1658"/>
    </row>
    <row r="680" spans="3:25" ht="13.95" hidden="1" customHeight="1" x14ac:dyDescent="0.3">
      <c r="C680" s="1057"/>
      <c r="D680" s="1058"/>
      <c r="E680" s="1059"/>
      <c r="F680" s="1297"/>
      <c r="G680" s="1057"/>
      <c r="H680" s="1058"/>
      <c r="I680" s="1057"/>
      <c r="J680" s="1058"/>
      <c r="K680" s="1058"/>
      <c r="L680" s="1058"/>
      <c r="M680" s="1636"/>
      <c r="N680" s="1636"/>
      <c r="O680" s="1636"/>
      <c r="P680" s="1636"/>
      <c r="Q680" s="1636"/>
      <c r="R680" s="1636"/>
      <c r="S680" s="1636"/>
      <c r="U680" s="1656"/>
      <c r="V680" s="1657"/>
      <c r="W680" s="1657"/>
      <c r="X680" s="1657"/>
      <c r="Y680" s="1658"/>
    </row>
    <row r="681" spans="3:25" ht="13.95" hidden="1" customHeight="1" x14ac:dyDescent="0.3">
      <c r="C681" s="1057"/>
      <c r="D681" s="1058"/>
      <c r="E681" s="1059"/>
      <c r="F681" s="1297"/>
      <c r="G681" s="1057"/>
      <c r="H681" s="1058"/>
      <c r="I681" s="1057"/>
      <c r="J681" s="1058"/>
      <c r="K681" s="1058"/>
      <c r="L681" s="1058"/>
      <c r="M681" s="1636"/>
      <c r="N681" s="1636"/>
      <c r="O681" s="1636"/>
      <c r="P681" s="1636"/>
      <c r="Q681" s="1636"/>
      <c r="R681" s="1636"/>
      <c r="S681" s="1636"/>
      <c r="U681" s="1656"/>
      <c r="V681" s="1657"/>
      <c r="W681" s="1657"/>
      <c r="X681" s="1657"/>
      <c r="Y681" s="1658"/>
    </row>
    <row r="682" spans="3:25" ht="13.95" hidden="1" customHeight="1" x14ac:dyDescent="0.3">
      <c r="C682" s="1057"/>
      <c r="D682" s="1058"/>
      <c r="E682" s="1059"/>
      <c r="F682" s="1297"/>
      <c r="G682" s="1057"/>
      <c r="H682" s="1058"/>
      <c r="I682" s="1057"/>
      <c r="J682" s="1058"/>
      <c r="K682" s="1058"/>
      <c r="L682" s="1058"/>
      <c r="M682" s="1636"/>
      <c r="N682" s="1636"/>
      <c r="O682" s="1636"/>
      <c r="P682" s="1636"/>
      <c r="Q682" s="1636"/>
      <c r="R682" s="1636"/>
      <c r="S682" s="1636"/>
      <c r="U682" s="1656"/>
      <c r="V682" s="1657"/>
      <c r="W682" s="1657"/>
      <c r="X682" s="1657"/>
      <c r="Y682" s="1658"/>
    </row>
    <row r="683" spans="3:25" ht="13.95" hidden="1" customHeight="1" x14ac:dyDescent="0.3">
      <c r="C683" s="1057"/>
      <c r="D683" s="1058"/>
      <c r="E683" s="1059"/>
      <c r="F683" s="1297"/>
      <c r="G683" s="1057"/>
      <c r="H683" s="1058"/>
      <c r="I683" s="1057"/>
      <c r="J683" s="1058"/>
      <c r="K683" s="1058"/>
      <c r="L683" s="1058"/>
      <c r="M683" s="1636"/>
      <c r="N683" s="1636"/>
      <c r="O683" s="1636"/>
      <c r="P683" s="1636"/>
      <c r="Q683" s="1636"/>
      <c r="R683" s="1636"/>
      <c r="S683" s="1636"/>
      <c r="U683" s="1656"/>
      <c r="V683" s="1657"/>
      <c r="W683" s="1657"/>
      <c r="X683" s="1657"/>
      <c r="Y683" s="1658"/>
    </row>
    <row r="684" spans="3:25" ht="13.95" hidden="1" customHeight="1" x14ac:dyDescent="0.3">
      <c r="C684" s="1057"/>
      <c r="D684" s="1058"/>
      <c r="E684" s="1059"/>
      <c r="F684" s="1297"/>
      <c r="G684" s="1057"/>
      <c r="H684" s="1058"/>
      <c r="I684" s="1057"/>
      <c r="J684" s="1058"/>
      <c r="K684" s="1058"/>
      <c r="L684" s="1058"/>
      <c r="M684" s="1636"/>
      <c r="N684" s="1636"/>
      <c r="O684" s="1636"/>
      <c r="P684" s="1636"/>
      <c r="Q684" s="1636"/>
      <c r="R684" s="1636"/>
      <c r="S684" s="1636"/>
      <c r="U684" s="1656"/>
      <c r="V684" s="1657"/>
      <c r="W684" s="1657"/>
      <c r="X684" s="1657"/>
      <c r="Y684" s="1658"/>
    </row>
    <row r="685" spans="3:25" ht="13.95" hidden="1" customHeight="1" x14ac:dyDescent="0.3">
      <c r="C685" s="1057"/>
      <c r="D685" s="1058"/>
      <c r="E685" s="1059"/>
      <c r="F685" s="1297"/>
      <c r="G685" s="1057"/>
      <c r="H685" s="1058"/>
      <c r="I685" s="1057"/>
      <c r="J685" s="1058"/>
      <c r="K685" s="1058"/>
      <c r="L685" s="1058"/>
      <c r="M685" s="1636"/>
      <c r="N685" s="1636"/>
      <c r="O685" s="1636"/>
      <c r="P685" s="1636"/>
      <c r="Q685" s="1636"/>
      <c r="R685" s="1636"/>
      <c r="S685" s="1636"/>
      <c r="U685" s="1656"/>
      <c r="V685" s="1657"/>
      <c r="W685" s="1657"/>
      <c r="X685" s="1657"/>
      <c r="Y685" s="1658"/>
    </row>
    <row r="686" spans="3:25" ht="13.95" hidden="1" customHeight="1" thickBot="1" x14ac:dyDescent="0.35">
      <c r="C686" s="1061"/>
      <c r="D686" s="1062"/>
      <c r="E686" s="1639"/>
      <c r="F686" s="1298"/>
      <c r="G686" s="1061"/>
      <c r="H686" s="1062"/>
      <c r="I686" s="1061"/>
      <c r="J686" s="1062"/>
      <c r="K686" s="1062"/>
      <c r="L686" s="1062"/>
      <c r="M686" s="1638"/>
      <c r="N686" s="1638"/>
      <c r="O686" s="1638"/>
      <c r="P686" s="1638"/>
      <c r="Q686" s="1638"/>
      <c r="R686" s="1638"/>
      <c r="S686" s="1638"/>
      <c r="U686" s="1659"/>
      <c r="V686" s="1660"/>
      <c r="W686" s="1660"/>
      <c r="X686" s="1660"/>
      <c r="Y686" s="1661"/>
    </row>
    <row r="687" spans="3:25" ht="13.95" hidden="1" customHeight="1" x14ac:dyDescent="0.3">
      <c r="C687" s="1624"/>
      <c r="D687" s="1625"/>
      <c r="E687" s="1626"/>
      <c r="F687" s="1627"/>
      <c r="G687" s="1624"/>
      <c r="H687" s="1625"/>
      <c r="I687" s="1624"/>
      <c r="J687" s="1625"/>
      <c r="K687" s="1625"/>
      <c r="L687" s="1625"/>
      <c r="M687" s="1626"/>
      <c r="N687" s="1624"/>
      <c r="O687" s="1626"/>
      <c r="P687" s="1626"/>
      <c r="Q687" s="1626"/>
      <c r="R687" s="1626"/>
      <c r="S687" s="1626"/>
    </row>
    <row r="688" spans="3:25" ht="13.95" hidden="1" customHeight="1" x14ac:dyDescent="0.3">
      <c r="C688" s="1057"/>
      <c r="D688" s="1058"/>
      <c r="E688" s="1059"/>
      <c r="F688" s="1297"/>
      <c r="G688" s="1057"/>
      <c r="H688" s="1058"/>
      <c r="I688" s="1057"/>
      <c r="J688" s="1058"/>
      <c r="K688" s="1058"/>
      <c r="L688" s="1058"/>
      <c r="M688" s="1059"/>
      <c r="N688" s="1057"/>
      <c r="O688" s="1059"/>
      <c r="P688" s="1059"/>
      <c r="Q688" s="1059"/>
      <c r="R688" s="1059"/>
      <c r="S688" s="1059"/>
    </row>
    <row r="689" spans="3:25" ht="13.95" hidden="1" customHeight="1" x14ac:dyDescent="0.3">
      <c r="C689" s="1057"/>
      <c r="D689" s="1058"/>
      <c r="E689" s="1059"/>
      <c r="F689" s="1297"/>
      <c r="G689" s="1057"/>
      <c r="H689" s="1058"/>
      <c r="I689" s="1057"/>
      <c r="J689" s="1058"/>
      <c r="K689" s="1058"/>
      <c r="L689" s="1058"/>
      <c r="M689" s="1059"/>
      <c r="N689" s="1057"/>
      <c r="O689" s="1059"/>
      <c r="P689" s="1059"/>
      <c r="Q689" s="1059"/>
      <c r="R689" s="1059"/>
      <c r="S689" s="1059"/>
    </row>
    <row r="690" spans="3:25" ht="13.95" hidden="1" customHeight="1" x14ac:dyDescent="0.3">
      <c r="C690" s="1057"/>
      <c r="D690" s="1058"/>
      <c r="E690" s="1059"/>
      <c r="F690" s="1297"/>
      <c r="G690" s="1057"/>
      <c r="H690" s="1058"/>
      <c r="I690" s="1057"/>
      <c r="J690" s="1058"/>
      <c r="K690" s="1058"/>
      <c r="L690" s="1058"/>
      <c r="M690" s="1059"/>
      <c r="N690" s="1057"/>
      <c r="O690" s="1059"/>
      <c r="P690" s="1059"/>
      <c r="Q690" s="1059"/>
      <c r="R690" s="1059"/>
      <c r="S690" s="1059"/>
    </row>
    <row r="691" spans="3:25" ht="13.95" hidden="1" customHeight="1" thickBot="1" x14ac:dyDescent="0.35">
      <c r="C691" s="1061"/>
      <c r="D691" s="1062"/>
      <c r="E691" s="1639"/>
      <c r="F691" s="1298"/>
      <c r="G691" s="1061"/>
      <c r="H691" s="1062"/>
      <c r="I691" s="1061"/>
      <c r="J691" s="1062"/>
      <c r="K691" s="1062"/>
      <c r="L691" s="1062"/>
      <c r="M691" s="1639"/>
      <c r="N691" s="1061"/>
      <c r="O691" s="1639"/>
      <c r="P691" s="1639"/>
      <c r="Q691" s="1639"/>
      <c r="R691" s="1639"/>
      <c r="S691" s="1639"/>
    </row>
    <row r="692" spans="3:25" ht="13.95" customHeight="1" x14ac:dyDescent="0.3">
      <c r="C692" s="1641"/>
      <c r="D692" s="1642"/>
      <c r="E692" s="1641"/>
      <c r="F692" s="1643"/>
      <c r="G692" s="1641"/>
      <c r="H692" s="1642"/>
      <c r="I692" s="1640">
        <f>SUM(I14:I691)</f>
        <v>19064</v>
      </c>
      <c r="J692" s="1640">
        <f t="shared" ref="J692:S692" si="0">SUM(J14:J691)</f>
        <v>0</v>
      </c>
      <c r="K692" s="1640">
        <f t="shared" si="0"/>
        <v>0</v>
      </c>
      <c r="L692" s="1640">
        <f t="shared" si="0"/>
        <v>0</v>
      </c>
      <c r="M692" s="1640">
        <f t="shared" si="0"/>
        <v>1033587.6699999996</v>
      </c>
      <c r="N692" s="1640">
        <f t="shared" si="0"/>
        <v>0</v>
      </c>
      <c r="O692" s="1640">
        <f t="shared" si="0"/>
        <v>1010572.4699999996</v>
      </c>
      <c r="P692" s="3447">
        <f t="shared" si="0"/>
        <v>1885.5</v>
      </c>
      <c r="Q692" s="3447">
        <f t="shared" si="0"/>
        <v>21127.440000000002</v>
      </c>
      <c r="R692" s="1640">
        <f t="shared" si="0"/>
        <v>180254.68999999997</v>
      </c>
      <c r="S692" s="1640">
        <f t="shared" si="0"/>
        <v>128884.78000000001</v>
      </c>
      <c r="U692" s="1645">
        <f>SUM(U14:U691)</f>
        <v>71.708878517062132</v>
      </c>
      <c r="V692" s="1645">
        <f>SUM(V14:V691)</f>
        <v>3.2605022147292593E-3</v>
      </c>
      <c r="W692" s="1645">
        <f>SUM(W14:W691)</f>
        <v>71.682360014847418</v>
      </c>
      <c r="X692" s="1645">
        <f>SUM(X14:X691)</f>
        <v>1.727431609321407</v>
      </c>
    </row>
    <row r="693" spans="3:25" s="1630" customFormat="1" ht="13.95" customHeight="1" x14ac:dyDescent="0.3">
      <c r="C693" s="1629"/>
      <c r="D693" s="3448"/>
      <c r="E693" s="1629"/>
      <c r="F693" s="3449"/>
      <c r="G693" s="1629"/>
      <c r="H693" s="3448"/>
      <c r="I693" s="3450">
        <f>I692-19064</f>
        <v>0</v>
      </c>
      <c r="J693" s="1629"/>
      <c r="K693" s="1629"/>
      <c r="L693" s="1629"/>
      <c r="M693" s="3450">
        <f>M692-1033590</f>
        <v>-2.3300000004237518</v>
      </c>
      <c r="N693" s="1629"/>
      <c r="O693" s="3451">
        <f>O692-1010576</f>
        <v>-3.5300000003771856</v>
      </c>
      <c r="P693" s="3452">
        <f>P692-1885.5</f>
        <v>0</v>
      </c>
      <c r="Q693" s="3452">
        <f>Q692-21128.44</f>
        <v>-0.99999999999636202</v>
      </c>
      <c r="R693" s="3450">
        <f>R692-180254.69</f>
        <v>0</v>
      </c>
      <c r="S693" s="3450">
        <f>S692-128884.81</f>
        <v>-2.9999999984283932E-2</v>
      </c>
      <c r="U693" s="3453">
        <f>U692-71.708879</f>
        <v>-4.829378639215065E-7</v>
      </c>
      <c r="V693" s="3454"/>
      <c r="W693" s="3454"/>
      <c r="X693" s="3454"/>
      <c r="Y693" s="3454"/>
    </row>
    <row r="694" spans="3:25" s="1303" customFormat="1" ht="13.95" customHeight="1" x14ac:dyDescent="0.3">
      <c r="C694" s="1300"/>
      <c r="D694" s="1301"/>
      <c r="E694" s="1301"/>
      <c r="F694" s="1302"/>
      <c r="G694" s="1301"/>
      <c r="H694" s="1301"/>
      <c r="I694" s="1301"/>
      <c r="J694" s="1301"/>
      <c r="K694" s="1301"/>
      <c r="L694" s="1301"/>
      <c r="M694" s="1304"/>
      <c r="N694" s="1301"/>
      <c r="O694" s="1301"/>
      <c r="P694" s="1301"/>
      <c r="Q694" s="1301"/>
      <c r="R694" s="1301"/>
      <c r="S694" s="1301"/>
      <c r="U694" s="1662"/>
      <c r="V694" s="1662"/>
      <c r="W694" s="1662"/>
      <c r="X694" s="1662"/>
      <c r="Y694" s="1662"/>
    </row>
    <row r="695" spans="3:25" ht="13.95" customHeight="1" x14ac:dyDescent="0.3">
      <c r="C695" s="1057"/>
      <c r="D695" s="1058" t="s">
        <v>345</v>
      </c>
      <c r="E695" s="1057" t="s">
        <v>1378</v>
      </c>
      <c r="F695" s="1297" t="s">
        <v>1378</v>
      </c>
      <c r="G695" s="1057" t="s">
        <v>1378</v>
      </c>
      <c r="H695" s="1057" t="s">
        <v>1378</v>
      </c>
      <c r="I695" s="1644">
        <f>I692</f>
        <v>19064</v>
      </c>
      <c r="J695" s="1644">
        <f t="shared" ref="J695:S695" si="1">J692</f>
        <v>0</v>
      </c>
      <c r="K695" s="1644">
        <f t="shared" si="1"/>
        <v>0</v>
      </c>
      <c r="L695" s="1644">
        <f t="shared" si="1"/>
        <v>0</v>
      </c>
      <c r="M695" s="1644">
        <f t="shared" si="1"/>
        <v>1033587.6699999996</v>
      </c>
      <c r="N695" s="1644">
        <f t="shared" si="1"/>
        <v>0</v>
      </c>
      <c r="O695" s="1644">
        <f t="shared" si="1"/>
        <v>1010572.4699999996</v>
      </c>
      <c r="P695" s="1644">
        <f t="shared" si="1"/>
        <v>1885.5</v>
      </c>
      <c r="Q695" s="1644">
        <f t="shared" si="1"/>
        <v>21127.440000000002</v>
      </c>
      <c r="R695" s="1644">
        <f t="shared" si="1"/>
        <v>180254.68999999997</v>
      </c>
      <c r="S695" s="1644">
        <f t="shared" si="1"/>
        <v>128884.78000000001</v>
      </c>
    </row>
    <row r="696" spans="3:25" ht="13.95" customHeight="1" x14ac:dyDescent="0.3">
      <c r="C696" s="1057"/>
      <c r="D696" s="1058" t="s">
        <v>471</v>
      </c>
      <c r="E696" s="1057" t="s">
        <v>1378</v>
      </c>
      <c r="F696" s="1297" t="s">
        <v>1378</v>
      </c>
      <c r="G696" s="1057" t="s">
        <v>1378</v>
      </c>
      <c r="H696" s="1057" t="s">
        <v>1378</v>
      </c>
      <c r="I696" s="1059">
        <f t="shared" ref="I696:S696" si="2">SUMIF($G$14:$G$691,$G$676,I$14:I$691)</f>
        <v>19062</v>
      </c>
      <c r="J696" s="1059">
        <f t="shared" si="2"/>
        <v>0</v>
      </c>
      <c r="K696" s="1059">
        <f t="shared" si="2"/>
        <v>0</v>
      </c>
      <c r="L696" s="1059">
        <f t="shared" si="2"/>
        <v>0</v>
      </c>
      <c r="M696" s="1644">
        <f t="shared" si="2"/>
        <v>1033587.6699999996</v>
      </c>
      <c r="N696" s="1059">
        <f t="shared" si="2"/>
        <v>0</v>
      </c>
      <c r="O696" s="1059">
        <f t="shared" si="2"/>
        <v>1010572.4699999996</v>
      </c>
      <c r="P696" s="1644">
        <f t="shared" si="2"/>
        <v>1885.5</v>
      </c>
      <c r="Q696" s="1644">
        <f t="shared" si="2"/>
        <v>21127.440000000002</v>
      </c>
      <c r="R696" s="1644">
        <f t="shared" si="2"/>
        <v>180254.68999999997</v>
      </c>
      <c r="S696" s="1644">
        <f t="shared" si="2"/>
        <v>127974.78000000001</v>
      </c>
    </row>
    <row r="697" spans="3:25" ht="13.95" customHeight="1" x14ac:dyDescent="0.3">
      <c r="C697" s="1057"/>
      <c r="D697" s="1058" t="s">
        <v>1379</v>
      </c>
      <c r="E697" s="1057" t="s">
        <v>1378</v>
      </c>
      <c r="F697" s="1297" t="s">
        <v>1378</v>
      </c>
      <c r="G697" s="1057" t="s">
        <v>1378</v>
      </c>
      <c r="H697" s="1057" t="s">
        <v>1378</v>
      </c>
      <c r="I697" s="1059">
        <f>SUMIF($E$14:$E$691,1,I$14:I$691)+SUMIF($E$14:$E$691,2,I$14:I$691)-I701</f>
        <v>399</v>
      </c>
      <c r="J697" s="1059">
        <f t="shared" ref="J697:S697" si="3">SUMIF($E$14:$E$691,1,J$14:J$691)+SUMIF($E$14:$E$691,2,J$14:J$691)-J701</f>
        <v>0</v>
      </c>
      <c r="K697" s="1059">
        <f t="shared" si="3"/>
        <v>0</v>
      </c>
      <c r="L697" s="1059">
        <f t="shared" si="3"/>
        <v>0</v>
      </c>
      <c r="M697" s="1644">
        <f t="shared" si="3"/>
        <v>18897.38</v>
      </c>
      <c r="N697" s="1059">
        <f t="shared" si="3"/>
        <v>0</v>
      </c>
      <c r="O697" s="1644">
        <f t="shared" si="3"/>
        <v>16914.98</v>
      </c>
      <c r="P697" s="1644">
        <f t="shared" si="3"/>
        <v>422.7</v>
      </c>
      <c r="Q697" s="1644">
        <f t="shared" si="3"/>
        <v>1559.6999999999998</v>
      </c>
      <c r="R697" s="1059">
        <f t="shared" si="3"/>
        <v>0</v>
      </c>
      <c r="S697" s="1644">
        <f t="shared" si="3"/>
        <v>25505.47</v>
      </c>
    </row>
    <row r="698" spans="3:25" ht="13.95" customHeight="1" x14ac:dyDescent="0.3">
      <c r="C698" s="1057"/>
      <c r="D698" s="1058" t="s">
        <v>1380</v>
      </c>
      <c r="E698" s="1057" t="s">
        <v>1378</v>
      </c>
      <c r="F698" s="1297" t="s">
        <v>1378</v>
      </c>
      <c r="G698" s="1057" t="s">
        <v>1378</v>
      </c>
      <c r="H698" s="1057" t="s">
        <v>1378</v>
      </c>
      <c r="I698" s="1059">
        <f>SUMIF($E$14:$E$691,3,I$14:I$691)+SUMIF($E$14:$E$691,4,I$14:I$691)</f>
        <v>788</v>
      </c>
      <c r="J698" s="1059">
        <f t="shared" ref="J698:S698" si="4">SUMIF($E$14:$E$691,3,J$14:J$691)+SUMIF($E$14:$E$691,4,J$14:J$691)</f>
        <v>0</v>
      </c>
      <c r="K698" s="1059">
        <f t="shared" si="4"/>
        <v>0</v>
      </c>
      <c r="L698" s="1059">
        <f t="shared" si="4"/>
        <v>0</v>
      </c>
      <c r="M698" s="1644">
        <f t="shared" si="4"/>
        <v>46307.19</v>
      </c>
      <c r="N698" s="1059">
        <f t="shared" si="4"/>
        <v>0</v>
      </c>
      <c r="O698" s="1644">
        <f t="shared" si="4"/>
        <v>42987.48</v>
      </c>
      <c r="P698" s="1644">
        <f t="shared" si="4"/>
        <v>832.80000000000007</v>
      </c>
      <c r="Q698" s="1644">
        <f t="shared" si="4"/>
        <v>2485.89</v>
      </c>
      <c r="R698" s="1644">
        <f t="shared" si="4"/>
        <v>3236.7999999999997</v>
      </c>
      <c r="S698" s="1059">
        <f t="shared" si="4"/>
        <v>87571.700000000012</v>
      </c>
    </row>
    <row r="699" spans="3:25" ht="13.95" customHeight="1" x14ac:dyDescent="0.3">
      <c r="C699" s="1057"/>
      <c r="D699" s="1058" t="s">
        <v>346</v>
      </c>
      <c r="E699" s="1057" t="s">
        <v>1378</v>
      </c>
      <c r="F699" s="1297" t="s">
        <v>1378</v>
      </c>
      <c r="G699" s="1057" t="s">
        <v>1378</v>
      </c>
      <c r="H699" s="1057" t="s">
        <v>1378</v>
      </c>
      <c r="I699" s="1059">
        <f>SUMIF($E$14:$E$691,5,I$14:I$691)+SUMIF($E$14:$E$691,9,I$14:I$691)+SUMIF($E$14:$E$691,7,I$14:I$691)+SUMIF($E$14:$E$691,10,I$14:I$691)+SUMIF($E$14:$E$691,14,I$14:I$691)+SUMIF($E$14:$E$691,16,I$14:I$691)-I717</f>
        <v>17875</v>
      </c>
      <c r="J699" s="1059">
        <f t="shared" ref="J699:S699" si="5">SUMIF($E$14:$E$691,5,J$14:J$691)+SUMIF($E$14:$E$691,9,J$14:J$691)+SUMIF($E$14:$E$691,7,J$14:J$691)+SUMIF($E$14:$E$691,10,J$14:J$691)+SUMIF($E$14:$E$691,14,J$14:J$691)+SUMIF($E$14:$E$691,16,J$14:J$691)-J717</f>
        <v>0</v>
      </c>
      <c r="K699" s="1059">
        <f t="shared" si="5"/>
        <v>0</v>
      </c>
      <c r="L699" s="1059">
        <f t="shared" si="5"/>
        <v>0</v>
      </c>
      <c r="M699" s="1644">
        <f t="shared" si="5"/>
        <v>968383.1</v>
      </c>
      <c r="N699" s="1059">
        <f t="shared" si="5"/>
        <v>0</v>
      </c>
      <c r="O699" s="1644">
        <f t="shared" si="5"/>
        <v>950670.01000000013</v>
      </c>
      <c r="P699" s="1059">
        <f t="shared" si="5"/>
        <v>630</v>
      </c>
      <c r="Q699" s="1644">
        <f t="shared" si="5"/>
        <v>17081.850000000002</v>
      </c>
      <c r="R699" s="1644">
        <f t="shared" si="5"/>
        <v>177017.89</v>
      </c>
      <c r="S699" s="1644">
        <f t="shared" si="5"/>
        <v>14897.61</v>
      </c>
    </row>
    <row r="700" spans="3:25" ht="13.95" customHeight="1" x14ac:dyDescent="0.3">
      <c r="C700" s="1057"/>
      <c r="D700" s="1058" t="s">
        <v>1381</v>
      </c>
      <c r="E700" s="1057" t="s">
        <v>1378</v>
      </c>
      <c r="F700" s="1297" t="s">
        <v>1378</v>
      </c>
      <c r="G700" s="1057" t="s">
        <v>1378</v>
      </c>
      <c r="H700" s="1057" t="s">
        <v>1378</v>
      </c>
      <c r="I700" s="1057">
        <f>SUMIF($G$14:$G$691,$G$639,I$14:I$691)</f>
        <v>2</v>
      </c>
      <c r="J700" s="1057">
        <f>SUMIF($G$14:$G$691,$G$648,J$14:J$691)</f>
        <v>0</v>
      </c>
      <c r="K700" s="1057">
        <f>SUMIF($G$14:$G$691,$G$648,K$14:K$691)</f>
        <v>0</v>
      </c>
      <c r="L700" s="1057">
        <f>SUMIF($G$14:$G$691,$G$648,L$14:L$691)</f>
        <v>0</v>
      </c>
      <c r="M700" s="1057">
        <f>SUMIF($G$14:$G$691,$G$639,M$14:M$691)</f>
        <v>0</v>
      </c>
      <c r="N700" s="1057">
        <f>SUMIF($G$14:$G$691,$G$648,N$14:N$691)</f>
        <v>0</v>
      </c>
      <c r="O700" s="1057">
        <f>SUMIF($G$14:$G$691,$G$639,O$14:O$691)</f>
        <v>0</v>
      </c>
      <c r="P700" s="1057">
        <f>SUMIF($G$14:$G$691,$G$639,P$14:P$691)</f>
        <v>0</v>
      </c>
      <c r="Q700" s="1057">
        <f>SUMIF($G$14:$G$691,$G$639,Q$14:Q$691)</f>
        <v>0</v>
      </c>
      <c r="R700" s="1057">
        <f>SUMIF($G$14:$G$691,$G$639,R$14:R$691)</f>
        <v>0</v>
      </c>
      <c r="S700" s="1057">
        <f>SUMIF($G$14:$G$691,$G$639,S$14:S$691)</f>
        <v>910</v>
      </c>
    </row>
    <row r="701" spans="3:25" ht="13.95" customHeight="1" x14ac:dyDescent="0.3">
      <c r="C701" s="1057"/>
      <c r="D701" s="1058" t="s">
        <v>1382</v>
      </c>
      <c r="E701" s="1057" t="s">
        <v>1378</v>
      </c>
      <c r="F701" s="1297" t="s">
        <v>1378</v>
      </c>
      <c r="G701" s="1057" t="s">
        <v>1378</v>
      </c>
      <c r="H701" s="1057" t="s">
        <v>1378</v>
      </c>
      <c r="I701" s="1057">
        <f>SUM(I702:I708)</f>
        <v>2</v>
      </c>
      <c r="J701" s="1057">
        <f t="shared" ref="J701:S701" si="6">SUM(J702:J708)</f>
        <v>0</v>
      </c>
      <c r="K701" s="1057">
        <f t="shared" si="6"/>
        <v>0</v>
      </c>
      <c r="L701" s="1057">
        <f t="shared" si="6"/>
        <v>0</v>
      </c>
      <c r="M701" s="1057">
        <f t="shared" si="6"/>
        <v>0</v>
      </c>
      <c r="N701" s="1057">
        <f t="shared" si="6"/>
        <v>0</v>
      </c>
      <c r="O701" s="1057">
        <f t="shared" si="6"/>
        <v>0</v>
      </c>
      <c r="P701" s="1057">
        <f t="shared" si="6"/>
        <v>0</v>
      </c>
      <c r="Q701" s="1057">
        <f t="shared" si="6"/>
        <v>0</v>
      </c>
      <c r="R701" s="1057">
        <f t="shared" si="6"/>
        <v>0</v>
      </c>
      <c r="S701" s="1057">
        <f t="shared" si="6"/>
        <v>910</v>
      </c>
      <c r="T701" s="2275">
        <f>S697+S701</f>
        <v>26415.47</v>
      </c>
    </row>
    <row r="702" spans="3:25" ht="13.95" customHeight="1" x14ac:dyDescent="0.3">
      <c r="C702" s="1057"/>
      <c r="D702" s="1058" t="s">
        <v>1383</v>
      </c>
      <c r="E702" s="1057" t="s">
        <v>1378</v>
      </c>
      <c r="F702" s="1297" t="s">
        <v>1378</v>
      </c>
      <c r="G702" s="1057" t="s">
        <v>1378</v>
      </c>
      <c r="H702" s="1057" t="s">
        <v>1378</v>
      </c>
      <c r="I702" s="1057"/>
      <c r="J702" s="1057"/>
      <c r="K702" s="1057"/>
      <c r="L702" s="1057"/>
      <c r="M702" s="1057"/>
      <c r="N702" s="1057"/>
      <c r="O702" s="1057"/>
      <c r="P702" s="1057"/>
      <c r="Q702" s="1057"/>
      <c r="R702" s="1057"/>
      <c r="S702" s="1057"/>
    </row>
    <row r="703" spans="3:25" ht="13.95" customHeight="1" x14ac:dyDescent="0.3">
      <c r="C703" s="1057"/>
      <c r="D703" s="1058" t="s">
        <v>347</v>
      </c>
      <c r="E703" s="1057" t="s">
        <v>1378</v>
      </c>
      <c r="F703" s="1297" t="s">
        <v>1378</v>
      </c>
      <c r="G703" s="1057" t="s">
        <v>1378</v>
      </c>
      <c r="H703" s="1057" t="s">
        <v>1378</v>
      </c>
      <c r="I703" s="1057">
        <f>I700</f>
        <v>2</v>
      </c>
      <c r="J703" s="1057"/>
      <c r="K703" s="1057"/>
      <c r="L703" s="1057"/>
      <c r="M703" s="1057"/>
      <c r="N703" s="1057"/>
      <c r="O703" s="1057"/>
      <c r="P703" s="1057"/>
      <c r="Q703" s="1057"/>
      <c r="R703" s="1057"/>
      <c r="S703" s="2274">
        <f>S700</f>
        <v>910</v>
      </c>
    </row>
    <row r="704" spans="3:25" ht="13.95" customHeight="1" x14ac:dyDescent="0.3">
      <c r="C704" s="1057"/>
      <c r="D704" s="1058" t="s">
        <v>348</v>
      </c>
      <c r="E704" s="1057" t="s">
        <v>1378</v>
      </c>
      <c r="F704" s="1297" t="s">
        <v>1378</v>
      </c>
      <c r="G704" s="1057" t="s">
        <v>1378</v>
      </c>
      <c r="H704" s="1057" t="s">
        <v>1378</v>
      </c>
      <c r="I704" s="1057"/>
      <c r="J704" s="1057"/>
      <c r="K704" s="1057"/>
      <c r="L704" s="1057"/>
      <c r="M704" s="1057"/>
      <c r="N704" s="1057"/>
      <c r="O704" s="1057"/>
      <c r="P704" s="1057"/>
      <c r="Q704" s="1057"/>
      <c r="R704" s="1057"/>
      <c r="S704" s="1057"/>
    </row>
    <row r="705" spans="3:19" ht="13.95" customHeight="1" x14ac:dyDescent="0.3">
      <c r="C705" s="1057"/>
      <c r="D705" s="1058" t="s">
        <v>349</v>
      </c>
      <c r="E705" s="1057" t="s">
        <v>1378</v>
      </c>
      <c r="F705" s="1297" t="s">
        <v>1378</v>
      </c>
      <c r="G705" s="1057" t="s">
        <v>1378</v>
      </c>
      <c r="H705" s="1057" t="s">
        <v>1378</v>
      </c>
      <c r="I705" s="1057"/>
      <c r="J705" s="1057"/>
      <c r="K705" s="1057"/>
      <c r="L705" s="1057"/>
      <c r="M705" s="1057"/>
      <c r="N705" s="1057"/>
      <c r="O705" s="1057"/>
      <c r="P705" s="1057"/>
      <c r="Q705" s="1057"/>
      <c r="R705" s="1057"/>
      <c r="S705" s="1646"/>
    </row>
    <row r="706" spans="3:19" ht="13.95" customHeight="1" x14ac:dyDescent="0.3">
      <c r="C706" s="1057"/>
      <c r="D706" s="1058" t="s">
        <v>350</v>
      </c>
      <c r="E706" s="1057" t="s">
        <v>1378</v>
      </c>
      <c r="F706" s="1297" t="s">
        <v>1378</v>
      </c>
      <c r="G706" s="1057" t="s">
        <v>1378</v>
      </c>
      <c r="H706" s="1057" t="s">
        <v>1378</v>
      </c>
      <c r="I706" s="1057"/>
      <c r="J706" s="1057"/>
      <c r="K706" s="1057"/>
      <c r="L706" s="1057"/>
      <c r="M706" s="1057"/>
      <c r="N706" s="1057"/>
      <c r="O706" s="1057"/>
      <c r="P706" s="1057"/>
      <c r="Q706" s="1057"/>
      <c r="R706" s="1057"/>
      <c r="S706" s="1057"/>
    </row>
    <row r="707" spans="3:19" ht="13.95" customHeight="1" x14ac:dyDescent="0.3">
      <c r="C707" s="1057"/>
      <c r="D707" s="1058" t="s">
        <v>351</v>
      </c>
      <c r="E707" s="1057" t="s">
        <v>1378</v>
      </c>
      <c r="F707" s="1297" t="s">
        <v>1378</v>
      </c>
      <c r="G707" s="1057" t="s">
        <v>1378</v>
      </c>
      <c r="H707" s="1057" t="s">
        <v>1378</v>
      </c>
      <c r="I707" s="1057"/>
      <c r="J707" s="1057"/>
      <c r="K707" s="1057"/>
      <c r="L707" s="1057"/>
      <c r="M707" s="1057"/>
      <c r="N707" s="1057"/>
      <c r="O707" s="1057"/>
      <c r="P707" s="1057"/>
      <c r="Q707" s="1057"/>
      <c r="R707" s="1057"/>
      <c r="S707" s="1060"/>
    </row>
    <row r="708" spans="3:19" ht="13.95" customHeight="1" x14ac:dyDescent="0.3">
      <c r="C708" s="1057"/>
      <c r="D708" s="1058" t="s">
        <v>352</v>
      </c>
      <c r="E708" s="1057" t="s">
        <v>1378</v>
      </c>
      <c r="F708" s="1297" t="s">
        <v>1378</v>
      </c>
      <c r="G708" s="1057" t="s">
        <v>1378</v>
      </c>
      <c r="H708" s="1057" t="s">
        <v>1378</v>
      </c>
      <c r="I708" s="1057"/>
      <c r="J708" s="1057"/>
      <c r="K708" s="1057"/>
      <c r="L708" s="1057"/>
      <c r="M708" s="1057"/>
      <c r="N708" s="1057"/>
      <c r="O708" s="1057"/>
      <c r="P708" s="1057"/>
      <c r="Q708" s="1057"/>
      <c r="R708" s="1057"/>
      <c r="S708" s="1057"/>
    </row>
    <row r="709" spans="3:19" ht="13.95" customHeight="1" x14ac:dyDescent="0.3">
      <c r="C709" s="1057"/>
      <c r="D709" s="1058" t="s">
        <v>1384</v>
      </c>
      <c r="E709" s="1057" t="s">
        <v>1378</v>
      </c>
      <c r="F709" s="1297" t="s">
        <v>1378</v>
      </c>
      <c r="G709" s="1057" t="s">
        <v>1378</v>
      </c>
      <c r="H709" s="1057" t="s">
        <v>1378</v>
      </c>
      <c r="I709" s="1057"/>
      <c r="J709" s="1057"/>
      <c r="K709" s="1057"/>
      <c r="L709" s="1057"/>
      <c r="M709" s="1057"/>
      <c r="N709" s="1057"/>
      <c r="O709" s="1057"/>
      <c r="P709" s="1057"/>
      <c r="Q709" s="1057"/>
      <c r="R709" s="1057"/>
      <c r="S709" s="1057"/>
    </row>
    <row r="710" spans="3:19" ht="13.95" customHeight="1" x14ac:dyDescent="0.3">
      <c r="C710" s="1057"/>
      <c r="D710" s="1058" t="s">
        <v>1383</v>
      </c>
      <c r="E710" s="1057" t="s">
        <v>1378</v>
      </c>
      <c r="F710" s="1297" t="s">
        <v>1378</v>
      </c>
      <c r="G710" s="1057" t="s">
        <v>1378</v>
      </c>
      <c r="H710" s="1057" t="s">
        <v>1378</v>
      </c>
      <c r="I710" s="1057"/>
      <c r="J710" s="1057"/>
      <c r="K710" s="1057"/>
      <c r="L710" s="1057"/>
      <c r="M710" s="1057"/>
      <c r="N710" s="1057"/>
      <c r="O710" s="1057"/>
      <c r="P710" s="1057"/>
      <c r="Q710" s="1057"/>
      <c r="R710" s="1057"/>
      <c r="S710" s="1057"/>
    </row>
    <row r="711" spans="3:19" ht="13.95" customHeight="1" x14ac:dyDescent="0.3">
      <c r="C711" s="1057"/>
      <c r="D711" s="1058" t="s">
        <v>347</v>
      </c>
      <c r="E711" s="1057" t="s">
        <v>1378</v>
      </c>
      <c r="F711" s="1297" t="s">
        <v>1378</v>
      </c>
      <c r="G711" s="1057" t="s">
        <v>1378</v>
      </c>
      <c r="H711" s="1057" t="s">
        <v>1378</v>
      </c>
      <c r="I711" s="1057"/>
      <c r="J711" s="1057"/>
      <c r="K711" s="1057"/>
      <c r="L711" s="1057"/>
      <c r="M711" s="1057"/>
      <c r="N711" s="1057"/>
      <c r="O711" s="1057"/>
      <c r="P711" s="1057"/>
      <c r="Q711" s="1057"/>
      <c r="R711" s="1057"/>
      <c r="S711" s="1057"/>
    </row>
    <row r="712" spans="3:19" ht="13.95" customHeight="1" x14ac:dyDescent="0.3">
      <c r="C712" s="1057"/>
      <c r="D712" s="1058" t="s">
        <v>348</v>
      </c>
      <c r="E712" s="1057" t="s">
        <v>1378</v>
      </c>
      <c r="F712" s="1297" t="s">
        <v>1378</v>
      </c>
      <c r="G712" s="1057" t="s">
        <v>1378</v>
      </c>
      <c r="H712" s="1057" t="s">
        <v>1378</v>
      </c>
      <c r="I712" s="1057"/>
      <c r="J712" s="1057"/>
      <c r="K712" s="1057"/>
      <c r="L712" s="1057"/>
      <c r="M712" s="1057"/>
      <c r="N712" s="1057"/>
      <c r="O712" s="1057"/>
      <c r="P712" s="1057"/>
      <c r="Q712" s="1057"/>
      <c r="R712" s="1057"/>
      <c r="S712" s="1057"/>
    </row>
    <row r="713" spans="3:19" ht="13.95" customHeight="1" x14ac:dyDescent="0.3">
      <c r="C713" s="1057"/>
      <c r="D713" s="1058" t="s">
        <v>349</v>
      </c>
      <c r="E713" s="1057" t="s">
        <v>1378</v>
      </c>
      <c r="F713" s="1297" t="s">
        <v>1378</v>
      </c>
      <c r="G713" s="1057" t="s">
        <v>1378</v>
      </c>
      <c r="H713" s="1057" t="s">
        <v>1378</v>
      </c>
      <c r="I713" s="1057">
        <v>0</v>
      </c>
      <c r="J713" s="1057"/>
      <c r="K713" s="1057"/>
      <c r="L713" s="1057"/>
      <c r="M713" s="1057"/>
      <c r="N713" s="1057"/>
      <c r="O713" s="1057"/>
      <c r="P713" s="1057"/>
      <c r="Q713" s="1057"/>
      <c r="R713" s="1057"/>
      <c r="S713" s="1646"/>
    </row>
    <row r="714" spans="3:19" ht="13.95" customHeight="1" x14ac:dyDescent="0.3">
      <c r="C714" s="1057"/>
      <c r="D714" s="1058" t="s">
        <v>350</v>
      </c>
      <c r="E714" s="1057" t="s">
        <v>1378</v>
      </c>
      <c r="F714" s="1297" t="s">
        <v>1378</v>
      </c>
      <c r="G714" s="1057" t="s">
        <v>1378</v>
      </c>
      <c r="H714" s="1057" t="s">
        <v>1378</v>
      </c>
      <c r="I714" s="1057"/>
      <c r="J714" s="1057"/>
      <c r="K714" s="1057"/>
      <c r="L714" s="1057"/>
      <c r="M714" s="1057"/>
      <c r="N714" s="1057"/>
      <c r="O714" s="1057"/>
      <c r="P714" s="1057"/>
      <c r="Q714" s="1057"/>
      <c r="R714" s="1057"/>
      <c r="S714" s="1057"/>
    </row>
    <row r="715" spans="3:19" ht="13.95" customHeight="1" x14ac:dyDescent="0.3">
      <c r="C715" s="1057"/>
      <c r="D715" s="1058" t="s">
        <v>351</v>
      </c>
      <c r="E715" s="1057" t="s">
        <v>1378</v>
      </c>
      <c r="F715" s="1297" t="s">
        <v>1378</v>
      </c>
      <c r="G715" s="1057" t="s">
        <v>1378</v>
      </c>
      <c r="H715" s="1057" t="s">
        <v>1378</v>
      </c>
      <c r="I715" s="1057"/>
      <c r="J715" s="1057"/>
      <c r="K715" s="1057"/>
      <c r="L715" s="1057"/>
      <c r="M715" s="1057"/>
      <c r="N715" s="1057"/>
      <c r="O715" s="1057"/>
      <c r="P715" s="1057"/>
      <c r="Q715" s="1057"/>
      <c r="R715" s="1057"/>
      <c r="S715" s="1057"/>
    </row>
    <row r="716" spans="3:19" ht="13.95" customHeight="1" x14ac:dyDescent="0.3">
      <c r="C716" s="1057"/>
      <c r="D716" s="1058" t="s">
        <v>352</v>
      </c>
      <c r="E716" s="1057" t="s">
        <v>1378</v>
      </c>
      <c r="F716" s="1297" t="s">
        <v>1378</v>
      </c>
      <c r="G716" s="1057" t="s">
        <v>1378</v>
      </c>
      <c r="H716" s="1057" t="s">
        <v>1378</v>
      </c>
      <c r="I716" s="1057"/>
      <c r="J716" s="1057"/>
      <c r="K716" s="1057"/>
      <c r="L716" s="1057"/>
      <c r="M716" s="1057"/>
      <c r="N716" s="1057"/>
      <c r="O716" s="1057"/>
      <c r="P716" s="1057"/>
      <c r="Q716" s="1057"/>
      <c r="R716" s="1057"/>
      <c r="S716" s="1057"/>
    </row>
    <row r="717" spans="3:19" ht="13.95" customHeight="1" x14ac:dyDescent="0.3">
      <c r="C717" s="1057"/>
      <c r="D717" s="1058" t="s">
        <v>1385</v>
      </c>
      <c r="E717" s="1057" t="s">
        <v>1378</v>
      </c>
      <c r="F717" s="1297" t="s">
        <v>1378</v>
      </c>
      <c r="G717" s="1057" t="s">
        <v>1378</v>
      </c>
      <c r="H717" s="1057" t="s">
        <v>1378</v>
      </c>
      <c r="I717" s="1057"/>
      <c r="J717" s="1057"/>
      <c r="K717" s="1057"/>
      <c r="L717" s="1057"/>
      <c r="M717" s="1057"/>
      <c r="N717" s="1057"/>
      <c r="O717" s="1057"/>
      <c r="P717" s="1057"/>
      <c r="Q717" s="1057"/>
      <c r="R717" s="1057"/>
      <c r="S717" s="1060"/>
    </row>
    <row r="718" spans="3:19" ht="13.95" customHeight="1" x14ac:dyDescent="0.3">
      <c r="C718" s="1057"/>
      <c r="D718" s="1058" t="s">
        <v>1383</v>
      </c>
      <c r="E718" s="1057" t="s">
        <v>1378</v>
      </c>
      <c r="F718" s="1297" t="s">
        <v>1378</v>
      </c>
      <c r="G718" s="1057" t="s">
        <v>1378</v>
      </c>
      <c r="H718" s="1057" t="s">
        <v>1378</v>
      </c>
      <c r="I718" s="1057"/>
      <c r="J718" s="1057"/>
      <c r="K718" s="1057"/>
      <c r="L718" s="1057"/>
      <c r="M718" s="1057"/>
      <c r="N718" s="1057"/>
      <c r="O718" s="1057"/>
      <c r="P718" s="1057"/>
      <c r="Q718" s="1057"/>
      <c r="R718" s="1057"/>
      <c r="S718" s="1057"/>
    </row>
    <row r="719" spans="3:19" ht="13.95" customHeight="1" x14ac:dyDescent="0.3">
      <c r="C719" s="1057"/>
      <c r="D719" s="1058" t="s">
        <v>348</v>
      </c>
      <c r="E719" s="1057" t="s">
        <v>1378</v>
      </c>
      <c r="F719" s="1297" t="s">
        <v>1378</v>
      </c>
      <c r="G719" s="1057" t="s">
        <v>1378</v>
      </c>
      <c r="H719" s="1057" t="s">
        <v>1378</v>
      </c>
      <c r="I719" s="1057"/>
      <c r="J719" s="1057"/>
      <c r="K719" s="1057"/>
      <c r="L719" s="1057"/>
      <c r="M719" s="1057"/>
      <c r="N719" s="1057"/>
      <c r="O719" s="1057"/>
      <c r="P719" s="1057"/>
      <c r="Q719" s="1057"/>
      <c r="R719" s="1057"/>
      <c r="S719" s="1060"/>
    </row>
    <row r="720" spans="3:19" ht="13.95" customHeight="1" x14ac:dyDescent="0.3">
      <c r="C720" s="1057"/>
      <c r="D720" s="1058" t="s">
        <v>349</v>
      </c>
      <c r="E720" s="1057" t="s">
        <v>1378</v>
      </c>
      <c r="F720" s="1297" t="s">
        <v>1378</v>
      </c>
      <c r="G720" s="1057" t="s">
        <v>1378</v>
      </c>
      <c r="H720" s="1057" t="s">
        <v>1378</v>
      </c>
      <c r="I720" s="1057"/>
      <c r="J720" s="1057"/>
      <c r="K720" s="1057"/>
      <c r="L720" s="1057"/>
      <c r="M720" s="1057"/>
      <c r="N720" s="1057"/>
      <c r="O720" s="1057"/>
      <c r="P720" s="1057"/>
      <c r="Q720" s="1057"/>
      <c r="R720" s="1057"/>
      <c r="S720" s="1060"/>
    </row>
    <row r="721" spans="3:25" ht="13.95" customHeight="1" x14ac:dyDescent="0.3">
      <c r="C721" s="1057"/>
      <c r="D721" s="1058" t="s">
        <v>350</v>
      </c>
      <c r="E721" s="1057" t="s">
        <v>1378</v>
      </c>
      <c r="F721" s="1297" t="s">
        <v>1378</v>
      </c>
      <c r="G721" s="1057" t="s">
        <v>1378</v>
      </c>
      <c r="H721" s="1057" t="s">
        <v>1378</v>
      </c>
      <c r="I721" s="1057"/>
      <c r="J721" s="1057"/>
      <c r="K721" s="1057"/>
      <c r="L721" s="1057"/>
      <c r="M721" s="1057"/>
      <c r="N721" s="1057"/>
      <c r="O721" s="1057"/>
      <c r="P721" s="1057"/>
      <c r="Q721" s="1057"/>
      <c r="R721" s="1057"/>
      <c r="S721" s="1057"/>
    </row>
    <row r="722" spans="3:25" ht="13.95" customHeight="1" x14ac:dyDescent="0.3">
      <c r="C722" s="1057"/>
      <c r="D722" s="1058" t="s">
        <v>351</v>
      </c>
      <c r="E722" s="1057" t="s">
        <v>1378</v>
      </c>
      <c r="F722" s="1297" t="s">
        <v>1378</v>
      </c>
      <c r="G722" s="1057" t="s">
        <v>1378</v>
      </c>
      <c r="H722" s="1057" t="s">
        <v>1378</v>
      </c>
      <c r="I722" s="1057">
        <v>1</v>
      </c>
      <c r="J722" s="1057"/>
      <c r="K722" s="1057"/>
      <c r="L722" s="1057"/>
      <c r="M722" s="1057"/>
      <c r="N722" s="1057"/>
      <c r="O722" s="1057"/>
      <c r="P722" s="1057"/>
      <c r="Q722" s="1057"/>
      <c r="R722" s="1057"/>
      <c r="S722" s="1057"/>
    </row>
    <row r="723" spans="3:25" ht="13.95" customHeight="1" thickBot="1" x14ac:dyDescent="0.35">
      <c r="C723" s="1061"/>
      <c r="D723" s="1062" t="s">
        <v>352</v>
      </c>
      <c r="E723" s="1061" t="s">
        <v>1378</v>
      </c>
      <c r="F723" s="1298" t="s">
        <v>1378</v>
      </c>
      <c r="G723" s="1061" t="s">
        <v>1378</v>
      </c>
      <c r="H723" s="1061" t="s">
        <v>1378</v>
      </c>
      <c r="I723" s="1061"/>
      <c r="J723" s="1061"/>
      <c r="K723" s="1061"/>
      <c r="L723" s="1061"/>
      <c r="M723" s="1061"/>
      <c r="N723" s="1061"/>
      <c r="O723" s="1061"/>
      <c r="P723" s="1061"/>
      <c r="Q723" s="1061"/>
      <c r="R723" s="1061"/>
      <c r="S723" s="1061"/>
    </row>
    <row r="724" spans="3:25" x14ac:dyDescent="0.3">
      <c r="D724" s="948" t="s">
        <v>2014</v>
      </c>
    </row>
    <row r="727" spans="3:25" s="1117" customFormat="1" ht="18" x14ac:dyDescent="0.35">
      <c r="D727" s="1118" t="str">
        <f>'Вхідні дані'!B13</f>
        <v>Директор підприємства</v>
      </c>
      <c r="F727" s="1299"/>
      <c r="I727" s="1117" t="s">
        <v>1386</v>
      </c>
      <c r="P727" s="5376" t="s">
        <v>2006</v>
      </c>
      <c r="Q727" s="5376"/>
      <c r="R727" s="5376"/>
      <c r="U727" s="949"/>
      <c r="V727" s="949"/>
      <c r="W727" s="949"/>
      <c r="X727" s="949"/>
      <c r="Y727" s="949"/>
    </row>
    <row r="728" spans="3:25" x14ac:dyDescent="0.3">
      <c r="D728" s="1119" t="s">
        <v>232</v>
      </c>
      <c r="I728" s="5378" t="s">
        <v>209</v>
      </c>
      <c r="J728" s="5378"/>
      <c r="K728" s="5378"/>
      <c r="L728" s="5378"/>
      <c r="M728" s="5378"/>
      <c r="P728" s="5377" t="s">
        <v>230</v>
      </c>
      <c r="Q728" s="5377"/>
      <c r="R728" s="5377"/>
    </row>
  </sheetData>
  <autoFilter ref="A13:Y677" xr:uid="{00000000-0009-0000-0000-000027000000}"/>
  <mergeCells count="23">
    <mergeCell ref="C6:S6"/>
    <mergeCell ref="P727:R727"/>
    <mergeCell ref="P728:R728"/>
    <mergeCell ref="I728:M728"/>
    <mergeCell ref="M1:Q1"/>
    <mergeCell ref="C9:S9"/>
    <mergeCell ref="O11:R11"/>
    <mergeCell ref="S11:S12"/>
    <mergeCell ref="H11:H12"/>
    <mergeCell ref="I11:I12"/>
    <mergeCell ref="J11:J12"/>
    <mergeCell ref="K11:K12"/>
    <mergeCell ref="L11:L12"/>
    <mergeCell ref="M11:M12"/>
    <mergeCell ref="C4:S4"/>
    <mergeCell ref="C5:S5"/>
    <mergeCell ref="C7:S7"/>
    <mergeCell ref="C8:S8"/>
    <mergeCell ref="C11:C12"/>
    <mergeCell ref="D11:D12"/>
    <mergeCell ref="E11:E12"/>
    <mergeCell ref="F11:F12"/>
    <mergeCell ref="G11:G12"/>
  </mergeCells>
  <pageMargins left="0.23622047244094491" right="0.11811023622047245" top="0.47244094488188981" bottom="0.35433070866141736" header="0.31496062992125984" footer="0.15748031496062992"/>
  <pageSetup paperSize="9" scale="71" fitToHeight="10" orientation="portrait" horizontalDpi="300" verticalDpi="300" r:id="rId1"/>
  <headerFooter>
    <oddFooter>&amp;R Сторінка &amp;P з &amp;N</oddFooter>
  </headerFooter>
  <legacyDrawing r:id="rId2"/>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800-000000000000}">
  <sheetPr codeName="Лист34">
    <tabColor theme="9"/>
    <pageSetUpPr fitToPage="1"/>
  </sheetPr>
  <dimension ref="A1:U52"/>
  <sheetViews>
    <sheetView topLeftCell="B11" zoomScaleNormal="100" zoomScaleSheetLayoutView="100" workbookViewId="0">
      <pane xSplit="1" ySplit="3" topLeftCell="C32" activePane="bottomRight" state="frozen"/>
      <selection activeCell="B11" sqref="B11"/>
      <selection pane="topRight" activeCell="C11" sqref="C11"/>
      <selection pane="bottomLeft" activeCell="B14" sqref="B14"/>
      <selection pane="bottomRight" activeCell="C31" sqref="C31:E31"/>
    </sheetView>
  </sheetViews>
  <sheetFormatPr defaultRowHeight="14.4" x14ac:dyDescent="0.3"/>
  <cols>
    <col min="1" max="1" width="5.44140625" style="17" customWidth="1"/>
    <col min="2" max="2" width="44.88671875" customWidth="1"/>
    <col min="3" max="3" width="12.109375" bestFit="1" customWidth="1"/>
    <col min="4" max="4" width="15.5546875" customWidth="1"/>
    <col min="5" max="5" width="15" customWidth="1"/>
    <col min="6" max="6" width="12.109375" bestFit="1" customWidth="1"/>
    <col min="7" max="8" width="15.5546875" customWidth="1"/>
    <col min="9" max="9" width="11.44140625" customWidth="1"/>
    <col min="10" max="11" width="15.5546875" customWidth="1"/>
    <col min="12" max="12" width="11" customWidth="1"/>
    <col min="13" max="14" width="15.5546875" customWidth="1"/>
    <col min="15" max="15" width="49.6640625" customWidth="1"/>
    <col min="16" max="16" width="9.88671875" bestFit="1" customWidth="1"/>
    <col min="17" max="17" width="9.88671875" customWidth="1"/>
  </cols>
  <sheetData>
    <row r="1" spans="1:20" s="10" customFormat="1" ht="18.600000000000001" customHeight="1" x14ac:dyDescent="0.25">
      <c r="A1" s="18"/>
      <c r="L1" s="5407" t="s">
        <v>835</v>
      </c>
      <c r="M1" s="5407"/>
      <c r="N1" s="5407"/>
      <c r="O1" s="157" t="s">
        <v>1022</v>
      </c>
    </row>
    <row r="2" spans="1:20" s="10" customFormat="1" ht="13.8" x14ac:dyDescent="0.25">
      <c r="A2" s="18"/>
    </row>
    <row r="3" spans="1:20" s="10" customFormat="1" ht="13.8" x14ac:dyDescent="0.25">
      <c r="A3" s="5358" t="s">
        <v>463</v>
      </c>
      <c r="B3" s="5358"/>
      <c r="C3" s="5358"/>
      <c r="D3" s="5358"/>
      <c r="E3" s="5358"/>
      <c r="F3" s="5358"/>
      <c r="G3" s="5358"/>
      <c r="H3" s="5358"/>
      <c r="I3" s="5358"/>
      <c r="J3" s="5358"/>
      <c r="K3" s="5358"/>
      <c r="L3" s="5358"/>
      <c r="M3" s="5358"/>
      <c r="N3" s="5358"/>
      <c r="O3" s="157" t="s">
        <v>657</v>
      </c>
    </row>
    <row r="4" spans="1:20" s="10" customFormat="1" ht="15" customHeight="1" x14ac:dyDescent="0.25">
      <c r="A4" s="5408" t="s">
        <v>2030</v>
      </c>
      <c r="B4" s="5408"/>
      <c r="C4" s="5408"/>
      <c r="D4" s="5408"/>
      <c r="E4" s="5408"/>
      <c r="F4" s="5408"/>
      <c r="G4" s="5408"/>
      <c r="H4" s="5408"/>
      <c r="I4" s="5408"/>
      <c r="J4" s="5408"/>
      <c r="K4" s="5408"/>
      <c r="L4" s="5408"/>
      <c r="M4" s="5408"/>
      <c r="N4" s="5408"/>
      <c r="O4" s="157" t="s">
        <v>657</v>
      </c>
    </row>
    <row r="5" spans="1:20" s="10" customFormat="1" ht="13.8" x14ac:dyDescent="0.25">
      <c r="A5" s="5360" t="s">
        <v>279</v>
      </c>
      <c r="B5" s="5360"/>
      <c r="C5" s="5360"/>
      <c r="D5" s="5360"/>
      <c r="E5" s="5360"/>
      <c r="F5" s="5360"/>
      <c r="G5" s="5360"/>
      <c r="H5" s="5360"/>
      <c r="I5" s="5360"/>
      <c r="J5" s="5360"/>
      <c r="K5" s="5360"/>
      <c r="L5" s="5360"/>
      <c r="M5" s="5360"/>
      <c r="N5" s="5360"/>
      <c r="O5" s="157"/>
    </row>
    <row r="6" spans="1:20" s="10" customFormat="1" ht="13.8" x14ac:dyDescent="0.25">
      <c r="A6" s="5358" t="s">
        <v>837</v>
      </c>
      <c r="B6" s="5358"/>
      <c r="C6" s="5358"/>
      <c r="D6" s="5358"/>
      <c r="E6" s="5358"/>
      <c r="F6" s="5358"/>
      <c r="G6" s="5358"/>
      <c r="H6" s="5358"/>
      <c r="I6" s="5358"/>
      <c r="J6" s="5358"/>
      <c r="K6" s="5358"/>
      <c r="L6" s="5358"/>
      <c r="M6" s="5358"/>
      <c r="N6" s="5358"/>
      <c r="O6" s="157" t="s">
        <v>657</v>
      </c>
    </row>
    <row r="7" spans="1:20" s="10" customFormat="1" ht="13.8" x14ac:dyDescent="0.25">
      <c r="A7" s="5360" t="s">
        <v>368</v>
      </c>
      <c r="B7" s="5360"/>
      <c r="C7" s="5360"/>
      <c r="D7" s="5360"/>
      <c r="E7" s="5360"/>
      <c r="F7" s="5360"/>
      <c r="G7" s="5360"/>
      <c r="H7" s="5360"/>
      <c r="I7" s="5360"/>
      <c r="J7" s="5360"/>
      <c r="K7" s="5360"/>
      <c r="L7" s="5360"/>
      <c r="M7" s="5360"/>
      <c r="N7" s="5360"/>
    </row>
    <row r="8" spans="1:20" s="10" customFormat="1" ht="21" customHeight="1" x14ac:dyDescent="0.25">
      <c r="A8" s="5406" t="str">
        <f>'Вхідні дані'!F4</f>
        <v>Комунальне підприємство «Чорноморськтеплоенерго» Чорноморської міської ради Одеського району Одеської області</v>
      </c>
      <c r="B8" s="5406"/>
      <c r="C8" s="5406"/>
      <c r="D8" s="5406"/>
      <c r="E8" s="5406"/>
      <c r="F8" s="5406"/>
      <c r="G8" s="5406"/>
      <c r="H8" s="5406"/>
      <c r="I8" s="5406"/>
      <c r="J8" s="5406"/>
      <c r="K8" s="5406"/>
      <c r="L8" s="5406"/>
      <c r="M8" s="5406"/>
      <c r="N8" s="5406"/>
    </row>
    <row r="9" spans="1:20" s="10" customFormat="1" ht="13.8" x14ac:dyDescent="0.25">
      <c r="A9" s="5389" t="s">
        <v>369</v>
      </c>
      <c r="B9" s="5389"/>
      <c r="C9" s="5389"/>
      <c r="D9" s="5389"/>
      <c r="E9" s="5389"/>
      <c r="F9" s="5389"/>
      <c r="G9" s="5389"/>
      <c r="H9" s="5389"/>
      <c r="I9" s="5389"/>
      <c r="J9" s="5389"/>
      <c r="K9" s="5389"/>
      <c r="L9" s="5389"/>
      <c r="M9" s="5389"/>
      <c r="N9" s="5389"/>
    </row>
    <row r="10" spans="1:20" s="10" customFormat="1" thickBot="1" x14ac:dyDescent="0.3">
      <c r="A10" s="18"/>
      <c r="N10" s="1194"/>
    </row>
    <row r="11" spans="1:20" x14ac:dyDescent="0.3">
      <c r="A11" s="5400" t="s">
        <v>7</v>
      </c>
      <c r="B11" s="5402" t="s">
        <v>357</v>
      </c>
      <c r="C11" s="922" t="s">
        <v>80</v>
      </c>
      <c r="D11" s="5390" t="s">
        <v>344</v>
      </c>
      <c r="E11" s="5391"/>
      <c r="F11" s="922" t="s">
        <v>80</v>
      </c>
      <c r="G11" s="5390" t="s">
        <v>344</v>
      </c>
      <c r="H11" s="5391"/>
      <c r="I11" s="922" t="s">
        <v>80</v>
      </c>
      <c r="J11" s="5390" t="s">
        <v>344</v>
      </c>
      <c r="K11" s="5391"/>
      <c r="L11" s="922" t="s">
        <v>80</v>
      </c>
      <c r="M11" s="5390" t="s">
        <v>344</v>
      </c>
      <c r="N11" s="5391"/>
      <c r="O11" s="420"/>
      <c r="P11" s="420"/>
    </row>
    <row r="12" spans="1:20" ht="55.2" x14ac:dyDescent="0.3">
      <c r="A12" s="5401"/>
      <c r="B12" s="4907"/>
      <c r="C12" s="923" t="s">
        <v>3</v>
      </c>
      <c r="D12" s="9" t="s">
        <v>358</v>
      </c>
      <c r="E12" s="924" t="s">
        <v>359</v>
      </c>
      <c r="F12" s="923" t="s">
        <v>163</v>
      </c>
      <c r="G12" s="9" t="s">
        <v>358</v>
      </c>
      <c r="H12" s="924" t="s">
        <v>359</v>
      </c>
      <c r="I12" s="923" t="s">
        <v>770</v>
      </c>
      <c r="J12" s="9" t="s">
        <v>358</v>
      </c>
      <c r="K12" s="924" t="s">
        <v>359</v>
      </c>
      <c r="L12" s="923" t="s">
        <v>156</v>
      </c>
      <c r="M12" s="9" t="s">
        <v>358</v>
      </c>
      <c r="N12" s="924" t="s">
        <v>359</v>
      </c>
      <c r="O12" s="420"/>
      <c r="P12" s="420"/>
    </row>
    <row r="13" spans="1:20" x14ac:dyDescent="0.3">
      <c r="A13" s="930">
        <v>1</v>
      </c>
      <c r="B13" s="909">
        <v>2</v>
      </c>
      <c r="C13" s="925">
        <v>3</v>
      </c>
      <c r="D13" s="9">
        <v>4</v>
      </c>
      <c r="E13" s="924">
        <v>5</v>
      </c>
      <c r="F13" s="925">
        <v>6</v>
      </c>
      <c r="G13" s="9">
        <v>7</v>
      </c>
      <c r="H13" s="924">
        <v>8</v>
      </c>
      <c r="I13" s="925">
        <v>9</v>
      </c>
      <c r="J13" s="9">
        <v>10</v>
      </c>
      <c r="K13" s="924">
        <v>11</v>
      </c>
      <c r="L13" s="925">
        <v>12</v>
      </c>
      <c r="M13" s="9">
        <v>13</v>
      </c>
      <c r="N13" s="924">
        <v>14</v>
      </c>
    </row>
    <row r="14" spans="1:20" ht="27.6" x14ac:dyDescent="0.3">
      <c r="A14" s="931">
        <v>1</v>
      </c>
      <c r="B14" s="926" t="s">
        <v>360</v>
      </c>
      <c r="C14" s="953">
        <f t="shared" ref="C14:C22" si="0">D14+E14</f>
        <v>18780</v>
      </c>
      <c r="D14" s="3432">
        <v>18780</v>
      </c>
      <c r="E14" s="955">
        <v>0</v>
      </c>
      <c r="F14" s="953">
        <f>G14+H14</f>
        <v>2</v>
      </c>
      <c r="G14" s="3432">
        <v>2</v>
      </c>
      <c r="H14" s="955">
        <v>0</v>
      </c>
      <c r="I14" s="953">
        <f>J14+K14</f>
        <v>22</v>
      </c>
      <c r="J14" s="3432">
        <v>20</v>
      </c>
      <c r="K14" s="3433">
        <v>2</v>
      </c>
      <c r="L14" s="953">
        <f>M14+N14</f>
        <v>260</v>
      </c>
      <c r="M14" s="2998">
        <v>260</v>
      </c>
      <c r="N14" s="954">
        <f>'[37]Баланс 7 та 8'!P14</f>
        <v>0</v>
      </c>
      <c r="S14" s="963"/>
    </row>
    <row r="15" spans="1:20" ht="63.75" customHeight="1" x14ac:dyDescent="0.3">
      <c r="A15" s="931">
        <v>2</v>
      </c>
      <c r="B15" s="927" t="s">
        <v>841</v>
      </c>
      <c r="C15" s="936">
        <f t="shared" si="0"/>
        <v>1010575.91</v>
      </c>
      <c r="D15" s="937">
        <f>SUM(D16:D18)</f>
        <v>1010575.91</v>
      </c>
      <c r="E15" s="938">
        <f>E16+E17+E18</f>
        <v>0</v>
      </c>
      <c r="F15" s="936">
        <f t="shared" ref="F15:F22" si="1">G15+H15</f>
        <v>192.10000000000002</v>
      </c>
      <c r="G15" s="937">
        <f>SUM(G16:G18)</f>
        <v>192.10000000000002</v>
      </c>
      <c r="H15" s="938">
        <f>H16+H17+H18</f>
        <v>0</v>
      </c>
      <c r="I15" s="936">
        <f t="shared" ref="I15:I22" si="2">J15+K15</f>
        <v>105950.01</v>
      </c>
      <c r="J15" s="937">
        <f>SUM(J16:J18)</f>
        <v>105040.01</v>
      </c>
      <c r="K15" s="938">
        <f>K16+K17+K18</f>
        <v>910</v>
      </c>
      <c r="L15" s="936">
        <f t="shared" ref="L15:L22" si="3">M15+N15</f>
        <v>41204.240000000005</v>
      </c>
      <c r="M15" s="937">
        <f>SUM(M16:M18)</f>
        <v>41204.240000000005</v>
      </c>
      <c r="N15" s="938">
        <f>N16+N17+N18</f>
        <v>0</v>
      </c>
    </row>
    <row r="16" spans="1:20" x14ac:dyDescent="0.3">
      <c r="A16" s="931" t="s">
        <v>25</v>
      </c>
      <c r="B16" s="927" t="s">
        <v>464</v>
      </c>
      <c r="C16" s="936">
        <f t="shared" si="0"/>
        <v>16915.88</v>
      </c>
      <c r="D16" s="2997">
        <v>16915.88</v>
      </c>
      <c r="E16" s="938">
        <v>0</v>
      </c>
      <c r="F16" s="936">
        <f t="shared" si="1"/>
        <v>0</v>
      </c>
      <c r="G16" s="2997">
        <v>0</v>
      </c>
      <c r="H16" s="938">
        <v>0</v>
      </c>
      <c r="I16" s="936">
        <f t="shared" si="2"/>
        <v>10088.07</v>
      </c>
      <c r="J16" s="2997">
        <v>9178.07</v>
      </c>
      <c r="K16" s="2997">
        <v>910</v>
      </c>
      <c r="L16" s="936">
        <f t="shared" si="3"/>
        <v>15742.8</v>
      </c>
      <c r="M16" s="2997">
        <v>15742.8</v>
      </c>
      <c r="N16" s="2997">
        <v>0</v>
      </c>
      <c r="Q16" s="68"/>
      <c r="T16" s="68"/>
    </row>
    <row r="17" spans="1:21" x14ac:dyDescent="0.3">
      <c r="A17" s="931" t="s">
        <v>26</v>
      </c>
      <c r="B17" s="927" t="s">
        <v>465</v>
      </c>
      <c r="C17" s="936">
        <f t="shared" si="0"/>
        <v>42987.48</v>
      </c>
      <c r="D17" s="2997">
        <v>42987.48</v>
      </c>
      <c r="E17" s="938">
        <v>0</v>
      </c>
      <c r="F17" s="936">
        <f t="shared" si="1"/>
        <v>0</v>
      </c>
      <c r="G17" s="2997">
        <v>0</v>
      </c>
      <c r="H17" s="938">
        <v>0</v>
      </c>
      <c r="I17" s="936">
        <f t="shared" si="2"/>
        <v>81401.400000000009</v>
      </c>
      <c r="J17" s="2997">
        <v>81401.400000000009</v>
      </c>
      <c r="K17" s="2997">
        <v>0</v>
      </c>
      <c r="L17" s="936">
        <f t="shared" si="3"/>
        <v>8134.59</v>
      </c>
      <c r="M17" s="2997">
        <v>8134.59</v>
      </c>
      <c r="N17" s="2997">
        <v>0</v>
      </c>
      <c r="Q17" s="68"/>
      <c r="T17" s="68"/>
    </row>
    <row r="18" spans="1:21" x14ac:dyDescent="0.3">
      <c r="A18" s="931" t="s">
        <v>59</v>
      </c>
      <c r="B18" s="928" t="s">
        <v>346</v>
      </c>
      <c r="C18" s="936">
        <f t="shared" si="0"/>
        <v>950672.55</v>
      </c>
      <c r="D18" s="2997">
        <v>950672.55</v>
      </c>
      <c r="E18" s="938">
        <v>0</v>
      </c>
      <c r="F18" s="936">
        <f t="shared" si="1"/>
        <v>192.10000000000002</v>
      </c>
      <c r="G18" s="2997">
        <v>192.10000000000002</v>
      </c>
      <c r="H18" s="938">
        <v>0</v>
      </c>
      <c r="I18" s="936">
        <f t="shared" si="2"/>
        <v>14460.539999999999</v>
      </c>
      <c r="J18" s="2997">
        <v>14460.539999999999</v>
      </c>
      <c r="K18" s="2997">
        <v>0</v>
      </c>
      <c r="L18" s="936">
        <f t="shared" si="3"/>
        <v>17326.850000000002</v>
      </c>
      <c r="M18" s="2997">
        <v>17326.850000000002</v>
      </c>
      <c r="N18" s="2997">
        <v>0</v>
      </c>
      <c r="Q18" s="68"/>
      <c r="T18" s="68"/>
    </row>
    <row r="19" spans="1:21" ht="55.2" x14ac:dyDescent="0.3">
      <c r="A19" s="931">
        <v>3</v>
      </c>
      <c r="B19" s="929" t="s">
        <v>466</v>
      </c>
      <c r="C19" s="936">
        <f t="shared" si="0"/>
        <v>82049.342543685882</v>
      </c>
      <c r="D19" s="937">
        <f>D20+D21+D22</f>
        <v>82049.342543685882</v>
      </c>
      <c r="E19" s="938">
        <f>E20+E21+E22</f>
        <v>0</v>
      </c>
      <c r="F19" s="936">
        <f t="shared" si="1"/>
        <v>13.291675960000001</v>
      </c>
      <c r="G19" s="937">
        <f>G20+G21+G22</f>
        <v>13.291675960000001</v>
      </c>
      <c r="H19" s="938">
        <f>H20+H21+H22</f>
        <v>0</v>
      </c>
      <c r="I19" s="936">
        <f t="shared" si="2"/>
        <v>12519.553368119998</v>
      </c>
      <c r="J19" s="937">
        <f>J20+J21+J22</f>
        <v>12447.795981292998</v>
      </c>
      <c r="K19" s="937">
        <f>K20+K21+K22</f>
        <v>71.757386827000005</v>
      </c>
      <c r="L19" s="936">
        <f t="shared" si="3"/>
        <v>4213.6191041387128</v>
      </c>
      <c r="M19" s="937">
        <f>M20+M21+M22</f>
        <v>4213.6191041387128</v>
      </c>
      <c r="N19" s="937">
        <f>N20+N21+N22</f>
        <v>0</v>
      </c>
      <c r="P19" s="965"/>
      <c r="Q19" s="965"/>
    </row>
    <row r="20" spans="1:21" x14ac:dyDescent="0.3">
      <c r="A20" s="931" t="s">
        <v>60</v>
      </c>
      <c r="B20" s="929" t="s">
        <v>464</v>
      </c>
      <c r="C20" s="936">
        <f t="shared" si="0"/>
        <v>1558.0358841906525</v>
      </c>
      <c r="D20" s="2997">
        <v>1558.0358841906525</v>
      </c>
      <c r="E20" s="938">
        <v>0</v>
      </c>
      <c r="F20" s="936">
        <f t="shared" si="1"/>
        <v>0</v>
      </c>
      <c r="G20" s="3456">
        <v>0</v>
      </c>
      <c r="H20" s="3456">
        <v>0</v>
      </c>
      <c r="I20" s="936">
        <f t="shared" si="2"/>
        <v>1248.2171219460001</v>
      </c>
      <c r="J20" s="2997">
        <v>1176.459735119</v>
      </c>
      <c r="K20" s="2997">
        <v>71.757386827000005</v>
      </c>
      <c r="L20" s="936">
        <f t="shared" si="3"/>
        <v>1890.8780722996453</v>
      </c>
      <c r="M20" s="2997">
        <v>1890.8780722996453</v>
      </c>
      <c r="N20" s="2997">
        <v>0</v>
      </c>
      <c r="P20" s="965"/>
      <c r="Q20" s="965"/>
      <c r="U20" s="68"/>
    </row>
    <row r="21" spans="1:21" x14ac:dyDescent="0.3">
      <c r="A21" s="931" t="s">
        <v>61</v>
      </c>
      <c r="B21" s="929" t="s">
        <v>465</v>
      </c>
      <c r="C21" s="936">
        <f t="shared" si="0"/>
        <v>3838.7642765122291</v>
      </c>
      <c r="D21" s="2997">
        <v>3838.7642765122291</v>
      </c>
      <c r="E21" s="938">
        <v>0</v>
      </c>
      <c r="F21" s="936">
        <f t="shared" si="1"/>
        <v>0</v>
      </c>
      <c r="G21" s="3456">
        <v>0</v>
      </c>
      <c r="H21" s="3456">
        <v>0</v>
      </c>
      <c r="I21" s="936">
        <f t="shared" si="2"/>
        <v>9936.2784726839982</v>
      </c>
      <c r="J21" s="2997">
        <v>9936.2784726839982</v>
      </c>
      <c r="K21" s="2997">
        <v>0</v>
      </c>
      <c r="L21" s="936">
        <f t="shared" si="3"/>
        <v>756.9907528304534</v>
      </c>
      <c r="M21" s="2997">
        <v>756.9907528304534</v>
      </c>
      <c r="N21" s="2997">
        <v>0</v>
      </c>
      <c r="P21" s="965"/>
      <c r="Q21" s="965"/>
      <c r="U21" s="68"/>
    </row>
    <row r="22" spans="1:21" x14ac:dyDescent="0.3">
      <c r="A22" s="931" t="s">
        <v>62</v>
      </c>
      <c r="B22" s="926" t="s">
        <v>346</v>
      </c>
      <c r="C22" s="936">
        <f t="shared" si="0"/>
        <v>76652.542382982996</v>
      </c>
      <c r="D22" s="2997">
        <v>76652.542382982996</v>
      </c>
      <c r="E22" s="938">
        <v>0</v>
      </c>
      <c r="F22" s="936">
        <f t="shared" si="1"/>
        <v>13.291675960000001</v>
      </c>
      <c r="G22" s="3456">
        <f>'[37]Корисний м2'!BG854</f>
        <v>13.291675960000001</v>
      </c>
      <c r="H22" s="3456">
        <v>0</v>
      </c>
      <c r="I22" s="936">
        <f t="shared" si="2"/>
        <v>1335.05777349</v>
      </c>
      <c r="J22" s="2997">
        <v>1335.05777349</v>
      </c>
      <c r="K22" s="2997">
        <v>0</v>
      </c>
      <c r="L22" s="936">
        <f t="shared" si="3"/>
        <v>1565.7502790086141</v>
      </c>
      <c r="M22" s="2997">
        <v>1565.7502790086141</v>
      </c>
      <c r="N22" s="2997">
        <v>0</v>
      </c>
      <c r="P22" s="965"/>
      <c r="Q22" s="965"/>
      <c r="U22" s="68"/>
    </row>
    <row r="23" spans="1:21" ht="58.2" x14ac:dyDescent="0.3">
      <c r="A23" s="931">
        <v>4</v>
      </c>
      <c r="B23" s="927" t="s">
        <v>467</v>
      </c>
      <c r="C23" s="3434">
        <f t="shared" ref="C23:D26" si="4">IF(C15=0,0,C19/C15)</f>
        <v>8.119067724826913E-2</v>
      </c>
      <c r="D23" s="3434">
        <f t="shared" si="4"/>
        <v>8.119067724826913E-2</v>
      </c>
      <c r="E23" s="956">
        <v>0</v>
      </c>
      <c r="F23" s="3434">
        <f t="shared" ref="F23:G26" si="5">IF(F15=0,0,F19/F15)</f>
        <v>6.9191441749089019E-2</v>
      </c>
      <c r="G23" s="3434">
        <f t="shared" si="5"/>
        <v>6.9191441749089019E-2</v>
      </c>
      <c r="H23" s="956">
        <v>0</v>
      </c>
      <c r="I23" s="3434">
        <f t="shared" ref="I23:K26" si="6">IF(I15=0,0,I19/I15)</f>
        <v>0.11816472096718064</v>
      </c>
      <c r="J23" s="3434">
        <f t="shared" si="6"/>
        <v>0.11850528176161636</v>
      </c>
      <c r="K23" s="3434">
        <f t="shared" si="6"/>
        <v>7.8854271238461546E-2</v>
      </c>
      <c r="L23" s="3434">
        <f t="shared" ref="L23:N26" si="7">IF(L15=0,0,L19/L15)</f>
        <v>0.10226178432459165</v>
      </c>
      <c r="M23" s="3434">
        <f t="shared" si="7"/>
        <v>0.10226178432459165</v>
      </c>
      <c r="N23" s="3434">
        <f t="shared" si="7"/>
        <v>0</v>
      </c>
    </row>
    <row r="24" spans="1:21" ht="18.600000000000001" customHeight="1" x14ac:dyDescent="0.3">
      <c r="A24" s="931" t="s">
        <v>27</v>
      </c>
      <c r="B24" s="929" t="s">
        <v>464</v>
      </c>
      <c r="C24" s="3434">
        <f t="shared" si="4"/>
        <v>9.2104926506374626E-2</v>
      </c>
      <c r="D24" s="3434">
        <f>IF(D16=0,0,D20/D16)</f>
        <v>9.2104926506374626E-2</v>
      </c>
      <c r="E24" s="956">
        <v>0</v>
      </c>
      <c r="F24" s="3434">
        <f t="shared" si="5"/>
        <v>0</v>
      </c>
      <c r="G24" s="3434">
        <f>IF(G16=0,0,G20/G16)</f>
        <v>0</v>
      </c>
      <c r="H24" s="956">
        <v>0</v>
      </c>
      <c r="I24" s="3434">
        <f t="shared" si="6"/>
        <v>0.12373200443157117</v>
      </c>
      <c r="J24" s="3434">
        <f>IF(J16=0,0,J20/J16)</f>
        <v>0.12818160409748455</v>
      </c>
      <c r="K24" s="3434">
        <f>IF(K16=0,0,K20/K16)</f>
        <v>7.8854271238461546E-2</v>
      </c>
      <c r="L24" s="3434">
        <f t="shared" si="7"/>
        <v>0.12011065835173193</v>
      </c>
      <c r="M24" s="3434">
        <f t="shared" si="7"/>
        <v>0.12011065835173193</v>
      </c>
      <c r="N24" s="3434">
        <f t="shared" si="7"/>
        <v>0</v>
      </c>
    </row>
    <row r="25" spans="1:21" x14ac:dyDescent="0.3">
      <c r="A25" s="931" t="s">
        <v>112</v>
      </c>
      <c r="B25" s="929" t="s">
        <v>465</v>
      </c>
      <c r="C25" s="3434">
        <f t="shared" si="4"/>
        <v>8.9299588543274203E-2</v>
      </c>
      <c r="D25" s="3434">
        <f t="shared" si="4"/>
        <v>8.9299588543274203E-2</v>
      </c>
      <c r="E25" s="956">
        <v>0</v>
      </c>
      <c r="F25" s="3434">
        <f t="shared" si="5"/>
        <v>0</v>
      </c>
      <c r="G25" s="3434">
        <f t="shared" si="5"/>
        <v>0</v>
      </c>
      <c r="H25" s="956">
        <v>0</v>
      </c>
      <c r="I25" s="3434">
        <f t="shared" si="6"/>
        <v>0.12206520370268813</v>
      </c>
      <c r="J25" s="3434">
        <f t="shared" si="6"/>
        <v>0.12206520370268813</v>
      </c>
      <c r="K25" s="3434">
        <f t="shared" si="6"/>
        <v>0</v>
      </c>
      <c r="L25" s="3434">
        <f t="shared" si="7"/>
        <v>9.3058255281514304E-2</v>
      </c>
      <c r="M25" s="3434">
        <f t="shared" si="7"/>
        <v>9.3058255281514304E-2</v>
      </c>
      <c r="N25" s="3434">
        <f t="shared" si="7"/>
        <v>0</v>
      </c>
    </row>
    <row r="26" spans="1:21" x14ac:dyDescent="0.3">
      <c r="A26" s="931" t="s">
        <v>160</v>
      </c>
      <c r="B26" s="926" t="s">
        <v>346</v>
      </c>
      <c r="C26" s="3434">
        <f t="shared" si="4"/>
        <v>8.0629805060620494E-2</v>
      </c>
      <c r="D26" s="3434">
        <f t="shared" si="4"/>
        <v>8.0629805060620494E-2</v>
      </c>
      <c r="E26" s="956">
        <v>0</v>
      </c>
      <c r="F26" s="3434">
        <f t="shared" si="5"/>
        <v>6.9191441749089019E-2</v>
      </c>
      <c r="G26" s="3434">
        <f t="shared" si="5"/>
        <v>6.9191441749089019E-2</v>
      </c>
      <c r="H26" s="956">
        <v>0</v>
      </c>
      <c r="I26" s="3434">
        <f t="shared" si="6"/>
        <v>9.2324199061030926E-2</v>
      </c>
      <c r="J26" s="3434">
        <f t="shared" si="6"/>
        <v>9.2324199061030926E-2</v>
      </c>
      <c r="K26" s="3434">
        <f t="shared" si="6"/>
        <v>0</v>
      </c>
      <c r="L26" s="3434">
        <f t="shared" si="7"/>
        <v>9.0365547056078507E-2</v>
      </c>
      <c r="M26" s="3434">
        <f t="shared" si="7"/>
        <v>9.0365547056078507E-2</v>
      </c>
      <c r="N26" s="3434">
        <f t="shared" si="7"/>
        <v>0</v>
      </c>
    </row>
    <row r="27" spans="1:21" ht="29.25" customHeight="1" x14ac:dyDescent="0.3">
      <c r="A27" s="931">
        <v>5</v>
      </c>
      <c r="B27" s="929" t="s">
        <v>480</v>
      </c>
      <c r="C27" s="937">
        <v>0</v>
      </c>
      <c r="D27" s="937">
        <v>0</v>
      </c>
      <c r="E27" s="937">
        <v>0</v>
      </c>
      <c r="F27" s="937">
        <v>0</v>
      </c>
      <c r="G27" s="956">
        <f>'[37]Баланс 7 та 8'!$G$27</f>
        <v>0</v>
      </c>
      <c r="H27" s="937">
        <v>0</v>
      </c>
      <c r="I27" s="956">
        <f>'[37]Баланс 7 та 8'!K27</f>
        <v>0</v>
      </c>
      <c r="J27" s="956">
        <f>'[37]Баланс 7 та 8'!L27</f>
        <v>0</v>
      </c>
      <c r="K27" s="956">
        <f>'[37]Баланс 7 та 8'!M27</f>
        <v>0</v>
      </c>
      <c r="L27" s="956">
        <f>'[37]Баланс 7 та 8'!N27</f>
        <v>0</v>
      </c>
      <c r="M27" s="956">
        <f>'[37]Баланс 7 та 8'!O27</f>
        <v>0</v>
      </c>
      <c r="N27" s="956">
        <f>'[37]Баланс 7 та 8'!P27</f>
        <v>0</v>
      </c>
    </row>
    <row r="28" spans="1:21" x14ac:dyDescent="0.3">
      <c r="A28" s="931">
        <v>6</v>
      </c>
      <c r="B28" s="926" t="s">
        <v>361</v>
      </c>
      <c r="C28" s="937">
        <f>C19+C27</f>
        <v>82049.342543685882</v>
      </c>
      <c r="D28" s="937">
        <f>D19+D27</f>
        <v>82049.342543685882</v>
      </c>
      <c r="E28" s="937">
        <v>0</v>
      </c>
      <c r="F28" s="937">
        <f t="shared" ref="F28:N28" si="8">F19+F27</f>
        <v>13.291675960000001</v>
      </c>
      <c r="G28" s="937">
        <f t="shared" si="8"/>
        <v>13.291675960000001</v>
      </c>
      <c r="H28" s="937">
        <f t="shared" si="8"/>
        <v>0</v>
      </c>
      <c r="I28" s="937">
        <f t="shared" si="8"/>
        <v>12519.553368119998</v>
      </c>
      <c r="J28" s="937">
        <f t="shared" si="8"/>
        <v>12447.795981292998</v>
      </c>
      <c r="K28" s="937">
        <f t="shared" si="8"/>
        <v>71.757386827000005</v>
      </c>
      <c r="L28" s="937">
        <f t="shared" si="8"/>
        <v>4213.6191041387128</v>
      </c>
      <c r="M28" s="937">
        <f t="shared" si="8"/>
        <v>4213.6191041387128</v>
      </c>
      <c r="N28" s="937">
        <f t="shared" si="8"/>
        <v>0</v>
      </c>
    </row>
    <row r="29" spans="1:21" ht="27.6" x14ac:dyDescent="0.3">
      <c r="A29" s="931">
        <v>7</v>
      </c>
      <c r="B29" s="929" t="s">
        <v>468</v>
      </c>
      <c r="C29" s="957">
        <f>D29+E29</f>
        <v>59.458515647062114</v>
      </c>
      <c r="D29" s="957">
        <v>59.458515647062114</v>
      </c>
      <c r="E29" s="957">
        <v>0</v>
      </c>
      <c r="F29" s="957">
        <f>G29+H29</f>
        <v>9.6319999999999999E-3</v>
      </c>
      <c r="G29" s="2999">
        <v>9.6319999999999999E-3</v>
      </c>
      <c r="H29" s="957">
        <f>'Розрахунки Річного плану'!C55+'Розрахунки Річного плану'!C58</f>
        <v>0</v>
      </c>
      <c r="I29" s="956">
        <f>J29+K29</f>
        <v>8.9826221000000004</v>
      </c>
      <c r="J29" s="956">
        <v>8.9306221000000008</v>
      </c>
      <c r="K29" s="956">
        <v>5.1999999999999998E-2</v>
      </c>
      <c r="L29" s="956">
        <f>M29+N29</f>
        <v>3.6690977700000005</v>
      </c>
      <c r="M29" s="956">
        <v>3.6690977700000005</v>
      </c>
      <c r="N29" s="956">
        <f>'[37]Баланс 7 та 8'!P29</f>
        <v>0</v>
      </c>
      <c r="O29" s="333"/>
      <c r="P29" s="334"/>
    </row>
    <row r="30" spans="1:21" ht="33.75" customHeight="1" x14ac:dyDescent="0.3">
      <c r="A30" s="931">
        <v>8</v>
      </c>
      <c r="B30" s="926" t="s">
        <v>362</v>
      </c>
      <c r="C30" s="5392" t="s">
        <v>224</v>
      </c>
      <c r="D30" s="5214"/>
      <c r="E30" s="5393"/>
      <c r="F30" s="5392" t="str">
        <f>C30</f>
        <v>Х</v>
      </c>
      <c r="G30" s="5214"/>
      <c r="H30" s="5393"/>
      <c r="I30" s="5392" t="str">
        <f t="shared" ref="I30:I41" si="9">F30</f>
        <v>Х</v>
      </c>
      <c r="J30" s="5214"/>
      <c r="K30" s="5393"/>
      <c r="L30" s="5392" t="str">
        <f t="shared" ref="L30:L41" si="10">I30</f>
        <v>Х</v>
      </c>
      <c r="M30" s="5214"/>
      <c r="N30" s="5393"/>
      <c r="O30" s="333"/>
      <c r="P30" s="334"/>
    </row>
    <row r="31" spans="1:21" x14ac:dyDescent="0.3">
      <c r="A31" s="931" t="s">
        <v>115</v>
      </c>
      <c r="B31" s="926" t="s">
        <v>363</v>
      </c>
      <c r="C31" s="5392">
        <f>'Вхідні дані'!$D$49</f>
        <v>149</v>
      </c>
      <c r="D31" s="5214"/>
      <c r="E31" s="5393"/>
      <c r="F31" s="5392">
        <f t="shared" ref="F31:F41" si="11">C31</f>
        <v>149</v>
      </c>
      <c r="G31" s="5214"/>
      <c r="H31" s="5393"/>
      <c r="I31" s="5392">
        <f t="shared" si="9"/>
        <v>149</v>
      </c>
      <c r="J31" s="5214"/>
      <c r="K31" s="5393"/>
      <c r="L31" s="5392">
        <f t="shared" si="10"/>
        <v>149</v>
      </c>
      <c r="M31" s="5214"/>
      <c r="N31" s="5393"/>
    </row>
    <row r="32" spans="1:21" ht="30.6" x14ac:dyDescent="0.3">
      <c r="A32" s="931" t="s">
        <v>117</v>
      </c>
      <c r="B32" s="926" t="s">
        <v>366</v>
      </c>
      <c r="C32" s="5397">
        <f>'Вхідні дані'!$D$57</f>
        <v>-18</v>
      </c>
      <c r="D32" s="5398"/>
      <c r="E32" s="5399"/>
      <c r="F32" s="5394">
        <f t="shared" si="11"/>
        <v>-18</v>
      </c>
      <c r="G32" s="5395"/>
      <c r="H32" s="5396"/>
      <c r="I32" s="5394">
        <f t="shared" si="9"/>
        <v>-18</v>
      </c>
      <c r="J32" s="5395"/>
      <c r="K32" s="5396"/>
      <c r="L32" s="5394">
        <f t="shared" si="10"/>
        <v>-18</v>
      </c>
      <c r="M32" s="5395"/>
      <c r="N32" s="5396"/>
    </row>
    <row r="33" spans="1:14" ht="30.6" x14ac:dyDescent="0.3">
      <c r="A33" s="931" t="s">
        <v>119</v>
      </c>
      <c r="B33" s="926" t="s">
        <v>367</v>
      </c>
      <c r="C33" s="5394">
        <f>'Вхідні дані'!$D$58</f>
        <v>4.1100000000000003</v>
      </c>
      <c r="D33" s="5395"/>
      <c r="E33" s="5396"/>
      <c r="F33" s="5392">
        <f t="shared" si="11"/>
        <v>4.1100000000000003</v>
      </c>
      <c r="G33" s="5214"/>
      <c r="H33" s="5393"/>
      <c r="I33" s="5392">
        <f t="shared" si="9"/>
        <v>4.1100000000000003</v>
      </c>
      <c r="J33" s="5214"/>
      <c r="K33" s="5393"/>
      <c r="L33" s="5392">
        <f t="shared" si="10"/>
        <v>4.1100000000000003</v>
      </c>
      <c r="M33" s="5214"/>
      <c r="N33" s="5393"/>
    </row>
    <row r="34" spans="1:14" ht="27.6" x14ac:dyDescent="0.3">
      <c r="A34" s="931">
        <v>9</v>
      </c>
      <c r="B34" s="926" t="s">
        <v>364</v>
      </c>
      <c r="C34" s="5392" t="s">
        <v>224</v>
      </c>
      <c r="D34" s="5214"/>
      <c r="E34" s="5393"/>
      <c r="F34" s="5392" t="str">
        <f t="shared" si="11"/>
        <v>Х</v>
      </c>
      <c r="G34" s="5214"/>
      <c r="H34" s="5393"/>
      <c r="I34" s="5392" t="str">
        <f t="shared" si="9"/>
        <v>Х</v>
      </c>
      <c r="J34" s="5214"/>
      <c r="K34" s="5393"/>
      <c r="L34" s="5392" t="str">
        <f t="shared" si="10"/>
        <v>Х</v>
      </c>
      <c r="M34" s="5214"/>
      <c r="N34" s="5393"/>
    </row>
    <row r="35" spans="1:14" x14ac:dyDescent="0.3">
      <c r="A35" s="931" t="s">
        <v>154</v>
      </c>
      <c r="B35" s="926" t="s">
        <v>363</v>
      </c>
      <c r="C35" s="5392">
        <v>157</v>
      </c>
      <c r="D35" s="5214"/>
      <c r="E35" s="5393"/>
      <c r="F35" s="5392">
        <f t="shared" si="11"/>
        <v>157</v>
      </c>
      <c r="G35" s="5214"/>
      <c r="H35" s="5393"/>
      <c r="I35" s="5392">
        <f t="shared" si="9"/>
        <v>157</v>
      </c>
      <c r="J35" s="5214"/>
      <c r="K35" s="5393"/>
      <c r="L35" s="5392">
        <f t="shared" si="10"/>
        <v>157</v>
      </c>
      <c r="M35" s="5214"/>
      <c r="N35" s="5393"/>
    </row>
    <row r="36" spans="1:14" ht="30.6" x14ac:dyDescent="0.3">
      <c r="A36" s="931" t="s">
        <v>204</v>
      </c>
      <c r="B36" s="926" t="s">
        <v>366</v>
      </c>
      <c r="C36" s="5397">
        <v>-15</v>
      </c>
      <c r="D36" s="5398"/>
      <c r="E36" s="5399"/>
      <c r="F36" s="5397">
        <f t="shared" si="11"/>
        <v>-15</v>
      </c>
      <c r="G36" s="5398"/>
      <c r="H36" s="5399"/>
      <c r="I36" s="5397">
        <f t="shared" si="9"/>
        <v>-15</v>
      </c>
      <c r="J36" s="5398"/>
      <c r="K36" s="5399"/>
      <c r="L36" s="5397">
        <f t="shared" si="10"/>
        <v>-15</v>
      </c>
      <c r="M36" s="5398"/>
      <c r="N36" s="5399"/>
    </row>
    <row r="37" spans="1:14" ht="30.6" x14ac:dyDescent="0.3">
      <c r="A37" s="931" t="s">
        <v>356</v>
      </c>
      <c r="B37" s="926" t="s">
        <v>367</v>
      </c>
      <c r="C37" s="5397">
        <v>1.3</v>
      </c>
      <c r="D37" s="5398"/>
      <c r="E37" s="5399"/>
      <c r="F37" s="5397">
        <f t="shared" si="11"/>
        <v>1.3</v>
      </c>
      <c r="G37" s="5398"/>
      <c r="H37" s="5399"/>
      <c r="I37" s="5397">
        <f t="shared" si="9"/>
        <v>1.3</v>
      </c>
      <c r="J37" s="5398"/>
      <c r="K37" s="5399"/>
      <c r="L37" s="5397">
        <f t="shared" si="10"/>
        <v>1.3</v>
      </c>
      <c r="M37" s="5398"/>
      <c r="N37" s="5399"/>
    </row>
    <row r="38" spans="1:14" ht="27.6" x14ac:dyDescent="0.3">
      <c r="A38" s="931">
        <v>10</v>
      </c>
      <c r="B38" s="926" t="s">
        <v>365</v>
      </c>
      <c r="C38" s="5392" t="s">
        <v>224</v>
      </c>
      <c r="D38" s="5214"/>
      <c r="E38" s="5393"/>
      <c r="F38" s="5392" t="str">
        <f t="shared" si="11"/>
        <v>Х</v>
      </c>
      <c r="G38" s="5214"/>
      <c r="H38" s="5393"/>
      <c r="I38" s="5392" t="str">
        <f t="shared" si="9"/>
        <v>Х</v>
      </c>
      <c r="J38" s="5214"/>
      <c r="K38" s="5393"/>
      <c r="L38" s="5392" t="str">
        <f t="shared" si="10"/>
        <v>Х</v>
      </c>
      <c r="M38" s="5214"/>
      <c r="N38" s="5393"/>
    </row>
    <row r="39" spans="1:14" x14ac:dyDescent="0.3">
      <c r="A39" s="931" t="s">
        <v>88</v>
      </c>
      <c r="B39" s="926" t="s">
        <v>363</v>
      </c>
      <c r="C39" s="5392">
        <v>158</v>
      </c>
      <c r="D39" s="5214"/>
      <c r="E39" s="5393"/>
      <c r="F39" s="5392">
        <f t="shared" si="11"/>
        <v>158</v>
      </c>
      <c r="G39" s="5214"/>
      <c r="H39" s="5393"/>
      <c r="I39" s="5392">
        <f t="shared" si="9"/>
        <v>158</v>
      </c>
      <c r="J39" s="5214"/>
      <c r="K39" s="5393"/>
      <c r="L39" s="5392">
        <f t="shared" si="10"/>
        <v>158</v>
      </c>
      <c r="M39" s="5214"/>
      <c r="N39" s="5393"/>
    </row>
    <row r="40" spans="1:14" ht="30.6" x14ac:dyDescent="0.3">
      <c r="A40" s="931" t="s">
        <v>90</v>
      </c>
      <c r="B40" s="926" t="s">
        <v>366</v>
      </c>
      <c r="C40" s="5397">
        <f>'Вхідні дані'!D57</f>
        <v>-18</v>
      </c>
      <c r="D40" s="5398"/>
      <c r="E40" s="5399"/>
      <c r="F40" s="5397">
        <f t="shared" si="11"/>
        <v>-18</v>
      </c>
      <c r="G40" s="5398"/>
      <c r="H40" s="5399"/>
      <c r="I40" s="5397">
        <f t="shared" si="9"/>
        <v>-18</v>
      </c>
      <c r="J40" s="5398"/>
      <c r="K40" s="5399"/>
      <c r="L40" s="5397">
        <f t="shared" si="10"/>
        <v>-18</v>
      </c>
      <c r="M40" s="5398"/>
      <c r="N40" s="5399"/>
    </row>
    <row r="41" spans="1:14" ht="31.2" thickBot="1" x14ac:dyDescent="0.35">
      <c r="A41" s="932" t="s">
        <v>108</v>
      </c>
      <c r="B41" s="933" t="s">
        <v>367</v>
      </c>
      <c r="C41" s="5403">
        <v>2</v>
      </c>
      <c r="D41" s="5404"/>
      <c r="E41" s="5405"/>
      <c r="F41" s="5403">
        <f t="shared" si="11"/>
        <v>2</v>
      </c>
      <c r="G41" s="5404"/>
      <c r="H41" s="5405"/>
      <c r="I41" s="5403">
        <f t="shared" si="9"/>
        <v>2</v>
      </c>
      <c r="J41" s="5404"/>
      <c r="K41" s="5405"/>
      <c r="L41" s="5403">
        <f t="shared" si="10"/>
        <v>2</v>
      </c>
      <c r="M41" s="5404"/>
      <c r="N41" s="5405"/>
    </row>
    <row r="42" spans="1:14" x14ac:dyDescent="0.3">
      <c r="B42" s="19"/>
    </row>
    <row r="43" spans="1:14" x14ac:dyDescent="0.3">
      <c r="B43" s="19"/>
      <c r="C43" s="19"/>
      <c r="D43" s="19"/>
      <c r="E43" s="19"/>
      <c r="F43" s="19"/>
    </row>
    <row r="44" spans="1:14" x14ac:dyDescent="0.3">
      <c r="B44" s="332"/>
      <c r="C44" s="332"/>
      <c r="D44" s="332"/>
      <c r="E44" s="332"/>
      <c r="F44" s="332"/>
    </row>
    <row r="45" spans="1:14" ht="15.6" x14ac:dyDescent="0.3">
      <c r="B45" s="892" t="str">
        <f>'Вхідні дані'!B13</f>
        <v>Директор підприємства</v>
      </c>
      <c r="C45" s="45"/>
      <c r="D45" s="887" t="s">
        <v>840</v>
      </c>
      <c r="E45" s="45"/>
      <c r="F45" s="5409" t="str">
        <f>'Вхідні дані'!F13</f>
        <v>Анатолій ПАНШИН</v>
      </c>
      <c r="G45" s="5409"/>
      <c r="H45" s="5409"/>
    </row>
    <row r="46" spans="1:14" ht="15.6" x14ac:dyDescent="0.3">
      <c r="B46" s="49" t="s">
        <v>838</v>
      </c>
      <c r="C46" s="45"/>
      <c r="D46" s="49" t="s">
        <v>839</v>
      </c>
      <c r="E46" s="45"/>
      <c r="F46" s="5244" t="s">
        <v>230</v>
      </c>
      <c r="G46" s="5244"/>
      <c r="H46" s="5244"/>
    </row>
    <row r="50" spans="5:5" x14ac:dyDescent="0.3">
      <c r="E50" s="68"/>
    </row>
    <row r="51" spans="5:5" x14ac:dyDescent="0.3">
      <c r="E51" s="68"/>
    </row>
    <row r="52" spans="5:5" x14ac:dyDescent="0.3">
      <c r="E52" s="68"/>
    </row>
  </sheetData>
  <protectedRanges>
    <protectedRange sqref="D14 G14 J14 M14" name="Диапазон1"/>
  </protectedRanges>
  <mergeCells count="64">
    <mergeCell ref="F46:H46"/>
    <mergeCell ref="A7:N7"/>
    <mergeCell ref="A8:N8"/>
    <mergeCell ref="L1:N1"/>
    <mergeCell ref="A3:N3"/>
    <mergeCell ref="A4:N4"/>
    <mergeCell ref="A5:N5"/>
    <mergeCell ref="A6:N6"/>
    <mergeCell ref="F45:H45"/>
    <mergeCell ref="C36:E36"/>
    <mergeCell ref="C37:E37"/>
    <mergeCell ref="C38:E38"/>
    <mergeCell ref="C39:E39"/>
    <mergeCell ref="C40:E40"/>
    <mergeCell ref="C41:E41"/>
    <mergeCell ref="F33:H33"/>
    <mergeCell ref="F39:H39"/>
    <mergeCell ref="F40:H40"/>
    <mergeCell ref="F41:H41"/>
    <mergeCell ref="C33:E33"/>
    <mergeCell ref="C34:E34"/>
    <mergeCell ref="C35:E35"/>
    <mergeCell ref="F34:H34"/>
    <mergeCell ref="F35:H35"/>
    <mergeCell ref="F36:H36"/>
    <mergeCell ref="F37:H37"/>
    <mergeCell ref="F38:H38"/>
    <mergeCell ref="I36:K36"/>
    <mergeCell ref="I37:K37"/>
    <mergeCell ref="J11:K11"/>
    <mergeCell ref="I30:K30"/>
    <mergeCell ref="I31:K31"/>
    <mergeCell ref="I32:K32"/>
    <mergeCell ref="L33:N33"/>
    <mergeCell ref="I38:K38"/>
    <mergeCell ref="I39:K39"/>
    <mergeCell ref="I40:K40"/>
    <mergeCell ref="I41:K41"/>
    <mergeCell ref="L34:N34"/>
    <mergeCell ref="L35:N35"/>
    <mergeCell ref="L36:N36"/>
    <mergeCell ref="L37:N37"/>
    <mergeCell ref="L38:N38"/>
    <mergeCell ref="L39:N39"/>
    <mergeCell ref="L40:N40"/>
    <mergeCell ref="L41:N41"/>
    <mergeCell ref="I33:K33"/>
    <mergeCell ref="I34:K34"/>
    <mergeCell ref="I35:K35"/>
    <mergeCell ref="A9:N9"/>
    <mergeCell ref="M11:N11"/>
    <mergeCell ref="L30:N30"/>
    <mergeCell ref="L31:N31"/>
    <mergeCell ref="L32:N32"/>
    <mergeCell ref="G11:H11"/>
    <mergeCell ref="F30:H30"/>
    <mergeCell ref="F31:H31"/>
    <mergeCell ref="F32:H32"/>
    <mergeCell ref="C32:E32"/>
    <mergeCell ref="A11:A12"/>
    <mergeCell ref="B11:B12"/>
    <mergeCell ref="D11:E11"/>
    <mergeCell ref="C30:E30"/>
    <mergeCell ref="C31:E31"/>
  </mergeCells>
  <pageMargins left="0.23622047244094491" right="0.15748031496062992" top="0.51181102362204722" bottom="0.27559055118110237" header="0.31496062992125984" footer="0.19685039370078741"/>
  <pageSetup paperSize="9" scale="65" fitToHeight="0" orientation="landscape" horizontalDpi="1200" r:id="rId1"/>
  <drawing r:id="rId2"/>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900-000000000000}">
  <sheetPr codeName="Лист35">
    <pageSetUpPr fitToPage="1"/>
  </sheetPr>
  <dimension ref="A1:G51"/>
  <sheetViews>
    <sheetView topLeftCell="A4" zoomScaleNormal="100" zoomScaleSheetLayoutView="100" workbookViewId="0">
      <selection activeCell="H10" sqref="H10"/>
    </sheetView>
  </sheetViews>
  <sheetFormatPr defaultRowHeight="14.4" x14ac:dyDescent="0.3"/>
  <cols>
    <col min="1" max="1" width="4.88671875" style="17" customWidth="1"/>
    <col min="2" max="2" width="51.88671875" customWidth="1"/>
    <col min="3" max="3" width="7.44140625" bestFit="1" customWidth="1"/>
    <col min="4" max="5" width="16.109375" customWidth="1"/>
    <col min="6" max="6" width="38.44140625" customWidth="1"/>
  </cols>
  <sheetData>
    <row r="1" spans="1:7" s="10" customFormat="1" ht="141.75" customHeight="1" x14ac:dyDescent="0.25">
      <c r="A1" s="18"/>
      <c r="C1" s="5356" t="s">
        <v>535</v>
      </c>
      <c r="D1" s="5356"/>
      <c r="E1" s="5356"/>
      <c r="F1" s="56" t="s">
        <v>1021</v>
      </c>
      <c r="G1" s="56"/>
    </row>
    <row r="2" spans="1:7" s="10" customFormat="1" ht="20.100000000000001" customHeight="1" x14ac:dyDescent="0.25">
      <c r="A2" s="18"/>
      <c r="C2" s="5412"/>
      <c r="D2" s="5412"/>
      <c r="E2" s="5412"/>
    </row>
    <row r="3" spans="1:7" s="10" customFormat="1" x14ac:dyDescent="0.3">
      <c r="A3" s="5408" t="s">
        <v>463</v>
      </c>
      <c r="B3" s="5418"/>
      <c r="C3" s="5418"/>
      <c r="D3" s="5418"/>
      <c r="E3" s="5418"/>
    </row>
    <row r="4" spans="1:7" s="30" customFormat="1" x14ac:dyDescent="0.3">
      <c r="A4" s="5408" t="s">
        <v>545</v>
      </c>
      <c r="B4" s="5418"/>
      <c r="C4" s="5418"/>
      <c r="D4" s="5418"/>
      <c r="E4" s="5418"/>
    </row>
    <row r="5" spans="1:7" s="10" customFormat="1" x14ac:dyDescent="0.3">
      <c r="A5" s="5419" t="s">
        <v>384</v>
      </c>
      <c r="B5" s="5420"/>
      <c r="C5" s="5420"/>
      <c r="D5" s="5420"/>
      <c r="E5" s="5420"/>
    </row>
    <row r="6" spans="1:7" s="10" customFormat="1" x14ac:dyDescent="0.3">
      <c r="A6" s="5419" t="s">
        <v>385</v>
      </c>
      <c r="B6" s="5420"/>
      <c r="C6" s="5420"/>
      <c r="D6" s="5420"/>
      <c r="E6" s="5420"/>
    </row>
    <row r="7" spans="1:7" s="10" customFormat="1" ht="13.8" x14ac:dyDescent="0.25">
      <c r="A7" s="5362" t="str">
        <f>'Вхідні дані'!$F$4</f>
        <v>Комунальне підприємство «Чорноморськтеплоенерго» Чорноморської міської ради Одеського району Одеської області</v>
      </c>
      <c r="B7" s="5362"/>
      <c r="C7" s="5362"/>
      <c r="D7" s="5362"/>
      <c r="E7" s="5362"/>
    </row>
    <row r="8" spans="1:7" s="10" customFormat="1" ht="13.8" x14ac:dyDescent="0.25">
      <c r="A8" s="5389" t="s">
        <v>369</v>
      </c>
      <c r="B8" s="5066"/>
      <c r="C8" s="5066"/>
      <c r="D8" s="5066"/>
      <c r="E8" s="5066"/>
    </row>
    <row r="9" spans="1:7" s="10" customFormat="1" ht="11.25" customHeight="1" x14ac:dyDescent="0.25">
      <c r="A9" s="18"/>
    </row>
    <row r="10" spans="1:7" x14ac:dyDescent="0.3">
      <c r="A10" s="5416" t="s">
        <v>7</v>
      </c>
      <c r="B10" s="5417" t="s">
        <v>357</v>
      </c>
      <c r="C10" s="5417" t="s">
        <v>80</v>
      </c>
      <c r="D10" s="5417" t="s">
        <v>344</v>
      </c>
      <c r="E10" s="5417"/>
    </row>
    <row r="11" spans="1:7" ht="41.4" x14ac:dyDescent="0.3">
      <c r="A11" s="5416"/>
      <c r="B11" s="5417"/>
      <c r="C11" s="5417"/>
      <c r="D11" s="26" t="s">
        <v>371</v>
      </c>
      <c r="E11" s="26" t="s">
        <v>372</v>
      </c>
    </row>
    <row r="12" spans="1:7" x14ac:dyDescent="0.3">
      <c r="A12" s="36">
        <v>1</v>
      </c>
      <c r="B12" s="26">
        <v>2</v>
      </c>
      <c r="C12" s="26">
        <v>3</v>
      </c>
      <c r="D12" s="26">
        <v>4</v>
      </c>
      <c r="E12" s="26">
        <v>5</v>
      </c>
    </row>
    <row r="13" spans="1:7" ht="27.6" x14ac:dyDescent="0.3">
      <c r="A13" s="36">
        <v>1</v>
      </c>
      <c r="B13" s="27" t="s">
        <v>373</v>
      </c>
      <c r="C13" s="25"/>
      <c r="D13" s="25"/>
      <c r="E13" s="25"/>
    </row>
    <row r="14" spans="1:7" ht="27.6" x14ac:dyDescent="0.3">
      <c r="A14" s="36">
        <v>2</v>
      </c>
      <c r="B14" s="27" t="s">
        <v>374</v>
      </c>
      <c r="C14" s="25"/>
      <c r="D14" s="25"/>
      <c r="E14" s="25"/>
    </row>
    <row r="15" spans="1:7" ht="44.4" x14ac:dyDescent="0.3">
      <c r="A15" s="36">
        <v>3</v>
      </c>
      <c r="B15" s="27" t="s">
        <v>538</v>
      </c>
      <c r="C15" s="25"/>
      <c r="D15" s="25"/>
      <c r="E15" s="25"/>
    </row>
    <row r="16" spans="1:7" ht="30.6" x14ac:dyDescent="0.3">
      <c r="A16" s="36" t="s">
        <v>60</v>
      </c>
      <c r="B16" s="27" t="s">
        <v>539</v>
      </c>
      <c r="C16" s="26" t="s">
        <v>224</v>
      </c>
      <c r="D16" s="26" t="s">
        <v>224</v>
      </c>
      <c r="E16" s="25"/>
    </row>
    <row r="17" spans="1:5" ht="30.6" x14ac:dyDescent="0.3">
      <c r="A17" s="36" t="s">
        <v>61</v>
      </c>
      <c r="B17" s="27" t="s">
        <v>540</v>
      </c>
      <c r="C17" s="26" t="s">
        <v>224</v>
      </c>
      <c r="D17" s="26" t="s">
        <v>224</v>
      </c>
      <c r="E17" s="25"/>
    </row>
    <row r="18" spans="1:5" ht="30.6" x14ac:dyDescent="0.3">
      <c r="A18" s="36">
        <v>4</v>
      </c>
      <c r="B18" s="27" t="s">
        <v>541</v>
      </c>
      <c r="C18" s="25"/>
      <c r="D18" s="25"/>
      <c r="E18" s="25"/>
    </row>
    <row r="19" spans="1:5" ht="16.8" x14ac:dyDescent="0.3">
      <c r="A19" s="36">
        <v>5</v>
      </c>
      <c r="B19" s="27" t="s">
        <v>542</v>
      </c>
      <c r="C19" s="25"/>
      <c r="D19" s="25"/>
      <c r="E19" s="25"/>
    </row>
    <row r="20" spans="1:5" ht="34.5" customHeight="1" x14ac:dyDescent="0.3">
      <c r="A20" s="36">
        <v>6</v>
      </c>
      <c r="B20" s="27" t="s">
        <v>375</v>
      </c>
      <c r="C20" s="25"/>
      <c r="D20" s="25"/>
      <c r="E20" s="25"/>
    </row>
    <row r="21" spans="1:5" ht="30.6" x14ac:dyDescent="0.3">
      <c r="A21" s="36">
        <v>7</v>
      </c>
      <c r="B21" s="27" t="s">
        <v>543</v>
      </c>
      <c r="C21" s="25"/>
      <c r="D21" s="25"/>
      <c r="E21" s="25"/>
    </row>
    <row r="22" spans="1:5" ht="27.6" x14ac:dyDescent="0.3">
      <c r="A22" s="36">
        <v>8</v>
      </c>
      <c r="B22" s="27" t="s">
        <v>376</v>
      </c>
      <c r="C22" s="5413"/>
      <c r="D22" s="5413"/>
      <c r="E22" s="5413"/>
    </row>
    <row r="23" spans="1:5" ht="27.6" x14ac:dyDescent="0.3">
      <c r="A23" s="36">
        <v>9</v>
      </c>
      <c r="B23" s="27" t="s">
        <v>377</v>
      </c>
      <c r="C23" s="5413"/>
      <c r="D23" s="5413"/>
      <c r="E23" s="5413"/>
    </row>
    <row r="24" spans="1:5" ht="27.6" x14ac:dyDescent="0.3">
      <c r="A24" s="36">
        <v>10</v>
      </c>
      <c r="B24" s="27" t="s">
        <v>378</v>
      </c>
      <c r="C24" s="5413">
        <f>SUM(C25:C35)</f>
        <v>0</v>
      </c>
      <c r="D24" s="5413"/>
      <c r="E24" s="5413"/>
    </row>
    <row r="25" spans="1:5" ht="41.4" x14ac:dyDescent="0.3">
      <c r="A25" s="36">
        <v>11</v>
      </c>
      <c r="B25" s="27" t="s">
        <v>379</v>
      </c>
      <c r="C25" s="5413"/>
      <c r="D25" s="5413"/>
      <c r="E25" s="5413"/>
    </row>
    <row r="26" spans="1:5" ht="41.4" x14ac:dyDescent="0.3">
      <c r="A26" s="36">
        <v>12</v>
      </c>
      <c r="B26" s="27" t="s">
        <v>380</v>
      </c>
      <c r="C26" s="5413"/>
      <c r="D26" s="5413"/>
      <c r="E26" s="5413"/>
    </row>
    <row r="27" spans="1:5" ht="30.6" x14ac:dyDescent="0.3">
      <c r="A27" s="36">
        <v>13</v>
      </c>
      <c r="B27" s="27" t="s">
        <v>381</v>
      </c>
      <c r="C27" s="5413"/>
      <c r="D27" s="5413"/>
      <c r="E27" s="5413"/>
    </row>
    <row r="28" spans="1:5" ht="30.6" x14ac:dyDescent="0.3">
      <c r="A28" s="36">
        <v>14</v>
      </c>
      <c r="B28" s="27" t="s">
        <v>382</v>
      </c>
      <c r="C28" s="5413"/>
      <c r="D28" s="5413"/>
      <c r="E28" s="5413"/>
    </row>
    <row r="29" spans="1:5" x14ac:dyDescent="0.3">
      <c r="B29" s="90" t="s">
        <v>339</v>
      </c>
      <c r="C29" s="91"/>
      <c r="D29" s="91"/>
      <c r="E29" s="91"/>
    </row>
    <row r="30" spans="1:5" ht="35.25" customHeight="1" x14ac:dyDescent="0.3">
      <c r="B30" s="5414" t="s">
        <v>537</v>
      </c>
      <c r="C30" s="5415"/>
      <c r="D30" s="5415"/>
      <c r="E30" s="5415"/>
    </row>
    <row r="31" spans="1:5" x14ac:dyDescent="0.3">
      <c r="B31" s="28" t="s">
        <v>338</v>
      </c>
    </row>
    <row r="32" spans="1:5" ht="56.25" customHeight="1" x14ac:dyDescent="0.3">
      <c r="B32" s="29" t="s">
        <v>340</v>
      </c>
      <c r="C32" s="5410" t="s">
        <v>383</v>
      </c>
      <c r="D32" s="5410"/>
      <c r="E32" s="5410"/>
    </row>
    <row r="34" spans="2:5" x14ac:dyDescent="0.3">
      <c r="B34" s="62" t="s">
        <v>536</v>
      </c>
      <c r="C34" s="10"/>
      <c r="D34" s="5411" t="str">
        <f>'Вхідні дані'!F13</f>
        <v>Анатолій ПАНШИН</v>
      </c>
      <c r="E34" s="5411"/>
    </row>
    <row r="35" spans="2:5" x14ac:dyDescent="0.3">
      <c r="B35" s="10" t="s">
        <v>567</v>
      </c>
      <c r="C35" s="10"/>
      <c r="D35" s="5066" t="s">
        <v>230</v>
      </c>
      <c r="E35" s="5066"/>
    </row>
    <row r="51" spans="3:3" x14ac:dyDescent="0.3">
      <c r="C51">
        <v>4.68</v>
      </c>
    </row>
  </sheetData>
  <mergeCells count="23">
    <mergeCell ref="D10:E10"/>
    <mergeCell ref="C1:E1"/>
    <mergeCell ref="A3:E3"/>
    <mergeCell ref="A4:E4"/>
    <mergeCell ref="A5:E5"/>
    <mergeCell ref="A6:E6"/>
    <mergeCell ref="A8:E8"/>
    <mergeCell ref="C32:E32"/>
    <mergeCell ref="D34:E34"/>
    <mergeCell ref="D35:E35"/>
    <mergeCell ref="C2:E2"/>
    <mergeCell ref="A7:E7"/>
    <mergeCell ref="C24:E24"/>
    <mergeCell ref="C25:E25"/>
    <mergeCell ref="C26:E26"/>
    <mergeCell ref="C27:E27"/>
    <mergeCell ref="C28:E28"/>
    <mergeCell ref="B30:E30"/>
    <mergeCell ref="C22:E22"/>
    <mergeCell ref="C23:E23"/>
    <mergeCell ref="A10:A11"/>
    <mergeCell ref="B10:B11"/>
    <mergeCell ref="C10:C11"/>
  </mergeCells>
  <pageMargins left="0.7" right="0.7" top="0.75" bottom="0.75" header="0.3" footer="0.3"/>
  <pageSetup paperSize="9" fitToHeight="0" orientation="portrait" horizontalDpi="1200"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A00-000000000000}">
  <sheetPr codeName="Лист118">
    <tabColor theme="9"/>
  </sheetPr>
  <dimension ref="A1:J107"/>
  <sheetViews>
    <sheetView topLeftCell="A49" zoomScale="125" zoomScaleNormal="125" workbookViewId="0">
      <selection activeCell="A34" sqref="A34:XFD34"/>
    </sheetView>
  </sheetViews>
  <sheetFormatPr defaultColWidth="8.88671875" defaultRowHeight="14.4" x14ac:dyDescent="0.3"/>
  <cols>
    <col min="1" max="1" width="4.6640625" style="38" customWidth="1"/>
    <col min="2" max="2" width="68.5546875" style="100" customWidth="1"/>
    <col min="3" max="3" width="14" style="10" customWidth="1"/>
    <col min="4" max="4" width="22.109375" customWidth="1"/>
    <col min="5" max="5" width="27" customWidth="1"/>
  </cols>
  <sheetData>
    <row r="1" spans="1:10" s="10" customFormat="1" ht="13.8" x14ac:dyDescent="0.25">
      <c r="A1" s="5421" t="s">
        <v>420</v>
      </c>
      <c r="B1" s="5421"/>
      <c r="C1" s="5421"/>
    </row>
    <row r="2" spans="1:10" s="15" customFormat="1" ht="13.8" x14ac:dyDescent="0.25">
      <c r="A2" s="5421" t="s">
        <v>421</v>
      </c>
      <c r="B2" s="5421"/>
      <c r="C2" s="5421"/>
      <c r="D2" s="10"/>
      <c r="E2" s="10"/>
      <c r="F2" s="10"/>
      <c r="G2" s="10"/>
      <c r="H2" s="10"/>
      <c r="I2" s="10"/>
      <c r="J2" s="10"/>
    </row>
    <row r="3" spans="1:10" s="15" customFormat="1" ht="13.8" x14ac:dyDescent="0.25">
      <c r="A3" s="5421" t="s">
        <v>422</v>
      </c>
      <c r="B3" s="5421"/>
      <c r="C3" s="5421"/>
      <c r="D3" s="10"/>
      <c r="E3" s="10"/>
      <c r="F3" s="10"/>
      <c r="G3" s="10"/>
      <c r="H3" s="10"/>
      <c r="I3" s="10"/>
      <c r="J3" s="10"/>
    </row>
    <row r="4" spans="1:10" s="30" customFormat="1" ht="13.8" x14ac:dyDescent="0.25">
      <c r="A4" s="5421" t="s">
        <v>423</v>
      </c>
      <c r="B4" s="5421"/>
      <c r="C4" s="5421"/>
      <c r="D4" s="10"/>
      <c r="E4" s="10"/>
      <c r="F4" s="10"/>
      <c r="G4" s="10"/>
      <c r="H4" s="10"/>
      <c r="I4" s="10"/>
      <c r="J4" s="10"/>
    </row>
    <row r="5" spans="1:10" s="30" customFormat="1" ht="14.4" customHeight="1" x14ac:dyDescent="0.25">
      <c r="A5" s="5423" t="str">
        <f>"на "&amp;'Вхідні дані'!F6&amp;" роки"</f>
        <v>на 2023-2024 роки</v>
      </c>
      <c r="B5" s="5423"/>
      <c r="C5" s="5423"/>
      <c r="D5" s="10"/>
      <c r="E5" s="10"/>
      <c r="F5" s="10"/>
      <c r="G5" s="10"/>
      <c r="H5" s="10"/>
      <c r="I5" s="10"/>
      <c r="J5" s="10"/>
    </row>
    <row r="6" spans="1:10" s="10" customFormat="1" ht="8.4" customHeight="1" x14ac:dyDescent="0.25">
      <c r="A6" s="5422"/>
      <c r="B6" s="5422"/>
      <c r="C6" s="5422"/>
    </row>
    <row r="7" spans="1:10" ht="27.6" x14ac:dyDescent="0.3">
      <c r="A7" s="4093" t="s">
        <v>7</v>
      </c>
      <c r="B7" s="9" t="s">
        <v>386</v>
      </c>
      <c r="C7" s="9" t="s">
        <v>387</v>
      </c>
      <c r="D7" s="10"/>
      <c r="E7" s="10"/>
      <c r="F7" s="10"/>
      <c r="G7" s="10"/>
      <c r="H7" s="10"/>
      <c r="I7" s="10"/>
      <c r="J7" s="10"/>
    </row>
    <row r="8" spans="1:10" x14ac:dyDescent="0.3">
      <c r="A8" s="9">
        <v>1</v>
      </c>
      <c r="B8" s="4096" t="s">
        <v>388</v>
      </c>
      <c r="C8" s="11" t="s">
        <v>3833</v>
      </c>
      <c r="D8" s="10"/>
      <c r="E8" s="10"/>
      <c r="F8" s="10"/>
      <c r="G8" s="10"/>
      <c r="H8" s="10"/>
      <c r="I8" s="10"/>
      <c r="J8" s="10"/>
    </row>
    <row r="9" spans="1:10" x14ac:dyDescent="0.3">
      <c r="A9" s="9">
        <v>2</v>
      </c>
      <c r="B9" s="4096" t="s">
        <v>390</v>
      </c>
      <c r="C9" s="11" t="s">
        <v>3834</v>
      </c>
      <c r="D9" s="10"/>
      <c r="E9" s="10"/>
      <c r="F9" s="10"/>
      <c r="G9" s="10"/>
      <c r="H9" s="10"/>
      <c r="I9" s="10"/>
      <c r="J9" s="10"/>
    </row>
    <row r="10" spans="1:10" x14ac:dyDescent="0.3">
      <c r="A10" s="9">
        <v>3</v>
      </c>
      <c r="B10" s="4096" t="s">
        <v>391</v>
      </c>
      <c r="C10" s="11" t="s">
        <v>389</v>
      </c>
      <c r="D10" s="10"/>
      <c r="E10" s="10"/>
      <c r="F10" s="10"/>
      <c r="G10" s="10"/>
      <c r="H10" s="10"/>
      <c r="I10" s="10"/>
      <c r="J10" s="10"/>
    </row>
    <row r="11" spans="1:10" x14ac:dyDescent="0.3">
      <c r="A11" s="9"/>
      <c r="B11" s="4096" t="s">
        <v>3835</v>
      </c>
      <c r="C11" s="11"/>
      <c r="D11" s="10"/>
      <c r="E11" s="10"/>
      <c r="F11" s="10"/>
      <c r="G11" s="10"/>
      <c r="H11" s="10"/>
      <c r="I11" s="10"/>
      <c r="J11" s="10"/>
    </row>
    <row r="12" spans="1:10" x14ac:dyDescent="0.3">
      <c r="A12" s="9"/>
      <c r="B12" s="4096"/>
      <c r="C12" s="11"/>
      <c r="D12" s="10"/>
      <c r="E12" s="10"/>
      <c r="F12" s="10"/>
      <c r="G12" s="10"/>
      <c r="H12" s="10"/>
      <c r="I12" s="10"/>
      <c r="J12" s="10"/>
    </row>
    <row r="13" spans="1:10" x14ac:dyDescent="0.3">
      <c r="A13" s="9"/>
      <c r="B13" s="4096"/>
      <c r="C13" s="11"/>
      <c r="D13" s="10"/>
      <c r="E13" s="10"/>
      <c r="F13" s="10"/>
      <c r="G13" s="10"/>
      <c r="H13" s="10"/>
      <c r="I13" s="10"/>
      <c r="J13" s="10"/>
    </row>
    <row r="14" spans="1:10" ht="27.6" x14ac:dyDescent="0.3">
      <c r="A14" s="9">
        <v>4</v>
      </c>
      <c r="B14" s="4096" t="s">
        <v>392</v>
      </c>
      <c r="C14" s="11" t="s">
        <v>389</v>
      </c>
      <c r="D14" s="10"/>
      <c r="E14" s="10"/>
      <c r="F14" s="10"/>
      <c r="G14" s="10"/>
      <c r="H14" s="10"/>
      <c r="I14" s="10"/>
      <c r="J14" s="10"/>
    </row>
    <row r="15" spans="1:10" x14ac:dyDescent="0.3">
      <c r="A15" s="9">
        <v>5</v>
      </c>
      <c r="B15" s="4096" t="s">
        <v>393</v>
      </c>
      <c r="C15" s="11" t="s">
        <v>389</v>
      </c>
      <c r="D15" s="10"/>
      <c r="E15" s="10"/>
      <c r="F15" s="10"/>
      <c r="G15" s="10"/>
      <c r="H15" s="10"/>
      <c r="I15" s="10"/>
      <c r="J15" s="10"/>
    </row>
    <row r="16" spans="1:10" ht="18" customHeight="1" x14ac:dyDescent="0.3">
      <c r="A16" s="9">
        <v>6</v>
      </c>
      <c r="B16" s="4096" t="s">
        <v>394</v>
      </c>
      <c r="C16" s="11" t="s">
        <v>389</v>
      </c>
      <c r="D16" s="10"/>
      <c r="E16" s="10"/>
      <c r="F16" s="10"/>
      <c r="G16" s="10"/>
      <c r="H16" s="10"/>
      <c r="I16" s="10"/>
      <c r="J16" s="10"/>
    </row>
    <row r="17" spans="1:10" x14ac:dyDescent="0.3">
      <c r="A17" s="9">
        <v>7</v>
      </c>
      <c r="B17" s="4096" t="s">
        <v>395</v>
      </c>
      <c r="C17" s="11" t="s">
        <v>389</v>
      </c>
      <c r="D17" s="10"/>
      <c r="E17" s="10"/>
      <c r="F17" s="10"/>
      <c r="G17" s="10"/>
      <c r="H17" s="10"/>
      <c r="I17" s="10"/>
      <c r="J17" s="10"/>
    </row>
    <row r="18" spans="1:10" ht="28.2" customHeight="1" x14ac:dyDescent="0.3">
      <c r="A18" s="9">
        <v>8</v>
      </c>
      <c r="B18" s="4096" t="s">
        <v>396</v>
      </c>
      <c r="C18" s="11" t="s">
        <v>389</v>
      </c>
      <c r="D18" s="10"/>
      <c r="E18" s="10"/>
      <c r="F18" s="10"/>
      <c r="G18" s="10"/>
      <c r="H18" s="10"/>
      <c r="I18" s="10"/>
      <c r="J18" s="10"/>
    </row>
    <row r="19" spans="1:10" ht="27.6" x14ac:dyDescent="0.3">
      <c r="A19" s="9">
        <v>9</v>
      </c>
      <c r="B19" s="4096" t="s">
        <v>397</v>
      </c>
      <c r="C19" s="11" t="s">
        <v>389</v>
      </c>
      <c r="D19" s="10"/>
      <c r="E19" s="10"/>
      <c r="F19" s="10"/>
      <c r="G19" s="10"/>
      <c r="H19" s="10"/>
      <c r="I19" s="10"/>
      <c r="J19" s="10"/>
    </row>
    <row r="20" spans="1:10" ht="41.4" x14ac:dyDescent="0.3">
      <c r="A20" s="9">
        <v>10</v>
      </c>
      <c r="B20" s="4096" t="s">
        <v>398</v>
      </c>
      <c r="C20" s="11" t="s">
        <v>389</v>
      </c>
      <c r="D20" s="10"/>
      <c r="E20" s="10"/>
      <c r="F20" s="10"/>
      <c r="G20" s="10"/>
      <c r="H20" s="10"/>
      <c r="I20" s="10"/>
      <c r="J20" s="10"/>
    </row>
    <row r="21" spans="1:10" ht="27.6" x14ac:dyDescent="0.3">
      <c r="A21" s="9">
        <v>11</v>
      </c>
      <c r="B21" s="4096" t="s">
        <v>399</v>
      </c>
      <c r="C21" s="11" t="s">
        <v>389</v>
      </c>
      <c r="D21" s="10"/>
      <c r="E21" s="10"/>
      <c r="F21" s="10"/>
      <c r="G21" s="10"/>
      <c r="H21" s="10"/>
      <c r="I21" s="10"/>
      <c r="J21" s="10"/>
    </row>
    <row r="22" spans="1:10" ht="27.6" x14ac:dyDescent="0.3">
      <c r="A22" s="9">
        <v>12</v>
      </c>
      <c r="B22" s="4096" t="s">
        <v>400</v>
      </c>
      <c r="C22" s="4094" t="s">
        <v>389</v>
      </c>
      <c r="D22" s="10"/>
      <c r="E22" s="10"/>
      <c r="F22" s="10"/>
      <c r="G22" s="10"/>
      <c r="H22" s="10"/>
      <c r="I22" s="10"/>
      <c r="J22" s="10"/>
    </row>
    <row r="23" spans="1:10" x14ac:dyDescent="0.3">
      <c r="A23" s="9"/>
      <c r="B23" s="4038"/>
      <c r="C23" s="4094"/>
      <c r="D23" s="10"/>
      <c r="E23" s="10"/>
      <c r="F23" s="10"/>
      <c r="G23" s="10"/>
      <c r="H23" s="10"/>
      <c r="I23" s="10"/>
      <c r="J23" s="10"/>
    </row>
    <row r="24" spans="1:10" x14ac:dyDescent="0.3">
      <c r="A24" s="9"/>
      <c r="B24" s="4038"/>
      <c r="C24" s="4094"/>
      <c r="D24" s="10"/>
      <c r="E24" s="10"/>
      <c r="F24" s="10"/>
      <c r="G24" s="10"/>
      <c r="H24" s="10"/>
      <c r="I24" s="10"/>
      <c r="J24" s="10"/>
    </row>
    <row r="25" spans="1:10" x14ac:dyDescent="0.3">
      <c r="A25" s="9"/>
      <c r="B25" s="4038"/>
      <c r="C25" s="4094"/>
      <c r="D25" s="10"/>
      <c r="E25" s="10"/>
      <c r="F25" s="10"/>
      <c r="G25" s="10"/>
      <c r="H25" s="10"/>
      <c r="I25" s="10"/>
      <c r="J25" s="10"/>
    </row>
    <row r="26" spans="1:10" x14ac:dyDescent="0.3">
      <c r="A26" s="9"/>
      <c r="B26" s="4038"/>
      <c r="C26" s="4094"/>
      <c r="D26" s="10"/>
      <c r="E26" s="10"/>
      <c r="F26" s="10"/>
      <c r="G26" s="10"/>
      <c r="H26" s="10"/>
      <c r="I26" s="10"/>
      <c r="J26" s="10"/>
    </row>
    <row r="27" spans="1:10" x14ac:dyDescent="0.3">
      <c r="A27" s="9"/>
      <c r="B27" s="4038"/>
      <c r="C27" s="4094"/>
      <c r="D27" s="10"/>
      <c r="E27" s="10"/>
      <c r="F27" s="10"/>
      <c r="G27" s="10"/>
      <c r="H27" s="10"/>
      <c r="I27" s="10"/>
      <c r="J27" s="10"/>
    </row>
    <row r="28" spans="1:10" x14ac:dyDescent="0.3">
      <c r="A28" s="9"/>
      <c r="B28" s="4038"/>
      <c r="C28" s="4094"/>
      <c r="D28" s="10"/>
      <c r="E28" s="10"/>
      <c r="F28" s="10"/>
      <c r="G28" s="10"/>
      <c r="H28" s="10"/>
      <c r="I28" s="10"/>
      <c r="J28" s="10"/>
    </row>
    <row r="29" spans="1:10" x14ac:dyDescent="0.3">
      <c r="A29" s="9"/>
      <c r="B29" s="4038"/>
      <c r="C29" s="4094"/>
      <c r="D29" s="10"/>
      <c r="E29" s="10"/>
      <c r="F29" s="10"/>
      <c r="G29" s="10"/>
      <c r="H29" s="10"/>
      <c r="I29" s="10"/>
      <c r="J29" s="10"/>
    </row>
    <row r="30" spans="1:10" x14ac:dyDescent="0.3">
      <c r="A30" s="9"/>
      <c r="B30" s="4038"/>
      <c r="C30" s="4094"/>
      <c r="D30" s="10"/>
      <c r="E30" s="10"/>
      <c r="F30" s="10"/>
      <c r="G30" s="10"/>
      <c r="H30" s="10"/>
      <c r="I30" s="10"/>
      <c r="J30" s="10"/>
    </row>
    <row r="31" spans="1:10" x14ac:dyDescent="0.3">
      <c r="A31" s="9"/>
      <c r="B31" s="4038"/>
      <c r="C31" s="4094"/>
      <c r="D31" s="10"/>
      <c r="E31" s="10"/>
      <c r="F31" s="10"/>
      <c r="G31" s="10"/>
      <c r="H31" s="10"/>
      <c r="I31" s="10"/>
      <c r="J31" s="10"/>
    </row>
    <row r="32" spans="1:10" ht="82.8" x14ac:dyDescent="0.3">
      <c r="A32" s="9">
        <v>13</v>
      </c>
      <c r="B32" s="4038" t="s">
        <v>401</v>
      </c>
      <c r="C32" s="4094" t="s">
        <v>389</v>
      </c>
      <c r="D32" s="10"/>
      <c r="E32" s="10"/>
      <c r="F32" s="10"/>
      <c r="G32" s="10"/>
      <c r="H32" s="10"/>
      <c r="I32" s="10"/>
      <c r="J32" s="10"/>
    </row>
    <row r="33" spans="1:10" ht="27.6" x14ac:dyDescent="0.3">
      <c r="A33" s="9">
        <v>14</v>
      </c>
      <c r="B33" s="4096" t="s">
        <v>3828</v>
      </c>
      <c r="C33" s="11" t="s">
        <v>389</v>
      </c>
      <c r="D33" s="10"/>
      <c r="E33" s="10"/>
      <c r="F33" s="10"/>
      <c r="G33" s="10"/>
      <c r="H33" s="10"/>
      <c r="I33" s="10"/>
      <c r="J33" s="10"/>
    </row>
    <row r="34" spans="1:10" ht="27.6" x14ac:dyDescent="0.3">
      <c r="A34" s="9"/>
      <c r="B34" s="4096" t="s">
        <v>3842</v>
      </c>
      <c r="C34" s="11"/>
      <c r="D34" s="10"/>
      <c r="E34" s="10"/>
      <c r="F34" s="10"/>
      <c r="G34" s="10"/>
      <c r="H34" s="10"/>
      <c r="I34" s="10"/>
      <c r="J34" s="10"/>
    </row>
    <row r="35" spans="1:10" x14ac:dyDescent="0.3">
      <c r="A35" s="9"/>
      <c r="B35" s="4096" t="s">
        <v>3843</v>
      </c>
      <c r="C35" s="11"/>
      <c r="D35" s="10"/>
      <c r="E35" s="10"/>
      <c r="F35" s="10"/>
      <c r="G35" s="10"/>
      <c r="H35" s="10"/>
      <c r="I35" s="10"/>
      <c r="J35" s="10"/>
    </row>
    <row r="36" spans="1:10" ht="27.6" x14ac:dyDescent="0.3">
      <c r="A36" s="9"/>
      <c r="B36" s="4038" t="s">
        <v>3845</v>
      </c>
      <c r="C36" s="11"/>
      <c r="D36" s="10"/>
      <c r="E36" s="10"/>
      <c r="F36" s="10"/>
      <c r="G36" s="10"/>
      <c r="H36" s="10"/>
      <c r="I36" s="10"/>
      <c r="J36" s="10"/>
    </row>
    <row r="37" spans="1:10" ht="41.4" x14ac:dyDescent="0.3">
      <c r="A37" s="9"/>
      <c r="B37" s="4038" t="s">
        <v>3847</v>
      </c>
      <c r="C37" s="11"/>
      <c r="D37" s="10"/>
      <c r="E37" s="10"/>
      <c r="F37" s="10"/>
      <c r="G37" s="10"/>
      <c r="H37" s="10"/>
      <c r="I37" s="10"/>
      <c r="J37" s="10"/>
    </row>
    <row r="38" spans="1:10" ht="41.4" x14ac:dyDescent="0.3">
      <c r="A38" s="9"/>
      <c r="B38" s="4038" t="s">
        <v>3846</v>
      </c>
      <c r="C38" s="11"/>
      <c r="D38" s="10"/>
      <c r="E38" s="10"/>
      <c r="F38" s="10"/>
      <c r="G38" s="10"/>
      <c r="H38" s="10"/>
      <c r="I38" s="10"/>
      <c r="J38" s="10"/>
    </row>
    <row r="39" spans="1:10" ht="27.6" x14ac:dyDescent="0.3">
      <c r="A39" s="9">
        <v>15</v>
      </c>
      <c r="B39" s="4038" t="s">
        <v>403</v>
      </c>
      <c r="C39" s="11" t="s">
        <v>389</v>
      </c>
      <c r="D39" s="10"/>
      <c r="E39" s="10"/>
      <c r="F39" s="10"/>
      <c r="G39" s="10"/>
      <c r="H39" s="10"/>
      <c r="I39" s="10"/>
      <c r="J39" s="10"/>
    </row>
    <row r="40" spans="1:10" ht="41.4" x14ac:dyDescent="0.3">
      <c r="A40" s="9"/>
      <c r="B40" s="4095" t="s">
        <v>3819</v>
      </c>
      <c r="C40" s="11" t="s">
        <v>389</v>
      </c>
      <c r="D40" s="10"/>
      <c r="E40" s="10"/>
      <c r="F40" s="10"/>
      <c r="G40" s="10"/>
      <c r="H40" s="10"/>
      <c r="I40" s="10"/>
      <c r="J40" s="10"/>
    </row>
    <row r="41" spans="1:10" ht="55.2" x14ac:dyDescent="0.3">
      <c r="A41" s="9"/>
      <c r="B41" s="4096" t="s">
        <v>3820</v>
      </c>
      <c r="C41" s="11" t="s">
        <v>389</v>
      </c>
      <c r="D41" s="10"/>
      <c r="E41" s="10"/>
      <c r="F41" s="10"/>
      <c r="G41" s="10"/>
      <c r="H41" s="10"/>
      <c r="I41" s="10"/>
      <c r="J41" s="10"/>
    </row>
    <row r="42" spans="1:10" ht="43.2" customHeight="1" x14ac:dyDescent="0.3">
      <c r="A42" s="9"/>
      <c r="B42" s="4096" t="s">
        <v>3821</v>
      </c>
      <c r="C42" s="11" t="s">
        <v>389</v>
      </c>
      <c r="D42" s="10"/>
      <c r="E42" s="10"/>
      <c r="F42" s="10"/>
      <c r="G42" s="10"/>
      <c r="H42" s="10"/>
      <c r="I42" s="10"/>
      <c r="J42" s="10"/>
    </row>
    <row r="43" spans="1:10" ht="71.400000000000006" customHeight="1" x14ac:dyDescent="0.3">
      <c r="A43" s="9"/>
      <c r="B43" s="4100" t="s">
        <v>3822</v>
      </c>
      <c r="C43" s="11" t="s">
        <v>389</v>
      </c>
      <c r="D43" s="10"/>
      <c r="E43" s="10"/>
      <c r="F43" s="10"/>
      <c r="G43" s="10"/>
      <c r="H43" s="10"/>
      <c r="I43" s="10"/>
      <c r="J43" s="10"/>
    </row>
    <row r="44" spans="1:10" ht="27.6" x14ac:dyDescent="0.3">
      <c r="A44" s="9"/>
      <c r="B44" s="4101" t="s">
        <v>3854</v>
      </c>
      <c r="C44" s="11"/>
      <c r="D44" s="10"/>
      <c r="E44" s="10"/>
      <c r="F44" s="10"/>
      <c r="G44" s="10"/>
      <c r="H44" s="10"/>
      <c r="I44" s="10"/>
      <c r="J44" s="10"/>
    </row>
    <row r="45" spans="1:10" ht="41.4" x14ac:dyDescent="0.3">
      <c r="A45" s="9"/>
      <c r="B45" s="4101" t="s">
        <v>3844</v>
      </c>
      <c r="C45" s="11"/>
      <c r="D45" s="10"/>
      <c r="E45" s="10"/>
      <c r="F45" s="10"/>
      <c r="G45" s="10"/>
      <c r="H45" s="10"/>
      <c r="I45" s="10"/>
      <c r="J45" s="10"/>
    </row>
    <row r="46" spans="1:10" ht="102" customHeight="1" x14ac:dyDescent="0.3">
      <c r="A46" s="9"/>
      <c r="B46" s="4102" t="s">
        <v>3823</v>
      </c>
      <c r="C46" s="11" t="s">
        <v>389</v>
      </c>
      <c r="D46" s="10"/>
      <c r="E46" s="10"/>
      <c r="F46" s="10"/>
      <c r="G46" s="10"/>
      <c r="H46" s="10"/>
      <c r="I46" s="10"/>
      <c r="J46" s="10"/>
    </row>
    <row r="47" spans="1:10" ht="41.4" x14ac:dyDescent="0.3">
      <c r="A47" s="9"/>
      <c r="B47" s="4096" t="s">
        <v>3824</v>
      </c>
      <c r="C47" s="11" t="s">
        <v>389</v>
      </c>
      <c r="D47" s="10"/>
      <c r="E47" s="10"/>
      <c r="F47" s="10"/>
      <c r="G47" s="10"/>
      <c r="H47" s="10"/>
      <c r="I47" s="10"/>
      <c r="J47" s="10"/>
    </row>
    <row r="48" spans="1:10" ht="27.6" x14ac:dyDescent="0.3">
      <c r="A48" s="9"/>
      <c r="B48" s="4097" t="s">
        <v>3836</v>
      </c>
      <c r="C48" s="4094"/>
      <c r="D48" s="10"/>
      <c r="E48" s="10"/>
      <c r="F48" s="10"/>
      <c r="G48" s="10"/>
      <c r="H48" s="10"/>
      <c r="I48" s="10"/>
      <c r="J48" s="10"/>
    </row>
    <row r="49" spans="1:10" ht="27.6" x14ac:dyDescent="0.3">
      <c r="A49" s="9"/>
      <c r="B49" s="4097" t="s">
        <v>3837</v>
      </c>
      <c r="C49" s="4094"/>
      <c r="D49" s="10"/>
      <c r="E49" s="10"/>
      <c r="F49" s="10"/>
      <c r="G49" s="10"/>
      <c r="H49" s="10"/>
      <c r="I49" s="10"/>
      <c r="J49" s="10"/>
    </row>
    <row r="50" spans="1:10" ht="27.6" x14ac:dyDescent="0.3">
      <c r="A50" s="9"/>
      <c r="B50" s="4097" t="s">
        <v>3838</v>
      </c>
      <c r="C50" s="4094"/>
      <c r="D50" s="10"/>
      <c r="E50" s="10"/>
      <c r="F50" s="10"/>
      <c r="G50" s="10"/>
      <c r="H50" s="10"/>
      <c r="I50" s="10"/>
      <c r="J50" s="10"/>
    </row>
    <row r="51" spans="1:10" ht="27.6" x14ac:dyDescent="0.3">
      <c r="A51" s="9"/>
      <c r="B51" s="4097" t="s">
        <v>3839</v>
      </c>
      <c r="C51" s="4094"/>
      <c r="D51" s="10"/>
      <c r="E51" s="10"/>
      <c r="F51" s="10"/>
      <c r="G51" s="10"/>
      <c r="H51" s="10"/>
      <c r="I51" s="10"/>
      <c r="J51" s="10"/>
    </row>
    <row r="52" spans="1:10" x14ac:dyDescent="0.3">
      <c r="A52" s="9"/>
      <c r="B52" s="4097" t="s">
        <v>3840</v>
      </c>
      <c r="C52" s="4094"/>
      <c r="D52" s="10" t="s">
        <v>3841</v>
      </c>
      <c r="E52" s="10"/>
      <c r="F52" s="10"/>
      <c r="G52" s="10"/>
      <c r="H52" s="10"/>
      <c r="I52" s="10"/>
      <c r="J52" s="10"/>
    </row>
    <row r="53" spans="1:10" ht="41.4" x14ac:dyDescent="0.3">
      <c r="A53" s="9"/>
      <c r="B53" s="4038" t="s">
        <v>3825</v>
      </c>
      <c r="C53" s="11" t="s">
        <v>389</v>
      </c>
      <c r="D53" s="10"/>
      <c r="E53" s="10"/>
      <c r="F53" s="10"/>
      <c r="G53" s="10"/>
      <c r="H53" s="10"/>
      <c r="I53" s="10"/>
      <c r="J53" s="10"/>
    </row>
    <row r="54" spans="1:10" x14ac:dyDescent="0.3">
      <c r="A54" s="9"/>
      <c r="B54" s="4103" t="s">
        <v>3826</v>
      </c>
      <c r="C54" s="11" t="s">
        <v>389</v>
      </c>
      <c r="D54" s="10"/>
      <c r="E54" s="10"/>
      <c r="F54" s="10"/>
      <c r="G54" s="10"/>
      <c r="H54" s="10"/>
      <c r="I54" s="10"/>
      <c r="J54" s="10"/>
    </row>
    <row r="55" spans="1:10" x14ac:dyDescent="0.3">
      <c r="A55" s="4099"/>
      <c r="B55" s="4105" t="s">
        <v>3855</v>
      </c>
      <c r="C55" s="12"/>
    </row>
    <row r="56" spans="1:10" ht="27.6" x14ac:dyDescent="0.3">
      <c r="A56" s="9"/>
      <c r="B56" s="4104" t="s">
        <v>3827</v>
      </c>
      <c r="C56" s="11" t="s">
        <v>389</v>
      </c>
      <c r="D56" s="10"/>
      <c r="E56" s="10"/>
      <c r="F56" s="10"/>
      <c r="G56" s="10"/>
      <c r="H56" s="10"/>
      <c r="I56" s="10"/>
      <c r="J56" s="10"/>
    </row>
    <row r="57" spans="1:10" x14ac:dyDescent="0.3">
      <c r="A57" s="9"/>
      <c r="B57" s="4038"/>
      <c r="C57" s="11" t="s">
        <v>389</v>
      </c>
      <c r="D57" s="10"/>
      <c r="E57" s="10"/>
      <c r="F57" s="10"/>
      <c r="G57" s="10"/>
      <c r="H57" s="10"/>
      <c r="I57" s="10"/>
      <c r="J57" s="10"/>
    </row>
    <row r="58" spans="1:10" ht="27.6" x14ac:dyDescent="0.3">
      <c r="A58" s="9">
        <v>16</v>
      </c>
      <c r="B58" s="4096" t="s">
        <v>404</v>
      </c>
      <c r="C58" s="11" t="s">
        <v>389</v>
      </c>
      <c r="D58" s="10"/>
      <c r="E58" s="10"/>
      <c r="F58" s="10"/>
      <c r="G58" s="10"/>
      <c r="H58" s="10"/>
      <c r="I58" s="10"/>
      <c r="J58" s="10"/>
    </row>
    <row r="59" spans="1:10" x14ac:dyDescent="0.3">
      <c r="A59" s="9"/>
      <c r="B59" s="4038"/>
      <c r="C59" s="11"/>
      <c r="D59" s="10"/>
      <c r="E59" s="10"/>
      <c r="F59" s="10"/>
      <c r="G59" s="10"/>
      <c r="H59" s="10"/>
      <c r="I59" s="10"/>
      <c r="J59" s="10"/>
    </row>
    <row r="60" spans="1:10" ht="32.4" customHeight="1" x14ac:dyDescent="0.3">
      <c r="A60" s="9">
        <v>17</v>
      </c>
      <c r="B60" s="4096" t="s">
        <v>405</v>
      </c>
      <c r="C60" s="11" t="s">
        <v>389</v>
      </c>
      <c r="D60" s="10"/>
      <c r="E60" s="10"/>
      <c r="F60" s="10"/>
      <c r="G60" s="10"/>
      <c r="H60" s="10"/>
      <c r="I60" s="10"/>
      <c r="J60" s="10"/>
    </row>
    <row r="61" spans="1:10" ht="27.6" x14ac:dyDescent="0.3">
      <c r="A61" s="9"/>
      <c r="B61" s="4096" t="s">
        <v>3829</v>
      </c>
      <c r="C61" s="11" t="s">
        <v>389</v>
      </c>
      <c r="D61" s="10"/>
      <c r="E61" s="10"/>
      <c r="F61" s="10">
        <f>10037458/141/3</f>
        <v>23729.21513002364</v>
      </c>
      <c r="G61" s="10"/>
      <c r="H61" s="10"/>
      <c r="I61" s="10"/>
      <c r="J61" s="10"/>
    </row>
    <row r="62" spans="1:10" ht="27.6" x14ac:dyDescent="0.3">
      <c r="A62" s="9"/>
      <c r="B62" s="4096" t="s">
        <v>3830</v>
      </c>
      <c r="C62" s="11" t="s">
        <v>389</v>
      </c>
      <c r="D62" s="10"/>
      <c r="E62" s="10"/>
      <c r="F62" s="10">
        <f>9045427/120/3</f>
        <v>25126.18611111111</v>
      </c>
      <c r="G62" s="10"/>
      <c r="H62" s="10"/>
      <c r="I62" s="10"/>
      <c r="J62" s="10"/>
    </row>
    <row r="63" spans="1:10" ht="96.6" x14ac:dyDescent="0.3">
      <c r="A63" s="9"/>
      <c r="B63" s="4096" t="s">
        <v>3831</v>
      </c>
      <c r="C63" s="11" t="s">
        <v>389</v>
      </c>
      <c r="D63" s="10"/>
      <c r="E63" s="10"/>
      <c r="F63" s="10"/>
      <c r="G63" s="10"/>
      <c r="H63" s="10"/>
      <c r="I63" s="10"/>
      <c r="J63" s="10"/>
    </row>
    <row r="64" spans="1:10" ht="27.6" x14ac:dyDescent="0.3">
      <c r="A64" s="9"/>
      <c r="B64" s="4101" t="s">
        <v>3848</v>
      </c>
      <c r="C64" s="11"/>
      <c r="D64" s="10"/>
      <c r="E64" s="10"/>
      <c r="F64" s="10"/>
      <c r="G64" s="10"/>
      <c r="H64" s="10"/>
      <c r="I64" s="10"/>
      <c r="J64" s="10"/>
    </row>
    <row r="65" spans="1:10" ht="27.6" x14ac:dyDescent="0.3">
      <c r="A65" s="9"/>
      <c r="B65" s="4101" t="s">
        <v>3849</v>
      </c>
      <c r="C65" s="11"/>
      <c r="D65" s="10"/>
      <c r="E65" s="10"/>
      <c r="F65" s="10"/>
      <c r="G65" s="10"/>
      <c r="H65" s="10"/>
      <c r="I65" s="10"/>
      <c r="J65" s="10"/>
    </row>
    <row r="66" spans="1:10" ht="41.4" x14ac:dyDescent="0.3">
      <c r="A66" s="9"/>
      <c r="B66" s="4096" t="s">
        <v>3832</v>
      </c>
      <c r="C66" s="11" t="s">
        <v>389</v>
      </c>
      <c r="D66" s="1458" t="s">
        <v>3856</v>
      </c>
      <c r="E66" s="10"/>
      <c r="F66" s="10"/>
      <c r="G66" s="10"/>
      <c r="H66" s="10"/>
      <c r="I66" s="10"/>
      <c r="J66" s="10"/>
    </row>
    <row r="67" spans="1:10" s="1590" customFormat="1" x14ac:dyDescent="0.3">
      <c r="A67" s="4098"/>
      <c r="B67" s="4101" t="s">
        <v>3850</v>
      </c>
      <c r="C67" s="4098"/>
      <c r="D67" s="1789"/>
      <c r="E67" s="1789"/>
      <c r="F67" s="1789"/>
      <c r="G67" s="1789"/>
      <c r="H67" s="1789"/>
      <c r="I67" s="1789"/>
      <c r="J67" s="1789"/>
    </row>
    <row r="68" spans="1:10" s="1590" customFormat="1" x14ac:dyDescent="0.3">
      <c r="A68" s="4098"/>
      <c r="B68" s="4101" t="s">
        <v>3851</v>
      </c>
      <c r="C68" s="4098"/>
      <c r="D68" s="1789"/>
      <c r="E68" s="1789"/>
      <c r="F68" s="1789"/>
      <c r="G68" s="1789"/>
      <c r="H68" s="1789"/>
      <c r="I68" s="1789"/>
      <c r="J68" s="1789"/>
    </row>
    <row r="69" spans="1:10" s="1590" customFormat="1" x14ac:dyDescent="0.3">
      <c r="A69" s="4098"/>
      <c r="B69" s="4101" t="s">
        <v>3852</v>
      </c>
      <c r="C69" s="4098"/>
      <c r="D69" s="1789"/>
      <c r="E69" s="1789"/>
      <c r="F69" s="1789"/>
      <c r="G69" s="1789"/>
      <c r="H69" s="1789"/>
      <c r="I69" s="1789"/>
      <c r="J69" s="1789"/>
    </row>
    <row r="70" spans="1:10" s="1590" customFormat="1" x14ac:dyDescent="0.3">
      <c r="A70" s="4098"/>
      <c r="B70" s="4101" t="s">
        <v>3853</v>
      </c>
      <c r="C70" s="4098"/>
      <c r="D70" s="1789"/>
      <c r="E70" s="1789"/>
      <c r="F70" s="1789"/>
      <c r="G70" s="1789"/>
      <c r="H70" s="1789"/>
      <c r="I70" s="1789"/>
      <c r="J70" s="1789"/>
    </row>
    <row r="71" spans="1:10" x14ac:dyDescent="0.3">
      <c r="A71" s="9"/>
      <c r="B71" s="4038"/>
      <c r="C71" s="11" t="s">
        <v>389</v>
      </c>
      <c r="D71" s="10"/>
      <c r="E71" s="10"/>
      <c r="F71" s="10"/>
      <c r="G71" s="10"/>
      <c r="H71" s="10"/>
      <c r="I71" s="10"/>
      <c r="J71" s="10"/>
    </row>
    <row r="72" spans="1:10" x14ac:dyDescent="0.3">
      <c r="A72" s="9"/>
      <c r="B72" s="4038"/>
      <c r="C72" s="11" t="s">
        <v>389</v>
      </c>
      <c r="D72" s="10"/>
      <c r="E72" s="10"/>
      <c r="F72" s="10"/>
      <c r="G72" s="10"/>
      <c r="H72" s="10"/>
      <c r="I72" s="10"/>
      <c r="J72" s="10"/>
    </row>
    <row r="73" spans="1:10" x14ac:dyDescent="0.3">
      <c r="A73" s="9"/>
      <c r="B73" s="4038"/>
      <c r="C73" s="11" t="s">
        <v>389</v>
      </c>
      <c r="D73" s="10"/>
      <c r="E73" s="10"/>
      <c r="F73" s="10"/>
      <c r="G73" s="10"/>
      <c r="H73" s="10"/>
      <c r="I73" s="10"/>
      <c r="J73" s="10"/>
    </row>
    <row r="74" spans="1:10" ht="19.5" customHeight="1" x14ac:dyDescent="0.3">
      <c r="A74" s="9">
        <v>18</v>
      </c>
      <c r="B74" s="4096" t="s">
        <v>406</v>
      </c>
      <c r="C74" s="11" t="s">
        <v>389</v>
      </c>
      <c r="D74" s="10"/>
      <c r="E74" s="10"/>
      <c r="F74" s="10"/>
      <c r="G74" s="10"/>
      <c r="H74" s="10"/>
      <c r="I74" s="10"/>
      <c r="J74" s="10"/>
    </row>
    <row r="75" spans="1:10" x14ac:dyDescent="0.3">
      <c r="A75" s="9">
        <v>19</v>
      </c>
      <c r="B75" s="4096" t="s">
        <v>407</v>
      </c>
      <c r="C75" s="11" t="s">
        <v>389</v>
      </c>
      <c r="D75" s="10"/>
      <c r="E75" s="10"/>
      <c r="F75" s="10"/>
      <c r="G75" s="10"/>
      <c r="H75" s="10"/>
      <c r="I75" s="10"/>
      <c r="J75" s="10"/>
    </row>
    <row r="76" spans="1:10" ht="55.2" x14ac:dyDescent="0.3">
      <c r="A76" s="9">
        <v>20</v>
      </c>
      <c r="B76" s="4096" t="s">
        <v>408</v>
      </c>
      <c r="C76" s="11" t="s">
        <v>389</v>
      </c>
      <c r="D76" s="10"/>
      <c r="E76" s="10"/>
      <c r="F76" s="10"/>
      <c r="G76" s="10"/>
      <c r="H76" s="10"/>
      <c r="I76" s="10"/>
      <c r="J76" s="10"/>
    </row>
    <row r="77" spans="1:10" ht="30.6" customHeight="1" x14ac:dyDescent="0.3">
      <c r="A77" s="9">
        <v>21</v>
      </c>
      <c r="B77" s="4096" t="s">
        <v>409</v>
      </c>
      <c r="C77" s="11" t="s">
        <v>389</v>
      </c>
      <c r="D77" s="10"/>
      <c r="E77" s="10"/>
      <c r="F77" s="10"/>
      <c r="G77" s="10"/>
      <c r="H77" s="10"/>
      <c r="I77" s="10"/>
      <c r="J77" s="10"/>
    </row>
    <row r="78" spans="1:10" ht="41.4" x14ac:dyDescent="0.3">
      <c r="A78" s="9">
        <v>22</v>
      </c>
      <c r="B78" s="4106" t="s">
        <v>410</v>
      </c>
      <c r="C78" s="11" t="s">
        <v>389</v>
      </c>
      <c r="D78" s="10"/>
      <c r="E78" s="10"/>
      <c r="F78" s="10"/>
      <c r="G78" s="10"/>
      <c r="H78" s="10"/>
      <c r="I78" s="10"/>
      <c r="J78" s="10"/>
    </row>
    <row r="79" spans="1:10" ht="27.6" x14ac:dyDescent="0.3">
      <c r="A79" s="9">
        <v>23</v>
      </c>
      <c r="B79" s="4096" t="s">
        <v>411</v>
      </c>
      <c r="C79" s="11" t="s">
        <v>389</v>
      </c>
      <c r="D79" s="10"/>
      <c r="E79" s="10"/>
      <c r="F79" s="10"/>
      <c r="G79" s="10"/>
      <c r="H79" s="10"/>
      <c r="I79" s="10"/>
      <c r="J79" s="10"/>
    </row>
    <row r="80" spans="1:10" ht="27.6" x14ac:dyDescent="0.3">
      <c r="A80" s="9">
        <v>24</v>
      </c>
      <c r="B80" s="4096" t="s">
        <v>412</v>
      </c>
      <c r="C80" s="11" t="s">
        <v>389</v>
      </c>
      <c r="D80" s="10"/>
      <c r="E80" s="10"/>
      <c r="F80" s="10"/>
      <c r="G80" s="10"/>
      <c r="H80" s="10"/>
      <c r="I80" s="10"/>
      <c r="J80" s="10"/>
    </row>
    <row r="81" spans="1:10" ht="41.4" x14ac:dyDescent="0.3">
      <c r="A81" s="9">
        <v>25</v>
      </c>
      <c r="B81" s="4096" t="s">
        <v>413</v>
      </c>
      <c r="C81" s="11" t="s">
        <v>389</v>
      </c>
      <c r="D81" s="10"/>
      <c r="E81" s="10"/>
      <c r="F81" s="10"/>
      <c r="G81" s="10"/>
      <c r="H81" s="10"/>
      <c r="I81" s="10"/>
      <c r="J81" s="10"/>
    </row>
    <row r="82" spans="1:10" x14ac:dyDescent="0.3">
      <c r="A82" s="9">
        <v>26</v>
      </c>
      <c r="B82" s="4038" t="s">
        <v>414</v>
      </c>
      <c r="C82" s="11" t="s">
        <v>389</v>
      </c>
      <c r="D82" s="10"/>
      <c r="E82" s="10"/>
      <c r="F82" s="10"/>
      <c r="G82" s="10"/>
      <c r="H82" s="10"/>
      <c r="I82" s="10"/>
      <c r="J82" s="10"/>
    </row>
    <row r="83" spans="1:10" ht="69" x14ac:dyDescent="0.3">
      <c r="A83" s="9"/>
      <c r="B83" s="4038" t="s">
        <v>3857</v>
      </c>
      <c r="C83" s="11"/>
      <c r="D83" s="10"/>
      <c r="E83" s="10"/>
      <c r="F83" s="10"/>
      <c r="G83" s="10"/>
      <c r="H83" s="10"/>
      <c r="I83" s="10"/>
      <c r="J83" s="10"/>
    </row>
    <row r="84" spans="1:10" ht="82.8" x14ac:dyDescent="0.3">
      <c r="A84" s="9"/>
      <c r="B84" s="4038" t="s">
        <v>3858</v>
      </c>
      <c r="C84" s="11"/>
      <c r="D84" s="10"/>
      <c r="E84" s="10"/>
      <c r="F84" s="10"/>
      <c r="G84" s="10"/>
      <c r="H84" s="10"/>
      <c r="I84" s="10"/>
      <c r="J84" s="10"/>
    </row>
    <row r="85" spans="1:10" ht="27.6" x14ac:dyDescent="0.3">
      <c r="A85" s="9"/>
      <c r="B85" s="4096" t="s">
        <v>3859</v>
      </c>
      <c r="C85" s="11"/>
      <c r="D85" s="10"/>
      <c r="E85" s="10"/>
      <c r="F85" s="10"/>
      <c r="G85" s="10"/>
      <c r="H85" s="10"/>
      <c r="I85" s="10"/>
      <c r="J85" s="10"/>
    </row>
    <row r="86" spans="1:10" ht="41.4" x14ac:dyDescent="0.3">
      <c r="A86" s="9"/>
      <c r="B86" s="4038" t="s">
        <v>3860</v>
      </c>
      <c r="C86" s="11"/>
      <c r="D86" s="10"/>
      <c r="E86" s="10"/>
      <c r="F86" s="10"/>
      <c r="G86" s="10"/>
      <c r="H86" s="10"/>
      <c r="I86" s="10"/>
      <c r="J86" s="10"/>
    </row>
    <row r="87" spans="1:10" ht="41.4" x14ac:dyDescent="0.3">
      <c r="A87" s="9"/>
      <c r="B87" s="4038" t="s">
        <v>3861</v>
      </c>
      <c r="C87" s="11"/>
      <c r="D87" s="10"/>
      <c r="E87" s="10"/>
      <c r="F87" s="10"/>
      <c r="G87" s="10"/>
      <c r="H87" s="10"/>
      <c r="I87" s="10"/>
      <c r="J87" s="10"/>
    </row>
    <row r="88" spans="1:10" ht="41.4" x14ac:dyDescent="0.3">
      <c r="A88" s="9"/>
      <c r="B88" s="4038" t="s">
        <v>3862</v>
      </c>
      <c r="C88" s="11"/>
      <c r="D88" s="10"/>
      <c r="E88" s="10"/>
      <c r="F88" s="10"/>
      <c r="G88" s="10"/>
      <c r="H88" s="10"/>
      <c r="I88" s="10"/>
      <c r="J88" s="10"/>
    </row>
    <row r="89" spans="1:10" ht="41.4" x14ac:dyDescent="0.3">
      <c r="A89" s="9"/>
      <c r="B89" s="4038" t="s">
        <v>3863</v>
      </c>
      <c r="C89" s="11"/>
      <c r="D89" s="10"/>
      <c r="E89" s="10"/>
      <c r="F89" s="10"/>
      <c r="G89" s="10"/>
      <c r="H89" s="10"/>
      <c r="I89" s="10"/>
      <c r="J89" s="10"/>
    </row>
    <row r="90" spans="1:10" ht="55.2" x14ac:dyDescent="0.3">
      <c r="A90" s="9"/>
      <c r="B90" s="4038" t="s">
        <v>3864</v>
      </c>
      <c r="C90" s="11"/>
      <c r="D90" s="10"/>
      <c r="E90" s="10"/>
      <c r="F90" s="10"/>
      <c r="G90" s="10"/>
      <c r="H90" s="10"/>
      <c r="I90" s="10"/>
      <c r="J90" s="10"/>
    </row>
    <row r="91" spans="1:10" ht="41.4" x14ac:dyDescent="0.3">
      <c r="A91" s="9"/>
      <c r="B91" s="4038" t="s">
        <v>3865</v>
      </c>
      <c r="C91" s="11"/>
      <c r="D91" s="10"/>
      <c r="E91" s="10"/>
      <c r="F91" s="10"/>
      <c r="G91" s="10"/>
      <c r="H91" s="10"/>
      <c r="I91" s="10"/>
      <c r="J91" s="10"/>
    </row>
    <row r="92" spans="1:10" ht="69" x14ac:dyDescent="0.3">
      <c r="A92" s="9"/>
      <c r="B92" s="4096" t="s">
        <v>3866</v>
      </c>
      <c r="C92" s="11"/>
      <c r="D92" s="10"/>
      <c r="E92" s="10"/>
      <c r="F92" s="10"/>
      <c r="G92" s="10"/>
      <c r="H92" s="10"/>
      <c r="I92" s="10"/>
      <c r="J92" s="10"/>
    </row>
    <row r="93" spans="1:10" ht="55.2" x14ac:dyDescent="0.3">
      <c r="A93" s="9"/>
      <c r="B93" s="4038" t="s">
        <v>3867</v>
      </c>
      <c r="C93" s="11"/>
      <c r="D93" s="10"/>
      <c r="E93" s="10"/>
      <c r="F93" s="10"/>
      <c r="G93" s="10"/>
      <c r="H93" s="10"/>
      <c r="I93" s="10"/>
      <c r="J93" s="10"/>
    </row>
    <row r="94" spans="1:10" ht="69" x14ac:dyDescent="0.3">
      <c r="A94" s="9"/>
      <c r="B94" s="4038" t="s">
        <v>3868</v>
      </c>
      <c r="C94" s="11"/>
      <c r="D94" s="10"/>
      <c r="E94" s="10"/>
      <c r="F94" s="10"/>
      <c r="G94" s="10"/>
      <c r="H94" s="10"/>
      <c r="I94" s="10"/>
      <c r="J94" s="10"/>
    </row>
    <row r="95" spans="1:10" ht="55.2" x14ac:dyDescent="0.3">
      <c r="A95" s="9"/>
      <c r="B95" s="4038" t="s">
        <v>3869</v>
      </c>
      <c r="C95" s="11"/>
      <c r="D95" s="10"/>
      <c r="E95" s="10"/>
      <c r="F95" s="10"/>
      <c r="G95" s="10"/>
      <c r="H95" s="10"/>
      <c r="I95" s="10"/>
      <c r="J95" s="10"/>
    </row>
    <row r="96" spans="1:10" ht="69" x14ac:dyDescent="0.3">
      <c r="A96" s="9"/>
      <c r="B96" s="4038" t="s">
        <v>3870</v>
      </c>
      <c r="C96" s="11"/>
      <c r="D96" s="10"/>
      <c r="E96" s="10"/>
      <c r="F96" s="10"/>
      <c r="G96" s="10"/>
      <c r="H96" s="10"/>
      <c r="I96" s="10"/>
      <c r="J96" s="10"/>
    </row>
    <row r="97" spans="1:10" x14ac:dyDescent="0.3">
      <c r="A97" s="9"/>
      <c r="B97" s="4038"/>
      <c r="C97" s="11"/>
      <c r="D97" s="10"/>
      <c r="E97" s="10"/>
      <c r="F97" s="10"/>
      <c r="G97" s="10"/>
      <c r="H97" s="10"/>
      <c r="I97" s="10"/>
      <c r="J97" s="10"/>
    </row>
    <row r="98" spans="1:10" x14ac:dyDescent="0.3">
      <c r="A98" s="9"/>
      <c r="B98" s="4038"/>
      <c r="C98" s="11"/>
      <c r="D98" s="10"/>
      <c r="E98" s="10"/>
      <c r="F98" s="10"/>
      <c r="G98" s="10"/>
      <c r="H98" s="10"/>
      <c r="I98" s="10"/>
      <c r="J98" s="10"/>
    </row>
    <row r="99" spans="1:10" x14ac:dyDescent="0.3">
      <c r="A99" s="9"/>
      <c r="B99" s="4038"/>
      <c r="C99" s="11"/>
      <c r="D99" s="10"/>
      <c r="E99" s="10"/>
      <c r="F99" s="10"/>
      <c r="G99" s="10"/>
      <c r="H99" s="10"/>
      <c r="I99" s="10"/>
      <c r="J99" s="10"/>
    </row>
    <row r="100" spans="1:10" x14ac:dyDescent="0.3">
      <c r="A100" s="9"/>
      <c r="B100" s="4038"/>
      <c r="C100" s="11"/>
      <c r="D100" s="10"/>
      <c r="E100" s="10"/>
      <c r="F100" s="10"/>
      <c r="G100" s="10"/>
      <c r="H100" s="10"/>
      <c r="I100" s="10"/>
      <c r="J100" s="10"/>
    </row>
    <row r="101" spans="1:10" x14ac:dyDescent="0.3">
      <c r="A101" s="9"/>
      <c r="B101" s="4038"/>
      <c r="C101" s="11"/>
      <c r="D101" s="10"/>
      <c r="E101" s="10"/>
      <c r="F101" s="10"/>
      <c r="G101" s="10"/>
      <c r="H101" s="10"/>
      <c r="I101" s="10"/>
      <c r="J101" s="10"/>
    </row>
    <row r="102" spans="1:10" x14ac:dyDescent="0.3">
      <c r="A102" s="9"/>
      <c r="B102" s="4038"/>
      <c r="C102" s="11"/>
      <c r="D102" s="10"/>
      <c r="E102" s="10"/>
      <c r="F102" s="10"/>
      <c r="G102" s="10"/>
      <c r="H102" s="10"/>
      <c r="I102" s="10"/>
      <c r="J102" s="10"/>
    </row>
    <row r="103" spans="1:10" ht="27.6" x14ac:dyDescent="0.3">
      <c r="A103" s="9">
        <v>27</v>
      </c>
      <c r="B103" s="4038" t="s">
        <v>415</v>
      </c>
      <c r="C103" s="11" t="s">
        <v>389</v>
      </c>
      <c r="D103" s="10"/>
      <c r="E103" s="10"/>
      <c r="F103" s="10"/>
      <c r="G103" s="10"/>
      <c r="H103" s="10"/>
      <c r="I103" s="10"/>
      <c r="J103" s="10"/>
    </row>
    <row r="104" spans="1:10" ht="27.6" x14ac:dyDescent="0.3">
      <c r="A104" s="9">
        <v>28</v>
      </c>
      <c r="B104" s="4038" t="s">
        <v>416</v>
      </c>
      <c r="C104" s="11" t="s">
        <v>389</v>
      </c>
      <c r="D104" s="10"/>
      <c r="E104" s="10"/>
      <c r="F104" s="10"/>
      <c r="G104" s="10"/>
      <c r="H104" s="10"/>
      <c r="I104" s="10"/>
      <c r="J104" s="10"/>
    </row>
    <row r="105" spans="1:10" ht="41.4" x14ac:dyDescent="0.3">
      <c r="A105" s="9">
        <v>29</v>
      </c>
      <c r="B105" s="4038" t="s">
        <v>417</v>
      </c>
      <c r="C105" s="11" t="s">
        <v>389</v>
      </c>
      <c r="D105" s="10"/>
      <c r="E105" s="10"/>
      <c r="F105" s="10"/>
      <c r="G105" s="10"/>
      <c r="H105" s="10"/>
      <c r="I105" s="10"/>
      <c r="J105" s="10"/>
    </row>
    <row r="106" spans="1:10" ht="55.2" x14ac:dyDescent="0.3">
      <c r="A106" s="9">
        <v>30</v>
      </c>
      <c r="B106" s="4038" t="s">
        <v>418</v>
      </c>
      <c r="C106" s="11" t="s">
        <v>389</v>
      </c>
      <c r="D106" s="10"/>
      <c r="E106" s="10"/>
      <c r="F106" s="10"/>
      <c r="G106" s="10"/>
      <c r="H106" s="10"/>
      <c r="I106" s="10"/>
      <c r="J106" s="10"/>
    </row>
    <row r="107" spans="1:10" ht="56.4" customHeight="1" x14ac:dyDescent="0.3">
      <c r="A107" s="9">
        <v>31</v>
      </c>
      <c r="B107" s="4038" t="s">
        <v>419</v>
      </c>
      <c r="C107" s="11" t="s">
        <v>389</v>
      </c>
      <c r="D107" s="10"/>
      <c r="E107" s="10"/>
      <c r="F107" s="10"/>
      <c r="G107" s="10"/>
      <c r="H107" s="10"/>
      <c r="I107" s="10"/>
      <c r="J107" s="10"/>
    </row>
  </sheetData>
  <mergeCells count="6">
    <mergeCell ref="A1:C1"/>
    <mergeCell ref="A2:C2"/>
    <mergeCell ref="A3:C3"/>
    <mergeCell ref="A4:C4"/>
    <mergeCell ref="A6:C6"/>
    <mergeCell ref="A5:C5"/>
  </mergeCells>
  <hyperlinks>
    <hyperlink ref="B39" r:id="rId1" location="n29" display="http://zakon2.rada.gov.ua/laws/show/z0643-16/print - n29" xr:uid="{00000000-0004-0000-2A00-000000000000}"/>
    <hyperlink ref="B46" r:id="rId2" display="https://zakon.rada.gov.ua/laws/show/151-2010-%D0%BF" xr:uid="{00000000-0004-0000-2A00-000001000000}"/>
  </hyperlinks>
  <pageMargins left="0.7" right="0.7" top="0.75" bottom="0.75" header="0.3" footer="0.3"/>
  <pageSetup paperSize="9" orientation="portrait" horizontalDpi="0" verticalDpi="0" r:id="rId3"/>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B00-000000000000}">
  <sheetPr codeName="Лист36">
    <tabColor theme="9"/>
    <pageSetUpPr fitToPage="1"/>
  </sheetPr>
  <dimension ref="A1:J40"/>
  <sheetViews>
    <sheetView topLeftCell="A16" zoomScaleNormal="100" zoomScaleSheetLayoutView="87" workbookViewId="0">
      <selection activeCell="B26" sqref="B26"/>
    </sheetView>
  </sheetViews>
  <sheetFormatPr defaultRowHeight="14.4" x14ac:dyDescent="0.3"/>
  <cols>
    <col min="1" max="1" width="5.5546875" style="34" customWidth="1"/>
    <col min="2" max="2" width="68.5546875" customWidth="1"/>
    <col min="3" max="3" width="37" customWidth="1"/>
    <col min="4" max="4" width="22.109375" customWidth="1"/>
    <col min="5" max="5" width="27" customWidth="1"/>
  </cols>
  <sheetData>
    <row r="1" spans="1:10" s="10" customFormat="1" ht="138" customHeight="1" x14ac:dyDescent="0.25">
      <c r="A1" s="38"/>
      <c r="C1" s="54" t="s">
        <v>1018</v>
      </c>
      <c r="D1" s="56" t="s">
        <v>1019</v>
      </c>
      <c r="E1" s="94" t="s">
        <v>842</v>
      </c>
      <c r="F1" s="56"/>
      <c r="G1" s="56"/>
      <c r="H1" s="56"/>
      <c r="I1" s="56"/>
      <c r="J1" s="56"/>
    </row>
    <row r="2" spans="1:10" s="10" customFormat="1" ht="13.8" x14ac:dyDescent="0.25">
      <c r="A2" s="38"/>
      <c r="D2" s="56" t="s">
        <v>1020</v>
      </c>
      <c r="E2" s="56"/>
      <c r="F2" s="56"/>
      <c r="G2" s="56"/>
      <c r="H2" s="56"/>
      <c r="I2" s="56"/>
      <c r="J2" s="56"/>
    </row>
    <row r="3" spans="1:10" s="10" customFormat="1" x14ac:dyDescent="0.25">
      <c r="A3" s="5421" t="s">
        <v>420</v>
      </c>
      <c r="B3" s="5425"/>
      <c r="C3" s="5425"/>
    </row>
    <row r="4" spans="1:10" s="15" customFormat="1" x14ac:dyDescent="0.25">
      <c r="A4" s="5421" t="s">
        <v>421</v>
      </c>
      <c r="B4" s="5425"/>
      <c r="C4" s="5425"/>
      <c r="D4" s="10"/>
      <c r="E4" s="10"/>
      <c r="F4" s="10"/>
      <c r="G4" s="10"/>
      <c r="H4" s="10"/>
      <c r="I4" s="10"/>
      <c r="J4" s="10"/>
    </row>
    <row r="5" spans="1:10" s="15" customFormat="1" x14ac:dyDescent="0.25">
      <c r="A5" s="5421" t="s">
        <v>422</v>
      </c>
      <c r="B5" s="5425"/>
      <c r="C5" s="5425"/>
      <c r="D5" s="10"/>
      <c r="E5" s="10"/>
      <c r="F5" s="10"/>
      <c r="G5" s="10"/>
      <c r="H5" s="10"/>
      <c r="I5" s="10"/>
      <c r="J5" s="10"/>
    </row>
    <row r="6" spans="1:10" s="30" customFormat="1" x14ac:dyDescent="0.25">
      <c r="A6" s="5421" t="s">
        <v>423</v>
      </c>
      <c r="B6" s="5425"/>
      <c r="C6" s="5425"/>
      <c r="D6" s="10"/>
      <c r="E6" s="10"/>
      <c r="F6" s="10"/>
      <c r="G6" s="10"/>
      <c r="H6" s="10"/>
      <c r="I6" s="10"/>
      <c r="J6" s="10"/>
    </row>
    <row r="7" spans="1:10" s="30" customFormat="1" ht="13.8" x14ac:dyDescent="0.25">
      <c r="A7" s="55" t="s">
        <v>461</v>
      </c>
      <c r="B7" s="335" t="str">
        <f>'Вхідні дані'!F6</f>
        <v>2023-2024</v>
      </c>
      <c r="C7" s="93" t="s">
        <v>462</v>
      </c>
      <c r="D7" s="10"/>
      <c r="E7" s="10"/>
      <c r="F7" s="10"/>
      <c r="G7" s="10"/>
      <c r="H7" s="10"/>
      <c r="I7" s="10"/>
      <c r="J7" s="10"/>
    </row>
    <row r="8" spans="1:10" s="10" customFormat="1" x14ac:dyDescent="0.25">
      <c r="A8" s="5422"/>
      <c r="B8" s="5424"/>
      <c r="C8" s="5424"/>
    </row>
    <row r="9" spans="1:10" ht="31.2" x14ac:dyDescent="0.3">
      <c r="A9" s="35" t="s">
        <v>7</v>
      </c>
      <c r="B9" s="31" t="s">
        <v>386</v>
      </c>
      <c r="C9" s="31" t="s">
        <v>387</v>
      </c>
      <c r="D9" s="10"/>
      <c r="E9" s="10"/>
      <c r="F9" s="10"/>
      <c r="G9" s="10"/>
      <c r="H9" s="10"/>
      <c r="I9" s="10"/>
      <c r="J9" s="10"/>
    </row>
    <row r="10" spans="1:10" ht="15.6" x14ac:dyDescent="0.3">
      <c r="A10" s="35">
        <v>1</v>
      </c>
      <c r="B10" s="32" t="s">
        <v>388</v>
      </c>
      <c r="C10" s="32" t="s">
        <v>389</v>
      </c>
      <c r="D10" s="10"/>
      <c r="E10" s="10"/>
      <c r="F10" s="10"/>
      <c r="G10" s="10"/>
      <c r="H10" s="10"/>
      <c r="I10" s="10"/>
      <c r="J10" s="10"/>
    </row>
    <row r="11" spans="1:10" ht="31.2" x14ac:dyDescent="0.3">
      <c r="A11" s="35">
        <v>2</v>
      </c>
      <c r="B11" s="32" t="s">
        <v>390</v>
      </c>
      <c r="C11" s="32" t="s">
        <v>389</v>
      </c>
      <c r="D11" s="10"/>
      <c r="E11" s="10"/>
      <c r="F11" s="10"/>
      <c r="G11" s="10"/>
      <c r="H11" s="10"/>
      <c r="I11" s="10"/>
      <c r="J11" s="10"/>
    </row>
    <row r="12" spans="1:10" ht="15.6" x14ac:dyDescent="0.3">
      <c r="A12" s="35">
        <v>3</v>
      </c>
      <c r="B12" s="32" t="s">
        <v>391</v>
      </c>
      <c r="C12" s="32" t="s">
        <v>389</v>
      </c>
      <c r="D12" s="10"/>
      <c r="E12" s="10"/>
      <c r="F12" s="10"/>
      <c r="G12" s="10"/>
      <c r="H12" s="10"/>
      <c r="I12" s="10"/>
      <c r="J12" s="10"/>
    </row>
    <row r="13" spans="1:10" ht="31.2" x14ac:dyDescent="0.3">
      <c r="A13" s="35">
        <v>4</v>
      </c>
      <c r="B13" s="32" t="s">
        <v>392</v>
      </c>
      <c r="C13" s="32" t="s">
        <v>389</v>
      </c>
      <c r="D13" s="10"/>
      <c r="E13" s="10"/>
      <c r="F13" s="10"/>
      <c r="G13" s="10"/>
      <c r="H13" s="10"/>
      <c r="I13" s="10"/>
      <c r="J13" s="10"/>
    </row>
    <row r="14" spans="1:10" ht="15.6" x14ac:dyDescent="0.3">
      <c r="A14" s="35">
        <v>5</v>
      </c>
      <c r="B14" s="32" t="s">
        <v>393</v>
      </c>
      <c r="C14" s="32" t="s">
        <v>389</v>
      </c>
      <c r="D14" s="10"/>
      <c r="E14" s="10"/>
      <c r="F14" s="10"/>
      <c r="G14" s="10"/>
      <c r="H14" s="10"/>
      <c r="I14" s="10"/>
      <c r="J14" s="10"/>
    </row>
    <row r="15" spans="1:10" ht="18" customHeight="1" x14ac:dyDescent="0.3">
      <c r="A15" s="35">
        <v>6</v>
      </c>
      <c r="B15" s="32" t="s">
        <v>394</v>
      </c>
      <c r="C15" s="32" t="s">
        <v>389</v>
      </c>
      <c r="D15" s="10"/>
      <c r="E15" s="10"/>
      <c r="F15" s="10"/>
      <c r="G15" s="10"/>
      <c r="H15" s="10"/>
      <c r="I15" s="10"/>
      <c r="J15" s="10"/>
    </row>
    <row r="16" spans="1:10" ht="15.6" x14ac:dyDescent="0.3">
      <c r="A16" s="35">
        <v>7</v>
      </c>
      <c r="B16" s="32" t="s">
        <v>395</v>
      </c>
      <c r="C16" s="32" t="s">
        <v>389</v>
      </c>
      <c r="D16" s="10"/>
      <c r="E16" s="10"/>
      <c r="F16" s="10"/>
      <c r="G16" s="10"/>
      <c r="H16" s="10"/>
      <c r="I16" s="10"/>
      <c r="J16" s="10"/>
    </row>
    <row r="17" spans="1:10" ht="46.8" x14ac:dyDescent="0.3">
      <c r="A17" s="35">
        <v>8</v>
      </c>
      <c r="B17" s="33" t="s">
        <v>396</v>
      </c>
      <c r="C17" s="32" t="s">
        <v>389</v>
      </c>
      <c r="D17" s="10"/>
      <c r="E17" s="10"/>
      <c r="F17" s="10"/>
      <c r="G17" s="10"/>
      <c r="H17" s="10"/>
      <c r="I17" s="10"/>
      <c r="J17" s="10"/>
    </row>
    <row r="18" spans="1:10" ht="31.2" x14ac:dyDescent="0.3">
      <c r="A18" s="35">
        <v>9</v>
      </c>
      <c r="B18" s="33" t="s">
        <v>397</v>
      </c>
      <c r="C18" s="32" t="s">
        <v>389</v>
      </c>
      <c r="D18" s="10"/>
      <c r="E18" s="10"/>
      <c r="F18" s="10"/>
      <c r="G18" s="10"/>
      <c r="H18" s="10"/>
      <c r="I18" s="10"/>
      <c r="J18" s="10"/>
    </row>
    <row r="19" spans="1:10" ht="62.4" x14ac:dyDescent="0.3">
      <c r="A19" s="35">
        <v>10</v>
      </c>
      <c r="B19" s="33" t="s">
        <v>398</v>
      </c>
      <c r="C19" s="32" t="s">
        <v>389</v>
      </c>
      <c r="D19" s="10"/>
      <c r="E19" s="10"/>
      <c r="F19" s="10"/>
      <c r="G19" s="10"/>
      <c r="H19" s="10"/>
      <c r="I19" s="10"/>
      <c r="J19" s="10"/>
    </row>
    <row r="20" spans="1:10" ht="31.2" x14ac:dyDescent="0.3">
      <c r="A20" s="35">
        <v>11</v>
      </c>
      <c r="B20" s="33" t="s">
        <v>399</v>
      </c>
      <c r="C20" s="32" t="s">
        <v>389</v>
      </c>
      <c r="D20" s="10"/>
      <c r="E20" s="10"/>
      <c r="F20" s="10"/>
      <c r="G20" s="10"/>
      <c r="H20" s="10"/>
      <c r="I20" s="10"/>
      <c r="J20" s="10"/>
    </row>
    <row r="21" spans="1:10" ht="31.2" x14ac:dyDescent="0.3">
      <c r="A21" s="35">
        <v>12</v>
      </c>
      <c r="B21" s="33" t="s">
        <v>400</v>
      </c>
      <c r="C21" s="33" t="s">
        <v>389</v>
      </c>
      <c r="D21" s="10"/>
      <c r="E21" s="10"/>
      <c r="F21" s="10"/>
      <c r="G21" s="10"/>
      <c r="H21" s="10"/>
      <c r="I21" s="10"/>
      <c r="J21" s="10"/>
    </row>
    <row r="22" spans="1:10" ht="101.25" customHeight="1" x14ac:dyDescent="0.3">
      <c r="A22" s="35">
        <v>13</v>
      </c>
      <c r="B22" s="33" t="s">
        <v>401</v>
      </c>
      <c r="C22" s="33" t="s">
        <v>389</v>
      </c>
      <c r="D22" s="10"/>
      <c r="E22" s="10"/>
      <c r="F22" s="10"/>
      <c r="G22" s="10"/>
      <c r="H22" s="10"/>
      <c r="I22" s="10"/>
      <c r="J22" s="10"/>
    </row>
    <row r="23" spans="1:10" ht="46.8" x14ac:dyDescent="0.3">
      <c r="A23" s="35">
        <v>14</v>
      </c>
      <c r="B23" s="92" t="s">
        <v>402</v>
      </c>
      <c r="C23" s="32" t="s">
        <v>389</v>
      </c>
      <c r="D23" s="10"/>
      <c r="E23" s="10"/>
      <c r="F23" s="10"/>
      <c r="G23" s="10"/>
      <c r="H23" s="10"/>
      <c r="I23" s="10"/>
      <c r="J23" s="10"/>
    </row>
    <row r="24" spans="1:10" ht="31.2" x14ac:dyDescent="0.3">
      <c r="A24" s="35">
        <v>15</v>
      </c>
      <c r="B24" s="33" t="s">
        <v>403</v>
      </c>
      <c r="C24" s="32">
        <f>SUM(C25:C35)</f>
        <v>0</v>
      </c>
      <c r="D24" s="10"/>
      <c r="E24" s="10"/>
      <c r="F24" s="10"/>
      <c r="G24" s="10"/>
      <c r="H24" s="10"/>
      <c r="I24" s="10"/>
      <c r="J24" s="10"/>
    </row>
    <row r="25" spans="1:10" ht="31.2" x14ac:dyDescent="0.3">
      <c r="A25" s="35">
        <v>16</v>
      </c>
      <c r="B25" s="33" t="s">
        <v>404</v>
      </c>
      <c r="C25" s="8" t="s">
        <v>389</v>
      </c>
      <c r="D25" s="10"/>
      <c r="E25" s="10"/>
      <c r="F25" s="10"/>
      <c r="G25" s="10"/>
      <c r="H25" s="10"/>
      <c r="I25" s="10"/>
      <c r="J25" s="10"/>
    </row>
    <row r="26" spans="1:10" ht="46.8" x14ac:dyDescent="0.3">
      <c r="A26" s="35">
        <v>17</v>
      </c>
      <c r="B26" s="33" t="s">
        <v>405</v>
      </c>
      <c r="C26" s="32" t="s">
        <v>389</v>
      </c>
      <c r="D26" s="10"/>
      <c r="E26" s="10"/>
      <c r="F26" s="10"/>
      <c r="G26" s="10"/>
      <c r="H26" s="10"/>
      <c r="I26" s="10"/>
      <c r="J26" s="10"/>
    </row>
    <row r="27" spans="1:10" ht="19.5" customHeight="1" x14ac:dyDescent="0.3">
      <c r="A27" s="35">
        <v>18</v>
      </c>
      <c r="B27" s="32" t="s">
        <v>406</v>
      </c>
      <c r="C27" s="32" t="s">
        <v>389</v>
      </c>
      <c r="D27" s="10"/>
      <c r="E27" s="10"/>
      <c r="F27" s="10"/>
      <c r="G27" s="10"/>
      <c r="H27" s="10"/>
      <c r="I27" s="10"/>
      <c r="J27" s="10"/>
    </row>
    <row r="28" spans="1:10" ht="31.2" x14ac:dyDescent="0.3">
      <c r="A28" s="35">
        <v>19</v>
      </c>
      <c r="B28" s="33" t="s">
        <v>407</v>
      </c>
      <c r="C28" s="32" t="s">
        <v>389</v>
      </c>
      <c r="D28" s="10"/>
      <c r="E28" s="10"/>
      <c r="F28" s="10"/>
      <c r="G28" s="10"/>
      <c r="H28" s="10"/>
      <c r="I28" s="10"/>
      <c r="J28" s="10"/>
    </row>
    <row r="29" spans="1:10" ht="62.4" x14ac:dyDescent="0.3">
      <c r="A29" s="35">
        <v>20</v>
      </c>
      <c r="B29" s="33" t="s">
        <v>408</v>
      </c>
      <c r="C29" s="32" t="s">
        <v>389</v>
      </c>
      <c r="D29" s="10"/>
      <c r="E29" s="10"/>
      <c r="F29" s="10"/>
      <c r="G29" s="10"/>
      <c r="H29" s="10"/>
      <c r="I29" s="10"/>
      <c r="J29" s="10"/>
    </row>
    <row r="30" spans="1:10" ht="38.25" customHeight="1" x14ac:dyDescent="0.3">
      <c r="A30" s="35">
        <v>21</v>
      </c>
      <c r="B30" s="33" t="s">
        <v>409</v>
      </c>
      <c r="C30" s="32" t="s">
        <v>389</v>
      </c>
      <c r="D30" s="10"/>
      <c r="E30" s="10"/>
      <c r="F30" s="10"/>
      <c r="G30" s="10"/>
      <c r="H30" s="10"/>
      <c r="I30" s="10"/>
      <c r="J30" s="10"/>
    </row>
    <row r="31" spans="1:10" ht="46.8" x14ac:dyDescent="0.3">
      <c r="A31" s="35">
        <v>22</v>
      </c>
      <c r="B31" s="33" t="s">
        <v>410</v>
      </c>
      <c r="C31" s="32" t="s">
        <v>389</v>
      </c>
      <c r="D31" s="10"/>
      <c r="E31" s="10"/>
      <c r="F31" s="10"/>
      <c r="G31" s="10"/>
      <c r="H31" s="10"/>
      <c r="I31" s="10"/>
      <c r="J31" s="10"/>
    </row>
    <row r="32" spans="1:10" ht="31.2" x14ac:dyDescent="0.3">
      <c r="A32" s="35">
        <v>23</v>
      </c>
      <c r="B32" s="33" t="s">
        <v>411</v>
      </c>
      <c r="C32" s="32" t="s">
        <v>389</v>
      </c>
      <c r="D32" s="10"/>
      <c r="E32" s="10"/>
      <c r="F32" s="10"/>
      <c r="G32" s="10"/>
      <c r="H32" s="10"/>
      <c r="I32" s="10"/>
      <c r="J32" s="10"/>
    </row>
    <row r="33" spans="1:10" ht="31.2" x14ac:dyDescent="0.3">
      <c r="A33" s="35">
        <v>24</v>
      </c>
      <c r="B33" s="33" t="s">
        <v>412</v>
      </c>
      <c r="C33" s="32" t="s">
        <v>389</v>
      </c>
      <c r="D33" s="10"/>
      <c r="E33" s="10"/>
      <c r="F33" s="10"/>
      <c r="G33" s="10"/>
      <c r="H33" s="10"/>
      <c r="I33" s="10"/>
      <c r="J33" s="10"/>
    </row>
    <row r="34" spans="1:10" ht="62.4" x14ac:dyDescent="0.3">
      <c r="A34" s="35">
        <v>25</v>
      </c>
      <c r="B34" s="33" t="s">
        <v>413</v>
      </c>
      <c r="C34" s="32" t="s">
        <v>389</v>
      </c>
      <c r="D34" s="10"/>
      <c r="E34" s="10"/>
      <c r="F34" s="10"/>
      <c r="G34" s="10"/>
      <c r="H34" s="10"/>
      <c r="I34" s="10"/>
      <c r="J34" s="10"/>
    </row>
    <row r="35" spans="1:10" ht="15.6" x14ac:dyDescent="0.3">
      <c r="A35" s="35">
        <v>26</v>
      </c>
      <c r="B35" s="33" t="s">
        <v>414</v>
      </c>
      <c r="C35" s="32" t="s">
        <v>389</v>
      </c>
      <c r="D35" s="10"/>
      <c r="E35" s="10"/>
      <c r="F35" s="10"/>
      <c r="G35" s="10"/>
      <c r="H35" s="10"/>
      <c r="I35" s="10"/>
      <c r="J35" s="10"/>
    </row>
    <row r="36" spans="1:10" ht="31.2" x14ac:dyDescent="0.3">
      <c r="A36" s="35">
        <v>27</v>
      </c>
      <c r="B36" s="32" t="s">
        <v>415</v>
      </c>
      <c r="C36" s="32" t="s">
        <v>389</v>
      </c>
      <c r="D36" s="10"/>
      <c r="E36" s="10"/>
      <c r="F36" s="10"/>
      <c r="G36" s="10"/>
      <c r="H36" s="10"/>
      <c r="I36" s="10"/>
      <c r="J36" s="10"/>
    </row>
    <row r="37" spans="1:10" ht="31.2" x14ac:dyDescent="0.3">
      <c r="A37" s="35">
        <v>28</v>
      </c>
      <c r="B37" s="33" t="s">
        <v>416</v>
      </c>
      <c r="C37" s="32" t="s">
        <v>389</v>
      </c>
      <c r="D37" s="10"/>
      <c r="E37" s="10"/>
      <c r="F37" s="10"/>
      <c r="G37" s="10"/>
      <c r="H37" s="10"/>
      <c r="I37" s="10"/>
      <c r="J37" s="10"/>
    </row>
    <row r="38" spans="1:10" ht="46.8" x14ac:dyDescent="0.3">
      <c r="A38" s="35">
        <v>29</v>
      </c>
      <c r="B38" s="33" t="s">
        <v>417</v>
      </c>
      <c r="C38" s="32" t="s">
        <v>389</v>
      </c>
      <c r="D38" s="10"/>
      <c r="E38" s="10"/>
      <c r="F38" s="10"/>
      <c r="G38" s="10"/>
      <c r="H38" s="10"/>
      <c r="I38" s="10"/>
      <c r="J38" s="10"/>
    </row>
    <row r="39" spans="1:10" ht="78" x14ac:dyDescent="0.3">
      <c r="A39" s="35">
        <v>30</v>
      </c>
      <c r="B39" s="33" t="s">
        <v>418</v>
      </c>
      <c r="C39" s="32" t="s">
        <v>389</v>
      </c>
      <c r="D39" s="10"/>
      <c r="E39" s="10"/>
      <c r="F39" s="10"/>
      <c r="G39" s="10"/>
      <c r="H39" s="10"/>
      <c r="I39" s="10"/>
      <c r="J39" s="10"/>
    </row>
    <row r="40" spans="1:10" ht="78" x14ac:dyDescent="0.3">
      <c r="A40" s="35">
        <v>31</v>
      </c>
      <c r="B40" s="33" t="s">
        <v>419</v>
      </c>
      <c r="C40" s="32" t="s">
        <v>389</v>
      </c>
      <c r="D40" s="10"/>
      <c r="E40" s="10"/>
      <c r="F40" s="10"/>
      <c r="G40" s="10"/>
      <c r="H40" s="10"/>
      <c r="I40" s="10"/>
      <c r="J40" s="10"/>
    </row>
  </sheetData>
  <mergeCells count="5">
    <mergeCell ref="A8:C8"/>
    <mergeCell ref="A5:C5"/>
    <mergeCell ref="A3:C3"/>
    <mergeCell ref="A4:C4"/>
    <mergeCell ref="A6:C6"/>
  </mergeCells>
  <hyperlinks>
    <hyperlink ref="B24" r:id="rId1" location="n29" display="http://zakon2.rada.gov.ua/laws/show/z0643-16/print - n29" xr:uid="{00000000-0004-0000-2B00-000000000000}"/>
  </hyperlinks>
  <pageMargins left="0.70866141732283472" right="0.70866141732283472" top="0.74803149606299213" bottom="0.74803149606299213" header="0.31496062992125984" footer="0.31496062992125984"/>
  <pageSetup paperSize="9" scale="78" fitToHeight="2" orientation="portrait" horizontalDpi="1200" r:id="rId2"/>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C00-000000000000}">
  <sheetPr codeName="Лист37">
    <tabColor rgb="FFFF7C80"/>
  </sheetPr>
  <dimension ref="A1:CX172"/>
  <sheetViews>
    <sheetView zoomScale="85" zoomScaleNormal="85" workbookViewId="0">
      <pane xSplit="2" ySplit="12" topLeftCell="C58" activePane="bottomRight" state="frozen"/>
      <selection pane="topRight" activeCell="C1" sqref="C1"/>
      <selection pane="bottomLeft" activeCell="A13" sqref="A13"/>
      <selection pane="bottomRight" activeCell="N61" sqref="N61"/>
    </sheetView>
  </sheetViews>
  <sheetFormatPr defaultColWidth="9.109375" defaultRowHeight="13.8" x14ac:dyDescent="0.25"/>
  <cols>
    <col min="1" max="1" width="5.6640625" style="10" customWidth="1"/>
    <col min="2" max="2" width="39" style="10" customWidth="1"/>
    <col min="3" max="3" width="14.109375" style="10" bestFit="1" customWidth="1"/>
    <col min="4" max="6" width="14.6640625" style="10" bestFit="1" customWidth="1"/>
    <col min="7" max="7" width="12.44140625" style="10" customWidth="1"/>
    <col min="8" max="8" width="12.6640625" style="10" bestFit="1" customWidth="1"/>
    <col min="9" max="10" width="14.6640625" style="10" bestFit="1" customWidth="1"/>
    <col min="11" max="11" width="14.5546875" style="2239" customWidth="1"/>
    <col min="12" max="12" width="15.6640625" style="10" customWidth="1"/>
    <col min="13" max="13" width="18.88671875" style="10" customWidth="1"/>
    <col min="14" max="14" width="12.33203125" style="10" customWidth="1"/>
    <col min="15" max="16384" width="9.109375" style="10"/>
  </cols>
  <sheetData>
    <row r="1" spans="1:14" ht="17.399999999999999" x14ac:dyDescent="0.3">
      <c r="B1" s="891" t="s">
        <v>1902</v>
      </c>
    </row>
    <row r="3" spans="1:14" ht="14.4" thickBot="1" x14ac:dyDescent="0.3">
      <c r="B3" s="426"/>
      <c r="C3" s="426"/>
      <c r="D3" s="426"/>
      <c r="E3" s="426"/>
      <c r="F3" s="426"/>
      <c r="G3" s="426"/>
      <c r="H3" s="426"/>
      <c r="I3" s="426"/>
      <c r="J3" s="426"/>
    </row>
    <row r="4" spans="1:14" ht="14.4" thickBot="1" x14ac:dyDescent="0.3">
      <c r="B4" s="250" t="s">
        <v>8</v>
      </c>
      <c r="C4" s="76" t="s">
        <v>503</v>
      </c>
      <c r="D4" s="2310" t="s">
        <v>19</v>
      </c>
      <c r="E4" s="2311" t="s">
        <v>20</v>
      </c>
      <c r="F4" s="2312" t="s">
        <v>21</v>
      </c>
      <c r="G4" s="2310" t="s">
        <v>10</v>
      </c>
      <c r="H4" s="2311" t="s">
        <v>11</v>
      </c>
      <c r="I4" s="2311" t="s">
        <v>502</v>
      </c>
      <c r="J4" s="2311" t="s">
        <v>13</v>
      </c>
      <c r="K4" s="247"/>
    </row>
    <row r="5" spans="1:14" ht="28.2" x14ac:dyDescent="0.3">
      <c r="A5" s="693" t="s">
        <v>492</v>
      </c>
      <c r="B5" s="251" t="s">
        <v>2410</v>
      </c>
      <c r="C5" s="72">
        <f>'Вхідні дані'!D69</f>
        <v>18</v>
      </c>
      <c r="D5" s="72">
        <f>C5</f>
        <v>18</v>
      </c>
      <c r="E5" s="72">
        <f t="shared" ref="E5:J5" si="0">D5</f>
        <v>18</v>
      </c>
      <c r="F5" s="72">
        <f t="shared" si="0"/>
        <v>18</v>
      </c>
      <c r="G5" s="72">
        <f t="shared" si="0"/>
        <v>18</v>
      </c>
      <c r="H5" s="72">
        <f t="shared" si="0"/>
        <v>18</v>
      </c>
      <c r="I5" s="72">
        <f t="shared" si="0"/>
        <v>18</v>
      </c>
      <c r="J5" s="75">
        <f t="shared" si="0"/>
        <v>18</v>
      </c>
      <c r="K5" s="2240"/>
    </row>
    <row r="6" spans="1:14" ht="28.2" x14ac:dyDescent="0.3">
      <c r="A6" s="693" t="s">
        <v>492</v>
      </c>
      <c r="B6" s="251" t="s">
        <v>2411</v>
      </c>
      <c r="C6" s="72">
        <v>16</v>
      </c>
      <c r="D6" s="72">
        <f>C6</f>
        <v>16</v>
      </c>
      <c r="E6" s="72">
        <f t="shared" ref="E6:J6" si="1">D6</f>
        <v>16</v>
      </c>
      <c r="F6" s="72">
        <f t="shared" si="1"/>
        <v>16</v>
      </c>
      <c r="G6" s="72">
        <f t="shared" si="1"/>
        <v>16</v>
      </c>
      <c r="H6" s="72">
        <f t="shared" si="1"/>
        <v>16</v>
      </c>
      <c r="I6" s="72">
        <f t="shared" si="1"/>
        <v>16</v>
      </c>
      <c r="J6" s="75">
        <f t="shared" si="1"/>
        <v>16</v>
      </c>
      <c r="K6" s="2240"/>
    </row>
    <row r="7" spans="1:14" ht="31.5" customHeight="1" x14ac:dyDescent="0.3">
      <c r="A7" s="693" t="s">
        <v>493</v>
      </c>
      <c r="B7" s="251" t="s">
        <v>2412</v>
      </c>
      <c r="C7" s="72">
        <f>'Вхідні дані'!D57</f>
        <v>-18</v>
      </c>
      <c r="D7" s="72">
        <f>C7</f>
        <v>-18</v>
      </c>
      <c r="E7" s="72">
        <f t="shared" ref="E7:J7" si="2">D7</f>
        <v>-18</v>
      </c>
      <c r="F7" s="72">
        <f t="shared" si="2"/>
        <v>-18</v>
      </c>
      <c r="G7" s="72">
        <f t="shared" si="2"/>
        <v>-18</v>
      </c>
      <c r="H7" s="72">
        <f t="shared" si="2"/>
        <v>-18</v>
      </c>
      <c r="I7" s="72">
        <f t="shared" si="2"/>
        <v>-18</v>
      </c>
      <c r="J7" s="75">
        <f t="shared" si="2"/>
        <v>-18</v>
      </c>
      <c r="K7" s="2241"/>
    </row>
    <row r="8" spans="1:14" ht="32.25" customHeight="1" x14ac:dyDescent="0.3">
      <c r="A8" s="693" t="s">
        <v>494</v>
      </c>
      <c r="B8" s="251" t="s">
        <v>2413</v>
      </c>
      <c r="C8" s="73">
        <v>4.1078884563758402</v>
      </c>
      <c r="D8" s="73"/>
      <c r="E8" s="73">
        <v>7.0474576271186429</v>
      </c>
      <c r="F8" s="73">
        <v>3.7600000000000002</v>
      </c>
      <c r="G8" s="73">
        <v>1.58</v>
      </c>
      <c r="H8" s="73">
        <v>2.9914893617021274</v>
      </c>
      <c r="I8" s="73">
        <v>5.4142857142857137</v>
      </c>
      <c r="J8" s="73">
        <v>7.4619047619047612</v>
      </c>
      <c r="K8" s="2240"/>
    </row>
    <row r="9" spans="1:14" ht="15" customHeight="1" x14ac:dyDescent="0.25">
      <c r="B9" s="251" t="s">
        <v>495</v>
      </c>
      <c r="C9" s="71">
        <v>24</v>
      </c>
      <c r="D9" s="71">
        <f>C9</f>
        <v>24</v>
      </c>
      <c r="E9" s="71">
        <f t="shared" ref="E9:J9" si="3">D9</f>
        <v>24</v>
      </c>
      <c r="F9" s="71">
        <f t="shared" si="3"/>
        <v>24</v>
      </c>
      <c r="G9" s="71">
        <f t="shared" si="3"/>
        <v>24</v>
      </c>
      <c r="H9" s="71">
        <f t="shared" si="3"/>
        <v>24</v>
      </c>
      <c r="I9" s="71">
        <f t="shared" si="3"/>
        <v>24</v>
      </c>
      <c r="J9" s="74">
        <f t="shared" si="3"/>
        <v>24</v>
      </c>
      <c r="K9" s="2240"/>
    </row>
    <row r="10" spans="1:14" x14ac:dyDescent="0.25">
      <c r="A10" s="693" t="s">
        <v>497</v>
      </c>
      <c r="B10" s="251" t="s">
        <v>529</v>
      </c>
      <c r="C10" s="72">
        <f>SUM(D10:J10)</f>
        <v>149</v>
      </c>
      <c r="D10" s="72">
        <v>0</v>
      </c>
      <c r="E10" s="72">
        <v>23</v>
      </c>
      <c r="F10" s="72">
        <v>31</v>
      </c>
      <c r="G10" s="72">
        <v>31</v>
      </c>
      <c r="H10" s="72">
        <v>29</v>
      </c>
      <c r="I10" s="72">
        <v>31</v>
      </c>
      <c r="J10" s="75">
        <v>4</v>
      </c>
      <c r="K10" s="2240"/>
    </row>
    <row r="11" spans="1:14" ht="28.2" x14ac:dyDescent="0.3">
      <c r="B11" s="252" t="s">
        <v>2414</v>
      </c>
      <c r="C11" s="3577">
        <f>((C6-C8)/(C6-C7))*C9*C10</f>
        <v>1250.7703200000001</v>
      </c>
      <c r="D11" s="73">
        <f>((D6-D8)/(D6-D7))*D9*D10</f>
        <v>0</v>
      </c>
      <c r="E11" s="3403">
        <f t="shared" ref="E11:J11" si="4">((E6-E8)/(E6-E7))*E9*E10</f>
        <v>145.34715852442676</v>
      </c>
      <c r="F11" s="3403">
        <f t="shared" si="4"/>
        <v>267.84000000000003</v>
      </c>
      <c r="G11" s="3403">
        <f t="shared" si="4"/>
        <v>315.54352941176472</v>
      </c>
      <c r="H11" s="3403">
        <f t="shared" si="4"/>
        <v>266.29186483103882</v>
      </c>
      <c r="I11" s="3403">
        <f t="shared" si="4"/>
        <v>231.64033613445378</v>
      </c>
      <c r="J11" s="3404">
        <f t="shared" si="4"/>
        <v>24.107563025210084</v>
      </c>
      <c r="K11" s="2240"/>
    </row>
    <row r="12" spans="1:14" ht="28.2" x14ac:dyDescent="0.3">
      <c r="B12" s="252" t="s">
        <v>2409</v>
      </c>
      <c r="C12" s="3403">
        <f t="shared" ref="C12:J12" si="5">((C5-C8)/(C5-C7))*C9*C10</f>
        <v>1379.9497466666667</v>
      </c>
      <c r="D12" s="73">
        <f t="shared" si="5"/>
        <v>0</v>
      </c>
      <c r="E12" s="3403">
        <f t="shared" si="5"/>
        <v>167.93898305084747</v>
      </c>
      <c r="F12" s="3403">
        <f t="shared" si="5"/>
        <v>294.29333333333329</v>
      </c>
      <c r="G12" s="3403">
        <f t="shared" si="5"/>
        <v>339.34666666666669</v>
      </c>
      <c r="H12" s="3403">
        <f t="shared" si="5"/>
        <v>290.16453900709223</v>
      </c>
      <c r="I12" s="3403">
        <f t="shared" si="5"/>
        <v>260.10476190476186</v>
      </c>
      <c r="J12" s="3404">
        <f t="shared" si="5"/>
        <v>28.101587301587301</v>
      </c>
      <c r="K12" s="2240"/>
    </row>
    <row r="13" spans="1:14" ht="14.4" thickBot="1" x14ac:dyDescent="0.3">
      <c r="B13" s="253"/>
      <c r="C13" s="199"/>
      <c r="D13" s="199"/>
      <c r="E13" s="82"/>
      <c r="F13" s="82"/>
      <c r="G13" s="82"/>
      <c r="H13" s="82"/>
      <c r="I13" s="82"/>
      <c r="J13" s="83"/>
      <c r="K13" s="2242"/>
    </row>
    <row r="14" spans="1:14" s="15" customFormat="1" ht="41.4" x14ac:dyDescent="0.25">
      <c r="B14" s="258" t="s">
        <v>530</v>
      </c>
      <c r="C14" s="3509">
        <f t="shared" ref="C14:J14" si="6">C15+C23+C30+C38+C45+C52</f>
        <v>71.584444517062138</v>
      </c>
      <c r="D14" s="259">
        <f t="shared" si="6"/>
        <v>71.584444517062138</v>
      </c>
      <c r="E14" s="259">
        <f t="shared" si="6"/>
        <v>71.584444517062138</v>
      </c>
      <c r="F14" s="259">
        <f t="shared" si="6"/>
        <v>71.584444517062138</v>
      </c>
      <c r="G14" s="259">
        <f t="shared" si="6"/>
        <v>71.584444517062138</v>
      </c>
      <c r="H14" s="259">
        <f t="shared" si="6"/>
        <v>71.584444517062138</v>
      </c>
      <c r="I14" s="259">
        <f t="shared" si="6"/>
        <v>71.584444517062138</v>
      </c>
      <c r="J14" s="260">
        <f t="shared" si="6"/>
        <v>71.584444517062138</v>
      </c>
      <c r="K14" s="3508">
        <v>71.708878517062132</v>
      </c>
      <c r="L14" s="3510">
        <f>K14-C14</f>
        <v>0.12443399999999372</v>
      </c>
    </row>
    <row r="15" spans="1:14" s="15" customFormat="1" ht="28.2" x14ac:dyDescent="0.3">
      <c r="A15" s="705"/>
      <c r="B15" s="261" t="s">
        <v>650</v>
      </c>
      <c r="C15" s="262">
        <f>C16+C19</f>
        <v>49.859813167062136</v>
      </c>
      <c r="D15" s="262">
        <f t="shared" ref="D15:J15" si="7">D16+D19</f>
        <v>49.859813167062136</v>
      </c>
      <c r="E15" s="262">
        <f t="shared" si="7"/>
        <v>49.859813167062136</v>
      </c>
      <c r="F15" s="262">
        <f t="shared" si="7"/>
        <v>49.859813167062136</v>
      </c>
      <c r="G15" s="262">
        <f t="shared" si="7"/>
        <v>49.859813167062136</v>
      </c>
      <c r="H15" s="262">
        <f t="shared" si="7"/>
        <v>49.859813167062136</v>
      </c>
      <c r="I15" s="262">
        <f t="shared" si="7"/>
        <v>49.859813167062136</v>
      </c>
      <c r="J15" s="263">
        <f t="shared" si="7"/>
        <v>49.859813167062136</v>
      </c>
      <c r="K15" s="314">
        <v>49.859813167062136</v>
      </c>
      <c r="L15" s="3510">
        <f t="shared" ref="L15:L59" si="8">K15-C15</f>
        <v>0</v>
      </c>
      <c r="N15" s="271"/>
    </row>
    <row r="16" spans="1:14" s="15" customFormat="1" x14ac:dyDescent="0.25">
      <c r="B16" s="205" t="s">
        <v>642</v>
      </c>
      <c r="C16" s="264">
        <f>C17</f>
        <v>8.2398431070000004</v>
      </c>
      <c r="D16" s="264">
        <f t="shared" ref="D16:J16" si="9">D17</f>
        <v>8.2398431070000004</v>
      </c>
      <c r="E16" s="264">
        <f t="shared" si="9"/>
        <v>8.2398431070000004</v>
      </c>
      <c r="F16" s="264">
        <f t="shared" si="9"/>
        <v>8.2398431070000004</v>
      </c>
      <c r="G16" s="264">
        <f t="shared" si="9"/>
        <v>8.2398431070000004</v>
      </c>
      <c r="H16" s="264">
        <f t="shared" si="9"/>
        <v>8.2398431070000004</v>
      </c>
      <c r="I16" s="264">
        <f t="shared" si="9"/>
        <v>8.2398431070000004</v>
      </c>
      <c r="J16" s="265">
        <f t="shared" si="9"/>
        <v>8.2398431070000004</v>
      </c>
      <c r="K16" s="2243">
        <v>8.2398431070000004</v>
      </c>
      <c r="L16" s="3510">
        <f t="shared" si="8"/>
        <v>0</v>
      </c>
    </row>
    <row r="17" spans="1:102" s="15" customFormat="1" x14ac:dyDescent="0.25">
      <c r="B17" s="203" t="s">
        <v>646</v>
      </c>
      <c r="C17" s="3459">
        <v>8.2398431070000004</v>
      </c>
      <c r="D17" s="267">
        <f>C17</f>
        <v>8.2398431070000004</v>
      </c>
      <c r="E17" s="267">
        <f t="shared" ref="E17:J17" si="10">D17</f>
        <v>8.2398431070000004</v>
      </c>
      <c r="F17" s="267">
        <f t="shared" si="10"/>
        <v>8.2398431070000004</v>
      </c>
      <c r="G17" s="267">
        <f t="shared" si="10"/>
        <v>8.2398431070000004</v>
      </c>
      <c r="H17" s="267">
        <f t="shared" si="10"/>
        <v>8.2398431070000004</v>
      </c>
      <c r="I17" s="267">
        <f t="shared" si="10"/>
        <v>8.2398431070000004</v>
      </c>
      <c r="J17" s="268">
        <f t="shared" si="10"/>
        <v>8.2398431070000004</v>
      </c>
      <c r="K17" s="2243">
        <v>8.2382527089924107</v>
      </c>
      <c r="L17" s="3510">
        <f t="shared" si="8"/>
        <v>-1.590398007589755E-3</v>
      </c>
    </row>
    <row r="18" spans="1:102" s="15" customFormat="1" x14ac:dyDescent="0.25">
      <c r="B18" s="246" t="s">
        <v>652</v>
      </c>
      <c r="C18" s="313">
        <v>1.5903980075903173E-3</v>
      </c>
      <c r="D18" s="267">
        <f>C18</f>
        <v>1.5903980075903173E-3</v>
      </c>
      <c r="E18" s="267">
        <f t="shared" ref="E18:J18" si="11">D18</f>
        <v>1.5903980075903173E-3</v>
      </c>
      <c r="F18" s="267">
        <f t="shared" si="11"/>
        <v>1.5903980075903173E-3</v>
      </c>
      <c r="G18" s="267">
        <f t="shared" si="11"/>
        <v>1.5903980075903173E-3</v>
      </c>
      <c r="H18" s="267">
        <f t="shared" si="11"/>
        <v>1.5903980075903173E-3</v>
      </c>
      <c r="I18" s="267">
        <f t="shared" si="11"/>
        <v>1.5903980075903173E-3</v>
      </c>
      <c r="J18" s="268">
        <f t="shared" si="11"/>
        <v>1.5903980075903173E-3</v>
      </c>
      <c r="K18" s="255">
        <v>1.5903980075903173E-3</v>
      </c>
      <c r="L18" s="3510">
        <f t="shared" si="8"/>
        <v>0</v>
      </c>
    </row>
    <row r="19" spans="1:102" s="15" customFormat="1" x14ac:dyDescent="0.25">
      <c r="B19" s="205" t="s">
        <v>643</v>
      </c>
      <c r="C19" s="264">
        <f>C20</f>
        <v>41.619970060062137</v>
      </c>
      <c r="D19" s="264">
        <f t="shared" ref="D19:J19" si="12">D20</f>
        <v>41.619970060062137</v>
      </c>
      <c r="E19" s="264">
        <f t="shared" si="12"/>
        <v>41.619970060062137</v>
      </c>
      <c r="F19" s="264">
        <f t="shared" si="12"/>
        <v>41.619970060062137</v>
      </c>
      <c r="G19" s="264">
        <f t="shared" si="12"/>
        <v>41.619970060062137</v>
      </c>
      <c r="H19" s="264">
        <f t="shared" si="12"/>
        <v>41.619970060062137</v>
      </c>
      <c r="I19" s="264">
        <f t="shared" si="12"/>
        <v>41.619970060062137</v>
      </c>
      <c r="J19" s="265">
        <f t="shared" si="12"/>
        <v>41.619970060062137</v>
      </c>
      <c r="K19" s="3511">
        <v>41.619970060062137</v>
      </c>
      <c r="L19" s="3510">
        <f t="shared" si="8"/>
        <v>0</v>
      </c>
      <c r="N19" s="30"/>
      <c r="O19" s="30"/>
    </row>
    <row r="20" spans="1:102" s="15" customFormat="1" ht="14.4" x14ac:dyDescent="0.3">
      <c r="B20" s="203" t="s">
        <v>646</v>
      </c>
      <c r="C20" s="3459">
        <v>41.619970060062137</v>
      </c>
      <c r="D20" s="267">
        <f>C20</f>
        <v>41.619970060062137</v>
      </c>
      <c r="E20" s="267">
        <f t="shared" ref="E20:J20" si="13">D20</f>
        <v>41.619970060062137</v>
      </c>
      <c r="F20" s="267">
        <f t="shared" si="13"/>
        <v>41.619970060062137</v>
      </c>
      <c r="G20" s="267">
        <f t="shared" si="13"/>
        <v>41.619970060062137</v>
      </c>
      <c r="H20" s="267">
        <f t="shared" si="13"/>
        <v>41.619970060062137</v>
      </c>
      <c r="I20" s="267">
        <f t="shared" si="13"/>
        <v>41.619970060062137</v>
      </c>
      <c r="J20" s="268">
        <f t="shared" si="13"/>
        <v>41.619970060062137</v>
      </c>
      <c r="K20" s="2243">
        <v>41.501360955720102</v>
      </c>
      <c r="L20" s="3510">
        <f t="shared" si="8"/>
        <v>-0.11860910434203475</v>
      </c>
      <c r="N20" s="273"/>
      <c r="O20" s="274"/>
    </row>
    <row r="21" spans="1:102" s="15" customFormat="1" x14ac:dyDescent="0.25">
      <c r="B21" s="246" t="s">
        <v>652</v>
      </c>
      <c r="C21" s="3507">
        <v>1.6691043420317018E-3</v>
      </c>
      <c r="D21" s="267">
        <f>C21</f>
        <v>1.6691043420317018E-3</v>
      </c>
      <c r="E21" s="267">
        <f t="shared" ref="E21:J22" si="14">D21</f>
        <v>1.6691043420317018E-3</v>
      </c>
      <c r="F21" s="267">
        <f t="shared" si="14"/>
        <v>1.6691043420317018E-3</v>
      </c>
      <c r="G21" s="267">
        <f t="shared" si="14"/>
        <v>1.6691043420317018E-3</v>
      </c>
      <c r="H21" s="267">
        <f t="shared" si="14"/>
        <v>1.6691043420317018E-3</v>
      </c>
      <c r="I21" s="267">
        <f t="shared" si="14"/>
        <v>1.6691043420317018E-3</v>
      </c>
      <c r="J21" s="268">
        <f t="shared" si="14"/>
        <v>1.6691043420317018E-3</v>
      </c>
      <c r="K21" s="315">
        <v>1.6691043420317018E-3</v>
      </c>
      <c r="L21" s="3510">
        <f t="shared" si="8"/>
        <v>0</v>
      </c>
      <c r="N21" s="30"/>
      <c r="O21" s="30"/>
    </row>
    <row r="22" spans="1:102" s="15" customFormat="1" x14ac:dyDescent="0.25">
      <c r="B22" s="285" t="s">
        <v>766</v>
      </c>
      <c r="C22" s="290">
        <v>0.11694</v>
      </c>
      <c r="D22" s="290">
        <f>C22</f>
        <v>0.11694</v>
      </c>
      <c r="E22" s="290">
        <f t="shared" si="14"/>
        <v>0.11694</v>
      </c>
      <c r="F22" s="290">
        <f t="shared" si="14"/>
        <v>0.11694</v>
      </c>
      <c r="G22" s="290">
        <f t="shared" si="14"/>
        <v>0.11694</v>
      </c>
      <c r="H22" s="290">
        <f t="shared" si="14"/>
        <v>0.11694</v>
      </c>
      <c r="I22" s="290">
        <f t="shared" si="14"/>
        <v>0.11694</v>
      </c>
      <c r="J22" s="291">
        <f t="shared" si="14"/>
        <v>0.11694</v>
      </c>
      <c r="K22" s="315">
        <v>0.11694</v>
      </c>
      <c r="L22" s="3510">
        <f t="shared" si="8"/>
        <v>0</v>
      </c>
      <c r="N22" s="30"/>
      <c r="O22" s="1305">
        <f>C15-C18-C21+C23</f>
        <v>59.455256144712507</v>
      </c>
    </row>
    <row r="23" spans="1:102" s="15" customFormat="1" ht="28.2" x14ac:dyDescent="0.3">
      <c r="A23" s="705"/>
      <c r="B23" s="261" t="s">
        <v>651</v>
      </c>
      <c r="C23" s="262">
        <f t="shared" ref="C23:J23" si="15">C24+C27</f>
        <v>9.59870248</v>
      </c>
      <c r="D23" s="262">
        <f t="shared" si="15"/>
        <v>9.59870248</v>
      </c>
      <c r="E23" s="262">
        <f t="shared" si="15"/>
        <v>9.59870248</v>
      </c>
      <c r="F23" s="262">
        <f t="shared" si="15"/>
        <v>9.59870248</v>
      </c>
      <c r="G23" s="262">
        <f t="shared" si="15"/>
        <v>9.59870248</v>
      </c>
      <c r="H23" s="262">
        <f t="shared" si="15"/>
        <v>9.59870248</v>
      </c>
      <c r="I23" s="262">
        <f t="shared" si="15"/>
        <v>9.59870248</v>
      </c>
      <c r="J23" s="263">
        <f t="shared" si="15"/>
        <v>9.59870248</v>
      </c>
      <c r="K23" s="255">
        <v>9.59870248</v>
      </c>
      <c r="L23" s="3510">
        <f t="shared" si="8"/>
        <v>0</v>
      </c>
    </row>
    <row r="24" spans="1:102" s="15" customFormat="1" x14ac:dyDescent="0.25">
      <c r="B24" s="205" t="s">
        <v>642</v>
      </c>
      <c r="C24" s="264">
        <f>SUM(C25:C26)</f>
        <v>1.6653627600000001</v>
      </c>
      <c r="D24" s="264">
        <f t="shared" ref="D24:J24" si="16">D25+D26</f>
        <v>1.6653627600000001</v>
      </c>
      <c r="E24" s="264">
        <f t="shared" si="16"/>
        <v>1.6653627600000001</v>
      </c>
      <c r="F24" s="264">
        <f t="shared" si="16"/>
        <v>1.6653627600000001</v>
      </c>
      <c r="G24" s="264">
        <f t="shared" si="16"/>
        <v>1.6653627600000001</v>
      </c>
      <c r="H24" s="264">
        <f t="shared" si="16"/>
        <v>1.6653627600000001</v>
      </c>
      <c r="I24" s="264">
        <f t="shared" si="16"/>
        <v>1.6653627600000001</v>
      </c>
      <c r="J24" s="269">
        <f t="shared" si="16"/>
        <v>1.6653627600000001</v>
      </c>
      <c r="K24" s="1295">
        <v>1.6653627600000001</v>
      </c>
      <c r="L24" s="3510">
        <f t="shared" si="8"/>
        <v>0</v>
      </c>
    </row>
    <row r="25" spans="1:102" s="15" customFormat="1" x14ac:dyDescent="0.25">
      <c r="B25" s="203" t="s">
        <v>646</v>
      </c>
      <c r="C25" s="3459">
        <v>1.6653627600000001</v>
      </c>
      <c r="D25" s="267">
        <f>C25</f>
        <v>1.6653627600000001</v>
      </c>
      <c r="E25" s="267">
        <f t="shared" ref="E25:J25" si="17">D25</f>
        <v>1.6653627600000001</v>
      </c>
      <c r="F25" s="267">
        <f t="shared" si="17"/>
        <v>1.6653627600000001</v>
      </c>
      <c r="G25" s="267">
        <f t="shared" si="17"/>
        <v>1.6653627600000001</v>
      </c>
      <c r="H25" s="267">
        <f t="shared" si="17"/>
        <v>1.6653627600000001</v>
      </c>
      <c r="I25" s="267">
        <f t="shared" si="17"/>
        <v>1.6653627600000001</v>
      </c>
      <c r="J25" s="268">
        <f t="shared" si="17"/>
        <v>1.6653627600000001</v>
      </c>
      <c r="K25" s="1295">
        <v>1.6653627600000001</v>
      </c>
      <c r="L25" s="3510">
        <f t="shared" si="8"/>
        <v>0</v>
      </c>
    </row>
    <row r="26" spans="1:102" s="15" customFormat="1" x14ac:dyDescent="0.25">
      <c r="B26" s="203" t="s">
        <v>647</v>
      </c>
      <c r="C26" s="266"/>
      <c r="D26" s="267"/>
      <c r="E26" s="267"/>
      <c r="F26" s="267"/>
      <c r="G26" s="267"/>
      <c r="H26" s="267"/>
      <c r="I26" s="267"/>
      <c r="J26" s="268"/>
      <c r="K26" s="1295"/>
      <c r="L26" s="3510">
        <f t="shared" si="8"/>
        <v>0</v>
      </c>
    </row>
    <row r="27" spans="1:102" s="15" customFormat="1" x14ac:dyDescent="0.25">
      <c r="B27" s="205" t="s">
        <v>643</v>
      </c>
      <c r="C27" s="264">
        <f t="shared" ref="C27:J27" si="18">C28+C29</f>
        <v>7.9333397200000002</v>
      </c>
      <c r="D27" s="264">
        <f t="shared" si="18"/>
        <v>7.9333397200000002</v>
      </c>
      <c r="E27" s="264">
        <f t="shared" si="18"/>
        <v>7.9333397200000002</v>
      </c>
      <c r="F27" s="264">
        <f t="shared" si="18"/>
        <v>7.9333397200000002</v>
      </c>
      <c r="G27" s="264">
        <f t="shared" si="18"/>
        <v>7.9333397200000002</v>
      </c>
      <c r="H27" s="264">
        <f t="shared" si="18"/>
        <v>7.9333397200000002</v>
      </c>
      <c r="I27" s="264">
        <f t="shared" si="18"/>
        <v>7.9333397200000002</v>
      </c>
      <c r="J27" s="269">
        <f t="shared" si="18"/>
        <v>7.9333397200000002</v>
      </c>
      <c r="K27" s="1295">
        <v>7.9333397200000002</v>
      </c>
      <c r="L27" s="3510">
        <f t="shared" si="8"/>
        <v>0</v>
      </c>
    </row>
    <row r="28" spans="1:102" s="15" customFormat="1" x14ac:dyDescent="0.25">
      <c r="B28" s="203" t="s">
        <v>646</v>
      </c>
      <c r="C28" s="3459">
        <v>7.9333397200000002</v>
      </c>
      <c r="D28" s="267">
        <f>C28</f>
        <v>7.9333397200000002</v>
      </c>
      <c r="E28" s="267">
        <f t="shared" ref="E28:J28" si="19">D28</f>
        <v>7.9333397200000002</v>
      </c>
      <c r="F28" s="267">
        <f t="shared" si="19"/>
        <v>7.9333397200000002</v>
      </c>
      <c r="G28" s="267">
        <f t="shared" si="19"/>
        <v>7.9333397200000002</v>
      </c>
      <c r="H28" s="267">
        <f t="shared" si="19"/>
        <v>7.9333397200000002</v>
      </c>
      <c r="I28" s="267">
        <f t="shared" si="19"/>
        <v>7.9333397200000002</v>
      </c>
      <c r="J28" s="268">
        <f t="shared" si="19"/>
        <v>7.9333397200000002</v>
      </c>
      <c r="K28" s="2244">
        <v>7.9333397200000002</v>
      </c>
      <c r="L28" s="3510">
        <f t="shared" si="8"/>
        <v>0</v>
      </c>
    </row>
    <row r="29" spans="1:102" s="15" customFormat="1" x14ac:dyDescent="0.25">
      <c r="B29" s="203" t="s">
        <v>647</v>
      </c>
      <c r="C29" s="266"/>
      <c r="D29" s="267"/>
      <c r="E29" s="267"/>
      <c r="F29" s="267"/>
      <c r="G29" s="267"/>
      <c r="H29" s="267"/>
      <c r="I29" s="267"/>
      <c r="J29" s="268"/>
      <c r="K29" s="256"/>
      <c r="L29" s="3510">
        <f t="shared" si="8"/>
        <v>0</v>
      </c>
    </row>
    <row r="30" spans="1:102" s="15" customFormat="1" x14ac:dyDescent="0.25">
      <c r="B30" s="206" t="s">
        <v>640</v>
      </c>
      <c r="C30" s="211">
        <f t="shared" ref="C30:J30" si="20">C31+C34</f>
        <v>9.0724704999999997</v>
      </c>
      <c r="D30" s="211">
        <f t="shared" si="20"/>
        <v>9.0724704999999997</v>
      </c>
      <c r="E30" s="211">
        <f t="shared" si="20"/>
        <v>9.0724704999999997</v>
      </c>
      <c r="F30" s="211">
        <f t="shared" si="20"/>
        <v>9.0724704999999997</v>
      </c>
      <c r="G30" s="211">
        <f t="shared" si="20"/>
        <v>9.0724704999999997</v>
      </c>
      <c r="H30" s="211">
        <f t="shared" si="20"/>
        <v>9.0724704999999997</v>
      </c>
      <c r="I30" s="211">
        <f t="shared" si="20"/>
        <v>9.0724704999999997</v>
      </c>
      <c r="J30" s="218">
        <f t="shared" si="20"/>
        <v>9.0724704999999997</v>
      </c>
      <c r="K30" s="256">
        <v>9.0724704999999979</v>
      </c>
      <c r="L30" s="3510">
        <f t="shared" si="8"/>
        <v>0</v>
      </c>
    </row>
    <row r="31" spans="1:102" s="209" customFormat="1" ht="14.4" x14ac:dyDescent="0.3">
      <c r="A31" s="208"/>
      <c r="B31" s="205" t="s">
        <v>642</v>
      </c>
      <c r="C31" s="213">
        <f t="shared" ref="C31:J31" si="21">C32+C33</f>
        <v>1.45692</v>
      </c>
      <c r="D31" s="213">
        <f t="shared" si="21"/>
        <v>1.45692</v>
      </c>
      <c r="E31" s="213">
        <f t="shared" si="21"/>
        <v>1.45692</v>
      </c>
      <c r="F31" s="213">
        <f t="shared" si="21"/>
        <v>1.45692</v>
      </c>
      <c r="G31" s="213">
        <f t="shared" si="21"/>
        <v>1.45692</v>
      </c>
      <c r="H31" s="213">
        <f t="shared" si="21"/>
        <v>1.45692</v>
      </c>
      <c r="I31" s="213">
        <f t="shared" si="21"/>
        <v>1.45692</v>
      </c>
      <c r="J31" s="219">
        <f t="shared" si="21"/>
        <v>1.45692</v>
      </c>
      <c r="K31" s="256">
        <v>1.45692</v>
      </c>
      <c r="L31" s="3510">
        <f t="shared" si="8"/>
        <v>0</v>
      </c>
      <c r="M31" s="208"/>
      <c r="N31" s="208"/>
      <c r="O31" s="208"/>
      <c r="P31" s="208"/>
      <c r="Q31" s="208"/>
      <c r="R31" s="208"/>
      <c r="S31" s="208"/>
      <c r="T31" s="208"/>
      <c r="U31" s="208"/>
      <c r="V31" s="208"/>
      <c r="W31" s="208"/>
      <c r="X31" s="208"/>
      <c r="Y31" s="208"/>
      <c r="Z31" s="208"/>
      <c r="AA31" s="208"/>
      <c r="AB31" s="208"/>
      <c r="AC31" s="208"/>
      <c r="AD31" s="208"/>
      <c r="AE31" s="208"/>
      <c r="AF31" s="208"/>
      <c r="AG31" s="208"/>
      <c r="AH31" s="208"/>
      <c r="AI31" s="208"/>
      <c r="AJ31" s="208"/>
      <c r="AK31" s="208"/>
      <c r="AL31" s="208"/>
      <c r="AM31" s="208"/>
      <c r="AN31" s="208"/>
      <c r="AO31" s="208"/>
      <c r="AP31" s="208"/>
      <c r="AQ31" s="208"/>
      <c r="AR31" s="208"/>
      <c r="AS31" s="208"/>
      <c r="AT31" s="208"/>
      <c r="AU31" s="208"/>
      <c r="AV31" s="208"/>
      <c r="AW31" s="208"/>
      <c r="AX31" s="208"/>
      <c r="AY31" s="208"/>
      <c r="AZ31" s="208"/>
      <c r="BA31" s="208"/>
      <c r="BB31" s="208"/>
      <c r="BC31" s="208"/>
      <c r="BD31" s="208"/>
      <c r="BE31" s="208"/>
      <c r="BF31" s="208"/>
      <c r="BG31" s="208"/>
      <c r="BH31" s="208"/>
      <c r="BI31" s="208"/>
      <c r="BJ31" s="208"/>
      <c r="BK31" s="208"/>
      <c r="BL31" s="208"/>
      <c r="BM31" s="208"/>
      <c r="BN31" s="208"/>
      <c r="BO31" s="208"/>
      <c r="BP31" s="208"/>
      <c r="BQ31" s="208"/>
      <c r="BR31" s="208"/>
      <c r="BS31" s="208"/>
      <c r="BT31" s="208"/>
      <c r="BU31" s="208"/>
      <c r="BV31" s="208"/>
      <c r="BW31" s="208"/>
      <c r="BX31" s="208"/>
      <c r="BY31" s="208"/>
      <c r="BZ31" s="208"/>
      <c r="CA31" s="208"/>
      <c r="CB31" s="208"/>
      <c r="CC31" s="208"/>
      <c r="CD31" s="208"/>
      <c r="CE31" s="208"/>
      <c r="CF31" s="208"/>
      <c r="CG31" s="208"/>
      <c r="CH31" s="208"/>
      <c r="CI31" s="208"/>
      <c r="CJ31" s="208"/>
      <c r="CK31" s="208"/>
      <c r="CL31" s="208"/>
      <c r="CM31" s="208"/>
      <c r="CN31" s="208"/>
      <c r="CO31" s="208"/>
      <c r="CP31" s="208"/>
      <c r="CQ31" s="208"/>
      <c r="CR31" s="208"/>
      <c r="CS31" s="208"/>
      <c r="CT31" s="208"/>
      <c r="CU31" s="208"/>
      <c r="CV31" s="208"/>
      <c r="CW31" s="208"/>
      <c r="CX31" s="208"/>
    </row>
    <row r="32" spans="1:102" s="209" customFormat="1" ht="14.4" x14ac:dyDescent="0.3">
      <c r="A32" s="208"/>
      <c r="B32" s="203" t="s">
        <v>646</v>
      </c>
      <c r="C32" s="3460">
        <v>1.45692</v>
      </c>
      <c r="D32" s="204">
        <f>C32</f>
        <v>1.45692</v>
      </c>
      <c r="E32" s="204">
        <f t="shared" ref="E32:J32" si="22">D32</f>
        <v>1.45692</v>
      </c>
      <c r="F32" s="204">
        <f t="shared" si="22"/>
        <v>1.45692</v>
      </c>
      <c r="G32" s="204">
        <f t="shared" si="22"/>
        <v>1.45692</v>
      </c>
      <c r="H32" s="204">
        <f t="shared" si="22"/>
        <v>1.45692</v>
      </c>
      <c r="I32" s="204">
        <f t="shared" si="22"/>
        <v>1.45692</v>
      </c>
      <c r="J32" s="220">
        <f t="shared" si="22"/>
        <v>1.45692</v>
      </c>
      <c r="K32" s="256">
        <v>1.45692</v>
      </c>
      <c r="L32" s="3510">
        <f t="shared" si="8"/>
        <v>0</v>
      </c>
      <c r="M32" s="208"/>
      <c r="N32" s="208"/>
      <c r="O32" s="208"/>
      <c r="P32" s="208"/>
      <c r="Q32" s="208"/>
      <c r="R32" s="208"/>
      <c r="S32" s="208"/>
      <c r="T32" s="208"/>
      <c r="U32" s="208"/>
      <c r="V32" s="208"/>
      <c r="W32" s="208"/>
      <c r="X32" s="208"/>
      <c r="Y32" s="208"/>
      <c r="Z32" s="208"/>
      <c r="AA32" s="208"/>
      <c r="AB32" s="208"/>
      <c r="AC32" s="208"/>
      <c r="AD32" s="208"/>
      <c r="AE32" s="208"/>
      <c r="AF32" s="208"/>
      <c r="AG32" s="208"/>
      <c r="AH32" s="208"/>
      <c r="AI32" s="208"/>
      <c r="AJ32" s="208"/>
      <c r="AK32" s="208"/>
      <c r="AL32" s="208"/>
      <c r="AM32" s="208"/>
      <c r="AN32" s="208"/>
      <c r="AO32" s="208"/>
      <c r="AP32" s="208"/>
      <c r="AQ32" s="208"/>
      <c r="AR32" s="208"/>
      <c r="AS32" s="208"/>
      <c r="AT32" s="208"/>
      <c r="AU32" s="208"/>
      <c r="AV32" s="208"/>
      <c r="AW32" s="208"/>
      <c r="AX32" s="208"/>
      <c r="AY32" s="208"/>
      <c r="AZ32" s="208"/>
      <c r="BA32" s="208"/>
      <c r="BB32" s="208"/>
      <c r="BC32" s="208"/>
      <c r="BD32" s="208"/>
      <c r="BE32" s="208"/>
      <c r="BF32" s="208"/>
      <c r="BG32" s="208"/>
      <c r="BH32" s="208"/>
      <c r="BI32" s="208"/>
      <c r="BJ32" s="208"/>
      <c r="BK32" s="208"/>
      <c r="BL32" s="208"/>
      <c r="BM32" s="208"/>
      <c r="BN32" s="208"/>
      <c r="BO32" s="208"/>
      <c r="BP32" s="208"/>
      <c r="BQ32" s="208"/>
      <c r="BR32" s="208"/>
      <c r="BS32" s="208"/>
      <c r="BT32" s="208"/>
      <c r="BU32" s="208"/>
      <c r="BV32" s="208"/>
      <c r="BW32" s="208"/>
      <c r="BX32" s="208"/>
      <c r="BY32" s="208"/>
      <c r="BZ32" s="208"/>
      <c r="CA32" s="208"/>
      <c r="CB32" s="208"/>
      <c r="CC32" s="208"/>
      <c r="CD32" s="208"/>
      <c r="CE32" s="208"/>
      <c r="CF32" s="208"/>
      <c r="CG32" s="208"/>
      <c r="CH32" s="208"/>
      <c r="CI32" s="208"/>
      <c r="CJ32" s="208"/>
      <c r="CK32" s="208"/>
      <c r="CL32" s="208"/>
      <c r="CM32" s="208"/>
      <c r="CN32" s="208"/>
      <c r="CO32" s="208"/>
      <c r="CP32" s="208"/>
      <c r="CQ32" s="208"/>
      <c r="CR32" s="208"/>
      <c r="CS32" s="208"/>
      <c r="CT32" s="208"/>
      <c r="CU32" s="208"/>
      <c r="CV32" s="208"/>
      <c r="CW32" s="208"/>
      <c r="CX32" s="208"/>
    </row>
    <row r="33" spans="1:102" s="209" customFormat="1" ht="14.4" x14ac:dyDescent="0.3">
      <c r="A33" s="208"/>
      <c r="B33" s="203" t="s">
        <v>647</v>
      </c>
      <c r="C33" s="204"/>
      <c r="D33" s="204"/>
      <c r="E33" s="204"/>
      <c r="F33" s="204"/>
      <c r="G33" s="204"/>
      <c r="H33" s="204"/>
      <c r="I33" s="204"/>
      <c r="J33" s="220"/>
      <c r="K33" s="256"/>
      <c r="L33" s="3510">
        <f t="shared" si="8"/>
        <v>0</v>
      </c>
      <c r="M33" s="208"/>
      <c r="N33" s="208"/>
      <c r="O33" s="208"/>
      <c r="P33" s="208"/>
      <c r="Q33" s="208"/>
      <c r="R33" s="208"/>
      <c r="S33" s="208"/>
      <c r="T33" s="208"/>
      <c r="U33" s="208"/>
      <c r="V33" s="208"/>
      <c r="W33" s="208"/>
      <c r="X33" s="208"/>
      <c r="Y33" s="208"/>
      <c r="Z33" s="208"/>
      <c r="AA33" s="208"/>
      <c r="AB33" s="208"/>
      <c r="AC33" s="208"/>
      <c r="AD33" s="208"/>
      <c r="AE33" s="208"/>
      <c r="AF33" s="208"/>
      <c r="AG33" s="208"/>
      <c r="AH33" s="208"/>
      <c r="AI33" s="208"/>
      <c r="AJ33" s="208"/>
      <c r="AK33" s="208"/>
      <c r="AL33" s="208"/>
      <c r="AM33" s="208"/>
      <c r="AN33" s="208"/>
      <c r="AO33" s="208"/>
      <c r="AP33" s="208"/>
      <c r="AQ33" s="208"/>
      <c r="AR33" s="208"/>
      <c r="AS33" s="208"/>
      <c r="AT33" s="208"/>
      <c r="AU33" s="208"/>
      <c r="AV33" s="208"/>
      <c r="AW33" s="208"/>
      <c r="AX33" s="208"/>
      <c r="AY33" s="208"/>
      <c r="AZ33" s="208"/>
      <c r="BA33" s="208"/>
      <c r="BB33" s="208"/>
      <c r="BC33" s="208"/>
      <c r="BD33" s="208"/>
      <c r="BE33" s="208"/>
      <c r="BF33" s="208"/>
      <c r="BG33" s="208"/>
      <c r="BH33" s="208"/>
      <c r="BI33" s="208"/>
      <c r="BJ33" s="208"/>
      <c r="BK33" s="208"/>
      <c r="BL33" s="208"/>
      <c r="BM33" s="208"/>
      <c r="BN33" s="208"/>
      <c r="BO33" s="208"/>
      <c r="BP33" s="208"/>
      <c r="BQ33" s="208"/>
      <c r="BR33" s="208"/>
      <c r="BS33" s="208"/>
      <c r="BT33" s="208"/>
      <c r="BU33" s="208"/>
      <c r="BV33" s="208"/>
      <c r="BW33" s="208"/>
      <c r="BX33" s="208"/>
      <c r="BY33" s="208"/>
      <c r="BZ33" s="208"/>
      <c r="CA33" s="208"/>
      <c r="CB33" s="208"/>
      <c r="CC33" s="208"/>
      <c r="CD33" s="208"/>
      <c r="CE33" s="208"/>
      <c r="CF33" s="208"/>
      <c r="CG33" s="208"/>
      <c r="CH33" s="208"/>
      <c r="CI33" s="208"/>
      <c r="CJ33" s="208"/>
      <c r="CK33" s="208"/>
      <c r="CL33" s="208"/>
      <c r="CM33" s="208"/>
      <c r="CN33" s="208"/>
      <c r="CO33" s="208"/>
      <c r="CP33" s="208"/>
      <c r="CQ33" s="208"/>
      <c r="CR33" s="208"/>
      <c r="CS33" s="208"/>
      <c r="CT33" s="208"/>
      <c r="CU33" s="208"/>
      <c r="CV33" s="208"/>
      <c r="CW33" s="208"/>
      <c r="CX33" s="208"/>
    </row>
    <row r="34" spans="1:102" s="210" customFormat="1" ht="14.4" x14ac:dyDescent="0.3">
      <c r="A34" s="208"/>
      <c r="B34" s="205" t="s">
        <v>643</v>
      </c>
      <c r="C34" s="270">
        <f t="shared" ref="C34:J34" si="23">C35+C37</f>
        <v>7.6155505000000003</v>
      </c>
      <c r="D34" s="214">
        <f t="shared" si="23"/>
        <v>7.6155505000000003</v>
      </c>
      <c r="E34" s="214">
        <f t="shared" si="23"/>
        <v>7.6155505000000003</v>
      </c>
      <c r="F34" s="214">
        <f t="shared" si="23"/>
        <v>7.6155505000000003</v>
      </c>
      <c r="G34" s="214">
        <f t="shared" si="23"/>
        <v>7.6155505000000003</v>
      </c>
      <c r="H34" s="214">
        <f t="shared" si="23"/>
        <v>7.6155505000000003</v>
      </c>
      <c r="I34" s="214">
        <f t="shared" si="23"/>
        <v>7.6155505000000003</v>
      </c>
      <c r="J34" s="221">
        <f t="shared" si="23"/>
        <v>7.6155505000000003</v>
      </c>
      <c r="K34" s="256">
        <v>7.6155504999999986</v>
      </c>
      <c r="L34" s="3510">
        <f t="shared" si="8"/>
        <v>0</v>
      </c>
      <c r="M34" s="208"/>
      <c r="N34" s="208"/>
      <c r="O34" s="208"/>
      <c r="P34" s="208"/>
      <c r="Q34" s="208"/>
      <c r="R34" s="208"/>
      <c r="S34" s="208"/>
      <c r="T34" s="208"/>
      <c r="U34" s="208"/>
      <c r="V34" s="208"/>
      <c r="W34" s="208"/>
      <c r="X34" s="208"/>
      <c r="Y34" s="208"/>
      <c r="Z34" s="208"/>
      <c r="AA34" s="208"/>
      <c r="AB34" s="208"/>
      <c r="AC34" s="208"/>
      <c r="AD34" s="208"/>
      <c r="AE34" s="208"/>
      <c r="AF34" s="208"/>
      <c r="AG34" s="208"/>
      <c r="AH34" s="208"/>
      <c r="AI34" s="208"/>
      <c r="AJ34" s="208"/>
      <c r="AK34" s="208"/>
      <c r="AL34" s="208"/>
      <c r="AM34" s="208"/>
      <c r="AN34" s="208"/>
      <c r="AO34" s="208"/>
      <c r="AP34" s="208"/>
      <c r="AQ34" s="208"/>
      <c r="AR34" s="208"/>
      <c r="AS34" s="208"/>
      <c r="AT34" s="208"/>
      <c r="AU34" s="208"/>
      <c r="AV34" s="208"/>
      <c r="AW34" s="208"/>
      <c r="AX34" s="208"/>
      <c r="AY34" s="208"/>
      <c r="AZ34" s="208"/>
      <c r="BA34" s="208"/>
      <c r="BB34" s="208"/>
      <c r="BC34" s="208"/>
      <c r="BD34" s="208"/>
      <c r="BE34" s="208"/>
      <c r="BF34" s="208"/>
      <c r="BG34" s="208"/>
      <c r="BH34" s="208"/>
      <c r="BI34" s="208"/>
      <c r="BJ34" s="208"/>
      <c r="BK34" s="208"/>
      <c r="BL34" s="208"/>
      <c r="BM34" s="208"/>
      <c r="BN34" s="208"/>
      <c r="BO34" s="208"/>
      <c r="BP34" s="208"/>
      <c r="BQ34" s="208"/>
      <c r="BR34" s="208"/>
      <c r="BS34" s="208"/>
      <c r="BT34" s="208"/>
      <c r="BU34" s="208"/>
      <c r="BV34" s="208"/>
      <c r="BW34" s="208"/>
      <c r="BX34" s="208"/>
      <c r="BY34" s="208"/>
      <c r="BZ34" s="208"/>
      <c r="CA34" s="208"/>
      <c r="CB34" s="208"/>
      <c r="CC34" s="208"/>
      <c r="CD34" s="208"/>
      <c r="CE34" s="208"/>
      <c r="CF34" s="208"/>
      <c r="CG34" s="208"/>
      <c r="CH34" s="208"/>
      <c r="CI34" s="208"/>
      <c r="CJ34" s="208"/>
      <c r="CK34" s="208"/>
      <c r="CL34" s="208"/>
      <c r="CM34" s="208"/>
      <c r="CN34" s="208"/>
      <c r="CO34" s="208"/>
      <c r="CP34" s="208"/>
      <c r="CQ34" s="208"/>
      <c r="CR34" s="208"/>
      <c r="CS34" s="208"/>
      <c r="CT34" s="208"/>
      <c r="CU34" s="208"/>
      <c r="CV34" s="208"/>
      <c r="CW34" s="208"/>
      <c r="CX34" s="208"/>
    </row>
    <row r="35" spans="1:102" s="210" customFormat="1" ht="14.4" x14ac:dyDescent="0.3">
      <c r="A35" s="208"/>
      <c r="B35" s="203" t="s">
        <v>646</v>
      </c>
      <c r="C35" s="3460">
        <f>7.3331505+C36</f>
        <v>7.5635505000000007</v>
      </c>
      <c r="D35" s="212">
        <f>C35</f>
        <v>7.5635505000000007</v>
      </c>
      <c r="E35" s="212">
        <f t="shared" ref="E35:J35" si="24">D35</f>
        <v>7.5635505000000007</v>
      </c>
      <c r="F35" s="212">
        <f t="shared" si="24"/>
        <v>7.5635505000000007</v>
      </c>
      <c r="G35" s="212">
        <f t="shared" si="24"/>
        <v>7.5635505000000007</v>
      </c>
      <c r="H35" s="212">
        <f t="shared" si="24"/>
        <v>7.5635505000000007</v>
      </c>
      <c r="I35" s="212">
        <f t="shared" si="24"/>
        <v>7.5635505000000007</v>
      </c>
      <c r="J35" s="222">
        <f t="shared" si="24"/>
        <v>7.5635505000000007</v>
      </c>
      <c r="K35" s="256">
        <v>7.3331504999999986</v>
      </c>
      <c r="L35" s="3510">
        <f t="shared" si="8"/>
        <v>-0.23040000000000216</v>
      </c>
      <c r="M35" s="208"/>
      <c r="N35" s="208"/>
      <c r="O35" s="208"/>
      <c r="P35" s="208"/>
      <c r="Q35" s="208"/>
      <c r="R35" s="208"/>
      <c r="S35" s="208"/>
      <c r="T35" s="208"/>
      <c r="U35" s="208"/>
      <c r="V35" s="208"/>
      <c r="W35" s="208"/>
      <c r="X35" s="208"/>
      <c r="Y35" s="208"/>
      <c r="Z35" s="208"/>
      <c r="AA35" s="208"/>
      <c r="AB35" s="208"/>
      <c r="AC35" s="208"/>
      <c r="AD35" s="208"/>
      <c r="AE35" s="208"/>
      <c r="AF35" s="208"/>
      <c r="AG35" s="208"/>
      <c r="AH35" s="208"/>
      <c r="AI35" s="208"/>
      <c r="AJ35" s="208"/>
      <c r="AK35" s="208"/>
      <c r="AL35" s="208"/>
      <c r="AM35" s="208"/>
      <c r="AN35" s="208"/>
      <c r="AO35" s="208"/>
      <c r="AP35" s="208"/>
      <c r="AQ35" s="208"/>
      <c r="AR35" s="208"/>
      <c r="AS35" s="208"/>
      <c r="AT35" s="208"/>
      <c r="AU35" s="208"/>
      <c r="AV35" s="208"/>
      <c r="AW35" s="208"/>
      <c r="AX35" s="208"/>
      <c r="AY35" s="208"/>
      <c r="AZ35" s="208"/>
      <c r="BA35" s="208"/>
      <c r="BB35" s="208"/>
      <c r="BC35" s="208"/>
      <c r="BD35" s="208"/>
      <c r="BE35" s="208"/>
      <c r="BF35" s="208"/>
      <c r="BG35" s="208"/>
      <c r="BH35" s="208"/>
      <c r="BI35" s="208"/>
      <c r="BJ35" s="208"/>
      <c r="BK35" s="208"/>
      <c r="BL35" s="208"/>
      <c r="BM35" s="208"/>
      <c r="BN35" s="208"/>
      <c r="BO35" s="208"/>
      <c r="BP35" s="208"/>
      <c r="BQ35" s="208"/>
      <c r="BR35" s="208"/>
      <c r="BS35" s="208"/>
      <c r="BT35" s="208"/>
      <c r="BU35" s="208"/>
      <c r="BV35" s="208"/>
      <c r="BW35" s="208"/>
      <c r="BX35" s="208"/>
      <c r="BY35" s="208"/>
      <c r="BZ35" s="208"/>
      <c r="CA35" s="208"/>
      <c r="CB35" s="208"/>
      <c r="CC35" s="208"/>
      <c r="CD35" s="208"/>
      <c r="CE35" s="208"/>
      <c r="CF35" s="208"/>
      <c r="CG35" s="208"/>
      <c r="CH35" s="208"/>
      <c r="CI35" s="208"/>
      <c r="CJ35" s="208"/>
      <c r="CK35" s="208"/>
      <c r="CL35" s="208"/>
      <c r="CM35" s="208"/>
      <c r="CN35" s="208"/>
      <c r="CO35" s="208"/>
      <c r="CP35" s="208"/>
      <c r="CQ35" s="208"/>
      <c r="CR35" s="208"/>
      <c r="CS35" s="208"/>
      <c r="CT35" s="208"/>
      <c r="CU35" s="208"/>
      <c r="CV35" s="208"/>
      <c r="CW35" s="208"/>
      <c r="CX35" s="208"/>
    </row>
    <row r="36" spans="1:102" s="210" customFormat="1" ht="14.4" x14ac:dyDescent="0.3">
      <c r="A36" s="208"/>
      <c r="B36" s="285" t="s">
        <v>765</v>
      </c>
      <c r="C36" s="286">
        <v>0.23039999999999999</v>
      </c>
      <c r="D36" s="287">
        <f>C36</f>
        <v>0.23039999999999999</v>
      </c>
      <c r="E36" s="287">
        <f t="shared" ref="E36:J36" si="25">D36</f>
        <v>0.23039999999999999</v>
      </c>
      <c r="F36" s="287">
        <f t="shared" si="25"/>
        <v>0.23039999999999999</v>
      </c>
      <c r="G36" s="287">
        <f t="shared" si="25"/>
        <v>0.23039999999999999</v>
      </c>
      <c r="H36" s="287">
        <f t="shared" si="25"/>
        <v>0.23039999999999999</v>
      </c>
      <c r="I36" s="287">
        <f t="shared" si="25"/>
        <v>0.23039999999999999</v>
      </c>
      <c r="J36" s="287">
        <f t="shared" si="25"/>
        <v>0.23039999999999999</v>
      </c>
      <c r="K36" s="256">
        <v>0.23039999999999999</v>
      </c>
      <c r="L36" s="3510">
        <f t="shared" si="8"/>
        <v>0</v>
      </c>
      <c r="M36" s="208"/>
      <c r="N36" s="208"/>
      <c r="O36" s="208"/>
      <c r="P36" s="208"/>
      <c r="Q36" s="208"/>
      <c r="R36" s="208"/>
      <c r="S36" s="208"/>
      <c r="T36" s="208"/>
      <c r="U36" s="208"/>
      <c r="V36" s="208"/>
      <c r="W36" s="208"/>
      <c r="X36" s="208"/>
      <c r="Y36" s="208"/>
      <c r="Z36" s="208"/>
      <c r="AA36" s="208"/>
      <c r="AB36" s="208"/>
      <c r="AC36" s="208"/>
      <c r="AD36" s="208"/>
      <c r="AE36" s="208"/>
      <c r="AF36" s="208"/>
      <c r="AG36" s="208"/>
      <c r="AH36" s="208"/>
      <c r="AI36" s="208"/>
      <c r="AJ36" s="208"/>
      <c r="AK36" s="208"/>
      <c r="AL36" s="208"/>
      <c r="AM36" s="208"/>
      <c r="AN36" s="208"/>
      <c r="AO36" s="208"/>
      <c r="AP36" s="208"/>
      <c r="AQ36" s="208"/>
      <c r="AR36" s="208"/>
      <c r="AS36" s="208"/>
      <c r="AT36" s="208"/>
      <c r="AU36" s="208"/>
      <c r="AV36" s="208"/>
      <c r="AW36" s="208"/>
      <c r="AX36" s="208"/>
      <c r="AY36" s="208"/>
      <c r="AZ36" s="208"/>
      <c r="BA36" s="208"/>
      <c r="BB36" s="208"/>
      <c r="BC36" s="208"/>
      <c r="BD36" s="208"/>
      <c r="BE36" s="208"/>
      <c r="BF36" s="208"/>
      <c r="BG36" s="208"/>
      <c r="BH36" s="208"/>
      <c r="BI36" s="208"/>
      <c r="BJ36" s="208"/>
      <c r="BK36" s="208"/>
      <c r="BL36" s="208"/>
      <c r="BM36" s="208"/>
      <c r="BN36" s="208"/>
      <c r="BO36" s="208"/>
      <c r="BP36" s="208"/>
      <c r="BQ36" s="208"/>
      <c r="BR36" s="208"/>
      <c r="BS36" s="208"/>
      <c r="BT36" s="208"/>
      <c r="BU36" s="208"/>
      <c r="BV36" s="208"/>
      <c r="BW36" s="208"/>
      <c r="BX36" s="208"/>
      <c r="BY36" s="208"/>
      <c r="BZ36" s="208"/>
      <c r="CA36" s="208"/>
      <c r="CB36" s="208"/>
      <c r="CC36" s="208"/>
      <c r="CD36" s="208"/>
      <c r="CE36" s="208"/>
      <c r="CF36" s="208"/>
      <c r="CG36" s="208"/>
      <c r="CH36" s="208"/>
      <c r="CI36" s="208"/>
      <c r="CJ36" s="208"/>
      <c r="CK36" s="208"/>
      <c r="CL36" s="208"/>
      <c r="CM36" s="208"/>
      <c r="CN36" s="208"/>
      <c r="CO36" s="208"/>
      <c r="CP36" s="208"/>
      <c r="CQ36" s="208"/>
      <c r="CR36" s="208"/>
      <c r="CS36" s="208"/>
      <c r="CT36" s="208"/>
      <c r="CU36" s="208"/>
      <c r="CV36" s="208"/>
      <c r="CW36" s="208"/>
      <c r="CX36" s="208"/>
    </row>
    <row r="37" spans="1:102" s="210" customFormat="1" ht="14.4" x14ac:dyDescent="0.3">
      <c r="A37" s="208"/>
      <c r="B37" s="203" t="s">
        <v>647</v>
      </c>
      <c r="C37" s="3460">
        <v>5.1999999999999998E-2</v>
      </c>
      <c r="D37" s="212">
        <f>C37</f>
        <v>5.1999999999999998E-2</v>
      </c>
      <c r="E37" s="212">
        <f t="shared" ref="E37:J37" si="26">D37</f>
        <v>5.1999999999999998E-2</v>
      </c>
      <c r="F37" s="212">
        <f t="shared" si="26"/>
        <v>5.1999999999999998E-2</v>
      </c>
      <c r="G37" s="212">
        <f t="shared" si="26"/>
        <v>5.1999999999999998E-2</v>
      </c>
      <c r="H37" s="212">
        <f t="shared" si="26"/>
        <v>5.1999999999999998E-2</v>
      </c>
      <c r="I37" s="212">
        <f t="shared" si="26"/>
        <v>5.1999999999999998E-2</v>
      </c>
      <c r="J37" s="222">
        <f t="shared" si="26"/>
        <v>5.1999999999999998E-2</v>
      </c>
      <c r="K37" s="256">
        <v>5.1999999999999998E-2</v>
      </c>
      <c r="L37" s="3510">
        <f t="shared" si="8"/>
        <v>0</v>
      </c>
      <c r="M37" s="208"/>
      <c r="N37" s="208"/>
      <c r="O37" s="208"/>
      <c r="P37" s="208"/>
      <c r="Q37" s="208"/>
      <c r="R37" s="208"/>
      <c r="S37" s="208"/>
      <c r="T37" s="208"/>
      <c r="U37" s="208"/>
      <c r="V37" s="208"/>
      <c r="W37" s="208"/>
      <c r="X37" s="208"/>
      <c r="Y37" s="208"/>
      <c r="Z37" s="208"/>
      <c r="AA37" s="208"/>
      <c r="AB37" s="208"/>
      <c r="AC37" s="208"/>
      <c r="AD37" s="208"/>
      <c r="AE37" s="208"/>
      <c r="AF37" s="208"/>
      <c r="AG37" s="208"/>
      <c r="AH37" s="208"/>
      <c r="AI37" s="208"/>
      <c r="AJ37" s="208"/>
      <c r="AK37" s="208"/>
      <c r="AL37" s="208"/>
      <c r="AM37" s="208"/>
      <c r="AN37" s="208"/>
      <c r="AO37" s="208"/>
      <c r="AP37" s="208"/>
      <c r="AQ37" s="208"/>
      <c r="AR37" s="208"/>
      <c r="AS37" s="208"/>
      <c r="AT37" s="208"/>
      <c r="AU37" s="208"/>
      <c r="AV37" s="208"/>
      <c r="AW37" s="208"/>
      <c r="AX37" s="208"/>
      <c r="AY37" s="208"/>
      <c r="AZ37" s="208"/>
      <c r="BA37" s="208"/>
      <c r="BB37" s="208"/>
      <c r="BC37" s="208"/>
      <c r="BD37" s="208"/>
      <c r="BE37" s="208"/>
      <c r="BF37" s="208"/>
      <c r="BG37" s="208"/>
      <c r="BH37" s="208"/>
      <c r="BI37" s="208"/>
      <c r="BJ37" s="208"/>
      <c r="BK37" s="208"/>
      <c r="BL37" s="208"/>
      <c r="BM37" s="208"/>
      <c r="BN37" s="208"/>
      <c r="BO37" s="208"/>
      <c r="BP37" s="208"/>
      <c r="BQ37" s="208"/>
      <c r="BR37" s="208"/>
      <c r="BS37" s="208"/>
      <c r="BT37" s="208"/>
      <c r="BU37" s="208"/>
      <c r="BV37" s="208"/>
      <c r="BW37" s="208"/>
      <c r="BX37" s="208"/>
      <c r="BY37" s="208"/>
      <c r="BZ37" s="208"/>
      <c r="CA37" s="208"/>
      <c r="CB37" s="208"/>
      <c r="CC37" s="208"/>
      <c r="CD37" s="208"/>
      <c r="CE37" s="208"/>
      <c r="CF37" s="208"/>
      <c r="CG37" s="208"/>
      <c r="CH37" s="208"/>
      <c r="CI37" s="208"/>
      <c r="CJ37" s="208"/>
      <c r="CK37" s="208"/>
      <c r="CL37" s="208"/>
      <c r="CM37" s="208"/>
      <c r="CN37" s="208"/>
      <c r="CO37" s="208"/>
      <c r="CP37" s="208"/>
      <c r="CQ37" s="208"/>
      <c r="CR37" s="208"/>
      <c r="CS37" s="208"/>
      <c r="CT37" s="208"/>
      <c r="CU37" s="208"/>
      <c r="CV37" s="208"/>
      <c r="CW37" s="208"/>
      <c r="CX37" s="208"/>
    </row>
    <row r="38" spans="1:102" s="81" customFormat="1" x14ac:dyDescent="0.25">
      <c r="A38" s="15"/>
      <c r="B38" s="206" t="s">
        <v>641</v>
      </c>
      <c r="C38" s="211">
        <f>C39+C42</f>
        <v>3.0534583699999995</v>
      </c>
      <c r="D38" s="211">
        <f t="shared" ref="D38:J38" si="27">D39+D42</f>
        <v>3.0534583699999995</v>
      </c>
      <c r="E38" s="211">
        <f t="shared" si="27"/>
        <v>3.0534583699999995</v>
      </c>
      <c r="F38" s="211">
        <f t="shared" si="27"/>
        <v>3.0534583699999995</v>
      </c>
      <c r="G38" s="211">
        <f t="shared" si="27"/>
        <v>3.0534583699999995</v>
      </c>
      <c r="H38" s="211">
        <f t="shared" si="27"/>
        <v>3.0534583699999995</v>
      </c>
      <c r="I38" s="211">
        <f t="shared" si="27"/>
        <v>3.0534583699999995</v>
      </c>
      <c r="J38" s="218">
        <f t="shared" si="27"/>
        <v>3.0534583699999995</v>
      </c>
      <c r="K38" s="256">
        <v>3.0534583699999995</v>
      </c>
      <c r="L38" s="3510">
        <f t="shared" si="8"/>
        <v>0</v>
      </c>
      <c r="M38" s="15"/>
      <c r="N38" s="15"/>
      <c r="O38" s="15"/>
      <c r="P38" s="15"/>
      <c r="Q38" s="15"/>
      <c r="R38" s="15"/>
      <c r="S38" s="15"/>
      <c r="T38" s="15"/>
      <c r="U38" s="15"/>
      <c r="V38" s="15"/>
      <c r="W38" s="15"/>
      <c r="X38" s="15"/>
      <c r="Y38" s="15"/>
      <c r="Z38" s="15"/>
      <c r="AA38" s="15"/>
      <c r="AB38" s="15"/>
      <c r="AC38" s="15"/>
      <c r="AD38" s="15"/>
      <c r="AE38" s="15"/>
      <c r="AF38" s="15"/>
      <c r="AG38" s="15"/>
      <c r="AH38" s="15"/>
      <c r="AI38" s="15"/>
      <c r="AJ38" s="15"/>
      <c r="AK38" s="15"/>
      <c r="AL38" s="15"/>
      <c r="AM38" s="15"/>
      <c r="AN38" s="15"/>
      <c r="AO38" s="15"/>
      <c r="AP38" s="15"/>
      <c r="AQ38" s="15"/>
      <c r="AR38" s="15"/>
      <c r="AS38" s="15"/>
      <c r="AT38" s="15"/>
      <c r="AU38" s="15"/>
      <c r="AV38" s="15"/>
      <c r="AW38" s="15"/>
      <c r="AX38" s="15"/>
      <c r="AY38" s="15"/>
      <c r="AZ38" s="15"/>
      <c r="BA38" s="15"/>
      <c r="BB38" s="15"/>
      <c r="BC38" s="15"/>
      <c r="BD38" s="15"/>
      <c r="BE38" s="15"/>
      <c r="BF38" s="15"/>
      <c r="BG38" s="15"/>
      <c r="BH38" s="15"/>
      <c r="BI38" s="15"/>
      <c r="BJ38" s="15"/>
      <c r="BK38" s="15"/>
      <c r="BL38" s="15"/>
      <c r="BM38" s="15"/>
      <c r="BN38" s="15"/>
      <c r="BO38" s="15"/>
      <c r="BP38" s="15"/>
      <c r="BQ38" s="15"/>
      <c r="BR38" s="15"/>
      <c r="BS38" s="15"/>
      <c r="BT38" s="15"/>
      <c r="BU38" s="15"/>
      <c r="BV38" s="15"/>
      <c r="BW38" s="15"/>
      <c r="BX38" s="15"/>
      <c r="BY38" s="15"/>
      <c r="BZ38" s="15"/>
      <c r="CA38" s="15"/>
      <c r="CB38" s="15"/>
      <c r="CC38" s="15"/>
      <c r="CD38" s="15"/>
      <c r="CE38" s="15"/>
      <c r="CF38" s="15"/>
      <c r="CG38" s="15"/>
      <c r="CH38" s="15"/>
      <c r="CI38" s="15"/>
      <c r="CJ38" s="15"/>
      <c r="CK38" s="15"/>
      <c r="CL38" s="15"/>
      <c r="CM38" s="15"/>
      <c r="CN38" s="15"/>
      <c r="CO38" s="15"/>
      <c r="CP38" s="15"/>
      <c r="CQ38" s="15"/>
      <c r="CR38" s="15"/>
      <c r="CS38" s="15"/>
      <c r="CT38" s="15"/>
      <c r="CU38" s="15"/>
      <c r="CV38" s="15"/>
      <c r="CW38" s="15"/>
      <c r="CX38" s="15"/>
    </row>
    <row r="39" spans="1:102" s="81" customFormat="1" x14ac:dyDescent="0.25">
      <c r="A39" s="15"/>
      <c r="B39" s="205" t="s">
        <v>642</v>
      </c>
      <c r="C39" s="213">
        <f>C40+C41</f>
        <v>0.5574522999999999</v>
      </c>
      <c r="D39" s="213">
        <f t="shared" ref="D39:J39" si="28">D40+D41</f>
        <v>0.5574522999999999</v>
      </c>
      <c r="E39" s="213">
        <f t="shared" si="28"/>
        <v>0.5574522999999999</v>
      </c>
      <c r="F39" s="213">
        <f t="shared" si="28"/>
        <v>0.5574522999999999</v>
      </c>
      <c r="G39" s="213">
        <f t="shared" si="28"/>
        <v>0.5574522999999999</v>
      </c>
      <c r="H39" s="213">
        <f t="shared" si="28"/>
        <v>0.5574522999999999</v>
      </c>
      <c r="I39" s="213">
        <f t="shared" si="28"/>
        <v>0.5574522999999999</v>
      </c>
      <c r="J39" s="219">
        <f t="shared" si="28"/>
        <v>0.5574522999999999</v>
      </c>
      <c r="K39" s="256">
        <v>0.5574522999999999</v>
      </c>
      <c r="L39" s="3510">
        <f t="shared" si="8"/>
        <v>0</v>
      </c>
      <c r="M39" s="15"/>
      <c r="N39" s="15"/>
      <c r="O39" s="15"/>
      <c r="P39" s="15"/>
      <c r="Q39" s="15"/>
      <c r="R39" s="15"/>
      <c r="S39" s="15"/>
      <c r="T39" s="15"/>
      <c r="U39" s="15"/>
      <c r="V39" s="15"/>
      <c r="W39" s="15"/>
      <c r="X39" s="15"/>
      <c r="Y39" s="15"/>
      <c r="Z39" s="15"/>
      <c r="AA39" s="15"/>
      <c r="AB39" s="15"/>
      <c r="AC39" s="15"/>
      <c r="AD39" s="15"/>
      <c r="AE39" s="15"/>
      <c r="AF39" s="15"/>
      <c r="AG39" s="15"/>
      <c r="AH39" s="15"/>
      <c r="AI39" s="15"/>
      <c r="AJ39" s="15"/>
      <c r="AK39" s="15"/>
      <c r="AL39" s="15"/>
      <c r="AM39" s="15"/>
      <c r="AN39" s="15"/>
      <c r="AO39" s="15"/>
      <c r="AP39" s="15"/>
      <c r="AQ39" s="15"/>
      <c r="AR39" s="15"/>
      <c r="AS39" s="15"/>
      <c r="AT39" s="15"/>
      <c r="AU39" s="15"/>
      <c r="AV39" s="15"/>
      <c r="AW39" s="15"/>
      <c r="AX39" s="15"/>
      <c r="AY39" s="15"/>
      <c r="AZ39" s="15"/>
      <c r="BA39" s="15"/>
      <c r="BB39" s="15"/>
      <c r="BC39" s="15"/>
      <c r="BD39" s="15"/>
      <c r="BE39" s="15"/>
      <c r="BF39" s="15"/>
      <c r="BG39" s="15"/>
      <c r="BH39" s="15"/>
      <c r="BI39" s="15"/>
      <c r="BJ39" s="15"/>
      <c r="BK39" s="15"/>
      <c r="BL39" s="15"/>
      <c r="BM39" s="15"/>
      <c r="BN39" s="15"/>
      <c r="BO39" s="15"/>
      <c r="BP39" s="15"/>
      <c r="BQ39" s="15"/>
      <c r="BR39" s="15"/>
      <c r="BS39" s="15"/>
      <c r="BT39" s="15"/>
      <c r="BU39" s="15"/>
      <c r="BV39" s="15"/>
      <c r="BW39" s="15"/>
      <c r="BX39" s="15"/>
      <c r="BY39" s="15"/>
      <c r="BZ39" s="15"/>
      <c r="CA39" s="15"/>
      <c r="CB39" s="15"/>
      <c r="CC39" s="15"/>
      <c r="CD39" s="15"/>
      <c r="CE39" s="15"/>
      <c r="CF39" s="15"/>
      <c r="CG39" s="15"/>
      <c r="CH39" s="15"/>
      <c r="CI39" s="15"/>
      <c r="CJ39" s="15"/>
      <c r="CK39" s="15"/>
      <c r="CL39" s="15"/>
      <c r="CM39" s="15"/>
      <c r="CN39" s="15"/>
      <c r="CO39" s="15"/>
      <c r="CP39" s="15"/>
      <c r="CQ39" s="15"/>
      <c r="CR39" s="15"/>
      <c r="CS39" s="15"/>
      <c r="CT39" s="15"/>
      <c r="CU39" s="15"/>
      <c r="CV39" s="15"/>
      <c r="CW39" s="15"/>
      <c r="CX39" s="15"/>
    </row>
    <row r="40" spans="1:102" s="81" customFormat="1" x14ac:dyDescent="0.25">
      <c r="A40" s="15"/>
      <c r="B40" s="203" t="s">
        <v>646</v>
      </c>
      <c r="C40" s="3460">
        <v>0.5574522999999999</v>
      </c>
      <c r="D40" s="212">
        <f>C40</f>
        <v>0.5574522999999999</v>
      </c>
      <c r="E40" s="212">
        <f t="shared" ref="E40:J40" si="29">D40</f>
        <v>0.5574522999999999</v>
      </c>
      <c r="F40" s="212">
        <f t="shared" si="29"/>
        <v>0.5574522999999999</v>
      </c>
      <c r="G40" s="212">
        <f t="shared" si="29"/>
        <v>0.5574522999999999</v>
      </c>
      <c r="H40" s="212">
        <f t="shared" si="29"/>
        <v>0.5574522999999999</v>
      </c>
      <c r="I40" s="212">
        <f t="shared" si="29"/>
        <v>0.5574522999999999</v>
      </c>
      <c r="J40" s="222">
        <f t="shared" si="29"/>
        <v>0.5574522999999999</v>
      </c>
      <c r="K40" s="256">
        <v>0.5574522999999999</v>
      </c>
      <c r="L40" s="3510">
        <f t="shared" si="8"/>
        <v>0</v>
      </c>
      <c r="M40" s="15"/>
      <c r="N40" s="15"/>
      <c r="O40" s="15"/>
      <c r="P40" s="15"/>
      <c r="Q40" s="15"/>
      <c r="R40" s="15"/>
      <c r="S40" s="15"/>
      <c r="T40" s="15"/>
      <c r="U40" s="15"/>
      <c r="V40" s="15"/>
      <c r="W40" s="15"/>
      <c r="X40" s="15"/>
      <c r="Y40" s="15"/>
      <c r="Z40" s="15"/>
      <c r="AA40" s="15"/>
      <c r="AB40" s="15"/>
      <c r="AC40" s="15"/>
      <c r="AD40" s="15"/>
      <c r="AE40" s="15"/>
      <c r="AF40" s="15"/>
      <c r="AG40" s="15"/>
      <c r="AH40" s="15"/>
      <c r="AI40" s="15"/>
      <c r="AJ40" s="15"/>
      <c r="AK40" s="15"/>
      <c r="AL40" s="15"/>
      <c r="AM40" s="15"/>
      <c r="AN40" s="15"/>
      <c r="AO40" s="15"/>
      <c r="AP40" s="15"/>
      <c r="AQ40" s="15"/>
      <c r="AR40" s="15"/>
      <c r="AS40" s="15"/>
      <c r="AT40" s="15"/>
      <c r="AU40" s="15"/>
      <c r="AV40" s="15"/>
      <c r="AW40" s="15"/>
      <c r="AX40" s="15"/>
      <c r="AY40" s="15"/>
      <c r="AZ40" s="15"/>
      <c r="BA40" s="15"/>
      <c r="BB40" s="15"/>
      <c r="BC40" s="15"/>
      <c r="BD40" s="15"/>
      <c r="BE40" s="15"/>
      <c r="BF40" s="15"/>
      <c r="BG40" s="15"/>
      <c r="BH40" s="15"/>
      <c r="BI40" s="15"/>
      <c r="BJ40" s="15"/>
      <c r="BK40" s="15"/>
      <c r="BL40" s="15"/>
      <c r="BM40" s="15"/>
      <c r="BN40" s="15"/>
      <c r="BO40" s="15"/>
      <c r="BP40" s="15"/>
      <c r="BQ40" s="15"/>
      <c r="BR40" s="15"/>
      <c r="BS40" s="15"/>
      <c r="BT40" s="15"/>
      <c r="BU40" s="15"/>
      <c r="BV40" s="15"/>
      <c r="BW40" s="15"/>
      <c r="BX40" s="15"/>
      <c r="BY40" s="15"/>
      <c r="BZ40" s="15"/>
      <c r="CA40" s="15"/>
      <c r="CB40" s="15"/>
      <c r="CC40" s="15"/>
      <c r="CD40" s="15"/>
      <c r="CE40" s="15"/>
      <c r="CF40" s="15"/>
      <c r="CG40" s="15"/>
      <c r="CH40" s="15"/>
      <c r="CI40" s="15"/>
      <c r="CJ40" s="15"/>
      <c r="CK40" s="15"/>
      <c r="CL40" s="15"/>
      <c r="CM40" s="15"/>
      <c r="CN40" s="15"/>
      <c r="CO40" s="15"/>
      <c r="CP40" s="15"/>
      <c r="CQ40" s="15"/>
      <c r="CR40" s="15"/>
      <c r="CS40" s="15"/>
      <c r="CT40" s="15"/>
      <c r="CU40" s="15"/>
      <c r="CV40" s="15"/>
      <c r="CW40" s="15"/>
      <c r="CX40" s="15"/>
    </row>
    <row r="41" spans="1:102" s="81" customFormat="1" x14ac:dyDescent="0.25">
      <c r="A41" s="15"/>
      <c r="B41" s="203" t="s">
        <v>647</v>
      </c>
      <c r="C41" s="204"/>
      <c r="D41" s="212"/>
      <c r="E41" s="212"/>
      <c r="F41" s="212"/>
      <c r="G41" s="212"/>
      <c r="H41" s="212"/>
      <c r="I41" s="212"/>
      <c r="J41" s="222"/>
      <c r="K41" s="256"/>
      <c r="L41" s="3510">
        <f t="shared" si="8"/>
        <v>0</v>
      </c>
      <c r="M41" s="15"/>
      <c r="N41" s="15"/>
      <c r="O41" s="15"/>
      <c r="P41" s="15"/>
      <c r="Q41" s="15"/>
      <c r="R41" s="15"/>
      <c r="S41" s="15"/>
      <c r="T41" s="15"/>
      <c r="U41" s="15"/>
      <c r="V41" s="15"/>
      <c r="W41" s="15"/>
      <c r="X41" s="15"/>
      <c r="Y41" s="15"/>
      <c r="Z41" s="15"/>
      <c r="AA41" s="15"/>
      <c r="AB41" s="15"/>
      <c r="AC41" s="15"/>
      <c r="AD41" s="15"/>
      <c r="AE41" s="15"/>
      <c r="AF41" s="15"/>
      <c r="AG41" s="15"/>
      <c r="AH41" s="15"/>
      <c r="AI41" s="15"/>
      <c r="AJ41" s="15"/>
      <c r="AK41" s="15"/>
      <c r="AL41" s="15"/>
      <c r="AM41" s="15"/>
      <c r="AN41" s="15"/>
      <c r="AO41" s="15"/>
      <c r="AP41" s="15"/>
      <c r="AQ41" s="15"/>
      <c r="AR41" s="15"/>
      <c r="AS41" s="15"/>
      <c r="AT41" s="15"/>
      <c r="AU41" s="15"/>
      <c r="AV41" s="15"/>
      <c r="AW41" s="15"/>
      <c r="AX41" s="15"/>
      <c r="AY41" s="15"/>
      <c r="AZ41" s="15"/>
      <c r="BA41" s="15"/>
      <c r="BB41" s="15"/>
      <c r="BC41" s="15"/>
      <c r="BD41" s="15"/>
      <c r="BE41" s="15"/>
      <c r="BF41" s="15"/>
      <c r="BG41" s="15"/>
      <c r="BH41" s="15"/>
      <c r="BI41" s="15"/>
      <c r="BJ41" s="15"/>
      <c r="BK41" s="15"/>
      <c r="BL41" s="15"/>
      <c r="BM41" s="15"/>
      <c r="BN41" s="15"/>
      <c r="BO41" s="15"/>
      <c r="BP41" s="15"/>
      <c r="BQ41" s="15"/>
      <c r="BR41" s="15"/>
      <c r="BS41" s="15"/>
      <c r="BT41" s="15"/>
      <c r="BU41" s="15"/>
      <c r="BV41" s="15"/>
      <c r="BW41" s="15"/>
      <c r="BX41" s="15"/>
      <c r="BY41" s="15"/>
      <c r="BZ41" s="15"/>
      <c r="CA41" s="15"/>
      <c r="CB41" s="15"/>
      <c r="CC41" s="15"/>
      <c r="CD41" s="15"/>
      <c r="CE41" s="15"/>
      <c r="CF41" s="15"/>
      <c r="CG41" s="15"/>
      <c r="CH41" s="15"/>
      <c r="CI41" s="15"/>
      <c r="CJ41" s="15"/>
      <c r="CK41" s="15"/>
      <c r="CL41" s="15"/>
      <c r="CM41" s="15"/>
      <c r="CN41" s="15"/>
      <c r="CO41" s="15"/>
      <c r="CP41" s="15"/>
      <c r="CQ41" s="15"/>
      <c r="CR41" s="15"/>
      <c r="CS41" s="15"/>
      <c r="CT41" s="15"/>
      <c r="CU41" s="15"/>
      <c r="CV41" s="15"/>
      <c r="CW41" s="15"/>
      <c r="CX41" s="15"/>
    </row>
    <row r="42" spans="1:102" s="81" customFormat="1" x14ac:dyDescent="0.25">
      <c r="A42" s="15"/>
      <c r="B42" s="205" t="s">
        <v>643</v>
      </c>
      <c r="C42" s="213">
        <f>C43+C44</f>
        <v>2.4960060699999995</v>
      </c>
      <c r="D42" s="213">
        <f t="shared" ref="D42:J42" si="30">D43+D44</f>
        <v>2.4960060699999995</v>
      </c>
      <c r="E42" s="213">
        <f t="shared" si="30"/>
        <v>2.4960060699999995</v>
      </c>
      <c r="F42" s="213">
        <f t="shared" si="30"/>
        <v>2.4960060699999995</v>
      </c>
      <c r="G42" s="213">
        <f t="shared" si="30"/>
        <v>2.4960060699999995</v>
      </c>
      <c r="H42" s="213">
        <f t="shared" si="30"/>
        <v>2.4960060699999995</v>
      </c>
      <c r="I42" s="213">
        <f t="shared" si="30"/>
        <v>2.4960060699999995</v>
      </c>
      <c r="J42" s="219">
        <f t="shared" si="30"/>
        <v>2.4960060699999995</v>
      </c>
      <c r="K42" s="256">
        <v>2.4960060699999995</v>
      </c>
      <c r="L42" s="3510">
        <f t="shared" si="8"/>
        <v>0</v>
      </c>
      <c r="M42" s="15"/>
      <c r="N42" s="15"/>
      <c r="O42" s="15"/>
      <c r="P42" s="15"/>
      <c r="Q42" s="15"/>
      <c r="R42" s="15"/>
      <c r="S42" s="15"/>
      <c r="T42" s="15"/>
      <c r="U42" s="15"/>
      <c r="V42" s="15"/>
      <c r="W42" s="15"/>
      <c r="X42" s="15"/>
      <c r="Y42" s="15"/>
      <c r="Z42" s="15"/>
      <c r="AA42" s="15"/>
      <c r="AB42" s="15"/>
      <c r="AC42" s="15"/>
      <c r="AD42" s="15"/>
      <c r="AE42" s="15"/>
      <c r="AF42" s="15"/>
      <c r="AG42" s="15"/>
      <c r="AH42" s="15"/>
      <c r="AI42" s="15"/>
      <c r="AJ42" s="15"/>
      <c r="AK42" s="15"/>
      <c r="AL42" s="15"/>
      <c r="AM42" s="15"/>
      <c r="AN42" s="15"/>
      <c r="AO42" s="15"/>
      <c r="AP42" s="15"/>
      <c r="AQ42" s="15"/>
      <c r="AR42" s="15"/>
      <c r="AS42" s="15"/>
      <c r="AT42" s="15"/>
      <c r="AU42" s="15"/>
      <c r="AV42" s="15"/>
      <c r="AW42" s="15"/>
      <c r="AX42" s="15"/>
      <c r="AY42" s="15"/>
      <c r="AZ42" s="15"/>
      <c r="BA42" s="15"/>
      <c r="BB42" s="15"/>
      <c r="BC42" s="15"/>
      <c r="BD42" s="15"/>
      <c r="BE42" s="15"/>
      <c r="BF42" s="15"/>
      <c r="BG42" s="15"/>
      <c r="BH42" s="15"/>
      <c r="BI42" s="15"/>
      <c r="BJ42" s="15"/>
      <c r="BK42" s="15"/>
      <c r="BL42" s="15"/>
      <c r="BM42" s="15"/>
      <c r="BN42" s="15"/>
      <c r="BO42" s="15"/>
      <c r="BP42" s="15"/>
      <c r="BQ42" s="15"/>
      <c r="BR42" s="15"/>
      <c r="BS42" s="15"/>
      <c r="BT42" s="15"/>
      <c r="BU42" s="15"/>
      <c r="BV42" s="15"/>
      <c r="BW42" s="15"/>
      <c r="BX42" s="15"/>
      <c r="BY42" s="15"/>
      <c r="BZ42" s="15"/>
      <c r="CA42" s="15"/>
      <c r="CB42" s="15"/>
      <c r="CC42" s="15"/>
      <c r="CD42" s="15"/>
      <c r="CE42" s="15"/>
      <c r="CF42" s="15"/>
      <c r="CG42" s="15"/>
      <c r="CH42" s="15"/>
      <c r="CI42" s="15"/>
      <c r="CJ42" s="15"/>
      <c r="CK42" s="15"/>
      <c r="CL42" s="15"/>
      <c r="CM42" s="15"/>
      <c r="CN42" s="15"/>
      <c r="CO42" s="15"/>
      <c r="CP42" s="15"/>
      <c r="CQ42" s="15"/>
      <c r="CR42" s="15"/>
      <c r="CS42" s="15"/>
      <c r="CT42" s="15"/>
      <c r="CU42" s="15"/>
      <c r="CV42" s="15"/>
      <c r="CW42" s="15"/>
      <c r="CX42" s="15"/>
    </row>
    <row r="43" spans="1:102" s="81" customFormat="1" x14ac:dyDescent="0.25">
      <c r="A43" s="15"/>
      <c r="B43" s="203" t="s">
        <v>646</v>
      </c>
      <c r="C43" s="3460">
        <v>2.4960060699999995</v>
      </c>
      <c r="D43" s="212">
        <f>C43</f>
        <v>2.4960060699999995</v>
      </c>
      <c r="E43" s="212">
        <f t="shared" ref="E43:J43" si="31">D43</f>
        <v>2.4960060699999995</v>
      </c>
      <c r="F43" s="212">
        <f t="shared" si="31"/>
        <v>2.4960060699999995</v>
      </c>
      <c r="G43" s="212">
        <f t="shared" si="31"/>
        <v>2.4960060699999995</v>
      </c>
      <c r="H43" s="212">
        <f t="shared" si="31"/>
        <v>2.4960060699999995</v>
      </c>
      <c r="I43" s="212">
        <f t="shared" si="31"/>
        <v>2.4960060699999995</v>
      </c>
      <c r="J43" s="222">
        <f t="shared" si="31"/>
        <v>2.4960060699999995</v>
      </c>
      <c r="K43" s="256">
        <v>2.4960060699999995</v>
      </c>
      <c r="L43" s="3510">
        <f t="shared" si="8"/>
        <v>0</v>
      </c>
      <c r="M43" s="15"/>
      <c r="N43" s="15"/>
      <c r="O43" s="15"/>
      <c r="P43" s="15"/>
      <c r="Q43" s="15"/>
      <c r="R43" s="15"/>
      <c r="S43" s="15"/>
      <c r="T43" s="15"/>
      <c r="U43" s="15"/>
      <c r="V43" s="15"/>
      <c r="W43" s="15"/>
      <c r="X43" s="15"/>
      <c r="Y43" s="15"/>
      <c r="Z43" s="15"/>
      <c r="AA43" s="15"/>
      <c r="AB43" s="15"/>
      <c r="AC43" s="15"/>
      <c r="AD43" s="15"/>
      <c r="AE43" s="15"/>
      <c r="AF43" s="15"/>
      <c r="AG43" s="15"/>
      <c r="AH43" s="15"/>
      <c r="AI43" s="15"/>
      <c r="AJ43" s="15"/>
      <c r="AK43" s="15"/>
      <c r="AL43" s="15"/>
      <c r="AM43" s="15"/>
      <c r="AN43" s="15"/>
      <c r="AO43" s="15"/>
      <c r="AP43" s="15"/>
      <c r="AQ43" s="15"/>
      <c r="AR43" s="15"/>
      <c r="AS43" s="15"/>
      <c r="AT43" s="15"/>
      <c r="AU43" s="15"/>
      <c r="AV43" s="15"/>
      <c r="AW43" s="15"/>
      <c r="AX43" s="15"/>
      <c r="AY43" s="15"/>
      <c r="AZ43" s="15"/>
      <c r="BA43" s="15"/>
      <c r="BB43" s="15"/>
      <c r="BC43" s="15"/>
      <c r="BD43" s="15"/>
      <c r="BE43" s="15"/>
      <c r="BF43" s="15"/>
      <c r="BG43" s="15"/>
      <c r="BH43" s="15"/>
      <c r="BI43" s="15"/>
      <c r="BJ43" s="15"/>
      <c r="BK43" s="15"/>
      <c r="BL43" s="15"/>
      <c r="BM43" s="15"/>
      <c r="BN43" s="15"/>
      <c r="BO43" s="15"/>
      <c r="BP43" s="15"/>
      <c r="BQ43" s="15"/>
      <c r="BR43" s="15"/>
      <c r="BS43" s="15"/>
      <c r="BT43" s="15"/>
      <c r="BU43" s="15"/>
      <c r="BV43" s="15"/>
      <c r="BW43" s="15"/>
      <c r="BX43" s="15"/>
      <c r="BY43" s="15"/>
      <c r="BZ43" s="15"/>
      <c r="CA43" s="15"/>
      <c r="CB43" s="15"/>
      <c r="CC43" s="15"/>
      <c r="CD43" s="15"/>
      <c r="CE43" s="15"/>
      <c r="CF43" s="15"/>
      <c r="CG43" s="15"/>
      <c r="CH43" s="15"/>
      <c r="CI43" s="15"/>
      <c r="CJ43" s="15"/>
      <c r="CK43" s="15"/>
      <c r="CL43" s="15"/>
      <c r="CM43" s="15"/>
      <c r="CN43" s="15"/>
      <c r="CO43" s="15"/>
      <c r="CP43" s="15"/>
      <c r="CQ43" s="15"/>
      <c r="CR43" s="15"/>
      <c r="CS43" s="15"/>
      <c r="CT43" s="15"/>
      <c r="CU43" s="15"/>
      <c r="CV43" s="15"/>
      <c r="CW43" s="15"/>
      <c r="CX43" s="15"/>
    </row>
    <row r="44" spans="1:102" s="81" customFormat="1" x14ac:dyDescent="0.25">
      <c r="A44" s="15"/>
      <c r="B44" s="203" t="s">
        <v>647</v>
      </c>
      <c r="C44" s="3460">
        <v>0</v>
      </c>
      <c r="D44" s="212">
        <f>C44</f>
        <v>0</v>
      </c>
      <c r="E44" s="212">
        <f t="shared" ref="E44:J44" si="32">D44</f>
        <v>0</v>
      </c>
      <c r="F44" s="212">
        <f t="shared" si="32"/>
        <v>0</v>
      </c>
      <c r="G44" s="212">
        <f t="shared" si="32"/>
        <v>0</v>
      </c>
      <c r="H44" s="212">
        <f t="shared" si="32"/>
        <v>0</v>
      </c>
      <c r="I44" s="212">
        <f t="shared" si="32"/>
        <v>0</v>
      </c>
      <c r="J44" s="222">
        <f t="shared" si="32"/>
        <v>0</v>
      </c>
      <c r="K44" s="256"/>
      <c r="L44" s="3510">
        <f t="shared" si="8"/>
        <v>0</v>
      </c>
      <c r="M44" s="15"/>
      <c r="N44" s="15"/>
      <c r="O44" s="15"/>
      <c r="P44" s="15"/>
      <c r="Q44" s="15"/>
      <c r="R44" s="15"/>
      <c r="S44" s="15"/>
      <c r="T44" s="15"/>
      <c r="U44" s="15"/>
      <c r="V44" s="15"/>
      <c r="W44" s="15"/>
      <c r="X44" s="15"/>
      <c r="Y44" s="15"/>
      <c r="Z44" s="15"/>
      <c r="AA44" s="15"/>
      <c r="AB44" s="15"/>
      <c r="AC44" s="15"/>
      <c r="AD44" s="15"/>
      <c r="AE44" s="15"/>
      <c r="AF44" s="15"/>
      <c r="AG44" s="15"/>
      <c r="AH44" s="15"/>
      <c r="AI44" s="15"/>
      <c r="AJ44" s="15"/>
      <c r="AK44" s="15"/>
      <c r="AL44" s="15"/>
      <c r="AM44" s="15"/>
      <c r="AN44" s="15"/>
      <c r="AO44" s="15"/>
      <c r="AP44" s="15"/>
      <c r="AQ44" s="15"/>
      <c r="AR44" s="15"/>
      <c r="AS44" s="15"/>
      <c r="AT44" s="15"/>
      <c r="AU44" s="15"/>
      <c r="AV44" s="15"/>
      <c r="AW44" s="15"/>
      <c r="AX44" s="15"/>
      <c r="AY44" s="15"/>
      <c r="AZ44" s="15"/>
      <c r="BA44" s="15"/>
      <c r="BB44" s="15"/>
      <c r="BC44" s="15"/>
      <c r="BD44" s="15"/>
      <c r="BE44" s="15"/>
      <c r="BF44" s="15"/>
      <c r="BG44" s="15"/>
      <c r="BH44" s="15"/>
      <c r="BI44" s="15"/>
      <c r="BJ44" s="15"/>
      <c r="BK44" s="15"/>
      <c r="BL44" s="15"/>
      <c r="BM44" s="15"/>
      <c r="BN44" s="15"/>
      <c r="BO44" s="15"/>
      <c r="BP44" s="15"/>
      <c r="BQ44" s="15"/>
      <c r="BR44" s="15"/>
      <c r="BS44" s="15"/>
      <c r="BT44" s="15"/>
      <c r="BU44" s="15"/>
      <c r="BV44" s="15"/>
      <c r="BW44" s="15"/>
      <c r="BX44" s="15"/>
      <c r="BY44" s="15"/>
      <c r="BZ44" s="15"/>
      <c r="CA44" s="15"/>
      <c r="CB44" s="15"/>
      <c r="CC44" s="15"/>
      <c r="CD44" s="15"/>
      <c r="CE44" s="15"/>
      <c r="CF44" s="15"/>
      <c r="CG44" s="15"/>
      <c r="CH44" s="15"/>
      <c r="CI44" s="15"/>
      <c r="CJ44" s="15"/>
      <c r="CK44" s="15"/>
      <c r="CL44" s="15"/>
      <c r="CM44" s="15"/>
      <c r="CN44" s="15"/>
      <c r="CO44" s="15"/>
      <c r="CP44" s="15"/>
      <c r="CQ44" s="15"/>
      <c r="CR44" s="15"/>
      <c r="CS44" s="15"/>
      <c r="CT44" s="15"/>
      <c r="CU44" s="15"/>
      <c r="CV44" s="15"/>
      <c r="CW44" s="15"/>
      <c r="CX44" s="15"/>
    </row>
    <row r="45" spans="1:102" s="81" customFormat="1" x14ac:dyDescent="0.25">
      <c r="A45" s="15"/>
      <c r="B45" s="206" t="s">
        <v>649</v>
      </c>
      <c r="C45" s="211">
        <f>C46+C49</f>
        <v>0</v>
      </c>
      <c r="D45" s="211">
        <f t="shared" ref="D45:J45" si="33">D46+D49</f>
        <v>0</v>
      </c>
      <c r="E45" s="211">
        <f t="shared" si="33"/>
        <v>0</v>
      </c>
      <c r="F45" s="211">
        <f t="shared" si="33"/>
        <v>0</v>
      </c>
      <c r="G45" s="211">
        <f t="shared" si="33"/>
        <v>0</v>
      </c>
      <c r="H45" s="211">
        <f t="shared" si="33"/>
        <v>0</v>
      </c>
      <c r="I45" s="211">
        <f t="shared" si="33"/>
        <v>0</v>
      </c>
      <c r="J45" s="218">
        <f t="shared" si="33"/>
        <v>0</v>
      </c>
      <c r="K45" s="256">
        <v>0.11480199999999999</v>
      </c>
      <c r="L45" s="3510">
        <f t="shared" si="8"/>
        <v>0.11480199999999999</v>
      </c>
      <c r="M45" s="15"/>
      <c r="N45" s="15"/>
      <c r="O45" s="15"/>
      <c r="P45" s="15"/>
      <c r="Q45" s="15"/>
      <c r="R45" s="15"/>
      <c r="S45" s="15"/>
      <c r="T45" s="15"/>
      <c r="U45" s="15"/>
      <c r="V45" s="15"/>
      <c r="W45" s="15"/>
      <c r="X45" s="15"/>
      <c r="Y45" s="15"/>
      <c r="Z45" s="15"/>
      <c r="AA45" s="15"/>
      <c r="AB45" s="15"/>
      <c r="AC45" s="15"/>
      <c r="AD45" s="15"/>
      <c r="AE45" s="15"/>
      <c r="AF45" s="15"/>
      <c r="AG45" s="15"/>
      <c r="AH45" s="15"/>
      <c r="AI45" s="15"/>
      <c r="AJ45" s="15"/>
      <c r="AK45" s="15"/>
      <c r="AL45" s="15"/>
      <c r="AM45" s="15"/>
      <c r="AN45" s="15"/>
      <c r="AO45" s="15"/>
      <c r="AP45" s="15"/>
      <c r="AQ45" s="15"/>
      <c r="AR45" s="15"/>
      <c r="AS45" s="15"/>
      <c r="AT45" s="15"/>
      <c r="AU45" s="15"/>
      <c r="AV45" s="15"/>
      <c r="AW45" s="15"/>
      <c r="AX45" s="15"/>
      <c r="AY45" s="15"/>
      <c r="AZ45" s="15"/>
      <c r="BA45" s="15"/>
      <c r="BB45" s="15"/>
      <c r="BC45" s="15"/>
      <c r="BD45" s="15"/>
      <c r="BE45" s="15"/>
      <c r="BF45" s="15"/>
      <c r="BG45" s="15"/>
      <c r="BH45" s="15"/>
      <c r="BI45" s="15"/>
      <c r="BJ45" s="15"/>
      <c r="BK45" s="15"/>
      <c r="BL45" s="15"/>
      <c r="BM45" s="15"/>
      <c r="BN45" s="15"/>
      <c r="BO45" s="15"/>
      <c r="BP45" s="15"/>
      <c r="BQ45" s="15"/>
      <c r="BR45" s="15"/>
      <c r="BS45" s="15"/>
      <c r="BT45" s="15"/>
      <c r="BU45" s="15"/>
      <c r="BV45" s="15"/>
      <c r="BW45" s="15"/>
      <c r="BX45" s="15"/>
      <c r="BY45" s="15"/>
      <c r="BZ45" s="15"/>
      <c r="CA45" s="15"/>
      <c r="CB45" s="15"/>
      <c r="CC45" s="15"/>
      <c r="CD45" s="15"/>
      <c r="CE45" s="15"/>
      <c r="CF45" s="15"/>
      <c r="CG45" s="15"/>
      <c r="CH45" s="15"/>
      <c r="CI45" s="15"/>
      <c r="CJ45" s="15"/>
      <c r="CK45" s="15"/>
      <c r="CL45" s="15"/>
      <c r="CM45" s="15"/>
      <c r="CN45" s="15"/>
      <c r="CO45" s="15"/>
      <c r="CP45" s="15"/>
      <c r="CQ45" s="15"/>
      <c r="CR45" s="15"/>
      <c r="CS45" s="15"/>
      <c r="CT45" s="15"/>
      <c r="CU45" s="15"/>
      <c r="CV45" s="15"/>
      <c r="CW45" s="15"/>
      <c r="CX45" s="15"/>
    </row>
    <row r="46" spans="1:102" s="81" customFormat="1" x14ac:dyDescent="0.25">
      <c r="A46" s="15"/>
      <c r="B46" s="205" t="s">
        <v>644</v>
      </c>
      <c r="C46" s="213">
        <f>C47+C48</f>
        <v>0</v>
      </c>
      <c r="D46" s="213">
        <f t="shared" ref="D46:J46" si="34">D47+D48</f>
        <v>0</v>
      </c>
      <c r="E46" s="213">
        <f t="shared" si="34"/>
        <v>0</v>
      </c>
      <c r="F46" s="213">
        <f t="shared" si="34"/>
        <v>0</v>
      </c>
      <c r="G46" s="213">
        <f t="shared" si="34"/>
        <v>0</v>
      </c>
      <c r="H46" s="213">
        <f t="shared" si="34"/>
        <v>0</v>
      </c>
      <c r="I46" s="213">
        <f t="shared" si="34"/>
        <v>0</v>
      </c>
      <c r="J46" s="219">
        <f t="shared" si="34"/>
        <v>0</v>
      </c>
      <c r="K46" s="256">
        <v>0.11480199999999999</v>
      </c>
      <c r="L46" s="3510">
        <f t="shared" si="8"/>
        <v>0.11480199999999999</v>
      </c>
      <c r="M46" s="15"/>
      <c r="N46" s="15"/>
      <c r="O46" s="15"/>
      <c r="P46" s="15"/>
      <c r="Q46" s="15"/>
      <c r="R46" s="15"/>
      <c r="S46" s="15"/>
      <c r="T46" s="15"/>
      <c r="U46" s="15"/>
      <c r="V46" s="15"/>
      <c r="W46" s="15"/>
      <c r="X46" s="15"/>
      <c r="Y46" s="15"/>
      <c r="Z46" s="15"/>
      <c r="AA46" s="15"/>
      <c r="AB46" s="15"/>
      <c r="AC46" s="15"/>
      <c r="AD46" s="15"/>
      <c r="AE46" s="15"/>
      <c r="AF46" s="15"/>
      <c r="AG46" s="15"/>
      <c r="AH46" s="15"/>
      <c r="AI46" s="15"/>
      <c r="AJ46" s="15"/>
      <c r="AK46" s="15"/>
      <c r="AL46" s="15"/>
      <c r="AM46" s="15"/>
      <c r="AN46" s="15"/>
      <c r="AO46" s="15"/>
      <c r="AP46" s="15"/>
      <c r="AQ46" s="15"/>
      <c r="AR46" s="15"/>
      <c r="AS46" s="15"/>
      <c r="AT46" s="15"/>
      <c r="AU46" s="15"/>
      <c r="AV46" s="15"/>
      <c r="AW46" s="15"/>
      <c r="AX46" s="15"/>
      <c r="AY46" s="15"/>
      <c r="AZ46" s="15"/>
      <c r="BA46" s="15"/>
      <c r="BB46" s="15"/>
      <c r="BC46" s="15"/>
      <c r="BD46" s="15"/>
      <c r="BE46" s="15"/>
      <c r="BF46" s="15"/>
      <c r="BG46" s="15"/>
      <c r="BH46" s="15"/>
      <c r="BI46" s="15"/>
      <c r="BJ46" s="15"/>
      <c r="BK46" s="15"/>
      <c r="BL46" s="15"/>
      <c r="BM46" s="15"/>
      <c r="BN46" s="15"/>
      <c r="BO46" s="15"/>
      <c r="BP46" s="15"/>
      <c r="BQ46" s="15"/>
      <c r="BR46" s="15"/>
      <c r="BS46" s="15"/>
      <c r="BT46" s="15"/>
      <c r="BU46" s="15"/>
      <c r="BV46" s="15"/>
      <c r="BW46" s="15"/>
      <c r="BX46" s="15"/>
      <c r="BY46" s="15"/>
      <c r="BZ46" s="15"/>
      <c r="CA46" s="15"/>
      <c r="CB46" s="15"/>
      <c r="CC46" s="15"/>
      <c r="CD46" s="15"/>
      <c r="CE46" s="15"/>
      <c r="CF46" s="15"/>
      <c r="CG46" s="15"/>
      <c r="CH46" s="15"/>
      <c r="CI46" s="15"/>
      <c r="CJ46" s="15"/>
      <c r="CK46" s="15"/>
      <c r="CL46" s="15"/>
      <c r="CM46" s="15"/>
      <c r="CN46" s="15"/>
      <c r="CO46" s="15"/>
      <c r="CP46" s="15"/>
      <c r="CQ46" s="15"/>
      <c r="CR46" s="15"/>
      <c r="CS46" s="15"/>
      <c r="CT46" s="15"/>
      <c r="CU46" s="15"/>
      <c r="CV46" s="15"/>
      <c r="CW46" s="15"/>
      <c r="CX46" s="15"/>
    </row>
    <row r="47" spans="1:102" s="81" customFormat="1" x14ac:dyDescent="0.25">
      <c r="A47" s="15"/>
      <c r="B47" s="203" t="s">
        <v>646</v>
      </c>
      <c r="C47" s="3460">
        <f>'[37]Додаток 13'!$K$8</f>
        <v>0</v>
      </c>
      <c r="D47" s="204">
        <f>C47</f>
        <v>0</v>
      </c>
      <c r="E47" s="204">
        <f t="shared" ref="E47:J47" si="35">D47</f>
        <v>0</v>
      </c>
      <c r="F47" s="204">
        <f t="shared" si="35"/>
        <v>0</v>
      </c>
      <c r="G47" s="204">
        <f t="shared" si="35"/>
        <v>0</v>
      </c>
      <c r="H47" s="204">
        <f t="shared" si="35"/>
        <v>0</v>
      </c>
      <c r="I47" s="204">
        <f t="shared" si="35"/>
        <v>0</v>
      </c>
      <c r="J47" s="220">
        <f t="shared" si="35"/>
        <v>0</v>
      </c>
      <c r="K47" s="256">
        <v>0.11480199999999999</v>
      </c>
      <c r="L47" s="3510">
        <f t="shared" si="8"/>
        <v>0.11480199999999999</v>
      </c>
      <c r="M47" s="15"/>
      <c r="N47" s="15"/>
      <c r="O47" s="15"/>
      <c r="P47" s="15"/>
      <c r="Q47" s="15"/>
      <c r="R47" s="15"/>
      <c r="S47" s="15"/>
      <c r="T47" s="15"/>
      <c r="U47" s="15"/>
      <c r="V47" s="15"/>
      <c r="W47" s="15"/>
      <c r="X47" s="15"/>
      <c r="Y47" s="15"/>
      <c r="Z47" s="15"/>
      <c r="AA47" s="15"/>
      <c r="AB47" s="15"/>
      <c r="AC47" s="15"/>
      <c r="AD47" s="15"/>
      <c r="AE47" s="15"/>
      <c r="AF47" s="15"/>
      <c r="AG47" s="15"/>
      <c r="AH47" s="15"/>
      <c r="AI47" s="15"/>
      <c r="AJ47" s="15"/>
      <c r="AK47" s="15"/>
      <c r="AL47" s="15"/>
      <c r="AM47" s="15"/>
      <c r="AN47" s="15"/>
      <c r="AO47" s="15"/>
      <c r="AP47" s="15"/>
      <c r="AQ47" s="15"/>
      <c r="AR47" s="15"/>
      <c r="AS47" s="15"/>
      <c r="AT47" s="15"/>
      <c r="AU47" s="15"/>
      <c r="AV47" s="15"/>
      <c r="AW47" s="15"/>
      <c r="AX47" s="15"/>
      <c r="AY47" s="15"/>
      <c r="AZ47" s="15"/>
      <c r="BA47" s="15"/>
      <c r="BB47" s="15"/>
      <c r="BC47" s="15"/>
      <c r="BD47" s="15"/>
      <c r="BE47" s="15"/>
      <c r="BF47" s="15"/>
      <c r="BG47" s="15"/>
      <c r="BH47" s="15"/>
      <c r="BI47" s="15"/>
      <c r="BJ47" s="15"/>
      <c r="BK47" s="15"/>
      <c r="BL47" s="15"/>
      <c r="BM47" s="15"/>
      <c r="BN47" s="15"/>
      <c r="BO47" s="15"/>
      <c r="BP47" s="15"/>
      <c r="BQ47" s="15"/>
      <c r="BR47" s="15"/>
      <c r="BS47" s="15"/>
      <c r="BT47" s="15"/>
      <c r="BU47" s="15"/>
      <c r="BV47" s="15"/>
      <c r="BW47" s="15"/>
      <c r="BX47" s="15"/>
      <c r="BY47" s="15"/>
      <c r="BZ47" s="15"/>
      <c r="CA47" s="15"/>
      <c r="CB47" s="15"/>
      <c r="CC47" s="15"/>
      <c r="CD47" s="15"/>
      <c r="CE47" s="15"/>
      <c r="CF47" s="15"/>
      <c r="CG47" s="15"/>
      <c r="CH47" s="15"/>
      <c r="CI47" s="15"/>
      <c r="CJ47" s="15"/>
      <c r="CK47" s="15"/>
      <c r="CL47" s="15"/>
      <c r="CM47" s="15"/>
      <c r="CN47" s="15"/>
      <c r="CO47" s="15"/>
      <c r="CP47" s="15"/>
      <c r="CQ47" s="15"/>
      <c r="CR47" s="15"/>
      <c r="CS47" s="15"/>
      <c r="CT47" s="15"/>
      <c r="CU47" s="15"/>
      <c r="CV47" s="15"/>
      <c r="CW47" s="15"/>
      <c r="CX47" s="15"/>
    </row>
    <row r="48" spans="1:102" s="81" customFormat="1" x14ac:dyDescent="0.25">
      <c r="A48" s="15"/>
      <c r="B48" s="203" t="s">
        <v>647</v>
      </c>
      <c r="C48" s="204"/>
      <c r="D48" s="204"/>
      <c r="E48" s="204"/>
      <c r="F48" s="204"/>
      <c r="G48" s="204"/>
      <c r="H48" s="204"/>
      <c r="I48" s="204"/>
      <c r="J48" s="220"/>
      <c r="K48" s="256"/>
      <c r="L48" s="3510">
        <f t="shared" si="8"/>
        <v>0</v>
      </c>
      <c r="M48" s="15"/>
      <c r="N48" s="15"/>
      <c r="O48" s="15"/>
      <c r="P48" s="15"/>
      <c r="Q48" s="15"/>
      <c r="R48" s="15"/>
      <c r="S48" s="15"/>
      <c r="T48" s="15"/>
      <c r="U48" s="15"/>
      <c r="V48" s="15"/>
      <c r="W48" s="15"/>
      <c r="X48" s="15"/>
      <c r="Y48" s="15"/>
      <c r="Z48" s="15"/>
      <c r="AA48" s="15"/>
      <c r="AB48" s="15"/>
      <c r="AC48" s="15"/>
      <c r="AD48" s="15"/>
      <c r="AE48" s="15"/>
      <c r="AF48" s="15"/>
      <c r="AG48" s="15"/>
      <c r="AH48" s="15"/>
      <c r="AI48" s="15"/>
      <c r="AJ48" s="15"/>
      <c r="AK48" s="15"/>
      <c r="AL48" s="15"/>
      <c r="AM48" s="15"/>
      <c r="AN48" s="15"/>
      <c r="AO48" s="15"/>
      <c r="AP48" s="15"/>
      <c r="AQ48" s="15"/>
      <c r="AR48" s="15"/>
      <c r="AS48" s="15"/>
      <c r="AT48" s="15"/>
      <c r="AU48" s="15"/>
      <c r="AV48" s="15"/>
      <c r="AW48" s="15"/>
      <c r="AX48" s="15"/>
      <c r="AY48" s="15"/>
      <c r="AZ48" s="15"/>
      <c r="BA48" s="15"/>
      <c r="BB48" s="15"/>
      <c r="BC48" s="15"/>
      <c r="BD48" s="15"/>
      <c r="BE48" s="15"/>
      <c r="BF48" s="15"/>
      <c r="BG48" s="15"/>
      <c r="BH48" s="15"/>
      <c r="BI48" s="15"/>
      <c r="BJ48" s="15"/>
      <c r="BK48" s="15"/>
      <c r="BL48" s="15"/>
      <c r="BM48" s="15"/>
      <c r="BN48" s="15"/>
      <c r="BO48" s="15"/>
      <c r="BP48" s="15"/>
      <c r="BQ48" s="15"/>
      <c r="BR48" s="15"/>
      <c r="BS48" s="15"/>
      <c r="BT48" s="15"/>
      <c r="BU48" s="15"/>
      <c r="BV48" s="15"/>
      <c r="BW48" s="15"/>
      <c r="BX48" s="15"/>
      <c r="BY48" s="15"/>
      <c r="BZ48" s="15"/>
      <c r="CA48" s="15"/>
      <c r="CB48" s="15"/>
      <c r="CC48" s="15"/>
      <c r="CD48" s="15"/>
      <c r="CE48" s="15"/>
      <c r="CF48" s="15"/>
      <c r="CG48" s="15"/>
      <c r="CH48" s="15"/>
      <c r="CI48" s="15"/>
      <c r="CJ48" s="15"/>
      <c r="CK48" s="15"/>
      <c r="CL48" s="15"/>
      <c r="CM48" s="15"/>
      <c r="CN48" s="15"/>
      <c r="CO48" s="15"/>
      <c r="CP48" s="15"/>
      <c r="CQ48" s="15"/>
      <c r="CR48" s="15"/>
      <c r="CS48" s="15"/>
      <c r="CT48" s="15"/>
      <c r="CU48" s="15"/>
      <c r="CV48" s="15"/>
      <c r="CW48" s="15"/>
      <c r="CX48" s="15"/>
    </row>
    <row r="49" spans="1:102" s="81" customFormat="1" x14ac:dyDescent="0.25">
      <c r="A49" s="15"/>
      <c r="B49" s="205" t="s">
        <v>643</v>
      </c>
      <c r="C49" s="213">
        <f>C50+C51</f>
        <v>0</v>
      </c>
      <c r="D49" s="213">
        <f t="shared" ref="D49:J49" si="36">D50+D51</f>
        <v>0</v>
      </c>
      <c r="E49" s="213">
        <f t="shared" si="36"/>
        <v>0</v>
      </c>
      <c r="F49" s="213">
        <f t="shared" si="36"/>
        <v>0</v>
      </c>
      <c r="G49" s="213">
        <f t="shared" si="36"/>
        <v>0</v>
      </c>
      <c r="H49" s="213">
        <f t="shared" si="36"/>
        <v>0</v>
      </c>
      <c r="I49" s="213">
        <f t="shared" si="36"/>
        <v>0</v>
      </c>
      <c r="J49" s="219">
        <f t="shared" si="36"/>
        <v>0</v>
      </c>
      <c r="K49" s="256">
        <v>0</v>
      </c>
      <c r="L49" s="3510">
        <f t="shared" si="8"/>
        <v>0</v>
      </c>
      <c r="M49" s="15"/>
      <c r="N49" s="15"/>
      <c r="O49" s="15"/>
      <c r="P49" s="15"/>
      <c r="Q49" s="15"/>
      <c r="R49" s="15"/>
      <c r="S49" s="15"/>
      <c r="T49" s="15"/>
      <c r="U49" s="15"/>
      <c r="V49" s="15"/>
      <c r="W49" s="15"/>
      <c r="X49" s="15"/>
      <c r="Y49" s="15"/>
      <c r="Z49" s="15"/>
      <c r="AA49" s="15"/>
      <c r="AB49" s="15"/>
      <c r="AC49" s="15"/>
      <c r="AD49" s="15"/>
      <c r="AE49" s="15"/>
      <c r="AF49" s="15"/>
      <c r="AG49" s="15"/>
      <c r="AH49" s="15"/>
      <c r="AI49" s="15"/>
      <c r="AJ49" s="15"/>
      <c r="AK49" s="15"/>
      <c r="AL49" s="15"/>
      <c r="AM49" s="15"/>
      <c r="AN49" s="15"/>
      <c r="AO49" s="15"/>
      <c r="AP49" s="15"/>
      <c r="AQ49" s="15"/>
      <c r="AR49" s="15"/>
      <c r="AS49" s="15"/>
      <c r="AT49" s="15"/>
      <c r="AU49" s="15"/>
      <c r="AV49" s="15"/>
      <c r="AW49" s="15"/>
      <c r="AX49" s="15"/>
      <c r="AY49" s="15"/>
      <c r="AZ49" s="15"/>
      <c r="BA49" s="15"/>
      <c r="BB49" s="15"/>
      <c r="BC49" s="15"/>
      <c r="BD49" s="15"/>
      <c r="BE49" s="15"/>
      <c r="BF49" s="15"/>
      <c r="BG49" s="15"/>
      <c r="BH49" s="15"/>
      <c r="BI49" s="15"/>
      <c r="BJ49" s="15"/>
      <c r="BK49" s="15"/>
      <c r="BL49" s="15"/>
      <c r="BM49" s="15"/>
      <c r="BN49" s="15"/>
      <c r="BO49" s="15"/>
      <c r="BP49" s="15"/>
      <c r="BQ49" s="15"/>
      <c r="BR49" s="15"/>
      <c r="BS49" s="15"/>
      <c r="BT49" s="15"/>
      <c r="BU49" s="15"/>
      <c r="BV49" s="15"/>
      <c r="BW49" s="15"/>
      <c r="BX49" s="15"/>
      <c r="BY49" s="15"/>
      <c r="BZ49" s="15"/>
      <c r="CA49" s="15"/>
      <c r="CB49" s="15"/>
      <c r="CC49" s="15"/>
      <c r="CD49" s="15"/>
      <c r="CE49" s="15"/>
      <c r="CF49" s="15"/>
      <c r="CG49" s="15"/>
      <c r="CH49" s="15"/>
      <c r="CI49" s="15"/>
      <c r="CJ49" s="15"/>
      <c r="CK49" s="15"/>
      <c r="CL49" s="15"/>
      <c r="CM49" s="15"/>
      <c r="CN49" s="15"/>
      <c r="CO49" s="15"/>
      <c r="CP49" s="15"/>
      <c r="CQ49" s="15"/>
      <c r="CR49" s="15"/>
      <c r="CS49" s="15"/>
      <c r="CT49" s="15"/>
      <c r="CU49" s="15"/>
      <c r="CV49" s="15"/>
      <c r="CW49" s="15"/>
      <c r="CX49" s="15"/>
    </row>
    <row r="50" spans="1:102" s="15" customFormat="1" x14ac:dyDescent="0.25">
      <c r="B50" s="203" t="s">
        <v>646</v>
      </c>
      <c r="C50" s="204"/>
      <c r="D50" s="204"/>
      <c r="E50" s="204"/>
      <c r="F50" s="204"/>
      <c r="G50" s="204"/>
      <c r="H50" s="204"/>
      <c r="I50" s="204"/>
      <c r="J50" s="220"/>
      <c r="K50" s="256"/>
      <c r="L50" s="3510">
        <f t="shared" si="8"/>
        <v>0</v>
      </c>
    </row>
    <row r="51" spans="1:102" s="15" customFormat="1" x14ac:dyDescent="0.25">
      <c r="B51" s="203" t="s">
        <v>647</v>
      </c>
      <c r="C51" s="204"/>
      <c r="D51" s="204"/>
      <c r="E51" s="204"/>
      <c r="F51" s="204"/>
      <c r="G51" s="204"/>
      <c r="H51" s="204"/>
      <c r="I51" s="204"/>
      <c r="J51" s="220"/>
      <c r="K51" s="256"/>
      <c r="L51" s="3510">
        <f t="shared" si="8"/>
        <v>0</v>
      </c>
    </row>
    <row r="52" spans="1:102" s="15" customFormat="1" x14ac:dyDescent="0.25">
      <c r="B52" s="206" t="s">
        <v>645</v>
      </c>
      <c r="C52" s="211">
        <f>C53+C56</f>
        <v>0</v>
      </c>
      <c r="D52" s="211">
        <f t="shared" ref="D52:J52" si="37">D53+D56</f>
        <v>0</v>
      </c>
      <c r="E52" s="211">
        <f t="shared" si="37"/>
        <v>0</v>
      </c>
      <c r="F52" s="211">
        <f t="shared" si="37"/>
        <v>0</v>
      </c>
      <c r="G52" s="211">
        <f t="shared" si="37"/>
        <v>0</v>
      </c>
      <c r="H52" s="211">
        <f t="shared" si="37"/>
        <v>0</v>
      </c>
      <c r="I52" s="211">
        <f t="shared" si="37"/>
        <v>0</v>
      </c>
      <c r="J52" s="218">
        <f t="shared" si="37"/>
        <v>0</v>
      </c>
      <c r="K52" s="256">
        <v>9.6319999999999999E-3</v>
      </c>
      <c r="L52" s="3510">
        <f t="shared" si="8"/>
        <v>9.6319999999999999E-3</v>
      </c>
    </row>
    <row r="53" spans="1:102" s="15" customFormat="1" x14ac:dyDescent="0.25">
      <c r="B53" s="205" t="s">
        <v>644</v>
      </c>
      <c r="C53" s="213">
        <f>C54+C55</f>
        <v>0</v>
      </c>
      <c r="D53" s="213">
        <f t="shared" ref="D53:J53" si="38">D54+D55</f>
        <v>0</v>
      </c>
      <c r="E53" s="213">
        <f t="shared" si="38"/>
        <v>0</v>
      </c>
      <c r="F53" s="213">
        <f t="shared" si="38"/>
        <v>0</v>
      </c>
      <c r="G53" s="213">
        <f t="shared" si="38"/>
        <v>0</v>
      </c>
      <c r="H53" s="213">
        <f t="shared" si="38"/>
        <v>0</v>
      </c>
      <c r="I53" s="213">
        <f t="shared" si="38"/>
        <v>0</v>
      </c>
      <c r="J53" s="219">
        <f t="shared" si="38"/>
        <v>0</v>
      </c>
      <c r="K53" s="256">
        <v>0</v>
      </c>
      <c r="L53" s="3510">
        <f t="shared" si="8"/>
        <v>0</v>
      </c>
    </row>
    <row r="54" spans="1:102" s="15" customFormat="1" x14ac:dyDescent="0.25">
      <c r="B54" s="203" t="s">
        <v>646</v>
      </c>
      <c r="C54" s="204"/>
      <c r="D54" s="204"/>
      <c r="E54" s="204"/>
      <c r="F54" s="204"/>
      <c r="G54" s="204"/>
      <c r="H54" s="204"/>
      <c r="I54" s="204"/>
      <c r="J54" s="220"/>
      <c r="K54" s="256"/>
      <c r="L54" s="3510">
        <f t="shared" si="8"/>
        <v>0</v>
      </c>
    </row>
    <row r="55" spans="1:102" s="15" customFormat="1" x14ac:dyDescent="0.25">
      <c r="B55" s="203" t="s">
        <v>647</v>
      </c>
      <c r="C55" s="204"/>
      <c r="D55" s="204"/>
      <c r="E55" s="204"/>
      <c r="F55" s="204"/>
      <c r="G55" s="204"/>
      <c r="H55" s="204"/>
      <c r="I55" s="204"/>
      <c r="J55" s="220"/>
      <c r="K55" s="256"/>
      <c r="L55" s="3510">
        <f t="shared" si="8"/>
        <v>0</v>
      </c>
    </row>
    <row r="56" spans="1:102" s="15" customFormat="1" x14ac:dyDescent="0.25">
      <c r="B56" s="205" t="s">
        <v>643</v>
      </c>
      <c r="C56" s="270">
        <f>C57+C58</f>
        <v>0</v>
      </c>
      <c r="D56" s="214">
        <f t="shared" ref="D56:J56" si="39">D57+D58</f>
        <v>0</v>
      </c>
      <c r="E56" s="214">
        <f t="shared" si="39"/>
        <v>0</v>
      </c>
      <c r="F56" s="214">
        <f t="shared" si="39"/>
        <v>0</v>
      </c>
      <c r="G56" s="214">
        <f t="shared" si="39"/>
        <v>0</v>
      </c>
      <c r="H56" s="214">
        <f t="shared" si="39"/>
        <v>0</v>
      </c>
      <c r="I56" s="214">
        <f t="shared" si="39"/>
        <v>0</v>
      </c>
      <c r="J56" s="221">
        <f t="shared" si="39"/>
        <v>0</v>
      </c>
      <c r="K56" s="256">
        <v>9.6319999999999999E-3</v>
      </c>
      <c r="L56" s="3510">
        <f t="shared" si="8"/>
        <v>9.6319999999999999E-3</v>
      </c>
    </row>
    <row r="57" spans="1:102" s="15" customFormat="1" x14ac:dyDescent="0.25">
      <c r="B57" s="203" t="s">
        <v>646</v>
      </c>
      <c r="C57" s="3460">
        <f>'[37]Додаток 13'!$L$7</f>
        <v>0</v>
      </c>
      <c r="D57" s="212">
        <f>C57</f>
        <v>0</v>
      </c>
      <c r="E57" s="212">
        <f t="shared" ref="E57:J57" si="40">D57</f>
        <v>0</v>
      </c>
      <c r="F57" s="212">
        <f t="shared" si="40"/>
        <v>0</v>
      </c>
      <c r="G57" s="212">
        <f t="shared" si="40"/>
        <v>0</v>
      </c>
      <c r="H57" s="212">
        <f t="shared" si="40"/>
        <v>0</v>
      </c>
      <c r="I57" s="212">
        <f t="shared" si="40"/>
        <v>0</v>
      </c>
      <c r="J57" s="222">
        <f t="shared" si="40"/>
        <v>0</v>
      </c>
      <c r="K57" s="256">
        <v>9.6319999999999999E-3</v>
      </c>
      <c r="L57" s="3510">
        <f t="shared" si="8"/>
        <v>9.6319999999999999E-3</v>
      </c>
    </row>
    <row r="58" spans="1:102" s="15" customFormat="1" ht="14.4" thickBot="1" x14ac:dyDescent="0.3">
      <c r="B58" s="223" t="s">
        <v>647</v>
      </c>
      <c r="C58" s="224"/>
      <c r="D58" s="224"/>
      <c r="E58" s="224"/>
      <c r="F58" s="224"/>
      <c r="G58" s="224"/>
      <c r="H58" s="224"/>
      <c r="I58" s="224"/>
      <c r="J58" s="225"/>
      <c r="K58" s="2245"/>
      <c r="L58" s="3510">
        <f t="shared" si="8"/>
        <v>0</v>
      </c>
    </row>
    <row r="59" spans="1:102" s="15" customFormat="1" ht="14.4" thickBot="1" x14ac:dyDescent="0.3">
      <c r="B59" s="257" t="s">
        <v>648</v>
      </c>
      <c r="C59" s="275">
        <f t="shared" ref="C59:J59" si="41">C60+C68+C75+C83+C90+C97</f>
        <v>98782.515015949204</v>
      </c>
      <c r="D59" s="275">
        <f t="shared" si="41"/>
        <v>0</v>
      </c>
      <c r="E59" s="275">
        <f t="shared" si="41"/>
        <v>12021.745176350561</v>
      </c>
      <c r="F59" s="275">
        <f t="shared" si="41"/>
        <v>21066.738567039582</v>
      </c>
      <c r="G59" s="275">
        <f t="shared" si="41"/>
        <v>24291.865045667906</v>
      </c>
      <c r="H59" s="275">
        <f t="shared" si="41"/>
        <v>20771.189530334083</v>
      </c>
      <c r="I59" s="275">
        <f t="shared" si="41"/>
        <v>18619.36211733221</v>
      </c>
      <c r="J59" s="275">
        <f t="shared" si="41"/>
        <v>2011.6234984999442</v>
      </c>
      <c r="K59" s="3457">
        <v>98795.806691909063</v>
      </c>
      <c r="L59" s="3510">
        <f t="shared" si="8"/>
        <v>13.291675959859276</v>
      </c>
      <c r="M59" s="2239">
        <f>C90</f>
        <v>0</v>
      </c>
      <c r="N59" s="2315">
        <f>M59+L59</f>
        <v>13.291675959859276</v>
      </c>
    </row>
    <row r="60" spans="1:102" s="15" customFormat="1" ht="27.6" x14ac:dyDescent="0.25">
      <c r="B60" s="217" t="s">
        <v>650</v>
      </c>
      <c r="C60" s="236">
        <f t="shared" ref="C60:J60" si="42">C61+C64</f>
        <v>68803.615488089985</v>
      </c>
      <c r="D60" s="236">
        <f t="shared" si="42"/>
        <v>0</v>
      </c>
      <c r="E60" s="236">
        <f t="shared" si="42"/>
        <v>8373.3326802765423</v>
      </c>
      <c r="F60" s="236">
        <f t="shared" si="42"/>
        <v>14673.324391609782</v>
      </c>
      <c r="G60" s="236">
        <f t="shared" si="42"/>
        <v>16919.683812483501</v>
      </c>
      <c r="H60" s="236">
        <f t="shared" si="42"/>
        <v>14467.471889562763</v>
      </c>
      <c r="I60" s="236">
        <f t="shared" si="42"/>
        <v>12968.682052571927</v>
      </c>
      <c r="J60" s="237">
        <f t="shared" si="42"/>
        <v>1401.1268740235153</v>
      </c>
      <c r="K60" s="3512">
        <v>82049.342543694656</v>
      </c>
      <c r="L60" s="2315">
        <f>K60-C60-C68</f>
        <v>-3.2741809263825417E-11</v>
      </c>
      <c r="M60" s="271"/>
    </row>
    <row r="61" spans="1:102" s="15" customFormat="1" x14ac:dyDescent="0.25">
      <c r="B61" s="205" t="s">
        <v>642</v>
      </c>
      <c r="C61" s="292">
        <f>C62+C63</f>
        <v>11370.363961374938</v>
      </c>
      <c r="D61" s="292">
        <f t="shared" ref="D61:J61" si="43">D62+D63</f>
        <v>0</v>
      </c>
      <c r="E61" s="292">
        <f t="shared" si="43"/>
        <v>1383.7549418954009</v>
      </c>
      <c r="F61" s="292">
        <f t="shared" si="43"/>
        <v>2424.8888227740927</v>
      </c>
      <c r="G61" s="292">
        <f t="shared" si="43"/>
        <v>2796.1254357546959</v>
      </c>
      <c r="H61" s="292">
        <f t="shared" si="43"/>
        <v>2390.8723095799764</v>
      </c>
      <c r="I61" s="292">
        <f t="shared" si="43"/>
        <v>2143.1771597127963</v>
      </c>
      <c r="J61" s="293">
        <f t="shared" si="43"/>
        <v>231.54631833449145</v>
      </c>
      <c r="K61" s="3512">
        <v>13668.480880145038</v>
      </c>
      <c r="L61" s="2315">
        <f>K61-C61-C69</f>
        <v>0</v>
      </c>
      <c r="M61" s="1622">
        <f>SUM(D61:J61)</f>
        <v>11370.364988051453</v>
      </c>
      <c r="N61" s="2315">
        <f>M61-C61</f>
        <v>1.0266765148116974E-3</v>
      </c>
    </row>
    <row r="62" spans="1:102" s="15" customFormat="1" x14ac:dyDescent="0.25">
      <c r="B62" s="203" t="s">
        <v>729</v>
      </c>
      <c r="C62" s="238">
        <f>(C17-C18)*C12</f>
        <v>11368.374738750057</v>
      </c>
      <c r="D62" s="238">
        <f t="shared" ref="D62:J62" si="44">(D17-D18)*D12</f>
        <v>0</v>
      </c>
      <c r="E62" s="238">
        <f t="shared" si="44"/>
        <v>1383.5237820640748</v>
      </c>
      <c r="F62" s="238">
        <f t="shared" si="44"/>
        <v>2424.4628505717396</v>
      </c>
      <c r="G62" s="238">
        <f t="shared" si="44"/>
        <v>2795.6235959542114</v>
      </c>
      <c r="H62" s="238">
        <f t="shared" si="44"/>
        <v>2390.4487995287118</v>
      </c>
      <c r="I62" s="238">
        <f t="shared" si="44"/>
        <v>2142.8087593837304</v>
      </c>
      <c r="J62" s="239">
        <f t="shared" si="44"/>
        <v>231.5079777142883</v>
      </c>
      <c r="K62" s="3512"/>
      <c r="L62" s="2315"/>
    </row>
    <row r="63" spans="1:102" s="15" customFormat="1" x14ac:dyDescent="0.25">
      <c r="B63" s="203" t="s">
        <v>711</v>
      </c>
      <c r="C63" s="3506">
        <f>C18*C11</f>
        <v>1.9892226248811038</v>
      </c>
      <c r="D63" s="238">
        <f t="shared" ref="D63:J63" si="45">D18*D11</f>
        <v>0</v>
      </c>
      <c r="E63" s="238">
        <f t="shared" si="45"/>
        <v>0.23115983132616233</v>
      </c>
      <c r="F63" s="238">
        <f t="shared" si="45"/>
        <v>0.42597220235299066</v>
      </c>
      <c r="G63" s="238">
        <f t="shared" si="45"/>
        <v>0.50183980048448729</v>
      </c>
      <c r="H63" s="238">
        <f t="shared" si="45"/>
        <v>0.42351005126479424</v>
      </c>
      <c r="I63" s="238">
        <f t="shared" si="45"/>
        <v>0.36840032906578668</v>
      </c>
      <c r="J63" s="239">
        <f t="shared" si="45"/>
        <v>3.8340620203152119E-2</v>
      </c>
      <c r="K63" s="3575"/>
      <c r="L63" s="2315"/>
    </row>
    <row r="64" spans="1:102" s="15" customFormat="1" x14ac:dyDescent="0.25">
      <c r="B64" s="205" t="s">
        <v>643</v>
      </c>
      <c r="C64" s="292">
        <f t="shared" ref="C64:J64" si="46">C65+C67</f>
        <v>57433.251526715045</v>
      </c>
      <c r="D64" s="292">
        <f t="shared" si="46"/>
        <v>0</v>
      </c>
      <c r="E64" s="292">
        <f t="shared" si="46"/>
        <v>6989.5777383811419</v>
      </c>
      <c r="F64" s="292">
        <f t="shared" si="46"/>
        <v>12248.435568835688</v>
      </c>
      <c r="G64" s="292">
        <f t="shared" si="46"/>
        <v>14123.558376728806</v>
      </c>
      <c r="H64" s="292">
        <f t="shared" si="46"/>
        <v>12076.599579982787</v>
      </c>
      <c r="I64" s="292">
        <f t="shared" si="46"/>
        <v>10825.504892859131</v>
      </c>
      <c r="J64" s="293">
        <f t="shared" si="46"/>
        <v>1169.5805556890239</v>
      </c>
      <c r="K64" s="3512">
        <v>68380.861663549615</v>
      </c>
      <c r="L64" s="2315">
        <f>K64-C64-C72</f>
        <v>-3.4560798667371273E-11</v>
      </c>
    </row>
    <row r="65" spans="1:102" s="15" customFormat="1" x14ac:dyDescent="0.25">
      <c r="B65" s="203" t="s">
        <v>729</v>
      </c>
      <c r="C65" s="238">
        <f>(C20-C21)*C12</f>
        <v>57431.163860543049</v>
      </c>
      <c r="D65" s="238">
        <f t="shared" ref="D65:J65" si="47">(D20-D21)*D12</f>
        <v>0</v>
      </c>
      <c r="E65" s="238">
        <f t="shared" si="47"/>
        <v>6989.3351388077472</v>
      </c>
      <c r="F65" s="238">
        <f t="shared" si="47"/>
        <v>12247.988515928719</v>
      </c>
      <c r="G65" s="238">
        <f t="shared" si="47"/>
        <v>14123.031701653765</v>
      </c>
      <c r="H65" s="238">
        <f t="shared" si="47"/>
        <v>12076.15511107495</v>
      </c>
      <c r="I65" s="238">
        <f t="shared" si="47"/>
        <v>10825.1182609683</v>
      </c>
      <c r="J65" s="239">
        <f t="shared" si="47"/>
        <v>1169.5403176509026</v>
      </c>
      <c r="K65" s="256"/>
      <c r="L65" s="272"/>
    </row>
    <row r="66" spans="1:102" s="15" customFormat="1" x14ac:dyDescent="0.25">
      <c r="B66" s="285" t="s">
        <v>766</v>
      </c>
      <c r="C66" s="294">
        <f>C22*C12</f>
        <v>161.37132337520001</v>
      </c>
      <c r="D66" s="294">
        <f t="shared" ref="D66:J66" si="48">D22*D12</f>
        <v>0</v>
      </c>
      <c r="E66" s="294">
        <f t="shared" si="48"/>
        <v>19.638784677966104</v>
      </c>
      <c r="F66" s="294">
        <f t="shared" si="48"/>
        <v>34.414662399999997</v>
      </c>
      <c r="G66" s="294">
        <f t="shared" si="48"/>
        <v>39.683199200000004</v>
      </c>
      <c r="H66" s="294">
        <f t="shared" si="48"/>
        <v>33.931841191489369</v>
      </c>
      <c r="I66" s="294">
        <f t="shared" si="48"/>
        <v>30.416650857142852</v>
      </c>
      <c r="J66" s="295">
        <f t="shared" si="48"/>
        <v>3.2861996190476193</v>
      </c>
      <c r="K66" s="2246"/>
    </row>
    <row r="67" spans="1:102" s="15" customFormat="1" ht="14.4" thickBot="1" x14ac:dyDescent="0.3">
      <c r="B67" s="223" t="s">
        <v>711</v>
      </c>
      <c r="C67" s="240">
        <f t="shared" ref="C67:J67" si="49">C21*C11</f>
        <v>2.0876661719963812</v>
      </c>
      <c r="D67" s="240">
        <f t="shared" si="49"/>
        <v>0</v>
      </c>
      <c r="E67" s="240">
        <f t="shared" si="49"/>
        <v>0.24259957339509078</v>
      </c>
      <c r="F67" s="240">
        <f t="shared" si="49"/>
        <v>0.44705290696977107</v>
      </c>
      <c r="G67" s="240">
        <f t="shared" si="49"/>
        <v>0.52667507504118449</v>
      </c>
      <c r="H67" s="240">
        <f t="shared" si="49"/>
        <v>0.44446890783720594</v>
      </c>
      <c r="I67" s="240">
        <f t="shared" si="49"/>
        <v>0.38663189083169969</v>
      </c>
      <c r="J67" s="241">
        <f t="shared" si="49"/>
        <v>4.0238038121181062E-2</v>
      </c>
      <c r="K67" s="2245"/>
    </row>
    <row r="68" spans="1:102" s="15" customFormat="1" ht="28.2" thickBot="1" x14ac:dyDescent="0.3">
      <c r="B68" s="216" t="s">
        <v>651</v>
      </c>
      <c r="C68" s="226">
        <f t="shared" ref="C68:J68" si="50">C69+C72</f>
        <v>13245.727055604704</v>
      </c>
      <c r="D68" s="226">
        <f t="shared" si="50"/>
        <v>0</v>
      </c>
      <c r="E68" s="226">
        <f t="shared" si="50"/>
        <v>1611.9963330988476</v>
      </c>
      <c r="F68" s="226">
        <f t="shared" si="50"/>
        <v>2824.8341485141332</v>
      </c>
      <c r="G68" s="226">
        <f t="shared" si="50"/>
        <v>3257.2876909130669</v>
      </c>
      <c r="H68" s="226">
        <f t="shared" si="50"/>
        <v>2785.2030801754331</v>
      </c>
      <c r="I68" s="226">
        <f t="shared" si="50"/>
        <v>2496.6682231550471</v>
      </c>
      <c r="J68" s="227">
        <f t="shared" si="50"/>
        <v>269.73877572368258</v>
      </c>
      <c r="K68" s="3513"/>
    </row>
    <row r="69" spans="1:102" s="15" customFormat="1" x14ac:dyDescent="0.25">
      <c r="B69" s="215" t="s">
        <v>642</v>
      </c>
      <c r="C69" s="228">
        <f t="shared" ref="C69:J69" si="51">C70+C71</f>
        <v>2298.1169187701007</v>
      </c>
      <c r="D69" s="228">
        <f t="shared" si="51"/>
        <v>0</v>
      </c>
      <c r="E69" s="228">
        <f t="shared" si="51"/>
        <v>279.6793283251526</v>
      </c>
      <c r="F69" s="228">
        <f t="shared" si="51"/>
        <v>490.10515784959995</v>
      </c>
      <c r="G69" s="228">
        <f t="shared" si="51"/>
        <v>565.13530139680006</v>
      </c>
      <c r="H69" s="228">
        <f t="shared" si="51"/>
        <v>483.22921753497877</v>
      </c>
      <c r="I69" s="228">
        <f t="shared" si="51"/>
        <v>433.16878417485708</v>
      </c>
      <c r="J69" s="235">
        <f t="shared" si="51"/>
        <v>46.799336988952383</v>
      </c>
      <c r="K69" s="2247"/>
    </row>
    <row r="70" spans="1:102" x14ac:dyDescent="0.25">
      <c r="B70" s="203" t="s">
        <v>646</v>
      </c>
      <c r="C70" s="229">
        <f>C25*$C$12</f>
        <v>2298.1169187701007</v>
      </c>
      <c r="D70" s="229">
        <f>D25*$D$12</f>
        <v>0</v>
      </c>
      <c r="E70" s="229">
        <f>E25*$E$12</f>
        <v>279.6793283251526</v>
      </c>
      <c r="F70" s="229">
        <f>F25*$F$12</f>
        <v>490.10515784959995</v>
      </c>
      <c r="G70" s="229">
        <f>G25*$G$12</f>
        <v>565.13530139680006</v>
      </c>
      <c r="H70" s="229">
        <f>H25*$H$12</f>
        <v>483.22921753497877</v>
      </c>
      <c r="I70" s="229">
        <f>I25*$I$12</f>
        <v>433.16878417485708</v>
      </c>
      <c r="J70" s="232">
        <f>J25*$J$12</f>
        <v>46.799336988952383</v>
      </c>
      <c r="K70" s="256"/>
    </row>
    <row r="71" spans="1:102" x14ac:dyDescent="0.25">
      <c r="B71" s="203" t="s">
        <v>647</v>
      </c>
      <c r="C71" s="229">
        <f>C26*$C$12</f>
        <v>0</v>
      </c>
      <c r="D71" s="229">
        <f>D26*$D$12</f>
        <v>0</v>
      </c>
      <c r="E71" s="229">
        <f>E26*$E$12</f>
        <v>0</v>
      </c>
      <c r="F71" s="229">
        <f>F26*$F$12</f>
        <v>0</v>
      </c>
      <c r="G71" s="229">
        <f>G26*$G$12</f>
        <v>0</v>
      </c>
      <c r="H71" s="229">
        <f>H26*$H$12</f>
        <v>0</v>
      </c>
      <c r="I71" s="229">
        <f>I26*$I$12</f>
        <v>0</v>
      </c>
      <c r="J71" s="232">
        <f>J26*$J$12</f>
        <v>0</v>
      </c>
      <c r="K71" s="256"/>
    </row>
    <row r="72" spans="1:102" s="15" customFormat="1" x14ac:dyDescent="0.25">
      <c r="B72" s="205" t="s">
        <v>643</v>
      </c>
      <c r="C72" s="228">
        <f t="shared" ref="C72:J72" si="52">C73+C74</f>
        <v>10947.610136834604</v>
      </c>
      <c r="D72" s="228">
        <f t="shared" si="52"/>
        <v>0</v>
      </c>
      <c r="E72" s="228">
        <f t="shared" si="52"/>
        <v>1332.3170047736951</v>
      </c>
      <c r="F72" s="228">
        <f t="shared" si="52"/>
        <v>2334.7289906645333</v>
      </c>
      <c r="G72" s="228">
        <f t="shared" si="52"/>
        <v>2692.1523895162668</v>
      </c>
      <c r="H72" s="228">
        <f t="shared" si="52"/>
        <v>2301.9738626404542</v>
      </c>
      <c r="I72" s="228">
        <f t="shared" si="52"/>
        <v>2063.49943898019</v>
      </c>
      <c r="J72" s="235">
        <f t="shared" si="52"/>
        <v>222.93943873473017</v>
      </c>
      <c r="K72" s="256"/>
    </row>
    <row r="73" spans="1:102" s="15" customFormat="1" x14ac:dyDescent="0.25">
      <c r="B73" s="203" t="s">
        <v>646</v>
      </c>
      <c r="C73" s="229">
        <f>C28*$C$12</f>
        <v>10947.610136834604</v>
      </c>
      <c r="D73" s="229">
        <f>D28*$D$12</f>
        <v>0</v>
      </c>
      <c r="E73" s="229">
        <f>E28*$E$12</f>
        <v>1332.3170047736951</v>
      </c>
      <c r="F73" s="229">
        <f>F28*$F$12</f>
        <v>2334.7289906645333</v>
      </c>
      <c r="G73" s="229">
        <f>G28*$G$12</f>
        <v>2692.1523895162668</v>
      </c>
      <c r="H73" s="229">
        <f>H28*$H$12</f>
        <v>2301.9738626404542</v>
      </c>
      <c r="I73" s="229">
        <f>I28*$I$12</f>
        <v>2063.49943898019</v>
      </c>
      <c r="J73" s="232">
        <f>J28*$J$12</f>
        <v>222.93943873473017</v>
      </c>
      <c r="K73" s="256"/>
    </row>
    <row r="74" spans="1:102" s="15" customFormat="1" x14ac:dyDescent="0.25">
      <c r="B74" s="203" t="s">
        <v>647</v>
      </c>
      <c r="C74" s="229">
        <f>C29*$C$12</f>
        <v>0</v>
      </c>
      <c r="D74" s="229">
        <f>D29*$D$12</f>
        <v>0</v>
      </c>
      <c r="E74" s="229">
        <f>E29*$E$12</f>
        <v>0</v>
      </c>
      <c r="F74" s="229">
        <f>F29*$F$12</f>
        <v>0</v>
      </c>
      <c r="G74" s="229">
        <f>G29*$G$12</f>
        <v>0</v>
      </c>
      <c r="H74" s="229">
        <f>H29*$H$12</f>
        <v>0</v>
      </c>
      <c r="I74" s="229">
        <f>I29*$I$12</f>
        <v>0</v>
      </c>
      <c r="J74" s="232">
        <f>J29*$J$12</f>
        <v>0</v>
      </c>
      <c r="K74" s="256"/>
    </row>
    <row r="75" spans="1:102" s="80" customFormat="1" x14ac:dyDescent="0.25">
      <c r="A75" s="15"/>
      <c r="B75" s="206" t="s">
        <v>640</v>
      </c>
      <c r="C75" s="207">
        <f t="shared" ref="C75:J75" si="53">C76+C79</f>
        <v>12519.553368115807</v>
      </c>
      <c r="D75" s="230">
        <f t="shared" si="53"/>
        <v>0</v>
      </c>
      <c r="E75" s="230">
        <f t="shared" si="53"/>
        <v>1523.6214695288138</v>
      </c>
      <c r="F75" s="230">
        <f t="shared" si="53"/>
        <v>2669.9675850133335</v>
      </c>
      <c r="G75" s="230">
        <f t="shared" si="53"/>
        <v>3078.7126226066671</v>
      </c>
      <c r="H75" s="230">
        <f t="shared" si="53"/>
        <v>2632.5092202879437</v>
      </c>
      <c r="I75" s="230">
        <f t="shared" si="53"/>
        <v>2359.7927792904757</v>
      </c>
      <c r="J75" s="231">
        <f t="shared" si="53"/>
        <v>254.95082179682541</v>
      </c>
      <c r="K75" s="3514">
        <v>12519.55336811581</v>
      </c>
      <c r="L75" s="2314">
        <f>K75-C75</f>
        <v>0</v>
      </c>
      <c r="M75" s="15"/>
      <c r="N75" s="15"/>
      <c r="O75" s="15"/>
      <c r="P75" s="15"/>
      <c r="Q75" s="15"/>
      <c r="R75" s="15"/>
      <c r="S75" s="15"/>
      <c r="T75" s="15"/>
      <c r="U75" s="15"/>
      <c r="V75" s="15"/>
      <c r="W75" s="15"/>
      <c r="X75" s="15"/>
      <c r="Y75" s="15"/>
      <c r="Z75" s="15"/>
      <c r="AA75" s="15"/>
      <c r="AB75" s="15"/>
      <c r="AC75" s="15"/>
      <c r="AD75" s="15"/>
      <c r="AE75" s="15"/>
      <c r="AF75" s="15"/>
      <c r="AG75" s="15"/>
      <c r="AH75" s="15"/>
      <c r="AI75" s="15"/>
      <c r="AJ75" s="15"/>
      <c r="AK75" s="15"/>
      <c r="AL75" s="15"/>
      <c r="AM75" s="15"/>
      <c r="AN75" s="15"/>
      <c r="AO75" s="15"/>
      <c r="AP75" s="15"/>
      <c r="AQ75" s="15"/>
      <c r="AR75" s="15"/>
      <c r="AS75" s="15"/>
      <c r="AT75" s="15"/>
      <c r="AU75" s="15"/>
      <c r="AV75" s="15"/>
      <c r="AW75" s="15"/>
      <c r="AX75" s="15"/>
      <c r="AY75" s="15"/>
      <c r="AZ75" s="15"/>
      <c r="BA75" s="15"/>
      <c r="BB75" s="15"/>
      <c r="BC75" s="15"/>
      <c r="BD75" s="15"/>
      <c r="BE75" s="15"/>
      <c r="BF75" s="15"/>
      <c r="BG75" s="15"/>
      <c r="BH75" s="15"/>
      <c r="BI75" s="15"/>
      <c r="BJ75" s="15"/>
      <c r="BK75" s="15"/>
      <c r="BL75" s="15"/>
      <c r="BM75" s="15"/>
      <c r="BN75" s="15"/>
      <c r="BO75" s="15"/>
      <c r="BP75" s="15"/>
      <c r="BQ75" s="15"/>
      <c r="BR75" s="15"/>
      <c r="BS75" s="15"/>
      <c r="BT75" s="15"/>
      <c r="BU75" s="15"/>
      <c r="BV75" s="15"/>
      <c r="BW75" s="15"/>
      <c r="BX75" s="15"/>
      <c r="BY75" s="15"/>
      <c r="BZ75" s="15"/>
      <c r="CA75" s="15"/>
      <c r="CB75" s="15"/>
      <c r="CC75" s="15"/>
      <c r="CD75" s="15"/>
      <c r="CE75" s="15"/>
      <c r="CF75" s="15"/>
      <c r="CG75" s="15"/>
      <c r="CH75" s="15"/>
      <c r="CI75" s="15"/>
      <c r="CJ75" s="15"/>
      <c r="CK75" s="15"/>
      <c r="CL75" s="15"/>
      <c r="CM75" s="15"/>
      <c r="CN75" s="15"/>
      <c r="CO75" s="15"/>
      <c r="CP75" s="15"/>
      <c r="CQ75" s="15"/>
      <c r="CR75" s="15"/>
      <c r="CS75" s="15"/>
      <c r="CT75" s="15"/>
      <c r="CU75" s="15"/>
      <c r="CV75" s="15"/>
      <c r="CW75" s="15"/>
      <c r="CX75" s="15"/>
    </row>
    <row r="76" spans="1:102" s="81" customFormat="1" x14ac:dyDescent="0.25">
      <c r="A76" s="15"/>
      <c r="B76" s="205" t="s">
        <v>642</v>
      </c>
      <c r="C76" s="228">
        <f t="shared" ref="C76:J76" si="54">C77+C78</f>
        <v>2010.4763849136</v>
      </c>
      <c r="D76" s="228">
        <f t="shared" si="54"/>
        <v>0</v>
      </c>
      <c r="E76" s="228">
        <f t="shared" si="54"/>
        <v>244.67366318644071</v>
      </c>
      <c r="F76" s="228">
        <f t="shared" si="54"/>
        <v>428.76184319999993</v>
      </c>
      <c r="G76" s="228">
        <f t="shared" si="54"/>
        <v>494.40094560000006</v>
      </c>
      <c r="H76" s="228">
        <f t="shared" si="54"/>
        <v>422.74652017021282</v>
      </c>
      <c r="I76" s="228">
        <f t="shared" si="54"/>
        <v>378.95182971428562</v>
      </c>
      <c r="J76" s="235">
        <f t="shared" si="54"/>
        <v>40.941764571428571</v>
      </c>
      <c r="K76" s="256"/>
      <c r="L76" s="15"/>
      <c r="M76" s="15"/>
      <c r="N76" s="15"/>
      <c r="O76" s="15"/>
      <c r="P76" s="15"/>
      <c r="Q76" s="15"/>
      <c r="R76" s="15"/>
      <c r="S76" s="15"/>
      <c r="T76" s="15"/>
      <c r="U76" s="15"/>
      <c r="V76" s="15"/>
      <c r="W76" s="15"/>
      <c r="X76" s="15"/>
      <c r="Y76" s="15"/>
      <c r="Z76" s="15"/>
      <c r="AA76" s="15"/>
      <c r="AB76" s="15"/>
      <c r="AC76" s="15"/>
      <c r="AD76" s="15"/>
      <c r="AE76" s="15"/>
      <c r="AF76" s="15"/>
      <c r="AG76" s="15"/>
      <c r="AH76" s="15"/>
      <c r="AI76" s="15"/>
      <c r="AJ76" s="15"/>
      <c r="AK76" s="15"/>
      <c r="AL76" s="15"/>
      <c r="AM76" s="15"/>
      <c r="AN76" s="15"/>
      <c r="AO76" s="15"/>
      <c r="AP76" s="15"/>
      <c r="AQ76" s="15"/>
      <c r="AR76" s="15"/>
      <c r="AS76" s="15"/>
      <c r="AT76" s="15"/>
      <c r="AU76" s="15"/>
      <c r="AV76" s="15"/>
      <c r="AW76" s="15"/>
      <c r="AX76" s="15"/>
      <c r="AY76" s="15"/>
      <c r="AZ76" s="15"/>
      <c r="BA76" s="15"/>
      <c r="BB76" s="15"/>
      <c r="BC76" s="15"/>
      <c r="BD76" s="15"/>
      <c r="BE76" s="15"/>
      <c r="BF76" s="15"/>
      <c r="BG76" s="15"/>
      <c r="BH76" s="15"/>
      <c r="BI76" s="15"/>
      <c r="BJ76" s="15"/>
      <c r="BK76" s="15"/>
      <c r="BL76" s="15"/>
      <c r="BM76" s="15"/>
      <c r="BN76" s="15"/>
      <c r="BO76" s="15"/>
      <c r="BP76" s="15"/>
      <c r="BQ76" s="15"/>
      <c r="BR76" s="15"/>
      <c r="BS76" s="15"/>
      <c r="BT76" s="15"/>
      <c r="BU76" s="15"/>
      <c r="BV76" s="15"/>
      <c r="BW76" s="15"/>
      <c r="BX76" s="15"/>
      <c r="BY76" s="15"/>
      <c r="BZ76" s="15"/>
      <c r="CA76" s="15"/>
      <c r="CB76" s="15"/>
      <c r="CC76" s="15"/>
      <c r="CD76" s="15"/>
      <c r="CE76" s="15"/>
      <c r="CF76" s="15"/>
      <c r="CG76" s="15"/>
      <c r="CH76" s="15"/>
      <c r="CI76" s="15"/>
      <c r="CJ76" s="15"/>
      <c r="CK76" s="15"/>
      <c r="CL76" s="15"/>
      <c r="CM76" s="15"/>
      <c r="CN76" s="15"/>
      <c r="CO76" s="15"/>
      <c r="CP76" s="15"/>
      <c r="CQ76" s="15"/>
      <c r="CR76" s="15"/>
      <c r="CS76" s="15"/>
      <c r="CT76" s="15"/>
      <c r="CU76" s="15"/>
      <c r="CV76" s="15"/>
      <c r="CW76" s="15"/>
      <c r="CX76" s="15"/>
    </row>
    <row r="77" spans="1:102" s="81" customFormat="1" x14ac:dyDescent="0.25">
      <c r="A77" s="15"/>
      <c r="B77" s="203" t="s">
        <v>646</v>
      </c>
      <c r="C77" s="229">
        <f>C32*$C$12</f>
        <v>2010.4763849136</v>
      </c>
      <c r="D77" s="229">
        <f>D32*$D$12</f>
        <v>0</v>
      </c>
      <c r="E77" s="229">
        <f>E32*$E$12</f>
        <v>244.67366318644071</v>
      </c>
      <c r="F77" s="229">
        <f>F32*$F$12</f>
        <v>428.76184319999993</v>
      </c>
      <c r="G77" s="229">
        <f>G32*$G$12</f>
        <v>494.40094560000006</v>
      </c>
      <c r="H77" s="229">
        <f>H32*$H$12</f>
        <v>422.74652017021282</v>
      </c>
      <c r="I77" s="229">
        <f>I32*$I$12</f>
        <v>378.95182971428562</v>
      </c>
      <c r="J77" s="232">
        <f>J32*$J$12</f>
        <v>40.941764571428571</v>
      </c>
      <c r="K77" s="256"/>
      <c r="L77" s="15"/>
      <c r="M77" s="15"/>
      <c r="N77" s="15"/>
      <c r="O77" s="15"/>
      <c r="P77" s="15"/>
      <c r="Q77" s="15"/>
      <c r="R77" s="15"/>
      <c r="S77" s="15"/>
      <c r="T77" s="15"/>
      <c r="U77" s="15"/>
      <c r="V77" s="15"/>
      <c r="W77" s="15"/>
      <c r="X77" s="15"/>
      <c r="Y77" s="15"/>
      <c r="Z77" s="15"/>
      <c r="AA77" s="15"/>
      <c r="AB77" s="15"/>
      <c r="AC77" s="15"/>
      <c r="AD77" s="15"/>
      <c r="AE77" s="15"/>
      <c r="AF77" s="15"/>
      <c r="AG77" s="15"/>
      <c r="AH77" s="15"/>
      <c r="AI77" s="15"/>
      <c r="AJ77" s="15"/>
      <c r="AK77" s="15"/>
      <c r="AL77" s="15"/>
      <c r="AM77" s="15"/>
      <c r="AN77" s="15"/>
      <c r="AO77" s="15"/>
      <c r="AP77" s="15"/>
      <c r="AQ77" s="15"/>
      <c r="AR77" s="15"/>
      <c r="AS77" s="15"/>
      <c r="AT77" s="15"/>
      <c r="AU77" s="15"/>
      <c r="AV77" s="15"/>
      <c r="AW77" s="15"/>
      <c r="AX77" s="15"/>
      <c r="AY77" s="15"/>
      <c r="AZ77" s="15"/>
      <c r="BA77" s="15"/>
      <c r="BB77" s="15"/>
      <c r="BC77" s="15"/>
      <c r="BD77" s="15"/>
      <c r="BE77" s="15"/>
      <c r="BF77" s="15"/>
      <c r="BG77" s="15"/>
      <c r="BH77" s="15"/>
      <c r="BI77" s="15"/>
      <c r="BJ77" s="15"/>
      <c r="BK77" s="15"/>
      <c r="BL77" s="15"/>
      <c r="BM77" s="15"/>
      <c r="BN77" s="15"/>
      <c r="BO77" s="15"/>
      <c r="BP77" s="15"/>
      <c r="BQ77" s="15"/>
      <c r="BR77" s="15"/>
      <c r="BS77" s="15"/>
      <c r="BT77" s="15"/>
      <c r="BU77" s="15"/>
      <c r="BV77" s="15"/>
      <c r="BW77" s="15"/>
      <c r="BX77" s="15"/>
      <c r="BY77" s="15"/>
      <c r="BZ77" s="15"/>
      <c r="CA77" s="15"/>
      <c r="CB77" s="15"/>
      <c r="CC77" s="15"/>
      <c r="CD77" s="15"/>
      <c r="CE77" s="15"/>
      <c r="CF77" s="15"/>
      <c r="CG77" s="15"/>
      <c r="CH77" s="15"/>
      <c r="CI77" s="15"/>
      <c r="CJ77" s="15"/>
      <c r="CK77" s="15"/>
      <c r="CL77" s="15"/>
      <c r="CM77" s="15"/>
      <c r="CN77" s="15"/>
      <c r="CO77" s="15"/>
      <c r="CP77" s="15"/>
      <c r="CQ77" s="15"/>
      <c r="CR77" s="15"/>
      <c r="CS77" s="15"/>
      <c r="CT77" s="15"/>
      <c r="CU77" s="15"/>
      <c r="CV77" s="15"/>
      <c r="CW77" s="15"/>
      <c r="CX77" s="15"/>
    </row>
    <row r="78" spans="1:102" s="81" customFormat="1" x14ac:dyDescent="0.25">
      <c r="A78" s="15"/>
      <c r="B78" s="203" t="s">
        <v>647</v>
      </c>
      <c r="C78" s="229">
        <f>C33*$C$12</f>
        <v>0</v>
      </c>
      <c r="D78" s="229">
        <f>D33*$D$12</f>
        <v>0</v>
      </c>
      <c r="E78" s="229">
        <f>E33*$E$12</f>
        <v>0</v>
      </c>
      <c r="F78" s="229">
        <f>F33*$F$12</f>
        <v>0</v>
      </c>
      <c r="G78" s="229">
        <f>G33*$G$12</f>
        <v>0</v>
      </c>
      <c r="H78" s="229">
        <f>H33*$H$12</f>
        <v>0</v>
      </c>
      <c r="I78" s="229">
        <f>I33*$I$12</f>
        <v>0</v>
      </c>
      <c r="J78" s="229">
        <f>J33*$I$12</f>
        <v>0</v>
      </c>
      <c r="K78" s="256"/>
      <c r="L78" s="15"/>
      <c r="M78" s="15"/>
      <c r="N78" s="15"/>
      <c r="O78" s="15"/>
      <c r="P78" s="15"/>
      <c r="Q78" s="15"/>
      <c r="R78" s="15"/>
      <c r="S78" s="15"/>
      <c r="T78" s="15"/>
      <c r="U78" s="15"/>
      <c r="V78" s="15"/>
      <c r="W78" s="15"/>
      <c r="X78" s="15"/>
      <c r="Y78" s="15"/>
      <c r="Z78" s="15"/>
      <c r="AA78" s="15"/>
      <c r="AB78" s="15"/>
      <c r="AC78" s="15"/>
      <c r="AD78" s="15"/>
      <c r="AE78" s="15"/>
      <c r="AF78" s="15"/>
      <c r="AG78" s="15"/>
      <c r="AH78" s="15"/>
      <c r="AI78" s="15"/>
      <c r="AJ78" s="15"/>
      <c r="AK78" s="15"/>
      <c r="AL78" s="15"/>
      <c r="AM78" s="15"/>
      <c r="AN78" s="15"/>
      <c r="AO78" s="15"/>
      <c r="AP78" s="15"/>
      <c r="AQ78" s="15"/>
      <c r="AR78" s="15"/>
      <c r="AS78" s="15"/>
      <c r="AT78" s="15"/>
      <c r="AU78" s="15"/>
      <c r="AV78" s="15"/>
      <c r="AW78" s="15"/>
      <c r="AX78" s="15"/>
      <c r="AY78" s="15"/>
      <c r="AZ78" s="15"/>
      <c r="BA78" s="15"/>
      <c r="BB78" s="15"/>
      <c r="BC78" s="15"/>
      <c r="BD78" s="15"/>
      <c r="BE78" s="15"/>
      <c r="BF78" s="15"/>
      <c r="BG78" s="15"/>
      <c r="BH78" s="15"/>
      <c r="BI78" s="15"/>
      <c r="BJ78" s="15"/>
      <c r="BK78" s="15"/>
      <c r="BL78" s="15"/>
      <c r="BM78" s="15"/>
      <c r="BN78" s="15"/>
      <c r="BO78" s="15"/>
      <c r="BP78" s="15"/>
      <c r="BQ78" s="15"/>
      <c r="BR78" s="15"/>
      <c r="BS78" s="15"/>
      <c r="BT78" s="15"/>
      <c r="BU78" s="15"/>
      <c r="BV78" s="15"/>
      <c r="BW78" s="15"/>
      <c r="BX78" s="15"/>
      <c r="BY78" s="15"/>
      <c r="BZ78" s="15"/>
      <c r="CA78" s="15"/>
      <c r="CB78" s="15"/>
      <c r="CC78" s="15"/>
      <c r="CD78" s="15"/>
      <c r="CE78" s="15"/>
      <c r="CF78" s="15"/>
      <c r="CG78" s="15"/>
      <c r="CH78" s="15"/>
      <c r="CI78" s="15"/>
      <c r="CJ78" s="15"/>
      <c r="CK78" s="15"/>
      <c r="CL78" s="15"/>
      <c r="CM78" s="15"/>
      <c r="CN78" s="15"/>
      <c r="CO78" s="15"/>
      <c r="CP78" s="15"/>
      <c r="CQ78" s="15"/>
      <c r="CR78" s="15"/>
      <c r="CS78" s="15"/>
      <c r="CT78" s="15"/>
      <c r="CU78" s="15"/>
      <c r="CV78" s="15"/>
      <c r="CW78" s="15"/>
      <c r="CX78" s="15"/>
    </row>
    <row r="79" spans="1:102" s="81" customFormat="1" x14ac:dyDescent="0.25">
      <c r="A79" s="15"/>
      <c r="B79" s="205" t="s">
        <v>643</v>
      </c>
      <c r="C79" s="228">
        <f t="shared" ref="C79:J79" si="55">C80+C82</f>
        <v>10509.076983202207</v>
      </c>
      <c r="D79" s="228">
        <f t="shared" si="55"/>
        <v>0</v>
      </c>
      <c r="E79" s="228">
        <f t="shared" si="55"/>
        <v>1278.947806342373</v>
      </c>
      <c r="F79" s="228">
        <f t="shared" si="55"/>
        <v>2241.2057418133336</v>
      </c>
      <c r="G79" s="228">
        <f t="shared" si="55"/>
        <v>2584.3116770066672</v>
      </c>
      <c r="H79" s="228">
        <f t="shared" si="55"/>
        <v>2209.7627001177307</v>
      </c>
      <c r="I79" s="228">
        <f t="shared" si="55"/>
        <v>1980.8409495761903</v>
      </c>
      <c r="J79" s="235">
        <f t="shared" si="55"/>
        <v>214.00905722539684</v>
      </c>
      <c r="K79" s="256"/>
      <c r="L79" s="15"/>
      <c r="M79" s="15"/>
      <c r="N79" s="15"/>
      <c r="O79" s="15"/>
      <c r="P79" s="15"/>
      <c r="Q79" s="15"/>
      <c r="R79" s="15"/>
      <c r="S79" s="15"/>
      <c r="T79" s="15"/>
      <c r="U79" s="15"/>
      <c r="V79" s="15"/>
      <c r="W79" s="15"/>
      <c r="X79" s="15"/>
      <c r="Y79" s="15"/>
      <c r="Z79" s="15"/>
      <c r="AA79" s="15"/>
      <c r="AB79" s="15"/>
      <c r="AC79" s="15"/>
      <c r="AD79" s="15"/>
      <c r="AE79" s="15"/>
      <c r="AF79" s="15"/>
      <c r="AG79" s="15"/>
      <c r="AH79" s="15"/>
      <c r="AI79" s="15"/>
      <c r="AJ79" s="15"/>
      <c r="AK79" s="15"/>
      <c r="AL79" s="15"/>
      <c r="AM79" s="15"/>
      <c r="AN79" s="15"/>
      <c r="AO79" s="15"/>
      <c r="AP79" s="15"/>
      <c r="AQ79" s="15"/>
      <c r="AR79" s="15"/>
      <c r="AS79" s="15"/>
      <c r="AT79" s="15"/>
      <c r="AU79" s="15"/>
      <c r="AV79" s="15"/>
      <c r="AW79" s="15"/>
      <c r="AX79" s="15"/>
      <c r="AY79" s="15"/>
      <c r="AZ79" s="15"/>
      <c r="BA79" s="15"/>
      <c r="BB79" s="15"/>
      <c r="BC79" s="15"/>
      <c r="BD79" s="15"/>
      <c r="BE79" s="15"/>
      <c r="BF79" s="15"/>
      <c r="BG79" s="15"/>
      <c r="BH79" s="15"/>
      <c r="BI79" s="15"/>
      <c r="BJ79" s="15"/>
      <c r="BK79" s="15"/>
      <c r="BL79" s="15"/>
      <c r="BM79" s="15"/>
      <c r="BN79" s="15"/>
      <c r="BO79" s="15"/>
      <c r="BP79" s="15"/>
      <c r="BQ79" s="15"/>
      <c r="BR79" s="15"/>
      <c r="BS79" s="15"/>
      <c r="BT79" s="15"/>
      <c r="BU79" s="15"/>
      <c r="BV79" s="15"/>
      <c r="BW79" s="15"/>
      <c r="BX79" s="15"/>
      <c r="BY79" s="15"/>
      <c r="BZ79" s="15"/>
      <c r="CA79" s="15"/>
      <c r="CB79" s="15"/>
      <c r="CC79" s="15"/>
      <c r="CD79" s="15"/>
      <c r="CE79" s="15"/>
      <c r="CF79" s="15"/>
      <c r="CG79" s="15"/>
      <c r="CH79" s="15"/>
      <c r="CI79" s="15"/>
      <c r="CJ79" s="15"/>
      <c r="CK79" s="15"/>
      <c r="CL79" s="15"/>
      <c r="CM79" s="15"/>
      <c r="CN79" s="15"/>
      <c r="CO79" s="15"/>
      <c r="CP79" s="15"/>
      <c r="CQ79" s="15"/>
      <c r="CR79" s="15"/>
      <c r="CS79" s="15"/>
      <c r="CT79" s="15"/>
      <c r="CU79" s="15"/>
      <c r="CV79" s="15"/>
      <c r="CW79" s="15"/>
      <c r="CX79" s="15"/>
    </row>
    <row r="80" spans="1:102" s="81" customFormat="1" x14ac:dyDescent="0.25">
      <c r="A80" s="15"/>
      <c r="B80" s="203" t="s">
        <v>646</v>
      </c>
      <c r="C80" s="229">
        <f>C35*$C$12</f>
        <v>10437.319596375541</v>
      </c>
      <c r="D80" s="229">
        <f>D35*$D$12</f>
        <v>0</v>
      </c>
      <c r="E80" s="229">
        <f>E35*$E$12</f>
        <v>1270.214979223729</v>
      </c>
      <c r="F80" s="229">
        <f>F35*$F$12</f>
        <v>2225.9024884800001</v>
      </c>
      <c r="G80" s="229">
        <f>G35*$G$12</f>
        <v>2566.6656503400004</v>
      </c>
      <c r="H80" s="229">
        <f>H35*$H$12</f>
        <v>2194.674144089362</v>
      </c>
      <c r="I80" s="229">
        <f>I35*$I$12</f>
        <v>1967.3155019571427</v>
      </c>
      <c r="J80" s="232">
        <f>J35*$J$12</f>
        <v>212.5477746857143</v>
      </c>
      <c r="K80" s="256"/>
      <c r="L80" s="15"/>
      <c r="M80" s="15"/>
      <c r="N80" s="15"/>
      <c r="O80" s="15"/>
      <c r="P80" s="15"/>
      <c r="Q80" s="15"/>
      <c r="R80" s="15"/>
      <c r="S80" s="15"/>
      <c r="T80" s="15"/>
      <c r="U80" s="15"/>
      <c r="V80" s="15"/>
      <c r="W80" s="15"/>
      <c r="X80" s="15"/>
      <c r="Y80" s="15"/>
      <c r="Z80" s="15"/>
      <c r="AA80" s="15"/>
      <c r="AB80" s="15"/>
      <c r="AC80" s="15"/>
      <c r="AD80" s="15"/>
      <c r="AE80" s="15"/>
      <c r="AF80" s="15"/>
      <c r="AG80" s="15"/>
      <c r="AH80" s="15"/>
      <c r="AI80" s="15"/>
      <c r="AJ80" s="15"/>
      <c r="AK80" s="15"/>
      <c r="AL80" s="15"/>
      <c r="AM80" s="15"/>
      <c r="AN80" s="15"/>
      <c r="AO80" s="15"/>
      <c r="AP80" s="15"/>
      <c r="AQ80" s="15"/>
      <c r="AR80" s="15"/>
      <c r="AS80" s="15"/>
      <c r="AT80" s="15"/>
      <c r="AU80" s="15"/>
      <c r="AV80" s="15"/>
      <c r="AW80" s="15"/>
      <c r="AX80" s="15"/>
      <c r="AY80" s="15"/>
      <c r="AZ80" s="15"/>
      <c r="BA80" s="15"/>
      <c r="BB80" s="15"/>
      <c r="BC80" s="15"/>
      <c r="BD80" s="15"/>
      <c r="BE80" s="15"/>
      <c r="BF80" s="15"/>
      <c r="BG80" s="15"/>
      <c r="BH80" s="15"/>
      <c r="BI80" s="15"/>
      <c r="BJ80" s="15"/>
      <c r="BK80" s="15"/>
      <c r="BL80" s="15"/>
      <c r="BM80" s="15"/>
      <c r="BN80" s="15"/>
      <c r="BO80" s="15"/>
      <c r="BP80" s="15"/>
      <c r="BQ80" s="15"/>
      <c r="BR80" s="15"/>
      <c r="BS80" s="15"/>
      <c r="BT80" s="15"/>
      <c r="BU80" s="15"/>
      <c r="BV80" s="15"/>
      <c r="BW80" s="15"/>
      <c r="BX80" s="15"/>
      <c r="BY80" s="15"/>
      <c r="BZ80" s="15"/>
      <c r="CA80" s="15"/>
      <c r="CB80" s="15"/>
      <c r="CC80" s="15"/>
      <c r="CD80" s="15"/>
      <c r="CE80" s="15"/>
      <c r="CF80" s="15"/>
      <c r="CG80" s="15"/>
      <c r="CH80" s="15"/>
      <c r="CI80" s="15"/>
      <c r="CJ80" s="15"/>
      <c r="CK80" s="15"/>
      <c r="CL80" s="15"/>
      <c r="CM80" s="15"/>
      <c r="CN80" s="15"/>
      <c r="CO80" s="15"/>
      <c r="CP80" s="15"/>
      <c r="CQ80" s="15"/>
      <c r="CR80" s="15"/>
      <c r="CS80" s="15"/>
      <c r="CT80" s="15"/>
      <c r="CU80" s="15"/>
      <c r="CV80" s="15"/>
      <c r="CW80" s="15"/>
      <c r="CX80" s="15"/>
    </row>
    <row r="81" spans="1:102" s="81" customFormat="1" x14ac:dyDescent="0.25">
      <c r="A81" s="15"/>
      <c r="B81" s="288" t="s">
        <v>766</v>
      </c>
      <c r="C81" s="289">
        <f>SUM(D81:J81)</f>
        <v>317.94045033929211</v>
      </c>
      <c r="D81" s="289">
        <f>D36*D12</f>
        <v>0</v>
      </c>
      <c r="E81" s="289">
        <f t="shared" ref="E81:J81" si="56">E36*E12</f>
        <v>38.693141694915255</v>
      </c>
      <c r="F81" s="289">
        <f t="shared" si="56"/>
        <v>67.805183999999983</v>
      </c>
      <c r="G81" s="289">
        <f t="shared" si="56"/>
        <v>78.185472000000004</v>
      </c>
      <c r="H81" s="289">
        <f t="shared" si="56"/>
        <v>66.853909787234045</v>
      </c>
      <c r="I81" s="289">
        <f t="shared" si="56"/>
        <v>59.928137142857132</v>
      </c>
      <c r="J81" s="289">
        <f t="shared" si="56"/>
        <v>6.4746057142857136</v>
      </c>
      <c r="K81" s="256"/>
      <c r="L81" s="15"/>
      <c r="M81" s="15"/>
      <c r="N81" s="15"/>
      <c r="O81" s="15"/>
      <c r="P81" s="15"/>
      <c r="Q81" s="15"/>
      <c r="R81" s="15"/>
      <c r="S81" s="15"/>
      <c r="T81" s="15"/>
      <c r="U81" s="15"/>
      <c r="V81" s="15"/>
      <c r="W81" s="15"/>
      <c r="X81" s="15"/>
      <c r="Y81" s="15"/>
      <c r="Z81" s="15"/>
      <c r="AA81" s="15"/>
      <c r="AB81" s="15"/>
      <c r="AC81" s="15"/>
      <c r="AD81" s="15"/>
      <c r="AE81" s="15"/>
      <c r="AF81" s="15"/>
      <c r="AG81" s="15"/>
      <c r="AH81" s="15"/>
      <c r="AI81" s="15"/>
      <c r="AJ81" s="15"/>
      <c r="AK81" s="15"/>
      <c r="AL81" s="15"/>
      <c r="AM81" s="15"/>
      <c r="AN81" s="15"/>
      <c r="AO81" s="15"/>
      <c r="AP81" s="15"/>
      <c r="AQ81" s="15"/>
      <c r="AR81" s="15"/>
      <c r="AS81" s="15"/>
      <c r="AT81" s="15"/>
      <c r="AU81" s="15"/>
      <c r="AV81" s="15"/>
      <c r="AW81" s="15"/>
      <c r="AX81" s="15"/>
      <c r="AY81" s="15"/>
      <c r="AZ81" s="15"/>
      <c r="BA81" s="15"/>
      <c r="BB81" s="15"/>
      <c r="BC81" s="15"/>
      <c r="BD81" s="15"/>
      <c r="BE81" s="15"/>
      <c r="BF81" s="15"/>
      <c r="BG81" s="15"/>
      <c r="BH81" s="15"/>
      <c r="BI81" s="15"/>
      <c r="BJ81" s="15"/>
      <c r="BK81" s="15"/>
      <c r="BL81" s="15"/>
      <c r="BM81" s="15"/>
      <c r="BN81" s="15"/>
      <c r="BO81" s="15"/>
      <c r="BP81" s="15"/>
      <c r="BQ81" s="15"/>
      <c r="BR81" s="15"/>
      <c r="BS81" s="15"/>
      <c r="BT81" s="15"/>
      <c r="BU81" s="15"/>
      <c r="BV81" s="15"/>
      <c r="BW81" s="15"/>
      <c r="BX81" s="15"/>
      <c r="BY81" s="15"/>
      <c r="BZ81" s="15"/>
      <c r="CA81" s="15"/>
      <c r="CB81" s="15"/>
      <c r="CC81" s="15"/>
      <c r="CD81" s="15"/>
      <c r="CE81" s="15"/>
      <c r="CF81" s="15"/>
      <c r="CG81" s="15"/>
      <c r="CH81" s="15"/>
      <c r="CI81" s="15"/>
      <c r="CJ81" s="15"/>
      <c r="CK81" s="15"/>
      <c r="CL81" s="15"/>
      <c r="CM81" s="15"/>
      <c r="CN81" s="15"/>
      <c r="CO81" s="15"/>
      <c r="CP81" s="15"/>
      <c r="CQ81" s="15"/>
      <c r="CR81" s="15"/>
      <c r="CS81" s="15"/>
      <c r="CT81" s="15"/>
      <c r="CU81" s="15"/>
      <c r="CV81" s="15"/>
      <c r="CW81" s="15"/>
      <c r="CX81" s="15"/>
    </row>
    <row r="82" spans="1:102" s="81" customFormat="1" x14ac:dyDescent="0.25">
      <c r="A82" s="15"/>
      <c r="B82" s="203" t="s">
        <v>647</v>
      </c>
      <c r="C82" s="229">
        <f>C37*$C$12</f>
        <v>71.757386826666661</v>
      </c>
      <c r="D82" s="229">
        <f>D37*$D$12</f>
        <v>0</v>
      </c>
      <c r="E82" s="229">
        <f>E37*$E$12</f>
        <v>8.7328271186440674</v>
      </c>
      <c r="F82" s="229">
        <f>F37*$F$12</f>
        <v>15.30325333333333</v>
      </c>
      <c r="G82" s="229">
        <f>G37*$G$12</f>
        <v>17.646026666666668</v>
      </c>
      <c r="H82" s="229">
        <f>H37*$H$12</f>
        <v>15.088556028368796</v>
      </c>
      <c r="I82" s="229">
        <f>I37*$I$12</f>
        <v>13.525447619047616</v>
      </c>
      <c r="J82" s="232">
        <f>J37*$J$12</f>
        <v>1.4612825396825395</v>
      </c>
      <c r="K82" s="256"/>
      <c r="L82" s="15"/>
      <c r="M82" s="15"/>
      <c r="N82" s="15"/>
      <c r="O82" s="15"/>
      <c r="P82" s="15"/>
      <c r="Q82" s="15"/>
      <c r="R82" s="15"/>
      <c r="S82" s="15"/>
      <c r="T82" s="15"/>
      <c r="U82" s="15"/>
      <c r="V82" s="15"/>
      <c r="W82" s="15"/>
      <c r="X82" s="15"/>
      <c r="Y82" s="15"/>
      <c r="Z82" s="15"/>
      <c r="AA82" s="15"/>
      <c r="AB82" s="15"/>
      <c r="AC82" s="15"/>
      <c r="AD82" s="15"/>
      <c r="AE82" s="15"/>
      <c r="AF82" s="15"/>
      <c r="AG82" s="15"/>
      <c r="AH82" s="15"/>
      <c r="AI82" s="15"/>
      <c r="AJ82" s="15"/>
      <c r="AK82" s="15"/>
      <c r="AL82" s="15"/>
      <c r="AM82" s="15"/>
      <c r="AN82" s="15"/>
      <c r="AO82" s="15"/>
      <c r="AP82" s="15"/>
      <c r="AQ82" s="15"/>
      <c r="AR82" s="15"/>
      <c r="AS82" s="15"/>
      <c r="AT82" s="15"/>
      <c r="AU82" s="15"/>
      <c r="AV82" s="15"/>
      <c r="AW82" s="15"/>
      <c r="AX82" s="15"/>
      <c r="AY82" s="15"/>
      <c r="AZ82" s="15"/>
      <c r="BA82" s="15"/>
      <c r="BB82" s="15"/>
      <c r="BC82" s="15"/>
      <c r="BD82" s="15"/>
      <c r="BE82" s="15"/>
      <c r="BF82" s="15"/>
      <c r="BG82" s="15"/>
      <c r="BH82" s="15"/>
      <c r="BI82" s="15"/>
      <c r="BJ82" s="15"/>
      <c r="BK82" s="15"/>
      <c r="BL82" s="15"/>
      <c r="BM82" s="15"/>
      <c r="BN82" s="15"/>
      <c r="BO82" s="15"/>
      <c r="BP82" s="15"/>
      <c r="BQ82" s="15"/>
      <c r="BR82" s="15"/>
      <c r="BS82" s="15"/>
      <c r="BT82" s="15"/>
      <c r="BU82" s="15"/>
      <c r="BV82" s="15"/>
      <c r="BW82" s="15"/>
      <c r="BX82" s="15"/>
      <c r="BY82" s="15"/>
      <c r="BZ82" s="15"/>
      <c r="CA82" s="15"/>
      <c r="CB82" s="15"/>
      <c r="CC82" s="15"/>
      <c r="CD82" s="15"/>
      <c r="CE82" s="15"/>
      <c r="CF82" s="15"/>
      <c r="CG82" s="15"/>
      <c r="CH82" s="15"/>
      <c r="CI82" s="15"/>
      <c r="CJ82" s="15"/>
      <c r="CK82" s="15"/>
      <c r="CL82" s="15"/>
      <c r="CM82" s="15"/>
      <c r="CN82" s="15"/>
      <c r="CO82" s="15"/>
      <c r="CP82" s="15"/>
      <c r="CQ82" s="15"/>
      <c r="CR82" s="15"/>
      <c r="CS82" s="15"/>
      <c r="CT82" s="15"/>
      <c r="CU82" s="15"/>
      <c r="CV82" s="15"/>
      <c r="CW82" s="15"/>
      <c r="CX82" s="15"/>
    </row>
    <row r="83" spans="1:102" s="81" customFormat="1" x14ac:dyDescent="0.25">
      <c r="A83" s="15"/>
      <c r="B83" s="206" t="s">
        <v>641</v>
      </c>
      <c r="C83" s="3576">
        <f t="shared" ref="C83:J83" si="57">C84+C87</f>
        <v>4213.6191041387119</v>
      </c>
      <c r="D83" s="230">
        <f t="shared" si="57"/>
        <v>0</v>
      </c>
      <c r="E83" s="230">
        <f t="shared" si="57"/>
        <v>512.79469344635595</v>
      </c>
      <c r="F83" s="230">
        <f t="shared" si="57"/>
        <v>898.61244190233322</v>
      </c>
      <c r="G83" s="230">
        <f t="shared" si="57"/>
        <v>1036.1809196646666</v>
      </c>
      <c r="H83" s="230">
        <f t="shared" si="57"/>
        <v>886.00534030794324</v>
      </c>
      <c r="I83" s="230">
        <f t="shared" si="57"/>
        <v>794.21906231476191</v>
      </c>
      <c r="J83" s="231">
        <f t="shared" si="57"/>
        <v>85.807026955920634</v>
      </c>
      <c r="K83" s="3514">
        <v>4213.6191041387128</v>
      </c>
      <c r="L83" s="2313">
        <f>K83-C83</f>
        <v>0</v>
      </c>
      <c r="M83" s="15"/>
      <c r="N83" s="15"/>
      <c r="O83" s="15"/>
      <c r="P83" s="15"/>
      <c r="Q83" s="15"/>
      <c r="R83" s="15"/>
      <c r="S83" s="15"/>
      <c r="T83" s="15"/>
      <c r="U83" s="15"/>
      <c r="V83" s="15"/>
      <c r="W83" s="15"/>
      <c r="X83" s="15"/>
      <c r="Y83" s="15"/>
      <c r="Z83" s="15"/>
      <c r="AA83" s="15"/>
      <c r="AB83" s="15"/>
      <c r="AC83" s="15"/>
      <c r="AD83" s="15"/>
      <c r="AE83" s="15"/>
      <c r="AF83" s="15"/>
      <c r="AG83" s="15"/>
      <c r="AH83" s="15"/>
      <c r="AI83" s="15"/>
      <c r="AJ83" s="15"/>
      <c r="AK83" s="15"/>
      <c r="AL83" s="15"/>
      <c r="AM83" s="15"/>
      <c r="AN83" s="15"/>
      <c r="AO83" s="15"/>
      <c r="AP83" s="15"/>
      <c r="AQ83" s="15"/>
      <c r="AR83" s="15"/>
      <c r="AS83" s="15"/>
      <c r="AT83" s="15"/>
      <c r="AU83" s="15"/>
      <c r="AV83" s="15"/>
      <c r="AW83" s="15"/>
      <c r="AX83" s="15"/>
      <c r="AY83" s="15"/>
      <c r="AZ83" s="15"/>
      <c r="BA83" s="15"/>
      <c r="BB83" s="15"/>
      <c r="BC83" s="15"/>
      <c r="BD83" s="15"/>
      <c r="BE83" s="15"/>
      <c r="BF83" s="15"/>
      <c r="BG83" s="15"/>
      <c r="BH83" s="15"/>
      <c r="BI83" s="15"/>
      <c r="BJ83" s="15"/>
      <c r="BK83" s="15"/>
      <c r="BL83" s="15"/>
      <c r="BM83" s="15"/>
      <c r="BN83" s="15"/>
      <c r="BO83" s="15"/>
      <c r="BP83" s="15"/>
      <c r="BQ83" s="15"/>
      <c r="BR83" s="15"/>
      <c r="BS83" s="15"/>
      <c r="BT83" s="15"/>
      <c r="BU83" s="15"/>
      <c r="BV83" s="15"/>
      <c r="BW83" s="15"/>
      <c r="BX83" s="15"/>
      <c r="BY83" s="15"/>
      <c r="BZ83" s="15"/>
      <c r="CA83" s="15"/>
      <c r="CB83" s="15"/>
      <c r="CC83" s="15"/>
      <c r="CD83" s="15"/>
      <c r="CE83" s="15"/>
      <c r="CF83" s="15"/>
      <c r="CG83" s="15"/>
      <c r="CH83" s="15"/>
      <c r="CI83" s="15"/>
      <c r="CJ83" s="15"/>
      <c r="CK83" s="15"/>
      <c r="CL83" s="15"/>
      <c r="CM83" s="15"/>
      <c r="CN83" s="15"/>
      <c r="CO83" s="15"/>
      <c r="CP83" s="15"/>
      <c r="CQ83" s="15"/>
      <c r="CR83" s="15"/>
      <c r="CS83" s="15"/>
      <c r="CT83" s="15"/>
      <c r="CU83" s="15"/>
      <c r="CV83" s="15"/>
      <c r="CW83" s="15"/>
      <c r="CX83" s="15"/>
    </row>
    <row r="84" spans="1:102" s="81" customFormat="1" x14ac:dyDescent="0.25">
      <c r="A84" s="15"/>
      <c r="B84" s="205" t="s">
        <v>642</v>
      </c>
      <c r="C84" s="228">
        <f t="shared" ref="C84:J84" si="58">C85+C86</f>
        <v>769.25616016375056</v>
      </c>
      <c r="D84" s="228">
        <f t="shared" si="58"/>
        <v>0</v>
      </c>
      <c r="E84" s="228">
        <f t="shared" si="58"/>
        <v>93.617972361355925</v>
      </c>
      <c r="F84" s="228">
        <f t="shared" si="58"/>
        <v>164.0544955413333</v>
      </c>
      <c r="G84" s="228">
        <f t="shared" si="58"/>
        <v>189.16957983066663</v>
      </c>
      <c r="H84" s="228">
        <f t="shared" si="58"/>
        <v>161.75288964794325</v>
      </c>
      <c r="I84" s="228">
        <f t="shared" si="58"/>
        <v>144.99599776476185</v>
      </c>
      <c r="J84" s="235">
        <f t="shared" si="58"/>
        <v>15.665294474920632</v>
      </c>
      <c r="K84" s="256"/>
      <c r="L84" s="15"/>
      <c r="M84" s="15"/>
      <c r="N84" s="15"/>
      <c r="O84" s="15"/>
      <c r="P84" s="15"/>
      <c r="Q84" s="15"/>
      <c r="R84" s="15"/>
      <c r="S84" s="15"/>
      <c r="T84" s="15"/>
      <c r="U84" s="15"/>
      <c r="V84" s="15"/>
      <c r="W84" s="15"/>
      <c r="X84" s="15"/>
      <c r="Y84" s="15"/>
      <c r="Z84" s="15"/>
      <c r="AA84" s="15"/>
      <c r="AB84" s="15"/>
      <c r="AC84" s="15"/>
      <c r="AD84" s="15"/>
      <c r="AE84" s="15"/>
      <c r="AF84" s="15"/>
      <c r="AG84" s="15"/>
      <c r="AH84" s="15"/>
      <c r="AI84" s="15"/>
      <c r="AJ84" s="15"/>
      <c r="AK84" s="15"/>
      <c r="AL84" s="15"/>
      <c r="AM84" s="15"/>
      <c r="AN84" s="15"/>
      <c r="AO84" s="15"/>
      <c r="AP84" s="15"/>
      <c r="AQ84" s="15"/>
      <c r="AR84" s="15"/>
      <c r="AS84" s="15"/>
      <c r="AT84" s="15"/>
      <c r="AU84" s="15"/>
      <c r="AV84" s="15"/>
      <c r="AW84" s="15"/>
      <c r="AX84" s="15"/>
      <c r="AY84" s="15"/>
      <c r="AZ84" s="15"/>
      <c r="BA84" s="15"/>
      <c r="BB84" s="15"/>
      <c r="BC84" s="15"/>
      <c r="BD84" s="15"/>
      <c r="BE84" s="15"/>
      <c r="BF84" s="15"/>
      <c r="BG84" s="15"/>
      <c r="BH84" s="15"/>
      <c r="BI84" s="15"/>
      <c r="BJ84" s="15"/>
      <c r="BK84" s="15"/>
      <c r="BL84" s="15"/>
      <c r="BM84" s="15"/>
      <c r="BN84" s="15"/>
      <c r="BO84" s="15"/>
      <c r="BP84" s="15"/>
      <c r="BQ84" s="15"/>
      <c r="BR84" s="15"/>
      <c r="BS84" s="15"/>
      <c r="BT84" s="15"/>
      <c r="BU84" s="15"/>
      <c r="BV84" s="15"/>
      <c r="BW84" s="15"/>
      <c r="BX84" s="15"/>
      <c r="BY84" s="15"/>
      <c r="BZ84" s="15"/>
      <c r="CA84" s="15"/>
      <c r="CB84" s="15"/>
      <c r="CC84" s="15"/>
      <c r="CD84" s="15"/>
      <c r="CE84" s="15"/>
      <c r="CF84" s="15"/>
      <c r="CG84" s="15"/>
      <c r="CH84" s="15"/>
      <c r="CI84" s="15"/>
      <c r="CJ84" s="15"/>
      <c r="CK84" s="15"/>
      <c r="CL84" s="15"/>
      <c r="CM84" s="15"/>
      <c r="CN84" s="15"/>
      <c r="CO84" s="15"/>
      <c r="CP84" s="15"/>
      <c r="CQ84" s="15"/>
      <c r="CR84" s="15"/>
      <c r="CS84" s="15"/>
      <c r="CT84" s="15"/>
      <c r="CU84" s="15"/>
      <c r="CV84" s="15"/>
      <c r="CW84" s="15"/>
      <c r="CX84" s="15"/>
    </row>
    <row r="85" spans="1:102" s="15" customFormat="1" x14ac:dyDescent="0.25">
      <c r="B85" s="203" t="s">
        <v>646</v>
      </c>
      <c r="C85" s="229">
        <f>C40*$C$12</f>
        <v>769.25616016375056</v>
      </c>
      <c r="D85" s="229">
        <f>D40*$D$12</f>
        <v>0</v>
      </c>
      <c r="E85" s="229">
        <f>E40*$E$12</f>
        <v>93.617972361355925</v>
      </c>
      <c r="F85" s="229">
        <f>F40*$F$12</f>
        <v>164.0544955413333</v>
      </c>
      <c r="G85" s="229">
        <f>G40*$G$12</f>
        <v>189.16957983066663</v>
      </c>
      <c r="H85" s="229">
        <f>H40*$H$12</f>
        <v>161.75288964794325</v>
      </c>
      <c r="I85" s="229">
        <f>I40*$I$12</f>
        <v>144.99599776476185</v>
      </c>
      <c r="J85" s="232">
        <f>J40*$J$12</f>
        <v>15.665294474920632</v>
      </c>
      <c r="K85" s="256"/>
    </row>
    <row r="86" spans="1:102" s="15" customFormat="1" x14ac:dyDescent="0.25">
      <c r="B86" s="203" t="s">
        <v>647</v>
      </c>
      <c r="C86" s="229">
        <f>C41*$C$12</f>
        <v>0</v>
      </c>
      <c r="D86" s="229">
        <f>D41*$D$12</f>
        <v>0</v>
      </c>
      <c r="E86" s="229">
        <f>E41*$E$12</f>
        <v>0</v>
      </c>
      <c r="F86" s="229">
        <f>F41*$F$12</f>
        <v>0</v>
      </c>
      <c r="G86" s="229">
        <f>G41*$G$12</f>
        <v>0</v>
      </c>
      <c r="H86" s="229">
        <f>H41*$H$12</f>
        <v>0</v>
      </c>
      <c r="I86" s="229">
        <f>I41*$I$12</f>
        <v>0</v>
      </c>
      <c r="J86" s="232">
        <f>J41*$J$12</f>
        <v>0</v>
      </c>
      <c r="K86" s="256"/>
    </row>
    <row r="87" spans="1:102" s="15" customFormat="1" x14ac:dyDescent="0.25">
      <c r="B87" s="205" t="s">
        <v>643</v>
      </c>
      <c r="C87" s="228">
        <f t="shared" ref="C87:J87" si="59">C88+C89</f>
        <v>3444.3629439749616</v>
      </c>
      <c r="D87" s="228">
        <f t="shared" si="59"/>
        <v>0</v>
      </c>
      <c r="E87" s="228">
        <f t="shared" si="59"/>
        <v>419.176721085</v>
      </c>
      <c r="F87" s="228">
        <f t="shared" si="59"/>
        <v>734.55794636099995</v>
      </c>
      <c r="G87" s="228">
        <f t="shared" si="59"/>
        <v>847.01133983399995</v>
      </c>
      <c r="H87" s="228">
        <f t="shared" si="59"/>
        <v>724.25245066000002</v>
      </c>
      <c r="I87" s="228">
        <f t="shared" si="59"/>
        <v>649.22306455</v>
      </c>
      <c r="J87" s="235">
        <f t="shared" si="59"/>
        <v>70.141732481000005</v>
      </c>
      <c r="K87" s="256">
        <f>SUM(E87:J87)</f>
        <v>3444.3632549709996</v>
      </c>
      <c r="L87" s="3510">
        <f>K87-C87</f>
        <v>3.1099603802431375E-4</v>
      </c>
    </row>
    <row r="88" spans="1:102" s="15" customFormat="1" x14ac:dyDescent="0.25">
      <c r="B88" s="203" t="s">
        <v>646</v>
      </c>
      <c r="C88" s="229">
        <f>C43*$C$12</f>
        <v>3444.3629439749616</v>
      </c>
      <c r="D88" s="229">
        <f>D43*$D$12</f>
        <v>0</v>
      </c>
      <c r="E88" s="229">
        <f>ROUND(E43*$E$12,9)</f>
        <v>419.176721085</v>
      </c>
      <c r="F88" s="229">
        <f>ROUND(F43*$F$12,9)</f>
        <v>734.55794636099995</v>
      </c>
      <c r="G88" s="229">
        <f>ROUND(G43*$G$12,9)</f>
        <v>847.01133983399995</v>
      </c>
      <c r="H88" s="229">
        <f>ROUND(H43*$H$12,9)</f>
        <v>724.25245066000002</v>
      </c>
      <c r="I88" s="229">
        <f>ROUND(I43*$I$12,9)</f>
        <v>649.22306455</v>
      </c>
      <c r="J88" s="232">
        <f>ROUND(J43*$J$12,9)</f>
        <v>70.141732481000005</v>
      </c>
      <c r="K88" s="256"/>
    </row>
    <row r="89" spans="1:102" s="15" customFormat="1" x14ac:dyDescent="0.25">
      <c r="B89" s="203" t="s">
        <v>647</v>
      </c>
      <c r="C89" s="229">
        <f>C44*$C$12</f>
        <v>0</v>
      </c>
      <c r="D89" s="229">
        <f>D44*$D$12</f>
        <v>0</v>
      </c>
      <c r="E89" s="229">
        <f>E44*$E$12</f>
        <v>0</v>
      </c>
      <c r="F89" s="229">
        <f>F44*$F$12</f>
        <v>0</v>
      </c>
      <c r="G89" s="229">
        <f>G44*$G$12</f>
        <v>0</v>
      </c>
      <c r="H89" s="229">
        <f>H44*$H$12</f>
        <v>0</v>
      </c>
      <c r="I89" s="229">
        <f>I44*$I$12</f>
        <v>0</v>
      </c>
      <c r="J89" s="232">
        <f>J44*$J$12</f>
        <v>0</v>
      </c>
      <c r="K89" s="256"/>
    </row>
    <row r="90" spans="1:102" s="15" customFormat="1" x14ac:dyDescent="0.25">
      <c r="B90" s="206" t="s">
        <v>649</v>
      </c>
      <c r="C90" s="207">
        <f>C91+C94</f>
        <v>0</v>
      </c>
      <c r="D90" s="230">
        <f t="shared" ref="D90:J90" si="60">D91+D94</f>
        <v>0</v>
      </c>
      <c r="E90" s="230">
        <f t="shared" si="60"/>
        <v>0</v>
      </c>
      <c r="F90" s="230">
        <f t="shared" si="60"/>
        <v>0</v>
      </c>
      <c r="G90" s="230">
        <f t="shared" si="60"/>
        <v>0</v>
      </c>
      <c r="H90" s="230">
        <f t="shared" si="60"/>
        <v>0</v>
      </c>
      <c r="I90" s="230">
        <f t="shared" si="60"/>
        <v>0</v>
      </c>
      <c r="J90" s="231">
        <f t="shared" si="60"/>
        <v>0</v>
      </c>
      <c r="K90" s="3514">
        <v>158.42099081682665</v>
      </c>
      <c r="L90" s="2313">
        <f>K90-C90</f>
        <v>158.42099081682665</v>
      </c>
    </row>
    <row r="91" spans="1:102" s="15" customFormat="1" x14ac:dyDescent="0.25">
      <c r="B91" s="205" t="s">
        <v>644</v>
      </c>
      <c r="C91" s="228">
        <f t="shared" ref="C91:J91" si="61">C92+C93</f>
        <v>0</v>
      </c>
      <c r="D91" s="228">
        <f t="shared" si="61"/>
        <v>0</v>
      </c>
      <c r="E91" s="228">
        <f t="shared" si="61"/>
        <v>0</v>
      </c>
      <c r="F91" s="228">
        <f t="shared" si="61"/>
        <v>0</v>
      </c>
      <c r="G91" s="228">
        <f t="shared" si="61"/>
        <v>0</v>
      </c>
      <c r="H91" s="228">
        <f t="shared" si="61"/>
        <v>0</v>
      </c>
      <c r="I91" s="228">
        <f t="shared" si="61"/>
        <v>0</v>
      </c>
      <c r="J91" s="235">
        <f t="shared" si="61"/>
        <v>0</v>
      </c>
      <c r="K91" s="256"/>
    </row>
    <row r="92" spans="1:102" x14ac:dyDescent="0.25">
      <c r="B92" s="203" t="s">
        <v>646</v>
      </c>
      <c r="C92" s="3463">
        <f>C47*$C$12</f>
        <v>0</v>
      </c>
      <c r="D92" s="229">
        <f>D47*$D$12</f>
        <v>0</v>
      </c>
      <c r="E92" s="229">
        <f>E47*$E$12</f>
        <v>0</v>
      </c>
      <c r="F92" s="229">
        <f>F47*$F$12</f>
        <v>0</v>
      </c>
      <c r="G92" s="229">
        <f>G47*$G$12</f>
        <v>0</v>
      </c>
      <c r="H92" s="229">
        <f>H47*$H$12</f>
        <v>0</v>
      </c>
      <c r="I92" s="229">
        <f>I47*$I$12</f>
        <v>0</v>
      </c>
      <c r="J92" s="232">
        <f>J47*$J$12</f>
        <v>0</v>
      </c>
      <c r="K92" s="256"/>
    </row>
    <row r="93" spans="1:102" x14ac:dyDescent="0.25">
      <c r="B93" s="203" t="s">
        <v>647</v>
      </c>
      <c r="C93" s="229">
        <f>C48*$C$12</f>
        <v>0</v>
      </c>
      <c r="D93" s="229">
        <f>D48*$D$12</f>
        <v>0</v>
      </c>
      <c r="E93" s="229">
        <f>E48*$E$12</f>
        <v>0</v>
      </c>
      <c r="F93" s="229">
        <f>F48*$F$12</f>
        <v>0</v>
      </c>
      <c r="G93" s="229">
        <f>G48*$G$12</f>
        <v>0</v>
      </c>
      <c r="H93" s="229">
        <f>H48*$H$12</f>
        <v>0</v>
      </c>
      <c r="I93" s="229">
        <f>I48*$I$12</f>
        <v>0</v>
      </c>
      <c r="J93" s="232">
        <f>J48*$J$12</f>
        <v>0</v>
      </c>
      <c r="K93" s="256"/>
    </row>
    <row r="94" spans="1:102" x14ac:dyDescent="0.25">
      <c r="B94" s="205" t="s">
        <v>643</v>
      </c>
      <c r="C94" s="228">
        <f t="shared" ref="C94:J94" si="62">C95+C96</f>
        <v>0</v>
      </c>
      <c r="D94" s="228">
        <f t="shared" si="62"/>
        <v>0</v>
      </c>
      <c r="E94" s="228">
        <f t="shared" si="62"/>
        <v>0</v>
      </c>
      <c r="F94" s="228">
        <f t="shared" si="62"/>
        <v>0</v>
      </c>
      <c r="G94" s="228">
        <f t="shared" si="62"/>
        <v>0</v>
      </c>
      <c r="H94" s="228">
        <f t="shared" si="62"/>
        <v>0</v>
      </c>
      <c r="I94" s="228">
        <f t="shared" si="62"/>
        <v>0</v>
      </c>
      <c r="J94" s="235">
        <f t="shared" si="62"/>
        <v>0</v>
      </c>
      <c r="K94" s="256"/>
    </row>
    <row r="95" spans="1:102" x14ac:dyDescent="0.25">
      <c r="B95" s="203" t="s">
        <v>646</v>
      </c>
      <c r="C95" s="229">
        <f>C50*$C$12</f>
        <v>0</v>
      </c>
      <c r="D95" s="229">
        <f>D50*$D$12</f>
        <v>0</v>
      </c>
      <c r="E95" s="229">
        <f>E50*$E$12</f>
        <v>0</v>
      </c>
      <c r="F95" s="229">
        <f>F50*$F$12</f>
        <v>0</v>
      </c>
      <c r="G95" s="229">
        <f>G50*$G$12</f>
        <v>0</v>
      </c>
      <c r="H95" s="229">
        <f>H50*$H$12</f>
        <v>0</v>
      </c>
      <c r="I95" s="229">
        <f>I50*$I$12</f>
        <v>0</v>
      </c>
      <c r="J95" s="232">
        <f>J50*$J$12</f>
        <v>0</v>
      </c>
      <c r="K95" s="256"/>
    </row>
    <row r="96" spans="1:102" x14ac:dyDescent="0.25">
      <c r="B96" s="203" t="s">
        <v>647</v>
      </c>
      <c r="C96" s="229">
        <f>C51*$C$12</f>
        <v>0</v>
      </c>
      <c r="D96" s="229">
        <f>D51*$D$12</f>
        <v>0</v>
      </c>
      <c r="E96" s="229">
        <f>E51*$E$12</f>
        <v>0</v>
      </c>
      <c r="F96" s="229">
        <f>F51*$F$12</f>
        <v>0</v>
      </c>
      <c r="G96" s="229">
        <f>G51*$G$12</f>
        <v>0</v>
      </c>
      <c r="H96" s="229">
        <f>H51*$H$12</f>
        <v>0</v>
      </c>
      <c r="I96" s="229">
        <f>I51*$I$12</f>
        <v>0</v>
      </c>
      <c r="J96" s="232">
        <f>J51*$J$12</f>
        <v>0</v>
      </c>
      <c r="K96" s="256"/>
    </row>
    <row r="97" spans="2:19" x14ac:dyDescent="0.25">
      <c r="B97" s="206" t="s">
        <v>645</v>
      </c>
      <c r="C97" s="207">
        <f t="shared" ref="C97:J97" si="63">C98+C101</f>
        <v>0</v>
      </c>
      <c r="D97" s="230">
        <f t="shared" si="63"/>
        <v>0</v>
      </c>
      <c r="E97" s="230">
        <f t="shared" si="63"/>
        <v>0</v>
      </c>
      <c r="F97" s="230">
        <f t="shared" si="63"/>
        <v>0</v>
      </c>
      <c r="G97" s="230">
        <f t="shared" si="63"/>
        <v>0</v>
      </c>
      <c r="H97" s="230">
        <f t="shared" si="63"/>
        <v>0</v>
      </c>
      <c r="I97" s="230">
        <f t="shared" si="63"/>
        <v>0</v>
      </c>
      <c r="J97" s="231">
        <f t="shared" si="63"/>
        <v>0</v>
      </c>
      <c r="K97" s="3514">
        <v>13.291675959893333</v>
      </c>
      <c r="L97" s="2313">
        <f>K97-C97</f>
        <v>13.291675959893333</v>
      </c>
    </row>
    <row r="98" spans="2:19" x14ac:dyDescent="0.25">
      <c r="B98" s="205" t="s">
        <v>644</v>
      </c>
      <c r="C98" s="228">
        <f t="shared" ref="C98:J98" si="64">C99+C100</f>
        <v>0</v>
      </c>
      <c r="D98" s="228">
        <f t="shared" si="64"/>
        <v>0</v>
      </c>
      <c r="E98" s="228">
        <f t="shared" si="64"/>
        <v>0</v>
      </c>
      <c r="F98" s="228">
        <f t="shared" si="64"/>
        <v>0</v>
      </c>
      <c r="G98" s="228">
        <f t="shared" si="64"/>
        <v>0</v>
      </c>
      <c r="H98" s="228">
        <f t="shared" si="64"/>
        <v>0</v>
      </c>
      <c r="I98" s="228">
        <f t="shared" si="64"/>
        <v>0</v>
      </c>
      <c r="J98" s="235">
        <f t="shared" si="64"/>
        <v>0</v>
      </c>
      <c r="K98" s="256"/>
    </row>
    <row r="99" spans="2:19" x14ac:dyDescent="0.25">
      <c r="B99" s="203" t="s">
        <v>646</v>
      </c>
      <c r="C99" s="229">
        <f>C54*$C$12</f>
        <v>0</v>
      </c>
      <c r="D99" s="229">
        <f>D54*$D$12</f>
        <v>0</v>
      </c>
      <c r="E99" s="229">
        <f>E54*$E$12</f>
        <v>0</v>
      </c>
      <c r="F99" s="229">
        <f>F54*$F$12</f>
        <v>0</v>
      </c>
      <c r="G99" s="229">
        <f>G54*$G$12</f>
        <v>0</v>
      </c>
      <c r="H99" s="229">
        <f>H54*$H$12</f>
        <v>0</v>
      </c>
      <c r="I99" s="229">
        <f>I54*$I$12</f>
        <v>0</v>
      </c>
      <c r="J99" s="232">
        <f>J54*$J$12</f>
        <v>0</v>
      </c>
      <c r="K99" s="256"/>
    </row>
    <row r="100" spans="2:19" x14ac:dyDescent="0.25">
      <c r="B100" s="203" t="s">
        <v>647</v>
      </c>
      <c r="C100" s="229">
        <f>C55*$C$12</f>
        <v>0</v>
      </c>
      <c r="D100" s="229">
        <f>D55*$D$12</f>
        <v>0</v>
      </c>
      <c r="E100" s="229">
        <f>E55*$E$12</f>
        <v>0</v>
      </c>
      <c r="F100" s="229">
        <f>F55*$F$12</f>
        <v>0</v>
      </c>
      <c r="G100" s="229">
        <f>G55*$G$12</f>
        <v>0</v>
      </c>
      <c r="H100" s="229">
        <f>H55*$H$12</f>
        <v>0</v>
      </c>
      <c r="I100" s="229">
        <f>I55*$I$12</f>
        <v>0</v>
      </c>
      <c r="J100" s="232">
        <f>J55*$J$12</f>
        <v>0</v>
      </c>
      <c r="K100" s="256"/>
    </row>
    <row r="101" spans="2:19" x14ac:dyDescent="0.25">
      <c r="B101" s="205" t="s">
        <v>643</v>
      </c>
      <c r="C101" s="228">
        <f t="shared" ref="C101:J101" si="65">C102+C103</f>
        <v>0</v>
      </c>
      <c r="D101" s="228">
        <f t="shared" si="65"/>
        <v>0</v>
      </c>
      <c r="E101" s="228">
        <f t="shared" si="65"/>
        <v>0</v>
      </c>
      <c r="F101" s="228">
        <f t="shared" si="65"/>
        <v>0</v>
      </c>
      <c r="G101" s="228">
        <f t="shared" si="65"/>
        <v>0</v>
      </c>
      <c r="H101" s="228">
        <f t="shared" si="65"/>
        <v>0</v>
      </c>
      <c r="I101" s="228">
        <f t="shared" si="65"/>
        <v>0</v>
      </c>
      <c r="J101" s="235">
        <f t="shared" si="65"/>
        <v>0</v>
      </c>
      <c r="K101" s="256"/>
    </row>
    <row r="102" spans="2:19" x14ac:dyDescent="0.25">
      <c r="B102" s="203" t="s">
        <v>646</v>
      </c>
      <c r="C102" s="229">
        <f>C57*$C$12</f>
        <v>0</v>
      </c>
      <c r="D102" s="229">
        <f>D57*$D$12</f>
        <v>0</v>
      </c>
      <c r="E102" s="229">
        <f>E57*$E$12</f>
        <v>0</v>
      </c>
      <c r="F102" s="229">
        <f>F57*$F$12</f>
        <v>0</v>
      </c>
      <c r="G102" s="229">
        <f>G57*$G$12</f>
        <v>0</v>
      </c>
      <c r="H102" s="229">
        <f>H57*$H$12</f>
        <v>0</v>
      </c>
      <c r="I102" s="229">
        <f>I57*$I$12</f>
        <v>0</v>
      </c>
      <c r="J102" s="232">
        <f>J57*$J$12</f>
        <v>0</v>
      </c>
      <c r="K102" s="256"/>
    </row>
    <row r="103" spans="2:19" ht="14.4" thickBot="1" x14ac:dyDescent="0.3">
      <c r="B103" s="223" t="s">
        <v>647</v>
      </c>
      <c r="C103" s="233">
        <f>C58*$C$12</f>
        <v>0</v>
      </c>
      <c r="D103" s="233">
        <f>D58*$D$12</f>
        <v>0</v>
      </c>
      <c r="E103" s="233">
        <f>E58*$E$12</f>
        <v>0</v>
      </c>
      <c r="F103" s="233">
        <f>F58*$F$12</f>
        <v>0</v>
      </c>
      <c r="G103" s="233">
        <f>G58*$G$12</f>
        <v>0</v>
      </c>
      <c r="H103" s="233">
        <f>H58*$H$12</f>
        <v>0</v>
      </c>
      <c r="I103" s="233">
        <f>I58*$I$12</f>
        <v>0</v>
      </c>
      <c r="J103" s="234">
        <f>J58*$J$12</f>
        <v>0</v>
      </c>
      <c r="K103" s="2245"/>
    </row>
    <row r="105" spans="2:19" ht="15.6" x14ac:dyDescent="0.3">
      <c r="B105" s="44" t="s">
        <v>1395</v>
      </c>
    </row>
    <row r="106" spans="2:19" ht="14.4" thickBot="1" x14ac:dyDescent="0.3"/>
    <row r="107" spans="2:19" ht="14.4" thickBot="1" x14ac:dyDescent="0.3">
      <c r="B107" s="280"/>
      <c r="C107" s="79" t="s">
        <v>503</v>
      </c>
      <c r="D107" s="2310" t="s">
        <v>19</v>
      </c>
      <c r="E107" s="2311" t="s">
        <v>20</v>
      </c>
      <c r="F107" s="2312" t="s">
        <v>21</v>
      </c>
      <c r="G107" s="2310" t="s">
        <v>10</v>
      </c>
      <c r="H107" s="2311" t="s">
        <v>11</v>
      </c>
      <c r="I107" s="2311" t="s">
        <v>502</v>
      </c>
      <c r="J107" s="2311" t="s">
        <v>13</v>
      </c>
      <c r="K107" s="2248"/>
    </row>
    <row r="108" spans="2:19" s="15" customFormat="1" ht="14.4" thickBot="1" x14ac:dyDescent="0.3">
      <c r="B108" s="278" t="s">
        <v>762</v>
      </c>
      <c r="C108" s="281">
        <f>C109+C136</f>
        <v>9896.8745684903442</v>
      </c>
      <c r="D108" s="281">
        <f t="shared" ref="D108:J108" si="66">D109+D136</f>
        <v>0</v>
      </c>
      <c r="E108" s="281">
        <f t="shared" si="66"/>
        <v>1368.1050102262736</v>
      </c>
      <c r="F108" s="281">
        <f t="shared" si="66"/>
        <v>2085.728860118722</v>
      </c>
      <c r="G108" s="281">
        <f t="shared" si="66"/>
        <v>2241.0582463261594</v>
      </c>
      <c r="H108" s="281">
        <f t="shared" si="66"/>
        <v>2002.8346402062002</v>
      </c>
      <c r="I108" s="281">
        <f t="shared" si="66"/>
        <v>1965.2692493244042</v>
      </c>
      <c r="J108" s="281">
        <f t="shared" si="66"/>
        <v>233.87856228858544</v>
      </c>
      <c r="K108" s="281">
        <v>9896.8745684903442</v>
      </c>
      <c r="L108" s="3517">
        <f>K108-C108</f>
        <v>0</v>
      </c>
      <c r="M108" s="254"/>
    </row>
    <row r="109" spans="2:19" ht="14.4" thickBot="1" x14ac:dyDescent="0.3">
      <c r="B109" s="310" t="s">
        <v>763</v>
      </c>
      <c r="C109" s="311">
        <f>C110+C116</f>
        <v>9883.1534017613831</v>
      </c>
      <c r="D109" s="311">
        <f t="shared" ref="D109:J109" si="67">D110+D116</f>
        <v>0</v>
      </c>
      <c r="E109" s="311">
        <f t="shared" si="67"/>
        <v>1366.1450246422833</v>
      </c>
      <c r="F109" s="311">
        <f t="shared" si="67"/>
        <v>2082.8474426551338</v>
      </c>
      <c r="G109" s="311">
        <f t="shared" si="67"/>
        <v>2238.0240512901792</v>
      </c>
      <c r="H109" s="311">
        <f t="shared" si="67"/>
        <v>2000.0881842337676</v>
      </c>
      <c r="I109" s="311">
        <f t="shared" si="67"/>
        <v>1962.5069614058602</v>
      </c>
      <c r="J109" s="311">
        <f t="shared" si="67"/>
        <v>233.54173753415907</v>
      </c>
      <c r="K109" s="2249">
        <v>9883.1534017613831</v>
      </c>
      <c r="L109" s="3517">
        <f>K109-C109</f>
        <v>0</v>
      </c>
      <c r="M109" s="254"/>
    </row>
    <row r="110" spans="2:19" ht="14.4" x14ac:dyDescent="0.3">
      <c r="B110" s="303" t="s">
        <v>642</v>
      </c>
      <c r="C110" s="304">
        <f>SUM(D110:J110)</f>
        <v>1806.2975163669184</v>
      </c>
      <c r="D110" s="2272">
        <f t="shared" ref="D110:J110" si="68">SUM(D111:D115)</f>
        <v>0</v>
      </c>
      <c r="E110" s="2272">
        <f t="shared" si="68"/>
        <v>251.89501732316924</v>
      </c>
      <c r="F110" s="2272">
        <f t="shared" si="68"/>
        <v>380.3369370062652</v>
      </c>
      <c r="G110" s="2272">
        <f t="shared" si="68"/>
        <v>406.4291311354234</v>
      </c>
      <c r="H110" s="2272">
        <f t="shared" si="68"/>
        <v>364.48965480370532</v>
      </c>
      <c r="I110" s="2272">
        <f t="shared" si="68"/>
        <v>360.02550906494849</v>
      </c>
      <c r="J110" s="2272">
        <f t="shared" si="68"/>
        <v>43.121267033406561</v>
      </c>
      <c r="K110" s="282"/>
      <c r="L110" s="2664"/>
      <c r="M110" s="2665"/>
      <c r="N110" s="2665"/>
    </row>
    <row r="111" spans="2:19" x14ac:dyDescent="0.25">
      <c r="B111" s="201" t="s">
        <v>3</v>
      </c>
      <c r="C111" s="283">
        <f>SUM(D111:J111)</f>
        <v>1486.7844510897837</v>
      </c>
      <c r="D111" s="283">
        <v>0</v>
      </c>
      <c r="E111" s="2661">
        <v>207.33771245855144</v>
      </c>
      <c r="F111" s="2661">
        <v>313.05974735181013</v>
      </c>
      <c r="G111" s="2661">
        <v>334.53653518689254</v>
      </c>
      <c r="H111" s="2661">
        <v>300.01566543434836</v>
      </c>
      <c r="I111" s="2661">
        <v>296.3411752622464</v>
      </c>
      <c r="J111" s="2661">
        <v>35.49361539593464</v>
      </c>
      <c r="K111" s="282"/>
      <c r="L111" s="305"/>
      <c r="M111" s="2662"/>
    </row>
    <row r="112" spans="2:19" x14ac:dyDescent="0.25">
      <c r="B112" s="201" t="s">
        <v>770</v>
      </c>
      <c r="C112" s="283">
        <f>SUM(D112:J112)</f>
        <v>218.68889853844684</v>
      </c>
      <c r="D112" s="283">
        <v>0</v>
      </c>
      <c r="E112" s="2661">
        <v>30.496993649487461</v>
      </c>
      <c r="F112" s="2661">
        <v>46.047489449402043</v>
      </c>
      <c r="G112" s="2661">
        <v>49.206478011836545</v>
      </c>
      <c r="H112" s="2661">
        <v>44.128854972908769</v>
      </c>
      <c r="I112" s="2661">
        <v>43.588379715827401</v>
      </c>
      <c r="J112" s="2661">
        <v>5.220702738984639</v>
      </c>
      <c r="K112" s="282"/>
      <c r="L112" s="305"/>
      <c r="M112" s="902"/>
      <c r="N112" s="2663"/>
      <c r="O112" s="305"/>
      <c r="P112" s="305"/>
      <c r="Q112" s="305"/>
      <c r="R112" s="305"/>
      <c r="S112" s="305"/>
    </row>
    <row r="113" spans="2:14" x14ac:dyDescent="0.25">
      <c r="B113" s="201" t="s">
        <v>156</v>
      </c>
      <c r="C113" s="283">
        <f>SUM(D113:J113)</f>
        <v>83.675582375644424</v>
      </c>
      <c r="D113" s="283">
        <v>0</v>
      </c>
      <c r="E113" s="2661">
        <v>11.668876295879103</v>
      </c>
      <c r="F113" s="2661">
        <v>17.618866446198084</v>
      </c>
      <c r="G113" s="2661">
        <v>18.827570726325206</v>
      </c>
      <c r="H113" s="2661">
        <v>16.8847511881328</v>
      </c>
      <c r="I113" s="2661">
        <v>16.677952479107528</v>
      </c>
      <c r="J113" s="2661">
        <v>1.9975652400017072</v>
      </c>
      <c r="K113" s="282"/>
    </row>
    <row r="114" spans="2:14" x14ac:dyDescent="0.25">
      <c r="B114" s="201" t="s">
        <v>3345</v>
      </c>
      <c r="C114" s="2661">
        <v>17.148584363043497</v>
      </c>
      <c r="D114" s="283">
        <v>0</v>
      </c>
      <c r="E114" s="2661">
        <v>2.3914349192512594</v>
      </c>
      <c r="F114" s="2661">
        <v>3.610833758854938</v>
      </c>
      <c r="G114" s="2661">
        <v>3.8585472103691392</v>
      </c>
      <c r="H114" s="2661">
        <v>3.4603832083154269</v>
      </c>
      <c r="I114" s="2661">
        <v>3.4180016077671573</v>
      </c>
      <c r="J114" s="2661">
        <v>0.40938365848557606</v>
      </c>
      <c r="K114" s="282"/>
    </row>
    <row r="115" spans="2:14" x14ac:dyDescent="0.25">
      <c r="B115" s="201" t="s">
        <v>163</v>
      </c>
      <c r="C115" s="283">
        <f>SUM(D115:J115)</f>
        <v>0</v>
      </c>
      <c r="D115" s="283">
        <v>0</v>
      </c>
      <c r="E115" s="283">
        <v>0</v>
      </c>
      <c r="F115" s="283">
        <v>0</v>
      </c>
      <c r="G115" s="283">
        <v>0</v>
      </c>
      <c r="H115" s="283">
        <v>0</v>
      </c>
      <c r="I115" s="283">
        <v>0</v>
      </c>
      <c r="J115" s="283">
        <v>0</v>
      </c>
      <c r="K115" s="282"/>
    </row>
    <row r="116" spans="2:14" ht="14.4" x14ac:dyDescent="0.3">
      <c r="B116" s="303" t="s">
        <v>643</v>
      </c>
      <c r="C116" s="304">
        <f t="shared" ref="C116:C121" si="69">SUM(D116:J116)</f>
        <v>8076.8558853944651</v>
      </c>
      <c r="D116" s="2272">
        <f t="shared" ref="D116:J116" si="70">SUM(D117:D121)</f>
        <v>0</v>
      </c>
      <c r="E116" s="2272">
        <f t="shared" si="70"/>
        <v>1114.250007319114</v>
      </c>
      <c r="F116" s="2272">
        <f t="shared" si="70"/>
        <v>1702.5105056488687</v>
      </c>
      <c r="G116" s="2272">
        <f t="shared" si="70"/>
        <v>1831.594920154756</v>
      </c>
      <c r="H116" s="2272">
        <f t="shared" si="70"/>
        <v>1635.5985294300624</v>
      </c>
      <c r="I116" s="2272">
        <f t="shared" si="70"/>
        <v>1602.4814523409118</v>
      </c>
      <c r="J116" s="2272">
        <f t="shared" si="70"/>
        <v>190.42047050075251</v>
      </c>
      <c r="K116" s="282"/>
      <c r="L116" s="1223"/>
      <c r="M116" s="1223"/>
      <c r="N116" s="1223"/>
    </row>
    <row r="117" spans="2:14" x14ac:dyDescent="0.25">
      <c r="B117" s="201" t="s">
        <v>3</v>
      </c>
      <c r="C117" s="283">
        <f t="shared" si="69"/>
        <v>6730.3109557361231</v>
      </c>
      <c r="D117" s="283">
        <v>0</v>
      </c>
      <c r="E117" s="2661">
        <v>928.4861755735825</v>
      </c>
      <c r="F117" s="2661">
        <v>1418.6739581604916</v>
      </c>
      <c r="G117" s="2661">
        <v>1526.2378743044931</v>
      </c>
      <c r="H117" s="2661">
        <v>1362.9173106474732</v>
      </c>
      <c r="I117" s="2661">
        <v>1335.3213958611118</v>
      </c>
      <c r="J117" s="2661">
        <v>158.67424118897108</v>
      </c>
      <c r="K117" s="282"/>
    </row>
    <row r="118" spans="2:14" x14ac:dyDescent="0.25">
      <c r="B118" s="201" t="s">
        <v>770</v>
      </c>
      <c r="C118" s="283">
        <f t="shared" si="69"/>
        <v>1005.4240761653215</v>
      </c>
      <c r="D118" s="283">
        <v>0</v>
      </c>
      <c r="E118" s="2661">
        <v>138.70419382520762</v>
      </c>
      <c r="F118" s="2661">
        <v>211.93210286185118</v>
      </c>
      <c r="G118" s="2661">
        <v>228.00080336158587</v>
      </c>
      <c r="H118" s="2661">
        <v>203.60275876697341</v>
      </c>
      <c r="I118" s="2661">
        <v>199.48027507899948</v>
      </c>
      <c r="J118" s="2661">
        <v>23.703942270703838</v>
      </c>
      <c r="K118" s="282"/>
    </row>
    <row r="119" spans="2:14" x14ac:dyDescent="0.25">
      <c r="B119" s="201" t="s">
        <v>156</v>
      </c>
      <c r="C119" s="283">
        <f t="shared" si="69"/>
        <v>339.80954037873488</v>
      </c>
      <c r="D119" s="283">
        <v>0</v>
      </c>
      <c r="E119" s="2661">
        <v>46.87873452574523</v>
      </c>
      <c r="F119" s="2661">
        <v>71.62803455001287</v>
      </c>
      <c r="G119" s="2661">
        <v>77.058874989127787</v>
      </c>
      <c r="H119" s="2661">
        <v>68.812913393046117</v>
      </c>
      <c r="I119" s="2661">
        <v>67.419611481506351</v>
      </c>
      <c r="J119" s="2661">
        <v>8.0113714392965107</v>
      </c>
      <c r="K119" s="282"/>
    </row>
    <row r="120" spans="2:14" hidden="1" x14ac:dyDescent="0.25">
      <c r="B120" s="201" t="s">
        <v>771</v>
      </c>
      <c r="C120" s="283">
        <f t="shared" si="69"/>
        <v>0</v>
      </c>
      <c r="D120" s="283">
        <v>0</v>
      </c>
      <c r="E120" s="283"/>
      <c r="F120" s="283"/>
      <c r="G120" s="283"/>
      <c r="H120" s="283"/>
      <c r="I120" s="283"/>
      <c r="J120" s="283"/>
      <c r="K120" s="282"/>
    </row>
    <row r="121" spans="2:14" x14ac:dyDescent="0.25">
      <c r="B121" s="201" t="s">
        <v>163</v>
      </c>
      <c r="C121" s="283">
        <f t="shared" si="69"/>
        <v>1.3113131142858057</v>
      </c>
      <c r="D121" s="283">
        <v>0</v>
      </c>
      <c r="E121" s="2661">
        <v>0.1809033945786751</v>
      </c>
      <c r="F121" s="2661">
        <v>0.27641007651304472</v>
      </c>
      <c r="G121" s="2661">
        <v>0.29736749954910124</v>
      </c>
      <c r="H121" s="2661">
        <v>0.26554662256963996</v>
      </c>
      <c r="I121" s="2661">
        <v>0.26016991929425443</v>
      </c>
      <c r="J121" s="2661">
        <v>3.0915601781090221E-2</v>
      </c>
      <c r="K121" s="282"/>
    </row>
    <row r="122" spans="2:14" x14ac:dyDescent="0.25">
      <c r="B122" s="279"/>
      <c r="C122" s="283"/>
      <c r="D122" s="283"/>
      <c r="E122" s="283"/>
      <c r="F122" s="283"/>
      <c r="G122" s="283"/>
      <c r="H122" s="283"/>
      <c r="I122" s="283"/>
      <c r="J122" s="283"/>
      <c r="K122" s="282"/>
    </row>
    <row r="123" spans="2:14" x14ac:dyDescent="0.25">
      <c r="B123" s="301" t="s">
        <v>769</v>
      </c>
      <c r="C123" s="282">
        <f>C124+C130</f>
        <v>98303.212146939346</v>
      </c>
      <c r="D123" s="282">
        <f t="shared" ref="D123:J123" si="71">D124+D130</f>
        <v>0</v>
      </c>
      <c r="E123" s="282">
        <f t="shared" si="71"/>
        <v>11963.413249977679</v>
      </c>
      <c r="F123" s="282">
        <f t="shared" si="71"/>
        <v>20964.518720639579</v>
      </c>
      <c r="G123" s="282">
        <f t="shared" si="71"/>
        <v>24173.996374467901</v>
      </c>
      <c r="H123" s="282">
        <f t="shared" si="71"/>
        <v>20670.403779355358</v>
      </c>
      <c r="I123" s="282">
        <f t="shared" si="71"/>
        <v>18529.017329332211</v>
      </c>
      <c r="J123" s="282">
        <f t="shared" si="71"/>
        <v>2001.8626931666106</v>
      </c>
      <c r="K123" s="282"/>
      <c r="M123" s="312"/>
      <c r="N123" s="305"/>
    </row>
    <row r="124" spans="2:14" s="15" customFormat="1" ht="14.4" x14ac:dyDescent="0.3">
      <c r="B124" s="303" t="s">
        <v>642</v>
      </c>
      <c r="C124" s="304">
        <f>SUM(C125:C129)</f>
        <v>16448.214910385144</v>
      </c>
      <c r="D124" s="304">
        <f t="shared" ref="D124:J124" si="72">SUM(D125:D129)</f>
        <v>0</v>
      </c>
      <c r="E124" s="304">
        <f t="shared" si="72"/>
        <v>2001.7259057683502</v>
      </c>
      <c r="F124" s="304">
        <f t="shared" si="72"/>
        <v>3507.8103193650259</v>
      </c>
      <c r="G124" s="304">
        <f t="shared" si="72"/>
        <v>4044.8312625821627</v>
      </c>
      <c r="H124" s="304">
        <f t="shared" si="72"/>
        <v>3458.6009369331118</v>
      </c>
      <c r="I124" s="304">
        <f t="shared" si="72"/>
        <v>3100.2937713667011</v>
      </c>
      <c r="J124" s="304">
        <f t="shared" si="72"/>
        <v>334.95271436979306</v>
      </c>
      <c r="K124" s="282"/>
      <c r="M124" s="312"/>
    </row>
    <row r="125" spans="2:14" x14ac:dyDescent="0.25">
      <c r="B125" s="201" t="s">
        <v>3</v>
      </c>
      <c r="C125" s="283">
        <f>SUM(D125:J125)</f>
        <v>13668.482114321794</v>
      </c>
      <c r="D125" s="283">
        <f>D61+D69</f>
        <v>0</v>
      </c>
      <c r="E125" s="283">
        <f t="shared" ref="E125:J125" si="73">E61+E69</f>
        <v>1663.4342702205536</v>
      </c>
      <c r="F125" s="283">
        <f t="shared" si="73"/>
        <v>2914.9939806236926</v>
      </c>
      <c r="G125" s="283">
        <f t="shared" si="73"/>
        <v>3361.260737151496</v>
      </c>
      <c r="H125" s="283">
        <f t="shared" si="73"/>
        <v>2874.1015271149554</v>
      </c>
      <c r="I125" s="283">
        <f t="shared" si="73"/>
        <v>2576.3459438876534</v>
      </c>
      <c r="J125" s="283">
        <f t="shared" si="73"/>
        <v>278.34565532344385</v>
      </c>
      <c r="K125" s="282"/>
      <c r="L125" s="10">
        <v>13666.491657520157</v>
      </c>
      <c r="M125" s="3574">
        <f>L125+L126-C125</f>
        <v>-1.2341767560428707E-3</v>
      </c>
    </row>
    <row r="126" spans="2:14" x14ac:dyDescent="0.25">
      <c r="B126" s="201" t="s">
        <v>770</v>
      </c>
      <c r="C126" s="283">
        <f>SUM(D126:J126)</f>
        <v>2010.4765664423678</v>
      </c>
      <c r="D126" s="283">
        <f t="shared" ref="D126:J126" si="74">D76</f>
        <v>0</v>
      </c>
      <c r="E126" s="283">
        <f t="shared" si="74"/>
        <v>244.67366318644071</v>
      </c>
      <c r="F126" s="283">
        <f t="shared" si="74"/>
        <v>428.76184319999993</v>
      </c>
      <c r="G126" s="283">
        <f t="shared" si="74"/>
        <v>494.40094560000006</v>
      </c>
      <c r="H126" s="283">
        <f t="shared" si="74"/>
        <v>422.74652017021282</v>
      </c>
      <c r="I126" s="283">
        <f t="shared" si="74"/>
        <v>378.95182971428562</v>
      </c>
      <c r="J126" s="283">
        <f t="shared" si="74"/>
        <v>40.941764571428571</v>
      </c>
      <c r="K126" s="282"/>
      <c r="L126" s="10">
        <v>1.989222624881104</v>
      </c>
    </row>
    <row r="127" spans="2:14" x14ac:dyDescent="0.25">
      <c r="B127" s="201" t="s">
        <v>156</v>
      </c>
      <c r="C127" s="283">
        <f>SUM(D127:J127)</f>
        <v>769.25622962098157</v>
      </c>
      <c r="D127" s="283">
        <f>D84</f>
        <v>0</v>
      </c>
      <c r="E127" s="283">
        <f t="shared" ref="E127:J127" si="75">E84</f>
        <v>93.617972361355925</v>
      </c>
      <c r="F127" s="283">
        <f t="shared" si="75"/>
        <v>164.0544955413333</v>
      </c>
      <c r="G127" s="283">
        <f t="shared" si="75"/>
        <v>189.16957983066663</v>
      </c>
      <c r="H127" s="283">
        <f t="shared" si="75"/>
        <v>161.75288964794325</v>
      </c>
      <c r="I127" s="283">
        <f t="shared" si="75"/>
        <v>144.99599776476185</v>
      </c>
      <c r="J127" s="283">
        <f t="shared" si="75"/>
        <v>15.665294474920632</v>
      </c>
      <c r="K127" s="282"/>
    </row>
    <row r="128" spans="2:14" x14ac:dyDescent="0.25">
      <c r="B128" s="201" t="s">
        <v>771</v>
      </c>
      <c r="C128" s="283">
        <f>SUM(D128:J128)</f>
        <v>0</v>
      </c>
      <c r="D128" s="283">
        <f>D91</f>
        <v>0</v>
      </c>
      <c r="E128" s="283">
        <f t="shared" ref="E128:J128" si="76">E91</f>
        <v>0</v>
      </c>
      <c r="F128" s="283">
        <f t="shared" si="76"/>
        <v>0</v>
      </c>
      <c r="G128" s="283">
        <f t="shared" si="76"/>
        <v>0</v>
      </c>
      <c r="H128" s="283">
        <f t="shared" si="76"/>
        <v>0</v>
      </c>
      <c r="I128" s="283">
        <f t="shared" si="76"/>
        <v>0</v>
      </c>
      <c r="J128" s="283">
        <f t="shared" si="76"/>
        <v>0</v>
      </c>
      <c r="K128" s="282"/>
    </row>
    <row r="129" spans="2:13" x14ac:dyDescent="0.25">
      <c r="B129" s="201" t="s">
        <v>163</v>
      </c>
      <c r="C129" s="283">
        <f>SUM(D129:J129)</f>
        <v>0</v>
      </c>
      <c r="D129" s="283">
        <f>D98</f>
        <v>0</v>
      </c>
      <c r="E129" s="283">
        <f t="shared" ref="E129:J129" si="77">E98</f>
        <v>0</v>
      </c>
      <c r="F129" s="283">
        <f t="shared" si="77"/>
        <v>0</v>
      </c>
      <c r="G129" s="283">
        <f t="shared" si="77"/>
        <v>0</v>
      </c>
      <c r="H129" s="283">
        <f t="shared" si="77"/>
        <v>0</v>
      </c>
      <c r="I129" s="283">
        <f t="shared" si="77"/>
        <v>0</v>
      </c>
      <c r="J129" s="283">
        <f t="shared" si="77"/>
        <v>0</v>
      </c>
      <c r="K129" s="282"/>
    </row>
    <row r="130" spans="2:13" s="15" customFormat="1" ht="14.4" x14ac:dyDescent="0.3">
      <c r="B130" s="303" t="s">
        <v>643</v>
      </c>
      <c r="C130" s="304">
        <f>SUM(C131:C135)</f>
        <v>81854.997236554205</v>
      </c>
      <c r="D130" s="304">
        <f t="shared" ref="D130:J130" si="78">SUM(D131:D135)</f>
        <v>0</v>
      </c>
      <c r="E130" s="304">
        <f t="shared" si="78"/>
        <v>9961.6873442093292</v>
      </c>
      <c r="F130" s="304">
        <f t="shared" si="78"/>
        <v>17456.708401274554</v>
      </c>
      <c r="G130" s="304">
        <f t="shared" si="78"/>
        <v>20129.165111885737</v>
      </c>
      <c r="H130" s="304">
        <f t="shared" si="78"/>
        <v>17211.802842422247</v>
      </c>
      <c r="I130" s="304">
        <f t="shared" si="78"/>
        <v>15428.723557965512</v>
      </c>
      <c r="J130" s="304">
        <f t="shared" si="78"/>
        <v>1666.9099787968175</v>
      </c>
      <c r="K130" s="282"/>
      <c r="M130" s="312"/>
    </row>
    <row r="131" spans="2:13" x14ac:dyDescent="0.25">
      <c r="B131" s="201" t="s">
        <v>3</v>
      </c>
      <c r="C131" s="283">
        <f t="shared" ref="C131:C137" si="79">SUM(D131:J131)</f>
        <v>68219.496499840796</v>
      </c>
      <c r="D131" s="283">
        <f>(D64-D66)+D72</f>
        <v>0</v>
      </c>
      <c r="E131" s="283">
        <f t="shared" ref="E131:J131" si="80">(E64-E66)+E72</f>
        <v>8302.2559584768715</v>
      </c>
      <c r="F131" s="283">
        <f t="shared" si="80"/>
        <v>14548.749897100221</v>
      </c>
      <c r="G131" s="283">
        <f t="shared" si="80"/>
        <v>16776.027567045072</v>
      </c>
      <c r="H131" s="283">
        <f t="shared" si="80"/>
        <v>14344.641601431751</v>
      </c>
      <c r="I131" s="283">
        <f t="shared" si="80"/>
        <v>12858.587680982178</v>
      </c>
      <c r="J131" s="283">
        <f t="shared" si="80"/>
        <v>1389.2337948047063</v>
      </c>
      <c r="K131" s="282"/>
    </row>
    <row r="132" spans="2:13" x14ac:dyDescent="0.25">
      <c r="B132" s="201" t="s">
        <v>770</v>
      </c>
      <c r="C132" s="283">
        <f t="shared" si="79"/>
        <v>10191.1374817424</v>
      </c>
      <c r="D132" s="283">
        <f>D79-D81</f>
        <v>0</v>
      </c>
      <c r="E132" s="283">
        <f t="shared" ref="E132:J132" si="81">E79-E81</f>
        <v>1240.2546646474577</v>
      </c>
      <c r="F132" s="283">
        <f t="shared" si="81"/>
        <v>2173.4005578133338</v>
      </c>
      <c r="G132" s="283">
        <f t="shared" si="81"/>
        <v>2506.1262050066671</v>
      </c>
      <c r="H132" s="283">
        <f t="shared" si="81"/>
        <v>2142.9087903304967</v>
      </c>
      <c r="I132" s="283">
        <f t="shared" si="81"/>
        <v>1920.9128124333331</v>
      </c>
      <c r="J132" s="283">
        <f t="shared" si="81"/>
        <v>207.53445151111114</v>
      </c>
      <c r="K132" s="282"/>
    </row>
    <row r="133" spans="2:13" x14ac:dyDescent="0.25">
      <c r="B133" s="201" t="s">
        <v>156</v>
      </c>
      <c r="C133" s="283">
        <f t="shared" si="79"/>
        <v>3444.3632549709996</v>
      </c>
      <c r="D133" s="283">
        <f>D87</f>
        <v>0</v>
      </c>
      <c r="E133" s="283">
        <f t="shared" ref="E133:J133" si="82">E87</f>
        <v>419.176721085</v>
      </c>
      <c r="F133" s="283">
        <f t="shared" si="82"/>
        <v>734.55794636099995</v>
      </c>
      <c r="G133" s="283">
        <f t="shared" si="82"/>
        <v>847.01133983399995</v>
      </c>
      <c r="H133" s="283">
        <f t="shared" si="82"/>
        <v>724.25245066000002</v>
      </c>
      <c r="I133" s="283">
        <f t="shared" si="82"/>
        <v>649.22306455</v>
      </c>
      <c r="J133" s="283">
        <f t="shared" si="82"/>
        <v>70.141732481000005</v>
      </c>
      <c r="K133" s="282"/>
    </row>
    <row r="134" spans="2:13" x14ac:dyDescent="0.25">
      <c r="B134" s="201" t="s">
        <v>771</v>
      </c>
      <c r="C134" s="283">
        <f t="shared" si="79"/>
        <v>0</v>
      </c>
      <c r="D134" s="283">
        <f>D94</f>
        <v>0</v>
      </c>
      <c r="E134" s="283">
        <f t="shared" ref="E134:J134" si="83">E94</f>
        <v>0</v>
      </c>
      <c r="F134" s="283">
        <f t="shared" si="83"/>
        <v>0</v>
      </c>
      <c r="G134" s="283">
        <f t="shared" si="83"/>
        <v>0</v>
      </c>
      <c r="H134" s="283">
        <f t="shared" si="83"/>
        <v>0</v>
      </c>
      <c r="I134" s="283">
        <f t="shared" si="83"/>
        <v>0</v>
      </c>
      <c r="J134" s="283">
        <f t="shared" si="83"/>
        <v>0</v>
      </c>
      <c r="K134" s="282"/>
    </row>
    <row r="135" spans="2:13" ht="14.4" thickBot="1" x14ac:dyDescent="0.3">
      <c r="B135" s="302" t="s">
        <v>163</v>
      </c>
      <c r="C135" s="283">
        <f t="shared" si="79"/>
        <v>0</v>
      </c>
      <c r="D135" s="284">
        <f>D101</f>
        <v>0</v>
      </c>
      <c r="E135" s="284">
        <f t="shared" ref="E135:J135" si="84">E101</f>
        <v>0</v>
      </c>
      <c r="F135" s="284">
        <f t="shared" si="84"/>
        <v>0</v>
      </c>
      <c r="G135" s="284">
        <f t="shared" si="84"/>
        <v>0</v>
      </c>
      <c r="H135" s="284">
        <f t="shared" si="84"/>
        <v>0</v>
      </c>
      <c r="I135" s="284">
        <f t="shared" si="84"/>
        <v>0</v>
      </c>
      <c r="J135" s="284">
        <f t="shared" si="84"/>
        <v>0</v>
      </c>
      <c r="K135" s="282"/>
    </row>
    <row r="136" spans="2:13" s="15" customFormat="1" ht="14.4" thickBot="1" x14ac:dyDescent="0.3">
      <c r="B136" s="308" t="s">
        <v>764</v>
      </c>
      <c r="C136" s="309">
        <f t="shared" si="79"/>
        <v>13.721166728961473</v>
      </c>
      <c r="D136" s="2273">
        <v>0</v>
      </c>
      <c r="E136" s="2273">
        <f t="shared" ref="E136:J136" si="85">E137</f>
        <v>1.9599855839903504</v>
      </c>
      <c r="F136" s="2273">
        <f t="shared" si="85"/>
        <v>2.8814174635880576</v>
      </c>
      <c r="G136" s="2273">
        <f t="shared" si="85"/>
        <v>3.0341950359801952</v>
      </c>
      <c r="H136" s="2273">
        <f t="shared" si="85"/>
        <v>2.7464559724326265</v>
      </c>
      <c r="I136" s="2273">
        <f t="shared" si="85"/>
        <v>2.7622879185438687</v>
      </c>
      <c r="J136" s="2273">
        <f t="shared" si="85"/>
        <v>0.3368247544263745</v>
      </c>
      <c r="K136" s="2249"/>
      <c r="L136" s="2680">
        <v>0</v>
      </c>
    </row>
    <row r="137" spans="2:13" x14ac:dyDescent="0.25">
      <c r="B137" s="306" t="s">
        <v>643</v>
      </c>
      <c r="C137" s="307">
        <f t="shared" si="79"/>
        <v>13.721166728961473</v>
      </c>
      <c r="D137" s="307">
        <f>D136</f>
        <v>0</v>
      </c>
      <c r="E137" s="307">
        <f t="shared" ref="E137:J137" si="86">E138+E139</f>
        <v>1.9599855839903504</v>
      </c>
      <c r="F137" s="307">
        <f t="shared" si="86"/>
        <v>2.8814174635880576</v>
      </c>
      <c r="G137" s="307">
        <f t="shared" si="86"/>
        <v>3.0341950359801952</v>
      </c>
      <c r="H137" s="307">
        <f t="shared" si="86"/>
        <v>2.7464559724326265</v>
      </c>
      <c r="I137" s="307">
        <f t="shared" si="86"/>
        <v>2.7622879185438687</v>
      </c>
      <c r="J137" s="307">
        <f t="shared" si="86"/>
        <v>0.3368247544263745</v>
      </c>
      <c r="K137" s="2250"/>
      <c r="M137" s="312"/>
    </row>
    <row r="138" spans="2:13" x14ac:dyDescent="0.25">
      <c r="B138" s="200" t="s">
        <v>767</v>
      </c>
      <c r="C138" s="296">
        <f>C137*(C142/C141)</f>
        <v>4.6195460965730293</v>
      </c>
      <c r="D138" s="296">
        <v>0</v>
      </c>
      <c r="E138" s="296">
        <v>0.65987422753449532</v>
      </c>
      <c r="F138" s="296">
        <v>0.97009546321180251</v>
      </c>
      <c r="G138" s="296">
        <v>1.0215315469209536</v>
      </c>
      <c r="H138" s="296">
        <v>0.92465757303008977</v>
      </c>
      <c r="I138" s="296">
        <v>0.92998776183140441</v>
      </c>
      <c r="J138" s="296">
        <v>0.11339980072154153</v>
      </c>
      <c r="K138" s="256"/>
    </row>
    <row r="139" spans="2:13" x14ac:dyDescent="0.25">
      <c r="B139" s="200" t="s">
        <v>768</v>
      </c>
      <c r="C139" s="296">
        <f>C137*(C143/C141)</f>
        <v>9.1016206323884425</v>
      </c>
      <c r="D139" s="296">
        <v>0</v>
      </c>
      <c r="E139" s="296">
        <v>1.3001113564558551</v>
      </c>
      <c r="F139" s="296">
        <v>1.9113220003762552</v>
      </c>
      <c r="G139" s="296">
        <v>2.0126634890592414</v>
      </c>
      <c r="H139" s="296">
        <v>1.8217983994025368</v>
      </c>
      <c r="I139" s="296">
        <v>1.8323001567124642</v>
      </c>
      <c r="J139" s="296">
        <v>0.22342495370483295</v>
      </c>
      <c r="K139" s="256"/>
    </row>
    <row r="140" spans="2:13" x14ac:dyDescent="0.25">
      <c r="B140" s="78"/>
      <c r="C140" s="78"/>
      <c r="D140" s="78"/>
      <c r="E140" s="78"/>
      <c r="F140" s="78"/>
      <c r="G140" s="78"/>
      <c r="H140" s="78"/>
      <c r="I140" s="78"/>
      <c r="J140" s="78"/>
      <c r="K140" s="256"/>
    </row>
    <row r="141" spans="2:13" x14ac:dyDescent="0.25">
      <c r="B141" s="77" t="s">
        <v>769</v>
      </c>
      <c r="C141" s="300">
        <f>C142+C143</f>
        <v>479.31177371449212</v>
      </c>
      <c r="D141" s="300">
        <f t="shared" ref="D141:J141" si="87">D142+D143</f>
        <v>0</v>
      </c>
      <c r="E141" s="300">
        <f t="shared" si="87"/>
        <v>58.331926372881355</v>
      </c>
      <c r="F141" s="300">
        <f t="shared" si="87"/>
        <v>102.21984639999998</v>
      </c>
      <c r="G141" s="300">
        <f t="shared" si="87"/>
        <v>117.86867120000001</v>
      </c>
      <c r="H141" s="300">
        <f t="shared" si="87"/>
        <v>100.78575097872341</v>
      </c>
      <c r="I141" s="300">
        <f t="shared" si="87"/>
        <v>90.34478799999998</v>
      </c>
      <c r="J141" s="300">
        <f t="shared" si="87"/>
        <v>9.7608053333333338</v>
      </c>
      <c r="K141" s="256"/>
      <c r="M141" s="729"/>
    </row>
    <row r="142" spans="2:13" x14ac:dyDescent="0.25">
      <c r="B142" s="200" t="s">
        <v>767</v>
      </c>
      <c r="C142" s="298">
        <f>C66</f>
        <v>161.37132337520001</v>
      </c>
      <c r="D142" s="298">
        <f t="shared" ref="D142:J142" si="88">D66</f>
        <v>0</v>
      </c>
      <c r="E142" s="298">
        <f t="shared" si="88"/>
        <v>19.638784677966104</v>
      </c>
      <c r="F142" s="298">
        <f t="shared" si="88"/>
        <v>34.414662399999997</v>
      </c>
      <c r="G142" s="298">
        <f t="shared" si="88"/>
        <v>39.683199200000004</v>
      </c>
      <c r="H142" s="298">
        <f t="shared" si="88"/>
        <v>33.931841191489369</v>
      </c>
      <c r="I142" s="298">
        <f t="shared" si="88"/>
        <v>30.416650857142852</v>
      </c>
      <c r="J142" s="298">
        <f t="shared" si="88"/>
        <v>3.2861996190476193</v>
      </c>
      <c r="K142" s="256"/>
    </row>
    <row r="143" spans="2:13" ht="14.4" thickBot="1" x14ac:dyDescent="0.3">
      <c r="B143" s="297" t="s">
        <v>768</v>
      </c>
      <c r="C143" s="299">
        <f>C81</f>
        <v>317.94045033929211</v>
      </c>
      <c r="D143" s="299">
        <f>D81</f>
        <v>0</v>
      </c>
      <c r="E143" s="299">
        <f t="shared" ref="E143:J143" si="89">E81</f>
        <v>38.693141694915255</v>
      </c>
      <c r="F143" s="299">
        <f t="shared" si="89"/>
        <v>67.805183999999983</v>
      </c>
      <c r="G143" s="299">
        <f t="shared" si="89"/>
        <v>78.185472000000004</v>
      </c>
      <c r="H143" s="299">
        <f t="shared" si="89"/>
        <v>66.853909787234045</v>
      </c>
      <c r="I143" s="299">
        <f t="shared" si="89"/>
        <v>59.928137142857132</v>
      </c>
      <c r="J143" s="299">
        <f t="shared" si="89"/>
        <v>6.4746057142857136</v>
      </c>
      <c r="K143" s="2245"/>
    </row>
    <row r="145" spans="1:14" ht="14.4" thickBot="1" x14ac:dyDescent="0.3"/>
    <row r="146" spans="1:14" ht="14.4" thickBot="1" x14ac:dyDescent="0.3">
      <c r="B146" s="249" t="s">
        <v>796</v>
      </c>
      <c r="C146" s="318">
        <f>C108+C59</f>
        <v>108679.38958443954</v>
      </c>
      <c r="D146" s="316">
        <f t="shared" ref="D146:J146" si="90">D108+D59</f>
        <v>0</v>
      </c>
      <c r="E146" s="318">
        <f t="shared" si="90"/>
        <v>13389.850186576836</v>
      </c>
      <c r="F146" s="316">
        <f t="shared" si="90"/>
        <v>23152.467427158303</v>
      </c>
      <c r="G146" s="318">
        <f t="shared" si="90"/>
        <v>26532.923291994066</v>
      </c>
      <c r="H146" s="316">
        <f t="shared" si="90"/>
        <v>22774.024170540284</v>
      </c>
      <c r="I146" s="318">
        <f t="shared" si="90"/>
        <v>20584.631366656613</v>
      </c>
      <c r="J146" s="317">
        <f t="shared" si="90"/>
        <v>2245.5020607885294</v>
      </c>
      <c r="K146" s="3458">
        <f>'[37]Річний план'!$F$23</f>
        <v>108851.10225121622</v>
      </c>
      <c r="L146" s="254">
        <f>C146-K146</f>
        <v>-171.71266677667154</v>
      </c>
      <c r="M146" s="305"/>
    </row>
    <row r="147" spans="1:14" x14ac:dyDescent="0.25">
      <c r="B147" s="248" t="s">
        <v>797</v>
      </c>
      <c r="C147" s="320">
        <f>C146-C150</f>
        <v>108186.35664399609</v>
      </c>
      <c r="D147" s="320">
        <f t="shared" ref="D147:J147" si="91">D146-D150</f>
        <v>0</v>
      </c>
      <c r="E147" s="320">
        <f t="shared" si="91"/>
        <v>13329.558274619963</v>
      </c>
      <c r="F147" s="320">
        <f t="shared" si="91"/>
        <v>23047.366163294715</v>
      </c>
      <c r="G147" s="320">
        <f t="shared" si="91"/>
        <v>26412.020425758084</v>
      </c>
      <c r="H147" s="320">
        <f t="shared" si="91"/>
        <v>22670.491963589127</v>
      </c>
      <c r="I147" s="320">
        <f t="shared" si="91"/>
        <v>20491.524290738071</v>
      </c>
      <c r="J147" s="320">
        <f t="shared" si="91"/>
        <v>2235.4044307007698</v>
      </c>
      <c r="K147" s="2251"/>
    </row>
    <row r="148" spans="1:14" x14ac:dyDescent="0.25">
      <c r="B148" s="277" t="s">
        <v>644</v>
      </c>
      <c r="C148" s="319">
        <f>C110+C124</f>
        <v>18254.512426752062</v>
      </c>
      <c r="D148" s="319">
        <f t="shared" ref="D148:J148" si="92">D110+D124</f>
        <v>0</v>
      </c>
      <c r="E148" s="319">
        <f t="shared" si="92"/>
        <v>2253.6209230915197</v>
      </c>
      <c r="F148" s="319">
        <f t="shared" si="92"/>
        <v>3888.147256371291</v>
      </c>
      <c r="G148" s="319">
        <f t="shared" si="92"/>
        <v>4451.2603937175863</v>
      </c>
      <c r="H148" s="319">
        <f t="shared" si="92"/>
        <v>3823.0905917368173</v>
      </c>
      <c r="I148" s="319">
        <f>I110+I124</f>
        <v>3460.3192804316495</v>
      </c>
      <c r="J148" s="319">
        <f t="shared" si="92"/>
        <v>378.07398140319964</v>
      </c>
      <c r="K148" s="2251"/>
    </row>
    <row r="149" spans="1:14" x14ac:dyDescent="0.25">
      <c r="B149" s="277" t="s">
        <v>643</v>
      </c>
      <c r="C149" s="319">
        <f>C130+C116</f>
        <v>89931.853121948676</v>
      </c>
      <c r="D149" s="319">
        <f t="shared" ref="D149:J149" si="93">D130+D116</f>
        <v>0</v>
      </c>
      <c r="E149" s="319">
        <f t="shared" si="93"/>
        <v>11075.937351528442</v>
      </c>
      <c r="F149" s="319">
        <f t="shared" si="93"/>
        <v>19159.218906923423</v>
      </c>
      <c r="G149" s="319">
        <f t="shared" si="93"/>
        <v>21960.760032040493</v>
      </c>
      <c r="H149" s="319">
        <f t="shared" si="93"/>
        <v>18847.401371852309</v>
      </c>
      <c r="I149" s="319">
        <f t="shared" si="93"/>
        <v>17031.205010306425</v>
      </c>
      <c r="J149" s="319">
        <f t="shared" si="93"/>
        <v>1857.3304492975701</v>
      </c>
      <c r="K149" s="2251"/>
    </row>
    <row r="150" spans="1:14" ht="14.4" thickBot="1" x14ac:dyDescent="0.3">
      <c r="B150" s="202" t="s">
        <v>798</v>
      </c>
      <c r="C150" s="321">
        <f t="shared" ref="C150:J150" si="94">C136+C81+C66</f>
        <v>493.03294044345358</v>
      </c>
      <c r="D150" s="322">
        <f t="shared" si="94"/>
        <v>0</v>
      </c>
      <c r="E150" s="321">
        <f t="shared" si="94"/>
        <v>60.291911956871715</v>
      </c>
      <c r="F150" s="322">
        <f t="shared" si="94"/>
        <v>105.10126386358803</v>
      </c>
      <c r="G150" s="321">
        <f t="shared" si="94"/>
        <v>120.9028662359802</v>
      </c>
      <c r="H150" s="322">
        <f t="shared" si="94"/>
        <v>103.53220695115604</v>
      </c>
      <c r="I150" s="321">
        <f t="shared" si="94"/>
        <v>93.107075918543856</v>
      </c>
      <c r="J150" s="323">
        <f t="shared" si="94"/>
        <v>10.097630087759708</v>
      </c>
      <c r="K150" s="2242"/>
    </row>
    <row r="152" spans="1:14" x14ac:dyDescent="0.25">
      <c r="B152" s="2679" t="s">
        <v>3348</v>
      </c>
      <c r="C152" s="3461">
        <f t="shared" ref="C152:J152" si="95">C153+C154</f>
        <v>9896.8745684903442</v>
      </c>
      <c r="D152" s="3461">
        <f t="shared" si="95"/>
        <v>0</v>
      </c>
      <c r="E152" s="3461">
        <f t="shared" si="95"/>
        <v>1368.1050102262736</v>
      </c>
      <c r="F152" s="3461">
        <f t="shared" si="95"/>
        <v>2085.728860118722</v>
      </c>
      <c r="G152" s="3461">
        <f t="shared" si="95"/>
        <v>2241.0582463261599</v>
      </c>
      <c r="H152" s="3461">
        <f t="shared" si="95"/>
        <v>2002.8346402062002</v>
      </c>
      <c r="I152" s="3461">
        <f t="shared" si="95"/>
        <v>1965.2692493244042</v>
      </c>
      <c r="J152" s="3461">
        <f t="shared" si="95"/>
        <v>233.87856228858544</v>
      </c>
      <c r="K152" s="3462">
        <v>9896.8745684903442</v>
      </c>
      <c r="L152" s="2665">
        <f>K152-C152</f>
        <v>0</v>
      </c>
    </row>
    <row r="153" spans="1:14" x14ac:dyDescent="0.25">
      <c r="B153" s="2679" t="s">
        <v>644</v>
      </c>
      <c r="C153" s="3461">
        <f t="shared" ref="C153:J153" si="96">C110</f>
        <v>1806.2975163669184</v>
      </c>
      <c r="D153" s="3461">
        <f t="shared" si="96"/>
        <v>0</v>
      </c>
      <c r="E153" s="3461">
        <f t="shared" si="96"/>
        <v>251.89501732316924</v>
      </c>
      <c r="F153" s="3461">
        <f t="shared" si="96"/>
        <v>380.3369370062652</v>
      </c>
      <c r="G153" s="3461">
        <f t="shared" si="96"/>
        <v>406.4291311354234</v>
      </c>
      <c r="H153" s="3461">
        <f t="shared" si="96"/>
        <v>364.48965480370532</v>
      </c>
      <c r="I153" s="3461">
        <f t="shared" si="96"/>
        <v>360.02550906494849</v>
      </c>
      <c r="J153" s="3461">
        <f t="shared" si="96"/>
        <v>43.121267033406561</v>
      </c>
      <c r="L153" s="2665"/>
    </row>
    <row r="154" spans="1:14" x14ac:dyDescent="0.25">
      <c r="B154" s="2679" t="s">
        <v>643</v>
      </c>
      <c r="C154" s="3461">
        <f t="shared" ref="C154:J154" si="97">C116+C137</f>
        <v>8090.5770521234263</v>
      </c>
      <c r="D154" s="3461">
        <f t="shared" si="97"/>
        <v>0</v>
      </c>
      <c r="E154" s="3461">
        <f t="shared" si="97"/>
        <v>1116.2099929031044</v>
      </c>
      <c r="F154" s="3461">
        <f t="shared" si="97"/>
        <v>1705.3919231124569</v>
      </c>
      <c r="G154" s="3461">
        <f t="shared" si="97"/>
        <v>1834.6291151907362</v>
      </c>
      <c r="H154" s="3461">
        <f t="shared" si="97"/>
        <v>1638.344985402495</v>
      </c>
      <c r="I154" s="3461">
        <f t="shared" si="97"/>
        <v>1605.2437402594558</v>
      </c>
      <c r="J154" s="3461">
        <f t="shared" si="97"/>
        <v>190.75729525517889</v>
      </c>
      <c r="L154" s="2665"/>
    </row>
    <row r="155" spans="1:14" x14ac:dyDescent="0.25">
      <c r="B155" s="2681" t="s">
        <v>3349</v>
      </c>
      <c r="C155" s="2679">
        <f>SUM(D155:J155)</f>
        <v>0</v>
      </c>
      <c r="D155" s="2679">
        <f t="shared" ref="D155:J155" si="98">D156*$L$136</f>
        <v>0</v>
      </c>
      <c r="E155" s="2679">
        <f t="shared" si="98"/>
        <v>0</v>
      </c>
      <c r="F155" s="2679">
        <f t="shared" si="98"/>
        <v>0</v>
      </c>
      <c r="G155" s="2679">
        <f t="shared" si="98"/>
        <v>0</v>
      </c>
      <c r="H155" s="2679">
        <f t="shared" si="98"/>
        <v>0</v>
      </c>
      <c r="I155" s="2679">
        <f t="shared" si="98"/>
        <v>0</v>
      </c>
      <c r="J155" s="2679">
        <f t="shared" si="98"/>
        <v>0</v>
      </c>
    </row>
    <row r="156" spans="1:14" x14ac:dyDescent="0.25">
      <c r="B156" s="2681" t="s">
        <v>3350</v>
      </c>
      <c r="C156" s="2679">
        <f>SUM(D156:J156)</f>
        <v>13.721166728961473</v>
      </c>
      <c r="D156" s="2679"/>
      <c r="E156" s="3461">
        <f t="shared" ref="E156:J156" si="99">E136</f>
        <v>1.9599855839903504</v>
      </c>
      <c r="F156" s="3461">
        <f t="shared" si="99"/>
        <v>2.8814174635880576</v>
      </c>
      <c r="G156" s="3461">
        <f t="shared" si="99"/>
        <v>3.0341950359801952</v>
      </c>
      <c r="H156" s="3461">
        <f t="shared" si="99"/>
        <v>2.7464559724326265</v>
      </c>
      <c r="I156" s="3461">
        <f t="shared" si="99"/>
        <v>2.7622879185438687</v>
      </c>
      <c r="J156" s="3461">
        <f t="shared" si="99"/>
        <v>0.3368247544263745</v>
      </c>
    </row>
    <row r="158" spans="1:14" s="15" customFormat="1" ht="28.2" x14ac:dyDescent="0.3">
      <c r="A158" s="705"/>
      <c r="B158" s="261" t="s">
        <v>650</v>
      </c>
      <c r="C158" s="262">
        <f>C159+C162</f>
        <v>59.458515647062136</v>
      </c>
      <c r="D158" s="262">
        <f t="shared" ref="D158:J158" si="100">D159+D162</f>
        <v>59.458515647062136</v>
      </c>
      <c r="E158" s="262">
        <f t="shared" si="100"/>
        <v>59.458515647062136</v>
      </c>
      <c r="F158" s="262">
        <f t="shared" si="100"/>
        <v>59.458515647062136</v>
      </c>
      <c r="G158" s="262">
        <f t="shared" si="100"/>
        <v>59.458515647062136</v>
      </c>
      <c r="H158" s="262">
        <f t="shared" si="100"/>
        <v>59.458515647062136</v>
      </c>
      <c r="I158" s="262">
        <f t="shared" si="100"/>
        <v>59.458515647062136</v>
      </c>
      <c r="J158" s="263">
        <f t="shared" si="100"/>
        <v>59.458515647062136</v>
      </c>
      <c r="K158" s="314"/>
      <c r="N158" s="271"/>
    </row>
    <row r="159" spans="1:14" s="15" customFormat="1" x14ac:dyDescent="0.25">
      <c r="B159" s="205" t="s">
        <v>642</v>
      </c>
      <c r="C159" s="264">
        <f t="shared" ref="C159:C164" si="101">C16+C24</f>
        <v>9.9052058670000012</v>
      </c>
      <c r="D159" s="264">
        <f t="shared" ref="D159:J159" si="102">D160</f>
        <v>9.9052058670000012</v>
      </c>
      <c r="E159" s="264">
        <f t="shared" si="102"/>
        <v>9.9052058670000012</v>
      </c>
      <c r="F159" s="264">
        <f t="shared" si="102"/>
        <v>9.9052058670000012</v>
      </c>
      <c r="G159" s="264">
        <f t="shared" si="102"/>
        <v>9.9052058670000012</v>
      </c>
      <c r="H159" s="264">
        <f t="shared" si="102"/>
        <v>9.9052058670000012</v>
      </c>
      <c r="I159" s="264">
        <f t="shared" si="102"/>
        <v>9.9052058670000012</v>
      </c>
      <c r="J159" s="265">
        <f t="shared" si="102"/>
        <v>9.9052058670000012</v>
      </c>
      <c r="K159" s="2243"/>
      <c r="L159" s="272"/>
    </row>
    <row r="160" spans="1:14" s="15" customFormat="1" x14ac:dyDescent="0.25">
      <c r="B160" s="203" t="s">
        <v>646</v>
      </c>
      <c r="C160" s="264">
        <f t="shared" si="101"/>
        <v>9.9052058670000012</v>
      </c>
      <c r="D160" s="267">
        <f t="shared" ref="D160:J161" si="103">C160</f>
        <v>9.9052058670000012</v>
      </c>
      <c r="E160" s="267">
        <f t="shared" si="103"/>
        <v>9.9052058670000012</v>
      </c>
      <c r="F160" s="267">
        <f t="shared" si="103"/>
        <v>9.9052058670000012</v>
      </c>
      <c r="G160" s="267">
        <f t="shared" si="103"/>
        <v>9.9052058670000012</v>
      </c>
      <c r="H160" s="267">
        <f t="shared" si="103"/>
        <v>9.9052058670000012</v>
      </c>
      <c r="I160" s="267">
        <f t="shared" si="103"/>
        <v>9.9052058670000012</v>
      </c>
      <c r="J160" s="268">
        <f t="shared" si="103"/>
        <v>9.9052058670000012</v>
      </c>
      <c r="K160" s="2243"/>
    </row>
    <row r="161" spans="2:15" s="15" customFormat="1" x14ac:dyDescent="0.25">
      <c r="B161" s="246" t="s">
        <v>652</v>
      </c>
      <c r="C161" s="264">
        <f t="shared" si="101"/>
        <v>1.5903980075903173E-3</v>
      </c>
      <c r="D161" s="267">
        <f t="shared" si="103"/>
        <v>1.5903980075903173E-3</v>
      </c>
      <c r="E161" s="267">
        <f t="shared" si="103"/>
        <v>1.5903980075903173E-3</v>
      </c>
      <c r="F161" s="267">
        <f t="shared" si="103"/>
        <v>1.5903980075903173E-3</v>
      </c>
      <c r="G161" s="267">
        <f t="shared" si="103"/>
        <v>1.5903980075903173E-3</v>
      </c>
      <c r="H161" s="267">
        <f t="shared" si="103"/>
        <v>1.5903980075903173E-3</v>
      </c>
      <c r="I161" s="267">
        <f t="shared" si="103"/>
        <v>1.5903980075903173E-3</v>
      </c>
      <c r="J161" s="268">
        <f t="shared" si="103"/>
        <v>1.5903980075903173E-3</v>
      </c>
      <c r="K161" s="255"/>
      <c r="L161" s="272"/>
    </row>
    <row r="162" spans="2:15" s="15" customFormat="1" x14ac:dyDescent="0.25">
      <c r="B162" s="205" t="s">
        <v>643</v>
      </c>
      <c r="C162" s="264">
        <f t="shared" si="101"/>
        <v>49.553309780062136</v>
      </c>
      <c r="D162" s="264">
        <f t="shared" ref="D162:J162" si="104">D163</f>
        <v>49.553309780062136</v>
      </c>
      <c r="E162" s="264">
        <f t="shared" si="104"/>
        <v>49.553309780062136</v>
      </c>
      <c r="F162" s="264">
        <f t="shared" si="104"/>
        <v>49.553309780062136</v>
      </c>
      <c r="G162" s="264">
        <f t="shared" si="104"/>
        <v>49.553309780062136</v>
      </c>
      <c r="H162" s="264">
        <f t="shared" si="104"/>
        <v>49.553309780062136</v>
      </c>
      <c r="I162" s="264">
        <f t="shared" si="104"/>
        <v>49.553309780062136</v>
      </c>
      <c r="J162" s="265">
        <f t="shared" si="104"/>
        <v>49.553309780062136</v>
      </c>
      <c r="K162" s="256"/>
      <c r="L162" s="272"/>
      <c r="N162" s="30"/>
      <c r="O162" s="30"/>
    </row>
    <row r="163" spans="2:15" s="15" customFormat="1" ht="14.4" x14ac:dyDescent="0.3">
      <c r="B163" s="203" t="s">
        <v>646</v>
      </c>
      <c r="C163" s="264">
        <f t="shared" si="101"/>
        <v>49.553309780062136</v>
      </c>
      <c r="D163" s="267">
        <f t="shared" ref="D163:J165" si="105">C163</f>
        <v>49.553309780062136</v>
      </c>
      <c r="E163" s="267">
        <f t="shared" si="105"/>
        <v>49.553309780062136</v>
      </c>
      <c r="F163" s="267">
        <f t="shared" si="105"/>
        <v>49.553309780062136</v>
      </c>
      <c r="G163" s="267">
        <f t="shared" si="105"/>
        <v>49.553309780062136</v>
      </c>
      <c r="H163" s="267">
        <f t="shared" si="105"/>
        <v>49.553309780062136</v>
      </c>
      <c r="I163" s="267">
        <f t="shared" si="105"/>
        <v>49.553309780062136</v>
      </c>
      <c r="J163" s="268">
        <f t="shared" si="105"/>
        <v>49.553309780062136</v>
      </c>
      <c r="K163" s="2243"/>
      <c r="N163" s="273"/>
      <c r="O163" s="274"/>
    </row>
    <row r="164" spans="2:15" s="15" customFormat="1" x14ac:dyDescent="0.25">
      <c r="B164" s="246" t="s">
        <v>652</v>
      </c>
      <c r="C164" s="264">
        <f t="shared" si="101"/>
        <v>1.6691043420317018E-3</v>
      </c>
      <c r="D164" s="267">
        <f t="shared" si="105"/>
        <v>1.6691043420317018E-3</v>
      </c>
      <c r="E164" s="267">
        <f t="shared" si="105"/>
        <v>1.6691043420317018E-3</v>
      </c>
      <c r="F164" s="267">
        <f t="shared" si="105"/>
        <v>1.6691043420317018E-3</v>
      </c>
      <c r="G164" s="267">
        <f t="shared" si="105"/>
        <v>1.6691043420317018E-3</v>
      </c>
      <c r="H164" s="267">
        <f t="shared" si="105"/>
        <v>1.6691043420317018E-3</v>
      </c>
      <c r="I164" s="267">
        <f t="shared" si="105"/>
        <v>1.6691043420317018E-3</v>
      </c>
      <c r="J164" s="268">
        <f t="shared" si="105"/>
        <v>1.6691043420317018E-3</v>
      </c>
      <c r="K164" s="315"/>
      <c r="L164" s="272"/>
      <c r="N164" s="30"/>
      <c r="O164" s="30"/>
    </row>
    <row r="165" spans="2:15" s="15" customFormat="1" x14ac:dyDescent="0.25">
      <c r="B165" s="285" t="s">
        <v>766</v>
      </c>
      <c r="C165" s="290">
        <v>0.11694</v>
      </c>
      <c r="D165" s="290">
        <f t="shared" si="105"/>
        <v>0.11694</v>
      </c>
      <c r="E165" s="290">
        <f t="shared" si="105"/>
        <v>0.11694</v>
      </c>
      <c r="F165" s="290">
        <f t="shared" si="105"/>
        <v>0.11694</v>
      </c>
      <c r="G165" s="290">
        <f t="shared" si="105"/>
        <v>0.11694</v>
      </c>
      <c r="H165" s="290">
        <f t="shared" si="105"/>
        <v>0.11694</v>
      </c>
      <c r="I165" s="290">
        <f t="shared" si="105"/>
        <v>0.11694</v>
      </c>
      <c r="J165" s="291">
        <f t="shared" si="105"/>
        <v>0.11694</v>
      </c>
      <c r="K165" s="315"/>
      <c r="L165" s="272"/>
      <c r="N165" s="30"/>
      <c r="O165" s="30"/>
    </row>
    <row r="167" spans="2:15" x14ac:dyDescent="0.25">
      <c r="D167" s="312"/>
      <c r="E167" s="312"/>
    </row>
    <row r="168" spans="2:15" x14ac:dyDescent="0.25">
      <c r="D168" s="312"/>
    </row>
    <row r="169" spans="2:15" x14ac:dyDescent="0.25">
      <c r="D169" s="312"/>
    </row>
    <row r="171" spans="2:15" x14ac:dyDescent="0.25">
      <c r="C171" s="312"/>
      <c r="D171" s="312"/>
    </row>
    <row r="172" spans="2:15" x14ac:dyDescent="0.25">
      <c r="C172" s="312"/>
      <c r="D172" s="312"/>
    </row>
  </sheetData>
  <pageMargins left="0.7" right="0.7" top="0.75" bottom="0.75" header="0.3" footer="0.3"/>
  <pageSetup paperSize="9" orientation="portrait" r:id="rId1"/>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D00-000000000000}">
  <sheetPr codeName="Лист39">
    <tabColor rgb="FFFF7C80"/>
  </sheetPr>
  <dimension ref="A1:AB41"/>
  <sheetViews>
    <sheetView topLeftCell="A2" workbookViewId="0">
      <selection activeCell="F27" sqref="F27"/>
    </sheetView>
  </sheetViews>
  <sheetFormatPr defaultColWidth="9.109375" defaultRowHeight="13.2" x14ac:dyDescent="0.25"/>
  <cols>
    <col min="1" max="1" width="37.5546875" style="159" customWidth="1"/>
    <col min="2" max="2" width="6.33203125" style="159" customWidth="1"/>
    <col min="3" max="3" width="6.44140625" style="159" customWidth="1"/>
    <col min="4" max="4" width="6.109375" style="159" customWidth="1"/>
    <col min="5" max="5" width="5.88671875" style="159" customWidth="1"/>
    <col min="6" max="6" width="7" style="159" customWidth="1"/>
    <col min="7" max="7" width="7.88671875" style="159" customWidth="1"/>
    <col min="8" max="8" width="6.33203125" style="159" customWidth="1"/>
    <col min="9" max="9" width="6.109375" style="159" customWidth="1"/>
    <col min="10" max="10" width="7.88671875" style="159" customWidth="1"/>
    <col min="11" max="11" width="5.88671875" style="159" customWidth="1"/>
    <col min="12" max="12" width="7.5546875" style="159" customWidth="1"/>
    <col min="13" max="13" width="7.33203125" style="159" customWidth="1"/>
    <col min="14" max="14" width="6.5546875" style="159" hidden="1" customWidth="1"/>
    <col min="15" max="15" width="5.88671875" style="159" hidden="1" customWidth="1"/>
    <col min="16" max="16" width="10.5546875" style="159" bestFit="1" customWidth="1"/>
    <col min="17" max="17" width="9.109375" style="159"/>
    <col min="18" max="18" width="14.88671875" style="159" bestFit="1" customWidth="1"/>
    <col min="19" max="16384" width="9.109375" style="159"/>
  </cols>
  <sheetData>
    <row r="1" spans="1:26" ht="13.8" x14ac:dyDescent="0.3">
      <c r="A1" s="2267" t="s">
        <v>3200</v>
      </c>
      <c r="K1" s="160" t="s">
        <v>613</v>
      </c>
      <c r="L1" s="160"/>
      <c r="M1" s="160"/>
    </row>
    <row r="2" spans="1:26" ht="13.8" x14ac:dyDescent="0.3">
      <c r="K2" s="161" t="s">
        <v>614</v>
      </c>
      <c r="L2" s="161"/>
      <c r="M2" s="161"/>
    </row>
    <row r="3" spans="1:26" ht="14.4" x14ac:dyDescent="0.3">
      <c r="A3" s="162"/>
      <c r="K3" s="5427" t="s">
        <v>615</v>
      </c>
      <c r="L3" s="5427"/>
      <c r="M3" s="5427"/>
      <c r="Q3" s="163"/>
      <c r="R3" s="163"/>
      <c r="S3" s="163"/>
      <c r="T3" s="163"/>
      <c r="U3" s="163"/>
      <c r="V3" s="163"/>
      <c r="W3" s="163"/>
      <c r="X3" s="163"/>
      <c r="Y3" s="163"/>
      <c r="Z3" s="163"/>
    </row>
    <row r="4" spans="1:26" ht="15" thickBot="1" x14ac:dyDescent="0.35">
      <c r="A4" s="164" t="s">
        <v>616</v>
      </c>
      <c r="B4" s="165" t="s">
        <v>617</v>
      </c>
      <c r="C4" s="166"/>
      <c r="D4" s="166"/>
      <c r="E4" s="166"/>
      <c r="F4" s="166"/>
      <c r="G4" s="166"/>
      <c r="H4" s="166"/>
      <c r="I4" s="166"/>
      <c r="J4" s="166"/>
      <c r="K4" s="166"/>
      <c r="L4" s="166"/>
      <c r="M4" s="166"/>
      <c r="N4" s="166"/>
      <c r="O4" s="166"/>
      <c r="P4" s="167">
        <v>-18</v>
      </c>
      <c r="Q4" s="163"/>
      <c r="R4" s="163"/>
      <c r="S4" s="163"/>
      <c r="T4" s="163"/>
      <c r="U4" s="163"/>
      <c r="V4" s="163"/>
      <c r="W4" s="163"/>
      <c r="X4" s="163"/>
      <c r="Y4" s="163"/>
      <c r="Z4" s="163"/>
    </row>
    <row r="5" spans="1:26" ht="28.8" x14ac:dyDescent="0.3">
      <c r="A5" s="168" t="s">
        <v>618</v>
      </c>
      <c r="B5" s="5428" t="s">
        <v>619</v>
      </c>
      <c r="C5" s="5429"/>
      <c r="D5" s="5429"/>
      <c r="E5" s="5429"/>
      <c r="F5" s="5429"/>
      <c r="G5" s="5429"/>
      <c r="H5" s="5429"/>
      <c r="I5" s="5429"/>
      <c r="J5" s="5429"/>
      <c r="K5" s="5429"/>
      <c r="L5" s="5429"/>
      <c r="M5" s="5429"/>
      <c r="N5" s="5429"/>
      <c r="O5" s="5430"/>
      <c r="P5" s="5431" t="s">
        <v>620</v>
      </c>
      <c r="Q5" s="5431"/>
      <c r="R5" s="163"/>
      <c r="S5" s="163"/>
      <c r="T5" s="163"/>
      <c r="U5" s="163"/>
      <c r="V5" s="163"/>
      <c r="W5" s="163"/>
      <c r="X5" s="163"/>
      <c r="Y5" s="163"/>
      <c r="Z5" s="163"/>
    </row>
    <row r="6" spans="1:26" ht="21.6" x14ac:dyDescent="0.3">
      <c r="A6" s="169" t="s">
        <v>3201</v>
      </c>
      <c r="B6" s="170">
        <v>10</v>
      </c>
      <c r="C6" s="170">
        <v>11</v>
      </c>
      <c r="D6" s="170">
        <v>12</v>
      </c>
      <c r="E6" s="170">
        <v>1</v>
      </c>
      <c r="F6" s="170">
        <v>2</v>
      </c>
      <c r="G6" s="170">
        <v>3</v>
      </c>
      <c r="H6" s="170">
        <v>4</v>
      </c>
      <c r="I6" s="170">
        <v>5</v>
      </c>
      <c r="J6" s="170">
        <v>6</v>
      </c>
      <c r="K6" s="170">
        <v>7</v>
      </c>
      <c r="L6" s="170">
        <v>8</v>
      </c>
      <c r="M6" s="170">
        <v>9</v>
      </c>
      <c r="N6" s="171"/>
      <c r="O6" s="171">
        <v>12</v>
      </c>
      <c r="P6" s="172" t="s">
        <v>621</v>
      </c>
      <c r="Q6" s="172" t="s">
        <v>622</v>
      </c>
      <c r="R6" s="163"/>
      <c r="S6" s="163"/>
      <c r="T6" s="163"/>
      <c r="U6" s="163"/>
      <c r="V6" s="163"/>
      <c r="W6" s="163"/>
      <c r="X6" s="163"/>
      <c r="Y6" s="163"/>
      <c r="Z6" s="163"/>
    </row>
    <row r="7" spans="1:26" ht="14.4" x14ac:dyDescent="0.3">
      <c r="A7" s="3435" t="s">
        <v>623</v>
      </c>
      <c r="B7" s="2265">
        <v>0</v>
      </c>
      <c r="C7" s="2265">
        <f>30-11</f>
        <v>19</v>
      </c>
      <c r="D7" s="2264">
        <v>31</v>
      </c>
      <c r="E7" s="3436">
        <v>31</v>
      </c>
      <c r="F7" s="2265">
        <v>28</v>
      </c>
      <c r="G7" s="2266">
        <v>31</v>
      </c>
      <c r="H7" s="2265">
        <v>1</v>
      </c>
      <c r="I7" s="2266">
        <v>0</v>
      </c>
      <c r="J7" s="2266">
        <v>0</v>
      </c>
      <c r="K7" s="2266">
        <v>0</v>
      </c>
      <c r="L7" s="2266">
        <v>0</v>
      </c>
      <c r="M7" s="2266">
        <v>0</v>
      </c>
      <c r="N7" s="173">
        <v>0</v>
      </c>
      <c r="O7" s="174">
        <v>0</v>
      </c>
      <c r="P7" s="175">
        <f>ROUND(B7+C7+D7+E7+F7+G7+H7,0)</f>
        <v>141</v>
      </c>
      <c r="Q7" s="176"/>
      <c r="R7" s="163"/>
      <c r="S7" s="163"/>
      <c r="T7" s="163"/>
      <c r="U7" s="163"/>
      <c r="V7" s="163"/>
      <c r="W7" s="163"/>
      <c r="X7" s="163"/>
      <c r="Y7" s="163"/>
      <c r="Z7" s="163"/>
    </row>
    <row r="8" spans="1:26" ht="14.4" x14ac:dyDescent="0.3">
      <c r="A8" s="3435" t="s">
        <v>2406</v>
      </c>
      <c r="B8" s="2265">
        <v>0</v>
      </c>
      <c r="C8" s="2265">
        <v>27</v>
      </c>
      <c r="D8" s="2264">
        <v>31</v>
      </c>
      <c r="E8" s="2264">
        <v>31</v>
      </c>
      <c r="F8" s="2265">
        <v>29</v>
      </c>
      <c r="G8" s="2264">
        <v>31</v>
      </c>
      <c r="H8" s="2265">
        <v>7</v>
      </c>
      <c r="I8" s="3436">
        <v>0</v>
      </c>
      <c r="J8" s="3436">
        <v>0</v>
      </c>
      <c r="K8" s="3436">
        <v>0</v>
      </c>
      <c r="L8" s="3436">
        <v>0</v>
      </c>
      <c r="M8" s="3436">
        <v>0</v>
      </c>
      <c r="N8" s="173">
        <v>0</v>
      </c>
      <c r="O8" s="174">
        <v>0</v>
      </c>
      <c r="P8" s="175">
        <f>ROUND(B8+C8+D8+E8+F8+G8+H8,1)</f>
        <v>156</v>
      </c>
      <c r="Q8" s="176"/>
      <c r="R8" s="163"/>
      <c r="S8" s="163"/>
      <c r="T8" s="163"/>
      <c r="U8" s="163"/>
      <c r="V8" s="163"/>
      <c r="W8" s="163"/>
      <c r="X8" s="163"/>
      <c r="Y8" s="163"/>
      <c r="Z8" s="163"/>
    </row>
    <row r="9" spans="1:26" ht="14.4" x14ac:dyDescent="0.3">
      <c r="A9" s="3435" t="s">
        <v>2407</v>
      </c>
      <c r="B9" s="2257">
        <v>0</v>
      </c>
      <c r="C9" s="2265">
        <v>27</v>
      </c>
      <c r="D9" s="2264">
        <v>31</v>
      </c>
      <c r="E9" s="3436">
        <v>31</v>
      </c>
      <c r="F9" s="2265">
        <v>28</v>
      </c>
      <c r="G9" s="3436">
        <v>31</v>
      </c>
      <c r="H9" s="2265">
        <v>13</v>
      </c>
      <c r="I9" s="3436">
        <v>0</v>
      </c>
      <c r="J9" s="3436">
        <v>0</v>
      </c>
      <c r="K9" s="3436">
        <v>0</v>
      </c>
      <c r="L9" s="3436">
        <v>0</v>
      </c>
      <c r="M9" s="3436">
        <v>0</v>
      </c>
      <c r="N9" s="173">
        <v>0</v>
      </c>
      <c r="O9" s="174">
        <v>0</v>
      </c>
      <c r="P9" s="175">
        <f>ROUND(B9+C9+D9+E9+F9+G9+H9,0)</f>
        <v>161</v>
      </c>
      <c r="Q9" s="177"/>
      <c r="R9" s="163"/>
      <c r="S9" s="163"/>
      <c r="T9" s="163"/>
      <c r="U9" s="163"/>
      <c r="V9" s="163"/>
      <c r="W9" s="163"/>
      <c r="X9" s="163"/>
      <c r="Y9" s="163"/>
      <c r="Z9" s="163"/>
    </row>
    <row r="10" spans="1:26" ht="14.4" x14ac:dyDescent="0.3">
      <c r="A10" s="3435" t="s">
        <v>3199</v>
      </c>
      <c r="B10" s="2257">
        <v>0</v>
      </c>
      <c r="C10" s="2265">
        <f>30-1</f>
        <v>29</v>
      </c>
      <c r="D10" s="2264">
        <v>31</v>
      </c>
      <c r="E10" s="3436">
        <v>31</v>
      </c>
      <c r="F10" s="2265">
        <v>28</v>
      </c>
      <c r="G10" s="3436">
        <f>31-1</f>
        <v>30</v>
      </c>
      <c r="H10" s="2265">
        <v>0</v>
      </c>
      <c r="I10" s="3436">
        <v>0</v>
      </c>
      <c r="J10" s="3436">
        <v>0</v>
      </c>
      <c r="K10" s="3436">
        <v>0</v>
      </c>
      <c r="L10" s="3436">
        <v>0</v>
      </c>
      <c r="M10" s="3436">
        <v>0</v>
      </c>
      <c r="N10" s="173">
        <v>0</v>
      </c>
      <c r="O10" s="174">
        <v>0</v>
      </c>
      <c r="P10" s="175">
        <f>ROUND(B10+C10+D10+E10+F10+G10+H10,0)</f>
        <v>149</v>
      </c>
      <c r="Q10" s="176"/>
      <c r="R10" s="163"/>
      <c r="S10" s="163"/>
      <c r="T10" s="163"/>
      <c r="U10" s="163"/>
      <c r="V10" s="163"/>
      <c r="W10" s="163"/>
      <c r="X10" s="163"/>
      <c r="Y10" s="163"/>
      <c r="Z10" s="163"/>
    </row>
    <row r="11" spans="1:26" ht="14.4" x14ac:dyDescent="0.3">
      <c r="A11" s="3437" t="s">
        <v>3529</v>
      </c>
      <c r="B11" s="3438">
        <v>0</v>
      </c>
      <c r="C11" s="3439">
        <v>16</v>
      </c>
      <c r="D11" s="3440">
        <v>31</v>
      </c>
      <c r="E11" s="3441">
        <v>31</v>
      </c>
      <c r="F11" s="3439">
        <v>28</v>
      </c>
      <c r="G11" s="3442">
        <v>31</v>
      </c>
      <c r="H11" s="3439">
        <v>0</v>
      </c>
      <c r="I11" s="3442">
        <v>0</v>
      </c>
      <c r="J11" s="3442">
        <v>0</v>
      </c>
      <c r="K11" s="3442">
        <v>0</v>
      </c>
      <c r="L11" s="3442">
        <v>0</v>
      </c>
      <c r="M11" s="3441">
        <v>0</v>
      </c>
      <c r="N11" s="173">
        <v>0</v>
      </c>
      <c r="O11" s="174">
        <v>0</v>
      </c>
      <c r="P11" s="175">
        <v>149</v>
      </c>
      <c r="Q11" s="176"/>
      <c r="R11" s="163"/>
      <c r="S11" s="163"/>
      <c r="T11" s="163"/>
      <c r="U11" s="163"/>
      <c r="V11" s="163"/>
      <c r="W11" s="163"/>
      <c r="X11" s="163"/>
      <c r="Y11" s="163"/>
      <c r="Z11" s="163"/>
    </row>
    <row r="12" spans="1:26" ht="28.8" x14ac:dyDescent="0.3">
      <c r="A12" s="178" t="s">
        <v>624</v>
      </c>
      <c r="B12" s="179">
        <f>ROUND((B7+B8+B9+B10+B11)/5,2)</f>
        <v>0</v>
      </c>
      <c r="C12" s="180">
        <f>ROUNDDOWN((C7+C8+C9+C10+C11)/5,0)</f>
        <v>23</v>
      </c>
      <c r="D12" s="179">
        <f>SUM(D7:D11)/5</f>
        <v>31</v>
      </c>
      <c r="E12" s="179">
        <f>ROUND((E7+E8+E9+E10+E11)/5,0)</f>
        <v>31</v>
      </c>
      <c r="F12" s="179">
        <f>ROUNDUP((F7+F8+F9+F10+F11)/5,0)</f>
        <v>29</v>
      </c>
      <c r="G12" s="179">
        <f>ROUND((G7+G8+G9+G10+G11)/5,1)</f>
        <v>30.8</v>
      </c>
      <c r="H12" s="179">
        <f>(ROUND((H7+H8+H9+H10+H11)/5,2))</f>
        <v>4.2</v>
      </c>
      <c r="I12" s="174">
        <v>0</v>
      </c>
      <c r="J12" s="174">
        <v>0</v>
      </c>
      <c r="K12" s="174">
        <v>0</v>
      </c>
      <c r="L12" s="174">
        <v>0</v>
      </c>
      <c r="M12" s="174">
        <f>ROUND((M7+M8+M9+M10+M11)/5,0)</f>
        <v>0</v>
      </c>
      <c r="N12" s="174">
        <f>ROUND((N7+N8+N9+N10+N11)/5,0)</f>
        <v>0</v>
      </c>
      <c r="O12" s="174">
        <f>SUM(O7:O11)/5</f>
        <v>0</v>
      </c>
      <c r="P12" s="2269">
        <f>ROUND(SUM(B12:H12),0)</f>
        <v>149</v>
      </c>
      <c r="Q12" s="5432"/>
      <c r="R12" s="163"/>
      <c r="S12" s="163"/>
      <c r="T12" s="163"/>
      <c r="U12" s="163"/>
      <c r="V12" s="163"/>
      <c r="W12" s="163"/>
      <c r="X12" s="163"/>
      <c r="Y12" s="163"/>
      <c r="Z12" s="163"/>
    </row>
    <row r="13" spans="1:26" ht="27" hidden="1" customHeight="1" x14ac:dyDescent="0.3">
      <c r="A13" s="178" t="s">
        <v>625</v>
      </c>
      <c r="B13" s="181"/>
      <c r="C13" s="181"/>
      <c r="D13" s="181"/>
      <c r="E13" s="181"/>
      <c r="F13" s="182">
        <v>0</v>
      </c>
      <c r="G13" s="182">
        <v>0</v>
      </c>
      <c r="H13" s="182">
        <v>0</v>
      </c>
      <c r="I13" s="182">
        <f>ROUND((I7+I8+I9)/5,0)</f>
        <v>0</v>
      </c>
      <c r="J13" s="182">
        <f>ROUND((J7+J8+J9)/5,0)</f>
        <v>0</v>
      </c>
      <c r="K13" s="182">
        <f>ROUND((K7+K8+K9)/5,0)</f>
        <v>0</v>
      </c>
      <c r="L13" s="182">
        <f>ROUND((L7+L8+L9)/5,0)</f>
        <v>0</v>
      </c>
      <c r="M13" s="181"/>
      <c r="N13" s="181"/>
      <c r="O13" s="174"/>
      <c r="P13" s="2268">
        <f>365-P12</f>
        <v>216</v>
      </c>
      <c r="Q13" s="5433"/>
      <c r="R13" s="163"/>
      <c r="S13" s="183"/>
      <c r="T13" s="163"/>
      <c r="U13" s="163"/>
      <c r="V13" s="163"/>
      <c r="W13" s="163"/>
      <c r="X13" s="163"/>
      <c r="Y13" s="163"/>
      <c r="Z13" s="163"/>
    </row>
    <row r="14" spans="1:26" ht="14.4" x14ac:dyDescent="0.3">
      <c r="A14" s="174"/>
      <c r="B14" s="5426" t="s">
        <v>626</v>
      </c>
      <c r="C14" s="5426"/>
      <c r="D14" s="5426"/>
      <c r="E14" s="5426"/>
      <c r="F14" s="5426"/>
      <c r="G14" s="5426"/>
      <c r="H14" s="5426"/>
      <c r="I14" s="5426"/>
      <c r="J14" s="5426"/>
      <c r="K14" s="5426"/>
      <c r="L14" s="5426"/>
      <c r="M14" s="5426"/>
      <c r="N14" s="5426"/>
      <c r="O14" s="5426"/>
      <c r="P14" s="174"/>
      <c r="Q14" s="174"/>
      <c r="R14" s="163"/>
      <c r="S14" s="163"/>
      <c r="T14" s="163"/>
      <c r="U14" s="163"/>
      <c r="V14" s="163"/>
      <c r="W14" s="163"/>
      <c r="X14" s="163"/>
      <c r="Y14" s="163"/>
      <c r="Z14" s="163"/>
    </row>
    <row r="15" spans="1:26" ht="21.6" hidden="1" x14ac:dyDescent="0.3">
      <c r="A15" s="174"/>
      <c r="B15" s="170">
        <v>10</v>
      </c>
      <c r="C15" s="170">
        <v>11</v>
      </c>
      <c r="D15" s="170">
        <v>12</v>
      </c>
      <c r="E15" s="170">
        <v>1</v>
      </c>
      <c r="F15" s="170">
        <v>2</v>
      </c>
      <c r="G15" s="170">
        <v>3</v>
      </c>
      <c r="H15" s="170">
        <v>4</v>
      </c>
      <c r="I15" s="170">
        <v>5</v>
      </c>
      <c r="J15" s="170">
        <v>6</v>
      </c>
      <c r="K15" s="170">
        <v>7</v>
      </c>
      <c r="L15" s="170">
        <v>8</v>
      </c>
      <c r="M15" s="170">
        <v>9</v>
      </c>
      <c r="N15" s="171">
        <v>11</v>
      </c>
      <c r="O15" s="171">
        <v>12</v>
      </c>
      <c r="P15" s="172" t="s">
        <v>621</v>
      </c>
      <c r="Q15" s="172" t="s">
        <v>622</v>
      </c>
      <c r="R15" s="163"/>
      <c r="S15" s="163"/>
      <c r="T15" s="163"/>
      <c r="U15" s="163"/>
      <c r="V15" s="163"/>
      <c r="W15" s="163"/>
      <c r="X15" s="163"/>
      <c r="Y15" s="163"/>
      <c r="Z15" s="163"/>
    </row>
    <row r="16" spans="1:26" ht="14.4" x14ac:dyDescent="0.3">
      <c r="A16" s="3435" t="s">
        <v>623</v>
      </c>
      <c r="B16" s="2266"/>
      <c r="C16" s="2265">
        <v>2.1</v>
      </c>
      <c r="D16" s="2266">
        <v>1.4</v>
      </c>
      <c r="E16" s="2266">
        <v>-0.1</v>
      </c>
      <c r="F16" s="2265">
        <v>2.8</v>
      </c>
      <c r="G16" s="2266">
        <v>6.3</v>
      </c>
      <c r="H16" s="2266">
        <v>12.7</v>
      </c>
      <c r="I16" s="2266"/>
      <c r="J16" s="2266"/>
      <c r="K16" s="2266"/>
      <c r="L16" s="2266"/>
      <c r="M16" s="2265"/>
      <c r="N16" s="173"/>
      <c r="O16" s="173"/>
      <c r="P16" s="185">
        <f>ROUND((B7*B16+C7*C16+D7*D16+E7*E16+F7*F16+G7*G16+H7*H16)/P7,3)</f>
        <v>2.6</v>
      </c>
      <c r="Q16" s="182" t="e">
        <f>(B16*B7+C16*C7+D16*D7+E16*E7+F16*F7+G16*G7+H16*H7+I16*I7+J16*J7+K16*K7+L16*L7+M16*M7+N16*N7+O16*O7)/Q7</f>
        <v>#DIV/0!</v>
      </c>
      <c r="R16" s="163"/>
      <c r="S16" s="163"/>
      <c r="T16" s="163"/>
      <c r="U16" s="163"/>
      <c r="V16" s="163"/>
      <c r="W16" s="163"/>
      <c r="X16" s="163"/>
      <c r="Y16" s="163"/>
      <c r="Z16" s="163"/>
    </row>
    <row r="17" spans="1:28" ht="14.4" x14ac:dyDescent="0.3">
      <c r="A17" s="3435" t="s">
        <v>2406</v>
      </c>
      <c r="B17" s="2265"/>
      <c r="C17" s="2265">
        <v>9.9</v>
      </c>
      <c r="D17" s="2266">
        <v>5.5</v>
      </c>
      <c r="E17" s="2266">
        <v>2.5</v>
      </c>
      <c r="F17" s="2265">
        <v>4.5999999999999996</v>
      </c>
      <c r="G17" s="2266">
        <v>7.7</v>
      </c>
      <c r="H17" s="2266">
        <v>7.2</v>
      </c>
      <c r="I17" s="173"/>
      <c r="J17" s="173"/>
      <c r="K17" s="173"/>
      <c r="L17" s="173"/>
      <c r="M17" s="184"/>
      <c r="N17" s="173"/>
      <c r="O17" s="173"/>
      <c r="P17" s="185">
        <f>ROUND((B8*B17+C8*C17+D8*D17+E8*E17+F8*F17+G8*G17+H8*H17)/P8,3)</f>
        <v>6.0119999999999996</v>
      </c>
      <c r="Q17" s="182" t="e">
        <f>(B17*B8+C17*C8+D17*D8+E17*E8+F17*F8+G17*G8+H17*H8+I17*I8+J17*J8+K17*K8+L17*L8+M17*M8+N17*N8+O17*O8)/Q8</f>
        <v>#DIV/0!</v>
      </c>
      <c r="R17" s="167"/>
      <c r="S17" s="163"/>
      <c r="T17" s="163"/>
      <c r="U17" s="163"/>
      <c r="V17" s="163"/>
      <c r="W17" s="163"/>
      <c r="X17" s="163"/>
      <c r="Y17" s="163"/>
      <c r="Z17" s="163"/>
    </row>
    <row r="18" spans="1:28" ht="14.4" x14ac:dyDescent="0.3">
      <c r="A18" s="3435" t="s">
        <v>2407</v>
      </c>
      <c r="B18" s="2266"/>
      <c r="C18" s="2265">
        <v>6.5</v>
      </c>
      <c r="D18" s="2265">
        <v>4.2</v>
      </c>
      <c r="E18" s="2266">
        <v>1.3</v>
      </c>
      <c r="F18" s="2265">
        <v>0.9</v>
      </c>
      <c r="G18" s="2266">
        <v>3.8</v>
      </c>
      <c r="H18" s="2266">
        <v>7.2</v>
      </c>
      <c r="I18" s="173"/>
      <c r="J18" s="173"/>
      <c r="K18" s="173"/>
      <c r="L18" s="173"/>
      <c r="M18" s="184"/>
      <c r="N18" s="173"/>
      <c r="O18" s="184"/>
      <c r="P18" s="185">
        <f>ROUND((B9*B18+C9*C18+D9*D18+E9*E18+F9*F18+G9*G18+H9*H18)/P9,3)</f>
        <v>3.6190000000000002</v>
      </c>
      <c r="Q18" s="182" t="e">
        <f>(B18*B9+C18*C9+D18*D9+E18*E9+F18*F9+G18*G9+H18*H9+I18*I9+J18*J9+K18*K9+L18*L9+M18*M9+N18*N9+O18*O9)/Q9</f>
        <v>#DIV/0!</v>
      </c>
      <c r="R18" s="163"/>
      <c r="S18" s="163"/>
      <c r="T18" s="163"/>
      <c r="U18" s="163"/>
      <c r="V18" s="163"/>
      <c r="W18" s="163"/>
      <c r="X18" s="163"/>
      <c r="Y18" s="163"/>
      <c r="Z18" s="163"/>
    </row>
    <row r="19" spans="1:28" ht="14.4" x14ac:dyDescent="0.3">
      <c r="A19" s="3435" t="s">
        <v>3199</v>
      </c>
      <c r="B19" s="2265"/>
      <c r="C19" s="2265">
        <v>8.5</v>
      </c>
      <c r="D19" s="2266">
        <v>3.2</v>
      </c>
      <c r="E19" s="2265">
        <v>1</v>
      </c>
      <c r="F19" s="2265">
        <v>4.0999999999999996</v>
      </c>
      <c r="G19" s="2266">
        <v>3.2</v>
      </c>
      <c r="H19" s="2266"/>
      <c r="I19" s="173"/>
      <c r="J19" s="173"/>
      <c r="K19" s="173"/>
      <c r="L19" s="173"/>
      <c r="M19" s="184"/>
      <c r="N19" s="173"/>
      <c r="O19" s="173"/>
      <c r="P19" s="185">
        <f>ROUND((B10*B19+C10*C19+D10*D19+E10*E19+F10*F19+G10*G19+H10*H19)/P10,3)</f>
        <v>3.9430000000000001</v>
      </c>
      <c r="Q19" s="182" t="e">
        <f>(B19*B10+C19*C10+D19*D10+E19*E10+F19*F10+G19*G10+H19*H10+I19*I10+J19*J10+K19*K10+L19*L10+M19*M10+N19*N10+O19*O10)/Q10</f>
        <v>#DIV/0!</v>
      </c>
      <c r="R19" s="163"/>
      <c r="S19" s="163"/>
      <c r="T19" s="163"/>
      <c r="U19" s="163"/>
      <c r="V19" s="163"/>
      <c r="W19" s="163"/>
      <c r="X19" s="163"/>
      <c r="Y19" s="163"/>
      <c r="Z19" s="163"/>
    </row>
    <row r="20" spans="1:28" ht="14.4" x14ac:dyDescent="0.3">
      <c r="A20" s="3437" t="s">
        <v>3529</v>
      </c>
      <c r="B20" s="3442"/>
      <c r="C20" s="3439">
        <v>6.4</v>
      </c>
      <c r="D20" s="3442">
        <v>4.5</v>
      </c>
      <c r="E20" s="3439">
        <v>3.2</v>
      </c>
      <c r="F20" s="3439">
        <v>2.5</v>
      </c>
      <c r="G20" s="3439">
        <v>6</v>
      </c>
      <c r="H20" s="3442"/>
      <c r="I20" s="173"/>
      <c r="J20" s="173"/>
      <c r="K20" s="173"/>
      <c r="L20" s="173"/>
      <c r="M20" s="184"/>
      <c r="N20" s="173"/>
      <c r="O20" s="173"/>
      <c r="P20" s="185">
        <v>3.9430000000000001</v>
      </c>
      <c r="Q20" s="182" t="e">
        <f>(B20*B11+C20*C11+D20*D11+E20*E11+F20*F11+G20*G11+H20*H11+I20*I11+J20*J11+K20*K11+L20*L11+M20*M11+N20*N11+O20*O11)/Q11</f>
        <v>#DIV/0!</v>
      </c>
      <c r="R20" s="163"/>
      <c r="S20" s="163"/>
      <c r="T20" s="163"/>
      <c r="U20" s="163"/>
      <c r="V20" s="163"/>
      <c r="W20" s="163"/>
      <c r="X20" s="163"/>
      <c r="Y20" s="163"/>
      <c r="Z20" s="163"/>
    </row>
    <row r="21" spans="1:28" ht="30" customHeight="1" x14ac:dyDescent="0.3">
      <c r="A21" s="178" t="s">
        <v>627</v>
      </c>
      <c r="B21" s="175">
        <f>IF(B12=0,0,(B16*B7+B17*B8+B18*B9+B10*B19+B11*B20)/SUM(B7:B11))</f>
        <v>0</v>
      </c>
      <c r="C21" s="175">
        <f>(C16*C7+C17*C8+C18*C9+C10*C19+C11*C20)/SUM(C7:C11)</f>
        <v>7.0474576271186447</v>
      </c>
      <c r="D21" s="175">
        <f>(D16*D7+D17*D8+D18*D9+D10*D19+D11*D20)/SUM(D7:D11)</f>
        <v>3.76</v>
      </c>
      <c r="E21" s="179">
        <f>(E16*E7+E17*E8+E18*E9+E10*E19+E11*E20)/SUM(E7:E11)</f>
        <v>1.5800000000000003</v>
      </c>
      <c r="F21" s="186">
        <f>(F7*F16+F8*F17+F9*F18+F10*F19+F11*F20)/(F7+F8+F9+F10+F11)</f>
        <v>2.9914893617021274</v>
      </c>
      <c r="G21" s="175">
        <f>(G7*G16+G8*G17+G9*G18+G10*G19+G11*G20)/(G7+G8+G9+G10+G11)</f>
        <v>5.4142857142857137</v>
      </c>
      <c r="H21" s="175">
        <f>(H7*H16+H8*H17+H9*H18+H10*H19+H11*H20)/(H7+H8+H9+H10+H11)</f>
        <v>7.4619047619047612</v>
      </c>
      <c r="I21" s="175"/>
      <c r="J21" s="175"/>
      <c r="K21" s="175"/>
      <c r="L21" s="175"/>
      <c r="M21" s="175"/>
      <c r="N21" s="175"/>
      <c r="O21" s="175"/>
      <c r="P21" s="2270">
        <f>ROUND((B21*B12+C21*C12+D21*D12+E21*E12+F12*F21+G12*G21+H12*H21)/((P7+P8+P9+P10+P11)/5),2)</f>
        <v>4.05</v>
      </c>
      <c r="Q21" s="5438"/>
      <c r="R21" s="163"/>
      <c r="S21" s="167"/>
      <c r="T21" s="167"/>
      <c r="U21" s="163"/>
      <c r="V21" s="163"/>
      <c r="W21" s="163"/>
      <c r="X21" s="163"/>
      <c r="Y21" s="163"/>
      <c r="Z21" s="163"/>
    </row>
    <row r="22" spans="1:28" ht="39.75" hidden="1" customHeight="1" x14ac:dyDescent="0.3">
      <c r="A22" s="178" t="s">
        <v>628</v>
      </c>
      <c r="B22" s="174"/>
      <c r="C22" s="174"/>
      <c r="D22" s="174"/>
      <c r="E22" s="174"/>
      <c r="F22" s="179"/>
      <c r="G22" s="179"/>
      <c r="H22" s="179"/>
      <c r="I22" s="179"/>
      <c r="J22" s="179"/>
      <c r="K22" s="179"/>
      <c r="L22" s="179"/>
      <c r="M22" s="174"/>
      <c r="N22" s="174"/>
      <c r="O22" s="174"/>
      <c r="P22" s="2270"/>
      <c r="Q22" s="5439"/>
      <c r="R22" s="187"/>
      <c r="S22" s="163"/>
      <c r="T22" s="163"/>
      <c r="U22" s="163"/>
      <c r="V22" s="163"/>
      <c r="W22" s="163"/>
      <c r="X22" s="163"/>
      <c r="Y22" s="163"/>
      <c r="Z22" s="163"/>
    </row>
    <row r="23" spans="1:28" ht="15" thickBot="1" x14ac:dyDescent="0.35">
      <c r="A23" s="5440" t="s">
        <v>2408</v>
      </c>
      <c r="B23" s="5441"/>
      <c r="C23" s="5441"/>
      <c r="D23" s="5441"/>
      <c r="E23" s="5441"/>
      <c r="F23" s="5441"/>
      <c r="G23" s="5441"/>
      <c r="H23" s="5441"/>
      <c r="I23" s="5441"/>
      <c r="J23" s="5441"/>
      <c r="K23" s="5441"/>
      <c r="L23" s="5441"/>
      <c r="M23" s="5441"/>
      <c r="N23" s="5441"/>
      <c r="O23" s="5441"/>
      <c r="P23" s="5441"/>
      <c r="Q23" s="5441"/>
      <c r="R23" s="163"/>
      <c r="S23" s="163"/>
      <c r="T23" s="163"/>
      <c r="U23" s="163"/>
      <c r="V23" s="163"/>
      <c r="W23" s="163"/>
      <c r="X23" s="163"/>
      <c r="Y23" s="163"/>
      <c r="Z23" s="163"/>
    </row>
    <row r="24" spans="1:28" ht="20.25" customHeight="1" x14ac:dyDescent="0.3">
      <c r="A24" s="188" t="s">
        <v>629</v>
      </c>
      <c r="B24" s="5442" t="s">
        <v>630</v>
      </c>
      <c r="C24" s="5442"/>
      <c r="D24" s="5442"/>
      <c r="E24" s="5442"/>
      <c r="F24" s="5442"/>
      <c r="G24" s="5442"/>
      <c r="H24" s="5442"/>
      <c r="I24" s="5442"/>
      <c r="J24" s="5442"/>
      <c r="K24" s="5442"/>
      <c r="L24" s="5442"/>
      <c r="M24" s="5442"/>
      <c r="N24" s="5442"/>
      <c r="O24" s="5442"/>
      <c r="P24" s="5443" t="s">
        <v>620</v>
      </c>
      <c r="Q24" s="5444"/>
      <c r="R24" s="163"/>
      <c r="S24" s="163"/>
      <c r="T24" s="163"/>
      <c r="U24" s="163"/>
      <c r="V24" s="163"/>
      <c r="W24" s="163"/>
      <c r="X24" s="163"/>
      <c r="Y24" s="163"/>
      <c r="Z24" s="163"/>
    </row>
    <row r="25" spans="1:28" ht="21.6" x14ac:dyDescent="0.3">
      <c r="A25" s="189" t="s">
        <v>631</v>
      </c>
      <c r="B25" s="170">
        <v>10</v>
      </c>
      <c r="C25" s="475">
        <v>11</v>
      </c>
      <c r="D25" s="170">
        <v>12</v>
      </c>
      <c r="E25" s="170">
        <v>1</v>
      </c>
      <c r="F25" s="170">
        <v>2</v>
      </c>
      <c r="G25" s="170">
        <v>3</v>
      </c>
      <c r="H25" s="170">
        <v>4</v>
      </c>
      <c r="I25" s="170">
        <v>5</v>
      </c>
      <c r="J25" s="170">
        <v>6</v>
      </c>
      <c r="K25" s="170">
        <v>7</v>
      </c>
      <c r="L25" s="170">
        <v>8</v>
      </c>
      <c r="M25" s="170">
        <v>9</v>
      </c>
      <c r="N25" s="170">
        <v>11</v>
      </c>
      <c r="O25" s="170">
        <v>12</v>
      </c>
      <c r="P25" s="172" t="s">
        <v>621</v>
      </c>
      <c r="Q25" s="190" t="s">
        <v>622</v>
      </c>
      <c r="R25" s="163"/>
      <c r="S25" s="191"/>
      <c r="T25" s="163"/>
      <c r="U25" s="163"/>
      <c r="V25" s="163"/>
      <c r="W25" s="163"/>
      <c r="X25" s="163"/>
      <c r="Y25" s="163"/>
      <c r="Z25" s="163"/>
    </row>
    <row r="26" spans="1:28" ht="14.4" x14ac:dyDescent="0.3">
      <c r="A26" s="192" t="s">
        <v>632</v>
      </c>
      <c r="B26" s="2256">
        <v>0</v>
      </c>
      <c r="C26" s="2257">
        <f t="shared" ref="C26:H26" si="0">ROUND(C12,0)</f>
        <v>23</v>
      </c>
      <c r="D26" s="2257">
        <f t="shared" si="0"/>
        <v>31</v>
      </c>
      <c r="E26" s="2257">
        <f t="shared" si="0"/>
        <v>31</v>
      </c>
      <c r="F26" s="2257">
        <f t="shared" si="0"/>
        <v>29</v>
      </c>
      <c r="G26" s="2257">
        <f t="shared" si="0"/>
        <v>31</v>
      </c>
      <c r="H26" s="2257">
        <f t="shared" si="0"/>
        <v>4</v>
      </c>
      <c r="I26" s="2257">
        <f t="shared" ref="I26:O26" si="1">I12</f>
        <v>0</v>
      </c>
      <c r="J26" s="2257">
        <f t="shared" si="1"/>
        <v>0</v>
      </c>
      <c r="K26" s="2257">
        <f t="shared" si="1"/>
        <v>0</v>
      </c>
      <c r="L26" s="2257">
        <f t="shared" si="1"/>
        <v>0</v>
      </c>
      <c r="M26" s="2257">
        <f t="shared" si="1"/>
        <v>0</v>
      </c>
      <c r="N26" s="2256">
        <f t="shared" si="1"/>
        <v>0</v>
      </c>
      <c r="O26" s="2256">
        <f t="shared" si="1"/>
        <v>0</v>
      </c>
      <c r="P26" s="2258">
        <f>ROUND(SUM(B26:H26),2)</f>
        <v>149</v>
      </c>
      <c r="Q26" s="2259">
        <f>SUM(B26:O26)</f>
        <v>149</v>
      </c>
      <c r="R26" s="163"/>
      <c r="S26" s="163"/>
      <c r="T26" s="163"/>
      <c r="U26" s="163"/>
      <c r="V26" s="163"/>
      <c r="W26" s="163"/>
      <c r="X26" s="163"/>
      <c r="Y26" s="163"/>
      <c r="Z26" s="163"/>
      <c r="AA26" s="163"/>
    </row>
    <row r="27" spans="1:28" ht="14.4" x14ac:dyDescent="0.3">
      <c r="A27" s="192" t="s">
        <v>626</v>
      </c>
      <c r="B27" s="2260">
        <f>ROUND(B21,5)</f>
        <v>0</v>
      </c>
      <c r="C27" s="2260">
        <f t="shared" ref="C27:O27" si="2">ROUND(C21,5)</f>
        <v>7.0474600000000001</v>
      </c>
      <c r="D27" s="2260">
        <f t="shared" si="2"/>
        <v>3.76</v>
      </c>
      <c r="E27" s="2260">
        <f t="shared" si="2"/>
        <v>1.58</v>
      </c>
      <c r="F27" s="2260">
        <f>ROUND(F21,5)</f>
        <v>2.9914900000000002</v>
      </c>
      <c r="G27" s="2260">
        <f t="shared" si="2"/>
        <v>5.4142900000000003</v>
      </c>
      <c r="H27" s="2260">
        <f t="shared" si="2"/>
        <v>7.4619</v>
      </c>
      <c r="I27" s="2257">
        <f t="shared" si="2"/>
        <v>0</v>
      </c>
      <c r="J27" s="2257">
        <f t="shared" si="2"/>
        <v>0</v>
      </c>
      <c r="K27" s="2257">
        <f t="shared" si="2"/>
        <v>0</v>
      </c>
      <c r="L27" s="2257">
        <f t="shared" si="2"/>
        <v>0</v>
      </c>
      <c r="M27" s="2257">
        <f t="shared" si="2"/>
        <v>0</v>
      </c>
      <c r="N27" s="2261">
        <f t="shared" si="2"/>
        <v>0</v>
      </c>
      <c r="O27" s="2261">
        <f t="shared" si="2"/>
        <v>0</v>
      </c>
      <c r="P27" s="2262">
        <f>ROUND((B27*B26+C27*C26+D27*D26+E27*E26+F26*F27+G26*G27+H26*H27)/SUM(B26:H26),2)</f>
        <v>4.1100000000000003</v>
      </c>
      <c r="Q27" s="2263">
        <f>(B27*B26+C27*C26+D27*D26+E27*E26+M27*M26+N27*N26+O27*O26+F27*F26+G27*G26+H27*H26+I27*I26+J27*J26+K27*K26+L27*L26)/SUM(B26:O26)</f>
        <v>4.1078884563758393</v>
      </c>
      <c r="R27" s="163"/>
      <c r="S27" s="163"/>
      <c r="T27" s="163"/>
      <c r="U27" s="163"/>
      <c r="V27" s="163"/>
      <c r="W27" s="163"/>
      <c r="X27" s="163"/>
      <c r="Y27" s="163"/>
      <c r="Z27" s="163"/>
      <c r="AA27" s="163"/>
    </row>
    <row r="28" spans="1:28" ht="26.25" customHeight="1" x14ac:dyDescent="0.3">
      <c r="A28" s="193" t="s">
        <v>633</v>
      </c>
      <c r="B28" s="2256">
        <f>B26</f>
        <v>0</v>
      </c>
      <c r="C28" s="2257">
        <f t="shared" ref="C28:H28" si="3">C26</f>
        <v>23</v>
      </c>
      <c r="D28" s="2257">
        <f t="shared" si="3"/>
        <v>31</v>
      </c>
      <c r="E28" s="2257">
        <f t="shared" si="3"/>
        <v>31</v>
      </c>
      <c r="F28" s="2257">
        <f t="shared" si="3"/>
        <v>29</v>
      </c>
      <c r="G28" s="2257">
        <f t="shared" si="3"/>
        <v>31</v>
      </c>
      <c r="H28" s="2257">
        <f t="shared" si="3"/>
        <v>4</v>
      </c>
      <c r="I28" s="2257">
        <f t="shared" ref="I28:O28" si="4">I12</f>
        <v>0</v>
      </c>
      <c r="J28" s="2257">
        <f t="shared" si="4"/>
        <v>0</v>
      </c>
      <c r="K28" s="2257">
        <f t="shared" si="4"/>
        <v>0</v>
      </c>
      <c r="L28" s="2257">
        <f t="shared" si="4"/>
        <v>0</v>
      </c>
      <c r="M28" s="2257">
        <f t="shared" si="4"/>
        <v>0</v>
      </c>
      <c r="N28" s="2256">
        <f t="shared" si="4"/>
        <v>0</v>
      </c>
      <c r="O28" s="2256">
        <f t="shared" si="4"/>
        <v>0</v>
      </c>
      <c r="P28" s="2262">
        <f>P26</f>
        <v>149</v>
      </c>
      <c r="Q28" s="5445" t="s">
        <v>634</v>
      </c>
      <c r="R28" s="163"/>
      <c r="S28" s="163"/>
      <c r="T28" s="163"/>
      <c r="U28" s="163"/>
      <c r="V28" s="194"/>
      <c r="W28" s="195"/>
      <c r="X28" s="163"/>
      <c r="Y28" s="163"/>
      <c r="Z28" s="194"/>
      <c r="AA28" s="196"/>
    </row>
    <row r="29" spans="1:28" ht="29.25" hidden="1" customHeight="1" x14ac:dyDescent="0.3">
      <c r="A29" s="193" t="s">
        <v>635</v>
      </c>
      <c r="B29" s="2264"/>
      <c r="C29" s="2264"/>
      <c r="D29" s="2264"/>
      <c r="E29" s="2265"/>
      <c r="F29" s="2265"/>
      <c r="G29" s="2265"/>
      <c r="H29" s="2265"/>
      <c r="I29" s="2265"/>
      <c r="J29" s="2265"/>
      <c r="K29" s="2265"/>
      <c r="L29" s="2265"/>
      <c r="M29" s="2265"/>
      <c r="N29" s="2266"/>
      <c r="O29" s="2264"/>
      <c r="P29" s="2271"/>
      <c r="Q29" s="5446"/>
      <c r="R29" s="187">
        <f>(P21-P28)/P28</f>
        <v>-0.9728187919463086</v>
      </c>
      <c r="S29" s="163"/>
      <c r="T29" s="163"/>
      <c r="U29" s="163"/>
      <c r="V29" s="5434"/>
      <c r="W29" s="5434"/>
      <c r="X29" s="5434"/>
      <c r="Y29" s="5434"/>
      <c r="Z29" s="5434"/>
      <c r="AA29" s="5434"/>
      <c r="AB29" s="5434"/>
    </row>
    <row r="30" spans="1:28" ht="14.4" hidden="1" x14ac:dyDescent="0.3">
      <c r="A30" s="5435" t="s">
        <v>636</v>
      </c>
      <c r="B30" s="5436"/>
      <c r="C30" s="5436"/>
      <c r="D30" s="5436"/>
      <c r="E30" s="5436"/>
      <c r="F30" s="5436"/>
      <c r="G30" s="5436"/>
      <c r="H30" s="5436"/>
      <c r="I30" s="5436"/>
      <c r="J30" s="5436"/>
      <c r="K30" s="5436"/>
      <c r="L30" s="5436"/>
      <c r="M30" s="5436"/>
      <c r="N30" s="5436"/>
      <c r="O30" s="5436"/>
      <c r="P30" s="5436"/>
      <c r="Q30" s="5437"/>
      <c r="R30" s="163"/>
      <c r="S30" s="163"/>
      <c r="T30" s="163"/>
      <c r="U30" s="163"/>
      <c r="V30" s="163"/>
      <c r="W30" s="163"/>
      <c r="X30" s="163"/>
      <c r="Y30" s="163"/>
      <c r="Z30" s="163"/>
    </row>
    <row r="31" spans="1:28" ht="14.4" x14ac:dyDescent="0.3">
      <c r="A31" s="197"/>
      <c r="B31" s="197"/>
      <c r="C31" s="197"/>
      <c r="D31" s="197"/>
      <c r="E31" s="197"/>
      <c r="F31" s="197"/>
      <c r="G31" s="197"/>
      <c r="H31" s="197"/>
      <c r="I31" s="197"/>
      <c r="J31" s="197" t="s">
        <v>846</v>
      </c>
      <c r="K31" s="197"/>
      <c r="L31" s="197"/>
      <c r="M31" s="197"/>
      <c r="N31" s="197"/>
      <c r="O31" s="197"/>
      <c r="P31" s="197"/>
      <c r="Q31" s="197"/>
      <c r="R31" s="163"/>
      <c r="S31" s="163"/>
      <c r="T31" s="163"/>
      <c r="U31" s="163"/>
      <c r="V31" s="163"/>
      <c r="W31" s="163"/>
      <c r="X31" s="163"/>
      <c r="Y31" s="163"/>
      <c r="Z31" s="163"/>
    </row>
    <row r="32" spans="1:28" ht="14.4" x14ac:dyDescent="0.3">
      <c r="A32" s="163"/>
      <c r="B32" s="163"/>
      <c r="C32" s="197" t="s">
        <v>637</v>
      </c>
      <c r="D32" s="197"/>
      <c r="E32" s="197"/>
      <c r="F32" s="197"/>
      <c r="G32" s="197"/>
      <c r="H32" s="197"/>
      <c r="I32" s="197"/>
      <c r="J32" s="197"/>
      <c r="K32" s="197"/>
      <c r="L32" s="197"/>
      <c r="M32" s="197" t="s">
        <v>638</v>
      </c>
      <c r="N32" s="197"/>
      <c r="O32" s="197"/>
      <c r="P32" s="163"/>
      <c r="Q32" s="163"/>
      <c r="R32" s="163"/>
      <c r="S32" s="163"/>
      <c r="T32" s="163"/>
      <c r="U32" s="163"/>
      <c r="V32" s="163"/>
      <c r="W32" s="163"/>
      <c r="X32" s="163"/>
      <c r="Y32" s="163"/>
      <c r="Z32" s="163"/>
    </row>
    <row r="33" spans="1:26" ht="13.8" x14ac:dyDescent="0.25">
      <c r="A33" s="198" t="s">
        <v>639</v>
      </c>
      <c r="B33" s="163"/>
      <c r="C33" s="163"/>
      <c r="D33" s="163"/>
      <c r="E33" s="163"/>
      <c r="F33" s="163"/>
      <c r="G33" s="163"/>
      <c r="H33" s="163"/>
      <c r="I33" s="163"/>
      <c r="J33" s="163"/>
      <c r="K33" s="163"/>
      <c r="L33" s="163"/>
      <c r="M33" s="163"/>
      <c r="N33" s="163"/>
      <c r="O33" s="163"/>
      <c r="P33" s="163"/>
      <c r="Q33" s="163"/>
      <c r="R33" s="163"/>
      <c r="S33" s="163"/>
      <c r="T33" s="163"/>
      <c r="U33" s="163"/>
      <c r="V33" s="163"/>
      <c r="W33" s="163"/>
      <c r="X33" s="163"/>
      <c r="Y33" s="163"/>
      <c r="Z33" s="163"/>
    </row>
    <row r="34" spans="1:26" ht="13.8" x14ac:dyDescent="0.25">
      <c r="A34" s="163"/>
      <c r="B34" s="163"/>
      <c r="C34" s="163"/>
      <c r="D34" s="163"/>
      <c r="E34" s="163"/>
      <c r="F34" s="163"/>
      <c r="G34" s="163"/>
      <c r="H34" s="163"/>
      <c r="I34" s="163"/>
      <c r="J34" s="163"/>
      <c r="K34" s="163"/>
      <c r="L34" s="163"/>
      <c r="M34" s="163"/>
      <c r="N34" s="163"/>
      <c r="O34" s="163"/>
      <c r="P34" s="163"/>
      <c r="Q34" s="163"/>
      <c r="R34" s="163"/>
      <c r="S34" s="163"/>
      <c r="T34" s="163"/>
      <c r="U34" s="163"/>
      <c r="V34" s="163"/>
      <c r="W34" s="163"/>
      <c r="X34" s="163"/>
      <c r="Y34" s="163"/>
      <c r="Z34" s="163"/>
    </row>
    <row r="35" spans="1:26" ht="13.8" x14ac:dyDescent="0.25">
      <c r="A35" s="163"/>
      <c r="B35" s="163"/>
      <c r="C35" s="163"/>
      <c r="D35" s="163"/>
      <c r="E35" s="163"/>
      <c r="F35" s="163"/>
      <c r="G35" s="163"/>
      <c r="H35" s="163"/>
      <c r="I35" s="163"/>
      <c r="J35" s="163"/>
      <c r="K35" s="163"/>
      <c r="L35" s="163"/>
      <c r="M35" s="163"/>
      <c r="N35" s="163"/>
      <c r="O35" s="163"/>
      <c r="P35" s="163"/>
      <c r="Q35" s="163"/>
      <c r="R35" s="163"/>
      <c r="S35" s="163"/>
      <c r="T35" s="163"/>
      <c r="U35" s="163"/>
      <c r="V35" s="163"/>
      <c r="W35" s="163"/>
      <c r="X35" s="163"/>
      <c r="Y35" s="163"/>
      <c r="Z35" s="163"/>
    </row>
    <row r="36" spans="1:26" ht="13.8" x14ac:dyDescent="0.25">
      <c r="A36" s="163"/>
      <c r="B36" s="163"/>
      <c r="C36" s="163"/>
      <c r="D36" s="163"/>
      <c r="E36" s="163"/>
      <c r="F36" s="163"/>
      <c r="G36" s="163"/>
      <c r="H36" s="163"/>
      <c r="I36" s="163"/>
      <c r="J36" s="163"/>
      <c r="K36" s="163"/>
      <c r="L36" s="163"/>
      <c r="M36" s="163"/>
      <c r="N36" s="163"/>
      <c r="O36" s="163"/>
      <c r="P36" s="163"/>
      <c r="Q36" s="163"/>
      <c r="R36" s="163"/>
      <c r="S36" s="163"/>
      <c r="T36" s="163"/>
      <c r="U36" s="163"/>
      <c r="V36" s="163"/>
      <c r="W36" s="163"/>
      <c r="X36" s="163"/>
      <c r="Y36" s="163"/>
      <c r="Z36" s="163"/>
    </row>
    <row r="37" spans="1:26" ht="13.8" x14ac:dyDescent="0.25">
      <c r="A37" s="163"/>
      <c r="B37" s="163"/>
      <c r="C37" s="163"/>
      <c r="D37" s="163"/>
      <c r="E37" s="163"/>
      <c r="F37" s="163"/>
      <c r="G37" s="163"/>
      <c r="H37" s="163"/>
      <c r="I37" s="163"/>
      <c r="J37" s="163"/>
      <c r="K37" s="163"/>
      <c r="L37" s="163"/>
      <c r="M37" s="163"/>
      <c r="N37" s="163"/>
      <c r="O37" s="163"/>
      <c r="P37" s="163"/>
      <c r="Q37" s="163"/>
      <c r="R37" s="163"/>
      <c r="S37" s="163"/>
      <c r="T37" s="163"/>
      <c r="U37" s="163"/>
      <c r="V37" s="163"/>
      <c r="W37" s="163"/>
      <c r="X37" s="163"/>
      <c r="Y37" s="163"/>
      <c r="Z37" s="163"/>
    </row>
    <row r="38" spans="1:26" ht="13.8" x14ac:dyDescent="0.25">
      <c r="A38" s="163"/>
      <c r="B38" s="163"/>
      <c r="C38" s="163"/>
      <c r="D38" s="163"/>
      <c r="E38" s="163"/>
      <c r="F38" s="163"/>
      <c r="G38" s="163"/>
      <c r="H38" s="163"/>
      <c r="I38" s="163"/>
      <c r="J38" s="163"/>
      <c r="K38" s="163"/>
      <c r="L38" s="163"/>
      <c r="M38" s="163"/>
      <c r="N38" s="163"/>
      <c r="O38" s="163"/>
      <c r="P38" s="163"/>
      <c r="Q38" s="163"/>
      <c r="R38" s="163"/>
      <c r="S38" s="163"/>
      <c r="T38" s="163"/>
      <c r="U38" s="163"/>
      <c r="V38" s="163"/>
      <c r="W38" s="163"/>
      <c r="X38" s="163"/>
      <c r="Y38" s="163"/>
      <c r="Z38" s="163"/>
    </row>
    <row r="39" spans="1:26" ht="13.8" x14ac:dyDescent="0.25">
      <c r="A39" s="163"/>
      <c r="B39" s="163"/>
      <c r="C39" s="163"/>
      <c r="D39" s="163"/>
      <c r="E39" s="163"/>
      <c r="F39" s="163"/>
      <c r="G39" s="163"/>
      <c r="H39" s="163"/>
      <c r="I39" s="163"/>
      <c r="J39" s="163"/>
      <c r="K39" s="163"/>
      <c r="L39" s="163"/>
      <c r="M39" s="163"/>
      <c r="N39" s="163"/>
      <c r="O39" s="163"/>
      <c r="P39" s="163"/>
      <c r="Q39" s="163"/>
      <c r="R39" s="163"/>
      <c r="S39" s="163"/>
      <c r="T39" s="163"/>
      <c r="U39" s="163"/>
      <c r="V39" s="163"/>
      <c r="W39" s="163"/>
      <c r="X39" s="163"/>
      <c r="Y39" s="163"/>
      <c r="Z39" s="163"/>
    </row>
    <row r="40" spans="1:26" ht="13.8" x14ac:dyDescent="0.25">
      <c r="A40" s="163"/>
      <c r="B40" s="163"/>
      <c r="C40" s="163"/>
      <c r="D40" s="163"/>
      <c r="E40" s="163"/>
      <c r="F40" s="163"/>
      <c r="G40" s="163"/>
      <c r="H40" s="163"/>
      <c r="I40" s="163"/>
      <c r="J40" s="163"/>
      <c r="K40" s="163"/>
      <c r="L40" s="163"/>
      <c r="M40" s="163"/>
      <c r="N40" s="163"/>
      <c r="O40" s="163"/>
      <c r="P40" s="163"/>
      <c r="Q40" s="163"/>
      <c r="R40" s="163"/>
      <c r="S40" s="163"/>
      <c r="T40" s="163"/>
      <c r="U40" s="163"/>
      <c r="V40" s="163"/>
      <c r="W40" s="163"/>
      <c r="X40" s="163"/>
      <c r="Y40" s="163"/>
      <c r="Z40" s="163"/>
    </row>
    <row r="41" spans="1:26" ht="13.8" x14ac:dyDescent="0.25">
      <c r="A41" s="163"/>
      <c r="B41" s="163"/>
      <c r="C41" s="163"/>
      <c r="D41" s="163"/>
      <c r="E41" s="163"/>
      <c r="F41" s="163"/>
      <c r="G41" s="163"/>
      <c r="H41" s="163"/>
      <c r="I41" s="163"/>
      <c r="J41" s="163"/>
      <c r="K41" s="163"/>
      <c r="L41" s="163"/>
      <c r="M41" s="163"/>
      <c r="N41" s="163"/>
      <c r="O41" s="163"/>
      <c r="P41" s="163"/>
      <c r="Q41" s="163"/>
      <c r="R41" s="163"/>
      <c r="S41" s="163"/>
      <c r="T41" s="163"/>
      <c r="U41" s="163"/>
      <c r="V41" s="163"/>
      <c r="W41" s="163"/>
      <c r="X41" s="163"/>
      <c r="Y41" s="163"/>
      <c r="Z41" s="163"/>
    </row>
  </sheetData>
  <mergeCells count="12">
    <mergeCell ref="V29:AB29"/>
    <mergeCell ref="A30:Q30"/>
    <mergeCell ref="Q21:Q22"/>
    <mergeCell ref="A23:Q23"/>
    <mergeCell ref="B24:O24"/>
    <mergeCell ref="P24:Q24"/>
    <mergeCell ref="Q28:Q29"/>
    <mergeCell ref="B14:O14"/>
    <mergeCell ref="K3:M3"/>
    <mergeCell ref="B5:O5"/>
    <mergeCell ref="P5:Q5"/>
    <mergeCell ref="Q12:Q13"/>
  </mergeCells>
  <pageMargins left="0.22" right="0.34" top="0.17" bottom="0.17" header="0.17" footer="0.17"/>
  <pageSetup paperSize="9" scale="95" orientation="landscape" r:id="rId1"/>
  <drawing r:id="rId2"/>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E00-000000000000}">
  <sheetPr codeName="Лист40"/>
  <dimension ref="B5:K68"/>
  <sheetViews>
    <sheetView workbookViewId="0">
      <selection activeCell="J6" sqref="J6:K7"/>
    </sheetView>
  </sheetViews>
  <sheetFormatPr defaultRowHeight="14.4" x14ac:dyDescent="0.3"/>
  <cols>
    <col min="2" max="2" width="34.6640625" style="1502" customWidth="1"/>
    <col min="3" max="3" width="13.33203125" customWidth="1"/>
    <col min="4" max="4" width="17.6640625" customWidth="1"/>
    <col min="5" max="5" width="32.6640625" style="1502" customWidth="1"/>
    <col min="6" max="7" width="13.109375" customWidth="1"/>
    <col min="8" max="9" width="8.88671875" style="1513"/>
  </cols>
  <sheetData>
    <row r="5" spans="2:11" x14ac:dyDescent="0.3">
      <c r="B5" s="1502" t="e">
        <f>Виробництво_1ст!#REF!</f>
        <v>#REF!</v>
      </c>
      <c r="C5" t="e">
        <f>Виробництво_1ст!#REF!</f>
        <v>#REF!</v>
      </c>
      <c r="E5" s="1502" t="e">
        <f>Виробництво_1ст!#REF!</f>
        <v>#REF!</v>
      </c>
      <c r="F5" t="e">
        <f>Виробництво_2ст!#REF!</f>
        <v>#REF!</v>
      </c>
    </row>
    <row r="6" spans="2:11" ht="75.599999999999994" customHeight="1" x14ac:dyDescent="0.3">
      <c r="B6" s="1502" t="e">
        <f>Виробництво_1ст!#REF!</f>
        <v>#REF!</v>
      </c>
      <c r="C6" s="1502" t="e">
        <f>Виробництво_1ст!#REF!</f>
        <v>#REF!</v>
      </c>
      <c r="D6" s="1502" t="e">
        <f>Виробництво_1ст!#REF!</f>
        <v>#REF!</v>
      </c>
      <c r="E6" s="1502" t="e">
        <f>Виробництво_1ст!#REF!</f>
        <v>#REF!</v>
      </c>
      <c r="F6" s="1502" t="e">
        <f>Виробництво_2ст!#REF!</f>
        <v>#REF!</v>
      </c>
      <c r="G6" s="1502" t="e">
        <f>Виробництво_2ст!#REF!</f>
        <v>#REF!</v>
      </c>
      <c r="J6" s="1513">
        <v>8375.3315300413888</v>
      </c>
      <c r="K6" s="1513">
        <v>20961.693739996848</v>
      </c>
    </row>
    <row r="7" spans="2:11" x14ac:dyDescent="0.3">
      <c r="B7" s="1614" t="e">
        <f>Виробництво_1ст!#REF!</f>
        <v>#REF!</v>
      </c>
      <c r="C7" s="1615" t="e">
        <f>Виробництво_1ст!#REF!</f>
        <v>#REF!</v>
      </c>
      <c r="D7" s="1614" t="e">
        <f>Виробництво_1ст!#REF!</f>
        <v>#REF!</v>
      </c>
      <c r="E7" s="1614" t="e">
        <f>Виробництво_1ст!#REF!</f>
        <v>#REF!</v>
      </c>
      <c r="F7" s="1614" t="e">
        <f>Виробництво_2ст!#REF!</f>
        <v>#REF!</v>
      </c>
      <c r="G7" s="1614" t="e">
        <f>Виробництво_2ст!#REF!</f>
        <v>#REF!</v>
      </c>
      <c r="H7" s="1616" t="e">
        <f>C7-F7</f>
        <v>#REF!</v>
      </c>
      <c r="I7" s="1616" t="e">
        <f>D7-G7</f>
        <v>#REF!</v>
      </c>
      <c r="J7" s="1597" t="e">
        <f>F7-F21</f>
        <v>#REF!</v>
      </c>
      <c r="K7" s="1597" t="e">
        <f>G7-G21</f>
        <v>#REF!</v>
      </c>
    </row>
    <row r="8" spans="2:11" x14ac:dyDescent="0.3">
      <c r="B8" s="1614" t="e">
        <f>Виробництво_1ст!#REF!</f>
        <v>#REF!</v>
      </c>
      <c r="C8" s="1615" t="e">
        <f>Виробництво_1ст!#REF!</f>
        <v>#REF!</v>
      </c>
      <c r="D8" s="1614" t="e">
        <f>Виробництво_1ст!#REF!</f>
        <v>#REF!</v>
      </c>
      <c r="E8" s="1614" t="e">
        <f>Виробництво_1ст!#REF!</f>
        <v>#REF!</v>
      </c>
      <c r="F8" s="1614" t="e">
        <f>Виробництво_2ст!#REF!</f>
        <v>#REF!</v>
      </c>
      <c r="G8" s="1614" t="e">
        <f>Виробництво_2ст!#REF!</f>
        <v>#REF!</v>
      </c>
      <c r="H8" s="1616" t="e">
        <f t="shared" ref="H8:H68" si="0">C8-F8</f>
        <v>#REF!</v>
      </c>
      <c r="I8" s="1616" t="e">
        <f t="shared" ref="I8:I68" si="1">D8-G8</f>
        <v>#REF!</v>
      </c>
    </row>
    <row r="9" spans="2:11" x14ac:dyDescent="0.3">
      <c r="B9" s="1614" t="e">
        <f>Виробництво_1ст!#REF!</f>
        <v>#REF!</v>
      </c>
      <c r="C9" s="1615" t="e">
        <f>Виробництво_1ст!#REF!</f>
        <v>#REF!</v>
      </c>
      <c r="D9" s="1614" t="e">
        <f>Виробництво_1ст!#REF!</f>
        <v>#REF!</v>
      </c>
      <c r="E9" s="1614" t="e">
        <f>Виробництво_1ст!#REF!</f>
        <v>#REF!</v>
      </c>
      <c r="F9" s="1614" t="e">
        <f>Виробництво_2ст!#REF!</f>
        <v>#REF!</v>
      </c>
      <c r="G9" s="1614" t="e">
        <f>Виробництво_2ст!#REF!</f>
        <v>#REF!</v>
      </c>
      <c r="H9" s="1616" t="e">
        <f t="shared" si="0"/>
        <v>#REF!</v>
      </c>
      <c r="I9" s="1616" t="e">
        <f t="shared" si="1"/>
        <v>#REF!</v>
      </c>
    </row>
    <row r="10" spans="2:11" x14ac:dyDescent="0.3">
      <c r="B10" s="1614" t="e">
        <f>Виробництво_1ст!#REF!</f>
        <v>#REF!</v>
      </c>
      <c r="C10" s="1615" t="e">
        <f>Виробництво_1ст!#REF!</f>
        <v>#REF!</v>
      </c>
      <c r="D10" s="1614" t="e">
        <f>Виробництво_1ст!#REF!</f>
        <v>#REF!</v>
      </c>
      <c r="E10" s="1614" t="e">
        <f>Виробництво_1ст!#REF!</f>
        <v>#REF!</v>
      </c>
      <c r="F10" s="1614" t="e">
        <f>Виробництво_2ст!#REF!</f>
        <v>#REF!</v>
      </c>
      <c r="G10" s="1614" t="e">
        <f>Виробництво_2ст!#REF!</f>
        <v>#REF!</v>
      </c>
      <c r="H10" s="1616" t="e">
        <f t="shared" si="0"/>
        <v>#REF!</v>
      </c>
      <c r="I10" s="1616" t="e">
        <f t="shared" si="1"/>
        <v>#REF!</v>
      </c>
    </row>
    <row r="11" spans="2:11" x14ac:dyDescent="0.3">
      <c r="B11" s="1614" t="e">
        <f>Виробництво_1ст!#REF!</f>
        <v>#REF!</v>
      </c>
      <c r="C11" s="1615" t="e">
        <f>Виробництво_1ст!#REF!</f>
        <v>#REF!</v>
      </c>
      <c r="D11" s="1614" t="e">
        <f>Виробництво_1ст!#REF!</f>
        <v>#REF!</v>
      </c>
      <c r="E11" s="1614" t="e">
        <f>Виробництво_1ст!#REF!</f>
        <v>#REF!</v>
      </c>
      <c r="F11" s="1614" t="e">
        <f>Виробництво_2ст!#REF!</f>
        <v>#REF!</v>
      </c>
      <c r="G11" s="1614" t="e">
        <f>Виробництво_2ст!#REF!</f>
        <v>#REF!</v>
      </c>
      <c r="H11" s="1616" t="e">
        <f t="shared" si="0"/>
        <v>#REF!</v>
      </c>
      <c r="I11" s="1616" t="e">
        <f t="shared" si="1"/>
        <v>#REF!</v>
      </c>
    </row>
    <row r="12" spans="2:11" x14ac:dyDescent="0.3">
      <c r="B12" s="1614" t="e">
        <f>Виробництво_1ст!#REF!</f>
        <v>#REF!</v>
      </c>
      <c r="C12" s="1615" t="e">
        <f>Виробництво_1ст!#REF!</f>
        <v>#REF!</v>
      </c>
      <c r="D12" s="1614" t="e">
        <f>Виробництво_1ст!#REF!</f>
        <v>#REF!</v>
      </c>
      <c r="E12" s="1614" t="e">
        <f>Виробництво_1ст!#REF!</f>
        <v>#REF!</v>
      </c>
      <c r="F12" s="1614" t="e">
        <f>Виробництво_2ст!#REF!</f>
        <v>#REF!</v>
      </c>
      <c r="G12" s="1614" t="e">
        <f>Виробництво_2ст!#REF!</f>
        <v>#REF!</v>
      </c>
      <c r="H12" s="1616" t="e">
        <f t="shared" si="0"/>
        <v>#REF!</v>
      </c>
      <c r="I12" s="1616" t="e">
        <f t="shared" si="1"/>
        <v>#REF!</v>
      </c>
    </row>
    <row r="13" spans="2:11" x14ac:dyDescent="0.3">
      <c r="B13" s="1614" t="e">
        <f>Виробництво_1ст!#REF!</f>
        <v>#REF!</v>
      </c>
      <c r="C13" s="1615" t="e">
        <f>Виробництво_1ст!#REF!</f>
        <v>#REF!</v>
      </c>
      <c r="D13" s="1614" t="e">
        <f>Виробництво_1ст!#REF!</f>
        <v>#REF!</v>
      </c>
      <c r="E13" s="1614" t="e">
        <f>Виробництво_1ст!#REF!</f>
        <v>#REF!</v>
      </c>
      <c r="F13" s="1614" t="e">
        <f>Виробництво_2ст!#REF!</f>
        <v>#REF!</v>
      </c>
      <c r="G13" s="1614" t="e">
        <f>Виробництво_2ст!#REF!</f>
        <v>#REF!</v>
      </c>
      <c r="H13" s="1616" t="e">
        <f t="shared" si="0"/>
        <v>#REF!</v>
      </c>
      <c r="I13" s="1616" t="e">
        <f t="shared" si="1"/>
        <v>#REF!</v>
      </c>
    </row>
    <row r="14" spans="2:11" x14ac:dyDescent="0.3">
      <c r="B14" s="1614" t="e">
        <f>Виробництво_1ст!#REF!</f>
        <v>#REF!</v>
      </c>
      <c r="C14" s="1615" t="e">
        <f>Виробництво_1ст!#REF!</f>
        <v>#REF!</v>
      </c>
      <c r="D14" s="1614" t="e">
        <f>Виробництво_1ст!#REF!</f>
        <v>#REF!</v>
      </c>
      <c r="E14" s="1614" t="e">
        <f>Виробництво_1ст!#REF!</f>
        <v>#REF!</v>
      </c>
      <c r="F14" s="1614" t="e">
        <f>Виробництво_2ст!#REF!</f>
        <v>#REF!</v>
      </c>
      <c r="G14" s="1614" t="e">
        <f>Виробництво_2ст!#REF!</f>
        <v>#REF!</v>
      </c>
      <c r="H14" s="1616" t="e">
        <f t="shared" si="0"/>
        <v>#REF!</v>
      </c>
      <c r="I14" s="1616" t="e">
        <f t="shared" si="1"/>
        <v>#REF!</v>
      </c>
    </row>
    <row r="15" spans="2:11" x14ac:dyDescent="0.3">
      <c r="B15" s="1614" t="e">
        <f>Виробництво_1ст!#REF!</f>
        <v>#REF!</v>
      </c>
      <c r="C15" s="1615" t="e">
        <f>Виробництво_1ст!#REF!</f>
        <v>#REF!</v>
      </c>
      <c r="D15" s="1614" t="e">
        <f>Виробництво_1ст!#REF!</f>
        <v>#REF!</v>
      </c>
      <c r="E15" s="1614" t="e">
        <f>Виробництво_1ст!#REF!</f>
        <v>#REF!</v>
      </c>
      <c r="F15" s="1614" t="e">
        <f>Виробництво_2ст!#REF!</f>
        <v>#REF!</v>
      </c>
      <c r="G15" s="1614" t="e">
        <f>Виробництво_2ст!#REF!</f>
        <v>#REF!</v>
      </c>
      <c r="H15" s="1616" t="e">
        <f t="shared" si="0"/>
        <v>#REF!</v>
      </c>
      <c r="I15" s="1616" t="e">
        <f t="shared" si="1"/>
        <v>#REF!</v>
      </c>
    </row>
    <row r="16" spans="2:11" x14ac:dyDescent="0.3">
      <c r="B16" s="1614" t="e">
        <f>Виробництво_1ст!#REF!</f>
        <v>#REF!</v>
      </c>
      <c r="C16" s="1615" t="e">
        <f>Виробництво_1ст!#REF!</f>
        <v>#REF!</v>
      </c>
      <c r="D16" s="1614" t="e">
        <f>Виробництво_1ст!#REF!</f>
        <v>#REF!</v>
      </c>
      <c r="E16" s="1614" t="e">
        <f>Виробництво_1ст!#REF!</f>
        <v>#REF!</v>
      </c>
      <c r="F16" s="1614" t="e">
        <f>Виробництво_2ст!#REF!</f>
        <v>#REF!</v>
      </c>
      <c r="G16" s="1614" t="e">
        <f>Виробництво_2ст!#REF!</f>
        <v>#REF!</v>
      </c>
      <c r="H16" s="1616" t="e">
        <f t="shared" si="0"/>
        <v>#REF!</v>
      </c>
      <c r="I16" s="1616" t="e">
        <f t="shared" si="1"/>
        <v>#REF!</v>
      </c>
    </row>
    <row r="17" spans="2:9" x14ac:dyDescent="0.3">
      <c r="B17" s="1614" t="e">
        <f>Виробництво_1ст!#REF!</f>
        <v>#REF!</v>
      </c>
      <c r="C17" s="1615" t="e">
        <f>Виробництво_1ст!#REF!</f>
        <v>#REF!</v>
      </c>
      <c r="D17" s="1614" t="e">
        <f>Виробництво_1ст!#REF!</f>
        <v>#REF!</v>
      </c>
      <c r="E17" s="1614" t="e">
        <f>Виробництво_1ст!#REF!</f>
        <v>#REF!</v>
      </c>
      <c r="F17" s="1614" t="e">
        <f>Виробництво_2ст!#REF!</f>
        <v>#REF!</v>
      </c>
      <c r="G17" s="1614" t="e">
        <f>Виробництво_2ст!#REF!</f>
        <v>#REF!</v>
      </c>
      <c r="H17" s="1616" t="e">
        <f t="shared" si="0"/>
        <v>#REF!</v>
      </c>
      <c r="I17" s="1616" t="e">
        <f t="shared" si="1"/>
        <v>#REF!</v>
      </c>
    </row>
    <row r="18" spans="2:9" x14ac:dyDescent="0.3">
      <c r="B18" s="1614" t="e">
        <f>Виробництво_1ст!#REF!</f>
        <v>#REF!</v>
      </c>
      <c r="C18" s="1615" t="e">
        <f>Виробництво_1ст!#REF!</f>
        <v>#REF!</v>
      </c>
      <c r="D18" s="1614" t="e">
        <f>Виробництво_1ст!#REF!</f>
        <v>#REF!</v>
      </c>
      <c r="E18" s="1614" t="e">
        <f>Виробництво_1ст!#REF!</f>
        <v>#REF!</v>
      </c>
      <c r="F18" s="1614" t="e">
        <f>Виробництво_2ст!#REF!</f>
        <v>#REF!</v>
      </c>
      <c r="G18" s="1614" t="e">
        <f>Виробництво_2ст!#REF!</f>
        <v>#REF!</v>
      </c>
      <c r="H18" s="1616" t="e">
        <f t="shared" si="0"/>
        <v>#REF!</v>
      </c>
      <c r="I18" s="1616" t="e">
        <f t="shared" si="1"/>
        <v>#REF!</v>
      </c>
    </row>
    <row r="19" spans="2:9" x14ac:dyDescent="0.3">
      <c r="B19" s="1614" t="e">
        <f>Виробництво_1ст!#REF!</f>
        <v>#REF!</v>
      </c>
      <c r="C19" s="1615" t="e">
        <f>Виробництво_1ст!#REF!</f>
        <v>#REF!</v>
      </c>
      <c r="D19" s="1614" t="e">
        <f>Виробництво_1ст!#REF!</f>
        <v>#REF!</v>
      </c>
      <c r="E19" s="1614" t="e">
        <f>Виробництво_1ст!#REF!</f>
        <v>#REF!</v>
      </c>
      <c r="F19" s="1614" t="e">
        <f>Виробництво_2ст!#REF!</f>
        <v>#REF!</v>
      </c>
      <c r="G19" s="1614" t="e">
        <f>Виробництво_2ст!#REF!</f>
        <v>#REF!</v>
      </c>
      <c r="H19" s="1616" t="e">
        <f t="shared" si="0"/>
        <v>#REF!</v>
      </c>
      <c r="I19" s="1616" t="e">
        <f t="shared" si="1"/>
        <v>#REF!</v>
      </c>
    </row>
    <row r="20" spans="2:9" x14ac:dyDescent="0.3">
      <c r="B20" s="1614" t="e">
        <f>Виробництво_1ст!#REF!</f>
        <v>#REF!</v>
      </c>
      <c r="C20" s="1615" t="e">
        <f>Виробництво_1ст!#REF!</f>
        <v>#REF!</v>
      </c>
      <c r="D20" s="1614" t="e">
        <f>Виробництво_1ст!#REF!</f>
        <v>#REF!</v>
      </c>
      <c r="E20" s="1614" t="e">
        <f>Виробництво_1ст!#REF!</f>
        <v>#REF!</v>
      </c>
      <c r="F20" s="1614" t="e">
        <f>Виробництво_2ст!#REF!</f>
        <v>#REF!</v>
      </c>
      <c r="G20" s="1614" t="e">
        <f>Виробництво_2ст!#REF!</f>
        <v>#REF!</v>
      </c>
      <c r="H20" s="1616" t="e">
        <f t="shared" si="0"/>
        <v>#REF!</v>
      </c>
      <c r="I20" s="1616" t="e">
        <f t="shared" si="1"/>
        <v>#REF!</v>
      </c>
    </row>
    <row r="21" spans="2:9" x14ac:dyDescent="0.3">
      <c r="B21" s="1614" t="e">
        <f>Виробництво_1ст!#REF!</f>
        <v>#REF!</v>
      </c>
      <c r="C21" s="1615" t="e">
        <f>Виробництво_1ст!#REF!</f>
        <v>#REF!</v>
      </c>
      <c r="D21" s="1614" t="e">
        <f>Виробництво_1ст!#REF!</f>
        <v>#REF!</v>
      </c>
      <c r="E21" s="1614" t="e">
        <f>Виробництво_1ст!#REF!</f>
        <v>#REF!</v>
      </c>
      <c r="F21" s="1614" t="e">
        <f>Виробництво_2ст!#REF!</f>
        <v>#REF!</v>
      </c>
      <c r="G21" s="1614" t="e">
        <f>Виробництво_2ст!#REF!</f>
        <v>#REF!</v>
      </c>
      <c r="H21" s="1616" t="e">
        <f t="shared" si="0"/>
        <v>#REF!</v>
      </c>
      <c r="I21" s="1616" t="e">
        <f t="shared" si="1"/>
        <v>#REF!</v>
      </c>
    </row>
    <row r="22" spans="2:9" x14ac:dyDescent="0.3">
      <c r="B22" s="1614" t="e">
        <f>Виробництво_1ст!#REF!</f>
        <v>#REF!</v>
      </c>
      <c r="C22" s="1615" t="e">
        <f>Виробництво_1ст!#REF!</f>
        <v>#REF!</v>
      </c>
      <c r="D22" s="1614" t="e">
        <f>Виробництво_1ст!#REF!</f>
        <v>#REF!</v>
      </c>
      <c r="E22" s="1614" t="e">
        <f>Виробництво_1ст!#REF!</f>
        <v>#REF!</v>
      </c>
      <c r="F22" s="1614" t="e">
        <f>Виробництво_2ст!#REF!</f>
        <v>#REF!</v>
      </c>
      <c r="G22" s="1614" t="e">
        <f>Виробництво_2ст!#REF!</f>
        <v>#REF!</v>
      </c>
      <c r="H22" s="1616" t="e">
        <f t="shared" si="0"/>
        <v>#REF!</v>
      </c>
      <c r="I22" s="1616" t="e">
        <f t="shared" si="1"/>
        <v>#REF!</v>
      </c>
    </row>
    <row r="23" spans="2:9" x14ac:dyDescent="0.3">
      <c r="B23" s="1614" t="e">
        <f>Виробництво_1ст!#REF!</f>
        <v>#REF!</v>
      </c>
      <c r="C23" s="1615" t="e">
        <f>Виробництво_1ст!#REF!</f>
        <v>#REF!</v>
      </c>
      <c r="D23" s="1614" t="e">
        <f>Виробництво_1ст!#REF!</f>
        <v>#REF!</v>
      </c>
      <c r="E23" s="1614" t="e">
        <f>Виробництво_1ст!#REF!</f>
        <v>#REF!</v>
      </c>
      <c r="F23" s="1614" t="e">
        <f>Виробництво_2ст!#REF!</f>
        <v>#REF!</v>
      </c>
      <c r="G23" s="1614" t="e">
        <f>Виробництво_2ст!#REF!</f>
        <v>#REF!</v>
      </c>
      <c r="H23" s="1616" t="e">
        <f t="shared" si="0"/>
        <v>#REF!</v>
      </c>
      <c r="I23" s="1616" t="e">
        <f t="shared" si="1"/>
        <v>#REF!</v>
      </c>
    </row>
    <row r="24" spans="2:9" x14ac:dyDescent="0.3">
      <c r="B24" s="1614" t="e">
        <f>Виробництво_1ст!#REF!</f>
        <v>#REF!</v>
      </c>
      <c r="C24" s="1615" t="e">
        <f>Виробництво_1ст!#REF!</f>
        <v>#REF!</v>
      </c>
      <c r="D24" s="1614" t="e">
        <f>Виробництво_1ст!#REF!</f>
        <v>#REF!</v>
      </c>
      <c r="E24" s="1614" t="e">
        <f>Виробництво_1ст!#REF!</f>
        <v>#REF!</v>
      </c>
      <c r="F24" s="1614" t="e">
        <f>Виробництво_2ст!#REF!</f>
        <v>#REF!</v>
      </c>
      <c r="G24" s="1614" t="e">
        <f>Виробництво_2ст!#REF!</f>
        <v>#REF!</v>
      </c>
      <c r="H24" s="1616" t="e">
        <f t="shared" si="0"/>
        <v>#REF!</v>
      </c>
      <c r="I24" s="1616" t="e">
        <f t="shared" si="1"/>
        <v>#REF!</v>
      </c>
    </row>
    <row r="25" spans="2:9" x14ac:dyDescent="0.3">
      <c r="B25" s="1614" t="e">
        <f>Виробництво_1ст!#REF!</f>
        <v>#REF!</v>
      </c>
      <c r="C25" s="1615" t="e">
        <f>Виробництво_1ст!#REF!</f>
        <v>#REF!</v>
      </c>
      <c r="D25" s="1614" t="e">
        <f>Виробництво_1ст!#REF!</f>
        <v>#REF!</v>
      </c>
      <c r="E25" s="1614" t="e">
        <f>Виробництво_1ст!#REF!</f>
        <v>#REF!</v>
      </c>
      <c r="F25" s="1614" t="e">
        <f>Виробництво_2ст!#REF!</f>
        <v>#REF!</v>
      </c>
      <c r="G25" s="1614" t="e">
        <f>Виробництво_2ст!#REF!</f>
        <v>#REF!</v>
      </c>
      <c r="H25" s="1616" t="e">
        <f t="shared" si="0"/>
        <v>#REF!</v>
      </c>
      <c r="I25" s="1616" t="e">
        <f t="shared" si="1"/>
        <v>#REF!</v>
      </c>
    </row>
    <row r="26" spans="2:9" x14ac:dyDescent="0.3">
      <c r="B26" s="1614" t="e">
        <f>Виробництво_1ст!#REF!</f>
        <v>#REF!</v>
      </c>
      <c r="C26" s="1615" t="e">
        <f>Виробництво_1ст!#REF!</f>
        <v>#REF!</v>
      </c>
      <c r="D26" s="1614" t="e">
        <f>Виробництво_1ст!#REF!</f>
        <v>#REF!</v>
      </c>
      <c r="E26" s="1614" t="e">
        <f>Виробництво_1ст!#REF!</f>
        <v>#REF!</v>
      </c>
      <c r="F26" s="1614" t="e">
        <f>Виробництво_2ст!#REF!</f>
        <v>#REF!</v>
      </c>
      <c r="G26" s="1614" t="e">
        <f>Виробництво_2ст!#REF!</f>
        <v>#REF!</v>
      </c>
      <c r="H26" s="1616" t="e">
        <f t="shared" si="0"/>
        <v>#REF!</v>
      </c>
      <c r="I26" s="1616" t="e">
        <f t="shared" si="1"/>
        <v>#REF!</v>
      </c>
    </row>
    <row r="27" spans="2:9" x14ac:dyDescent="0.3">
      <c r="B27" s="1614" t="e">
        <f>Виробництво_1ст!#REF!</f>
        <v>#REF!</v>
      </c>
      <c r="C27" s="1615" t="e">
        <f>Виробництво_1ст!#REF!</f>
        <v>#REF!</v>
      </c>
      <c r="D27" s="1614" t="e">
        <f>Виробництво_1ст!#REF!</f>
        <v>#REF!</v>
      </c>
      <c r="E27" s="1614" t="e">
        <f>Виробництво_1ст!#REF!</f>
        <v>#REF!</v>
      </c>
      <c r="F27" s="1614" t="e">
        <f>Виробництво_2ст!#REF!</f>
        <v>#REF!</v>
      </c>
      <c r="G27" s="1614" t="e">
        <f>Виробництво_2ст!#REF!</f>
        <v>#REF!</v>
      </c>
      <c r="H27" s="1616" t="e">
        <f t="shared" si="0"/>
        <v>#REF!</v>
      </c>
      <c r="I27" s="1616" t="e">
        <f t="shared" si="1"/>
        <v>#REF!</v>
      </c>
    </row>
    <row r="28" spans="2:9" x14ac:dyDescent="0.3">
      <c r="B28" s="1614" t="e">
        <f>Виробництво_1ст!#REF!</f>
        <v>#REF!</v>
      </c>
      <c r="C28" s="1615" t="e">
        <f>Виробництво_1ст!#REF!</f>
        <v>#REF!</v>
      </c>
      <c r="D28" s="1614" t="e">
        <f>Виробництво_1ст!#REF!</f>
        <v>#REF!</v>
      </c>
      <c r="E28" s="1614" t="e">
        <f>Виробництво_1ст!#REF!</f>
        <v>#REF!</v>
      </c>
      <c r="F28" s="1614" t="e">
        <f>Виробництво_2ст!#REF!</f>
        <v>#REF!</v>
      </c>
      <c r="G28" s="1614" t="e">
        <f>Виробництво_2ст!#REF!</f>
        <v>#REF!</v>
      </c>
      <c r="H28" s="1616" t="e">
        <f t="shared" si="0"/>
        <v>#REF!</v>
      </c>
      <c r="I28" s="1616" t="e">
        <f t="shared" si="1"/>
        <v>#REF!</v>
      </c>
    </row>
    <row r="29" spans="2:9" x14ac:dyDescent="0.3">
      <c r="B29" s="1614" t="e">
        <f>Виробництво_1ст!#REF!</f>
        <v>#REF!</v>
      </c>
      <c r="C29" s="1615" t="e">
        <f>Виробництво_1ст!#REF!</f>
        <v>#REF!</v>
      </c>
      <c r="D29" s="1614" t="e">
        <f>Виробництво_1ст!#REF!</f>
        <v>#REF!</v>
      </c>
      <c r="E29" s="1614" t="e">
        <f>Виробництво_1ст!#REF!</f>
        <v>#REF!</v>
      </c>
      <c r="F29" s="1614" t="e">
        <f>Виробництво_2ст!#REF!</f>
        <v>#REF!</v>
      </c>
      <c r="G29" s="1614" t="e">
        <f>Виробництво_2ст!#REF!</f>
        <v>#REF!</v>
      </c>
      <c r="H29" s="1616" t="e">
        <f t="shared" si="0"/>
        <v>#REF!</v>
      </c>
      <c r="I29" s="1616" t="e">
        <f t="shared" si="1"/>
        <v>#REF!</v>
      </c>
    </row>
    <row r="30" spans="2:9" x14ac:dyDescent="0.3">
      <c r="B30" s="1614" t="e">
        <f>Виробництво_1ст!#REF!</f>
        <v>#REF!</v>
      </c>
      <c r="C30" s="1615" t="e">
        <f>Виробництво_1ст!#REF!</f>
        <v>#REF!</v>
      </c>
      <c r="D30" s="1614" t="e">
        <f>Виробництво_1ст!#REF!</f>
        <v>#REF!</v>
      </c>
      <c r="E30" s="1614" t="e">
        <f>Виробництво_1ст!#REF!</f>
        <v>#REF!</v>
      </c>
      <c r="F30" s="1614" t="e">
        <f>Виробництво_2ст!#REF!</f>
        <v>#REF!</v>
      </c>
      <c r="G30" s="1614" t="e">
        <f>Виробництво_2ст!#REF!</f>
        <v>#REF!</v>
      </c>
      <c r="H30" s="1616" t="e">
        <f t="shared" si="0"/>
        <v>#REF!</v>
      </c>
      <c r="I30" s="1616" t="e">
        <f t="shared" si="1"/>
        <v>#REF!</v>
      </c>
    </row>
    <row r="31" spans="2:9" x14ac:dyDescent="0.3">
      <c r="B31" s="1614" t="e">
        <f>Виробництво_1ст!#REF!</f>
        <v>#REF!</v>
      </c>
      <c r="C31" s="1615" t="e">
        <f>Виробництво_1ст!#REF!</f>
        <v>#REF!</v>
      </c>
      <c r="D31" s="1614" t="e">
        <f>Виробництво_1ст!#REF!</f>
        <v>#REF!</v>
      </c>
      <c r="E31" s="1614" t="e">
        <f>Виробництво_1ст!#REF!</f>
        <v>#REF!</v>
      </c>
      <c r="F31" s="1614" t="e">
        <f>Виробництво_2ст!#REF!</f>
        <v>#REF!</v>
      </c>
      <c r="G31" s="1614" t="e">
        <f>Виробництво_2ст!#REF!</f>
        <v>#REF!</v>
      </c>
      <c r="H31" s="1616" t="e">
        <f t="shared" si="0"/>
        <v>#REF!</v>
      </c>
      <c r="I31" s="1616" t="e">
        <f t="shared" si="1"/>
        <v>#REF!</v>
      </c>
    </row>
    <row r="32" spans="2:9" x14ac:dyDescent="0.3">
      <c r="B32" s="1614" t="e">
        <f>Виробництво_1ст!#REF!</f>
        <v>#REF!</v>
      </c>
      <c r="C32" s="1615" t="e">
        <f>Виробництво_1ст!#REF!</f>
        <v>#REF!</v>
      </c>
      <c r="D32" s="1614" t="e">
        <f>Виробництво_1ст!#REF!</f>
        <v>#REF!</v>
      </c>
      <c r="E32" s="1614" t="e">
        <f>Виробництво_1ст!#REF!</f>
        <v>#REF!</v>
      </c>
      <c r="F32" s="1614" t="e">
        <f>Виробництво_2ст!#REF!</f>
        <v>#REF!</v>
      </c>
      <c r="G32" s="1614" t="e">
        <f>Виробництво_2ст!#REF!</f>
        <v>#REF!</v>
      </c>
      <c r="H32" s="1616" t="e">
        <f t="shared" si="0"/>
        <v>#REF!</v>
      </c>
      <c r="I32" s="1616" t="e">
        <f t="shared" si="1"/>
        <v>#REF!</v>
      </c>
    </row>
    <row r="33" spans="2:9" x14ac:dyDescent="0.3">
      <c r="B33" s="1614" t="e">
        <f>Виробництво_1ст!#REF!</f>
        <v>#REF!</v>
      </c>
      <c r="C33" s="1615" t="e">
        <f>Виробництво_1ст!#REF!</f>
        <v>#REF!</v>
      </c>
      <c r="D33" s="1614" t="e">
        <f>Виробництво_1ст!#REF!</f>
        <v>#REF!</v>
      </c>
      <c r="E33" s="1614" t="e">
        <f>Виробництво_1ст!#REF!</f>
        <v>#REF!</v>
      </c>
      <c r="F33" s="1614" t="e">
        <f>Виробництво_2ст!#REF!</f>
        <v>#REF!</v>
      </c>
      <c r="G33" s="1614" t="e">
        <f>Виробництво_2ст!#REF!</f>
        <v>#REF!</v>
      </c>
      <c r="H33" s="1616" t="e">
        <f t="shared" si="0"/>
        <v>#REF!</v>
      </c>
      <c r="I33" s="1616" t="e">
        <f t="shared" si="1"/>
        <v>#REF!</v>
      </c>
    </row>
    <row r="34" spans="2:9" x14ac:dyDescent="0.3">
      <c r="B34" s="1614" t="e">
        <f>Виробництво_1ст!#REF!</f>
        <v>#REF!</v>
      </c>
      <c r="C34" s="1615" t="e">
        <f>Виробництво_1ст!#REF!</f>
        <v>#REF!</v>
      </c>
      <c r="D34" s="1614" t="e">
        <f>Виробництво_1ст!#REF!</f>
        <v>#REF!</v>
      </c>
      <c r="E34" s="1614" t="e">
        <f>Виробництво_1ст!#REF!</f>
        <v>#REF!</v>
      </c>
      <c r="F34" s="1614" t="e">
        <f>Виробництво_2ст!#REF!</f>
        <v>#REF!</v>
      </c>
      <c r="G34" s="1614" t="e">
        <f>Виробництво_2ст!#REF!</f>
        <v>#REF!</v>
      </c>
      <c r="H34" s="1616" t="e">
        <f t="shared" si="0"/>
        <v>#REF!</v>
      </c>
      <c r="I34" s="1616" t="e">
        <f t="shared" si="1"/>
        <v>#REF!</v>
      </c>
    </row>
    <row r="35" spans="2:9" x14ac:dyDescent="0.3">
      <c r="B35" s="1614" t="e">
        <f>Виробництво_1ст!#REF!</f>
        <v>#REF!</v>
      </c>
      <c r="C35" s="1615" t="e">
        <f>Виробництво_1ст!#REF!</f>
        <v>#REF!</v>
      </c>
      <c r="D35" s="1614" t="e">
        <f>Виробництво_1ст!#REF!</f>
        <v>#REF!</v>
      </c>
      <c r="E35" s="1614" t="e">
        <f>Виробництво_1ст!#REF!</f>
        <v>#REF!</v>
      </c>
      <c r="F35" s="1614" t="e">
        <f>Виробництво_2ст!#REF!</f>
        <v>#REF!</v>
      </c>
      <c r="G35" s="1614" t="e">
        <f>Виробництво_2ст!#REF!</f>
        <v>#REF!</v>
      </c>
      <c r="H35" s="1616" t="e">
        <f t="shared" si="0"/>
        <v>#REF!</v>
      </c>
      <c r="I35" s="1616" t="e">
        <f t="shared" si="1"/>
        <v>#REF!</v>
      </c>
    </row>
    <row r="36" spans="2:9" x14ac:dyDescent="0.3">
      <c r="B36" s="1614" t="e">
        <f>Виробництво_1ст!#REF!</f>
        <v>#REF!</v>
      </c>
      <c r="C36" s="1615" t="e">
        <f>Виробництво_1ст!#REF!</f>
        <v>#REF!</v>
      </c>
      <c r="D36" s="1614" t="e">
        <f>Виробництво_1ст!#REF!</f>
        <v>#REF!</v>
      </c>
      <c r="E36" s="1614" t="e">
        <f>Виробництво_1ст!#REF!</f>
        <v>#REF!</v>
      </c>
      <c r="F36" s="1614" t="e">
        <f>Виробництво_2ст!#REF!</f>
        <v>#REF!</v>
      </c>
      <c r="G36" s="1614" t="e">
        <f>Виробництво_2ст!#REF!</f>
        <v>#REF!</v>
      </c>
      <c r="H36" s="1616" t="e">
        <f t="shared" si="0"/>
        <v>#REF!</v>
      </c>
      <c r="I36" s="1616" t="e">
        <f t="shared" si="1"/>
        <v>#REF!</v>
      </c>
    </row>
    <row r="37" spans="2:9" x14ac:dyDescent="0.3">
      <c r="B37" s="1614" t="e">
        <f>Виробництво_1ст!#REF!</f>
        <v>#REF!</v>
      </c>
      <c r="C37" s="1615" t="e">
        <f>Виробництво_1ст!#REF!</f>
        <v>#REF!</v>
      </c>
      <c r="D37" s="1614" t="e">
        <f>Виробництво_1ст!#REF!</f>
        <v>#REF!</v>
      </c>
      <c r="E37" s="1614" t="e">
        <f>Виробництво_1ст!#REF!</f>
        <v>#REF!</v>
      </c>
      <c r="F37" s="1614" t="e">
        <f>Виробництво_2ст!#REF!</f>
        <v>#REF!</v>
      </c>
      <c r="G37" s="1614" t="e">
        <f>Виробництво_2ст!#REF!</f>
        <v>#REF!</v>
      </c>
      <c r="H37" s="1616" t="e">
        <f t="shared" si="0"/>
        <v>#REF!</v>
      </c>
      <c r="I37" s="1616" t="e">
        <f t="shared" si="1"/>
        <v>#REF!</v>
      </c>
    </row>
    <row r="38" spans="2:9" x14ac:dyDescent="0.3">
      <c r="B38" s="1614" t="e">
        <f>Виробництво_1ст!#REF!</f>
        <v>#REF!</v>
      </c>
      <c r="C38" s="1615" t="e">
        <f>Виробництво_1ст!#REF!</f>
        <v>#REF!</v>
      </c>
      <c r="D38" s="1614" t="e">
        <f>Виробництво_1ст!#REF!</f>
        <v>#REF!</v>
      </c>
      <c r="E38" s="1614" t="e">
        <f>Виробництво_1ст!#REF!</f>
        <v>#REF!</v>
      </c>
      <c r="F38" s="1614" t="e">
        <f>Виробництво_2ст!#REF!</f>
        <v>#REF!</v>
      </c>
      <c r="G38" s="1614" t="e">
        <f>Виробництво_2ст!#REF!</f>
        <v>#REF!</v>
      </c>
      <c r="H38" s="1616" t="e">
        <f t="shared" si="0"/>
        <v>#REF!</v>
      </c>
      <c r="I38" s="1616" t="e">
        <f t="shared" si="1"/>
        <v>#REF!</v>
      </c>
    </row>
    <row r="39" spans="2:9" x14ac:dyDescent="0.3">
      <c r="B39" s="1614" t="e">
        <f>Виробництво_1ст!#REF!</f>
        <v>#REF!</v>
      </c>
      <c r="C39" s="1615" t="e">
        <f>Виробництво_1ст!#REF!</f>
        <v>#REF!</v>
      </c>
      <c r="D39" s="1614" t="e">
        <f>Виробництво_1ст!#REF!</f>
        <v>#REF!</v>
      </c>
      <c r="E39" s="1614" t="e">
        <f>Виробництво_1ст!#REF!</f>
        <v>#REF!</v>
      </c>
      <c r="F39" s="1614" t="e">
        <f>Виробництво_2ст!#REF!</f>
        <v>#REF!</v>
      </c>
      <c r="G39" s="1614" t="e">
        <f>Виробництво_2ст!#REF!</f>
        <v>#REF!</v>
      </c>
      <c r="H39" s="1616" t="e">
        <f t="shared" si="0"/>
        <v>#REF!</v>
      </c>
      <c r="I39" s="1616" t="e">
        <f t="shared" si="1"/>
        <v>#REF!</v>
      </c>
    </row>
    <row r="40" spans="2:9" x14ac:dyDescent="0.3">
      <c r="B40" s="1614" t="e">
        <f>Виробництво_1ст!#REF!</f>
        <v>#REF!</v>
      </c>
      <c r="C40" s="1615" t="e">
        <f>Виробництво_1ст!#REF!</f>
        <v>#REF!</v>
      </c>
      <c r="D40" s="1614" t="e">
        <f>Виробництво_1ст!#REF!</f>
        <v>#REF!</v>
      </c>
      <c r="E40" s="1614" t="e">
        <f>Виробництво_1ст!#REF!</f>
        <v>#REF!</v>
      </c>
      <c r="F40" s="1614" t="e">
        <f>Виробництво_2ст!#REF!</f>
        <v>#REF!</v>
      </c>
      <c r="G40" s="1614" t="e">
        <f>Виробництво_2ст!#REF!</f>
        <v>#REF!</v>
      </c>
      <c r="H40" s="1616" t="e">
        <f t="shared" si="0"/>
        <v>#REF!</v>
      </c>
      <c r="I40" s="1616" t="e">
        <f t="shared" si="1"/>
        <v>#REF!</v>
      </c>
    </row>
    <row r="41" spans="2:9" x14ac:dyDescent="0.3">
      <c r="B41" s="1614" t="e">
        <f>Виробництво_1ст!#REF!</f>
        <v>#REF!</v>
      </c>
      <c r="C41" s="1615" t="e">
        <f>Виробництво_1ст!#REF!</f>
        <v>#REF!</v>
      </c>
      <c r="D41" s="1614" t="e">
        <f>Виробництво_1ст!#REF!</f>
        <v>#REF!</v>
      </c>
      <c r="E41" s="1614" t="e">
        <f>Виробництво_1ст!#REF!</f>
        <v>#REF!</v>
      </c>
      <c r="F41" s="1614" t="e">
        <f>Виробництво_2ст!#REF!</f>
        <v>#REF!</v>
      </c>
      <c r="G41" s="1614" t="e">
        <f>Виробництво_2ст!#REF!</f>
        <v>#REF!</v>
      </c>
      <c r="H41" s="1616" t="e">
        <f t="shared" si="0"/>
        <v>#REF!</v>
      </c>
      <c r="I41" s="1616" t="e">
        <f t="shared" si="1"/>
        <v>#REF!</v>
      </c>
    </row>
    <row r="42" spans="2:9" x14ac:dyDescent="0.3">
      <c r="B42" s="1614" t="e">
        <f>Виробництво_1ст!#REF!</f>
        <v>#REF!</v>
      </c>
      <c r="C42" s="1615" t="e">
        <f>Виробництво_1ст!#REF!</f>
        <v>#REF!</v>
      </c>
      <c r="D42" s="1614" t="e">
        <f>Виробництво_1ст!#REF!</f>
        <v>#REF!</v>
      </c>
      <c r="E42" s="1614" t="e">
        <f>Виробництво_1ст!#REF!</f>
        <v>#REF!</v>
      </c>
      <c r="F42" s="1614" t="e">
        <f>Виробництво_2ст!#REF!</f>
        <v>#REF!</v>
      </c>
      <c r="G42" s="1614" t="e">
        <f>Виробництво_2ст!#REF!</f>
        <v>#REF!</v>
      </c>
      <c r="H42" s="1616" t="e">
        <f t="shared" si="0"/>
        <v>#REF!</v>
      </c>
      <c r="I42" s="1616" t="e">
        <f t="shared" si="1"/>
        <v>#REF!</v>
      </c>
    </row>
    <row r="43" spans="2:9" x14ac:dyDescent="0.3">
      <c r="B43" s="1614" t="e">
        <f>Виробництво_1ст!#REF!</f>
        <v>#REF!</v>
      </c>
      <c r="C43" s="1615" t="e">
        <f>Виробництво_1ст!#REF!</f>
        <v>#REF!</v>
      </c>
      <c r="D43" s="1614" t="e">
        <f>Виробництво_1ст!#REF!</f>
        <v>#REF!</v>
      </c>
      <c r="E43" s="1614" t="e">
        <f>Виробництво_1ст!#REF!</f>
        <v>#REF!</v>
      </c>
      <c r="F43" s="1614" t="e">
        <f>Виробництво_2ст!#REF!</f>
        <v>#REF!</v>
      </c>
      <c r="G43" s="1614" t="e">
        <f>Виробництво_2ст!#REF!</f>
        <v>#REF!</v>
      </c>
      <c r="H43" s="1616" t="e">
        <f t="shared" si="0"/>
        <v>#REF!</v>
      </c>
      <c r="I43" s="1616" t="e">
        <f t="shared" si="1"/>
        <v>#REF!</v>
      </c>
    </row>
    <row r="44" spans="2:9" x14ac:dyDescent="0.3">
      <c r="B44" s="1614" t="e">
        <f>Виробництво_1ст!#REF!</f>
        <v>#REF!</v>
      </c>
      <c r="C44" s="1615" t="e">
        <f>Виробництво_1ст!#REF!</f>
        <v>#REF!</v>
      </c>
      <c r="D44" s="1614" t="e">
        <f>Виробництво_1ст!#REF!</f>
        <v>#REF!</v>
      </c>
      <c r="E44" s="1614" t="e">
        <f>Виробництво_1ст!#REF!</f>
        <v>#REF!</v>
      </c>
      <c r="F44" s="1614" t="e">
        <f>Виробництво_2ст!#REF!</f>
        <v>#REF!</v>
      </c>
      <c r="G44" s="1614" t="e">
        <f>Виробництво_2ст!#REF!</f>
        <v>#REF!</v>
      </c>
      <c r="H44" s="1616" t="e">
        <f t="shared" si="0"/>
        <v>#REF!</v>
      </c>
      <c r="I44" s="1616" t="e">
        <f t="shared" si="1"/>
        <v>#REF!</v>
      </c>
    </row>
    <row r="45" spans="2:9" x14ac:dyDescent="0.3">
      <c r="B45" s="1614" t="e">
        <f>Виробництво_1ст!#REF!</f>
        <v>#REF!</v>
      </c>
      <c r="C45" s="1615" t="e">
        <f>Виробництво_1ст!#REF!</f>
        <v>#REF!</v>
      </c>
      <c r="D45" s="1614" t="e">
        <f>Виробництво_1ст!#REF!</f>
        <v>#REF!</v>
      </c>
      <c r="E45" s="1614" t="e">
        <f>Виробництво_1ст!#REF!</f>
        <v>#REF!</v>
      </c>
      <c r="F45" s="1614" t="e">
        <f>Виробництво_2ст!#REF!</f>
        <v>#REF!</v>
      </c>
      <c r="G45" s="1614" t="e">
        <f>Виробництво_2ст!#REF!</f>
        <v>#REF!</v>
      </c>
      <c r="H45" s="1616" t="e">
        <f t="shared" si="0"/>
        <v>#REF!</v>
      </c>
      <c r="I45" s="1616" t="e">
        <f t="shared" si="1"/>
        <v>#REF!</v>
      </c>
    </row>
    <row r="46" spans="2:9" x14ac:dyDescent="0.3">
      <c r="B46" s="1614" t="e">
        <f>Виробництво_1ст!#REF!</f>
        <v>#REF!</v>
      </c>
      <c r="C46" s="1615" t="e">
        <f>Виробництво_1ст!#REF!</f>
        <v>#REF!</v>
      </c>
      <c r="D46" s="1614" t="e">
        <f>Виробництво_1ст!#REF!</f>
        <v>#REF!</v>
      </c>
      <c r="E46" s="1614" t="e">
        <f>Виробництво_1ст!#REF!</f>
        <v>#REF!</v>
      </c>
      <c r="F46" s="1614" t="e">
        <f>Виробництво_2ст!#REF!</f>
        <v>#REF!</v>
      </c>
      <c r="G46" s="1614" t="e">
        <f>Виробництво_2ст!#REF!</f>
        <v>#REF!</v>
      </c>
      <c r="H46" s="1616" t="e">
        <f t="shared" si="0"/>
        <v>#REF!</v>
      </c>
      <c r="I46" s="1616" t="e">
        <f t="shared" si="1"/>
        <v>#REF!</v>
      </c>
    </row>
    <row r="47" spans="2:9" x14ac:dyDescent="0.3">
      <c r="B47" s="1614" t="e">
        <f>Виробництво_1ст!#REF!</f>
        <v>#REF!</v>
      </c>
      <c r="C47" s="1615" t="e">
        <f>Виробництво_1ст!#REF!</f>
        <v>#REF!</v>
      </c>
      <c r="D47" s="1614" t="e">
        <f>Виробництво_1ст!#REF!</f>
        <v>#REF!</v>
      </c>
      <c r="E47" s="1614" t="e">
        <f>Виробництво_1ст!#REF!</f>
        <v>#REF!</v>
      </c>
      <c r="F47" s="1614" t="e">
        <f>Виробництво_2ст!#REF!</f>
        <v>#REF!</v>
      </c>
      <c r="G47" s="1614" t="e">
        <f>Виробництво_2ст!#REF!</f>
        <v>#REF!</v>
      </c>
      <c r="H47" s="1616" t="e">
        <f t="shared" si="0"/>
        <v>#REF!</v>
      </c>
      <c r="I47" s="1616" t="e">
        <f t="shared" si="1"/>
        <v>#REF!</v>
      </c>
    </row>
    <row r="48" spans="2:9" x14ac:dyDescent="0.3">
      <c r="B48" s="1614" t="e">
        <f>Виробництво_1ст!#REF!</f>
        <v>#REF!</v>
      </c>
      <c r="C48" s="1615" t="e">
        <f>Виробництво_1ст!#REF!</f>
        <v>#REF!</v>
      </c>
      <c r="D48" s="1614" t="e">
        <f>Виробництво_1ст!#REF!</f>
        <v>#REF!</v>
      </c>
      <c r="E48" s="1614" t="e">
        <f>Виробництво_1ст!#REF!</f>
        <v>#REF!</v>
      </c>
      <c r="F48" s="1614" t="e">
        <f>Виробництво_2ст!#REF!</f>
        <v>#REF!</v>
      </c>
      <c r="G48" s="1614" t="e">
        <f>Виробництво_2ст!#REF!</f>
        <v>#REF!</v>
      </c>
      <c r="H48" s="1616" t="e">
        <f t="shared" si="0"/>
        <v>#REF!</v>
      </c>
      <c r="I48" s="1616" t="e">
        <f t="shared" si="1"/>
        <v>#REF!</v>
      </c>
    </row>
    <row r="49" spans="2:9" x14ac:dyDescent="0.3">
      <c r="B49" s="1614" t="e">
        <f>Виробництво_1ст!#REF!</f>
        <v>#REF!</v>
      </c>
      <c r="C49" s="1615" t="e">
        <f>Виробництво_1ст!#REF!</f>
        <v>#REF!</v>
      </c>
      <c r="D49" s="1614" t="e">
        <f>Виробництво_1ст!#REF!</f>
        <v>#REF!</v>
      </c>
      <c r="E49" s="1614" t="e">
        <f>Виробництво_1ст!#REF!</f>
        <v>#REF!</v>
      </c>
      <c r="F49" s="1614" t="e">
        <f>Виробництво_2ст!#REF!</f>
        <v>#REF!</v>
      </c>
      <c r="G49" s="1614" t="e">
        <f>Виробництво_2ст!#REF!</f>
        <v>#REF!</v>
      </c>
      <c r="H49" s="1616" t="e">
        <f t="shared" si="0"/>
        <v>#REF!</v>
      </c>
      <c r="I49" s="1616" t="e">
        <f t="shared" si="1"/>
        <v>#REF!</v>
      </c>
    </row>
    <row r="50" spans="2:9" x14ac:dyDescent="0.3">
      <c r="B50" s="1614" t="e">
        <f>Виробництво_1ст!#REF!</f>
        <v>#REF!</v>
      </c>
      <c r="C50" s="1615" t="e">
        <f>Виробництво_1ст!#REF!</f>
        <v>#REF!</v>
      </c>
      <c r="D50" s="1614" t="e">
        <f>Виробництво_1ст!#REF!</f>
        <v>#REF!</v>
      </c>
      <c r="E50" s="1614" t="e">
        <f>Виробництво_1ст!#REF!</f>
        <v>#REF!</v>
      </c>
      <c r="F50" s="1614" t="e">
        <f>Виробництво_2ст!#REF!</f>
        <v>#REF!</v>
      </c>
      <c r="G50" s="1614" t="e">
        <f>Виробництво_2ст!#REF!</f>
        <v>#REF!</v>
      </c>
      <c r="H50" s="1616" t="e">
        <f t="shared" si="0"/>
        <v>#REF!</v>
      </c>
      <c r="I50" s="1616" t="e">
        <f t="shared" si="1"/>
        <v>#REF!</v>
      </c>
    </row>
    <row r="51" spans="2:9" x14ac:dyDescent="0.3">
      <c r="B51" s="1614" t="e">
        <f>Виробництво_1ст!#REF!</f>
        <v>#REF!</v>
      </c>
      <c r="C51" s="1615" t="e">
        <f>Виробництво_1ст!#REF!</f>
        <v>#REF!</v>
      </c>
      <c r="D51" s="1614" t="e">
        <f>Виробництво_1ст!#REF!</f>
        <v>#REF!</v>
      </c>
      <c r="E51" s="1614" t="e">
        <f>Виробництво_1ст!#REF!</f>
        <v>#REF!</v>
      </c>
      <c r="F51" s="1614" t="e">
        <f>Виробництво_2ст!#REF!</f>
        <v>#REF!</v>
      </c>
      <c r="G51" s="1614" t="e">
        <f>Виробництво_2ст!#REF!</f>
        <v>#REF!</v>
      </c>
      <c r="H51" s="1616" t="e">
        <f t="shared" si="0"/>
        <v>#REF!</v>
      </c>
      <c r="I51" s="1616" t="e">
        <f t="shared" si="1"/>
        <v>#REF!</v>
      </c>
    </row>
    <row r="52" spans="2:9" x14ac:dyDescent="0.3">
      <c r="B52" s="1614" t="e">
        <f>Виробництво_1ст!#REF!</f>
        <v>#REF!</v>
      </c>
      <c r="C52" s="1615" t="e">
        <f>Виробництво_1ст!#REF!</f>
        <v>#REF!</v>
      </c>
      <c r="D52" s="1614" t="e">
        <f>Виробництво_1ст!#REF!</f>
        <v>#REF!</v>
      </c>
      <c r="E52" s="1614" t="e">
        <f>Виробництво_1ст!#REF!</f>
        <v>#REF!</v>
      </c>
      <c r="F52" s="1614" t="e">
        <f>Виробництво_2ст!#REF!</f>
        <v>#REF!</v>
      </c>
      <c r="G52" s="1614" t="e">
        <f>Виробництво_2ст!#REF!</f>
        <v>#REF!</v>
      </c>
      <c r="H52" s="1616" t="e">
        <f t="shared" si="0"/>
        <v>#REF!</v>
      </c>
      <c r="I52" s="1616" t="e">
        <f t="shared" si="1"/>
        <v>#REF!</v>
      </c>
    </row>
    <row r="53" spans="2:9" x14ac:dyDescent="0.3">
      <c r="B53" s="1614" t="e">
        <f>Виробництво_1ст!#REF!</f>
        <v>#REF!</v>
      </c>
      <c r="C53" s="1615" t="e">
        <f>Виробництво_1ст!#REF!</f>
        <v>#REF!</v>
      </c>
      <c r="D53" s="1614" t="e">
        <f>Виробництво_1ст!#REF!</f>
        <v>#REF!</v>
      </c>
      <c r="E53" s="1614" t="e">
        <f>Виробництво_1ст!#REF!</f>
        <v>#REF!</v>
      </c>
      <c r="F53" s="1614" t="e">
        <f>Виробництво_2ст!#REF!</f>
        <v>#REF!</v>
      </c>
      <c r="G53" s="1614" t="e">
        <f>Виробництво_2ст!#REF!</f>
        <v>#REF!</v>
      </c>
      <c r="H53" s="1616" t="e">
        <f t="shared" si="0"/>
        <v>#REF!</v>
      </c>
      <c r="I53" s="1616" t="e">
        <f t="shared" si="1"/>
        <v>#REF!</v>
      </c>
    </row>
    <row r="54" spans="2:9" x14ac:dyDescent="0.3">
      <c r="B54" s="1614" t="e">
        <f>Виробництво_1ст!#REF!</f>
        <v>#REF!</v>
      </c>
      <c r="C54" s="1615" t="e">
        <f>Виробництво_1ст!#REF!</f>
        <v>#REF!</v>
      </c>
      <c r="D54" s="1614" t="e">
        <f>Виробництво_1ст!#REF!</f>
        <v>#REF!</v>
      </c>
      <c r="E54" s="1614" t="e">
        <f>Виробництво_1ст!#REF!</f>
        <v>#REF!</v>
      </c>
      <c r="F54" s="1614" t="e">
        <f>Виробництво_2ст!#REF!</f>
        <v>#REF!</v>
      </c>
      <c r="G54" s="1614" t="e">
        <f>Виробництво_2ст!#REF!</f>
        <v>#REF!</v>
      </c>
      <c r="H54" s="1616" t="e">
        <f t="shared" si="0"/>
        <v>#REF!</v>
      </c>
      <c r="I54" s="1616" t="e">
        <f t="shared" si="1"/>
        <v>#REF!</v>
      </c>
    </row>
    <row r="55" spans="2:9" x14ac:dyDescent="0.3">
      <c r="B55" s="1614" t="e">
        <f>Виробництво_1ст!#REF!</f>
        <v>#REF!</v>
      </c>
      <c r="C55" s="1615" t="e">
        <f>Виробництво_1ст!#REF!</f>
        <v>#REF!</v>
      </c>
      <c r="D55" s="1614" t="e">
        <f>Виробництво_1ст!#REF!</f>
        <v>#REF!</v>
      </c>
      <c r="E55" s="1614" t="e">
        <f>Виробництво_1ст!#REF!</f>
        <v>#REF!</v>
      </c>
      <c r="F55" s="1614" t="e">
        <f>Виробництво_2ст!#REF!</f>
        <v>#REF!</v>
      </c>
      <c r="G55" s="1614" t="e">
        <f>Виробництво_2ст!#REF!</f>
        <v>#REF!</v>
      </c>
      <c r="H55" s="1616" t="e">
        <f t="shared" si="0"/>
        <v>#REF!</v>
      </c>
      <c r="I55" s="1616" t="e">
        <f t="shared" si="1"/>
        <v>#REF!</v>
      </c>
    </row>
    <row r="56" spans="2:9" x14ac:dyDescent="0.3">
      <c r="B56" s="1614" t="e">
        <f>Виробництво_1ст!#REF!</f>
        <v>#REF!</v>
      </c>
      <c r="C56" s="1615" t="e">
        <f>Виробництво_1ст!#REF!</f>
        <v>#REF!</v>
      </c>
      <c r="D56" s="1614" t="e">
        <f>Виробництво_1ст!#REF!</f>
        <v>#REF!</v>
      </c>
      <c r="E56" s="1614" t="e">
        <f>Виробництво_1ст!#REF!</f>
        <v>#REF!</v>
      </c>
      <c r="F56" s="1614" t="e">
        <f>Виробництво_2ст!#REF!</f>
        <v>#REF!</v>
      </c>
      <c r="G56" s="1614" t="e">
        <f>Виробництво_2ст!#REF!</f>
        <v>#REF!</v>
      </c>
      <c r="H56" s="1616" t="e">
        <f t="shared" si="0"/>
        <v>#REF!</v>
      </c>
      <c r="I56" s="1616" t="e">
        <f t="shared" si="1"/>
        <v>#REF!</v>
      </c>
    </row>
    <row r="57" spans="2:9" x14ac:dyDescent="0.3">
      <c r="B57" s="1614" t="e">
        <f>Виробництво_1ст!#REF!</f>
        <v>#REF!</v>
      </c>
      <c r="C57" s="1615" t="e">
        <f>Виробництво_1ст!#REF!</f>
        <v>#REF!</v>
      </c>
      <c r="D57" s="1614" t="e">
        <f>Виробництво_1ст!#REF!</f>
        <v>#REF!</v>
      </c>
      <c r="E57" s="1614" t="e">
        <f>Виробництво_1ст!#REF!</f>
        <v>#REF!</v>
      </c>
      <c r="F57" s="1614" t="e">
        <f>Виробництво_2ст!#REF!</f>
        <v>#REF!</v>
      </c>
      <c r="G57" s="1614" t="e">
        <f>Виробництво_2ст!#REF!</f>
        <v>#REF!</v>
      </c>
      <c r="H57" s="1616" t="e">
        <f t="shared" si="0"/>
        <v>#REF!</v>
      </c>
      <c r="I57" s="1616" t="e">
        <f t="shared" si="1"/>
        <v>#REF!</v>
      </c>
    </row>
    <row r="58" spans="2:9" x14ac:dyDescent="0.3">
      <c r="B58" s="1614" t="e">
        <f>Виробництво_1ст!#REF!</f>
        <v>#REF!</v>
      </c>
      <c r="C58" s="1615" t="e">
        <f>Виробництво_1ст!#REF!</f>
        <v>#REF!</v>
      </c>
      <c r="D58" s="1614" t="e">
        <f>Виробництво_1ст!#REF!</f>
        <v>#REF!</v>
      </c>
      <c r="E58" s="1614" t="e">
        <f>Виробництво_1ст!#REF!</f>
        <v>#REF!</v>
      </c>
      <c r="F58" s="1614" t="e">
        <f>Виробництво_2ст!#REF!</f>
        <v>#REF!</v>
      </c>
      <c r="G58" s="1614" t="e">
        <f>Виробництво_2ст!#REF!</f>
        <v>#REF!</v>
      </c>
      <c r="H58" s="1616" t="e">
        <f t="shared" si="0"/>
        <v>#REF!</v>
      </c>
      <c r="I58" s="1616" t="e">
        <f t="shared" si="1"/>
        <v>#REF!</v>
      </c>
    </row>
    <row r="59" spans="2:9" x14ac:dyDescent="0.3">
      <c r="B59" s="1614" t="e">
        <f>Виробництво_1ст!#REF!</f>
        <v>#REF!</v>
      </c>
      <c r="C59" s="1615" t="e">
        <f>Виробництво_1ст!#REF!</f>
        <v>#REF!</v>
      </c>
      <c r="D59" s="1614" t="e">
        <f>Виробництво_1ст!#REF!</f>
        <v>#REF!</v>
      </c>
      <c r="E59" s="1614" t="e">
        <f>Виробництво_1ст!#REF!</f>
        <v>#REF!</v>
      </c>
      <c r="F59" s="1614" t="e">
        <f>Виробництво_2ст!#REF!</f>
        <v>#REF!</v>
      </c>
      <c r="G59" s="1614" t="e">
        <f>Виробництво_2ст!#REF!</f>
        <v>#REF!</v>
      </c>
      <c r="H59" s="1616" t="e">
        <f t="shared" si="0"/>
        <v>#REF!</v>
      </c>
      <c r="I59" s="1616" t="e">
        <f t="shared" si="1"/>
        <v>#REF!</v>
      </c>
    </row>
    <row r="60" spans="2:9" x14ac:dyDescent="0.3">
      <c r="B60" s="1614" t="e">
        <f>Виробництво_1ст!#REF!</f>
        <v>#REF!</v>
      </c>
      <c r="C60" s="1615" t="e">
        <f>Виробництво_1ст!#REF!</f>
        <v>#REF!</v>
      </c>
      <c r="D60" s="1614" t="e">
        <f>Виробництво_1ст!#REF!</f>
        <v>#REF!</v>
      </c>
      <c r="E60" s="1614" t="e">
        <f>Виробництво_1ст!#REF!</f>
        <v>#REF!</v>
      </c>
      <c r="F60" s="1614" t="e">
        <f>Виробництво_2ст!#REF!</f>
        <v>#REF!</v>
      </c>
      <c r="G60" s="1614" t="e">
        <f>Виробництво_2ст!#REF!</f>
        <v>#REF!</v>
      </c>
      <c r="H60" s="1616" t="e">
        <f t="shared" si="0"/>
        <v>#REF!</v>
      </c>
      <c r="I60" s="1616" t="e">
        <f t="shared" si="1"/>
        <v>#REF!</v>
      </c>
    </row>
    <row r="61" spans="2:9" x14ac:dyDescent="0.3">
      <c r="B61" s="1614" t="e">
        <f>Виробництво_1ст!#REF!</f>
        <v>#REF!</v>
      </c>
      <c r="C61" s="1615" t="e">
        <f>Виробництво_1ст!#REF!</f>
        <v>#REF!</v>
      </c>
      <c r="D61" s="1614" t="e">
        <f>Виробництво_1ст!#REF!</f>
        <v>#REF!</v>
      </c>
      <c r="E61" s="1614" t="e">
        <f>Виробництво_1ст!#REF!</f>
        <v>#REF!</v>
      </c>
      <c r="F61" s="1614" t="e">
        <f>Виробництво_2ст!#REF!</f>
        <v>#REF!</v>
      </c>
      <c r="G61" s="1614" t="e">
        <f>Виробництво_2ст!#REF!</f>
        <v>#REF!</v>
      </c>
      <c r="H61" s="1616" t="e">
        <f t="shared" si="0"/>
        <v>#REF!</v>
      </c>
      <c r="I61" s="1616" t="e">
        <f t="shared" si="1"/>
        <v>#REF!</v>
      </c>
    </row>
    <row r="62" spans="2:9" x14ac:dyDescent="0.3">
      <c r="B62" s="1614" t="e">
        <f>Виробництво_1ст!#REF!</f>
        <v>#REF!</v>
      </c>
      <c r="C62" s="1615" t="e">
        <f>Виробництво_1ст!#REF!</f>
        <v>#REF!</v>
      </c>
      <c r="D62" s="1614" t="e">
        <f>Виробництво_1ст!#REF!</f>
        <v>#REF!</v>
      </c>
      <c r="E62" s="1614" t="e">
        <f>Виробництво_1ст!#REF!</f>
        <v>#REF!</v>
      </c>
      <c r="F62" s="1614" t="e">
        <f>Виробництво_2ст!#REF!</f>
        <v>#REF!</v>
      </c>
      <c r="G62" s="1614" t="e">
        <f>Виробництво_2ст!#REF!</f>
        <v>#REF!</v>
      </c>
      <c r="H62" s="1616" t="e">
        <f t="shared" si="0"/>
        <v>#REF!</v>
      </c>
      <c r="I62" s="1616" t="e">
        <f t="shared" si="1"/>
        <v>#REF!</v>
      </c>
    </row>
    <row r="63" spans="2:9" x14ac:dyDescent="0.3">
      <c r="B63" s="1614" t="e">
        <f>Виробництво_1ст!#REF!</f>
        <v>#REF!</v>
      </c>
      <c r="C63" s="1615" t="e">
        <f>Виробництво_1ст!#REF!</f>
        <v>#REF!</v>
      </c>
      <c r="D63" s="1614" t="e">
        <f>Виробництво_1ст!#REF!</f>
        <v>#REF!</v>
      </c>
      <c r="E63" s="1614" t="e">
        <f>Виробництво_1ст!#REF!</f>
        <v>#REF!</v>
      </c>
      <c r="F63" s="1614" t="e">
        <f>Виробництво_2ст!#REF!</f>
        <v>#REF!</v>
      </c>
      <c r="G63" s="1614" t="e">
        <f>Виробництво_2ст!#REF!</f>
        <v>#REF!</v>
      </c>
      <c r="H63" s="1616" t="e">
        <f t="shared" si="0"/>
        <v>#REF!</v>
      </c>
      <c r="I63" s="1616" t="e">
        <f t="shared" si="1"/>
        <v>#REF!</v>
      </c>
    </row>
    <row r="64" spans="2:9" x14ac:dyDescent="0.3">
      <c r="B64" s="1614" t="e">
        <f>Виробництво_1ст!#REF!</f>
        <v>#REF!</v>
      </c>
      <c r="C64" s="1615" t="e">
        <f>Виробництво_1ст!#REF!</f>
        <v>#REF!</v>
      </c>
      <c r="D64" s="1614" t="e">
        <f>Виробництво_1ст!#REF!</f>
        <v>#REF!</v>
      </c>
      <c r="E64" s="1614" t="e">
        <f>Виробництво_1ст!#REF!</f>
        <v>#REF!</v>
      </c>
      <c r="F64" s="1614" t="e">
        <f>Виробництво_2ст!#REF!</f>
        <v>#REF!</v>
      </c>
      <c r="G64" s="1614" t="e">
        <f>Виробництво_2ст!#REF!</f>
        <v>#REF!</v>
      </c>
      <c r="H64" s="1616" t="e">
        <f t="shared" si="0"/>
        <v>#REF!</v>
      </c>
      <c r="I64" s="1616" t="e">
        <f t="shared" si="1"/>
        <v>#REF!</v>
      </c>
    </row>
    <row r="65" spans="2:9" x14ac:dyDescent="0.3">
      <c r="B65" s="1614" t="e">
        <f>Виробництво_1ст!#REF!</f>
        <v>#REF!</v>
      </c>
      <c r="C65" s="1615" t="e">
        <f>Виробництво_1ст!#REF!</f>
        <v>#REF!</v>
      </c>
      <c r="D65" s="1614" t="e">
        <f>Виробництво_1ст!#REF!</f>
        <v>#REF!</v>
      </c>
      <c r="E65" s="1614" t="e">
        <f>Виробництво_1ст!#REF!</f>
        <v>#REF!</v>
      </c>
      <c r="F65" s="1614" t="e">
        <f>Виробництво_2ст!#REF!</f>
        <v>#REF!</v>
      </c>
      <c r="G65" s="1614" t="e">
        <f>Виробництво_2ст!#REF!</f>
        <v>#REF!</v>
      </c>
      <c r="H65" s="1616" t="e">
        <f t="shared" si="0"/>
        <v>#REF!</v>
      </c>
      <c r="I65" s="1616" t="e">
        <f t="shared" si="1"/>
        <v>#REF!</v>
      </c>
    </row>
    <row r="66" spans="2:9" x14ac:dyDescent="0.3">
      <c r="B66" s="1614" t="e">
        <f>Виробництво_1ст!#REF!</f>
        <v>#REF!</v>
      </c>
      <c r="C66" s="1615" t="e">
        <f>Виробництво_1ст!#REF!</f>
        <v>#REF!</v>
      </c>
      <c r="D66" s="1614" t="e">
        <f>Виробництво_1ст!#REF!</f>
        <v>#REF!</v>
      </c>
      <c r="E66" s="1614" t="e">
        <f>Виробництво_1ст!#REF!</f>
        <v>#REF!</v>
      </c>
      <c r="F66" s="1614" t="e">
        <f>Виробництво_2ст!#REF!</f>
        <v>#REF!</v>
      </c>
      <c r="G66" s="1614" t="e">
        <f>Виробництво_2ст!#REF!</f>
        <v>#REF!</v>
      </c>
      <c r="H66" s="1616" t="e">
        <f t="shared" si="0"/>
        <v>#REF!</v>
      </c>
      <c r="I66" s="1616" t="e">
        <f t="shared" si="1"/>
        <v>#REF!</v>
      </c>
    </row>
    <row r="67" spans="2:9" x14ac:dyDescent="0.3">
      <c r="B67" s="1614" t="e">
        <f>Виробництво_1ст!#REF!</f>
        <v>#REF!</v>
      </c>
      <c r="C67" s="1615" t="e">
        <f>Виробництво_1ст!#REF!</f>
        <v>#REF!</v>
      </c>
      <c r="D67" s="1614" t="e">
        <f>Виробництво_1ст!#REF!</f>
        <v>#REF!</v>
      </c>
      <c r="E67" s="1614" t="e">
        <f>Виробництво_1ст!#REF!</f>
        <v>#REF!</v>
      </c>
      <c r="F67" s="1614" t="e">
        <f>Виробництво_2ст!#REF!</f>
        <v>#REF!</v>
      </c>
      <c r="G67" s="1614" t="e">
        <f>Виробництво_2ст!#REF!</f>
        <v>#REF!</v>
      </c>
      <c r="H67" s="1616" t="e">
        <f t="shared" si="0"/>
        <v>#REF!</v>
      </c>
      <c r="I67" s="1616" t="e">
        <f t="shared" si="1"/>
        <v>#REF!</v>
      </c>
    </row>
    <row r="68" spans="2:9" x14ac:dyDescent="0.3">
      <c r="B68" s="1614" t="e">
        <f>Виробництво_1ст!#REF!</f>
        <v>#REF!</v>
      </c>
      <c r="C68" s="1615" t="e">
        <f>Виробництво_1ст!#REF!</f>
        <v>#REF!</v>
      </c>
      <c r="D68" s="1614" t="e">
        <f>Виробництво_1ст!#REF!</f>
        <v>#REF!</v>
      </c>
      <c r="E68" s="1614" t="e">
        <f>Виробництво_1ст!#REF!</f>
        <v>#REF!</v>
      </c>
      <c r="F68" s="1614" t="e">
        <f>Виробництво_2ст!#REF!</f>
        <v>#REF!</v>
      </c>
      <c r="G68" s="1614" t="e">
        <f>Виробництво_2ст!#REF!</f>
        <v>#REF!</v>
      </c>
      <c r="H68" s="1616" t="e">
        <f t="shared" si="0"/>
        <v>#REF!</v>
      </c>
      <c r="I68" s="1616" t="e">
        <f t="shared" si="1"/>
        <v>#REF!</v>
      </c>
    </row>
  </sheetData>
  <pageMargins left="0.7" right="0.7" top="0.75" bottom="0.75" header="0.3" footer="0.3"/>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2F00-000000000000}">
  <sheetPr codeName="Лист44">
    <tabColor rgb="FF00B050"/>
    <pageSetUpPr fitToPage="1"/>
  </sheetPr>
  <dimension ref="A1:X117"/>
  <sheetViews>
    <sheetView zoomScale="68" zoomScaleNormal="68" workbookViewId="0">
      <pane xSplit="2" ySplit="7" topLeftCell="C8" activePane="bottomRight" state="frozen"/>
      <selection pane="topRight" activeCell="C1" sqref="C1"/>
      <selection pane="bottomLeft" activeCell="A8" sqref="A8"/>
      <selection pane="bottomRight" activeCell="G5" sqref="G5"/>
    </sheetView>
  </sheetViews>
  <sheetFormatPr defaultColWidth="9.109375" defaultRowHeight="13.8" x14ac:dyDescent="0.25"/>
  <cols>
    <col min="1" max="1" width="9" style="391" customWidth="1"/>
    <col min="2" max="2" width="59.33203125" style="391" customWidth="1"/>
    <col min="3" max="3" width="14.44140625" style="390" customWidth="1"/>
    <col min="4" max="5" width="13.88671875" style="390" customWidth="1"/>
    <col min="6" max="6" width="17.109375" style="773" customWidth="1"/>
    <col min="7" max="7" width="16.6640625" style="391" customWidth="1"/>
    <col min="8" max="8" width="16" style="391" customWidth="1"/>
    <col min="9" max="9" width="10.5546875" style="391" customWidth="1"/>
    <col min="10" max="10" width="11.88671875" style="391" customWidth="1"/>
    <col min="11" max="11" width="15.5546875" style="391" customWidth="1"/>
    <col min="12" max="12" width="12.5546875" style="391" customWidth="1"/>
    <col min="13" max="13" width="20.6640625" style="391" customWidth="1"/>
    <col min="14" max="14" width="17" style="391" customWidth="1"/>
    <col min="15" max="15" width="29.5546875" style="393" customWidth="1"/>
    <col min="16" max="16" width="16.5546875" style="399" customWidth="1"/>
    <col min="17" max="17" width="11" style="399" customWidth="1"/>
    <col min="18" max="18" width="11.33203125" style="391" customWidth="1"/>
    <col min="19" max="19" width="9.109375" style="391" customWidth="1"/>
    <col min="20" max="20" width="10" style="391" customWidth="1"/>
    <col min="21" max="21" width="9.109375" style="391"/>
    <col min="22" max="22" width="10.44140625" style="391" bestFit="1" customWidth="1"/>
    <col min="23" max="16384" width="9.109375" style="391"/>
  </cols>
  <sheetData>
    <row r="1" spans="1:23" ht="17.399999999999999" x14ac:dyDescent="0.3">
      <c r="B1" s="389"/>
      <c r="C1" s="391"/>
      <c r="D1" s="391"/>
      <c r="E1" s="391"/>
      <c r="F1" s="391"/>
      <c r="M1" s="392" t="s">
        <v>821</v>
      </c>
      <c r="O1" s="391"/>
      <c r="P1" s="994">
        <v>6137537.8300000001</v>
      </c>
      <c r="Q1" s="994">
        <v>7399421.4099999992</v>
      </c>
      <c r="R1" s="994">
        <v>5993603.4210175136</v>
      </c>
      <c r="S1" s="995">
        <v>5825487.3144089105</v>
      </c>
    </row>
    <row r="2" spans="1:23" ht="18" customHeight="1" x14ac:dyDescent="0.25">
      <c r="C2" s="391"/>
      <c r="D2" s="391"/>
      <c r="E2" s="391"/>
      <c r="F2" s="391"/>
      <c r="M2" s="391" t="s">
        <v>2324</v>
      </c>
      <c r="O2" s="391"/>
      <c r="P2" s="996">
        <f>P1/1000+C28-C8</f>
        <v>-1852.9487400000007</v>
      </c>
      <c r="Q2" s="994">
        <f>Q1/1000-D8</f>
        <v>-758.20596999999998</v>
      </c>
      <c r="R2" s="994">
        <f>R1/1000-E8</f>
        <v>-1636.9332393146078</v>
      </c>
      <c r="S2" s="994">
        <f>S1/1000-F8</f>
        <v>-3707.5972568075213</v>
      </c>
    </row>
    <row r="3" spans="1:23" ht="17.399999999999999" x14ac:dyDescent="0.3">
      <c r="B3" s="394" t="s">
        <v>929</v>
      </c>
      <c r="C3" s="888" t="str">
        <f>'Вхідні дані'!F5</f>
        <v>КП «КТЕ"</v>
      </c>
      <c r="D3" s="888"/>
      <c r="E3" s="888"/>
      <c r="F3" s="770"/>
      <c r="G3" s="395" t="s">
        <v>461</v>
      </c>
      <c r="H3" s="888" t="str">
        <f>'Вхідні дані'!F6</f>
        <v>2023-2024</v>
      </c>
      <c r="I3" s="395" t="s">
        <v>661</v>
      </c>
      <c r="J3" s="395"/>
      <c r="L3" s="394"/>
      <c r="Q3" s="391"/>
    </row>
    <row r="4" spans="1:23" ht="17.399999999999999" x14ac:dyDescent="0.3">
      <c r="B4" s="394"/>
      <c r="C4" s="391"/>
      <c r="D4" s="391"/>
      <c r="E4" s="391"/>
      <c r="F4" s="770"/>
      <c r="G4" s="424"/>
      <c r="H4" s="425"/>
      <c r="I4" s="425"/>
      <c r="J4" s="425"/>
      <c r="K4" s="395"/>
      <c r="L4" s="394"/>
      <c r="O4" s="393">
        <f>ФОП!G49</f>
        <v>15</v>
      </c>
      <c r="P4" s="399" t="s">
        <v>144</v>
      </c>
      <c r="Q4" s="391"/>
    </row>
    <row r="5" spans="1:23" ht="18.600000000000001" thickBot="1" x14ac:dyDescent="0.4">
      <c r="B5" s="419" t="s">
        <v>906</v>
      </c>
      <c r="C5" s="391"/>
      <c r="D5" s="391"/>
      <c r="E5" s="391"/>
      <c r="F5" s="497">
        <f>G5+H5+K5+L5+M5+N5</f>
        <v>0.99999999999999989</v>
      </c>
      <c r="G5" s="497">
        <f>'БАЗИ РОЗПОДІЛУ_2ст'!$F$22</f>
        <v>0.66451603396876979</v>
      </c>
      <c r="H5" s="497">
        <f>'БАЗИ РОЗПОДІЛУ_2ст'!$G$22</f>
        <v>0.19589486341882428</v>
      </c>
      <c r="I5" s="497">
        <f>'БАЗИ РОЗПОДІЛУ_2ст'!$H$22</f>
        <v>5.4159320049523701E-2</v>
      </c>
      <c r="J5" s="497">
        <f>'БАЗИ РОЗПОДІЛУ_2ст'!$I$22</f>
        <v>0.14173554336930061</v>
      </c>
      <c r="K5" s="497">
        <f>'БАЗИ РОЗПОДІЛУ_2ст'!$J$22</f>
        <v>8.3914010789560133E-3</v>
      </c>
      <c r="L5" s="497">
        <f>'БАЗИ РОЗПОДІЛУ_2ст'!$K$22</f>
        <v>0.13119770153344976</v>
      </c>
      <c r="M5" s="497">
        <f>'БАЗИ РОЗПОДІЛУ_2ст'!$L$22</f>
        <v>0</v>
      </c>
      <c r="N5" s="497">
        <f>'БАЗИ РОЗПОДІЛУ_2ст'!$M$22</f>
        <v>0</v>
      </c>
      <c r="O5" s="396"/>
      <c r="Q5" s="391"/>
    </row>
    <row r="6" spans="1:23" ht="18" thickBot="1" x14ac:dyDescent="0.3">
      <c r="B6" s="5447" t="s">
        <v>8</v>
      </c>
      <c r="C6" s="522" t="s">
        <v>932</v>
      </c>
      <c r="D6" s="522" t="s">
        <v>932</v>
      </c>
      <c r="E6" s="522" t="s">
        <v>942</v>
      </c>
      <c r="F6" s="771" t="s">
        <v>933</v>
      </c>
      <c r="G6" s="5200" t="s">
        <v>907</v>
      </c>
      <c r="H6" s="5201"/>
      <c r="I6" s="5201"/>
      <c r="J6" s="5201"/>
      <c r="K6" s="5201"/>
      <c r="L6" s="5201"/>
      <c r="M6" s="5202"/>
      <c r="N6" s="397"/>
      <c r="P6" s="399">
        <f>G36+H36+K36</f>
        <v>78.23549928052212</v>
      </c>
    </row>
    <row r="7" spans="1:23" ht="51" thickBot="1" x14ac:dyDescent="0.3">
      <c r="B7" s="5448"/>
      <c r="C7" s="522">
        <f>'Вхідні дані'!F8</f>
        <v>2021</v>
      </c>
      <c r="D7" s="522">
        <f>'Вхідні дані'!F7</f>
        <v>2022</v>
      </c>
      <c r="E7" s="533" t="str">
        <f>'Вхідні дані'!F9</f>
        <v>Ріш. №296 від 25.10.2022</v>
      </c>
      <c r="F7" s="771" t="str">
        <f>'Вхідні дані'!F6</f>
        <v>2023-2024</v>
      </c>
      <c r="G7" s="522" t="s">
        <v>908</v>
      </c>
      <c r="H7" s="522" t="s">
        <v>909</v>
      </c>
      <c r="I7" s="522" t="s">
        <v>1955</v>
      </c>
      <c r="J7" s="522" t="s">
        <v>1966</v>
      </c>
      <c r="K7" s="522" t="s">
        <v>910</v>
      </c>
      <c r="L7" s="522" t="s">
        <v>930</v>
      </c>
      <c r="M7" s="525" t="s">
        <v>911</v>
      </c>
      <c r="N7" s="398" t="s">
        <v>931</v>
      </c>
    </row>
    <row r="8" spans="1:23" ht="17.399999999999999" x14ac:dyDescent="0.3">
      <c r="A8" s="1609"/>
      <c r="B8" s="400" t="s">
        <v>912</v>
      </c>
      <c r="C8" s="401">
        <f>C9+C20+C38+C24+C36+C37</f>
        <v>8025.5941500000008</v>
      </c>
      <c r="D8" s="401">
        <f>D9+D20+D38+D24+D36+D37</f>
        <v>8157.627379999999</v>
      </c>
      <c r="E8" s="401">
        <f>E9+E20+E38+E24+E36+E37</f>
        <v>7630.5366603321218</v>
      </c>
      <c r="F8" s="401">
        <f>F9+F20+F38+F24+F36+F37</f>
        <v>9533.0845712164319</v>
      </c>
      <c r="G8" s="401">
        <f t="shared" ref="G8:N8" si="0">G9+G20+G38+G24+G36+G37</f>
        <v>6334.8875507536159</v>
      </c>
      <c r="H8" s="401">
        <f t="shared" si="0"/>
        <v>1867.4823000385445</v>
      </c>
      <c r="I8" s="401">
        <f t="shared" si="0"/>
        <v>516.3053783516873</v>
      </c>
      <c r="J8" s="401">
        <f t="shared" si="0"/>
        <v>1351.1769216868572</v>
      </c>
      <c r="K8" s="401">
        <f t="shared" si="0"/>
        <v>79.995936156684508</v>
      </c>
      <c r="L8" s="401">
        <f t="shared" si="0"/>
        <v>1250.7187842675887</v>
      </c>
      <c r="M8" s="401">
        <f t="shared" si="0"/>
        <v>0</v>
      </c>
      <c r="N8" s="401">
        <f t="shared" si="0"/>
        <v>0</v>
      </c>
      <c r="O8" s="403"/>
      <c r="S8" s="399">
        <f>F8-G8-H8-K8-L8-M8-N8</f>
        <v>-1.8189894035458565E-12</v>
      </c>
      <c r="T8" s="399">
        <f>H8-I8-J8</f>
        <v>0</v>
      </c>
      <c r="V8" s="399">
        <f>Адміністративні_1ст!F8</f>
        <v>9533.0845712164319</v>
      </c>
      <c r="W8" s="399">
        <f>F8-V8</f>
        <v>0</v>
      </c>
    </row>
    <row r="9" spans="1:23" ht="17.399999999999999" x14ac:dyDescent="0.3">
      <c r="A9" s="1609"/>
      <c r="B9" s="404" t="s">
        <v>913</v>
      </c>
      <c r="C9" s="405">
        <f>SUM(C10:C19)</f>
        <v>353.78944999999999</v>
      </c>
      <c r="D9" s="405">
        <f>SUM(D10:D19)</f>
        <v>282.14715000000007</v>
      </c>
      <c r="E9" s="714">
        <f>SUM(E10:E19)</f>
        <v>167.70122278418418</v>
      </c>
      <c r="F9" s="405">
        <f>SUM(F10:F19)</f>
        <v>330.85895297500002</v>
      </c>
      <c r="G9" s="405">
        <f t="shared" ref="G9:N9" si="1">SUM(G10:G19)</f>
        <v>219.86107923400675</v>
      </c>
      <c r="H9" s="405">
        <f t="shared" si="1"/>
        <v>64.813569403932831</v>
      </c>
      <c r="I9" s="405">
        <f t="shared" si="1"/>
        <v>17.919095925423338</v>
      </c>
      <c r="J9" s="405">
        <f t="shared" si="1"/>
        <v>46.894473478509497</v>
      </c>
      <c r="K9" s="405">
        <f t="shared" si="1"/>
        <v>2.7763701749766718</v>
      </c>
      <c r="L9" s="405">
        <f t="shared" si="1"/>
        <v>43.407934162083741</v>
      </c>
      <c r="M9" s="405">
        <f t="shared" si="1"/>
        <v>0</v>
      </c>
      <c r="N9" s="405">
        <f t="shared" si="1"/>
        <v>0</v>
      </c>
      <c r="O9" s="403"/>
      <c r="S9" s="399">
        <f t="shared" ref="S9:S20" si="2">F9-G9-H9-K9-L9-M9-N9</f>
        <v>2.8421709430404007E-14</v>
      </c>
      <c r="T9" s="399">
        <f t="shared" ref="T9:T20" si="3">H9-I9-J9</f>
        <v>0</v>
      </c>
      <c r="V9" s="399">
        <f>Адміністративні_1ст!F9</f>
        <v>330.85895297500002</v>
      </c>
      <c r="W9" s="399">
        <f t="shared" ref="W9:W58" si="4">F9-V9</f>
        <v>0</v>
      </c>
    </row>
    <row r="10" spans="1:23" ht="18" x14ac:dyDescent="0.35">
      <c r="A10" s="1609"/>
      <c r="B10" s="406" t="str">
        <f>Адміністративні_1ст!B10</f>
        <v>ПММ</v>
      </c>
      <c r="C10" s="407">
        <f>Адміністративні_1ст!C10</f>
        <v>86.565010000000001</v>
      </c>
      <c r="D10" s="407">
        <f>Адміністративні_1ст!D10</f>
        <v>113.67182000000001</v>
      </c>
      <c r="E10" s="407">
        <f>Адміністративні_1ст!E10</f>
        <v>52.298519999999996</v>
      </c>
      <c r="F10" s="462">
        <f>Адміністративні_1ст!F10</f>
        <v>149.13582</v>
      </c>
      <c r="G10" s="408">
        <f>Адміністративні_1ст!G10</f>
        <v>99.103143629080364</v>
      </c>
      <c r="H10" s="409">
        <f>Адміністративні_1ст!H10</f>
        <v>29.214941089754365</v>
      </c>
      <c r="I10" s="409">
        <f>Адміністративні_1ст!I10</f>
        <v>8.0770946062281581</v>
      </c>
      <c r="J10" s="409">
        <f>Адміністративні_1ст!J10</f>
        <v>21.137846483526207</v>
      </c>
      <c r="K10" s="409">
        <f>Адміністративні_1ст!K10</f>
        <v>1.2514584808589899</v>
      </c>
      <c r="L10" s="409">
        <f>Адміністративні_1ст!L10</f>
        <v>19.566276800306287</v>
      </c>
      <c r="M10" s="409">
        <f>Адміністративні_1ст!M10</f>
        <v>0</v>
      </c>
      <c r="N10" s="409">
        <f>Адміністративні_1ст!N10</f>
        <v>0</v>
      </c>
      <c r="O10" s="901" t="s">
        <v>914</v>
      </c>
      <c r="P10" s="520" t="s">
        <v>1387</v>
      </c>
      <c r="Q10" s="520"/>
      <c r="S10" s="399">
        <f t="shared" si="2"/>
        <v>-1.0658141036401503E-14</v>
      </c>
      <c r="T10" s="399">
        <f t="shared" si="3"/>
        <v>0</v>
      </c>
      <c r="V10" s="399">
        <f>Адміністративні_1ст!F10</f>
        <v>149.13582</v>
      </c>
      <c r="W10" s="399">
        <f t="shared" si="4"/>
        <v>0</v>
      </c>
    </row>
    <row r="11" spans="1:23" ht="18" x14ac:dyDescent="0.35">
      <c r="A11" s="1609"/>
      <c r="B11" s="406" t="str">
        <f>Адміністративні_1ст!B11</f>
        <v>матеріали</v>
      </c>
      <c r="C11" s="407">
        <f>Адміністративні_1ст!C11</f>
        <v>1.87592</v>
      </c>
      <c r="D11" s="407">
        <f>Адміністративні_1ст!D11</f>
        <v>0.4047</v>
      </c>
      <c r="E11" s="407">
        <f>Адміністративні_1ст!E11</f>
        <v>5.7444145500000002E-2</v>
      </c>
      <c r="F11" s="462">
        <f>Адміністративні_1ст!F11</f>
        <v>0.42827377499999997</v>
      </c>
      <c r="G11" s="408">
        <f>Адміністративні_1ст!G11</f>
        <v>0.28459479041583335</v>
      </c>
      <c r="H11" s="409">
        <f>Адміністративні_1ст!H11</f>
        <v>8.3896632659489281E-2</v>
      </c>
      <c r="I11" s="409">
        <f>Адміністративні_1ст!I11</f>
        <v>2.3195016449042705E-2</v>
      </c>
      <c r="J11" s="409">
        <f>Адміністративні_1ст!J11</f>
        <v>6.0701616210446584E-2</v>
      </c>
      <c r="K11" s="409">
        <f>Адміністративні_1ст!K11</f>
        <v>3.5938170176235654E-3</v>
      </c>
      <c r="L11" s="409">
        <f>Адміністративні_1ст!L11</f>
        <v>5.6188534907053812E-2</v>
      </c>
      <c r="M11" s="409">
        <f>Адміністративні_1ст!M11</f>
        <v>0</v>
      </c>
      <c r="N11" s="409">
        <f>Адміністративні_1ст!N11</f>
        <v>0</v>
      </c>
      <c r="O11" s="901" t="s">
        <v>965</v>
      </c>
      <c r="S11" s="399">
        <f t="shared" si="2"/>
        <v>-4.8572257327350599E-17</v>
      </c>
      <c r="T11" s="399">
        <f t="shared" si="3"/>
        <v>0</v>
      </c>
      <c r="V11" s="399">
        <f>Адміністративні_1ст!F11</f>
        <v>0.42827377499999997</v>
      </c>
      <c r="W11" s="399">
        <f t="shared" si="4"/>
        <v>0</v>
      </c>
    </row>
    <row r="12" spans="1:23" ht="18" x14ac:dyDescent="0.35">
      <c r="A12" s="1609"/>
      <c r="B12" s="406" t="str">
        <f>Адміністративні_1ст!B12</f>
        <v>матеріали на техніку безпеки</v>
      </c>
      <c r="C12" s="407">
        <f>Адміністративні_1ст!C12</f>
        <v>47.041989999999998</v>
      </c>
      <c r="D12" s="407">
        <f>Адміністративні_1ст!D12</f>
        <v>16.666919999999998</v>
      </c>
      <c r="E12" s="407">
        <f>Адміністративні_1ст!E12</f>
        <v>17.579550000000001</v>
      </c>
      <c r="F12" s="462">
        <f>Адміністративні_1ст!F12</f>
        <v>17.637768089999994</v>
      </c>
      <c r="G12" s="408">
        <f>Адміністративні_1ст!G12</f>
        <v>11.720579699227724</v>
      </c>
      <c r="H12" s="409">
        <f>Адміністративні_1ст!H12</f>
        <v>3.4551481710034468</v>
      </c>
      <c r="I12" s="409">
        <f>Адміністративні_1ст!I12</f>
        <v>0.95524952694558618</v>
      </c>
      <c r="J12" s="409">
        <f>Адміністративні_1ст!J12</f>
        <v>2.4998986440578608</v>
      </c>
      <c r="K12" s="409">
        <f>Адміністративні_1ст!K12</f>
        <v>0.14800558618080192</v>
      </c>
      <c r="L12" s="409">
        <f>Адміністративні_1ст!L12</f>
        <v>2.3140346335880233</v>
      </c>
      <c r="M12" s="409">
        <f>Адміністративні_1ст!M12</f>
        <v>0</v>
      </c>
      <c r="N12" s="409">
        <f>Адміністративні_1ст!N12</f>
        <v>0</v>
      </c>
      <c r="O12" s="476" t="s">
        <v>1572</v>
      </c>
      <c r="P12" s="901"/>
      <c r="Q12" s="901"/>
      <c r="R12" s="431"/>
      <c r="S12" s="399">
        <f t="shared" si="2"/>
        <v>-1.3322676295501878E-15</v>
      </c>
      <c r="T12" s="399">
        <f t="shared" si="3"/>
        <v>0</v>
      </c>
      <c r="V12" s="399">
        <f>Адміністративні_1ст!F12</f>
        <v>17.637768089999994</v>
      </c>
      <c r="W12" s="399">
        <f t="shared" si="4"/>
        <v>0</v>
      </c>
    </row>
    <row r="13" spans="1:23" ht="18" customHeight="1" x14ac:dyDescent="0.35">
      <c r="A13" s="1609"/>
      <c r="B13" s="406" t="str">
        <f>Адміністративні_1ст!B13</f>
        <v>матеріали на ремонт</v>
      </c>
      <c r="C13" s="407">
        <f>Адміністративні_1ст!C13</f>
        <v>96.370100000000008</v>
      </c>
      <c r="D13" s="407">
        <f>Адміністративні_1ст!D13</f>
        <v>0.32166</v>
      </c>
      <c r="E13" s="407">
        <f>Адміністративні_1ст!E13</f>
        <v>4.1398114650000002</v>
      </c>
      <c r="F13" s="462">
        <f>Адміністративні_1ст!F13</f>
        <v>0.34039669499999997</v>
      </c>
      <c r="G13" s="408">
        <f>Адміністративні_1ст!G13</f>
        <v>0.22619906173747703</v>
      </c>
      <c r="H13" s="409">
        <f>Адміністративні_1ст!H13</f>
        <v>6.6681964075244196E-2</v>
      </c>
      <c r="I13" s="409">
        <f>Адміністративні_1ст!I13</f>
        <v>1.8435653548305106E-2</v>
      </c>
      <c r="J13" s="409">
        <f>Адміністративні_1ст!J13</f>
        <v>4.824631052693909E-2</v>
      </c>
      <c r="K13" s="409">
        <f>Адміністративні_1ст!K13</f>
        <v>2.8564051936960612E-3</v>
      </c>
      <c r="L13" s="409">
        <f>Адміністративні_1ст!L13</f>
        <v>4.4659263993582728E-2</v>
      </c>
      <c r="M13" s="409">
        <f>Адміністративні_1ст!M13</f>
        <v>0</v>
      </c>
      <c r="N13" s="409">
        <f>Адміністративні_1ст!N13</f>
        <v>0</v>
      </c>
      <c r="O13" s="901" t="s">
        <v>965</v>
      </c>
      <c r="S13" s="399">
        <f t="shared" si="2"/>
        <v>-4.163336342344337E-17</v>
      </c>
      <c r="T13" s="399">
        <f t="shared" si="3"/>
        <v>0</v>
      </c>
      <c r="V13" s="399">
        <f>Адміністративні_1ст!F13</f>
        <v>0.34039669499999997</v>
      </c>
      <c r="W13" s="399">
        <f t="shared" si="4"/>
        <v>0</v>
      </c>
    </row>
    <row r="14" spans="1:23" ht="18" x14ac:dyDescent="0.35">
      <c r="A14" s="1609"/>
      <c r="B14" s="406" t="str">
        <f>Адміністративні_1ст!B14</f>
        <v>запчастини</v>
      </c>
      <c r="C14" s="407">
        <f>Адміністративні_1ст!C14</f>
        <v>31.42764</v>
      </c>
      <c r="D14" s="407">
        <f>Адміністративні_1ст!D14</f>
        <v>49.57114</v>
      </c>
      <c r="E14" s="407">
        <f>Адміністративні_1ст!E14</f>
        <v>0</v>
      </c>
      <c r="F14" s="462">
        <f>Адміністративні_1ст!F14</f>
        <v>52.458658904999993</v>
      </c>
      <c r="G14" s="408">
        <f>Адміністративні_1ст!G14</f>
        <v>34.859619962871093</v>
      </c>
      <c r="H14" s="409">
        <f>Адміністративні_1ст!H14</f>
        <v>10.276381821329664</v>
      </c>
      <c r="I14" s="409">
        <f>Адміністративні_1ст!I14</f>
        <v>2.8411252970046914</v>
      </c>
      <c r="J14" s="409">
        <f>Адміністративні_1ст!J14</f>
        <v>7.4352565243249744</v>
      </c>
      <c r="K14" s="409">
        <f>Адміністративні_1ст!K14</f>
        <v>0.4402016469360025</v>
      </c>
      <c r="L14" s="409">
        <f>Адміністративні_1ст!L14</f>
        <v>6.8824554738632351</v>
      </c>
      <c r="M14" s="409">
        <f>Адміністративні_1ст!M14</f>
        <v>0</v>
      </c>
      <c r="N14" s="409">
        <f>Адміністративні_1ст!N14</f>
        <v>0</v>
      </c>
      <c r="O14" s="521" t="s">
        <v>966</v>
      </c>
      <c r="S14" s="399">
        <f t="shared" si="2"/>
        <v>-2.6645352591003757E-15</v>
      </c>
      <c r="T14" s="399">
        <f t="shared" si="3"/>
        <v>0</v>
      </c>
      <c r="V14" s="399">
        <f>Адміністративні_1ст!F14</f>
        <v>52.458658904999993</v>
      </c>
      <c r="W14" s="399">
        <f t="shared" si="4"/>
        <v>0</v>
      </c>
    </row>
    <row r="15" spans="1:23" ht="18" x14ac:dyDescent="0.35">
      <c r="A15" s="1609"/>
      <c r="B15" s="406" t="str">
        <f>Адміністративні_1ст!B15</f>
        <v>МШП</v>
      </c>
      <c r="C15" s="407">
        <f>Адміністративні_1ст!C15</f>
        <v>10.42562</v>
      </c>
      <c r="D15" s="407">
        <f>Адміністративні_1ст!D15</f>
        <v>76.110749999999996</v>
      </c>
      <c r="E15" s="407">
        <f>Адміністративні_1ст!E15</f>
        <v>46.203416810526306</v>
      </c>
      <c r="F15" s="462">
        <f>Адміністративні_1ст!F15</f>
        <v>80.544201187499993</v>
      </c>
      <c r="G15" s="408">
        <f>Адміністративні_1ст!G15</f>
        <v>53.522913132300189</v>
      </c>
      <c r="H15" s="409">
        <f>Адміністративні_1ст!H15</f>
        <v>15.778195290803618</v>
      </c>
      <c r="I15" s="409">
        <f>Адміністративні_1ст!I15</f>
        <v>4.3622191702470401</v>
      </c>
      <c r="J15" s="409">
        <f>Адміністративні_1ст!J15</f>
        <v>11.415976120556579</v>
      </c>
      <c r="K15" s="409">
        <f>Адміністративні_1ст!K15</f>
        <v>0.67587869674843781</v>
      </c>
      <c r="L15" s="409">
        <f>Адміністративні_1ст!L15</f>
        <v>10.567214067647754</v>
      </c>
      <c r="M15" s="409">
        <f>Адміністративні_1ст!M15</f>
        <v>0</v>
      </c>
      <c r="N15" s="409">
        <f>Адміністративні_1ст!N15</f>
        <v>0</v>
      </c>
      <c r="O15" s="476" t="s">
        <v>1572</v>
      </c>
      <c r="S15" s="399">
        <f t="shared" si="2"/>
        <v>-5.3290705182007514E-15</v>
      </c>
      <c r="T15" s="399">
        <f t="shared" si="3"/>
        <v>0</v>
      </c>
      <c r="V15" s="399">
        <f>Адміністративні_1ст!F15</f>
        <v>80.544201187499993</v>
      </c>
      <c r="W15" s="399">
        <f t="shared" si="4"/>
        <v>0</v>
      </c>
    </row>
    <row r="16" spans="1:23" ht="18" x14ac:dyDescent="0.35">
      <c r="A16" s="1609"/>
      <c r="B16" s="406" t="str">
        <f>Адміністративні_1ст!B16</f>
        <v>МШП техніка безпеки</v>
      </c>
      <c r="C16" s="407">
        <f>Адміністративні_1ст!C16</f>
        <v>13.84714</v>
      </c>
      <c r="D16" s="407">
        <f>Адміністративні_1ст!D16</f>
        <v>5.9373399999999998</v>
      </c>
      <c r="E16" s="407">
        <f>Адміністративні_1ст!E16</f>
        <v>13.922875882894738</v>
      </c>
      <c r="F16" s="462">
        <f>Адміністративні_1ст!F16</f>
        <v>6.2831900549999995</v>
      </c>
      <c r="G16" s="408">
        <f>Адміністративні_1ст!G16</f>
        <v>4.175280536020618</v>
      </c>
      <c r="H16" s="409">
        <f>Адміністративні_1ст!H16</f>
        <v>1.2308446576587402</v>
      </c>
      <c r="I16" s="409">
        <f>Адміністративні_1ст!I16</f>
        <v>0.34029330112072942</v>
      </c>
      <c r="J16" s="409">
        <f>Адміністративні_1ст!J16</f>
        <v>0.89055135653801076</v>
      </c>
      <c r="K16" s="409">
        <f>Адміністративні_1ст!K16</f>
        <v>5.2724767806812699E-2</v>
      </c>
      <c r="L16" s="409">
        <f>Адміністративні_1ст!L16</f>
        <v>0.82434009351382964</v>
      </c>
      <c r="M16" s="409">
        <f>Адміністративні_1ст!M16</f>
        <v>0</v>
      </c>
      <c r="N16" s="409">
        <f>Адміністративні_1ст!N16</f>
        <v>0</v>
      </c>
      <c r="O16" s="901" t="s">
        <v>965</v>
      </c>
      <c r="S16" s="399">
        <f t="shared" si="2"/>
        <v>-9.9920072216264089E-16</v>
      </c>
      <c r="T16" s="399">
        <f t="shared" si="3"/>
        <v>0</v>
      </c>
      <c r="V16" s="399">
        <f>Адміністративні_1ст!F16</f>
        <v>6.2831900549999995</v>
      </c>
      <c r="W16" s="399">
        <f t="shared" si="4"/>
        <v>0</v>
      </c>
    </row>
    <row r="17" spans="1:23" ht="18" x14ac:dyDescent="0.35">
      <c r="A17" s="1609"/>
      <c r="B17" s="406" t="str">
        <f>Адміністративні_1ст!B17</f>
        <v>канцтовари, бланки</v>
      </c>
      <c r="C17" s="407">
        <f>Адміністративні_1ст!C17</f>
        <v>62.346789999999999</v>
      </c>
      <c r="D17" s="407">
        <f>Адміністративні_1ст!D17</f>
        <v>14.881790000000001</v>
      </c>
      <c r="E17" s="407">
        <f>Адміністративні_1ст!E17</f>
        <v>27.005824480263154</v>
      </c>
      <c r="F17" s="462">
        <f>Адміністративні_1ст!F17</f>
        <v>15.748654267499999</v>
      </c>
      <c r="G17" s="408">
        <f>Адміністративні_1ст!G17</f>
        <v>10.465233274184444</v>
      </c>
      <c r="H17" s="409">
        <f>Адміністративні_1ст!H17</f>
        <v>3.0850804767621969</v>
      </c>
      <c r="I17" s="409">
        <f>Адміністративні_1ст!I17</f>
        <v>0.85293640682282978</v>
      </c>
      <c r="J17" s="409">
        <f>Адміністративні_1ст!J17</f>
        <v>2.2321440699393671</v>
      </c>
      <c r="K17" s="409">
        <f>Адміністративні_1ст!K17</f>
        <v>0.13215327441240474</v>
      </c>
      <c r="L17" s="409">
        <f>Адміністративні_1ст!L17</f>
        <v>2.0661872421409546</v>
      </c>
      <c r="M17" s="409">
        <f>Адміністративні_1ст!M17</f>
        <v>0</v>
      </c>
      <c r="N17" s="409">
        <f>Адміністративні_1ст!N17</f>
        <v>0</v>
      </c>
      <c r="O17" s="476" t="s">
        <v>1572</v>
      </c>
      <c r="S17" s="399">
        <f t="shared" si="2"/>
        <v>-4.4408920985006262E-16</v>
      </c>
      <c r="T17" s="399">
        <f t="shared" si="3"/>
        <v>0</v>
      </c>
      <c r="V17" s="399">
        <f>Адміністративні_1ст!F17</f>
        <v>15.748654267499999</v>
      </c>
      <c r="W17" s="399">
        <f t="shared" si="4"/>
        <v>0</v>
      </c>
    </row>
    <row r="18" spans="1:23" ht="18" x14ac:dyDescent="0.35">
      <c r="A18" s="1609"/>
      <c r="B18" s="406" t="str">
        <f>Адміністративні_1ст!B18</f>
        <v>спецодяг та спецвзуття</v>
      </c>
      <c r="C18" s="407">
        <f>Адміністративні_1ст!C18</f>
        <v>3.8892399999999996</v>
      </c>
      <c r="D18" s="407">
        <f>Адміністративні_1ст!D18</f>
        <v>4.5810300000000002</v>
      </c>
      <c r="E18" s="407">
        <f>Адміністративні_1ст!E18</f>
        <v>6.4937800000000001</v>
      </c>
      <c r="F18" s="462">
        <f>Адміністративні_1ст!F18</f>
        <v>8.2819900000000004</v>
      </c>
      <c r="G18" s="408">
        <f>Адміністративні_1ст!G18</f>
        <v>5.5035151481690141</v>
      </c>
      <c r="H18" s="409">
        <f>Адміністративні_1ст!H18</f>
        <v>1.6223992998860688</v>
      </c>
      <c r="I18" s="409">
        <f>Адміністративні_1ст!I18</f>
        <v>0.44854694705695486</v>
      </c>
      <c r="J18" s="409">
        <f>Адміністративні_1ст!J18</f>
        <v>1.173852352829114</v>
      </c>
      <c r="K18" s="409">
        <f>Адміністративні_1ст!K18</f>
        <v>6.9497499821902925E-2</v>
      </c>
      <c r="L18" s="409">
        <f>Адміністративні_1ст!L18</f>
        <v>1.0865780521230155</v>
      </c>
      <c r="M18" s="409">
        <f>Адміністративні_1ст!M18</f>
        <v>0</v>
      </c>
      <c r="N18" s="409">
        <f>Адміністративні_1ст!N18</f>
        <v>0</v>
      </c>
      <c r="O18" s="901" t="s">
        <v>1389</v>
      </c>
      <c r="S18" s="399">
        <f t="shared" si="2"/>
        <v>-8.8817841970012523E-16</v>
      </c>
      <c r="T18" s="399">
        <f t="shared" si="3"/>
        <v>0</v>
      </c>
      <c r="V18" s="399">
        <f>Адміністративні_1ст!F18</f>
        <v>8.2819900000000004</v>
      </c>
      <c r="W18" s="399">
        <f t="shared" si="4"/>
        <v>0</v>
      </c>
    </row>
    <row r="19" spans="1:23" ht="18" x14ac:dyDescent="0.35">
      <c r="A19" s="1609"/>
      <c r="B19" s="406" t="str">
        <f>Адміністративні_1ст!B19</f>
        <v>спецхарчування</v>
      </c>
      <c r="C19" s="407">
        <f>Адміністративні_1ст!C19</f>
        <v>0</v>
      </c>
      <c r="D19" s="407">
        <f>Адміністративні_1ст!D19</f>
        <v>0</v>
      </c>
      <c r="E19" s="407">
        <f>Адміністративні_1ст!E19</f>
        <v>0</v>
      </c>
      <c r="F19" s="462">
        <f>Адміністративні_1ст!F19</f>
        <v>0</v>
      </c>
      <c r="G19" s="408">
        <f>Адміністративні_1ст!G19</f>
        <v>0</v>
      </c>
      <c r="H19" s="409">
        <f>Адміністративні_1ст!H19</f>
        <v>0</v>
      </c>
      <c r="I19" s="409">
        <f>Адміністративні_1ст!I19</f>
        <v>0</v>
      </c>
      <c r="J19" s="409">
        <f>Адміністративні_1ст!J19</f>
        <v>0</v>
      </c>
      <c r="K19" s="409">
        <f>Адміністративні_1ст!K19</f>
        <v>0</v>
      </c>
      <c r="L19" s="409">
        <f>Адміністративні_1ст!L19</f>
        <v>0</v>
      </c>
      <c r="M19" s="409">
        <f>Адміністративні_1ст!M19</f>
        <v>0</v>
      </c>
      <c r="N19" s="409">
        <f>Адміністративні_1ст!N19</f>
        <v>0</v>
      </c>
      <c r="O19" s="901" t="s">
        <v>1942</v>
      </c>
      <c r="S19" s="399">
        <f t="shared" si="2"/>
        <v>0</v>
      </c>
      <c r="T19" s="399">
        <f t="shared" si="3"/>
        <v>0</v>
      </c>
      <c r="V19" s="399">
        <f>Адміністративні_1ст!F19</f>
        <v>0</v>
      </c>
      <c r="W19" s="399">
        <f t="shared" si="4"/>
        <v>0</v>
      </c>
    </row>
    <row r="20" spans="1:23" ht="34.799999999999997" x14ac:dyDescent="0.3">
      <c r="A20" s="1609"/>
      <c r="B20" s="410" t="str">
        <f>Адміністративні_1ст!B20</f>
        <v>Витрати на оплату праці з відрахуваннями всього, у т.ч.:</v>
      </c>
      <c r="C20" s="405">
        <f>Адміністративні_1ст!C20</f>
        <v>6128.4409300000007</v>
      </c>
      <c r="D20" s="405">
        <f>Адміністративні_1ст!D20</f>
        <v>7266.2331700000004</v>
      </c>
      <c r="E20" s="405">
        <f>Адміністративні_1ст!E20</f>
        <v>6889.6658529720007</v>
      </c>
      <c r="F20" s="405">
        <f>Адміністративні_1ст!F20</f>
        <v>8709.5618333142447</v>
      </c>
      <c r="G20" s="405">
        <f>Адміністративні_1ст!G20</f>
        <v>5787.643487079752</v>
      </c>
      <c r="H20" s="405">
        <f>Адміністративні_1ст!H20</f>
        <v>1706.1584257748993</v>
      </c>
      <c r="I20" s="405">
        <f>Адміністративні_1ст!I20</f>
        <v>471.70394682158269</v>
      </c>
      <c r="J20" s="405">
        <f>Адміністративні_1ст!J20</f>
        <v>1234.4544789533165</v>
      </c>
      <c r="K20" s="405">
        <f>Адміністративні_1ст!K20</f>
        <v>73.085426565307287</v>
      </c>
      <c r="L20" s="405">
        <f>Адміністративні_1ст!L20</f>
        <v>1142.6744938942879</v>
      </c>
      <c r="M20" s="405">
        <f>Адміністративні_1ст!M20</f>
        <v>0</v>
      </c>
      <c r="N20" s="405">
        <f>Адміністративні_1ст!N20</f>
        <v>0</v>
      </c>
      <c r="O20" s="901"/>
      <c r="P20" s="430"/>
      <c r="S20" s="399">
        <f t="shared" si="2"/>
        <v>-1.8189894035458565E-12</v>
      </c>
      <c r="T20" s="399">
        <f t="shared" si="3"/>
        <v>0</v>
      </c>
      <c r="V20" s="399">
        <f>Адміністративні_1ст!F20</f>
        <v>8709.5618333142447</v>
      </c>
      <c r="W20" s="399">
        <f t="shared" si="4"/>
        <v>0</v>
      </c>
    </row>
    <row r="21" spans="1:23" ht="55.5" customHeight="1" x14ac:dyDescent="0.35">
      <c r="A21" s="1609"/>
      <c r="B21" s="406" t="str">
        <f>Адміністративні_1ст!B21</f>
        <v>витрати на оплату праці апарату управління та іншого загальногосподарського персоналу всього, у т.ч.:</v>
      </c>
      <c r="C21" s="2216">
        <f>Адміністративні_1ст!C21</f>
        <v>5030.3503000000001</v>
      </c>
      <c r="D21" s="2216">
        <f>Адміністративні_1ст!D21</f>
        <v>6082.8951900000002</v>
      </c>
      <c r="E21" s="2216">
        <f>Адміністративні_1ст!E21</f>
        <v>5647.267092600001</v>
      </c>
      <c r="F21" s="2216">
        <f>Адміністративні_1ст!F21</f>
        <v>7138.9851092739718</v>
      </c>
      <c r="G21" s="2592">
        <f>Адміністративні_1ст!G21</f>
        <v>4743.9700713768461</v>
      </c>
      <c r="H21" s="2399">
        <f>Адміністративні_1ст!H21</f>
        <v>1398.4905129302454</v>
      </c>
      <c r="I21" s="2399">
        <f>Адміністративні_1ст!I21</f>
        <v>386.64257936195304</v>
      </c>
      <c r="J21" s="2399">
        <f>Адміністративні_1ст!J21</f>
        <v>1011.8479335682923</v>
      </c>
      <c r="K21" s="2399">
        <f>Адміністративні_1ст!K21</f>
        <v>59.90608734861253</v>
      </c>
      <c r="L21" s="2399">
        <f>Адміністративні_1ст!L21</f>
        <v>936.61843761826879</v>
      </c>
      <c r="M21" s="2399">
        <f>Адміністративні_1ст!M21</f>
        <v>0</v>
      </c>
      <c r="N21" s="2399">
        <f>Адміністративні_1ст!N21</f>
        <v>0</v>
      </c>
      <c r="O21" s="431" t="s">
        <v>1008</v>
      </c>
      <c r="P21" s="430"/>
      <c r="S21" s="399">
        <f t="shared" ref="S21:S27" si="5">F21-G21-H21-K21-L21-M21-N21</f>
        <v>-1.0231815394945443E-12</v>
      </c>
      <c r="T21" s="399">
        <f t="shared" ref="T21:T27" si="6">H21-I21-J21</f>
        <v>0</v>
      </c>
      <c r="V21" s="399">
        <f>Адміністративні_1ст!F21</f>
        <v>7138.9851092739718</v>
      </c>
      <c r="W21" s="399">
        <f t="shared" si="4"/>
        <v>0</v>
      </c>
    </row>
    <row r="22" spans="1:23" ht="18" x14ac:dyDescent="0.35">
      <c r="A22" s="1609"/>
      <c r="B22" s="463" t="str">
        <f>Адміністративні_1ст!B22</f>
        <v>оплата праці працюючих інвалідів</v>
      </c>
      <c r="C22" s="407">
        <f>Адміністративні_1ст!C22</f>
        <v>0</v>
      </c>
      <c r="D22" s="407">
        <f>Адміністративні_1ст!D22</f>
        <v>0</v>
      </c>
      <c r="E22" s="407">
        <f>Адміністративні_1ст!E22</f>
        <v>0</v>
      </c>
      <c r="F22" s="407">
        <f>Адміністративні_1ст!F22</f>
        <v>0</v>
      </c>
      <c r="G22" s="408">
        <f>Адміністративні_1ст!G22</f>
        <v>0</v>
      </c>
      <c r="H22" s="409">
        <f>Адміністративні_1ст!H22</f>
        <v>0</v>
      </c>
      <c r="I22" s="409">
        <f>Адміністративні_1ст!I22</f>
        <v>0</v>
      </c>
      <c r="J22" s="409">
        <f>Адміністративні_1ст!J22</f>
        <v>0</v>
      </c>
      <c r="K22" s="409">
        <f>Адміністративні_1ст!K22</f>
        <v>0</v>
      </c>
      <c r="L22" s="409">
        <f>Адміністративні_1ст!L22</f>
        <v>0</v>
      </c>
      <c r="M22" s="409">
        <f>Адміністративні_1ст!M22</f>
        <v>0</v>
      </c>
      <c r="N22" s="409">
        <f>Адміністративні_1ст!N22</f>
        <v>0</v>
      </c>
      <c r="O22" s="431" t="s">
        <v>1008</v>
      </c>
      <c r="P22" s="430"/>
      <c r="S22" s="399">
        <f t="shared" si="5"/>
        <v>0</v>
      </c>
      <c r="T22" s="399">
        <f t="shared" si="6"/>
        <v>0</v>
      </c>
      <c r="V22" s="399">
        <f>Адміністративні_1ст!F22</f>
        <v>0</v>
      </c>
      <c r="W22" s="399">
        <f t="shared" si="4"/>
        <v>0</v>
      </c>
    </row>
    <row r="23" spans="1:23" ht="58.5" customHeight="1" x14ac:dyDescent="0.35">
      <c r="A23" s="1609"/>
      <c r="B23" s="406" t="str">
        <f>Адміністративні_1ст!B23</f>
        <v>єдиний внесок на загальнообов’язкове державне соціальне страхування апарату управління та іншого загальногосподарського персоналу</v>
      </c>
      <c r="C23" s="2216">
        <f>Адміністративні_1ст!C23</f>
        <v>1098.0906300000001</v>
      </c>
      <c r="D23" s="2216">
        <f>Адміністративні_1ст!D23</f>
        <v>1183.33798</v>
      </c>
      <c r="E23" s="2216">
        <f>Адміністративні_1ст!E23</f>
        <v>1242.3987603720002</v>
      </c>
      <c r="F23" s="2216">
        <f>Адміністративні_1ст!F23</f>
        <v>1570.5767240402738</v>
      </c>
      <c r="G23" s="2592">
        <f>Адміністративні_1ст!G23</f>
        <v>1043.6734157029061</v>
      </c>
      <c r="H23" s="2399">
        <f>Адміністративні_1ст!H23</f>
        <v>307.66791284465398</v>
      </c>
      <c r="I23" s="2399">
        <f>Адміністративні_1ст!I23</f>
        <v>85.061367459629665</v>
      </c>
      <c r="J23" s="2399">
        <f>Адміністративні_1ст!J23</f>
        <v>222.6065453850243</v>
      </c>
      <c r="K23" s="2399">
        <f>Адміністративні_1ст!K23</f>
        <v>13.179339216694757</v>
      </c>
      <c r="L23" s="2399">
        <f>Адміністративні_1ст!L23</f>
        <v>206.05605627601912</v>
      </c>
      <c r="M23" s="2399">
        <f>Адміністративні_1ст!M23</f>
        <v>0</v>
      </c>
      <c r="N23" s="2399">
        <f>Адміністративні_1ст!N23</f>
        <v>0</v>
      </c>
      <c r="O23" s="431" t="s">
        <v>1008</v>
      </c>
      <c r="P23" s="430" t="s">
        <v>918</v>
      </c>
      <c r="S23" s="399">
        <f t="shared" si="5"/>
        <v>-1.9895196601282805E-13</v>
      </c>
      <c r="T23" s="399">
        <f t="shared" si="6"/>
        <v>0</v>
      </c>
      <c r="V23" s="399">
        <f>Адміністративні_1ст!F23</f>
        <v>1570.5767240402738</v>
      </c>
      <c r="W23" s="399">
        <f t="shared" si="4"/>
        <v>0</v>
      </c>
    </row>
    <row r="24" spans="1:23" s="411" customFormat="1" ht="69.599999999999994" x14ac:dyDescent="0.3">
      <c r="A24" s="1609"/>
      <c r="B24" s="410" t="str">
        <f>Адміністративні_1ст!B24</f>
        <v>Витрати на утримання основних засобів, інших необоротних матеріальних активів загальногосподарського використання всього, у т.ч.:</v>
      </c>
      <c r="C24" s="2591">
        <f>Адміністративні_1ст!C24</f>
        <v>650.48208999999997</v>
      </c>
      <c r="D24" s="2591">
        <f>Адміністративні_1ст!D24</f>
        <v>773.9391700000001</v>
      </c>
      <c r="E24" s="2591">
        <f>Адміністративні_1ст!E24</f>
        <v>133.07923275245867</v>
      </c>
      <c r="F24" s="2591">
        <f>Адміністративні_1ст!F24</f>
        <v>150.19862834556801</v>
      </c>
      <c r="G24" s="2591">
        <f>Адміністративні_1ст!G24</f>
        <v>99.80939681574614</v>
      </c>
      <c r="H24" s="2591">
        <f>Адміністративні_1ст!H24</f>
        <v>29.423139785449795</v>
      </c>
      <c r="I24" s="2591">
        <f>Адміністративні_1ст!I24</f>
        <v>8.1346555835670813</v>
      </c>
      <c r="J24" s="2591">
        <f>Адміністративні_1ст!J24</f>
        <v>21.288484201882721</v>
      </c>
      <c r="K24" s="2591">
        <f>Адміністративні_1ст!K24</f>
        <v>1.2603769319567129</v>
      </c>
      <c r="L24" s="2591">
        <f>Адміністративні_1ст!L24</f>
        <v>19.70571481241538</v>
      </c>
      <c r="M24" s="2591">
        <f>Адміністративні_1ст!M24</f>
        <v>0</v>
      </c>
      <c r="N24" s="2591">
        <f>Адміністративні_1ст!N24</f>
        <v>0</v>
      </c>
      <c r="O24" s="901"/>
      <c r="P24" s="432"/>
      <c r="Q24" s="423"/>
      <c r="S24" s="399">
        <f t="shared" si="5"/>
        <v>-1.7763568394002505E-14</v>
      </c>
      <c r="T24" s="399">
        <f t="shared" si="6"/>
        <v>0</v>
      </c>
      <c r="U24" s="391"/>
      <c r="V24" s="399">
        <f>Адміністративні_1ст!F24</f>
        <v>150.19862834556801</v>
      </c>
      <c r="W24" s="399">
        <f t="shared" si="4"/>
        <v>0</v>
      </c>
    </row>
    <row r="25" spans="1:23" ht="18" customHeight="1" x14ac:dyDescent="0.35">
      <c r="A25" s="1609"/>
      <c r="B25" s="412" t="str">
        <f>Адміністративні_1ст!B25</f>
        <v>ремонт</v>
      </c>
      <c r="C25" s="461">
        <f>Адміністративні_1ст!C25</f>
        <v>162.85691</v>
      </c>
      <c r="D25" s="461">
        <f>Адміністративні_1ст!D25</f>
        <v>23.346</v>
      </c>
      <c r="E25" s="461">
        <f>Адміністративні_1ст!E25</f>
        <v>62.5</v>
      </c>
      <c r="F25" s="461">
        <f>Адміністративні_1ст!F25</f>
        <v>0</v>
      </c>
      <c r="G25" s="408">
        <f>Адміністративні_1ст!G25</f>
        <v>0</v>
      </c>
      <c r="H25" s="409">
        <f>Адміністративні_1ст!H25</f>
        <v>0</v>
      </c>
      <c r="I25" s="409">
        <f>Адміністративні_1ст!I25</f>
        <v>0</v>
      </c>
      <c r="J25" s="409">
        <f>Адміністративні_1ст!J25</f>
        <v>0</v>
      </c>
      <c r="K25" s="409">
        <f>Адміністративні_1ст!K25</f>
        <v>0</v>
      </c>
      <c r="L25" s="409">
        <f>Адміністративні_1ст!L25</f>
        <v>0</v>
      </c>
      <c r="M25" s="409">
        <f>Адміністративні_1ст!M25</f>
        <v>0</v>
      </c>
      <c r="N25" s="409">
        <f>Адміністративні_1ст!N25</f>
        <v>0</v>
      </c>
      <c r="O25" s="430" t="s">
        <v>1577</v>
      </c>
      <c r="P25" s="430"/>
      <c r="Q25" s="423"/>
      <c r="S25" s="399">
        <f t="shared" si="5"/>
        <v>0</v>
      </c>
      <c r="T25" s="399">
        <f t="shared" si="6"/>
        <v>0</v>
      </c>
      <c r="V25" s="399">
        <f>Адміністративні_1ст!F25</f>
        <v>0</v>
      </c>
      <c r="W25" s="399">
        <f t="shared" si="4"/>
        <v>0</v>
      </c>
    </row>
    <row r="26" spans="1:23" ht="18" customHeight="1" x14ac:dyDescent="0.35">
      <c r="A26" s="1609"/>
      <c r="B26" s="412" t="str">
        <f>Адміністративні_1ст!B26</f>
        <v>ремонтні роботи (авто)</v>
      </c>
      <c r="C26" s="461">
        <f>Адміністративні_1ст!C26</f>
        <v>8.5</v>
      </c>
      <c r="D26" s="461">
        <f>Адміністративні_1ст!D26</f>
        <v>0</v>
      </c>
      <c r="E26" s="461">
        <f>Адміністративні_1ст!E26</f>
        <v>0</v>
      </c>
      <c r="F26" s="461">
        <f>Адміністративні_1ст!F26</f>
        <v>0</v>
      </c>
      <c r="G26" s="408">
        <f>Адміністративні_1ст!G26</f>
        <v>0</v>
      </c>
      <c r="H26" s="409">
        <f>Адміністративні_1ст!H26</f>
        <v>0</v>
      </c>
      <c r="I26" s="409">
        <f>Адміністративні_1ст!I26</f>
        <v>0</v>
      </c>
      <c r="J26" s="409">
        <f>Адміністративні_1ст!J26</f>
        <v>0</v>
      </c>
      <c r="K26" s="409">
        <f>Адміністративні_1ст!K26</f>
        <v>0</v>
      </c>
      <c r="L26" s="409">
        <f>Адміністративні_1ст!L26</f>
        <v>0</v>
      </c>
      <c r="M26" s="409">
        <f>Адміністративні_1ст!M26</f>
        <v>0</v>
      </c>
      <c r="N26" s="409">
        <f>Адміністративні_1ст!N26</f>
        <v>0</v>
      </c>
      <c r="O26" s="521" t="s">
        <v>966</v>
      </c>
      <c r="P26" s="430"/>
      <c r="Q26" s="423"/>
      <c r="S26" s="399">
        <f t="shared" si="5"/>
        <v>0</v>
      </c>
      <c r="T26" s="399">
        <f t="shared" si="6"/>
        <v>0</v>
      </c>
      <c r="V26" s="399">
        <f>Адміністративні_1ст!F26</f>
        <v>0</v>
      </c>
      <c r="W26" s="399">
        <f t="shared" si="4"/>
        <v>0</v>
      </c>
    </row>
    <row r="27" spans="1:23" ht="36" x14ac:dyDescent="0.35">
      <c r="A27" s="1609"/>
      <c r="B27" s="412" t="str">
        <f>Адміністративні_1ст!B27</f>
        <v>централізоване водопостачання, централізоване водовідведення</v>
      </c>
      <c r="C27" s="461">
        <f>Адміністративні_1ст!C27</f>
        <v>1.37754</v>
      </c>
      <c r="D27" s="461">
        <f>Адміністративні_1ст!D27</f>
        <v>1.7771199999999998</v>
      </c>
      <c r="E27" s="461">
        <f>Адміністративні_1ст!E27</f>
        <v>1.3228425000000001</v>
      </c>
      <c r="F27" s="407">
        <f>Адміністративні_1ст!F27</f>
        <v>1.7405535000000001</v>
      </c>
      <c r="G27" s="408">
        <f>Адміністративні_1ст!G27</f>
        <v>1.1566257087304617</v>
      </c>
      <c r="H27" s="409">
        <f>Адміністративні_1ст!H27</f>
        <v>0.34096549015565664</v>
      </c>
      <c r="I27" s="409">
        <f>Адміністративні_1ст!I27</f>
        <v>9.4267194069818663E-2</v>
      </c>
      <c r="J27" s="409">
        <f>Адміністративні_1ст!J27</f>
        <v>0.24669829608583799</v>
      </c>
      <c r="K27" s="409">
        <f>Адміністративні_1ст!K27</f>
        <v>1.4605682517880669E-2</v>
      </c>
      <c r="L27" s="409">
        <f>Адміністративні_1ст!L27</f>
        <v>0.22835661859600134</v>
      </c>
      <c r="M27" s="409">
        <f>Адміністративні_1ст!M27</f>
        <v>0</v>
      </c>
      <c r="N27" s="409">
        <f>Адміністративні_1ст!N27</f>
        <v>0</v>
      </c>
      <c r="O27" s="476" t="s">
        <v>1877</v>
      </c>
      <c r="P27" s="901"/>
      <c r="Q27" s="432"/>
      <c r="S27" s="399">
        <f t="shared" si="5"/>
        <v>-2.2204460492503131E-16</v>
      </c>
      <c r="T27" s="399">
        <f t="shared" si="6"/>
        <v>0</v>
      </c>
      <c r="V27" s="399">
        <f>Адміністративні_1ст!F27</f>
        <v>1.7405535000000001</v>
      </c>
      <c r="W27" s="399">
        <f t="shared" si="4"/>
        <v>0</v>
      </c>
    </row>
    <row r="28" spans="1:23" ht="18" x14ac:dyDescent="0.35">
      <c r="A28" s="1609"/>
      <c r="B28" s="412" t="str">
        <f>Адміністративні_1ст!B28</f>
        <v>освітлення та робота оргтехніки</v>
      </c>
      <c r="C28" s="461">
        <f>Адміністративні_1ст!C28</f>
        <v>35.107579999999999</v>
      </c>
      <c r="D28" s="461">
        <f>Адміністративні_1ст!D28</f>
        <v>41.579000000000001</v>
      </c>
      <c r="E28" s="461">
        <f>Адміністративні_1ст!E28</f>
        <v>32.497890252458667</v>
      </c>
      <c r="F28" s="409">
        <f>Адміністративні_1ст!F28</f>
        <v>101.15507484556801</v>
      </c>
      <c r="G28" s="408">
        <f>Адміністративні_1ст!G28</f>
        <v>67.219169152190943</v>
      </c>
      <c r="H28" s="409">
        <f>Адміністративні_1ст!H28</f>
        <v>19.815759570993496</v>
      </c>
      <c r="I28" s="409">
        <f>Адміністративні_1ст!I28</f>
        <v>5.4784900731946431</v>
      </c>
      <c r="J28" s="409">
        <f>Адміністративні_1ст!J28</f>
        <v>14.337269497798854</v>
      </c>
      <c r="K28" s="409">
        <f>Адміністративні_1ст!K28</f>
        <v>0.84883280420097584</v>
      </c>
      <c r="L28" s="409">
        <f>Адміністративні_1ст!L28</f>
        <v>13.271313318182603</v>
      </c>
      <c r="M28" s="409">
        <f>Адміністративні_1ст!M28</f>
        <v>0</v>
      </c>
      <c r="N28" s="409">
        <f>Адміністративні_1ст!N28</f>
        <v>0</v>
      </c>
      <c r="O28" s="529" t="s">
        <v>1701</v>
      </c>
      <c r="S28" s="399">
        <f t="shared" ref="S28:S37" si="7">F28-G28-H28-K28-L28-M28-N28</f>
        <v>-8.8817841970012523E-15</v>
      </c>
      <c r="T28" s="399">
        <f t="shared" ref="T28:T37" si="8">H28-I28-J28</f>
        <v>0</v>
      </c>
      <c r="V28" s="399">
        <f>Адміністративні_1ст!F28</f>
        <v>101.15507484556801</v>
      </c>
      <c r="W28" s="399">
        <f t="shared" si="4"/>
        <v>0</v>
      </c>
    </row>
    <row r="29" spans="1:23" ht="18" x14ac:dyDescent="0.35">
      <c r="A29" s="1609"/>
      <c r="B29" s="412" t="str">
        <f>Адміністративні_1ст!B29</f>
        <v>опалення</v>
      </c>
      <c r="C29" s="461">
        <f>Адміністративні_1ст!C29</f>
        <v>433.39176000000003</v>
      </c>
      <c r="D29" s="461">
        <f>Адміністративні_1ст!D29</f>
        <v>697.87593000000004</v>
      </c>
      <c r="E29" s="461">
        <f>Адміністративні_1ст!E29</f>
        <v>0</v>
      </c>
      <c r="F29" s="409">
        <f>Адміністративні_1ст!F29</f>
        <v>0</v>
      </c>
      <c r="G29" s="408">
        <f>Адміністративні_1ст!G29</f>
        <v>0</v>
      </c>
      <c r="H29" s="409">
        <f>Адміністративні_1ст!H29</f>
        <v>0</v>
      </c>
      <c r="I29" s="409">
        <f>Адміністративні_1ст!I29</f>
        <v>0</v>
      </c>
      <c r="J29" s="409">
        <f>Адміністративні_1ст!J29</f>
        <v>0</v>
      </c>
      <c r="K29" s="409">
        <f>Адміністративні_1ст!K29</f>
        <v>0</v>
      </c>
      <c r="L29" s="409">
        <f>Адміністративні_1ст!L29</f>
        <v>0</v>
      </c>
      <c r="M29" s="409">
        <f>Адміністративні_1ст!M29</f>
        <v>0</v>
      </c>
      <c r="N29" s="409">
        <f>Адміністративні_1ст!N29</f>
        <v>0</v>
      </c>
      <c r="O29" s="529" t="s">
        <v>1573</v>
      </c>
      <c r="S29" s="399">
        <f t="shared" si="7"/>
        <v>0</v>
      </c>
      <c r="T29" s="399">
        <f t="shared" si="8"/>
        <v>0</v>
      </c>
      <c r="V29" s="399">
        <f>Адміністративні_1ст!F29</f>
        <v>0</v>
      </c>
      <c r="W29" s="399">
        <f t="shared" si="4"/>
        <v>0</v>
      </c>
    </row>
    <row r="30" spans="1:23" ht="18" x14ac:dyDescent="0.35">
      <c r="A30" s="1609"/>
      <c r="B30" s="412" t="str">
        <f>Адміністративні_1ст!B30</f>
        <v>вивезення сміття</v>
      </c>
      <c r="C30" s="461">
        <f>Адміністративні_1ст!C30</f>
        <v>0</v>
      </c>
      <c r="D30" s="461">
        <f>Адміністративні_1ст!D30</f>
        <v>0</v>
      </c>
      <c r="E30" s="461">
        <f>Адміністративні_1ст!E30</f>
        <v>0</v>
      </c>
      <c r="F30" s="409">
        <f>Адміністративні_1ст!F30</f>
        <v>0</v>
      </c>
      <c r="G30" s="408">
        <f>Адміністративні_1ст!G30</f>
        <v>0</v>
      </c>
      <c r="H30" s="409">
        <f>Адміністративні_1ст!H30</f>
        <v>0</v>
      </c>
      <c r="I30" s="409">
        <f>Адміністративні_1ст!I30</f>
        <v>0</v>
      </c>
      <c r="J30" s="409">
        <f>Адміністративні_1ст!J30</f>
        <v>0</v>
      </c>
      <c r="K30" s="409">
        <f>Адміністративні_1ст!K30</f>
        <v>0</v>
      </c>
      <c r="L30" s="409">
        <f>Адміністративні_1ст!L30</f>
        <v>0</v>
      </c>
      <c r="M30" s="409">
        <f>Адміністративні_1ст!M30</f>
        <v>0</v>
      </c>
      <c r="N30" s="409">
        <f>Адміністративні_1ст!N30</f>
        <v>0</v>
      </c>
      <c r="O30" s="529" t="s">
        <v>1407</v>
      </c>
      <c r="S30" s="399">
        <f t="shared" si="7"/>
        <v>0</v>
      </c>
      <c r="T30" s="399">
        <f t="shared" si="8"/>
        <v>0</v>
      </c>
      <c r="V30" s="399">
        <f>Адміністративні_1ст!F30</f>
        <v>0</v>
      </c>
      <c r="W30" s="399">
        <f t="shared" si="4"/>
        <v>0</v>
      </c>
    </row>
    <row r="31" spans="1:23" ht="18" x14ac:dyDescent="0.35">
      <c r="A31" s="1609"/>
      <c r="B31" s="412" t="str">
        <f>Адміністративні_1ст!B31</f>
        <v>технічне обслуговування</v>
      </c>
      <c r="C31" s="461">
        <f>Адміністративні_1ст!C31</f>
        <v>0.39400000000000002</v>
      </c>
      <c r="D31" s="461">
        <f>Адміністративні_1ст!D31</f>
        <v>0.29549999999999998</v>
      </c>
      <c r="E31" s="461">
        <f>Адміністративні_1ст!E31</f>
        <v>1.6895</v>
      </c>
      <c r="F31" s="409">
        <f>Адміністративні_1ст!F31</f>
        <v>0.2</v>
      </c>
      <c r="G31" s="408">
        <f>Адміністративні_1ст!G31</f>
        <v>0.132903206793754</v>
      </c>
      <c r="H31" s="409">
        <f>Адміністративні_1ст!H31</f>
        <v>3.9178972683764864E-2</v>
      </c>
      <c r="I31" s="409">
        <f>Адміністративні_1ст!I31</f>
        <v>1.0831864009904742E-2</v>
      </c>
      <c r="J31" s="409">
        <f>Адміністративні_1ст!J31</f>
        <v>2.8347108673860123E-2</v>
      </c>
      <c r="K31" s="409">
        <f>Адміністративні_1ст!K31</f>
        <v>1.6782802157912031E-3</v>
      </c>
      <c r="L31" s="409">
        <f>Адміністративні_1ст!L31</f>
        <v>2.6239540306689953E-2</v>
      </c>
      <c r="M31" s="409">
        <f>Адміністративні_1ст!M31</f>
        <v>0</v>
      </c>
      <c r="N31" s="409">
        <f>Адміністративні_1ст!N31</f>
        <v>0</v>
      </c>
      <c r="O31" s="529"/>
      <c r="S31" s="399">
        <f t="shared" si="7"/>
        <v>-1.0408340855860843E-17</v>
      </c>
      <c r="T31" s="399">
        <f t="shared" si="8"/>
        <v>0</v>
      </c>
      <c r="V31" s="399">
        <f>Адміністративні_1ст!F31</f>
        <v>0.2</v>
      </c>
      <c r="W31" s="399">
        <f t="shared" si="4"/>
        <v>0</v>
      </c>
    </row>
    <row r="32" spans="1:23" ht="18" x14ac:dyDescent="0.35">
      <c r="A32" s="1609"/>
      <c r="B32" s="412" t="str">
        <f>Адміністративні_1ст!B32</f>
        <v>техобслуговування транспортних засобів</v>
      </c>
      <c r="C32" s="461">
        <f>Адміністративні_1ст!C32</f>
        <v>6.62</v>
      </c>
      <c r="D32" s="461">
        <f>Адміністративні_1ст!D32</f>
        <v>5.0376300000000001</v>
      </c>
      <c r="E32" s="461">
        <f>Адміністративні_1ст!E32</f>
        <v>33</v>
      </c>
      <c r="F32" s="409">
        <f>Адміністративні_1ст!F32</f>
        <v>46</v>
      </c>
      <c r="G32" s="408">
        <f>Адміністративні_1ст!G32</f>
        <v>30.567737562563419</v>
      </c>
      <c r="H32" s="409">
        <f>Адміністративні_1ст!H32</f>
        <v>9.0111637172659176</v>
      </c>
      <c r="I32" s="409">
        <f>Адміністративні_1ст!I32</f>
        <v>2.4913287222780904</v>
      </c>
      <c r="J32" s="409">
        <f>Адміністративні_1ст!J32</f>
        <v>6.5198349949878285</v>
      </c>
      <c r="K32" s="409">
        <f>Адміністративні_1ст!K32</f>
        <v>0.38600444963197666</v>
      </c>
      <c r="L32" s="409">
        <f>Адміністративні_1ст!L32</f>
        <v>6.0350942705386892</v>
      </c>
      <c r="M32" s="409">
        <f>Адміністративні_1ст!M32</f>
        <v>0</v>
      </c>
      <c r="N32" s="409">
        <f>Адміністративні_1ст!N32</f>
        <v>0</v>
      </c>
      <c r="O32" s="529"/>
      <c r="S32" s="399">
        <f t="shared" si="7"/>
        <v>-2.6645352591003757E-15</v>
      </c>
      <c r="T32" s="399">
        <f t="shared" si="8"/>
        <v>0</v>
      </c>
      <c r="V32" s="399">
        <f>Адміністративні_1ст!F32</f>
        <v>46</v>
      </c>
      <c r="W32" s="399">
        <f t="shared" si="4"/>
        <v>0</v>
      </c>
    </row>
    <row r="33" spans="1:24" ht="18" x14ac:dyDescent="0.35">
      <c r="A33" s="1609"/>
      <c r="B33" s="412" t="str">
        <f>Адміністративні_1ст!B33</f>
        <v>технічний контроль транспортних засобів</v>
      </c>
      <c r="C33" s="461">
        <f>Адміністративні_1ст!C33</f>
        <v>0</v>
      </c>
      <c r="D33" s="461">
        <f>Адміністративні_1ст!D33</f>
        <v>0</v>
      </c>
      <c r="E33" s="461">
        <f>Адміністративні_1ст!E33</f>
        <v>1.3</v>
      </c>
      <c r="F33" s="409">
        <f>Адміністративні_1ст!F33</f>
        <v>0</v>
      </c>
      <c r="G33" s="408">
        <f>Адміністративні_1ст!G33</f>
        <v>0</v>
      </c>
      <c r="H33" s="409">
        <f>Адміністративні_1ст!H33</f>
        <v>0</v>
      </c>
      <c r="I33" s="409">
        <f>Адміністративні_1ст!I33</f>
        <v>0</v>
      </c>
      <c r="J33" s="409">
        <f>Адміністративні_1ст!J33</f>
        <v>0</v>
      </c>
      <c r="K33" s="409">
        <f>Адміністративні_1ст!K33</f>
        <v>0</v>
      </c>
      <c r="L33" s="409">
        <f>Адміністративні_1ст!L33</f>
        <v>0</v>
      </c>
      <c r="M33" s="409">
        <f>Адміністративні_1ст!M33</f>
        <v>0</v>
      </c>
      <c r="N33" s="409">
        <f>Адміністративні_1ст!N33</f>
        <v>0</v>
      </c>
      <c r="O33" s="529"/>
      <c r="S33" s="399">
        <f t="shared" si="7"/>
        <v>0</v>
      </c>
      <c r="T33" s="399">
        <f t="shared" si="8"/>
        <v>0</v>
      </c>
      <c r="V33" s="399">
        <f>Адміністративні_1ст!F33</f>
        <v>0</v>
      </c>
      <c r="W33" s="399">
        <f t="shared" si="4"/>
        <v>0</v>
      </c>
    </row>
    <row r="34" spans="1:24" ht="18" x14ac:dyDescent="0.35">
      <c r="A34" s="1609"/>
      <c r="B34" s="412" t="str">
        <f>Адміністративні_1ст!B34</f>
        <v>страхування</v>
      </c>
      <c r="C34" s="461">
        <f>Адміністративні_1ст!C34</f>
        <v>2.2343000000000002</v>
      </c>
      <c r="D34" s="461">
        <f>Адміністративні_1ст!D34</f>
        <v>4.02799</v>
      </c>
      <c r="E34" s="461">
        <f>Адміністративні_1ст!E34</f>
        <v>0.76900000000000002</v>
      </c>
      <c r="F34" s="409">
        <f>Адміністративні_1ст!F34</f>
        <v>1.103</v>
      </c>
      <c r="G34" s="408">
        <f>Адміністративні_1ст!G34</f>
        <v>0.73296118546755329</v>
      </c>
      <c r="H34" s="409">
        <f>Адміністративні_1ст!H34</f>
        <v>0.2160720343509632</v>
      </c>
      <c r="I34" s="409">
        <f>Адміністративні_1ст!I34</f>
        <v>5.9737730014624651E-2</v>
      </c>
      <c r="J34" s="409">
        <f>Адміністративні_1ст!J34</f>
        <v>0.15633430433633858</v>
      </c>
      <c r="K34" s="409">
        <f>Адміністративні_1ст!K34</f>
        <v>9.2557153900884852E-3</v>
      </c>
      <c r="L34" s="409">
        <f>Адміністративні_1ст!L34</f>
        <v>0.14471106479139509</v>
      </c>
      <c r="M34" s="409">
        <f>Адміністративні_1ст!M34</f>
        <v>0</v>
      </c>
      <c r="N34" s="409">
        <f>Адміністративні_1ст!N34</f>
        <v>0</v>
      </c>
      <c r="O34" s="529"/>
      <c r="S34" s="399">
        <f t="shared" si="7"/>
        <v>-8.3266726846886741E-17</v>
      </c>
      <c r="T34" s="399">
        <f t="shared" si="8"/>
        <v>0</v>
      </c>
      <c r="V34" s="399">
        <f>Адміністративні_1ст!F34</f>
        <v>1.103</v>
      </c>
      <c r="W34" s="399">
        <f t="shared" si="4"/>
        <v>0</v>
      </c>
    </row>
    <row r="35" spans="1:24" ht="18" x14ac:dyDescent="0.35">
      <c r="A35" s="1609"/>
      <c r="B35" s="412" t="str">
        <f>Адміністративні_1ст!B35</f>
        <v>приймання відходів</v>
      </c>
      <c r="C35" s="461">
        <f>Адміністративні_1ст!C35</f>
        <v>0</v>
      </c>
      <c r="D35" s="461">
        <f>Адміністративні_1ст!D35</f>
        <v>0</v>
      </c>
      <c r="E35" s="461">
        <f>Адміністративні_1ст!E35</f>
        <v>0</v>
      </c>
      <c r="F35" s="409">
        <f>Адміністративні_1ст!F35</f>
        <v>0</v>
      </c>
      <c r="G35" s="408">
        <f>Адміністративні_1ст!G35</f>
        <v>0</v>
      </c>
      <c r="H35" s="409">
        <f>Адміністративні_1ст!H35</f>
        <v>0</v>
      </c>
      <c r="I35" s="409">
        <f>Адміністративні_1ст!I35</f>
        <v>0</v>
      </c>
      <c r="J35" s="409">
        <f>Адміністративні_1ст!J35</f>
        <v>0</v>
      </c>
      <c r="K35" s="409">
        <f>Адміністративні_1ст!K35</f>
        <v>0</v>
      </c>
      <c r="L35" s="409">
        <f>Адміністративні_1ст!L35</f>
        <v>0</v>
      </c>
      <c r="M35" s="409">
        <f>Адміністративні_1ст!M35</f>
        <v>0</v>
      </c>
      <c r="N35" s="409">
        <f>Адміністративні_1ст!N35</f>
        <v>0</v>
      </c>
      <c r="O35" s="529" t="s">
        <v>971</v>
      </c>
      <c r="S35" s="399">
        <f t="shared" si="7"/>
        <v>0</v>
      </c>
      <c r="T35" s="399">
        <f t="shared" si="8"/>
        <v>0</v>
      </c>
      <c r="V35" s="399">
        <f>Адміністративні_1ст!F35</f>
        <v>0</v>
      </c>
      <c r="W35" s="399">
        <f t="shared" si="4"/>
        <v>0</v>
      </c>
    </row>
    <row r="36" spans="1:24" s="411" customFormat="1" ht="34.799999999999997" x14ac:dyDescent="0.3">
      <c r="A36" s="1609"/>
      <c r="B36" s="410" t="str">
        <f>Адміністративні_1ст!B36</f>
        <v>Амортизація основних засобів загальновиробничого призначення</v>
      </c>
      <c r="C36" s="2589">
        <f>Адміністративні_1ст!C36</f>
        <v>92.317350000000005</v>
      </c>
      <c r="D36" s="2589">
        <f>Адміністративні_1ст!D36</f>
        <v>104.29149</v>
      </c>
      <c r="E36" s="2589">
        <f>Адміністративні_1ст!E36</f>
        <v>92.575919999999982</v>
      </c>
      <c r="F36" s="2589">
        <f>Адміністративні_1ст!F36</f>
        <v>90.049830000000014</v>
      </c>
      <c r="G36" s="2590">
        <f>Адміністративні_1ст!G36</f>
        <v>59.839555891161972</v>
      </c>
      <c r="H36" s="2591">
        <f>Адміністративні_1ст!H36</f>
        <v>17.64029914873835</v>
      </c>
      <c r="I36" s="2591">
        <f>Адміністративні_1ст!I36</f>
        <v>4.8770375633752021</v>
      </c>
      <c r="J36" s="2591">
        <f>Адміністративні_1ст!J36</f>
        <v>12.76326158536315</v>
      </c>
      <c r="K36" s="2591">
        <f>Адміністративні_1ст!K36</f>
        <v>0.75564424062180591</v>
      </c>
      <c r="L36" s="2591">
        <f>Адміністративні_1ст!L36</f>
        <v>11.814330719477892</v>
      </c>
      <c r="M36" s="2591">
        <f>Адміністративні_1ст!M36</f>
        <v>0</v>
      </c>
      <c r="N36" s="2591">
        <f>Адміністративні_1ст!N36</f>
        <v>0</v>
      </c>
      <c r="O36" s="528" t="s">
        <v>1727</v>
      </c>
      <c r="P36" s="529"/>
      <c r="Q36" s="529"/>
      <c r="R36" s="529"/>
      <c r="S36" s="399">
        <f t="shared" si="7"/>
        <v>-5.3290705182007514E-15</v>
      </c>
      <c r="T36" s="399">
        <f t="shared" si="8"/>
        <v>0</v>
      </c>
      <c r="U36" s="391"/>
      <c r="V36" s="399">
        <f>Адміністративні_1ст!F36</f>
        <v>90.049830000000014</v>
      </c>
      <c r="W36" s="399">
        <f t="shared" si="4"/>
        <v>0</v>
      </c>
    </row>
    <row r="37" spans="1:24" s="411" customFormat="1" ht="34.799999999999997" x14ac:dyDescent="0.3">
      <c r="A37" s="1609"/>
      <c r="B37" s="410" t="str">
        <f>Адміністративні_1ст!B38</f>
        <v>Амортизація інших нематеріальних активів загальновиробничого призначення</v>
      </c>
      <c r="C37" s="2589">
        <f>Адміністративні_1ст!C38</f>
        <v>0.1915</v>
      </c>
      <c r="D37" s="2589">
        <f>Адміністративні_1ст!D38</f>
        <v>34.230600000000003</v>
      </c>
      <c r="E37" s="2589">
        <f>Адміністративні_1ст!E38</f>
        <v>2.5</v>
      </c>
      <c r="F37" s="2589">
        <f>Адміністративні_1ст!F38</f>
        <v>0</v>
      </c>
      <c r="G37" s="2592">
        <f>Адміністративні_1ст!G38</f>
        <v>0</v>
      </c>
      <c r="H37" s="2399">
        <f>Адміністративні_1ст!H38</f>
        <v>0</v>
      </c>
      <c r="I37" s="2399">
        <f>Адміністративні_1ст!I38</f>
        <v>0</v>
      </c>
      <c r="J37" s="2399">
        <f>Адміністративні_1ст!J38</f>
        <v>0</v>
      </c>
      <c r="K37" s="2399">
        <f>Адміністративні_1ст!K38</f>
        <v>0</v>
      </c>
      <c r="L37" s="2399">
        <f>Адміністративні_1ст!L38</f>
        <v>0</v>
      </c>
      <c r="M37" s="2399">
        <f>Адміністративні_1ст!M38</f>
        <v>0</v>
      </c>
      <c r="N37" s="2399">
        <f>Адміністративні_1ст!N38</f>
        <v>0</v>
      </c>
      <c r="O37" s="403"/>
      <c r="P37" s="5120"/>
      <c r="Q37" s="5120"/>
      <c r="R37" s="5120"/>
      <c r="S37" s="399">
        <f t="shared" si="7"/>
        <v>0</v>
      </c>
      <c r="T37" s="399">
        <f t="shared" si="8"/>
        <v>0</v>
      </c>
      <c r="U37" s="391"/>
      <c r="V37" s="399">
        <f>Адміністративні_1ст!F38</f>
        <v>0</v>
      </c>
      <c r="W37" s="399">
        <f t="shared" si="4"/>
        <v>0</v>
      </c>
    </row>
    <row r="38" spans="1:24" ht="17.399999999999999" x14ac:dyDescent="0.3">
      <c r="A38" s="1609"/>
      <c r="B38" s="410" t="str">
        <f>Адміністративні_1ст!B39</f>
        <v>Інші витрати, у т.ч.:</v>
      </c>
      <c r="C38" s="413">
        <f>Адміністративні_1ст!C39</f>
        <v>800.37283000000002</v>
      </c>
      <c r="D38" s="413">
        <f>Адміністративні_1ст!D39</f>
        <v>-303.21419999999995</v>
      </c>
      <c r="E38" s="413">
        <f>Адміністративні_1ст!E39</f>
        <v>345.01443182347822</v>
      </c>
      <c r="F38" s="413">
        <f>Адміністративні_1ст!F39</f>
        <v>252.41532658161842</v>
      </c>
      <c r="G38" s="1294">
        <f>Адміністративні_1ст!G39</f>
        <v>167.73403173294892</v>
      </c>
      <c r="H38" s="405">
        <f>Адміністративні_1ст!H39</f>
        <v>49.446865925524072</v>
      </c>
      <c r="I38" s="405">
        <f>Адміністративні_1ст!I39</f>
        <v>13.670642457738921</v>
      </c>
      <c r="J38" s="405">
        <f>Адміністративні_1ст!J39</f>
        <v>35.776223467785151</v>
      </c>
      <c r="K38" s="405">
        <f>Адміністративні_1ст!K39</f>
        <v>2.1181182438220278</v>
      </c>
      <c r="L38" s="405">
        <f>Адміністративні_1ст!L39</f>
        <v>33.116310679323419</v>
      </c>
      <c r="M38" s="405">
        <f>Адміністративні_1ст!M39</f>
        <v>0</v>
      </c>
      <c r="N38" s="405">
        <f>Адміністративні_1ст!N39</f>
        <v>0</v>
      </c>
      <c r="O38" s="403"/>
      <c r="P38" s="423"/>
      <c r="Q38" s="423"/>
      <c r="R38" s="414"/>
      <c r="S38" s="399">
        <f>F38-G38-H38-K38-L38-M38-N38</f>
        <v>-2.1316282072803006E-14</v>
      </c>
      <c r="T38" s="399">
        <f>H38-I38-J38</f>
        <v>0</v>
      </c>
      <c r="U38" s="414"/>
      <c r="V38" s="399">
        <f>Адміністративні_1ст!F39</f>
        <v>252.41532658161842</v>
      </c>
      <c r="W38" s="399">
        <f t="shared" si="4"/>
        <v>0</v>
      </c>
      <c r="X38" s="414"/>
    </row>
    <row r="39" spans="1:24" ht="18" x14ac:dyDescent="0.35">
      <c r="A39" s="1609"/>
      <c r="B39" s="415" t="str">
        <f>Адміністративні_1ст!B40</f>
        <v>медогляд</v>
      </c>
      <c r="C39" s="407">
        <f>Адміністративні_1ст!C40</f>
        <v>2.6548400000000001</v>
      </c>
      <c r="D39" s="407">
        <f>Адміністративні_1ст!D40</f>
        <v>0.74463000000000001</v>
      </c>
      <c r="E39" s="407">
        <f>Адміністративні_1ст!E40</f>
        <v>5.0408999999999997</v>
      </c>
      <c r="F39" s="407">
        <f>Адміністративні_1ст!F40</f>
        <v>4.3256199999999998</v>
      </c>
      <c r="G39" s="408">
        <f>Адміністративні_1ст!G40</f>
        <v>2.874443846855991</v>
      </c>
      <c r="H39" s="409">
        <f>Адміністративні_1ст!H40</f>
        <v>0.84736673910173477</v>
      </c>
      <c r="I39" s="409">
        <f>Адміністративні_1ст!I40</f>
        <v>0.23427263799262074</v>
      </c>
      <c r="J39" s="409">
        <f>Адміністративні_1ст!J40</f>
        <v>0.61309410110911411</v>
      </c>
      <c r="K39" s="409">
        <f>Адміністративні_1ст!K40</f>
        <v>3.6298012335153715E-2</v>
      </c>
      <c r="L39" s="409">
        <f>Адміністративні_1ст!L40</f>
        <v>0.56751140170712089</v>
      </c>
      <c r="M39" s="409">
        <f>Адміністративні_1ст!M40</f>
        <v>0</v>
      </c>
      <c r="N39" s="409">
        <f>Адміністративні_1ст!N40</f>
        <v>0</v>
      </c>
      <c r="O39" s="529" t="s">
        <v>1409</v>
      </c>
      <c r="P39" s="423"/>
      <c r="Q39" s="423"/>
      <c r="R39" s="414"/>
      <c r="S39" s="399">
        <f t="shared" ref="S39:S50" si="9">F39-G39-H39-K39-L39-M39-N39</f>
        <v>-5.5511151231257827E-16</v>
      </c>
      <c r="T39" s="399">
        <f t="shared" ref="T39:T50" si="10">H39-I39-J39</f>
        <v>0</v>
      </c>
      <c r="U39" s="414"/>
      <c r="V39" s="399">
        <f>Адміністративні_1ст!F40</f>
        <v>4.3256199999999998</v>
      </c>
      <c r="W39" s="399">
        <f t="shared" si="4"/>
        <v>0</v>
      </c>
      <c r="X39" s="414"/>
    </row>
    <row r="40" spans="1:24" ht="18.75" customHeight="1" x14ac:dyDescent="0.35">
      <c r="A40" s="1609"/>
      <c r="B40" s="415" t="str">
        <f>Адміністративні_1ст!B41</f>
        <v>підготовка та перепідготовка кадрів</v>
      </c>
      <c r="C40" s="407">
        <f>Адміністративні_1ст!C41</f>
        <v>25.142569999999999</v>
      </c>
      <c r="D40" s="407">
        <f>Адміністративні_1ст!D41</f>
        <v>1.83</v>
      </c>
      <c r="E40" s="407">
        <f>Адміністративні_1ст!E41</f>
        <v>3.81</v>
      </c>
      <c r="F40" s="407">
        <f>Адміністративні_1ст!F41</f>
        <v>22.08</v>
      </c>
      <c r="G40" s="408">
        <f>Адміністративні_1ст!G41</f>
        <v>14.67251403003044</v>
      </c>
      <c r="H40" s="409">
        <f>Адміністративні_1ст!H41</f>
        <v>4.3253585842876401</v>
      </c>
      <c r="I40" s="409">
        <f>Адміністративні_1ст!I41</f>
        <v>1.1958377866934833</v>
      </c>
      <c r="J40" s="409">
        <f>Адміністративні_1ст!J41</f>
        <v>3.1295207975941572</v>
      </c>
      <c r="K40" s="409">
        <f>Адміністративні_1ст!K41</f>
        <v>0.18528213582334879</v>
      </c>
      <c r="L40" s="409">
        <f>Адміністративні_1ст!L41</f>
        <v>2.8968452498585706</v>
      </c>
      <c r="M40" s="409">
        <f>Адміністративні_1ст!M41</f>
        <v>0</v>
      </c>
      <c r="N40" s="409">
        <f>Адміністративні_1ст!N41</f>
        <v>0</v>
      </c>
      <c r="O40" s="529" t="s">
        <v>1409</v>
      </c>
      <c r="S40" s="399">
        <f t="shared" si="9"/>
        <v>-1.3322676295501878E-15</v>
      </c>
      <c r="T40" s="399">
        <f t="shared" si="10"/>
        <v>0</v>
      </c>
      <c r="V40" s="399">
        <f>Адміністративні_1ст!F41</f>
        <v>22.08</v>
      </c>
      <c r="W40" s="399">
        <f t="shared" si="4"/>
        <v>0</v>
      </c>
    </row>
    <row r="41" spans="1:24" ht="18.75" customHeight="1" x14ac:dyDescent="0.35">
      <c r="A41" s="1609"/>
      <c r="B41" s="415" t="str">
        <f>Адміністративні_1ст!B42</f>
        <v>утилізація відходів, устаткування, обладнання</v>
      </c>
      <c r="C41" s="407">
        <f>Адміністративні_1ст!C42</f>
        <v>3.5000000000000003E-2</v>
      </c>
      <c r="D41" s="407">
        <f>Адміністративні_1ст!D42</f>
        <v>0</v>
      </c>
      <c r="E41" s="407">
        <f>Адміністративні_1ст!E42</f>
        <v>0.1585</v>
      </c>
      <c r="F41" s="407">
        <f>Адміністративні_1ст!F42</f>
        <v>0</v>
      </c>
      <c r="G41" s="408">
        <f>Адміністративні_1ст!G42</f>
        <v>0</v>
      </c>
      <c r="H41" s="409">
        <f>Адміністративні_1ст!H42</f>
        <v>0</v>
      </c>
      <c r="I41" s="409">
        <f>Адміністративні_1ст!I42</f>
        <v>0</v>
      </c>
      <c r="J41" s="409">
        <f>Адміністративні_1ст!J42</f>
        <v>0</v>
      </c>
      <c r="K41" s="409">
        <f>Адміністративні_1ст!K42</f>
        <v>0</v>
      </c>
      <c r="L41" s="409">
        <f>Адміністративні_1ст!L42</f>
        <v>0</v>
      </c>
      <c r="M41" s="409">
        <f>Адміністративні_1ст!M42</f>
        <v>0</v>
      </c>
      <c r="N41" s="409">
        <f>Адміністративні_1ст!N42</f>
        <v>0</v>
      </c>
      <c r="O41" s="529"/>
      <c r="P41" s="403" t="s">
        <v>1879</v>
      </c>
      <c r="S41" s="399">
        <f t="shared" si="9"/>
        <v>0</v>
      </c>
      <c r="T41" s="399">
        <f t="shared" si="10"/>
        <v>0</v>
      </c>
      <c r="V41" s="399">
        <f>Адміністративні_1ст!F42</f>
        <v>0</v>
      </c>
      <c r="W41" s="399">
        <f t="shared" si="4"/>
        <v>0</v>
      </c>
    </row>
    <row r="42" spans="1:24" ht="18.75" customHeight="1" x14ac:dyDescent="0.35">
      <c r="A42" s="1609"/>
      <c r="B42" s="415" t="str">
        <f>Адміністративні_1ст!B43</f>
        <v>вимірювання опору заземлення</v>
      </c>
      <c r="C42" s="407">
        <f>Адміністративні_1ст!C43</f>
        <v>0</v>
      </c>
      <c r="D42" s="407">
        <f>Адміністративні_1ст!D43</f>
        <v>0</v>
      </c>
      <c r="E42" s="407">
        <f>Адміністративні_1ст!E43</f>
        <v>3.2650000000000001</v>
      </c>
      <c r="F42" s="407">
        <f>Адміністративні_1ст!F43</f>
        <v>3.2650000000000001</v>
      </c>
      <c r="G42" s="408">
        <f>Адміністративні_1ст!G43</f>
        <v>2.1696448509080342</v>
      </c>
      <c r="H42" s="409">
        <f>Адміністративні_1ст!H43</f>
        <v>0.63959672906246134</v>
      </c>
      <c r="I42" s="409">
        <f>Адміністративні_1ст!I43</f>
        <v>0.17683017996169492</v>
      </c>
      <c r="J42" s="409">
        <f>Адміністративні_1ст!J43</f>
        <v>0.46276654910076653</v>
      </c>
      <c r="K42" s="409">
        <f>Адміністративні_1ст!K43</f>
        <v>2.7397924522791391E-2</v>
      </c>
      <c r="L42" s="409">
        <f>Адміністративні_1ст!L43</f>
        <v>0.42836049550671346</v>
      </c>
      <c r="M42" s="409">
        <f>Адміністративні_1ст!M43</f>
        <v>0</v>
      </c>
      <c r="N42" s="409">
        <f>Адміністративні_1ст!N43</f>
        <v>0</v>
      </c>
      <c r="O42" s="391" t="s">
        <v>1673</v>
      </c>
      <c r="P42" s="403"/>
      <c r="S42" s="399">
        <f t="shared" si="9"/>
        <v>-2.2204460492503131E-16</v>
      </c>
      <c r="T42" s="399">
        <f t="shared" si="10"/>
        <v>0</v>
      </c>
      <c r="V42" s="399">
        <f>Адміністративні_1ст!F43</f>
        <v>3.2650000000000001</v>
      </c>
      <c r="W42" s="399">
        <f t="shared" si="4"/>
        <v>0</v>
      </c>
    </row>
    <row r="43" spans="1:24" ht="18.75" customHeight="1" x14ac:dyDescent="0.35">
      <c r="A43" s="1609"/>
      <c r="B43" s="415" t="str">
        <f>Адміністративні_1ст!B44</f>
        <v>заправка картріджів</v>
      </c>
      <c r="C43" s="407">
        <f>Адміністративні_1ст!C44</f>
        <v>9</v>
      </c>
      <c r="D43" s="407">
        <f>Адміністративні_1ст!D44</f>
        <v>11.908329999999999</v>
      </c>
      <c r="E43" s="407">
        <f>Адміністративні_1ст!E44</f>
        <v>1.8</v>
      </c>
      <c r="F43" s="407">
        <f>Адміністративні_1ст!F44</f>
        <v>2.1</v>
      </c>
      <c r="G43" s="408">
        <f>Адміністративні_1ст!G44</f>
        <v>1.3954836713344172</v>
      </c>
      <c r="H43" s="409">
        <f>Адміністративні_1ст!H44</f>
        <v>0.41137921317953108</v>
      </c>
      <c r="I43" s="409">
        <f>Адміністративні_1ст!I44</f>
        <v>0.11373457210399979</v>
      </c>
      <c r="J43" s="409">
        <f>Адміністративні_1ст!J44</f>
        <v>0.29764464107553129</v>
      </c>
      <c r="K43" s="409">
        <f>Адміністративні_1ст!K44</f>
        <v>1.7621942265807631E-2</v>
      </c>
      <c r="L43" s="409">
        <f>Адміністративні_1ст!L44</f>
        <v>0.27551517322024449</v>
      </c>
      <c r="M43" s="409">
        <f>Адміністративні_1ст!M44</f>
        <v>0</v>
      </c>
      <c r="N43" s="409">
        <f>Адміністративні_1ст!N44</f>
        <v>0</v>
      </c>
      <c r="O43" s="391"/>
      <c r="P43" s="403" t="s">
        <v>1702</v>
      </c>
      <c r="S43" s="399">
        <f t="shared" si="9"/>
        <v>-3.3306690738754696E-16</v>
      </c>
      <c r="T43" s="399">
        <f t="shared" si="10"/>
        <v>0</v>
      </c>
      <c r="V43" s="399">
        <f>Адміністративні_1ст!F44</f>
        <v>2.1</v>
      </c>
      <c r="W43" s="399">
        <f t="shared" si="4"/>
        <v>0</v>
      </c>
    </row>
    <row r="44" spans="1:24" ht="18.75" customHeight="1" x14ac:dyDescent="0.35">
      <c r="A44" s="1609"/>
      <c r="B44" s="415" t="str">
        <f>Адміністративні_1ст!B45</f>
        <v xml:space="preserve">оголошення в газету </v>
      </c>
      <c r="C44" s="407">
        <f>Адміністративні_1ст!C45</f>
        <v>0</v>
      </c>
      <c r="D44" s="407">
        <f>Адміністративні_1ст!D45</f>
        <v>0</v>
      </c>
      <c r="E44" s="407">
        <f>Адміністративні_1ст!E45</f>
        <v>22.126159999999999</v>
      </c>
      <c r="F44" s="407">
        <f>Адміністративні_1ст!F45</f>
        <v>0</v>
      </c>
      <c r="G44" s="408">
        <f>Адміністративні_1ст!G45</f>
        <v>0</v>
      </c>
      <c r="H44" s="409">
        <f>Адміністративні_1ст!H45</f>
        <v>0</v>
      </c>
      <c r="I44" s="409">
        <f>Адміністративні_1ст!I45</f>
        <v>0</v>
      </c>
      <c r="J44" s="409">
        <f>Адміністративні_1ст!J45</f>
        <v>0</v>
      </c>
      <c r="K44" s="409">
        <f>Адміністративні_1ст!K45</f>
        <v>0</v>
      </c>
      <c r="L44" s="409">
        <f>Адміністративні_1ст!L45</f>
        <v>0</v>
      </c>
      <c r="M44" s="409">
        <f>Адміністративні_1ст!M45</f>
        <v>0</v>
      </c>
      <c r="N44" s="409">
        <f>Адміністративні_1ст!N45</f>
        <v>0</v>
      </c>
      <c r="O44" s="391" t="s">
        <v>1703</v>
      </c>
      <c r="P44" s="403"/>
      <c r="S44" s="399">
        <f t="shared" si="9"/>
        <v>0</v>
      </c>
      <c r="T44" s="399">
        <f t="shared" si="10"/>
        <v>0</v>
      </c>
      <c r="V44" s="399">
        <f>Адміністративні_1ст!F45</f>
        <v>0</v>
      </c>
      <c r="W44" s="399">
        <f t="shared" si="4"/>
        <v>0</v>
      </c>
    </row>
    <row r="45" spans="1:24" ht="18.75" customHeight="1" x14ac:dyDescent="0.35">
      <c r="A45" s="1609"/>
      <c r="B45" s="415" t="str">
        <f>Адміністративні_1ст!B46</f>
        <v>витрати на розв’язання спорів у судах</v>
      </c>
      <c r="C45" s="407">
        <f>Адміністративні_1ст!C46</f>
        <v>152.78779999999998</v>
      </c>
      <c r="D45" s="407">
        <f>Адміністративні_1ст!D46</f>
        <v>102.92106</v>
      </c>
      <c r="E45" s="407">
        <f>Адміністративні_1ст!E46</f>
        <v>0</v>
      </c>
      <c r="F45" s="407">
        <f>Адміністративні_1ст!F46</f>
        <v>0</v>
      </c>
      <c r="G45" s="408">
        <f>Адміністративні_1ст!G46</f>
        <v>0</v>
      </c>
      <c r="H45" s="409">
        <f>Адміністративні_1ст!H46</f>
        <v>0</v>
      </c>
      <c r="I45" s="409">
        <f>Адміністративні_1ст!I46</f>
        <v>0</v>
      </c>
      <c r="J45" s="409">
        <f>Адміністративні_1ст!J46</f>
        <v>0</v>
      </c>
      <c r="K45" s="409">
        <f>Адміністративні_1ст!K46</f>
        <v>0</v>
      </c>
      <c r="L45" s="409">
        <f>Адміністративні_1ст!L46</f>
        <v>0</v>
      </c>
      <c r="M45" s="409">
        <f>Адміністративні_1ст!M46</f>
        <v>0</v>
      </c>
      <c r="N45" s="409">
        <f>Адміністративні_1ст!N46</f>
        <v>0</v>
      </c>
      <c r="O45" s="391"/>
      <c r="P45" s="403"/>
      <c r="S45" s="399">
        <f t="shared" si="9"/>
        <v>0</v>
      </c>
      <c r="T45" s="399">
        <f t="shared" si="10"/>
        <v>0</v>
      </c>
      <c r="V45" s="399">
        <f>Адміністративні_1ст!F46</f>
        <v>0</v>
      </c>
      <c r="W45" s="399">
        <f t="shared" si="4"/>
        <v>0</v>
      </c>
    </row>
    <row r="46" spans="1:24" ht="18.75" customHeight="1" x14ac:dyDescent="0.35">
      <c r="A46" s="1609"/>
      <c r="B46" s="415" t="str">
        <f>Адміністративні_1ст!B47</f>
        <v>транспортні послуги</v>
      </c>
      <c r="C46" s="407">
        <f>Адміністративні_1ст!C47</f>
        <v>0.54291</v>
      </c>
      <c r="D46" s="407">
        <f>Адміністративні_1ст!D47</f>
        <v>0.57628999999999997</v>
      </c>
      <c r="E46" s="407">
        <f>Адміністративні_1ст!E47</f>
        <v>0.20041</v>
      </c>
      <c r="F46" s="407">
        <f>Адміністративні_1ст!F47</f>
        <v>0.57628999999999997</v>
      </c>
      <c r="G46" s="408">
        <f>Адміністративні_1ст!G47</f>
        <v>0.38295394521586246</v>
      </c>
      <c r="H46" s="409">
        <f>Адміністративні_1ст!H47</f>
        <v>0.11289225083963425</v>
      </c>
      <c r="I46" s="409">
        <f>Адміністративні_1ст!I47</f>
        <v>3.1211474551340015E-2</v>
      </c>
      <c r="J46" s="409">
        <f>Адміністративні_1ст!J47</f>
        <v>8.1680776288294246E-2</v>
      </c>
      <c r="K46" s="409">
        <f>Адміністративні_1ст!K47</f>
        <v>4.8358805277915621E-3</v>
      </c>
      <c r="L46" s="409">
        <f>Адміністративні_1ст!L47</f>
        <v>7.5607923416711756E-2</v>
      </c>
      <c r="M46" s="409">
        <f>Адміністративні_1ст!M47</f>
        <v>0</v>
      </c>
      <c r="N46" s="409">
        <f>Адміністративні_1ст!N47</f>
        <v>0</v>
      </c>
      <c r="O46" s="391" t="s">
        <v>1574</v>
      </c>
      <c r="P46" s="403"/>
      <c r="S46" s="399">
        <f t="shared" si="9"/>
        <v>-5.5511151231257827E-17</v>
      </c>
      <c r="T46" s="399">
        <f t="shared" si="10"/>
        <v>0</v>
      </c>
      <c r="V46" s="399">
        <f>Адміністративні_1ст!F47</f>
        <v>0.57628999999999997</v>
      </c>
      <c r="W46" s="399">
        <f t="shared" si="4"/>
        <v>0</v>
      </c>
    </row>
    <row r="47" spans="1:24" ht="18.75" customHeight="1" x14ac:dyDescent="0.35">
      <c r="A47" s="1609"/>
      <c r="B47" s="415" t="str">
        <f>Адміністративні_1ст!B48</f>
        <v>службові відрядження</v>
      </c>
      <c r="C47" s="407">
        <f>Адміністративні_1ст!C48</f>
        <v>5.4488000000000003</v>
      </c>
      <c r="D47" s="407">
        <f>Адміністративні_1ст!D48</f>
        <v>0.64998999999999996</v>
      </c>
      <c r="E47" s="407">
        <f>Адміністративні_1ст!E48</f>
        <v>0.9446</v>
      </c>
      <c r="F47" s="407">
        <f>Адміністративні_1ст!F48</f>
        <v>0.64998999999999996</v>
      </c>
      <c r="G47" s="408">
        <f>Адміністративні_1ст!G48</f>
        <v>0.43192877691936077</v>
      </c>
      <c r="H47" s="409">
        <f>Адміністративні_1ст!H48</f>
        <v>0.1273297022736016</v>
      </c>
      <c r="I47" s="409">
        <f>Адміністративні_1ст!I48</f>
        <v>3.5203016438989911E-2</v>
      </c>
      <c r="J47" s="409">
        <f>Адміністративні_1ст!J48</f>
        <v>9.2126685834611699E-2</v>
      </c>
      <c r="K47" s="409">
        <f>Адміністративні_1ст!K48</f>
        <v>5.4543267873106201E-3</v>
      </c>
      <c r="L47" s="409">
        <f>Адміністративні_1ст!L48</f>
        <v>8.5277194019726998E-2</v>
      </c>
      <c r="M47" s="409">
        <f>Адміністративні_1ст!M48</f>
        <v>0</v>
      </c>
      <c r="N47" s="409">
        <f>Адміністративні_1ст!N48</f>
        <v>0</v>
      </c>
      <c r="O47" s="391" t="s">
        <v>1575</v>
      </c>
      <c r="P47" s="403"/>
      <c r="S47" s="399">
        <f t="shared" si="9"/>
        <v>-2.7755575615628914E-17</v>
      </c>
      <c r="T47" s="399">
        <f t="shared" si="10"/>
        <v>0</v>
      </c>
      <c r="V47" s="399">
        <f>Адміністративні_1ст!F48</f>
        <v>0.64998999999999996</v>
      </c>
      <c r="W47" s="399">
        <f t="shared" si="4"/>
        <v>0</v>
      </c>
    </row>
    <row r="48" spans="1:24" ht="18.75" customHeight="1" x14ac:dyDescent="0.35">
      <c r="A48" s="1609"/>
      <c r="B48" s="415" t="str">
        <f>Адміністративні_1ст!B49</f>
        <v>поштові витрати</v>
      </c>
      <c r="C48" s="407">
        <f>Адміністративні_1ст!C49</f>
        <v>9.6641000000000012</v>
      </c>
      <c r="D48" s="407">
        <f>Адміністративні_1ст!D49</f>
        <v>14.674989999999999</v>
      </c>
      <c r="E48" s="407">
        <f>Адміністративні_1ст!E49</f>
        <v>27.140538780000004</v>
      </c>
      <c r="F48" s="407">
        <f>Адміністративні_1ст!F49</f>
        <v>15.529808167499999</v>
      </c>
      <c r="G48" s="408">
        <f>Адміністративні_1ст!G49</f>
        <v>10.319806531762911</v>
      </c>
      <c r="H48" s="409">
        <f>Адміністративні_1ст!H49</f>
        <v>3.0422096498929547</v>
      </c>
      <c r="I48" s="409">
        <f>Адміністративні_1ст!I49</f>
        <v>0.84108385085133974</v>
      </c>
      <c r="J48" s="409">
        <f>Адміністративні_1ст!J49</f>
        <v>2.2011257990416149</v>
      </c>
      <c r="K48" s="409">
        <f>Адміністративні_1ст!K49</f>
        <v>0.13031684901273943</v>
      </c>
      <c r="L48" s="409">
        <f>Адміністративні_1ст!L49</f>
        <v>2.0374751368313953</v>
      </c>
      <c r="M48" s="409">
        <f>Адміністративні_1ст!M49</f>
        <v>0</v>
      </c>
      <c r="N48" s="409">
        <f>Адміністративні_1ст!N49</f>
        <v>0</v>
      </c>
      <c r="O48" s="391" t="s">
        <v>965</v>
      </c>
      <c r="P48" s="403"/>
      <c r="S48" s="399">
        <f t="shared" si="9"/>
        <v>-1.3322676295501878E-15</v>
      </c>
      <c r="T48" s="399">
        <f t="shared" si="10"/>
        <v>0</v>
      </c>
      <c r="V48" s="399">
        <f>Адміністративні_1ст!F49</f>
        <v>15.529808167499999</v>
      </c>
      <c r="W48" s="399">
        <f t="shared" si="4"/>
        <v>0</v>
      </c>
    </row>
    <row r="49" spans="1:23" ht="36" x14ac:dyDescent="0.35">
      <c r="A49" s="1609"/>
      <c r="B49" s="406" t="str">
        <f>Адміністративні_1ст!B50</f>
        <v>витрати на професійні послуги (у т.ч. послуги нотаріуса)</v>
      </c>
      <c r="C49" s="407">
        <f>Адміністративні_1ст!C50</f>
        <v>158.13</v>
      </c>
      <c r="D49" s="407">
        <f>Адміністративні_1ст!D50</f>
        <v>40.470930000000003</v>
      </c>
      <c r="E49" s="407">
        <f>Адміністративні_1ст!E50</f>
        <v>191.48391304347825</v>
      </c>
      <c r="F49" s="407">
        <f>Адміністративні_1ст!F50</f>
        <v>93.940579710144917</v>
      </c>
      <c r="G49" s="408">
        <f>Адміністративні_1ст!G50</f>
        <v>62.42502145771261</v>
      </c>
      <c r="H49" s="409">
        <f>Адміністративні_1ст!H50</f>
        <v>18.402477031804018</v>
      </c>
      <c r="I49" s="409">
        <f>Адміністративні_1ст!I50</f>
        <v>5.0877579221595317</v>
      </c>
      <c r="J49" s="409">
        <f>Адміністративні_1ст!J50</f>
        <v>13.314719109644486</v>
      </c>
      <c r="K49" s="409">
        <f>Адміністративні_1ст!K50</f>
        <v>0.78829308193746361</v>
      </c>
      <c r="L49" s="409">
        <f>Адміністративні_1ст!L50</f>
        <v>12.324788138690838</v>
      </c>
      <c r="M49" s="409">
        <f>Адміністративні_1ст!M50</f>
        <v>0</v>
      </c>
      <c r="N49" s="409">
        <f>Адміністративні_1ст!N50</f>
        <v>0</v>
      </c>
      <c r="O49" s="529" t="s">
        <v>1888</v>
      </c>
      <c r="S49" s="399">
        <f t="shared" si="9"/>
        <v>-1.4210854715202004E-14</v>
      </c>
      <c r="T49" s="399">
        <f t="shared" si="10"/>
        <v>0</v>
      </c>
      <c r="V49" s="399">
        <f>Адміністративні_1ст!F50</f>
        <v>93.940579710144917</v>
      </c>
      <c r="W49" s="399">
        <f t="shared" si="4"/>
        <v>0</v>
      </c>
    </row>
    <row r="50" spans="1:23" ht="18" x14ac:dyDescent="0.35">
      <c r="A50" s="1609"/>
      <c r="B50" s="406" t="str">
        <f>Адміністративні_1ст!B51</f>
        <v>витрати на зв'язок та інтернет, у т.ч.:</v>
      </c>
      <c r="C50" s="407">
        <f>Адміністративні_1ст!C51</f>
        <v>0</v>
      </c>
      <c r="D50" s="407">
        <f>Адміністративні_1ст!D51</f>
        <v>0</v>
      </c>
      <c r="E50" s="407">
        <f>Адміністративні_1ст!E51</f>
        <v>0</v>
      </c>
      <c r="F50" s="461">
        <f>Адміністративні_1ст!F51</f>
        <v>0</v>
      </c>
      <c r="G50" s="408">
        <f>Адміністративні_1ст!G51</f>
        <v>0</v>
      </c>
      <c r="H50" s="409">
        <f>Адміністративні_1ст!H51</f>
        <v>0</v>
      </c>
      <c r="I50" s="409">
        <f>Адміністративні_1ст!I51</f>
        <v>0</v>
      </c>
      <c r="J50" s="409">
        <f>Адміністративні_1ст!J51</f>
        <v>0</v>
      </c>
      <c r="K50" s="409">
        <f>Адміністративні_1ст!K51</f>
        <v>0</v>
      </c>
      <c r="L50" s="409">
        <f>Адміністративні_1ст!L51</f>
        <v>0</v>
      </c>
      <c r="M50" s="409">
        <f>Адміністративні_1ст!M51</f>
        <v>0</v>
      </c>
      <c r="N50" s="409">
        <f>Адміністративні_1ст!N51</f>
        <v>0</v>
      </c>
      <c r="O50" s="529"/>
      <c r="S50" s="399">
        <f t="shared" si="9"/>
        <v>0</v>
      </c>
      <c r="T50" s="399">
        <f t="shared" si="10"/>
        <v>0</v>
      </c>
      <c r="V50" s="399">
        <f>Адміністративні_1ст!F51</f>
        <v>0</v>
      </c>
      <c r="W50" s="399">
        <f t="shared" si="4"/>
        <v>0</v>
      </c>
    </row>
    <row r="51" spans="1:23" ht="18" x14ac:dyDescent="0.35">
      <c r="A51" s="1609"/>
      <c r="B51" s="463" t="str">
        <f>Адміністративні_1ст!B52</f>
        <v>зв'язок</v>
      </c>
      <c r="C51" s="407">
        <f>Адміністративні_1ст!C52</f>
        <v>20.293080000000003</v>
      </c>
      <c r="D51" s="407">
        <f>Адміністративні_1ст!D52</f>
        <v>18.438500000000001</v>
      </c>
      <c r="E51" s="407">
        <f>Адміністративні_1ст!E52</f>
        <v>19.487310000000001</v>
      </c>
      <c r="F51" s="461">
        <f>Адміністративні_1ст!F52</f>
        <v>23.23218</v>
      </c>
      <c r="G51" s="408">
        <f>Адміністративні_1ст!G52</f>
        <v>15.43815611404858</v>
      </c>
      <c r="H51" s="409">
        <f>Адміністративні_1ст!H52</f>
        <v>4.5510647280215419</v>
      </c>
      <c r="I51" s="409">
        <f>Адміністративні_1ст!I52</f>
        <v>1.2582390720681438</v>
      </c>
      <c r="J51" s="409">
        <f>Адміністративні_1ст!J52</f>
        <v>3.2928256559533984</v>
      </c>
      <c r="K51" s="409">
        <f>Адміністративні_1ст!K52</f>
        <v>0.19495054031850034</v>
      </c>
      <c r="L51" s="409">
        <f>Адміністративні_1ст!L52</f>
        <v>3.0480086176113805</v>
      </c>
      <c r="M51" s="409">
        <f>Адміністративні_1ст!M52</f>
        <v>0</v>
      </c>
      <c r="N51" s="409">
        <f>Адміністративні_1ст!N52</f>
        <v>0</v>
      </c>
      <c r="O51" s="529" t="s">
        <v>1576</v>
      </c>
      <c r="S51" s="399">
        <f t="shared" ref="S51:S58" si="11">F51-G51-H51-K51-L51-M51-N51</f>
        <v>-3.1086244689504383E-15</v>
      </c>
      <c r="T51" s="399">
        <f t="shared" ref="T51:T58" si="12">H51-I51-J51</f>
        <v>0</v>
      </c>
      <c r="V51" s="399">
        <f>Адміністративні_1ст!F52</f>
        <v>23.23218</v>
      </c>
      <c r="W51" s="399">
        <f t="shared" si="4"/>
        <v>0</v>
      </c>
    </row>
    <row r="52" spans="1:23" ht="18" x14ac:dyDescent="0.35">
      <c r="A52" s="1609"/>
      <c r="B52" s="463" t="str">
        <f>Адміністративні_1ст!B53</f>
        <v>інтернет</v>
      </c>
      <c r="C52" s="407">
        <f>Адміністративні_1ст!C53</f>
        <v>3.38083</v>
      </c>
      <c r="D52" s="407">
        <f>Адміністративні_1ст!D53</f>
        <v>3.11998</v>
      </c>
      <c r="E52" s="407">
        <f>Адміністративні_1ст!E53</f>
        <v>3.12</v>
      </c>
      <c r="F52" s="461">
        <f>Адміністративні_1ст!F53</f>
        <v>3.12</v>
      </c>
      <c r="G52" s="408">
        <f>Адміністративні_1ст!G53</f>
        <v>2.0732900259825624</v>
      </c>
      <c r="H52" s="409">
        <f>Адміністративні_1ст!H53</f>
        <v>0.61119197386673185</v>
      </c>
      <c r="I52" s="409">
        <f>Адміністративні_1ст!I53</f>
        <v>0.16897707855451397</v>
      </c>
      <c r="J52" s="409">
        <f>Адміністративні_1ст!J53</f>
        <v>0.44221489531221791</v>
      </c>
      <c r="K52" s="409">
        <f>Адміністративні_1ст!K53</f>
        <v>2.6181171366342768E-2</v>
      </c>
      <c r="L52" s="409">
        <f>Адміністративні_1ст!L53</f>
        <v>0.40933682878436323</v>
      </c>
      <c r="M52" s="409">
        <f>Адміністративні_1ст!M53</f>
        <v>0</v>
      </c>
      <c r="N52" s="409">
        <f>Адміністративні_1ст!N53</f>
        <v>0</v>
      </c>
      <c r="O52" s="529" t="s">
        <v>1576</v>
      </c>
      <c r="S52" s="399">
        <f t="shared" si="11"/>
        <v>-1.6653345369377348E-16</v>
      </c>
      <c r="T52" s="399">
        <f t="shared" si="12"/>
        <v>0</v>
      </c>
      <c r="V52" s="399">
        <f>Адміністративні_1ст!F53</f>
        <v>3.12</v>
      </c>
      <c r="W52" s="399">
        <f t="shared" si="4"/>
        <v>0</v>
      </c>
    </row>
    <row r="53" spans="1:23" ht="18" x14ac:dyDescent="0.35">
      <c r="A53" s="1609"/>
      <c r="B53" s="416" t="str">
        <f>Адміністративні_1ст!B54</f>
        <v>розрахунково-касове обслуговування</v>
      </c>
      <c r="C53" s="407">
        <f>Адміністративні_1ст!C54</f>
        <v>38.771279999999997</v>
      </c>
      <c r="D53" s="407">
        <f>Адміністративні_1ст!D54</f>
        <v>44.751940000000005</v>
      </c>
      <c r="E53" s="407">
        <f>Адміністративні_1ст!E54</f>
        <v>30.878139999999998</v>
      </c>
      <c r="F53" s="407">
        <f>Адміністративні_1ст!F54</f>
        <v>39.989530000000002</v>
      </c>
      <c r="G53" s="408">
        <f>Адміністративні_1ст!G54</f>
        <v>26.573683875875147</v>
      </c>
      <c r="H53" s="409">
        <f>Адміністративні_1ст!H54</f>
        <v>7.8337435175329775</v>
      </c>
      <c r="I53" s="409">
        <f>Адміністративні_1ст!I54</f>
        <v>2.1658057539000297</v>
      </c>
      <c r="J53" s="409">
        <f>Адміністративні_1ст!J54</f>
        <v>5.6679377636329482</v>
      </c>
      <c r="K53" s="409">
        <f>Адміністративні_1ст!K54</f>
        <v>0.33556818518894393</v>
      </c>
      <c r="L53" s="409">
        <f>Адміністративні_1ст!L54</f>
        <v>5.2465344214029352</v>
      </c>
      <c r="M53" s="409">
        <f>Адміністративні_1ст!M54</f>
        <v>0</v>
      </c>
      <c r="N53" s="409">
        <f>Адміністративні_1ст!N54</f>
        <v>0</v>
      </c>
      <c r="O53" s="529" t="s">
        <v>1574</v>
      </c>
      <c r="S53" s="399">
        <f t="shared" si="11"/>
        <v>-1.7763568394002505E-15</v>
      </c>
      <c r="T53" s="399">
        <f t="shared" si="12"/>
        <v>0</v>
      </c>
      <c r="V53" s="399">
        <f>Адміністративні_1ст!F54</f>
        <v>39.989530000000002</v>
      </c>
      <c r="W53" s="399">
        <f t="shared" si="4"/>
        <v>0</v>
      </c>
    </row>
    <row r="54" spans="1:23" ht="18" x14ac:dyDescent="0.35">
      <c r="A54" s="1609"/>
      <c r="B54" s="464" t="str">
        <f>Адміністративні_1ст!B55</f>
        <v>податки, збори, обов'язкові платежі</v>
      </c>
      <c r="C54" s="407">
        <f>Адміністративні_1ст!C55</f>
        <v>0</v>
      </c>
      <c r="D54" s="407">
        <f>Адміністративні_1ст!D55</f>
        <v>0</v>
      </c>
      <c r="E54" s="407">
        <f>Адміністративні_1ст!E55</f>
        <v>0</v>
      </c>
      <c r="F54" s="407">
        <f>Адміністративні_1ст!F55</f>
        <v>0</v>
      </c>
      <c r="G54" s="408">
        <f>Адміністративні_1ст!G55</f>
        <v>0</v>
      </c>
      <c r="H54" s="409">
        <f>Адміністративні_1ст!H55</f>
        <v>0</v>
      </c>
      <c r="I54" s="409">
        <f>Адміністративні_1ст!I55</f>
        <v>0</v>
      </c>
      <c r="J54" s="409">
        <f>Адміністративні_1ст!J55</f>
        <v>0</v>
      </c>
      <c r="K54" s="409">
        <f>Адміністративні_1ст!K55</f>
        <v>0</v>
      </c>
      <c r="L54" s="409">
        <f>Адміністративні_1ст!L55</f>
        <v>0</v>
      </c>
      <c r="M54" s="409">
        <f>Адміністративні_1ст!M55</f>
        <v>0</v>
      </c>
      <c r="N54" s="409">
        <f>Адміністративні_1ст!N55</f>
        <v>0</v>
      </c>
      <c r="O54" s="529"/>
      <c r="S54" s="399">
        <f t="shared" si="11"/>
        <v>0</v>
      </c>
      <c r="T54" s="399">
        <f t="shared" si="12"/>
        <v>0</v>
      </c>
      <c r="V54" s="399">
        <f>Адміністративні_1ст!F55</f>
        <v>0</v>
      </c>
      <c r="W54" s="399">
        <f t="shared" si="4"/>
        <v>0</v>
      </c>
    </row>
    <row r="55" spans="1:23" ht="18" x14ac:dyDescent="0.35">
      <c r="A55" s="1609"/>
      <c r="B55" s="406" t="str">
        <f>Адміністративні_1ст!B56</f>
        <v>витрати на періодичні видання</v>
      </c>
      <c r="C55" s="407">
        <f>Адміністративні_1ст!C56</f>
        <v>55.592140000000001</v>
      </c>
      <c r="D55" s="407">
        <f>Адміністративні_1ст!D56</f>
        <v>54.108919999999998</v>
      </c>
      <c r="E55" s="407">
        <f>Адміністративні_1ст!E56</f>
        <v>32.373959999999997</v>
      </c>
      <c r="F55" s="407">
        <f>Адміністративні_1ст!F56</f>
        <v>37.411088703973469</v>
      </c>
      <c r="G55" s="408">
        <f>Адміністративні_1ст!G56</f>
        <v>24.860268292018301</v>
      </c>
      <c r="H55" s="409">
        <f>Адміністративні_1ст!H56</f>
        <v>7.328640112014404</v>
      </c>
      <c r="I55" s="409">
        <f>Адміністративні_1ст!I56</f>
        <v>2.0261591265196204</v>
      </c>
      <c r="J55" s="409">
        <f>Адміністративні_1ст!J56</f>
        <v>5.3024809854947836</v>
      </c>
      <c r="K55" s="409">
        <f>Адміністративні_1ст!K56</f>
        <v>0.31393145011544216</v>
      </c>
      <c r="L55" s="409">
        <f>Адміністративні_1ст!L56</f>
        <v>4.9082488498253252</v>
      </c>
      <c r="M55" s="409">
        <f>Адміністративні_1ст!M56</f>
        <v>0</v>
      </c>
      <c r="N55" s="409">
        <f>Адміністративні_1ст!N56</f>
        <v>0</v>
      </c>
      <c r="O55" s="399" t="s">
        <v>1681</v>
      </c>
      <c r="S55" s="399">
        <f t="shared" si="11"/>
        <v>-2.6645352591003757E-15</v>
      </c>
      <c r="T55" s="399">
        <f t="shared" si="12"/>
        <v>0</v>
      </c>
      <c r="V55" s="399">
        <f>Адміністративні_1ст!F56</f>
        <v>37.411088703973469</v>
      </c>
      <c r="W55" s="399">
        <f t="shared" si="4"/>
        <v>0</v>
      </c>
    </row>
    <row r="56" spans="1:23" ht="18" x14ac:dyDescent="0.35">
      <c r="A56" s="1609"/>
      <c r="B56" s="715" t="str">
        <f>Адміністративні_1ст!B57</f>
        <v>виготовлення ключів</v>
      </c>
      <c r="C56" s="407">
        <f>Адміністративні_1ст!C57</f>
        <v>0</v>
      </c>
      <c r="D56" s="407">
        <f>Адміністративні_1ст!D57</f>
        <v>0.02</v>
      </c>
      <c r="E56" s="407">
        <f>Адміністративні_1ст!E57</f>
        <v>0.98499999999999999</v>
      </c>
      <c r="F56" s="500">
        <f>Адміністративні_1ст!F57</f>
        <v>0.98499999999999999</v>
      </c>
      <c r="G56" s="408">
        <f>Адміністративні_1ст!G57</f>
        <v>0.65454829345923848</v>
      </c>
      <c r="H56" s="409">
        <f>Адміністративні_1ст!H57</f>
        <v>0.19295644046754196</v>
      </c>
      <c r="I56" s="409">
        <f>Адміністративні_1ст!I57</f>
        <v>5.3346930248780851E-2</v>
      </c>
      <c r="J56" s="409">
        <f>Адміністративні_1ст!J57</f>
        <v>0.13960951021876108</v>
      </c>
      <c r="K56" s="409">
        <f>Адміністративні_1ст!K57</f>
        <v>8.2655300627716751E-3</v>
      </c>
      <c r="L56" s="409">
        <f>Адміністративні_1ст!L57</f>
        <v>0.12922973601044802</v>
      </c>
      <c r="M56" s="409">
        <f>Адміністративні_1ст!M57</f>
        <v>0</v>
      </c>
      <c r="N56" s="477">
        <f>Адміністративні_1ст!N57</f>
        <v>0</v>
      </c>
      <c r="O56" s="399" t="s">
        <v>1944</v>
      </c>
      <c r="S56" s="399">
        <f t="shared" si="11"/>
        <v>-1.3877787807814457E-16</v>
      </c>
      <c r="T56" s="399">
        <f t="shared" si="12"/>
        <v>0</v>
      </c>
      <c r="V56" s="399">
        <f>Адміністративні_1ст!F57</f>
        <v>0.98499999999999999</v>
      </c>
      <c r="W56" s="399">
        <f t="shared" si="4"/>
        <v>0</v>
      </c>
    </row>
    <row r="57" spans="1:23" ht="18" x14ac:dyDescent="0.35">
      <c r="A57" s="1609"/>
      <c r="B57" s="715" t="str">
        <f>Адміністративні_1ст!B58</f>
        <v>обслуговування кондиціонерів</v>
      </c>
      <c r="C57" s="407">
        <f>Адміністративні_1ст!C58</f>
        <v>2.2000000000000002</v>
      </c>
      <c r="D57" s="407">
        <f>Адміністративні_1ст!D58</f>
        <v>0</v>
      </c>
      <c r="E57" s="407">
        <f>Адміністративні_1ст!E58</f>
        <v>2.2000000000000002</v>
      </c>
      <c r="F57" s="500">
        <f>Адміністративні_1ст!F58</f>
        <v>4.5</v>
      </c>
      <c r="G57" s="408">
        <f>Адміністративні_1ст!G58</f>
        <v>2.990322152859465</v>
      </c>
      <c r="H57" s="409">
        <f>Адміністративні_1ст!H58</f>
        <v>0.88152688538470936</v>
      </c>
      <c r="I57" s="409">
        <f>Адміністративні_1ст!I58</f>
        <v>0.2437169402228567</v>
      </c>
      <c r="J57" s="409">
        <f>Адміністративні_1ст!J58</f>
        <v>0.63780994516185274</v>
      </c>
      <c r="K57" s="409">
        <f>Адміністративні_1ст!K58</f>
        <v>3.7761304855302068E-2</v>
      </c>
      <c r="L57" s="409">
        <f>Адміністративні_1ст!L58</f>
        <v>0.59038965690052392</v>
      </c>
      <c r="M57" s="409">
        <f>Адміністративні_1ст!M58</f>
        <v>0</v>
      </c>
      <c r="N57" s="477">
        <f>Адміністративні_1ст!N58</f>
        <v>0</v>
      </c>
      <c r="O57" s="399" t="s">
        <v>1681</v>
      </c>
      <c r="S57" s="399">
        <f t="shared" si="11"/>
        <v>-3.3306690738754696E-16</v>
      </c>
      <c r="T57" s="399">
        <f t="shared" si="12"/>
        <v>0</v>
      </c>
      <c r="V57" s="399">
        <f>Адміністративні_1ст!F58</f>
        <v>4.5</v>
      </c>
      <c r="W57" s="399">
        <f t="shared" si="4"/>
        <v>0</v>
      </c>
    </row>
    <row r="58" spans="1:23" ht="18.600000000000001" thickBot="1" x14ac:dyDescent="0.4">
      <c r="A58" s="1609"/>
      <c r="B58" s="465" t="str">
        <f>Адміністративні_1ст!B60</f>
        <v>інші витрати</v>
      </c>
      <c r="C58" s="466">
        <f>Адміністративні_1ст!C60</f>
        <v>316.72948000000002</v>
      </c>
      <c r="D58" s="466">
        <f>Адміністративні_1ст!D60</f>
        <v>-598.14</v>
      </c>
      <c r="E58" s="466">
        <f>Адміністративні_1ст!E60</f>
        <v>0</v>
      </c>
      <c r="F58" s="466">
        <f>Адміністративні_1ст!F60</f>
        <v>0</v>
      </c>
      <c r="G58" s="502">
        <f>Адміністративні_1ст!G60</f>
        <v>0</v>
      </c>
      <c r="H58" s="417">
        <f>Адміністративні_1ст!H60</f>
        <v>0</v>
      </c>
      <c r="I58" s="417">
        <f>Адміністративні_1ст!I60</f>
        <v>0</v>
      </c>
      <c r="J58" s="417">
        <f>Адміністративні_1ст!J60</f>
        <v>0</v>
      </c>
      <c r="K58" s="417">
        <f>Адміністративні_1ст!K60</f>
        <v>0</v>
      </c>
      <c r="L58" s="417">
        <f>Адміністративні_1ст!L60</f>
        <v>0</v>
      </c>
      <c r="M58" s="417">
        <f>Адміністративні_1ст!M60</f>
        <v>0</v>
      </c>
      <c r="N58" s="417">
        <f>Адміністративні_1ст!N60</f>
        <v>0</v>
      </c>
      <c r="O58" s="391"/>
      <c r="P58" s="391"/>
      <c r="Q58" s="403" t="s">
        <v>1704</v>
      </c>
      <c r="S58" s="399">
        <f t="shared" si="11"/>
        <v>0</v>
      </c>
      <c r="T58" s="399">
        <f t="shared" si="12"/>
        <v>0</v>
      </c>
      <c r="V58" s="399">
        <f>Адміністративні_1ст!F60</f>
        <v>0</v>
      </c>
      <c r="W58" s="399">
        <f t="shared" si="4"/>
        <v>0</v>
      </c>
    </row>
    <row r="59" spans="1:23" ht="24" customHeight="1" x14ac:dyDescent="0.25">
      <c r="C59" s="391"/>
      <c r="D59" s="391"/>
      <c r="E59" s="391"/>
      <c r="F59" s="770"/>
      <c r="M59" s="418"/>
      <c r="N59" s="418"/>
    </row>
    <row r="60" spans="1:23" ht="24" customHeight="1" x14ac:dyDescent="0.25">
      <c r="C60" s="391"/>
      <c r="D60" s="391"/>
      <c r="E60" s="391"/>
      <c r="F60" s="770"/>
      <c r="M60" s="418"/>
      <c r="N60" s="418"/>
    </row>
    <row r="61" spans="1:23" ht="24" customHeight="1" x14ac:dyDescent="0.35">
      <c r="B61" s="429" t="str">
        <f>'Вхідні дані'!$B$13</f>
        <v>Директор підприємства</v>
      </c>
      <c r="C61" s="419"/>
      <c r="D61" s="419"/>
      <c r="E61" s="772" t="s">
        <v>1400</v>
      </c>
      <c r="F61" s="391"/>
      <c r="G61" s="5181" t="str">
        <f>'Вхідні дані'!$F$13</f>
        <v>Анатолій ПАНШИН</v>
      </c>
      <c r="H61" s="5181"/>
      <c r="I61" s="5181"/>
      <c r="M61" s="418"/>
      <c r="N61" s="418"/>
    </row>
    <row r="62" spans="1:23" ht="24" customHeight="1" x14ac:dyDescent="0.35">
      <c r="B62" s="419"/>
      <c r="C62" s="419"/>
      <c r="D62" s="419"/>
      <c r="E62" s="772" t="s">
        <v>209</v>
      </c>
      <c r="F62" s="391"/>
      <c r="G62" s="5115" t="s">
        <v>1985</v>
      </c>
      <c r="H62" s="5115"/>
      <c r="I62" s="5115"/>
      <c r="M62" s="418"/>
      <c r="N62" s="418"/>
    </row>
    <row r="63" spans="1:23" ht="24" customHeight="1" x14ac:dyDescent="0.35">
      <c r="B63" s="429" t="str">
        <f>'Вхідні дані'!$B$15</f>
        <v>Заступник директора з економіки</v>
      </c>
      <c r="C63" s="419"/>
      <c r="D63" s="419"/>
      <c r="E63" s="772" t="s">
        <v>1400</v>
      </c>
      <c r="F63" s="391"/>
      <c r="G63" s="5181" t="str">
        <f>'Вхідні дані'!$F$15</f>
        <v>Олена ЛАВРОВА</v>
      </c>
      <c r="H63" s="5181"/>
      <c r="I63" s="5181"/>
      <c r="M63" s="418"/>
      <c r="N63" s="418"/>
    </row>
    <row r="64" spans="1:23" ht="24" customHeight="1" x14ac:dyDescent="0.35">
      <c r="B64" s="418"/>
      <c r="C64" s="418"/>
      <c r="D64" s="418"/>
      <c r="E64" s="772" t="s">
        <v>209</v>
      </c>
      <c r="F64" s="391"/>
      <c r="G64" s="5115" t="s">
        <v>1985</v>
      </c>
      <c r="H64" s="5115"/>
      <c r="I64" s="5115"/>
      <c r="K64" s="418"/>
      <c r="L64" s="418"/>
      <c r="M64" s="418"/>
      <c r="N64" s="418"/>
    </row>
    <row r="65" spans="2:9" ht="18" x14ac:dyDescent="0.35">
      <c r="C65" s="391"/>
      <c r="D65" s="391"/>
      <c r="E65" s="391"/>
      <c r="F65" s="889"/>
      <c r="G65" s="419"/>
      <c r="H65" s="419"/>
      <c r="I65" s="419"/>
    </row>
    <row r="66" spans="2:9" x14ac:dyDescent="0.25">
      <c r="C66" s="391"/>
      <c r="D66" s="391"/>
      <c r="E66" s="391"/>
      <c r="F66" s="770"/>
    </row>
    <row r="67" spans="2:9" x14ac:dyDescent="0.25">
      <c r="C67" s="391"/>
      <c r="D67" s="391"/>
      <c r="E67" s="391"/>
      <c r="F67" s="770"/>
    </row>
    <row r="68" spans="2:9" x14ac:dyDescent="0.25">
      <c r="C68" s="391"/>
      <c r="D68" s="391"/>
      <c r="E68" s="391"/>
      <c r="F68" s="770"/>
    </row>
    <row r="69" spans="2:9" ht="31.2" x14ac:dyDescent="0.3">
      <c r="B69" s="665" t="s">
        <v>1887</v>
      </c>
      <c r="C69" s="389" t="str">
        <f>'Вхідні дані'!F6</f>
        <v>2023-2024</v>
      </c>
      <c r="D69" s="391"/>
      <c r="E69" s="391"/>
      <c r="F69" s="770"/>
    </row>
    <row r="70" spans="2:9" ht="15.6" x14ac:dyDescent="0.3">
      <c r="B70" s="666" t="str">
        <f>'Вхідні дані'!F5</f>
        <v>КП «КТЕ"</v>
      </c>
      <c r="C70" s="692" t="s">
        <v>661</v>
      </c>
      <c r="D70" s="391"/>
      <c r="E70" s="391"/>
      <c r="F70" s="770"/>
    </row>
    <row r="71" spans="2:9" ht="16.2" thickBot="1" x14ac:dyDescent="0.35">
      <c r="B71" s="389"/>
      <c r="C71" s="389"/>
      <c r="D71" s="391"/>
      <c r="E71" s="391"/>
      <c r="F71" s="770"/>
    </row>
    <row r="72" spans="2:9" ht="16.2" thickBot="1" x14ac:dyDescent="0.35">
      <c r="B72" s="1600" t="s">
        <v>1945</v>
      </c>
      <c r="C72" s="716" t="s">
        <v>1946</v>
      </c>
      <c r="D72" s="391"/>
      <c r="E72" s="391"/>
      <c r="F72" s="770"/>
    </row>
    <row r="73" spans="2:9" ht="15.6" x14ac:dyDescent="0.3">
      <c r="B73" s="1601" t="s">
        <v>1002</v>
      </c>
      <c r="C73" s="688">
        <v>1251.9000000000001</v>
      </c>
      <c r="D73" s="391"/>
      <c r="E73" s="391"/>
      <c r="F73" s="770"/>
    </row>
    <row r="74" spans="2:9" ht="15.6" x14ac:dyDescent="0.3">
      <c r="B74" s="1602"/>
      <c r="C74" s="648">
        <v>80</v>
      </c>
      <c r="D74" s="391"/>
      <c r="E74" s="391"/>
      <c r="F74" s="770"/>
    </row>
    <row r="75" spans="2:9" ht="15.6" x14ac:dyDescent="0.3">
      <c r="B75" s="1602" t="s">
        <v>1002</v>
      </c>
      <c r="C75" s="648">
        <v>140</v>
      </c>
      <c r="D75" s="391"/>
      <c r="E75" s="391"/>
      <c r="F75" s="770"/>
    </row>
    <row r="76" spans="2:9" ht="15.6" x14ac:dyDescent="0.3">
      <c r="B76" s="1602" t="s">
        <v>1002</v>
      </c>
      <c r="C76" s="648">
        <v>96</v>
      </c>
      <c r="D76" s="391"/>
      <c r="E76" s="391"/>
      <c r="F76" s="770"/>
    </row>
    <row r="77" spans="2:9" ht="15.6" x14ac:dyDescent="0.3">
      <c r="B77" s="1602" t="s">
        <v>928</v>
      </c>
      <c r="C77" s="648">
        <v>140</v>
      </c>
      <c r="D77" s="391"/>
      <c r="E77" s="391"/>
      <c r="F77" s="770"/>
    </row>
    <row r="78" spans="2:9" ht="15.6" x14ac:dyDescent="0.3">
      <c r="B78" s="1602" t="s">
        <v>1002</v>
      </c>
      <c r="C78" s="993">
        <v>1425.9</v>
      </c>
      <c r="D78" s="391"/>
      <c r="E78" s="391"/>
      <c r="F78" s="770"/>
    </row>
    <row r="79" spans="2:9" ht="16.2" thickBot="1" x14ac:dyDescent="0.35">
      <c r="B79" s="1603" t="s">
        <v>1002</v>
      </c>
      <c r="C79" s="689">
        <v>232</v>
      </c>
      <c r="D79" s="391"/>
      <c r="E79" s="391"/>
      <c r="F79" s="770"/>
    </row>
    <row r="80" spans="2:9" ht="15.6" x14ac:dyDescent="0.3">
      <c r="B80" s="1601" t="s">
        <v>1571</v>
      </c>
      <c r="C80" s="688">
        <v>3619.84</v>
      </c>
      <c r="D80" s="391"/>
      <c r="E80" s="391"/>
      <c r="F80" s="770"/>
    </row>
    <row r="81" spans="2:11" ht="15.6" x14ac:dyDescent="0.3">
      <c r="B81" s="1602" t="s">
        <v>1571</v>
      </c>
      <c r="C81" s="648">
        <v>169</v>
      </c>
      <c r="D81" s="391"/>
      <c r="E81" s="391"/>
      <c r="F81" s="770"/>
    </row>
    <row r="82" spans="2:11" ht="15.6" x14ac:dyDescent="0.3">
      <c r="B82" s="1602" t="s">
        <v>1571</v>
      </c>
      <c r="C82" s="648">
        <v>417.3</v>
      </c>
      <c r="D82" s="391"/>
      <c r="E82" s="391"/>
      <c r="F82" s="770"/>
    </row>
    <row r="83" spans="2:11" ht="16.2" thickBot="1" x14ac:dyDescent="0.35">
      <c r="B83" s="1604" t="s">
        <v>1571</v>
      </c>
      <c r="C83" s="690">
        <v>3621.1</v>
      </c>
      <c r="D83" s="391"/>
      <c r="E83" s="391"/>
      <c r="F83" s="770"/>
    </row>
    <row r="84" spans="2:11" ht="15.6" x14ac:dyDescent="0.3">
      <c r="B84" s="1605" t="s">
        <v>1002</v>
      </c>
      <c r="C84" s="691">
        <v>1251.9000000000001</v>
      </c>
      <c r="D84" s="391"/>
      <c r="E84" s="391"/>
      <c r="F84" s="770"/>
    </row>
    <row r="85" spans="2:11" ht="15.6" x14ac:dyDescent="0.3">
      <c r="B85" s="1602" t="s">
        <v>1002</v>
      </c>
      <c r="C85" s="993">
        <v>115</v>
      </c>
      <c r="D85" s="391"/>
      <c r="E85" s="391"/>
      <c r="F85" s="770"/>
    </row>
    <row r="86" spans="2:11" ht="16.2" thickBot="1" x14ac:dyDescent="0.35">
      <c r="B86" s="1606" t="s">
        <v>1537</v>
      </c>
      <c r="C86" s="652">
        <f>SUM(C73:C85)</f>
        <v>12559.94</v>
      </c>
      <c r="D86" s="391"/>
      <c r="E86" s="391"/>
      <c r="F86" s="770"/>
    </row>
    <row r="87" spans="2:11" ht="15.6" x14ac:dyDescent="0.3">
      <c r="B87" s="1601" t="s">
        <v>2022</v>
      </c>
      <c r="C87" s="649"/>
      <c r="D87" s="391"/>
      <c r="E87" s="391"/>
      <c r="F87" s="770"/>
    </row>
    <row r="88" spans="2:11" ht="15.6" x14ac:dyDescent="0.3">
      <c r="B88" s="1607" t="s">
        <v>1586</v>
      </c>
      <c r="C88" s="650">
        <f>C73+C75+C76+C79+C84</f>
        <v>2971.8</v>
      </c>
      <c r="D88" s="391"/>
      <c r="E88" s="391"/>
      <c r="F88" s="770"/>
    </row>
    <row r="89" spans="2:11" ht="16.2" thickBot="1" x14ac:dyDescent="0.35">
      <c r="B89" s="1608" t="s">
        <v>1585</v>
      </c>
      <c r="C89" s="651">
        <f>C80+C81+C82+C83+C78+C85</f>
        <v>9368.14</v>
      </c>
      <c r="D89" s="391"/>
      <c r="E89" s="391"/>
      <c r="F89" s="770"/>
    </row>
    <row r="90" spans="2:11" x14ac:dyDescent="0.25">
      <c r="C90" s="391"/>
      <c r="D90" s="391"/>
      <c r="E90" s="391"/>
      <c r="F90" s="770"/>
    </row>
    <row r="91" spans="2:11" x14ac:dyDescent="0.25">
      <c r="C91" s="391"/>
      <c r="D91" s="391"/>
      <c r="E91" s="391"/>
      <c r="F91" s="770"/>
    </row>
    <row r="92" spans="2:11" ht="18" x14ac:dyDescent="0.35">
      <c r="B92" s="419" t="str">
        <f>'Вхідні дані'!$B$15</f>
        <v>Заступник директора з економіки</v>
      </c>
      <c r="C92" s="498" t="s">
        <v>1400</v>
      </c>
      <c r="D92" s="419" t="str">
        <f>'Вхідні дані'!$F$15</f>
        <v>Олена ЛАВРОВА</v>
      </c>
      <c r="E92" s="391"/>
      <c r="F92" s="770"/>
      <c r="H92" s="419"/>
      <c r="I92" s="419"/>
      <c r="J92" s="419"/>
    </row>
    <row r="93" spans="2:11" ht="18" x14ac:dyDescent="0.35">
      <c r="B93" s="418"/>
      <c r="C93" s="498" t="s">
        <v>209</v>
      </c>
      <c r="D93" s="418"/>
      <c r="E93" s="391"/>
      <c r="F93" s="770"/>
      <c r="H93" s="418"/>
      <c r="I93" s="418"/>
      <c r="J93" s="418"/>
    </row>
    <row r="94" spans="2:11" x14ac:dyDescent="0.25">
      <c r="C94" s="391"/>
      <c r="D94" s="391"/>
      <c r="E94" s="391"/>
      <c r="F94" s="770"/>
    </row>
    <row r="95" spans="2:11" ht="15.6" x14ac:dyDescent="0.3">
      <c r="B95" s="1766" t="s">
        <v>1897</v>
      </c>
      <c r="C95" s="1770">
        <f t="shared" ref="C95:K95" si="13">SUM(C96:C104)</f>
        <v>8025.5941500000017</v>
      </c>
      <c r="D95" s="1770">
        <f t="shared" si="13"/>
        <v>8157.6273799999999</v>
      </c>
      <c r="E95" s="1770">
        <f t="shared" si="13"/>
        <v>7630.5366603321218</v>
      </c>
      <c r="F95" s="1770">
        <f t="shared" si="13"/>
        <v>9533.0845712164319</v>
      </c>
      <c r="G95" s="1770">
        <f t="shared" si="13"/>
        <v>6334.8875507536159</v>
      </c>
      <c r="H95" s="1770">
        <f t="shared" si="13"/>
        <v>1867.4823000385445</v>
      </c>
      <c r="I95" s="1770">
        <f t="shared" si="13"/>
        <v>516.30537835168718</v>
      </c>
      <c r="J95" s="1770">
        <f t="shared" si="13"/>
        <v>1351.176921686857</v>
      </c>
      <c r="K95" s="1770">
        <f t="shared" si="13"/>
        <v>79.995936156684508</v>
      </c>
    </row>
    <row r="96" spans="2:11" ht="15.6" x14ac:dyDescent="0.3">
      <c r="B96" s="1767" t="s">
        <v>2294</v>
      </c>
      <c r="C96" s="1768">
        <f>C21</f>
        <v>5030.3503000000001</v>
      </c>
      <c r="D96" s="1768">
        <f t="shared" ref="D96:K96" si="14">D21</f>
        <v>6082.8951900000002</v>
      </c>
      <c r="E96" s="1768">
        <f t="shared" si="14"/>
        <v>5647.267092600001</v>
      </c>
      <c r="F96" s="1768">
        <f t="shared" si="14"/>
        <v>7138.9851092739718</v>
      </c>
      <c r="G96" s="1768">
        <f t="shared" si="14"/>
        <v>4743.9700713768461</v>
      </c>
      <c r="H96" s="1768">
        <f t="shared" si="14"/>
        <v>1398.4905129302454</v>
      </c>
      <c r="I96" s="1768">
        <f t="shared" si="14"/>
        <v>386.64257936195304</v>
      </c>
      <c r="J96" s="1768">
        <f t="shared" si="14"/>
        <v>1011.8479335682923</v>
      </c>
      <c r="K96" s="1768">
        <f t="shared" si="14"/>
        <v>59.90608734861253</v>
      </c>
    </row>
    <row r="97" spans="2:11" ht="15.6" x14ac:dyDescent="0.3">
      <c r="B97" s="1767" t="s">
        <v>2295</v>
      </c>
      <c r="C97" s="1768">
        <f>C23</f>
        <v>1098.0906300000001</v>
      </c>
      <c r="D97" s="1768">
        <f t="shared" ref="D97:K97" si="15">D23</f>
        <v>1183.33798</v>
      </c>
      <c r="E97" s="1768">
        <f t="shared" si="15"/>
        <v>1242.3987603720002</v>
      </c>
      <c r="F97" s="1768">
        <f t="shared" si="15"/>
        <v>1570.5767240402738</v>
      </c>
      <c r="G97" s="1768">
        <f t="shared" si="15"/>
        <v>1043.6734157029061</v>
      </c>
      <c r="H97" s="1768">
        <f t="shared" si="15"/>
        <v>307.66791284465398</v>
      </c>
      <c r="I97" s="1768">
        <f t="shared" si="15"/>
        <v>85.061367459629665</v>
      </c>
      <c r="J97" s="1768">
        <f t="shared" si="15"/>
        <v>222.6065453850243</v>
      </c>
      <c r="K97" s="1768">
        <f t="shared" si="15"/>
        <v>13.179339216694757</v>
      </c>
    </row>
    <row r="98" spans="2:11" ht="15.6" x14ac:dyDescent="0.3">
      <c r="B98" s="1767" t="s">
        <v>2296</v>
      </c>
      <c r="C98" s="1768"/>
      <c r="D98" s="1768"/>
      <c r="E98" s="1768"/>
      <c r="F98" s="1769"/>
      <c r="G98" s="1769"/>
      <c r="H98" s="1769"/>
      <c r="I98" s="1769"/>
      <c r="J98" s="1769"/>
      <c r="K98" s="1769"/>
    </row>
    <row r="99" spans="2:11" ht="15.6" x14ac:dyDescent="0.3">
      <c r="B99" s="1767" t="s">
        <v>43</v>
      </c>
      <c r="C99" s="1768">
        <f>C28</f>
        <v>35.107579999999999</v>
      </c>
      <c r="D99" s="1768">
        <f t="shared" ref="D99:K99" si="16">D28</f>
        <v>41.579000000000001</v>
      </c>
      <c r="E99" s="1768">
        <f t="shared" si="16"/>
        <v>32.497890252458667</v>
      </c>
      <c r="F99" s="1768">
        <f t="shared" si="16"/>
        <v>101.15507484556801</v>
      </c>
      <c r="G99" s="1768">
        <f t="shared" si="16"/>
        <v>67.219169152190943</v>
      </c>
      <c r="H99" s="1768">
        <f t="shared" si="16"/>
        <v>19.815759570993496</v>
      </c>
      <c r="I99" s="1768">
        <f t="shared" si="16"/>
        <v>5.4784900731946431</v>
      </c>
      <c r="J99" s="1768">
        <f t="shared" si="16"/>
        <v>14.337269497798854</v>
      </c>
      <c r="K99" s="1768">
        <f t="shared" si="16"/>
        <v>0.84883280420097584</v>
      </c>
    </row>
    <row r="100" spans="2:11" ht="15.6" x14ac:dyDescent="0.3">
      <c r="B100" s="1767" t="s">
        <v>2297</v>
      </c>
      <c r="C100" s="1768">
        <f>C27</f>
        <v>1.37754</v>
      </c>
      <c r="D100" s="1768">
        <f t="shared" ref="D100:K100" si="17">D27</f>
        <v>1.7771199999999998</v>
      </c>
      <c r="E100" s="1768">
        <f t="shared" si="17"/>
        <v>1.3228425000000001</v>
      </c>
      <c r="F100" s="1768">
        <f t="shared" si="17"/>
        <v>1.7405535000000001</v>
      </c>
      <c r="G100" s="1768">
        <f t="shared" si="17"/>
        <v>1.1566257087304617</v>
      </c>
      <c r="H100" s="1768">
        <f t="shared" si="17"/>
        <v>0.34096549015565664</v>
      </c>
      <c r="I100" s="1768">
        <f t="shared" si="17"/>
        <v>9.4267194069818663E-2</v>
      </c>
      <c r="J100" s="1768">
        <f t="shared" si="17"/>
        <v>0.24669829608583799</v>
      </c>
      <c r="K100" s="1768">
        <f t="shared" si="17"/>
        <v>1.4605682517880669E-2</v>
      </c>
    </row>
    <row r="101" spans="2:11" ht="15.6" x14ac:dyDescent="0.3">
      <c r="B101" s="1767" t="s">
        <v>460</v>
      </c>
      <c r="C101" s="1768">
        <f>C36+C37</f>
        <v>92.50885000000001</v>
      </c>
      <c r="D101" s="1768">
        <f t="shared" ref="D101:K101" si="18">D36+D37</f>
        <v>138.52208999999999</v>
      </c>
      <c r="E101" s="1768">
        <f t="shared" si="18"/>
        <v>95.075919999999982</v>
      </c>
      <c r="F101" s="1768">
        <f t="shared" si="18"/>
        <v>90.049830000000014</v>
      </c>
      <c r="G101" s="1768">
        <f t="shared" si="18"/>
        <v>59.839555891161972</v>
      </c>
      <c r="H101" s="1768">
        <f t="shared" si="18"/>
        <v>17.64029914873835</v>
      </c>
      <c r="I101" s="1768">
        <f t="shared" si="18"/>
        <v>4.8770375633752021</v>
      </c>
      <c r="J101" s="1768">
        <f t="shared" si="18"/>
        <v>12.76326158536315</v>
      </c>
      <c r="K101" s="1768">
        <f t="shared" si="18"/>
        <v>0.75564424062180591</v>
      </c>
    </row>
    <row r="102" spans="2:11" ht="15.6" x14ac:dyDescent="0.3">
      <c r="B102" s="1767" t="s">
        <v>2298</v>
      </c>
      <c r="C102" s="1768">
        <f>C54</f>
        <v>0</v>
      </c>
      <c r="D102" s="1768">
        <f t="shared" ref="D102:K102" si="19">D54</f>
        <v>0</v>
      </c>
      <c r="E102" s="1768">
        <f t="shared" si="19"/>
        <v>0</v>
      </c>
      <c r="F102" s="1768">
        <f t="shared" si="19"/>
        <v>0</v>
      </c>
      <c r="G102" s="1768">
        <f t="shared" si="19"/>
        <v>0</v>
      </c>
      <c r="H102" s="1768">
        <f t="shared" si="19"/>
        <v>0</v>
      </c>
      <c r="I102" s="1768">
        <f t="shared" si="19"/>
        <v>0</v>
      </c>
      <c r="J102" s="1768">
        <f t="shared" si="19"/>
        <v>0</v>
      </c>
      <c r="K102" s="1768">
        <f t="shared" si="19"/>
        <v>0</v>
      </c>
    </row>
    <row r="103" spans="2:11" ht="15.6" x14ac:dyDescent="0.3">
      <c r="B103" s="1767" t="s">
        <v>2299</v>
      </c>
      <c r="C103" s="1768">
        <f>C25+C26</f>
        <v>171.35691</v>
      </c>
      <c r="D103" s="1768">
        <f t="shared" ref="D103:K103" si="20">D25+D26</f>
        <v>23.346</v>
      </c>
      <c r="E103" s="1768">
        <f t="shared" si="20"/>
        <v>62.5</v>
      </c>
      <c r="F103" s="1768">
        <f t="shared" si="20"/>
        <v>0</v>
      </c>
      <c r="G103" s="1768">
        <f t="shared" si="20"/>
        <v>0</v>
      </c>
      <c r="H103" s="1768">
        <f t="shared" si="20"/>
        <v>0</v>
      </c>
      <c r="I103" s="1768">
        <f t="shared" si="20"/>
        <v>0</v>
      </c>
      <c r="J103" s="1768">
        <f t="shared" si="20"/>
        <v>0</v>
      </c>
      <c r="K103" s="1768">
        <f t="shared" si="20"/>
        <v>0</v>
      </c>
    </row>
    <row r="104" spans="2:11" ht="15.6" x14ac:dyDescent="0.3">
      <c r="B104" s="1767" t="s">
        <v>2300</v>
      </c>
      <c r="C104" s="1768">
        <f>C38-C54+C24-C25-C26-C27-C28+C9</f>
        <v>1596.80234</v>
      </c>
      <c r="D104" s="1768">
        <f t="shared" ref="D104:K104" si="21">D38-D54+D24-D25-D26-D27-D28+D9</f>
        <v>686.17000000000019</v>
      </c>
      <c r="E104" s="1768">
        <f t="shared" si="21"/>
        <v>549.4741546076624</v>
      </c>
      <c r="F104" s="1768">
        <f t="shared" si="21"/>
        <v>630.57727955661858</v>
      </c>
      <c r="G104" s="1768">
        <f t="shared" si="21"/>
        <v>419.02871292178037</v>
      </c>
      <c r="H104" s="1768">
        <f t="shared" si="21"/>
        <v>123.52685005375756</v>
      </c>
      <c r="I104" s="1768">
        <f t="shared" si="21"/>
        <v>34.151636699464881</v>
      </c>
      <c r="J104" s="1768">
        <f t="shared" si="21"/>
        <v>89.375213354292669</v>
      </c>
      <c r="K104" s="1768">
        <f t="shared" si="21"/>
        <v>5.2914268640365556</v>
      </c>
    </row>
    <row r="105" spans="2:11" x14ac:dyDescent="0.25">
      <c r="C105" s="399">
        <f>C8-C95</f>
        <v>0</v>
      </c>
      <c r="D105" s="391"/>
      <c r="E105" s="391"/>
      <c r="F105" s="770"/>
    </row>
    <row r="106" spans="2:11" x14ac:dyDescent="0.25">
      <c r="C106" s="391"/>
      <c r="D106" s="391"/>
      <c r="E106" s="391"/>
      <c r="F106" s="770"/>
    </row>
    <row r="107" spans="2:11" x14ac:dyDescent="0.25">
      <c r="C107" s="391"/>
      <c r="D107" s="391"/>
      <c r="E107" s="391"/>
      <c r="F107" s="770"/>
    </row>
    <row r="108" spans="2:11" x14ac:dyDescent="0.25">
      <c r="C108" s="391"/>
      <c r="D108" s="391"/>
      <c r="E108" s="391"/>
      <c r="F108" s="770"/>
    </row>
    <row r="109" spans="2:11" x14ac:dyDescent="0.25">
      <c r="C109" s="391"/>
      <c r="D109" s="391"/>
      <c r="E109" s="391"/>
      <c r="F109" s="770"/>
    </row>
    <row r="110" spans="2:11" x14ac:dyDescent="0.25">
      <c r="C110" s="391"/>
      <c r="D110" s="391"/>
      <c r="E110" s="391"/>
      <c r="F110" s="770"/>
    </row>
    <row r="111" spans="2:11" x14ac:dyDescent="0.25">
      <c r="C111" s="391"/>
      <c r="D111" s="391"/>
      <c r="E111" s="391"/>
      <c r="F111" s="770"/>
    </row>
    <row r="112" spans="2:11" x14ac:dyDescent="0.25">
      <c r="C112" s="391"/>
      <c r="D112" s="391"/>
      <c r="E112" s="391"/>
      <c r="F112" s="770"/>
    </row>
    <row r="113" spans="3:6" x14ac:dyDescent="0.25">
      <c r="C113" s="391"/>
      <c r="D113" s="391"/>
      <c r="E113" s="391"/>
      <c r="F113" s="770"/>
    </row>
    <row r="114" spans="3:6" x14ac:dyDescent="0.25">
      <c r="C114" s="391"/>
      <c r="D114" s="391"/>
      <c r="E114" s="391"/>
      <c r="F114" s="770"/>
    </row>
    <row r="115" spans="3:6" x14ac:dyDescent="0.25">
      <c r="C115" s="391"/>
      <c r="D115" s="391"/>
      <c r="E115" s="391"/>
      <c r="F115" s="770"/>
    </row>
    <row r="116" spans="3:6" x14ac:dyDescent="0.25">
      <c r="C116" s="391"/>
      <c r="D116" s="391"/>
      <c r="E116" s="391"/>
      <c r="F116" s="770"/>
    </row>
    <row r="117" spans="3:6" x14ac:dyDescent="0.25">
      <c r="C117" s="391"/>
      <c r="D117" s="391"/>
      <c r="E117" s="391"/>
      <c r="F117" s="770"/>
    </row>
  </sheetData>
  <mergeCells count="7">
    <mergeCell ref="G64:I64"/>
    <mergeCell ref="B6:B7"/>
    <mergeCell ref="G6:M6"/>
    <mergeCell ref="P37:R37"/>
    <mergeCell ref="G61:I61"/>
    <mergeCell ref="G62:I62"/>
    <mergeCell ref="G63:I63"/>
  </mergeCells>
  <conditionalFormatting sqref="B93 D93 H93:J93">
    <cfRule type="expression" dxfId="27" priority="2" stopIfTrue="1">
      <formula>ABS(#REF!-(#REF!+#REF!+$M93+$O93))&gt;отклонение</formula>
    </cfRule>
  </conditionalFormatting>
  <conditionalFormatting sqref="G64:I64 M59:N64 B64:D64 K64:L64">
    <cfRule type="expression" dxfId="26" priority="3" stopIfTrue="1">
      <formula>ABS(#REF!-(#REF!+$D59+$M59+$O59))&gt;отклонение</formula>
    </cfRule>
  </conditionalFormatting>
  <conditionalFormatting sqref="G64:I64">
    <cfRule type="expression" dxfId="25" priority="1" stopIfTrue="1">
      <formula>ABS(#REF!-(#REF!+#REF!+$L64+$N64))&gt;отклонение</formula>
    </cfRule>
  </conditionalFormatting>
  <pageMargins left="0.23622047244094491" right="0.23622047244094491" top="0.15748031496062992" bottom="0.15748031496062992" header="0.31496062992125984" footer="0.31496062992125984"/>
  <pageSetup paperSize="9" scale="62" fitToHeight="2" orientation="landscape" r:id="rId1"/>
  <headerFooter alignWithMargins="0"/>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000-000000000000}">
  <sheetPr>
    <tabColor rgb="FFC00000"/>
    <pageSetUpPr fitToPage="1"/>
  </sheetPr>
  <dimension ref="B1:P38"/>
  <sheetViews>
    <sheetView topLeftCell="A4" workbookViewId="0">
      <selection activeCell="B14" sqref="B14"/>
    </sheetView>
  </sheetViews>
  <sheetFormatPr defaultColWidth="9.109375" defaultRowHeight="13.8" x14ac:dyDescent="0.25"/>
  <cols>
    <col min="1" max="1" width="4.109375" style="10" customWidth="1"/>
    <col min="2" max="2" width="64.88671875" style="10" customWidth="1"/>
    <col min="3" max="3" width="8.33203125" style="693" customWidth="1"/>
    <col min="4" max="4" width="11.6640625" style="10" customWidth="1"/>
    <col min="5" max="5" width="10.88671875" style="10" bestFit="1" customWidth="1"/>
    <col min="6" max="6" width="12.109375" style="10" customWidth="1"/>
    <col min="7" max="7" width="16" style="10" customWidth="1"/>
    <col min="8" max="8" width="8.6640625" style="10" bestFit="1" customWidth="1"/>
    <col min="9" max="9" width="9.88671875" style="10" bestFit="1" customWidth="1"/>
    <col min="10" max="10" width="10.6640625" style="10" customWidth="1"/>
    <col min="11" max="11" width="14.88671875" style="10" customWidth="1"/>
    <col min="12" max="12" width="8.6640625" style="10" customWidth="1"/>
    <col min="13" max="13" width="10.33203125" style="10" customWidth="1"/>
    <col min="14" max="14" width="12.6640625" style="10" bestFit="1" customWidth="1"/>
    <col min="15" max="15" width="9.33203125" style="10" bestFit="1" customWidth="1"/>
    <col min="16" max="16384" width="9.109375" style="10"/>
  </cols>
  <sheetData>
    <row r="1" spans="2:16" ht="15.6" x14ac:dyDescent="0.3">
      <c r="L1" s="45" t="s">
        <v>925</v>
      </c>
    </row>
    <row r="2" spans="2:16" ht="14.4" customHeight="1" x14ac:dyDescent="0.25">
      <c r="K2" s="5203" t="s">
        <v>2327</v>
      </c>
      <c r="L2" s="5203"/>
      <c r="M2" s="5203"/>
    </row>
    <row r="3" spans="2:16" ht="15.6" x14ac:dyDescent="0.3">
      <c r="B3" s="45" t="s">
        <v>1957</v>
      </c>
      <c r="C3" s="45"/>
      <c r="D3" s="45"/>
      <c r="E3" s="45"/>
      <c r="F3" s="45"/>
      <c r="G3" s="386" t="str">
        <f>'Вхідні дані'!F5</f>
        <v>КП «КТЕ"</v>
      </c>
      <c r="H3" s="152"/>
      <c r="I3" s="386"/>
      <c r="J3" s="887" t="s">
        <v>461</v>
      </c>
      <c r="K3" s="386" t="str">
        <f>'Вхідні дані'!F6</f>
        <v>2023-2024</v>
      </c>
      <c r="L3" s="10" t="s">
        <v>661</v>
      </c>
      <c r="M3" s="45"/>
    </row>
    <row r="4" spans="2:16" ht="14.4" thickBot="1" x14ac:dyDescent="0.3"/>
    <row r="5" spans="2:16" ht="14.4" thickBot="1" x14ac:dyDescent="0.3">
      <c r="B5" s="5125" t="s">
        <v>8</v>
      </c>
      <c r="C5" s="5127" t="s">
        <v>9</v>
      </c>
      <c r="D5" s="5127" t="s">
        <v>503</v>
      </c>
      <c r="E5" s="4866" t="s">
        <v>1951</v>
      </c>
      <c r="F5" s="5124"/>
      <c r="G5" s="5124"/>
      <c r="H5" s="5124"/>
      <c r="I5" s="5124"/>
      <c r="J5" s="4867"/>
      <c r="K5" s="4866" t="s">
        <v>1953</v>
      </c>
      <c r="L5" s="5124"/>
      <c r="M5" s="4867"/>
      <c r="N5" s="729">
        <f>E8+E17*ФОП!H44/1000+E26*ФОП!H49/1000</f>
        <v>37931.434425876265</v>
      </c>
    </row>
    <row r="6" spans="2:16" ht="28.2" thickBot="1" x14ac:dyDescent="0.3">
      <c r="B6" s="5126"/>
      <c r="C6" s="5128"/>
      <c r="D6" s="5128"/>
      <c r="E6" s="726" t="s">
        <v>1952</v>
      </c>
      <c r="F6" s="726" t="s">
        <v>869</v>
      </c>
      <c r="G6" s="1003" t="s">
        <v>1956</v>
      </c>
      <c r="H6" s="1002" t="s">
        <v>644</v>
      </c>
      <c r="I6" s="1002" t="s">
        <v>643</v>
      </c>
      <c r="J6" s="726" t="s">
        <v>902</v>
      </c>
      <c r="K6" s="1003" t="s">
        <v>1880</v>
      </c>
      <c r="L6" s="1002" t="s">
        <v>871</v>
      </c>
      <c r="M6" s="727" t="s">
        <v>1953</v>
      </c>
    </row>
    <row r="7" spans="2:16" ht="4.95" customHeight="1" x14ac:dyDescent="0.25">
      <c r="B7" s="730"/>
      <c r="C7" s="731"/>
      <c r="D7" s="730"/>
      <c r="E7" s="730"/>
      <c r="F7" s="730"/>
      <c r="G7" s="730"/>
      <c r="H7" s="730"/>
      <c r="I7" s="730"/>
      <c r="J7" s="730"/>
      <c r="K7" s="730"/>
      <c r="L7" s="730"/>
      <c r="M7" s="730"/>
    </row>
    <row r="8" spans="2:16" x14ac:dyDescent="0.25">
      <c r="B8" s="732" t="s">
        <v>1954</v>
      </c>
      <c r="C8" s="733" t="s">
        <v>1780</v>
      </c>
      <c r="D8" s="734">
        <f>E8+K8+L8+M8</f>
        <v>30506.830602360471</v>
      </c>
      <c r="E8" s="734">
        <f>F8+G8+J8</f>
        <v>26504.40454626047</v>
      </c>
      <c r="F8" s="734">
        <f>ФОП!H9/1000</f>
        <v>11228.939355305936</v>
      </c>
      <c r="G8" s="734">
        <f>H8+I8</f>
        <v>14520.984552954531</v>
      </c>
      <c r="H8" s="734">
        <f>Транспортування_2ст!G27</f>
        <v>3466.1638017167252</v>
      </c>
      <c r="I8" s="734">
        <f>Транспортування_2ст!H27</f>
        <v>11054.820751237807</v>
      </c>
      <c r="J8" s="734">
        <f>ФОП!H24/1000</f>
        <v>754.48063799999989</v>
      </c>
      <c r="K8" s="734">
        <f>ФОП!H29/1000</f>
        <v>4002.4260561000001</v>
      </c>
      <c r="L8" s="734">
        <f>ФОП!H39/1000</f>
        <v>0</v>
      </c>
      <c r="M8" s="734">
        <v>0</v>
      </c>
      <c r="N8" s="2119">
        <f>(ФОП!H54-ФОП!H44-ФОП!H49)/1000</f>
        <v>30506.830602360471</v>
      </c>
      <c r="O8" s="1223">
        <f>D8-N8</f>
        <v>0</v>
      </c>
    </row>
    <row r="9" spans="2:16" s="157" customFormat="1" x14ac:dyDescent="0.25">
      <c r="B9" s="4206" t="s">
        <v>1954</v>
      </c>
      <c r="C9" s="4208" t="s">
        <v>4</v>
      </c>
      <c r="D9" s="4209">
        <f>D8/$D$8</f>
        <v>1</v>
      </c>
      <c r="E9" s="4209">
        <f t="shared" ref="E9:M9" si="0">E8/$D$8</f>
        <v>0.86880229846655022</v>
      </c>
      <c r="F9" s="4210"/>
      <c r="G9" s="4210"/>
      <c r="H9" s="4210"/>
      <c r="I9" s="4210"/>
      <c r="J9" s="4210"/>
      <c r="K9" s="4209">
        <f t="shared" si="0"/>
        <v>0.13119770153344976</v>
      </c>
      <c r="L9" s="4209">
        <f t="shared" si="0"/>
        <v>0</v>
      </c>
      <c r="M9" s="4209">
        <f t="shared" si="0"/>
        <v>0</v>
      </c>
    </row>
    <row r="10" spans="2:16" ht="27.6" x14ac:dyDescent="0.25">
      <c r="B10" s="737" t="s">
        <v>1958</v>
      </c>
      <c r="C10" s="733" t="s">
        <v>1780</v>
      </c>
      <c r="D10" s="736"/>
      <c r="E10" s="734">
        <f>F10+G10+J10</f>
        <v>188086.41120390769</v>
      </c>
      <c r="F10" s="734">
        <f>Виробництво_1ст!F10</f>
        <v>143860.61850577858</v>
      </c>
      <c r="G10" s="734">
        <f>H10+I10</f>
        <v>42409.144058157552</v>
      </c>
      <c r="H10" s="734">
        <f>SUM(Транспортування_2ст!G14:G25)+Транспортування_2ст!G27+Транспортування_2ст!G29</f>
        <v>11724.913895069481</v>
      </c>
      <c r="I10" s="734">
        <f>SUM(Транспортування_2ст!H14:H25)+Транспортування_2ст!H27+Транспортування_2ст!H29</f>
        <v>30684.230163088068</v>
      </c>
      <c r="J10" s="734">
        <f>Постачання_1ст!F9</f>
        <v>1816.6486399715736</v>
      </c>
      <c r="K10" s="4224">
        <f>'Абон обсл 2022-23'!I9+'Абон обсл 2022-23'!I10+'Абон обсл 2022-23'!I11</f>
        <v>5562.1155732964808</v>
      </c>
      <c r="L10" s="4224"/>
      <c r="M10" s="4224"/>
    </row>
    <row r="11" spans="2:16" s="157" customFormat="1" ht="28.2" thickBot="1" x14ac:dyDescent="0.3">
      <c r="B11" s="4207" t="s">
        <v>1958</v>
      </c>
      <c r="C11" s="4211" t="s">
        <v>4</v>
      </c>
      <c r="D11" s="4210"/>
      <c r="E11" s="4212">
        <f t="shared" ref="E11:J11" si="1">E10/$E$10</f>
        <v>1</v>
      </c>
      <c r="F11" s="4212">
        <f t="shared" si="1"/>
        <v>0.76486449810463353</v>
      </c>
      <c r="G11" s="4212">
        <f t="shared" si="1"/>
        <v>0.22547691662945854</v>
      </c>
      <c r="H11" s="4212">
        <f t="shared" si="1"/>
        <v>6.2337910644476607E-2</v>
      </c>
      <c r="I11" s="4212">
        <f t="shared" si="1"/>
        <v>0.16313900598498193</v>
      </c>
      <c r="J11" s="4212">
        <f t="shared" si="1"/>
        <v>9.6585852659079874E-3</v>
      </c>
      <c r="K11" s="4213"/>
      <c r="L11" s="4213"/>
      <c r="M11" s="4213"/>
    </row>
    <row r="12" spans="2:16" ht="27.6" x14ac:dyDescent="0.25">
      <c r="B12" s="4228" t="s">
        <v>4053</v>
      </c>
      <c r="C12" s="4229" t="s">
        <v>1780</v>
      </c>
      <c r="D12" s="746">
        <f>ЗВВ_1ст!F8</f>
        <v>7841.4263543791521</v>
      </c>
      <c r="E12" s="744">
        <f>E13+E14</f>
        <v>6837.4400460745874</v>
      </c>
      <c r="F12" s="745"/>
      <c r="G12" s="745"/>
      <c r="H12" s="745"/>
      <c r="I12" s="745"/>
      <c r="J12" s="745"/>
      <c r="K12" s="744">
        <f>K13+K14</f>
        <v>1003.986308304564</v>
      </c>
      <c r="L12" s="744">
        <f t="shared" ref="L12:M12" si="2">L13+L14</f>
        <v>0</v>
      </c>
      <c r="M12" s="744">
        <f t="shared" si="2"/>
        <v>0</v>
      </c>
      <c r="P12" s="10" t="s">
        <v>846</v>
      </c>
    </row>
    <row r="13" spans="2:16" ht="27.6" x14ac:dyDescent="0.25">
      <c r="B13" s="725" t="s">
        <v>4051</v>
      </c>
      <c r="C13" s="693" t="s">
        <v>1780</v>
      </c>
      <c r="D13" s="4219">
        <v>4000</v>
      </c>
      <c r="E13" s="4220">
        <f>F13+G13+J13</f>
        <v>3500</v>
      </c>
      <c r="F13" s="4221">
        <v>1000</v>
      </c>
      <c r="G13" s="4221">
        <v>2000</v>
      </c>
      <c r="H13" s="4221">
        <v>500</v>
      </c>
      <c r="I13" s="4221">
        <v>1500</v>
      </c>
      <c r="J13" s="4221">
        <v>500</v>
      </c>
      <c r="K13" s="4222">
        <v>500</v>
      </c>
      <c r="L13" s="4218"/>
      <c r="M13" s="4218"/>
    </row>
    <row r="14" spans="2:16" ht="41.4" x14ac:dyDescent="0.25">
      <c r="B14" s="747" t="s">
        <v>4054</v>
      </c>
      <c r="C14" s="4214" t="s">
        <v>1780</v>
      </c>
      <c r="D14" s="4215">
        <f>D12-D13</f>
        <v>3841.4263543791521</v>
      </c>
      <c r="E14" s="4216">
        <f>D14*E9</f>
        <v>3337.4400460745878</v>
      </c>
      <c r="F14" s="4217"/>
      <c r="G14" s="4217"/>
      <c r="H14" s="4217"/>
      <c r="I14" s="4217"/>
      <c r="J14" s="4217"/>
      <c r="K14" s="4216">
        <f>D14*K9</f>
        <v>503.98630830456398</v>
      </c>
      <c r="L14" s="4216"/>
      <c r="M14" s="4216"/>
    </row>
    <row r="15" spans="2:16" ht="41.4" x14ac:dyDescent="0.25">
      <c r="B15" s="737" t="s">
        <v>4055</v>
      </c>
      <c r="C15" s="733" t="s">
        <v>1780</v>
      </c>
      <c r="D15" s="736"/>
      <c r="E15" s="734">
        <f>E14</f>
        <v>3337.4400460745878</v>
      </c>
      <c r="F15" s="734">
        <f>$E$15*F11</f>
        <v>2552.6894057951445</v>
      </c>
      <c r="G15" s="734">
        <f>$E$15*G11</f>
        <v>752.51569102457609</v>
      </c>
      <c r="H15" s="734">
        <f>$E$15*H11</f>
        <v>208.04903937349556</v>
      </c>
      <c r="I15" s="734">
        <f>$E$15*I11</f>
        <v>544.46665165108061</v>
      </c>
      <c r="J15" s="734">
        <f>$E$15*J11</f>
        <v>32.234949254867288</v>
      </c>
      <c r="K15" s="738"/>
      <c r="L15" s="738"/>
      <c r="M15" s="738"/>
    </row>
    <row r="16" spans="2:16" x14ac:dyDescent="0.25">
      <c r="B16" s="737" t="s">
        <v>1962</v>
      </c>
      <c r="C16" s="733" t="s">
        <v>1780</v>
      </c>
      <c r="D16" s="734">
        <f>D12</f>
        <v>7841.4263543791521</v>
      </c>
      <c r="E16" s="734">
        <f>E12</f>
        <v>6837.4400460745874</v>
      </c>
      <c r="F16" s="734">
        <f>F13+F15</f>
        <v>3552.6894057951445</v>
      </c>
      <c r="G16" s="734">
        <f t="shared" ref="G16:J16" si="3">G13+G15</f>
        <v>2752.515691024576</v>
      </c>
      <c r="H16" s="734">
        <f t="shared" si="3"/>
        <v>708.04903937349559</v>
      </c>
      <c r="I16" s="734">
        <f t="shared" si="3"/>
        <v>2044.4666516510806</v>
      </c>
      <c r="J16" s="734">
        <f t="shared" si="3"/>
        <v>532.23494925486727</v>
      </c>
      <c r="K16" s="734">
        <f>K13+K14</f>
        <v>1003.986308304564</v>
      </c>
      <c r="L16" s="734">
        <f>L12</f>
        <v>0</v>
      </c>
      <c r="M16" s="734">
        <f>M12</f>
        <v>0</v>
      </c>
      <c r="N16" s="729"/>
    </row>
    <row r="17" spans="2:14" ht="14.4" thickBot="1" x14ac:dyDescent="0.3">
      <c r="B17" s="739" t="s">
        <v>1963</v>
      </c>
      <c r="C17" s="740" t="s">
        <v>4</v>
      </c>
      <c r="D17" s="741">
        <f>D16/$D$16</f>
        <v>1</v>
      </c>
      <c r="E17" s="741">
        <f t="shared" ref="E17:M17" si="4">E16/$D$16</f>
        <v>0.87196381590144312</v>
      </c>
      <c r="F17" s="741">
        <f t="shared" si="4"/>
        <v>0.45306673113254403</v>
      </c>
      <c r="G17" s="741">
        <f t="shared" si="4"/>
        <v>0.35102232255071752</v>
      </c>
      <c r="H17" s="741">
        <f t="shared" si="4"/>
        <v>9.0295949662024935E-2</v>
      </c>
      <c r="I17" s="741">
        <f t="shared" si="4"/>
        <v>0.26072637288869266</v>
      </c>
      <c r="J17" s="741">
        <f t="shared" si="4"/>
        <v>6.7874762218181561E-2</v>
      </c>
      <c r="K17" s="741">
        <f t="shared" si="4"/>
        <v>0.12803618409855677</v>
      </c>
      <c r="L17" s="741">
        <f t="shared" si="4"/>
        <v>0</v>
      </c>
      <c r="M17" s="741">
        <f t="shared" si="4"/>
        <v>0</v>
      </c>
    </row>
    <row r="18" spans="2:14" ht="6" customHeight="1" thickBot="1" x14ac:dyDescent="0.3">
      <c r="B18" s="725"/>
      <c r="D18" s="728"/>
      <c r="E18" s="728"/>
      <c r="F18" s="728"/>
      <c r="G18" s="728"/>
      <c r="H18" s="728"/>
      <c r="I18" s="728"/>
      <c r="J18" s="728"/>
      <c r="K18" s="728"/>
      <c r="L18" s="728"/>
      <c r="M18" s="728"/>
    </row>
    <row r="19" spans="2:14" ht="27.6" x14ac:dyDescent="0.25">
      <c r="B19" s="743" t="s">
        <v>4052</v>
      </c>
      <c r="C19" s="731" t="s">
        <v>1780</v>
      </c>
      <c r="D19" s="4225">
        <f>E19+K19</f>
        <v>201489.95313158332</v>
      </c>
      <c r="E19" s="744">
        <f>E10+E16</f>
        <v>194923.85124998228</v>
      </c>
      <c r="F19" s="748"/>
      <c r="G19" s="748"/>
      <c r="H19" s="748"/>
      <c r="I19" s="748"/>
      <c r="J19" s="748"/>
      <c r="K19" s="4223">
        <f>K10+K16</f>
        <v>6566.1018816010446</v>
      </c>
      <c r="L19" s="4223"/>
      <c r="M19" s="4223"/>
      <c r="N19" s="729">
        <f>F19+G19+J19</f>
        <v>0</v>
      </c>
    </row>
    <row r="20" spans="2:14" s="157" customFormat="1" ht="28.2" thickBot="1" x14ac:dyDescent="0.3">
      <c r="B20" s="4226" t="s">
        <v>1964</v>
      </c>
      <c r="C20" s="4208" t="s">
        <v>4</v>
      </c>
      <c r="D20" s="4227">
        <f>E20+K20</f>
        <v>1</v>
      </c>
      <c r="E20" s="4209">
        <f>E19/$D$19</f>
        <v>0.96741226160634908</v>
      </c>
      <c r="F20" s="4210"/>
      <c r="G20" s="4210"/>
      <c r="H20" s="4210"/>
      <c r="I20" s="4210"/>
      <c r="J20" s="4210"/>
      <c r="K20" s="4209">
        <f>K19/$D$19</f>
        <v>3.2587738393651033E-2</v>
      </c>
      <c r="L20" s="4227"/>
      <c r="M20" s="4227"/>
    </row>
    <row r="21" spans="2:14" ht="30" customHeight="1" x14ac:dyDescent="0.25">
      <c r="B21" s="743" t="s">
        <v>4056</v>
      </c>
      <c r="C21" s="731" t="s">
        <v>1780</v>
      </c>
      <c r="D21" s="4230"/>
      <c r="E21" s="744">
        <f>E10+E16</f>
        <v>194923.85124998228</v>
      </c>
      <c r="F21" s="744">
        <f>F10+F16</f>
        <v>147413.30791157373</v>
      </c>
      <c r="G21" s="744">
        <f t="shared" ref="G21:J21" si="5">G10+G16</f>
        <v>45161.65974918213</v>
      </c>
      <c r="H21" s="744">
        <f t="shared" si="5"/>
        <v>12432.962934442978</v>
      </c>
      <c r="I21" s="744">
        <f t="shared" si="5"/>
        <v>32728.696814739149</v>
      </c>
      <c r="J21" s="744">
        <f t="shared" si="5"/>
        <v>2348.883589226441</v>
      </c>
      <c r="K21" s="748"/>
      <c r="L21" s="748"/>
      <c r="M21" s="748"/>
      <c r="N21" s="729">
        <f>F21+G21+J21</f>
        <v>194923.85124998228</v>
      </c>
    </row>
    <row r="22" spans="2:14" s="157" customFormat="1" ht="27.6" x14ac:dyDescent="0.25">
      <c r="B22" s="4226" t="s">
        <v>4057</v>
      </c>
      <c r="C22" s="4208" t="s">
        <v>4</v>
      </c>
      <c r="D22" s="4210"/>
      <c r="E22" s="4209">
        <f t="shared" ref="E22" si="6">E19/$E$19</f>
        <v>1</v>
      </c>
      <c r="F22" s="4209">
        <f>F21/$E$21</f>
        <v>0.75626100636869664</v>
      </c>
      <c r="G22" s="4209">
        <f t="shared" ref="G22:J22" si="7">G21/$E$21</f>
        <v>0.23168873105869456</v>
      </c>
      <c r="H22" s="4209">
        <f t="shared" si="7"/>
        <v>6.378369221988224E-2</v>
      </c>
      <c r="I22" s="4209">
        <f t="shared" si="7"/>
        <v>0.1679050388388123</v>
      </c>
      <c r="J22" s="4209">
        <f t="shared" si="7"/>
        <v>1.2050262572608874E-2</v>
      </c>
      <c r="K22" s="4227"/>
      <c r="L22" s="4227"/>
      <c r="M22" s="4227"/>
    </row>
    <row r="23" spans="2:14" ht="31.2" customHeight="1" x14ac:dyDescent="0.25">
      <c r="B23" s="4231" t="s">
        <v>4058</v>
      </c>
      <c r="C23" s="733" t="s">
        <v>1780</v>
      </c>
      <c r="D23" s="734">
        <f>Адміністративні_1ст!F8</f>
        <v>9533.0845712164319</v>
      </c>
      <c r="E23" s="734">
        <f>D23*E9</f>
        <v>8282.3657869488434</v>
      </c>
      <c r="F23" s="736"/>
      <c r="G23" s="736"/>
      <c r="H23" s="736"/>
      <c r="I23" s="736"/>
      <c r="J23" s="736"/>
      <c r="K23" s="734">
        <f>$D$23*K9</f>
        <v>1250.7187842675883</v>
      </c>
      <c r="L23" s="734">
        <f>$D$23*L9</f>
        <v>0</v>
      </c>
      <c r="M23" s="734">
        <f>$D$23*M9</f>
        <v>0</v>
      </c>
    </row>
    <row r="24" spans="2:14" ht="27.6" x14ac:dyDescent="0.25">
      <c r="B24" s="737" t="s">
        <v>1965</v>
      </c>
      <c r="C24" s="733" t="s">
        <v>1780</v>
      </c>
      <c r="D24" s="736"/>
      <c r="E24" s="734">
        <f>E23</f>
        <v>8282.3657869488434</v>
      </c>
      <c r="F24" s="734">
        <f>$E$24*F22</f>
        <v>6263.6302851515948</v>
      </c>
      <c r="G24" s="734">
        <f>$E$24*G22</f>
        <v>1918.9308193421236</v>
      </c>
      <c r="H24" s="734">
        <f>$E$24*H22</f>
        <v>528.27987020722776</v>
      </c>
      <c r="I24" s="734">
        <f>$E$24*I22</f>
        <v>1390.6509491348959</v>
      </c>
      <c r="J24" s="734">
        <f>$E$24*J22</f>
        <v>99.804682455125899</v>
      </c>
      <c r="K24" s="736"/>
      <c r="L24" s="736"/>
      <c r="M24" s="736"/>
    </row>
    <row r="25" spans="2:14" x14ac:dyDescent="0.25">
      <c r="B25" s="737" t="s">
        <v>1967</v>
      </c>
      <c r="C25" s="733" t="s">
        <v>1780</v>
      </c>
      <c r="D25" s="734">
        <f>D23</f>
        <v>9533.0845712164319</v>
      </c>
      <c r="E25" s="734">
        <f t="shared" ref="E25:M25" si="8">E23</f>
        <v>8282.3657869488434</v>
      </c>
      <c r="F25" s="734">
        <f>F24</f>
        <v>6263.6302851515948</v>
      </c>
      <c r="G25" s="734">
        <f>G24</f>
        <v>1918.9308193421236</v>
      </c>
      <c r="H25" s="734">
        <f>H24</f>
        <v>528.27987020722776</v>
      </c>
      <c r="I25" s="734">
        <f>I24</f>
        <v>1390.6509491348959</v>
      </c>
      <c r="J25" s="734">
        <f>J24</f>
        <v>99.804682455125899</v>
      </c>
      <c r="K25" s="734">
        <f t="shared" si="8"/>
        <v>1250.7187842675883</v>
      </c>
      <c r="L25" s="734">
        <f t="shared" si="8"/>
        <v>0</v>
      </c>
      <c r="M25" s="734">
        <f t="shared" si="8"/>
        <v>0</v>
      </c>
    </row>
    <row r="26" spans="2:14" ht="14.4" thickBot="1" x14ac:dyDescent="0.3">
      <c r="B26" s="739" t="s">
        <v>1984</v>
      </c>
      <c r="C26" s="740" t="s">
        <v>4</v>
      </c>
      <c r="D26" s="741">
        <f>D25/$D$25</f>
        <v>1</v>
      </c>
      <c r="E26" s="741">
        <f t="shared" ref="E26:M26" si="9">E25/$D$25</f>
        <v>0.86880229846655022</v>
      </c>
      <c r="F26" s="741">
        <f t="shared" si="9"/>
        <v>0.6570413005737501</v>
      </c>
      <c r="G26" s="741">
        <f t="shared" si="9"/>
        <v>0.20129170207259223</v>
      </c>
      <c r="H26" s="741">
        <f t="shared" si="9"/>
        <v>5.5415418405316705E-2</v>
      </c>
      <c r="I26" s="741">
        <f t="shared" si="9"/>
        <v>0.14587628366727554</v>
      </c>
      <c r="J26" s="741">
        <f t="shared" si="9"/>
        <v>1.0469295820208035E-2</v>
      </c>
      <c r="K26" s="741">
        <f t="shared" si="9"/>
        <v>0.13119770153344976</v>
      </c>
      <c r="L26" s="741">
        <f t="shared" si="9"/>
        <v>0</v>
      </c>
      <c r="M26" s="741">
        <f t="shared" si="9"/>
        <v>0</v>
      </c>
    </row>
    <row r="29" spans="2:14" ht="18" x14ac:dyDescent="0.35">
      <c r="B29" s="419" t="str">
        <f>'Вхідні дані'!B13</f>
        <v>Директор підприємства</v>
      </c>
      <c r="C29" s="419"/>
      <c r="D29" s="419"/>
      <c r="E29" s="498" t="s">
        <v>1400</v>
      </c>
      <c r="G29" s="5204" t="str">
        <f>'Вхідні дані'!$F$13</f>
        <v>Анатолій ПАНШИН</v>
      </c>
      <c r="H29" s="5204"/>
      <c r="I29" s="5204"/>
      <c r="J29" s="45"/>
    </row>
    <row r="30" spans="2:14" ht="18" x14ac:dyDescent="0.35">
      <c r="B30" s="419"/>
      <c r="C30" s="419"/>
      <c r="D30" s="419"/>
      <c r="E30" s="498" t="s">
        <v>209</v>
      </c>
      <c r="G30" s="5205" t="s">
        <v>1985</v>
      </c>
      <c r="H30" s="5205"/>
      <c r="I30" s="5205"/>
      <c r="J30" s="45"/>
    </row>
    <row r="31" spans="2:14" ht="18" x14ac:dyDescent="0.35">
      <c r="B31" s="419" t="str">
        <f>'Вхідні дані'!$B$15</f>
        <v>Заступник директора з економіки</v>
      </c>
      <c r="C31" s="419"/>
      <c r="D31" s="419"/>
      <c r="E31" s="498" t="s">
        <v>1400</v>
      </c>
      <c r="G31" s="5204" t="str">
        <f>'Вхідні дані'!$F$15</f>
        <v>Олена ЛАВРОВА</v>
      </c>
      <c r="H31" s="5204"/>
      <c r="I31" s="5204"/>
      <c r="J31" s="45"/>
    </row>
    <row r="32" spans="2:14" ht="18" x14ac:dyDescent="0.35">
      <c r="B32" s="418"/>
      <c r="C32" s="418"/>
      <c r="D32" s="418"/>
      <c r="E32" s="498" t="s">
        <v>209</v>
      </c>
      <c r="G32" s="5205" t="s">
        <v>1985</v>
      </c>
      <c r="H32" s="5205"/>
      <c r="I32" s="5205"/>
      <c r="J32" s="45"/>
    </row>
    <row r="36" spans="4:13" x14ac:dyDescent="0.25">
      <c r="D36" s="902">
        <f>'БАЗИ РОЗПОДІЛУ'!D15</f>
        <v>1</v>
      </c>
      <c r="E36" s="902">
        <f>'БАЗИ РОЗПОДІЛУ'!E15</f>
        <v>0.86880229846655022</v>
      </c>
      <c r="F36" s="902">
        <f>'БАЗИ РОЗПОДІЛУ'!F15</f>
        <v>0.66451603396877001</v>
      </c>
      <c r="G36" s="902">
        <f>'БАЗИ РОЗПОДІЛУ'!G15</f>
        <v>0.19589486341882431</v>
      </c>
      <c r="H36" s="902">
        <f>'БАЗИ РОЗПОДІЛУ'!H15</f>
        <v>5.4159320049523708E-2</v>
      </c>
      <c r="I36" s="902">
        <f>'БАЗИ РОЗПОДІЛУ'!I15</f>
        <v>0.14173554336930061</v>
      </c>
      <c r="J36" s="902">
        <f>'БАЗИ РОЗПОДІЛУ'!J15</f>
        <v>8.3914010789560151E-3</v>
      </c>
      <c r="K36" s="902">
        <f>'БАЗИ РОЗПОДІЛУ'!K15</f>
        <v>0.13119770153344976</v>
      </c>
      <c r="L36" s="902">
        <f>'БАЗИ РОЗПОДІЛУ'!L15</f>
        <v>0</v>
      </c>
      <c r="M36" s="902">
        <f>'БАЗИ РОЗПОДІЛУ'!M15</f>
        <v>0</v>
      </c>
    </row>
    <row r="38" spans="4:13" x14ac:dyDescent="0.25">
      <c r="D38" s="902">
        <f>'БАЗИ РОЗПОДІЛУ'!D22</f>
        <v>1</v>
      </c>
      <c r="E38" s="902">
        <f>'БАЗИ РОЗПОДІЛУ'!E22</f>
        <v>0.86880229846655022</v>
      </c>
      <c r="F38" s="902">
        <f>'БАЗИ РОЗПОДІЛУ'!F22</f>
        <v>0.66451603396876979</v>
      </c>
      <c r="G38" s="902">
        <f>'БАЗИ РОЗПОДІЛУ'!G22</f>
        <v>0.19589486341882428</v>
      </c>
      <c r="H38" s="902">
        <f>'БАЗИ РОЗПОДІЛУ'!H22</f>
        <v>5.4159320049523701E-2</v>
      </c>
      <c r="I38" s="902">
        <f>'БАЗИ РОЗПОДІЛУ'!I22</f>
        <v>0.14173554336930061</v>
      </c>
      <c r="J38" s="902">
        <f>'БАЗИ РОЗПОДІЛУ'!J22</f>
        <v>8.3914010789560133E-3</v>
      </c>
      <c r="K38" s="902">
        <f>'БАЗИ РОЗПОДІЛУ'!K22</f>
        <v>0.13119770153344976</v>
      </c>
      <c r="L38" s="902">
        <f>'БАЗИ РОЗПОДІЛУ'!L22</f>
        <v>0</v>
      </c>
      <c r="M38" s="902">
        <f>'БАЗИ РОЗПОДІЛУ'!M22</f>
        <v>0</v>
      </c>
    </row>
  </sheetData>
  <mergeCells count="10">
    <mergeCell ref="G29:I29"/>
    <mergeCell ref="G30:I30"/>
    <mergeCell ref="G31:I31"/>
    <mergeCell ref="G32:I32"/>
    <mergeCell ref="K2:M2"/>
    <mergeCell ref="B5:B6"/>
    <mergeCell ref="C5:C6"/>
    <mergeCell ref="D5:D6"/>
    <mergeCell ref="E5:J5"/>
    <mergeCell ref="K5:M5"/>
  </mergeCells>
  <conditionalFormatting sqref="B32:D32 G32:I32">
    <cfRule type="expression" dxfId="24" priority="1" stopIfTrue="1">
      <formula>ABS(#REF!-(#REF!+#REF!+$L32+$N32))&gt;отклонение</formula>
    </cfRule>
  </conditionalFormatting>
  <pageMargins left="0.35433070866141736" right="0.27559055118110237" top="0.74803149606299213" bottom="0.31496062992125984" header="0.31496062992125984" footer="0.31496062992125984"/>
  <pageSetup paperSize="9" scale="75" orientation="landscape" horizontalDpi="0"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Лист9">
    <tabColor rgb="FF0000FF"/>
    <pageSetUpPr fitToPage="1"/>
  </sheetPr>
  <dimension ref="A1:L143"/>
  <sheetViews>
    <sheetView workbookViewId="0">
      <selection activeCell="F9" sqref="F9"/>
    </sheetView>
  </sheetViews>
  <sheetFormatPr defaultColWidth="8.88671875" defaultRowHeight="13.8" x14ac:dyDescent="0.25"/>
  <cols>
    <col min="1" max="1" width="5.33203125" style="1445" customWidth="1"/>
    <col min="2" max="2" width="40.88671875" style="1788" customWidth="1"/>
    <col min="3" max="3" width="8" style="1788" customWidth="1"/>
    <col min="4" max="4" width="10.88671875" style="10" customWidth="1"/>
    <col min="5" max="5" width="11.33203125" style="10" customWidth="1"/>
    <col min="6" max="6" width="10.6640625" style="10" customWidth="1"/>
    <col min="7" max="7" width="11.44140625" style="10" customWidth="1"/>
    <col min="8" max="8" width="0" style="10" hidden="1" customWidth="1"/>
    <col min="9" max="9" width="11.33203125" style="1121" hidden="1" customWidth="1"/>
    <col min="10" max="12" width="11.33203125" style="10" hidden="1" customWidth="1"/>
    <col min="13" max="16384" width="8.88671875" style="10"/>
  </cols>
  <sheetData>
    <row r="1" spans="1:12" s="45" customFormat="1" ht="78" customHeight="1" x14ac:dyDescent="0.3">
      <c r="A1" s="1794"/>
      <c r="B1" s="1796"/>
      <c r="C1" s="1796"/>
      <c r="D1" s="3079"/>
      <c r="E1" s="4895" t="s">
        <v>3470</v>
      </c>
      <c r="F1" s="4895"/>
      <c r="G1" s="4895"/>
      <c r="H1" s="1499"/>
    </row>
    <row r="2" spans="1:12" s="45" customFormat="1" ht="15.6" x14ac:dyDescent="0.3">
      <c r="A2" s="4911" t="s">
        <v>4170</v>
      </c>
      <c r="B2" s="4911"/>
      <c r="C2" s="4911"/>
      <c r="D2" s="4911"/>
      <c r="E2" s="4911"/>
      <c r="F2" s="4911"/>
      <c r="G2" s="4911"/>
      <c r="I2" s="1499"/>
    </row>
    <row r="3" spans="1:12" s="45" customFormat="1" ht="67.2" customHeight="1" x14ac:dyDescent="0.3">
      <c r="A3" s="4912" t="s">
        <v>4172</v>
      </c>
      <c r="B3" s="4912"/>
      <c r="C3" s="4912"/>
      <c r="D3" s="4912"/>
      <c r="E3" s="4912"/>
      <c r="F3" s="4912"/>
      <c r="G3" s="4912"/>
      <c r="I3" s="1499"/>
    </row>
    <row r="4" spans="1:12" s="45" customFormat="1" ht="14.4" customHeight="1" x14ac:dyDescent="0.3">
      <c r="A4" s="1811"/>
      <c r="B4" s="1811"/>
      <c r="C4" s="1811"/>
      <c r="D4" s="1793"/>
      <c r="E4" s="4927" t="s">
        <v>211</v>
      </c>
      <c r="F4" s="4927"/>
      <c r="G4" s="4927"/>
      <c r="I4" s="1499"/>
    </row>
    <row r="5" spans="1:12" s="40" customFormat="1" ht="15.6" x14ac:dyDescent="0.3">
      <c r="A5" s="4925" t="s">
        <v>2864</v>
      </c>
      <c r="B5" s="4915" t="s">
        <v>110</v>
      </c>
      <c r="C5" s="4915" t="s">
        <v>2255</v>
      </c>
      <c r="D5" s="4917" t="s">
        <v>2865</v>
      </c>
      <c r="E5" s="4918"/>
      <c r="F5" s="4918"/>
      <c r="G5" s="4919"/>
      <c r="I5" s="1806"/>
    </row>
    <row r="6" spans="1:12" s="40" customFormat="1" ht="39.6" x14ac:dyDescent="0.3">
      <c r="A6" s="4926"/>
      <c r="B6" s="4916"/>
      <c r="C6" s="4916"/>
      <c r="D6" s="1475" t="s">
        <v>2736</v>
      </c>
      <c r="E6" s="1475" t="s">
        <v>2737</v>
      </c>
      <c r="F6" s="1475" t="s">
        <v>2866</v>
      </c>
      <c r="G6" s="1475" t="s">
        <v>2810</v>
      </c>
      <c r="I6" s="1806"/>
    </row>
    <row r="7" spans="1:12" s="40" customFormat="1" ht="15.6" x14ac:dyDescent="0.3">
      <c r="A7" s="1611" t="s">
        <v>2691</v>
      </c>
      <c r="B7" s="1810">
        <v>1</v>
      </c>
      <c r="C7" s="1810">
        <v>2</v>
      </c>
      <c r="D7" s="1611">
        <v>3</v>
      </c>
      <c r="E7" s="1611">
        <v>4</v>
      </c>
      <c r="F7" s="1611">
        <v>5</v>
      </c>
      <c r="G7" s="1611">
        <v>6</v>
      </c>
      <c r="I7" s="1806"/>
    </row>
    <row r="8" spans="1:12" s="45" customFormat="1" ht="15.6" x14ac:dyDescent="0.3">
      <c r="A8" s="4902" t="s">
        <v>2867</v>
      </c>
      <c r="B8" s="4902"/>
      <c r="C8" s="4902"/>
      <c r="D8" s="4902"/>
      <c r="E8" s="4902"/>
      <c r="F8" s="4902"/>
      <c r="G8" s="4902"/>
      <c r="I8" s="1499"/>
    </row>
    <row r="9" spans="1:12" s="45" customFormat="1" ht="39.6" x14ac:dyDescent="0.3">
      <c r="A9" s="1611">
        <v>1</v>
      </c>
      <c r="B9" s="1800" t="s">
        <v>2868</v>
      </c>
      <c r="C9" s="1475" t="s">
        <v>2286</v>
      </c>
      <c r="D9" s="1804">
        <f>'ТЕ_2ст_тариф_без ЦТП'!I214</f>
        <v>1022.9</v>
      </c>
      <c r="E9" s="4605">
        <f>'ТЕ_2ст_тариф_без ЦТП'!L214</f>
        <v>2009.91</v>
      </c>
      <c r="F9" s="1804">
        <f>'ТЕ_2ст_тариф_без ЦТП'!O214</f>
        <v>2009.91</v>
      </c>
      <c r="G9" s="1804">
        <f>'ТЕ_2ст_тариф_без ЦТП'!R214</f>
        <v>2009.91</v>
      </c>
      <c r="I9" s="3078">
        <f>D9*1.2</f>
        <v>1227.48</v>
      </c>
      <c r="J9" s="3078">
        <f t="shared" ref="J9:L10" si="0">E9*1.2</f>
        <v>2411.8919999999998</v>
      </c>
      <c r="K9" s="3078">
        <f t="shared" si="0"/>
        <v>2411.8919999999998</v>
      </c>
      <c r="L9" s="3078">
        <f>G9*1.2</f>
        <v>2411.8919999999998</v>
      </c>
    </row>
    <row r="10" spans="1:12" s="45" customFormat="1" ht="40.200000000000003" customHeight="1" x14ac:dyDescent="0.3">
      <c r="A10" s="1611">
        <v>2</v>
      </c>
      <c r="B10" s="1800" t="s">
        <v>2869</v>
      </c>
      <c r="C10" s="1475" t="s">
        <v>3058</v>
      </c>
      <c r="D10" s="1804">
        <f>'ТЕ_2ст_тариф_без ЦТП'!J224</f>
        <v>100654.02</v>
      </c>
      <c r="E10" s="1804">
        <f>'ТЕ_2ст_тариф_без ЦТП'!M224</f>
        <v>117803.48</v>
      </c>
      <c r="F10" s="1804">
        <f>'ТЕ_2ст_тариф_без ЦТП'!P224</f>
        <v>117803.48</v>
      </c>
      <c r="G10" s="1804">
        <f>'ТЕ_2ст_тариф_без ЦТП'!S224</f>
        <v>117803.48</v>
      </c>
      <c r="I10" s="3078">
        <f>D10*1.2</f>
        <v>120784.82399999999</v>
      </c>
      <c r="J10" s="3078">
        <f t="shared" si="0"/>
        <v>141364.17599999998</v>
      </c>
      <c r="K10" s="3078">
        <f t="shared" si="0"/>
        <v>141364.17599999998</v>
      </c>
      <c r="L10" s="3078">
        <f t="shared" si="0"/>
        <v>141364.17599999998</v>
      </c>
    </row>
    <row r="11" spans="1:12" s="45" customFormat="1" ht="15.6" x14ac:dyDescent="0.3">
      <c r="A11" s="4903" t="s">
        <v>2870</v>
      </c>
      <c r="B11" s="4904"/>
      <c r="C11" s="4904"/>
      <c r="D11" s="4904"/>
      <c r="E11" s="4904"/>
      <c r="F11" s="4904"/>
      <c r="G11" s="4905"/>
      <c r="I11" s="1499"/>
    </row>
    <row r="12" spans="1:12" s="45" customFormat="1" ht="26.4" x14ac:dyDescent="0.3">
      <c r="A12" s="1611">
        <v>3</v>
      </c>
      <c r="B12" s="1800" t="s">
        <v>3059</v>
      </c>
      <c r="C12" s="1475" t="s">
        <v>2160</v>
      </c>
      <c r="D12" s="3147">
        <f>'ТЕ_2ст_тариф_без ЦТП'!I30</f>
        <v>90.271057497103627</v>
      </c>
      <c r="E12" s="3147">
        <f>'ТЕ_2ст_тариф_без ЦТП'!L30</f>
        <v>1.4602989074179139E-2</v>
      </c>
      <c r="F12" s="3147">
        <f>'ТЕ_2ст_тариф_без ЦТП'!O30</f>
        <v>13.752767963175286</v>
      </c>
      <c r="G12" s="3147">
        <f>'ТЕ_2ст_тариф_без ЦТП'!R30</f>
        <v>4.6371042268930927</v>
      </c>
      <c r="I12" s="1807">
        <f>'ТЕ_2ст_тариф_без ЦТП'!E30-'Рішення 3Д'!D16-'Рішення 3Д'!E16-'Рішення 3Д'!F16-'Рішення 3Д'!G16</f>
        <v>-7.9936057773011271E-15</v>
      </c>
    </row>
    <row r="13" spans="1:12" s="45" customFormat="1" ht="26.4" x14ac:dyDescent="0.3">
      <c r="A13" s="1801" t="s">
        <v>2873</v>
      </c>
      <c r="B13" s="1802" t="s">
        <v>2876</v>
      </c>
      <c r="C13" s="1006" t="s">
        <v>2160</v>
      </c>
      <c r="D13" s="3147">
        <f>'ТЕ_2ст_тариф_без ЦТП'!I14</f>
        <v>82.049342543904487</v>
      </c>
      <c r="E13" s="3147">
        <f>'ТЕ_2ст_тариф_без ЦТП'!L14</f>
        <v>1.3291675959893333E-2</v>
      </c>
      <c r="F13" s="3147">
        <f>'ТЕ_2ст_тариф_без ЦТП'!O14</f>
        <v>12.519553368115806</v>
      </c>
      <c r="G13" s="3147">
        <f>'ТЕ_2ст_тариф_без ЦТП'!R14</f>
        <v>4.2136191041387132</v>
      </c>
      <c r="I13" s="1157">
        <f>D28+D64+D100</f>
        <v>100654.02687081962</v>
      </c>
      <c r="J13" s="1157">
        <f>E28+E64+E100</f>
        <v>117803.48304835665</v>
      </c>
      <c r="K13" s="1157">
        <f>F28+F64+F100</f>
        <v>117803.48304835663</v>
      </c>
      <c r="L13" s="1157">
        <f>G28+G64+G100</f>
        <v>117803.48304835663</v>
      </c>
    </row>
    <row r="14" spans="1:12" s="45" customFormat="1" ht="15.6" customHeight="1" x14ac:dyDescent="0.3">
      <c r="A14" s="1611" t="s">
        <v>2874</v>
      </c>
      <c r="B14" s="2023" t="s">
        <v>644</v>
      </c>
      <c r="C14" s="1006" t="s">
        <v>2160</v>
      </c>
      <c r="D14" s="3147">
        <f>'ТЕ_2ст_тариф_без ЦТП'!I15</f>
        <v>13.668480880354855</v>
      </c>
      <c r="E14" s="3147">
        <f>'ТЕ_2ст_тариф_без ЦТП'!L15</f>
        <v>0</v>
      </c>
      <c r="F14" s="3147">
        <f>'ТЕ_2ст_тариф_без ЦТП'!O15</f>
        <v>2.0104763849135998</v>
      </c>
      <c r="G14" s="3147">
        <f>'ТЕ_2ст_тариф_без ЦТП'!R15</f>
        <v>0.76925616016375076</v>
      </c>
      <c r="I14" s="1157">
        <f>D20</f>
        <v>889.12343253867959</v>
      </c>
      <c r="J14" s="1157">
        <f>E20</f>
        <v>1876.1334419091138</v>
      </c>
      <c r="K14" s="1157">
        <f>F20</f>
        <v>1876.1334419091138</v>
      </c>
      <c r="L14" s="1157">
        <f>G20</f>
        <v>1876.133441909114</v>
      </c>
    </row>
    <row r="15" spans="1:12" s="45" customFormat="1" ht="15.6" customHeight="1" x14ac:dyDescent="0.3">
      <c r="A15" s="1611" t="s">
        <v>2875</v>
      </c>
      <c r="B15" s="2023" t="s">
        <v>643</v>
      </c>
      <c r="C15" s="1006" t="s">
        <v>2160</v>
      </c>
      <c r="D15" s="3147">
        <f>'ТЕ_2ст_тариф_без ЦТП'!I16</f>
        <v>68.380861663549609</v>
      </c>
      <c r="E15" s="3147">
        <f>'ТЕ_2ст_тариф_без ЦТП'!L16</f>
        <v>1.3291675959893333E-2</v>
      </c>
      <c r="F15" s="3147">
        <f>'ТЕ_2ст_тариф_без ЦТП'!O16</f>
        <v>10.509076983202204</v>
      </c>
      <c r="G15" s="3147">
        <f>'ТЕ_2ст_тариф_без ЦТП'!R16</f>
        <v>3.4443629439749621</v>
      </c>
      <c r="I15" s="1157">
        <f>D59</f>
        <v>133.78463036930509</v>
      </c>
      <c r="J15" s="1157">
        <f>E59</f>
        <v>133.78463036930506</v>
      </c>
      <c r="K15" s="1157">
        <f>F59</f>
        <v>133.78463036930509</v>
      </c>
      <c r="L15" s="1157">
        <f>G59</f>
        <v>133.78463036930506</v>
      </c>
    </row>
    <row r="16" spans="1:12" s="45" customFormat="1" ht="15.6" customHeight="1" x14ac:dyDescent="0.3">
      <c r="A16" s="1611">
        <v>4</v>
      </c>
      <c r="B16" s="2023" t="s">
        <v>2189</v>
      </c>
      <c r="C16" s="1823" t="s">
        <v>31</v>
      </c>
      <c r="D16" s="3147">
        <f>'ТЕ_2ст_тариф_без ЦТП'!J17</f>
        <v>59.458515646999999</v>
      </c>
      <c r="E16" s="3147">
        <f>'ТЕ_2ст_тариф_без ЦТП'!M17</f>
        <v>9.6319999999999999E-3</v>
      </c>
      <c r="F16" s="3147">
        <f>'ТЕ_2ст_тариф_без ЦТП'!P17</f>
        <v>9.0724704999999997</v>
      </c>
      <c r="G16" s="3147">
        <f>'ТЕ_2ст_тариф_без ЦТП'!S17</f>
        <v>3.05345837</v>
      </c>
      <c r="I16" s="1157">
        <f>D9</f>
        <v>1022.9</v>
      </c>
      <c r="J16" s="1157">
        <f>E9</f>
        <v>2009.91</v>
      </c>
      <c r="K16" s="1157">
        <f>F9</f>
        <v>2009.91</v>
      </c>
      <c r="L16" s="1157">
        <f>G9</f>
        <v>2009.91</v>
      </c>
    </row>
    <row r="17" spans="1:9" s="45" customFormat="1" ht="15.6" customHeight="1" x14ac:dyDescent="0.3">
      <c r="A17" s="1611" t="s">
        <v>1775</v>
      </c>
      <c r="B17" s="2023" t="s">
        <v>644</v>
      </c>
      <c r="C17" s="1823" t="s">
        <v>31</v>
      </c>
      <c r="D17" s="3147">
        <f>'ТЕ_2ст_тариф_без ЦТП'!J18</f>
        <v>9.9052058670000012</v>
      </c>
      <c r="E17" s="3147">
        <f>'ТЕ_2ст_тариф_без ЦТП'!M18</f>
        <v>0</v>
      </c>
      <c r="F17" s="3147">
        <f>'ТЕ_2ст_тариф_без ЦТП'!P18</f>
        <v>1.45692</v>
      </c>
      <c r="G17" s="3147">
        <f>'ТЕ_2ст_тариф_без ЦТП'!S18</f>
        <v>0.5574522999999999</v>
      </c>
      <c r="I17" s="1499"/>
    </row>
    <row r="18" spans="1:9" s="45" customFormat="1" ht="15.6" customHeight="1" x14ac:dyDescent="0.3">
      <c r="A18" s="1611" t="s">
        <v>1778</v>
      </c>
      <c r="B18" s="2023" t="s">
        <v>643</v>
      </c>
      <c r="C18" s="1823" t="s">
        <v>31</v>
      </c>
      <c r="D18" s="3147">
        <f>'ТЕ_2ст_тариф_без ЦТП'!J19</f>
        <v>49.553309780062136</v>
      </c>
      <c r="E18" s="3147">
        <f>'ТЕ_2ст_тариф_без ЦТП'!M19</f>
        <v>9.6319999999999999E-3</v>
      </c>
      <c r="F18" s="3147">
        <f>'ТЕ_2ст_тариф_без ЦТП'!P19</f>
        <v>7.6155505000000003</v>
      </c>
      <c r="G18" s="3147">
        <f>'ТЕ_2ст_тариф_без ЦТП'!S19</f>
        <v>2.4960060699999995</v>
      </c>
      <c r="I18" s="1499"/>
    </row>
    <row r="19" spans="1:9" s="45" customFormat="1" ht="15.6" x14ac:dyDescent="0.3">
      <c r="A19" s="4906" t="s">
        <v>3095</v>
      </c>
      <c r="B19" s="4906"/>
      <c r="C19" s="4906"/>
      <c r="D19" s="4906"/>
      <c r="E19" s="4906"/>
      <c r="F19" s="4906"/>
      <c r="G19" s="4906"/>
      <c r="I19" s="1499"/>
    </row>
    <row r="20" spans="1:9" s="1489" customFormat="1" ht="15.6" customHeight="1" x14ac:dyDescent="0.3">
      <c r="A20" s="1798">
        <v>5</v>
      </c>
      <c r="B20" s="1823" t="s">
        <v>2963</v>
      </c>
      <c r="C20" s="2010" t="s">
        <v>2286</v>
      </c>
      <c r="D20" s="3159">
        <f>'ТЕ_2ст_тариф_без ЦТП'!I76/D$12</f>
        <v>889.12343253867959</v>
      </c>
      <c r="E20" s="3159">
        <f>'ТЕ_2ст_тариф_без ЦТП'!L76/E$12</f>
        <v>1876.1334419091138</v>
      </c>
      <c r="F20" s="3159">
        <f>'ТЕ_2ст_тариф_без ЦТП'!O76/F$12</f>
        <v>1876.1334419091138</v>
      </c>
      <c r="G20" s="3159">
        <f>'ТЕ_2ст_тариф_без ЦТП'!R76/G$12</f>
        <v>1876.133441909114</v>
      </c>
      <c r="I20" s="3080"/>
    </row>
    <row r="21" spans="1:9" s="1489" customFormat="1" ht="15.6" customHeight="1" x14ac:dyDescent="0.3">
      <c r="A21" s="1798" t="s">
        <v>1847</v>
      </c>
      <c r="B21" s="337" t="s">
        <v>216</v>
      </c>
      <c r="C21" s="2010" t="s">
        <v>2286</v>
      </c>
      <c r="D21" s="3159">
        <f>'ТЕ_2ст_тариф_без ЦТП'!I38/D$12</f>
        <v>889.12343253867959</v>
      </c>
      <c r="E21" s="3159">
        <f>'ТЕ_2ст_тариф_без ЦТП'!L38/E$12</f>
        <v>1876.1334419091138</v>
      </c>
      <c r="F21" s="3159">
        <f>'ТЕ_2ст_тариф_без ЦТП'!O38/F$12</f>
        <v>1876.1334419091138</v>
      </c>
      <c r="G21" s="3159">
        <f>'ТЕ_2ст_тариф_без ЦТП'!R38/G$12</f>
        <v>1876.133441909114</v>
      </c>
      <c r="I21" s="3080"/>
    </row>
    <row r="22" spans="1:9" s="1489" customFormat="1" ht="15.6" customHeight="1" x14ac:dyDescent="0.3">
      <c r="A22" s="1813" t="s">
        <v>2880</v>
      </c>
      <c r="B22" s="147" t="s">
        <v>454</v>
      </c>
      <c r="C22" s="2010" t="s">
        <v>2286</v>
      </c>
      <c r="D22" s="3159">
        <f>'ТЕ_2ст_тариф_без ЦТП'!I39/D$12</f>
        <v>834.48969635856406</v>
      </c>
      <c r="E22" s="3159">
        <f>'ТЕ_2ст_тариф_без ЦТП'!L39/E$12</f>
        <v>1821.4997057289984</v>
      </c>
      <c r="F22" s="3159">
        <f>'ТЕ_2ст_тариф_без ЦТП'!O39/F$12</f>
        <v>1821.4997057289984</v>
      </c>
      <c r="G22" s="3159">
        <f>'ТЕ_2ст_тариф_без ЦТП'!R39/G$12</f>
        <v>1821.4997057289986</v>
      </c>
      <c r="I22" s="3080"/>
    </row>
    <row r="23" spans="1:9" s="1489" customFormat="1" ht="15.6" customHeight="1" x14ac:dyDescent="0.3">
      <c r="A23" s="1813" t="s">
        <v>2905</v>
      </c>
      <c r="B23" s="3081" t="s">
        <v>440</v>
      </c>
      <c r="C23" s="2010" t="s">
        <v>2286</v>
      </c>
      <c r="D23" s="3159">
        <f>'ТЕ_2ст_тариф_без ЦТП'!I40/D$12</f>
        <v>816.45600016595188</v>
      </c>
      <c r="E23" s="3159">
        <f>'ТЕ_2ст_тариф_без ЦТП'!L40/E$12</f>
        <v>1803.4660095363861</v>
      </c>
      <c r="F23" s="3159">
        <f>'ТЕ_2ст_тариф_без ЦТП'!O40/F$12</f>
        <v>1803.4660095363861</v>
      </c>
      <c r="G23" s="3159">
        <f>'ТЕ_2ст_тариф_без ЦТП'!R40/G$12</f>
        <v>1803.4660095363865</v>
      </c>
      <c r="I23" s="3080"/>
    </row>
    <row r="24" spans="1:9" s="1489" customFormat="1" ht="15.6" customHeight="1" x14ac:dyDescent="0.3">
      <c r="A24" s="1813" t="s">
        <v>2906</v>
      </c>
      <c r="B24" s="3081" t="s">
        <v>1904</v>
      </c>
      <c r="C24" s="2010" t="s">
        <v>2286</v>
      </c>
      <c r="D24" s="3159">
        <f>'ТЕ_2ст_тариф_без ЦТП'!I41/D$12</f>
        <v>18.033696192612236</v>
      </c>
      <c r="E24" s="3159">
        <f>'ТЕ_2ст_тариф_без ЦТП'!L41/E$12</f>
        <v>18.033696192612236</v>
      </c>
      <c r="F24" s="3159">
        <f>'ТЕ_2ст_тариф_без ЦТП'!O41/F$12</f>
        <v>18.033696192612233</v>
      </c>
      <c r="G24" s="3159">
        <f>'ТЕ_2ст_тариф_без ЦТП'!R41/G$12</f>
        <v>18.03369619261224</v>
      </c>
      <c r="I24" s="3080"/>
    </row>
    <row r="25" spans="1:9" s="1489" customFormat="1" ht="15.6" customHeight="1" x14ac:dyDescent="0.3">
      <c r="A25" s="1798" t="s">
        <v>1849</v>
      </c>
      <c r="B25" s="147" t="s">
        <v>43</v>
      </c>
      <c r="C25" s="2010" t="s">
        <v>2286</v>
      </c>
      <c r="D25" s="3159">
        <f>'ТЕ_2ст_тариф_без ЦТП'!I43/D$12</f>
        <v>54.633736180115534</v>
      </c>
      <c r="E25" s="3159">
        <f>'ТЕ_2ст_тариф_без ЦТП'!L43/E$12</f>
        <v>54.633736180115527</v>
      </c>
      <c r="F25" s="3159">
        <f>'ТЕ_2ст_тариф_без ЦТП'!O43/F$12</f>
        <v>54.633736180115527</v>
      </c>
      <c r="G25" s="3159">
        <f>'ТЕ_2ст_тариф_без ЦТП'!R43/G$12</f>
        <v>54.633736180115534</v>
      </c>
      <c r="I25" s="3080"/>
    </row>
    <row r="26" spans="1:9" s="45" customFormat="1" ht="15.6" hidden="1" customHeight="1" x14ac:dyDescent="0.3">
      <c r="A26" s="1799" t="s">
        <v>3424</v>
      </c>
      <c r="B26" s="1097" t="s">
        <v>2654</v>
      </c>
      <c r="C26" s="2010" t="s">
        <v>2286</v>
      </c>
      <c r="D26" s="3159">
        <f>'ТЕ_2ст_тариф_без ЦТП'!I69/D$12</f>
        <v>0</v>
      </c>
      <c r="E26" s="3159">
        <f>'ТЕ_2ст_тариф_без ЦТП'!L69/E$12</f>
        <v>0</v>
      </c>
      <c r="F26" s="3159">
        <f>'ТЕ_2ст_тариф_без ЦТП'!O69/F$12</f>
        <v>0</v>
      </c>
      <c r="G26" s="3159">
        <f>'ТЕ_2ст_тариф_без ЦТП'!R69/G$12</f>
        <v>0</v>
      </c>
      <c r="I26" s="1499"/>
    </row>
    <row r="27" spans="1:9" s="45" customFormat="1" ht="15.6" x14ac:dyDescent="0.3">
      <c r="A27" s="4906" t="s">
        <v>3091</v>
      </c>
      <c r="B27" s="4906"/>
      <c r="C27" s="4906"/>
      <c r="D27" s="4906"/>
      <c r="E27" s="4906"/>
      <c r="F27" s="4906"/>
      <c r="G27" s="4906"/>
      <c r="I27" s="1499"/>
    </row>
    <row r="28" spans="1:9" s="45" customFormat="1" ht="26.4" x14ac:dyDescent="0.3">
      <c r="A28" s="1798">
        <v>6</v>
      </c>
      <c r="B28" s="1823" t="s">
        <v>2964</v>
      </c>
      <c r="C28" s="2010" t="s">
        <v>3058</v>
      </c>
      <c r="D28" s="1805">
        <f>'ТЕ_2ст_тариф_без ЦТП'!J76/D$16*1000/12</f>
        <v>54678.243989172748</v>
      </c>
      <c r="E28" s="1805">
        <f>'ТЕ_2ст_тариф_без ЦТП'!M76/E$16*1000/12</f>
        <v>60453.204509315598</v>
      </c>
      <c r="F28" s="1805">
        <f>'ТЕ_2ст_тариф_без ЦТП'!P76/F$16*1000/12</f>
        <v>60453.204509315598</v>
      </c>
      <c r="G28" s="1805">
        <f>'ТЕ_2ст_тариф_без ЦТП'!S76/G$16*1000/12</f>
        <v>60453.204509315576</v>
      </c>
      <c r="I28" s="1499"/>
    </row>
    <row r="29" spans="1:9" s="45" customFormat="1" ht="15.6" x14ac:dyDescent="0.3">
      <c r="A29" s="1798">
        <v>7</v>
      </c>
      <c r="B29" s="337" t="s">
        <v>215</v>
      </c>
      <c r="C29" s="2008" t="s">
        <v>3060</v>
      </c>
      <c r="D29" s="1805">
        <f>'ТЕ_2ст_тариф_без ЦТП'!J37/D$16*1000/12</f>
        <v>39900.889675577782</v>
      </c>
      <c r="E29" s="1805">
        <f>'ТЕ_2ст_тариф_без ЦТП'!M37/E$16*1000/12</f>
        <v>39900.889675548191</v>
      </c>
      <c r="F29" s="1805">
        <f>'ТЕ_2ст_тариф_без ЦТП'!P37/F$16*1000/12</f>
        <v>39900.889675548191</v>
      </c>
      <c r="G29" s="1805">
        <f>'ТЕ_2ст_тариф_без ЦТП'!S37/G$16*1000/12</f>
        <v>39900.889675548176</v>
      </c>
      <c r="I29" s="1499"/>
    </row>
    <row r="30" spans="1:9" s="45" customFormat="1" ht="15.6" x14ac:dyDescent="0.3">
      <c r="A30" s="1798" t="s">
        <v>1029</v>
      </c>
      <c r="B30" s="337" t="s">
        <v>216</v>
      </c>
      <c r="C30" s="2008" t="s">
        <v>3060</v>
      </c>
      <c r="D30" s="1805">
        <f>'ТЕ_2ст_тариф_без ЦТП'!J38/D$16*1000/12</f>
        <v>12345.839733709254</v>
      </c>
      <c r="E30" s="1805">
        <f>'ТЕ_2ст_тариф_без ЦТП'!M38/E$16*1000/12</f>
        <v>12345.839733708459</v>
      </c>
      <c r="F30" s="1805">
        <f>'ТЕ_2ст_тариф_без ЦТП'!P38/F$16*1000/12</f>
        <v>12345.839733708459</v>
      </c>
      <c r="G30" s="1805">
        <f>'ТЕ_2ст_тариф_без ЦТП'!S38/G$16*1000/12</f>
        <v>12345.839733708459</v>
      </c>
      <c r="I30" s="1499"/>
    </row>
    <row r="31" spans="1:9" s="45" customFormat="1" ht="15.6" x14ac:dyDescent="0.3">
      <c r="A31" s="1798" t="s">
        <v>3136</v>
      </c>
      <c r="B31" s="147" t="s">
        <v>454</v>
      </c>
      <c r="C31" s="2008" t="s">
        <v>3060</v>
      </c>
      <c r="D31" s="1805">
        <f>'ТЕ_2ст_тариф_без ЦТП'!J39/D$16*1000/12</f>
        <v>11581.902435319133</v>
      </c>
      <c r="E31" s="1805">
        <f>'ТЕ_2ст_тариф_без ЦТП'!M39/E$16*1000/12</f>
        <v>11581.902435319133</v>
      </c>
      <c r="F31" s="1805">
        <f>'ТЕ_2ст_тариф_без ЦТП'!P39/F$16*1000/12</f>
        <v>11581.902435319133</v>
      </c>
      <c r="G31" s="1805">
        <f>'ТЕ_2ст_тариф_без ЦТП'!S39/G$16*1000/12</f>
        <v>11581.902435319133</v>
      </c>
      <c r="I31" s="1499"/>
    </row>
    <row r="32" spans="1:9" s="45" customFormat="1" ht="15.6" x14ac:dyDescent="0.3">
      <c r="A32" s="1798"/>
      <c r="B32" s="147" t="s">
        <v>1905</v>
      </c>
      <c r="C32" s="2008" t="s">
        <v>3060</v>
      </c>
      <c r="D32" s="1805">
        <f>'ТЕ_2ст_тариф_без ЦТП'!J42/D$16*1000/12</f>
        <v>11581.902435319133</v>
      </c>
      <c r="E32" s="1805">
        <f>'ТЕ_2ст_тариф_без ЦТП'!M42/E$16*1000/12</f>
        <v>11581.902435319133</v>
      </c>
      <c r="F32" s="1805">
        <f>'ТЕ_2ст_тариф_без ЦТП'!P42/F$16*1000/12</f>
        <v>11581.902435319133</v>
      </c>
      <c r="G32" s="1805">
        <f>'ТЕ_2ст_тариф_без ЦТП'!S42/G$16*1000/12</f>
        <v>11581.902435319133</v>
      </c>
      <c r="I32" s="1499"/>
    </row>
    <row r="33" spans="1:9" s="45" customFormat="1" ht="26.4" x14ac:dyDescent="0.3">
      <c r="A33" s="1798" t="s">
        <v>3137</v>
      </c>
      <c r="B33" s="337" t="s">
        <v>1689</v>
      </c>
      <c r="C33" s="2008" t="s">
        <v>3060</v>
      </c>
      <c r="D33" s="1805">
        <f>'ТЕ_2ст_тариф_без ЦТП'!J47/D$16*1000/12</f>
        <v>38.776394808818559</v>
      </c>
      <c r="E33" s="1805">
        <f>'ТЕ_2ст_тариф_без ЦТП'!M47/E$16*1000/12</f>
        <v>38.776394808778043</v>
      </c>
      <c r="F33" s="1805">
        <f>'ТЕ_2ст_тариф_без ЦТП'!P47/F$16*1000/12</f>
        <v>38.776394808778036</v>
      </c>
      <c r="G33" s="1805">
        <f>'ТЕ_2ст_тариф_без ЦТП'!S47/G$16*1000/12</f>
        <v>38.776394808778029</v>
      </c>
      <c r="I33" s="1499"/>
    </row>
    <row r="34" spans="1:9" s="45" customFormat="1" ht="15.6" x14ac:dyDescent="0.3">
      <c r="A34" s="1798" t="s">
        <v>3138</v>
      </c>
      <c r="B34" s="337" t="s">
        <v>610</v>
      </c>
      <c r="C34" s="2008" t="s">
        <v>3060</v>
      </c>
      <c r="D34" s="1805">
        <f>'ТЕ_2ст_тариф_без ЦТП'!J48/D$16*1000/12</f>
        <v>725.16090358130612</v>
      </c>
      <c r="E34" s="1805">
        <f>'ТЕ_2ст_тариф_без ЦТП'!M48/E$16*1000/12</f>
        <v>725.16090358054828</v>
      </c>
      <c r="F34" s="1805">
        <f>'ТЕ_2ст_тариф_без ЦТП'!P48/F$16*1000/12</f>
        <v>725.16090358054851</v>
      </c>
      <c r="G34" s="1805">
        <f>'ТЕ_2ст_тариф_без ЦТП'!S48/G$16*1000/12</f>
        <v>725.16090358054817</v>
      </c>
      <c r="I34" s="1499"/>
    </row>
    <row r="35" spans="1:9" s="45" customFormat="1" ht="15.6" x14ac:dyDescent="0.3">
      <c r="A35" s="1798" t="s">
        <v>2793</v>
      </c>
      <c r="B35" s="337" t="s">
        <v>47</v>
      </c>
      <c r="C35" s="2008" t="s">
        <v>3060</v>
      </c>
      <c r="D35" s="1805">
        <f>'ТЕ_2ст_тариф_без ЦТП'!J49/D$16*1000/12</f>
        <v>13070.144791286863</v>
      </c>
      <c r="E35" s="1805">
        <f>'ТЕ_2ст_тариф_без ЦТП'!M49/E$16*1000/12</f>
        <v>13070.144791273206</v>
      </c>
      <c r="F35" s="1805">
        <f>'ТЕ_2ст_тариф_без ЦТП'!P49/F$16*1000/12</f>
        <v>13070.144791273204</v>
      </c>
      <c r="G35" s="1805">
        <f>'ТЕ_2ст_тариф_без ЦТП'!S49/G$16*1000/12</f>
        <v>13070.144791273204</v>
      </c>
      <c r="I35" s="1499"/>
    </row>
    <row r="36" spans="1:9" s="45" customFormat="1" ht="15.6" x14ac:dyDescent="0.3">
      <c r="A36" s="1798" t="s">
        <v>2794</v>
      </c>
      <c r="B36" s="337" t="s">
        <v>217</v>
      </c>
      <c r="C36" s="2008" t="s">
        <v>3060</v>
      </c>
      <c r="D36" s="1805">
        <f>'ТЕ_2ст_тариф_без ЦТП'!J50/D$16*1000/12</f>
        <v>8419.746090909719</v>
      </c>
      <c r="E36" s="1805">
        <f>'ТЕ_2ст_тариф_без ЦТП'!M50/E$16*1000/12</f>
        <v>8419.7460909009205</v>
      </c>
      <c r="F36" s="1805">
        <f>'ТЕ_2ст_тариф_без ЦТП'!P50/F$16*1000/12</f>
        <v>8419.7460909009224</v>
      </c>
      <c r="G36" s="1805">
        <f>'ТЕ_2ст_тариф_без ЦТП'!S50/G$16*1000/12</f>
        <v>8419.7460909009187</v>
      </c>
      <c r="I36" s="1499"/>
    </row>
    <row r="37" spans="1:9" s="45" customFormat="1" ht="26.4" x14ac:dyDescent="0.3">
      <c r="A37" s="1798" t="s">
        <v>3139</v>
      </c>
      <c r="B37" s="147" t="s">
        <v>452</v>
      </c>
      <c r="C37" s="2008" t="s">
        <v>3060</v>
      </c>
      <c r="D37" s="1805">
        <f>'ТЕ_2ст_тариф_без ЦТП'!J51/D$16*1000/12</f>
        <v>2875.4318540831096</v>
      </c>
      <c r="E37" s="1805">
        <f>'ТЕ_2ст_тариф_без ЦТП'!M51/E$16*1000/12</f>
        <v>2875.4318540801046</v>
      </c>
      <c r="F37" s="1805">
        <f>'ТЕ_2ст_тариф_без ЦТП'!P51/F$16*1000/12</f>
        <v>2875.4318540801046</v>
      </c>
      <c r="G37" s="1805">
        <f>'ТЕ_2ст_тариф_без ЦТП'!S51/G$16*1000/12</f>
        <v>2875.4318540801037</v>
      </c>
      <c r="I37" s="1499"/>
    </row>
    <row r="38" spans="1:9" s="45" customFormat="1" ht="15.6" x14ac:dyDescent="0.3">
      <c r="A38" s="1798" t="s">
        <v>3140</v>
      </c>
      <c r="B38" s="147" t="s">
        <v>453</v>
      </c>
      <c r="C38" s="2008" t="s">
        <v>3060</v>
      </c>
      <c r="D38" s="1805">
        <f>'ТЕ_2ст_тариф_без ЦТП'!J52/D$16*1000/12</f>
        <v>2471.0643711521288</v>
      </c>
      <c r="E38" s="1805">
        <f>'ТЕ_2ст_тариф_без ЦТП'!M52/E$16*1000/12</f>
        <v>2471.0643711495463</v>
      </c>
      <c r="F38" s="1805">
        <f>'ТЕ_2ст_тариф_без ЦТП'!P52/F$16*1000/12</f>
        <v>2471.0643711495468</v>
      </c>
      <c r="G38" s="1805">
        <f>'ТЕ_2ст_тариф_без ЦТП'!S52/G$16*1000/12</f>
        <v>2471.0643711495463</v>
      </c>
      <c r="I38" s="1499"/>
    </row>
    <row r="39" spans="1:9" s="45" customFormat="1" ht="15.6" x14ac:dyDescent="0.3">
      <c r="A39" s="1798" t="s">
        <v>3141</v>
      </c>
      <c r="B39" s="147" t="s">
        <v>52</v>
      </c>
      <c r="C39" s="2008" t="s">
        <v>3060</v>
      </c>
      <c r="D39" s="1805">
        <f>'ТЕ_2ст_тариф_без ЦТП'!J53/D$16*1000/12</f>
        <v>3073.2498656744833</v>
      </c>
      <c r="E39" s="1805">
        <f>'ТЕ_2ст_тариф_без ЦТП'!M53/E$16*1000/12</f>
        <v>3073.2498656712719</v>
      </c>
      <c r="F39" s="1805">
        <f>'ТЕ_2ст_тариф_без ЦТП'!P53/F$16*1000/12</f>
        <v>3073.2498656712719</v>
      </c>
      <c r="G39" s="1805">
        <f>'ТЕ_2ст_тариф_без ЦТП'!S53/G$16*1000/12</f>
        <v>3073.249865671271</v>
      </c>
      <c r="I39" s="1499"/>
    </row>
    <row r="40" spans="1:9" s="45" customFormat="1" ht="15.6" x14ac:dyDescent="0.3">
      <c r="A40" s="1798" t="s">
        <v>2795</v>
      </c>
      <c r="B40" s="147" t="s">
        <v>218</v>
      </c>
      <c r="C40" s="2008" t="s">
        <v>3060</v>
      </c>
      <c r="D40" s="1805">
        <f>'ТЕ_2ст_тариф_без ЦТП'!J54/D$16*1000/12</f>
        <v>6065.1590596719434</v>
      </c>
      <c r="E40" s="1805">
        <f>'ТЕ_2ст_тариф_без ЦТП'!M54/E$16*1000/12</f>
        <v>6065.1590596656069</v>
      </c>
      <c r="F40" s="1805">
        <f>'ТЕ_2ст_тариф_без ЦТП'!P54/F$16*1000/12</f>
        <v>6065.1590596656069</v>
      </c>
      <c r="G40" s="1805">
        <f>'ТЕ_2ст_тариф_без ЦТП'!S54/G$16*1000/12</f>
        <v>6065.159059665606</v>
      </c>
      <c r="I40" s="1499"/>
    </row>
    <row r="41" spans="1:9" s="45" customFormat="1" ht="15.6" x14ac:dyDescent="0.3">
      <c r="A41" s="1798" t="s">
        <v>3142</v>
      </c>
      <c r="B41" s="147" t="s">
        <v>55</v>
      </c>
      <c r="C41" s="2008" t="s">
        <v>3060</v>
      </c>
      <c r="D41" s="1805">
        <f>'ТЕ_2ст_тариф_без ЦТП'!J55/D$16*1000/12</f>
        <v>4634.5435098456674</v>
      </c>
      <c r="E41" s="1805">
        <f>'ТЕ_2ст_тариф_без ЦТП'!M55/E$16*1000/12</f>
        <v>4634.5435098408252</v>
      </c>
      <c r="F41" s="1805">
        <f>'ТЕ_2ст_тариф_без ЦТП'!P55/F$16*1000/12</f>
        <v>4634.5435098408252</v>
      </c>
      <c r="G41" s="1805">
        <f>'ТЕ_2ст_тариф_без ЦТП'!S55/G$16*1000/12</f>
        <v>4634.5435098408243</v>
      </c>
      <c r="I41" s="1499"/>
    </row>
    <row r="42" spans="1:9" s="45" customFormat="1" ht="26.4" x14ac:dyDescent="0.3">
      <c r="A42" s="1798" t="s">
        <v>3143</v>
      </c>
      <c r="B42" s="147" t="s">
        <v>452</v>
      </c>
      <c r="C42" s="2008" t="s">
        <v>3060</v>
      </c>
      <c r="D42" s="1805">
        <f>'ТЕ_2ст_тариф_без ЦТП'!J56/D$16*1000/12</f>
        <v>989.25505326845257</v>
      </c>
      <c r="E42" s="1805">
        <f>'ТЕ_2ст_тариф_без ЦТП'!M56/E$16*1000/12</f>
        <v>989.2550532674187</v>
      </c>
      <c r="F42" s="1805">
        <f>'ТЕ_2ст_тариф_без ЦТП'!P56/F$16*1000/12</f>
        <v>989.25505326741893</v>
      </c>
      <c r="G42" s="1805">
        <f>'ТЕ_2ст_тариф_без ЦТП'!S56/G$16*1000/12</f>
        <v>989.25505326741859</v>
      </c>
      <c r="I42" s="1499"/>
    </row>
    <row r="43" spans="1:9" s="45" customFormat="1" ht="15.6" x14ac:dyDescent="0.3">
      <c r="A43" s="1798" t="s">
        <v>3144</v>
      </c>
      <c r="B43" s="147" t="s">
        <v>58</v>
      </c>
      <c r="C43" s="2008" t="s">
        <v>3060</v>
      </c>
      <c r="D43" s="1805">
        <f>'ТЕ_2ст_тариф_без ЦТП'!J57/D$16*1000/12</f>
        <v>441.36049655782426</v>
      </c>
      <c r="E43" s="1805">
        <f>'ТЕ_2ст_тариф_без ЦТП'!M57/E$16*1000/12</f>
        <v>441.36049655736309</v>
      </c>
      <c r="F43" s="1805">
        <f>'ТЕ_2ст_тариф_без ЦТП'!P57/F$16*1000/12</f>
        <v>441.36049655736309</v>
      </c>
      <c r="G43" s="1805">
        <f>'ТЕ_2ст_тариф_без ЦТП'!S57/G$16*1000/12</f>
        <v>441.36049655736298</v>
      </c>
      <c r="I43" s="1499"/>
    </row>
    <row r="44" spans="1:9" s="45" customFormat="1" ht="15.6" x14ac:dyDescent="0.3">
      <c r="A44" s="1798">
        <v>8</v>
      </c>
      <c r="B44" s="147" t="s">
        <v>219</v>
      </c>
      <c r="C44" s="2008" t="s">
        <v>3060</v>
      </c>
      <c r="D44" s="1805">
        <f>'ТЕ_2ст_тариф_без ЦТП'!J58/D$16*1000/12</f>
        <v>7373.6169467997343</v>
      </c>
      <c r="E44" s="1805">
        <f>'ТЕ_2ст_тариф_без ЦТП'!M58/E$16*1000/12</f>
        <v>7373.6169467920299</v>
      </c>
      <c r="F44" s="1805">
        <f>'ТЕ_2ст_тариф_без ЦТП'!P58/F$16*1000/12</f>
        <v>7373.6169467920308</v>
      </c>
      <c r="G44" s="1805">
        <f>'ТЕ_2ст_тариф_без ЦТП'!S58/G$16*1000/12</f>
        <v>7373.616946792029</v>
      </c>
      <c r="I44" s="1499"/>
    </row>
    <row r="45" spans="1:9" s="45" customFormat="1" ht="15.6" x14ac:dyDescent="0.3">
      <c r="A45" s="1798" t="s">
        <v>1030</v>
      </c>
      <c r="B45" s="147" t="s">
        <v>55</v>
      </c>
      <c r="C45" s="2008" t="s">
        <v>3060</v>
      </c>
      <c r="D45" s="1805">
        <f>'ТЕ_2ст_тариф_без ЦТП'!J59/D$16*1000/12</f>
        <v>5521.8372596453919</v>
      </c>
      <c r="E45" s="1805">
        <f>'ТЕ_2ст_тариф_без ЦТП'!M59/E$16*1000/12</f>
        <v>5521.8372596396221</v>
      </c>
      <c r="F45" s="1805">
        <f>'ТЕ_2ст_тариф_без ЦТП'!P59/F$16*1000/12</f>
        <v>5521.8372596396221</v>
      </c>
      <c r="G45" s="1805">
        <f>'ТЕ_2ст_тариф_без ЦТП'!S59/G$16*1000/12</f>
        <v>5521.8372596396221</v>
      </c>
      <c r="I45" s="1499"/>
    </row>
    <row r="46" spans="1:9" s="45" customFormat="1" ht="26.4" x14ac:dyDescent="0.3">
      <c r="A46" s="1798" t="s">
        <v>2783</v>
      </c>
      <c r="B46" s="147" t="s">
        <v>452</v>
      </c>
      <c r="C46" s="2008" t="s">
        <v>3060</v>
      </c>
      <c r="D46" s="1805">
        <f>'ТЕ_2ст_тариф_без ЦТП'!J60/D$16*1000/12</f>
        <v>1214.8041971219864</v>
      </c>
      <c r="E46" s="1805">
        <f>'ТЕ_2ст_тариф_без ЦТП'!M60/E$16*1000/12</f>
        <v>1214.8041971207169</v>
      </c>
      <c r="F46" s="1805">
        <f>'ТЕ_2ст_тариф_без ЦТП'!P60/F$16*1000/12</f>
        <v>1214.8041971207172</v>
      </c>
      <c r="G46" s="1805">
        <f>'ТЕ_2ст_тариф_без ЦТП'!S60/G$16*1000/12</f>
        <v>1214.8041971207167</v>
      </c>
      <c r="I46" s="1499"/>
    </row>
    <row r="47" spans="1:9" s="45" customFormat="1" ht="15.6" x14ac:dyDescent="0.3">
      <c r="A47" s="1798" t="s">
        <v>2784</v>
      </c>
      <c r="B47" s="147" t="s">
        <v>58</v>
      </c>
      <c r="C47" s="2008" t="s">
        <v>3060</v>
      </c>
      <c r="D47" s="1805">
        <f>'ТЕ_2ст_тариф_без ЦТП'!J61/D$16*1000/12</f>
        <v>636.97549003235565</v>
      </c>
      <c r="E47" s="1805">
        <f>'ТЕ_2ст_тариф_без ЦТП'!M61/E$16*1000/12</f>
        <v>636.97549003169013</v>
      </c>
      <c r="F47" s="1805">
        <f>'ТЕ_2ст_тариф_без ЦТП'!P61/F$16*1000/12</f>
        <v>636.97549003169013</v>
      </c>
      <c r="G47" s="1805">
        <f>'ТЕ_2ст_тариф_без ЦТП'!S61/G$16*1000/12</f>
        <v>636.9754900316899</v>
      </c>
      <c r="I47" s="1499"/>
    </row>
    <row r="48" spans="1:9" s="45" customFormat="1" ht="15.6" x14ac:dyDescent="0.3">
      <c r="A48" s="1798">
        <v>9</v>
      </c>
      <c r="B48" s="147" t="s">
        <v>5</v>
      </c>
      <c r="C48" s="2008" t="s">
        <v>3060</v>
      </c>
      <c r="D48" s="1805">
        <f>'ТЕ_2ст_тариф_без ЦТП'!J67/D$16*1000/12</f>
        <v>0</v>
      </c>
      <c r="E48" s="1805">
        <f>'ТЕ_2ст_тариф_без ЦТП'!M67/E$16*1000/12</f>
        <v>0</v>
      </c>
      <c r="F48" s="1805">
        <f>'ТЕ_2ст_тариф_без ЦТП'!P67/F$16*1000/12</f>
        <v>0</v>
      </c>
      <c r="G48" s="1805">
        <f>'ТЕ_2ст_тариф_без ЦТП'!S67/G$16*1000/12</f>
        <v>0</v>
      </c>
      <c r="I48" s="1499"/>
    </row>
    <row r="49" spans="1:9" s="45" customFormat="1" ht="15.6" x14ac:dyDescent="0.3">
      <c r="A49" s="1798">
        <v>10</v>
      </c>
      <c r="B49" s="147" t="s">
        <v>2442</v>
      </c>
      <c r="C49" s="2008" t="s">
        <v>3060</v>
      </c>
      <c r="D49" s="1805">
        <f>'ТЕ_2ст_тариф_без ЦТП'!J68/D$16*1000/12</f>
        <v>47274.506622377514</v>
      </c>
      <c r="E49" s="1805">
        <f>'ТЕ_2ст_тариф_без ЦТП'!M68/E$16*1000/12</f>
        <v>47274.506622340232</v>
      </c>
      <c r="F49" s="1805">
        <f>'ТЕ_2ст_тариф_без ЦТП'!P68/F$16*1000/12</f>
        <v>47274.506622340232</v>
      </c>
      <c r="G49" s="1805">
        <f>'ТЕ_2ст_тариф_без ЦТП'!S68/G$16*1000/12</f>
        <v>47274.50662234021</v>
      </c>
      <c r="I49" s="1499"/>
    </row>
    <row r="50" spans="1:9" s="45" customFormat="1" ht="15.6" x14ac:dyDescent="0.3">
      <c r="A50" s="1798">
        <v>11</v>
      </c>
      <c r="B50" s="147" t="s">
        <v>221</v>
      </c>
      <c r="C50" s="2008" t="s">
        <v>3060</v>
      </c>
      <c r="D50" s="1805">
        <v>0</v>
      </c>
      <c r="E50" s="1805">
        <v>0</v>
      </c>
      <c r="F50" s="1805">
        <v>0</v>
      </c>
      <c r="G50" s="1805">
        <v>0</v>
      </c>
      <c r="I50" s="1499"/>
    </row>
    <row r="51" spans="1:9" s="45" customFormat="1" ht="15.6" x14ac:dyDescent="0.3">
      <c r="A51" s="1798">
        <v>12</v>
      </c>
      <c r="B51" s="147" t="s">
        <v>2879</v>
      </c>
      <c r="C51" s="2008" t="s">
        <v>3060</v>
      </c>
      <c r="D51" s="1805">
        <f>'ТЕ_2ст_тариф_без ЦТП'!J69/D$16*1000/12</f>
        <v>0</v>
      </c>
      <c r="E51" s="1805">
        <f>'ТЕ_2ст_тариф_без ЦТП'!M69/E$16*1000/12</f>
        <v>0</v>
      </c>
      <c r="F51" s="1805">
        <f>'ТЕ_2ст_тариф_без ЦТП'!P69/F$16*1000/12</f>
        <v>0</v>
      </c>
      <c r="G51" s="1805">
        <f>'ТЕ_2ст_тариф_без ЦТП'!S69/G$16*1000/12</f>
        <v>0</v>
      </c>
      <c r="I51" s="1499"/>
    </row>
    <row r="52" spans="1:9" s="45" customFormat="1" ht="15.6" x14ac:dyDescent="0.3">
      <c r="A52" s="1798">
        <v>13</v>
      </c>
      <c r="B52" s="1506" t="s">
        <v>3461</v>
      </c>
      <c r="C52" s="2008" t="s">
        <v>3060</v>
      </c>
      <c r="D52" s="1805">
        <f>'ТЕ_2ст_тариф_без ЦТП'!J70/D$16*1000/12</f>
        <v>7403.7373667952343</v>
      </c>
      <c r="E52" s="1805">
        <f>'ТЕ_2ст_тариф_без ЦТП'!M70/E$16*1000/12</f>
        <v>13178.697886975368</v>
      </c>
      <c r="F52" s="1805">
        <f>'ТЕ_2ст_тариф_без ЦТП'!P70/F$16*1000/12</f>
        <v>13178.697886975366</v>
      </c>
      <c r="G52" s="1805">
        <f>'ТЕ_2ст_тариф_без ЦТП'!S70/G$16*1000/12</f>
        <v>13178.697886975368</v>
      </c>
      <c r="I52" s="1499"/>
    </row>
    <row r="53" spans="1:9" s="45" customFormat="1" ht="15.6" x14ac:dyDescent="0.3">
      <c r="A53" s="1798" t="s">
        <v>2901</v>
      </c>
      <c r="B53" s="147" t="s">
        <v>2897</v>
      </c>
      <c r="C53" s="2008" t="s">
        <v>3060</v>
      </c>
      <c r="D53" s="1805">
        <f>'ТЕ_2ст_тариф_без ЦТП'!J71/D$16*1000/12</f>
        <v>1332.6727260231419</v>
      </c>
      <c r="E53" s="1805">
        <f>'ТЕ_2ст_тариф_без ЦТП'!M71/E$16*1000/12</f>
        <v>2372.1656196555664</v>
      </c>
      <c r="F53" s="1805">
        <f>'ТЕ_2ст_тариф_без ЦТП'!P71/F$16*1000/12</f>
        <v>2372.1656196555655</v>
      </c>
      <c r="G53" s="1805">
        <f>'ТЕ_2ст_тариф_без ЦТП'!S71/G$16*1000/12</f>
        <v>2372.1656196555659</v>
      </c>
      <c r="I53" s="1499"/>
    </row>
    <row r="54" spans="1:9" s="45" customFormat="1" ht="27" x14ac:dyDescent="0.3">
      <c r="A54" s="4604" t="s">
        <v>3145</v>
      </c>
      <c r="B54" s="1506" t="s">
        <v>4145</v>
      </c>
      <c r="C54" s="4507" t="s">
        <v>3060</v>
      </c>
      <c r="D54" s="1805">
        <f>'ТЕ_2ст_тариф_без ЦТП'!J72/D$16*1000/12</f>
        <v>0</v>
      </c>
      <c r="E54" s="1805">
        <f>'ТЕ_2ст_тариф_без ЦТП'!M72/E$16*1000/12</f>
        <v>0</v>
      </c>
      <c r="F54" s="1805">
        <f>'ТЕ_2ст_тариф_без ЦТП'!P72/F$16*1000/12</f>
        <v>0</v>
      </c>
      <c r="G54" s="1805">
        <f>'ТЕ_2ст_тариф_без ЦТП'!S72/G$16*1000/12</f>
        <v>0</v>
      </c>
      <c r="I54" s="1499"/>
    </row>
    <row r="55" spans="1:9" s="45" customFormat="1" ht="15.6" x14ac:dyDescent="0.3">
      <c r="A55" s="1798" t="s">
        <v>3146</v>
      </c>
      <c r="B55" s="147" t="s">
        <v>69</v>
      </c>
      <c r="C55" s="2008" t="s">
        <v>3060</v>
      </c>
      <c r="D55" s="1805">
        <f>'ТЕ_2ст_тариф_без ЦТП'!J73/D$16*1000/12</f>
        <v>0</v>
      </c>
      <c r="E55" s="1805">
        <f>'ТЕ_2ст_тариф_без ЦТП'!M73/E$16*1000/12</f>
        <v>0</v>
      </c>
      <c r="F55" s="1805">
        <f>'ТЕ_2ст_тариф_без ЦТП'!P73/F$16*1000/12</f>
        <v>0</v>
      </c>
      <c r="G55" s="1805">
        <f>'ТЕ_2ст_тариф_без ЦТП'!S73/G$16*1000/12</f>
        <v>0</v>
      </c>
      <c r="I55" s="1499">
        <f>F49*3.8%</f>
        <v>1796.4312516489288</v>
      </c>
    </row>
    <row r="56" spans="1:9" s="45" customFormat="1" ht="15.6" x14ac:dyDescent="0.3">
      <c r="A56" s="1798" t="s">
        <v>3147</v>
      </c>
      <c r="B56" s="147" t="s">
        <v>2898</v>
      </c>
      <c r="C56" s="2008" t="s">
        <v>3060</v>
      </c>
      <c r="D56" s="1805">
        <f>'ТЕ_2ст_тариф_без ЦТП'!J74/D$16*1000/12</f>
        <v>0</v>
      </c>
      <c r="E56" s="1805">
        <f>'ТЕ_2ст_тариф_без ЦТП'!M74/E$16*1000/12</f>
        <v>0</v>
      </c>
      <c r="F56" s="1805">
        <f>'ТЕ_2ст_тариф_без ЦТП'!P74/F$16*1000/12</f>
        <v>0</v>
      </c>
      <c r="G56" s="1805">
        <f>'ТЕ_2ст_тариф_без ЦТП'!S74/G$16*1000/12</f>
        <v>0</v>
      </c>
      <c r="I56" s="1499"/>
    </row>
    <row r="57" spans="1:9" s="45" customFormat="1" ht="28.2" x14ac:dyDescent="0.3">
      <c r="A57" s="1798" t="s">
        <v>3148</v>
      </c>
      <c r="B57" s="2003" t="s">
        <v>2545</v>
      </c>
      <c r="C57" s="2008" t="s">
        <v>3060</v>
      </c>
      <c r="D57" s="1805">
        <f>'ТЕ_2ст_тариф_без ЦТП'!J75/D$16*1000/12</f>
        <v>6071.0646407720924</v>
      </c>
      <c r="E57" s="1805">
        <f>'ТЕ_2ст_тариф_без ЦТП'!M75/E$16*1000/12</f>
        <v>10806.532267319802</v>
      </c>
      <c r="F57" s="1805">
        <f>'ТЕ_2ст_тариф_без ЦТП'!P75/F$16*1000/12</f>
        <v>10806.532267319802</v>
      </c>
      <c r="G57" s="1805">
        <f>'ТЕ_2ст_тариф_без ЦТП'!S75/G$16*1000/12</f>
        <v>10806.532267319802</v>
      </c>
      <c r="I57" s="1499"/>
    </row>
    <row r="58" spans="1:9" s="45" customFormat="1" ht="30.6" customHeight="1" x14ac:dyDescent="0.3">
      <c r="A58" s="4907" t="s">
        <v>3464</v>
      </c>
      <c r="B58" s="4908"/>
      <c r="C58" s="4908"/>
      <c r="D58" s="4908"/>
      <c r="E58" s="4908"/>
      <c r="F58" s="4908"/>
      <c r="G58" s="4909"/>
      <c r="I58" s="1499"/>
    </row>
    <row r="59" spans="1:9" s="45" customFormat="1" ht="15.6" customHeight="1" x14ac:dyDescent="0.3">
      <c r="A59" s="1798" t="s">
        <v>1873</v>
      </c>
      <c r="B59" s="3082" t="s">
        <v>2963</v>
      </c>
      <c r="C59" s="2010" t="s">
        <v>2286</v>
      </c>
      <c r="D59" s="2798">
        <f>'ТЕ_2ст_тариф_без ЦТП'!I120/D$15</f>
        <v>133.78463036930509</v>
      </c>
      <c r="E59" s="2798">
        <f>'ТЕ_2ст_тариф_без ЦТП'!L120/E$15</f>
        <v>133.78463036930506</v>
      </c>
      <c r="F59" s="2798">
        <f>'ТЕ_2ст_тариф_без ЦТП'!O120/F$15</f>
        <v>133.78463036930509</v>
      </c>
      <c r="G59" s="2798">
        <f>'ТЕ_2ст_тариф_без ЦТП'!R120/G$15</f>
        <v>133.78463036930506</v>
      </c>
      <c r="I59" s="1499"/>
    </row>
    <row r="60" spans="1:9" s="45" customFormat="1" ht="15.6" customHeight="1" x14ac:dyDescent="0.3">
      <c r="A60" s="1798" t="s">
        <v>3149</v>
      </c>
      <c r="B60" s="1097" t="s">
        <v>216</v>
      </c>
      <c r="C60" s="2010" t="s">
        <v>2286</v>
      </c>
      <c r="D60" s="2798">
        <f>'ТЕ_2ст_тариф_без ЦТП'!I87/D$15</f>
        <v>133.78463036930509</v>
      </c>
      <c r="E60" s="2798">
        <f>'ТЕ_2ст_тариф_без ЦТП'!L87/E$15</f>
        <v>133.78463036930506</v>
      </c>
      <c r="F60" s="2798">
        <f>'ТЕ_2ст_тариф_без ЦТП'!O87/F$15</f>
        <v>133.78463036930509</v>
      </c>
      <c r="G60" s="2798">
        <f>'ТЕ_2ст_тариф_без ЦТП'!R87/G$15</f>
        <v>133.78463036930506</v>
      </c>
      <c r="I60" s="1499"/>
    </row>
    <row r="61" spans="1:9" s="45" customFormat="1" ht="15.6" customHeight="1" x14ac:dyDescent="0.3">
      <c r="A61" s="1798" t="s">
        <v>3150</v>
      </c>
      <c r="B61" s="1097" t="s">
        <v>43</v>
      </c>
      <c r="C61" s="2010" t="s">
        <v>2286</v>
      </c>
      <c r="D61" s="2798">
        <f>'ТЕ_2ст_тариф_без ЦТП'!I88/D$15</f>
        <v>133.78463036930509</v>
      </c>
      <c r="E61" s="2798">
        <f>'ТЕ_2ст_тариф_без ЦТП'!L88/E$15</f>
        <v>133.78463036930506</v>
      </c>
      <c r="F61" s="2798">
        <f>'ТЕ_2ст_тариф_без ЦТП'!O88/F$15</f>
        <v>133.78463036930509</v>
      </c>
      <c r="G61" s="2798">
        <f>'ТЕ_2ст_тариф_без ЦТП'!R88/G$15</f>
        <v>133.78463036930506</v>
      </c>
      <c r="I61" s="1499"/>
    </row>
    <row r="62" spans="1:9" s="45" customFormat="1" ht="15.6" customHeight="1" x14ac:dyDescent="0.3">
      <c r="A62" s="1798" t="s">
        <v>3423</v>
      </c>
      <c r="B62" s="1097" t="s">
        <v>2654</v>
      </c>
      <c r="C62" s="2010" t="s">
        <v>2286</v>
      </c>
      <c r="D62" s="2798">
        <f>'ТЕ_2ст_тариф_без ЦТП'!I113/D$15</f>
        <v>0</v>
      </c>
      <c r="E62" s="2798">
        <f>'ТЕ_2ст_тариф_без ЦТП'!L113/E$15</f>
        <v>0</v>
      </c>
      <c r="F62" s="2798">
        <f>'ТЕ_2ст_тариф_без ЦТП'!O113/F$15</f>
        <v>0</v>
      </c>
      <c r="G62" s="2798">
        <f>'ТЕ_2ст_тариф_без ЦТП'!R113/G$15</f>
        <v>0</v>
      </c>
      <c r="I62" s="1499"/>
    </row>
    <row r="63" spans="1:9" s="45" customFormat="1" ht="30" customHeight="1" x14ac:dyDescent="0.3">
      <c r="A63" s="4907" t="s">
        <v>3465</v>
      </c>
      <c r="B63" s="4908"/>
      <c r="C63" s="4908"/>
      <c r="D63" s="4908"/>
      <c r="E63" s="4908"/>
      <c r="F63" s="4908"/>
      <c r="G63" s="4909"/>
      <c r="I63" s="1499"/>
    </row>
    <row r="64" spans="1:9" s="45" customFormat="1" ht="26.4" x14ac:dyDescent="0.3">
      <c r="A64" s="1798">
        <v>15</v>
      </c>
      <c r="B64" s="1823" t="s">
        <v>2965</v>
      </c>
      <c r="C64" s="2010" t="s">
        <v>3058</v>
      </c>
      <c r="D64" s="1805">
        <f>'ТЕ_2ст_тариф_без ЦТП'!J120/D$18*1000/12</f>
        <v>43585.701875908293</v>
      </c>
      <c r="E64" s="1805">
        <f>'ТЕ_2ст_тариф_без ЦТП'!M120/E$18*1000/12</f>
        <v>54960.197533302467</v>
      </c>
      <c r="F64" s="1805">
        <f>'ТЕ_2ст_тариф_без ЦТП'!P120/F$18*1000/12</f>
        <v>54960.197533302446</v>
      </c>
      <c r="G64" s="1805">
        <f>'ТЕ_2ст_тариф_без ЦТП'!S120/G$18*1000/12</f>
        <v>54960.197533302467</v>
      </c>
      <c r="I64" s="1499"/>
    </row>
    <row r="65" spans="1:9" s="45" customFormat="1" ht="15.6" x14ac:dyDescent="0.3">
      <c r="A65" s="1820" t="s">
        <v>688</v>
      </c>
      <c r="B65" s="337" t="s">
        <v>215</v>
      </c>
      <c r="C65" s="2008" t="s">
        <v>3060</v>
      </c>
      <c r="D65" s="1805">
        <f>'ТЕ_2ст_тариф_без ЦТП'!J86/D$18*1000/12</f>
        <v>39087.09157355372</v>
      </c>
      <c r="E65" s="1805">
        <f>'ТЕ_2ст_тариф_без ЦТП'!M86/E$18*1000/12</f>
        <v>49957.819540560995</v>
      </c>
      <c r="F65" s="1805">
        <f>'ТЕ_2ст_тариф_без ЦТП'!P86/F$18*1000/12</f>
        <v>49957.81954056098</v>
      </c>
      <c r="G65" s="1805">
        <f>'ТЕ_2ст_тариф_без ЦТП'!S86/G$18*1000/12</f>
        <v>49957.81954056098</v>
      </c>
      <c r="I65" s="1499"/>
    </row>
    <row r="66" spans="1:9" s="45" customFormat="1" ht="15.6" x14ac:dyDescent="0.3">
      <c r="A66" s="1820" t="s">
        <v>194</v>
      </c>
      <c r="B66" s="337" t="s">
        <v>216</v>
      </c>
      <c r="C66" s="2008" t="s">
        <v>3060</v>
      </c>
      <c r="D66" s="1805">
        <f>'ТЕ_2ст_тариф_без ЦТП'!J87/D$18*1000/12</f>
        <v>11871.587276180891</v>
      </c>
      <c r="E66" s="1805">
        <f>'ТЕ_2ст_тариф_без ЦТП'!M87/E$18*1000/12</f>
        <v>22742.315243188161</v>
      </c>
      <c r="F66" s="1805">
        <f>'ТЕ_2ст_тариф_без ЦТП'!P87/F$18*1000/12</f>
        <v>22742.315243188161</v>
      </c>
      <c r="G66" s="1805">
        <f>'ТЕ_2ст_тариф_без ЦТП'!S87/G$18*1000/12</f>
        <v>22742.315243188161</v>
      </c>
      <c r="I66" s="1499"/>
    </row>
    <row r="67" spans="1:9" s="45" customFormat="1" ht="15.6" x14ac:dyDescent="0.3">
      <c r="A67" s="1820" t="s">
        <v>3151</v>
      </c>
      <c r="B67" s="337" t="s">
        <v>43</v>
      </c>
      <c r="C67" s="2008" t="s">
        <v>3060</v>
      </c>
      <c r="D67" s="1805">
        <f>'ТЕ_2ст_тариф_без ЦТП'!J88/D$18*1000/12</f>
        <v>0</v>
      </c>
      <c r="E67" s="1805">
        <f>'ТЕ_2ст_тариф_без ЦТП'!M88/E$18*1000/12</f>
        <v>0</v>
      </c>
      <c r="F67" s="1805">
        <f>'ТЕ_2ст_тариф_без ЦТП'!P88/F$18*1000/12</f>
        <v>0</v>
      </c>
      <c r="G67" s="1805">
        <f>'ТЕ_2ст_тариф_без ЦТП'!S88/G$18*1000/12</f>
        <v>0</v>
      </c>
      <c r="I67" s="1499"/>
    </row>
    <row r="68" spans="1:9" s="45" customFormat="1" ht="26.4" x14ac:dyDescent="0.3">
      <c r="A68" s="1824" t="s">
        <v>3152</v>
      </c>
      <c r="B68" s="337" t="s">
        <v>608</v>
      </c>
      <c r="C68" s="2008" t="s">
        <v>3060</v>
      </c>
      <c r="D68" s="1805">
        <f>'ТЕ_2ст_тариф_без ЦТП'!J89/D$18*1000/12</f>
        <v>0</v>
      </c>
      <c r="E68" s="1805">
        <f>'ТЕ_2ст_тариф_без ЦТП'!M89/E$18*1000/12</f>
        <v>0</v>
      </c>
      <c r="F68" s="1805">
        <f>'ТЕ_2ст_тариф_без ЦТП'!P89/F$18*1000/12</f>
        <v>0</v>
      </c>
      <c r="G68" s="1805">
        <f>'ТЕ_2ст_тариф_без ЦТП'!S89/G$18*1000/12</f>
        <v>0</v>
      </c>
      <c r="I68" s="1499"/>
    </row>
    <row r="69" spans="1:9" s="45" customFormat="1" ht="26.4" x14ac:dyDescent="0.3">
      <c r="A69" s="1824" t="s">
        <v>3153</v>
      </c>
      <c r="B69" s="337" t="s">
        <v>609</v>
      </c>
      <c r="C69" s="2008" t="s">
        <v>3060</v>
      </c>
      <c r="D69" s="1805">
        <f>'ТЕ_2ст_тариф_без ЦТП'!J90/D$18*1000/12</f>
        <v>759.15056750102906</v>
      </c>
      <c r="E69" s="1805">
        <f>'ТЕ_2ст_тариф_без ЦТП'!M90/E$18*1000/12</f>
        <v>759.15056750102895</v>
      </c>
      <c r="F69" s="1805">
        <f>'ТЕ_2ст_тариф_без ЦТП'!P90/F$18*1000/12</f>
        <v>759.15056750102895</v>
      </c>
      <c r="G69" s="1805">
        <f>'ТЕ_2ст_тариф_без ЦТП'!S90/G$18*1000/12</f>
        <v>759.15056750102895</v>
      </c>
      <c r="I69" s="1499"/>
    </row>
    <row r="70" spans="1:9" s="45" customFormat="1" ht="15.6" x14ac:dyDescent="0.3">
      <c r="A70" s="1824" t="s">
        <v>3154</v>
      </c>
      <c r="B70" s="337" t="s">
        <v>610</v>
      </c>
      <c r="C70" s="2008" t="s">
        <v>3060</v>
      </c>
      <c r="D70" s="1805">
        <f>'ТЕ_2ст_тариф_без ЦТП'!J91/D$18*1000/12</f>
        <v>11112.436708679865</v>
      </c>
      <c r="E70" s="1805">
        <f>'ТЕ_2ст_тариф_без ЦТП'!M91/E$18*1000/12</f>
        <v>21983.164675687131</v>
      </c>
      <c r="F70" s="1805">
        <f>'ТЕ_2ст_тариф_без ЦТП'!P91/F$18*1000/12</f>
        <v>21983.164675687131</v>
      </c>
      <c r="G70" s="1805">
        <f>'ТЕ_2ст_тариф_без ЦТП'!S91/G$18*1000/12</f>
        <v>21983.164675687131</v>
      </c>
      <c r="I70" s="1499"/>
    </row>
    <row r="71" spans="1:9" ht="26.4" x14ac:dyDescent="0.25">
      <c r="A71" s="1824" t="s">
        <v>3155</v>
      </c>
      <c r="B71" s="337" t="s">
        <v>2731</v>
      </c>
      <c r="C71" s="2008" t="s">
        <v>3060</v>
      </c>
      <c r="D71" s="1805">
        <f>'ТЕ_2ст_тариф_без ЦТП'!J92/D$18*1000/12</f>
        <v>10070.234518833347</v>
      </c>
      <c r="E71" s="1805">
        <f>'ТЕ_2ст_тариф_без ЦТП'!M92/E$18*1000/12</f>
        <v>20940.962485840617</v>
      </c>
      <c r="F71" s="1805">
        <f>'ТЕ_2ст_тариф_без ЦТП'!P92/F$18*1000/12</f>
        <v>20940.962485840613</v>
      </c>
      <c r="G71" s="1805">
        <f>'ТЕ_2ст_тариф_без ЦТП'!S92/G$18*1000/12</f>
        <v>20940.962485840613</v>
      </c>
    </row>
    <row r="72" spans="1:9" x14ac:dyDescent="0.25">
      <c r="A72" s="1824" t="s">
        <v>195</v>
      </c>
      <c r="B72" s="147" t="s">
        <v>47</v>
      </c>
      <c r="C72" s="2008" t="s">
        <v>3060</v>
      </c>
      <c r="D72" s="1805">
        <f>'ТЕ_2ст_тариф_без ЦТП'!J93/D$18*1000/12</f>
        <v>15437.667480654933</v>
      </c>
      <c r="E72" s="1805">
        <f>'ТЕ_2ст_тариф_без ЦТП'!M93/E$18*1000/12</f>
        <v>15437.667480654929</v>
      </c>
      <c r="F72" s="1805">
        <f>'ТЕ_2ст_тариф_без ЦТП'!P93/F$18*1000/12</f>
        <v>15437.667480654929</v>
      </c>
      <c r="G72" s="1805">
        <f>'ТЕ_2ст_тариф_без ЦТП'!S93/G$18*1000/12</f>
        <v>15437.667480654929</v>
      </c>
    </row>
    <row r="73" spans="1:9" x14ac:dyDescent="0.25">
      <c r="A73" s="1824" t="s">
        <v>2924</v>
      </c>
      <c r="B73" s="337" t="s">
        <v>217</v>
      </c>
      <c r="C73" s="2008" t="s">
        <v>3060</v>
      </c>
      <c r="D73" s="1805">
        <f>'ТЕ_2ст_тариф_без ЦТП'!J94/D$18*1000/12</f>
        <v>10225.793571197644</v>
      </c>
      <c r="E73" s="1805">
        <f>'ТЕ_2ст_тариф_без ЦТП'!M94/E$18*1000/12</f>
        <v>10225.793571197644</v>
      </c>
      <c r="F73" s="1805">
        <f>'ТЕ_2ст_тариф_без ЦТП'!P94/F$18*1000/12</f>
        <v>10225.793571197642</v>
      </c>
      <c r="G73" s="1805">
        <f>'ТЕ_2ст_тариф_без ЦТП'!S94/G$18*1000/12</f>
        <v>10225.793571197642</v>
      </c>
    </row>
    <row r="74" spans="1:9" ht="26.4" x14ac:dyDescent="0.25">
      <c r="A74" s="1824" t="s">
        <v>3156</v>
      </c>
      <c r="B74" s="337" t="s">
        <v>452</v>
      </c>
      <c r="C74" s="2008" t="s">
        <v>3060</v>
      </c>
      <c r="D74" s="1805">
        <f>'ТЕ_2ст_тариф_без ЦТП'!J95/D$18*1000/12</f>
        <v>3350.3607515257791</v>
      </c>
      <c r="E74" s="1805">
        <f>'ТЕ_2ст_тариф_без ЦТП'!M95/E$18*1000/12</f>
        <v>3350.3607515257791</v>
      </c>
      <c r="F74" s="1805">
        <f>'ТЕ_2ст_тариф_без ЦТП'!P95/F$18*1000/12</f>
        <v>3350.3607515257786</v>
      </c>
      <c r="G74" s="1805">
        <f>'ТЕ_2ст_тариф_без ЦТП'!S95/G$18*1000/12</f>
        <v>3350.3607515257786</v>
      </c>
    </row>
    <row r="75" spans="1:9" x14ac:dyDescent="0.25">
      <c r="A75" s="1824" t="s">
        <v>3157</v>
      </c>
      <c r="B75" s="337" t="s">
        <v>460</v>
      </c>
      <c r="C75" s="2008" t="s">
        <v>3060</v>
      </c>
      <c r="D75" s="1805">
        <f>'ТЕ_2ст_тариф_без ЦТП'!J96/D$18*1000/12</f>
        <v>3328.2935803972964</v>
      </c>
      <c r="E75" s="1805">
        <f>'ТЕ_2ст_тариф_без ЦТП'!M96/E$18*1000/12</f>
        <v>3328.293580397296</v>
      </c>
      <c r="F75" s="1805">
        <f>'ТЕ_2ст_тариф_без ЦТП'!P96/F$18*1000/12</f>
        <v>3328.293580397296</v>
      </c>
      <c r="G75" s="1805">
        <f>'ТЕ_2ст_тариф_без ЦТП'!S96/G$18*1000/12</f>
        <v>3328.293580397296</v>
      </c>
    </row>
    <row r="76" spans="1:9" x14ac:dyDescent="0.25">
      <c r="A76" s="1824" t="s">
        <v>3158</v>
      </c>
      <c r="B76" s="337" t="s">
        <v>81</v>
      </c>
      <c r="C76" s="2008" t="s">
        <v>3060</v>
      </c>
      <c r="D76" s="1805">
        <f>'ТЕ_2ст_тариф_без ЦТП'!J97/D$18*1000/12</f>
        <v>3547.1392392745688</v>
      </c>
      <c r="E76" s="1805">
        <f>'ТЕ_2ст_тариф_без ЦТП'!M97/E$18*1000/12</f>
        <v>3547.1392392745679</v>
      </c>
      <c r="F76" s="1805">
        <f>'ТЕ_2ст_тариф_без ЦТП'!P97/F$18*1000/12</f>
        <v>3547.1392392745679</v>
      </c>
      <c r="G76" s="1805">
        <f>'ТЕ_2ст_тариф_без ЦТП'!S97/G$18*1000/12</f>
        <v>3547.1392392745679</v>
      </c>
    </row>
    <row r="77" spans="1:9" x14ac:dyDescent="0.25">
      <c r="A77" s="1824" t="s">
        <v>3159</v>
      </c>
      <c r="B77" s="337" t="s">
        <v>218</v>
      </c>
      <c r="C77" s="2008" t="s">
        <v>3060</v>
      </c>
      <c r="D77" s="1805">
        <f>'ТЕ_2ст_тариф_без ЦТП'!J98/D$18*1000/12</f>
        <v>1552.0432455202561</v>
      </c>
      <c r="E77" s="1805">
        <f>'ТЕ_2ст_тариф_без ЦТП'!M98/E$18*1000/12</f>
        <v>1552.0432455202556</v>
      </c>
      <c r="F77" s="1805">
        <f>'ТЕ_2ст_тариф_без ЦТП'!P98/F$18*1000/12</f>
        <v>1552.0432455202561</v>
      </c>
      <c r="G77" s="1805">
        <f>'ТЕ_2ст_тариф_без ЦТП'!S98/G$18*1000/12</f>
        <v>1552.0432455202561</v>
      </c>
    </row>
    <row r="78" spans="1:9" x14ac:dyDescent="0.25">
      <c r="A78" s="1824" t="s">
        <v>3160</v>
      </c>
      <c r="B78" s="337" t="s">
        <v>55</v>
      </c>
      <c r="C78" s="2008" t="s">
        <v>3060</v>
      </c>
      <c r="D78" s="1805">
        <f>'ТЕ_2ст_тариф_без ЦТП'!J99/D$18*1000/12</f>
        <v>1185.9560284829145</v>
      </c>
      <c r="E78" s="1805">
        <f>'ТЕ_2ст_тариф_без ЦТП'!M99/E$18*1000/12</f>
        <v>1185.9560284829142</v>
      </c>
      <c r="F78" s="1805">
        <f>'ТЕ_2ст_тариф_без ЦТП'!P99/F$18*1000/12</f>
        <v>1185.9560284829145</v>
      </c>
      <c r="G78" s="1805">
        <f>'ТЕ_2ст_тариф_без ЦТП'!S99/G$18*1000/12</f>
        <v>1185.9560284829145</v>
      </c>
    </row>
    <row r="79" spans="1:9" ht="26.4" x14ac:dyDescent="0.25">
      <c r="A79" s="1824" t="s">
        <v>3161</v>
      </c>
      <c r="B79" s="337" t="s">
        <v>452</v>
      </c>
      <c r="C79" s="2008" t="s">
        <v>3060</v>
      </c>
      <c r="D79" s="1805">
        <f>'ТЕ_2ст_тариф_без ЦТП'!J100/D$18*1000/12</f>
        <v>253.14531876516494</v>
      </c>
      <c r="E79" s="1805">
        <f>'ТЕ_2ст_тариф_без ЦТП'!M100/E$18*1000/12</f>
        <v>253.14531876516494</v>
      </c>
      <c r="F79" s="1805">
        <f>'ТЕ_2ст_тариф_без ЦТП'!P100/F$18*1000/12</f>
        <v>253.14531876516492</v>
      </c>
      <c r="G79" s="1805">
        <f>'ТЕ_2ст_тариф_без ЦТП'!S100/G$18*1000/12</f>
        <v>253.14531876516494</v>
      </c>
    </row>
    <row r="80" spans="1:9" x14ac:dyDescent="0.25">
      <c r="A80" s="1824" t="s">
        <v>3162</v>
      </c>
      <c r="B80" s="337" t="s">
        <v>58</v>
      </c>
      <c r="C80" s="2008" t="s">
        <v>3060</v>
      </c>
      <c r="D80" s="1805">
        <f>'ТЕ_2ст_тариф_без ЦТП'!J101/D$18*1000/12</f>
        <v>112.94189827217646</v>
      </c>
      <c r="E80" s="1805">
        <f>'ТЕ_2ст_тариф_без ЦТП'!M101/E$18*1000/12</f>
        <v>112.94189827217645</v>
      </c>
      <c r="F80" s="1805">
        <f>'ТЕ_2ст_тариф_без ЦТП'!P101/F$18*1000/12</f>
        <v>112.94189827217643</v>
      </c>
      <c r="G80" s="1805">
        <f>'ТЕ_2ст_тариф_без ЦТП'!S101/G$18*1000/12</f>
        <v>112.94189827217645</v>
      </c>
    </row>
    <row r="81" spans="1:9" x14ac:dyDescent="0.25">
      <c r="A81" s="1824" t="s">
        <v>689</v>
      </c>
      <c r="B81" s="147" t="s">
        <v>219</v>
      </c>
      <c r="C81" s="2008" t="s">
        <v>3060</v>
      </c>
      <c r="D81" s="1805">
        <f>'ТЕ_2ст_тариф_без ЦТП'!J102/D$18*1000/12</f>
        <v>1886.8709401915039</v>
      </c>
      <c r="E81" s="1805">
        <f>'ТЕ_2ст_тариф_без ЦТП'!M102/E$18*1000/12</f>
        <v>1886.8709401915039</v>
      </c>
      <c r="F81" s="1805">
        <f>'ТЕ_2ст_тариф_без ЦТП'!P102/F$18*1000/12</f>
        <v>1886.8709401915037</v>
      </c>
      <c r="G81" s="1805">
        <f>'ТЕ_2ст_тариф_без ЦТП'!S102/G$18*1000/12</f>
        <v>1886.8709401915039</v>
      </c>
    </row>
    <row r="82" spans="1:9" x14ac:dyDescent="0.25">
      <c r="A82" s="1824" t="s">
        <v>2227</v>
      </c>
      <c r="B82" s="147" t="s">
        <v>55</v>
      </c>
      <c r="C82" s="2008" t="s">
        <v>3060</v>
      </c>
      <c r="D82" s="1805">
        <f>'ТЕ_2ст_тариф_без ЦТП'!J103/D$18*1000/12</f>
        <v>1413.009970122409</v>
      </c>
      <c r="E82" s="1805">
        <f>'ТЕ_2ст_тариф_без ЦТП'!M103/E$18*1000/12</f>
        <v>1413.009970122409</v>
      </c>
      <c r="F82" s="1805">
        <f>'ТЕ_2ст_тариф_без ЦТП'!P103/F$18*1000/12</f>
        <v>1413.0099701224087</v>
      </c>
      <c r="G82" s="1805">
        <f>'ТЕ_2ст_тариф_без ЦТП'!S103/G$18*1000/12</f>
        <v>1413.0099701224087</v>
      </c>
    </row>
    <row r="83" spans="1:9" ht="26.4" x14ac:dyDescent="0.25">
      <c r="A83" s="1824" t="s">
        <v>2228</v>
      </c>
      <c r="B83" s="147" t="s">
        <v>452</v>
      </c>
      <c r="C83" s="2008" t="s">
        <v>3060</v>
      </c>
      <c r="D83" s="1805">
        <f>'ТЕ_2ст_тариф_без ЦТП'!J104/D$18*1000/12</f>
        <v>310.86219342692993</v>
      </c>
      <c r="E83" s="1805">
        <f>'ТЕ_2ст_тариф_без ЦТП'!M104/E$18*1000/12</f>
        <v>310.86219342692988</v>
      </c>
      <c r="F83" s="1805">
        <f>'ТЕ_2ст_тариф_без ЦТП'!P104/F$18*1000/12</f>
        <v>310.86219342692988</v>
      </c>
      <c r="G83" s="1805">
        <f>'ТЕ_2ст_тариф_без ЦТП'!S104/G$18*1000/12</f>
        <v>310.86219342692988</v>
      </c>
    </row>
    <row r="84" spans="1:9" x14ac:dyDescent="0.25">
      <c r="A84" s="1824" t="s">
        <v>2925</v>
      </c>
      <c r="B84" s="147" t="s">
        <v>58</v>
      </c>
      <c r="C84" s="2008" t="s">
        <v>3060</v>
      </c>
      <c r="D84" s="1805">
        <f>'ТЕ_2ст_тариф_без ЦТП'!J105/D$18*1000/12</f>
        <v>162.9987766421655</v>
      </c>
      <c r="E84" s="1805">
        <f>'ТЕ_2ст_тариф_без ЦТП'!M105/E$18*1000/12</f>
        <v>162.99877664216544</v>
      </c>
      <c r="F84" s="1805">
        <f>'ТЕ_2ст_тариф_без ЦТП'!P105/F$18*1000/12</f>
        <v>162.99877664216544</v>
      </c>
      <c r="G84" s="1805">
        <f>'ТЕ_2ст_тариф_без ЦТП'!S105/G$18*1000/12</f>
        <v>162.99877664216544</v>
      </c>
    </row>
    <row r="85" spans="1:9" x14ac:dyDescent="0.25">
      <c r="A85" s="1824" t="s">
        <v>690</v>
      </c>
      <c r="B85" s="337" t="s">
        <v>220</v>
      </c>
      <c r="C85" s="2008" t="s">
        <v>3060</v>
      </c>
      <c r="D85" s="1805">
        <f>'ТЕ_2ст_тариф_без ЦТП'!J106/D$18*1000/12</f>
        <v>0</v>
      </c>
      <c r="E85" s="1805">
        <f>'ТЕ_2ст_тариф_без ЦТП'!M106/E$18*1000/12</f>
        <v>0</v>
      </c>
      <c r="F85" s="1805">
        <f>'ТЕ_2ст_тариф_без ЦТП'!P106/F$18*1000/12</f>
        <v>0</v>
      </c>
      <c r="G85" s="1805">
        <f>'ТЕ_2ст_тариф_без ЦТП'!S106/G$18*1000/12</f>
        <v>0</v>
      </c>
    </row>
    <row r="86" spans="1:9" x14ac:dyDescent="0.25">
      <c r="A86" s="1824" t="s">
        <v>3163</v>
      </c>
      <c r="B86" s="337" t="s">
        <v>55</v>
      </c>
      <c r="C86" s="2008" t="s">
        <v>3060</v>
      </c>
      <c r="D86" s="1805">
        <f>'ТЕ_2ст_тариф_без ЦТП'!J107/D$18*1000/12</f>
        <v>0</v>
      </c>
      <c r="E86" s="1805">
        <f>'ТЕ_2ст_тариф_без ЦТП'!M107/E$18*1000/12</f>
        <v>0</v>
      </c>
      <c r="F86" s="1805">
        <f>'ТЕ_2ст_тариф_без ЦТП'!P107/F$18*1000/12</f>
        <v>0</v>
      </c>
      <c r="G86" s="1805">
        <f>'ТЕ_2ст_тариф_без ЦТП'!S107/G$18*1000/12</f>
        <v>0</v>
      </c>
    </row>
    <row r="87" spans="1:9" ht="26.4" x14ac:dyDescent="0.25">
      <c r="A87" s="1824" t="s">
        <v>3164</v>
      </c>
      <c r="B87" s="147" t="s">
        <v>452</v>
      </c>
      <c r="C87" s="2008" t="s">
        <v>3060</v>
      </c>
      <c r="D87" s="1805">
        <f>'ТЕ_2ст_тариф_без ЦТП'!J108/D$18*1000/12</f>
        <v>0</v>
      </c>
      <c r="E87" s="1805">
        <f>'ТЕ_2ст_тариф_без ЦТП'!M108/E$18*1000/12</f>
        <v>0</v>
      </c>
      <c r="F87" s="1805">
        <f>'ТЕ_2ст_тариф_без ЦТП'!P108/F$18*1000/12</f>
        <v>0</v>
      </c>
      <c r="G87" s="1805">
        <f>'ТЕ_2ст_тариф_без ЦТП'!S108/G$18*1000/12</f>
        <v>0</v>
      </c>
    </row>
    <row r="88" spans="1:9" x14ac:dyDescent="0.25">
      <c r="A88" s="1824" t="s">
        <v>3165</v>
      </c>
      <c r="B88" s="1814" t="s">
        <v>58</v>
      </c>
      <c r="C88" s="2008" t="s">
        <v>3060</v>
      </c>
      <c r="D88" s="1805">
        <f>'ТЕ_2ст_тариф_без ЦТП'!J109/D$18*1000/12</f>
        <v>0</v>
      </c>
      <c r="E88" s="1805">
        <f>'ТЕ_2ст_тариф_без ЦТП'!M109/E$18*1000/12</f>
        <v>0</v>
      </c>
      <c r="F88" s="1805">
        <f>'ТЕ_2ст_тариф_без ЦТП'!P109/F$18*1000/12</f>
        <v>0</v>
      </c>
      <c r="G88" s="1805">
        <f>'ТЕ_2ст_тариф_без ЦТП'!S109/G$18*1000/12</f>
        <v>0</v>
      </c>
    </row>
    <row r="89" spans="1:9" x14ac:dyDescent="0.25">
      <c r="A89" s="1824" t="s">
        <v>2926</v>
      </c>
      <c r="B89" s="147" t="s">
        <v>2777</v>
      </c>
      <c r="C89" s="2008" t="s">
        <v>3060</v>
      </c>
      <c r="D89" s="1805">
        <f>'ТЕ_2ст_тариф_без ЦТП'!J110/D$18*1000/12</f>
        <v>0</v>
      </c>
      <c r="E89" s="1805">
        <f>'ТЕ_2ст_тариф_без ЦТП'!M110/E$18*1000/12</f>
        <v>0</v>
      </c>
      <c r="F89" s="1805">
        <f>'ТЕ_2ст_тариф_без ЦТП'!P110/F$18*1000/12</f>
        <v>0</v>
      </c>
      <c r="G89" s="1805">
        <f>'ТЕ_2ст_тариф_без ЦТП'!S110/G$18*1000/12</f>
        <v>0</v>
      </c>
    </row>
    <row r="90" spans="1:9" x14ac:dyDescent="0.25">
      <c r="A90" s="1824" t="s">
        <v>2927</v>
      </c>
      <c r="B90" s="147" t="s">
        <v>5</v>
      </c>
      <c r="C90" s="2008" t="s">
        <v>3060</v>
      </c>
      <c r="D90" s="1805">
        <f>'ТЕ_2ст_тариф_без ЦТП'!J111/D$18*1000/12</f>
        <v>0</v>
      </c>
      <c r="E90" s="1805">
        <f>'ТЕ_2ст_тариф_без ЦТП'!M111/E$18*1000/12</f>
        <v>0</v>
      </c>
      <c r="F90" s="1805">
        <f>'ТЕ_2ст_тариф_без ЦТП'!P111/F$18*1000/12</f>
        <v>0</v>
      </c>
      <c r="G90" s="1805">
        <f>'ТЕ_2ст_тариф_без ЦТП'!S111/G$18*1000/12</f>
        <v>0</v>
      </c>
    </row>
    <row r="91" spans="1:9" x14ac:dyDescent="0.25">
      <c r="A91" s="1824" t="s">
        <v>2928</v>
      </c>
      <c r="B91" s="147" t="s">
        <v>2442</v>
      </c>
      <c r="C91" s="2008" t="s">
        <v>3060</v>
      </c>
      <c r="D91" s="1805">
        <f>'ТЕ_2ст_тариф_без ЦТП'!J112/D$18*1000/12</f>
        <v>40973.962513745217</v>
      </c>
      <c r="E91" s="1805">
        <f>'ТЕ_2ст_тариф_без ЦТП'!M112/E$18*1000/12</f>
        <v>51844.690480752499</v>
      </c>
      <c r="F91" s="1805">
        <f>'ТЕ_2ст_тариф_без ЦТП'!P112/F$18*1000/12</f>
        <v>51844.690480752477</v>
      </c>
      <c r="G91" s="1805">
        <f>'ТЕ_2ст_тариф_без ЦТП'!S112/G$18*1000/12</f>
        <v>51844.690480752492</v>
      </c>
    </row>
    <row r="92" spans="1:9" x14ac:dyDescent="0.25">
      <c r="A92" s="1824" t="s">
        <v>2929</v>
      </c>
      <c r="B92" s="147" t="s">
        <v>234</v>
      </c>
      <c r="C92" s="2008" t="s">
        <v>3060</v>
      </c>
      <c r="D92" s="1805">
        <f>'ТЕ_2ст_тариф_без ЦТП'!J113/D$18*1000/12</f>
        <v>0</v>
      </c>
      <c r="E92" s="1805">
        <f>'ТЕ_2ст_тариф_без ЦТП'!M113/E$18*1000/12</f>
        <v>0</v>
      </c>
      <c r="F92" s="1805">
        <f>'ТЕ_2ст_тариф_без ЦТП'!P113/F$18*1000/12</f>
        <v>0</v>
      </c>
      <c r="G92" s="1805">
        <f>'ТЕ_2ст_тариф_без ЦТП'!S113/G$18*1000/12</f>
        <v>0</v>
      </c>
    </row>
    <row r="93" spans="1:9" x14ac:dyDescent="0.25">
      <c r="A93" s="1824" t="s">
        <v>2935</v>
      </c>
      <c r="B93" s="147" t="s">
        <v>3462</v>
      </c>
      <c r="C93" s="2008" t="s">
        <v>3060</v>
      </c>
      <c r="D93" s="1805">
        <f>'ТЕ_2ст_тариф_без ЦТП'!J114/D$18*1000/12</f>
        <v>2611.7393621630777</v>
      </c>
      <c r="E93" s="1805">
        <f>'ТЕ_2ст_тариф_без ЦТП'!M114/E$18*1000/12</f>
        <v>3115.5070525499746</v>
      </c>
      <c r="F93" s="1805">
        <f>'ТЕ_2ст_тариф_без ЦТП'!P114/F$18*1000/12</f>
        <v>3115.5070525499746</v>
      </c>
      <c r="G93" s="1805">
        <f>'ТЕ_2ст_тариф_без ЦТП'!S114/G$18*1000/12</f>
        <v>3115.5070525499746</v>
      </c>
      <c r="I93" s="2011"/>
    </row>
    <row r="94" spans="1:9" x14ac:dyDescent="0.25">
      <c r="A94" s="1824" t="s">
        <v>2096</v>
      </c>
      <c r="B94" s="147" t="s">
        <v>65</v>
      </c>
      <c r="C94" s="2008" t="s">
        <v>3060</v>
      </c>
      <c r="D94" s="1805">
        <f>'ТЕ_2ст_тариф_без ЦТП'!J115/D$18*1000/12</f>
        <v>470.11308518935385</v>
      </c>
      <c r="E94" s="1805">
        <f>'ТЕ_2ст_тариф_без ЦТП'!M115/E$18*1000/12</f>
        <v>560.79126945899532</v>
      </c>
      <c r="F94" s="1805">
        <f>'ТЕ_2ст_тариф_без ЦТП'!P115/F$18*1000/12</f>
        <v>560.79126945899498</v>
      </c>
      <c r="G94" s="1805">
        <f>'ТЕ_2ст_тариф_без ЦТП'!S115/G$18*1000/12</f>
        <v>560.7912694589952</v>
      </c>
    </row>
    <row r="95" spans="1:9" ht="26.4" x14ac:dyDescent="0.25">
      <c r="A95" s="4506" t="s">
        <v>2099</v>
      </c>
      <c r="B95" s="1506" t="s">
        <v>4145</v>
      </c>
      <c r="C95" s="4507" t="s">
        <v>3060</v>
      </c>
      <c r="D95" s="1805">
        <f>'ТЕ_2ст_тариф_без ЦТП'!J116/D$18*1000/12</f>
        <v>0</v>
      </c>
      <c r="E95" s="1805">
        <f>'ТЕ_2ст_тариф_без ЦТП'!M116/E$18*1000/12</f>
        <v>0</v>
      </c>
      <c r="F95" s="1805">
        <f>'ТЕ_2ст_тариф_без ЦТП'!P116/F$18*1000/12</f>
        <v>0</v>
      </c>
      <c r="G95" s="1805">
        <f>'ТЕ_2ст_тариф_без ЦТП'!S116/G$18*1000/12</f>
        <v>0</v>
      </c>
    </row>
    <row r="96" spans="1:9" x14ac:dyDescent="0.25">
      <c r="A96" s="1824" t="s">
        <v>2101</v>
      </c>
      <c r="B96" s="147" t="s">
        <v>85</v>
      </c>
      <c r="C96" s="2008" t="s">
        <v>3060</v>
      </c>
      <c r="D96" s="1805">
        <f>'ТЕ_2ст_тариф_без ЦТП'!J117/D$18*1000/12</f>
        <v>0</v>
      </c>
      <c r="E96" s="1805">
        <f>'ТЕ_2ст_тариф_без ЦТП'!M117/E$18*1000/12</f>
        <v>0</v>
      </c>
      <c r="F96" s="1805">
        <f>'ТЕ_2ст_тариф_без ЦТП'!P117/F$18*1000/12</f>
        <v>0</v>
      </c>
      <c r="G96" s="1805">
        <f>'ТЕ_2ст_тариф_без ЦТП'!S117/G$18*1000/12</f>
        <v>0</v>
      </c>
    </row>
    <row r="97" spans="1:12" x14ac:dyDescent="0.25">
      <c r="A97" s="1824" t="s">
        <v>3166</v>
      </c>
      <c r="B97" s="147" t="s">
        <v>71</v>
      </c>
      <c r="C97" s="2008" t="s">
        <v>3060</v>
      </c>
      <c r="D97" s="1805">
        <f>'ТЕ_2ст_тариф_без ЦТП'!J118/D$18*1000/12</f>
        <v>0</v>
      </c>
      <c r="E97" s="1805">
        <f>'ТЕ_2ст_тариф_без ЦТП'!M118/E$18*1000/12</f>
        <v>0</v>
      </c>
      <c r="F97" s="1805">
        <f>'ТЕ_2ст_тариф_без ЦТП'!P118/F$18*1000/12</f>
        <v>0</v>
      </c>
      <c r="G97" s="1805">
        <f>'ТЕ_2ст_тариф_без ЦТП'!S118/G$18*1000/12</f>
        <v>0</v>
      </c>
    </row>
    <row r="98" spans="1:12" ht="27.6" x14ac:dyDescent="0.25">
      <c r="A98" s="1824" t="s">
        <v>3167</v>
      </c>
      <c r="B98" s="2003" t="s">
        <v>2545</v>
      </c>
      <c r="C98" s="2008" t="s">
        <v>3060</v>
      </c>
      <c r="D98" s="1805">
        <f>'ТЕ_2ст_тариф_без ЦТП'!J119/D$18*1000/12</f>
        <v>2141.6262769737236</v>
      </c>
      <c r="E98" s="1805">
        <f>'ТЕ_2ст_тариф_без ЦТП'!M119/E$18*1000/12</f>
        <v>2554.7157830909796</v>
      </c>
      <c r="F98" s="1805">
        <f>'ТЕ_2ст_тариф_без ЦТП'!P119/F$18*1000/12</f>
        <v>2554.7157830909796</v>
      </c>
      <c r="G98" s="1805">
        <f>'ТЕ_2ст_тариф_без ЦТП'!S119/G$18*1000/12</f>
        <v>2554.7157830909796</v>
      </c>
      <c r="I98" s="1121">
        <f>D98/D91</f>
        <v>5.2267980580479344E-2</v>
      </c>
      <c r="J98" s="1121">
        <f>E98/E91</f>
        <v>4.9276324333336036E-2</v>
      </c>
      <c r="K98" s="1121">
        <f>F98/F91</f>
        <v>4.9276324333336056E-2</v>
      </c>
      <c r="L98" s="1121">
        <f>G98/G91</f>
        <v>4.9276324333336043E-2</v>
      </c>
    </row>
    <row r="99" spans="1:12" x14ac:dyDescent="0.25">
      <c r="A99" s="4922" t="s">
        <v>2903</v>
      </c>
      <c r="B99" s="4923"/>
      <c r="C99" s="4923"/>
      <c r="D99" s="4923"/>
      <c r="E99" s="4923"/>
      <c r="F99" s="4923"/>
      <c r="G99" s="4924"/>
    </row>
    <row r="100" spans="1:12" ht="26.4" x14ac:dyDescent="0.25">
      <c r="A100" s="1820" t="s">
        <v>2936</v>
      </c>
      <c r="B100" s="1823" t="s">
        <v>2966</v>
      </c>
      <c r="C100" s="2010" t="s">
        <v>3058</v>
      </c>
      <c r="D100" s="1805">
        <f>'ТЕ_2ст_тариф_без ЦТП'!J159/D$16*1000/12</f>
        <v>2390.0810057385866</v>
      </c>
      <c r="E100" s="1805">
        <f>'ТЕ_2ст_тариф_без ЦТП'!M159/E$16*1000/12</f>
        <v>2390.0810057385866</v>
      </c>
      <c r="F100" s="1805">
        <f>'ТЕ_2ст_тариф_без ЦТП'!P159/F$16*1000/12</f>
        <v>2390.0810057385866</v>
      </c>
      <c r="G100" s="1805">
        <f>'ТЕ_2ст_тариф_без ЦТП'!S159/G$16*1000/12</f>
        <v>2390.0810057385866</v>
      </c>
    </row>
    <row r="101" spans="1:12" x14ac:dyDescent="0.25">
      <c r="A101" s="1822" t="s">
        <v>2947</v>
      </c>
      <c r="B101" s="147" t="s">
        <v>215</v>
      </c>
      <c r="C101" s="2009" t="s">
        <v>3060</v>
      </c>
      <c r="D101" s="1805">
        <f>'ТЕ_2ст_тариф_без ЦТП'!J130/D$16*1000/12</f>
        <v>2191.1137591288457</v>
      </c>
      <c r="E101" s="1805">
        <f>'ТЕ_2ст_тариф_без ЦТП'!M130/E$16*1000/12</f>
        <v>2191.1137591288452</v>
      </c>
      <c r="F101" s="1805">
        <f>'ТЕ_2ст_тариф_без ЦТП'!P130/F$16*1000/12</f>
        <v>2191.1137591288452</v>
      </c>
      <c r="G101" s="1805">
        <f>'ТЕ_2ст_тариф_без ЦТП'!S130/G$16*1000/12</f>
        <v>2191.1137591288448</v>
      </c>
    </row>
    <row r="102" spans="1:12" x14ac:dyDescent="0.25">
      <c r="A102" s="1822" t="s">
        <v>2948</v>
      </c>
      <c r="B102" s="147" t="s">
        <v>102</v>
      </c>
      <c r="C102" s="2009" t="s">
        <v>3060</v>
      </c>
      <c r="D102" s="1805">
        <f>'ТЕ_2ст_тариф_без ЦТП'!J131/D$16*1000/12</f>
        <v>18.862391084887296</v>
      </c>
      <c r="E102" s="1805">
        <f>'ТЕ_2ст_тариф_без ЦТП'!M131/E$16*1000/12</f>
        <v>18.862391084887296</v>
      </c>
      <c r="F102" s="1805">
        <f>'ТЕ_2ст_тариф_без ЦТП'!P131/F$16*1000/12</f>
        <v>18.862391084887296</v>
      </c>
      <c r="G102" s="1805">
        <f>'ТЕ_2ст_тариф_без ЦТП'!S131/G$16*1000/12</f>
        <v>18.8623910848873</v>
      </c>
    </row>
    <row r="103" spans="1:12" x14ac:dyDescent="0.25">
      <c r="A103" s="1822" t="s">
        <v>2949</v>
      </c>
      <c r="B103" s="147" t="s">
        <v>47</v>
      </c>
      <c r="C103" s="2009" t="s">
        <v>3060</v>
      </c>
      <c r="D103" s="1805">
        <f>'ТЕ_2ст_тариф_без ЦТП'!J132/D$16*1000/12</f>
        <v>878.19257624016871</v>
      </c>
      <c r="E103" s="1805">
        <f>'ТЕ_2ст_тариф_без ЦТП'!M132/E$16*1000/12</f>
        <v>878.19257624016871</v>
      </c>
      <c r="F103" s="1805">
        <f>'ТЕ_2ст_тариф_без ЦТП'!P132/F$16*1000/12</f>
        <v>878.19257624016848</v>
      </c>
      <c r="G103" s="1805">
        <f>'ТЕ_2ст_тариф_без ЦТП'!S132/G$16*1000/12</f>
        <v>878.19257624016848</v>
      </c>
    </row>
    <row r="104" spans="1:12" x14ac:dyDescent="0.25">
      <c r="A104" s="1822" t="s">
        <v>2950</v>
      </c>
      <c r="B104" s="147" t="s">
        <v>217</v>
      </c>
      <c r="C104" s="2009" t="s">
        <v>3060</v>
      </c>
      <c r="D104" s="1805">
        <f>'ТЕ_2ст_тариф_без ЦТП'!J133/D$16*1000/12</f>
        <v>1217.4689434394177</v>
      </c>
      <c r="E104" s="1805">
        <f>'ТЕ_2ст_тариф_без ЦТП'!M133/E$16*1000/12</f>
        <v>1217.4689434394177</v>
      </c>
      <c r="F104" s="1805">
        <f>'ТЕ_2ст_тариф_без ЦТП'!P133/F$16*1000/12</f>
        <v>1217.4689434394177</v>
      </c>
      <c r="G104" s="1805">
        <f>'ТЕ_2ст_тариф_без ЦТП'!S133/G$16*1000/12</f>
        <v>1217.4689434394174</v>
      </c>
    </row>
    <row r="105" spans="1:12" ht="28.95" customHeight="1" x14ac:dyDescent="0.25">
      <c r="A105" s="1822" t="s">
        <v>3168</v>
      </c>
      <c r="B105" s="147" t="s">
        <v>452</v>
      </c>
      <c r="C105" s="2009" t="s">
        <v>3060</v>
      </c>
      <c r="D105" s="1805">
        <f>'ТЕ_2ст_тариф_без ЦТП'!J134/D$16*1000/12</f>
        <v>193.20236677283708</v>
      </c>
      <c r="E105" s="1805">
        <f>'ТЕ_2ст_тариф_без ЦТП'!M134/E$16*1000/12</f>
        <v>193.20236677283708</v>
      </c>
      <c r="F105" s="1805">
        <f>'ТЕ_2ст_тариф_без ЦТП'!P134/F$16*1000/12</f>
        <v>193.20236677283708</v>
      </c>
      <c r="G105" s="1805">
        <f>'ТЕ_2ст_тариф_без ЦТП'!S134/G$16*1000/12</f>
        <v>193.20236677283705</v>
      </c>
    </row>
    <row r="106" spans="1:12" x14ac:dyDescent="0.25">
      <c r="A106" s="1822" t="s">
        <v>3169</v>
      </c>
      <c r="B106" s="147" t="s">
        <v>460</v>
      </c>
      <c r="C106" s="2009" t="s">
        <v>3060</v>
      </c>
      <c r="D106" s="1805">
        <f>'ТЕ_2ст_тариф_без ЦТП'!J135/D$16*1000/12</f>
        <v>982.3826577323922</v>
      </c>
      <c r="E106" s="1805">
        <f>'ТЕ_2ст_тариф_без ЦТП'!M135/E$16*1000/12</f>
        <v>982.3826577323922</v>
      </c>
      <c r="F106" s="1805">
        <f>'ТЕ_2ст_тариф_без ЦТП'!P135/F$16*1000/12</f>
        <v>982.3826577323922</v>
      </c>
      <c r="G106" s="1805">
        <f>'ТЕ_2ст_тариф_без ЦТП'!S135/G$16*1000/12</f>
        <v>982.38265773239209</v>
      </c>
    </row>
    <row r="107" spans="1:12" x14ac:dyDescent="0.25">
      <c r="A107" s="1822" t="s">
        <v>3170</v>
      </c>
      <c r="B107" s="147" t="s">
        <v>52</v>
      </c>
      <c r="C107" s="2009" t="s">
        <v>3060</v>
      </c>
      <c r="D107" s="1805">
        <f>'ТЕ_2ст_тариф_без ЦТП'!J136/D$16*1000/12</f>
        <v>41.883918934188237</v>
      </c>
      <c r="E107" s="1805">
        <f>'ТЕ_2ст_тариф_без ЦТП'!M136/E$16*1000/12</f>
        <v>41.883918934188237</v>
      </c>
      <c r="F107" s="1805">
        <f>'ТЕ_2ст_тариф_без ЦТП'!P136/F$16*1000/12</f>
        <v>41.883918934188237</v>
      </c>
      <c r="G107" s="1805">
        <f>'ТЕ_2ст_тариф_без ЦТП'!S136/G$16*1000/12</f>
        <v>41.883918934188237</v>
      </c>
    </row>
    <row r="108" spans="1:12" x14ac:dyDescent="0.25">
      <c r="A108" s="1822" t="s">
        <v>3171</v>
      </c>
      <c r="B108" s="147" t="s">
        <v>218</v>
      </c>
      <c r="C108" s="2009" t="s">
        <v>3060</v>
      </c>
      <c r="D108" s="1805">
        <f>'ТЕ_2ст_тариф_без ЦТП'!J137/D$16*1000/12</f>
        <v>76.589848364372031</v>
      </c>
      <c r="E108" s="1805">
        <f>'ТЕ_2ст_тариф_без ЦТП'!M137/E$16*1000/12</f>
        <v>76.589848364372031</v>
      </c>
      <c r="F108" s="1805">
        <f>'ТЕ_2ст_тариф_без ЦТП'!P137/F$16*1000/12</f>
        <v>76.589848364372031</v>
      </c>
      <c r="G108" s="1805">
        <f>'ТЕ_2ст_тариф_без ЦТП'!S137/G$16*1000/12</f>
        <v>76.589848364372031</v>
      </c>
    </row>
    <row r="109" spans="1:12" x14ac:dyDescent="0.25">
      <c r="A109" s="1822" t="s">
        <v>3172</v>
      </c>
      <c r="B109" s="147" t="s">
        <v>55</v>
      </c>
      <c r="C109" s="2009" t="s">
        <v>3060</v>
      </c>
      <c r="D109" s="1805">
        <f>'ТЕ_2ст_тариф_без ЦТП'!J138/D$16*1000/12</f>
        <v>58.524266414929514</v>
      </c>
      <c r="E109" s="1805">
        <f>'ТЕ_2ст_тариф_без ЦТП'!M138/E$16*1000/12</f>
        <v>58.524266414929507</v>
      </c>
      <c r="F109" s="1805">
        <f>'ТЕ_2ст_тариф_без ЦТП'!P138/F$16*1000/12</f>
        <v>58.524266414929507</v>
      </c>
      <c r="G109" s="1805">
        <f>'ТЕ_2ст_тариф_без ЦТП'!S138/G$16*1000/12</f>
        <v>58.524266414929514</v>
      </c>
    </row>
    <row r="110" spans="1:12" ht="27.6" customHeight="1" x14ac:dyDescent="0.25">
      <c r="A110" s="1822" t="s">
        <v>3173</v>
      </c>
      <c r="B110" s="147" t="s">
        <v>452</v>
      </c>
      <c r="C110" s="2009" t="s">
        <v>3060</v>
      </c>
      <c r="D110" s="1805">
        <f>'ТЕ_2ст_тариф_без ЦТП'!J139/D$16*1000/12</f>
        <v>12.492152930877575</v>
      </c>
      <c r="E110" s="1805">
        <f>'ТЕ_2ст_тариф_без ЦТП'!M139/E$16*1000/12</f>
        <v>12.492152930877575</v>
      </c>
      <c r="F110" s="1805">
        <f>'ТЕ_2ст_тариф_без ЦТП'!P139/F$16*1000/12</f>
        <v>12.492152930877575</v>
      </c>
      <c r="G110" s="1805">
        <f>'ТЕ_2ст_тариф_без ЦТП'!S139/G$16*1000/12</f>
        <v>12.492152930877573</v>
      </c>
    </row>
    <row r="111" spans="1:12" x14ac:dyDescent="0.25">
      <c r="A111" s="1822" t="s">
        <v>3174</v>
      </c>
      <c r="B111" s="147" t="s">
        <v>58</v>
      </c>
      <c r="C111" s="2009" t="s">
        <v>3060</v>
      </c>
      <c r="D111" s="1805">
        <f>'ТЕ_2ст_тариф_без ЦТП'!J140/D$16*1000/12</f>
        <v>5.5734290185649478</v>
      </c>
      <c r="E111" s="1805">
        <f>'ТЕ_2ст_тариф_без ЦТП'!M140/E$16*1000/12</f>
        <v>5.5734290185649478</v>
      </c>
      <c r="F111" s="1805">
        <f>'ТЕ_2ст_тариф_без ЦТП'!P140/F$16*1000/12</f>
        <v>5.5734290185649487</v>
      </c>
      <c r="G111" s="1805">
        <f>'ТЕ_2ст_тариф_без ЦТП'!S140/G$16*1000/12</f>
        <v>5.5734290185649478</v>
      </c>
    </row>
    <row r="112" spans="1:12" x14ac:dyDescent="0.25">
      <c r="A112" s="1822" t="s">
        <v>2951</v>
      </c>
      <c r="B112" s="147" t="s">
        <v>219</v>
      </c>
      <c r="C112" s="2009" t="s">
        <v>3060</v>
      </c>
      <c r="D112" s="1805">
        <f>'ТЕ_2ст_тариф_без ЦТП'!J141/D$16*1000/12</f>
        <v>93.112843092181308</v>
      </c>
      <c r="E112" s="1805">
        <f>'ТЕ_2ст_тариф_без ЦТП'!M141/E$16*1000/12</f>
        <v>93.112843092181279</v>
      </c>
      <c r="F112" s="1805">
        <f>'ТЕ_2ст_тариф_без ЦТП'!P141/F$16*1000/12</f>
        <v>93.112843092181279</v>
      </c>
      <c r="G112" s="1805">
        <f>'ТЕ_2ст_тариф_без ЦТП'!S141/G$16*1000/12</f>
        <v>93.112843092181279</v>
      </c>
    </row>
    <row r="113" spans="1:7" x14ac:dyDescent="0.25">
      <c r="A113" s="1822" t="s">
        <v>2112</v>
      </c>
      <c r="B113" s="147" t="s">
        <v>55</v>
      </c>
      <c r="C113" s="2009" t="s">
        <v>3060</v>
      </c>
      <c r="D113" s="1805">
        <f>'ТЕ_2ст_тариф_без ЦТП'!J142/D$16*1000/12</f>
        <v>69.72886848442441</v>
      </c>
      <c r="E113" s="1805">
        <f>'ТЕ_2ст_тариф_без ЦТП'!M142/E$16*1000/12</f>
        <v>69.728868484424396</v>
      </c>
      <c r="F113" s="1805">
        <f>'ТЕ_2ст_тариф_без ЦТП'!P142/F$16*1000/12</f>
        <v>69.72886848442441</v>
      </c>
      <c r="G113" s="1805">
        <f>'ТЕ_2ст_тариф_без ЦТП'!S142/G$16*1000/12</f>
        <v>69.728868484424396</v>
      </c>
    </row>
    <row r="114" spans="1:7" ht="26.4" x14ac:dyDescent="0.25">
      <c r="A114" s="1822" t="s">
        <v>2114</v>
      </c>
      <c r="B114" s="147" t="s">
        <v>452</v>
      </c>
      <c r="C114" s="2009" t="s">
        <v>3060</v>
      </c>
      <c r="D114" s="1805">
        <f>'ТЕ_2ст_тариф_без ЦТП'!J143/D$16*1000/12</f>
        <v>15.340351066573369</v>
      </c>
      <c r="E114" s="1805">
        <f>'ТЕ_2ст_тариф_без ЦТП'!M143/E$16*1000/12</f>
        <v>15.340351066573371</v>
      </c>
      <c r="F114" s="1805">
        <f>'ТЕ_2ст_тариф_без ЦТП'!P143/F$16*1000/12</f>
        <v>15.340351066573369</v>
      </c>
      <c r="G114" s="1805">
        <f>'ТЕ_2ст_тариф_без ЦТП'!S143/G$16*1000/12</f>
        <v>15.340351066573369</v>
      </c>
    </row>
    <row r="115" spans="1:7" x14ac:dyDescent="0.25">
      <c r="A115" s="1822" t="s">
        <v>2952</v>
      </c>
      <c r="B115" s="147" t="s">
        <v>58</v>
      </c>
      <c r="C115" s="2009" t="s">
        <v>3060</v>
      </c>
      <c r="D115" s="1805">
        <f>'ТЕ_2ст_тариф_без ЦТП'!J144/D$16*1000/12</f>
        <v>8.0436235411835124</v>
      </c>
      <c r="E115" s="1805">
        <f>'ТЕ_2ст_тариф_без ЦТП'!M144/E$16*1000/12</f>
        <v>8.0436235411835142</v>
      </c>
      <c r="F115" s="1805">
        <f>'ТЕ_2ст_тариф_без ЦТП'!P144/F$16*1000/12</f>
        <v>8.0436235411835124</v>
      </c>
      <c r="G115" s="1805">
        <f>'ТЕ_2ст_тариф_без ЦТП'!S144/G$16*1000/12</f>
        <v>8.0436235411835142</v>
      </c>
    </row>
    <row r="116" spans="1:7" x14ac:dyDescent="0.25">
      <c r="A116" s="1822" t="s">
        <v>2953</v>
      </c>
      <c r="B116" s="337" t="s">
        <v>220</v>
      </c>
      <c r="C116" s="2009" t="s">
        <v>3060</v>
      </c>
      <c r="D116" s="1805">
        <f>'ТЕ_2ст_тариф_без ЦТП'!J145/D$16*1000/12</f>
        <v>0</v>
      </c>
      <c r="E116" s="1805">
        <f>'ТЕ_2ст_тариф_без ЦТП'!M145/E$16*1000/12</f>
        <v>0</v>
      </c>
      <c r="F116" s="1805">
        <f>'ТЕ_2ст_тариф_без ЦТП'!P145/F$16*1000/12</f>
        <v>0</v>
      </c>
      <c r="G116" s="1805">
        <f>'ТЕ_2ст_тариф_без ЦТП'!S145/G$16*1000/12</f>
        <v>0</v>
      </c>
    </row>
    <row r="117" spans="1:7" x14ac:dyDescent="0.25">
      <c r="A117" s="1822" t="s">
        <v>3175</v>
      </c>
      <c r="B117" s="337" t="s">
        <v>55</v>
      </c>
      <c r="C117" s="2009" t="s">
        <v>3060</v>
      </c>
      <c r="D117" s="1805">
        <f>'ТЕ_2ст_тариф_без ЦТП'!J146/D$16*1000/12</f>
        <v>0</v>
      </c>
      <c r="E117" s="1805">
        <f>'ТЕ_2ст_тариф_без ЦТП'!M146/E$16*1000/12</f>
        <v>0</v>
      </c>
      <c r="F117" s="1805">
        <f>'ТЕ_2ст_тариф_без ЦТП'!P146/F$16*1000/12</f>
        <v>0</v>
      </c>
      <c r="G117" s="1805">
        <f>'ТЕ_2ст_тариф_без ЦТП'!S146/G$16*1000/12</f>
        <v>0</v>
      </c>
    </row>
    <row r="118" spans="1:7" ht="26.4" x14ac:dyDescent="0.25">
      <c r="A118" s="1822" t="s">
        <v>3176</v>
      </c>
      <c r="B118" s="337" t="s">
        <v>452</v>
      </c>
      <c r="C118" s="2009" t="s">
        <v>3060</v>
      </c>
      <c r="D118" s="1805">
        <f>'ТЕ_2ст_тариф_без ЦТП'!J147/D$16*1000/12</f>
        <v>0</v>
      </c>
      <c r="E118" s="1805">
        <f>'ТЕ_2ст_тариф_без ЦТП'!M147/E$16*1000/12</f>
        <v>0</v>
      </c>
      <c r="F118" s="1805">
        <f>'ТЕ_2ст_тариф_без ЦТП'!P147/F$16*1000/12</f>
        <v>0</v>
      </c>
      <c r="G118" s="1805">
        <f>'ТЕ_2ст_тариф_без ЦТП'!S147/G$16*1000/12</f>
        <v>0</v>
      </c>
    </row>
    <row r="119" spans="1:7" x14ac:dyDescent="0.25">
      <c r="A119" s="1822" t="s">
        <v>3177</v>
      </c>
      <c r="B119" s="1814" t="s">
        <v>58</v>
      </c>
      <c r="C119" s="2009" t="s">
        <v>3060</v>
      </c>
      <c r="D119" s="1805">
        <f>'ТЕ_2ст_тариф_без ЦТП'!J148/D$16*1000/12</f>
        <v>0</v>
      </c>
      <c r="E119" s="1805">
        <f>'ТЕ_2ст_тариф_без ЦТП'!M148/E$16*1000/12</f>
        <v>0</v>
      </c>
      <c r="F119" s="1805">
        <f>'ТЕ_2ст_тариф_без ЦТП'!P148/F$16*1000/12</f>
        <v>0</v>
      </c>
      <c r="G119" s="1805">
        <f>'ТЕ_2ст_тариф_без ЦТП'!S148/G$16*1000/12</f>
        <v>0</v>
      </c>
    </row>
    <row r="120" spans="1:7" x14ac:dyDescent="0.25">
      <c r="A120" s="1822" t="s">
        <v>2954</v>
      </c>
      <c r="B120" s="147" t="s">
        <v>3463</v>
      </c>
      <c r="C120" s="2009" t="s">
        <v>3060</v>
      </c>
      <c r="D120" s="1805">
        <f>'ТЕ_2ст_тариф_без ЦТП'!J149/D$16*1000/12</f>
        <v>0</v>
      </c>
      <c r="E120" s="1805">
        <f>'ТЕ_2ст_тариф_без ЦТП'!M149/E$16*1000/12</f>
        <v>0</v>
      </c>
      <c r="F120" s="1805">
        <f>'ТЕ_2ст_тариф_без ЦТП'!P149/F$16*1000/12</f>
        <v>0</v>
      </c>
      <c r="G120" s="1805">
        <f>'ТЕ_2ст_тариф_без ЦТП'!S149/G$16*1000/12</f>
        <v>0</v>
      </c>
    </row>
    <row r="121" spans="1:7" x14ac:dyDescent="0.25">
      <c r="A121" s="1822" t="s">
        <v>2955</v>
      </c>
      <c r="B121" s="147" t="s">
        <v>5</v>
      </c>
      <c r="C121" s="2009" t="s">
        <v>3060</v>
      </c>
      <c r="D121" s="1805">
        <f>'ТЕ_2ст_тариф_без ЦТП'!J150/D$16*1000/12</f>
        <v>0</v>
      </c>
      <c r="E121" s="1805">
        <f>'ТЕ_2ст_тариф_без ЦТП'!M150/E$16*1000/12</f>
        <v>0</v>
      </c>
      <c r="F121" s="1805">
        <f>'ТЕ_2ст_тариф_без ЦТП'!P150/F$16*1000/12</f>
        <v>0</v>
      </c>
      <c r="G121" s="1805">
        <f>'ТЕ_2ст_тариф_без ЦТП'!S150/G$16*1000/12</f>
        <v>0</v>
      </c>
    </row>
    <row r="122" spans="1:7" x14ac:dyDescent="0.25">
      <c r="A122" s="1822" t="s">
        <v>2956</v>
      </c>
      <c r="B122" s="147" t="s">
        <v>2442</v>
      </c>
      <c r="C122" s="2009" t="s">
        <v>3060</v>
      </c>
      <c r="D122" s="1805">
        <f>'ТЕ_2ст_тариф_без ЦТП'!J151/D$16*1000/12</f>
        <v>2284.226602221027</v>
      </c>
      <c r="E122" s="1805">
        <f>'ТЕ_2ст_тариф_без ЦТП'!M151/E$16*1000/12</f>
        <v>2284.2266022210274</v>
      </c>
      <c r="F122" s="1805">
        <f>'ТЕ_2ст_тариф_без ЦТП'!P151/F$16*1000/12</f>
        <v>2284.226602221027</v>
      </c>
      <c r="G122" s="1805">
        <f>'ТЕ_2ст_тариф_без ЦТП'!S151/G$16*1000/12</f>
        <v>2284.226602221027</v>
      </c>
    </row>
    <row r="123" spans="1:7" x14ac:dyDescent="0.25">
      <c r="A123" s="1822" t="s">
        <v>2957</v>
      </c>
      <c r="B123" s="147" t="s">
        <v>221</v>
      </c>
      <c r="C123" s="2009" t="s">
        <v>3060</v>
      </c>
      <c r="D123" s="1805">
        <f>'ТЕ_2ст_тариф_без ЦТП'!J152/D$16*1000/12</f>
        <v>0</v>
      </c>
      <c r="E123" s="1805">
        <f>'ТЕ_2ст_тариф_без ЦТП'!M152/E$16*1000/12</f>
        <v>0</v>
      </c>
      <c r="F123" s="1805">
        <f>'ТЕ_2ст_тариф_без ЦТП'!P152/F$16*1000/12</f>
        <v>0</v>
      </c>
      <c r="G123" s="1805">
        <f>'ТЕ_2ст_тариф_без ЦТП'!S152/G$16*1000/12</f>
        <v>0</v>
      </c>
    </row>
    <row r="124" spans="1:7" x14ac:dyDescent="0.25">
      <c r="A124" s="1822" t="s">
        <v>3178</v>
      </c>
      <c r="B124" s="147" t="s">
        <v>3461</v>
      </c>
      <c r="C124" s="2009" t="s">
        <v>3060</v>
      </c>
      <c r="D124" s="1805">
        <f>'ТЕ_2ст_тариф_без ЦТП'!J153/D$16*1000/12</f>
        <v>105.85440351755976</v>
      </c>
      <c r="E124" s="1805">
        <f>'ТЕ_2ст_тариф_без ЦТП'!M153/E$16*1000/12</f>
        <v>105.85440351755977</v>
      </c>
      <c r="F124" s="1805">
        <f>'ТЕ_2ст_тариф_без ЦТП'!P153/F$16*1000/12</f>
        <v>105.85440351755977</v>
      </c>
      <c r="G124" s="1805">
        <f>'ТЕ_2ст_тариф_без ЦТП'!S153/G$16*1000/12</f>
        <v>105.85440351755976</v>
      </c>
    </row>
    <row r="125" spans="1:7" x14ac:dyDescent="0.25">
      <c r="A125" s="1822" t="s">
        <v>3179</v>
      </c>
      <c r="B125" s="147" t="s">
        <v>65</v>
      </c>
      <c r="C125" s="2009" t="s">
        <v>3060</v>
      </c>
      <c r="D125" s="1805">
        <f>'ТЕ_2ст_тариф_без ЦТП'!J154/D$16*1000/12</f>
        <v>19.053792633160743</v>
      </c>
      <c r="E125" s="1805">
        <f>'ТЕ_2ст_тариф_без ЦТП'!M154/E$16*1000/12</f>
        <v>19.05379263316075</v>
      </c>
      <c r="F125" s="1805">
        <f>'ТЕ_2ст_тариф_без ЦТП'!P154/F$16*1000/12</f>
        <v>19.053792633160754</v>
      </c>
      <c r="G125" s="1805">
        <f>'ТЕ_2ст_тариф_без ЦТП'!S154/G$16*1000/12</f>
        <v>19.05379263316075</v>
      </c>
    </row>
    <row r="126" spans="1:7" ht="26.4" x14ac:dyDescent="0.25">
      <c r="A126" s="4602" t="s">
        <v>3180</v>
      </c>
      <c r="B126" s="1506" t="s">
        <v>4145</v>
      </c>
      <c r="C126" s="4603" t="s">
        <v>3060</v>
      </c>
      <c r="D126" s="1805">
        <f>'ТЕ_2ст_тариф_без ЦТП'!J155/D$16*1000/12</f>
        <v>0</v>
      </c>
      <c r="E126" s="1805">
        <f>'ТЕ_2ст_тариф_без ЦТП'!M155/E$16*1000/12</f>
        <v>0</v>
      </c>
      <c r="F126" s="1805">
        <f>'ТЕ_2ст_тариф_без ЦТП'!P155/F$16*1000/12</f>
        <v>0</v>
      </c>
      <c r="G126" s="1805">
        <f>'ТЕ_2ст_тариф_без ЦТП'!S155/G$16*1000/12</f>
        <v>0</v>
      </c>
    </row>
    <row r="127" spans="1:7" x14ac:dyDescent="0.25">
      <c r="A127" s="1822" t="s">
        <v>3181</v>
      </c>
      <c r="B127" s="147" t="s">
        <v>85</v>
      </c>
      <c r="C127" s="2009" t="s">
        <v>3060</v>
      </c>
      <c r="D127" s="1805">
        <f>'ТЕ_2ст_тариф_без ЦТП'!J156/D$16*1000/12</f>
        <v>0</v>
      </c>
      <c r="E127" s="1805">
        <f>'ТЕ_2ст_тариф_без ЦТП'!M156/E$16*1000/12</f>
        <v>0</v>
      </c>
      <c r="F127" s="1805">
        <f>'ТЕ_2ст_тариф_без ЦТП'!P156/F$16*1000/12</f>
        <v>0</v>
      </c>
      <c r="G127" s="1805">
        <f>'ТЕ_2ст_тариф_без ЦТП'!S156/G$16*1000/12</f>
        <v>0</v>
      </c>
    </row>
    <row r="128" spans="1:7" x14ac:dyDescent="0.25">
      <c r="A128" s="1822" t="s">
        <v>3182</v>
      </c>
      <c r="B128" s="147" t="s">
        <v>71</v>
      </c>
      <c r="C128" s="2009" t="s">
        <v>3060</v>
      </c>
      <c r="D128" s="1805">
        <f>'ТЕ_2ст_тариф_без ЦТП'!J157/D$16*1000/12</f>
        <v>0</v>
      </c>
      <c r="E128" s="1805">
        <f>'ТЕ_2ст_тариф_без ЦТП'!M157/E$16*1000/12</f>
        <v>0</v>
      </c>
      <c r="F128" s="1805">
        <f>'ТЕ_2ст_тариф_без ЦТП'!P157/F$16*1000/12</f>
        <v>0</v>
      </c>
      <c r="G128" s="1805">
        <f>'ТЕ_2ст_тариф_без ЦТП'!S157/G$16*1000/12</f>
        <v>0</v>
      </c>
    </row>
    <row r="129" spans="1:7" ht="27.6" x14ac:dyDescent="0.25">
      <c r="A129" s="1822" t="s">
        <v>3183</v>
      </c>
      <c r="B129" s="2003" t="s">
        <v>2545</v>
      </c>
      <c r="C129" s="2009" t="s">
        <v>3060</v>
      </c>
      <c r="D129" s="1805">
        <f>'ТЕ_2ст_тариф_без ЦТП'!J158/D$16*1000/12</f>
        <v>86.800610884399021</v>
      </c>
      <c r="E129" s="1805">
        <f>'ТЕ_2ст_тариф_без ЦТП'!M158/E$16*1000/12</f>
        <v>86.800610884399021</v>
      </c>
      <c r="F129" s="1805">
        <f>'ТЕ_2ст_тариф_без ЦТП'!P158/F$16*1000/12</f>
        <v>86.800610884399021</v>
      </c>
      <c r="G129" s="1805">
        <f>'ТЕ_2ст_тариф_без ЦТП'!S158/G$16*1000/12</f>
        <v>86.800610884399021</v>
      </c>
    </row>
    <row r="133" spans="1:7" ht="31.2" x14ac:dyDescent="0.3">
      <c r="B133" s="4399" t="str">
        <f>'D1_2023-2024'!B108</f>
        <v>Начальник управління економічного
розвитку та торгівлі</v>
      </c>
      <c r="C133" s="887"/>
      <c r="D133" s="45"/>
      <c r="E133" s="4921" t="str">
        <f>'D1_2023-2024'!F108</f>
        <v>Наталія ГЄНЧЕВА</v>
      </c>
      <c r="F133" s="4921"/>
      <c r="G133" s="4921"/>
    </row>
    <row r="137" spans="1:7" hidden="1" x14ac:dyDescent="0.25">
      <c r="D137" s="1223">
        <f>D20+D59</f>
        <v>1022.9080629079847</v>
      </c>
      <c r="E137" s="1223">
        <f>E20+E59</f>
        <v>2009.9180722784188</v>
      </c>
      <c r="F137" s="1223">
        <f>F20+F59</f>
        <v>2009.918072278419</v>
      </c>
      <c r="G137" s="1223">
        <f>G20+G59</f>
        <v>2009.918072278419</v>
      </c>
    </row>
    <row r="138" spans="1:7" hidden="1" x14ac:dyDescent="0.25">
      <c r="D138" s="1223">
        <f>D100+D64+D28</f>
        <v>100654.02687081962</v>
      </c>
      <c r="E138" s="1223">
        <f>E100+E64+E28</f>
        <v>117803.48304835666</v>
      </c>
      <c r="F138" s="1223">
        <f>F100+F64+F28</f>
        <v>117803.48304835663</v>
      </c>
      <c r="G138" s="1223">
        <f>G100+G64+G28</f>
        <v>117803.48304835663</v>
      </c>
    </row>
    <row r="139" spans="1:7" hidden="1" x14ac:dyDescent="0.25">
      <c r="D139" s="1121"/>
      <c r="E139" s="1121"/>
      <c r="F139" s="1121"/>
      <c r="G139" s="1121"/>
    </row>
    <row r="140" spans="1:7" hidden="1" x14ac:dyDescent="0.25">
      <c r="D140" s="1223">
        <f t="shared" ref="D140:G141" si="1">D137-D9</f>
        <v>8.062907984708545E-3</v>
      </c>
      <c r="E140" s="1223">
        <f t="shared" si="1"/>
        <v>8.0722784186946228E-3</v>
      </c>
      <c r="F140" s="1223">
        <f t="shared" si="1"/>
        <v>8.0722784189219965E-3</v>
      </c>
      <c r="G140" s="1223">
        <f t="shared" si="1"/>
        <v>8.0722784189219965E-3</v>
      </c>
    </row>
    <row r="141" spans="1:7" hidden="1" x14ac:dyDescent="0.25">
      <c r="D141" s="1223">
        <f t="shared" si="1"/>
        <v>6.8708196195075288E-3</v>
      </c>
      <c r="E141" s="1223">
        <f t="shared" si="1"/>
        <v>3.04835666611325E-3</v>
      </c>
      <c r="F141" s="1223">
        <f t="shared" si="1"/>
        <v>3.0483566370094195E-3</v>
      </c>
      <c r="G141" s="1223">
        <f t="shared" si="1"/>
        <v>3.0483566370094195E-3</v>
      </c>
    </row>
    <row r="142" spans="1:7" hidden="1" x14ac:dyDescent="0.25"/>
    <row r="143" spans="1:7" hidden="1" x14ac:dyDescent="0.25"/>
  </sheetData>
  <mergeCells count="16">
    <mergeCell ref="A8:G8"/>
    <mergeCell ref="A11:G11"/>
    <mergeCell ref="A2:G2"/>
    <mergeCell ref="A3:G3"/>
    <mergeCell ref="E1:G1"/>
    <mergeCell ref="A5:A6"/>
    <mergeCell ref="B5:B6"/>
    <mergeCell ref="C5:C6"/>
    <mergeCell ref="D5:G5"/>
    <mergeCell ref="E4:G4"/>
    <mergeCell ref="E133:G133"/>
    <mergeCell ref="A19:G19"/>
    <mergeCell ref="A27:G27"/>
    <mergeCell ref="A58:G58"/>
    <mergeCell ref="A63:G63"/>
    <mergeCell ref="A99:G99"/>
  </mergeCells>
  <pageMargins left="0.70866141732283472" right="0.47244094488188981" top="0.62992125984251968" bottom="0.55118110236220474" header="0.31496062992125984" footer="0.31496062992125984"/>
  <pageSetup paperSize="9" scale="88" fitToHeight="3" orientation="portrait" r:id="rId1"/>
  <headerFooter differentFirst="1">
    <oddHeader>&amp;RПродовження Додатку  4</oddHeader>
    <oddFooter>&amp;RСтор. &amp;P з &amp;N</oddFooter>
  </headerFooter>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100-000000000000}">
  <sheetPr codeName="Лист47">
    <tabColor rgb="FF00B050"/>
    <pageSetUpPr fitToPage="1"/>
  </sheetPr>
  <dimension ref="A1:S87"/>
  <sheetViews>
    <sheetView topLeftCell="B41" zoomScale="75" zoomScaleNormal="75" zoomScaleSheetLayoutView="75" workbookViewId="0">
      <selection activeCell="F62" sqref="F62"/>
    </sheetView>
  </sheetViews>
  <sheetFormatPr defaultColWidth="9.109375" defaultRowHeight="15.6" x14ac:dyDescent="0.3"/>
  <cols>
    <col min="1" max="1" width="5.44140625" style="3707" customWidth="1"/>
    <col min="2" max="2" width="65.88671875" style="1005" customWidth="1"/>
    <col min="3" max="3" width="12.44140625" style="1005" customWidth="1"/>
    <col min="4" max="4" width="11.44140625" style="1005" customWidth="1"/>
    <col min="5" max="5" width="11.33203125" style="1005" customWidth="1"/>
    <col min="6" max="6" width="12.33203125" style="1005" customWidth="1"/>
    <col min="7" max="7" width="14.5546875" style="1005" customWidth="1"/>
    <col min="8" max="9" width="12.33203125" style="1005" customWidth="1"/>
    <col min="10" max="10" width="20.88671875" style="1005" customWidth="1"/>
    <col min="11" max="11" width="10.44140625" style="1005" bestFit="1" customWidth="1"/>
    <col min="12" max="14" width="9.109375" style="1005" customWidth="1"/>
    <col min="15" max="16384" width="9.109375" style="1005"/>
  </cols>
  <sheetData>
    <row r="1" spans="1:19" ht="20.399999999999999" customHeight="1" x14ac:dyDescent="0.3">
      <c r="A1" s="3681"/>
      <c r="B1" s="2150"/>
      <c r="C1" s="2150"/>
      <c r="D1" s="2150"/>
      <c r="E1" s="2150"/>
      <c r="F1" s="5461" t="s">
        <v>3588</v>
      </c>
      <c r="G1" s="5461"/>
      <c r="H1" s="5461"/>
      <c r="I1" s="5461"/>
      <c r="J1" s="1004"/>
    </row>
    <row r="2" spans="1:19" x14ac:dyDescent="0.3">
      <c r="A2" s="3681"/>
      <c r="B2" s="2150"/>
      <c r="C2" s="2150"/>
      <c r="D2" s="2150"/>
      <c r="E2" s="2150"/>
      <c r="F2" s="2150"/>
      <c r="G2" s="2150"/>
      <c r="H2" s="5462"/>
      <c r="I2" s="5462"/>
    </row>
    <row r="3" spans="1:19" ht="15.6" customHeight="1" x14ac:dyDescent="0.3">
      <c r="A3" s="3681"/>
      <c r="B3" s="2150"/>
      <c r="C3" s="2150"/>
      <c r="D3" s="2150"/>
      <c r="E3" s="2150"/>
      <c r="F3" s="2150"/>
      <c r="G3" s="2150"/>
      <c r="H3" s="5463"/>
      <c r="I3" s="5463"/>
    </row>
    <row r="4" spans="1:19" ht="17.399999999999999" x14ac:dyDescent="0.3">
      <c r="A4" s="3681"/>
      <c r="B4" s="5149" t="s">
        <v>2032</v>
      </c>
      <c r="C4" s="5149"/>
      <c r="D4" s="5149"/>
      <c r="E4" s="5149"/>
      <c r="F4" s="5149"/>
      <c r="G4" s="5149"/>
      <c r="H4" s="5149"/>
      <c r="I4" s="5149"/>
      <c r="J4" s="1005" t="s">
        <v>657</v>
      </c>
    </row>
    <row r="5" spans="1:19" ht="17.399999999999999" x14ac:dyDescent="0.3">
      <c r="A5" s="3681"/>
      <c r="B5" s="5151" t="s">
        <v>2033</v>
      </c>
      <c r="C5" s="5151"/>
      <c r="D5" s="5151"/>
      <c r="E5" s="5151"/>
      <c r="F5" s="5151"/>
      <c r="G5" s="5151"/>
      <c r="H5" s="5151"/>
      <c r="I5" s="5151"/>
      <c r="J5" s="1005" t="s">
        <v>657</v>
      </c>
    </row>
    <row r="6" spans="1:19" ht="16.2" thickBot="1" x14ac:dyDescent="0.35">
      <c r="A6" s="3681"/>
      <c r="B6" s="2150"/>
      <c r="C6" s="2150"/>
      <c r="D6" s="2150"/>
      <c r="E6" s="2150"/>
      <c r="F6" s="2150"/>
      <c r="G6" s="2150"/>
      <c r="H6" s="2150"/>
      <c r="I6" s="2150"/>
    </row>
    <row r="7" spans="1:19" x14ac:dyDescent="0.3">
      <c r="A7" s="5454" t="s">
        <v>7</v>
      </c>
      <c r="B7" s="5144" t="s">
        <v>2034</v>
      </c>
      <c r="C7" s="5144" t="s">
        <v>35</v>
      </c>
      <c r="D7" s="5144" t="s">
        <v>2035</v>
      </c>
      <c r="E7" s="5144" t="s">
        <v>2036</v>
      </c>
      <c r="F7" s="5144" t="s">
        <v>2037</v>
      </c>
      <c r="G7" s="5144"/>
      <c r="H7" s="5144"/>
      <c r="I7" s="5145"/>
    </row>
    <row r="8" spans="1:19" ht="31.2" x14ac:dyDescent="0.3">
      <c r="A8" s="5455"/>
      <c r="B8" s="5159"/>
      <c r="C8" s="5159"/>
      <c r="D8" s="5159"/>
      <c r="E8" s="5159"/>
      <c r="F8" s="3660" t="s">
        <v>2038</v>
      </c>
      <c r="G8" s="3660" t="s">
        <v>2039</v>
      </c>
      <c r="H8" s="3660" t="s">
        <v>770</v>
      </c>
      <c r="I8" s="3186" t="s">
        <v>156</v>
      </c>
      <c r="J8" s="1005" t="s">
        <v>2184</v>
      </c>
    </row>
    <row r="9" spans="1:19" x14ac:dyDescent="0.3">
      <c r="A9" s="1109" t="s">
        <v>487</v>
      </c>
      <c r="B9" s="1006">
        <v>2</v>
      </c>
      <c r="C9" s="1006">
        <v>3</v>
      </c>
      <c r="D9" s="1006">
        <v>4</v>
      </c>
      <c r="E9" s="1006">
        <v>5</v>
      </c>
      <c r="F9" s="1006">
        <v>6</v>
      </c>
      <c r="G9" s="1006">
        <v>7</v>
      </c>
      <c r="H9" s="1006">
        <v>8</v>
      </c>
      <c r="I9" s="1110">
        <v>9</v>
      </c>
    </row>
    <row r="10" spans="1:19" x14ac:dyDescent="0.3">
      <c r="A10" s="3682" t="s">
        <v>1747</v>
      </c>
      <c r="B10" s="1010" t="s">
        <v>2040</v>
      </c>
      <c r="C10" s="3139" t="s">
        <v>2041</v>
      </c>
      <c r="D10" s="1011">
        <f t="shared" ref="D10:I10" si="0">D11+D12+D13+D14</f>
        <v>72.005065517062121</v>
      </c>
      <c r="E10" s="1011">
        <f t="shared" si="0"/>
        <v>71.594076517062135</v>
      </c>
      <c r="F10" s="1011">
        <f t="shared" si="0"/>
        <v>59.458515647062136</v>
      </c>
      <c r="G10" s="1011">
        <f t="shared" si="0"/>
        <v>9.6319999999999999E-3</v>
      </c>
      <c r="H10" s="1011">
        <f t="shared" si="0"/>
        <v>9.0724704999999997</v>
      </c>
      <c r="I10" s="1111">
        <f t="shared" si="0"/>
        <v>3.0534583699999995</v>
      </c>
      <c r="K10" s="2164">
        <f>F10+G10+H10+I10</f>
        <v>71.594076517062135</v>
      </c>
      <c r="L10" s="1005" t="e">
        <f>'Д 8_Паливо'!#REF!</f>
        <v>#REF!</v>
      </c>
    </row>
    <row r="11" spans="1:19" x14ac:dyDescent="0.3">
      <c r="A11" s="3683" t="s">
        <v>23</v>
      </c>
      <c r="B11" s="3684" t="s">
        <v>2042</v>
      </c>
      <c r="C11" s="3139" t="s">
        <v>2043</v>
      </c>
      <c r="D11" s="1011">
        <f>'Д 7_РП'!F95-'Д 7_РП'!F112</f>
        <v>72.005065517062121</v>
      </c>
      <c r="E11" s="1011">
        <f>F11+G11+H11+I11</f>
        <v>71.594076517062135</v>
      </c>
      <c r="F11" s="1011">
        <f>'Д 7_РП'!G96</f>
        <v>59.458515647062136</v>
      </c>
      <c r="G11" s="1011">
        <f>'Д 7_РП'!G103</f>
        <v>9.6319999999999999E-3</v>
      </c>
      <c r="H11" s="1011">
        <f>'Д 7_РП'!G106</f>
        <v>9.0724704999999997</v>
      </c>
      <c r="I11" s="1111">
        <f>'Д 7_РП'!G109</f>
        <v>3.0534583699999995</v>
      </c>
      <c r="J11" s="2441" t="s">
        <v>2232</v>
      </c>
      <c r="L11" s="1005" t="e">
        <f>'Д 8_Паливо'!#REF!</f>
        <v>#REF!</v>
      </c>
      <c r="M11" s="2164">
        <f>F10</f>
        <v>59.458515647062136</v>
      </c>
      <c r="N11" s="2164" t="e">
        <f>L11-M11</f>
        <v>#REF!</v>
      </c>
    </row>
    <row r="12" spans="1:19" x14ac:dyDescent="0.3">
      <c r="A12" s="3683" t="s">
        <v>24</v>
      </c>
      <c r="B12" s="3684" t="s">
        <v>2044</v>
      </c>
      <c r="C12" s="3139" t="s">
        <v>2043</v>
      </c>
      <c r="D12" s="1011">
        <v>0</v>
      </c>
      <c r="E12" s="1011">
        <v>0</v>
      </c>
      <c r="F12" s="1011">
        <v>0</v>
      </c>
      <c r="G12" s="1011">
        <v>0</v>
      </c>
      <c r="H12" s="1011">
        <v>0</v>
      </c>
      <c r="I12" s="1111">
        <v>0</v>
      </c>
      <c r="J12" s="2441"/>
      <c r="L12" s="1005" t="e">
        <f>'Д 8_Паливо'!#REF!</f>
        <v>#REF!</v>
      </c>
      <c r="M12" s="2164">
        <f>G10</f>
        <v>9.6319999999999999E-3</v>
      </c>
      <c r="N12" s="2164" t="e">
        <f>L12-M12</f>
        <v>#REF!</v>
      </c>
    </row>
    <row r="13" spans="1:19" x14ac:dyDescent="0.3">
      <c r="A13" s="3683" t="s">
        <v>48</v>
      </c>
      <c r="B13" s="3684" t="s">
        <v>423</v>
      </c>
      <c r="C13" s="3139" t="s">
        <v>2043</v>
      </c>
      <c r="D13" s="1011">
        <v>0</v>
      </c>
      <c r="E13" s="1011">
        <v>0</v>
      </c>
      <c r="F13" s="1011">
        <v>0</v>
      </c>
      <c r="G13" s="1011">
        <v>0</v>
      </c>
      <c r="H13" s="1011">
        <v>0</v>
      </c>
      <c r="I13" s="1111">
        <v>0</v>
      </c>
      <c r="J13" s="2441"/>
      <c r="L13" s="1005" t="e">
        <f>'Д 8_Паливо'!#REF!</f>
        <v>#REF!</v>
      </c>
      <c r="M13" s="2164">
        <f>H10</f>
        <v>9.0724704999999997</v>
      </c>
      <c r="N13" s="2164" t="e">
        <f>L13-M13</f>
        <v>#REF!</v>
      </c>
    </row>
    <row r="14" spans="1:19" x14ac:dyDescent="0.3">
      <c r="A14" s="3683" t="s">
        <v>53</v>
      </c>
      <c r="B14" s="3684" t="s">
        <v>2045</v>
      </c>
      <c r="C14" s="3139" t="s">
        <v>2043</v>
      </c>
      <c r="D14" s="1011">
        <v>0</v>
      </c>
      <c r="E14" s="1011">
        <v>0</v>
      </c>
      <c r="F14" s="1011">
        <v>0</v>
      </c>
      <c r="G14" s="1011">
        <v>0</v>
      </c>
      <c r="H14" s="1011">
        <v>0</v>
      </c>
      <c r="I14" s="1111">
        <v>0</v>
      </c>
      <c r="J14" s="2441"/>
      <c r="L14" s="1005" t="e">
        <f>'Д 8_Паливо'!#REF!</f>
        <v>#REF!</v>
      </c>
      <c r="M14" s="2164">
        <f>I10</f>
        <v>3.0534583699999995</v>
      </c>
      <c r="N14" s="2164" t="e">
        <f>L14-M14</f>
        <v>#REF!</v>
      </c>
    </row>
    <row r="15" spans="1:19" ht="21" customHeight="1" x14ac:dyDescent="0.3">
      <c r="A15" s="3682" t="s">
        <v>1768</v>
      </c>
      <c r="B15" s="1010" t="s">
        <v>2046</v>
      </c>
      <c r="C15" s="3139" t="s">
        <v>2047</v>
      </c>
      <c r="D15" s="1030">
        <f>D17+D18+D19+D20</f>
        <v>66.685086027825719</v>
      </c>
      <c r="E15" s="1030">
        <f>E17+E18+E19+E20</f>
        <v>98.795806692118887</v>
      </c>
      <c r="F15" s="1030">
        <f>F17+F18+F19</f>
        <v>82.049342543904487</v>
      </c>
      <c r="G15" s="1030">
        <f>G17+G18+G19+G20</f>
        <v>1.3291675959893333E-2</v>
      </c>
      <c r="H15" s="1030">
        <f>H17+H18+H19+H20</f>
        <v>12.519553368115806</v>
      </c>
      <c r="I15" s="1019">
        <f>I17+I18+I19+I20</f>
        <v>4.2136191041387132</v>
      </c>
      <c r="J15" s="2441"/>
      <c r="L15" s="2147"/>
    </row>
    <row r="16" spans="1:19" ht="18" customHeight="1" x14ac:dyDescent="0.3">
      <c r="A16" s="3683"/>
      <c r="B16" s="3684" t="s">
        <v>2048</v>
      </c>
      <c r="C16" s="5136" t="s">
        <v>2049</v>
      </c>
      <c r="D16" s="5136"/>
      <c r="E16" s="5136"/>
      <c r="F16" s="5136"/>
      <c r="G16" s="5136"/>
      <c r="H16" s="5136"/>
      <c r="I16" s="5137"/>
      <c r="J16" s="2441"/>
      <c r="L16" s="2147"/>
      <c r="M16" s="3685"/>
      <c r="N16" s="3685"/>
      <c r="O16" s="3685"/>
      <c r="P16" s="3685"/>
      <c r="Q16" s="3685"/>
      <c r="R16" s="3685"/>
      <c r="S16" s="3685"/>
    </row>
    <row r="17" spans="1:19" x14ac:dyDescent="0.3">
      <c r="A17" s="3683" t="s">
        <v>25</v>
      </c>
      <c r="B17" s="3684" t="s">
        <v>2042</v>
      </c>
      <c r="C17" s="3139" t="s">
        <v>2043</v>
      </c>
      <c r="D17" s="1030">
        <f>'Д 7_РП'!F74/1000</f>
        <v>66.685086027825719</v>
      </c>
      <c r="E17" s="1030">
        <f>'Д 7_РП'!G74/1000</f>
        <v>98.795806692118887</v>
      </c>
      <c r="F17" s="1030">
        <f>'Д 7_РП'!G75/1000</f>
        <v>82.049342543904487</v>
      </c>
      <c r="G17" s="1030">
        <f>'Д 7_РП'!G83/1000</f>
        <v>1.3291675959893333E-2</v>
      </c>
      <c r="H17" s="1030">
        <f>'Д 7_РП'!G87/1000</f>
        <v>12.519553368115806</v>
      </c>
      <c r="I17" s="1019">
        <f>'Д 7_РП'!G91/1000</f>
        <v>4.2136191041387132</v>
      </c>
      <c r="J17" s="2441" t="s">
        <v>2232</v>
      </c>
      <c r="L17" s="2147"/>
      <c r="M17" s="3685"/>
      <c r="N17" s="3685"/>
      <c r="O17" s="3685"/>
      <c r="P17" s="3685"/>
      <c r="Q17" s="3685"/>
      <c r="R17" s="3685"/>
      <c r="S17" s="3685"/>
    </row>
    <row r="18" spans="1:19" x14ac:dyDescent="0.3">
      <c r="A18" s="3683" t="s">
        <v>26</v>
      </c>
      <c r="B18" s="3684" t="s">
        <v>2050</v>
      </c>
      <c r="C18" s="3139" t="s">
        <v>2043</v>
      </c>
      <c r="D18" s="1030">
        <v>0</v>
      </c>
      <c r="E18" s="1030">
        <v>0</v>
      </c>
      <c r="F18" s="1030">
        <v>0</v>
      </c>
      <c r="G18" s="1030">
        <v>0</v>
      </c>
      <c r="H18" s="1030">
        <v>0</v>
      </c>
      <c r="I18" s="1019">
        <v>0</v>
      </c>
      <c r="J18" s="2441"/>
      <c r="L18" s="2147"/>
      <c r="M18" s="3685"/>
      <c r="N18" s="3685"/>
      <c r="O18" s="3685"/>
      <c r="P18" s="3685"/>
      <c r="Q18" s="3685"/>
      <c r="R18" s="3685"/>
      <c r="S18" s="3685"/>
    </row>
    <row r="19" spans="1:19" x14ac:dyDescent="0.3">
      <c r="A19" s="3683" t="s">
        <v>59</v>
      </c>
      <c r="B19" s="3684" t="s">
        <v>2051</v>
      </c>
      <c r="C19" s="3139" t="s">
        <v>2043</v>
      </c>
      <c r="D19" s="1030">
        <v>0</v>
      </c>
      <c r="E19" s="1030">
        <v>0</v>
      </c>
      <c r="F19" s="1030">
        <v>0</v>
      </c>
      <c r="G19" s="1030">
        <v>0</v>
      </c>
      <c r="H19" s="1030">
        <v>0</v>
      </c>
      <c r="I19" s="1019">
        <v>0</v>
      </c>
    </row>
    <row r="20" spans="1:19" x14ac:dyDescent="0.3">
      <c r="A20" s="3683" t="s">
        <v>2052</v>
      </c>
      <c r="B20" s="3684" t="s">
        <v>2045</v>
      </c>
      <c r="C20" s="3139" t="s">
        <v>2043</v>
      </c>
      <c r="D20" s="1030">
        <v>0</v>
      </c>
      <c r="E20" s="1030">
        <v>0</v>
      </c>
      <c r="F20" s="1030" t="s">
        <v>2053</v>
      </c>
      <c r="G20" s="1030">
        <v>0</v>
      </c>
      <c r="H20" s="1030">
        <v>0</v>
      </c>
      <c r="I20" s="1019">
        <v>0</v>
      </c>
    </row>
    <row r="21" spans="1:19" ht="31.95" customHeight="1" x14ac:dyDescent="0.3">
      <c r="A21" s="3682" t="s">
        <v>1770</v>
      </c>
      <c r="B21" s="1010" t="s">
        <v>2054</v>
      </c>
      <c r="C21" s="3139" t="s">
        <v>2043</v>
      </c>
      <c r="D21" s="1030">
        <f>'Д 7_РП'!F48/1000</f>
        <v>6.3040299999999991</v>
      </c>
      <c r="E21" s="1030">
        <f>('Д 7_РП'!G48-'Д 7_РП'!G55-'Д 7_РП'!G63)/1000</f>
        <v>9.8797259841273029</v>
      </c>
      <c r="F21" s="1030">
        <f>F23-F15-F24</f>
        <v>8.3675513786162554</v>
      </c>
      <c r="G21" s="1030">
        <f>G23-G15-G24</f>
        <v>1.3349048145054662E-3</v>
      </c>
      <c r="H21" s="1030">
        <f>H23-H15-H24</f>
        <v>1.2554327298077599</v>
      </c>
      <c r="I21" s="1019">
        <f>I23-I15-I24</f>
        <v>0.43097654606863944</v>
      </c>
      <c r="J21" s="1021">
        <f>E21-F21-G21-H21-I21</f>
        <v>-0.17556957517985738</v>
      </c>
      <c r="K21" s="3686" t="s">
        <v>2728</v>
      </c>
    </row>
    <row r="22" spans="1:19" x14ac:dyDescent="0.3">
      <c r="A22" s="3682" t="s">
        <v>1773</v>
      </c>
      <c r="B22" s="1010" t="s">
        <v>2055</v>
      </c>
      <c r="C22" s="3139" t="s">
        <v>2043</v>
      </c>
      <c r="D22" s="1030">
        <v>0</v>
      </c>
      <c r="E22" s="1030">
        <v>0</v>
      </c>
      <c r="F22" s="1030">
        <v>0</v>
      </c>
      <c r="G22" s="1030">
        <v>0</v>
      </c>
      <c r="H22" s="1030">
        <v>0</v>
      </c>
      <c r="I22" s="1019">
        <v>0</v>
      </c>
      <c r="J22" s="1021"/>
      <c r="K22" s="1021"/>
    </row>
    <row r="23" spans="1:19" ht="19.95" customHeight="1" x14ac:dyDescent="0.3">
      <c r="A23" s="3682" t="s">
        <v>1845</v>
      </c>
      <c r="B23" s="1010" t="s">
        <v>2056</v>
      </c>
      <c r="C23" s="3139" t="s">
        <v>2043</v>
      </c>
      <c r="D23" s="1030">
        <f>D15+D21+D24</f>
        <v>73.157247303102622</v>
      </c>
      <c r="E23" s="1030">
        <f>E15+E21+E24</f>
        <v>108.85110225142606</v>
      </c>
      <c r="F23" s="1030">
        <f>'Д 8_Паливо'!C10/1000</f>
        <v>90.416893922520742</v>
      </c>
      <c r="G23" s="2442">
        <f>'Д 8_Паливо'!C11/1000</f>
        <v>1.4626580774398799E-2</v>
      </c>
      <c r="H23" s="1030">
        <f>'Д 8_Паливо'!C12/1000</f>
        <v>13.774986097923566</v>
      </c>
      <c r="I23" s="1019">
        <f>'Д 8_Паливо'!C13/1000</f>
        <v>4.6445956502073527</v>
      </c>
      <c r="J23" s="1021">
        <f>'Д 7_РП'!G24</f>
        <v>108851.10225142605</v>
      </c>
      <c r="K23" s="1021">
        <f>J23/1000-E23</f>
        <v>0</v>
      </c>
    </row>
    <row r="24" spans="1:19" ht="17.399999999999999" customHeight="1" x14ac:dyDescent="0.3">
      <c r="A24" s="3682" t="s">
        <v>1851</v>
      </c>
      <c r="B24" s="1010" t="s">
        <v>2057</v>
      </c>
      <c r="C24" s="3139" t="s">
        <v>2043</v>
      </c>
      <c r="D24" s="1030">
        <f>'Д 7_РП'!F71/1000</f>
        <v>0.16813127527691124</v>
      </c>
      <c r="E24" s="1030">
        <f>'Д 7_РП'!G39/1000</f>
        <v>0.17556957517987015</v>
      </c>
      <c r="F24" s="1030"/>
      <c r="G24" s="1030"/>
      <c r="H24" s="1030"/>
      <c r="I24" s="1019"/>
      <c r="J24" s="1021">
        <f>E23-E24</f>
        <v>108.67553267624619</v>
      </c>
      <c r="K24" s="1021"/>
    </row>
    <row r="25" spans="1:19" ht="30.6" customHeight="1" x14ac:dyDescent="0.3">
      <c r="A25" s="3682" t="s">
        <v>1857</v>
      </c>
      <c r="B25" s="1010" t="s">
        <v>2058</v>
      </c>
      <c r="C25" s="3139" t="s">
        <v>2043</v>
      </c>
      <c r="D25" s="1030">
        <f t="shared" ref="D25:I25" si="1">D15</f>
        <v>66.685086027825719</v>
      </c>
      <c r="E25" s="1030">
        <f t="shared" si="1"/>
        <v>98.795806692118887</v>
      </c>
      <c r="F25" s="1030">
        <f t="shared" si="1"/>
        <v>82.049342543904487</v>
      </c>
      <c r="G25" s="1030">
        <f t="shared" si="1"/>
        <v>1.3291675959893333E-2</v>
      </c>
      <c r="H25" s="1030">
        <f t="shared" si="1"/>
        <v>12.519553368115806</v>
      </c>
      <c r="I25" s="1019">
        <f t="shared" si="1"/>
        <v>4.2136191041387132</v>
      </c>
      <c r="J25" s="1021"/>
      <c r="K25" s="1021"/>
    </row>
    <row r="26" spans="1:19" ht="19.95" customHeight="1" x14ac:dyDescent="0.3">
      <c r="A26" s="3682" t="s">
        <v>1859</v>
      </c>
      <c r="B26" s="1010" t="s">
        <v>2059</v>
      </c>
      <c r="C26" s="3139" t="s">
        <v>2043</v>
      </c>
      <c r="D26" s="1030">
        <f>'Д 7_РП'!F14/1000</f>
        <v>74.802911352865678</v>
      </c>
      <c r="E26" s="1030">
        <f>E23/(100%-2.2%)</f>
        <v>111.29969555360537</v>
      </c>
      <c r="F26" s="1030">
        <f>F23/(100%-2.2%)</f>
        <v>92.450811781718556</v>
      </c>
      <c r="G26" s="2442">
        <f>G23/(100%-2.2%)</f>
        <v>1.4955604063802454E-2</v>
      </c>
      <c r="H26" s="1030">
        <f>H23/(100%-2.2%)</f>
        <v>14.084852860862542</v>
      </c>
      <c r="I26" s="1019">
        <f>I23/(100%-2.2%)</f>
        <v>4.7490753069604832</v>
      </c>
      <c r="J26" s="1021">
        <f>'Д 7_РП'!G14</f>
        <v>111299.69555310537</v>
      </c>
      <c r="K26" s="1021">
        <f>J26/1000-E26</f>
        <v>-5.000089231543825E-10</v>
      </c>
    </row>
    <row r="27" spans="1:19" ht="19.2" customHeight="1" x14ac:dyDescent="0.3">
      <c r="A27" s="3682" t="s">
        <v>1861</v>
      </c>
      <c r="B27" s="1010" t="s">
        <v>2060</v>
      </c>
      <c r="C27" s="5451" t="s">
        <v>2049</v>
      </c>
      <c r="D27" s="5452"/>
      <c r="E27" s="5452"/>
      <c r="F27" s="5452"/>
      <c r="G27" s="5452"/>
      <c r="H27" s="5452"/>
      <c r="I27" s="5453"/>
    </row>
    <row r="28" spans="1:19" ht="31.2" x14ac:dyDescent="0.3">
      <c r="A28" s="3683" t="s">
        <v>154</v>
      </c>
      <c r="B28" s="1009" t="s">
        <v>2061</v>
      </c>
      <c r="C28" s="3139" t="s">
        <v>2062</v>
      </c>
      <c r="D28" s="1030">
        <v>9.64</v>
      </c>
      <c r="E28" s="1030">
        <f>F28+G28+H28+I28</f>
        <v>14.349677394664715</v>
      </c>
      <c r="F28" s="1030">
        <f>'Д 8_Паливо'!G10/1000</f>
        <v>11.919523385430811</v>
      </c>
      <c r="G28" s="1011">
        <f>'Д 8_Паливо'!G11/1000</f>
        <v>1.9282001850089504E-3</v>
      </c>
      <c r="H28" s="1030">
        <f>'Д 8_Паливо'!G12/1000</f>
        <v>1.8159357372846889</v>
      </c>
      <c r="I28" s="1019">
        <f>'Д 8_Паливо'!G13/1000</f>
        <v>0.61229007176420525</v>
      </c>
    </row>
    <row r="29" spans="1:19" x14ac:dyDescent="0.3">
      <c r="A29" s="3683" t="s">
        <v>204</v>
      </c>
      <c r="B29" s="1009" t="s">
        <v>2063</v>
      </c>
      <c r="C29" s="3139" t="s">
        <v>2064</v>
      </c>
      <c r="D29" s="1030">
        <v>0</v>
      </c>
      <c r="E29" s="1030">
        <v>0</v>
      </c>
      <c r="F29" s="1030">
        <v>0</v>
      </c>
      <c r="G29" s="1030">
        <v>0</v>
      </c>
      <c r="H29" s="1030">
        <v>0</v>
      </c>
      <c r="I29" s="1019">
        <v>0</v>
      </c>
    </row>
    <row r="30" spans="1:19" x14ac:dyDescent="0.3">
      <c r="A30" s="3683" t="s">
        <v>356</v>
      </c>
      <c r="B30" s="1009" t="s">
        <v>2065</v>
      </c>
      <c r="C30" s="3139" t="s">
        <v>2043</v>
      </c>
      <c r="D30" s="1030">
        <v>0</v>
      </c>
      <c r="E30" s="1030">
        <v>0</v>
      </c>
      <c r="F30" s="1030">
        <v>0</v>
      </c>
      <c r="G30" s="1030">
        <v>0</v>
      </c>
      <c r="H30" s="1030">
        <v>0</v>
      </c>
      <c r="I30" s="1019">
        <v>0</v>
      </c>
    </row>
    <row r="31" spans="1:19" x14ac:dyDescent="0.3">
      <c r="A31" s="3683" t="s">
        <v>2002</v>
      </c>
      <c r="B31" s="1009" t="s">
        <v>2066</v>
      </c>
      <c r="C31" s="3139" t="s">
        <v>2043</v>
      </c>
      <c r="D31" s="1030">
        <v>0</v>
      </c>
      <c r="E31" s="1030">
        <v>0</v>
      </c>
      <c r="F31" s="1030">
        <v>0</v>
      </c>
      <c r="G31" s="1030">
        <v>0</v>
      </c>
      <c r="H31" s="1030">
        <v>0</v>
      </c>
      <c r="I31" s="1019">
        <v>0</v>
      </c>
    </row>
    <row r="32" spans="1:19" ht="22.95" customHeight="1" x14ac:dyDescent="0.3">
      <c r="A32" s="3682" t="s">
        <v>1865</v>
      </c>
      <c r="B32" s="1010" t="s">
        <v>2067</v>
      </c>
      <c r="C32" s="3139" t="s">
        <v>2064</v>
      </c>
      <c r="D32" s="1030">
        <v>11.3668588445464</v>
      </c>
      <c r="E32" s="1030">
        <f>E33*E23/1000</f>
        <v>16.918269648309696</v>
      </c>
      <c r="F32" s="1030">
        <f>F33*F23/1000</f>
        <v>14.053118071422926</v>
      </c>
      <c r="G32" s="3687">
        <f>G33*G23/1000</f>
        <v>2.2733480181255528E-3</v>
      </c>
      <c r="H32" s="1030">
        <f>H33*H23/1000</f>
        <v>2.140988234258649</v>
      </c>
      <c r="I32" s="1019">
        <f>I33*I23/1000</f>
        <v>0.72188999460999803</v>
      </c>
      <c r="K32" s="1021">
        <f>D23</f>
        <v>73.157247303102622</v>
      </c>
    </row>
    <row r="33" spans="1:11" x14ac:dyDescent="0.3">
      <c r="A33" s="3682" t="s">
        <v>1867</v>
      </c>
      <c r="B33" s="1010" t="s">
        <v>2068</v>
      </c>
      <c r="C33" s="3139" t="s">
        <v>2069</v>
      </c>
      <c r="D33" s="3652">
        <v>155.37570405143492</v>
      </c>
      <c r="E33" s="3652">
        <f>'Д 8_Паливо'!D9</f>
        <v>155.42580000000001</v>
      </c>
      <c r="F33" s="3652">
        <f>E33</f>
        <v>155.42580000000001</v>
      </c>
      <c r="G33" s="3652">
        <f>F33</f>
        <v>155.42580000000001</v>
      </c>
      <c r="H33" s="3652">
        <f>G33</f>
        <v>155.42580000000001</v>
      </c>
      <c r="I33" s="3688">
        <f>H33</f>
        <v>155.42580000000001</v>
      </c>
      <c r="K33" s="3689" t="s">
        <v>3387</v>
      </c>
    </row>
    <row r="34" spans="1:11" hidden="1" x14ac:dyDescent="0.3">
      <c r="A34" s="3682" t="s">
        <v>1869</v>
      </c>
      <c r="B34" s="1010" t="s">
        <v>2070</v>
      </c>
      <c r="C34" s="3139" t="s">
        <v>2069</v>
      </c>
      <c r="D34" s="3139"/>
      <c r="E34" s="3139"/>
      <c r="F34" s="3139"/>
      <c r="G34" s="3139"/>
      <c r="H34" s="3139"/>
      <c r="I34" s="3140"/>
    </row>
    <row r="35" spans="1:11" ht="24" customHeight="1" x14ac:dyDescent="0.3">
      <c r="A35" s="3682" t="s">
        <v>1869</v>
      </c>
      <c r="B35" s="1010" t="s">
        <v>2071</v>
      </c>
      <c r="C35" s="3139" t="s">
        <v>2072</v>
      </c>
      <c r="D35" s="3690">
        <v>2502.1972285000002</v>
      </c>
      <c r="E35" s="1030">
        <f>'Д 9_ЕЕ'!D13+'Д 9_ЕЕ'!D34+'Д 9_ЕЕ'!D71</f>
        <v>3288.153143734407</v>
      </c>
      <c r="F35" s="1030" t="s">
        <v>2053</v>
      </c>
      <c r="G35" s="1030" t="s">
        <v>2053</v>
      </c>
      <c r="H35" s="1030" t="s">
        <v>317</v>
      </c>
      <c r="I35" s="1019" t="s">
        <v>2053</v>
      </c>
    </row>
    <row r="36" spans="1:11" ht="24" customHeight="1" x14ac:dyDescent="0.3">
      <c r="A36" s="3682" t="s">
        <v>1871</v>
      </c>
      <c r="B36" s="2978" t="s">
        <v>2073</v>
      </c>
      <c r="C36" s="3139" t="s">
        <v>2074</v>
      </c>
      <c r="D36" s="1030">
        <f>D35/D23</f>
        <v>34.202998619302633</v>
      </c>
      <c r="E36" s="1030">
        <f>E35/E23</f>
        <v>30.207807506986718</v>
      </c>
      <c r="F36" s="1030" t="s">
        <v>2053</v>
      </c>
      <c r="G36" s="1030" t="s">
        <v>2053</v>
      </c>
      <c r="H36" s="1030" t="s">
        <v>317</v>
      </c>
      <c r="I36" s="1019" t="s">
        <v>2053</v>
      </c>
    </row>
    <row r="37" spans="1:11" ht="31.2" x14ac:dyDescent="0.3">
      <c r="A37" s="3682" t="s">
        <v>1873</v>
      </c>
      <c r="B37" s="1010" t="s">
        <v>2076</v>
      </c>
      <c r="C37" s="3139" t="s">
        <v>2077</v>
      </c>
      <c r="D37" s="1030">
        <f>ВОДА!F17/1000</f>
        <v>21.439</v>
      </c>
      <c r="E37" s="3691">
        <f>(ВОДА!J17+ВОДА!L17)/1000</f>
        <v>29.529070206572666</v>
      </c>
      <c r="F37" s="1030" t="s">
        <v>2053</v>
      </c>
      <c r="G37" s="1030" t="s">
        <v>2053</v>
      </c>
      <c r="H37" s="1030" t="s">
        <v>317</v>
      </c>
      <c r="I37" s="1019" t="s">
        <v>2053</v>
      </c>
    </row>
    <row r="38" spans="1:11" ht="32.4" customHeight="1" x14ac:dyDescent="0.3">
      <c r="A38" s="3682" t="s">
        <v>2075</v>
      </c>
      <c r="B38" s="1010" t="s">
        <v>2079</v>
      </c>
      <c r="C38" s="3139" t="s">
        <v>2072</v>
      </c>
      <c r="D38" s="1030">
        <v>0</v>
      </c>
      <c r="E38" s="1030">
        <v>0</v>
      </c>
      <c r="F38" s="1030">
        <v>0</v>
      </c>
      <c r="G38" s="1030">
        <v>0</v>
      </c>
      <c r="H38" s="1030">
        <v>0</v>
      </c>
      <c r="I38" s="1019">
        <v>0</v>
      </c>
    </row>
    <row r="39" spans="1:11" ht="17.399999999999999" customHeight="1" x14ac:dyDescent="0.3">
      <c r="A39" s="3682" t="s">
        <v>2078</v>
      </c>
      <c r="B39" s="1010" t="s">
        <v>2081</v>
      </c>
      <c r="C39" s="3139" t="s">
        <v>2082</v>
      </c>
      <c r="D39" s="3651">
        <v>136</v>
      </c>
      <c r="E39" s="3651">
        <f>'Вхідні дані'!D49</f>
        <v>149</v>
      </c>
      <c r="F39" s="3651">
        <f>E39</f>
        <v>149</v>
      </c>
      <c r="G39" s="3651">
        <f>E39</f>
        <v>149</v>
      </c>
      <c r="H39" s="3651">
        <f>E39</f>
        <v>149</v>
      </c>
      <c r="I39" s="3692">
        <f>E39</f>
        <v>149</v>
      </c>
    </row>
    <row r="40" spans="1:11" ht="22.2" customHeight="1" x14ac:dyDescent="0.3">
      <c r="A40" s="3682" t="s">
        <v>2083</v>
      </c>
      <c r="B40" s="1010" t="s">
        <v>2084</v>
      </c>
      <c r="C40" s="3139" t="s">
        <v>2043</v>
      </c>
      <c r="D40" s="3651">
        <v>229</v>
      </c>
      <c r="E40" s="3651">
        <f>366-E39</f>
        <v>217</v>
      </c>
      <c r="F40" s="3651">
        <f>366-F39</f>
        <v>217</v>
      </c>
      <c r="G40" s="3651">
        <f>366-G39</f>
        <v>217</v>
      </c>
      <c r="H40" s="3651">
        <f>366-H39</f>
        <v>217</v>
      </c>
      <c r="I40" s="3651">
        <f>366-I39</f>
        <v>217</v>
      </c>
    </row>
    <row r="41" spans="1:11" ht="33.6" customHeight="1" x14ac:dyDescent="0.3">
      <c r="A41" s="3682" t="s">
        <v>2080</v>
      </c>
      <c r="B41" s="1010" t="s">
        <v>2086</v>
      </c>
      <c r="C41" s="3139" t="s">
        <v>2087</v>
      </c>
      <c r="D41" s="3139">
        <f>'Вхідні дані'!D69</f>
        <v>18</v>
      </c>
      <c r="E41" s="3139">
        <f>D41</f>
        <v>18</v>
      </c>
      <c r="F41" s="3139">
        <f>E41</f>
        <v>18</v>
      </c>
      <c r="G41" s="3139">
        <f>F41</f>
        <v>18</v>
      </c>
      <c r="H41" s="3139">
        <f>G41</f>
        <v>18</v>
      </c>
      <c r="I41" s="3140">
        <f>H41</f>
        <v>18</v>
      </c>
    </row>
    <row r="42" spans="1:11" ht="31.2" x14ac:dyDescent="0.3">
      <c r="A42" s="3682" t="s">
        <v>2083</v>
      </c>
      <c r="B42" s="1010" t="s">
        <v>2089</v>
      </c>
      <c r="C42" s="3139" t="s">
        <v>2043</v>
      </c>
      <c r="D42" s="3652">
        <v>3.6</v>
      </c>
      <c r="E42" s="3652">
        <f>'Вхідні дані'!D58</f>
        <v>4.1100000000000003</v>
      </c>
      <c r="F42" s="3139" t="s">
        <v>2053</v>
      </c>
      <c r="G42" s="3139" t="s">
        <v>2053</v>
      </c>
      <c r="H42" s="3139" t="s">
        <v>317</v>
      </c>
      <c r="I42" s="3140" t="s">
        <v>2053</v>
      </c>
    </row>
    <row r="43" spans="1:11" ht="36" customHeight="1" x14ac:dyDescent="0.3">
      <c r="A43" s="3682" t="s">
        <v>2085</v>
      </c>
      <c r="B43" s="1010" t="s">
        <v>2091</v>
      </c>
      <c r="C43" s="3139" t="s">
        <v>2043</v>
      </c>
      <c r="D43" s="3139">
        <f>'Вхідні дані'!D57</f>
        <v>-18</v>
      </c>
      <c r="E43" s="3139">
        <f>D43</f>
        <v>-18</v>
      </c>
      <c r="F43" s="3139" t="s">
        <v>2053</v>
      </c>
      <c r="G43" s="3139" t="s">
        <v>2053</v>
      </c>
      <c r="H43" s="3139" t="s">
        <v>317</v>
      </c>
      <c r="I43" s="3140" t="s">
        <v>2053</v>
      </c>
    </row>
    <row r="44" spans="1:11" ht="31.2" hidden="1" x14ac:dyDescent="0.3">
      <c r="A44" s="3682" t="s">
        <v>2092</v>
      </c>
      <c r="B44" s="1010" t="s">
        <v>2093</v>
      </c>
      <c r="C44" s="3139" t="s">
        <v>2043</v>
      </c>
      <c r="D44" s="3139"/>
      <c r="E44" s="3139" t="s">
        <v>2049</v>
      </c>
      <c r="F44" s="3139" t="s">
        <v>2049</v>
      </c>
      <c r="G44" s="3139" t="s">
        <v>2049</v>
      </c>
      <c r="H44" s="3139"/>
      <c r="I44" s="3140" t="s">
        <v>2049</v>
      </c>
    </row>
    <row r="45" spans="1:11" ht="31.2" hidden="1" x14ac:dyDescent="0.3">
      <c r="A45" s="3682" t="s">
        <v>2094</v>
      </c>
      <c r="B45" s="1010" t="s">
        <v>2095</v>
      </c>
      <c r="C45" s="3139" t="s">
        <v>2049</v>
      </c>
      <c r="D45" s="3139"/>
      <c r="E45" s="3139" t="s">
        <v>2049</v>
      </c>
      <c r="F45" s="3139" t="s">
        <v>2049</v>
      </c>
      <c r="G45" s="3139" t="s">
        <v>2049</v>
      </c>
      <c r="H45" s="3139"/>
      <c r="I45" s="3140" t="s">
        <v>2049</v>
      </c>
    </row>
    <row r="46" spans="1:11" hidden="1" x14ac:dyDescent="0.3">
      <c r="A46" s="3683" t="s">
        <v>2096</v>
      </c>
      <c r="B46" s="3684" t="s">
        <v>2097</v>
      </c>
      <c r="C46" s="3139" t="s">
        <v>2098</v>
      </c>
      <c r="D46" s="3139">
        <v>0</v>
      </c>
      <c r="E46" s="3139">
        <v>0</v>
      </c>
      <c r="F46" s="3139">
        <v>0</v>
      </c>
      <c r="G46" s="3139">
        <v>0</v>
      </c>
      <c r="H46" s="3139">
        <v>0</v>
      </c>
      <c r="I46" s="3140">
        <v>0</v>
      </c>
    </row>
    <row r="47" spans="1:11" hidden="1" x14ac:dyDescent="0.3">
      <c r="A47" s="3683" t="s">
        <v>2099</v>
      </c>
      <c r="B47" s="3684" t="s">
        <v>2100</v>
      </c>
      <c r="C47" s="3139" t="s">
        <v>2082</v>
      </c>
      <c r="D47" s="3139">
        <v>0</v>
      </c>
      <c r="E47" s="3139">
        <v>0</v>
      </c>
      <c r="F47" s="3139">
        <v>0</v>
      </c>
      <c r="G47" s="3139">
        <v>0</v>
      </c>
      <c r="H47" s="3139">
        <v>0</v>
      </c>
      <c r="I47" s="3140">
        <v>0</v>
      </c>
    </row>
    <row r="48" spans="1:11" hidden="1" x14ac:dyDescent="0.3">
      <c r="A48" s="3683" t="s">
        <v>2101</v>
      </c>
      <c r="B48" s="3684" t="s">
        <v>2102</v>
      </c>
      <c r="C48" s="3139" t="s">
        <v>2103</v>
      </c>
      <c r="D48" s="3139">
        <v>0</v>
      </c>
      <c r="E48" s="3139">
        <v>0</v>
      </c>
      <c r="F48" s="3139">
        <v>0</v>
      </c>
      <c r="G48" s="3139">
        <v>0</v>
      </c>
      <c r="H48" s="3139">
        <v>0</v>
      </c>
      <c r="I48" s="3140">
        <v>0</v>
      </c>
    </row>
    <row r="49" spans="1:17" ht="31.2" hidden="1" x14ac:dyDescent="0.3">
      <c r="A49" s="3682" t="s">
        <v>2104</v>
      </c>
      <c r="B49" s="1010" t="s">
        <v>2105</v>
      </c>
      <c r="C49" s="3139" t="s">
        <v>2106</v>
      </c>
      <c r="D49" s="3139">
        <v>0</v>
      </c>
      <c r="E49" s="3139">
        <v>0</v>
      </c>
      <c r="F49" s="3139">
        <v>0</v>
      </c>
      <c r="G49" s="3139">
        <v>0</v>
      </c>
      <c r="H49" s="3139">
        <v>0</v>
      </c>
      <c r="I49" s="3140">
        <v>0</v>
      </c>
    </row>
    <row r="50" spans="1:17" ht="31.2" hidden="1" x14ac:dyDescent="0.3">
      <c r="A50" s="3682" t="s">
        <v>2107</v>
      </c>
      <c r="B50" s="1010" t="s">
        <v>2108</v>
      </c>
      <c r="C50" s="3139" t="s">
        <v>2109</v>
      </c>
      <c r="D50" s="3139">
        <v>0</v>
      </c>
      <c r="E50" s="3139">
        <v>0</v>
      </c>
      <c r="F50" s="3139">
        <v>0</v>
      </c>
      <c r="G50" s="3139">
        <v>0</v>
      </c>
      <c r="H50" s="3139">
        <v>0</v>
      </c>
      <c r="I50" s="3140">
        <v>0</v>
      </c>
    </row>
    <row r="51" spans="1:17" hidden="1" x14ac:dyDescent="0.3">
      <c r="A51" s="3682" t="s">
        <v>2110</v>
      </c>
      <c r="B51" s="1010" t="s">
        <v>2111</v>
      </c>
      <c r="C51" s="3139" t="s">
        <v>2049</v>
      </c>
      <c r="D51" s="3139">
        <v>0</v>
      </c>
      <c r="E51" s="3139">
        <v>0</v>
      </c>
      <c r="F51" s="3139">
        <v>0</v>
      </c>
      <c r="G51" s="3139">
        <v>0</v>
      </c>
      <c r="H51" s="3139">
        <v>0</v>
      </c>
      <c r="I51" s="3140">
        <v>0</v>
      </c>
    </row>
    <row r="52" spans="1:17" hidden="1" x14ac:dyDescent="0.3">
      <c r="A52" s="3683" t="s">
        <v>2112</v>
      </c>
      <c r="B52" s="1009" t="s">
        <v>2113</v>
      </c>
      <c r="C52" s="3139" t="s">
        <v>2087</v>
      </c>
      <c r="D52" s="3139">
        <v>0</v>
      </c>
      <c r="E52" s="3139">
        <v>0</v>
      </c>
      <c r="F52" s="3139">
        <v>0</v>
      </c>
      <c r="G52" s="3139">
        <v>0</v>
      </c>
      <c r="H52" s="3139">
        <v>0</v>
      </c>
      <c r="I52" s="3140">
        <v>0</v>
      </c>
    </row>
    <row r="53" spans="1:17" hidden="1" x14ac:dyDescent="0.3">
      <c r="A53" s="3683" t="s">
        <v>2114</v>
      </c>
      <c r="B53" s="1009" t="s">
        <v>2115</v>
      </c>
      <c r="C53" s="3139" t="s">
        <v>2043</v>
      </c>
      <c r="D53" s="3139">
        <v>0</v>
      </c>
      <c r="E53" s="3139">
        <v>0</v>
      </c>
      <c r="F53" s="3139">
        <v>0</v>
      </c>
      <c r="G53" s="3139">
        <v>0</v>
      </c>
      <c r="H53" s="3139">
        <v>0</v>
      </c>
      <c r="I53" s="3140">
        <v>0</v>
      </c>
    </row>
    <row r="54" spans="1:17" ht="21" customHeight="1" x14ac:dyDescent="0.3">
      <c r="A54" s="3682" t="s">
        <v>2088</v>
      </c>
      <c r="B54" s="1010" t="s">
        <v>2117</v>
      </c>
      <c r="C54" s="3139" t="s">
        <v>2049</v>
      </c>
      <c r="D54" s="3139"/>
      <c r="E54" s="3139"/>
      <c r="F54" s="3139" t="s">
        <v>2053</v>
      </c>
      <c r="G54" s="3139" t="s">
        <v>2053</v>
      </c>
      <c r="H54" s="3139" t="s">
        <v>317</v>
      </c>
      <c r="I54" s="3140" t="s">
        <v>2053</v>
      </c>
    </row>
    <row r="55" spans="1:17" ht="46.8" x14ac:dyDescent="0.3">
      <c r="A55" s="3683" t="s">
        <v>2174</v>
      </c>
      <c r="B55" s="1009" t="s">
        <v>2061</v>
      </c>
      <c r="C55" s="3139" t="s">
        <v>2118</v>
      </c>
      <c r="D55" s="1030">
        <v>8256</v>
      </c>
      <c r="E55" s="1030">
        <f>'Д 8_Паливо'!F27</f>
        <v>8253</v>
      </c>
      <c r="F55" s="3139" t="s">
        <v>2053</v>
      </c>
      <c r="G55" s="3139" t="s">
        <v>2053</v>
      </c>
      <c r="H55" s="3139" t="s">
        <v>317</v>
      </c>
      <c r="I55" s="3140" t="s">
        <v>2053</v>
      </c>
    </row>
    <row r="56" spans="1:17" x14ac:dyDescent="0.3">
      <c r="A56" s="3683" t="s">
        <v>2175</v>
      </c>
      <c r="B56" s="1009" t="s">
        <v>2063</v>
      </c>
      <c r="C56" s="3139" t="s">
        <v>2043</v>
      </c>
      <c r="D56" s="3139">
        <v>0</v>
      </c>
      <c r="E56" s="3139">
        <v>0</v>
      </c>
      <c r="F56" s="3139" t="s">
        <v>2053</v>
      </c>
      <c r="G56" s="3139" t="s">
        <v>2053</v>
      </c>
      <c r="H56" s="3139" t="s">
        <v>317</v>
      </c>
      <c r="I56" s="3140" t="s">
        <v>2053</v>
      </c>
    </row>
    <row r="57" spans="1:17" x14ac:dyDescent="0.3">
      <c r="A57" s="3683" t="s">
        <v>2186</v>
      </c>
      <c r="B57" s="1009" t="s">
        <v>2065</v>
      </c>
      <c r="C57" s="3139" t="s">
        <v>2043</v>
      </c>
      <c r="D57" s="3139">
        <v>0</v>
      </c>
      <c r="E57" s="3139">
        <v>0</v>
      </c>
      <c r="F57" s="3139" t="s">
        <v>2053</v>
      </c>
      <c r="G57" s="3139" t="s">
        <v>2053</v>
      </c>
      <c r="H57" s="3139" t="s">
        <v>2053</v>
      </c>
      <c r="I57" s="3140" t="s">
        <v>2053</v>
      </c>
    </row>
    <row r="58" spans="1:17" x14ac:dyDescent="0.3">
      <c r="A58" s="3683" t="s">
        <v>2187</v>
      </c>
      <c r="B58" s="1009" t="s">
        <v>2066</v>
      </c>
      <c r="C58" s="3139" t="s">
        <v>2043</v>
      </c>
      <c r="D58" s="3139">
        <v>0</v>
      </c>
      <c r="E58" s="3139">
        <v>0</v>
      </c>
      <c r="F58" s="3139" t="s">
        <v>2053</v>
      </c>
      <c r="G58" s="3139" t="s">
        <v>2053</v>
      </c>
      <c r="H58" s="3139" t="s">
        <v>2053</v>
      </c>
      <c r="I58" s="3140" t="s">
        <v>2053</v>
      </c>
    </row>
    <row r="59" spans="1:17" ht="25.95" customHeight="1" x14ac:dyDescent="0.3">
      <c r="A59" s="3683" t="s">
        <v>2090</v>
      </c>
      <c r="B59" s="1010" t="s">
        <v>2120</v>
      </c>
      <c r="C59" s="5147" t="s">
        <v>2237</v>
      </c>
      <c r="D59" s="1030">
        <f>SUM(D60:D62)</f>
        <v>8218.869999999999</v>
      </c>
      <c r="E59" s="3139" t="s">
        <v>2053</v>
      </c>
      <c r="F59" s="3139" t="s">
        <v>2053</v>
      </c>
      <c r="G59" s="3139" t="s">
        <v>2053</v>
      </c>
      <c r="H59" s="3139" t="s">
        <v>2053</v>
      </c>
      <c r="I59" s="3140" t="s">
        <v>2053</v>
      </c>
    </row>
    <row r="60" spans="1:17" x14ac:dyDescent="0.3">
      <c r="A60" s="3683" t="s">
        <v>2234</v>
      </c>
      <c r="B60" s="1009" t="s">
        <v>2233</v>
      </c>
      <c r="C60" s="5456"/>
      <c r="D60" s="1030">
        <v>6994.68</v>
      </c>
      <c r="E60" s="1030">
        <f>'Д 8_Паливо'!H9</f>
        <v>7449.2400772382107</v>
      </c>
      <c r="F60" s="1030">
        <f>'Д 8_Паливо'!H10</f>
        <v>6183.33</v>
      </c>
      <c r="G60" s="1030">
        <f>'Д 8_Паливо'!H11</f>
        <v>13658.33</v>
      </c>
      <c r="H60" s="1030">
        <f>'Д 8_Паливо'!H12</f>
        <v>13658.33</v>
      </c>
      <c r="I60" s="1019">
        <f>'Д 8_Паливо'!H13</f>
        <v>13658.33</v>
      </c>
      <c r="J60" s="3693" t="s">
        <v>3388</v>
      </c>
    </row>
    <row r="61" spans="1:17" x14ac:dyDescent="0.3">
      <c r="A61" s="3683" t="s">
        <v>2235</v>
      </c>
      <c r="B61" s="1009" t="s">
        <v>1895</v>
      </c>
      <c r="C61" s="5456"/>
      <c r="D61" s="1030">
        <v>134.19</v>
      </c>
      <c r="E61" s="1030">
        <f>'Д 8_Паливо'!H15</f>
        <v>136.57599999999999</v>
      </c>
      <c r="F61" s="1030">
        <f t="shared" ref="F61:I62" si="2">E61</f>
        <v>136.57599999999999</v>
      </c>
      <c r="G61" s="1030">
        <f t="shared" si="2"/>
        <v>136.57599999999999</v>
      </c>
      <c r="H61" s="1030">
        <f t="shared" si="2"/>
        <v>136.57599999999999</v>
      </c>
      <c r="I61" s="1019">
        <f t="shared" si="2"/>
        <v>136.57599999999999</v>
      </c>
    </row>
    <row r="62" spans="1:17" x14ac:dyDescent="0.3">
      <c r="A62" s="3683" t="s">
        <v>2236</v>
      </c>
      <c r="B62" s="1009" t="s">
        <v>1990</v>
      </c>
      <c r="C62" s="5457"/>
      <c r="D62" s="1030">
        <v>1090</v>
      </c>
      <c r="E62" s="1030">
        <f>'Д 8_Паливо'!H21</f>
        <v>1090</v>
      </c>
      <c r="F62" s="1030">
        <f t="shared" si="2"/>
        <v>1090</v>
      </c>
      <c r="G62" s="1030">
        <f t="shared" si="2"/>
        <v>1090</v>
      </c>
      <c r="H62" s="1030">
        <f t="shared" si="2"/>
        <v>1090</v>
      </c>
      <c r="I62" s="1019">
        <f t="shared" si="2"/>
        <v>1090</v>
      </c>
    </row>
    <row r="63" spans="1:17" ht="16.95" customHeight="1" x14ac:dyDescent="0.3">
      <c r="A63" s="3682" t="s">
        <v>2092</v>
      </c>
      <c r="B63" s="1010" t="s">
        <v>2122</v>
      </c>
      <c r="C63" s="1006" t="s">
        <v>2123</v>
      </c>
      <c r="D63" s="1030">
        <v>4.2736999999999998</v>
      </c>
      <c r="E63" s="1030">
        <f>('Д 9_ЕЕ'!D18+'Д 9_ЕЕ'!D45+'Д 9_ЕЕ'!D76)/E35</f>
        <v>6.4301100000000009</v>
      </c>
      <c r="F63" s="3139" t="s">
        <v>2053</v>
      </c>
      <c r="G63" s="3139" t="s">
        <v>2053</v>
      </c>
      <c r="H63" s="3139" t="s">
        <v>2053</v>
      </c>
      <c r="I63" s="3140" t="s">
        <v>2053</v>
      </c>
    </row>
    <row r="64" spans="1:17" ht="26.4" x14ac:dyDescent="0.3">
      <c r="A64" s="3682" t="s">
        <v>2094</v>
      </c>
      <c r="B64" s="1010" t="s">
        <v>2125</v>
      </c>
      <c r="C64" s="1006" t="s">
        <v>2126</v>
      </c>
      <c r="D64" s="1030">
        <v>0</v>
      </c>
      <c r="E64" s="1030">
        <v>0</v>
      </c>
      <c r="F64" s="1030">
        <v>0</v>
      </c>
      <c r="G64" s="1030">
        <v>0</v>
      </c>
      <c r="H64" s="1030">
        <v>0</v>
      </c>
      <c r="I64" s="1019">
        <v>0</v>
      </c>
      <c r="Q64" s="3685"/>
    </row>
    <row r="65" spans="1:14" x14ac:dyDescent="0.3">
      <c r="A65" s="3682" t="s">
        <v>2104</v>
      </c>
      <c r="B65" s="1010" t="s">
        <v>2128</v>
      </c>
      <c r="C65" s="1006" t="s">
        <v>2129</v>
      </c>
      <c r="D65" s="1030">
        <v>0</v>
      </c>
      <c r="E65" s="1030">
        <v>0</v>
      </c>
      <c r="F65" s="1030">
        <v>0</v>
      </c>
      <c r="G65" s="1030">
        <v>0</v>
      </c>
      <c r="H65" s="1030">
        <v>0</v>
      </c>
      <c r="I65" s="1019">
        <v>0</v>
      </c>
    </row>
    <row r="66" spans="1:14" ht="27" thickBot="1" x14ac:dyDescent="0.35">
      <c r="A66" s="3694" t="s">
        <v>2107</v>
      </c>
      <c r="B66" s="3695" t="s">
        <v>2238</v>
      </c>
      <c r="C66" s="3696" t="s">
        <v>2131</v>
      </c>
      <c r="D66" s="1031">
        <f>ВОДА!F32+ВОДА!G32</f>
        <v>33.290959860205703</v>
      </c>
      <c r="E66" s="1031">
        <f>'Вхідні дані'!D36+'Вхідні дані'!D37</f>
        <v>34.825000000000003</v>
      </c>
      <c r="F66" s="2940" t="s">
        <v>2053</v>
      </c>
      <c r="G66" s="2940" t="s">
        <v>2053</v>
      </c>
      <c r="H66" s="2940" t="s">
        <v>2053</v>
      </c>
      <c r="I66" s="1075" t="s">
        <v>2053</v>
      </c>
    </row>
    <row r="67" spans="1:14" ht="34.200000000000003" hidden="1" customHeight="1" x14ac:dyDescent="0.3">
      <c r="A67" s="3697" t="s">
        <v>2110</v>
      </c>
      <c r="B67" s="3698" t="s">
        <v>2133</v>
      </c>
      <c r="C67" s="1108" t="s">
        <v>2134</v>
      </c>
      <c r="D67" s="1108"/>
      <c r="E67" s="1108" t="s">
        <v>2049</v>
      </c>
      <c r="F67" s="1108" t="s">
        <v>2049</v>
      </c>
      <c r="G67" s="1108" t="s">
        <v>2049</v>
      </c>
      <c r="H67" s="1108"/>
      <c r="I67" s="1108" t="s">
        <v>2049</v>
      </c>
    </row>
    <row r="68" spans="1:14" ht="31.2" hidden="1" x14ac:dyDescent="0.3">
      <c r="A68" s="3699" t="s">
        <v>2116</v>
      </c>
      <c r="B68" s="1010" t="s">
        <v>2136</v>
      </c>
      <c r="C68" s="3139" t="s">
        <v>2043</v>
      </c>
      <c r="D68" s="3139">
        <v>1163.1551900000002</v>
      </c>
      <c r="E68" s="3139"/>
      <c r="F68" s="3139"/>
      <c r="G68" s="3139"/>
      <c r="H68" s="3139"/>
      <c r="I68" s="3139"/>
    </row>
    <row r="69" spans="1:14" ht="31.2" hidden="1" x14ac:dyDescent="0.3">
      <c r="A69" s="3699" t="s">
        <v>2119</v>
      </c>
      <c r="B69" s="1010" t="s">
        <v>2137</v>
      </c>
      <c r="C69" s="3139" t="s">
        <v>2043</v>
      </c>
      <c r="D69" s="3139">
        <v>173.47330000000034</v>
      </c>
      <c r="E69" s="3139"/>
      <c r="F69" s="3139"/>
      <c r="G69" s="3139"/>
      <c r="H69" s="3139"/>
      <c r="I69" s="3139"/>
    </row>
    <row r="70" spans="1:14" ht="46.8" hidden="1" x14ac:dyDescent="0.3">
      <c r="A70" s="3699" t="s">
        <v>2121</v>
      </c>
      <c r="B70" s="1069" t="s">
        <v>2138</v>
      </c>
      <c r="C70" s="3139" t="s">
        <v>2139</v>
      </c>
      <c r="D70" s="3139">
        <v>989.68188999999995</v>
      </c>
      <c r="E70" s="3139"/>
      <c r="F70" s="3139"/>
      <c r="G70" s="3139"/>
      <c r="H70" s="3139"/>
      <c r="I70" s="3139"/>
      <c r="N70" s="3685"/>
    </row>
    <row r="71" spans="1:14" ht="31.2" hidden="1" x14ac:dyDescent="0.3">
      <c r="A71" s="3699" t="s">
        <v>2124</v>
      </c>
      <c r="B71" s="1010" t="s">
        <v>2140</v>
      </c>
      <c r="C71" s="3139" t="s">
        <v>2141</v>
      </c>
      <c r="D71" s="3139"/>
      <c r="E71" s="3139"/>
      <c r="F71" s="3139"/>
      <c r="G71" s="3139"/>
      <c r="H71" s="3139"/>
      <c r="I71" s="3139"/>
    </row>
    <row r="72" spans="1:14" ht="31.2" hidden="1" x14ac:dyDescent="0.3">
      <c r="A72" s="3699" t="s">
        <v>2127</v>
      </c>
      <c r="B72" s="1010" t="s">
        <v>2142</v>
      </c>
      <c r="C72" s="3139" t="s">
        <v>2143</v>
      </c>
      <c r="D72" s="3139"/>
      <c r="E72" s="3139"/>
      <c r="F72" s="3139"/>
      <c r="G72" s="3139" t="s">
        <v>2053</v>
      </c>
      <c r="H72" s="3139" t="s">
        <v>2053</v>
      </c>
      <c r="I72" s="3139" t="s">
        <v>2053</v>
      </c>
    </row>
    <row r="73" spans="1:14" ht="31.2" hidden="1" x14ac:dyDescent="0.3">
      <c r="A73" s="3699" t="s">
        <v>2130</v>
      </c>
      <c r="B73" s="1010" t="s">
        <v>2144</v>
      </c>
      <c r="C73" s="3139" t="s">
        <v>2143</v>
      </c>
      <c r="D73" s="3139">
        <v>0</v>
      </c>
      <c r="E73" s="3139">
        <v>0</v>
      </c>
      <c r="F73" s="3139">
        <v>0</v>
      </c>
      <c r="G73" s="3139" t="s">
        <v>2053</v>
      </c>
      <c r="H73" s="3139" t="s">
        <v>2053</v>
      </c>
      <c r="I73" s="3139" t="s">
        <v>2053</v>
      </c>
    </row>
    <row r="74" spans="1:14" ht="31.2" hidden="1" x14ac:dyDescent="0.3">
      <c r="A74" s="3699" t="s">
        <v>2132</v>
      </c>
      <c r="B74" s="1010" t="s">
        <v>2145</v>
      </c>
      <c r="C74" s="3139" t="s">
        <v>2146</v>
      </c>
      <c r="D74" s="3139">
        <v>0</v>
      </c>
      <c r="E74" s="3139">
        <f>F74+G74+H74+I74</f>
        <v>19064</v>
      </c>
      <c r="F74" s="3651">
        <f>'Д 13_12'!C14</f>
        <v>18780</v>
      </c>
      <c r="G74" s="3651">
        <f>'Д 13_12'!F14</f>
        <v>2</v>
      </c>
      <c r="H74" s="3651">
        <f>'Д 13_12'!I14</f>
        <v>22</v>
      </c>
      <c r="I74" s="3651">
        <f>'Д 13_12'!M14</f>
        <v>260</v>
      </c>
    </row>
    <row r="75" spans="1:14" ht="31.2" hidden="1" x14ac:dyDescent="0.3">
      <c r="A75" s="3699" t="s">
        <v>2135</v>
      </c>
      <c r="B75" s="1010" t="s">
        <v>2185</v>
      </c>
      <c r="C75" s="3139" t="s">
        <v>2146</v>
      </c>
      <c r="D75" s="3139">
        <v>0</v>
      </c>
      <c r="E75" s="3139">
        <v>0</v>
      </c>
      <c r="F75" s="3139">
        <v>0</v>
      </c>
      <c r="G75" s="3139">
        <v>0</v>
      </c>
      <c r="H75" s="3139">
        <v>0</v>
      </c>
      <c r="I75" s="3139">
        <v>0</v>
      </c>
    </row>
    <row r="76" spans="1:14" x14ac:dyDescent="0.3">
      <c r="A76" s="3681"/>
      <c r="B76" s="2190"/>
      <c r="C76" s="2191"/>
      <c r="D76" s="2191"/>
      <c r="E76" s="2191"/>
      <c r="F76" s="2191"/>
      <c r="G76" s="2191"/>
      <c r="H76" s="2191"/>
      <c r="I76" s="2191"/>
    </row>
    <row r="77" spans="1:14" x14ac:dyDescent="0.3">
      <c r="A77" s="3681"/>
      <c r="B77" s="2190"/>
      <c r="C77" s="2191"/>
      <c r="D77" s="2191"/>
      <c r="E77" s="2191"/>
      <c r="F77" s="2191"/>
      <c r="G77" s="2191"/>
      <c r="H77" s="2191"/>
      <c r="I77" s="2191"/>
      <c r="N77" s="5458"/>
    </row>
    <row r="78" spans="1:14" x14ac:dyDescent="0.3">
      <c r="A78" s="3681"/>
      <c r="B78" s="3700" t="s">
        <v>424</v>
      </c>
      <c r="C78" s="2150"/>
      <c r="D78" s="2150" t="s">
        <v>2147</v>
      </c>
      <c r="E78" s="3701"/>
      <c r="F78" s="2150"/>
      <c r="G78" s="5459" t="s">
        <v>2511</v>
      </c>
      <c r="H78" s="5459"/>
      <c r="I78" s="5459"/>
      <c r="N78" s="5458"/>
    </row>
    <row r="79" spans="1:14" x14ac:dyDescent="0.3">
      <c r="A79" s="3681"/>
      <c r="B79" s="3702" t="s">
        <v>2148</v>
      </c>
      <c r="C79" s="2150"/>
      <c r="D79" s="5460" t="s">
        <v>209</v>
      </c>
      <c r="E79" s="5460"/>
      <c r="F79" s="2150"/>
      <c r="G79" s="5460" t="s">
        <v>2149</v>
      </c>
      <c r="H79" s="5460"/>
      <c r="I79" s="5460"/>
    </row>
    <row r="80" spans="1:14" x14ac:dyDescent="0.3">
      <c r="A80" s="3681"/>
      <c r="B80" s="3703"/>
      <c r="C80" s="2150"/>
      <c r="D80" s="2150"/>
      <c r="E80" s="2150"/>
      <c r="F80" s="2150"/>
      <c r="G80" s="2150"/>
      <c r="H80" s="2150"/>
      <c r="I80" s="2150"/>
    </row>
    <row r="81" spans="1:9" x14ac:dyDescent="0.3">
      <c r="A81" s="3681"/>
      <c r="B81" s="3701"/>
      <c r="C81" s="2150"/>
      <c r="D81" s="2150"/>
      <c r="E81" s="2150"/>
      <c r="F81" s="2150"/>
      <c r="G81" s="2150"/>
      <c r="H81" s="2150"/>
      <c r="I81" s="2150"/>
    </row>
    <row r="82" spans="1:9" ht="29.25" customHeight="1" x14ac:dyDescent="0.3">
      <c r="A82" s="3704" t="s">
        <v>2150</v>
      </c>
      <c r="B82" s="3705"/>
      <c r="C82" s="3705"/>
      <c r="D82" s="3705"/>
      <c r="E82" s="3705"/>
      <c r="F82" s="3705"/>
      <c r="G82" s="3705"/>
      <c r="H82" s="3705"/>
      <c r="I82" s="3705"/>
    </row>
    <row r="83" spans="1:9" ht="13.5" customHeight="1" x14ac:dyDescent="0.3">
      <c r="A83" s="5449" t="s">
        <v>2151</v>
      </c>
      <c r="B83" s="5449"/>
      <c r="C83" s="5449"/>
      <c r="D83" s="5449"/>
      <c r="E83" s="5449"/>
      <c r="F83" s="5449"/>
      <c r="G83" s="5449"/>
      <c r="H83" s="5449"/>
      <c r="I83" s="5449"/>
    </row>
    <row r="84" spans="1:9" ht="13.5" customHeight="1" x14ac:dyDescent="0.3">
      <c r="A84" s="1007"/>
      <c r="B84" s="1007"/>
      <c r="C84" s="1007"/>
      <c r="D84" s="1007"/>
      <c r="E84" s="1007"/>
      <c r="F84" s="1007"/>
      <c r="G84" s="1007"/>
      <c r="H84" s="1007"/>
      <c r="I84" s="1007"/>
    </row>
    <row r="85" spans="1:9" ht="14.25" customHeight="1" x14ac:dyDescent="0.3">
      <c r="A85" s="3681"/>
      <c r="B85" s="3706"/>
      <c r="C85" s="2150"/>
      <c r="D85" s="2150"/>
      <c r="E85" s="2150"/>
      <c r="F85" s="2150"/>
      <c r="G85" s="2150"/>
      <c r="H85" s="2150"/>
      <c r="I85" s="2150"/>
    </row>
    <row r="86" spans="1:9" x14ac:dyDescent="0.3">
      <c r="A86" s="5450"/>
      <c r="B86" s="5450"/>
      <c r="C86" s="2150"/>
      <c r="D86" s="2150"/>
      <c r="E86" s="2150"/>
      <c r="F86" s="2150"/>
      <c r="G86" s="2150"/>
      <c r="H86" s="2150"/>
      <c r="I86" s="2150"/>
    </row>
    <row r="87" spans="1:9" x14ac:dyDescent="0.3">
      <c r="A87" s="5450"/>
      <c r="B87" s="5450"/>
      <c r="C87" s="2150"/>
      <c r="D87" s="2150"/>
      <c r="E87" s="2150"/>
      <c r="F87" s="2150"/>
      <c r="G87" s="2150"/>
      <c r="H87" s="3705"/>
      <c r="I87" s="2150"/>
    </row>
  </sheetData>
  <mergeCells count="21">
    <mergeCell ref="N77:N78"/>
    <mergeCell ref="G78:I78"/>
    <mergeCell ref="D79:E79"/>
    <mergeCell ref="G79:I79"/>
    <mergeCell ref="F1:I1"/>
    <mergeCell ref="H2:I2"/>
    <mergeCell ref="H3:I3"/>
    <mergeCell ref="B4:I4"/>
    <mergeCell ref="B5:I5"/>
    <mergeCell ref="B7:B8"/>
    <mergeCell ref="C7:C8"/>
    <mergeCell ref="D7:D8"/>
    <mergeCell ref="E7:E8"/>
    <mergeCell ref="A83:I83"/>
    <mergeCell ref="A86:B86"/>
    <mergeCell ref="A87:B87"/>
    <mergeCell ref="F7:I7"/>
    <mergeCell ref="C16:I16"/>
    <mergeCell ref="C27:I27"/>
    <mergeCell ref="A7:A8"/>
    <mergeCell ref="C59:C62"/>
  </mergeCells>
  <pageMargins left="0.70866141732283472" right="0.2" top="0.22" bottom="0.34" header="0.31496062992125984" footer="0.31496062992125984"/>
  <pageSetup paperSize="9" scale="59" orientation="portrait" r:id="rId1"/>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200-000000000000}">
  <sheetPr codeName="Лист48"/>
  <dimension ref="A2:BA129"/>
  <sheetViews>
    <sheetView topLeftCell="A72" workbookViewId="0">
      <selection activeCell="E30" sqref="E30"/>
    </sheetView>
  </sheetViews>
  <sheetFormatPr defaultRowHeight="14.4" x14ac:dyDescent="0.3"/>
  <cols>
    <col min="1" max="1" width="34.109375" customWidth="1"/>
    <col min="3" max="3" width="12.44140625" customWidth="1"/>
    <col min="4" max="4" width="10.33203125" customWidth="1"/>
    <col min="5" max="5" width="9.44140625" bestFit="1" customWidth="1"/>
    <col min="6" max="7" width="9.6640625" customWidth="1"/>
    <col min="8" max="8" width="10" customWidth="1"/>
    <col min="11" max="11" width="10.5546875" customWidth="1"/>
    <col min="18" max="18" width="9.6640625" customWidth="1"/>
  </cols>
  <sheetData>
    <row r="2" spans="1:53" ht="28.8" x14ac:dyDescent="0.3">
      <c r="A2" s="1502" t="str">
        <f>'ТЕ_2ст_тариф_з ЦТП'!C14</f>
        <v>Обсяг реалізації теплової енергії споживачам всього, у т.ч.</v>
      </c>
      <c r="B2" t="str">
        <f>'ТЕ_2ст_тариф_з ЦТП'!D14</f>
        <v>тис. Гкал</v>
      </c>
      <c r="C2">
        <f>'ТЕ_2ст_тариф_з ЦТП'!E14</f>
        <v>98.795806692118902</v>
      </c>
      <c r="D2">
        <f>'ТЕ_2ст_тариф_з ЦТП'!F14</f>
        <v>98.795806692118902</v>
      </c>
      <c r="E2" t="str">
        <f>'ТЕ_2ст_тариф_з ЦТП'!G14</f>
        <v>х</v>
      </c>
      <c r="F2">
        <f>'ТЕ_2ст_тариф_з ЦТП'!H14</f>
        <v>82.049342543904487</v>
      </c>
      <c r="G2">
        <f>'ТЕ_2ст_тариф_з ЦТП'!I14</f>
        <v>82.049342543904487</v>
      </c>
      <c r="H2" t="str">
        <f>'ТЕ_2ст_тариф_з ЦТП'!J14</f>
        <v>х</v>
      </c>
      <c r="I2">
        <f>'ТЕ_2ст_тариф_з ЦТП'!K14</f>
        <v>1.3291675959893333E-2</v>
      </c>
      <c r="J2">
        <f>'ТЕ_2ст_тариф_з ЦТП'!L14</f>
        <v>1.3291675959893333E-2</v>
      </c>
      <c r="K2" t="str">
        <f>'ТЕ_2ст_тариф_з ЦТП'!M14</f>
        <v>х</v>
      </c>
      <c r="L2">
        <f>'ТЕ_2ст_тариф_з ЦТП'!N14</f>
        <v>12.519553368115806</v>
      </c>
      <c r="M2">
        <f>'ТЕ_2ст_тариф_з ЦТП'!O14</f>
        <v>12.519553368115806</v>
      </c>
      <c r="N2" t="str">
        <f>'ТЕ_2ст_тариф_з ЦТП'!P14</f>
        <v>х</v>
      </c>
      <c r="O2">
        <f>'ТЕ_2ст_тариф_з ЦТП'!Q14</f>
        <v>4.2136191041387132</v>
      </c>
      <c r="P2">
        <f>'ТЕ_2ст_тариф_з ЦТП'!R14</f>
        <v>4.2136191041387132</v>
      </c>
      <c r="Q2" t="str">
        <f>'ТЕ_2ст_тариф_з ЦТП'!S14</f>
        <v>х</v>
      </c>
      <c r="R2">
        <f>'ТЕ_2ст_тариф_з ЦТП'!T14</f>
        <v>0</v>
      </c>
      <c r="S2">
        <f>'ТЕ_2ст_тариф_з ЦТП'!U14</f>
        <v>0</v>
      </c>
      <c r="T2">
        <f>'ТЕ_2ст_тариф_з ЦТП'!V14</f>
        <v>0</v>
      </c>
      <c r="U2">
        <f>'ТЕ_2ст_тариф_з ЦТП'!W14</f>
        <v>0</v>
      </c>
      <c r="V2">
        <f>'ТЕ_2ст_тариф_з ЦТП'!X14</f>
        <v>0</v>
      </c>
      <c r="W2">
        <f>'ТЕ_2ст_тариф_з ЦТП'!Y14</f>
        <v>0</v>
      </c>
      <c r="X2">
        <f>'ТЕ_2ст_тариф_з ЦТП'!Z14</f>
        <v>0</v>
      </c>
      <c r="Y2">
        <f>'ТЕ_2ст_тариф_з ЦТП'!AA14</f>
        <v>0</v>
      </c>
      <c r="Z2">
        <f>'ТЕ_2ст_тариф_з ЦТП'!AB14</f>
        <v>0</v>
      </c>
      <c r="AA2">
        <f>'ТЕ_2ст_тариф_з ЦТП'!AC14</f>
        <v>0</v>
      </c>
      <c r="AB2">
        <f>'ТЕ_2ст_тариф_з ЦТП'!AD14</f>
        <v>0</v>
      </c>
      <c r="AC2">
        <f>'ТЕ_2ст_тариф_з ЦТП'!AE14</f>
        <v>0</v>
      </c>
      <c r="AD2">
        <f>'ТЕ_2ст_тариф_з ЦТП'!AF14</f>
        <v>0</v>
      </c>
      <c r="AE2">
        <f>'ТЕ_2ст_тариф_з ЦТП'!AG14</f>
        <v>0</v>
      </c>
      <c r="AF2">
        <f>'ТЕ_2ст_тариф_з ЦТП'!AH14</f>
        <v>0</v>
      </c>
      <c r="AG2">
        <f>'ТЕ_2ст_тариф_з ЦТП'!AI14</f>
        <v>0</v>
      </c>
      <c r="AH2">
        <f>'ТЕ_2ст_тариф_з ЦТП'!AJ14</f>
        <v>0</v>
      </c>
      <c r="AI2">
        <f>'ТЕ_2ст_тариф_з ЦТП'!AK14</f>
        <v>0</v>
      </c>
      <c r="AJ2">
        <f>'ТЕ_2ст_тариф_з ЦТП'!AL14-'ТЕ_2ст_тариф_без ЦТП'!AL14</f>
        <v>0</v>
      </c>
      <c r="AK2">
        <f>'ТЕ_2ст_тариф_з ЦТП'!AM14-'ТЕ_2ст_тариф_без ЦТП'!AM14</f>
        <v>0</v>
      </c>
      <c r="AL2">
        <f>'ТЕ_2ст_тариф_з ЦТП'!AN14-'ТЕ_2ст_тариф_без ЦТП'!AN14</f>
        <v>0</v>
      </c>
      <c r="AM2">
        <f>'ТЕ_2ст_тариф_з ЦТП'!AO14-'ТЕ_2ст_тариф_без ЦТП'!AO14</f>
        <v>0</v>
      </c>
      <c r="AN2">
        <f>'ТЕ_2ст_тариф_з ЦТП'!AP14-'ТЕ_2ст_тариф_без ЦТП'!AP14</f>
        <v>0</v>
      </c>
      <c r="AO2">
        <f>'ТЕ_2ст_тариф_з ЦТП'!AQ14-'ТЕ_2ст_тариф_без ЦТП'!AQ14</f>
        <v>0</v>
      </c>
      <c r="AP2">
        <f>'ТЕ_2ст_тариф_з ЦТП'!AR14-'ТЕ_2ст_тариф_без ЦТП'!AR14</f>
        <v>0</v>
      </c>
      <c r="AQ2">
        <f>'ТЕ_2ст_тариф_з ЦТП'!AS14-'ТЕ_2ст_тариф_без ЦТП'!AS14</f>
        <v>0</v>
      </c>
      <c r="AR2">
        <f>'ТЕ_2ст_тариф_з ЦТП'!AT14-'ТЕ_2ст_тариф_без ЦТП'!AT14</f>
        <v>0</v>
      </c>
      <c r="AS2">
        <f>'ТЕ_2ст_тариф_з ЦТП'!AU14-'ТЕ_2ст_тариф_без ЦТП'!AU14</f>
        <v>0</v>
      </c>
      <c r="AT2">
        <f>'ТЕ_2ст_тариф_з ЦТП'!AV14-'ТЕ_2ст_тариф_без ЦТП'!AV14</f>
        <v>0</v>
      </c>
      <c r="AU2">
        <f>'ТЕ_2ст_тариф_з ЦТП'!AW14-'ТЕ_2ст_тариф_без ЦТП'!AW14</f>
        <v>0</v>
      </c>
      <c r="AV2">
        <f>'ТЕ_2ст_тариф_з ЦТП'!AX14-'ТЕ_2ст_тариф_без ЦТП'!AX14</f>
        <v>0</v>
      </c>
      <c r="AW2">
        <f>'ТЕ_2ст_тариф_з ЦТП'!AY14-'ТЕ_2ст_тариф_без ЦТП'!AY14</f>
        <v>0</v>
      </c>
      <c r="AX2">
        <f>'ТЕ_2ст_тариф_з ЦТП'!AZ14-'ТЕ_2ст_тариф_без ЦТП'!AZ14</f>
        <v>0</v>
      </c>
      <c r="AY2">
        <f>'ТЕ_2ст_тариф_з ЦТП'!BA14-'ТЕ_2ст_тариф_без ЦТП'!BA14</f>
        <v>0</v>
      </c>
      <c r="AZ2">
        <f>'ТЕ_2ст_тариф_з ЦТП'!BB14-'ТЕ_2ст_тариф_без ЦТП'!BB14</f>
        <v>0</v>
      </c>
      <c r="BA2">
        <f>'ТЕ_2ст_тариф_з ЦТП'!BC14-'ТЕ_2ст_тариф_без ЦТП'!BC14</f>
        <v>0</v>
      </c>
    </row>
    <row r="3" spans="1:53" x14ac:dyDescent="0.3">
      <c r="A3" s="1502" t="str">
        <f>'ТЕ_2ст_тариф_з ЦТП'!C15</f>
        <v>з ЦТП</v>
      </c>
      <c r="B3" t="str">
        <f>'ТЕ_2ст_тариф_з ЦТП'!D15</f>
        <v>тис.Гкал</v>
      </c>
      <c r="C3">
        <f>'ТЕ_2ст_тариф_з ЦТП'!E15-'ТЕ_2ст_тариф_без ЦТП'!E15</f>
        <v>0</v>
      </c>
    </row>
    <row r="4" spans="1:53" x14ac:dyDescent="0.3">
      <c r="A4" s="1502" t="str">
        <f>'ТЕ_2ст_тариф_з ЦТП'!C16</f>
        <v>без ЦТП</v>
      </c>
      <c r="B4" t="str">
        <f>'ТЕ_2ст_тариф_з ЦТП'!D16</f>
        <v>тис.Гкал</v>
      </c>
      <c r="C4">
        <f>'ТЕ_2ст_тариф_з ЦТП'!E16-'ТЕ_2ст_тариф_без ЦТП'!E16</f>
        <v>0</v>
      </c>
    </row>
    <row r="5" spans="1:53" x14ac:dyDescent="0.3">
      <c r="A5" s="1502" t="str">
        <f>'ТЕ_2ст_тариф_з ЦТП'!C17</f>
        <v xml:space="preserve">Приєднане теплове навантаження  </v>
      </c>
      <c r="B5" t="str">
        <f>'ТЕ_2ст_тариф_з ЦТП'!D17</f>
        <v>Гкал/год</v>
      </c>
      <c r="C5">
        <f>'ТЕ_2ст_тариф_з ЦТП'!E17</f>
        <v>71.594076517000005</v>
      </c>
      <c r="D5" t="str">
        <f>'ТЕ_2ст_тариф_з ЦТП'!F17</f>
        <v>х</v>
      </c>
      <c r="E5">
        <f>'ТЕ_2ст_тариф_з ЦТП'!G17</f>
        <v>71.594076517000005</v>
      </c>
      <c r="F5">
        <f>'ТЕ_2ст_тариф_з ЦТП'!H17</f>
        <v>59.458515646999999</v>
      </c>
      <c r="G5" t="str">
        <f>'ТЕ_2ст_тариф_з ЦТП'!I17</f>
        <v>х</v>
      </c>
      <c r="H5">
        <f>'ТЕ_2ст_тариф_з ЦТП'!J17</f>
        <v>59.458515646999999</v>
      </c>
      <c r="I5">
        <f>'ТЕ_2ст_тариф_з ЦТП'!K17</f>
        <v>9.6319999999999999E-3</v>
      </c>
      <c r="J5" t="str">
        <f>'ТЕ_2ст_тариф_з ЦТП'!L17</f>
        <v>х</v>
      </c>
      <c r="K5">
        <f>'ТЕ_2ст_тариф_з ЦТП'!M17</f>
        <v>9.6319999999999999E-3</v>
      </c>
      <c r="L5">
        <f>'ТЕ_2ст_тариф_з ЦТП'!N17</f>
        <v>9.0724704999999997</v>
      </c>
      <c r="M5" t="str">
        <f>'ТЕ_2ст_тариф_з ЦТП'!O17</f>
        <v>х</v>
      </c>
      <c r="N5">
        <f>'ТЕ_2ст_тариф_з ЦТП'!P17</f>
        <v>9.0724704999999997</v>
      </c>
      <c r="O5">
        <f>'ТЕ_2ст_тариф_з ЦТП'!Q17</f>
        <v>3.05345837</v>
      </c>
      <c r="P5" t="str">
        <f>'ТЕ_2ст_тариф_з ЦТП'!R17</f>
        <v>х</v>
      </c>
      <c r="Q5">
        <f>'ТЕ_2ст_тариф_з ЦТП'!S17</f>
        <v>3.05345837</v>
      </c>
      <c r="R5">
        <f>'ТЕ_2ст_тариф_з ЦТП'!T17</f>
        <v>0</v>
      </c>
      <c r="S5">
        <f>'ТЕ_2ст_тариф_з ЦТП'!U17</f>
        <v>0</v>
      </c>
      <c r="T5">
        <f>'ТЕ_2ст_тариф_з ЦТП'!V17</f>
        <v>0</v>
      </c>
      <c r="U5">
        <f>'ТЕ_2ст_тариф_з ЦТП'!W17</f>
        <v>0</v>
      </c>
      <c r="V5">
        <f>'ТЕ_2ст_тариф_з ЦТП'!X17</f>
        <v>0</v>
      </c>
      <c r="W5">
        <f>'ТЕ_2ст_тариф_з ЦТП'!Y17</f>
        <v>0</v>
      </c>
      <c r="X5">
        <f>'ТЕ_2ст_тариф_з ЦТП'!Z17</f>
        <v>0</v>
      </c>
      <c r="Y5">
        <f>'ТЕ_2ст_тариф_з ЦТП'!AA17</f>
        <v>0</v>
      </c>
      <c r="Z5">
        <f>'ТЕ_2ст_тариф_з ЦТП'!AB17</f>
        <v>0</v>
      </c>
      <c r="AA5">
        <f>'ТЕ_2ст_тариф_з ЦТП'!AC17</f>
        <v>0</v>
      </c>
      <c r="AB5">
        <f>'ТЕ_2ст_тариф_з ЦТП'!AD17</f>
        <v>0</v>
      </c>
      <c r="AC5">
        <f>'ТЕ_2ст_тариф_з ЦТП'!AE17</f>
        <v>0</v>
      </c>
      <c r="AD5">
        <f>'ТЕ_2ст_тариф_з ЦТП'!AF17</f>
        <v>0</v>
      </c>
      <c r="AE5">
        <f>'ТЕ_2ст_тариф_з ЦТП'!AG17</f>
        <v>0</v>
      </c>
      <c r="AF5">
        <f>'ТЕ_2ст_тариф_з ЦТП'!AH17</f>
        <v>0</v>
      </c>
      <c r="AG5">
        <f>'ТЕ_2ст_тариф_з ЦТП'!AI17</f>
        <v>0</v>
      </c>
      <c r="AH5">
        <f>'ТЕ_2ст_тариф_з ЦТП'!AJ17</f>
        <v>0</v>
      </c>
      <c r="AI5">
        <f>'ТЕ_2ст_тариф_з ЦТП'!AK17</f>
        <v>0</v>
      </c>
      <c r="AJ5">
        <f>'ТЕ_2ст_тариф_з ЦТП'!AL17</f>
        <v>0</v>
      </c>
      <c r="AK5">
        <f>'ТЕ_2ст_тариф_з ЦТП'!AM17</f>
        <v>0</v>
      </c>
      <c r="AL5">
        <f>'ТЕ_2ст_тариф_з ЦТП'!AN17</f>
        <v>0</v>
      </c>
      <c r="AM5">
        <f>'ТЕ_2ст_тариф_з ЦТП'!AO17</f>
        <v>0</v>
      </c>
    </row>
    <row r="6" spans="1:53" x14ac:dyDescent="0.3">
      <c r="A6" s="1502" t="str">
        <f>'ТЕ_2ст_тариф_з ЦТП'!C18</f>
        <v>з ЦТП</v>
      </c>
      <c r="B6" t="str">
        <f>'ТЕ_2ст_тариф_з ЦТП'!D18</f>
        <v>Гкал/год</v>
      </c>
      <c r="C6">
        <f>'ТЕ_2ст_тариф_з ЦТП'!E18-'ТЕ_2ст_тариф_без ЦТП'!E18</f>
        <v>0</v>
      </c>
    </row>
    <row r="7" spans="1:53" x14ac:dyDescent="0.3">
      <c r="A7" s="1502" t="str">
        <f>'ТЕ_2ст_тариф_з ЦТП'!C19</f>
        <v>без ЦТП</v>
      </c>
      <c r="B7" t="str">
        <f>'ТЕ_2ст_тариф_з ЦТП'!D19</f>
        <v>Гкал/год</v>
      </c>
      <c r="C7">
        <f>'ТЕ_2ст_тариф_з ЦТП'!E19-'ТЕ_2ст_тариф_без ЦТП'!E19</f>
        <v>0</v>
      </c>
    </row>
    <row r="8" spans="1:53" hidden="1" x14ac:dyDescent="0.3">
      <c r="A8" s="1502" t="str">
        <f>'ТЕ_2ст_тариф_з ЦТП'!C20</f>
        <v>у тому числі: </v>
      </c>
      <c r="B8">
        <f>'ТЕ_2ст_тариф_з ЦТП'!D20</f>
        <v>0</v>
      </c>
      <c r="C8">
        <f>'ТЕ_2ст_тариф_з ЦТП'!E20-'ТЕ_2ст_тариф_без ЦТП'!E20</f>
        <v>0</v>
      </c>
    </row>
    <row r="9" spans="1:53" ht="28.8" hidden="1" x14ac:dyDescent="0.3">
      <c r="A9" s="1502" t="str">
        <f>'ТЕ_2ст_тариф_з ЦТП'!C21</f>
        <v>споживачів, які користуються централізованим опаленням</v>
      </c>
      <c r="B9" t="str">
        <f>'ТЕ_2ст_тариф_з ЦТП'!D21</f>
        <v>- " - </v>
      </c>
      <c r="C9">
        <f>'ТЕ_2ст_тариф_з ЦТП'!E21-'ТЕ_2ст_тариф_без ЦТП'!E21</f>
        <v>0</v>
      </c>
    </row>
    <row r="10" spans="1:53" hidden="1" x14ac:dyDescent="0.3">
      <c r="A10" s="1502" t="str">
        <f>'ТЕ_2ст_тариф_з ЦТП'!C22</f>
        <v>місць загального користування</v>
      </c>
      <c r="B10" t="str">
        <f>'ТЕ_2ст_тариф_з ЦТП'!D22</f>
        <v>- " - </v>
      </c>
      <c r="C10">
        <f>'ТЕ_2ст_тариф_з ЦТП'!E22-'ТЕ_2ст_тариф_без ЦТП'!E22</f>
        <v>0</v>
      </c>
    </row>
    <row r="11" spans="1:53" hidden="1" x14ac:dyDescent="0.3">
      <c r="A11" s="1502" t="str">
        <f>'ТЕ_2ст_тариф_з ЦТП'!C23</f>
        <v>системи постачання гарячої води</v>
      </c>
      <c r="B11" t="str">
        <f>'ТЕ_2ст_тариф_з ЦТП'!D23</f>
        <v>- " - </v>
      </c>
      <c r="C11">
        <f>'ТЕ_2ст_тариф_з ЦТП'!E23-'ТЕ_2ст_тариф_без ЦТП'!E23</f>
        <v>0</v>
      </c>
    </row>
    <row r="12" spans="1:53" ht="43.2" hidden="1" x14ac:dyDescent="0.3">
      <c r="A12" s="1502" t="str">
        <f>'ТЕ_2ст_тариф_з ЦТП'!C24</f>
        <v>споживачів, які відмовилися від централізованого опалення та постачання гарячої води  (довідково)</v>
      </c>
      <c r="B12" t="str">
        <f>'ТЕ_2ст_тариф_з ЦТП'!D24</f>
        <v>- " - </v>
      </c>
      <c r="C12">
        <f>'ТЕ_2ст_тариф_з ЦТП'!E24-'ТЕ_2ст_тариф_без ЦТП'!E24</f>
        <v>0</v>
      </c>
    </row>
    <row r="13" spans="1:53" ht="43.2" hidden="1" x14ac:dyDescent="0.3">
      <c r="A13" s="1502" t="str">
        <f>'ТЕ_2ст_тариф_з ЦТП'!C25</f>
        <v>Обсяг теплової енергії для надання послуги з постачання теплової енергії, усього</v>
      </c>
      <c r="B13" t="str">
        <f>'ТЕ_2ст_тариф_з ЦТП'!D25</f>
        <v>тис. Гкал </v>
      </c>
      <c r="C13">
        <f>'ТЕ_2ст_тариф_з ЦТП'!E25-'ТЕ_2ст_тариф_без ЦТП'!E25</f>
        <v>0</v>
      </c>
    </row>
    <row r="14" spans="1:53" hidden="1" x14ac:dyDescent="0.3">
      <c r="A14" s="1502" t="str">
        <f>'ТЕ_2ст_тариф_з ЦТП'!C26</f>
        <v>у тому числі</v>
      </c>
      <c r="B14">
        <f>'ТЕ_2ст_тариф_з ЦТП'!D26</f>
        <v>0</v>
      </c>
      <c r="C14">
        <f>'ТЕ_2ст_тариф_з ЦТП'!E26-'ТЕ_2ст_тариф_без ЦТП'!E26</f>
        <v>0</v>
      </c>
    </row>
    <row r="15" spans="1:53" ht="28.8" hidden="1" x14ac:dyDescent="0.3">
      <c r="A15" s="1502" t="str">
        <f>'ТЕ_2ст_тариф_з ЦТП'!C27</f>
        <v>за показаннями вузлів комерційного обліку  </v>
      </c>
      <c r="B15" t="str">
        <f>'ТЕ_2ст_тариф_з ЦТП'!D27</f>
        <v>- " - </v>
      </c>
      <c r="C15" t="e">
        <f>'ТЕ_2ст_тариф_з ЦТП'!E27-'ТЕ_2ст_тариф_без ЦТП'!E27</f>
        <v>#VALUE!</v>
      </c>
    </row>
    <row r="16" spans="1:53" ht="28.8" hidden="1" x14ac:dyDescent="0.3">
      <c r="A16" s="1502" t="str">
        <f>'ТЕ_2ст_тариф_з ЦТП'!C28</f>
        <v>Питоме теплове навантаження системи опалення  </v>
      </c>
      <c r="B16" t="str">
        <f>'ТЕ_2ст_тариф_з ЦТП'!D28</f>
        <v>Гкал/г /  на 1 кв. метр </v>
      </c>
      <c r="C16">
        <f>'ТЕ_2ст_тариф_з ЦТП'!E28-'ТЕ_2ст_тариф_без ЦТП'!E28</f>
        <v>0</v>
      </c>
    </row>
    <row r="17" spans="1:43" ht="43.2" hidden="1" x14ac:dyDescent="0.3">
      <c r="A17" s="1502" t="str">
        <f>'ТЕ_2ст_тариф_з ЦТП'!C29</f>
        <v>Розрахункова норма витрат теплової енергії для опалення будинків, в яких не встановлені прилади обліку </v>
      </c>
      <c r="B17" t="str">
        <f>'ТЕ_2ст_тариф_з ЦТП'!D29</f>
        <v>Гкал/ кв. метр/ рік </v>
      </c>
      <c r="C17">
        <f>'ТЕ_2ст_тариф_з ЦТП'!E29-'ТЕ_2ст_тариф_без ЦТП'!E29</f>
        <v>0</v>
      </c>
    </row>
    <row r="18" spans="1:43" ht="43.2" x14ac:dyDescent="0.3">
      <c r="A18" s="1502" t="str">
        <f>'ТЕ_2ст_тариф_з ЦТП'!C30</f>
        <v>Обсяг відпуску теплової енергії з колекторів власних генеруючих джерел всього</v>
      </c>
      <c r="B18" t="str">
        <f>'ТЕ_2ст_тариф_з ЦТП'!D30</f>
        <v>тис. Гкал</v>
      </c>
      <c r="C18">
        <f>'ТЕ_2ст_тариф_з ЦТП'!E30</f>
        <v>108.67553267624618</v>
      </c>
      <c r="D18">
        <f>'ТЕ_2ст_тариф_з ЦТП'!F30</f>
        <v>108.67553267624618</v>
      </c>
      <c r="E18" t="str">
        <f>'ТЕ_2ст_тариф_з ЦТП'!G30</f>
        <v>х</v>
      </c>
      <c r="F18">
        <f>'ТЕ_2ст_тариф_з ЦТП'!H30</f>
        <v>90.271057497103627</v>
      </c>
      <c r="G18">
        <f>'ТЕ_2ст_тариф_з ЦТП'!I30</f>
        <v>90.271057497103627</v>
      </c>
      <c r="H18" t="str">
        <f>'ТЕ_2ст_тариф_з ЦТП'!J30</f>
        <v>х</v>
      </c>
      <c r="I18">
        <f>'ТЕ_2ст_тариф_з ЦТП'!K30</f>
        <v>1.4602989074179139E-2</v>
      </c>
      <c r="J18">
        <f>'ТЕ_2ст_тариф_з ЦТП'!L30</f>
        <v>1.4602989074179139E-2</v>
      </c>
      <c r="K18" t="str">
        <f>'ТЕ_2ст_тариф_з ЦТП'!M30</f>
        <v>х</v>
      </c>
      <c r="L18">
        <f>'ТЕ_2ст_тариф_з ЦТП'!N30</f>
        <v>13.752767963175286</v>
      </c>
      <c r="M18">
        <f>'ТЕ_2ст_тариф_з ЦТП'!O30</f>
        <v>13.752767963175286</v>
      </c>
      <c r="N18" t="str">
        <f>'ТЕ_2ст_тариф_з ЦТП'!P30</f>
        <v>х</v>
      </c>
      <c r="O18">
        <f>'ТЕ_2ст_тариф_з ЦТП'!Q30</f>
        <v>4.6371042268930927</v>
      </c>
      <c r="P18">
        <f>'ТЕ_2ст_тариф_з ЦТП'!R30</f>
        <v>4.6371042268930927</v>
      </c>
      <c r="Q18" t="str">
        <f>'ТЕ_2ст_тариф_з ЦТП'!S30</f>
        <v>х</v>
      </c>
      <c r="R18">
        <f>'ТЕ_2ст_тариф_з ЦТП'!T30</f>
        <v>0</v>
      </c>
      <c r="S18">
        <f>'ТЕ_2ст_тариф_з ЦТП'!U30</f>
        <v>1573.7199614841429</v>
      </c>
      <c r="T18">
        <f>'ТЕ_2ст_тариф_з ЦТП'!V30</f>
        <v>129.67838720783763</v>
      </c>
      <c r="U18">
        <f>'ТЕ_2ст_тариф_з ЦТП'!W30</f>
        <v>0</v>
      </c>
      <c r="V18">
        <f>'ТЕ_2ст_тариф_з ЦТП'!X30</f>
        <v>0</v>
      </c>
      <c r="W18">
        <f>'ТЕ_2ст_тариф_з ЦТП'!Y30</f>
        <v>0</v>
      </c>
      <c r="X18">
        <f>'ТЕ_2ст_тариф_з ЦТП'!Z30</f>
        <v>0</v>
      </c>
      <c r="Y18">
        <f>'ТЕ_2ст_тариф_з ЦТП'!AA30</f>
        <v>0</v>
      </c>
      <c r="Z18">
        <f>'ТЕ_2ст_тариф_з ЦТП'!AB30</f>
        <v>0</v>
      </c>
      <c r="AA18">
        <f>'ТЕ_2ст_тариф_з ЦТП'!AC30</f>
        <v>0</v>
      </c>
      <c r="AB18">
        <f>'ТЕ_2ст_тариф_з ЦТП'!AD30</f>
        <v>0</v>
      </c>
      <c r="AC18">
        <f>'ТЕ_2ст_тариф_з ЦТП'!AE30</f>
        <v>0</v>
      </c>
      <c r="AD18">
        <f>'ТЕ_2ст_тариф_з ЦТП'!AF30</f>
        <v>0</v>
      </c>
      <c r="AE18">
        <f>'ТЕ_2ст_тариф_з ЦТП'!AG30</f>
        <v>0</v>
      </c>
      <c r="AF18">
        <f>'ТЕ_2ст_тариф_з ЦТП'!AH30</f>
        <v>0</v>
      </c>
      <c r="AG18">
        <f>'ТЕ_2ст_тариф_з ЦТП'!AI30</f>
        <v>0</v>
      </c>
      <c r="AH18">
        <f>'ТЕ_2ст_тариф_з ЦТП'!AJ30</f>
        <v>0</v>
      </c>
      <c r="AI18">
        <f>'ТЕ_2ст_тариф_з ЦТП'!AK30</f>
        <v>0</v>
      </c>
      <c r="AJ18">
        <f>'ТЕ_2ст_тариф_з ЦТП'!AL30</f>
        <v>0</v>
      </c>
      <c r="AK18">
        <f>'ТЕ_2ст_тариф_з ЦТП'!AM30</f>
        <v>0</v>
      </c>
      <c r="AL18">
        <f>'ТЕ_2ст_тариф_з ЦТП'!AN30</f>
        <v>0</v>
      </c>
      <c r="AM18">
        <f>'ТЕ_2ст_тариф_з ЦТП'!AO30</f>
        <v>0</v>
      </c>
      <c r="AN18">
        <f>'ТЕ_2ст_тариф_з ЦТП'!AP30</f>
        <v>0</v>
      </c>
      <c r="AO18">
        <f>'ТЕ_2ст_тариф_з ЦТП'!AQ30</f>
        <v>0</v>
      </c>
      <c r="AP18">
        <f>'ТЕ_2ст_тариф_з ЦТП'!AR30</f>
        <v>0</v>
      </c>
      <c r="AQ18">
        <f>'ТЕ_2ст_тариф_з ЦТП'!AS30</f>
        <v>0</v>
      </c>
    </row>
    <row r="19" spans="1:43" hidden="1" x14ac:dyDescent="0.3">
      <c r="A19" s="1502" t="str">
        <f>'ТЕ_2ст_тариф_з ЦТП'!C31</f>
        <v>з ЦТП</v>
      </c>
      <c r="B19" t="str">
        <f>'ТЕ_2ст_тариф_з ЦТП'!D31</f>
        <v>тис.Гкал</v>
      </c>
      <c r="C19">
        <f>'ТЕ_2ст_тариф_з ЦТП'!E31-'ТЕ_2ст_тариф_без ЦТП'!E31</f>
        <v>0</v>
      </c>
    </row>
    <row r="20" spans="1:43" hidden="1" x14ac:dyDescent="0.3">
      <c r="A20" s="1502" t="str">
        <f>'ТЕ_2ст_тариф_з ЦТП'!C32</f>
        <v>без ЦТП</v>
      </c>
      <c r="B20" t="str">
        <f>'ТЕ_2ст_тариф_з ЦТП'!D32</f>
        <v>тис.Гкал</v>
      </c>
      <c r="C20">
        <f>'ТЕ_2ст_тариф_з ЦТП'!E32-'ТЕ_2ст_тариф_без ЦТП'!E32</f>
        <v>0</v>
      </c>
    </row>
    <row r="21" spans="1:43" hidden="1" x14ac:dyDescent="0.3">
      <c r="A21" s="1502">
        <f>'ТЕ_2ст_тариф_з ЦТП'!C33</f>
        <v>0</v>
      </c>
      <c r="B21">
        <f>'ТЕ_2ст_тариф_з ЦТП'!D33</f>
        <v>0</v>
      </c>
      <c r="C21">
        <f>'ТЕ_2ст_тариф_з ЦТП'!E33-'ТЕ_2ст_тариф_без ЦТП'!E33</f>
        <v>0</v>
      </c>
    </row>
    <row r="22" spans="1:43" hidden="1" x14ac:dyDescent="0.3">
      <c r="A22" s="1502">
        <f>'ТЕ_2ст_тариф_з ЦТП'!C34</f>
        <v>0</v>
      </c>
      <c r="B22">
        <f>'ТЕ_2ст_тариф_з ЦТП'!D34</f>
        <v>0</v>
      </c>
      <c r="C22">
        <f>'ТЕ_2ст_тариф_з ЦТП'!E34-'ТЕ_2ст_тариф_без ЦТП'!E34</f>
        <v>0</v>
      </c>
    </row>
    <row r="23" spans="1:43" hidden="1" x14ac:dyDescent="0.3">
      <c r="A23" s="1502">
        <f>'ТЕ_2ст_тариф_з ЦТП'!C35</f>
        <v>0</v>
      </c>
      <c r="B23">
        <f>'ТЕ_2ст_тариф_з ЦТП'!D35</f>
        <v>0</v>
      </c>
      <c r="C23">
        <f>'ТЕ_2ст_тариф_з ЦТП'!E35-'ТЕ_2ст_тариф_без ЦТП'!E35</f>
        <v>0</v>
      </c>
    </row>
    <row r="24" spans="1:43" x14ac:dyDescent="0.3">
      <c r="A24" s="1790">
        <f>'ТЕ_2ст_тариф_з ЦТП'!C36</f>
        <v>0</v>
      </c>
      <c r="B24">
        <f>'ТЕ_2ст_тариф_з ЦТП'!D36</f>
        <v>0</v>
      </c>
      <c r="C24" t="e">
        <f>'ТЕ_2ст_тариф_з ЦТП'!E36-'ТЕ_2ст_тариф_без ЦТП'!E36</f>
        <v>#VALUE!</v>
      </c>
    </row>
    <row r="25" spans="1:43" x14ac:dyDescent="0.3">
      <c r="A25" s="1502" t="str">
        <f>'ТЕ_2ст_тариф_з ЦТП'!C37</f>
        <v>Виробнича собівартість, зокрема:</v>
      </c>
      <c r="B25" t="str">
        <f>'ТЕ_2ст_тариф_з ЦТП'!D37</f>
        <v>тис. грн</v>
      </c>
      <c r="C25" s="1791">
        <f>'ТЕ_2ст_тариф_з ЦТП'!E37</f>
        <v>149071.37204744888</v>
      </c>
      <c r="D25" s="1791">
        <f>'ТЕ_2ст_тариф_з ЦТП'!F37/D$18</f>
        <v>1056.2760636018256</v>
      </c>
      <c r="E25" s="1791">
        <f>'ТЕ_2ст_тариф_з ЦТП'!G37/E$5*1000/12</f>
        <v>39900.889675572769</v>
      </c>
      <c r="F25" s="68"/>
      <c r="G25" s="68">
        <f>'ТЕ_2ст_тариф_з ЦТП'!I37/G18</f>
        <v>889.12343253867959</v>
      </c>
      <c r="H25" s="68">
        <f>'ТЕ_2ст_тариф_з ЦТП'!J37/H$5*1000/12</f>
        <v>39900.889675577782</v>
      </c>
      <c r="I25" s="1791">
        <f>'ТЕ_2ст_тариф_з ЦТП'!K37</f>
        <v>32.00906058615945</v>
      </c>
      <c r="J25" s="1791">
        <f>'ТЕ_2ст_тариф_з ЦТП'!L37/J$18</f>
        <v>1876.1334419091138</v>
      </c>
      <c r="K25" s="1791">
        <f>'ТЕ_2ст_тариф_з ЦТП'!M37/K$5*1000/12</f>
        <v>39900.889675548191</v>
      </c>
      <c r="L25" s="68">
        <f>'ТЕ_2ст_тариф_з ЦТП'!N37</f>
        <v>30146.023628591429</v>
      </c>
      <c r="M25" s="68">
        <f>'ТЕ_2ст_тариф_з ЦТП'!O37/M$18</f>
        <v>1876.1334419091138</v>
      </c>
      <c r="N25" s="68">
        <f>'ТЕ_2ст_тариф_з ЦТП'!P37/N$5*1000/12</f>
        <v>39900.889675548191</v>
      </c>
      <c r="O25" s="1791">
        <f>'ТЕ_2ст_тариф_з ЦТП'!Q37</f>
        <v>10161.854780295231</v>
      </c>
      <c r="P25" s="1791">
        <f>'ТЕ_2ст_тариф_з ЦТП'!R37/P$18</f>
        <v>1876.133441909114</v>
      </c>
      <c r="Q25" s="1791">
        <f>'ТЕ_2ст_тариф_з ЦТП'!S37/Q$5*1000/12</f>
        <v>39900.889675548176</v>
      </c>
      <c r="R25" s="68"/>
      <c r="S25" s="68"/>
    </row>
    <row r="26" spans="1:43" x14ac:dyDescent="0.3">
      <c r="A26" s="1502" t="str">
        <f>'ТЕ_2ст_тариф_з ЦТП'!C38</f>
        <v>прямі матеріальні витрати, зокрема:</v>
      </c>
      <c r="B26" t="str">
        <f>'ТЕ_2ст_тариф_з ЦТП'!D38</f>
        <v>тис. грн</v>
      </c>
      <c r="C26" s="68">
        <f>'ТЕ_2ст_тариф_з ЦТП'!E38</f>
        <v>125398.03179983835</v>
      </c>
      <c r="D26" s="1791">
        <f>'ТЕ_2ст_тариф_з ЦТП'!F38/D$18</f>
        <v>1056.2760636018256</v>
      </c>
      <c r="E26" s="1791">
        <f>'ТЕ_2ст_тариф_з ЦТП'!G38/E$5*1000/12</f>
        <v>12345.839733709123</v>
      </c>
      <c r="G26" s="1679">
        <f>'ТЕ_2ст_тариф_з ЦТП'!I38/G$18</f>
        <v>889.12343253867959</v>
      </c>
      <c r="H26" s="68">
        <f>'ТЕ_2ст_тариф_з ЦТП'!J38/H$5*1000/12</f>
        <v>12345.839733709254</v>
      </c>
      <c r="I26">
        <f>'ТЕ_2ст_тариф_з ЦТП'!K38-'ТЕ_2ст_тариф_без ЦТП'!K38</f>
        <v>0</v>
      </c>
      <c r="J26" s="1791">
        <f>'ТЕ_2ст_тариф_з ЦТП'!L38/J$18</f>
        <v>1876.1334419091138</v>
      </c>
      <c r="K26" s="1791">
        <f>'ТЕ_2ст_тариф_з ЦТП'!M38/K$5*1000/12</f>
        <v>12345.839733708459</v>
      </c>
      <c r="L26">
        <f>'ТЕ_2ст_тариф_з ЦТП'!N38-'ТЕ_2ст_тариф_без ЦТП'!N38</f>
        <v>0</v>
      </c>
      <c r="M26" s="68">
        <f>'ТЕ_2ст_тариф_з ЦТП'!O38/M$18</f>
        <v>1876.1334419091138</v>
      </c>
      <c r="N26" s="68">
        <f>'ТЕ_2ст_тариф_з ЦТП'!P38/N$5*1000/12</f>
        <v>12345.839733708459</v>
      </c>
      <c r="O26">
        <f>'ТЕ_2ст_тариф_з ЦТП'!Q38-'ТЕ_2ст_тариф_без ЦТП'!Q38</f>
        <v>0</v>
      </c>
      <c r="P26" s="1791">
        <f>'ТЕ_2ст_тариф_з ЦТП'!R38/P$18</f>
        <v>1876.133441909114</v>
      </c>
      <c r="Q26" s="1791">
        <f>'ТЕ_2ст_тариф_з ЦТП'!S38/Q$5*1000/12</f>
        <v>12345.839733708459</v>
      </c>
    </row>
    <row r="27" spans="1:43" x14ac:dyDescent="0.3">
      <c r="A27" s="1502" t="str">
        <f>'ТЕ_2ст_тариф_з ЦТП'!C39</f>
        <v>паливо всього, у т.ч.:</v>
      </c>
      <c r="B27" t="str">
        <f>'ТЕ_2ст_тариф_з ЦТП'!D39</f>
        <v>тис. грн</v>
      </c>
      <c r="C27" s="68">
        <f>'ТЕ_2ст_тариф_з ЦТП'!E39</f>
        <v>118804.36079362931</v>
      </c>
      <c r="D27" s="1791">
        <f>'ТЕ_2ст_тариф_з ЦТП'!F39/D$18</f>
        <v>1001.64232742171</v>
      </c>
      <c r="E27" s="1791">
        <f>'ТЕ_2ст_тариф_з ЦТП'!G39/E$5*1000/12</f>
        <v>11581.902435319133</v>
      </c>
      <c r="G27" s="1679">
        <f>'ТЕ_2ст_тариф_з ЦТП'!I39/G$18</f>
        <v>834.48969635856406</v>
      </c>
      <c r="H27" s="68">
        <f>'ТЕ_2ст_тариф_з ЦТП'!J39/H$5*1000/12</f>
        <v>11581.902435319133</v>
      </c>
      <c r="I27">
        <f>'ТЕ_2ст_тариф_з ЦТП'!K39-'ТЕ_2ст_тариф_без ЦТП'!K39</f>
        <v>0</v>
      </c>
      <c r="J27" s="1791">
        <f>'ТЕ_2ст_тариф_з ЦТП'!L39/J$18</f>
        <v>1821.4997057289984</v>
      </c>
      <c r="K27" s="1791">
        <f>'ТЕ_2ст_тариф_з ЦТП'!M39/K$5*1000/12</f>
        <v>11581.902435319133</v>
      </c>
      <c r="L27">
        <f>'ТЕ_2ст_тариф_з ЦТП'!N39-'ТЕ_2ст_тариф_без ЦТП'!N39</f>
        <v>0</v>
      </c>
      <c r="M27" s="68">
        <f>'ТЕ_2ст_тариф_з ЦТП'!O39/M$18</f>
        <v>1821.4997057289984</v>
      </c>
      <c r="N27" s="68">
        <f>'ТЕ_2ст_тариф_з ЦТП'!P39/N$5*1000/12</f>
        <v>11581.902435319133</v>
      </c>
      <c r="O27">
        <f>'ТЕ_2ст_тариф_з ЦТП'!Q39-'ТЕ_2ст_тариф_без ЦТП'!Q39</f>
        <v>0</v>
      </c>
      <c r="P27" s="1791">
        <f>'ТЕ_2ст_тариф_з ЦТП'!R39/P$18</f>
        <v>1821.4997057289986</v>
      </c>
      <c r="Q27" s="1791">
        <f>'ТЕ_2ст_тариф_з ЦТП'!S39/Q$5*1000/12</f>
        <v>11581.902435319133</v>
      </c>
    </row>
    <row r="28" spans="1:43" x14ac:dyDescent="0.3">
      <c r="A28" s="1502" t="str">
        <f>'ТЕ_2ст_тариф_з ЦТП'!C40</f>
        <v>природний газ</v>
      </c>
      <c r="B28" t="str">
        <f>'ТЕ_2ст_тариф_з ЦТП'!D40</f>
        <v>тис. грн</v>
      </c>
      <c r="C28" s="68">
        <f>'ТЕ_2ст_тариф_з ЦТП'!E40</f>
        <v>106894.19194377559</v>
      </c>
      <c r="D28" s="1791">
        <f>'ТЕ_2ст_тариф_з ЦТП'!F40/D$18</f>
        <v>983.60863122909768</v>
      </c>
      <c r="E28" s="1791">
        <f>'ТЕ_2ст_тариф_з ЦТП'!G40/E$5*1000/12</f>
        <v>0</v>
      </c>
      <c r="G28" s="1679">
        <f>'ТЕ_2ст_тариф_з ЦТП'!I40/G$18</f>
        <v>816.45600016595188</v>
      </c>
      <c r="H28" s="68">
        <f>'ТЕ_2ст_тариф_з ЦТП'!J40/H$5*1000/12</f>
        <v>0</v>
      </c>
      <c r="I28">
        <f>'ТЕ_2ст_тариф_з ЦТП'!K40-'ТЕ_2ст_тариф_без ЦТП'!K40</f>
        <v>0</v>
      </c>
      <c r="J28" s="1791">
        <f>'ТЕ_2ст_тариф_з ЦТП'!L40/J$18</f>
        <v>1803.4660095363861</v>
      </c>
      <c r="K28" s="1791">
        <f>'ТЕ_2ст_тариф_з ЦТП'!M40/K$5*1000/12</f>
        <v>0</v>
      </c>
      <c r="L28">
        <f>'ТЕ_2ст_тариф_з ЦТП'!N40-'ТЕ_2ст_тариф_без ЦТП'!N40</f>
        <v>0</v>
      </c>
      <c r="M28" s="68">
        <f>'ТЕ_2ст_тариф_з ЦТП'!O40/M$18</f>
        <v>1803.4660095363861</v>
      </c>
      <c r="N28" s="68">
        <f>'ТЕ_2ст_тариф_з ЦТП'!P40/N$5*1000/12</f>
        <v>0</v>
      </c>
      <c r="O28">
        <f>'ТЕ_2ст_тариф_з ЦТП'!Q40-'ТЕ_2ст_тариф_без ЦТП'!Q40</f>
        <v>0</v>
      </c>
      <c r="P28" s="1791">
        <f>'ТЕ_2ст_тариф_з ЦТП'!R40/P$18</f>
        <v>1803.4660095363865</v>
      </c>
      <c r="Q28" s="1791">
        <f>'ТЕ_2ст_тариф_з ЦТП'!S40/Q$5*1000/12</f>
        <v>0</v>
      </c>
    </row>
    <row r="29" spans="1:43" x14ac:dyDescent="0.3">
      <c r="A29" s="1502" t="str">
        <f>'ТЕ_2ст_тариф_з ЦТП'!C41</f>
        <v>транспортування природного газу</v>
      </c>
      <c r="B29" t="str">
        <f>'ТЕ_2ст_тариф_з ЦТП'!D41</f>
        <v>тис. грн</v>
      </c>
      <c r="C29" s="68">
        <f>'ТЕ_2ст_тариф_з ЦТП'!E41</f>
        <v>1959.8215398537277</v>
      </c>
      <c r="D29" s="1791">
        <f>'ТЕ_2ст_тариф_з ЦТП'!F41/D$18</f>
        <v>18.03369619261224</v>
      </c>
      <c r="E29" s="1791">
        <f>'ТЕ_2ст_тариф_з ЦТП'!G41/E$5*1000/12</f>
        <v>0</v>
      </c>
      <c r="G29" s="1679">
        <f>'ТЕ_2ст_тариф_з ЦТП'!I41/G$18</f>
        <v>18.033696192612236</v>
      </c>
      <c r="H29" s="68">
        <f>'ТЕ_2ст_тариф_з ЦТП'!J41/H$5*1000/12</f>
        <v>0</v>
      </c>
      <c r="I29">
        <f>'ТЕ_2ст_тариф_з ЦТП'!K41-'ТЕ_2ст_тариф_без ЦТП'!K41</f>
        <v>0</v>
      </c>
      <c r="J29" s="1791">
        <f>'ТЕ_2ст_тариф_з ЦТП'!L41/J$18</f>
        <v>18.033696192612236</v>
      </c>
      <c r="K29" s="1791">
        <f>'ТЕ_2ст_тариф_з ЦТП'!M41/K$5*1000/12</f>
        <v>0</v>
      </c>
      <c r="L29">
        <f>'ТЕ_2ст_тариф_з ЦТП'!N41-'ТЕ_2ст_тариф_без ЦТП'!N41</f>
        <v>0</v>
      </c>
      <c r="M29" s="68">
        <f>'ТЕ_2ст_тариф_з ЦТП'!O41/M$18</f>
        <v>18.033696192612233</v>
      </c>
      <c r="N29" s="68">
        <f>'ТЕ_2ст_тариф_з ЦТП'!P41/N$5*1000/12</f>
        <v>0</v>
      </c>
      <c r="O29">
        <f>'ТЕ_2ст_тариф_з ЦТП'!Q41-'ТЕ_2ст_тариф_без ЦТП'!Q41</f>
        <v>0</v>
      </c>
      <c r="P29" s="1791">
        <f>'ТЕ_2ст_тариф_з ЦТП'!R41/P$18</f>
        <v>18.03369619261224</v>
      </c>
      <c r="Q29" s="1791">
        <f>'ТЕ_2ст_тариф_з ЦТП'!S41/Q$5*1000/12</f>
        <v>0</v>
      </c>
    </row>
    <row r="30" spans="1:43" x14ac:dyDescent="0.3">
      <c r="A30" s="1502" t="str">
        <f>'ТЕ_2ст_тариф_з ЦТП'!C42</f>
        <v>розподіл природного газу</v>
      </c>
      <c r="B30" t="str">
        <f>'ТЕ_2ст_тариф_з ЦТП'!D42</f>
        <v>тис. грн</v>
      </c>
      <c r="C30" s="68">
        <f>'ТЕ_2ст_тариф_з ЦТП'!E42</f>
        <v>9950.3473099999992</v>
      </c>
      <c r="D30" s="1791">
        <f>'ТЕ_2ст_тариф_з ЦТП'!F42/D$18</f>
        <v>0</v>
      </c>
      <c r="E30" s="1791">
        <f>'ТЕ_2ст_тариф_з ЦТП'!G42/E$5*1000/12</f>
        <v>11581.902435319133</v>
      </c>
      <c r="G30" s="1679">
        <f>'ТЕ_2ст_тариф_з ЦТП'!I42/G$18</f>
        <v>0</v>
      </c>
      <c r="H30" s="68">
        <f>'ТЕ_2ст_тариф_з ЦТП'!J42/H$5*1000/12</f>
        <v>11581.902435319133</v>
      </c>
      <c r="I30">
        <f>'ТЕ_2ст_тариф_з ЦТП'!K42-'ТЕ_2ст_тариф_без ЦТП'!K42</f>
        <v>0</v>
      </c>
      <c r="J30" s="1791">
        <f>'ТЕ_2ст_тариф_з ЦТП'!L42/J$18</f>
        <v>0</v>
      </c>
      <c r="K30" s="1791">
        <f>'ТЕ_2ст_тариф_з ЦТП'!M42/K$5*1000/12</f>
        <v>11581.902435319133</v>
      </c>
      <c r="L30">
        <f>'ТЕ_2ст_тариф_з ЦТП'!N42-'ТЕ_2ст_тариф_без ЦТП'!N42</f>
        <v>0</v>
      </c>
      <c r="M30" s="68">
        <f>'ТЕ_2ст_тариф_з ЦТП'!O42/M$18</f>
        <v>0</v>
      </c>
      <c r="N30" s="68">
        <f>'ТЕ_2ст_тариф_з ЦТП'!P42/N$5*1000/12</f>
        <v>11581.902435319133</v>
      </c>
      <c r="O30">
        <f>'ТЕ_2ст_тариф_з ЦТП'!Q42-'ТЕ_2ст_тариф_без ЦТП'!Q42</f>
        <v>0</v>
      </c>
      <c r="P30" s="1791">
        <f>'ТЕ_2ст_тариф_з ЦТП'!R42/P$18</f>
        <v>0</v>
      </c>
      <c r="Q30" s="1791">
        <f>'ТЕ_2ст_тариф_з ЦТП'!S42/Q$5*1000/12</f>
        <v>11581.902435319133</v>
      </c>
    </row>
    <row r="31" spans="1:43" x14ac:dyDescent="0.3">
      <c r="A31" s="1502" t="str">
        <f>'ТЕ_2ст_тариф_з ЦТП'!C43</f>
        <v>електроенергія</v>
      </c>
      <c r="B31" t="str">
        <f>'ТЕ_2ст_тариф_з ЦТП'!D43</f>
        <v>тис. грн</v>
      </c>
      <c r="C31" s="68">
        <f>'ТЕ_2ст_тариф_з ЦТП'!E43</f>
        <v>5937.3503814675587</v>
      </c>
      <c r="D31" s="1791">
        <f>'ТЕ_2ст_тариф_з ЦТП'!F43/D$18</f>
        <v>54.633736180115534</v>
      </c>
      <c r="E31" s="1791">
        <f>'ТЕ_2ст_тариф_з ЦТП'!G43/E$5*1000/12</f>
        <v>0</v>
      </c>
      <c r="G31" s="1679">
        <f>'ТЕ_2ст_тариф_з ЦТП'!I43/G$18</f>
        <v>54.633736180115534</v>
      </c>
      <c r="H31" s="68">
        <f>'ТЕ_2ст_тариф_з ЦТП'!J43/H$5*1000/12</f>
        <v>0</v>
      </c>
      <c r="I31">
        <f>'ТЕ_2ст_тариф_з ЦТП'!K43-'ТЕ_2ст_тариф_без ЦТП'!K43</f>
        <v>0</v>
      </c>
      <c r="J31" s="1791">
        <f>'ТЕ_2ст_тариф_з ЦТП'!L43/J$18</f>
        <v>54.633736180115527</v>
      </c>
      <c r="K31" s="1791">
        <f>'ТЕ_2ст_тариф_з ЦТП'!M43/K$5*1000/12</f>
        <v>0</v>
      </c>
      <c r="L31">
        <f>'ТЕ_2ст_тариф_з ЦТП'!N43-'ТЕ_2ст_тариф_без ЦТП'!N43</f>
        <v>0</v>
      </c>
      <c r="M31" s="68">
        <f>'ТЕ_2ст_тариф_з ЦТП'!O43/M$18</f>
        <v>54.633736180115527</v>
      </c>
      <c r="N31" s="68">
        <f>'ТЕ_2ст_тариф_з ЦТП'!P43/N$5*1000/12</f>
        <v>0</v>
      </c>
      <c r="O31">
        <f>'ТЕ_2ст_тариф_з ЦТП'!Q43-'ТЕ_2ст_тариф_без ЦТП'!Q43</f>
        <v>0</v>
      </c>
      <c r="P31" s="1791">
        <f>'ТЕ_2ст_тариф_з ЦТП'!R43/P$18</f>
        <v>54.633736180115534</v>
      </c>
      <c r="Q31" s="1791">
        <f>'ТЕ_2ст_тариф_з ЦТП'!S43/Q$5*1000/12</f>
        <v>0</v>
      </c>
    </row>
    <row r="32" spans="1:43" ht="115.2" x14ac:dyDescent="0.3">
      <c r="A32" s="1502" t="str">
        <f>'ТЕ_2ст_тариф_з ЦТП'!C44</f>
        <v>покупна теплова енергія та/або встановлена повна планована собівартість теплової енергії, виробленої  власними ТЕЦ, ТЕС, АЕС, КГУ та/або встановлена повна планована вартість теплової енергії, виробленої власними установками, що використовують НПДЕ</v>
      </c>
      <c r="B32" t="str">
        <f>'ТЕ_2ст_тариф_з ЦТП'!D44</f>
        <v>тис. грн</v>
      </c>
      <c r="C32" s="68">
        <f>'ТЕ_2ст_тариф_з ЦТП'!E44</f>
        <v>0</v>
      </c>
      <c r="D32">
        <f>'ТЕ_2ст_тариф_з ЦТП'!F44-'ТЕ_2ст_тариф_без ЦТП'!F44</f>
        <v>0</v>
      </c>
      <c r="E32" s="1791">
        <f>'ТЕ_2ст_тариф_з ЦТП'!G44/E$5*1000/12</f>
        <v>0</v>
      </c>
      <c r="G32">
        <f>'ТЕ_2ст_тариф_з ЦТП'!I44-'ТЕ_2ст_тариф_без ЦТП'!I44</f>
        <v>0</v>
      </c>
      <c r="H32" s="68">
        <f>'ТЕ_2ст_тариф_з ЦТП'!J44/H$5*1000/12</f>
        <v>0</v>
      </c>
      <c r="I32">
        <f>'ТЕ_2ст_тариф_з ЦТП'!K44-'ТЕ_2ст_тариф_без ЦТП'!K44</f>
        <v>0</v>
      </c>
      <c r="J32">
        <f>'ТЕ_2ст_тариф_з ЦТП'!L44-'ТЕ_2ст_тариф_без ЦТП'!L44</f>
        <v>0</v>
      </c>
      <c r="K32" s="1791">
        <f>'ТЕ_2ст_тариф_з ЦТП'!M44/K$5*1000/12</f>
        <v>0</v>
      </c>
      <c r="L32">
        <f>'ТЕ_2ст_тариф_з ЦТП'!N44-'ТЕ_2ст_тариф_без ЦТП'!N44</f>
        <v>0</v>
      </c>
      <c r="M32">
        <f>'ТЕ_2ст_тариф_з ЦТП'!O44-'ТЕ_2ст_тариф_без ЦТП'!O44</f>
        <v>0</v>
      </c>
      <c r="N32" s="68">
        <f>'ТЕ_2ст_тариф_з ЦТП'!P44/N$5*1000/12</f>
        <v>0</v>
      </c>
      <c r="O32">
        <f>'ТЕ_2ст_тариф_з ЦТП'!Q44-'ТЕ_2ст_тариф_без ЦТП'!Q44</f>
        <v>0</v>
      </c>
      <c r="P32">
        <f>'ТЕ_2ст_тариф_з ЦТП'!R44-'ТЕ_2ст_тариф_без ЦТП'!R44</f>
        <v>0</v>
      </c>
      <c r="Q32" s="1791">
        <f>'ТЕ_2ст_тариф_з ЦТП'!S44/Q$5*1000/12</f>
        <v>0</v>
      </c>
    </row>
    <row r="33" spans="1:17" x14ac:dyDescent="0.3">
      <c r="A33" s="1502" t="str">
        <f>'ТЕ_2ст_тариф_з ЦТП'!C45</f>
        <v>покупна теплова енергія</v>
      </c>
      <c r="B33" t="str">
        <f>'ТЕ_2ст_тариф_з ЦТП'!D45</f>
        <v>тис. грн</v>
      </c>
      <c r="C33" s="68">
        <f>'ТЕ_2ст_тариф_з ЦТП'!E45</f>
        <v>0</v>
      </c>
      <c r="D33">
        <f>'ТЕ_2ст_тариф_з ЦТП'!F45-'ТЕ_2ст_тариф_без ЦТП'!F45</f>
        <v>0</v>
      </c>
      <c r="E33" s="1791">
        <f>'ТЕ_2ст_тариф_з ЦТП'!G45/E$5*1000/12</f>
        <v>0</v>
      </c>
      <c r="G33">
        <f>'ТЕ_2ст_тариф_з ЦТП'!I45-'ТЕ_2ст_тариф_без ЦТП'!I45</f>
        <v>0</v>
      </c>
      <c r="H33" s="68">
        <f>'ТЕ_2ст_тариф_з ЦТП'!J45/H$5*1000/12</f>
        <v>0</v>
      </c>
      <c r="I33">
        <f>'ТЕ_2ст_тариф_з ЦТП'!K45-'ТЕ_2ст_тариф_без ЦТП'!K45</f>
        <v>0</v>
      </c>
      <c r="J33">
        <f>'ТЕ_2ст_тариф_з ЦТП'!L45-'ТЕ_2ст_тариф_без ЦТП'!L45</f>
        <v>0</v>
      </c>
      <c r="K33" s="1791">
        <f>'ТЕ_2ст_тариф_з ЦТП'!M45/K$5*1000/12</f>
        <v>0</v>
      </c>
      <c r="L33">
        <f>'ТЕ_2ст_тариф_з ЦТП'!N45-'ТЕ_2ст_тариф_без ЦТП'!N45</f>
        <v>0</v>
      </c>
      <c r="M33">
        <f>'ТЕ_2ст_тариф_з ЦТП'!O45-'ТЕ_2ст_тариф_без ЦТП'!O45</f>
        <v>0</v>
      </c>
      <c r="N33" s="68">
        <f>'ТЕ_2ст_тариф_з ЦТП'!P45/N$5*1000/12</f>
        <v>0</v>
      </c>
      <c r="O33">
        <f>'ТЕ_2ст_тариф_з ЦТП'!Q45-'ТЕ_2ст_тариф_без ЦТП'!Q45</f>
        <v>0</v>
      </c>
      <c r="P33">
        <f>'ТЕ_2ст_тариф_з ЦТП'!R45-'ТЕ_2ст_тариф_без ЦТП'!R45</f>
        <v>0</v>
      </c>
      <c r="Q33" s="1791">
        <f>'ТЕ_2ст_тариф_з ЦТП'!S45/Q$5*1000/12</f>
        <v>0</v>
      </c>
    </row>
    <row r="34" spans="1:17" ht="57.6" x14ac:dyDescent="0.3">
      <c r="A34" s="1502" t="str">
        <f>'ТЕ_2ст_тариф_з ЦТП'!C46</f>
        <v>встановлена повна планована вартість теплової енергії, виробленої власними установками, що використовують НПДЕ</v>
      </c>
      <c r="B34" t="str">
        <f>'ТЕ_2ст_тариф_з ЦТП'!D46</f>
        <v>тис. грн</v>
      </c>
      <c r="C34" s="68">
        <f>'ТЕ_2ст_тариф_з ЦТП'!E46</f>
        <v>0</v>
      </c>
      <c r="D34">
        <f>'ТЕ_2ст_тариф_з ЦТП'!F46-'ТЕ_2ст_тариф_без ЦТП'!F46</f>
        <v>0</v>
      </c>
      <c r="E34" s="1791">
        <f>'ТЕ_2ст_тариф_з ЦТП'!G46/E$5*1000/12</f>
        <v>0</v>
      </c>
      <c r="G34">
        <f>'ТЕ_2ст_тариф_з ЦТП'!I46-'ТЕ_2ст_тариф_без ЦТП'!I46</f>
        <v>0</v>
      </c>
      <c r="H34" s="68">
        <f>'ТЕ_2ст_тариф_з ЦТП'!J46/H$5*1000/12</f>
        <v>0</v>
      </c>
      <c r="I34">
        <f>'ТЕ_2ст_тариф_з ЦТП'!K46-'ТЕ_2ст_тариф_без ЦТП'!K46</f>
        <v>0</v>
      </c>
      <c r="J34">
        <f>'ТЕ_2ст_тариф_з ЦТП'!L46-'ТЕ_2ст_тариф_без ЦТП'!L46</f>
        <v>0</v>
      </c>
      <c r="K34" s="1791">
        <f>'ТЕ_2ст_тариф_з ЦТП'!M46/K$5*1000/12</f>
        <v>0</v>
      </c>
      <c r="L34">
        <f>'ТЕ_2ст_тариф_з ЦТП'!N46-'ТЕ_2ст_тариф_без ЦТП'!N46</f>
        <v>0</v>
      </c>
      <c r="M34">
        <f>'ТЕ_2ст_тариф_з ЦТП'!O46-'ТЕ_2ст_тариф_без ЦТП'!O46</f>
        <v>0</v>
      </c>
      <c r="N34" s="68">
        <f>'ТЕ_2ст_тариф_з ЦТП'!P46/N$5*1000/12</f>
        <v>0</v>
      </c>
      <c r="O34">
        <f>'ТЕ_2ст_тариф_з ЦТП'!Q46-'ТЕ_2ст_тариф_без ЦТП'!Q46</f>
        <v>0</v>
      </c>
      <c r="P34">
        <f>'ТЕ_2ст_тариф_з ЦТП'!R46-'ТЕ_2ст_тариф_без ЦТП'!R46</f>
        <v>0</v>
      </c>
      <c r="Q34" s="1791">
        <f>'ТЕ_2ст_тариф_з ЦТП'!S46/Q$5*1000/12</f>
        <v>0</v>
      </c>
    </row>
    <row r="35" spans="1:17" ht="28.8" x14ac:dyDescent="0.3">
      <c r="A35" s="1502" t="str">
        <f>'ТЕ_2ст_тариф_з ЦТП'!C47</f>
        <v>холодна вода для технологічних потреб та водовідведення</v>
      </c>
      <c r="B35" t="str">
        <f>'ТЕ_2ст_тариф_з ЦТП'!D47</f>
        <v>тис. грн</v>
      </c>
      <c r="C35" s="68">
        <f>'ТЕ_2ст_тариф_з ЦТП'!E47</f>
        <v>33.313922123945588</v>
      </c>
      <c r="D35">
        <f>'ТЕ_2ст_тариф_з ЦТП'!F47-'ТЕ_2ст_тариф_без ЦТП'!F47</f>
        <v>0</v>
      </c>
      <c r="E35" s="1791">
        <f>'ТЕ_2ст_тариф_з ЦТП'!G47/E$5*1000/12</f>
        <v>38.776394808811688</v>
      </c>
      <c r="G35">
        <f>'ТЕ_2ст_тариф_з ЦТП'!I47-'ТЕ_2ст_тариф_без ЦТП'!I47</f>
        <v>0</v>
      </c>
      <c r="H35" s="68">
        <f>'ТЕ_2ст_тариф_з ЦТП'!J47/H$5*1000/12</f>
        <v>38.776394808818559</v>
      </c>
      <c r="I35">
        <f>'ТЕ_2ст_тариф_з ЦТП'!K47-'ТЕ_2ст_тариф_без ЦТП'!K47</f>
        <v>0</v>
      </c>
      <c r="J35">
        <f>'ТЕ_2ст_тариф_з ЦТП'!L47-'ТЕ_2ст_тариф_без ЦТП'!L47</f>
        <v>0</v>
      </c>
      <c r="K35" s="1791">
        <f>'ТЕ_2ст_тариф_з ЦТП'!M47/K$5*1000/12</f>
        <v>38.776394808778043</v>
      </c>
      <c r="L35">
        <f>'ТЕ_2ст_тариф_з ЦТП'!N47-'ТЕ_2ст_тариф_без ЦТП'!N47</f>
        <v>0</v>
      </c>
      <c r="M35">
        <f>'ТЕ_2ст_тариф_з ЦТП'!O47-'ТЕ_2ст_тариф_без ЦТП'!O47</f>
        <v>0</v>
      </c>
      <c r="N35" s="68">
        <f>'ТЕ_2ст_тариф_з ЦТП'!P47/N$5*1000/12</f>
        <v>38.776394808778036</v>
      </c>
      <c r="O35">
        <f>'ТЕ_2ст_тариф_з ЦТП'!Q47-'ТЕ_2ст_тариф_без ЦТП'!Q47</f>
        <v>0</v>
      </c>
      <c r="P35">
        <f>'ТЕ_2ст_тариф_з ЦТП'!R47-'ТЕ_2ст_тариф_без ЦТП'!R47</f>
        <v>0</v>
      </c>
      <c r="Q35" s="1791">
        <f>'ТЕ_2ст_тариф_з ЦТП'!S47/Q$5*1000/12</f>
        <v>38.776394808778029</v>
      </c>
    </row>
    <row r="36" spans="1:17" x14ac:dyDescent="0.3">
      <c r="A36" s="1502" t="str">
        <f>'ТЕ_2ст_тариф_з ЦТП'!C48</f>
        <v>інші прямі матеріальні витрати</v>
      </c>
      <c r="B36" t="str">
        <f>'ТЕ_2ст_тариф_з ЦТП'!D48</f>
        <v>тис. грн</v>
      </c>
      <c r="C36" s="68">
        <f>'ТЕ_2ст_тариф_з ЦТП'!E48</f>
        <v>623.00670261753226</v>
      </c>
      <c r="D36">
        <f>'ТЕ_2ст_тариф_з ЦТП'!F48-'ТЕ_2ст_тариф_без ЦТП'!F48</f>
        <v>0</v>
      </c>
      <c r="E36" s="1791">
        <f>'ТЕ_2ст_тариф_з ЦТП'!G48/E$5*1000/12</f>
        <v>725.16090358117754</v>
      </c>
      <c r="G36">
        <f>'ТЕ_2ст_тариф_з ЦТП'!I48-'ТЕ_2ст_тариф_без ЦТП'!I48</f>
        <v>0</v>
      </c>
      <c r="H36" s="68">
        <f>'ТЕ_2ст_тариф_з ЦТП'!J48/H$5*1000/12</f>
        <v>725.16090358130612</v>
      </c>
      <c r="I36">
        <f>'ТЕ_2ст_тариф_з ЦТП'!K48-'ТЕ_2ст_тариф_без ЦТП'!K48</f>
        <v>0</v>
      </c>
      <c r="J36">
        <f>'ТЕ_2ст_тариф_з ЦТП'!L48-'ТЕ_2ст_тариф_без ЦТП'!L48</f>
        <v>0</v>
      </c>
      <c r="K36" s="1791">
        <f>'ТЕ_2ст_тариф_з ЦТП'!M48/K$5*1000/12</f>
        <v>725.16090358054828</v>
      </c>
      <c r="L36">
        <f>'ТЕ_2ст_тариф_з ЦТП'!N48-'ТЕ_2ст_тариф_без ЦТП'!N48</f>
        <v>0</v>
      </c>
      <c r="M36">
        <f>'ТЕ_2ст_тариф_з ЦТП'!O48-'ТЕ_2ст_тариф_без ЦТП'!O48</f>
        <v>0</v>
      </c>
      <c r="N36" s="68">
        <f>'ТЕ_2ст_тариф_з ЦТП'!P48/N$5*1000/12</f>
        <v>725.16090358054851</v>
      </c>
      <c r="O36">
        <f>'ТЕ_2ст_тариф_з ЦТП'!Q48-'ТЕ_2ст_тариф_без ЦТП'!Q48</f>
        <v>0</v>
      </c>
      <c r="P36">
        <f>'ТЕ_2ст_тариф_з ЦТП'!R48-'ТЕ_2ст_тариф_без ЦТП'!R48</f>
        <v>0</v>
      </c>
      <c r="Q36" s="1791">
        <f>'ТЕ_2ст_тариф_з ЦТП'!S48/Q$5*1000/12</f>
        <v>725.16090358054817</v>
      </c>
    </row>
    <row r="37" spans="1:17" x14ac:dyDescent="0.3">
      <c r="A37" s="1502" t="str">
        <f>'ТЕ_2ст_тариф_з ЦТП'!C49</f>
        <v>прямі витрати на оплату праці</v>
      </c>
      <c r="B37" t="str">
        <f>'ТЕ_2ст_тариф_з ЦТП'!D49</f>
        <v>тис. грн</v>
      </c>
      <c r="C37" s="68">
        <f>'ТЕ_2ст_тариф_з ЦТП'!E49</f>
        <v>11228.939355305938</v>
      </c>
      <c r="D37">
        <f>'ТЕ_2ст_тариф_з ЦТП'!F49-'ТЕ_2ст_тариф_без ЦТП'!F49</f>
        <v>0</v>
      </c>
      <c r="E37" s="1791">
        <f>'ТЕ_2ст_тариф_з ЦТП'!G49/E$5*1000/12</f>
        <v>13070.144791284545</v>
      </c>
      <c r="G37">
        <f>'ТЕ_2ст_тариф_з ЦТП'!I49-'ТЕ_2ст_тариф_без ЦТП'!I49</f>
        <v>0</v>
      </c>
      <c r="H37" s="68">
        <f>'ТЕ_2ст_тариф_з ЦТП'!J49/H$5*1000/12</f>
        <v>13070.144791286863</v>
      </c>
      <c r="I37">
        <f>'ТЕ_2ст_тариф_з ЦТП'!K49-'ТЕ_2ст_тариф_без ЦТП'!K49</f>
        <v>0</v>
      </c>
      <c r="J37">
        <f>'ТЕ_2ст_тариф_з ЦТП'!L49-'ТЕ_2ст_тариф_без ЦТП'!L49</f>
        <v>0</v>
      </c>
      <c r="K37" s="1791">
        <f>'ТЕ_2ст_тариф_з ЦТП'!M49/K$5*1000/12</f>
        <v>13070.144791273206</v>
      </c>
      <c r="L37">
        <f>'ТЕ_2ст_тариф_з ЦТП'!N49-'ТЕ_2ст_тариф_без ЦТП'!N49</f>
        <v>0</v>
      </c>
      <c r="M37">
        <f>'ТЕ_2ст_тариф_з ЦТП'!O49-'ТЕ_2ст_тариф_без ЦТП'!O49</f>
        <v>0</v>
      </c>
      <c r="N37" s="68">
        <f>'ТЕ_2ст_тариф_з ЦТП'!P49/N$5*1000/12</f>
        <v>13070.144791273204</v>
      </c>
      <c r="O37">
        <f>'ТЕ_2ст_тариф_з ЦТП'!Q49-'ТЕ_2ст_тариф_без ЦТП'!Q49</f>
        <v>0</v>
      </c>
      <c r="P37">
        <f>'ТЕ_2ст_тариф_з ЦТП'!R49-'ТЕ_2ст_тариф_без ЦТП'!R49</f>
        <v>0</v>
      </c>
      <c r="Q37" s="1791">
        <f>'ТЕ_2ст_тариф_з ЦТП'!S49/Q$5*1000/12</f>
        <v>13070.144791273204</v>
      </c>
    </row>
    <row r="38" spans="1:17" x14ac:dyDescent="0.3">
      <c r="A38" s="1502" t="str">
        <f>'ТЕ_2ст_тариф_з ЦТП'!C50</f>
        <v>інші прямі витрати, зокрема:</v>
      </c>
      <c r="B38" t="str">
        <f>'ТЕ_2ст_тариф_з ЦТП'!D50</f>
        <v>тис. грн</v>
      </c>
      <c r="C38" s="68">
        <f>'ТЕ_2ст_тариф_з ЦТП'!E50</f>
        <v>7233.6473506343445</v>
      </c>
      <c r="D38">
        <f>'ТЕ_2ст_тариф_з ЦТП'!F50-'ТЕ_2ст_тариф_без ЦТП'!F50</f>
        <v>0</v>
      </c>
      <c r="E38" s="1791">
        <f>'ТЕ_2ст_тариф_з ЦТП'!G50/E$5*1000/12</f>
        <v>8419.7460909082274</v>
      </c>
      <c r="G38">
        <f>'ТЕ_2ст_тариф_з ЦТП'!I50-'ТЕ_2ст_тариф_без ЦТП'!I50</f>
        <v>0</v>
      </c>
      <c r="H38" s="68">
        <f>'ТЕ_2ст_тариф_з ЦТП'!J50/H$5*1000/12</f>
        <v>8419.746090909719</v>
      </c>
      <c r="I38">
        <f>'ТЕ_2ст_тариф_з ЦТП'!K50-'ТЕ_2ст_тариф_без ЦТП'!K50</f>
        <v>0</v>
      </c>
      <c r="J38">
        <f>'ТЕ_2ст_тариф_з ЦТП'!L50-'ТЕ_2ст_тариф_без ЦТП'!L50</f>
        <v>0</v>
      </c>
      <c r="K38" s="1791">
        <f>'ТЕ_2ст_тариф_з ЦТП'!M50/K$5*1000/12</f>
        <v>8419.7460909009205</v>
      </c>
      <c r="L38">
        <f>'ТЕ_2ст_тариф_з ЦТП'!N50-'ТЕ_2ст_тариф_без ЦТП'!N50</f>
        <v>0</v>
      </c>
      <c r="M38">
        <f>'ТЕ_2ст_тариф_з ЦТП'!O50-'ТЕ_2ст_тариф_без ЦТП'!O50</f>
        <v>0</v>
      </c>
      <c r="N38" s="68">
        <f>'ТЕ_2ст_тариф_з ЦТП'!P50/N$5*1000/12</f>
        <v>8419.7460909009224</v>
      </c>
      <c r="O38">
        <f>'ТЕ_2ст_тариф_з ЦТП'!Q50-'ТЕ_2ст_тариф_без ЦТП'!Q50</f>
        <v>0</v>
      </c>
      <c r="P38">
        <f>'ТЕ_2ст_тариф_з ЦТП'!R50-'ТЕ_2ст_тариф_без ЦТП'!R50</f>
        <v>0</v>
      </c>
      <c r="Q38" s="1791">
        <f>'ТЕ_2ст_тариф_з ЦТП'!S50/Q$5*1000/12</f>
        <v>8419.7460909009187</v>
      </c>
    </row>
    <row r="39" spans="1:17" ht="43.2" x14ac:dyDescent="0.3">
      <c r="A39" s="1502" t="str">
        <f>'ТЕ_2ст_тариф_з ЦТП'!C51</f>
        <v>єдиний внесок на загальнообов’язкове державне соціальне страхування працівників</v>
      </c>
      <c r="B39" t="str">
        <f>'ТЕ_2ст_тариф_з ЦТП'!D51</f>
        <v>тис. грн</v>
      </c>
      <c r="C39" s="68">
        <f>'ТЕ_2ст_тариф_з ЦТП'!E51</f>
        <v>2470.366658167306</v>
      </c>
      <c r="D39">
        <f>'ТЕ_2ст_тариф_з ЦТП'!F51-'ТЕ_2ст_тариф_без ЦТП'!F51</f>
        <v>0</v>
      </c>
      <c r="E39" s="1791">
        <f>'ТЕ_2ст_тариф_з ЦТП'!G51/E$5*1000/12</f>
        <v>2875.4318540825993</v>
      </c>
      <c r="G39">
        <f>'ТЕ_2ст_тариф_з ЦТП'!I51-'ТЕ_2ст_тариф_без ЦТП'!I51</f>
        <v>0</v>
      </c>
      <c r="H39" s="68">
        <f>'ТЕ_2ст_тариф_з ЦТП'!J51/H$5*1000/12</f>
        <v>2875.4318540831096</v>
      </c>
      <c r="I39">
        <f>'ТЕ_2ст_тариф_з ЦТП'!K51-'ТЕ_2ст_тариф_без ЦТП'!K51</f>
        <v>0</v>
      </c>
      <c r="J39">
        <f>'ТЕ_2ст_тариф_з ЦТП'!L51-'ТЕ_2ст_тариф_без ЦТП'!L51</f>
        <v>0</v>
      </c>
      <c r="K39" s="1791">
        <f>'ТЕ_2ст_тариф_з ЦТП'!M51/K$5*1000/12</f>
        <v>2875.4318540801046</v>
      </c>
      <c r="L39">
        <f>'ТЕ_2ст_тариф_з ЦТП'!N51-'ТЕ_2ст_тариф_без ЦТП'!N51</f>
        <v>0</v>
      </c>
      <c r="M39">
        <f>'ТЕ_2ст_тариф_з ЦТП'!O51-'ТЕ_2ст_тариф_без ЦТП'!O51</f>
        <v>0</v>
      </c>
      <c r="N39" s="68">
        <f>'ТЕ_2ст_тариф_з ЦТП'!P51/N$5*1000/12</f>
        <v>2875.4318540801046</v>
      </c>
      <c r="O39">
        <f>'ТЕ_2ст_тариф_з ЦТП'!Q51-'ТЕ_2ст_тариф_без ЦТП'!Q51</f>
        <v>0</v>
      </c>
      <c r="P39">
        <f>'ТЕ_2ст_тариф_з ЦТП'!R51-'ТЕ_2ст_тариф_без ЦТП'!R51</f>
        <v>0</v>
      </c>
      <c r="Q39" s="1791">
        <f>'ТЕ_2ст_тариф_з ЦТП'!S51/Q$5*1000/12</f>
        <v>2875.4318540801037</v>
      </c>
    </row>
    <row r="40" spans="1:17" x14ac:dyDescent="0.3">
      <c r="A40" s="1502" t="str">
        <f>'ТЕ_2ст_тариф_з ЦТП'!C52</f>
        <v xml:space="preserve"> амортизація</v>
      </c>
      <c r="B40" t="str">
        <f>'ТЕ_2ст_тариф_з ЦТП'!D52</f>
        <v>тис. грн</v>
      </c>
      <c r="C40" s="68">
        <f>'ТЕ_2ст_тариф_з ЦТП'!E52</f>
        <v>2122.9628600000001</v>
      </c>
      <c r="D40">
        <f>'ТЕ_2ст_тариф_з ЦТП'!F52-'ТЕ_2ст_тариф_без ЦТП'!F52</f>
        <v>0</v>
      </c>
      <c r="E40" s="1791">
        <f>'ТЕ_2ст_тариф_з ЦТП'!G52/E$5*1000/12</f>
        <v>2471.0643711516909</v>
      </c>
      <c r="G40">
        <f>'ТЕ_2ст_тариф_з ЦТП'!I52-'ТЕ_2ст_тариф_без ЦТП'!I52</f>
        <v>0</v>
      </c>
      <c r="H40" s="68">
        <f>'ТЕ_2ст_тариф_з ЦТП'!J52/H$5*1000/12</f>
        <v>2471.0643711521288</v>
      </c>
      <c r="I40">
        <f>'ТЕ_2ст_тариф_з ЦТП'!K52-'ТЕ_2ст_тариф_без ЦТП'!K52</f>
        <v>0</v>
      </c>
      <c r="J40">
        <f>'ТЕ_2ст_тариф_з ЦТП'!L52-'ТЕ_2ст_тариф_без ЦТП'!L52</f>
        <v>0</v>
      </c>
      <c r="K40" s="1791">
        <f>'ТЕ_2ст_тариф_з ЦТП'!M52/K$5*1000/12</f>
        <v>2471.0643711495463</v>
      </c>
      <c r="L40">
        <f>'ТЕ_2ст_тариф_з ЦТП'!N52-'ТЕ_2ст_тариф_без ЦТП'!N52</f>
        <v>0</v>
      </c>
      <c r="M40">
        <f>'ТЕ_2ст_тариф_з ЦТП'!O52-'ТЕ_2ст_тариф_без ЦТП'!O52</f>
        <v>0</v>
      </c>
      <c r="N40" s="68">
        <f>'ТЕ_2ст_тариф_з ЦТП'!P52/N$5*1000/12</f>
        <v>2471.0643711495468</v>
      </c>
      <c r="O40">
        <f>'ТЕ_2ст_тариф_з ЦТП'!Q52-'ТЕ_2ст_тариф_без ЦТП'!Q52</f>
        <v>0</v>
      </c>
      <c r="P40">
        <f>'ТЕ_2ст_тариф_з ЦТП'!R52-'ТЕ_2ст_тариф_без ЦТП'!R52</f>
        <v>0</v>
      </c>
      <c r="Q40" s="1791">
        <f>'ТЕ_2ст_тариф_з ЦТП'!S52/Q$5*1000/12</f>
        <v>2471.0643711495463</v>
      </c>
    </row>
    <row r="41" spans="1:17" x14ac:dyDescent="0.3">
      <c r="A41" s="1502" t="str">
        <f>'ТЕ_2ст_тариф_з ЦТП'!C53</f>
        <v xml:space="preserve"> інші прямі витрати</v>
      </c>
      <c r="B41" t="str">
        <f>'ТЕ_2ст_тариф_з ЦТП'!D53</f>
        <v>тис. грн</v>
      </c>
      <c r="C41" s="68">
        <f>'ТЕ_2ст_тариф_з ЦТП'!E53</f>
        <v>2640.3178324670394</v>
      </c>
      <c r="D41">
        <f>'ТЕ_2ст_тариф_з ЦТП'!F53-'ТЕ_2ст_тариф_без ЦТП'!F53</f>
        <v>0</v>
      </c>
      <c r="E41" s="1791">
        <f>'ТЕ_2ст_тариф_з ЦТП'!G53/E$5*1000/12</f>
        <v>3073.2498656739385</v>
      </c>
      <c r="G41">
        <f>'ТЕ_2ст_тариф_з ЦТП'!I53-'ТЕ_2ст_тариф_без ЦТП'!I53</f>
        <v>0</v>
      </c>
      <c r="H41" s="68">
        <f>'ТЕ_2ст_тариф_з ЦТП'!J53/H$5*1000/12</f>
        <v>3073.2498656744833</v>
      </c>
      <c r="I41">
        <f>'ТЕ_2ст_тариф_з ЦТП'!K53-'ТЕ_2ст_тариф_без ЦТП'!K53</f>
        <v>0</v>
      </c>
      <c r="J41">
        <f>'ТЕ_2ст_тариф_з ЦТП'!L53-'ТЕ_2ст_тариф_без ЦТП'!L53</f>
        <v>0</v>
      </c>
      <c r="K41" s="1791">
        <f>'ТЕ_2ст_тариф_з ЦТП'!M53/K$5*1000/12</f>
        <v>3073.2498656712719</v>
      </c>
      <c r="L41">
        <f>'ТЕ_2ст_тариф_з ЦТП'!N53-'ТЕ_2ст_тариф_без ЦТП'!N53</f>
        <v>0</v>
      </c>
      <c r="M41">
        <f>'ТЕ_2ст_тариф_з ЦТП'!O53-'ТЕ_2ст_тариф_без ЦТП'!O53</f>
        <v>0</v>
      </c>
      <c r="N41" s="68">
        <f>'ТЕ_2ст_тариф_з ЦТП'!P53/N$5*1000/12</f>
        <v>3073.2498656712719</v>
      </c>
      <c r="O41">
        <f>'ТЕ_2ст_тариф_з ЦТП'!Q53-'ТЕ_2ст_тариф_без ЦТП'!Q53</f>
        <v>0</v>
      </c>
      <c r="P41">
        <f>'ТЕ_2ст_тариф_з ЦТП'!R53-'ТЕ_2ст_тариф_без ЦТП'!R53</f>
        <v>0</v>
      </c>
      <c r="Q41" s="1791">
        <f>'ТЕ_2ст_тариф_з ЦТП'!S53/Q$5*1000/12</f>
        <v>3073.249865671271</v>
      </c>
    </row>
    <row r="42" spans="1:17" x14ac:dyDescent="0.3">
      <c r="A42" s="1502" t="str">
        <f>'ТЕ_2ст_тариф_з ЦТП'!C54</f>
        <v>загальновиробничі витрати, зокрема:</v>
      </c>
      <c r="B42" t="str">
        <f>'ТЕ_2ст_тариф_з ЦТП'!D54</f>
        <v>тис. грн</v>
      </c>
      <c r="C42" s="68">
        <f>'ТЕ_2ст_тариф_з ЦТП'!E54</f>
        <v>5210.7535416702249</v>
      </c>
      <c r="D42">
        <f>'ТЕ_2ст_тариф_з ЦТП'!F54-'ТЕ_2ст_тариф_без ЦТП'!F54</f>
        <v>0</v>
      </c>
      <c r="E42" s="1791">
        <f>'ТЕ_2ст_тариф_з ЦТП'!G54/E$5*1000/12</f>
        <v>6065.1590596708702</v>
      </c>
      <c r="G42">
        <f>'ТЕ_2ст_тариф_з ЦТП'!I54-'ТЕ_2ст_тариф_без ЦТП'!I54</f>
        <v>0</v>
      </c>
      <c r="H42" s="68">
        <f>'ТЕ_2ст_тариф_з ЦТП'!J54/H$5*1000/12</f>
        <v>6065.1590596719434</v>
      </c>
      <c r="I42">
        <f>'ТЕ_2ст_тариф_з ЦТП'!K54-'ТЕ_2ст_тариф_без ЦТП'!K54</f>
        <v>0</v>
      </c>
      <c r="J42">
        <f>'ТЕ_2ст_тариф_з ЦТП'!L54-'ТЕ_2ст_тариф_без ЦТП'!L54</f>
        <v>0</v>
      </c>
      <c r="K42" s="1791">
        <f>'ТЕ_2ст_тариф_з ЦТП'!M54/K$5*1000/12</f>
        <v>6065.1590596656069</v>
      </c>
      <c r="L42">
        <f>'ТЕ_2ст_тариф_з ЦТП'!N54-'ТЕ_2ст_тариф_без ЦТП'!N54</f>
        <v>0</v>
      </c>
      <c r="M42">
        <f>'ТЕ_2ст_тариф_з ЦТП'!O54-'ТЕ_2ст_тариф_без ЦТП'!O54</f>
        <v>0</v>
      </c>
      <c r="N42" s="68">
        <f>'ТЕ_2ст_тариф_з ЦТП'!P54/N$5*1000/12</f>
        <v>6065.1590596656069</v>
      </c>
      <c r="O42">
        <f>'ТЕ_2ст_тариф_з ЦТП'!Q54-'ТЕ_2ст_тариф_без ЦТП'!Q54</f>
        <v>0</v>
      </c>
      <c r="P42">
        <f>'ТЕ_2ст_тариф_з ЦТП'!R54-'ТЕ_2ст_тариф_без ЦТП'!R54</f>
        <v>0</v>
      </c>
      <c r="Q42" s="1791">
        <f>'ТЕ_2ст_тариф_з ЦТП'!S54/Q$5*1000/12</f>
        <v>6065.159059665606</v>
      </c>
    </row>
    <row r="43" spans="1:17" x14ac:dyDescent="0.3">
      <c r="A43" s="1502" t="str">
        <f>'ТЕ_2ст_тариф_з ЦТП'!C55</f>
        <v>витрати на оплату праці</v>
      </c>
      <c r="B43" t="str">
        <f>'ТЕ_2ст_тариф_з ЦТП'!D55</f>
        <v>тис. грн</v>
      </c>
      <c r="C43" s="68">
        <f>'ТЕ_2ст_тариф_з ЦТП'!E55</f>
        <v>3981.6703519823727</v>
      </c>
      <c r="D43">
        <f>'ТЕ_2ст_тариф_з ЦТП'!F55-'ТЕ_2ст_тариф_без ЦТП'!F55</f>
        <v>0</v>
      </c>
      <c r="E43" s="1791">
        <f>'ТЕ_2ст_тариф_з ЦТП'!G55/E$5*1000/12</f>
        <v>4634.543509844847</v>
      </c>
      <c r="G43">
        <f>'ТЕ_2ст_тариф_з ЦТП'!I55-'ТЕ_2ст_тариф_без ЦТП'!I55</f>
        <v>0</v>
      </c>
      <c r="H43" s="68">
        <f>'ТЕ_2ст_тариф_з ЦТП'!J55/H$5*1000/12</f>
        <v>4634.5435098456674</v>
      </c>
      <c r="I43">
        <f>'ТЕ_2ст_тариф_з ЦТП'!K55-'ТЕ_2ст_тариф_без ЦТП'!K55</f>
        <v>0</v>
      </c>
      <c r="J43">
        <f>'ТЕ_2ст_тариф_з ЦТП'!L55-'ТЕ_2ст_тариф_без ЦТП'!L55</f>
        <v>0</v>
      </c>
      <c r="K43" s="1791">
        <f>'ТЕ_2ст_тариф_з ЦТП'!M55/K$5*1000/12</f>
        <v>4634.5435098408252</v>
      </c>
      <c r="L43">
        <f>'ТЕ_2ст_тариф_з ЦТП'!N55-'ТЕ_2ст_тариф_без ЦТП'!N55</f>
        <v>0</v>
      </c>
      <c r="M43">
        <f>'ТЕ_2ст_тариф_з ЦТП'!O55-'ТЕ_2ст_тариф_без ЦТП'!O55</f>
        <v>0</v>
      </c>
      <c r="N43" s="68">
        <f>'ТЕ_2ст_тариф_з ЦТП'!P55/N$5*1000/12</f>
        <v>4634.5435098408252</v>
      </c>
      <c r="O43">
        <f>'ТЕ_2ст_тариф_з ЦТП'!Q55-'ТЕ_2ст_тариф_без ЦТП'!Q55</f>
        <v>0</v>
      </c>
      <c r="P43">
        <f>'ТЕ_2ст_тариф_з ЦТП'!R55-'ТЕ_2ст_тариф_без ЦТП'!R55</f>
        <v>0</v>
      </c>
      <c r="Q43" s="1791">
        <f>'ТЕ_2ст_тариф_з ЦТП'!S55/Q$5*1000/12</f>
        <v>4634.5435098408243</v>
      </c>
    </row>
    <row r="44" spans="1:17" ht="43.2" x14ac:dyDescent="0.3">
      <c r="A44" s="1502" t="str">
        <f>'ТЕ_2ст_тариф_з ЦТП'!C56</f>
        <v>єдиний внесок на загальнообов’язкове державне соціальне страхування працівників</v>
      </c>
      <c r="B44" t="str">
        <f>'ТЕ_2ст_тариф_з ЦТП'!D56</f>
        <v>тис. грн</v>
      </c>
      <c r="C44" s="68">
        <f>'ТЕ_2ст_тариф_з ЦТП'!E56</f>
        <v>849.8976237422155</v>
      </c>
      <c r="D44">
        <f>'ТЕ_2ст_тариф_з ЦТП'!F56-'ТЕ_2ст_тариф_без ЦТП'!F56</f>
        <v>0</v>
      </c>
      <c r="E44" s="1791">
        <f>'ТЕ_2ст_тариф_з ЦТП'!G56/E$5*1000/12</f>
        <v>989.25505326827727</v>
      </c>
      <c r="G44">
        <f>'ТЕ_2ст_тариф_з ЦТП'!I56-'ТЕ_2ст_тариф_без ЦТП'!I56</f>
        <v>0</v>
      </c>
      <c r="H44" s="68">
        <f>'ТЕ_2ст_тариф_з ЦТП'!J56/H$5*1000/12</f>
        <v>989.25505326845257</v>
      </c>
      <c r="I44">
        <f>'ТЕ_2ст_тариф_з ЦТП'!K56-'ТЕ_2ст_тариф_без ЦТП'!K56</f>
        <v>0</v>
      </c>
      <c r="J44">
        <f>'ТЕ_2ст_тариф_з ЦТП'!L56-'ТЕ_2ст_тариф_без ЦТП'!L56</f>
        <v>0</v>
      </c>
      <c r="K44" s="1791">
        <f>'ТЕ_2ст_тариф_з ЦТП'!M56/K$5*1000/12</f>
        <v>989.2550532674187</v>
      </c>
      <c r="L44">
        <f>'ТЕ_2ст_тариф_з ЦТП'!N56-'ТЕ_2ст_тариф_без ЦТП'!N56</f>
        <v>0</v>
      </c>
      <c r="M44">
        <f>'ТЕ_2ст_тариф_з ЦТП'!O56-'ТЕ_2ст_тариф_без ЦТП'!O56</f>
        <v>0</v>
      </c>
      <c r="N44" s="68">
        <f>'ТЕ_2ст_тариф_з ЦТП'!P56/N$5*1000/12</f>
        <v>989.25505326741893</v>
      </c>
      <c r="O44">
        <f>'ТЕ_2ст_тариф_з ЦТП'!Q56-'ТЕ_2ст_тариф_без ЦТП'!Q56</f>
        <v>0</v>
      </c>
      <c r="P44">
        <f>'ТЕ_2ст_тариф_з ЦТП'!R56-'ТЕ_2ст_тариф_без ЦТП'!R56</f>
        <v>0</v>
      </c>
      <c r="Q44" s="1791">
        <f>'ТЕ_2ст_тариф_з ЦТП'!S56/Q$5*1000/12</f>
        <v>989.25505326741859</v>
      </c>
    </row>
    <row r="45" spans="1:17" x14ac:dyDescent="0.3">
      <c r="A45" s="1502" t="str">
        <f>'ТЕ_2ст_тариф_з ЦТП'!C57</f>
        <v>інші витрати</v>
      </c>
      <c r="B45" t="str">
        <f>'ТЕ_2ст_тариф_з ЦТП'!D57</f>
        <v>тис. грн</v>
      </c>
      <c r="C45" s="68">
        <f>'ТЕ_2ст_тариф_з ЦТП'!E57</f>
        <v>379.18556594563665</v>
      </c>
      <c r="D45">
        <f>'ТЕ_2ст_тариф_з ЦТП'!F57-'ТЕ_2ст_тариф_без ЦТП'!F57</f>
        <v>0</v>
      </c>
      <c r="E45" s="1791">
        <f>'ТЕ_2ст_тариф_з ЦТП'!G57/E$5*1000/12</f>
        <v>441.36049655774605</v>
      </c>
      <c r="G45">
        <f>'ТЕ_2ст_тариф_з ЦТП'!I57-'ТЕ_2ст_тариф_без ЦТП'!I57</f>
        <v>0</v>
      </c>
      <c r="H45" s="68">
        <f>'ТЕ_2ст_тариф_з ЦТП'!J57/H$5*1000/12</f>
        <v>441.36049655782426</v>
      </c>
      <c r="I45">
        <f>'ТЕ_2ст_тариф_з ЦТП'!K57-'ТЕ_2ст_тариф_без ЦТП'!K57</f>
        <v>0</v>
      </c>
      <c r="J45">
        <f>'ТЕ_2ст_тариф_з ЦТП'!L57-'ТЕ_2ст_тариф_без ЦТП'!L57</f>
        <v>0</v>
      </c>
      <c r="K45" s="1791">
        <f>'ТЕ_2ст_тариф_з ЦТП'!M57/K$5*1000/12</f>
        <v>441.36049655736309</v>
      </c>
      <c r="L45">
        <f>'ТЕ_2ст_тариф_з ЦТП'!N57-'ТЕ_2ст_тариф_без ЦТП'!N57</f>
        <v>0</v>
      </c>
      <c r="M45">
        <f>'ТЕ_2ст_тариф_з ЦТП'!O57-'ТЕ_2ст_тариф_без ЦТП'!O57</f>
        <v>0</v>
      </c>
      <c r="N45" s="68">
        <f>'ТЕ_2ст_тариф_з ЦТП'!P57/N$5*1000/12</f>
        <v>441.36049655736309</v>
      </c>
      <c r="O45">
        <f>'ТЕ_2ст_тариф_з ЦТП'!Q57-'ТЕ_2ст_тариф_без ЦТП'!Q57</f>
        <v>0</v>
      </c>
      <c r="P45">
        <f>'ТЕ_2ст_тариф_з ЦТП'!R57-'ТЕ_2ст_тариф_без ЦТП'!R57</f>
        <v>0</v>
      </c>
      <c r="Q45" s="1791">
        <f>'ТЕ_2ст_тариф_з ЦТП'!S57/Q$5*1000/12</f>
        <v>441.36049655736298</v>
      </c>
    </row>
    <row r="46" spans="1:17" x14ac:dyDescent="0.3">
      <c r="A46" s="1502" t="str">
        <f>'ТЕ_2ст_тариф_з ЦТП'!C58</f>
        <v>Адміністративні витрати, зокрема:</v>
      </c>
      <c r="B46" t="str">
        <f>'ТЕ_2ст_тариф_з ЦТП'!D58</f>
        <v>тис. грн</v>
      </c>
      <c r="C46" s="68">
        <f>'ТЕ_2ст_тариф_з ЦТП'!E58</f>
        <v>6334.8875507536159</v>
      </c>
      <c r="D46">
        <f>'ТЕ_2ст_тариф_з ЦТП'!F58-'ТЕ_2ст_тариф_без ЦТП'!F58</f>
        <v>0</v>
      </c>
      <c r="E46" s="1791">
        <f>'ТЕ_2ст_тариф_з ЦТП'!G58/E$5*1000/12</f>
        <v>7373.6169467984282</v>
      </c>
      <c r="G46">
        <f>'ТЕ_2ст_тариф_з ЦТП'!I58-'ТЕ_2ст_тариф_без ЦТП'!I58</f>
        <v>0</v>
      </c>
      <c r="H46" s="68">
        <f>'ТЕ_2ст_тариф_з ЦТП'!J58/H$5*1000/12</f>
        <v>7373.6169467997343</v>
      </c>
      <c r="I46">
        <f>'ТЕ_2ст_тариф_з ЦТП'!K58-'ТЕ_2ст_тариф_без ЦТП'!K58</f>
        <v>0</v>
      </c>
      <c r="J46">
        <f>'ТЕ_2ст_тариф_з ЦТП'!L58-'ТЕ_2ст_тариф_без ЦТП'!L58</f>
        <v>0</v>
      </c>
      <c r="K46" s="1791">
        <f>'ТЕ_2ст_тариф_з ЦТП'!M58/K$5*1000/12</f>
        <v>7373.6169467920299</v>
      </c>
      <c r="L46">
        <f>'ТЕ_2ст_тариф_з ЦТП'!N58-'ТЕ_2ст_тариф_без ЦТП'!N58</f>
        <v>0</v>
      </c>
      <c r="M46">
        <f>'ТЕ_2ст_тариф_з ЦТП'!O58-'ТЕ_2ст_тариф_без ЦТП'!O58</f>
        <v>0</v>
      </c>
      <c r="N46" s="68">
        <f>'ТЕ_2ст_тариф_з ЦТП'!P58/N$5*1000/12</f>
        <v>7373.6169467920308</v>
      </c>
      <c r="O46">
        <f>'ТЕ_2ст_тариф_з ЦТП'!Q58-'ТЕ_2ст_тариф_без ЦТП'!Q58</f>
        <v>0</v>
      </c>
      <c r="P46">
        <f>'ТЕ_2ст_тариф_з ЦТП'!R58-'ТЕ_2ст_тариф_без ЦТП'!R58</f>
        <v>0</v>
      </c>
      <c r="Q46" s="1791">
        <f>'ТЕ_2ст_тариф_з ЦТП'!S58/Q$5*1000/12</f>
        <v>7373.616946792029</v>
      </c>
    </row>
    <row r="47" spans="1:17" x14ac:dyDescent="0.3">
      <c r="A47" s="1502" t="str">
        <f>'ТЕ_2ст_тариф_з ЦТП'!C59</f>
        <v>витрати на оплату праці</v>
      </c>
      <c r="B47" t="str">
        <f>'ТЕ_2ст_тариф_з ЦТП'!D59</f>
        <v>тис. грн</v>
      </c>
      <c r="C47" s="68">
        <f>'ТЕ_2ст_тариф_з ЦТП'!E59</f>
        <v>4743.9700713768461</v>
      </c>
      <c r="D47">
        <f>'ТЕ_2ст_тариф_з ЦТП'!F59-'ТЕ_2ст_тариф_без ЦТП'!F59</f>
        <v>0</v>
      </c>
      <c r="E47" s="1791">
        <f>'ТЕ_2ст_тариф_з ЦТП'!G59/E$5*1000/12</f>
        <v>5521.8372596444142</v>
      </c>
      <c r="G47">
        <f>'ТЕ_2ст_тариф_з ЦТП'!I59-'ТЕ_2ст_тариф_без ЦТП'!I59</f>
        <v>0</v>
      </c>
      <c r="H47" s="68">
        <f>'ТЕ_2ст_тариф_з ЦТП'!J59/H$5*1000/12</f>
        <v>5521.8372596453919</v>
      </c>
      <c r="I47">
        <f>'ТЕ_2ст_тариф_з ЦТП'!K59-'ТЕ_2ст_тариф_без ЦТП'!K59</f>
        <v>0</v>
      </c>
      <c r="J47">
        <f>'ТЕ_2ст_тариф_з ЦТП'!L59-'ТЕ_2ст_тариф_без ЦТП'!L59</f>
        <v>0</v>
      </c>
      <c r="K47" s="1791">
        <f>'ТЕ_2ст_тариф_з ЦТП'!M59/K$5*1000/12</f>
        <v>5521.8372596396221</v>
      </c>
      <c r="L47">
        <f>'ТЕ_2ст_тариф_з ЦТП'!N59-'ТЕ_2ст_тариф_без ЦТП'!N59</f>
        <v>0</v>
      </c>
      <c r="M47">
        <f>'ТЕ_2ст_тариф_з ЦТП'!O59-'ТЕ_2ст_тариф_без ЦТП'!O59</f>
        <v>0</v>
      </c>
      <c r="N47" s="68">
        <f>'ТЕ_2ст_тариф_з ЦТП'!P59/N$5*1000/12</f>
        <v>5521.8372596396221</v>
      </c>
      <c r="O47">
        <f>'ТЕ_2ст_тариф_з ЦТП'!Q59-'ТЕ_2ст_тариф_без ЦТП'!Q59</f>
        <v>0</v>
      </c>
      <c r="P47">
        <f>'ТЕ_2ст_тариф_з ЦТП'!R59-'ТЕ_2ст_тариф_без ЦТП'!R59</f>
        <v>0</v>
      </c>
      <c r="Q47" s="1791">
        <f>'ТЕ_2ст_тариф_з ЦТП'!S59/Q$5*1000/12</f>
        <v>5521.8372596396221</v>
      </c>
    </row>
    <row r="48" spans="1:17" ht="43.2" x14ac:dyDescent="0.3">
      <c r="A48" s="1502" t="str">
        <f>'ТЕ_2ст_тариф_з ЦТП'!C60</f>
        <v>єдиний внесок на загальнообов’язкове державне соціальне страхування працівників</v>
      </c>
      <c r="B48" t="str">
        <f>'ТЕ_2ст_тариф_з ЦТП'!D60</f>
        <v>тис. грн</v>
      </c>
      <c r="C48" s="68">
        <f>'ТЕ_2ст_тариф_з ЦТП'!E60</f>
        <v>1043.6734157029061</v>
      </c>
      <c r="D48">
        <f>'ТЕ_2ст_тариф_з ЦТП'!F60-'ТЕ_2ст_тариф_без ЦТП'!F60</f>
        <v>0</v>
      </c>
      <c r="E48" s="1791">
        <f>'ТЕ_2ст_тариф_з ЦТП'!G60/E$5*1000/12</f>
        <v>1214.8041971217713</v>
      </c>
      <c r="G48">
        <f>'ТЕ_2ст_тариф_з ЦТП'!I60-'ТЕ_2ст_тариф_без ЦТП'!I60</f>
        <v>0</v>
      </c>
      <c r="H48" s="68">
        <f>'ТЕ_2ст_тариф_з ЦТП'!J60/H$5*1000/12</f>
        <v>1214.8041971219864</v>
      </c>
      <c r="I48">
        <f>'ТЕ_2ст_тариф_з ЦТП'!K60-'ТЕ_2ст_тариф_без ЦТП'!K60</f>
        <v>0</v>
      </c>
      <c r="J48">
        <f>'ТЕ_2ст_тариф_з ЦТП'!L60-'ТЕ_2ст_тариф_без ЦТП'!L60</f>
        <v>0</v>
      </c>
      <c r="K48" s="1791">
        <f>'ТЕ_2ст_тариф_з ЦТП'!M60/K$5*1000/12</f>
        <v>1214.8041971207169</v>
      </c>
      <c r="L48">
        <f>'ТЕ_2ст_тариф_з ЦТП'!N60-'ТЕ_2ст_тариф_без ЦТП'!N60</f>
        <v>0</v>
      </c>
      <c r="M48">
        <f>'ТЕ_2ст_тариф_з ЦТП'!O60-'ТЕ_2ст_тариф_без ЦТП'!O60</f>
        <v>0</v>
      </c>
      <c r="N48" s="68">
        <f>'ТЕ_2ст_тариф_з ЦТП'!P60/N$5*1000/12</f>
        <v>1214.8041971207172</v>
      </c>
      <c r="O48">
        <f>'ТЕ_2ст_тариф_з ЦТП'!Q60-'ТЕ_2ст_тариф_без ЦТП'!Q60</f>
        <v>0</v>
      </c>
      <c r="P48">
        <f>'ТЕ_2ст_тариф_з ЦТП'!R60-'ТЕ_2ст_тариф_без ЦТП'!R60</f>
        <v>0</v>
      </c>
      <c r="Q48" s="1791">
        <f>'ТЕ_2ст_тариф_з ЦТП'!S60/Q$5*1000/12</f>
        <v>1214.8041971207167</v>
      </c>
    </row>
    <row r="49" spans="1:17" x14ac:dyDescent="0.3">
      <c r="A49" s="1502" t="str">
        <f>'ТЕ_2ст_тариф_з ЦТП'!C61</f>
        <v>інші витрати</v>
      </c>
      <c r="B49" t="str">
        <f>'ТЕ_2ст_тариф_з ЦТП'!D61</f>
        <v>тис. грн</v>
      </c>
      <c r="C49" s="68">
        <f>'ТЕ_2ст_тариф_з ЦТП'!E61</f>
        <v>547.24406367386359</v>
      </c>
      <c r="D49">
        <f>'ТЕ_2ст_тариф_з ЦТП'!F61-'ТЕ_2ст_тариф_без ЦТП'!F61</f>
        <v>0</v>
      </c>
      <c r="E49" s="1791">
        <f>'ТЕ_2ст_тариф_з ЦТП'!G61/E$5*1000/12</f>
        <v>636.97549003224287</v>
      </c>
      <c r="G49">
        <f>'ТЕ_2ст_тариф_з ЦТП'!I61-'ТЕ_2ст_тариф_без ЦТП'!I61</f>
        <v>0</v>
      </c>
      <c r="H49" s="68">
        <f>'ТЕ_2ст_тариф_з ЦТП'!J61/H$5*1000/12</f>
        <v>636.97549003235565</v>
      </c>
      <c r="I49">
        <f>'ТЕ_2ст_тариф_з ЦТП'!K61-'ТЕ_2ст_тариф_без ЦТП'!K61</f>
        <v>0</v>
      </c>
      <c r="J49">
        <f>'ТЕ_2ст_тариф_з ЦТП'!L61-'ТЕ_2ст_тариф_без ЦТП'!L61</f>
        <v>0</v>
      </c>
      <c r="K49" s="1791">
        <f>'ТЕ_2ст_тариф_з ЦТП'!M61/K$5*1000/12</f>
        <v>636.97549003169013</v>
      </c>
      <c r="L49">
        <f>'ТЕ_2ст_тариф_з ЦТП'!N61-'ТЕ_2ст_тариф_без ЦТП'!N61</f>
        <v>0</v>
      </c>
      <c r="M49">
        <f>'ТЕ_2ст_тариф_з ЦТП'!O61-'ТЕ_2ст_тариф_без ЦТП'!O61</f>
        <v>0</v>
      </c>
      <c r="N49" s="68">
        <f>'ТЕ_2ст_тариф_з ЦТП'!P61/N$5*1000/12</f>
        <v>636.97549003169013</v>
      </c>
      <c r="O49">
        <f>'ТЕ_2ст_тариф_з ЦТП'!Q61-'ТЕ_2ст_тариф_без ЦТП'!Q61</f>
        <v>0</v>
      </c>
      <c r="P49">
        <f>'ТЕ_2ст_тариф_з ЦТП'!R61-'ТЕ_2ст_тариф_без ЦТП'!R61</f>
        <v>0</v>
      </c>
      <c r="Q49" s="1791">
        <f>'ТЕ_2ст_тариф_з ЦТП'!S61/Q$5*1000/12</f>
        <v>636.9754900316899</v>
      </c>
    </row>
    <row r="50" spans="1:17" x14ac:dyDescent="0.3">
      <c r="A50" s="1502" t="str">
        <f>'ТЕ_2ст_тариф_з ЦТП'!C62</f>
        <v>Витрати на збут, зокрема:</v>
      </c>
      <c r="B50" t="str">
        <f>'ТЕ_2ст_тариф_з ЦТП'!D62</f>
        <v>тис. грн</v>
      </c>
      <c r="C50" s="68">
        <f>'ТЕ_2ст_тариф_з ЦТП'!E62</f>
        <v>0</v>
      </c>
      <c r="D50">
        <f>'ТЕ_2ст_тариф_з ЦТП'!F62-'ТЕ_2ст_тариф_без ЦТП'!F62</f>
        <v>0</v>
      </c>
      <c r="E50" s="1791">
        <f>'ТЕ_2ст_тариф_з ЦТП'!G62/E$5*1000/12</f>
        <v>0</v>
      </c>
      <c r="G50">
        <f>'ТЕ_2ст_тариф_з ЦТП'!I62-'ТЕ_2ст_тариф_без ЦТП'!I62</f>
        <v>0</v>
      </c>
      <c r="H50" s="68">
        <f>'ТЕ_2ст_тариф_з ЦТП'!J62/H$5*1000/12</f>
        <v>0</v>
      </c>
      <c r="I50">
        <f>'ТЕ_2ст_тариф_з ЦТП'!K62-'ТЕ_2ст_тариф_без ЦТП'!K62</f>
        <v>0</v>
      </c>
      <c r="J50">
        <f>'ТЕ_2ст_тариф_з ЦТП'!L62-'ТЕ_2ст_тариф_без ЦТП'!L62</f>
        <v>0</v>
      </c>
      <c r="K50" s="1791">
        <f>'ТЕ_2ст_тариф_з ЦТП'!M62/K$5*1000/12</f>
        <v>0</v>
      </c>
      <c r="L50">
        <f>'ТЕ_2ст_тариф_з ЦТП'!N62-'ТЕ_2ст_тариф_без ЦТП'!N62</f>
        <v>0</v>
      </c>
      <c r="M50">
        <f>'ТЕ_2ст_тариф_з ЦТП'!O62-'ТЕ_2ст_тариф_без ЦТП'!O62</f>
        <v>0</v>
      </c>
      <c r="N50" s="68">
        <f>'ТЕ_2ст_тариф_з ЦТП'!P62/N$5*1000/12</f>
        <v>0</v>
      </c>
      <c r="O50">
        <f>'ТЕ_2ст_тариф_з ЦТП'!Q62-'ТЕ_2ст_тариф_без ЦТП'!Q62</f>
        <v>0</v>
      </c>
      <c r="P50">
        <f>'ТЕ_2ст_тариф_з ЦТП'!R62-'ТЕ_2ст_тариф_без ЦТП'!R62</f>
        <v>0</v>
      </c>
      <c r="Q50" s="1791">
        <f>'ТЕ_2ст_тариф_з ЦТП'!S62/Q$5*1000/12</f>
        <v>0</v>
      </c>
    </row>
    <row r="51" spans="1:17" x14ac:dyDescent="0.3">
      <c r="A51" s="1502" t="str">
        <f>'ТЕ_2ст_тариф_з ЦТП'!C63</f>
        <v>витрати на оплату праці</v>
      </c>
      <c r="B51" t="str">
        <f>'ТЕ_2ст_тариф_з ЦТП'!D63</f>
        <v>тис. грн</v>
      </c>
      <c r="C51" s="68">
        <f>'ТЕ_2ст_тариф_з ЦТП'!E63</f>
        <v>0</v>
      </c>
      <c r="D51">
        <f>'ТЕ_2ст_тариф_з ЦТП'!F63-'ТЕ_2ст_тариф_без ЦТП'!F63</f>
        <v>0</v>
      </c>
      <c r="E51" s="1791">
        <f>'ТЕ_2ст_тариф_з ЦТП'!G63/E$5*1000/12</f>
        <v>0</v>
      </c>
      <c r="G51">
        <f>'ТЕ_2ст_тариф_з ЦТП'!I63-'ТЕ_2ст_тариф_без ЦТП'!I63</f>
        <v>0</v>
      </c>
      <c r="H51" s="68">
        <f>'ТЕ_2ст_тариф_з ЦТП'!J63/H$5*1000/12</f>
        <v>0</v>
      </c>
      <c r="I51">
        <f>'ТЕ_2ст_тариф_з ЦТП'!K63-'ТЕ_2ст_тариф_без ЦТП'!K63</f>
        <v>0</v>
      </c>
      <c r="J51">
        <f>'ТЕ_2ст_тариф_з ЦТП'!L63-'ТЕ_2ст_тариф_без ЦТП'!L63</f>
        <v>0</v>
      </c>
      <c r="K51" s="1791">
        <f>'ТЕ_2ст_тариф_з ЦТП'!M63/K$5*1000/12</f>
        <v>0</v>
      </c>
      <c r="L51">
        <f>'ТЕ_2ст_тариф_з ЦТП'!N63-'ТЕ_2ст_тариф_без ЦТП'!N63</f>
        <v>0</v>
      </c>
      <c r="M51">
        <f>'ТЕ_2ст_тариф_з ЦТП'!O63-'ТЕ_2ст_тариф_без ЦТП'!O63</f>
        <v>0</v>
      </c>
      <c r="N51" s="68">
        <f>'ТЕ_2ст_тариф_з ЦТП'!P63/N$5*1000/12</f>
        <v>0</v>
      </c>
      <c r="O51">
        <f>'ТЕ_2ст_тариф_з ЦТП'!Q63-'ТЕ_2ст_тариф_без ЦТП'!Q63</f>
        <v>0</v>
      </c>
      <c r="P51">
        <f>'ТЕ_2ст_тариф_з ЦТП'!R63-'ТЕ_2ст_тариф_без ЦТП'!R63</f>
        <v>0</v>
      </c>
      <c r="Q51" s="1791">
        <f>'ТЕ_2ст_тариф_з ЦТП'!S63/Q$5*1000/12</f>
        <v>0</v>
      </c>
    </row>
    <row r="52" spans="1:17" ht="43.2" x14ac:dyDescent="0.3">
      <c r="A52" s="1502" t="str">
        <f>'ТЕ_2ст_тариф_з ЦТП'!C64</f>
        <v>єдиний внесок на загальнообов’язкове державне соціальне страхування працівників</v>
      </c>
      <c r="B52" t="str">
        <f>'ТЕ_2ст_тариф_з ЦТП'!D64</f>
        <v>тис. грн</v>
      </c>
      <c r="C52" s="68">
        <f>'ТЕ_2ст_тариф_з ЦТП'!E64</f>
        <v>0</v>
      </c>
      <c r="D52">
        <f>'ТЕ_2ст_тариф_з ЦТП'!F64-'ТЕ_2ст_тариф_без ЦТП'!F64</f>
        <v>0</v>
      </c>
      <c r="E52" s="1791">
        <f>'ТЕ_2ст_тариф_з ЦТП'!G64/E$5*1000/12</f>
        <v>0</v>
      </c>
      <c r="G52">
        <f>'ТЕ_2ст_тариф_з ЦТП'!I64-'ТЕ_2ст_тариф_без ЦТП'!I64</f>
        <v>0</v>
      </c>
      <c r="H52" s="68">
        <f>'ТЕ_2ст_тариф_з ЦТП'!J64/H$5*1000/12</f>
        <v>0</v>
      </c>
      <c r="I52">
        <f>'ТЕ_2ст_тариф_з ЦТП'!K64-'ТЕ_2ст_тариф_без ЦТП'!K64</f>
        <v>0</v>
      </c>
      <c r="J52">
        <f>'ТЕ_2ст_тариф_з ЦТП'!L64-'ТЕ_2ст_тариф_без ЦТП'!L64</f>
        <v>0</v>
      </c>
      <c r="K52" s="1791">
        <f>'ТЕ_2ст_тариф_з ЦТП'!M64/K$5*1000/12</f>
        <v>0</v>
      </c>
      <c r="L52">
        <f>'ТЕ_2ст_тариф_з ЦТП'!N64-'ТЕ_2ст_тариф_без ЦТП'!N64</f>
        <v>0</v>
      </c>
      <c r="M52">
        <f>'ТЕ_2ст_тариф_з ЦТП'!O64-'ТЕ_2ст_тариф_без ЦТП'!O64</f>
        <v>0</v>
      </c>
      <c r="N52" s="68">
        <f>'ТЕ_2ст_тариф_з ЦТП'!P64/N$5*1000/12</f>
        <v>0</v>
      </c>
      <c r="O52">
        <f>'ТЕ_2ст_тариф_з ЦТП'!Q64-'ТЕ_2ст_тариф_без ЦТП'!Q64</f>
        <v>0</v>
      </c>
      <c r="P52">
        <f>'ТЕ_2ст_тариф_з ЦТП'!R64-'ТЕ_2ст_тариф_без ЦТП'!R64</f>
        <v>0</v>
      </c>
      <c r="Q52" s="1791">
        <f>'ТЕ_2ст_тариф_з ЦТП'!S64/Q$5*1000/12</f>
        <v>0</v>
      </c>
    </row>
    <row r="53" spans="1:17" x14ac:dyDescent="0.3">
      <c r="A53" s="1502" t="str">
        <f>'ТЕ_2ст_тариф_з ЦТП'!C65</f>
        <v>інші витрати</v>
      </c>
      <c r="B53" t="str">
        <f>'ТЕ_2ст_тариф_з ЦТП'!D65</f>
        <v>тис. грн</v>
      </c>
      <c r="C53" s="68">
        <f>'ТЕ_2ст_тариф_з ЦТП'!E65</f>
        <v>0</v>
      </c>
      <c r="D53">
        <f>'ТЕ_2ст_тариф_з ЦТП'!F65-'ТЕ_2ст_тариф_без ЦТП'!F65</f>
        <v>0</v>
      </c>
      <c r="E53" s="1791">
        <f>'ТЕ_2ст_тариф_з ЦТП'!G65/E$5*1000/12</f>
        <v>0</v>
      </c>
      <c r="H53" s="68">
        <f>'ТЕ_2ст_тариф_з ЦТП'!J65/H$5*1000/12</f>
        <v>0</v>
      </c>
      <c r="K53" s="1791">
        <f>'ТЕ_2ст_тариф_з ЦТП'!M65/K$5*1000/12</f>
        <v>0</v>
      </c>
      <c r="N53" s="68">
        <f>'ТЕ_2ст_тариф_з ЦТП'!P65/N$5*1000/12</f>
        <v>0</v>
      </c>
      <c r="Q53" s="1791">
        <f>'ТЕ_2ст_тариф_з ЦТП'!S65/Q$5*1000/12</f>
        <v>0</v>
      </c>
    </row>
    <row r="54" spans="1:17" x14ac:dyDescent="0.3">
      <c r="A54" s="1502" t="str">
        <f>'ТЕ_2ст_тариф_з ЦТП'!C66</f>
        <v>Інші операційні витрати**</v>
      </c>
      <c r="B54" t="str">
        <f>'ТЕ_2ст_тариф_з ЦТП'!D66</f>
        <v>тис. грн</v>
      </c>
      <c r="C54" s="68">
        <f>'ТЕ_2ст_тариф_з ЦТП'!E66</f>
        <v>0</v>
      </c>
      <c r="D54">
        <f>'ТЕ_2ст_тариф_з ЦТП'!F66-'ТЕ_2ст_тариф_без ЦТП'!F66</f>
        <v>0</v>
      </c>
      <c r="E54" s="1791">
        <f>'ТЕ_2ст_тариф_з ЦТП'!G66/E$5*1000/12</f>
        <v>0</v>
      </c>
      <c r="H54" s="68">
        <f>'ТЕ_2ст_тариф_з ЦТП'!J66/H$5*1000/12</f>
        <v>0</v>
      </c>
      <c r="K54" s="1791">
        <f>'ТЕ_2ст_тариф_з ЦТП'!M66/K$5*1000/12</f>
        <v>0</v>
      </c>
      <c r="N54" s="68">
        <f>'ТЕ_2ст_тариф_з ЦТП'!P66/N$5*1000/12</f>
        <v>0</v>
      </c>
      <c r="Q54" s="1791">
        <f>'ТЕ_2ст_тариф_з ЦТП'!S66/Q$5*1000/12</f>
        <v>0</v>
      </c>
    </row>
    <row r="55" spans="1:17" x14ac:dyDescent="0.3">
      <c r="A55" s="1502" t="str">
        <f>'ТЕ_2ст_тариф_з ЦТП'!C67</f>
        <v>Фінансові витрати</v>
      </c>
      <c r="B55" t="str">
        <f>'ТЕ_2ст_тариф_з ЦТП'!D67</f>
        <v>тис. грн</v>
      </c>
      <c r="C55" s="68">
        <f>'ТЕ_2ст_тариф_з ЦТП'!E67</f>
        <v>0</v>
      </c>
      <c r="D55">
        <f>'ТЕ_2ст_тариф_з ЦТП'!F67-'ТЕ_2ст_тариф_без ЦТП'!F67</f>
        <v>0</v>
      </c>
      <c r="E55" s="1791">
        <f>'ТЕ_2ст_тариф_з ЦТП'!G67/E$5*1000/12</f>
        <v>0</v>
      </c>
      <c r="H55" s="68">
        <f>'ТЕ_2ст_тариф_з ЦТП'!J67/H$5*1000/12</f>
        <v>0</v>
      </c>
      <c r="K55" s="1791">
        <f>'ТЕ_2ст_тариф_з ЦТП'!M67/K$5*1000/12</f>
        <v>0</v>
      </c>
      <c r="N55" s="68">
        <f>'ТЕ_2ст_тариф_з ЦТП'!P67/N$5*1000/12</f>
        <v>0</v>
      </c>
      <c r="Q55" s="1791">
        <f>'ТЕ_2ст_тариф_з ЦТП'!S67/Q$5*1000/12</f>
        <v>0</v>
      </c>
    </row>
    <row r="56" spans="1:17" x14ac:dyDescent="0.3">
      <c r="A56" s="1502" t="str">
        <f>'ТЕ_2ст_тариф_з ЦТП'!C68</f>
        <v>Повна собівартість**</v>
      </c>
      <c r="B56" t="str">
        <f>'ТЕ_2ст_тариф_з ЦТП'!D68</f>
        <v>тис. грн</v>
      </c>
      <c r="C56" s="68">
        <f>'ТЕ_2ст_тариф_з ЦТП'!E68</f>
        <v>155406.25959820251</v>
      </c>
      <c r="D56">
        <f>'ТЕ_2ст_тариф_з ЦТП'!F68-'ТЕ_2ст_тариф_без ЦТП'!F68</f>
        <v>0</v>
      </c>
      <c r="E56" s="1791">
        <f>'ТЕ_2ст_тариф_з ЦТП'!G68/E$5*1000/12</f>
        <v>47274.506622371198</v>
      </c>
      <c r="H56" s="68">
        <f>'ТЕ_2ст_тариф_з ЦТП'!J68/H$5*1000/12</f>
        <v>47274.506622377514</v>
      </c>
      <c r="K56" s="1791">
        <f>'ТЕ_2ст_тариф_з ЦТП'!M68/K$5*1000/12</f>
        <v>47274.506622340232</v>
      </c>
      <c r="N56" s="68">
        <f>'ТЕ_2ст_тариф_з ЦТП'!P68/N$5*1000/12</f>
        <v>47274.506622340232</v>
      </c>
      <c r="Q56" s="1791">
        <f>'ТЕ_2ст_тариф_з ЦТП'!S68/Q$5*1000/12</f>
        <v>47274.50662234021</v>
      </c>
    </row>
    <row r="57" spans="1:17" ht="28.8" x14ac:dyDescent="0.3">
      <c r="A57" s="1502" t="str">
        <f>'ТЕ_2ст_тариф_з ЦТП'!C69</f>
        <v>Витрати на відшкодування втрат, коригування витрат</v>
      </c>
      <c r="B57" t="str">
        <f>'ТЕ_2ст_тариф_з ЦТП'!D69</f>
        <v>тис. грн</v>
      </c>
      <c r="C57" s="68">
        <f>'ТЕ_2ст_тариф_з ЦТП'!E69</f>
        <v>0</v>
      </c>
      <c r="D57">
        <f>'ТЕ_2ст_тариф_з ЦТП'!F69-'ТЕ_2ст_тариф_без ЦТП'!F69</f>
        <v>0</v>
      </c>
      <c r="E57" s="1791">
        <f>'ТЕ_2ст_тариф_з ЦТП'!G69/E$5*1000/12</f>
        <v>0</v>
      </c>
      <c r="H57" s="68">
        <f>'ТЕ_2ст_тариф_з ЦТП'!J69/H$5*1000/12</f>
        <v>0</v>
      </c>
      <c r="K57" s="1791">
        <f>'ТЕ_2ст_тариф_з ЦТП'!M69/K$5*1000/12</f>
        <v>0</v>
      </c>
      <c r="N57" s="68">
        <f>'ТЕ_2ст_тариф_з ЦТП'!P69/N$5*1000/12</f>
        <v>0</v>
      </c>
      <c r="Q57" s="1791">
        <f>'ТЕ_2ст_тариф_з ЦТП'!S69/Q$5*1000/12</f>
        <v>0</v>
      </c>
    </row>
    <row r="58" spans="1:17" ht="28.8" x14ac:dyDescent="0.3">
      <c r="A58" s="1502" t="str">
        <f>'ТЕ_2ст_тариф_з ЦТП'!C70</f>
        <v>Розрахунковий прибуток, усього**, зокрема:</v>
      </c>
      <c r="B58" t="str">
        <f>'ТЕ_2ст_тариф_з ЦТП'!D70</f>
        <v>тис. грн</v>
      </c>
      <c r="C58" s="68">
        <f>'ТЕ_2ст_тариф_з ЦТП'!E70</f>
        <v>7201.7534935752356</v>
      </c>
      <c r="D58">
        <f>'ТЕ_2ст_тариф_з ЦТП'!F70-'ТЕ_2ст_тариф_без ЦТП'!F70</f>
        <v>0</v>
      </c>
      <c r="E58" s="1791">
        <f>'ТЕ_2ст_тариф_з ЦТП'!G70/E$5*1000/12</f>
        <v>8382.6226087586783</v>
      </c>
      <c r="H58" s="68">
        <f>'ТЕ_2ст_тариф_з ЦТП'!J70/H$5*1000/12</f>
        <v>7403.7373667952343</v>
      </c>
      <c r="K58" s="1791">
        <f>'ТЕ_2ст_тариф_з ЦТП'!M70/K$5*1000/12</f>
        <v>13178.697886975368</v>
      </c>
      <c r="N58" s="68">
        <f>'ТЕ_2ст_тариф_з ЦТП'!P70/N$5*1000/12</f>
        <v>13178.697886975366</v>
      </c>
      <c r="Q58" s="1791">
        <f>'ТЕ_2ст_тариф_з ЦТП'!S70/Q$5*1000/12</f>
        <v>13178.697886975368</v>
      </c>
    </row>
    <row r="59" spans="1:17" x14ac:dyDescent="0.3">
      <c r="A59" s="1502" t="str">
        <f>'ТЕ_2ст_тариф_з ЦТП'!C71</f>
        <v>податок на прибуток</v>
      </c>
      <c r="B59" t="str">
        <f>'ТЕ_2ст_тариф_з ЦТП'!D71</f>
        <v>тис. грн</v>
      </c>
      <c r="C59" s="68">
        <f>'ТЕ_2ст_тариф_з ЦТП'!E71</f>
        <v>1296.3156288435421</v>
      </c>
      <c r="D59">
        <f>'ТЕ_2ст_тариф_з ЦТП'!F71-'ТЕ_2ст_тариф_без ЦТП'!F71</f>
        <v>0</v>
      </c>
      <c r="E59" s="1791">
        <f>'ТЕ_2ст_тариф_з ЦТП'!G71/E$5*1000/12</f>
        <v>1508.8720695765617</v>
      </c>
      <c r="H59" s="68">
        <f>'ТЕ_2ст_тариф_з ЦТП'!J71/H$5*1000/12</f>
        <v>1332.6727260231419</v>
      </c>
      <c r="K59" s="1791">
        <f>'ТЕ_2ст_тариф_з ЦТП'!M71/K$5*1000/12</f>
        <v>2372.1656196555664</v>
      </c>
      <c r="N59" s="68">
        <f>'ТЕ_2ст_тариф_з ЦТП'!P71/N$5*1000/12</f>
        <v>2372.1656196555655</v>
      </c>
      <c r="Q59" s="1791">
        <f>'ТЕ_2ст_тариф_з ЦТП'!S71/Q$5*1000/12</f>
        <v>2372.1656196555659</v>
      </c>
    </row>
    <row r="60" spans="1:17" x14ac:dyDescent="0.3">
      <c r="A60" s="1502" t="str">
        <f>'ТЕ_2ст_тариф_з ЦТП'!C72</f>
        <v xml:space="preserve"> дивіденди</v>
      </c>
      <c r="B60" t="str">
        <f>'ТЕ_2ст_тариф_з ЦТП'!D72</f>
        <v>тис. грн</v>
      </c>
      <c r="C60" s="68">
        <f>'ТЕ_2ст_тариф_з ЦТП'!E72</f>
        <v>0</v>
      </c>
      <c r="D60">
        <f>'ТЕ_2ст_тариф_з ЦТП'!F72-'ТЕ_2ст_тариф_без ЦТП'!F72</f>
        <v>0</v>
      </c>
      <c r="E60" s="1791">
        <f>'ТЕ_2ст_тариф_з ЦТП'!G72/E$5*1000/12</f>
        <v>0</v>
      </c>
      <c r="H60" s="68">
        <f>'ТЕ_2ст_тариф_з ЦТП'!J72/H$5*1000/12</f>
        <v>0</v>
      </c>
      <c r="K60" s="1791">
        <f>'ТЕ_2ст_тариф_з ЦТП'!M72/K$5*1000/12</f>
        <v>0</v>
      </c>
      <c r="N60" s="68">
        <f>'ТЕ_2ст_тариф_з ЦТП'!P72/N$5*1000/12</f>
        <v>0</v>
      </c>
      <c r="Q60" s="1791">
        <f>'ТЕ_2ст_тариф_з ЦТП'!S72/Q$5*1000/12</f>
        <v>0</v>
      </c>
    </row>
    <row r="61" spans="1:17" x14ac:dyDescent="0.3">
      <c r="A61" s="1502" t="str">
        <f>'ТЕ_2ст_тариф_з ЦТП'!C73</f>
        <v xml:space="preserve"> резервний фонд (капітал)</v>
      </c>
      <c r="B61" t="str">
        <f>'ТЕ_2ст_тариф_з ЦТП'!D73</f>
        <v>тис. грн</v>
      </c>
      <c r="C61" s="68">
        <f>'ТЕ_2ст_тариф_з ЦТП'!E73</f>
        <v>0</v>
      </c>
      <c r="D61">
        <f>'ТЕ_2ст_тариф_з ЦТП'!F73-'ТЕ_2ст_тариф_без ЦТП'!F73</f>
        <v>0</v>
      </c>
      <c r="E61" s="1791">
        <f>'ТЕ_2ст_тариф_з ЦТП'!G73/E$5*1000/12</f>
        <v>0</v>
      </c>
      <c r="H61" s="68">
        <f>'ТЕ_2ст_тариф_з ЦТП'!J73/H$5*1000/12</f>
        <v>0</v>
      </c>
      <c r="K61" s="1791">
        <f>'ТЕ_2ст_тариф_з ЦТП'!M73/K$5*1000/12</f>
        <v>0</v>
      </c>
      <c r="N61" s="68">
        <f>'ТЕ_2ст_тариф_з ЦТП'!P73/N$5*1000/12</f>
        <v>0</v>
      </c>
      <c r="Q61" s="1791">
        <f>'ТЕ_2ст_тариф_з ЦТП'!S73/Q$5*1000/12</f>
        <v>0</v>
      </c>
    </row>
    <row r="62" spans="1:17" ht="28.8" x14ac:dyDescent="0.3">
      <c r="A62" s="1502" t="str">
        <f>'ТЕ_2ст_тариф_з ЦТП'!C74</f>
        <v>на розвиток виробництва (виробничі інвестиції)</v>
      </c>
      <c r="B62" t="str">
        <f>'ТЕ_2ст_тариф_з ЦТП'!D74</f>
        <v>тис. грн</v>
      </c>
      <c r="C62" s="68">
        <f>'ТЕ_2ст_тариф_з ЦТП'!E74</f>
        <v>0</v>
      </c>
      <c r="D62">
        <f>'ТЕ_2ст_тариф_з ЦТП'!F74-'ТЕ_2ст_тариф_без ЦТП'!F74</f>
        <v>0</v>
      </c>
      <c r="E62" s="1791">
        <f>'ТЕ_2ст_тариф_з ЦТП'!G74/E$5*1000/12</f>
        <v>0</v>
      </c>
      <c r="H62" s="68">
        <f>'ТЕ_2ст_тариф_з ЦТП'!J74/H$5*1000/12</f>
        <v>0</v>
      </c>
      <c r="K62" s="1791">
        <f>'ТЕ_2ст_тариф_з ЦТП'!M74/K$5*1000/12</f>
        <v>0</v>
      </c>
      <c r="N62" s="68">
        <f>'ТЕ_2ст_тариф_з ЦТП'!P74/N$5*1000/12</f>
        <v>0</v>
      </c>
      <c r="Q62" s="1791">
        <f>'ТЕ_2ст_тариф_з ЦТП'!S74/Q$5*1000/12</f>
        <v>0</v>
      </c>
    </row>
    <row r="63" spans="1:17" x14ac:dyDescent="0.3">
      <c r="A63" s="1502" t="str">
        <f>'ТЕ_2ст_тариф_з ЦТП'!C75</f>
        <v>інше використання  прибутку</v>
      </c>
      <c r="B63" t="str">
        <f>'ТЕ_2ст_тариф_з ЦТП'!D75</f>
        <v>тис. грн</v>
      </c>
      <c r="C63" s="68">
        <f>'ТЕ_2ст_тариф_з ЦТП'!E75</f>
        <v>5905.4378647316935</v>
      </c>
      <c r="D63">
        <f>'ТЕ_2ст_тариф_з ЦТП'!F75-'ТЕ_2ст_тариф_без ЦТП'!F75</f>
        <v>0</v>
      </c>
      <c r="E63" s="1791">
        <f>'ТЕ_2ст_тариф_з ЦТП'!G75/E$5*1000/12</f>
        <v>6873.7505391821169</v>
      </c>
      <c r="H63" s="68">
        <f>'ТЕ_2ст_тариф_з ЦТП'!J75/H$5*1000/12</f>
        <v>6071.0646407720924</v>
      </c>
      <c r="K63" s="1791">
        <f>'ТЕ_2ст_тариф_з ЦТП'!M75/K$5*1000/12</f>
        <v>10806.532267319802</v>
      </c>
      <c r="N63" s="68">
        <f>'ТЕ_2ст_тариф_з ЦТП'!P75/N$5*1000/12</f>
        <v>10806.532267319802</v>
      </c>
      <c r="Q63" s="1791">
        <f>'ТЕ_2ст_тариф_з ЦТП'!S75/Q$5*1000/12</f>
        <v>10806.532267319802</v>
      </c>
    </row>
    <row r="64" spans="1:17" ht="28.8" x14ac:dyDescent="0.3">
      <c r="A64" s="1502" t="str">
        <f>'ТЕ_2ст_тариф_з ЦТП'!C76</f>
        <v>Вартість виробництва теплової енергії за відповідними тарифами</v>
      </c>
      <c r="B64" t="str">
        <f>'ТЕ_2ст_тариф_з ЦТП'!D76</f>
        <v>тис. грн</v>
      </c>
      <c r="C64" s="68">
        <f>'ТЕ_2ст_тариф_з ЦТП'!E76</f>
        <v>162608.01309177774</v>
      </c>
      <c r="D64">
        <f>'ТЕ_2ст_тариф_з ЦТП'!F76-'ТЕ_2ст_тариф_без ЦТП'!F76</f>
        <v>0</v>
      </c>
      <c r="E64" s="1791">
        <f>'ТЕ_2ст_тариф_з ЦТП'!G76/E$5*1000/12</f>
        <v>55657.129231129868</v>
      </c>
      <c r="H64" s="68">
        <f>'ТЕ_2ст_тариф_з ЦТП'!J76/H$5*1000/12</f>
        <v>54678.243989172748</v>
      </c>
      <c r="K64" s="1791">
        <f>'ТЕ_2ст_тариф_з ЦТП'!M76/K$5*1000/12</f>
        <v>60453.204509315598</v>
      </c>
      <c r="N64" s="68">
        <f>'ТЕ_2ст_тариф_з ЦТП'!P76/N$5*1000/12</f>
        <v>60453.204509315598</v>
      </c>
      <c r="Q64" s="1791">
        <f>'ТЕ_2ст_тариф_з ЦТП'!S76/Q$5*1000/12</f>
        <v>60453.204509315576</v>
      </c>
    </row>
    <row r="65" spans="1:17" ht="43.2" x14ac:dyDescent="0.3">
      <c r="A65" s="1502" t="str">
        <f>'ТЕ_2ст_тариф_з ЦТП'!C77</f>
        <v>Одноставковий тариф на виробництво теплової енергії без ПДВ</v>
      </c>
      <c r="B65" t="str">
        <f>'ТЕ_2ст_тариф_з ЦТП'!D77</f>
        <v>грн/Гкал</v>
      </c>
      <c r="C65">
        <f>'ТЕ_2ст_тариф_з ЦТП'!E77-'ТЕ_2ст_тариф_без ЦТП'!E77</f>
        <v>0</v>
      </c>
      <c r="D65" t="e">
        <f>'ТЕ_2ст_тариф_з ЦТП'!F77-'ТЕ_2ст_тариф_без ЦТП'!F77</f>
        <v>#VALUE!</v>
      </c>
      <c r="E65" s="1791"/>
      <c r="H65" s="68"/>
    </row>
    <row r="66" spans="1:17" ht="28.8" x14ac:dyDescent="0.3">
      <c r="A66" s="1502" t="str">
        <f>'ТЕ_2ст_тариф_з ЦТП'!C78</f>
        <v>Одноставковий тариф на виробництво теплової енергії з ПДВ</v>
      </c>
      <c r="B66" t="str">
        <f>'ТЕ_2ст_тариф_з ЦТП'!D78</f>
        <v>грн/Гкал</v>
      </c>
      <c r="C66">
        <f>'ТЕ_2ст_тариф_з ЦТП'!E78-'ТЕ_2ст_тариф_без ЦТП'!E78</f>
        <v>0</v>
      </c>
      <c r="D66" t="e">
        <f>'ТЕ_2ст_тариф_з ЦТП'!F78-'ТЕ_2ст_тариф_без ЦТП'!F78</f>
        <v>#VALUE!</v>
      </c>
      <c r="E66" s="1791"/>
      <c r="H66" s="68"/>
    </row>
    <row r="67" spans="1:17" ht="28.8" x14ac:dyDescent="0.3">
      <c r="A67" s="1502" t="str">
        <f>'ТЕ_2ст_тариф_з ЦТП'!C79</f>
        <v>Двоставковий тариф на виробництво теплової енергії без ПДВ</v>
      </c>
      <c r="B67" t="str">
        <f>'ТЕ_2ст_тариф_з ЦТП'!D79</f>
        <v>  </v>
      </c>
      <c r="E67" s="1791"/>
    </row>
    <row r="68" spans="1:17" s="1466" customFormat="1" x14ac:dyDescent="0.3">
      <c r="A68" s="1678" t="str">
        <f>'ТЕ_2ст_тариф_з ЦТП'!C80</f>
        <v>умовно-змінна частина  </v>
      </c>
      <c r="B68" s="1466" t="str">
        <f>'ТЕ_2ст_тариф_з ЦТП'!D80</f>
        <v>грн/Гкал </v>
      </c>
      <c r="C68" s="1681">
        <f>'ТЕ_2ст_тариф_з ЦТП'!E80</f>
        <v>1056.28</v>
      </c>
      <c r="D68" s="1792"/>
      <c r="E68" s="1792"/>
      <c r="F68" s="1681"/>
      <c r="G68" s="1681">
        <f>'ТЕ_2ст_тариф_з ЦТП'!I80</f>
        <v>889.12</v>
      </c>
      <c r="H68" s="1681"/>
      <c r="I68" s="1681"/>
      <c r="J68" s="1681">
        <f>'ТЕ_2ст_тариф_з ЦТП'!L80</f>
        <v>0</v>
      </c>
      <c r="K68" s="1681"/>
      <c r="L68" s="1681"/>
      <c r="M68" s="1681">
        <f>'ТЕ_2ст_тариф_з ЦТП'!O80</f>
        <v>1876.13</v>
      </c>
      <c r="N68" s="1681"/>
      <c r="O68" s="1681"/>
      <c r="P68" s="1681">
        <f>'ТЕ_2ст_тариф_з ЦТП'!R80</f>
        <v>1876.13</v>
      </c>
      <c r="Q68" s="1681"/>
    </row>
    <row r="69" spans="1:17" s="1466" customFormat="1" ht="28.8" x14ac:dyDescent="0.3">
      <c r="A69" s="1678" t="str">
        <f>'ТЕ_2ст_тариф_з ЦТП'!C81</f>
        <v>умовно-постійна частина (абонентська плата)</v>
      </c>
      <c r="B69" s="1466" t="str">
        <f>'ТЕ_2ст_тариф_з ЦТП'!D81</f>
        <v>грн/ Гкал/год</v>
      </c>
      <c r="C69" s="1681">
        <f>'ТЕ_2ст_тариф_з ЦТП'!E81</f>
        <v>55657.13</v>
      </c>
      <c r="E69" s="1792">
        <f>'ТЕ_2ст_тариф_з ЦТП'!E81/12</f>
        <v>4638.0941666666668</v>
      </c>
      <c r="F69" s="1681"/>
      <c r="G69" s="1681"/>
      <c r="H69" s="1681">
        <f>'ТЕ_2ст_тариф_з ЦТП'!J81/12</f>
        <v>4556.5199999999995</v>
      </c>
      <c r="I69" s="1681"/>
      <c r="J69" s="1681"/>
      <c r="K69" s="1681">
        <f>'ТЕ_2ст_тариф_з ЦТП'!M81/12</f>
        <v>0</v>
      </c>
      <c r="L69" s="1681"/>
      <c r="M69" s="1681"/>
      <c r="N69" s="1681">
        <f>'ТЕ_2ст_тариф_з ЦТП'!P81/12</f>
        <v>5037.7666666666664</v>
      </c>
      <c r="O69" s="1681"/>
      <c r="P69" s="1681"/>
      <c r="Q69" s="1681">
        <f>'ТЕ_2ст_тариф_з ЦТП'!S81/12</f>
        <v>5037.7666666666664</v>
      </c>
    </row>
    <row r="70" spans="1:17" ht="28.8" x14ac:dyDescent="0.3">
      <c r="A70" s="1502" t="str">
        <f>'ТЕ_2ст_тариф_з ЦТП'!C82</f>
        <v>Двоставковий тариф на виробництво теплової енергії з ПДВ</v>
      </c>
      <c r="B70" t="str">
        <f>'ТЕ_2ст_тариф_з ЦТП'!D82</f>
        <v>  </v>
      </c>
      <c r="C70" t="e">
        <f>'ТЕ_2ст_тариф_з ЦТП'!E82-'ТЕ_2ст_тариф_без ЦТП'!E82</f>
        <v>#VALUE!</v>
      </c>
      <c r="E70" s="1791"/>
    </row>
    <row r="71" spans="1:17" x14ac:dyDescent="0.3">
      <c r="A71" s="1502" t="str">
        <f>'ТЕ_2ст_тариф_з ЦТП'!C83</f>
        <v>умовно-змінна частина  </v>
      </c>
      <c r="B71" t="str">
        <f>'ТЕ_2ст_тариф_з ЦТП'!D83</f>
        <v>грн/Гкал </v>
      </c>
      <c r="C71">
        <f>'ТЕ_2ст_тариф_з ЦТП'!E83-'ТЕ_2ст_тариф_без ЦТП'!E83</f>
        <v>0</v>
      </c>
      <c r="E71" s="1791"/>
    </row>
    <row r="72" spans="1:17" ht="28.8" x14ac:dyDescent="0.3">
      <c r="A72" s="1502" t="str">
        <f>'ТЕ_2ст_тариф_з ЦТП'!C84</f>
        <v>умовно-постійна частина (абонентська плата) </v>
      </c>
      <c r="B72" t="str">
        <f>'ТЕ_2ст_тариф_з ЦТП'!D84</f>
        <v>грн/ Гкал/год</v>
      </c>
      <c r="C72">
        <f>'ТЕ_2ст_тариф_з ЦТП'!E84-'ТЕ_2ст_тариф_без ЦТП'!E84</f>
        <v>0</v>
      </c>
      <c r="E72" s="1791">
        <f>'ТЕ_2ст_тариф_з ЦТП'!E84</f>
        <v>66788.555999999997</v>
      </c>
    </row>
    <row r="73" spans="1:17" x14ac:dyDescent="0.3">
      <c r="A73" s="1502" t="e">
        <f>'ТЕ_2ст_тариф_з ЦТП'!#REF!</f>
        <v>#REF!</v>
      </c>
      <c r="B73">
        <f>'ТЕ_2ст_тариф_з ЦТП'!D85</f>
        <v>0</v>
      </c>
      <c r="C73" t="e">
        <f>'ТЕ_2ст_тариф_з ЦТП'!C85-'ТЕ_2ст_тариф_без ЦТП'!E85</f>
        <v>#VALUE!</v>
      </c>
    </row>
    <row r="74" spans="1:17" x14ac:dyDescent="0.3">
      <c r="A74" s="1502" t="str">
        <f>'ТЕ_2ст_тариф_з ЦТП'!C86</f>
        <v>Виробнича собівартість, зокрема:</v>
      </c>
      <c r="B74" t="str">
        <f>'ТЕ_2ст_тариф_з ЦТП'!D86</f>
        <v>тис. грн</v>
      </c>
      <c r="C74">
        <f>'ТЕ_2ст_тариф_з ЦТП'!E86-'ТЕ_2ст_тариф_без ЦТП'!E86</f>
        <v>-26288.364478758325</v>
      </c>
    </row>
    <row r="75" spans="1:17" x14ac:dyDescent="0.3">
      <c r="A75" s="1502" t="str">
        <f>'ТЕ_2ст_тариф_з ЦТП'!C87</f>
        <v>прямі матеріальні витрати, зокрема:</v>
      </c>
      <c r="B75" t="str">
        <f>'ТЕ_2ст_тариф_з ЦТП'!D87</f>
        <v>тис. грн</v>
      </c>
      <c r="C75">
        <f>'ТЕ_2ст_тариф_з ЦТП'!E87-'ТЕ_2ст_тариф_без ЦТП'!E87</f>
        <v>-14511.522844998382</v>
      </c>
    </row>
    <row r="76" spans="1:17" x14ac:dyDescent="0.3">
      <c r="A76" s="1502" t="str">
        <f>'ТЕ_2ст_тариф_з ЦТП'!C88</f>
        <v>електроенергія</v>
      </c>
      <c r="B76" t="str">
        <f>'ТЕ_2ст_тариф_з ЦТП'!D88</f>
        <v>тис. грн</v>
      </c>
      <c r="C76">
        <f>'ТЕ_2ст_тариф_з ЦТП'!E88-'ТЕ_2ст_тариф_без ЦТП'!E88</f>
        <v>-6836.9131104365679</v>
      </c>
    </row>
    <row r="77" spans="1:17" ht="28.8" x14ac:dyDescent="0.3">
      <c r="A77" s="1502" t="str">
        <f>'ТЕ_2ст_тариф_з ЦТП'!C89</f>
        <v>транспортування теплової енергії іншими субєктами господарювання</v>
      </c>
      <c r="B77" t="str">
        <f>'ТЕ_2ст_тариф_з ЦТП'!D89</f>
        <v>тис. грн</v>
      </c>
      <c r="C77">
        <f>'ТЕ_2ст_тариф_з ЦТП'!E89-'ТЕ_2ст_тариф_без ЦТП'!E89</f>
        <v>0</v>
      </c>
    </row>
    <row r="78" spans="1:17" ht="28.8" x14ac:dyDescent="0.3">
      <c r="A78" s="1502" t="str">
        <f>'ТЕ_2ст_тариф_з ЦТП'!C90</f>
        <v>холодна вода для технологічних потреб  та водовідведення</v>
      </c>
      <c r="B78" t="str">
        <f>'ТЕ_2ст_тариф_з ЦТП'!D90</f>
        <v>тис. грн</v>
      </c>
      <c r="C78">
        <f>'ТЕ_2ст_тариф_з ЦТП'!E90-'ТЕ_2ст_тариф_без ЦТП'!E90</f>
        <v>-435.03916905151868</v>
      </c>
    </row>
    <row r="79" spans="1:17" x14ac:dyDescent="0.3">
      <c r="A79" s="1502" t="str">
        <f>'ТЕ_2ст_тариф_з ЦТП'!C91</f>
        <v>інші прямі матеріальні витрати</v>
      </c>
      <c r="B79" t="str">
        <f>'ТЕ_2ст_тариф_з ЦТП'!D91</f>
        <v>тис. грн</v>
      </c>
      <c r="C79">
        <f>'ТЕ_2ст_тариф_з ЦТП'!E91-'ТЕ_2ст_тариф_без ЦТП'!E91</f>
        <v>-7239.5705655102956</v>
      </c>
    </row>
    <row r="80" spans="1:17" ht="28.8" x14ac:dyDescent="0.3">
      <c r="A80" s="1502" t="str">
        <f>'ТЕ_2ст_тариф_з ЦТП'!C92</f>
        <v>у т.ч. витрати на покриття втрат теплової енергії в теплових мережах</v>
      </c>
      <c r="B80" t="str">
        <f>'ТЕ_2ст_тариф_з ЦТП'!D92</f>
        <v>тис. грн</v>
      </c>
      <c r="C80">
        <f>'ТЕ_2ст_тариф_з ЦТП'!E92-'ТЕ_2ст_тариф_без ЦТП'!E92</f>
        <v>-6642.3257051830487</v>
      </c>
    </row>
    <row r="81" spans="1:3" x14ac:dyDescent="0.3">
      <c r="A81" s="1502" t="str">
        <f>'ТЕ_2ст_тариф_з ЦТП'!C93</f>
        <v>прямі витрати на оплату праці</v>
      </c>
      <c r="B81" t="str">
        <f>'ТЕ_2ст_тариф_з ЦТП'!D93</f>
        <v>тис. грн</v>
      </c>
      <c r="C81">
        <f>'ТЕ_2ст_тариф_з ЦТП'!E93-'ТЕ_2ст_тариф_без ЦТП'!E93</f>
        <v>-7588.6569495210815</v>
      </c>
    </row>
    <row r="82" spans="1:3" x14ac:dyDescent="0.3">
      <c r="A82" s="1502" t="str">
        <f>'ТЕ_2ст_тариф_з ЦТП'!C94</f>
        <v>інші прямі витрати, зокрема:</v>
      </c>
      <c r="B82" t="str">
        <f>'ТЕ_2ст_тариф_з ЦТП'!D94</f>
        <v>тис. грн</v>
      </c>
      <c r="C82">
        <f>'ТЕ_2ст_тариф_з ЦТП'!E94-'ТЕ_2ст_тариф_без ЦТП'!E94</f>
        <v>-3501.4621786821708</v>
      </c>
    </row>
    <row r="83" spans="1:3" ht="43.2" x14ac:dyDescent="0.3">
      <c r="A83" s="1502" t="str">
        <f>'ТЕ_2ст_тариф_з ЦТП'!C95</f>
        <v>єдиний внесок на загальнообов’язкове державне соціальне страхування працівників</v>
      </c>
      <c r="B83" t="str">
        <f>'ТЕ_2ст_тариф_з ЦТП'!D95</f>
        <v>тис. грн</v>
      </c>
      <c r="C83">
        <f>'ТЕ_2ст_тариф_з ЦТП'!E95-'ТЕ_2ст_тариф_без ЦТП'!E95</f>
        <v>-1639.9016148855162</v>
      </c>
    </row>
    <row r="84" spans="1:3" x14ac:dyDescent="0.3">
      <c r="A84" s="1502" t="str">
        <f>'ТЕ_2ст_тариф_з ЦТП'!C96</f>
        <v>амортизація</v>
      </c>
      <c r="B84" t="str">
        <f>'ТЕ_2ст_тариф_з ЦТП'!D96</f>
        <v>тис. грн</v>
      </c>
      <c r="C84">
        <f>'ТЕ_2ст_тариф_з ЦТП'!E96-'ТЕ_2ст_тариф_без ЦТП'!E96</f>
        <v>126.38744547341366</v>
      </c>
    </row>
    <row r="85" spans="1:3" x14ac:dyDescent="0.3">
      <c r="A85" s="1502" t="str">
        <f>'ТЕ_2ст_тариф_з ЦТП'!C97</f>
        <v>інші прямі витрати</v>
      </c>
      <c r="B85" t="str">
        <f>'ТЕ_2ст_тариф_з ЦТП'!D97</f>
        <v>тис. грн</v>
      </c>
      <c r="C85">
        <f>'ТЕ_2ст_тариф_з ЦТП'!E97-'ТЕ_2ст_тариф_без ЦТП'!E97</f>
        <v>-1987.9480092700687</v>
      </c>
    </row>
    <row r="86" spans="1:3" x14ac:dyDescent="0.3">
      <c r="A86" s="1502" t="str">
        <f>'ТЕ_2ст_тариф_з ЦТП'!C98</f>
        <v>загальновиробничі витрати, зокрема:</v>
      </c>
      <c r="B86" t="str">
        <f>'ТЕ_2ст_тариф_з ЦТП'!D98</f>
        <v>тис. грн</v>
      </c>
      <c r="C86">
        <f>'ТЕ_2ст_тариф_з ЦТП'!E98-'ТЕ_2ст_тариф_без ЦТП'!E98</f>
        <v>-686.72250555669257</v>
      </c>
    </row>
    <row r="87" spans="1:3" x14ac:dyDescent="0.3">
      <c r="A87" s="1502" t="str">
        <f>'ТЕ_2ст_тариф_з ЦТП'!C99</f>
        <v>витрати на оплату праці</v>
      </c>
      <c r="B87" t="str">
        <f>'ТЕ_2ст_тариф_з ЦТП'!D99</f>
        <v>тис. грн</v>
      </c>
      <c r="C87">
        <f>'ТЕ_2ст_тариф_з ЦТП'!E99-'ТЕ_2ст_тариф_без ЦТП'!E99</f>
        <v>-524.74226972126098</v>
      </c>
    </row>
    <row r="88" spans="1:3" ht="43.2" x14ac:dyDescent="0.3">
      <c r="A88" s="1502" t="str">
        <f>'ТЕ_2ст_тариф_з ЦТП'!C100</f>
        <v>єдиний внесок на загальнообов’язкове державне соціальне страхування працівників</v>
      </c>
      <c r="B88" t="str">
        <f>'ТЕ_2ст_тариф_з ЦТП'!D100</f>
        <v>тис. грн</v>
      </c>
      <c r="C88">
        <f>'ТЕ_2ст_тариф_з ЦТП'!E100-'ТЕ_2ст_тариф_без ЦТП'!E100</f>
        <v>-112.00756684720415</v>
      </c>
    </row>
    <row r="89" spans="1:3" x14ac:dyDescent="0.3">
      <c r="A89" s="1502" t="str">
        <f>'ТЕ_2ст_тариф_з ЦТП'!C101</f>
        <v>інші витрати</v>
      </c>
      <c r="B89" t="str">
        <f>'ТЕ_2ст_тариф_з ЦТП'!D101</f>
        <v>тис. грн</v>
      </c>
      <c r="C89">
        <f>'ТЕ_2ст_тариф_з ЦТП'!E101-'ТЕ_2ст_тариф_без ЦТП'!E101</f>
        <v>-49.972668988227497</v>
      </c>
    </row>
    <row r="90" spans="1:3" x14ac:dyDescent="0.3">
      <c r="A90" s="1502" t="str">
        <f>'ТЕ_2ст_тариф_з ЦТП'!C102</f>
        <v>Адміністративні витрати, зокрема:</v>
      </c>
      <c r="B90" t="str">
        <f>'ТЕ_2ст_тариф_з ЦТП'!D102</f>
        <v>тис. грн</v>
      </c>
      <c r="C90">
        <f>'ТЕ_2ст_тариф_з ЦТП'!E102-'ТЕ_2ст_тариф_без ЦТП'!E102</f>
        <v>-834.87154333516992</v>
      </c>
    </row>
    <row r="91" spans="1:3" x14ac:dyDescent="0.3">
      <c r="A91" s="1502" t="str">
        <f>'ТЕ_2ст_тариф_з ЦТП'!C103</f>
        <v>витрати на оплату праці</v>
      </c>
      <c r="B91" t="str">
        <f>'ТЕ_2ст_тариф_з ЦТП'!D103</f>
        <v>тис. грн</v>
      </c>
      <c r="C91">
        <f>'ТЕ_2ст_тариф_з ЦТП'!E103-'ТЕ_2ст_тариф_без ЦТП'!E103</f>
        <v>-625.20535420633928</v>
      </c>
    </row>
    <row r="92" spans="1:3" ht="43.2" x14ac:dyDescent="0.3">
      <c r="A92" s="1502" t="str">
        <f>'ТЕ_2ст_тариф_з ЦТП'!C104</f>
        <v>єдиний внесок на загальнообов’язкове державне соціальне страхування працівників</v>
      </c>
      <c r="B92" t="str">
        <f>'ТЕ_2ст_тариф_з ЦТП'!D104</f>
        <v>тис. грн</v>
      </c>
      <c r="C92">
        <f>'ТЕ_2ст_тариф_з ЦТП'!E104-'ТЕ_2ст_тариф_без ЦТП'!E104</f>
        <v>-137.54517792539463</v>
      </c>
    </row>
    <row r="93" spans="1:3" x14ac:dyDescent="0.3">
      <c r="A93" s="1502" t="str">
        <f>'ТЕ_2ст_тариф_з ЦТП'!C105</f>
        <v>інші витрати</v>
      </c>
      <c r="B93" t="str">
        <f>'ТЕ_2ст_тариф_з ЦТП'!D105</f>
        <v>тис. грн</v>
      </c>
      <c r="C93">
        <f>'ТЕ_2ст_тариф_з ЦТП'!E105-'ТЕ_2ст_тариф_без ЦТП'!E105</f>
        <v>-72.121011203435998</v>
      </c>
    </row>
    <row r="94" spans="1:3" x14ac:dyDescent="0.3">
      <c r="A94" s="1502" t="str">
        <f>'ТЕ_2ст_тариф_з ЦТП'!C106</f>
        <v>Витрати на збут, зокрема:</v>
      </c>
      <c r="B94" t="str">
        <f>'ТЕ_2ст_тариф_з ЦТП'!D106</f>
        <v>тис. грн</v>
      </c>
      <c r="C94">
        <f>'ТЕ_2ст_тариф_з ЦТП'!E106-'ТЕ_2ст_тариф_без ЦТП'!E106</f>
        <v>0</v>
      </c>
    </row>
    <row r="95" spans="1:3" x14ac:dyDescent="0.3">
      <c r="A95" s="1502" t="str">
        <f>'ТЕ_2ст_тариф_з ЦТП'!C107</f>
        <v>витрати на оплату праці</v>
      </c>
      <c r="B95" t="str">
        <f>'ТЕ_2ст_тариф_з ЦТП'!D107</f>
        <v>тис. грн</v>
      </c>
      <c r="C95">
        <f>'ТЕ_2ст_тариф_з ЦТП'!E107-'ТЕ_2ст_тариф_без ЦТП'!E107</f>
        <v>0</v>
      </c>
    </row>
    <row r="96" spans="1:3" ht="43.2" x14ac:dyDescent="0.3">
      <c r="A96" s="1502" t="str">
        <f>'ТЕ_2ст_тариф_з ЦТП'!C108</f>
        <v>єдиний внесок на загальнообов’язкове державне соціальне страхування працівників</v>
      </c>
      <c r="B96" t="str">
        <f>'ТЕ_2ст_тариф_з ЦТП'!D108</f>
        <v>тис. грн</v>
      </c>
      <c r="C96">
        <f>'ТЕ_2ст_тариф_з ЦТП'!E108-'ТЕ_2ст_тариф_без ЦТП'!E108</f>
        <v>0</v>
      </c>
    </row>
    <row r="97" spans="1:3" x14ac:dyDescent="0.3">
      <c r="A97" s="1502" t="str">
        <f>'ТЕ_2ст_тариф_з ЦТП'!C109</f>
        <v>інші витрати*</v>
      </c>
      <c r="B97" t="str">
        <f>'ТЕ_2ст_тариф_з ЦТП'!D109</f>
        <v>тис. грн</v>
      </c>
      <c r="C97">
        <f>'ТЕ_2ст_тариф_з ЦТП'!E109-'ТЕ_2ст_тариф_без ЦТП'!E109</f>
        <v>0</v>
      </c>
    </row>
    <row r="98" spans="1:3" x14ac:dyDescent="0.3">
      <c r="A98" s="1502" t="str">
        <f>'ТЕ_2ст_тариф_з ЦТП'!C110</f>
        <v xml:space="preserve">Інші операційні витрати * </v>
      </c>
      <c r="B98" t="str">
        <f>'ТЕ_2ст_тариф_з ЦТП'!D110</f>
        <v>тис. грн</v>
      </c>
      <c r="C98">
        <f>'ТЕ_2ст_тариф_з ЦТП'!E110-'ТЕ_2ст_тариф_без ЦТП'!E110</f>
        <v>0</v>
      </c>
    </row>
    <row r="99" spans="1:3" x14ac:dyDescent="0.3">
      <c r="A99" s="1502" t="str">
        <f>'ТЕ_2ст_тариф_з ЦТП'!C111</f>
        <v>Фінансові витрати</v>
      </c>
      <c r="B99" t="str">
        <f>'ТЕ_2ст_тариф_з ЦТП'!D111</f>
        <v>тис. грн</v>
      </c>
      <c r="C99">
        <f>'ТЕ_2ст_тариф_з ЦТП'!E111-'ТЕ_2ст_тариф_без ЦТП'!E111</f>
        <v>0</v>
      </c>
    </row>
    <row r="100" spans="1:3" x14ac:dyDescent="0.3">
      <c r="A100" s="1502" t="str">
        <f>'ТЕ_2ст_тариф_з ЦТП'!C112</f>
        <v>Повна собівартість*</v>
      </c>
      <c r="B100" t="str">
        <f>'ТЕ_2ст_тариф_з ЦТП'!D112</f>
        <v>тис. грн</v>
      </c>
      <c r="C100">
        <f>'ТЕ_2ст_тариф_з ЦТП'!E112-'ТЕ_2ст_тариф_без ЦТП'!E112</f>
        <v>-27123.236022093493</v>
      </c>
    </row>
    <row r="101" spans="1:3" ht="28.8" x14ac:dyDescent="0.3">
      <c r="A101" s="1502" t="str">
        <f>'ТЕ_2ст_тариф_з ЦТП'!C113</f>
        <v>Витрати на відшкодування втрат, коригування витрат</v>
      </c>
      <c r="B101" t="str">
        <f>'ТЕ_2ст_тариф_з ЦТП'!D113</f>
        <v>тис. грн</v>
      </c>
      <c r="C101">
        <f>'ТЕ_2ст_тариф_з ЦТП'!E113-'ТЕ_2ст_тариф_без ЦТП'!E113</f>
        <v>0</v>
      </c>
    </row>
    <row r="102" spans="1:3" ht="28.8" x14ac:dyDescent="0.3">
      <c r="A102" s="1502" t="str">
        <f>'ТЕ_2ст_тариф_з ЦТП'!C114</f>
        <v>Розрахунковий прибуток*, усього,  зокрема:</v>
      </c>
      <c r="B102" t="str">
        <f>'ТЕ_2ст_тариф_з ЦТП'!D114</f>
        <v>тис. грн</v>
      </c>
      <c r="C102">
        <f>'ТЕ_2ст_тариф_з ЦТП'!E114-'ТЕ_2ст_тариф_без ЦТП'!E114</f>
        <v>-1256.9304498043327</v>
      </c>
    </row>
    <row r="103" spans="1:3" x14ac:dyDescent="0.3">
      <c r="A103" s="1502" t="str">
        <f>'ТЕ_2ст_тариф_з ЦТП'!C115</f>
        <v>податок на прибуток</v>
      </c>
      <c r="B103" t="str">
        <f>'ТЕ_2ст_тариф_з ЦТП'!D115</f>
        <v>тис. грн</v>
      </c>
      <c r="C103">
        <f>'ТЕ_2ст_тариф_з ЦТП'!E115-'ТЕ_2ст_тариф_без ЦТП'!E115</f>
        <v>-226.24748096477992</v>
      </c>
    </row>
    <row r="104" spans="1:3" x14ac:dyDescent="0.3">
      <c r="A104" s="1502" t="str">
        <f>'ТЕ_2ст_тариф_з ЦТП'!C116</f>
        <v>дивіденди</v>
      </c>
      <c r="B104" t="str">
        <f>'ТЕ_2ст_тариф_з ЦТП'!D116</f>
        <v>тис. грн</v>
      </c>
      <c r="C104">
        <f>'ТЕ_2ст_тариф_з ЦТП'!E116-'ТЕ_2ст_тариф_без ЦТП'!E116</f>
        <v>0</v>
      </c>
    </row>
    <row r="105" spans="1:3" x14ac:dyDescent="0.3">
      <c r="A105" s="1502" t="str">
        <f>'ТЕ_2ст_тариф_з ЦТП'!C117</f>
        <v>резервний фонд (капітал)</v>
      </c>
      <c r="B105" t="str">
        <f>'ТЕ_2ст_тариф_з ЦТП'!D117</f>
        <v>тис. грн</v>
      </c>
      <c r="C105">
        <f>'ТЕ_2ст_тариф_з ЦТП'!E117-'ТЕ_2ст_тариф_без ЦТП'!E117</f>
        <v>0</v>
      </c>
    </row>
    <row r="106" spans="1:3" ht="28.8" x14ac:dyDescent="0.3">
      <c r="A106" s="1502" t="str">
        <f>'ТЕ_2ст_тариф_з ЦТП'!C118</f>
        <v>на розвиток виробництва (виробничі інвестиції)</v>
      </c>
      <c r="B106" t="str">
        <f>'ТЕ_2ст_тариф_з ЦТП'!D118</f>
        <v>тис. грн</v>
      </c>
      <c r="C106">
        <f>'ТЕ_2ст_тариф_з ЦТП'!E118-'ТЕ_2ст_тариф_без ЦТП'!E118</f>
        <v>0</v>
      </c>
    </row>
    <row r="107" spans="1:3" x14ac:dyDescent="0.3">
      <c r="A107" s="1502" t="str">
        <f>'ТЕ_2ст_тариф_з ЦТП'!C119</f>
        <v>інше використання  прибутку</v>
      </c>
      <c r="B107" t="str">
        <f>'ТЕ_2ст_тариф_з ЦТП'!D119</f>
        <v>тис. грн</v>
      </c>
      <c r="C107">
        <f>'ТЕ_2ст_тариф_з ЦТП'!E119-'ТЕ_2ст_тариф_без ЦТП'!E119</f>
        <v>-1030.6829688395528</v>
      </c>
    </row>
    <row r="108" spans="1:3" ht="28.8" x14ac:dyDescent="0.3">
      <c r="A108" s="1502" t="str">
        <f>'ТЕ_2ст_тариф_з ЦТП'!C120</f>
        <v>Вартість транспортування теплової енергії за відповідними тарифами</v>
      </c>
      <c r="B108" t="str">
        <f>'ТЕ_2ст_тариф_з ЦТП'!D120</f>
        <v>тис. грн</v>
      </c>
      <c r="C108">
        <f>'ТЕ_2ст_тариф_з ЦТП'!E120-'ТЕ_2ст_тариф_без ЦТП'!E120</f>
        <v>-28380.166471897832</v>
      </c>
    </row>
    <row r="109" spans="1:3" ht="43.2" x14ac:dyDescent="0.3">
      <c r="A109" s="1502" t="str">
        <f>'ТЕ_2ст_тариф_з ЦТП'!C121</f>
        <v>Одноставковий тариф на транспортування теплової енергії без ПДВ</v>
      </c>
      <c r="B109" t="str">
        <f>'ТЕ_2ст_тариф_з ЦТП'!D121</f>
        <v>грн/Гкал</v>
      </c>
      <c r="C109">
        <f>'ТЕ_2ст_тариф_з ЦТП'!E121-'ТЕ_2ст_тариф_без ЦТП'!E121</f>
        <v>400.44805986230233</v>
      </c>
    </row>
    <row r="110" spans="1:3" ht="43.2" x14ac:dyDescent="0.3">
      <c r="A110" s="1502" t="str">
        <f>'ТЕ_2ст_тариф_з ЦТП'!C122</f>
        <v>Одноставковий тариф на транспортування теплової енергії з ПДВ</v>
      </c>
      <c r="B110" t="str">
        <f>'ТЕ_2ст_тариф_з ЦТП'!D122</f>
        <v>грн/Гкал</v>
      </c>
      <c r="C110">
        <f>'ТЕ_2ст_тариф_з ЦТП'!E122-'ТЕ_2ст_тариф_без ЦТП'!E122</f>
        <v>480.53767183476282</v>
      </c>
    </row>
    <row r="111" spans="1:3" ht="43.2" x14ac:dyDescent="0.3">
      <c r="A111" s="1502" t="str">
        <f>'ТЕ_2ст_тариф_з ЦТП'!C123</f>
        <v>Двоставковий тариф на транспортування теплової енергії без ПДВ</v>
      </c>
      <c r="B111" t="str">
        <f>'ТЕ_2ст_тариф_з ЦТП'!D123</f>
        <v>  </v>
      </c>
      <c r="C111" t="e">
        <f>'ТЕ_2ст_тариф_з ЦТП'!E123-'ТЕ_2ст_тариф_без ЦТП'!E123</f>
        <v>#VALUE!</v>
      </c>
    </row>
    <row r="112" spans="1:3" x14ac:dyDescent="0.3">
      <c r="A112" s="1502" t="str">
        <f>'ТЕ_2ст_тариф_з ЦТП'!C124</f>
        <v>умовно-змінна частина  </v>
      </c>
      <c r="B112" t="str">
        <f>'ТЕ_2ст_тариф_з ЦТП'!D124</f>
        <v>грн/Гкал </v>
      </c>
      <c r="C112">
        <f>'ТЕ_2ст_тариф_з ЦТП'!E124-'ТЕ_2ст_тариф_без ЦТП'!E124</f>
        <v>120.35</v>
      </c>
    </row>
    <row r="113" spans="1:3" ht="28.8" x14ac:dyDescent="0.3">
      <c r="A113" s="1502" t="str">
        <f>'ТЕ_2ст_тариф_з ЦТП'!C125</f>
        <v>умовно-постійна частина (абонентська плата)</v>
      </c>
      <c r="B113" t="str">
        <f>'ТЕ_2ст_тариф_з ЦТП'!D125</f>
        <v>грн/ Гкал/год</v>
      </c>
      <c r="C113">
        <f>'ТЕ_2ст_тариф_з ЦТП'!E125-'ТЕ_2ст_тариф_без ЦТП'!E125</f>
        <v>31736.770000000004</v>
      </c>
    </row>
    <row r="114" spans="1:3" ht="43.2" x14ac:dyDescent="0.3">
      <c r="A114" s="1502" t="str">
        <f>'ТЕ_2ст_тариф_з ЦТП'!C126</f>
        <v>Двоставковий тариф на транспортування теплової енергії з ПДВ</v>
      </c>
      <c r="B114" t="str">
        <f>'ТЕ_2ст_тариф_з ЦТП'!D126</f>
        <v>  </v>
      </c>
      <c r="C114" t="e">
        <f>'ТЕ_2ст_тариф_з ЦТП'!E126-'ТЕ_2ст_тариф_без ЦТП'!E126</f>
        <v>#VALUE!</v>
      </c>
    </row>
    <row r="115" spans="1:3" x14ac:dyDescent="0.3">
      <c r="A115" s="1502" t="str">
        <f>'ТЕ_2ст_тариф_з ЦТП'!C127</f>
        <v>умовно-змінна частина  </v>
      </c>
      <c r="B115" t="str">
        <f>'ТЕ_2ст_тариф_з ЦТП'!D127</f>
        <v>грн/Гкал </v>
      </c>
      <c r="C115">
        <f>'ТЕ_2ст_тариф_з ЦТП'!E127-'ТЕ_2ст_тариф_без ЦТП'!E127</f>
        <v>144.41999999999996</v>
      </c>
    </row>
    <row r="116" spans="1:3" ht="28.8" x14ac:dyDescent="0.3">
      <c r="A116" s="1502" t="str">
        <f>'ТЕ_2ст_тариф_з ЦТП'!C128</f>
        <v>умовно-постійна частина (абонентська плата)</v>
      </c>
      <c r="B116" t="str">
        <f>'ТЕ_2ст_тариф_з ЦТП'!D128</f>
        <v>грн/ Гкал/год</v>
      </c>
      <c r="C116">
        <f>'ТЕ_2ст_тариф_з ЦТП'!E128-'ТЕ_2ст_тариф_без ЦТП'!E128</f>
        <v>38084.124000000003</v>
      </c>
    </row>
    <row r="117" spans="1:3" x14ac:dyDescent="0.3">
      <c r="A117" s="1502" t="str">
        <f>'ТЕ_2ст_тариф_з ЦТП'!C129</f>
        <v>Постачання теплової енергії</v>
      </c>
      <c r="B117">
        <f>'ТЕ_2ст_тариф_з ЦТП'!D129</f>
        <v>0</v>
      </c>
      <c r="C117">
        <f>'ТЕ_2ст_тариф_з ЦТП'!E129-'ТЕ_2ст_тариф_без ЦТП'!E129</f>
        <v>0</v>
      </c>
    </row>
    <row r="118" spans="1:3" x14ac:dyDescent="0.3">
      <c r="A118" s="1502" t="str">
        <f>'ТЕ_2ст_тариф_з ЦТП'!C130</f>
        <v>Виробнича собівартість, зокрема:</v>
      </c>
      <c r="B118" t="str">
        <f>'ТЕ_2ст_тариф_з ЦТП'!D130</f>
        <v>тис. грн</v>
      </c>
      <c r="C118">
        <f>'ТЕ_2ст_тариф_з ЦТП'!E130-'ТЕ_2ст_тариф_без ЦТП'!E130</f>
        <v>0</v>
      </c>
    </row>
    <row r="119" spans="1:3" x14ac:dyDescent="0.3">
      <c r="A119" s="1502" t="str">
        <f>'ТЕ_2ст_тариф_з ЦТП'!C131</f>
        <v>прямі матеріальні витрати</v>
      </c>
      <c r="B119" t="str">
        <f>'ТЕ_2ст_тариф_з ЦТП'!D131</f>
        <v>тис. грн</v>
      </c>
      <c r="C119">
        <f>'ТЕ_2ст_тариф_з ЦТП'!E131-'ТЕ_2ст_тариф_без ЦТП'!E131</f>
        <v>0</v>
      </c>
    </row>
    <row r="120" spans="1:3" x14ac:dyDescent="0.3">
      <c r="A120" s="1502" t="str">
        <f>'ТЕ_2ст_тариф_з ЦТП'!C132</f>
        <v>прямі витрати на оплату праці</v>
      </c>
      <c r="B120" t="str">
        <f>'ТЕ_2ст_тариф_з ЦТП'!D132</f>
        <v>тис. грн</v>
      </c>
      <c r="C120">
        <f>'ТЕ_2ст_тариф_з ЦТП'!E132-'ТЕ_2ст_тариф_без ЦТП'!E132</f>
        <v>0</v>
      </c>
    </row>
    <row r="121" spans="1:3" x14ac:dyDescent="0.3">
      <c r="A121" s="1502" t="str">
        <f>'ТЕ_2ст_тариф_з ЦТП'!C133</f>
        <v>інші прямі витрати, зокрема:</v>
      </c>
      <c r="B121" t="str">
        <f>'ТЕ_2ст_тариф_з ЦТП'!D133</f>
        <v>тис. грн</v>
      </c>
      <c r="C121">
        <f>'ТЕ_2ст_тариф_з ЦТП'!E133-'ТЕ_2ст_тариф_без ЦТП'!E133</f>
        <v>0</v>
      </c>
    </row>
    <row r="122" spans="1:3" ht="43.2" x14ac:dyDescent="0.3">
      <c r="A122" s="1502" t="str">
        <f>'ТЕ_2ст_тариф_з ЦТП'!C134</f>
        <v>єдиний внесок на загальнообов’язкове державне соціальне страхування працівників</v>
      </c>
      <c r="B122" t="str">
        <f>'ТЕ_2ст_тариф_з ЦТП'!D134</f>
        <v>тис. грн</v>
      </c>
      <c r="C122">
        <f>'ТЕ_2ст_тариф_з ЦТП'!E134-'ТЕ_2ст_тариф_без ЦТП'!E134</f>
        <v>0</v>
      </c>
    </row>
    <row r="123" spans="1:3" x14ac:dyDescent="0.3">
      <c r="A123" s="1502" t="str">
        <f>'ТЕ_2ст_тариф_з ЦТП'!C135</f>
        <v>амортизація</v>
      </c>
      <c r="B123" t="str">
        <f>'ТЕ_2ст_тариф_з ЦТП'!D135</f>
        <v>тис. грн</v>
      </c>
      <c r="C123">
        <f>'ТЕ_2ст_тариф_з ЦТП'!E135-'ТЕ_2ст_тариф_без ЦТП'!E135</f>
        <v>0</v>
      </c>
    </row>
    <row r="124" spans="1:3" x14ac:dyDescent="0.3">
      <c r="A124" s="1502" t="str">
        <f>'ТЕ_2ст_тариф_з ЦТП'!C136</f>
        <v xml:space="preserve"> інші прямі витрати</v>
      </c>
      <c r="B124" t="str">
        <f>'ТЕ_2ст_тариф_з ЦТП'!D136</f>
        <v>тис. грн</v>
      </c>
      <c r="C124">
        <f>'ТЕ_2ст_тариф_з ЦТП'!E136-'ТЕ_2ст_тариф_без ЦТП'!E136</f>
        <v>0</v>
      </c>
    </row>
    <row r="125" spans="1:3" x14ac:dyDescent="0.3">
      <c r="A125" s="1502" t="str">
        <f>'ТЕ_2ст_тариф_з ЦТП'!C137</f>
        <v>загальновиробничі витрати, зокрема:</v>
      </c>
      <c r="B125" t="str">
        <f>'ТЕ_2ст_тариф_з ЦТП'!D137</f>
        <v>тис. грн</v>
      </c>
      <c r="C125">
        <f>'ТЕ_2ст_тариф_з ЦТП'!E137-'ТЕ_2ст_тариф_без ЦТП'!E137</f>
        <v>0</v>
      </c>
    </row>
    <row r="126" spans="1:3" x14ac:dyDescent="0.3">
      <c r="A126" s="1502" t="str">
        <f>'ТЕ_2ст_тариф_з ЦТП'!C138</f>
        <v>витрати на оплату праці</v>
      </c>
      <c r="B126" t="str">
        <f>'ТЕ_2ст_тариф_з ЦТП'!D138</f>
        <v>тис. грн</v>
      </c>
      <c r="C126">
        <f>'ТЕ_2ст_тариф_з ЦТП'!E138-'ТЕ_2ст_тариф_без ЦТП'!E138</f>
        <v>0</v>
      </c>
    </row>
    <row r="127" spans="1:3" ht="43.2" x14ac:dyDescent="0.3">
      <c r="A127" s="1502" t="str">
        <f>'ТЕ_2ст_тариф_з ЦТП'!C139</f>
        <v>єдиний внесок на загальнообов’язкове державне соціальне страхування працівників</v>
      </c>
      <c r="B127" t="str">
        <f>'ТЕ_2ст_тариф_з ЦТП'!D139</f>
        <v>тис. грн</v>
      </c>
      <c r="C127">
        <f>'ТЕ_2ст_тариф_з ЦТП'!E139-'ТЕ_2ст_тариф_без ЦТП'!E139</f>
        <v>0</v>
      </c>
    </row>
    <row r="128" spans="1:3" x14ac:dyDescent="0.3">
      <c r="A128" s="1502" t="str">
        <f>'ТЕ_2ст_тариф_з ЦТП'!C140</f>
        <v>інші витрати</v>
      </c>
      <c r="B128" t="str">
        <f>'ТЕ_2ст_тариф_з ЦТП'!D140</f>
        <v>тис. грн</v>
      </c>
      <c r="C128">
        <f>'ТЕ_2ст_тариф_з ЦТП'!E140-'ТЕ_2ст_тариф_без ЦТП'!E140</f>
        <v>0</v>
      </c>
    </row>
    <row r="129" spans="1:3" x14ac:dyDescent="0.3">
      <c r="A129" s="1502" t="str">
        <f>'ТЕ_2ст_тариф_з ЦТП'!C141</f>
        <v>Адміністративні витрати, зокрема:</v>
      </c>
      <c r="B129" t="str">
        <f>'ТЕ_2ст_тариф_з ЦТП'!D141</f>
        <v>тис. грн</v>
      </c>
      <c r="C129">
        <f>'ТЕ_2ст_тариф_з ЦТП'!E141-'ТЕ_2ст_тариф_без ЦТП'!E141</f>
        <v>0</v>
      </c>
    </row>
  </sheetData>
  <pageMargins left="0.7" right="0.7" top="0.75" bottom="0.75" header="0.3" footer="0.3"/>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300-000000000000}">
  <sheetPr codeName="Лист49"/>
  <dimension ref="A1:N54"/>
  <sheetViews>
    <sheetView workbookViewId="0">
      <selection activeCell="B5" sqref="B5"/>
    </sheetView>
  </sheetViews>
  <sheetFormatPr defaultColWidth="8.88671875" defaultRowHeight="15.6" x14ac:dyDescent="0.3"/>
  <cols>
    <col min="1" max="1" width="19.33203125" style="45" customWidth="1"/>
    <col min="2" max="2" width="14" style="45" customWidth="1"/>
    <col min="3" max="3" width="10.33203125" style="45" customWidth="1"/>
    <col min="4" max="4" width="10.6640625" style="45" customWidth="1"/>
    <col min="5" max="5" width="2" style="45" customWidth="1"/>
    <col min="6" max="6" width="19.5546875" style="45" customWidth="1"/>
    <col min="7" max="7" width="12.88671875" style="45" customWidth="1"/>
    <col min="8" max="8" width="9.6640625" style="45" customWidth="1"/>
    <col min="9" max="9" width="10.33203125" style="45" customWidth="1"/>
    <col min="10" max="10" width="3.109375" style="45" customWidth="1"/>
    <col min="11" max="11" width="12.88671875" style="45" customWidth="1"/>
    <col min="12" max="12" width="8.88671875" style="45"/>
    <col min="13" max="13" width="10" style="45" customWidth="1"/>
    <col min="14" max="16384" width="8.88671875" style="45"/>
  </cols>
  <sheetData>
    <row r="1" spans="1:14" x14ac:dyDescent="0.3">
      <c r="A1" s="45" t="s">
        <v>3113</v>
      </c>
      <c r="F1" s="45" t="s">
        <v>2968</v>
      </c>
    </row>
    <row r="2" spans="1:14" s="40" customFormat="1" ht="46.8" x14ac:dyDescent="0.3">
      <c r="A2" s="1307" t="s">
        <v>1941</v>
      </c>
      <c r="B2" s="7" t="s">
        <v>2969</v>
      </c>
      <c r="C2" s="1307" t="s">
        <v>2970</v>
      </c>
      <c r="D2" s="1307" t="s">
        <v>2971</v>
      </c>
      <c r="F2" s="7" t="s">
        <v>1941</v>
      </c>
      <c r="G2" s="7" t="s">
        <v>2969</v>
      </c>
      <c r="H2" s="7" t="s">
        <v>2970</v>
      </c>
      <c r="I2" s="7" t="s">
        <v>2971</v>
      </c>
      <c r="K2" s="7" t="s">
        <v>2976</v>
      </c>
    </row>
    <row r="3" spans="1:14" s="44" customFormat="1" ht="31.2" x14ac:dyDescent="0.3">
      <c r="A3" s="1311" t="s">
        <v>2972</v>
      </c>
      <c r="B3" s="1428">
        <f>B4+B5</f>
        <v>162608.01309177771</v>
      </c>
      <c r="C3" s="1825"/>
      <c r="D3" s="1825"/>
      <c r="E3" s="1826"/>
      <c r="F3" s="1311" t="s">
        <v>2972</v>
      </c>
      <c r="G3" s="1428">
        <f>SUM(G4:G5)</f>
        <v>158304.55853993824</v>
      </c>
      <c r="H3" s="1825"/>
      <c r="I3" s="1825"/>
      <c r="J3" s="1826"/>
      <c r="K3" s="1428">
        <f>B3-G3</f>
        <v>4303.4545518394734</v>
      </c>
    </row>
    <row r="4" spans="1:14" x14ac:dyDescent="0.3">
      <c r="A4" s="1230" t="s">
        <v>2252</v>
      </c>
      <c r="B4" s="1429">
        <f>'ТЕ_2ст_тариф_без ЦТП'!G76</f>
        <v>47816.649226680835</v>
      </c>
      <c r="C4" s="1307"/>
      <c r="D4" s="1307"/>
      <c r="E4" s="40"/>
      <c r="F4" s="1230" t="s">
        <v>2252</v>
      </c>
      <c r="G4" s="1429">
        <v>50980.688129292554</v>
      </c>
      <c r="H4" s="1307"/>
      <c r="I4" s="1307"/>
      <c r="J4" s="40"/>
      <c r="K4" s="1429">
        <f t="shared" ref="K4:K14" si="0">B4-G4</f>
        <v>-3164.0389026117191</v>
      </c>
    </row>
    <row r="5" spans="1:14" x14ac:dyDescent="0.3">
      <c r="A5" s="1230" t="s">
        <v>2251</v>
      </c>
      <c r="B5" s="1429">
        <f>'ТЕ_2ст_тариф_без ЦТП'!F76</f>
        <v>114791.36386509688</v>
      </c>
      <c r="C5" s="1307"/>
      <c r="D5" s="1307"/>
      <c r="E5" s="40"/>
      <c r="F5" s="1230" t="s">
        <v>2251</v>
      </c>
      <c r="G5" s="1429">
        <v>107323.87041064569</v>
      </c>
      <c r="H5" s="1307"/>
      <c r="I5" s="1307"/>
      <c r="J5" s="40"/>
      <c r="K5" s="1429">
        <f t="shared" si="0"/>
        <v>7467.4934544511925</v>
      </c>
    </row>
    <row r="6" spans="1:14" s="44" customFormat="1" ht="31.2" x14ac:dyDescent="0.3">
      <c r="A6" s="1311" t="s">
        <v>2973</v>
      </c>
      <c r="B6" s="1428">
        <f>B7+B8</f>
        <v>58839.397624889018</v>
      </c>
      <c r="C6" s="1428">
        <f>C7+C8</f>
        <v>15229.615576495597</v>
      </c>
      <c r="D6" s="1428">
        <f>D7+D8</f>
        <v>43609.782048393419</v>
      </c>
      <c r="E6" s="1826"/>
      <c r="F6" s="1311" t="s">
        <v>2973</v>
      </c>
      <c r="G6" s="1428">
        <f>SUM(G7:G8)</f>
        <v>42774.494363161786</v>
      </c>
      <c r="H6" s="1428">
        <f>SUM(H7:H8)</f>
        <v>11111.033266680221</v>
      </c>
      <c r="I6" s="1428">
        <f>SUM(I7:I8)</f>
        <v>31663.461096481562</v>
      </c>
      <c r="J6" s="1826"/>
      <c r="K6" s="1428">
        <f t="shared" si="0"/>
        <v>16064.903261727231</v>
      </c>
    </row>
    <row r="7" spans="1:14" x14ac:dyDescent="0.3">
      <c r="A7" s="1230" t="s">
        <v>2252</v>
      </c>
      <c r="B7" s="1429">
        <f>C7+D7</f>
        <v>43642.62608135448</v>
      </c>
      <c r="C7" s="1429">
        <f>'ТЕ_2ст_тариф_з ЦТП'!G120</f>
        <v>11049.686359946612</v>
      </c>
      <c r="D7" s="1429">
        <f>'ТЕ_2ст_тариф_без ЦТП'!G120</f>
        <v>32592.939721407871</v>
      </c>
      <c r="E7" s="40"/>
      <c r="F7" s="1230" t="s">
        <v>2252</v>
      </c>
      <c r="G7" s="1429">
        <f>H7+I7</f>
        <v>35889.642464534649</v>
      </c>
      <c r="H7" s="1828">
        <v>9213.4263666406532</v>
      </c>
      <c r="I7" s="1829">
        <v>26676.216097893994</v>
      </c>
      <c r="J7" s="40"/>
      <c r="K7" s="1429">
        <f t="shared" si="0"/>
        <v>7752.9836168198308</v>
      </c>
    </row>
    <row r="8" spans="1:14" x14ac:dyDescent="0.3">
      <c r="A8" s="1230" t="s">
        <v>2251</v>
      </c>
      <c r="B8" s="1429">
        <f>C8+D8</f>
        <v>15196.771543534536</v>
      </c>
      <c r="C8" s="1429">
        <f>'ТЕ_2ст_тариф_з ЦТП'!F120</f>
        <v>4179.9292165489842</v>
      </c>
      <c r="D8" s="1429">
        <f>'ТЕ_2ст_тариф_без ЦТП'!F120</f>
        <v>11016.842326985552</v>
      </c>
      <c r="E8" s="40"/>
      <c r="F8" s="1230" t="s">
        <v>2251</v>
      </c>
      <c r="G8" s="1429">
        <f>H8+I8</f>
        <v>6884.8518986271356</v>
      </c>
      <c r="H8" s="1828">
        <v>1897.6069000395678</v>
      </c>
      <c r="I8" s="1829">
        <v>4987.2449985875674</v>
      </c>
      <c r="J8" s="40"/>
      <c r="K8" s="1429">
        <f t="shared" si="0"/>
        <v>8311.9196449074007</v>
      </c>
    </row>
    <row r="9" spans="1:14" s="44" customFormat="1" ht="31.2" x14ac:dyDescent="0.3">
      <c r="A9" s="1311" t="s">
        <v>2974</v>
      </c>
      <c r="B9" s="1428">
        <f>B10+B11</f>
        <v>2053.3877088801205</v>
      </c>
      <c r="C9" s="1825"/>
      <c r="D9" s="1825"/>
      <c r="E9" s="1826"/>
      <c r="F9" s="1311" t="s">
        <v>2974</v>
      </c>
      <c r="G9" s="1428">
        <f>SUM(G10:G11)</f>
        <v>1877.0940582451647</v>
      </c>
      <c r="H9" s="1825"/>
      <c r="I9" s="1825"/>
      <c r="J9" s="1826"/>
      <c r="K9" s="1428">
        <f t="shared" si="0"/>
        <v>176.29365063495584</v>
      </c>
    </row>
    <row r="10" spans="1:14" x14ac:dyDescent="0.3">
      <c r="A10" s="1230" t="s">
        <v>2252</v>
      </c>
      <c r="B10" s="1429">
        <f>'ТЕ_2ст_тариф_з ЦТП'!G159</f>
        <v>2053.3877088801205</v>
      </c>
      <c r="C10" s="1307"/>
      <c r="D10" s="1307"/>
      <c r="E10" s="40"/>
      <c r="F10" s="1230" t="s">
        <v>2252</v>
      </c>
      <c r="G10" s="1429">
        <v>1877.0940582451647</v>
      </c>
      <c r="H10" s="1307"/>
      <c r="I10" s="1307"/>
      <c r="J10" s="40"/>
      <c r="K10" s="1429">
        <f t="shared" si="0"/>
        <v>176.29365063495584</v>
      </c>
    </row>
    <row r="11" spans="1:14" x14ac:dyDescent="0.3">
      <c r="A11" s="1230" t="s">
        <v>2251</v>
      </c>
      <c r="B11" s="1429">
        <v>0</v>
      </c>
      <c r="C11" s="1307"/>
      <c r="D11" s="1307"/>
      <c r="E11" s="40"/>
      <c r="F11" s="1230" t="s">
        <v>2251</v>
      </c>
      <c r="G11" s="1429">
        <v>0</v>
      </c>
      <c r="H11" s="1307"/>
      <c r="I11" s="1307"/>
      <c r="J11" s="40"/>
      <c r="K11" s="1429">
        <f t="shared" si="0"/>
        <v>0</v>
      </c>
    </row>
    <row r="12" spans="1:14" s="44" customFormat="1" ht="31.2" x14ac:dyDescent="0.3">
      <c r="A12" s="1311" t="s">
        <v>2975</v>
      </c>
      <c r="B12" s="1428">
        <f>B13+B14</f>
        <v>223500.79842554685</v>
      </c>
      <c r="C12" s="1825"/>
      <c r="D12" s="1825"/>
      <c r="E12" s="1826"/>
      <c r="F12" s="1311" t="s">
        <v>2975</v>
      </c>
      <c r="G12" s="1428">
        <f>G13+G14</f>
        <v>202956.14696134519</v>
      </c>
      <c r="H12" s="1825"/>
      <c r="I12" s="1825"/>
      <c r="J12" s="1826"/>
      <c r="K12" s="1428">
        <f t="shared" si="0"/>
        <v>20544.651464201655</v>
      </c>
    </row>
    <row r="13" spans="1:14" s="44" customFormat="1" x14ac:dyDescent="0.3">
      <c r="A13" s="1230" t="s">
        <v>2252</v>
      </c>
      <c r="B13" s="1428">
        <f>B4+B7+B10</f>
        <v>93512.663016915438</v>
      </c>
      <c r="C13" s="1825"/>
      <c r="D13" s="1825"/>
      <c r="E13" s="1826"/>
      <c r="F13" s="1230" t="s">
        <v>2252</v>
      </c>
      <c r="G13" s="1428">
        <f>G4+G7+G10</f>
        <v>88747.424652072368</v>
      </c>
      <c r="H13" s="1825"/>
      <c r="I13" s="1825"/>
      <c r="J13" s="1826"/>
      <c r="K13" s="1428">
        <f t="shared" si="0"/>
        <v>4765.2383648430696</v>
      </c>
      <c r="M13" s="1832">
        <f>B13/B12</f>
        <v>0.41839968212939793</v>
      </c>
      <c r="N13" s="1832">
        <f>G13/G12</f>
        <v>0.43727389379822579</v>
      </c>
    </row>
    <row r="14" spans="1:14" s="44" customFormat="1" x14ac:dyDescent="0.3">
      <c r="A14" s="1230" t="s">
        <v>2251</v>
      </c>
      <c r="B14" s="1428">
        <f>B5+B8+B11</f>
        <v>129988.13540863141</v>
      </c>
      <c r="C14" s="1825"/>
      <c r="D14" s="1825"/>
      <c r="E14" s="1826"/>
      <c r="F14" s="1230" t="s">
        <v>2251</v>
      </c>
      <c r="G14" s="1428">
        <f>G5+G8+G11</f>
        <v>114208.72230927282</v>
      </c>
      <c r="H14" s="1825"/>
      <c r="I14" s="1825"/>
      <c r="J14" s="1826"/>
      <c r="K14" s="1428">
        <f t="shared" si="0"/>
        <v>15779.413099358586</v>
      </c>
      <c r="M14" s="1832">
        <f>B14/B12</f>
        <v>0.58160031787060207</v>
      </c>
      <c r="N14" s="1832">
        <f>G14/G12</f>
        <v>0.56272610620177421</v>
      </c>
    </row>
    <row r="15" spans="1:14" x14ac:dyDescent="0.3">
      <c r="A15" s="40"/>
      <c r="B15" s="40"/>
      <c r="C15" s="40"/>
      <c r="D15" s="40"/>
      <c r="E15" s="40"/>
      <c r="F15" s="40"/>
      <c r="G15" s="40"/>
      <c r="H15" s="40"/>
      <c r="I15" s="40" t="s">
        <v>2023</v>
      </c>
      <c r="J15" s="40"/>
      <c r="K15" s="1827">
        <f>K12*1.2</f>
        <v>24653.581757041986</v>
      </c>
    </row>
    <row r="16" spans="1:14" x14ac:dyDescent="0.3">
      <c r="A16" s="45" t="s">
        <v>2977</v>
      </c>
    </row>
    <row r="17" spans="1:13" x14ac:dyDescent="0.3">
      <c r="A17" s="45" t="s">
        <v>2978</v>
      </c>
      <c r="B17" s="1762">
        <f>'сведено-економ'!G16</f>
        <v>227193.14497299213</v>
      </c>
      <c r="C17" s="1762">
        <f>B12-B17</f>
        <v>-3692.3465474452823</v>
      </c>
    </row>
    <row r="18" spans="1:13" x14ac:dyDescent="0.3">
      <c r="A18" s="45" t="s">
        <v>2979</v>
      </c>
      <c r="B18" s="1830">
        <f>'сведено-економ'!C16</f>
        <v>162608.01309177766</v>
      </c>
      <c r="C18" s="1830">
        <f>B3-B18</f>
        <v>0</v>
      </c>
    </row>
    <row r="19" spans="1:13" x14ac:dyDescent="0.3">
      <c r="A19" s="45" t="s">
        <v>2980</v>
      </c>
      <c r="B19" s="1762">
        <f>'сведено-економ'!D16</f>
        <v>15898.273583079863</v>
      </c>
      <c r="C19" s="1762">
        <f>C6-B19</f>
        <v>-668.65800658426633</v>
      </c>
    </row>
    <row r="20" spans="1:13" x14ac:dyDescent="0.3">
      <c r="A20" s="45" t="s">
        <v>2981</v>
      </c>
      <c r="B20" s="1762">
        <f>'сведено-економ'!E16</f>
        <v>46633.470589254481</v>
      </c>
      <c r="C20" s="1762">
        <f>D6-B20</f>
        <v>-3023.6885408610615</v>
      </c>
    </row>
    <row r="21" spans="1:13" x14ac:dyDescent="0.3">
      <c r="A21" s="45" t="s">
        <v>2982</v>
      </c>
      <c r="B21" s="1830">
        <f>'сведено-економ'!F16</f>
        <v>2053.3877088801205</v>
      </c>
      <c r="C21" s="1830">
        <f>B9-B21</f>
        <v>0</v>
      </c>
      <c r="F21" s="2065" t="s">
        <v>2998</v>
      </c>
      <c r="G21" s="5464" t="s">
        <v>2464</v>
      </c>
      <c r="H21" s="5464"/>
      <c r="I21" s="5464"/>
      <c r="J21" s="5464"/>
      <c r="K21" s="5464"/>
    </row>
    <row r="22" spans="1:13" x14ac:dyDescent="0.3">
      <c r="A22" s="2063"/>
      <c r="B22" s="2064" t="s">
        <v>2830</v>
      </c>
      <c r="C22" s="2064" t="s">
        <v>2831</v>
      </c>
      <c r="D22" s="2063" t="s">
        <v>2832</v>
      </c>
      <c r="E22" s="2063"/>
      <c r="F22" s="2063" t="s">
        <v>2996</v>
      </c>
      <c r="G22" s="1836" t="s">
        <v>2830</v>
      </c>
      <c r="H22" s="1836" t="s">
        <v>3114</v>
      </c>
      <c r="I22" s="1837" t="s">
        <v>3115</v>
      </c>
      <c r="J22" s="1837"/>
      <c r="K22" s="1837" t="s">
        <v>2996</v>
      </c>
    </row>
    <row r="23" spans="1:13" x14ac:dyDescent="0.3">
      <c r="A23" s="1833" t="s">
        <v>2994</v>
      </c>
      <c r="B23" s="1834">
        <f>B5</f>
        <v>114791.36386509688</v>
      </c>
      <c r="C23" s="1834">
        <f>B8</f>
        <v>15196.771543534536</v>
      </c>
      <c r="D23" s="1834">
        <f>B11</f>
        <v>0</v>
      </c>
      <c r="E23" s="778"/>
      <c r="F23" s="1834">
        <f>SUM(B23:E23)</f>
        <v>129988.13540863141</v>
      </c>
      <c r="G23" s="1838">
        <v>72619.580715711447</v>
      </c>
      <c r="H23" s="1838">
        <v>6300.7012058830132</v>
      </c>
      <c r="I23" s="1838">
        <v>0</v>
      </c>
      <c r="J23" s="1839"/>
      <c r="K23" s="1838">
        <v>78920.281921594462</v>
      </c>
      <c r="M23" s="1831">
        <f>F23-K23</f>
        <v>51067.853487036948</v>
      </c>
    </row>
    <row r="24" spans="1:13" x14ac:dyDescent="0.3">
      <c r="A24" s="778" t="s">
        <v>2995</v>
      </c>
      <c r="B24" s="1308">
        <f>'ТЕ_2ст_тариф_з ЦТП'!F39</f>
        <v>108854.01348362931</v>
      </c>
      <c r="C24" s="1308"/>
      <c r="D24" s="778"/>
      <c r="E24" s="778"/>
      <c r="F24" s="1834">
        <f>SUM(B24:E24)</f>
        <v>108854.01348362931</v>
      </c>
      <c r="G24" s="1840">
        <v>70053.54599382545</v>
      </c>
      <c r="H24" s="1840"/>
      <c r="I24" s="1839"/>
      <c r="J24" s="1839"/>
      <c r="K24" s="1838">
        <v>70053.54599382545</v>
      </c>
      <c r="M24" s="1762">
        <f>F24-K24</f>
        <v>38800.467489803865</v>
      </c>
    </row>
    <row r="25" spans="1:13" x14ac:dyDescent="0.3">
      <c r="A25" s="778" t="s">
        <v>43</v>
      </c>
      <c r="B25" s="1308">
        <f>'ТЕ_2ст_тариф_з ЦТП'!F43</f>
        <v>5937.3503814675587</v>
      </c>
      <c r="C25" s="1308">
        <f>'ТЕ_2ст_тариф_з ЦТП'!F88+'ТЕ_2ст_тариф_без ЦТП'!F88</f>
        <v>15196.771543534536</v>
      </c>
      <c r="D25" s="778"/>
      <c r="E25" s="778"/>
      <c r="F25" s="1834">
        <f>SUM(B25:E25)</f>
        <v>21134.121925002095</v>
      </c>
      <c r="G25" s="1840">
        <v>2566.0347218860002</v>
      </c>
      <c r="H25" s="1840">
        <v>6300.7012058830132</v>
      </c>
      <c r="I25" s="1839"/>
      <c r="J25" s="1839"/>
      <c r="K25" s="1838">
        <v>8866.7359277690139</v>
      </c>
      <c r="M25" s="1762">
        <f>F25-K25</f>
        <v>12267.385997233081</v>
      </c>
    </row>
    <row r="26" spans="1:13" x14ac:dyDescent="0.3">
      <c r="F26" s="45" t="s">
        <v>2996</v>
      </c>
      <c r="G26" s="1837"/>
      <c r="H26" s="1837"/>
      <c r="I26" s="1837"/>
      <c r="J26" s="1837"/>
      <c r="K26" s="1837" t="s">
        <v>2996</v>
      </c>
    </row>
    <row r="27" spans="1:13" x14ac:dyDescent="0.3">
      <c r="A27" s="1833" t="s">
        <v>2983</v>
      </c>
      <c r="B27" s="1834">
        <f>B4</f>
        <v>47816.649226680835</v>
      </c>
      <c r="C27" s="1834">
        <f>B7</f>
        <v>43642.62608135448</v>
      </c>
      <c r="D27" s="1834">
        <f>B10</f>
        <v>2053.3877088801205</v>
      </c>
      <c r="E27" s="778"/>
      <c r="F27" s="1834">
        <f>B13</f>
        <v>93512.663016915438</v>
      </c>
      <c r="G27" s="1838">
        <v>35000.1855733427</v>
      </c>
      <c r="H27" s="1838">
        <v>30114.525479102813</v>
      </c>
      <c r="I27" s="1838">
        <v>667.99438075647981</v>
      </c>
      <c r="J27" s="1839"/>
      <c r="K27" s="1838">
        <v>65782.705433201991</v>
      </c>
      <c r="M27" s="1831">
        <f>F27-K27</f>
        <v>27729.957583713447</v>
      </c>
    </row>
    <row r="28" spans="1:13" x14ac:dyDescent="0.3">
      <c r="A28" s="778" t="s">
        <v>2995</v>
      </c>
      <c r="B28" s="1308">
        <f>'ТЕ_2ст_тариф_з ЦТП'!G42</f>
        <v>9950.3473099999992</v>
      </c>
      <c r="C28" s="1834"/>
      <c r="D28" s="1834"/>
      <c r="E28" s="778"/>
      <c r="F28" s="1308">
        <f>SUM(B28:D28)</f>
        <v>9950.3473099999992</v>
      </c>
      <c r="G28" s="1840">
        <v>9795.6092466000009</v>
      </c>
      <c r="H28" s="1838"/>
      <c r="I28" s="1838"/>
      <c r="J28" s="1839"/>
      <c r="K28" s="1840">
        <v>9795.6092466000009</v>
      </c>
      <c r="M28" s="1762">
        <f t="shared" ref="M28:M51" si="1">F28-K28</f>
        <v>154.73806339999828</v>
      </c>
    </row>
    <row r="29" spans="1:13" x14ac:dyDescent="0.3">
      <c r="A29" s="778" t="s">
        <v>460</v>
      </c>
      <c r="B29" s="1459">
        <f>'ТЕ_2ст_тариф_з ЦТП'!G52</f>
        <v>2122.9628600000001</v>
      </c>
      <c r="C29" s="1459">
        <f>'ТЕ_2ст_тариф_з ЦТП'!G96+'ТЕ_2ст_тариф_без ЦТП'!G96</f>
        <v>4893.1294399999952</v>
      </c>
      <c r="D29" s="1308">
        <f>'ТЕ_2ст_тариф_з ЦТП'!G135</f>
        <v>843.99335000000065</v>
      </c>
      <c r="E29" s="778"/>
      <c r="F29" s="1308">
        <f t="shared" ref="F29:F51" si="2">SUM(B29:D29)</f>
        <v>7860.0856499999954</v>
      </c>
      <c r="G29" s="1841">
        <v>2066.7978899999998</v>
      </c>
      <c r="H29" s="1841">
        <v>3668.311760000001</v>
      </c>
      <c r="I29" s="1840">
        <v>7.1316000000000015</v>
      </c>
      <c r="J29" s="1839"/>
      <c r="K29" s="1840">
        <v>5742.24125</v>
      </c>
      <c r="M29" s="1762">
        <f t="shared" si="1"/>
        <v>2117.8443999999954</v>
      </c>
    </row>
    <row r="30" spans="1:13" x14ac:dyDescent="0.3">
      <c r="A30" s="778" t="s">
        <v>2984</v>
      </c>
      <c r="B30" s="1459">
        <f>'ТЕ_2ст_тариф_з ЦТП'!G48</f>
        <v>623.00670261753226</v>
      </c>
      <c r="C30" s="1459">
        <f>'ТЕ_2ст_тариф_з ЦТП'!G91-'ТЕ_2ст_тариф_з ЦТП'!G92+'ТЕ_2ст_тариф_без ЦТП'!G91-'ТЕ_2ст_тариф_без ЦТП'!G92</f>
        <v>895.38456827500158</v>
      </c>
      <c r="D30" s="1308">
        <f>'ТЕ_2ст_тариф_з ЦТП'!G131</f>
        <v>16.205225647500001</v>
      </c>
      <c r="E30" s="778"/>
      <c r="F30" s="1308">
        <f t="shared" si="2"/>
        <v>1534.5964965400337</v>
      </c>
      <c r="G30" s="1841">
        <v>427.15829594154201</v>
      </c>
      <c r="H30" s="1841">
        <v>510.69547387589409</v>
      </c>
      <c r="I30" s="1840">
        <v>20.010137329999999</v>
      </c>
      <c r="J30" s="1839"/>
      <c r="K30" s="1840">
        <v>957.86390714743618</v>
      </c>
      <c r="M30" s="1762">
        <f t="shared" si="1"/>
        <v>576.73258939259756</v>
      </c>
    </row>
    <row r="31" spans="1:13" x14ac:dyDescent="0.3">
      <c r="A31" s="778" t="s">
        <v>2990</v>
      </c>
      <c r="B31" s="1459">
        <f>'ТЕ_2ст_тариф_з ЦТП'!G47</f>
        <v>33.313922123945588</v>
      </c>
      <c r="C31" s="1459">
        <f>'ТЕ_2ст_тариф_з ЦТП'!G90+'ТЕ_2ст_тариф_без ЦТП'!G90</f>
        <v>652.20713385541467</v>
      </c>
      <c r="D31" s="778"/>
      <c r="E31" s="778"/>
      <c r="F31" s="1308">
        <f t="shared" si="2"/>
        <v>685.5210559793602</v>
      </c>
      <c r="G31" s="1841">
        <v>33.676059022559215</v>
      </c>
      <c r="H31" s="1841">
        <v>661.81945722629632</v>
      </c>
      <c r="I31" s="1839"/>
      <c r="J31" s="1839"/>
      <c r="K31" s="1840">
        <v>695.49551624885555</v>
      </c>
      <c r="M31" s="1762">
        <f t="shared" si="1"/>
        <v>-9.9744602694953528</v>
      </c>
    </row>
    <row r="32" spans="1:13" x14ac:dyDescent="0.3">
      <c r="A32" s="778" t="s">
        <v>2985</v>
      </c>
      <c r="B32" s="1459">
        <f>'ТЕ_2ст_тариф_з ЦТП'!G49</f>
        <v>11228.939355305938</v>
      </c>
      <c r="C32" s="1459">
        <f>'ТЕ_2ст_тариф_з ЦТП'!G93+'ТЕ_2ст_тариф_без ЦТП'!G93</f>
        <v>14520.984552954531</v>
      </c>
      <c r="D32" s="1308">
        <f>'ТЕ_2ст_тариф_з ЦТП'!G132</f>
        <v>754.48063799999989</v>
      </c>
      <c r="E32" s="778"/>
      <c r="F32" s="1308">
        <f t="shared" si="2"/>
        <v>26504.40454626047</v>
      </c>
      <c r="G32" s="1841">
        <v>7498.071920299999</v>
      </c>
      <c r="H32" s="1841">
        <v>9303.119473222263</v>
      </c>
      <c r="I32" s="1840">
        <v>464.58210300000007</v>
      </c>
      <c r="J32" s="1839"/>
      <c r="K32" s="1840">
        <v>17265.773496522263</v>
      </c>
      <c r="M32" s="1762">
        <f t="shared" si="1"/>
        <v>9238.6310497382074</v>
      </c>
    </row>
    <row r="33" spans="1:13" x14ac:dyDescent="0.3">
      <c r="A33" s="778" t="s">
        <v>2986</v>
      </c>
      <c r="B33" s="1459">
        <f>'ТЕ_2ст_тариф_з ЦТП'!G51</f>
        <v>2470.366658167306</v>
      </c>
      <c r="C33" s="1459">
        <f>'ТЕ_2ст_тариф_з ЦТП'!G95+'ТЕ_2ст_тариф_без ЦТП'!G95</f>
        <v>3158.4447164513967</v>
      </c>
      <c r="D33" s="1308">
        <f>'ТЕ_2ст_тариф_з ЦТП'!G134</f>
        <v>165.98574035999997</v>
      </c>
      <c r="E33" s="778"/>
      <c r="F33" s="1308">
        <f t="shared" si="2"/>
        <v>5794.7971149787027</v>
      </c>
      <c r="G33" s="1841">
        <v>1622.5737624786798</v>
      </c>
      <c r="H33" s="1841">
        <v>2002.0783713209175</v>
      </c>
      <c r="I33" s="1840">
        <v>102.20806266000001</v>
      </c>
      <c r="J33" s="1839"/>
      <c r="K33" s="1840">
        <v>3726.8601964595973</v>
      </c>
      <c r="M33" s="1762">
        <f t="shared" si="1"/>
        <v>2067.9369185191053</v>
      </c>
    </row>
    <row r="34" spans="1:13" x14ac:dyDescent="0.3">
      <c r="A34" s="778" t="s">
        <v>2987</v>
      </c>
      <c r="B34" s="1459">
        <f>Виробництво_2ст!F35+Виробництво_2ст!F36</f>
        <v>1244.7175333333332</v>
      </c>
      <c r="C34" s="1459" t="e">
        <f>Виробництво_2ст!#REF!+Виробництво_2ст!#REF!</f>
        <v>#REF!</v>
      </c>
      <c r="D34" s="778"/>
      <c r="E34" s="778"/>
      <c r="F34" s="1308" t="e">
        <f t="shared" si="2"/>
        <v>#REF!</v>
      </c>
      <c r="G34" s="1841">
        <v>1331.9405499999998</v>
      </c>
      <c r="H34" s="1841">
        <v>1376.461</v>
      </c>
      <c r="I34" s="1839"/>
      <c r="J34" s="1839"/>
      <c r="K34" s="1840">
        <v>2708.4015499999996</v>
      </c>
      <c r="M34" s="1762" t="e">
        <f t="shared" si="1"/>
        <v>#REF!</v>
      </c>
    </row>
    <row r="35" spans="1:13" x14ac:dyDescent="0.3">
      <c r="A35" s="778" t="s">
        <v>2716</v>
      </c>
      <c r="B35" s="778"/>
      <c r="C35" s="1459" t="e">
        <f>Виробництво_2ст!#REF!</f>
        <v>#REF!</v>
      </c>
      <c r="D35" s="778"/>
      <c r="E35" s="778"/>
      <c r="F35" s="1308" t="e">
        <f t="shared" si="2"/>
        <v>#REF!</v>
      </c>
      <c r="G35" s="1839"/>
      <c r="H35" s="1841">
        <v>9517.2293977403697</v>
      </c>
      <c r="I35" s="1839"/>
      <c r="J35" s="1839"/>
      <c r="K35" s="1840">
        <v>9517.2293977403697</v>
      </c>
      <c r="M35" s="1762" t="e">
        <f t="shared" si="1"/>
        <v>#REF!</v>
      </c>
    </row>
    <row r="36" spans="1:13" x14ac:dyDescent="0.3">
      <c r="A36" s="778" t="s">
        <v>58</v>
      </c>
      <c r="B36" s="1459">
        <f>'ТЕ_2ст_тариф_з ЦТП'!G53-B34</f>
        <v>1395.6002991337061</v>
      </c>
      <c r="C36" s="1459" t="e">
        <f>'ТЕ_2ст_тариф_з ЦТП'!G97+'ТЕ_2ст_тариф_без ЦТП'!G97-C34</f>
        <v>#REF!</v>
      </c>
      <c r="D36" s="1308">
        <f>'ТЕ_2ст_тариф_з ЦТП'!G136</f>
        <v>35.983685964073175</v>
      </c>
      <c r="E36" s="778"/>
      <c r="F36" s="1308" t="e">
        <f t="shared" si="2"/>
        <v>#REF!</v>
      </c>
      <c r="G36" s="1841">
        <v>876.80130741286985</v>
      </c>
      <c r="H36" s="1841">
        <v>265.38189716735656</v>
      </c>
      <c r="I36" s="1840">
        <v>10.428107035115563</v>
      </c>
      <c r="J36" s="1839"/>
      <c r="K36" s="1840">
        <v>1152.6113116153419</v>
      </c>
      <c r="M36" s="1762" t="e">
        <f t="shared" si="1"/>
        <v>#REF!</v>
      </c>
    </row>
    <row r="37" spans="1:13" ht="31.2" x14ac:dyDescent="0.3">
      <c r="A37" s="713" t="s">
        <v>2988</v>
      </c>
      <c r="B37" s="1459">
        <f>'ТЕ_2ст_тариф_з ЦТП'!G54</f>
        <v>5210.7535416702249</v>
      </c>
      <c r="C37" s="1459">
        <f>'ТЕ_2ст_тариф_з ЦТП'!G98+'ТЕ_2ст_тариф_без ЦТП'!G98</f>
        <v>1536.0951446998736</v>
      </c>
      <c r="D37" s="1308">
        <f>'ТЕ_2ст_тариф_з ЦТП'!G137</f>
        <v>65.800553570691349</v>
      </c>
      <c r="E37" s="778"/>
      <c r="F37" s="1308">
        <f t="shared" si="2"/>
        <v>6812.6492399407898</v>
      </c>
      <c r="G37" s="1841">
        <v>3236.0976985433035</v>
      </c>
      <c r="H37" s="1841">
        <v>809.71405701983076</v>
      </c>
      <c r="I37" s="1840">
        <v>20.314980228085403</v>
      </c>
      <c r="J37" s="1839"/>
      <c r="K37" s="1840">
        <v>4066.1267357912197</v>
      </c>
      <c r="M37" s="1762">
        <f t="shared" si="1"/>
        <v>2746.5225041495701</v>
      </c>
    </row>
    <row r="38" spans="1:13" x14ac:dyDescent="0.3">
      <c r="A38" s="778" t="s">
        <v>2985</v>
      </c>
      <c r="B38" s="1459">
        <f>'ТЕ_2ст_тариф_з ЦТП'!G55</f>
        <v>3981.6703519823727</v>
      </c>
      <c r="C38" s="1459">
        <f>'ТЕ_2ст_тариф_з ЦТП'!G99+'ТЕ_2ст_тариф_без ЦТП'!G99</f>
        <v>1173.7696758375371</v>
      </c>
      <c r="D38" s="1308">
        <f>'ТЕ_2ст_тариф_з ЦТП'!G138</f>
        <v>50.279889693741083</v>
      </c>
      <c r="E38" s="778"/>
      <c r="F38" s="1308">
        <f t="shared" si="2"/>
        <v>5205.7199175136511</v>
      </c>
      <c r="G38" s="1841">
        <v>2341.52687062223</v>
      </c>
      <c r="H38" s="1841">
        <v>585.88071147725998</v>
      </c>
      <c r="I38" s="1840">
        <v>14.699207660397143</v>
      </c>
      <c r="J38" s="1839"/>
      <c r="K38" s="1840">
        <v>2942.1067897598869</v>
      </c>
      <c r="M38" s="1762">
        <f t="shared" si="1"/>
        <v>2263.6131277537643</v>
      </c>
    </row>
    <row r="39" spans="1:13" x14ac:dyDescent="0.3">
      <c r="A39" s="778" t="s">
        <v>2986</v>
      </c>
      <c r="B39" s="1459">
        <f>'ТЕ_2ст_тариф_з ЦТП'!G56</f>
        <v>849.8976237422155</v>
      </c>
      <c r="C39" s="1459">
        <f>'ТЕ_2ст_тариф_з ЦТП'!G100+'ТЕ_2ст_тариф_без ЦТП'!G100</f>
        <v>250.54411092026282</v>
      </c>
      <c r="D39" s="1308">
        <f>'ТЕ_2ст_тариф_з ЦТП'!G139</f>
        <v>10.73236983354378</v>
      </c>
      <c r="E39" s="778"/>
      <c r="F39" s="1308">
        <f t="shared" si="2"/>
        <v>1111.174104496022</v>
      </c>
      <c r="G39" s="1841">
        <v>497.79183456744965</v>
      </c>
      <c r="H39" s="1841">
        <v>124.55404115283403</v>
      </c>
      <c r="I39" s="1840">
        <v>3.1249462219549793</v>
      </c>
      <c r="J39" s="1839"/>
      <c r="K39" s="1840">
        <v>625.47082194223856</v>
      </c>
      <c r="M39" s="1762">
        <f t="shared" si="1"/>
        <v>485.70328255378342</v>
      </c>
    </row>
    <row r="40" spans="1:13" x14ac:dyDescent="0.3">
      <c r="A40" s="778" t="s">
        <v>58</v>
      </c>
      <c r="B40" s="1459">
        <f>'ТЕ_2ст_тариф_з ЦТП'!G57</f>
        <v>379.18556594563665</v>
      </c>
      <c r="C40" s="1459">
        <f>'ТЕ_2ст_тариф_з ЦТП'!G101+'ТЕ_2ст_тариф_без ЦТП'!G101</f>
        <v>111.78135794207361</v>
      </c>
      <c r="D40" s="1308">
        <f>'ТЕ_2ст_тариф_з ЦТП'!G140</f>
        <v>4.788294043406486</v>
      </c>
      <c r="E40" s="778"/>
      <c r="F40" s="1308">
        <f t="shared" si="2"/>
        <v>495.75521793111676</v>
      </c>
      <c r="G40" s="1841">
        <v>396.77899335362383</v>
      </c>
      <c r="H40" s="1841">
        <v>99.279304389736666</v>
      </c>
      <c r="I40" s="1840">
        <v>2.4908263457332813</v>
      </c>
      <c r="J40" s="1839"/>
      <c r="K40" s="1840">
        <v>498.54912408909382</v>
      </c>
      <c r="M40" s="1762">
        <f t="shared" si="1"/>
        <v>-2.7939061579770623</v>
      </c>
    </row>
    <row r="41" spans="1:13" ht="31.2" x14ac:dyDescent="0.3">
      <c r="A41" s="713" t="s">
        <v>2989</v>
      </c>
      <c r="B41" s="1459">
        <f>'ТЕ_2ст_тариф_з ЦТП'!G58</f>
        <v>6334.8875507536159</v>
      </c>
      <c r="C41" s="1459">
        <f>'ТЕ_2ст_тариф_з ЦТП'!G102+'ТЕ_2ст_тариф_без ЦТП'!G102</f>
        <v>1867.4823000385445</v>
      </c>
      <c r="D41" s="1308">
        <f>'ТЕ_2ст_тариф_з ЦТП'!G141</f>
        <v>79.995936156684508</v>
      </c>
      <c r="E41" s="778"/>
      <c r="F41" s="1308">
        <f t="shared" si="2"/>
        <v>8282.3657869488452</v>
      </c>
      <c r="G41" s="1841">
        <v>3932.4405178699853</v>
      </c>
      <c r="H41" s="1841">
        <v>983.94815680224497</v>
      </c>
      <c r="I41" s="1840">
        <v>24.686353383153797</v>
      </c>
      <c r="J41" s="1839"/>
      <c r="K41" s="1840">
        <v>4941.0750280553839</v>
      </c>
      <c r="M41" s="1762">
        <f t="shared" si="1"/>
        <v>3341.2907588934613</v>
      </c>
    </row>
    <row r="42" spans="1:13" x14ac:dyDescent="0.3">
      <c r="A42" s="778" t="s">
        <v>2985</v>
      </c>
      <c r="B42" s="1459">
        <f>'ТЕ_2ст_тариф_з ЦТП'!G59</f>
        <v>4743.9700713768461</v>
      </c>
      <c r="C42" s="1459">
        <f>'ТЕ_2ст_тариф_з ЦТП'!G103+'ТЕ_2ст_тариф_без ЦТП'!G103</f>
        <v>1398.4905129302454</v>
      </c>
      <c r="D42" s="1308">
        <f>'ТЕ_2ст_тариф_з ЦТП'!G142</f>
        <v>59.90608734861253</v>
      </c>
      <c r="E42" s="778"/>
      <c r="F42" s="1308">
        <f t="shared" si="2"/>
        <v>6202.3666716557036</v>
      </c>
      <c r="G42" s="1841">
        <v>2859.0110318980915</v>
      </c>
      <c r="H42" s="1841">
        <v>715.36203086350645</v>
      </c>
      <c r="I42" s="1840">
        <v>17.94777475693402</v>
      </c>
      <c r="J42" s="1839"/>
      <c r="K42" s="1840">
        <v>3592.3208375185318</v>
      </c>
      <c r="M42" s="1762">
        <f t="shared" si="1"/>
        <v>2610.0458341371718</v>
      </c>
    </row>
    <row r="43" spans="1:13" x14ac:dyDescent="0.3">
      <c r="A43" s="778" t="s">
        <v>2986</v>
      </c>
      <c r="B43" s="1459">
        <f>'ТЕ_2ст_тариф_з ЦТП'!G60</f>
        <v>1043.6734157029061</v>
      </c>
      <c r="C43" s="1459">
        <f>'ТЕ_2ст_тариф_з ЦТП'!G104+'ТЕ_2ст_тариф_без ЦТП'!G104</f>
        <v>307.66791284465398</v>
      </c>
      <c r="D43" s="1308">
        <f>'ТЕ_2ст_тариф_з ЦТП'!G143</f>
        <v>13.179339216694757</v>
      </c>
      <c r="E43" s="778"/>
      <c r="F43" s="1308">
        <f t="shared" si="2"/>
        <v>1364.520667764255</v>
      </c>
      <c r="G43" s="1841">
        <v>628.98242701758011</v>
      </c>
      <c r="H43" s="1841">
        <v>157.37964678997139</v>
      </c>
      <c r="I43" s="1840">
        <v>3.9485104465254843</v>
      </c>
      <c r="J43" s="1839"/>
      <c r="K43" s="1840">
        <v>790.31058425407696</v>
      </c>
      <c r="M43" s="1762">
        <f t="shared" si="1"/>
        <v>574.21008351017804</v>
      </c>
    </row>
    <row r="44" spans="1:13" x14ac:dyDescent="0.3">
      <c r="A44" s="778" t="s">
        <v>58</v>
      </c>
      <c r="B44" s="1459">
        <f>'ТЕ_2ст_тариф_з ЦТП'!G61</f>
        <v>547.24406367386359</v>
      </c>
      <c r="C44" s="1459">
        <f>'ТЕ_2ст_тариф_з ЦТП'!G105+'ТЕ_2ст_тариф_без ЦТП'!G105</f>
        <v>161.32387426364517</v>
      </c>
      <c r="D44" s="1308">
        <f>'ТЕ_2ст_тариф_з ЦТП'!G144</f>
        <v>6.9105095913772203</v>
      </c>
      <c r="E44" s="778"/>
      <c r="F44" s="1308">
        <f t="shared" si="2"/>
        <v>715.47844752888602</v>
      </c>
      <c r="G44" s="1841">
        <v>444.44705895431377</v>
      </c>
      <c r="H44" s="1841">
        <v>111.20647914876722</v>
      </c>
      <c r="I44" s="1840">
        <v>2.7900681796942925</v>
      </c>
      <c r="J44" s="1839"/>
      <c r="K44" s="1840">
        <v>558.44360628277536</v>
      </c>
      <c r="M44" s="1762">
        <f t="shared" si="1"/>
        <v>157.03484124611066</v>
      </c>
    </row>
    <row r="45" spans="1:13" x14ac:dyDescent="0.3">
      <c r="A45" s="778" t="s">
        <v>2993</v>
      </c>
      <c r="B45" s="1459">
        <f>'ТЕ_2ст_тариф_з ЦТП'!G67</f>
        <v>0</v>
      </c>
      <c r="C45" s="1459">
        <f>'ТЕ_2ст_тариф_з ЦТП'!G111+'ТЕ_2ст_тариф_без ЦТП'!G111</f>
        <v>0</v>
      </c>
      <c r="D45" s="1308">
        <f>'ТЕ_2ст_тариф_з ЦТП'!G150</f>
        <v>0</v>
      </c>
      <c r="E45" s="778"/>
      <c r="F45" s="1308">
        <f t="shared" si="2"/>
        <v>0</v>
      </c>
      <c r="G45" s="1841">
        <v>78.425470000000004</v>
      </c>
      <c r="H45" s="1841">
        <v>0</v>
      </c>
      <c r="I45" s="1840">
        <v>0</v>
      </c>
      <c r="J45" s="1839"/>
      <c r="K45" s="1840">
        <v>78.425470000000004</v>
      </c>
      <c r="M45" s="1762">
        <f t="shared" si="1"/>
        <v>-78.425470000000004</v>
      </c>
    </row>
    <row r="46" spans="1:13" x14ac:dyDescent="0.3">
      <c r="A46" s="778" t="s">
        <v>2992</v>
      </c>
      <c r="B46" s="1459">
        <f>'ТЕ_2ст_тариф_з ЦТП'!G69</f>
        <v>0</v>
      </c>
      <c r="C46" s="1459">
        <f>'ТЕ_2ст_тариф_з ЦТП'!G113+'ТЕ_2ст_тариф_без ЦТП'!G113</f>
        <v>0</v>
      </c>
      <c r="D46" s="1308">
        <f>'ТЕ_2ст_тариф_з ЦТП'!G152</f>
        <v>0</v>
      </c>
      <c r="E46" s="778"/>
      <c r="F46" s="1308">
        <f t="shared" si="2"/>
        <v>0</v>
      </c>
      <c r="G46" s="1841">
        <v>0</v>
      </c>
      <c r="H46" s="1841">
        <v>0</v>
      </c>
      <c r="I46" s="1840">
        <v>0</v>
      </c>
      <c r="J46" s="1839"/>
      <c r="K46" s="1840">
        <v>0</v>
      </c>
      <c r="M46" s="1762">
        <f t="shared" si="1"/>
        <v>0</v>
      </c>
    </row>
    <row r="47" spans="1:13" x14ac:dyDescent="0.3">
      <c r="A47" s="778" t="s">
        <v>2304</v>
      </c>
      <c r="B47" s="1459">
        <f>'ТЕ_2ст_тариф_з ЦТП'!G70</f>
        <v>7201.7534935752356</v>
      </c>
      <c r="C47" s="1459">
        <f>'ТЕ_2ст_тариф_з ЦТП'!G114+'ТЕ_2ст_тариф_без ЦТП'!G114</f>
        <v>2605.9406873493972</v>
      </c>
      <c r="D47" s="1308">
        <f>'ТЕ_2ст_тариф_з ЦТП'!G153</f>
        <v>90.942579181170828</v>
      </c>
      <c r="E47" s="778"/>
      <c r="F47" s="1308">
        <f t="shared" si="2"/>
        <v>9898.6367601058028</v>
      </c>
      <c r="G47" s="1841">
        <v>4100.5928551737597</v>
      </c>
      <c r="H47" s="1841">
        <v>1015.7664347276381</v>
      </c>
      <c r="I47" s="1840">
        <v>18.63303712012496</v>
      </c>
      <c r="J47" s="1839"/>
      <c r="K47" s="1840">
        <v>5134.9923270215222</v>
      </c>
      <c r="M47" s="1762">
        <f t="shared" si="1"/>
        <v>4763.6444330842805</v>
      </c>
    </row>
    <row r="48" spans="1:13" x14ac:dyDescent="0.3">
      <c r="A48" s="147" t="s">
        <v>65</v>
      </c>
      <c r="B48" s="1459">
        <f>'ТЕ_2ст_тариф_з ЦТП'!G71</f>
        <v>1296.3156288435421</v>
      </c>
      <c r="C48" s="1459">
        <f>'ТЕ_2ст_тариф_з ЦТП'!G115+'ТЕ_2ст_тариф_без ЦТП'!G115</f>
        <v>469.06932372289134</v>
      </c>
      <c r="D48" s="1308">
        <f>'ТЕ_2ст_тариф_з ЦТП'!G154</f>
        <v>16.369664252610747</v>
      </c>
      <c r="E48" s="778"/>
      <c r="F48" s="1308">
        <f t="shared" si="2"/>
        <v>1781.7546168190443</v>
      </c>
      <c r="G48" s="1841">
        <v>738.10671393127677</v>
      </c>
      <c r="H48" s="1841">
        <v>182.83795825097482</v>
      </c>
      <c r="I48" s="1840">
        <v>3.3539466816224923</v>
      </c>
      <c r="J48" s="1839"/>
      <c r="K48" s="1840">
        <v>924.29861886387403</v>
      </c>
      <c r="M48" s="1762">
        <f t="shared" si="1"/>
        <v>857.45599795517023</v>
      </c>
    </row>
    <row r="49" spans="1:13" x14ac:dyDescent="0.3">
      <c r="A49" s="147" t="s">
        <v>84</v>
      </c>
      <c r="B49" s="1459">
        <f>'ТЕ_2ст_тариф_з ЦТП'!G72</f>
        <v>0</v>
      </c>
      <c r="C49" s="1459">
        <f>'ТЕ_2ст_тариф_з ЦТП'!G116+'ТЕ_2ст_тариф_без ЦТП'!G116</f>
        <v>0</v>
      </c>
      <c r="D49" s="1308">
        <f>'ТЕ_2ст_тариф_з ЦТП'!G155</f>
        <v>0</v>
      </c>
      <c r="E49" s="778"/>
      <c r="F49" s="1308">
        <f t="shared" si="2"/>
        <v>0</v>
      </c>
      <c r="G49" s="1841">
        <v>504.37292118637242</v>
      </c>
      <c r="H49" s="1841">
        <v>124.93927147149948</v>
      </c>
      <c r="I49" s="1840">
        <v>2.2918635657753703</v>
      </c>
      <c r="J49" s="1839"/>
      <c r="K49" s="1840">
        <v>631.60405622364726</v>
      </c>
      <c r="M49" s="1762">
        <f t="shared" si="1"/>
        <v>-631.60405622364726</v>
      </c>
    </row>
    <row r="50" spans="1:13" ht="39.6" x14ac:dyDescent="0.3">
      <c r="A50" s="147" t="s">
        <v>71</v>
      </c>
      <c r="B50" s="1459">
        <f>'ТЕ_2ст_тариф_з ЦТП'!G73</f>
        <v>0</v>
      </c>
      <c r="C50" s="1459">
        <f>'ТЕ_2ст_тариф_з ЦТП'!G118+'ТЕ_2ст_тариф_без ЦТП'!G118</f>
        <v>0</v>
      </c>
      <c r="D50" s="1308">
        <f>'ТЕ_2ст_тариф_з ЦТП'!G157</f>
        <v>0</v>
      </c>
      <c r="E50" s="778"/>
      <c r="F50" s="1308">
        <f t="shared" si="2"/>
        <v>0</v>
      </c>
      <c r="G50" s="1841">
        <v>787.72975137850301</v>
      </c>
      <c r="H50" s="1841">
        <v>0</v>
      </c>
      <c r="I50" s="1840">
        <v>0</v>
      </c>
      <c r="J50" s="1839"/>
      <c r="K50" s="1840">
        <v>787.72975137850301</v>
      </c>
      <c r="M50" s="1762">
        <f t="shared" si="1"/>
        <v>-787.72975137850301</v>
      </c>
    </row>
    <row r="51" spans="1:13" ht="26.4" x14ac:dyDescent="0.3">
      <c r="A51" s="147" t="s">
        <v>86</v>
      </c>
      <c r="B51" s="1459">
        <f>'ТЕ_2ст_тариф_з ЦТП'!G75</f>
        <v>5905.4378647316935</v>
      </c>
      <c r="C51" s="1459">
        <f>'ТЕ_2ст_тариф_з ЦТП'!G119+'ТЕ_2ст_тариф_без ЦТП'!G119</f>
        <v>2136.8713636265056</v>
      </c>
      <c r="D51" s="1308">
        <f>'ТЕ_2ст_тариф_з ЦТП'!G158</f>
        <v>74.572914928560081</v>
      </c>
      <c r="E51" s="778"/>
      <c r="F51" s="1308">
        <f t="shared" si="2"/>
        <v>8116.8821432867589</v>
      </c>
      <c r="G51" s="1841">
        <v>2070.3834686776077</v>
      </c>
      <c r="H51" s="1841">
        <v>707.98920500516374</v>
      </c>
      <c r="I51" s="1840">
        <v>12.987226872727097</v>
      </c>
      <c r="J51" s="1839"/>
      <c r="K51" s="1840">
        <v>2791.3599005554984</v>
      </c>
      <c r="M51" s="1762">
        <f t="shared" si="1"/>
        <v>5325.5222427312601</v>
      </c>
    </row>
    <row r="52" spans="1:13" s="1499" customFormat="1" x14ac:dyDescent="0.3">
      <c r="A52" s="1499" t="s">
        <v>2991</v>
      </c>
      <c r="B52" s="1835">
        <f>B28+B29+B30+B31+B32+B33+B34+B35+B36+B37+B41+B47+B46+B45</f>
        <v>47816.649226680835</v>
      </c>
      <c r="C52" s="1835" t="e">
        <f>C28+C29+C30+C31+C32+C33+C34+C35+C36+C37+C41+C47+C46+C45</f>
        <v>#REF!</v>
      </c>
      <c r="D52" s="1835">
        <f>D28+D29+D30+D31+D32+D33+D34+D35+D36+D37+D41+D47+D46+D45</f>
        <v>2053.3877088801205</v>
      </c>
      <c r="E52" s="1835"/>
      <c r="F52" s="1835" t="e">
        <f>F28+F29+F30+F31+F32+F33+F34+F35+F36+F37+F41+F47+F46+F45</f>
        <v>#REF!</v>
      </c>
      <c r="G52" s="1842">
        <v>35000.1855733427</v>
      </c>
      <c r="H52" s="1842">
        <v>30114.525479102809</v>
      </c>
      <c r="I52" s="1842">
        <v>667.99438075647981</v>
      </c>
      <c r="J52" s="1842"/>
      <c r="K52" s="1842">
        <v>65782.705433201991</v>
      </c>
      <c r="M52" s="45"/>
    </row>
    <row r="53" spans="1:13" x14ac:dyDescent="0.3">
      <c r="B53" s="1762">
        <f>B27-B52</f>
        <v>0</v>
      </c>
      <c r="C53" s="1762" t="e">
        <f>C27-C52</f>
        <v>#REF!</v>
      </c>
      <c r="D53" s="1762">
        <f>D27-D52</f>
        <v>0</v>
      </c>
      <c r="E53" s="1762"/>
      <c r="F53" s="1762" t="e">
        <f>F27-F52</f>
        <v>#REF!</v>
      </c>
      <c r="G53" s="1836">
        <v>0</v>
      </c>
      <c r="H53" s="1836">
        <v>0</v>
      </c>
      <c r="I53" s="1836">
        <v>0</v>
      </c>
      <c r="J53" s="1836"/>
      <c r="K53" s="1836">
        <v>0</v>
      </c>
    </row>
    <row r="54" spans="1:13" x14ac:dyDescent="0.3">
      <c r="A54" s="45" t="s">
        <v>2997</v>
      </c>
      <c r="B54" s="1319">
        <f>B28+B29+B30+B31+B32+B33+B34+B35+B36+B37</f>
        <v>34280.008182351987</v>
      </c>
      <c r="C54" s="1319" t="e">
        <f>C28+C29+C30+C31+C32+C33+C34+C35+C36+C37</f>
        <v>#REF!</v>
      </c>
      <c r="D54" s="1319">
        <f>D28+D29+D30+D31+D32+D33+D34+D35+D36+D37</f>
        <v>1882.449193542265</v>
      </c>
      <c r="E54" s="1319"/>
      <c r="F54" s="1319" t="e">
        <f>F28+F29+F30+F31+F32+F33+F34+F35+F36+F37</f>
        <v>#REF!</v>
      </c>
      <c r="G54" s="1843">
        <v>26888.726730298953</v>
      </c>
      <c r="H54" s="1843">
        <v>28114.810887572927</v>
      </c>
      <c r="I54" s="1843">
        <v>624.67499025320103</v>
      </c>
      <c r="J54" s="1843"/>
      <c r="K54" s="1843">
        <v>55628.212608125083</v>
      </c>
    </row>
  </sheetData>
  <mergeCells count="1">
    <mergeCell ref="G21:K21"/>
  </mergeCells>
  <pageMargins left="0.7" right="0.7" top="0.75" bottom="0.75" header="0.3" footer="0.3"/>
  <pageSetup paperSize="9" orientation="landscape" horizontalDpi="0" verticalDpi="0" r:id="rId1"/>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400-000000000000}">
  <sheetPr codeName="Лист50">
    <tabColor rgb="FF0000FF"/>
  </sheetPr>
  <dimension ref="A1:L143"/>
  <sheetViews>
    <sheetView topLeftCell="A34" workbookViewId="0">
      <selection activeCell="C48" sqref="C48"/>
    </sheetView>
  </sheetViews>
  <sheetFormatPr defaultColWidth="9.109375" defaultRowHeight="13.8" x14ac:dyDescent="0.25"/>
  <cols>
    <col min="1" max="1" width="7.88671875" style="1445" customWidth="1"/>
    <col min="2" max="2" width="56.44140625" style="10" customWidth="1"/>
    <col min="3" max="3" width="14.6640625" style="10" customWidth="1"/>
    <col min="4" max="4" width="14.44140625" style="1445" customWidth="1"/>
    <col min="5" max="8" width="14.44140625" style="10" customWidth="1"/>
    <col min="9" max="16384" width="9.109375" style="10"/>
  </cols>
  <sheetData>
    <row r="1" spans="1:12" ht="85.95" customHeight="1" x14ac:dyDescent="0.25">
      <c r="F1" s="5465" t="s">
        <v>2732</v>
      </c>
      <c r="G1" s="5465"/>
    </row>
    <row r="2" spans="1:12" ht="45.75" customHeight="1" x14ac:dyDescent="0.25">
      <c r="A2" s="10"/>
      <c r="B2" s="4898" t="s">
        <v>3080</v>
      </c>
      <c r="C2" s="4898"/>
      <c r="D2" s="4898"/>
      <c r="E2" s="4898"/>
      <c r="F2" s="4898"/>
      <c r="G2" s="1490"/>
    </row>
    <row r="3" spans="1:12" ht="14.4" thickBot="1" x14ac:dyDescent="0.3">
      <c r="G3" s="10" t="s">
        <v>1734</v>
      </c>
    </row>
    <row r="4" spans="1:12" ht="30" customHeight="1" thickBot="1" x14ac:dyDescent="0.3">
      <c r="A4" s="4876" t="s">
        <v>7</v>
      </c>
      <c r="B4" s="4876" t="s">
        <v>631</v>
      </c>
      <c r="C4" s="4876" t="s">
        <v>2734</v>
      </c>
      <c r="D4" s="4879" t="s">
        <v>2735</v>
      </c>
      <c r="E4" s="4880"/>
      <c r="F4" s="4880"/>
      <c r="G4" s="4882"/>
      <c r="H4" s="100"/>
      <c r="I4" s="100"/>
    </row>
    <row r="5" spans="1:12" ht="75" customHeight="1" thickBot="1" x14ac:dyDescent="0.3">
      <c r="A5" s="4877"/>
      <c r="B5" s="4878"/>
      <c r="C5" s="4878"/>
      <c r="D5" s="1682" t="s">
        <v>2736</v>
      </c>
      <c r="E5" s="1682" t="s">
        <v>2737</v>
      </c>
      <c r="F5" s="1682" t="s">
        <v>2738</v>
      </c>
      <c r="G5" s="1682" t="s">
        <v>2739</v>
      </c>
      <c r="H5" s="100"/>
      <c r="I5" s="100"/>
    </row>
    <row r="6" spans="1:12" ht="14.4" thickBot="1" x14ac:dyDescent="0.3">
      <c r="A6" s="1683">
        <v>1</v>
      </c>
      <c r="B6" s="1684">
        <v>2</v>
      </c>
      <c r="C6" s="1676">
        <v>3</v>
      </c>
      <c r="D6" s="1683">
        <v>4</v>
      </c>
      <c r="E6" s="1676">
        <v>5</v>
      </c>
      <c r="F6" s="1684">
        <v>6</v>
      </c>
      <c r="G6" s="1677">
        <v>7</v>
      </c>
    </row>
    <row r="7" spans="1:12" ht="14.4" thickBot="1" x14ac:dyDescent="0.3">
      <c r="A7" s="1711" t="s">
        <v>3055</v>
      </c>
      <c r="B7" s="4892" t="s">
        <v>2740</v>
      </c>
      <c r="C7" s="5466"/>
      <c r="D7" s="5466"/>
      <c r="E7" s="5466"/>
      <c r="F7" s="5466"/>
      <c r="G7" s="5467"/>
    </row>
    <row r="8" spans="1:12" ht="35.25" customHeight="1" x14ac:dyDescent="0.25">
      <c r="A8" s="1686" t="s">
        <v>2741</v>
      </c>
      <c r="B8" s="1687" t="s">
        <v>2742</v>
      </c>
      <c r="C8" s="1686" t="s">
        <v>224</v>
      </c>
      <c r="D8" s="1686">
        <f>SUM(D9:D11)</f>
        <v>2291.6205284132493</v>
      </c>
      <c r="E8" s="1688">
        <f>SUM(E9:E11)</f>
        <v>0</v>
      </c>
      <c r="F8" s="1686">
        <f>SUM(F9:F11)</f>
        <v>3436.7070083408057</v>
      </c>
      <c r="G8" s="1689">
        <f>SUM(G9:G11)</f>
        <v>3436.7070083408057</v>
      </c>
      <c r="H8" s="729"/>
      <c r="I8" s="729"/>
      <c r="J8" s="729"/>
      <c r="K8" s="729"/>
      <c r="L8" s="729"/>
    </row>
    <row r="9" spans="1:12" ht="35.25" customHeight="1" x14ac:dyDescent="0.25">
      <c r="A9" s="1690" t="s">
        <v>1749</v>
      </c>
      <c r="B9" s="1691" t="s">
        <v>2743</v>
      </c>
      <c r="C9" s="1690" t="s">
        <v>224</v>
      </c>
      <c r="D9" s="1690">
        <f>'Додаток 3 до рішення'!D7</f>
        <v>1321.3719506169798</v>
      </c>
      <c r="E9" s="1690">
        <f>IF(E10=0,0,'Додаток 3 до рішення'!E7)</f>
        <v>0</v>
      </c>
      <c r="F9" s="1690">
        <f>'Додаток 3 до рішення'!F7</f>
        <v>2354.1214482265323</v>
      </c>
      <c r="G9" s="1690">
        <f>'Додаток 3 до рішення'!G7</f>
        <v>2354.1214482265323</v>
      </c>
      <c r="H9" s="729"/>
      <c r="I9" s="729"/>
      <c r="J9" s="729"/>
      <c r="K9" s="729"/>
      <c r="L9" s="729"/>
    </row>
    <row r="10" spans="1:12" ht="50.25" customHeight="1" x14ac:dyDescent="0.25">
      <c r="A10" s="1690" t="s">
        <v>1751</v>
      </c>
      <c r="B10" s="1692" t="s">
        <v>2744</v>
      </c>
      <c r="C10" s="1690" t="s">
        <v>224</v>
      </c>
      <c r="D10" s="1690">
        <f>'Додаток 4 до рішення'!D7</f>
        <v>949.4644192612908</v>
      </c>
      <c r="E10" s="1690">
        <f>'Додаток 4 до рішення'!E7</f>
        <v>0</v>
      </c>
      <c r="F10" s="1690">
        <f>'Додаток 4 до рішення'!F7</f>
        <v>1061.8014015792946</v>
      </c>
      <c r="G10" s="1690">
        <f>'Додаток 4 до рішення'!G7</f>
        <v>1061.8014015792946</v>
      </c>
      <c r="H10" s="729"/>
      <c r="I10" s="729"/>
      <c r="J10" s="729"/>
      <c r="K10" s="729"/>
      <c r="L10" s="729"/>
    </row>
    <row r="11" spans="1:12" ht="35.25" customHeight="1" thickBot="1" x14ac:dyDescent="0.3">
      <c r="A11" s="1693" t="s">
        <v>1753</v>
      </c>
      <c r="B11" s="1694" t="s">
        <v>2745</v>
      </c>
      <c r="C11" s="1693" t="s">
        <v>224</v>
      </c>
      <c r="D11" s="1693">
        <f>'Додаток 6 до рішення'!D7</f>
        <v>20.784158534978818</v>
      </c>
      <c r="E11" s="1693">
        <f>IF(E10=0,0,'Додаток 6 до рішення'!E7)</f>
        <v>0</v>
      </c>
      <c r="F11" s="1693">
        <f>'Додаток 6 до рішення'!F7</f>
        <v>20.784158534978818</v>
      </c>
      <c r="G11" s="1693">
        <f>'Додаток 6 до рішення'!G7</f>
        <v>20.784158534978818</v>
      </c>
      <c r="H11" s="729"/>
      <c r="I11" s="729"/>
      <c r="J11" s="729"/>
      <c r="K11" s="729"/>
      <c r="L11" s="729"/>
    </row>
    <row r="12" spans="1:12" ht="18.75" customHeight="1" thickBot="1" x14ac:dyDescent="0.3">
      <c r="A12" s="1695" t="s">
        <v>2746</v>
      </c>
      <c r="B12" s="4892" t="s">
        <v>3057</v>
      </c>
      <c r="C12" s="5468"/>
      <c r="D12" s="5468"/>
      <c r="E12" s="5468"/>
      <c r="F12" s="5468"/>
      <c r="G12" s="5469"/>
      <c r="H12" s="1622"/>
    </row>
    <row r="13" spans="1:12" s="15" customFormat="1" x14ac:dyDescent="0.25">
      <c r="A13" s="1696" t="s">
        <v>1747</v>
      </c>
      <c r="B13" s="1697" t="s">
        <v>2748</v>
      </c>
      <c r="C13" s="1690" t="e">
        <f>C14+C19+C20+C24</f>
        <v>#REF!</v>
      </c>
      <c r="D13" s="1690" t="e">
        <f>D14+D19+D20+D24</f>
        <v>#REF!</v>
      </c>
      <c r="E13" s="1690">
        <f>E14+E19+E20+E24</f>
        <v>0</v>
      </c>
      <c r="F13" s="1690" t="e">
        <f>F14+F19+F20+F24</f>
        <v>#REF!</v>
      </c>
      <c r="G13" s="1690" t="e">
        <f>G14+G19+G20+G24</f>
        <v>#REF!</v>
      </c>
      <c r="H13" s="1622"/>
    </row>
    <row r="14" spans="1:12" x14ac:dyDescent="0.25">
      <c r="A14" s="1698" t="s">
        <v>1749</v>
      </c>
      <c r="B14" s="78" t="s">
        <v>2749</v>
      </c>
      <c r="C14" s="1699">
        <f>SUM(C15:C18)</f>
        <v>25477.563662663229</v>
      </c>
      <c r="D14" s="1699">
        <f>SUM(D15:D18)</f>
        <v>1256.6780593466444</v>
      </c>
      <c r="E14" s="1699">
        <f>SUM(E15:E18)</f>
        <v>0</v>
      </c>
      <c r="F14" s="1699">
        <f>SUM(F15:F18)</f>
        <v>2243.6880687170792</v>
      </c>
      <c r="G14" s="1699">
        <f>SUM(G15:G18)</f>
        <v>2243.6880687170792</v>
      </c>
      <c r="H14" s="1622"/>
      <c r="I14" s="729"/>
    </row>
    <row r="15" spans="1:12" x14ac:dyDescent="0.25">
      <c r="A15" s="1698" t="s">
        <v>2750</v>
      </c>
      <c r="B15" s="78" t="s">
        <v>2751</v>
      </c>
      <c r="C15" s="1699">
        <f>'Додаток 3 до рішення'!I11</f>
        <v>19930.767095522824</v>
      </c>
      <c r="D15" s="1699">
        <f>'Додаток 3 до рішення'!D11</f>
        <v>926.04983933612777</v>
      </c>
      <c r="E15" s="1699">
        <f>IF(E10=0,0,'Додаток 3 до рішення'!E11)</f>
        <v>0</v>
      </c>
      <c r="F15" s="1699">
        <f>'Додаток 3 до рішення'!F11</f>
        <v>1913.059848706562</v>
      </c>
      <c r="G15" s="1699">
        <f>'Додаток 3 до рішення'!G11</f>
        <v>1913.0598487065627</v>
      </c>
      <c r="H15" s="1622"/>
    </row>
    <row r="16" spans="1:12" x14ac:dyDescent="0.25">
      <c r="A16" s="1698" t="s">
        <v>2752</v>
      </c>
      <c r="B16" s="78" t="s">
        <v>2753</v>
      </c>
      <c r="C16" s="1699">
        <f>'Додаток 3 до рішення'!I12+'Додаток 4 до рішення'!C11</f>
        <v>5176.3044602063164</v>
      </c>
      <c r="D16" s="1699">
        <f>'Додаток 3 до рішення'!D12+'Додаток 4 до рішення'!D11</f>
        <v>308.76037646835397</v>
      </c>
      <c r="E16" s="1699">
        <f>IF(E10=0,0,'Додаток 3 до рішення'!E12+'Додаток 4 до рішення'!E11)</f>
        <v>0</v>
      </c>
      <c r="F16" s="1699">
        <f>'Додаток 3 до рішення'!F12+'Додаток 4 до рішення'!F11</f>
        <v>308.76037646835397</v>
      </c>
      <c r="G16" s="1699">
        <f>'Додаток 3 до рішення'!G12+'Додаток 4 до рішення'!G11</f>
        <v>308.76037646835397</v>
      </c>
      <c r="H16" s="1622"/>
    </row>
    <row r="17" spans="1:8" x14ac:dyDescent="0.25">
      <c r="A17" s="1698" t="s">
        <v>2754</v>
      </c>
      <c r="B17" s="78" t="s">
        <v>2755</v>
      </c>
      <c r="C17" s="1699">
        <f>'Додаток 3 до рішення'!I13+'Додаток 4 до рішення'!C12</f>
        <v>114.1745514505651</v>
      </c>
      <c r="D17" s="1699">
        <f>'Додаток 3 до рішення'!D13+'Додаток 4 до рішення'!D12</f>
        <v>6.9081117909729919</v>
      </c>
      <c r="E17" s="1699">
        <f>IF(E10=0,0,'Додаток 3 до рішення'!E13+'Додаток 4 до рішення'!E12)</f>
        <v>0</v>
      </c>
      <c r="F17" s="1699">
        <f>'Додаток 3 до рішення'!F13+'Додаток 4 до рішення'!F12</f>
        <v>6.9081117909729928</v>
      </c>
      <c r="G17" s="1699">
        <f>'Додаток 3 до рішення'!G13+'Додаток 4 до рішення'!G12</f>
        <v>6.9081117909729919</v>
      </c>
      <c r="H17" s="1622"/>
    </row>
    <row r="18" spans="1:8" x14ac:dyDescent="0.25">
      <c r="A18" s="1698" t="s">
        <v>2756</v>
      </c>
      <c r="B18" s="78" t="s">
        <v>2273</v>
      </c>
      <c r="C18" s="1699">
        <f>'Додаток 3 до рішення'!I14+'Додаток 4 до рішення'!C13+'Додаток 6 до рішення'!I10</f>
        <v>256.31755548352629</v>
      </c>
      <c r="D18" s="1699">
        <f>'Додаток 3 до рішення'!D14+'Додаток 4 до рішення'!D13+'Додаток 6 до рішення'!D10</f>
        <v>14.959731751189739</v>
      </c>
      <c r="E18" s="1699">
        <f>IF(E10=0,0,'Додаток 3 до рішення'!E14+'Додаток 4 до рішення'!E13+'Додаток 6 до рішення'!E10)</f>
        <v>0</v>
      </c>
      <c r="F18" s="1699">
        <f>'Додаток 3 до рішення'!F14+'Додаток 4 до рішення'!F13+'Додаток 6 до рішення'!F10</f>
        <v>14.959731751190246</v>
      </c>
      <c r="G18" s="1699">
        <f>'Додаток 3 до рішення'!G14+'Додаток 4 до рішення'!G13+'Додаток 6 до рішення'!G10</f>
        <v>14.959731751189445</v>
      </c>
      <c r="H18" s="1622"/>
    </row>
    <row r="19" spans="1:8" x14ac:dyDescent="0.25">
      <c r="A19" s="1700" t="s">
        <v>1751</v>
      </c>
      <c r="B19" s="255" t="s">
        <v>2757</v>
      </c>
      <c r="C19" s="1690">
        <f>'Додаток 3 до рішення'!I15+'Додаток 4 до рішення'!C15+'Додаток 6 до рішення'!I11</f>
        <v>5476.1571571798113</v>
      </c>
      <c r="D19" s="1690">
        <f>'Додаток 3 до рішення'!D15+'Додаток 4 до рішення'!D15+'Додаток 6 до рішення'!D11</f>
        <v>321.69406788174211</v>
      </c>
      <c r="E19" s="1690">
        <f>IF(E10=0,0,'Додаток 3 до рішення'!E15+'Додаток 4 до рішення'!E15+'Додаток 6 до рішення'!E11)</f>
        <v>0</v>
      </c>
      <c r="F19" s="1690">
        <f>'Додаток 3 до рішення'!F15+'Додаток 4 до рішення'!F15+'Додаток 6 до рішення'!F11</f>
        <v>321.69406788174211</v>
      </c>
      <c r="G19" s="1690">
        <f>'Додаток 3 до рішення'!G15+'Додаток 4 до рішення'!G15+'Додаток 6 до рішення'!G11</f>
        <v>321.69406788174211</v>
      </c>
      <c r="H19" s="1622"/>
    </row>
    <row r="20" spans="1:8" x14ac:dyDescent="0.25">
      <c r="A20" s="1700" t="s">
        <v>1753</v>
      </c>
      <c r="B20" s="255" t="s">
        <v>2758</v>
      </c>
      <c r="C20" s="1690">
        <f>C21+C22+C23</f>
        <v>5209.2192575895633</v>
      </c>
      <c r="D20" s="1690">
        <f>D21+D22+D23</f>
        <v>309.46401388650031</v>
      </c>
      <c r="E20" s="1690">
        <f>E21+E22+E23</f>
        <v>0</v>
      </c>
      <c r="F20" s="1690">
        <f>F21+F22+F23</f>
        <v>309.46401388650025</v>
      </c>
      <c r="G20" s="1690">
        <f>G21+G22+G23</f>
        <v>309.4640138865002</v>
      </c>
      <c r="H20" s="1622"/>
    </row>
    <row r="21" spans="1:8" x14ac:dyDescent="0.25">
      <c r="A21" s="1698" t="s">
        <v>2759</v>
      </c>
      <c r="B21" s="78" t="s">
        <v>2760</v>
      </c>
      <c r="C21" s="1699">
        <f>'Додаток 3 до рішення'!I17+'Додаток 4 до рішення'!C17+'Додаток 6 до рішення'!I13</f>
        <v>1201.4700889848193</v>
      </c>
      <c r="D21" s="1699">
        <f>'Додаток 3 до рішення'!D17+'Додаток 4 до рішення'!D17+'Додаток 6 до рішення'!D13</f>
        <v>70.573008468968112</v>
      </c>
      <c r="E21" s="1699">
        <f>IF(E10=0,0,'Додаток 3 до рішення'!E17+'Додаток 4 до рішення'!E17+'Додаток 6 до рішення'!E13)</f>
        <v>0</v>
      </c>
      <c r="F21" s="1699">
        <f>'Додаток 3 до рішення'!F17+'Додаток 4 до рішення'!F17+'Додаток 6 до рішення'!F13</f>
        <v>70.573008468968126</v>
      </c>
      <c r="G21" s="1699">
        <f>'Додаток 3 до рішення'!G17+'Додаток 4 до рішення'!G17+'Додаток 6 до рішення'!G13</f>
        <v>70.573008468968112</v>
      </c>
      <c r="H21" s="1622"/>
    </row>
    <row r="22" spans="1:8" x14ac:dyDescent="0.25">
      <c r="A22" s="1698" t="s">
        <v>2761</v>
      </c>
      <c r="B22" s="78" t="s">
        <v>2762</v>
      </c>
      <c r="C22" s="1699">
        <f>'Додаток 3 до рішення'!I18+'Додаток 4 до рішення'!C18+'Додаток 6 до рішення'!I14</f>
        <v>3006.5369085417569</v>
      </c>
      <c r="D22" s="1699">
        <f>'Додаток 3 до рішення'!D18+'Додаток 4 до рішення'!D18+'Додаток 6 до рішення'!D14</f>
        <v>180.66315364234359</v>
      </c>
      <c r="E22" s="1699">
        <f>IF(E10=0,0,'Додаток 3 до рішення'!E18+'Додаток 4 до рішення'!E18+'Додаток 6 до рішення'!E14)</f>
        <v>0</v>
      </c>
      <c r="F22" s="1699">
        <f>'Додаток 3 до рішення'!F18+'Додаток 4 до рішення'!F18+'Додаток 6 до рішення'!F14</f>
        <v>180.66315364234356</v>
      </c>
      <c r="G22" s="1699">
        <f>'Додаток 3 до рішення'!G18+'Додаток 4 до рішення'!G18+'Додаток 6 до рішення'!G14</f>
        <v>180.66315364234356</v>
      </c>
      <c r="H22" s="1622"/>
    </row>
    <row r="23" spans="1:8" x14ac:dyDescent="0.25">
      <c r="A23" s="1698" t="s">
        <v>2763</v>
      </c>
      <c r="B23" s="78" t="s">
        <v>81</v>
      </c>
      <c r="C23" s="1699">
        <f>'Додаток 3 до рішення'!I19+'Додаток 4 до рішення'!C19+'Додаток 6 до рішення'!I15</f>
        <v>1001.2122600629871</v>
      </c>
      <c r="D23" s="1699">
        <f>'Додаток 3 до рішення'!D19+'Додаток 4 до рішення'!D19+'Додаток 6 до рішення'!D15</f>
        <v>58.227851775188583</v>
      </c>
      <c r="E23" s="1699">
        <f>IF(E10=0,0,'Додаток 3 до рішення'!E19+'Додаток 4 до рішення'!E19+'Додаток 6 до рішення'!E15)</f>
        <v>0</v>
      </c>
      <c r="F23" s="1699">
        <f>'Додаток 3 до рішення'!F19+'Додаток 4 до рішення'!F19+'Додаток 6 до рішення'!F15</f>
        <v>58.227851775188562</v>
      </c>
      <c r="G23" s="1699">
        <f>'Додаток 3 до рішення'!G19+'Додаток 4 до рішення'!G19+'Додаток 6 до рішення'!G15</f>
        <v>58.227851775188554</v>
      </c>
      <c r="H23" s="1622"/>
    </row>
    <row r="24" spans="1:8" s="15" customFormat="1" x14ac:dyDescent="0.25">
      <c r="A24" s="1700" t="s">
        <v>1755</v>
      </c>
      <c r="B24" s="255" t="s">
        <v>2764</v>
      </c>
      <c r="C24" s="1690" t="e">
        <f>C25+C26+C27+C28</f>
        <v>#REF!</v>
      </c>
      <c r="D24" s="1690" t="e">
        <f>D25+D26+D27+D28</f>
        <v>#REF!</v>
      </c>
      <c r="E24" s="1690">
        <f>E25+E26+E27+E28</f>
        <v>0</v>
      </c>
      <c r="F24" s="1690" t="e">
        <f>F25+F26+F27+F28</f>
        <v>#REF!</v>
      </c>
      <c r="G24" s="1690" t="e">
        <f>G25+G26+G27+G28</f>
        <v>#REF!</v>
      </c>
      <c r="H24" s="1622"/>
    </row>
    <row r="25" spans="1:8" x14ac:dyDescent="0.25">
      <c r="A25" s="1701" t="s">
        <v>2765</v>
      </c>
      <c r="B25" s="78" t="s">
        <v>2766</v>
      </c>
      <c r="C25" s="1699">
        <f>'Додаток 3 до рішення'!I21+'Додаток 4 до рішення'!C21+'Додаток 6 до рішення'!I17</f>
        <v>1001.0678472626273</v>
      </c>
      <c r="D25" s="1699">
        <f>'Додаток 3 до рішення'!D21+'Додаток 4 до рішення'!D21+'Додаток 6 до рішення'!D17</f>
        <v>56.876495825084092</v>
      </c>
      <c r="E25" s="1699">
        <f>IF(E10=0,0,'Додаток 3 до рішення'!E21+'Додаток 4 до рішення'!E21+'Додаток 6 до рішення'!E17)</f>
        <v>0</v>
      </c>
      <c r="F25" s="1699">
        <f>'Додаток 3 до рішення'!F21+'Додаток 4 до рішення'!F21+'Додаток 6 до рішення'!F17</f>
        <v>56.876495825084078</v>
      </c>
      <c r="G25" s="1699">
        <f>'Додаток 3 до рішення'!G21+'Додаток 4 до рішення'!G21+'Додаток 6 до рішення'!G17</f>
        <v>56.876495825084078</v>
      </c>
      <c r="H25" s="1622"/>
    </row>
    <row r="26" spans="1:8" x14ac:dyDescent="0.25">
      <c r="A26" s="1701" t="s">
        <v>2767</v>
      </c>
      <c r="B26" s="78" t="s">
        <v>2275</v>
      </c>
      <c r="C26" s="1699">
        <f>'Додаток 3 до рішення'!I22+'Додаток 4 до рішення'!C22+'Додаток 6 до рішення'!I18</f>
        <v>213.68046809039518</v>
      </c>
      <c r="D26" s="1699">
        <f>'Додаток 3 до рішення'!D22+'Додаток 4 до рішення'!D22+'Додаток 6 до рішення'!D18</f>
        <v>12.140432124034614</v>
      </c>
      <c r="E26" s="1699">
        <f>IF(E10=0,0,'Додаток 3 до рішення'!E22+'Додаток 4 до рішення'!E22+'Додаток 6 до рішення'!E18)</f>
        <v>0</v>
      </c>
      <c r="F26" s="1699">
        <f>'Додаток 3 до рішення'!F22+'Додаток 4 до рішення'!F22+'Додаток 6 до рішення'!F18</f>
        <v>12.140432124034614</v>
      </c>
      <c r="G26" s="1699">
        <f>'Додаток 3 до рішення'!G22+'Додаток 4 до рішення'!G22+'Додаток 6 до рішення'!G18</f>
        <v>12.140432124034614</v>
      </c>
      <c r="H26" s="1622"/>
    </row>
    <row r="27" spans="1:8" x14ac:dyDescent="0.25">
      <c r="A27" s="1701" t="s">
        <v>2768</v>
      </c>
      <c r="B27" s="78" t="s">
        <v>2762</v>
      </c>
      <c r="C27" s="1699">
        <f>'Додаток 3 до рішення'!I23+'Додаток 4 до рішення'!C24+'Додаток 6 до рішення'!I19</f>
        <v>33.070361767087178</v>
      </c>
      <c r="D27" s="1699">
        <f>'Додаток 3 до рішення'!D23+'Додаток 4 до рішення'!D24+'Додаток 6 до рішення'!D19</f>
        <v>1.9860541247771322</v>
      </c>
      <c r="E27" s="1699">
        <f>IF(E10=0,0,'Додаток 3 до рішення'!E23+'Додаток 4 до рішення'!E24+'Додаток 6 до рішення'!E19)</f>
        <v>0</v>
      </c>
      <c r="F27" s="1699">
        <f>'Додаток 3 до рішення'!F23+'Додаток 4 до рішення'!F24+'Додаток 6 до рішення'!F19</f>
        <v>1.9860541247771322</v>
      </c>
      <c r="G27" s="1699">
        <f>'Додаток 3 до рішення'!G23+'Додаток 4 до рішення'!G24+'Додаток 6 до рішення'!G19</f>
        <v>1.9860541247771319</v>
      </c>
      <c r="H27" s="1622"/>
    </row>
    <row r="28" spans="1:8" x14ac:dyDescent="0.25">
      <c r="A28" s="1701" t="s">
        <v>2769</v>
      </c>
      <c r="B28" s="78" t="s">
        <v>58</v>
      </c>
      <c r="C28" s="1699" t="e">
        <f>'Додаток 3 до рішення'!I24+'Додаток 4 до рішення'!#REF!+'Додаток 6 до рішення'!I20</f>
        <v>#REF!</v>
      </c>
      <c r="D28" s="1699" t="e">
        <f>'Додаток 3 до рішення'!D24+'Додаток 4 до рішення'!#REF!+'Додаток 6 до рішення'!D20</f>
        <v>#REF!</v>
      </c>
      <c r="E28" s="1699">
        <f>IF(E10=0,0,'Додаток 3 до рішення'!E24+'Додаток 4 до рішення'!#REF!+'Додаток 6 до рішення'!E20)</f>
        <v>0</v>
      </c>
      <c r="F28" s="1699" t="e">
        <f>'Додаток 3 до рішення'!F24+'Додаток 4 до рішення'!#REF!+'Додаток 6 до рішення'!F20</f>
        <v>#REF!</v>
      </c>
      <c r="G28" s="1699" t="e">
        <f>'Додаток 3 до рішення'!G24+'Додаток 4 до рішення'!#REF!+'Додаток 6 до рішення'!G20</f>
        <v>#REF!</v>
      </c>
      <c r="H28" s="1622"/>
    </row>
    <row r="29" spans="1:8" s="15" customFormat="1" x14ac:dyDescent="0.25">
      <c r="A29" s="1696" t="s">
        <v>1768</v>
      </c>
      <c r="B29" s="255" t="s">
        <v>2770</v>
      </c>
      <c r="C29" s="1690" t="e">
        <f>C30+C31+C32+C33</f>
        <v>#REF!</v>
      </c>
      <c r="D29" s="1690" t="e">
        <f>D30+D31+D32+D33</f>
        <v>#REF!</v>
      </c>
      <c r="E29" s="1690">
        <f>E30+E31+E32+E33</f>
        <v>0</v>
      </c>
      <c r="F29" s="1690" t="e">
        <f>F30+F31+F32+F33</f>
        <v>#REF!</v>
      </c>
      <c r="G29" s="1690" t="e">
        <f>G30+G31+G32+G33</f>
        <v>#REF!</v>
      </c>
      <c r="H29" s="1622"/>
    </row>
    <row r="30" spans="1:8" x14ac:dyDescent="0.25">
      <c r="A30" s="1701" t="s">
        <v>2771</v>
      </c>
      <c r="B30" s="78" t="s">
        <v>55</v>
      </c>
      <c r="C30" s="1699">
        <f>'Додаток 3 до рішення'!I26+'Додаток 4 до рішення'!C26+'Додаток 6 до рішення'!I22</f>
        <v>1192.7245319209128</v>
      </c>
      <c r="D30" s="1699">
        <f>'Додаток 3 до рішення'!D26+'Додаток 4 до рішення'!D26+'Додаток 6 до рішення'!D22</f>
        <v>67.765628519360547</v>
      </c>
      <c r="E30" s="1699">
        <f>IF(E10=0,0,'Додаток 3 до рішення'!E26+'Додаток 4 до рішення'!E26+'Додаток 6 до рішення'!E22)</f>
        <v>0</v>
      </c>
      <c r="F30" s="1699">
        <f>'Додаток 3 до рішення'!F26+'Додаток 4 до рішення'!F26+'Додаток 6 до рішення'!F22</f>
        <v>67.765628519360547</v>
      </c>
      <c r="G30" s="1699">
        <f>'Додаток 3 до рішення'!G26+'Додаток 4 до рішення'!G26+'Додаток 6 до рішення'!G22</f>
        <v>67.765628519360547</v>
      </c>
      <c r="H30" s="1622"/>
    </row>
    <row r="31" spans="1:8" x14ac:dyDescent="0.25">
      <c r="A31" s="1701" t="s">
        <v>2772</v>
      </c>
      <c r="B31" s="78" t="s">
        <v>2773</v>
      </c>
      <c r="C31" s="1699">
        <f>'Додаток 3 до рішення'!I27+'Додаток 4 до рішення'!C27+'Додаток 6 до рішення'!I23</f>
        <v>262.39939702260079</v>
      </c>
      <c r="D31" s="1699">
        <f>'Додаток 3 до рішення'!D27+'Додаток 4 до рішення'!D27+'Додаток 6 до рішення'!D23</f>
        <v>14.908438274259323</v>
      </c>
      <c r="E31" s="1699">
        <f>IF(E10=0,0,'Додаток 3 до рішення'!E27+'Додаток 4 до рішення'!E27+'Додаток 6 до рішення'!E23)</f>
        <v>0</v>
      </c>
      <c r="F31" s="1699">
        <f>'Додаток 3 до рішення'!F27+'Додаток 4 до рішення'!F27+'Додаток 6 до рішення'!F23</f>
        <v>14.908438274259323</v>
      </c>
      <c r="G31" s="1699">
        <f>'Додаток 3 до рішення'!G27+'Додаток 4 до рішення'!G27+'Додаток 6 до рішення'!G23</f>
        <v>14.908438274259323</v>
      </c>
      <c r="H31" s="1622"/>
    </row>
    <row r="32" spans="1:8" x14ac:dyDescent="0.25">
      <c r="A32" s="1701" t="s">
        <v>2774</v>
      </c>
      <c r="B32" s="78" t="s">
        <v>2762</v>
      </c>
      <c r="C32" s="1699">
        <f>'Додаток 3 до рішення'!I28+'Додаток 4 до рішення'!C29+'Додаток 6 до рішення'!I24</f>
        <v>54.769199312629702</v>
      </c>
      <c r="D32" s="1699">
        <f>'Додаток 3 до рішення'!D28+'Додаток 4 до рішення'!D29+'Додаток 6 до рішення'!D24</f>
        <v>3.2699021041023415</v>
      </c>
      <c r="E32" s="1699">
        <f>IF(E10=0,0,'Додаток 3 до рішення'!E28+'Додаток 4 до рішення'!E29+'Додаток 6 до рішення'!E24)</f>
        <v>0</v>
      </c>
      <c r="F32" s="1699">
        <f>'Додаток 3 до рішення'!F28+'Додаток 4 до рішення'!F29+'Додаток 6 до рішення'!F24</f>
        <v>3.2699021041023415</v>
      </c>
      <c r="G32" s="1699">
        <f>'Додаток 3 до рішення'!G28+'Додаток 4 до рішення'!G29+'Додаток 6 до рішення'!G24</f>
        <v>3.2699021041023406</v>
      </c>
      <c r="H32" s="1622"/>
    </row>
    <row r="33" spans="1:8" x14ac:dyDescent="0.25">
      <c r="A33" s="1701" t="s">
        <v>2775</v>
      </c>
      <c r="B33" s="78" t="s">
        <v>2776</v>
      </c>
      <c r="C33" s="1699" t="e">
        <f>'Додаток 3 до рішення'!I29+'Додаток 4 до рішення'!#REF!+'Додаток 6 до рішення'!I25</f>
        <v>#REF!</v>
      </c>
      <c r="D33" s="1699" t="e">
        <f>'Додаток 3 до рішення'!D29+'Додаток 4 до рішення'!#REF!+'Додаток 6 до рішення'!D25</f>
        <v>#REF!</v>
      </c>
      <c r="E33" s="1699">
        <f>IF(E10=0,0,'Додаток 3 до рішення'!E29+'Додаток 4 до рішення'!#REF!+'Додаток 6 до рішення'!E25)</f>
        <v>0</v>
      </c>
      <c r="F33" s="1699" t="e">
        <f>'Додаток 3 до рішення'!F29+'Додаток 4 до рішення'!#REF!+'Додаток 6 до рішення'!F25</f>
        <v>#REF!</v>
      </c>
      <c r="G33" s="1699" t="e">
        <f>'Додаток 3 до рішення'!G29+'Додаток 4 до рішення'!#REF!+'Додаток 6 до рішення'!G25</f>
        <v>#REF!</v>
      </c>
      <c r="H33" s="1622"/>
    </row>
    <row r="34" spans="1:8" s="15" customFormat="1" x14ac:dyDescent="0.25">
      <c r="A34" s="1696" t="s">
        <v>1770</v>
      </c>
      <c r="B34" s="255" t="s">
        <v>2777</v>
      </c>
      <c r="C34" s="1696">
        <v>0</v>
      </c>
      <c r="D34" s="1696">
        <v>0</v>
      </c>
      <c r="E34" s="1696">
        <v>0</v>
      </c>
      <c r="F34" s="1696">
        <v>0</v>
      </c>
      <c r="G34" s="1696">
        <v>0</v>
      </c>
      <c r="H34" s="1622"/>
    </row>
    <row r="35" spans="1:8" s="15" customFormat="1" ht="27.6" x14ac:dyDescent="0.25">
      <c r="A35" s="1696" t="s">
        <v>1773</v>
      </c>
      <c r="B35" s="1702" t="s">
        <v>2778</v>
      </c>
      <c r="C35" s="1690" t="e">
        <f>'Додаток 4 до рішення'!#REF!</f>
        <v>#REF!</v>
      </c>
      <c r="D35" s="1690" t="e">
        <f>'Додаток 4 до рішення'!#REF!</f>
        <v>#REF!</v>
      </c>
      <c r="E35" s="1690">
        <f>IF(E10=0,0,'Додаток 4 до рішення'!#REF!)</f>
        <v>0</v>
      </c>
      <c r="F35" s="1690" t="e">
        <f>'Додаток 4 до рішення'!#REF!</f>
        <v>#REF!</v>
      </c>
      <c r="G35" s="1690" t="e">
        <f>'Додаток 4 до рішення'!#REF!</f>
        <v>#REF!</v>
      </c>
      <c r="H35" s="1622"/>
    </row>
    <row r="36" spans="1:8" s="15" customFormat="1" x14ac:dyDescent="0.25">
      <c r="A36" s="1696" t="s">
        <v>1845</v>
      </c>
      <c r="B36" s="255" t="s">
        <v>2779</v>
      </c>
      <c r="C36" s="1690">
        <f>'Додаток 3 до рішення'!I31+'Додаток 4 до рішення'!C32+'Додаток 6 до рішення'!I27</f>
        <v>15223.768464307332</v>
      </c>
      <c r="D36" s="1690">
        <f>'Додаток 3 до рішення'!D31+'Додаток 4 до рішення'!D32+'Додаток 6 до рішення'!D27</f>
        <v>907.41354754575582</v>
      </c>
      <c r="E36" s="1690">
        <f>IF(E10=0,0,'Додаток 3 до рішення'!E31+'Додаток 4 до рішення'!E32+'Додаток 6 до рішення'!E27)</f>
        <v>0</v>
      </c>
      <c r="F36" s="1690">
        <f>'Додаток 3 до рішення'!F31+'Додаток 4 до рішення'!F32+'Додаток 6 до рішення'!F27</f>
        <v>1014.7752322785799</v>
      </c>
      <c r="G36" s="1690">
        <f>'Додаток 3 до рішення'!G31+'Додаток 4 до рішення'!G32+'Додаток 6 до рішення'!G27</f>
        <v>1014.7752322785799</v>
      </c>
      <c r="H36" s="1622"/>
    </row>
    <row r="37" spans="1:8" s="15" customFormat="1" x14ac:dyDescent="0.25">
      <c r="A37" s="1696" t="s">
        <v>1851</v>
      </c>
      <c r="B37" s="255" t="s">
        <v>2780</v>
      </c>
      <c r="C37" s="1696">
        <v>0</v>
      </c>
      <c r="D37" s="1696">
        <v>0</v>
      </c>
      <c r="E37" s="1696">
        <v>0</v>
      </c>
      <c r="F37" s="1696">
        <v>0</v>
      </c>
      <c r="G37" s="1696">
        <v>0</v>
      </c>
      <c r="H37" s="1622"/>
    </row>
    <row r="38" spans="1:8" s="1731" customFormat="1" x14ac:dyDescent="0.25">
      <c r="A38" s="1727" t="s">
        <v>1857</v>
      </c>
      <c r="B38" s="1728" t="s">
        <v>2781</v>
      </c>
      <c r="C38" s="1729">
        <f>'Додаток 3 до рішення'!I33</f>
        <v>0</v>
      </c>
      <c r="D38" s="1729">
        <f>'Додаток 3 до рішення'!D33</f>
        <v>0</v>
      </c>
      <c r="E38" s="1729">
        <f>IF(E10=0,0,'Додаток 3 до рішення'!E33)</f>
        <v>0</v>
      </c>
      <c r="F38" s="1729">
        <f>'Додаток 3 до рішення'!F33</f>
        <v>0</v>
      </c>
      <c r="G38" s="1729">
        <f>'Додаток 3 до рішення'!G33</f>
        <v>0</v>
      </c>
      <c r="H38" s="1730"/>
    </row>
    <row r="39" spans="1:8" s="15" customFormat="1" x14ac:dyDescent="0.25">
      <c r="A39" s="1696" t="s">
        <v>1859</v>
      </c>
      <c r="B39" s="255" t="s">
        <v>2782</v>
      </c>
      <c r="C39" s="1690">
        <f>SUM(C40:C43)</f>
        <v>1928.8984099198253</v>
      </c>
      <c r="D39" s="1690">
        <f>SUM(D40:D43)</f>
        <v>101.49368307657748</v>
      </c>
      <c r="E39" s="1690">
        <f>SUM(E40:E43)</f>
        <v>0</v>
      </c>
      <c r="F39" s="1690">
        <f>SUM(F40:F43)</f>
        <v>152.20846890087486</v>
      </c>
      <c r="G39" s="1690">
        <f>SUM(G40:G43)</f>
        <v>152.20846890087483</v>
      </c>
      <c r="H39" s="1622"/>
    </row>
    <row r="40" spans="1:8" x14ac:dyDescent="0.25">
      <c r="A40" s="1701" t="s">
        <v>1030</v>
      </c>
      <c r="B40" s="78" t="s">
        <v>65</v>
      </c>
      <c r="C40" s="1699">
        <f>'Додаток 3 до рішення'!I35+'Додаток 4 до рішення'!C36+'Додаток 6 до рішення'!I31</f>
        <v>347.20171378556842</v>
      </c>
      <c r="D40" s="1699">
        <f>'Додаток 3 до рішення'!D35+'Додаток 4 до рішення'!D36+'Додаток 6 до рішення'!D31</f>
        <v>18.268862953783941</v>
      </c>
      <c r="E40" s="1699">
        <f>IF(E10=0,0,'Додаток 3 до рішення'!E35+'Додаток 4 до рішення'!E36+'Додаток 6 до рішення'!E31)</f>
        <v>0</v>
      </c>
      <c r="F40" s="1699">
        <f>'Додаток 3 до рішення'!F35+'Додаток 4 до рішення'!F36+'Додаток 6 до рішення'!F31</f>
        <v>27.397524402157462</v>
      </c>
      <c r="G40" s="1699">
        <f>'Додаток 3 до рішення'!G35+'Додаток 4 до рішення'!G36+'Додаток 6 до рішення'!G31</f>
        <v>27.397524402157458</v>
      </c>
      <c r="H40" s="1622"/>
    </row>
    <row r="41" spans="1:8" x14ac:dyDescent="0.25">
      <c r="A41" s="1701" t="s">
        <v>2783</v>
      </c>
      <c r="B41" s="78" t="s">
        <v>84</v>
      </c>
      <c r="C41" s="1699">
        <f>'Додаток 3 до рішення'!I36+'Додаток 4 до рішення'!C37+'Додаток 6 до рішення'!I32</f>
        <v>0</v>
      </c>
      <c r="D41" s="1699">
        <f>'Додаток 3 до рішення'!D36+'Додаток 4 до рішення'!D37+'Додаток 6 до рішення'!D32</f>
        <v>0</v>
      </c>
      <c r="E41" s="1699">
        <f>IF(E10=0,0,'Додаток 3 до рішення'!E36+'Додаток 4 до рішення'!E37+'Додаток 6 до рішення'!E32)</f>
        <v>0</v>
      </c>
      <c r="F41" s="1699">
        <f>'Додаток 3 до рішення'!F36+'Додаток 4 до рішення'!F37+'Додаток 6 до рішення'!F32</f>
        <v>0</v>
      </c>
      <c r="G41" s="1699">
        <f>'Додаток 3 до рішення'!G36+'Додаток 4 до рішення'!G37+'Додаток 6 до рішення'!G32</f>
        <v>0</v>
      </c>
      <c r="H41" s="1622"/>
    </row>
    <row r="42" spans="1:8" x14ac:dyDescent="0.25">
      <c r="A42" s="1701" t="s">
        <v>2784</v>
      </c>
      <c r="B42" s="78" t="s">
        <v>71</v>
      </c>
      <c r="C42" s="1699">
        <f>'Додаток 3 до рішення'!I37+'Додаток 4 до рішення'!C38+'Додаток 6 до рішення'!I33</f>
        <v>0</v>
      </c>
      <c r="D42" s="1699">
        <f>'Додаток 3 до рішення'!D37+'Додаток 4 до рішення'!D38+'Додаток 6 до рішення'!D33</f>
        <v>0</v>
      </c>
      <c r="E42" s="1699">
        <f>IF(E10=0,0,'Додаток 3 до рішення'!E37+'Додаток 4 до рішення'!E38+'Додаток 6 до рішення'!E33)</f>
        <v>0</v>
      </c>
      <c r="F42" s="1699">
        <f>'Додаток 3 до рішення'!F37+'Додаток 4 до рішення'!F38+'Додаток 6 до рішення'!F33</f>
        <v>0</v>
      </c>
      <c r="G42" s="1699">
        <f>'Додаток 3 до рішення'!G37+'Додаток 4 до рішення'!G38+'Додаток 6 до рішення'!G33</f>
        <v>0</v>
      </c>
      <c r="H42" s="1622"/>
    </row>
    <row r="43" spans="1:8" ht="14.4" thickBot="1" x14ac:dyDescent="0.3">
      <c r="A43" s="1703" t="s">
        <v>2785</v>
      </c>
      <c r="B43" s="1704" t="s">
        <v>2446</v>
      </c>
      <c r="C43" s="1705">
        <f>'Додаток 3 до рішення'!I38+'Додаток 4 до рішення'!C39+'Додаток 6 до рішення'!I34</f>
        <v>1581.6966961342569</v>
      </c>
      <c r="D43" s="1705">
        <f>'Додаток 3 до рішення'!D38+'Додаток 4 до рішення'!D39+'Додаток 6 до рішення'!D34</f>
        <v>83.224820122793545</v>
      </c>
      <c r="E43" s="1705">
        <f>IF(E10=0,0,'Додаток 3 до рішення'!E38+'Додаток 4 до рішення'!E39+'Додаток 6 до рішення'!E34)</f>
        <v>0</v>
      </c>
      <c r="F43" s="1705">
        <f>'Додаток 3 до рішення'!F38+'Додаток 4 до рішення'!F39+'Додаток 6 до рішення'!F34</f>
        <v>124.81094449871739</v>
      </c>
      <c r="G43" s="1705">
        <f>'Додаток 3 до рішення'!G38+'Додаток 4 до рішення'!G39+'Додаток 6 до рішення'!G34</f>
        <v>124.81094449871738</v>
      </c>
      <c r="H43" s="1622"/>
    </row>
    <row r="44" spans="1:8" ht="14.4" thickBot="1" x14ac:dyDescent="0.3">
      <c r="A44" s="1695" t="s">
        <v>1861</v>
      </c>
      <c r="B44" s="1706" t="s">
        <v>2786</v>
      </c>
      <c r="C44" s="1707" t="e">
        <f>C13+C29+C34+C35+C36+C37+C38+C39</f>
        <v>#REF!</v>
      </c>
      <c r="D44" s="1707" t="e">
        <f>D13+D29+D34+D35+D36+D37+D38+D39</f>
        <v>#REF!</v>
      </c>
      <c r="E44" s="1707">
        <f>E13+E29+E34+E35+E36+E37+E38+E39</f>
        <v>0</v>
      </c>
      <c r="F44" s="1707" t="e">
        <f>F13+F29+F34+F35+F36+F37+F38+F39</f>
        <v>#REF!</v>
      </c>
      <c r="G44" s="1707" t="e">
        <f>G13+G29+G34+G35+G36+G37+G38+G39</f>
        <v>#REF!</v>
      </c>
      <c r="H44" s="1622"/>
    </row>
    <row r="45" spans="1:8" s="15" customFormat="1" ht="31.8" thickBot="1" x14ac:dyDescent="0.3">
      <c r="A45" s="1695" t="s">
        <v>1865</v>
      </c>
      <c r="B45" s="1074" t="s">
        <v>2787</v>
      </c>
      <c r="C45" s="1707">
        <f>'Додаток 3 до рішення'!I7</f>
        <v>18.237362357436083</v>
      </c>
      <c r="D45" s="1707">
        <f>'Додаток 3 до рішення'!J7</f>
        <v>15.155265331444637</v>
      </c>
      <c r="E45" s="1707">
        <f>'Додаток 3 до рішення'!K7</f>
        <v>0</v>
      </c>
      <c r="F45" s="1707">
        <f>'Додаток 3 до рішення'!L7</f>
        <v>2.2291652834520463</v>
      </c>
      <c r="G45" s="1707">
        <f>'Додаток 3 до рішення'!M7</f>
        <v>0.85293174253939519</v>
      </c>
      <c r="H45" s="1622"/>
    </row>
    <row r="46" spans="1:8" s="15" customFormat="1" ht="31.8" thickBot="1" x14ac:dyDescent="0.35">
      <c r="A46" s="1695" t="s">
        <v>1867</v>
      </c>
      <c r="B46" s="46" t="s">
        <v>2788</v>
      </c>
      <c r="C46" s="1707">
        <f>'Додаток 6 до рішення'!I7</f>
        <v>16.448213425432204</v>
      </c>
      <c r="D46" s="1707">
        <f>'Додаток 6 до рішення'!J7</f>
        <v>13.668480880354855</v>
      </c>
      <c r="E46" s="1707">
        <f>'Додаток 6 до рішення'!K7</f>
        <v>0</v>
      </c>
      <c r="F46" s="1707">
        <f>'Додаток 6 до рішення'!L7</f>
        <v>2.0104763849135998</v>
      </c>
      <c r="G46" s="1707">
        <f>'Додаток 6 до рішення'!M7</f>
        <v>0.76925616016375076</v>
      </c>
      <c r="H46" s="1622"/>
    </row>
    <row r="47" spans="1:8" x14ac:dyDescent="0.25">
      <c r="B47" s="729"/>
      <c r="C47" s="2004" t="e">
        <f>C13+C29+C35+C36+C38+C39</f>
        <v>#REF!</v>
      </c>
      <c r="D47" s="1708"/>
      <c r="E47" s="1708"/>
      <c r="F47" s="1708"/>
      <c r="G47" s="1708"/>
    </row>
    <row r="48" spans="1:8" x14ac:dyDescent="0.25">
      <c r="C48" s="2005">
        <f>'Додаток 3 до рішення'!I39+'Додаток 4 до рішення'!C43+'Додаток 6 до рішення'!I37</f>
        <v>42852.851079477492</v>
      </c>
      <c r="D48" s="1710"/>
      <c r="E48" s="1708"/>
      <c r="F48" s="1708"/>
      <c r="G48" s="1708"/>
    </row>
    <row r="49" spans="1:7" ht="14.4" thickBot="1" x14ac:dyDescent="0.3">
      <c r="C49" s="2004" t="e">
        <f>C47-C48</f>
        <v>#REF!</v>
      </c>
      <c r="D49" s="1708"/>
      <c r="E49" s="1708"/>
      <c r="F49" s="1708"/>
      <c r="G49" s="1708"/>
    </row>
    <row r="50" spans="1:7" ht="14.4" thickBot="1" x14ac:dyDescent="0.3">
      <c r="A50" s="1695" t="s">
        <v>3056</v>
      </c>
      <c r="B50" s="4892" t="s">
        <v>3051</v>
      </c>
      <c r="C50" s="4893"/>
      <c r="D50" s="4893"/>
      <c r="E50" s="4893"/>
      <c r="F50" s="4893"/>
      <c r="G50" s="4894"/>
    </row>
    <row r="51" spans="1:7" ht="27.6" x14ac:dyDescent="0.25">
      <c r="A51" s="1696" t="s">
        <v>1747</v>
      </c>
      <c r="B51" s="2025" t="s">
        <v>2792</v>
      </c>
      <c r="C51" s="1686">
        <f>C52+C57+C58+C62</f>
        <v>149071.37204744879</v>
      </c>
      <c r="D51" s="2029">
        <f>D52+D57+D58+D62</f>
        <v>1204.5578945392026</v>
      </c>
      <c r="E51" s="1686">
        <f>E52+E57+E58+E62</f>
        <v>2191.5679039096362</v>
      </c>
      <c r="F51" s="2029">
        <f>F52+F57+F58+F62</f>
        <v>2191.5679039096376</v>
      </c>
      <c r="G51" s="1686">
        <f>G52+G57+G58+G62</f>
        <v>2191.5679039096376</v>
      </c>
    </row>
    <row r="52" spans="1:7" x14ac:dyDescent="0.25">
      <c r="A52" s="1698" t="s">
        <v>1749</v>
      </c>
      <c r="B52" s="2026" t="s">
        <v>2749</v>
      </c>
      <c r="C52" s="1699">
        <f>SUM(C53:C56)</f>
        <v>125398.03179983831</v>
      </c>
      <c r="D52" s="2030">
        <f>SUM(D53:D56)</f>
        <v>986.72284312854674</v>
      </c>
      <c r="E52" s="1699">
        <f>SUM(E53:E56)</f>
        <v>1973.73285249898</v>
      </c>
      <c r="F52" s="2030">
        <f>SUM(F53:F56)</f>
        <v>1973.7328524989814</v>
      </c>
      <c r="G52" s="1699">
        <f>SUM(G53:G56)</f>
        <v>1973.7328524989814</v>
      </c>
    </row>
    <row r="53" spans="1:7" x14ac:dyDescent="0.25">
      <c r="A53" s="1698" t="s">
        <v>2750</v>
      </c>
      <c r="B53" s="2026" t="s">
        <v>2751</v>
      </c>
      <c r="C53" s="1699">
        <f>'Додаток 3 до рішення'!C11</f>
        <v>118804.3607936293</v>
      </c>
      <c r="D53" s="2030">
        <f>'Додаток 3 до рішення'!D11</f>
        <v>926.04983933612777</v>
      </c>
      <c r="E53" s="1699">
        <f>'Додаток 3 до рішення'!E11</f>
        <v>1913.0598487065622</v>
      </c>
      <c r="F53" s="2030">
        <f>'Додаток 3 до рішення'!F11</f>
        <v>1913.059848706562</v>
      </c>
      <c r="G53" s="1699">
        <f>'Додаток 3 до рішення'!G11</f>
        <v>1913.0598487065627</v>
      </c>
    </row>
    <row r="54" spans="1:7" x14ac:dyDescent="0.25">
      <c r="A54" s="1698" t="s">
        <v>2752</v>
      </c>
      <c r="B54" s="2026" t="s">
        <v>2753</v>
      </c>
      <c r="C54" s="1699">
        <f>'Додаток 3 до рішення'!C12</f>
        <v>5937.3503814675587</v>
      </c>
      <c r="D54" s="2030">
        <f>'Додаток 3 до рішення'!D12</f>
        <v>54.633736180115534</v>
      </c>
      <c r="E54" s="1699">
        <f>'Додаток 3 до рішення'!E12</f>
        <v>54.633736180115527</v>
      </c>
      <c r="F54" s="2030">
        <f>'Додаток 3 до рішення'!F12</f>
        <v>54.633736180115527</v>
      </c>
      <c r="G54" s="1699">
        <f>'Додаток 3 до рішення'!G12</f>
        <v>54.633736180115534</v>
      </c>
    </row>
    <row r="55" spans="1:7" x14ac:dyDescent="0.25">
      <c r="A55" s="1698" t="s">
        <v>2754</v>
      </c>
      <c r="B55" s="2026" t="s">
        <v>2755</v>
      </c>
      <c r="C55" s="1699">
        <f>'Додаток 3 до рішення'!C13</f>
        <v>33.313922123945588</v>
      </c>
      <c r="D55" s="2030">
        <f>'Додаток 3 до рішення'!D13</f>
        <v>0.30654482479686251</v>
      </c>
      <c r="E55" s="1699">
        <f>'Додаток 3 до рішення'!E13</f>
        <v>0.30654482479686246</v>
      </c>
      <c r="F55" s="2030">
        <f>'Додаток 3 до рішення'!F13</f>
        <v>0.30654482479686246</v>
      </c>
      <c r="G55" s="1699">
        <f>'Додаток 3 до рішення'!G13</f>
        <v>0.30654482479686251</v>
      </c>
    </row>
    <row r="56" spans="1:7" x14ac:dyDescent="0.25">
      <c r="A56" s="1698" t="s">
        <v>2756</v>
      </c>
      <c r="B56" s="2026" t="s">
        <v>2273</v>
      </c>
      <c r="C56" s="1699">
        <f>'Додаток 3 до рішення'!C14</f>
        <v>623.00670261750929</v>
      </c>
      <c r="D56" s="2030">
        <f>'Додаток 3 до рішення'!D14</f>
        <v>5.7327227875065283</v>
      </c>
      <c r="E56" s="1699">
        <f>'Додаток 3 до рішення'!E14</f>
        <v>5.7327227875055042</v>
      </c>
      <c r="F56" s="2030">
        <f>'Додаток 3 до рішення'!F14</f>
        <v>5.7327227875070346</v>
      </c>
      <c r="G56" s="1699">
        <f>'Додаток 3 до рішення'!G14</f>
        <v>5.7327227875062041</v>
      </c>
    </row>
    <row r="57" spans="1:7" x14ac:dyDescent="0.25">
      <c r="A57" s="1698" t="s">
        <v>1751</v>
      </c>
      <c r="B57" s="2026" t="s">
        <v>2757</v>
      </c>
      <c r="C57" s="1699">
        <f>'Додаток 3 до рішення'!C15</f>
        <v>11228.939355305936</v>
      </c>
      <c r="D57" s="2030">
        <f>'Додаток 3 до рішення'!D15</f>
        <v>103.32536753013136</v>
      </c>
      <c r="E57" s="1699">
        <f>'Додаток 3 до рішення'!E15</f>
        <v>103.32536753013136</v>
      </c>
      <c r="F57" s="2030">
        <f>'Додаток 3 до рішення'!F15</f>
        <v>103.32536753013136</v>
      </c>
      <c r="G57" s="1699">
        <f>'Додаток 3 до рішення'!G15</f>
        <v>103.32536753013136</v>
      </c>
    </row>
    <row r="58" spans="1:7" x14ac:dyDescent="0.25">
      <c r="A58" s="1698" t="s">
        <v>1753</v>
      </c>
      <c r="B58" s="2026" t="s">
        <v>2758</v>
      </c>
      <c r="C58" s="1699">
        <f>'Додаток 3 до рішення'!C16</f>
        <v>7233.6473506343445</v>
      </c>
      <c r="D58" s="2030">
        <f>'Додаток 3 до рішення'!D16</f>
        <v>66.561876187752475</v>
      </c>
      <c r="E58" s="1699">
        <f>'Додаток 3 до рішення'!E16</f>
        <v>66.561876187752446</v>
      </c>
      <c r="F58" s="2030">
        <f>'Додаток 3 до рішення'!F16</f>
        <v>66.561876187752446</v>
      </c>
      <c r="G58" s="1699">
        <f>'Додаток 3 до рішення'!G16</f>
        <v>66.561876187752446</v>
      </c>
    </row>
    <row r="59" spans="1:7" x14ac:dyDescent="0.25">
      <c r="A59" s="1698" t="s">
        <v>2759</v>
      </c>
      <c r="B59" s="2026" t="s">
        <v>2760</v>
      </c>
      <c r="C59" s="1699">
        <f>'Додаток 3 до рішення'!C17</f>
        <v>2470.366658167306</v>
      </c>
      <c r="D59" s="2030">
        <f>'Додаток 3 до рішення'!D17</f>
        <v>22.731580856628899</v>
      </c>
      <c r="E59" s="1699">
        <f>'Додаток 3 до рішення'!E17</f>
        <v>22.731580856628899</v>
      </c>
      <c r="F59" s="2030">
        <f>'Додаток 3 до рішення'!F17</f>
        <v>22.731580856628902</v>
      </c>
      <c r="G59" s="1699">
        <f>'Додаток 3 до рішення'!G17</f>
        <v>22.731580856628902</v>
      </c>
    </row>
    <row r="60" spans="1:7" x14ac:dyDescent="0.25">
      <c r="A60" s="1698" t="s">
        <v>2761</v>
      </c>
      <c r="B60" s="2026" t="s">
        <v>2762</v>
      </c>
      <c r="C60" s="1699">
        <f>'Додаток 3 до рішення'!C18</f>
        <v>2122.9628600000001</v>
      </c>
      <c r="D60" s="2030">
        <f>'Додаток 3 до рішення'!D18</f>
        <v>19.534874205075123</v>
      </c>
      <c r="E60" s="1699">
        <f>'Додаток 3 до рішення'!E18</f>
        <v>19.534874205075123</v>
      </c>
      <c r="F60" s="2030">
        <f>'Додаток 3 до рішення'!F18</f>
        <v>19.534874205075123</v>
      </c>
      <c r="G60" s="1699">
        <f>'Додаток 3 до рішення'!G18</f>
        <v>19.53487420507512</v>
      </c>
    </row>
    <row r="61" spans="1:7" x14ac:dyDescent="0.25">
      <c r="A61" s="1698" t="s">
        <v>2763</v>
      </c>
      <c r="B61" s="2026" t="s">
        <v>81</v>
      </c>
      <c r="C61" s="1699">
        <f>'Додаток 3 до рішення'!C19</f>
        <v>2640.3178324670384</v>
      </c>
      <c r="D61" s="2030">
        <f>'Додаток 3 до рішення'!D19</f>
        <v>24.295421126048446</v>
      </c>
      <c r="E61" s="1699">
        <f>'Додаток 3 до рішення'!E19</f>
        <v>24.295421126048424</v>
      </c>
      <c r="F61" s="2030">
        <f>'Додаток 3 до рішення'!F19</f>
        <v>24.295421126048428</v>
      </c>
      <c r="G61" s="1699">
        <f>'Додаток 3 до рішення'!G19</f>
        <v>24.295421126048424</v>
      </c>
    </row>
    <row r="62" spans="1:7" x14ac:dyDescent="0.25">
      <c r="A62" s="1700" t="s">
        <v>1755</v>
      </c>
      <c r="B62" s="2025" t="s">
        <v>2764</v>
      </c>
      <c r="C62" s="1690">
        <f>C63+C64+C65+C66</f>
        <v>5210.7535416702249</v>
      </c>
      <c r="D62" s="2031">
        <f>D63+D64+D65+D66</f>
        <v>47.94780769277213</v>
      </c>
      <c r="E62" s="300">
        <f>E63+E64+E65+E66</f>
        <v>47.947807692772123</v>
      </c>
      <c r="F62" s="2031">
        <f>F63+F64+F65+F66</f>
        <v>47.947807692772123</v>
      </c>
      <c r="G62" s="300">
        <f>G63+G64+G65+G66</f>
        <v>47.947807692772123</v>
      </c>
    </row>
    <row r="63" spans="1:7" x14ac:dyDescent="0.25">
      <c r="A63" s="1701" t="s">
        <v>2765</v>
      </c>
      <c r="B63" s="2026" t="s">
        <v>2766</v>
      </c>
      <c r="C63" s="1699">
        <f>'Додаток 3 до рішення'!C21</f>
        <v>3981.6703519823727</v>
      </c>
      <c r="D63" s="2030">
        <f>'Додаток 3 до рішення'!D21</f>
        <v>36.638148936836721</v>
      </c>
      <c r="E63" s="1699">
        <f>'Додаток 3 до рішення'!E21</f>
        <v>36.638148936836714</v>
      </c>
      <c r="F63" s="2030">
        <f>'Додаток 3 до рішення'!F21</f>
        <v>36.638148936836714</v>
      </c>
      <c r="G63" s="1699">
        <f>'Додаток 3 до рішення'!G21</f>
        <v>36.638148936836714</v>
      </c>
    </row>
    <row r="64" spans="1:7" x14ac:dyDescent="0.25">
      <c r="A64" s="1701" t="s">
        <v>2767</v>
      </c>
      <c r="B64" s="2026" t="s">
        <v>2275</v>
      </c>
      <c r="C64" s="1699">
        <f>'Додаток 3 до рішення'!C22</f>
        <v>849.8976237422155</v>
      </c>
      <c r="D64" s="2030">
        <f>'Додаток 3 до рішення'!D22</f>
        <v>7.8205057091749826</v>
      </c>
      <c r="E64" s="1699">
        <f>'Додаток 3 до рішення'!E22</f>
        <v>7.8205057091749808</v>
      </c>
      <c r="F64" s="2030">
        <f>'Додаток 3 до рішення'!F22</f>
        <v>7.8205057091749808</v>
      </c>
      <c r="G64" s="1699">
        <f>'Додаток 3 до рішення'!G22</f>
        <v>7.8205057091749826</v>
      </c>
    </row>
    <row r="65" spans="1:7" x14ac:dyDescent="0.25">
      <c r="A65" s="1701" t="s">
        <v>2768</v>
      </c>
      <c r="B65" s="2026" t="s">
        <v>2762</v>
      </c>
      <c r="C65" s="1699">
        <f>'Додаток 3 до рішення'!C23</f>
        <v>24.498227527621857</v>
      </c>
      <c r="D65" s="2030">
        <f>'Додаток 3 до рішення'!D23</f>
        <v>0.2254254193591505</v>
      </c>
      <c r="E65" s="1699">
        <f>'Додаток 3 до рішення'!E23</f>
        <v>0.2254254193591505</v>
      </c>
      <c r="F65" s="2030">
        <f>'Додаток 3 до рішення'!F23</f>
        <v>0.2254254193591505</v>
      </c>
      <c r="G65" s="1699">
        <f>'Додаток 3 до рішення'!G23</f>
        <v>0.2254254193591505</v>
      </c>
    </row>
    <row r="66" spans="1:7" x14ac:dyDescent="0.25">
      <c r="A66" s="1701" t="s">
        <v>2769</v>
      </c>
      <c r="B66" s="2026" t="s">
        <v>58</v>
      </c>
      <c r="C66" s="1699">
        <f>'Додаток 3 до рішення'!C24</f>
        <v>354.68733841801537</v>
      </c>
      <c r="D66" s="2030">
        <f>'Додаток 3 до рішення'!D24</f>
        <v>3.2637276274012814</v>
      </c>
      <c r="E66" s="1699">
        <f>'Додаток 3 до рішення'!E24</f>
        <v>3.2637276274012814</v>
      </c>
      <c r="F66" s="2030">
        <f>'Додаток 3 до рішення'!F24</f>
        <v>3.2637276274012814</v>
      </c>
      <c r="G66" s="1699">
        <f>'Додаток 3 до рішення'!G24</f>
        <v>3.2637276274012814</v>
      </c>
    </row>
    <row r="67" spans="1:7" x14ac:dyDescent="0.25">
      <c r="A67" s="1696" t="s">
        <v>1768</v>
      </c>
      <c r="B67" s="2025" t="s">
        <v>2770</v>
      </c>
      <c r="C67" s="1690">
        <f>C68+C69+C70+C71</f>
        <v>6334.8875507536159</v>
      </c>
      <c r="D67" s="2031">
        <f>D68+D69+D70+D71</f>
        <v>58.29175523460092</v>
      </c>
      <c r="E67" s="300">
        <f>E68+E69+E70+E71</f>
        <v>58.291755234600913</v>
      </c>
      <c r="F67" s="2031">
        <f>F68+F69+F70+F71</f>
        <v>58.29175523460092</v>
      </c>
      <c r="G67" s="300">
        <f>G68+G69+G70+G71</f>
        <v>58.29175523460092</v>
      </c>
    </row>
    <row r="68" spans="1:7" x14ac:dyDescent="0.25">
      <c r="A68" s="1701" t="s">
        <v>2771</v>
      </c>
      <c r="B68" s="2026" t="s">
        <v>55</v>
      </c>
      <c r="C68" s="1699">
        <f>'Додаток 3 до рішення'!C26</f>
        <v>4743.9700713768461</v>
      </c>
      <c r="D68" s="2030">
        <f>'Додаток 3 до рішення'!D26</f>
        <v>43.652604726673331</v>
      </c>
      <c r="E68" s="1699">
        <f>'Додаток 3 до рішення'!E26</f>
        <v>43.652604726673331</v>
      </c>
      <c r="F68" s="2030">
        <f>'Додаток 3 до рішення'!F26</f>
        <v>43.652604726673331</v>
      </c>
      <c r="G68" s="1699">
        <f>'Додаток 3 до рішення'!G26</f>
        <v>43.652604726673339</v>
      </c>
    </row>
    <row r="69" spans="1:7" x14ac:dyDescent="0.25">
      <c r="A69" s="1701" t="s">
        <v>2772</v>
      </c>
      <c r="B69" s="2026" t="s">
        <v>2773</v>
      </c>
      <c r="C69" s="1699">
        <f>'Додаток 3 до рішення'!C27</f>
        <v>1043.6734157029061</v>
      </c>
      <c r="D69" s="2030">
        <f>'Додаток 3 до рішення'!D27</f>
        <v>9.6035730398681345</v>
      </c>
      <c r="E69" s="1699">
        <f>'Додаток 3 до рішення'!E27</f>
        <v>9.6035730398681327</v>
      </c>
      <c r="F69" s="2030">
        <f>'Додаток 3 до рішення'!F27</f>
        <v>9.6035730398681345</v>
      </c>
      <c r="G69" s="1699">
        <f>'Додаток 3 до рішення'!G27</f>
        <v>9.6035730398681345</v>
      </c>
    </row>
    <row r="70" spans="1:7" x14ac:dyDescent="0.25">
      <c r="A70" s="1701" t="s">
        <v>2774</v>
      </c>
      <c r="B70" s="2026" t="s">
        <v>2762</v>
      </c>
      <c r="C70" s="1699">
        <f>'Додаток 3 до рішення'!C28</f>
        <v>59.839555891161972</v>
      </c>
      <c r="D70" s="2030">
        <f>'Додаток 3 до рішення'!D28</f>
        <v>0.55062583469849824</v>
      </c>
      <c r="E70" s="1699">
        <f>'Додаток 3 до рішення'!E28</f>
        <v>0.55062583469849824</v>
      </c>
      <c r="F70" s="2030">
        <f>'Додаток 3 до рішення'!F28</f>
        <v>0.55062583469849824</v>
      </c>
      <c r="G70" s="1699">
        <f>'Додаток 3 до рішення'!G28</f>
        <v>0.55062583469849824</v>
      </c>
    </row>
    <row r="71" spans="1:7" x14ac:dyDescent="0.25">
      <c r="A71" s="1701" t="s">
        <v>2775</v>
      </c>
      <c r="B71" s="2026" t="s">
        <v>2776</v>
      </c>
      <c r="C71" s="1699">
        <f>'Додаток 3 до рішення'!C29</f>
        <v>487.40450778270178</v>
      </c>
      <c r="D71" s="2030">
        <f>'Додаток 3 до рішення'!D29</f>
        <v>4.4849516333609518</v>
      </c>
      <c r="E71" s="1699">
        <f>'Додаток 3 до рішення'!E29</f>
        <v>4.4849516333609518</v>
      </c>
      <c r="F71" s="2030">
        <f>'Додаток 3 до рішення'!F29</f>
        <v>4.4849516333609518</v>
      </c>
      <c r="G71" s="1699">
        <f>'Додаток 3 до рішення'!G29</f>
        <v>4.4849516333609518</v>
      </c>
    </row>
    <row r="72" spans="1:7" x14ac:dyDescent="0.25">
      <c r="A72" s="1696" t="s">
        <v>1770</v>
      </c>
      <c r="B72" s="2025" t="s">
        <v>2777</v>
      </c>
      <c r="C72" s="1690">
        <f>'Додаток 3 до рішення'!C30</f>
        <v>0</v>
      </c>
      <c r="D72" s="2029">
        <v>0</v>
      </c>
      <c r="E72" s="1690">
        <v>0</v>
      </c>
      <c r="F72" s="2029">
        <v>0</v>
      </c>
      <c r="G72" s="1690">
        <v>0</v>
      </c>
    </row>
    <row r="73" spans="1:7" x14ac:dyDescent="0.25">
      <c r="A73" s="1696" t="s">
        <v>1773</v>
      </c>
      <c r="B73" s="2025" t="s">
        <v>2779</v>
      </c>
      <c r="C73" s="1690">
        <f>'Додаток 3 до рішення'!C31</f>
        <v>0</v>
      </c>
      <c r="D73" s="2029">
        <f>C73/$C$40</f>
        <v>0</v>
      </c>
      <c r="E73" s="1690">
        <f>C73/$C$40</f>
        <v>0</v>
      </c>
      <c r="F73" s="2029">
        <f>C73/$C$40</f>
        <v>0</v>
      </c>
      <c r="G73" s="1690">
        <f>C73/$C$40</f>
        <v>0</v>
      </c>
    </row>
    <row r="74" spans="1:7" x14ac:dyDescent="0.25">
      <c r="A74" s="1696" t="s">
        <v>1845</v>
      </c>
      <c r="B74" s="2025" t="s">
        <v>2780</v>
      </c>
      <c r="C74" s="1690">
        <f>'Додаток 3 до рішення'!C32</f>
        <v>0</v>
      </c>
      <c r="D74" s="2029">
        <f>C74/$C$40</f>
        <v>0</v>
      </c>
      <c r="E74" s="1690">
        <f>C74/$C$40</f>
        <v>0</v>
      </c>
      <c r="F74" s="2029">
        <f>C74/$C$40</f>
        <v>0</v>
      </c>
      <c r="G74" s="1690">
        <f>C74/$C$40</f>
        <v>0</v>
      </c>
    </row>
    <row r="75" spans="1:7" x14ac:dyDescent="0.25">
      <c r="A75" s="1696" t="s">
        <v>1851</v>
      </c>
      <c r="B75" s="2025" t="s">
        <v>2781</v>
      </c>
      <c r="C75" s="1690">
        <f>'Додаток 3 до рішення'!C33</f>
        <v>0</v>
      </c>
      <c r="D75" s="2032">
        <f>C75/$C$40</f>
        <v>0</v>
      </c>
      <c r="E75" s="1714">
        <f>C75/$C$40</f>
        <v>0</v>
      </c>
      <c r="F75" s="2032">
        <f>C75/$C$40</f>
        <v>0</v>
      </c>
      <c r="G75" s="1714">
        <f>C75/$C$40</f>
        <v>0</v>
      </c>
    </row>
    <row r="76" spans="1:7" x14ac:dyDescent="0.25">
      <c r="A76" s="1696" t="s">
        <v>1857</v>
      </c>
      <c r="B76" s="2025" t="s">
        <v>2782</v>
      </c>
      <c r="C76" s="1690">
        <f>SUM(C77:C80)</f>
        <v>7201.7534935752356</v>
      </c>
      <c r="D76" s="2029">
        <f>SUM(D77:D80)</f>
        <v>58.522300843176261</v>
      </c>
      <c r="E76" s="1690">
        <f>SUM(E77:E80)</f>
        <v>104.2617890822939</v>
      </c>
      <c r="F76" s="2029">
        <f>SUM(F77:F80)</f>
        <v>104.26178908229397</v>
      </c>
      <c r="G76" s="1690">
        <f>SUM(G77:G80)</f>
        <v>104.26178908229397</v>
      </c>
    </row>
    <row r="77" spans="1:7" x14ac:dyDescent="0.25">
      <c r="A77" s="1701" t="s">
        <v>1029</v>
      </c>
      <c r="B77" s="2026" t="s">
        <v>65</v>
      </c>
      <c r="C77" s="1699">
        <f>'Додаток 3 до рішення'!C35</f>
        <v>1296.3156288435421</v>
      </c>
      <c r="D77" s="2030">
        <f>'Додаток 3 до рішення'!D35</f>
        <v>10.534014151771723</v>
      </c>
      <c r="E77" s="1699">
        <f>'Додаток 3 до рішення'!E35</f>
        <v>18.7671220348129</v>
      </c>
      <c r="F77" s="2030">
        <f>'Додаток 3 до рішення'!F35</f>
        <v>18.767122034812907</v>
      </c>
      <c r="G77" s="1699">
        <f>'Додаток 3 до рішення'!G35</f>
        <v>18.76712203481291</v>
      </c>
    </row>
    <row r="78" spans="1:7" x14ac:dyDescent="0.25">
      <c r="A78" s="1701" t="s">
        <v>2793</v>
      </c>
      <c r="B78" s="2026" t="s">
        <v>84</v>
      </c>
      <c r="C78" s="1699">
        <f>'Додаток 3 до рішення'!C36</f>
        <v>0</v>
      </c>
      <c r="D78" s="2030">
        <f>'Додаток 3 до рішення'!D36</f>
        <v>0</v>
      </c>
      <c r="E78" s="1699">
        <f>'Додаток 3 до рішення'!E36</f>
        <v>0</v>
      </c>
      <c r="F78" s="2030">
        <f>'Додаток 3 до рішення'!F36</f>
        <v>0</v>
      </c>
      <c r="G78" s="1699">
        <f>'Додаток 3 до рішення'!G36</f>
        <v>0</v>
      </c>
    </row>
    <row r="79" spans="1:7" x14ac:dyDescent="0.25">
      <c r="A79" s="1701" t="s">
        <v>2794</v>
      </c>
      <c r="B79" s="2026" t="s">
        <v>71</v>
      </c>
      <c r="C79" s="1699">
        <f>'Додаток 3 до рішення'!C37</f>
        <v>0</v>
      </c>
      <c r="D79" s="2030">
        <f>'Додаток 3 до рішення'!D37</f>
        <v>0</v>
      </c>
      <c r="E79" s="1699">
        <f>'Додаток 3 до рішення'!E37</f>
        <v>0</v>
      </c>
      <c r="F79" s="2030">
        <f>'Додаток 3 до рішення'!F37</f>
        <v>0</v>
      </c>
      <c r="G79" s="1699">
        <f>'Додаток 3 до рішення'!G37</f>
        <v>0</v>
      </c>
    </row>
    <row r="80" spans="1:7" x14ac:dyDescent="0.25">
      <c r="A80" s="1701" t="s">
        <v>2795</v>
      </c>
      <c r="B80" s="2026" t="s">
        <v>2446</v>
      </c>
      <c r="C80" s="1699">
        <f>'Додаток 3 до рішення'!C38</f>
        <v>5905.4378647316935</v>
      </c>
      <c r="D80" s="2030">
        <f>'Додаток 3 до рішення'!D38</f>
        <v>47.988286691404539</v>
      </c>
      <c r="E80" s="1699">
        <f>'Додаток 3 до рішення'!E38</f>
        <v>85.494667047481002</v>
      </c>
      <c r="F80" s="2030">
        <f>'Додаток 3 до рішення'!F38</f>
        <v>85.494667047481059</v>
      </c>
      <c r="G80" s="1699">
        <f>'Додаток 3 до рішення'!G38</f>
        <v>85.494667047481059</v>
      </c>
    </row>
    <row r="81" spans="1:7" ht="28.2" thickBot="1" x14ac:dyDescent="0.3">
      <c r="A81" s="1715" t="s">
        <v>1859</v>
      </c>
      <c r="B81" s="2027" t="s">
        <v>2796</v>
      </c>
      <c r="C81" s="1693">
        <f>'Додаток 3 до рішення'!C39</f>
        <v>162608.01309177766</v>
      </c>
      <c r="D81" s="1718">
        <f>'Додаток 3 до рішення'!D39</f>
        <v>1321.3719506169798</v>
      </c>
      <c r="E81" s="1693">
        <f>'Додаток 3 до рішення'!E39</f>
        <v>2354.1214482265309</v>
      </c>
      <c r="F81" s="1718">
        <f>'Додаток 3 до рішення'!F39</f>
        <v>2354.1214482265323</v>
      </c>
      <c r="G81" s="1693">
        <f>'Додаток 3 до рішення'!G39</f>
        <v>2354.1214482265323</v>
      </c>
    </row>
    <row r="82" spans="1:7" ht="31.8" thickBot="1" x14ac:dyDescent="0.3">
      <c r="A82" s="1717" t="s">
        <v>1861</v>
      </c>
      <c r="B82" s="2028" t="s">
        <v>3086</v>
      </c>
      <c r="C82" s="1693">
        <f>'Додаток 3 до рішення'!C40</f>
        <v>108.67553267624618</v>
      </c>
      <c r="D82" s="1718">
        <f>'Додаток 3 до рішення'!D40</f>
        <v>90.271057497103627</v>
      </c>
      <c r="E82" s="1693">
        <f>'Додаток 3 до рішення'!E40</f>
        <v>1.4602989074179139E-2</v>
      </c>
      <c r="F82" s="1718">
        <f>'Додаток 3 до рішення'!F40</f>
        <v>13.752767963175286</v>
      </c>
      <c r="G82" s="1693">
        <f>'Додаток 3 до рішення'!G40</f>
        <v>4.6371042268930927</v>
      </c>
    </row>
    <row r="83" spans="1:7" ht="14.4" thickBot="1" x14ac:dyDescent="0.3">
      <c r="A83" s="1695" t="s">
        <v>2746</v>
      </c>
      <c r="B83" s="4888" t="s">
        <v>2806</v>
      </c>
      <c r="C83" s="4889"/>
      <c r="D83" s="4889"/>
      <c r="E83" s="4889"/>
      <c r="F83" s="4889"/>
      <c r="G83" s="4890"/>
    </row>
    <row r="84" spans="1:7" x14ac:dyDescent="0.25">
      <c r="A84" s="1696" t="s">
        <v>1747</v>
      </c>
      <c r="B84" s="255" t="s">
        <v>2748</v>
      </c>
      <c r="C84" s="1690" t="e">
        <f>C85+C89+C90+C94</f>
        <v>#REF!</v>
      </c>
      <c r="D84" s="300" t="e">
        <f>D85+D89+D90+D94</f>
        <v>#REF!</v>
      </c>
      <c r="E84" s="300" t="e">
        <f>E85+E89+E90+E94</f>
        <v>#REF!</v>
      </c>
      <c r="F84" s="300" t="e">
        <f>F85+F89+F90+F94</f>
        <v>#REF!</v>
      </c>
      <c r="G84" s="300" t="e">
        <f>G85+G89+G90+G94</f>
        <v>#REF!</v>
      </c>
    </row>
    <row r="85" spans="1:7" x14ac:dyDescent="0.25">
      <c r="A85" s="1698" t="s">
        <v>1749</v>
      </c>
      <c r="B85" s="78" t="s">
        <v>2801</v>
      </c>
      <c r="C85" s="1699">
        <f>SUM(C86:C88)</f>
        <v>4437.5830529248096</v>
      </c>
      <c r="D85" s="1699">
        <f>SUM(D86:D88)</f>
        <v>269.79118875387553</v>
      </c>
      <c r="E85" s="1699">
        <f>SUM(E86:E88)</f>
        <v>0</v>
      </c>
      <c r="F85" s="1699">
        <f>SUM(F86:F88)</f>
        <v>269.79118875387553</v>
      </c>
      <c r="G85" s="1699">
        <f>SUM(G86:G88)</f>
        <v>269.79118875387553</v>
      </c>
    </row>
    <row r="86" spans="1:7" x14ac:dyDescent="0.25">
      <c r="A86" s="1698" t="s">
        <v>2750</v>
      </c>
      <c r="B86" s="78" t="s">
        <v>2753</v>
      </c>
      <c r="C86" s="1699">
        <f>'Додаток 4 до рішення'!C11</f>
        <v>4179.9292165489842</v>
      </c>
      <c r="D86" s="1699">
        <f>'Додаток 4 до рішення'!D11</f>
        <v>254.12664028823843</v>
      </c>
      <c r="E86" s="1699">
        <f>'Додаток 4 до рішення'!E11</f>
        <v>0</v>
      </c>
      <c r="F86" s="1699">
        <f>'Додаток 4 до рішення'!F11</f>
        <v>254.12664028823843</v>
      </c>
      <c r="G86" s="1699">
        <f>'Додаток 4 до рішення'!G11</f>
        <v>254.12664028823843</v>
      </c>
    </row>
    <row r="87" spans="1:7" x14ac:dyDescent="0.25">
      <c r="A87" s="1698" t="s">
        <v>2752</v>
      </c>
      <c r="B87" s="78" t="s">
        <v>2755</v>
      </c>
      <c r="C87" s="1699">
        <f>'Додаток 4 до рішення'!C12</f>
        <v>108.58398240194796</v>
      </c>
      <c r="D87" s="1699">
        <f>'Додаток 4 до рішення'!D12</f>
        <v>6.6015669661761294</v>
      </c>
      <c r="E87" s="1699">
        <f>'Додаток 4 до рішення'!E12</f>
        <v>0</v>
      </c>
      <c r="F87" s="1699">
        <f>'Додаток 4 до рішення'!F12</f>
        <v>6.6015669661761303</v>
      </c>
      <c r="G87" s="1699">
        <f>'Додаток 4 до рішення'!G12</f>
        <v>6.6015669661761294</v>
      </c>
    </row>
    <row r="88" spans="1:7" x14ac:dyDescent="0.25">
      <c r="A88" s="1698" t="s">
        <v>2754</v>
      </c>
      <c r="B88" s="78" t="s">
        <v>2273</v>
      </c>
      <c r="C88" s="1699">
        <f>'Додаток 4 до рішення'!C13</f>
        <v>149.0698539738778</v>
      </c>
      <c r="D88" s="1699">
        <f>'Додаток 4 до рішення'!D13</f>
        <v>9.0629814994609603</v>
      </c>
      <c r="E88" s="1699">
        <f>'Додаток 4 до рішення'!E13</f>
        <v>0</v>
      </c>
      <c r="F88" s="1699">
        <f>'Додаток 4 до рішення'!F13</f>
        <v>9.0629814994609603</v>
      </c>
      <c r="G88" s="1699">
        <f>'Додаток 4 до рішення'!G13</f>
        <v>9.0629814994609887</v>
      </c>
    </row>
    <row r="89" spans="1:7" x14ac:dyDescent="0.25">
      <c r="A89" s="1698" t="s">
        <v>1751</v>
      </c>
      <c r="B89" s="78" t="s">
        <v>2757</v>
      </c>
      <c r="C89" s="1699">
        <f>'Додаток 4 до рішення'!C15</f>
        <v>3466.1638017167252</v>
      </c>
      <c r="D89" s="1699">
        <f>'Додаток 4 до рішення'!D15</f>
        <v>210.73193252449823</v>
      </c>
      <c r="E89" s="1699">
        <f>'Додаток 4 до рішення'!E15</f>
        <v>0</v>
      </c>
      <c r="F89" s="1699">
        <f>'Додаток 4 до рішення'!F15</f>
        <v>210.73193252449823</v>
      </c>
      <c r="G89" s="1699">
        <f>'Додаток 4 до рішення'!G15</f>
        <v>210.73193252449823</v>
      </c>
    </row>
    <row r="90" spans="1:7" x14ac:dyDescent="0.25">
      <c r="A90" s="1698" t="s">
        <v>1753</v>
      </c>
      <c r="B90" s="78" t="s">
        <v>2758</v>
      </c>
      <c r="C90" s="1699">
        <f>'Додаток 4 до рішення'!C16</f>
        <v>3821.1670404279466</v>
      </c>
      <c r="D90" s="1699">
        <f>'Додаток 4 до рішення'!D16</f>
        <v>232.31502057966148</v>
      </c>
      <c r="E90" s="1699">
        <f>'Додаток 4 до рішення'!E16</f>
        <v>0</v>
      </c>
      <c r="F90" s="1699">
        <f>'Додаток 4 до рішення'!F16</f>
        <v>232.31502057966148</v>
      </c>
      <c r="G90" s="1699">
        <f>'Додаток 4 до рішення'!G16</f>
        <v>232.31502057966145</v>
      </c>
    </row>
    <row r="91" spans="1:7" x14ac:dyDescent="0.25">
      <c r="A91" s="1698" t="s">
        <v>2759</v>
      </c>
      <c r="B91" s="78" t="s">
        <v>2760</v>
      </c>
      <c r="C91" s="1699">
        <f>'Додаток 4 до рішення'!C17</f>
        <v>759.27155078294027</v>
      </c>
      <c r="D91" s="1699">
        <f>'Додаток 4 до рішення'!D17</f>
        <v>46.161338690374464</v>
      </c>
      <c r="E91" s="1699">
        <f>'Додаток 4 до рішення'!E17</f>
        <v>0</v>
      </c>
      <c r="F91" s="1699">
        <f>'Додаток 4 до рішення'!F17</f>
        <v>46.161338690374464</v>
      </c>
      <c r="G91" s="1699">
        <f>'Додаток 4 до рішення'!G17</f>
        <v>46.161338690374457</v>
      </c>
    </row>
    <row r="92" spans="1:7" x14ac:dyDescent="0.25">
      <c r="A92" s="1698" t="s">
        <v>2761</v>
      </c>
      <c r="B92" s="78" t="s">
        <v>2762</v>
      </c>
      <c r="C92" s="1699">
        <f>'Додаток 4 до рішення'!C18</f>
        <v>2509.7584427367042</v>
      </c>
      <c r="D92" s="1699">
        <f>'Додаток 4 до рішення'!D18</f>
        <v>152.58547404644688</v>
      </c>
      <c r="E92" s="1699">
        <f>'Додаток 4 до рішення'!E18</f>
        <v>0</v>
      </c>
      <c r="F92" s="1699">
        <f>'Додаток 4 до рішення'!F18</f>
        <v>152.58547404644685</v>
      </c>
      <c r="G92" s="1699">
        <f>'Додаток 4 до рішення'!G18</f>
        <v>152.58547404644685</v>
      </c>
    </row>
    <row r="93" spans="1:7" x14ac:dyDescent="0.25">
      <c r="A93" s="1698" t="s">
        <v>2763</v>
      </c>
      <c r="B93" s="78" t="s">
        <v>81</v>
      </c>
      <c r="C93" s="1699">
        <f>'Додаток 4 до рішення'!C19</f>
        <v>552.13704690830218</v>
      </c>
      <c r="D93" s="1699">
        <f>'Додаток 4 до рішення'!D19</f>
        <v>33.568207842840167</v>
      </c>
      <c r="E93" s="1699">
        <f>'Додаток 4 до рішення'!E19</f>
        <v>0</v>
      </c>
      <c r="F93" s="1699">
        <f>'Додаток 4 до рішення'!F19</f>
        <v>33.56820784284016</v>
      </c>
      <c r="G93" s="1699">
        <f>'Додаток 4 до рішення'!G19</f>
        <v>33.56820784284016</v>
      </c>
    </row>
    <row r="94" spans="1:7" x14ac:dyDescent="0.25">
      <c r="A94" s="1700" t="s">
        <v>1755</v>
      </c>
      <c r="B94" s="255" t="s">
        <v>2764</v>
      </c>
      <c r="C94" s="1690" t="e">
        <f>C95+C96+C97+C98</f>
        <v>#REF!</v>
      </c>
      <c r="D94" s="1690" t="e">
        <f>D95+D96+D97+D98</f>
        <v>#REF!</v>
      </c>
      <c r="E94" s="1690" t="e">
        <f>E95+E96+E97+E98</f>
        <v>#REF!</v>
      </c>
      <c r="F94" s="1690" t="e">
        <f>F95+F96+F97+F98</f>
        <v>#REF!</v>
      </c>
      <c r="G94" s="1690" t="e">
        <f>G95+G96+G97+G98</f>
        <v>#REF!</v>
      </c>
    </row>
    <row r="95" spans="1:7" x14ac:dyDescent="0.25">
      <c r="A95" s="1701" t="s">
        <v>2765</v>
      </c>
      <c r="B95" s="78" t="s">
        <v>2766</v>
      </c>
      <c r="C95" s="1699">
        <f>'Додаток 4 до рішення'!C21</f>
        <v>324.51370305813811</v>
      </c>
      <c r="D95" s="1699">
        <f>'Додаток 4 до рішення'!D21</f>
        <v>19.729419522023925</v>
      </c>
      <c r="E95" s="1699">
        <f>'Додаток 4 до рішення'!E21</f>
        <v>0</v>
      </c>
      <c r="F95" s="1699">
        <f>'Додаток 4 до рішення'!F21</f>
        <v>19.729419522023921</v>
      </c>
      <c r="G95" s="1699">
        <f>'Додаток 4 до рішення'!G21</f>
        <v>19.729419522023921</v>
      </c>
    </row>
    <row r="96" spans="1:7" x14ac:dyDescent="0.25">
      <c r="A96" s="1701" t="s">
        <v>2767</v>
      </c>
      <c r="B96" s="78" t="s">
        <v>2275</v>
      </c>
      <c r="C96" s="1699">
        <f>'Додаток 4 до рішення'!C22</f>
        <v>69.268272036529339</v>
      </c>
      <c r="D96" s="1699">
        <f>'Додаток 4 до рішення'!D22</f>
        <v>4.2112945792293059</v>
      </c>
      <c r="E96" s="1699">
        <f>'Додаток 4 до рішення'!E22</f>
        <v>0</v>
      </c>
      <c r="F96" s="1699">
        <f>'Додаток 4 до рішення'!F22</f>
        <v>4.2112945792293059</v>
      </c>
      <c r="G96" s="1699">
        <f>'Додаток 4 до рішення'!G22</f>
        <v>4.2112945792293059</v>
      </c>
    </row>
    <row r="97" spans="1:7" x14ac:dyDescent="0.25">
      <c r="A97" s="1701" t="s">
        <v>2768</v>
      </c>
      <c r="B97" s="78" t="s">
        <v>2762</v>
      </c>
      <c r="C97" s="1699">
        <f>'Додаток 4 до рішення'!C24</f>
        <v>28.907692360960901</v>
      </c>
      <c r="D97" s="1699">
        <f>'Додаток 4 до рішення'!D24</f>
        <v>1.7574974018919205</v>
      </c>
      <c r="E97" s="1699">
        <f>'Додаток 4 до рішення'!E24</f>
        <v>0</v>
      </c>
      <c r="F97" s="1699">
        <f>'Додаток 4 до рішення'!F24</f>
        <v>1.7574974018919205</v>
      </c>
      <c r="G97" s="1699">
        <f>'Додаток 4 до рішення'!G24</f>
        <v>1.7574974018919203</v>
      </c>
    </row>
    <row r="98" spans="1:7" x14ac:dyDescent="0.25">
      <c r="A98" s="1701" t="s">
        <v>2769</v>
      </c>
      <c r="B98" s="78" t="s">
        <v>58</v>
      </c>
      <c r="C98" s="1699" t="e">
        <f>'Додаток 4 до рішення'!#REF!</f>
        <v>#REF!</v>
      </c>
      <c r="D98" s="1699" t="e">
        <f>'Додаток 4 до рішення'!#REF!</f>
        <v>#REF!</v>
      </c>
      <c r="E98" s="1699" t="e">
        <f>'Додаток 4 до рішення'!#REF!</f>
        <v>#REF!</v>
      </c>
      <c r="F98" s="1699" t="e">
        <f>'Додаток 4 до рішення'!#REF!</f>
        <v>#REF!</v>
      </c>
      <c r="G98" s="1699" t="e">
        <f>'Додаток 4 до рішення'!#REF!</f>
        <v>#REF!</v>
      </c>
    </row>
    <row r="99" spans="1:7" x14ac:dyDescent="0.25">
      <c r="A99" s="1696" t="s">
        <v>1768</v>
      </c>
      <c r="B99" s="255" t="s">
        <v>2770</v>
      </c>
      <c r="C99" s="1690" t="e">
        <f>C100+C101+C102+C103</f>
        <v>#REF!</v>
      </c>
      <c r="D99" s="1690" t="e">
        <f>D100+D101+D102+D103</f>
        <v>#REF!</v>
      </c>
      <c r="E99" s="1690" t="e">
        <f>E100+E101+E102+E103</f>
        <v>#REF!</v>
      </c>
      <c r="F99" s="1690" t="e">
        <f>F100+F101+F102+F103</f>
        <v>#REF!</v>
      </c>
      <c r="G99" s="1690" t="e">
        <f>G100+G101+G102+G103</f>
        <v>#REF!</v>
      </c>
    </row>
    <row r="100" spans="1:7" x14ac:dyDescent="0.25">
      <c r="A100" s="1701" t="s">
        <v>2771</v>
      </c>
      <c r="B100" s="78" t="s">
        <v>55</v>
      </c>
      <c r="C100" s="1699">
        <f>'Додаток 4 до рішення'!C26</f>
        <v>386.64257936195304</v>
      </c>
      <c r="D100" s="1699">
        <f>'Додаток 4 до рішення'!D26</f>
        <v>23.506661140724674</v>
      </c>
      <c r="E100" s="1699">
        <f>'Додаток 4 до рішення'!E26</f>
        <v>0</v>
      </c>
      <c r="F100" s="1699">
        <f>'Додаток 4 до рішення'!F26</f>
        <v>23.506661140724674</v>
      </c>
      <c r="G100" s="1699">
        <f>'Додаток 4 до рішення'!G26</f>
        <v>23.50666114072467</v>
      </c>
    </row>
    <row r="101" spans="1:7" x14ac:dyDescent="0.25">
      <c r="A101" s="1701" t="s">
        <v>2772</v>
      </c>
      <c r="B101" s="78" t="s">
        <v>2773</v>
      </c>
      <c r="C101" s="1699">
        <f>'Додаток 4 до рішення'!C27</f>
        <v>85.061367459629665</v>
      </c>
      <c r="D101" s="1699">
        <f>'Додаток 4 до рішення'!D27</f>
        <v>5.1714654509594276</v>
      </c>
      <c r="E101" s="1699">
        <f>'Додаток 4 до рішення'!E27</f>
        <v>0</v>
      </c>
      <c r="F101" s="1699">
        <f>'Додаток 4 до рішення'!F27</f>
        <v>5.1714654509594276</v>
      </c>
      <c r="G101" s="1699">
        <f>'Додаток 4 до рішення'!G27</f>
        <v>5.1714654509594267</v>
      </c>
    </row>
    <row r="102" spans="1:7" x14ac:dyDescent="0.25">
      <c r="A102" s="1701" t="s">
        <v>2774</v>
      </c>
      <c r="B102" s="78" t="s">
        <v>2762</v>
      </c>
      <c r="C102" s="1699">
        <f>'Додаток 4 до рішення'!C29</f>
        <v>44.601431530104591</v>
      </c>
      <c r="D102" s="1699">
        <f>'Додаток 4 до рішення'!D29</f>
        <v>2.7116277237223785</v>
      </c>
      <c r="E102" s="1699">
        <f>'Додаток 4 до рішення'!E29</f>
        <v>0</v>
      </c>
      <c r="F102" s="1699">
        <f>'Додаток 4 до рішення'!F29</f>
        <v>2.7116277237223785</v>
      </c>
      <c r="G102" s="1699">
        <f>'Додаток 4 до рішення'!G29</f>
        <v>2.711627723722378</v>
      </c>
    </row>
    <row r="103" spans="1:7" x14ac:dyDescent="0.25">
      <c r="A103" s="1701" t="s">
        <v>2775</v>
      </c>
      <c r="B103" s="78" t="s">
        <v>2776</v>
      </c>
      <c r="C103" s="1699" t="e">
        <f>'Додаток 4 до рішення'!#REF!</f>
        <v>#REF!</v>
      </c>
      <c r="D103" s="1699" t="e">
        <f>'Додаток 4 до рішення'!#REF!</f>
        <v>#REF!</v>
      </c>
      <c r="E103" s="1699" t="e">
        <f>'Додаток 4 до рішення'!#REF!</f>
        <v>#REF!</v>
      </c>
      <c r="F103" s="1699" t="e">
        <f>'Додаток 4 до рішення'!#REF!</f>
        <v>#REF!</v>
      </c>
      <c r="G103" s="1699" t="e">
        <f>'Додаток 4 до рішення'!#REF!</f>
        <v>#REF!</v>
      </c>
    </row>
    <row r="104" spans="1:7" x14ac:dyDescent="0.25">
      <c r="A104" s="1696" t="s">
        <v>1770</v>
      </c>
      <c r="B104" s="255" t="s">
        <v>2777</v>
      </c>
      <c r="C104" s="1696">
        <f>'Додаток 4 до рішення'!C30</f>
        <v>0</v>
      </c>
      <c r="D104" s="1696">
        <f>'Додаток 4 до рішення'!D30</f>
        <v>0</v>
      </c>
      <c r="E104" s="1696">
        <f>'Додаток 4 до рішення'!E30</f>
        <v>0</v>
      </c>
      <c r="F104" s="1696">
        <f>'Додаток 4 до рішення'!F30</f>
        <v>0</v>
      </c>
      <c r="G104" s="1696">
        <f>'Додаток 4 до рішення'!G30</f>
        <v>0</v>
      </c>
    </row>
    <row r="105" spans="1:7" ht="27.6" x14ac:dyDescent="0.25">
      <c r="A105" s="1696" t="s">
        <v>1773</v>
      </c>
      <c r="B105" s="1697" t="s">
        <v>2802</v>
      </c>
      <c r="C105" s="1690" t="e">
        <f>C84+C99+C104</f>
        <v>#REF!</v>
      </c>
      <c r="D105" s="1690" t="e">
        <f>D84+D99+D104</f>
        <v>#REF!</v>
      </c>
      <c r="E105" s="1690" t="e">
        <f>E84+E99+E104</f>
        <v>#REF!</v>
      </c>
      <c r="F105" s="1690" t="e">
        <f>F84+F99+F104</f>
        <v>#REF!</v>
      </c>
      <c r="G105" s="1690" t="e">
        <f>G84+G99+G104</f>
        <v>#REF!</v>
      </c>
    </row>
    <row r="106" spans="1:7" ht="27.6" x14ac:dyDescent="0.25">
      <c r="A106" s="1696">
        <v>5</v>
      </c>
      <c r="B106" s="1697" t="s">
        <v>2778</v>
      </c>
      <c r="C106" s="1690" t="e">
        <f>'Додаток 4 до рішення'!#REF!</f>
        <v>#REF!</v>
      </c>
      <c r="D106" s="1690" t="e">
        <f>'Додаток 4 до рішення'!#REF!</f>
        <v>#REF!</v>
      </c>
      <c r="E106" s="1690" t="e">
        <f>'Додаток 4 до рішення'!#REF!</f>
        <v>#REF!</v>
      </c>
      <c r="F106" s="1690" t="e">
        <f>'Додаток 4 до рішення'!#REF!</f>
        <v>#REF!</v>
      </c>
      <c r="G106" s="1690" t="e">
        <f>'Додаток 4 до рішення'!#REF!</f>
        <v>#REF!</v>
      </c>
    </row>
    <row r="107" spans="1:7" x14ac:dyDescent="0.25">
      <c r="A107" s="1696">
        <v>6</v>
      </c>
      <c r="B107" s="255" t="s">
        <v>2779</v>
      </c>
      <c r="C107" s="1690">
        <f>'Додаток 4 до рішення'!C32</f>
        <v>15223.768464307332</v>
      </c>
      <c r="D107" s="1690">
        <f>'Додаток 4 до рішення'!D32</f>
        <v>907.41354754575582</v>
      </c>
      <c r="E107" s="1690">
        <f>'Додаток 4 до рішення'!E32</f>
        <v>0</v>
      </c>
      <c r="F107" s="1690">
        <f>'Додаток 4 до рішення'!F32</f>
        <v>1014.7752322785799</v>
      </c>
      <c r="G107" s="1690">
        <f>'Додаток 4 до рішення'!G32</f>
        <v>1014.7752322785799</v>
      </c>
    </row>
    <row r="108" spans="1:7" x14ac:dyDescent="0.25">
      <c r="A108" s="1696">
        <v>7</v>
      </c>
      <c r="B108" s="255" t="s">
        <v>2780</v>
      </c>
      <c r="C108" s="1690">
        <f>'Додаток 4 до рішення'!C33</f>
        <v>0</v>
      </c>
      <c r="D108" s="1690">
        <f>'Додаток 4 до рішення'!D33</f>
        <v>0</v>
      </c>
      <c r="E108" s="1690">
        <f>'Додаток 4 до рішення'!E33</f>
        <v>0</v>
      </c>
      <c r="F108" s="1690">
        <f>'Додаток 4 до рішення'!F33</f>
        <v>0</v>
      </c>
      <c r="G108" s="1690">
        <f>'Додаток 4 до рішення'!G33</f>
        <v>0</v>
      </c>
    </row>
    <row r="109" spans="1:7" x14ac:dyDescent="0.25">
      <c r="A109" s="1696">
        <v>8</v>
      </c>
      <c r="B109" s="255" t="s">
        <v>2781</v>
      </c>
      <c r="C109" s="1690">
        <f>'Додаток 4 до рішення'!C34</f>
        <v>0</v>
      </c>
      <c r="D109" s="1690">
        <f>'Додаток 4 до рішення'!D34</f>
        <v>0</v>
      </c>
      <c r="E109" s="1690">
        <f>'Додаток 4 до рішення'!E34</f>
        <v>0</v>
      </c>
      <c r="F109" s="1690">
        <f>'Додаток 4 до рішення'!F34</f>
        <v>0</v>
      </c>
      <c r="G109" s="1690">
        <f>'Додаток 4 до рішення'!G34</f>
        <v>0</v>
      </c>
    </row>
    <row r="110" spans="1:7" x14ac:dyDescent="0.25">
      <c r="A110" s="1696">
        <v>9</v>
      </c>
      <c r="B110" s="255" t="s">
        <v>2782</v>
      </c>
      <c r="C110" s="1690">
        <f>SUM(C111:C114)</f>
        <v>705.49170932155926</v>
      </c>
      <c r="D110" s="1690">
        <f>SUM(D111:D114)</f>
        <v>42.050871715535017</v>
      </c>
      <c r="E110" s="1690">
        <f>SUM(E111:E114)</f>
        <v>0</v>
      </c>
      <c r="F110" s="1690">
        <f>SUM(F111:F114)</f>
        <v>47.026169300714685</v>
      </c>
      <c r="G110" s="1690">
        <f>SUM(G111:G114)</f>
        <v>47.02616930071467</v>
      </c>
    </row>
    <row r="111" spans="1:7" x14ac:dyDescent="0.25">
      <c r="A111" s="1701" t="s">
        <v>1031</v>
      </c>
      <c r="B111" s="78" t="s">
        <v>65</v>
      </c>
      <c r="C111" s="1699">
        <f>'Додаток 4 до рішення'!C36</f>
        <v>126.98850767788065</v>
      </c>
      <c r="D111" s="1699">
        <f>'Додаток 4 до рішення'!D36</f>
        <v>7.5691569087963035</v>
      </c>
      <c r="E111" s="1699">
        <f>'Додаток 4 до рішення'!E36</f>
        <v>0</v>
      </c>
      <c r="F111" s="1699">
        <f>'Додаток 4 до рішення'!F36</f>
        <v>8.4647104741286405</v>
      </c>
      <c r="G111" s="1699">
        <f>'Додаток 4 до рішення'!G36</f>
        <v>8.4647104741286352</v>
      </c>
    </row>
    <row r="112" spans="1:7" x14ac:dyDescent="0.25">
      <c r="A112" s="1701" t="s">
        <v>1032</v>
      </c>
      <c r="B112" s="78" t="s">
        <v>84</v>
      </c>
      <c r="C112" s="1699">
        <f>'Додаток 4 до рішення'!C37</f>
        <v>0</v>
      </c>
      <c r="D112" s="1699">
        <f>'Додаток 4 до рішення'!D37</f>
        <v>0</v>
      </c>
      <c r="E112" s="1699">
        <f>'Додаток 4 до рішення'!E37</f>
        <v>0</v>
      </c>
      <c r="F112" s="1699">
        <f>'Додаток 4 до рішення'!F37</f>
        <v>0</v>
      </c>
      <c r="G112" s="1699">
        <f>'Додаток 4 до рішення'!G37</f>
        <v>0</v>
      </c>
    </row>
    <row r="113" spans="1:7" x14ac:dyDescent="0.25">
      <c r="A113" s="1701" t="s">
        <v>1033</v>
      </c>
      <c r="B113" s="78" t="s">
        <v>71</v>
      </c>
      <c r="C113" s="1699">
        <f>'Додаток 4 до рішення'!C38</f>
        <v>0</v>
      </c>
      <c r="D113" s="1699">
        <f>'Додаток 4 до рішення'!D38</f>
        <v>0</v>
      </c>
      <c r="E113" s="1699">
        <f>'Додаток 4 до рішення'!E38</f>
        <v>0</v>
      </c>
      <c r="F113" s="1699">
        <f>'Додаток 4 до рішення'!F38</f>
        <v>0</v>
      </c>
      <c r="G113" s="1699">
        <f>'Додаток 4 до рішення'!G38</f>
        <v>0</v>
      </c>
    </row>
    <row r="114" spans="1:7" x14ac:dyDescent="0.25">
      <c r="A114" s="1701" t="s">
        <v>2015</v>
      </c>
      <c r="B114" s="78" t="s">
        <v>2446</v>
      </c>
      <c r="C114" s="1699">
        <f>'Додаток 4 до рішення'!C39</f>
        <v>578.50320164367861</v>
      </c>
      <c r="D114" s="1699">
        <f>'Додаток 4 до рішення'!D39</f>
        <v>34.481714806738715</v>
      </c>
      <c r="E114" s="1699">
        <f>'Додаток 4 до рішення'!E39</f>
        <v>0</v>
      </c>
      <c r="F114" s="1699">
        <f>'Додаток 4 до рішення'!F39</f>
        <v>38.561458826586041</v>
      </c>
      <c r="G114" s="1699">
        <f>'Додаток 4 до рішення'!G39</f>
        <v>38.561458826586033</v>
      </c>
    </row>
    <row r="115" spans="1:7" ht="28.2" thickBot="1" x14ac:dyDescent="0.3">
      <c r="A115" s="1717" t="s">
        <v>1865</v>
      </c>
      <c r="B115" s="1719" t="s">
        <v>3085</v>
      </c>
      <c r="C115" s="1690">
        <f>'Додаток 4 до рішення'!C40</f>
        <v>16.448213425432204</v>
      </c>
      <c r="D115" s="1690">
        <f>'Додаток 4 до рішення'!D40</f>
        <v>13.668480880354855</v>
      </c>
      <c r="E115" s="1690">
        <f>'Додаток 4 до рішення'!E40</f>
        <v>0</v>
      </c>
      <c r="F115" s="1690">
        <f>'Додаток 4 до рішення'!F40</f>
        <v>2.0104763849135998</v>
      </c>
      <c r="G115" s="1690">
        <f>'Додаток 4 до рішення'!G40</f>
        <v>0.76925616016375076</v>
      </c>
    </row>
    <row r="116" spans="1:7" ht="14.4" thickBot="1" x14ac:dyDescent="0.3">
      <c r="A116" s="1695" t="s">
        <v>2746</v>
      </c>
      <c r="B116" s="4892" t="s">
        <v>2809</v>
      </c>
      <c r="C116" s="4893"/>
      <c r="D116" s="4893"/>
      <c r="E116" s="4893"/>
      <c r="F116" s="4893"/>
      <c r="G116" s="4894"/>
    </row>
    <row r="117" spans="1:7" x14ac:dyDescent="0.25">
      <c r="A117" s="1696" t="s">
        <v>1747</v>
      </c>
      <c r="B117" s="255" t="s">
        <v>2748</v>
      </c>
      <c r="C117" s="1690">
        <f>C118+C119+C120+C124</f>
        <v>1882.449193542265</v>
      </c>
      <c r="D117" s="300">
        <f>D118+D119+D120+D124</f>
        <v>19.053938183921233</v>
      </c>
      <c r="E117" s="300">
        <f>E118+E119+E120+E124</f>
        <v>19.053938183921233</v>
      </c>
      <c r="F117" s="300">
        <f>F118+F119+F120+F124</f>
        <v>19.053938183921233</v>
      </c>
      <c r="G117" s="300">
        <f>G118+G119+G120+G124</f>
        <v>19.053938183921233</v>
      </c>
    </row>
    <row r="118" spans="1:7" x14ac:dyDescent="0.25">
      <c r="A118" s="1698" t="s">
        <v>1749</v>
      </c>
      <c r="B118" s="78" t="s">
        <v>2801</v>
      </c>
      <c r="C118" s="1699">
        <f>'Додаток 6 до рішення'!C10</f>
        <v>16.205225647500001</v>
      </c>
      <c r="D118" s="1699">
        <f>'Додаток 6 до рішення'!D10</f>
        <v>0.16402746422225142</v>
      </c>
      <c r="E118" s="1699">
        <f>'Додаток 6 до рішення'!E10</f>
        <v>0.16402746422225142</v>
      </c>
      <c r="F118" s="1699">
        <f>'Додаток 6 до рішення'!F10</f>
        <v>0.16402746422225142</v>
      </c>
      <c r="G118" s="1699">
        <f>'Додаток 6 до рішення'!G10</f>
        <v>0.16402746422225142</v>
      </c>
    </row>
    <row r="119" spans="1:7" x14ac:dyDescent="0.25">
      <c r="A119" s="1698" t="s">
        <v>1751</v>
      </c>
      <c r="B119" s="78" t="s">
        <v>2757</v>
      </c>
      <c r="C119" s="1699">
        <f>'Додаток 6 до рішення'!C11</f>
        <v>754.48063799999989</v>
      </c>
      <c r="D119" s="1699">
        <f>'Додаток 6 до рішення'!D11</f>
        <v>7.6367678271125046</v>
      </c>
      <c r="E119" s="1699">
        <f>'Додаток 6 до рішення'!E11</f>
        <v>7.6367678271125046</v>
      </c>
      <c r="F119" s="1699">
        <f>'Додаток 6 до рішення'!F11</f>
        <v>7.6367678271125046</v>
      </c>
      <c r="G119" s="1699">
        <f>'Додаток 6 до рішення'!G11</f>
        <v>7.6367678271125046</v>
      </c>
    </row>
    <row r="120" spans="1:7" x14ac:dyDescent="0.25">
      <c r="A120" s="1698" t="s">
        <v>1753</v>
      </c>
      <c r="B120" s="78" t="s">
        <v>2758</v>
      </c>
      <c r="C120" s="1699">
        <f>'Додаток 6 до рішення'!C12</f>
        <v>1045.9627763240737</v>
      </c>
      <c r="D120" s="1699">
        <f>'Додаток 6 до рішення'!D12</f>
        <v>10.587117119086308</v>
      </c>
      <c r="E120" s="1699">
        <f>'Додаток 6 до рішення'!E12</f>
        <v>10.587117119086308</v>
      </c>
      <c r="F120" s="1699">
        <f>'Додаток 6 до рішення'!F12</f>
        <v>10.587117119086308</v>
      </c>
      <c r="G120" s="1699">
        <f>'Додаток 6 до рішення'!G12</f>
        <v>10.587117119086308</v>
      </c>
    </row>
    <row r="121" spans="1:7" x14ac:dyDescent="0.25">
      <c r="A121" s="1698" t="s">
        <v>2759</v>
      </c>
      <c r="B121" s="78" t="s">
        <v>2760</v>
      </c>
      <c r="C121" s="1699">
        <f>'Додаток 6 до рішення'!C13</f>
        <v>165.98574035999997</v>
      </c>
      <c r="D121" s="1699">
        <f>'Додаток 6 до рішення'!D13</f>
        <v>1.6800889219647508</v>
      </c>
      <c r="E121" s="1699">
        <f>'Додаток 6 до рішення'!E13</f>
        <v>1.6800889219647508</v>
      </c>
      <c r="F121" s="1699">
        <f>'Додаток 6 до рішення'!F13</f>
        <v>1.6800889219647508</v>
      </c>
      <c r="G121" s="1699">
        <f>'Додаток 6 до рішення'!G13</f>
        <v>1.6800889219647508</v>
      </c>
    </row>
    <row r="122" spans="1:7" x14ac:dyDescent="0.25">
      <c r="A122" s="1698" t="s">
        <v>2761</v>
      </c>
      <c r="B122" s="78" t="s">
        <v>2762</v>
      </c>
      <c r="C122" s="1699">
        <f>'Додаток 6 до рішення'!C14</f>
        <v>843.99335000000065</v>
      </c>
      <c r="D122" s="1699">
        <f>'Додаток 6 до рішення'!D14</f>
        <v>8.5428053908215862</v>
      </c>
      <c r="E122" s="1699">
        <f>'Додаток 6 до рішення'!E14</f>
        <v>8.5428053908215862</v>
      </c>
      <c r="F122" s="1699">
        <f>'Додаток 6 до рішення'!F14</f>
        <v>8.5428053908215862</v>
      </c>
      <c r="G122" s="1699">
        <f>'Додаток 6 до рішення'!G14</f>
        <v>8.5428053908215862</v>
      </c>
    </row>
    <row r="123" spans="1:7" x14ac:dyDescent="0.25">
      <c r="A123" s="1698" t="s">
        <v>2763</v>
      </c>
      <c r="B123" s="78" t="s">
        <v>81</v>
      </c>
      <c r="C123" s="1699">
        <f>'Додаток 6 до рішення'!C15</f>
        <v>35.983685964073175</v>
      </c>
      <c r="D123" s="1699">
        <f>'Додаток 6 до рішення'!D15</f>
        <v>0.36422280629997278</v>
      </c>
      <c r="E123" s="1699">
        <f>'Додаток 6 до рішення'!E15</f>
        <v>0.36422280629997278</v>
      </c>
      <c r="F123" s="1699">
        <f>'Додаток 6 до рішення'!F15</f>
        <v>0.36422280629997278</v>
      </c>
      <c r="G123" s="1699">
        <f>'Додаток 6 до рішення'!G15</f>
        <v>0.36422280629997278</v>
      </c>
    </row>
    <row r="124" spans="1:7" x14ac:dyDescent="0.25">
      <c r="A124" s="1700" t="s">
        <v>1755</v>
      </c>
      <c r="B124" s="255" t="s">
        <v>2764</v>
      </c>
      <c r="C124" s="1690">
        <f>C125+C126+C127+C128</f>
        <v>65.800553570691349</v>
      </c>
      <c r="D124" s="300">
        <f>D125+D126+D127+D128</f>
        <v>0.6660257735001659</v>
      </c>
      <c r="E124" s="300">
        <f>E125+E126+E127+E128</f>
        <v>0.6660257735001659</v>
      </c>
      <c r="F124" s="300">
        <f>F125+F126+F127+F128</f>
        <v>0.6660257735001659</v>
      </c>
      <c r="G124" s="300">
        <f>G125+G126+G127+G128</f>
        <v>0.6660257735001659</v>
      </c>
    </row>
    <row r="125" spans="1:7" x14ac:dyDescent="0.25">
      <c r="A125" s="1701" t="s">
        <v>2765</v>
      </c>
      <c r="B125" s="78" t="s">
        <v>2766</v>
      </c>
      <c r="C125" s="1699">
        <f>'Додаток 6 до рішення'!C17</f>
        <v>50.279889693741083</v>
      </c>
      <c r="D125" s="1699">
        <f>'Додаток 6 до рішення'!D17</f>
        <v>0.50892736622344914</v>
      </c>
      <c r="E125" s="1699">
        <f>'Додаток 6 до рішення'!E17</f>
        <v>0.50892736622344914</v>
      </c>
      <c r="F125" s="1699">
        <f>'Додаток 6 до рішення'!F17</f>
        <v>0.50892736622344914</v>
      </c>
      <c r="G125" s="1699">
        <f>'Додаток 6 до рішення'!G17</f>
        <v>0.50892736622344914</v>
      </c>
    </row>
    <row r="126" spans="1:7" x14ac:dyDescent="0.25">
      <c r="A126" s="1701" t="s">
        <v>2767</v>
      </c>
      <c r="B126" s="78" t="s">
        <v>2275</v>
      </c>
      <c r="C126" s="1699">
        <f>'Додаток 6 до рішення'!C18</f>
        <v>10.73236983354378</v>
      </c>
      <c r="D126" s="1699">
        <f>'Додаток 6 до рішення'!D18</f>
        <v>0.10863183563032659</v>
      </c>
      <c r="E126" s="1699">
        <f>'Додаток 6 до рішення'!E18</f>
        <v>0.10863183563032659</v>
      </c>
      <c r="F126" s="1699">
        <f>'Додаток 6 до рішення'!F18</f>
        <v>0.10863183563032659</v>
      </c>
      <c r="G126" s="1699">
        <f>'Додаток 6 до рішення'!G18</f>
        <v>0.10863183563032659</v>
      </c>
    </row>
    <row r="127" spans="1:7" x14ac:dyDescent="0.25">
      <c r="A127" s="1701" t="s">
        <v>2768</v>
      </c>
      <c r="B127" s="78" t="s">
        <v>2762</v>
      </c>
      <c r="C127" s="1699">
        <f>'Додаток 6 до рішення'!C19</f>
        <v>0.3093596578550839</v>
      </c>
      <c r="D127" s="1699">
        <f>'Додаток 6 до рішення'!D19</f>
        <v>3.131303526061112E-3</v>
      </c>
      <c r="E127" s="1699">
        <f>'Додаток 6 до рішення'!E19</f>
        <v>3.131303526061112E-3</v>
      </c>
      <c r="F127" s="1699">
        <f>'Додаток 6 до рішення'!F19</f>
        <v>3.131303526061112E-3</v>
      </c>
      <c r="G127" s="1699">
        <f>'Додаток 6 до рішення'!G19</f>
        <v>3.131303526061112E-3</v>
      </c>
    </row>
    <row r="128" spans="1:7" x14ac:dyDescent="0.25">
      <c r="A128" s="1701" t="s">
        <v>2769</v>
      </c>
      <c r="B128" s="78" t="s">
        <v>58</v>
      </c>
      <c r="C128" s="1699">
        <f>'Додаток 6 до рішення'!C20</f>
        <v>4.4789343855514083</v>
      </c>
      <c r="D128" s="1699">
        <f>'Додаток 6 до рішення'!D20</f>
        <v>4.5335268120329036E-2</v>
      </c>
      <c r="E128" s="1699">
        <f>'Додаток 6 до рішення'!E20</f>
        <v>4.5335268120329036E-2</v>
      </c>
      <c r="F128" s="1699">
        <f>'Додаток 6 до рішення'!F20</f>
        <v>4.5335268120329036E-2</v>
      </c>
      <c r="G128" s="1699">
        <f>'Додаток 6 до рішення'!G20</f>
        <v>4.5335268120329036E-2</v>
      </c>
    </row>
    <row r="129" spans="1:7" x14ac:dyDescent="0.25">
      <c r="A129" s="1696" t="s">
        <v>1768</v>
      </c>
      <c r="B129" s="255" t="s">
        <v>2770</v>
      </c>
      <c r="C129" s="1690">
        <f>C130+C131+C132+C133</f>
        <v>79.995936156684508</v>
      </c>
      <c r="D129" s="300">
        <f>D130+D131+D132+D133</f>
        <v>0.809709833191391</v>
      </c>
      <c r="E129" s="300">
        <f>E130+E131+E132+E133</f>
        <v>0.809709833191391</v>
      </c>
      <c r="F129" s="300">
        <f>F130+F131+F132+F133</f>
        <v>0.809709833191391</v>
      </c>
      <c r="G129" s="300">
        <f>G130+G131+G132+G133</f>
        <v>0.809709833191391</v>
      </c>
    </row>
    <row r="130" spans="1:7" x14ac:dyDescent="0.25">
      <c r="A130" s="1701" t="s">
        <v>2771</v>
      </c>
      <c r="B130" s="78" t="s">
        <v>55</v>
      </c>
      <c r="C130" s="1699">
        <f>'Додаток 6 до рішення'!C22</f>
        <v>59.90608734861253</v>
      </c>
      <c r="D130" s="1699">
        <f>'Додаток 6 до рішення'!D22</f>
        <v>0.60636265196254868</v>
      </c>
      <c r="E130" s="1699">
        <f>'Додаток 6 до рішення'!E22</f>
        <v>0.60636265196254868</v>
      </c>
      <c r="F130" s="1699">
        <f>'Додаток 6 до рішення'!F22</f>
        <v>0.60636265196254868</v>
      </c>
      <c r="G130" s="1699">
        <f>'Додаток 6 до рішення'!G22</f>
        <v>0.60636265196254868</v>
      </c>
    </row>
    <row r="131" spans="1:7" x14ac:dyDescent="0.25">
      <c r="A131" s="1701" t="s">
        <v>2772</v>
      </c>
      <c r="B131" s="78" t="s">
        <v>2773</v>
      </c>
      <c r="C131" s="1699">
        <f>'Додаток 6 до рішення'!C23</f>
        <v>13.179339216694757</v>
      </c>
      <c r="D131" s="1699">
        <f>'Додаток 6 до рішення'!D23</f>
        <v>0.1333997834317607</v>
      </c>
      <c r="E131" s="1699">
        <f>'Додаток 6 до рішення'!E23</f>
        <v>0.1333997834317607</v>
      </c>
      <c r="F131" s="1699">
        <f>'Додаток 6 до рішення'!F23</f>
        <v>0.1333997834317607</v>
      </c>
      <c r="G131" s="1699">
        <f>'Додаток 6 до рішення'!G23</f>
        <v>0.1333997834317607</v>
      </c>
    </row>
    <row r="132" spans="1:7" x14ac:dyDescent="0.25">
      <c r="A132" s="1701" t="s">
        <v>2774</v>
      </c>
      <c r="B132" s="78" t="s">
        <v>2762</v>
      </c>
      <c r="C132" s="1699">
        <f>'Додаток 6 до рішення'!C24</f>
        <v>0.75564424062180591</v>
      </c>
      <c r="D132" s="1699">
        <f>'Додаток 6 до рішення'!D24</f>
        <v>7.6485456814644835E-3</v>
      </c>
      <c r="E132" s="1699">
        <f>'Додаток 6 до рішення'!E24</f>
        <v>7.6485456814644835E-3</v>
      </c>
      <c r="F132" s="1699">
        <f>'Додаток 6 до рішення'!F24</f>
        <v>7.6485456814644835E-3</v>
      </c>
      <c r="G132" s="1699">
        <f>'Додаток 6 до рішення'!G24</f>
        <v>7.6485456814644835E-3</v>
      </c>
    </row>
    <row r="133" spans="1:7" x14ac:dyDescent="0.25">
      <c r="A133" s="1701" t="s">
        <v>2775</v>
      </c>
      <c r="B133" s="78" t="s">
        <v>2776</v>
      </c>
      <c r="C133" s="1699">
        <f>'Додаток 6 до рішення'!C25</f>
        <v>6.1548653507554132</v>
      </c>
      <c r="D133" s="1699">
        <f>'Додаток 6 до рішення'!D25</f>
        <v>6.2298852115617136E-2</v>
      </c>
      <c r="E133" s="1699">
        <f>'Додаток 6 до рішення'!E25</f>
        <v>6.2298852115617136E-2</v>
      </c>
      <c r="F133" s="1699">
        <f>'Додаток 6 до рішення'!F25</f>
        <v>6.2298852115617136E-2</v>
      </c>
      <c r="G133" s="1699">
        <f>'Додаток 6 до рішення'!G25</f>
        <v>6.2298852115617136E-2</v>
      </c>
    </row>
    <row r="134" spans="1:7" x14ac:dyDescent="0.25">
      <c r="A134" s="1696" t="s">
        <v>1770</v>
      </c>
      <c r="B134" s="255" t="s">
        <v>2777</v>
      </c>
      <c r="C134" s="1690">
        <f>'Додаток 6 до рішення'!C26</f>
        <v>0</v>
      </c>
      <c r="D134" s="1690">
        <f>'Додаток 6 до рішення'!D26</f>
        <v>0</v>
      </c>
      <c r="E134" s="1690">
        <f>'Додаток 6 до рішення'!E26</f>
        <v>0</v>
      </c>
      <c r="F134" s="1690">
        <f>'Додаток 6 до рішення'!F26</f>
        <v>0</v>
      </c>
      <c r="G134" s="1690">
        <f>'Додаток 6 до рішення'!G26</f>
        <v>0</v>
      </c>
    </row>
    <row r="135" spans="1:7" x14ac:dyDescent="0.25">
      <c r="A135" s="1696" t="s">
        <v>1773</v>
      </c>
      <c r="B135" s="255" t="s">
        <v>2779</v>
      </c>
      <c r="C135" s="1690">
        <f>'Додаток 6 до рішення'!C27</f>
        <v>0</v>
      </c>
      <c r="D135" s="1690">
        <f>'Додаток 6 до рішення'!D27</f>
        <v>0</v>
      </c>
      <c r="E135" s="1690">
        <f>'Додаток 6 до рішення'!E27</f>
        <v>0</v>
      </c>
      <c r="F135" s="1690">
        <f>'Додаток 6 до рішення'!F27</f>
        <v>0</v>
      </c>
      <c r="G135" s="1690">
        <f>'Додаток 6 до рішення'!G27</f>
        <v>0</v>
      </c>
    </row>
    <row r="136" spans="1:7" x14ac:dyDescent="0.25">
      <c r="A136" s="1696" t="s">
        <v>1845</v>
      </c>
      <c r="B136" s="255" t="s">
        <v>2780</v>
      </c>
      <c r="C136" s="1690">
        <f>'Додаток 6 до рішення'!C28</f>
        <v>0</v>
      </c>
      <c r="D136" s="1690">
        <f>'Додаток 6 до рішення'!D28</f>
        <v>0</v>
      </c>
      <c r="E136" s="1690">
        <f>'Додаток 6 до рішення'!E28</f>
        <v>0</v>
      </c>
      <c r="F136" s="1690">
        <f>'Додаток 6 до рішення'!F28</f>
        <v>0</v>
      </c>
      <c r="G136" s="1690">
        <f>'Додаток 6 до рішення'!G28</f>
        <v>0</v>
      </c>
    </row>
    <row r="137" spans="1:7" x14ac:dyDescent="0.25">
      <c r="A137" s="1696" t="s">
        <v>1851</v>
      </c>
      <c r="B137" s="255" t="s">
        <v>2781</v>
      </c>
      <c r="C137" s="1690">
        <f>'Додаток 6 до рішення'!C29</f>
        <v>0</v>
      </c>
      <c r="D137" s="1690">
        <f>'Додаток 6 до рішення'!D29</f>
        <v>0</v>
      </c>
      <c r="E137" s="1690">
        <f>'Додаток 6 до рішення'!E29</f>
        <v>0</v>
      </c>
      <c r="F137" s="1690">
        <f>'Додаток 6 до рішення'!F29</f>
        <v>0</v>
      </c>
      <c r="G137" s="1690">
        <f>'Додаток 6 до рішення'!G29</f>
        <v>0</v>
      </c>
    </row>
    <row r="138" spans="1:7" x14ac:dyDescent="0.25">
      <c r="A138" s="1696" t="s">
        <v>1857</v>
      </c>
      <c r="B138" s="255" t="s">
        <v>2782</v>
      </c>
      <c r="C138" s="1690">
        <f>SUM(C139:C142)</f>
        <v>90.942579181170828</v>
      </c>
      <c r="D138" s="1690">
        <f>SUM(D139:D142)</f>
        <v>0.92051051786619464</v>
      </c>
      <c r="E138" s="1690">
        <f>SUM(E139:E142)</f>
        <v>0.92051051786619464</v>
      </c>
      <c r="F138" s="1690">
        <f>SUM(F139:F142)</f>
        <v>0.92051051786619464</v>
      </c>
      <c r="G138" s="1690">
        <f>SUM(G139:G142)</f>
        <v>0.92051051786619464</v>
      </c>
    </row>
    <row r="139" spans="1:7" x14ac:dyDescent="0.25">
      <c r="A139" s="1701" t="s">
        <v>1029</v>
      </c>
      <c r="B139" s="78" t="s">
        <v>65</v>
      </c>
      <c r="C139" s="1699">
        <f>'Додаток 6 до рішення'!C31</f>
        <v>16.369664252610747</v>
      </c>
      <c r="D139" s="1699">
        <f>'Додаток 6 до рішення'!D31</f>
        <v>0.16569189321591501</v>
      </c>
      <c r="E139" s="1699">
        <f>'Додаток 6 до рішення'!E31</f>
        <v>0.16569189321591501</v>
      </c>
      <c r="F139" s="1699">
        <f>'Додаток 6 до рішення'!F31</f>
        <v>0.16569189321591501</v>
      </c>
      <c r="G139" s="1699">
        <f>'Додаток 6 до рішення'!G31</f>
        <v>0.16569189321591501</v>
      </c>
    </row>
    <row r="140" spans="1:7" x14ac:dyDescent="0.25">
      <c r="A140" s="1701" t="s">
        <v>2793</v>
      </c>
      <c r="B140" s="78" t="s">
        <v>84</v>
      </c>
      <c r="C140" s="1699">
        <f>'Додаток 6 до рішення'!C32</f>
        <v>0</v>
      </c>
      <c r="D140" s="1699">
        <f>'Додаток 6 до рішення'!D32</f>
        <v>0</v>
      </c>
      <c r="E140" s="1699">
        <f>'Додаток 6 до рішення'!E32</f>
        <v>0</v>
      </c>
      <c r="F140" s="1699">
        <f>'Додаток 6 до рішення'!F32</f>
        <v>0</v>
      </c>
      <c r="G140" s="1699">
        <f>'Додаток 6 до рішення'!G32</f>
        <v>0</v>
      </c>
    </row>
    <row r="141" spans="1:7" x14ac:dyDescent="0.25">
      <c r="A141" s="1701" t="s">
        <v>2794</v>
      </c>
      <c r="B141" s="78" t="s">
        <v>71</v>
      </c>
      <c r="C141" s="1699">
        <f>'Додаток 6 до рішення'!C33</f>
        <v>0</v>
      </c>
      <c r="D141" s="1699">
        <f>'Додаток 6 до рішення'!D33</f>
        <v>0</v>
      </c>
      <c r="E141" s="1699">
        <f>'Додаток 6 до рішення'!E33</f>
        <v>0</v>
      </c>
      <c r="F141" s="1699">
        <f>'Додаток 6 до рішення'!F33</f>
        <v>0</v>
      </c>
      <c r="G141" s="1699">
        <f>'Додаток 6 до рішення'!G33</f>
        <v>0</v>
      </c>
    </row>
    <row r="142" spans="1:7" ht="14.4" thickBot="1" x14ac:dyDescent="0.3">
      <c r="A142" s="1701" t="s">
        <v>2795</v>
      </c>
      <c r="B142" s="78" t="s">
        <v>2446</v>
      </c>
      <c r="C142" s="1705">
        <f>'Додаток 6 до рішення'!C34</f>
        <v>74.572914928560081</v>
      </c>
      <c r="D142" s="1699">
        <f>'Додаток 6 до рішення'!D34</f>
        <v>0.7548186246502796</v>
      </c>
      <c r="E142" s="1699">
        <f>'Додаток 6 до рішення'!E34</f>
        <v>0.7548186246502796</v>
      </c>
      <c r="F142" s="1699">
        <f>'Додаток 6 до рішення'!F34</f>
        <v>0.7548186246502796</v>
      </c>
      <c r="G142" s="1699">
        <f>'Додаток 6 до рішення'!G34</f>
        <v>0.7548186246502796</v>
      </c>
    </row>
    <row r="143" spans="1:7" ht="28.2" thickBot="1" x14ac:dyDescent="0.3">
      <c r="A143" s="1717" t="s">
        <v>1859</v>
      </c>
      <c r="B143" s="1719" t="s">
        <v>3085</v>
      </c>
      <c r="C143" s="1707">
        <f>'Додаток 6 до рішення'!C35</f>
        <v>98.795806692118902</v>
      </c>
      <c r="D143" s="1707">
        <f>'Додаток 6 до рішення'!D35</f>
        <v>82.049342543904487</v>
      </c>
      <c r="E143" s="1707">
        <f>'Додаток 6 до рішення'!E35</f>
        <v>1.3291675959893333E-2</v>
      </c>
      <c r="F143" s="1707">
        <f>'Додаток 6 до рішення'!F35</f>
        <v>12.519553368115806</v>
      </c>
      <c r="G143" s="1707">
        <f>'Додаток 6 до рішення'!G35</f>
        <v>4.2136191041387132</v>
      </c>
    </row>
  </sheetData>
  <mergeCells count="11">
    <mergeCell ref="B7:G7"/>
    <mergeCell ref="B12:G12"/>
    <mergeCell ref="B50:G50"/>
    <mergeCell ref="B83:G83"/>
    <mergeCell ref="B116:G116"/>
    <mergeCell ref="F1:G1"/>
    <mergeCell ref="B2:F2"/>
    <mergeCell ref="A4:A5"/>
    <mergeCell ref="B4:B5"/>
    <mergeCell ref="C4:C5"/>
    <mergeCell ref="D4:G4"/>
  </mergeCells>
  <pageMargins left="0.7" right="0.7" top="0.75" bottom="0.75" header="0.3" footer="0.3"/>
  <pageSetup paperSize="9" orientation="portrait" horizontalDpi="0" verticalDpi="0" r:id="rId1"/>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500-000000000000}">
  <sheetPr codeName="Лист51">
    <tabColor rgb="FF0000FF"/>
  </sheetPr>
  <dimension ref="A1:L50"/>
  <sheetViews>
    <sheetView topLeftCell="A31" workbookViewId="0">
      <selection activeCell="D48" sqref="D48"/>
    </sheetView>
  </sheetViews>
  <sheetFormatPr defaultColWidth="9.109375" defaultRowHeight="13.8" x14ac:dyDescent="0.25"/>
  <cols>
    <col min="1" max="1" width="7.88671875" style="1445" customWidth="1"/>
    <col min="2" max="2" width="56.44140625" style="10" customWidth="1"/>
    <col min="3" max="3" width="14.6640625" style="10" customWidth="1"/>
    <col min="4" max="4" width="14.44140625" style="1445" customWidth="1"/>
    <col min="5" max="8" width="14.44140625" style="10" customWidth="1"/>
    <col min="9" max="16384" width="9.109375" style="10"/>
  </cols>
  <sheetData>
    <row r="1" spans="1:12" ht="96.75" customHeight="1" x14ac:dyDescent="0.25">
      <c r="F1" s="5470" t="s">
        <v>2789</v>
      </c>
      <c r="G1" s="5470"/>
    </row>
    <row r="2" spans="1:12" ht="45.75" customHeight="1" x14ac:dyDescent="0.25">
      <c r="A2" s="10"/>
      <c r="B2" s="4898" t="s">
        <v>3081</v>
      </c>
      <c r="C2" s="4898"/>
      <c r="D2" s="4898"/>
      <c r="E2" s="4898"/>
      <c r="F2" s="4898"/>
      <c r="G2" s="1490"/>
    </row>
    <row r="3" spans="1:12" ht="14.4" thickBot="1" x14ac:dyDescent="0.3">
      <c r="G3" s="10" t="s">
        <v>1734</v>
      </c>
    </row>
    <row r="4" spans="1:12" ht="30" customHeight="1" thickBot="1" x14ac:dyDescent="0.3">
      <c r="A4" s="4876" t="s">
        <v>7</v>
      </c>
      <c r="B4" s="4876" t="s">
        <v>631</v>
      </c>
      <c r="C4" s="4876" t="s">
        <v>2734</v>
      </c>
      <c r="D4" s="4879" t="s">
        <v>2735</v>
      </c>
      <c r="E4" s="4880"/>
      <c r="F4" s="4880"/>
      <c r="G4" s="4882"/>
      <c r="H4" s="100"/>
      <c r="I4" s="100"/>
    </row>
    <row r="5" spans="1:12" ht="75" customHeight="1" thickBot="1" x14ac:dyDescent="0.3">
      <c r="A5" s="4877"/>
      <c r="B5" s="4878"/>
      <c r="C5" s="4878"/>
      <c r="D5" s="1682" t="s">
        <v>2736</v>
      </c>
      <c r="E5" s="1682" t="s">
        <v>2737</v>
      </c>
      <c r="F5" s="1682" t="s">
        <v>2738</v>
      </c>
      <c r="G5" s="1682" t="s">
        <v>2739</v>
      </c>
      <c r="H5" s="100"/>
      <c r="I5" s="100"/>
    </row>
    <row r="6" spans="1:12" ht="14.4" thickBot="1" x14ac:dyDescent="0.3">
      <c r="A6" s="1683">
        <v>1</v>
      </c>
      <c r="B6" s="1684">
        <v>2</v>
      </c>
      <c r="C6" s="1676">
        <v>3</v>
      </c>
      <c r="D6" s="1683">
        <v>4</v>
      </c>
      <c r="E6" s="1676">
        <v>5</v>
      </c>
      <c r="F6" s="1684">
        <v>6</v>
      </c>
      <c r="G6" s="1677">
        <v>7</v>
      </c>
    </row>
    <row r="7" spans="1:12" ht="14.4" thickBot="1" x14ac:dyDescent="0.3">
      <c r="A7" s="1685"/>
      <c r="B7" s="4892" t="s">
        <v>2740</v>
      </c>
      <c r="C7" s="5466"/>
      <c r="D7" s="5466"/>
      <c r="E7" s="5466"/>
      <c r="F7" s="5466"/>
      <c r="G7" s="5467"/>
    </row>
    <row r="8" spans="1:12" ht="35.25" customHeight="1" x14ac:dyDescent="0.25">
      <c r="A8" s="1686" t="s">
        <v>2741</v>
      </c>
      <c r="B8" s="1686" t="s">
        <v>2742</v>
      </c>
      <c r="C8" s="1686" t="s">
        <v>224</v>
      </c>
      <c r="D8" s="1686">
        <f>SUM(D9:D11)</f>
        <v>1856.6674808084899</v>
      </c>
      <c r="E8" s="1688">
        <f>SUM(E9:E11)</f>
        <v>2988.304182330492</v>
      </c>
      <c r="F8" s="1686">
        <f>SUM(F9:F11)</f>
        <v>2988.3041823304934</v>
      </c>
      <c r="G8" s="1689">
        <f>SUM(G9:G11)</f>
        <v>2988.3041823304929</v>
      </c>
      <c r="H8" s="729"/>
      <c r="I8" s="729"/>
      <c r="J8" s="729"/>
      <c r="K8" s="729"/>
      <c r="L8" s="729"/>
    </row>
    <row r="9" spans="1:12" ht="35.25" customHeight="1" x14ac:dyDescent="0.25">
      <c r="A9" s="1690" t="s">
        <v>1749</v>
      </c>
      <c r="B9" s="1691" t="s">
        <v>2743</v>
      </c>
      <c r="C9" s="1690" t="s">
        <v>224</v>
      </c>
      <c r="D9" s="1690">
        <f>'Додаток 3 до рішення'!D7</f>
        <v>1321.3719506169798</v>
      </c>
      <c r="E9" s="1690">
        <f>'Додаток 3 до рішення'!E7</f>
        <v>2354.1214482265309</v>
      </c>
      <c r="F9" s="1690">
        <f>'Додаток 3 до рішення'!F7</f>
        <v>2354.1214482265323</v>
      </c>
      <c r="G9" s="1690">
        <f>'Додаток 3 до рішення'!G7</f>
        <v>2354.1214482265323</v>
      </c>
      <c r="H9" s="729"/>
      <c r="I9" s="729"/>
      <c r="J9" s="729"/>
      <c r="K9" s="729"/>
      <c r="L9" s="729"/>
    </row>
    <row r="10" spans="1:12" ht="50.25" customHeight="1" x14ac:dyDescent="0.25">
      <c r="A10" s="1690" t="s">
        <v>1751</v>
      </c>
      <c r="B10" s="1692" t="s">
        <v>2791</v>
      </c>
      <c r="C10" s="1690" t="s">
        <v>224</v>
      </c>
      <c r="D10" s="1690">
        <f>'Додаток 5 до рішення'!D7</f>
        <v>514.51137165653131</v>
      </c>
      <c r="E10" s="1690">
        <f>'Додаток 5 до рішення'!E7</f>
        <v>613.39857556898221</v>
      </c>
      <c r="F10" s="1690">
        <f>'Додаток 5 до рішення'!F7</f>
        <v>613.39857556898221</v>
      </c>
      <c r="G10" s="1690">
        <f>'Додаток 5 до рішення'!G7</f>
        <v>613.3985755689821</v>
      </c>
      <c r="H10" s="729"/>
      <c r="I10" s="729"/>
      <c r="J10" s="729"/>
      <c r="K10" s="729"/>
      <c r="L10" s="729"/>
    </row>
    <row r="11" spans="1:12" ht="35.25" customHeight="1" thickBot="1" x14ac:dyDescent="0.3">
      <c r="A11" s="1693" t="s">
        <v>1753</v>
      </c>
      <c r="B11" s="1694" t="s">
        <v>2745</v>
      </c>
      <c r="C11" s="1693" t="s">
        <v>224</v>
      </c>
      <c r="D11" s="1693">
        <f>'Додаток 6 до рішення'!D7</f>
        <v>20.784158534978818</v>
      </c>
      <c r="E11" s="1693">
        <f>'Додаток 6 до рішення'!E7</f>
        <v>20.784158534978818</v>
      </c>
      <c r="F11" s="1693">
        <f>'Додаток 6 до рішення'!F7</f>
        <v>20.784158534978818</v>
      </c>
      <c r="G11" s="1693">
        <f>'Додаток 6 до рішення'!G7</f>
        <v>20.784158534978818</v>
      </c>
      <c r="H11" s="729"/>
      <c r="I11" s="729"/>
      <c r="J11" s="729"/>
      <c r="K11" s="729"/>
      <c r="L11" s="729"/>
    </row>
    <row r="12" spans="1:12" ht="18.75" customHeight="1" thickBot="1" x14ac:dyDescent="0.3">
      <c r="A12" s="1695" t="s">
        <v>2746</v>
      </c>
      <c r="B12" s="4892" t="s">
        <v>2747</v>
      </c>
      <c r="C12" s="5468"/>
      <c r="D12" s="5468"/>
      <c r="E12" s="5468"/>
      <c r="F12" s="5468"/>
      <c r="G12" s="5469"/>
      <c r="H12" s="1622"/>
    </row>
    <row r="13" spans="1:12" s="15" customFormat="1" x14ac:dyDescent="0.25">
      <c r="A13" s="1696" t="s">
        <v>1747</v>
      </c>
      <c r="B13" s="1697" t="s">
        <v>2748</v>
      </c>
      <c r="C13" s="1690">
        <f>C14+C19+C20+C24</f>
        <v>157426.03756963721</v>
      </c>
      <c r="D13" s="1690">
        <f>D14+D19+D20+D24</f>
        <v>1609.7268086064457</v>
      </c>
      <c r="E13" s="1690">
        <f>E14+E19+E20+E24</f>
        <v>2596.73681797688</v>
      </c>
      <c r="F13" s="1690">
        <f>F14+F19+F20+F24</f>
        <v>2596.736817976881</v>
      </c>
      <c r="G13" s="1690">
        <f>G14+G19+G20+G24</f>
        <v>2596.736817976881</v>
      </c>
      <c r="H13" s="1622"/>
    </row>
    <row r="14" spans="1:12" x14ac:dyDescent="0.25">
      <c r="A14" s="1698" t="s">
        <v>1749</v>
      </c>
      <c r="B14" s="78" t="s">
        <v>2749</v>
      </c>
      <c r="C14" s="1699">
        <f>SUM(C15:C18)</f>
        <v>116681.03660848754</v>
      </c>
      <c r="D14" s="1699">
        <f>SUM(D15:D18)</f>
        <v>1136.336049427711</v>
      </c>
      <c r="E14" s="1699">
        <f>SUM(E15:E18)</f>
        <v>2123.3460587981449</v>
      </c>
      <c r="F14" s="1699">
        <f>SUM(F15:F18)</f>
        <v>2123.3460587981458</v>
      </c>
      <c r="G14" s="1699">
        <f>SUM(G15:G18)</f>
        <v>2123.3460587981458</v>
      </c>
      <c r="H14" s="1622"/>
      <c r="I14" s="729"/>
    </row>
    <row r="15" spans="1:12" x14ac:dyDescent="0.25">
      <c r="A15" s="1698" t="s">
        <v>2750</v>
      </c>
      <c r="B15" s="78" t="s">
        <v>2751</v>
      </c>
      <c r="C15" s="1699">
        <f>'Додаток 3 до рішення'!N11</f>
        <v>98873.593698106473</v>
      </c>
      <c r="D15" s="1699">
        <f>'Додаток 3 до рішення'!D11</f>
        <v>926.04983933612777</v>
      </c>
      <c r="E15" s="1699">
        <f>'Додаток 3 до рішення'!E11</f>
        <v>1913.0598487065622</v>
      </c>
      <c r="F15" s="1699">
        <f>'Додаток 3 до рішення'!F11</f>
        <v>1913.059848706562</v>
      </c>
      <c r="G15" s="1699">
        <f>'Додаток 3 до рішення'!G11</f>
        <v>1913.0598487065627</v>
      </c>
      <c r="H15" s="1622"/>
    </row>
    <row r="16" spans="1:12" x14ac:dyDescent="0.25">
      <c r="A16" s="1698" t="s">
        <v>2752</v>
      </c>
      <c r="B16" s="78" t="s">
        <v>2753</v>
      </c>
      <c r="C16" s="1699">
        <f>'Додаток 3 до рішення'!N12+'Додаток 5 до рішення'!C11</f>
        <v>15957.817464795779</v>
      </c>
      <c r="D16" s="1699">
        <f>'Додаток 3 до рішення'!D12+'Додаток 5 до рішення'!D11</f>
        <v>188.4183665494206</v>
      </c>
      <c r="E16" s="1699">
        <f>'Додаток 3 до рішення'!E12+'Додаток 5 до рішення'!E11</f>
        <v>188.4183665494206</v>
      </c>
      <c r="F16" s="1699">
        <f>'Додаток 3 до рішення'!F12+'Додаток 5 до рішення'!F11</f>
        <v>188.4183665494206</v>
      </c>
      <c r="G16" s="1699">
        <f>'Додаток 3 до рішення'!G12+'Додаток 5 до рішення'!G11</f>
        <v>188.4183665494206</v>
      </c>
      <c r="H16" s="1622"/>
    </row>
    <row r="17" spans="1:8" x14ac:dyDescent="0.25">
      <c r="A17" s="1698" t="s">
        <v>2754</v>
      </c>
      <c r="B17" s="78" t="s">
        <v>2755</v>
      </c>
      <c r="C17" s="1699">
        <f>'Додаток 3 до рішення'!N13+'Додаток 5 до рішення'!C12</f>
        <v>571.34650452879509</v>
      </c>
      <c r="D17" s="1699">
        <f>'Додаток 3 до рішення'!D13+'Додаток 5 до рішення'!D12</f>
        <v>6.9081117909729928</v>
      </c>
      <c r="E17" s="1699">
        <f>'Додаток 3 до рішення'!E13+'Додаток 5 до рішення'!E12</f>
        <v>6.9081117909729928</v>
      </c>
      <c r="F17" s="1699">
        <f>'Додаток 3 до рішення'!F13+'Додаток 5 до рішення'!F12</f>
        <v>6.9081117909729928</v>
      </c>
      <c r="G17" s="1699">
        <f>'Додаток 3 до рішення'!G13+'Додаток 5 до рішення'!G12</f>
        <v>6.9081117909729928</v>
      </c>
      <c r="H17" s="1622"/>
    </row>
    <row r="18" spans="1:8" x14ac:dyDescent="0.25">
      <c r="A18" s="1698" t="s">
        <v>2756</v>
      </c>
      <c r="B18" s="78" t="s">
        <v>2273</v>
      </c>
      <c r="C18" s="1699">
        <f>'Додаток 3 до рішення'!N14+'Додаток 5 до рішення'!C13+'Додаток 6 до рішення'!N10</f>
        <v>1278.2789410565085</v>
      </c>
      <c r="D18" s="1699">
        <f>'Додаток 3 до рішення'!D14+'Додаток 5 до рішення'!D13+'Додаток 6 до рішення'!D10</f>
        <v>14.95973175118983</v>
      </c>
      <c r="E18" s="1699">
        <f>'Додаток 3 до рішення'!E14+'Додаток 5 до рішення'!E13+'Додаток 6 до рішення'!E10</f>
        <v>14.959731751188805</v>
      </c>
      <c r="F18" s="1699">
        <f>'Додаток 3 до рішення'!F14+'Додаток 5 до рішення'!F13+'Додаток 6 до рішення'!F10</f>
        <v>14.959731751190336</v>
      </c>
      <c r="G18" s="1699">
        <f>'Додаток 3 до рішення'!G14+'Додаток 5 до рішення'!G13+'Додаток 6 до рішення'!G10</f>
        <v>14.959731751189505</v>
      </c>
      <c r="H18" s="1622"/>
    </row>
    <row r="19" spans="1:8" x14ac:dyDescent="0.25">
      <c r="A19" s="1700" t="s">
        <v>1751</v>
      </c>
      <c r="B19" s="255" t="s">
        <v>2757</v>
      </c>
      <c r="C19" s="1690">
        <f>'Додаток 3 до рішення'!N15+'Додаток 5 до рішення'!C14+'Додаток 6 до рішення'!N11</f>
        <v>21028.247389080658</v>
      </c>
      <c r="D19" s="1690">
        <f>'Додаток 3 до рішення'!D15+'Додаток 5 до рішення'!D14+'Додаток 6 до рішення'!D11</f>
        <v>245.20796225635229</v>
      </c>
      <c r="E19" s="1690">
        <f>'Додаток 3 до рішення'!E15+'Додаток 5 до рішення'!E14+'Додаток 6 до рішення'!E11</f>
        <v>245.20796225635229</v>
      </c>
      <c r="F19" s="1690">
        <f>'Додаток 3 до рішення'!F15+'Додаток 5 до рішення'!F14+'Додаток 6 до рішення'!F11</f>
        <v>245.20796225635229</v>
      </c>
      <c r="G19" s="1690">
        <f>'Додаток 3 до рішення'!G15+'Додаток 5 до рішення'!G14+'Додаток 6 до рішення'!G11</f>
        <v>245.20796225635229</v>
      </c>
      <c r="H19" s="1622"/>
    </row>
    <row r="20" spans="1:8" x14ac:dyDescent="0.25">
      <c r="A20" s="1700" t="s">
        <v>1753</v>
      </c>
      <c r="B20" s="255" t="s">
        <v>2758</v>
      </c>
      <c r="C20" s="1690">
        <f>C21+C22+C23</f>
        <v>14214.18712890692</v>
      </c>
      <c r="D20" s="1690">
        <f>D21+D22+D23</f>
        <v>166.07240841376762</v>
      </c>
      <c r="E20" s="1690">
        <f>E21+E22+E23</f>
        <v>166.07240841376759</v>
      </c>
      <c r="F20" s="1690">
        <f>F21+F22+F23</f>
        <v>166.07240841376759</v>
      </c>
      <c r="G20" s="1690">
        <f>G21+G22+G23</f>
        <v>166.07240841376759</v>
      </c>
      <c r="H20" s="1622"/>
    </row>
    <row r="21" spans="1:8" x14ac:dyDescent="0.25">
      <c r="A21" s="1698" t="s">
        <v>2759</v>
      </c>
      <c r="B21" s="78" t="s">
        <v>2760</v>
      </c>
      <c r="C21" s="1699">
        <f>'Додаток 3 до рішення'!N17+'Додаток 5 до рішення'!C16+'Додаток 6 до рішення'!N13</f>
        <v>4593.3270259938836</v>
      </c>
      <c r="D21" s="1699">
        <f>'Додаток 3 до рішення'!D17+'Додаток 5 до рішення'!D16+'Додаток 6 до рішення'!D13</f>
        <v>53.546378766367198</v>
      </c>
      <c r="E21" s="1699">
        <f>'Додаток 3 до рішення'!E17+'Додаток 5 до рішення'!E16+'Додаток 6 до рішення'!E13</f>
        <v>53.546378766367198</v>
      </c>
      <c r="F21" s="1699">
        <f>'Додаток 3 до рішення'!F17+'Додаток 5 до рішення'!F16+'Додаток 6 до рішення'!F13</f>
        <v>53.546378766367198</v>
      </c>
      <c r="G21" s="1699">
        <f>'Додаток 3 до рішення'!G17+'Додаток 5 до рішення'!G16+'Додаток 6 до рішення'!G13</f>
        <v>53.546378766367198</v>
      </c>
      <c r="H21" s="1622"/>
    </row>
    <row r="22" spans="1:8" x14ac:dyDescent="0.25">
      <c r="A22" s="1698" t="s">
        <v>2761</v>
      </c>
      <c r="B22" s="78" t="s">
        <v>2762</v>
      </c>
      <c r="C22" s="1699">
        <f>'Додаток 3 до рішення'!N18+'Додаток 5 до рішення'!C17+'Додаток 6 до рішення'!N14</f>
        <v>4853.5487414582385</v>
      </c>
      <c r="D22" s="1699">
        <f>'Додаток 3 до рішення'!D18+'Додаток 5 до рішення'!D17+'Додаток 6 до рішення'!D14</f>
        <v>57.020492648667151</v>
      </c>
      <c r="E22" s="1699">
        <f>'Додаток 3 до рішення'!E18+'Додаток 5 до рішення'!E17+'Додаток 6 до рішення'!E14</f>
        <v>57.020492648667151</v>
      </c>
      <c r="F22" s="1699">
        <f>'Додаток 3 до рішення'!F18+'Додаток 5 до рішення'!F17+'Додаток 6 до рішення'!F14</f>
        <v>57.020492648667151</v>
      </c>
      <c r="G22" s="1699">
        <f>'Додаток 3 до рішення'!G18+'Додаток 5 до рішення'!G17+'Додаток 6 до рішення'!G14</f>
        <v>57.020492648667144</v>
      </c>
      <c r="H22" s="1622"/>
    </row>
    <row r="23" spans="1:8" x14ac:dyDescent="0.25">
      <c r="A23" s="1698" t="s">
        <v>2763</v>
      </c>
      <c r="B23" s="78" t="s">
        <v>81</v>
      </c>
      <c r="C23" s="1699">
        <f>'Додаток 3 до рішення'!N19+'Додаток 5 до рішення'!C18+'Додаток 6 до рішення'!N15</f>
        <v>4767.3113614547974</v>
      </c>
      <c r="D23" s="1699">
        <f>'Додаток 3 до рішення'!D19+'Додаток 5 до рішення'!D18+'Додаток 6 до рішення'!D15</f>
        <v>55.50553699873327</v>
      </c>
      <c r="E23" s="1699">
        <f>'Додаток 3 до рішення'!E19+'Додаток 5 до рішення'!E18+'Додаток 6 до рішення'!E15</f>
        <v>55.505536998733255</v>
      </c>
      <c r="F23" s="1699">
        <f>'Додаток 3 до рішення'!F19+'Додаток 5 до рішення'!F18+'Додаток 6 до рішення'!F15</f>
        <v>55.505536998733255</v>
      </c>
      <c r="G23" s="1699">
        <f>'Додаток 3 до рішення'!G19+'Додаток 5 до рішення'!G18+'Додаток 6 до рішення'!G15</f>
        <v>55.505536998733255</v>
      </c>
      <c r="H23" s="1622"/>
    </row>
    <row r="24" spans="1:8" s="15" customFormat="1" x14ac:dyDescent="0.25">
      <c r="A24" s="1700" t="s">
        <v>1755</v>
      </c>
      <c r="B24" s="255" t="s">
        <v>2764</v>
      </c>
      <c r="C24" s="1690">
        <f>C25+C26+C27+C28</f>
        <v>5502.5664431620862</v>
      </c>
      <c r="D24" s="300">
        <f>D25+D26+D27+D28</f>
        <v>62.110388508614967</v>
      </c>
      <c r="E24" s="300">
        <f>E25+E26+E27+E28</f>
        <v>62.110388508614953</v>
      </c>
      <c r="F24" s="300">
        <f>F25+F26+F27+F28</f>
        <v>62.110388508614953</v>
      </c>
      <c r="G24" s="300">
        <f>G25+G26+G27+G28</f>
        <v>62.110388508614953</v>
      </c>
      <c r="H24" s="1622"/>
    </row>
    <row r="25" spans="1:8" x14ac:dyDescent="0.25">
      <c r="A25" s="1701" t="s">
        <v>2765</v>
      </c>
      <c r="B25" s="78" t="s">
        <v>2766</v>
      </c>
      <c r="C25" s="1699">
        <f>'Додаток 3 до рішення'!N21+'Додаток 5 до рішення'!C20+'Додаток 6 до рішення'!N17</f>
        <v>4204.6520702510252</v>
      </c>
      <c r="D25" s="1699">
        <f>'Додаток 3 до рішення'!D21+'Додаток 5 до рішення'!D20+'Додаток 6 до рішення'!D17</f>
        <v>47.460139977295825</v>
      </c>
      <c r="E25" s="1699">
        <f>'Додаток 3 до рішення'!E21+'Додаток 5 до рішення'!E20+'Додаток 6 до рішення'!E17</f>
        <v>47.460139977295817</v>
      </c>
      <c r="F25" s="1699">
        <f>'Додаток 3 до рішення'!F21+'Додаток 5 до рішення'!F20+'Додаток 6 до рішення'!F17</f>
        <v>47.460139977295817</v>
      </c>
      <c r="G25" s="1699">
        <f>'Додаток 3 до рішення'!G21+'Додаток 5 до рішення'!G20+'Додаток 6 до рішення'!G17</f>
        <v>47.460139977295817</v>
      </c>
      <c r="H25" s="1622"/>
    </row>
    <row r="26" spans="1:8" x14ac:dyDescent="0.25">
      <c r="A26" s="1701" t="s">
        <v>2767</v>
      </c>
      <c r="B26" s="78" t="s">
        <v>2275</v>
      </c>
      <c r="C26" s="1699">
        <f>'Додаток 3 до рішення'!N22+'Додаток 5 до рішення'!C21+'Додаток 6 до рішення'!N18</f>
        <v>897.49363640562706</v>
      </c>
      <c r="D26" s="1699">
        <f>'Додаток 3 до рішення'!D22+'Додаток 5 до рішення'!D21+'Додаток 6 до рішення'!D18</f>
        <v>10.130487113051498</v>
      </c>
      <c r="E26" s="1699">
        <f>'Додаток 3 до рішення'!E22+'Додаток 5 до рішення'!E21+'Додаток 6 до рішення'!E18</f>
        <v>10.130487113051496</v>
      </c>
      <c r="F26" s="1699">
        <f>'Додаток 3 до рішення'!F22+'Додаток 5 до рішення'!F21+'Додаток 6 до рішення'!F18</f>
        <v>10.130487113051496</v>
      </c>
      <c r="G26" s="1699">
        <f>'Додаток 3 до рішення'!G22+'Додаток 5 до рішення'!G21+'Додаток 6 до рішення'!G18</f>
        <v>10.130487113051498</v>
      </c>
      <c r="H26" s="1622"/>
    </row>
    <row r="27" spans="1:8" x14ac:dyDescent="0.25">
      <c r="A27" s="1701" t="s">
        <v>2768</v>
      </c>
      <c r="B27" s="78" t="s">
        <v>2762</v>
      </c>
      <c r="C27" s="1699">
        <f>'Додаток 3 до рішення'!N23+'Додаток 5 до рішення'!C22+'Додаток 6 до рішення'!N19</f>
        <v>25.870178589800016</v>
      </c>
      <c r="D27" s="1699">
        <f>'Додаток 3 до рішення'!D23+'Додаток 5 до рішення'!D22+'Додаток 6 до рішення'!D19</f>
        <v>0.29201043905548374</v>
      </c>
      <c r="E27" s="1699">
        <f>'Додаток 3 до рішення'!E23+'Додаток 5 до рішення'!E22+'Додаток 6 до рішення'!E19</f>
        <v>0.29201043905548374</v>
      </c>
      <c r="F27" s="1699">
        <f>'Додаток 3 до рішення'!F23+'Додаток 5 до рішення'!F22+'Додаток 6 до рішення'!F19</f>
        <v>0.29201043905548374</v>
      </c>
      <c r="G27" s="1699">
        <f>'Додаток 3 до рішення'!G23+'Додаток 5 до рішення'!G22+'Додаток 6 до рішення'!G19</f>
        <v>0.29201043905548374</v>
      </c>
      <c r="H27" s="1622"/>
    </row>
    <row r="28" spans="1:8" x14ac:dyDescent="0.25">
      <c r="A28" s="1701" t="s">
        <v>2769</v>
      </c>
      <c r="B28" s="78" t="s">
        <v>58</v>
      </c>
      <c r="C28" s="1699">
        <f>'Додаток 3 до рішення'!N24+'Додаток 5 до рішення'!C23+'Додаток 6 до рішення'!N20</f>
        <v>374.55055791563336</v>
      </c>
      <c r="D28" s="1699">
        <f>'Додаток 3 до рішення'!D24+'Додаток 5 до рішення'!D23+'Додаток 6 до рішення'!D20</f>
        <v>4.2277509792121606</v>
      </c>
      <c r="E28" s="1699">
        <f>'Додаток 3 до рішення'!E24+'Додаток 5 до рішення'!E23+'Додаток 6 до рішення'!E20</f>
        <v>4.2277509792121606</v>
      </c>
      <c r="F28" s="1699">
        <f>'Додаток 3 до рішення'!F24+'Додаток 5 до рішення'!F23+'Додаток 6 до рішення'!F20</f>
        <v>4.2277509792121606</v>
      </c>
      <c r="G28" s="1699">
        <f>'Додаток 3 до рішення'!G24+'Додаток 5 до рішення'!G23+'Додаток 6 до рішення'!G20</f>
        <v>4.2277509792121606</v>
      </c>
      <c r="H28" s="1622"/>
    </row>
    <row r="29" spans="1:8" s="15" customFormat="1" x14ac:dyDescent="0.25">
      <c r="A29" s="1696" t="s">
        <v>1768</v>
      </c>
      <c r="B29" s="255" t="s">
        <v>2770</v>
      </c>
      <c r="C29" s="1690">
        <f>C30+C31+C32+C33</f>
        <v>6689.6542657837654</v>
      </c>
      <c r="D29" s="300">
        <f>D30+D31+D32+D33</f>
        <v>75.509678933994877</v>
      </c>
      <c r="E29" s="300">
        <f>E30+E31+E32+E33</f>
        <v>75.509678933994863</v>
      </c>
      <c r="F29" s="300">
        <f>F30+F31+F32+F33</f>
        <v>75.509678933994877</v>
      </c>
      <c r="G29" s="300">
        <f>G30+G31+G32+G33</f>
        <v>75.509678933994877</v>
      </c>
      <c r="H29" s="1622"/>
    </row>
    <row r="30" spans="1:8" x14ac:dyDescent="0.25">
      <c r="A30" s="1701" t="s">
        <v>2771</v>
      </c>
      <c r="B30" s="78" t="s">
        <v>55</v>
      </c>
      <c r="C30" s="1699">
        <f>'Додаток 3 до рішення'!N26+'Додаток 5 до рішення'!C25+'Додаток 6 до рішення'!N22</f>
        <v>5009.6421397347904</v>
      </c>
      <c r="D30" s="1699">
        <f>'Додаток 3 до рішення'!D26+'Додаток 5 до рішення'!D25+'Додаток 6 до рішення'!D22</f>
        <v>56.546490224523723</v>
      </c>
      <c r="E30" s="1699">
        <f>'Додаток 3 до рішення'!E26+'Додаток 5 до рішення'!E25+'Додаток 6 до рішення'!E22</f>
        <v>56.546490224523723</v>
      </c>
      <c r="F30" s="1699">
        <f>'Додаток 3 до рішення'!F26+'Додаток 5 до рішення'!F25+'Додаток 6 до рішення'!F22</f>
        <v>56.546490224523723</v>
      </c>
      <c r="G30" s="1699">
        <f>'Додаток 3 до рішення'!G26+'Додаток 5 до рішення'!G25+'Додаток 6 до рішення'!G22</f>
        <v>56.54649022452373</v>
      </c>
      <c r="H30" s="1622"/>
    </row>
    <row r="31" spans="1:8" x14ac:dyDescent="0.25">
      <c r="A31" s="1701" t="s">
        <v>2772</v>
      </c>
      <c r="B31" s="78" t="s">
        <v>2773</v>
      </c>
      <c r="C31" s="1699">
        <f>'Додаток 3 до рішення'!N27+'Додаток 5 до рішення'!C26+'Додаток 6 до рішення'!N23</f>
        <v>1102.1212707416544</v>
      </c>
      <c r="D31" s="1699">
        <f>'Додаток 3 до рішення'!D27+'Додаток 5 до рішення'!D26+'Додаток 6 до рішення'!D23</f>
        <v>12.440227849395221</v>
      </c>
      <c r="E31" s="1699">
        <f>'Додаток 3 до рішення'!E27+'Додаток 5 до рішення'!E26+'Додаток 6 до рішення'!E23</f>
        <v>12.440227849395219</v>
      </c>
      <c r="F31" s="1699">
        <f>'Додаток 3 до рішення'!F27+'Додаток 5 до рішення'!F26+'Додаток 6 до рішення'!F23</f>
        <v>12.440227849395221</v>
      </c>
      <c r="G31" s="1699">
        <f>'Додаток 3 до рішення'!G27+'Додаток 5 до рішення'!G26+'Додаток 6 до рішення'!G23</f>
        <v>12.440227849395221</v>
      </c>
      <c r="H31" s="1622"/>
    </row>
    <row r="32" spans="1:8" x14ac:dyDescent="0.25">
      <c r="A32" s="1701" t="s">
        <v>2774</v>
      </c>
      <c r="B32" s="78" t="s">
        <v>2762</v>
      </c>
      <c r="C32" s="1699">
        <f>'Додаток 3 до рішення'!N28+'Додаток 5 до рішення'!C27+'Додаток 6 до рішення'!N24</f>
        <v>63.190693934621805</v>
      </c>
      <c r="D32" s="1699">
        <f>'Додаток 3 до рішення'!D28+'Додаток 5 до рішення'!D27+'Додаток 6 до рішення'!D24</f>
        <v>0.7132669075328657</v>
      </c>
      <c r="E32" s="1699">
        <f>'Додаток 3 до рішення'!E28+'Додаток 5 до рішення'!E27+'Додаток 6 до рішення'!E24</f>
        <v>0.7132669075328657</v>
      </c>
      <c r="F32" s="1699">
        <f>'Додаток 3 до рішення'!F28+'Додаток 5 до рішення'!F27+'Додаток 6 до рішення'!F24</f>
        <v>0.7132669075328657</v>
      </c>
      <c r="G32" s="1699">
        <f>'Додаток 3 до рішення'!G28+'Додаток 5 до рішення'!G27+'Додаток 6 до рішення'!G24</f>
        <v>0.7132669075328657</v>
      </c>
      <c r="H32" s="1622"/>
    </row>
    <row r="33" spans="1:8" x14ac:dyDescent="0.25">
      <c r="A33" s="1701" t="s">
        <v>2775</v>
      </c>
      <c r="B33" s="78" t="s">
        <v>2776</v>
      </c>
      <c r="C33" s="1699">
        <f>'Додаток 3 до рішення'!N29+'Додаток 5 до рішення'!C28+'Додаток 6 до рішення'!N25</f>
        <v>514.70016137269897</v>
      </c>
      <c r="D33" s="1699">
        <f>'Додаток 3 до рішення'!D29+'Додаток 5 до рішення'!D28+'Додаток 6 до рішення'!D25</f>
        <v>5.8096939525430633</v>
      </c>
      <c r="E33" s="1699">
        <f>'Додаток 3 до рішення'!E29+'Додаток 5 до рішення'!E28+'Додаток 6 до рішення'!E25</f>
        <v>5.8096939525430633</v>
      </c>
      <c r="F33" s="1699">
        <f>'Додаток 3 до рішення'!F29+'Додаток 5 до рішення'!F28+'Додаток 6 до рішення'!F25</f>
        <v>5.8096939525430633</v>
      </c>
      <c r="G33" s="1699">
        <f>'Додаток 3 до рішення'!G29+'Додаток 5 до рішення'!G28+'Додаток 6 до рішення'!G25</f>
        <v>5.8096939525430633</v>
      </c>
      <c r="H33" s="1622"/>
    </row>
    <row r="34" spans="1:8" s="15" customFormat="1" x14ac:dyDescent="0.25">
      <c r="A34" s="1696" t="s">
        <v>1770</v>
      </c>
      <c r="B34" s="255" t="s">
        <v>2777</v>
      </c>
      <c r="C34" s="1696">
        <v>0</v>
      </c>
      <c r="D34" s="1696">
        <v>0</v>
      </c>
      <c r="E34" s="1696">
        <v>0</v>
      </c>
      <c r="F34" s="1696">
        <v>0</v>
      </c>
      <c r="G34" s="1696">
        <v>0</v>
      </c>
      <c r="H34" s="1622"/>
    </row>
    <row r="35" spans="1:8" s="15" customFormat="1" ht="27.6" x14ac:dyDescent="0.25">
      <c r="A35" s="1696" t="s">
        <v>1773</v>
      </c>
      <c r="B35" s="1702" t="s">
        <v>2778</v>
      </c>
      <c r="C35" s="1690">
        <f>'Додаток 5 до рішення'!C31</f>
        <v>11555.219110774409</v>
      </c>
      <c r="D35" s="1690">
        <f>'Додаток 5 до рішення'!D31</f>
        <v>87.570721724723057</v>
      </c>
      <c r="E35" s="1690">
        <f>'Додаток 5 до рішення'!E31</f>
        <v>182.10195729017954</v>
      </c>
      <c r="F35" s="1690">
        <f>'Додаток 5 до рішення'!F31</f>
        <v>182.10195729017957</v>
      </c>
      <c r="G35" s="1690">
        <f>'Додаток 5 до рішення'!G31</f>
        <v>182.10195729017948</v>
      </c>
      <c r="H35" s="1622"/>
    </row>
    <row r="36" spans="1:8" s="15" customFormat="1" x14ac:dyDescent="0.25">
      <c r="A36" s="1696" t="s">
        <v>1845</v>
      </c>
      <c r="B36" s="255" t="s">
        <v>2779</v>
      </c>
      <c r="C36" s="1690">
        <f>'Додаток 3 до рішення'!N31+'Додаток 5 до рішення'!C32+'Додаток 6 до рішення'!N27</f>
        <v>0</v>
      </c>
      <c r="D36" s="1690">
        <f>'Додаток 3 до рішення'!D31+'Додаток 5 до рішення'!D32+'Додаток 6 до рішення'!D27</f>
        <v>0</v>
      </c>
      <c r="E36" s="1690">
        <f>'Додаток 3 до рішення'!E31+'Додаток 5 до рішення'!E32+'Додаток 6 до рішення'!E27</f>
        <v>0</v>
      </c>
      <c r="F36" s="1690">
        <f>'Додаток 3 до рішення'!F31+'Додаток 5 до рішення'!F32+'Додаток 6 до рішення'!F27</f>
        <v>0</v>
      </c>
      <c r="G36" s="1690">
        <f>'Додаток 3 до рішення'!G31+'Додаток 5 до рішення'!G32+'Додаток 6 до рішення'!G27</f>
        <v>0</v>
      </c>
      <c r="H36" s="1622"/>
    </row>
    <row r="37" spans="1:8" s="15" customFormat="1" x14ac:dyDescent="0.25">
      <c r="A37" s="1696" t="s">
        <v>1851</v>
      </c>
      <c r="B37" s="255" t="s">
        <v>2780</v>
      </c>
      <c r="C37" s="1696">
        <v>0</v>
      </c>
      <c r="D37" s="1696">
        <v>0</v>
      </c>
      <c r="E37" s="1696">
        <v>0</v>
      </c>
      <c r="F37" s="1696">
        <v>0</v>
      </c>
      <c r="G37" s="1696">
        <v>0</v>
      </c>
      <c r="H37" s="1622"/>
    </row>
    <row r="38" spans="1:8" s="1731" customFormat="1" x14ac:dyDescent="0.25">
      <c r="A38" s="1727" t="s">
        <v>1857</v>
      </c>
      <c r="B38" s="1728" t="s">
        <v>2781</v>
      </c>
      <c r="C38" s="1729">
        <f>'Додаток 3 до рішення'!N33</f>
        <v>0</v>
      </c>
      <c r="D38" s="1729">
        <f>'Додаток 3 до рішення'!D33</f>
        <v>0</v>
      </c>
      <c r="E38" s="1729">
        <f>'Додаток 3 до рішення'!E33</f>
        <v>0</v>
      </c>
      <c r="F38" s="1729">
        <f>'Додаток 3 до рішення'!F33</f>
        <v>0</v>
      </c>
      <c r="G38" s="1729">
        <f>'Додаток 3 до рішення'!G33</f>
        <v>0</v>
      </c>
      <c r="H38" s="1730"/>
    </row>
    <row r="39" spans="1:8" s="15" customFormat="1" x14ac:dyDescent="0.25">
      <c r="A39" s="1696" t="s">
        <v>1859</v>
      </c>
      <c r="B39" s="255" t="s">
        <v>2782</v>
      </c>
      <c r="C39" s="1690">
        <f>SUM(C40:C43)</f>
        <v>8000.7249407350055</v>
      </c>
      <c r="D39" s="1690">
        <f>SUM(D40:D43)</f>
        <v>83.860271543325894</v>
      </c>
      <c r="E39" s="1690">
        <f>SUM(E40:E43)</f>
        <v>133.955728129438</v>
      </c>
      <c r="F39" s="1690">
        <f>SUM(F40:F43)</f>
        <v>133.95572812943806</v>
      </c>
      <c r="G39" s="1690">
        <f>SUM(G40:G43)</f>
        <v>133.95572812943806</v>
      </c>
      <c r="H39" s="1622"/>
    </row>
    <row r="40" spans="1:8" x14ac:dyDescent="0.25">
      <c r="A40" s="1701" t="s">
        <v>1030</v>
      </c>
      <c r="B40" s="78" t="s">
        <v>65</v>
      </c>
      <c r="C40" s="1699">
        <f>'Додаток 3 до рішення'!N35+'Додаток 5 до рішення'!C36+'Додаток 6 до рішення'!N31</f>
        <v>1440.1304893323004</v>
      </c>
      <c r="D40" s="1699">
        <f>'Додаток 3 до рішення'!D35+'Додаток 5 до рішення'!D36+'Додаток 6 до рішення'!D31</f>
        <v>15.094848877798658</v>
      </c>
      <c r="E40" s="1699">
        <f>'Додаток 3 до рішення'!E35+'Додаток 5 до рішення'!E36+'Додаток 6 до рішення'!E31</f>
        <v>24.112031063298833</v>
      </c>
      <c r="F40" s="1699">
        <f>'Додаток 3 до рішення'!F35+'Додаток 5 до рішення'!F36+'Додаток 6 до рішення'!F31</f>
        <v>24.11203106329884</v>
      </c>
      <c r="G40" s="1699">
        <f>'Додаток 3 до рішення'!G35+'Додаток 5 до рішення'!G36+'Додаток 6 до рішення'!G31</f>
        <v>24.112031063298843</v>
      </c>
      <c r="H40" s="1622"/>
    </row>
    <row r="41" spans="1:8" x14ac:dyDescent="0.25">
      <c r="A41" s="1701" t="s">
        <v>2783</v>
      </c>
      <c r="B41" s="78" t="s">
        <v>84</v>
      </c>
      <c r="C41" s="1699">
        <f>'Додаток 3 до рішення'!N36+'Додаток 5 до рішення'!C37+'Додаток 6 до рішення'!N32</f>
        <v>0</v>
      </c>
      <c r="D41" s="1699">
        <f>'Додаток 3 до рішення'!D36+'Додаток 5 до рішення'!D37+'Додаток 6 до рішення'!D32</f>
        <v>0</v>
      </c>
      <c r="E41" s="1699">
        <f>'Додаток 3 до рішення'!E36+'Додаток 5 до рішення'!E37+'Додаток 6 до рішення'!E32</f>
        <v>0</v>
      </c>
      <c r="F41" s="1699">
        <f>'Додаток 3 до рішення'!F36+'Додаток 5 до рішення'!F37+'Додаток 6 до рішення'!F32</f>
        <v>0</v>
      </c>
      <c r="G41" s="1699">
        <f>'Додаток 3 до рішення'!G36+'Додаток 5 до рішення'!G37+'Додаток 6 до рішення'!G32</f>
        <v>0</v>
      </c>
      <c r="H41" s="1622"/>
    </row>
    <row r="42" spans="1:8" x14ac:dyDescent="0.25">
      <c r="A42" s="1701" t="s">
        <v>2784</v>
      </c>
      <c r="B42" s="78" t="s">
        <v>71</v>
      </c>
      <c r="C42" s="1699">
        <f>'Додаток 3 до рішення'!N37+'Додаток 5 до рішення'!C38+'Додаток 6 до рішення'!N33</f>
        <v>0</v>
      </c>
      <c r="D42" s="1699">
        <f>'Додаток 3 до рішення'!D37+'Додаток 5 до рішення'!D38+'Додаток 6 до рішення'!D33</f>
        <v>0</v>
      </c>
      <c r="E42" s="1699">
        <f>'Додаток 3 до рішення'!E37+'Додаток 5 до рішення'!E38+'Додаток 6 до рішення'!E33</f>
        <v>0</v>
      </c>
      <c r="F42" s="1699">
        <f>'Додаток 3 до рішення'!F37+'Додаток 5 до рішення'!F38+'Додаток 6 до рішення'!F33</f>
        <v>0</v>
      </c>
      <c r="G42" s="1699">
        <f>'Додаток 3 до рішення'!G37+'Додаток 5 до рішення'!G38+'Додаток 6 до рішення'!G33</f>
        <v>0</v>
      </c>
      <c r="H42" s="1622"/>
    </row>
    <row r="43" spans="1:8" ht="14.4" thickBot="1" x14ac:dyDescent="0.3">
      <c r="A43" s="1703" t="s">
        <v>2785</v>
      </c>
      <c r="B43" s="1704" t="s">
        <v>2446</v>
      </c>
      <c r="C43" s="1705">
        <f>'Додаток 3 до рішення'!N38+'Додаток 5 до рішення'!C39+'Додаток 6 до рішення'!N34</f>
        <v>6560.5944514027051</v>
      </c>
      <c r="D43" s="1705">
        <f>'Додаток 3 до рішення'!D38+'Додаток 5 до рішення'!D39+'Додаток 6 до рішення'!D34</f>
        <v>68.76542266552724</v>
      </c>
      <c r="E43" s="1705">
        <f>'Додаток 3 до рішення'!E38+'Додаток 5 до рішення'!E39+'Додаток 6 до рішення'!E34</f>
        <v>109.84369706613916</v>
      </c>
      <c r="F43" s="1705">
        <f>'Додаток 3 до рішення'!F38+'Додаток 5 до рішення'!F39+'Додаток 6 до рішення'!F34</f>
        <v>109.84369706613921</v>
      </c>
      <c r="G43" s="1705">
        <f>'Додаток 3 до рішення'!G38+'Додаток 5 до рішення'!G39+'Додаток 6 до рішення'!G34</f>
        <v>109.84369706613921</v>
      </c>
      <c r="H43" s="1622"/>
    </row>
    <row r="44" spans="1:8" ht="14.4" thickBot="1" x14ac:dyDescent="0.3">
      <c r="A44" s="1695" t="s">
        <v>1861</v>
      </c>
      <c r="B44" s="1706" t="s">
        <v>2786</v>
      </c>
      <c r="C44" s="1707">
        <f>C13+C29+C34+C35+C36+C37+C38+C39</f>
        <v>183671.63588693037</v>
      </c>
      <c r="D44" s="1707">
        <f>D13+D29+D34+D35+D36+D37+D38+D39</f>
        <v>1856.6674808084895</v>
      </c>
      <c r="E44" s="1707">
        <f>E13+E29+E34+E35+E36+E37+E38+E39</f>
        <v>2988.3041823304925</v>
      </c>
      <c r="F44" s="1707">
        <f>F13+F29+F34+F35+F36+F37+F38+F39</f>
        <v>2988.3041823304939</v>
      </c>
      <c r="G44" s="1707">
        <f>G13+G29+G34+G35+G36+G37+G38+G39</f>
        <v>2988.3041823304939</v>
      </c>
      <c r="H44" s="1622"/>
    </row>
    <row r="45" spans="1:8" ht="31.8" thickBot="1" x14ac:dyDescent="0.3">
      <c r="A45" s="1695" t="s">
        <v>1865</v>
      </c>
      <c r="B45" s="1074" t="s">
        <v>2787</v>
      </c>
      <c r="C45" s="1707">
        <f>'Додаток 3 до рішення'!N7</f>
        <v>90.438170318810094</v>
      </c>
      <c r="D45" s="1707">
        <f>'Додаток 3 до рішення'!O7</f>
        <v>75.115792165658988</v>
      </c>
      <c r="E45" s="1707">
        <f>'Додаток 3 до рішення'!P7</f>
        <v>1.4602989074179139E-2</v>
      </c>
      <c r="F45" s="1707">
        <f>'Додаток 3 до рішення'!Q7</f>
        <v>11.523602679723238</v>
      </c>
      <c r="G45" s="1707">
        <f>'Додаток 3 до рішення'!R7</f>
        <v>3.7841724843536966</v>
      </c>
      <c r="H45" s="1622"/>
    </row>
    <row r="46" spans="1:8" s="15" customFormat="1" ht="28.2" thickBot="1" x14ac:dyDescent="0.3">
      <c r="A46" s="1695" t="s">
        <v>1867</v>
      </c>
      <c r="B46" s="1706" t="s">
        <v>2788</v>
      </c>
      <c r="C46" s="1707">
        <f>'Додаток 6 до рішення'!N7</f>
        <v>82.347593266686673</v>
      </c>
      <c r="D46" s="1707">
        <f>'Додаток 6 до рішення'!O7</f>
        <v>68.380861663549609</v>
      </c>
      <c r="E46" s="1707">
        <f>'Додаток 6 до рішення'!P7</f>
        <v>1.3291675959893333E-2</v>
      </c>
      <c r="F46" s="1707">
        <f>'Додаток 6 до рішення'!Q7</f>
        <v>10.509076983202204</v>
      </c>
      <c r="G46" s="1707">
        <f>'Додаток 6 до рішення'!R7</f>
        <v>3.4443629439749621</v>
      </c>
      <c r="H46" s="1622"/>
    </row>
    <row r="48" spans="1:8" x14ac:dyDescent="0.25">
      <c r="B48" s="729"/>
      <c r="C48" s="1708">
        <f>C13+C29+C35+C36+C38+C39</f>
        <v>183671.63588693037</v>
      </c>
      <c r="D48" s="1708" t="e">
        <f>'Рішення 1Д'!C47</f>
        <v>#REF!</v>
      </c>
      <c r="E48" s="1708" t="e">
        <f>C48+D48</f>
        <v>#REF!</v>
      </c>
      <c r="F48" s="1708"/>
      <c r="G48" s="1708"/>
    </row>
    <row r="49" spans="3:7" x14ac:dyDescent="0.25">
      <c r="C49" s="1709">
        <f>'Додаток 6 до рішення'!N37+'Додаток 5 до рішення'!C43+'Додаток 3 до рішення'!N39</f>
        <v>180647.94734606933</v>
      </c>
      <c r="D49" s="1708">
        <f>'Рішення 1Д'!C48</f>
        <v>42852.851079477492</v>
      </c>
      <c r="E49" s="1708">
        <f>C49+D49</f>
        <v>223500.79842554682</v>
      </c>
      <c r="F49" s="1708"/>
      <c r="G49" s="1708"/>
    </row>
    <row r="50" spans="3:7" x14ac:dyDescent="0.25">
      <c r="C50" s="1708">
        <f>C48-C49</f>
        <v>3023.6885408610397</v>
      </c>
      <c r="D50" s="1708" t="e">
        <f>'Рішення 1Д'!C49</f>
        <v>#REF!</v>
      </c>
      <c r="E50" s="1708" t="e">
        <f>C50+D50</f>
        <v>#REF!</v>
      </c>
      <c r="F50" s="1708"/>
      <c r="G50" s="1708"/>
    </row>
  </sheetData>
  <mergeCells count="8">
    <mergeCell ref="B7:G7"/>
    <mergeCell ref="B12:G12"/>
    <mergeCell ref="F1:G1"/>
    <mergeCell ref="B2:F2"/>
    <mergeCell ref="A4:A5"/>
    <mergeCell ref="B4:B5"/>
    <mergeCell ref="C4:C5"/>
    <mergeCell ref="D4:G4"/>
  </mergeCells>
  <pageMargins left="0.7" right="0.7" top="0.75" bottom="0.75" header="0.3" footer="0.3"/>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600-000000000000}">
  <sheetPr codeName="Лист52">
    <tabColor rgb="FF0000FF"/>
  </sheetPr>
  <dimension ref="A1:N141"/>
  <sheetViews>
    <sheetView topLeftCell="A115" workbookViewId="0">
      <selection activeCell="B137" sqref="B137"/>
    </sheetView>
  </sheetViews>
  <sheetFormatPr defaultColWidth="8.88671875" defaultRowHeight="13.8" x14ac:dyDescent="0.25"/>
  <cols>
    <col min="1" max="1" width="5.33203125" style="1816" customWidth="1"/>
    <col min="2" max="2" width="42.88671875" style="1788" customWidth="1"/>
    <col min="3" max="3" width="12.109375" style="1788" customWidth="1"/>
    <col min="4" max="4" width="13.33203125" style="10" customWidth="1"/>
    <col min="5" max="5" width="12.33203125" style="10" hidden="1" customWidth="1"/>
    <col min="6" max="6" width="11.88671875" style="10" customWidth="1"/>
    <col min="7" max="7" width="12" style="10" customWidth="1"/>
    <col min="8" max="8" width="8.88671875" style="10"/>
    <col min="9" max="9" width="8.88671875" style="1121"/>
    <col min="10" max="16384" width="8.88671875" style="10"/>
  </cols>
  <sheetData>
    <row r="1" spans="1:14" s="45" customFormat="1" ht="15.6" x14ac:dyDescent="0.3">
      <c r="A1" s="1815"/>
      <c r="B1" s="1796"/>
      <c r="C1" s="1796"/>
      <c r="D1" s="4910" t="s">
        <v>2871</v>
      </c>
      <c r="E1" s="4910"/>
      <c r="F1" s="4910"/>
      <c r="G1" s="4910"/>
      <c r="I1" s="1499"/>
      <c r="L1" s="4910"/>
      <c r="M1" s="4910"/>
      <c r="N1" s="4910"/>
    </row>
    <row r="2" spans="1:14" s="45" customFormat="1" ht="12.6" customHeight="1" x14ac:dyDescent="0.3">
      <c r="A2" s="1815"/>
      <c r="B2" s="1796"/>
      <c r="C2" s="1796"/>
      <c r="D2" s="5471" t="s">
        <v>2812</v>
      </c>
      <c r="E2" s="5471"/>
      <c r="F2" s="5471"/>
      <c r="G2" s="5471"/>
      <c r="I2" s="1499"/>
      <c r="L2" s="5471"/>
      <c r="M2" s="5471"/>
      <c r="N2" s="5471"/>
    </row>
    <row r="3" spans="1:14" s="45" customFormat="1" ht="27" customHeight="1" x14ac:dyDescent="0.3">
      <c r="A3" s="1815"/>
      <c r="B3" s="1796"/>
      <c r="C3" s="1796"/>
      <c r="D3" s="5472" t="s">
        <v>2827</v>
      </c>
      <c r="E3" s="5472"/>
      <c r="F3" s="5472"/>
      <c r="G3" s="5472"/>
      <c r="I3" s="1499"/>
      <c r="L3" s="5472"/>
      <c r="M3" s="5472"/>
      <c r="N3" s="5472"/>
    </row>
    <row r="4" spans="1:14" s="45" customFormat="1" ht="15.6" x14ac:dyDescent="0.3">
      <c r="A4" s="1815"/>
      <c r="B4" s="1796"/>
      <c r="C4" s="1796"/>
      <c r="D4" s="5471" t="s">
        <v>2823</v>
      </c>
      <c r="E4" s="5471"/>
      <c r="F4" s="5471"/>
      <c r="G4" s="5471"/>
      <c r="I4" s="1499"/>
      <c r="L4" s="5471"/>
      <c r="M4" s="5471"/>
      <c r="N4" s="5471"/>
    </row>
    <row r="5" spans="1:14" s="45" customFormat="1" ht="6" customHeight="1" x14ac:dyDescent="0.3">
      <c r="A5" s="1816"/>
      <c r="B5" s="1795"/>
      <c r="C5" s="1795"/>
      <c r="I5" s="1499"/>
    </row>
    <row r="6" spans="1:14" s="45" customFormat="1" ht="15.6" x14ac:dyDescent="0.3">
      <c r="A6" s="4911" t="s">
        <v>2967</v>
      </c>
      <c r="B6" s="4911"/>
      <c r="C6" s="4911"/>
      <c r="D6" s="4911"/>
      <c r="E6" s="4911"/>
      <c r="F6" s="4911"/>
      <c r="G6" s="4911"/>
      <c r="I6" s="1499"/>
    </row>
    <row r="7" spans="1:14" s="45" customFormat="1" ht="63.6" customHeight="1" x14ac:dyDescent="0.3">
      <c r="A7" s="4912" t="s">
        <v>2908</v>
      </c>
      <c r="B7" s="4912"/>
      <c r="C7" s="4912"/>
      <c r="D7" s="4912"/>
      <c r="E7" s="4912"/>
      <c r="F7" s="4912"/>
      <c r="G7" s="4912"/>
      <c r="I7" s="1499"/>
    </row>
    <row r="8" spans="1:14" s="45" customFormat="1" ht="14.4" customHeight="1" x14ac:dyDescent="0.3">
      <c r="A8" s="1817"/>
      <c r="B8" s="1811"/>
      <c r="C8" s="1811"/>
      <c r="D8" s="1793"/>
      <c r="E8" s="1793"/>
      <c r="F8" s="1793"/>
      <c r="G8" s="1812" t="s">
        <v>1734</v>
      </c>
      <c r="I8" s="1499"/>
    </row>
    <row r="9" spans="1:14" s="40" customFormat="1" ht="15.6" x14ac:dyDescent="0.3">
      <c r="A9" s="4913" t="s">
        <v>2864</v>
      </c>
      <c r="B9" s="4915" t="s">
        <v>110</v>
      </c>
      <c r="C9" s="4915" t="s">
        <v>2255</v>
      </c>
      <c r="D9" s="4917" t="s">
        <v>2865</v>
      </c>
      <c r="E9" s="4918"/>
      <c r="F9" s="4918"/>
      <c r="G9" s="4919"/>
      <c r="I9" s="1806"/>
    </row>
    <row r="10" spans="1:14" s="40" customFormat="1" ht="39.6" x14ac:dyDescent="0.3">
      <c r="A10" s="4914"/>
      <c r="B10" s="4916"/>
      <c r="C10" s="4916"/>
      <c r="D10" s="1475" t="s">
        <v>2736</v>
      </c>
      <c r="E10" s="1475" t="s">
        <v>2737</v>
      </c>
      <c r="F10" s="1475" t="s">
        <v>2866</v>
      </c>
      <c r="G10" s="1475" t="s">
        <v>2810</v>
      </c>
      <c r="I10" s="1806"/>
    </row>
    <row r="11" spans="1:14" s="40" customFormat="1" ht="15.6" x14ac:dyDescent="0.3">
      <c r="A11" s="1798">
        <v>1</v>
      </c>
      <c r="B11" s="1810">
        <v>2</v>
      </c>
      <c r="C11" s="1810"/>
      <c r="D11" s="1611">
        <v>3</v>
      </c>
      <c r="E11" s="1611">
        <v>4</v>
      </c>
      <c r="F11" s="1611">
        <v>4</v>
      </c>
      <c r="G11" s="1611">
        <v>5</v>
      </c>
      <c r="I11" s="1806"/>
    </row>
    <row r="12" spans="1:14" s="45" customFormat="1" ht="15.6" x14ac:dyDescent="0.3">
      <c r="A12" s="4902" t="s">
        <v>2867</v>
      </c>
      <c r="B12" s="4902"/>
      <c r="C12" s="4902"/>
      <c r="D12" s="4902"/>
      <c r="E12" s="4902"/>
      <c r="F12" s="4902"/>
      <c r="G12" s="4902"/>
      <c r="I12" s="1499"/>
    </row>
    <row r="13" spans="1:14" s="45" customFormat="1" ht="39.6" x14ac:dyDescent="0.3">
      <c r="A13" s="1798">
        <v>1</v>
      </c>
      <c r="B13" s="1800" t="s">
        <v>2868</v>
      </c>
      <c r="C13" s="2010" t="s">
        <v>2286</v>
      </c>
      <c r="D13" s="1804">
        <f>'ТЕ_2ст_тариф_з ЦТП'!I214</f>
        <v>1143.25</v>
      </c>
      <c r="E13" s="1804">
        <f>'ТЕ_2ст_тариф_з ЦТП'!L214</f>
        <v>0</v>
      </c>
      <c r="F13" s="1804">
        <f>'ТЕ_2ст_тариф_з ЦТП'!O214</f>
        <v>2130.2600000000002</v>
      </c>
      <c r="G13" s="1804">
        <f>'ТЕ_2ст_тариф_з ЦТП'!R214</f>
        <v>2130.2600000000002</v>
      </c>
      <c r="I13" s="1499"/>
    </row>
    <row r="14" spans="1:14" s="45" customFormat="1" ht="42" customHeight="1" x14ac:dyDescent="0.3">
      <c r="A14" s="1798">
        <v>2</v>
      </c>
      <c r="B14" s="1800" t="s">
        <v>2869</v>
      </c>
      <c r="C14" s="2010" t="s">
        <v>3058</v>
      </c>
      <c r="D14" s="1804">
        <f>'ТЕ_2ст_тариф_з ЦТП'!J224/12</f>
        <v>11011.4</v>
      </c>
      <c r="E14" s="1804">
        <f>'ТЕ_2ст_тариф_з ЦТП'!M224/12</f>
        <v>0</v>
      </c>
      <c r="F14" s="1804">
        <f>'ТЕ_2ст_тариф_з ЦТП'!P224/12</f>
        <v>12569.185833333335</v>
      </c>
      <c r="G14" s="1804">
        <f>'ТЕ_2ст_тариф_з ЦТП'!S224/12</f>
        <v>12569.185833333335</v>
      </c>
      <c r="I14" s="1499"/>
    </row>
    <row r="15" spans="1:14" s="45" customFormat="1" ht="15.6" x14ac:dyDescent="0.3">
      <c r="A15" s="4903" t="s">
        <v>2870</v>
      </c>
      <c r="B15" s="4904"/>
      <c r="C15" s="4904"/>
      <c r="D15" s="4904"/>
      <c r="E15" s="4904"/>
      <c r="F15" s="4904"/>
      <c r="G15" s="4905"/>
      <c r="I15" s="1499"/>
    </row>
    <row r="16" spans="1:14" s="45" customFormat="1" ht="27" customHeight="1" x14ac:dyDescent="0.3">
      <c r="A16" s="1798">
        <v>3</v>
      </c>
      <c r="B16" s="1800" t="s">
        <v>2872</v>
      </c>
      <c r="C16" s="1475" t="s">
        <v>2160</v>
      </c>
      <c r="D16" s="1805">
        <f>'ТЕ_2ст_тариф_з ЦТП'!I30</f>
        <v>90.271057497103627</v>
      </c>
      <c r="E16" s="1805">
        <f>'ТЕ_2ст_тариф_з ЦТП'!L30</f>
        <v>1.4602989074179139E-2</v>
      </c>
      <c r="F16" s="1805">
        <f>'ТЕ_2ст_тариф_з ЦТП'!O30</f>
        <v>13.752767963175286</v>
      </c>
      <c r="G16" s="1805">
        <f>'ТЕ_2ст_тариф_з ЦТП'!R30</f>
        <v>4.6371042268930927</v>
      </c>
      <c r="I16" s="1807">
        <f>'ТЕ_2ст_тариф_з ЦТП'!E30-'Рішення 3Д'!D16-'Рішення 3Д'!E16-'Рішення 3Д'!F16-'Рішення 3Д'!G16</f>
        <v>-7.9936057773011271E-15</v>
      </c>
    </row>
    <row r="17" spans="1:9" s="45" customFormat="1" ht="29.4" customHeight="1" x14ac:dyDescent="0.3">
      <c r="A17" s="1799" t="s">
        <v>2873</v>
      </c>
      <c r="B17" s="1802" t="s">
        <v>2876</v>
      </c>
      <c r="C17" s="1006" t="s">
        <v>2160</v>
      </c>
      <c r="D17" s="1805">
        <f>'ТЕ_2ст_тариф_з ЦТП'!I14</f>
        <v>82.049342543904487</v>
      </c>
      <c r="E17" s="1805">
        <f>'ТЕ_2ст_тариф_з ЦТП'!L14</f>
        <v>1.3291675959893333E-2</v>
      </c>
      <c r="F17" s="1805">
        <f>'ТЕ_2ст_тариф_з ЦТП'!O14</f>
        <v>12.519553368115806</v>
      </c>
      <c r="G17" s="1805">
        <f>'ТЕ_2ст_тариф_з ЦТП'!R14</f>
        <v>4.2136191041387132</v>
      </c>
      <c r="I17" s="1499"/>
    </row>
    <row r="18" spans="1:9" s="45" customFormat="1" ht="15.6" x14ac:dyDescent="0.3">
      <c r="A18" s="1798" t="s">
        <v>2874</v>
      </c>
      <c r="B18" s="1802" t="s">
        <v>644</v>
      </c>
      <c r="C18" s="1006" t="s">
        <v>2160</v>
      </c>
      <c r="D18" s="1805">
        <f>'ТЕ_2ст_тариф_з ЦТП'!I15</f>
        <v>13.668480880354855</v>
      </c>
      <c r="E18" s="1805">
        <f>'ТЕ_2ст_тариф_з ЦТП'!L15</f>
        <v>0</v>
      </c>
      <c r="F18" s="1805">
        <f>'ТЕ_2ст_тариф_з ЦТП'!O15</f>
        <v>2.0104763849135998</v>
      </c>
      <c r="G18" s="1805">
        <f>'ТЕ_2ст_тариф_з ЦТП'!R15</f>
        <v>0.76925616016375076</v>
      </c>
      <c r="I18" s="1499"/>
    </row>
    <row r="19" spans="1:9" s="45" customFormat="1" ht="15.6" x14ac:dyDescent="0.3">
      <c r="A19" s="1798" t="s">
        <v>2875</v>
      </c>
      <c r="B19" s="1802" t="s">
        <v>643</v>
      </c>
      <c r="C19" s="1006" t="s">
        <v>2160</v>
      </c>
      <c r="D19" s="1805">
        <f>'ТЕ_2ст_тариф_з ЦТП'!I16</f>
        <v>68.380861663549609</v>
      </c>
      <c r="E19" s="1805">
        <f>'ТЕ_2ст_тариф_з ЦТП'!L16</f>
        <v>1.3291675959893333E-2</v>
      </c>
      <c r="F19" s="1805">
        <f>'ТЕ_2ст_тариф_з ЦТП'!O16</f>
        <v>10.509076983202204</v>
      </c>
      <c r="G19" s="1805">
        <f>'ТЕ_2ст_тариф_з ЦТП'!R16</f>
        <v>3.4443629439749621</v>
      </c>
      <c r="I19" s="1499"/>
    </row>
    <row r="20" spans="1:9" s="45" customFormat="1" ht="15.6" x14ac:dyDescent="0.3">
      <c r="A20" s="1798">
        <v>4</v>
      </c>
      <c r="B20" s="1802" t="s">
        <v>2189</v>
      </c>
      <c r="C20" s="2010" t="s">
        <v>31</v>
      </c>
      <c r="D20" s="1805">
        <f>'ТЕ_2ст_тариф_з ЦТП'!J17</f>
        <v>59.458515646999999</v>
      </c>
      <c r="E20" s="1805">
        <f>'ТЕ_2ст_тариф_з ЦТП'!M17</f>
        <v>9.6319999999999999E-3</v>
      </c>
      <c r="F20" s="1805">
        <f>'ТЕ_2ст_тариф_з ЦТП'!P17</f>
        <v>9.0724704999999997</v>
      </c>
      <c r="G20" s="1805">
        <f>'ТЕ_2ст_тариф_з ЦТП'!S17</f>
        <v>3.05345837</v>
      </c>
      <c r="I20" s="1499"/>
    </row>
    <row r="21" spans="1:9" s="45" customFormat="1" ht="15.6" x14ac:dyDescent="0.3">
      <c r="A21" s="1798" t="s">
        <v>1775</v>
      </c>
      <c r="B21" s="1802" t="s">
        <v>644</v>
      </c>
      <c r="C21" s="2010" t="s">
        <v>31</v>
      </c>
      <c r="D21" s="1805">
        <f>'ТЕ_2ст_тариф_з ЦТП'!J18</f>
        <v>9.9052058670000012</v>
      </c>
      <c r="E21" s="1805">
        <f>'ТЕ_2ст_тариф_з ЦТП'!M18</f>
        <v>0</v>
      </c>
      <c r="F21" s="1805">
        <f>'ТЕ_2ст_тариф_з ЦТП'!P18</f>
        <v>1.45692</v>
      </c>
      <c r="G21" s="1805">
        <f>'ТЕ_2ст_тариф_з ЦТП'!S18</f>
        <v>0.5574522999999999</v>
      </c>
      <c r="I21" s="1499"/>
    </row>
    <row r="22" spans="1:9" s="45" customFormat="1" ht="15.6" x14ac:dyDescent="0.3">
      <c r="A22" s="1798" t="s">
        <v>1778</v>
      </c>
      <c r="B22" s="1802" t="s">
        <v>643</v>
      </c>
      <c r="C22" s="2010" t="s">
        <v>31</v>
      </c>
      <c r="D22" s="1805">
        <f>'ТЕ_2ст_тариф_з ЦТП'!J19</f>
        <v>49.553309780062136</v>
      </c>
      <c r="E22" s="1805">
        <f>'ТЕ_2ст_тариф_з ЦТП'!M19</f>
        <v>9.6319999999999999E-3</v>
      </c>
      <c r="F22" s="1805">
        <f>'ТЕ_2ст_тариф_з ЦТП'!P19</f>
        <v>7.6155505000000003</v>
      </c>
      <c r="G22" s="1805">
        <f>'ТЕ_2ст_тариф_з ЦТП'!S19</f>
        <v>2.4960060699999995</v>
      </c>
      <c r="I22" s="1499"/>
    </row>
    <row r="23" spans="1:9" s="45" customFormat="1" ht="15.6" x14ac:dyDescent="0.3">
      <c r="A23" s="4906" t="s">
        <v>3061</v>
      </c>
      <c r="B23" s="4906"/>
      <c r="C23" s="4906"/>
      <c r="D23" s="4906"/>
      <c r="E23" s="4906"/>
      <c r="F23" s="4906"/>
      <c r="G23" s="4906"/>
      <c r="I23" s="1499"/>
    </row>
    <row r="24" spans="1:9" s="45" customFormat="1" ht="15.6" x14ac:dyDescent="0.3">
      <c r="A24" s="1798">
        <v>5</v>
      </c>
      <c r="B24" s="337" t="s">
        <v>2963</v>
      </c>
      <c r="C24" s="2010" t="s">
        <v>2286</v>
      </c>
      <c r="D24" s="1803">
        <f>'ТЕ_2ст_тариф_з ЦТП'!I37/D$16</f>
        <v>889.12343253867959</v>
      </c>
      <c r="E24" s="1803">
        <f>'ТЕ_2ст_тариф_з ЦТП'!L37/E$16</f>
        <v>1876.1334419091138</v>
      </c>
      <c r="F24" s="1803">
        <f>'ТЕ_2ст_тариф_з ЦТП'!O37/F$16</f>
        <v>1876.1334419091138</v>
      </c>
      <c r="G24" s="1803">
        <f>'ТЕ_2ст_тариф_з ЦТП'!R37/G$16</f>
        <v>1876.133441909114</v>
      </c>
      <c r="I24" s="1499"/>
    </row>
    <row r="25" spans="1:9" s="45" customFormat="1" ht="16.2" customHeight="1" x14ac:dyDescent="0.3">
      <c r="A25" s="1798" t="s">
        <v>1847</v>
      </c>
      <c r="B25" s="337" t="s">
        <v>216</v>
      </c>
      <c r="C25" s="2010" t="s">
        <v>2286</v>
      </c>
      <c r="D25" s="1803">
        <f>'ТЕ_2ст_тариф_з ЦТП'!I38/D$16</f>
        <v>889.12343253867959</v>
      </c>
      <c r="E25" s="1803">
        <f>'ТЕ_2ст_тариф_з ЦТП'!L38/E$16</f>
        <v>1876.1334419091138</v>
      </c>
      <c r="F25" s="1803">
        <f>'ТЕ_2ст_тариф_з ЦТП'!O38/F$16</f>
        <v>1876.1334419091138</v>
      </c>
      <c r="G25" s="1803">
        <f>'ТЕ_2ст_тариф_з ЦТП'!R38/G$16</f>
        <v>1876.133441909114</v>
      </c>
      <c r="I25" s="1499"/>
    </row>
    <row r="26" spans="1:9" s="45" customFormat="1" ht="14.4" customHeight="1" x14ac:dyDescent="0.3">
      <c r="A26" s="1813" t="s">
        <v>2880</v>
      </c>
      <c r="B26" s="147" t="s">
        <v>454</v>
      </c>
      <c r="C26" s="2010" t="s">
        <v>2286</v>
      </c>
      <c r="D26" s="1803">
        <f>'ТЕ_2ст_тариф_з ЦТП'!I39/D$16</f>
        <v>834.48969635856406</v>
      </c>
      <c r="E26" s="1803">
        <f>'ТЕ_2ст_тариф_з ЦТП'!L39/E$16</f>
        <v>1821.4997057289984</v>
      </c>
      <c r="F26" s="1803">
        <f>'ТЕ_2ст_тариф_з ЦТП'!O39/F$16</f>
        <v>1821.4997057289984</v>
      </c>
      <c r="G26" s="1803">
        <f>'ТЕ_2ст_тариф_з ЦТП'!R39/G$16</f>
        <v>1821.4997057289986</v>
      </c>
      <c r="I26" s="1499"/>
    </row>
    <row r="27" spans="1:9" s="45" customFormat="1" ht="13.2" customHeight="1" x14ac:dyDescent="0.3">
      <c r="A27" s="1798"/>
      <c r="B27" s="1797" t="s">
        <v>440</v>
      </c>
      <c r="C27" s="2010" t="s">
        <v>2286</v>
      </c>
      <c r="D27" s="1803">
        <f>'ТЕ_2ст_тариф_з ЦТП'!I40/D$16</f>
        <v>816.45600016595188</v>
      </c>
      <c r="E27" s="1803">
        <f>'ТЕ_2ст_тариф_з ЦТП'!L40/E$16</f>
        <v>1803.4660095363861</v>
      </c>
      <c r="F27" s="1803">
        <f>'ТЕ_2ст_тариф_з ЦТП'!O40/F$16</f>
        <v>1803.4660095363861</v>
      </c>
      <c r="G27" s="1803">
        <f>'ТЕ_2ст_тариф_з ЦТП'!R40/G$16</f>
        <v>1803.4660095363865</v>
      </c>
      <c r="I27" s="1499"/>
    </row>
    <row r="28" spans="1:9" s="45" customFormat="1" ht="15.6" x14ac:dyDescent="0.3">
      <c r="A28" s="1798"/>
      <c r="B28" s="1797" t="s">
        <v>1904</v>
      </c>
      <c r="C28" s="2010" t="s">
        <v>2286</v>
      </c>
      <c r="D28" s="1803">
        <f>'ТЕ_2ст_тариф_з ЦТП'!I41/D$16</f>
        <v>18.033696192612236</v>
      </c>
      <c r="E28" s="1803">
        <f>'ТЕ_2ст_тариф_з ЦТП'!L41/E$16</f>
        <v>18.033696192612236</v>
      </c>
      <c r="F28" s="1803">
        <f>'ТЕ_2ст_тариф_з ЦТП'!O41/F$16</f>
        <v>18.033696192612233</v>
      </c>
      <c r="G28" s="1803">
        <f>'ТЕ_2ст_тариф_з ЦТП'!R41/G$16</f>
        <v>18.03369619261224</v>
      </c>
      <c r="I28" s="1499"/>
    </row>
    <row r="29" spans="1:9" s="45" customFormat="1" ht="15.6" x14ac:dyDescent="0.3">
      <c r="A29" s="1798" t="s">
        <v>1849</v>
      </c>
      <c r="B29" s="147" t="s">
        <v>43</v>
      </c>
      <c r="C29" s="2010" t="s">
        <v>2286</v>
      </c>
      <c r="D29" s="1803">
        <f>'ТЕ_2ст_тариф_з ЦТП'!I43/D$16</f>
        <v>54.633736180115534</v>
      </c>
      <c r="E29" s="1803">
        <f>'ТЕ_2ст_тариф_з ЦТП'!L43/E$16</f>
        <v>54.633736180115527</v>
      </c>
      <c r="F29" s="1803">
        <f>'ТЕ_2ст_тариф_з ЦТП'!O43/F$16</f>
        <v>54.633736180115527</v>
      </c>
      <c r="G29" s="1803">
        <f>'ТЕ_2ст_тариф_з ЦТП'!R43/G$16</f>
        <v>54.633736180115534</v>
      </c>
      <c r="I29" s="1499"/>
    </row>
    <row r="30" spans="1:9" s="45" customFormat="1" ht="15.6" x14ac:dyDescent="0.3">
      <c r="A30" s="4906" t="s">
        <v>3062</v>
      </c>
      <c r="B30" s="4906"/>
      <c r="C30" s="4906"/>
      <c r="D30" s="4906"/>
      <c r="E30" s="4906"/>
      <c r="F30" s="4906"/>
      <c r="G30" s="4906"/>
      <c r="I30" s="1499"/>
    </row>
    <row r="31" spans="1:9" s="45" customFormat="1" ht="26.4" x14ac:dyDescent="0.3">
      <c r="A31" s="1798">
        <v>6</v>
      </c>
      <c r="B31" s="147" t="s">
        <v>2964</v>
      </c>
      <c r="C31" s="2010" t="s">
        <v>3058</v>
      </c>
      <c r="D31" s="1808">
        <f>'ТЕ_2ст_тариф_з ЦТП'!J76/D$20*1000/12</f>
        <v>54678.243989172748</v>
      </c>
      <c r="E31" s="1808">
        <f>'ТЕ_2ст_тариф_з ЦТП'!M76/E$20*1000/12</f>
        <v>60453.204509315598</v>
      </c>
      <c r="F31" s="1808">
        <f>'ТЕ_2ст_тариф_з ЦТП'!P76/F$20*1000/12</f>
        <v>60453.204509315598</v>
      </c>
      <c r="G31" s="1808">
        <f>'ТЕ_2ст_тариф_з ЦТП'!S76/G$20*1000/12</f>
        <v>60453.204509315576</v>
      </c>
      <c r="I31" s="1499"/>
    </row>
    <row r="32" spans="1:9" s="45" customFormat="1" ht="15.6" x14ac:dyDescent="0.3">
      <c r="A32" s="1798" t="s">
        <v>1853</v>
      </c>
      <c r="B32" s="337" t="s">
        <v>215</v>
      </c>
      <c r="C32" s="2009" t="s">
        <v>3060</v>
      </c>
      <c r="D32" s="1808">
        <f>'ТЕ_2ст_тариф_з ЦТП'!J37/D$20*1000/12</f>
        <v>39900.889675577782</v>
      </c>
      <c r="E32" s="1808">
        <f>'ТЕ_2ст_тариф_з ЦТП'!M37/E$20*1000/12</f>
        <v>39900.889675548191</v>
      </c>
      <c r="F32" s="1808">
        <f>'ТЕ_2ст_тариф_з ЦТП'!P37/F$20*1000/12</f>
        <v>39900.889675548191</v>
      </c>
      <c r="G32" s="1808">
        <f>'ТЕ_2ст_тариф_з ЦТП'!S37/G$20*1000/12</f>
        <v>39900.889675548176</v>
      </c>
      <c r="I32" s="1499"/>
    </row>
    <row r="33" spans="1:9" s="45" customFormat="1" ht="14.4" customHeight="1" x14ac:dyDescent="0.3">
      <c r="A33" s="1798" t="s">
        <v>2881</v>
      </c>
      <c r="B33" s="337" t="s">
        <v>216</v>
      </c>
      <c r="C33" s="2009" t="s">
        <v>3060</v>
      </c>
      <c r="D33" s="1808">
        <f>'ТЕ_2ст_тариф_з ЦТП'!J38/D$20*1000/12</f>
        <v>12345.839733709254</v>
      </c>
      <c r="E33" s="1808">
        <f>'ТЕ_2ст_тариф_з ЦТП'!M38/E$20*1000/12</f>
        <v>12345.839733708459</v>
      </c>
      <c r="F33" s="1808">
        <f>'ТЕ_2ст_тариф_з ЦТП'!P38/F$20*1000/12</f>
        <v>12345.839733708459</v>
      </c>
      <c r="G33" s="1808">
        <f>'ТЕ_2ст_тариф_з ЦТП'!S38/G$20*1000/12</f>
        <v>12345.839733708459</v>
      </c>
      <c r="I33" s="1499"/>
    </row>
    <row r="34" spans="1:9" s="45" customFormat="1" ht="15.6" x14ac:dyDescent="0.3">
      <c r="A34" s="1798"/>
      <c r="B34" s="147" t="s">
        <v>454</v>
      </c>
      <c r="C34" s="2009" t="s">
        <v>3060</v>
      </c>
      <c r="D34" s="1808">
        <f>'ТЕ_2ст_тариф_з ЦТП'!J39/D$20*1000/12</f>
        <v>11581.902435319133</v>
      </c>
      <c r="E34" s="1808">
        <f>'ТЕ_2ст_тариф_з ЦТП'!M39/E$20*1000/12</f>
        <v>11581.902435319133</v>
      </c>
      <c r="F34" s="1808">
        <f>'ТЕ_2ст_тариф_з ЦТП'!P39/F$20*1000/12</f>
        <v>11581.902435319133</v>
      </c>
      <c r="G34" s="1808">
        <f>'ТЕ_2ст_тариф_з ЦТП'!S39/G$20*1000/12</f>
        <v>11581.902435319133</v>
      </c>
      <c r="I34" s="1499"/>
    </row>
    <row r="35" spans="1:9" s="45" customFormat="1" ht="15.6" x14ac:dyDescent="0.3">
      <c r="A35" s="1798"/>
      <c r="B35" s="147" t="s">
        <v>1905</v>
      </c>
      <c r="C35" s="2009" t="s">
        <v>3060</v>
      </c>
      <c r="D35" s="1808">
        <f>'ТЕ_2ст_тариф_з ЦТП'!J42/D$20*1000/12</f>
        <v>11581.902435319133</v>
      </c>
      <c r="E35" s="1808">
        <f>'ТЕ_2ст_тариф_з ЦТП'!M42/E$20*1000/12</f>
        <v>11581.902435319133</v>
      </c>
      <c r="F35" s="1808">
        <f>'ТЕ_2ст_тариф_з ЦТП'!P42/F$20*1000/12</f>
        <v>11581.902435319133</v>
      </c>
      <c r="G35" s="1808">
        <f>'ТЕ_2ст_тариф_з ЦТП'!S42/G$20*1000/12</f>
        <v>11581.902435319133</v>
      </c>
      <c r="I35" s="1499"/>
    </row>
    <row r="36" spans="1:9" s="45" customFormat="1" ht="26.4" x14ac:dyDescent="0.3">
      <c r="A36" s="1798" t="s">
        <v>2882</v>
      </c>
      <c r="B36" s="337" t="s">
        <v>1689</v>
      </c>
      <c r="C36" s="2009" t="s">
        <v>3060</v>
      </c>
      <c r="D36" s="1808">
        <f>'ТЕ_2ст_тариф_з ЦТП'!J47/D$20*1000/12</f>
        <v>38.776394808818559</v>
      </c>
      <c r="E36" s="1808">
        <f>'ТЕ_2ст_тариф_з ЦТП'!M47/E$20*1000/12</f>
        <v>38.776394808778043</v>
      </c>
      <c r="F36" s="1808">
        <f>'ТЕ_2ст_тариф_з ЦТП'!P47/F$20*1000/12</f>
        <v>38.776394808778036</v>
      </c>
      <c r="G36" s="1808">
        <f>'ТЕ_2ст_тариф_з ЦТП'!S47/G$20*1000/12</f>
        <v>38.776394808778029</v>
      </c>
      <c r="I36" s="1499"/>
    </row>
    <row r="37" spans="1:9" s="45" customFormat="1" ht="15.6" x14ac:dyDescent="0.3">
      <c r="A37" s="1798" t="s">
        <v>2883</v>
      </c>
      <c r="B37" s="337" t="s">
        <v>610</v>
      </c>
      <c r="C37" s="2009" t="s">
        <v>3060</v>
      </c>
      <c r="D37" s="1808">
        <f>'ТЕ_2ст_тариф_з ЦТП'!J48/D$20*1000/12</f>
        <v>725.16090358130612</v>
      </c>
      <c r="E37" s="1808">
        <f>'ТЕ_2ст_тариф_з ЦТП'!M48/E$20*1000/12</f>
        <v>725.16090358054828</v>
      </c>
      <c r="F37" s="1808">
        <f>'ТЕ_2ст_тариф_з ЦТП'!P48/F$20*1000/12</f>
        <v>725.16090358054851</v>
      </c>
      <c r="G37" s="1808">
        <f>'ТЕ_2ст_тариф_з ЦТП'!S48/G$20*1000/12</f>
        <v>725.16090358054817</v>
      </c>
      <c r="I37" s="1499"/>
    </row>
    <row r="38" spans="1:9" s="45" customFormat="1" ht="15.6" x14ac:dyDescent="0.3">
      <c r="A38" s="1798" t="s">
        <v>1855</v>
      </c>
      <c r="B38" s="337" t="s">
        <v>47</v>
      </c>
      <c r="C38" s="2009" t="s">
        <v>3060</v>
      </c>
      <c r="D38" s="1808">
        <f>'ТЕ_2ст_тариф_з ЦТП'!J49/D$20*1000/12</f>
        <v>13070.144791286863</v>
      </c>
      <c r="E38" s="1808">
        <f>'ТЕ_2ст_тариф_з ЦТП'!M49/E$20*1000/12</f>
        <v>13070.144791273206</v>
      </c>
      <c r="F38" s="1808">
        <f>'ТЕ_2ст_тариф_з ЦТП'!P49/F$20*1000/12</f>
        <v>13070.144791273204</v>
      </c>
      <c r="G38" s="1808">
        <f>'ТЕ_2ст_тариф_з ЦТП'!S49/G$20*1000/12</f>
        <v>13070.144791273204</v>
      </c>
      <c r="I38" s="1499"/>
    </row>
    <row r="39" spans="1:9" s="45" customFormat="1" ht="15.6" x14ac:dyDescent="0.3">
      <c r="A39" s="1798" t="s">
        <v>2539</v>
      </c>
      <c r="B39" s="337" t="s">
        <v>217</v>
      </c>
      <c r="C39" s="2009" t="s">
        <v>3060</v>
      </c>
      <c r="D39" s="1808">
        <f>'ТЕ_2ст_тариф_з ЦТП'!J50/D$20*1000/12</f>
        <v>8419.746090909719</v>
      </c>
      <c r="E39" s="1808">
        <f>'ТЕ_2ст_тариф_з ЦТП'!M50/E$20*1000/12</f>
        <v>8419.7460909009205</v>
      </c>
      <c r="F39" s="1808">
        <f>'ТЕ_2ст_тариф_з ЦТП'!P50/F$20*1000/12</f>
        <v>8419.7460909009224</v>
      </c>
      <c r="G39" s="1808">
        <f>'ТЕ_2ст_тариф_з ЦТП'!S50/G$20*1000/12</f>
        <v>8419.7460909009187</v>
      </c>
      <c r="I39" s="1499"/>
    </row>
    <row r="40" spans="1:9" s="45" customFormat="1" ht="26.4" x14ac:dyDescent="0.3">
      <c r="A40" s="1798" t="s">
        <v>2884</v>
      </c>
      <c r="B40" s="147" t="s">
        <v>452</v>
      </c>
      <c r="C40" s="2009" t="s">
        <v>3060</v>
      </c>
      <c r="D40" s="1808">
        <f>'ТЕ_2ст_тариф_з ЦТП'!J51/D$20*1000/12</f>
        <v>2875.4318540831096</v>
      </c>
      <c r="E40" s="1808">
        <f>'ТЕ_2ст_тариф_з ЦТП'!M51/E$20*1000/12</f>
        <v>2875.4318540801046</v>
      </c>
      <c r="F40" s="1808">
        <f>'ТЕ_2ст_тариф_з ЦТП'!P51/F$20*1000/12</f>
        <v>2875.4318540801046</v>
      </c>
      <c r="G40" s="1808">
        <f>'ТЕ_2ст_тариф_з ЦТП'!S51/G$20*1000/12</f>
        <v>2875.4318540801037</v>
      </c>
      <c r="I40" s="1499"/>
    </row>
    <row r="41" spans="1:9" s="45" customFormat="1" ht="15.6" x14ac:dyDescent="0.3">
      <c r="A41" s="1798" t="s">
        <v>2885</v>
      </c>
      <c r="B41" s="147" t="s">
        <v>453</v>
      </c>
      <c r="C41" s="2009" t="s">
        <v>3060</v>
      </c>
      <c r="D41" s="1808">
        <f>'ТЕ_2ст_тариф_з ЦТП'!J52/D$20*1000/12</f>
        <v>2471.0643711521288</v>
      </c>
      <c r="E41" s="1808">
        <f>'ТЕ_2ст_тариф_з ЦТП'!M52/E$20*1000/12</f>
        <v>2471.0643711495463</v>
      </c>
      <c r="F41" s="1808">
        <f>'ТЕ_2ст_тариф_з ЦТП'!P52/F$20*1000/12</f>
        <v>2471.0643711495468</v>
      </c>
      <c r="G41" s="1808">
        <f>'ТЕ_2ст_тариф_з ЦТП'!S52/G$20*1000/12</f>
        <v>2471.0643711495463</v>
      </c>
      <c r="I41" s="1499"/>
    </row>
    <row r="42" spans="1:9" s="45" customFormat="1" ht="15.6" x14ac:dyDescent="0.3">
      <c r="A42" s="1798" t="s">
        <v>2886</v>
      </c>
      <c r="B42" s="147" t="s">
        <v>52</v>
      </c>
      <c r="C42" s="2009" t="s">
        <v>3060</v>
      </c>
      <c r="D42" s="1808">
        <f>'ТЕ_2ст_тариф_з ЦТП'!J53/D$20*1000/12</f>
        <v>3073.2498656744833</v>
      </c>
      <c r="E42" s="1808">
        <f>'ТЕ_2ст_тариф_з ЦТП'!M53/E$20*1000/12</f>
        <v>3073.2498656712719</v>
      </c>
      <c r="F42" s="1808">
        <f>'ТЕ_2ст_тариф_з ЦТП'!P53/F$20*1000/12</f>
        <v>3073.2498656712719</v>
      </c>
      <c r="G42" s="1808">
        <f>'ТЕ_2ст_тариф_з ЦТП'!S53/G$20*1000/12</f>
        <v>3073.249865671271</v>
      </c>
      <c r="I42" s="1499"/>
    </row>
    <row r="43" spans="1:9" s="45" customFormat="1" ht="15.6" x14ac:dyDescent="0.3">
      <c r="A43" s="1798" t="s">
        <v>2887</v>
      </c>
      <c r="B43" s="147" t="s">
        <v>218</v>
      </c>
      <c r="C43" s="2009" t="s">
        <v>3060</v>
      </c>
      <c r="D43" s="1808">
        <f>'ТЕ_2ст_тариф_з ЦТП'!J54/D$20*1000/12</f>
        <v>6065.1590596719434</v>
      </c>
      <c r="E43" s="1808">
        <f>'ТЕ_2ст_тариф_з ЦТП'!M54/E$20*1000/12</f>
        <v>6065.1590596656069</v>
      </c>
      <c r="F43" s="1808">
        <f>'ТЕ_2ст_тариф_з ЦТП'!P54/F$20*1000/12</f>
        <v>6065.1590596656069</v>
      </c>
      <c r="G43" s="1808">
        <f>'ТЕ_2ст_тариф_з ЦТП'!S54/G$20*1000/12</f>
        <v>6065.159059665606</v>
      </c>
      <c r="I43" s="1499"/>
    </row>
    <row r="44" spans="1:9" s="45" customFormat="1" ht="15.6" x14ac:dyDescent="0.3">
      <c r="A44" s="1798" t="s">
        <v>2888</v>
      </c>
      <c r="B44" s="147" t="s">
        <v>55</v>
      </c>
      <c r="C44" s="2009" t="s">
        <v>3060</v>
      </c>
      <c r="D44" s="1808">
        <f>'ТЕ_2ст_тариф_з ЦТП'!J55/D$20*1000/12</f>
        <v>4634.5435098456674</v>
      </c>
      <c r="E44" s="1808">
        <f>'ТЕ_2ст_тариф_з ЦТП'!M55/E$20*1000/12</f>
        <v>4634.5435098408252</v>
      </c>
      <c r="F44" s="1808">
        <f>'ТЕ_2ст_тариф_з ЦТП'!P55/F$20*1000/12</f>
        <v>4634.5435098408252</v>
      </c>
      <c r="G44" s="1808">
        <f>'ТЕ_2ст_тариф_з ЦТП'!S55/G$20*1000/12</f>
        <v>4634.5435098408243</v>
      </c>
      <c r="I44" s="1499"/>
    </row>
    <row r="45" spans="1:9" s="45" customFormat="1" ht="26.4" x14ac:dyDescent="0.3">
      <c r="A45" s="1798" t="s">
        <v>2889</v>
      </c>
      <c r="B45" s="147" t="s">
        <v>452</v>
      </c>
      <c r="C45" s="2009" t="s">
        <v>3060</v>
      </c>
      <c r="D45" s="1808">
        <f>'ТЕ_2ст_тариф_з ЦТП'!J56/D$20*1000/12</f>
        <v>989.25505326845257</v>
      </c>
      <c r="E45" s="1808">
        <f>'ТЕ_2ст_тариф_з ЦТП'!M56/E$20*1000/12</f>
        <v>989.2550532674187</v>
      </c>
      <c r="F45" s="1808">
        <f>'ТЕ_2ст_тариф_з ЦТП'!P56/F$20*1000/12</f>
        <v>989.25505326741893</v>
      </c>
      <c r="G45" s="1808">
        <f>'ТЕ_2ст_тариф_з ЦТП'!S56/G$20*1000/12</f>
        <v>989.25505326741859</v>
      </c>
      <c r="I45" s="1499"/>
    </row>
    <row r="46" spans="1:9" s="45" customFormat="1" ht="15.6" x14ac:dyDescent="0.3">
      <c r="A46" s="1798" t="s">
        <v>2890</v>
      </c>
      <c r="B46" s="147" t="s">
        <v>58</v>
      </c>
      <c r="C46" s="2009" t="s">
        <v>3060</v>
      </c>
      <c r="D46" s="1808">
        <f>'ТЕ_2ст_тариф_з ЦТП'!J57/D$20*1000/12</f>
        <v>441.36049655782426</v>
      </c>
      <c r="E46" s="1808">
        <f>'ТЕ_2ст_тариф_з ЦТП'!M57/E$20*1000/12</f>
        <v>441.36049655736309</v>
      </c>
      <c r="F46" s="1808">
        <f>'ТЕ_2ст_тариф_з ЦТП'!P57/F$20*1000/12</f>
        <v>441.36049655736309</v>
      </c>
      <c r="G46" s="1808">
        <f>'ТЕ_2ст_тариф_з ЦТП'!S57/G$20*1000/12</f>
        <v>441.36049655736298</v>
      </c>
      <c r="I46" s="1499"/>
    </row>
    <row r="47" spans="1:9" s="45" customFormat="1" ht="15.6" x14ac:dyDescent="0.3">
      <c r="A47" s="1798">
        <v>7</v>
      </c>
      <c r="B47" s="147" t="s">
        <v>219</v>
      </c>
      <c r="C47" s="2009" t="s">
        <v>3060</v>
      </c>
      <c r="D47" s="1808">
        <f>'ТЕ_2ст_тариф_з ЦТП'!J58/D$20*1000/12</f>
        <v>7373.6169467997343</v>
      </c>
      <c r="E47" s="1808">
        <f>'ТЕ_2ст_тариф_з ЦТП'!M58/E$20*1000/12</f>
        <v>7373.6169467920299</v>
      </c>
      <c r="F47" s="1808">
        <f>'ТЕ_2ст_тариф_з ЦТП'!P58/F$20*1000/12</f>
        <v>7373.6169467920308</v>
      </c>
      <c r="G47" s="1808">
        <f>'ТЕ_2ст_тариф_з ЦТП'!S58/G$20*1000/12</f>
        <v>7373.616946792029</v>
      </c>
      <c r="I47" s="1499"/>
    </row>
    <row r="48" spans="1:9" s="45" customFormat="1" ht="15.6" x14ac:dyDescent="0.3">
      <c r="A48" s="1798" t="s">
        <v>1029</v>
      </c>
      <c r="B48" s="147" t="s">
        <v>55</v>
      </c>
      <c r="C48" s="2009" t="s">
        <v>3060</v>
      </c>
      <c r="D48" s="1808">
        <f>'ТЕ_2ст_тариф_з ЦТП'!J59/D$20*1000/12</f>
        <v>5521.8372596453919</v>
      </c>
      <c r="E48" s="1808">
        <f>'ТЕ_2ст_тариф_з ЦТП'!M59/E$20*1000/12</f>
        <v>5521.8372596396221</v>
      </c>
      <c r="F48" s="1808">
        <f>'ТЕ_2ст_тариф_з ЦТП'!P59/F$20*1000/12</f>
        <v>5521.8372596396221</v>
      </c>
      <c r="G48" s="1808">
        <f>'ТЕ_2ст_тариф_з ЦТП'!S59/G$20*1000/12</f>
        <v>5521.8372596396221</v>
      </c>
      <c r="I48" s="1499"/>
    </row>
    <row r="49" spans="1:9" s="45" customFormat="1" ht="26.4" x14ac:dyDescent="0.3">
      <c r="A49" s="1798" t="s">
        <v>2793</v>
      </c>
      <c r="B49" s="147" t="s">
        <v>452</v>
      </c>
      <c r="C49" s="2009" t="s">
        <v>3060</v>
      </c>
      <c r="D49" s="1808">
        <f>'ТЕ_2ст_тариф_з ЦТП'!J60/D$20*1000/12</f>
        <v>1214.8041971219864</v>
      </c>
      <c r="E49" s="1808">
        <f>'ТЕ_2ст_тариф_з ЦТП'!M60/E$20*1000/12</f>
        <v>1214.8041971207169</v>
      </c>
      <c r="F49" s="1808">
        <f>'ТЕ_2ст_тариф_з ЦТП'!P60/F$20*1000/12</f>
        <v>1214.8041971207172</v>
      </c>
      <c r="G49" s="1808">
        <f>'ТЕ_2ст_тариф_з ЦТП'!S60/G$20*1000/12</f>
        <v>1214.8041971207167</v>
      </c>
      <c r="I49" s="1499"/>
    </row>
    <row r="50" spans="1:9" s="45" customFormat="1" ht="15.6" x14ac:dyDescent="0.3">
      <c r="A50" s="1798" t="s">
        <v>2794</v>
      </c>
      <c r="B50" s="147" t="s">
        <v>58</v>
      </c>
      <c r="C50" s="2009" t="s">
        <v>3060</v>
      </c>
      <c r="D50" s="1808">
        <f>'ТЕ_2ст_тариф_з ЦТП'!J61/D$20*1000/12</f>
        <v>636.97549003235565</v>
      </c>
      <c r="E50" s="1808">
        <f>'ТЕ_2ст_тариф_з ЦТП'!M61/E$20*1000/12</f>
        <v>636.97549003169013</v>
      </c>
      <c r="F50" s="1808">
        <f>'ТЕ_2ст_тариф_з ЦТП'!P61/F$20*1000/12</f>
        <v>636.97549003169013</v>
      </c>
      <c r="G50" s="1808">
        <f>'ТЕ_2ст_тариф_з ЦТП'!S61/G$20*1000/12</f>
        <v>636.9754900316899</v>
      </c>
      <c r="I50" s="1499"/>
    </row>
    <row r="51" spans="1:9" s="45" customFormat="1" ht="15.6" x14ac:dyDescent="0.3">
      <c r="A51" s="1798">
        <v>8</v>
      </c>
      <c r="B51" s="147" t="s">
        <v>5</v>
      </c>
      <c r="C51" s="2009" t="s">
        <v>3060</v>
      </c>
      <c r="D51" s="1808">
        <f>'ТЕ_2ст_тариф_з ЦТП'!J67/D$20*1000/12</f>
        <v>0</v>
      </c>
      <c r="E51" s="1808">
        <f>'ТЕ_2ст_тариф_з ЦТП'!M67/E$20*1000/12</f>
        <v>0</v>
      </c>
      <c r="F51" s="1808">
        <f>'ТЕ_2ст_тариф_з ЦТП'!P67/F$20*1000/12</f>
        <v>0</v>
      </c>
      <c r="G51" s="1808">
        <f>'ТЕ_2ст_тариф_з ЦТП'!S67/G$20*1000/12</f>
        <v>0</v>
      </c>
      <c r="I51" s="1499"/>
    </row>
    <row r="52" spans="1:9" s="45" customFormat="1" ht="15.6" x14ac:dyDescent="0.3">
      <c r="A52" s="1798">
        <v>9</v>
      </c>
      <c r="B52" s="147" t="s">
        <v>176</v>
      </c>
      <c r="C52" s="2009" t="s">
        <v>3060</v>
      </c>
      <c r="D52" s="1808">
        <f>'ТЕ_2ст_тариф_з ЦТП'!J68/D$20*1000/12</f>
        <v>47274.506622377514</v>
      </c>
      <c r="E52" s="1808">
        <f>'ТЕ_2ст_тариф_з ЦТП'!M68/E$20*1000/12</f>
        <v>47274.506622340232</v>
      </c>
      <c r="F52" s="1808">
        <f>'ТЕ_2ст_тариф_з ЦТП'!P68/F$20*1000/12</f>
        <v>47274.506622340232</v>
      </c>
      <c r="G52" s="1808">
        <f>'ТЕ_2ст_тариф_з ЦТП'!S68/G$20*1000/12</f>
        <v>47274.50662234021</v>
      </c>
      <c r="I52" s="1499"/>
    </row>
    <row r="53" spans="1:9" s="45" customFormat="1" ht="16.2" customHeight="1" x14ac:dyDescent="0.3">
      <c r="A53" s="1798">
        <v>10</v>
      </c>
      <c r="B53" s="147" t="s">
        <v>221</v>
      </c>
      <c r="C53" s="2009" t="s">
        <v>3060</v>
      </c>
      <c r="D53" s="1808">
        <v>0</v>
      </c>
      <c r="E53" s="1808">
        <v>0</v>
      </c>
      <c r="F53" s="1808">
        <v>0</v>
      </c>
      <c r="G53" s="1808">
        <v>0</v>
      </c>
      <c r="I53" s="1499"/>
    </row>
    <row r="54" spans="1:9" s="45" customFormat="1" ht="15.6" x14ac:dyDescent="0.3">
      <c r="A54" s="1798">
        <v>11</v>
      </c>
      <c r="B54" s="147" t="s">
        <v>2879</v>
      </c>
      <c r="C54" s="2009" t="s">
        <v>3060</v>
      </c>
      <c r="D54" s="1808">
        <f>'ТЕ_2ст_тариф_з ЦТП'!J69/D$20*1000/12</f>
        <v>0</v>
      </c>
      <c r="E54" s="1808">
        <f>'ТЕ_2ст_тариф_з ЦТП'!M69/E$20*1000/12</f>
        <v>0</v>
      </c>
      <c r="F54" s="1808">
        <f>'ТЕ_2ст_тариф_з ЦТП'!P69/F$20*1000/12</f>
        <v>0</v>
      </c>
      <c r="G54" s="1808">
        <f>'ТЕ_2ст_тариф_з ЦТП'!S69/G$20*1000/12</f>
        <v>0</v>
      </c>
      <c r="I54" s="1499"/>
    </row>
    <row r="55" spans="1:9" s="45" customFormat="1" ht="15.6" x14ac:dyDescent="0.3">
      <c r="A55" s="1798">
        <v>12</v>
      </c>
      <c r="B55" s="1506" t="s">
        <v>222</v>
      </c>
      <c r="C55" s="2009" t="s">
        <v>3060</v>
      </c>
      <c r="D55" s="1808">
        <f>'ТЕ_2ст_тариф_з ЦТП'!J70/D$20*1000/12</f>
        <v>7403.7373667952343</v>
      </c>
      <c r="E55" s="1808">
        <f>'ТЕ_2ст_тариф_з ЦТП'!M70/E$20*1000/12</f>
        <v>13178.697886975368</v>
      </c>
      <c r="F55" s="1808">
        <f>'ТЕ_2ст_тариф_з ЦТП'!P70/F$20*1000/12</f>
        <v>13178.697886975366</v>
      </c>
      <c r="G55" s="1808">
        <f>'ТЕ_2ст_тариф_з ЦТП'!S70/G$20*1000/12</f>
        <v>13178.697886975368</v>
      </c>
      <c r="I55" s="1499"/>
    </row>
    <row r="56" spans="1:9" s="45" customFormat="1" ht="15.6" x14ac:dyDescent="0.3">
      <c r="A56" s="1798" t="s">
        <v>2891</v>
      </c>
      <c r="B56" s="147" t="s">
        <v>2897</v>
      </c>
      <c r="C56" s="2009" t="s">
        <v>3060</v>
      </c>
      <c r="D56" s="1808">
        <f>'ТЕ_2ст_тариф_з ЦТП'!J71/D$20*1000/12</f>
        <v>1332.6727260231419</v>
      </c>
      <c r="E56" s="1808">
        <f>'ТЕ_2ст_тариф_з ЦТП'!M71/E$20*1000/12</f>
        <v>2372.1656196555664</v>
      </c>
      <c r="F56" s="1808">
        <f>'ТЕ_2ст_тариф_з ЦТП'!P71/F$20*1000/12</f>
        <v>2372.1656196555655</v>
      </c>
      <c r="G56" s="1808">
        <f>'ТЕ_2ст_тариф_з ЦТП'!S71/G$20*1000/12</f>
        <v>2372.1656196555659</v>
      </c>
      <c r="I56" s="1499"/>
    </row>
    <row r="57" spans="1:9" s="45" customFormat="1" ht="15.6" x14ac:dyDescent="0.3">
      <c r="A57" s="1798" t="s">
        <v>2892</v>
      </c>
      <c r="B57" s="147" t="s">
        <v>67</v>
      </c>
      <c r="C57" s="2009" t="s">
        <v>3060</v>
      </c>
      <c r="D57" s="1808">
        <f>'ТЕ_2ст_тариф_з ЦТП'!J72/D$20*1000/12</f>
        <v>0</v>
      </c>
      <c r="E57" s="1808">
        <f>'ТЕ_2ст_тариф_з ЦТП'!M72/E$20*1000/12</f>
        <v>0</v>
      </c>
      <c r="F57" s="1808">
        <f>'ТЕ_2ст_тариф_з ЦТП'!P72/F$20*1000/12</f>
        <v>0</v>
      </c>
      <c r="G57" s="1808">
        <f>'ТЕ_2ст_тариф_з ЦТП'!S72/G$20*1000/12</f>
        <v>0</v>
      </c>
      <c r="I57" s="1499"/>
    </row>
    <row r="58" spans="1:9" s="45" customFormat="1" ht="15.6" x14ac:dyDescent="0.3">
      <c r="A58" s="1798" t="s">
        <v>2893</v>
      </c>
      <c r="B58" s="147" t="s">
        <v>69</v>
      </c>
      <c r="C58" s="2009" t="s">
        <v>3060</v>
      </c>
      <c r="D58" s="1808">
        <f>'ТЕ_2ст_тариф_з ЦТП'!J73/D$20*1000/12</f>
        <v>0</v>
      </c>
      <c r="E58" s="1808">
        <f>'ТЕ_2ст_тариф_з ЦТП'!M73/E$20*1000/12</f>
        <v>0</v>
      </c>
      <c r="F58" s="1808">
        <f>'ТЕ_2ст_тариф_з ЦТП'!P73/F$20*1000/12</f>
        <v>0</v>
      </c>
      <c r="G58" s="1808">
        <f>'ТЕ_2ст_тариф_з ЦТП'!S73/G$20*1000/12</f>
        <v>0</v>
      </c>
      <c r="I58" s="1499"/>
    </row>
    <row r="59" spans="1:9" s="45" customFormat="1" ht="15.6" x14ac:dyDescent="0.3">
      <c r="A59" s="1798" t="s">
        <v>2894</v>
      </c>
      <c r="B59" s="147" t="s">
        <v>2898</v>
      </c>
      <c r="C59" s="2009" t="s">
        <v>3060</v>
      </c>
      <c r="D59" s="1808">
        <f>'ТЕ_2ст_тариф_з ЦТП'!J74/D$20*1000/12</f>
        <v>0</v>
      </c>
      <c r="E59" s="1808">
        <f>'ТЕ_2ст_тариф_з ЦТП'!M74/E$20*1000/12</f>
        <v>0</v>
      </c>
      <c r="F59" s="1808">
        <f>'ТЕ_2ст_тариф_з ЦТП'!P74/F$20*1000/12</f>
        <v>0</v>
      </c>
      <c r="G59" s="1808">
        <f>'ТЕ_2ст_тариф_з ЦТП'!S74/G$20*1000/12</f>
        <v>0</v>
      </c>
      <c r="I59" s="1499"/>
    </row>
    <row r="60" spans="1:9" s="45" customFormat="1" ht="15.6" x14ac:dyDescent="0.3">
      <c r="A60" s="1798" t="s">
        <v>2895</v>
      </c>
      <c r="B60" s="147" t="s">
        <v>2899</v>
      </c>
      <c r="C60" s="2009" t="s">
        <v>3060</v>
      </c>
      <c r="D60" s="1808">
        <f>'ТЕ_2ст_тариф_з ЦТП'!J75/D$20*1000/12</f>
        <v>6071.0646407720924</v>
      </c>
      <c r="E60" s="1808">
        <f>'ТЕ_2ст_тариф_з ЦТП'!M75/E$20*1000/12</f>
        <v>10806.532267319802</v>
      </c>
      <c r="F60" s="1808">
        <f>'ТЕ_2ст_тариф_з ЦТП'!P75/F$20*1000/12</f>
        <v>10806.532267319802</v>
      </c>
      <c r="G60" s="1808">
        <f>'ТЕ_2ст_тариф_з ЦТП'!S75/G$20*1000/12</f>
        <v>10806.532267319802</v>
      </c>
      <c r="I60" s="1499"/>
    </row>
    <row r="61" spans="1:9" s="45" customFormat="1" ht="15.6" x14ac:dyDescent="0.3">
      <c r="A61" s="5473" t="s">
        <v>3063</v>
      </c>
      <c r="B61" s="5473"/>
      <c r="C61" s="5473"/>
      <c r="D61" s="5473"/>
      <c r="E61" s="5473"/>
      <c r="F61" s="5473"/>
      <c r="G61" s="5473"/>
      <c r="I61" s="1499"/>
    </row>
    <row r="62" spans="1:9" s="45" customFormat="1" ht="15.6" x14ac:dyDescent="0.3">
      <c r="A62" s="1798" t="s">
        <v>1871</v>
      </c>
      <c r="B62" s="337" t="s">
        <v>2963</v>
      </c>
      <c r="C62" s="2010" t="s">
        <v>2286</v>
      </c>
      <c r="D62" s="1803">
        <f>'ТЕ_2ст_тариф_з ЦТП'!I86/D$18</f>
        <v>254.12664028823843</v>
      </c>
      <c r="E62" s="1803" t="e">
        <f>'ТЕ_2ст_тариф_з ЦТП'!L86/E$18</f>
        <v>#DIV/0!</v>
      </c>
      <c r="F62" s="1803">
        <f>'ТЕ_2ст_тариф_з ЦТП'!O86/F$18</f>
        <v>254.12664028823846</v>
      </c>
      <c r="G62" s="1803">
        <f>'ТЕ_2ст_тариф_з ЦТП'!R86/G$18</f>
        <v>254.12664028823843</v>
      </c>
      <c r="I62" s="1499"/>
    </row>
    <row r="63" spans="1:9" s="45" customFormat="1" ht="14.4" customHeight="1" x14ac:dyDescent="0.3">
      <c r="A63" s="1798" t="s">
        <v>2901</v>
      </c>
      <c r="B63" s="337" t="s">
        <v>216</v>
      </c>
      <c r="C63" s="2010" t="s">
        <v>2286</v>
      </c>
      <c r="D63" s="1803">
        <f>'ТЕ_2ст_тариф_з ЦТП'!I87/D$18</f>
        <v>254.12664028823843</v>
      </c>
      <c r="E63" s="1803" t="e">
        <f>'ТЕ_2ст_тариф_з ЦТП'!L87/E$18</f>
        <v>#DIV/0!</v>
      </c>
      <c r="F63" s="1803">
        <f>'ТЕ_2ст_тариф_з ЦТП'!O87/F$18</f>
        <v>254.12664028823846</v>
      </c>
      <c r="G63" s="1803">
        <f>'ТЕ_2ст_тариф_з ЦТП'!R87/G$18</f>
        <v>254.12664028823843</v>
      </c>
      <c r="I63" s="1499"/>
    </row>
    <row r="64" spans="1:9" s="45" customFormat="1" ht="15.6" x14ac:dyDescent="0.3">
      <c r="A64" s="1798" t="s">
        <v>2902</v>
      </c>
      <c r="B64" s="337" t="s">
        <v>43</v>
      </c>
      <c r="C64" s="2010" t="s">
        <v>2286</v>
      </c>
      <c r="D64" s="1803">
        <f>'ТЕ_2ст_тариф_з ЦТП'!I88/D$18</f>
        <v>254.12664028823843</v>
      </c>
      <c r="E64" s="1803" t="e">
        <f>'ТЕ_2ст_тариф_з ЦТП'!L88/E$18</f>
        <v>#DIV/0!</v>
      </c>
      <c r="F64" s="1803">
        <f>'ТЕ_2ст_тариф_з ЦТП'!O88/F$18</f>
        <v>254.12664028823846</v>
      </c>
      <c r="G64" s="1803">
        <f>'ТЕ_2ст_тариф_з ЦТП'!R88/G$18</f>
        <v>254.12664028823843</v>
      </c>
      <c r="I64" s="1499"/>
    </row>
    <row r="65" spans="1:9" s="45" customFormat="1" ht="15.6" x14ac:dyDescent="0.3">
      <c r="A65" s="4906" t="s">
        <v>3064</v>
      </c>
      <c r="B65" s="4906"/>
      <c r="C65" s="4906"/>
      <c r="D65" s="4906"/>
      <c r="E65" s="4906"/>
      <c r="F65" s="4906"/>
      <c r="G65" s="4906"/>
      <c r="I65" s="1499"/>
    </row>
    <row r="66" spans="1:9" s="45" customFormat="1" ht="26.4" x14ac:dyDescent="0.3">
      <c r="A66" s="1798">
        <v>14</v>
      </c>
      <c r="B66" s="147" t="s">
        <v>2965</v>
      </c>
      <c r="C66" s="2010" t="s">
        <v>3058</v>
      </c>
      <c r="D66" s="1808">
        <f>'ТЕ_2ст_тариф_з ЦТП'!J120/D$21*1000/12</f>
        <v>75068.476464111271</v>
      </c>
      <c r="E66" s="1808" t="e">
        <f>'ТЕ_2ст_тариф_з ЦТП'!M120/E$21*1000/12</f>
        <v>#DIV/0!</v>
      </c>
      <c r="F66" s="1808">
        <f>'ТЕ_2ст_тариф_з ЦТП'!P120/F$21*1000/12</f>
        <v>87986.954131146078</v>
      </c>
      <c r="G66" s="1808">
        <f>'ТЕ_2ст_тариф_з ЦТП'!S120/G$21*1000/12</f>
        <v>87986.954131146078</v>
      </c>
      <c r="I66" s="1499"/>
    </row>
    <row r="67" spans="1:9" s="45" customFormat="1" ht="15.6" x14ac:dyDescent="0.3">
      <c r="A67" s="1820" t="s">
        <v>193</v>
      </c>
      <c r="B67" s="337" t="s">
        <v>215</v>
      </c>
      <c r="C67" s="2009" t="s">
        <v>3060</v>
      </c>
      <c r="D67" s="1808">
        <f>'ТЕ_2ст_тариф_з ЦТП'!J86/D$21*1000/12</f>
        <v>66839.858772710591</v>
      </c>
      <c r="E67" s="1808" t="e">
        <f>'ТЕ_2ст_тариф_з ЦТП'!M86/E$21*1000/12</f>
        <v>#DIV/0!</v>
      </c>
      <c r="F67" s="1808">
        <f>'ТЕ_2ст_тариф_з ЦТП'!P86/F$21*1000/12</f>
        <v>79186.169956580576</v>
      </c>
      <c r="G67" s="1808">
        <f>'ТЕ_2ст_тариф_з ЦТП'!S86/G$21*1000/12</f>
        <v>79186.169956580605</v>
      </c>
      <c r="I67" s="1499"/>
    </row>
    <row r="68" spans="1:9" s="45" customFormat="1" ht="16.2" customHeight="1" x14ac:dyDescent="0.3">
      <c r="A68" s="1820" t="s">
        <v>333</v>
      </c>
      <c r="B68" s="337" t="s">
        <v>216</v>
      </c>
      <c r="C68" s="2009" t="s">
        <v>3060</v>
      </c>
      <c r="D68" s="1808">
        <f>'ТЕ_2ст_тариф_з ЦТП'!J87/D$21*1000/12</f>
        <v>12922.841928192551</v>
      </c>
      <c r="E68" s="1808" t="e">
        <f>'ТЕ_2ст_тариф_з ЦТП'!M87/E$21*1000/12</f>
        <v>#DIV/0!</v>
      </c>
      <c r="F68" s="1808">
        <f>'ТЕ_2ст_тариф_з ЦТП'!P87/F$21*1000/12</f>
        <v>25269.153112062555</v>
      </c>
      <c r="G68" s="1808">
        <f>'ТЕ_2ст_тариф_з ЦТП'!S87/G$21*1000/12</f>
        <v>25269.153112062562</v>
      </c>
      <c r="I68" s="1499"/>
    </row>
    <row r="69" spans="1:9" s="45" customFormat="1" ht="15.6" x14ac:dyDescent="0.3">
      <c r="A69" s="1820" t="s">
        <v>2911</v>
      </c>
      <c r="B69" s="337" t="s">
        <v>43</v>
      </c>
      <c r="C69" s="2009" t="s">
        <v>3060</v>
      </c>
      <c r="D69" s="1808">
        <f>'ТЕ_2ст_тариф_з ЦТП'!J88/D$21*1000/12</f>
        <v>0</v>
      </c>
      <c r="E69" s="1808" t="e">
        <f>'ТЕ_2ст_тариф_з ЦТП'!M88/E$21*1000/12</f>
        <v>#DIV/0!</v>
      </c>
      <c r="F69" s="1808">
        <f>'ТЕ_2ст_тариф_з ЦТП'!P88/F$21*1000/12</f>
        <v>0</v>
      </c>
      <c r="G69" s="1808">
        <f>'ТЕ_2ст_тариф_з ЦТП'!S88/G$21*1000/12</f>
        <v>0</v>
      </c>
      <c r="I69" s="1499"/>
    </row>
    <row r="70" spans="1:9" s="45" customFormat="1" ht="26.4" x14ac:dyDescent="0.3">
      <c r="A70" s="1824" t="s">
        <v>2912</v>
      </c>
      <c r="B70" s="337" t="s">
        <v>608</v>
      </c>
      <c r="C70" s="2009" t="s">
        <v>3060</v>
      </c>
      <c r="D70" s="1808">
        <f>'ТЕ_2ст_тариф_з ЦТП'!J89/D$21*1000/12</f>
        <v>0</v>
      </c>
      <c r="E70" s="1808" t="e">
        <f>'ТЕ_2ст_тариф_з ЦТП'!M89/E$21*1000/12</f>
        <v>#DIV/0!</v>
      </c>
      <c r="F70" s="1808">
        <f>'ТЕ_2ст_тариф_з ЦТП'!P89/F$21*1000/12</f>
        <v>0</v>
      </c>
      <c r="G70" s="1808">
        <f>'ТЕ_2ст_тариф_з ЦТП'!S89/G$21*1000/12</f>
        <v>0</v>
      </c>
      <c r="I70" s="1499"/>
    </row>
    <row r="71" spans="1:9" s="45" customFormat="1" ht="26.4" x14ac:dyDescent="0.3">
      <c r="A71" s="1824" t="s">
        <v>2913</v>
      </c>
      <c r="B71" s="337" t="s">
        <v>609</v>
      </c>
      <c r="C71" s="2009" t="s">
        <v>3060</v>
      </c>
      <c r="D71" s="1808">
        <f>'ТЕ_2ст_тариф_з ЦТП'!J90/D$21*1000/12</f>
        <v>759.14307313442112</v>
      </c>
      <c r="E71" s="1808" t="e">
        <f>'ТЕ_2ст_тариф_з ЦТП'!M90/E$21*1000/12</f>
        <v>#DIV/0!</v>
      </c>
      <c r="F71" s="1808">
        <f>'ТЕ_2ст_тариф_з ЦТП'!P90/F$21*1000/12</f>
        <v>759.14307313442112</v>
      </c>
      <c r="G71" s="1808">
        <f>'ТЕ_2ст_тариф_з ЦТП'!S90/G$21*1000/12</f>
        <v>759.14307313442112</v>
      </c>
      <c r="I71" s="1499"/>
    </row>
    <row r="72" spans="1:9" s="45" customFormat="1" ht="15.6" x14ac:dyDescent="0.3">
      <c r="A72" s="1824" t="s">
        <v>2914</v>
      </c>
      <c r="B72" s="337" t="s">
        <v>610</v>
      </c>
      <c r="C72" s="2009" t="s">
        <v>3060</v>
      </c>
      <c r="D72" s="1808">
        <f>'ТЕ_2ст_тариф_з ЦТП'!J91/D$21*1000/12</f>
        <v>12163.698855058128</v>
      </c>
      <c r="E72" s="1808" t="e">
        <f>'ТЕ_2ст_тариф_з ЦТП'!M91/E$21*1000/12</f>
        <v>#DIV/0!</v>
      </c>
      <c r="F72" s="1808">
        <f>'ТЕ_2ст_тариф_з ЦТП'!P91/F$21*1000/12</f>
        <v>24510.010038928132</v>
      </c>
      <c r="G72" s="1808">
        <f>'ТЕ_2ст_тариф_з ЦТП'!S91/G$21*1000/12</f>
        <v>24510.010038928143</v>
      </c>
      <c r="I72" s="1499"/>
    </row>
    <row r="73" spans="1:9" ht="26.4" x14ac:dyDescent="0.25">
      <c r="A73" s="1824" t="s">
        <v>2915</v>
      </c>
      <c r="B73" s="337" t="s">
        <v>2731</v>
      </c>
      <c r="C73" s="2009" t="s">
        <v>3060</v>
      </c>
      <c r="D73" s="1808">
        <f>'ТЕ_2ст_тариф_з ЦТП'!J92/D$21*1000/12</f>
        <v>11121.506953875853</v>
      </c>
      <c r="E73" s="1808" t="e">
        <f>'ТЕ_2ст_тариф_з ЦТП'!M92/E$21*1000/12</f>
        <v>#DIV/0!</v>
      </c>
      <c r="F73" s="1808">
        <f>'ТЕ_2ст_тариф_з ЦТП'!P92/F$21*1000/12</f>
        <v>23467.818137745857</v>
      </c>
      <c r="G73" s="1808">
        <f>'ТЕ_2ст_тариф_з ЦТП'!S92/G$21*1000/12</f>
        <v>23467.818137745871</v>
      </c>
    </row>
    <row r="74" spans="1:9" x14ac:dyDescent="0.25">
      <c r="A74" s="1824" t="s">
        <v>334</v>
      </c>
      <c r="B74" s="147" t="s">
        <v>47</v>
      </c>
      <c r="C74" s="2009" t="s">
        <v>3060</v>
      </c>
      <c r="D74" s="1808">
        <f>'ТЕ_2ст_тариф_з ЦТП'!J93/D$21*1000/12</f>
        <v>24232.987059565774</v>
      </c>
      <c r="E74" s="1808" t="e">
        <f>'ТЕ_2ст_тариф_з ЦТП'!M93/E$21*1000/12</f>
        <v>#DIV/0!</v>
      </c>
      <c r="F74" s="1808">
        <f>'ТЕ_2ст_тариф_з ЦТП'!P93/F$21*1000/12</f>
        <v>24232.98705956577</v>
      </c>
      <c r="G74" s="1808">
        <f>'ТЕ_2ст_тариф_з ЦТП'!S93/G$21*1000/12</f>
        <v>24232.98705956577</v>
      </c>
    </row>
    <row r="75" spans="1:9" x14ac:dyDescent="0.25">
      <c r="A75" s="1824" t="s">
        <v>2916</v>
      </c>
      <c r="B75" s="337" t="s">
        <v>217</v>
      </c>
      <c r="C75" s="2009" t="s">
        <v>3060</v>
      </c>
      <c r="D75" s="1808">
        <f>'ТЕ_2ст_тариф_з ЦТП'!J94/D$21*1000/12</f>
        <v>26714.920800127074</v>
      </c>
      <c r="E75" s="1808" t="e">
        <f>'ТЕ_2ст_тариф_з ЦТП'!M94/E$21*1000/12</f>
        <v>#DIV/0!</v>
      </c>
      <c r="F75" s="1808">
        <f>'ТЕ_2ст_тариф_з ЦТП'!P94/F$21*1000/12</f>
        <v>26714.920800127074</v>
      </c>
      <c r="G75" s="1808">
        <f>'ТЕ_2ст_тариф_з ЦТП'!S94/G$21*1000/12</f>
        <v>26714.920800127074</v>
      </c>
    </row>
    <row r="76" spans="1:9" ht="26.4" x14ac:dyDescent="0.25">
      <c r="A76" s="1824" t="s">
        <v>2917</v>
      </c>
      <c r="B76" s="337" t="s">
        <v>452</v>
      </c>
      <c r="C76" s="2009" t="s">
        <v>3060</v>
      </c>
      <c r="D76" s="1808">
        <f>'ТЕ_2ст_тариф_з ЦТП'!J95/D$21*1000/12</f>
        <v>5308.2943326874938</v>
      </c>
      <c r="E76" s="1808" t="e">
        <f>'ТЕ_2ст_тариф_з ЦТП'!M95/E$21*1000/12</f>
        <v>#DIV/0!</v>
      </c>
      <c r="F76" s="1808">
        <f>'ТЕ_2ст_тариф_з ЦТП'!P95/F$21*1000/12</f>
        <v>5308.2943326874938</v>
      </c>
      <c r="G76" s="1808">
        <f>'ТЕ_2ст_тариф_з ЦТП'!S95/G$21*1000/12</f>
        <v>5308.2943326874929</v>
      </c>
    </row>
    <row r="77" spans="1:9" x14ac:dyDescent="0.25">
      <c r="A77" s="1824" t="s">
        <v>2918</v>
      </c>
      <c r="B77" s="337" t="s">
        <v>460</v>
      </c>
      <c r="C77" s="2009" t="s">
        <v>3060</v>
      </c>
      <c r="D77" s="1808">
        <f>'ТЕ_2ст_тариф_з ЦТП'!J96/D$21*1000/12</f>
        <v>17546.471356994738</v>
      </c>
      <c r="E77" s="1808" t="e">
        <f>'ТЕ_2ст_тариф_з ЦТП'!M96/E$21*1000/12</f>
        <v>#DIV/0!</v>
      </c>
      <c r="F77" s="1808">
        <f>'ТЕ_2ст_тариф_з ЦТП'!P96/F$21*1000/12</f>
        <v>17546.471356994738</v>
      </c>
      <c r="G77" s="1808">
        <f>'ТЕ_2ст_тариф_з ЦТП'!S96/G$21*1000/12</f>
        <v>17546.471356994738</v>
      </c>
    </row>
    <row r="78" spans="1:9" x14ac:dyDescent="0.25">
      <c r="A78" s="1824" t="s">
        <v>2919</v>
      </c>
      <c r="B78" s="337" t="s">
        <v>81</v>
      </c>
      <c r="C78" s="2009" t="s">
        <v>3060</v>
      </c>
      <c r="D78" s="1808">
        <f>'ТЕ_2ст_тариф_з ЦТП'!J97/D$21*1000/12</f>
        <v>3860.1551104448449</v>
      </c>
      <c r="E78" s="1808" t="e">
        <f>'ТЕ_2ст_тариф_з ЦТП'!M97/E$21*1000/12</f>
        <v>#DIV/0!</v>
      </c>
      <c r="F78" s="1808">
        <f>'ТЕ_2ст_тариф_з ЦТП'!P97/F$21*1000/12</f>
        <v>3860.1551104448445</v>
      </c>
      <c r="G78" s="1808">
        <f>'ТЕ_2ст_тариф_з ЦТП'!S97/G$21*1000/12</f>
        <v>3860.1551104448445</v>
      </c>
    </row>
    <row r="79" spans="1:9" x14ac:dyDescent="0.25">
      <c r="A79" s="1824" t="s">
        <v>2920</v>
      </c>
      <c r="B79" s="337" t="s">
        <v>218</v>
      </c>
      <c r="C79" s="2009" t="s">
        <v>3060</v>
      </c>
      <c r="D79" s="1808">
        <f>'ТЕ_2ст_тариф_з ЦТП'!J98/D$21*1000/12</f>
        <v>2969.1089848251904</v>
      </c>
      <c r="E79" s="1808" t="e">
        <f>'ТЕ_2ст_тариф_з ЦТП'!M98/E$21*1000/12</f>
        <v>#DIV/0!</v>
      </c>
      <c r="F79" s="1808">
        <f>'ТЕ_2ст_тариф_з ЦТП'!P98/F$21*1000/12</f>
        <v>2969.1089848251904</v>
      </c>
      <c r="G79" s="1808">
        <f>'ТЕ_2ст_тариф_з ЦТП'!S98/G$21*1000/12</f>
        <v>2969.1089848251904</v>
      </c>
    </row>
    <row r="80" spans="1:9" x14ac:dyDescent="0.25">
      <c r="A80" s="1824" t="s">
        <v>2921</v>
      </c>
      <c r="B80" s="337" t="s">
        <v>55</v>
      </c>
      <c r="C80" s="2009" t="s">
        <v>3060</v>
      </c>
      <c r="D80" s="1808">
        <f>'ТЕ_2ст_тариф_з ЦТП'!J99/D$21*1000/12</f>
        <v>2268.7722844964146</v>
      </c>
      <c r="E80" s="1808" t="e">
        <f>'ТЕ_2ст_тариф_з ЦТП'!M99/E$21*1000/12</f>
        <v>#DIV/0!</v>
      </c>
      <c r="F80" s="1808">
        <f>'ТЕ_2ст_тариф_з ЦТП'!P99/F$21*1000/12</f>
        <v>2268.7722844964142</v>
      </c>
      <c r="G80" s="1808">
        <f>'ТЕ_2ст_тариф_з ЦТП'!S99/G$21*1000/12</f>
        <v>2268.7722844964142</v>
      </c>
    </row>
    <row r="81" spans="1:7" ht="26.4" x14ac:dyDescent="0.25">
      <c r="A81" s="1824" t="s">
        <v>2922</v>
      </c>
      <c r="B81" s="337" t="s">
        <v>452</v>
      </c>
      <c r="C81" s="2009" t="s">
        <v>3060</v>
      </c>
      <c r="D81" s="1808">
        <f>'ТЕ_2ст_тариф_з ЦТП'!J100/D$21*1000/12</f>
        <v>484.27519180378323</v>
      </c>
      <c r="E81" s="1808" t="e">
        <f>'ТЕ_2ст_тариф_з ЦТП'!M100/E$21*1000/12</f>
        <v>#DIV/0!</v>
      </c>
      <c r="F81" s="1808">
        <f>'ТЕ_2ст_тариф_з ЦТП'!P100/F$21*1000/12</f>
        <v>484.27519180378317</v>
      </c>
      <c r="G81" s="1808">
        <f>'ТЕ_2ст_тариф_з ЦТП'!S100/G$21*1000/12</f>
        <v>484.27519180378317</v>
      </c>
    </row>
    <row r="82" spans="1:7" x14ac:dyDescent="0.25">
      <c r="A82" s="1824" t="s">
        <v>2923</v>
      </c>
      <c r="B82" s="337" t="s">
        <v>58</v>
      </c>
      <c r="C82" s="2009" t="s">
        <v>3060</v>
      </c>
      <c r="D82" s="1808">
        <f>'ТЕ_2ст_тариф_з ЦТП'!J101/D$21*1000/12</f>
        <v>216.06150852499277</v>
      </c>
      <c r="E82" s="1808" t="e">
        <f>'ТЕ_2ст_тариф_з ЦТП'!M101/E$21*1000/12</f>
        <v>#DIV/0!</v>
      </c>
      <c r="F82" s="1808">
        <f>'ТЕ_2ст_тариф_з ЦТП'!P101/F$21*1000/12</f>
        <v>216.06150852499275</v>
      </c>
      <c r="G82" s="1808">
        <f>'ТЕ_2ст_тариф_з ЦТП'!S101/G$21*1000/12</f>
        <v>216.06150852499275</v>
      </c>
    </row>
    <row r="83" spans="1:7" x14ac:dyDescent="0.25">
      <c r="A83" s="1824" t="s">
        <v>688</v>
      </c>
      <c r="B83" s="147" t="s">
        <v>219</v>
      </c>
      <c r="C83" s="2009" t="s">
        <v>3060</v>
      </c>
      <c r="D83" s="1808">
        <f>'ТЕ_2ст_тариф_з ЦТП'!J102/D$21*1000/12</f>
        <v>3609.6452066644633</v>
      </c>
      <c r="E83" s="1808" t="e">
        <f>'ТЕ_2ст_тариф_з ЦТП'!M102/E$21*1000/12</f>
        <v>#DIV/0!</v>
      </c>
      <c r="F83" s="1808">
        <f>'ТЕ_2ст_тариф_з ЦТП'!P102/F$21*1000/12</f>
        <v>3609.6452066644633</v>
      </c>
      <c r="G83" s="1808">
        <f>'ТЕ_2ст_тариф_з ЦТП'!S102/G$21*1000/12</f>
        <v>3609.6452066644633</v>
      </c>
    </row>
    <row r="84" spans="1:7" x14ac:dyDescent="0.25">
      <c r="A84" s="1824" t="s">
        <v>194</v>
      </c>
      <c r="B84" s="147" t="s">
        <v>55</v>
      </c>
      <c r="C84" s="2009" t="s">
        <v>3060</v>
      </c>
      <c r="D84" s="1808">
        <f>'ТЕ_2ст_тариф_з ЦТП'!J103/D$21*1000/12</f>
        <v>2703.1338270034453</v>
      </c>
      <c r="E84" s="1808" t="e">
        <f>'ТЕ_2ст_тариф_з ЦТП'!M103/E$21*1000/12</f>
        <v>#DIV/0!</v>
      </c>
      <c r="F84" s="1808">
        <f>'ТЕ_2ст_тариф_з ЦТП'!P103/F$21*1000/12</f>
        <v>2703.1338270034444</v>
      </c>
      <c r="G84" s="1808">
        <f>'ТЕ_2ст_тариф_з ЦТП'!S103/G$21*1000/12</f>
        <v>2703.1338270034444</v>
      </c>
    </row>
    <row r="85" spans="1:7" ht="26.4" x14ac:dyDescent="0.25">
      <c r="A85" s="1824" t="s">
        <v>195</v>
      </c>
      <c r="B85" s="147" t="s">
        <v>452</v>
      </c>
      <c r="C85" s="2009" t="s">
        <v>3060</v>
      </c>
      <c r="D85" s="1808">
        <f>'ТЕ_2ст_тариф_з ЦТП'!J104/D$21*1000/12</f>
        <v>594.68944194075789</v>
      </c>
      <c r="E85" s="1808" t="e">
        <f>'ТЕ_2ст_тариф_з ЦТП'!M104/E$21*1000/12</f>
        <v>#DIV/0!</v>
      </c>
      <c r="F85" s="1808">
        <f>'ТЕ_2ст_тариф_з ЦТП'!P104/F$21*1000/12</f>
        <v>594.68944194075789</v>
      </c>
      <c r="G85" s="1808">
        <f>'ТЕ_2ст_тариф_з ЦТП'!S104/G$21*1000/12</f>
        <v>594.68944194075777</v>
      </c>
    </row>
    <row r="86" spans="1:7" x14ac:dyDescent="0.25">
      <c r="A86" s="1824" t="s">
        <v>2924</v>
      </c>
      <c r="B86" s="147" t="s">
        <v>58</v>
      </c>
      <c r="C86" s="2009" t="s">
        <v>3060</v>
      </c>
      <c r="D86" s="1808">
        <f>'ТЕ_2ст_тариф_з ЦТП'!J105/D$21*1000/12</f>
        <v>311.82193772026039</v>
      </c>
      <c r="E86" s="1808" t="e">
        <f>'ТЕ_2ст_тариф_з ЦТП'!M105/E$21*1000/12</f>
        <v>#DIV/0!</v>
      </c>
      <c r="F86" s="1808">
        <f>'ТЕ_2ст_тариф_з ЦТП'!P105/F$21*1000/12</f>
        <v>311.82193772026034</v>
      </c>
      <c r="G86" s="1808">
        <f>'ТЕ_2ст_тариф_з ЦТП'!S105/G$21*1000/12</f>
        <v>311.82193772026034</v>
      </c>
    </row>
    <row r="87" spans="1:7" x14ac:dyDescent="0.25">
      <c r="A87" s="1824" t="s">
        <v>689</v>
      </c>
      <c r="B87" s="337" t="s">
        <v>220</v>
      </c>
      <c r="C87" s="2009" t="s">
        <v>3060</v>
      </c>
      <c r="D87" s="1808">
        <f>'ТЕ_2ст_тариф_з ЦТП'!J106/D$21*1000/12</f>
        <v>0</v>
      </c>
      <c r="E87" s="1808" t="e">
        <f>'ТЕ_2ст_тариф_з ЦТП'!M106/E$21*1000/12</f>
        <v>#DIV/0!</v>
      </c>
      <c r="F87" s="1808">
        <f>'ТЕ_2ст_тариф_з ЦТП'!P106/F$21*1000/12</f>
        <v>0</v>
      </c>
      <c r="G87" s="1808">
        <f>'ТЕ_2ст_тариф_з ЦТП'!S106/G$21*1000/12</f>
        <v>0</v>
      </c>
    </row>
    <row r="88" spans="1:7" x14ac:dyDescent="0.25">
      <c r="A88" s="1824" t="s">
        <v>2227</v>
      </c>
      <c r="B88" s="337" t="s">
        <v>55</v>
      </c>
      <c r="C88" s="2009" t="s">
        <v>3060</v>
      </c>
      <c r="D88" s="1808">
        <f>'ТЕ_2ст_тариф_з ЦТП'!J107/D$21*1000/12</f>
        <v>0</v>
      </c>
      <c r="E88" s="1808" t="e">
        <f>'ТЕ_2ст_тариф_з ЦТП'!M107/E$21*1000/12</f>
        <v>#DIV/0!</v>
      </c>
      <c r="F88" s="1808">
        <f>'ТЕ_2ст_тариф_з ЦТП'!P107/F$21*1000/12</f>
        <v>0</v>
      </c>
      <c r="G88" s="1808">
        <f>'ТЕ_2ст_тариф_з ЦТП'!S107/G$21*1000/12</f>
        <v>0</v>
      </c>
    </row>
    <row r="89" spans="1:7" ht="26.4" x14ac:dyDescent="0.25">
      <c r="A89" s="1824" t="s">
        <v>2228</v>
      </c>
      <c r="B89" s="147" t="s">
        <v>452</v>
      </c>
      <c r="C89" s="2009" t="s">
        <v>3060</v>
      </c>
      <c r="D89" s="1808">
        <f>'ТЕ_2ст_тариф_з ЦТП'!J108/D$21*1000/12</f>
        <v>0</v>
      </c>
      <c r="E89" s="1808" t="e">
        <f>'ТЕ_2ст_тариф_з ЦТП'!M108/E$21*1000/12</f>
        <v>#DIV/0!</v>
      </c>
      <c r="F89" s="1808">
        <f>'ТЕ_2ст_тариф_з ЦТП'!P108/F$21*1000/12</f>
        <v>0</v>
      </c>
      <c r="G89" s="1808">
        <f>'ТЕ_2ст_тариф_з ЦТП'!S108/G$21*1000/12</f>
        <v>0</v>
      </c>
    </row>
    <row r="90" spans="1:7" x14ac:dyDescent="0.25">
      <c r="A90" s="1824" t="s">
        <v>2925</v>
      </c>
      <c r="B90" s="1814" t="s">
        <v>233</v>
      </c>
      <c r="C90" s="2009" t="s">
        <v>3060</v>
      </c>
      <c r="D90" s="1808">
        <f>'ТЕ_2ст_тариф_з ЦТП'!J109/D$21*1000/12</f>
        <v>0</v>
      </c>
      <c r="E90" s="1808" t="e">
        <f>'ТЕ_2ст_тариф_з ЦТП'!M109/E$21*1000/12</f>
        <v>#DIV/0!</v>
      </c>
      <c r="F90" s="1808">
        <f>'ТЕ_2ст_тариф_з ЦТП'!P109/F$21*1000/12</f>
        <v>0</v>
      </c>
      <c r="G90" s="1808">
        <f>'ТЕ_2ст_тариф_з ЦТП'!S109/G$21*1000/12</f>
        <v>0</v>
      </c>
    </row>
    <row r="91" spans="1:7" x14ac:dyDescent="0.25">
      <c r="A91" s="1824" t="s">
        <v>690</v>
      </c>
      <c r="B91" s="147" t="s">
        <v>82</v>
      </c>
      <c r="C91" s="2009" t="s">
        <v>3060</v>
      </c>
      <c r="D91" s="1808">
        <f>'ТЕ_2ст_тариф_з ЦТП'!J110/D$21*1000/12</f>
        <v>0</v>
      </c>
      <c r="E91" s="1808" t="e">
        <f>'ТЕ_2ст_тариф_з ЦТП'!M110/E$21*1000/12</f>
        <v>#DIV/0!</v>
      </c>
      <c r="F91" s="1808">
        <f>'ТЕ_2ст_тариф_з ЦТП'!P110/F$21*1000/12</f>
        <v>0</v>
      </c>
      <c r="G91" s="1808">
        <f>'ТЕ_2ст_тариф_з ЦТП'!S110/G$21*1000/12</f>
        <v>0</v>
      </c>
    </row>
    <row r="92" spans="1:7" x14ac:dyDescent="0.25">
      <c r="A92" s="1824" t="s">
        <v>2926</v>
      </c>
      <c r="B92" s="147" t="s">
        <v>5</v>
      </c>
      <c r="C92" s="2009" t="s">
        <v>3060</v>
      </c>
      <c r="D92" s="1808">
        <f>'ТЕ_2ст_тариф_з ЦТП'!J111/D$21*1000/12</f>
        <v>0</v>
      </c>
      <c r="E92" s="1808" t="e">
        <f>'ТЕ_2ст_тариф_з ЦТП'!M111/E$21*1000/12</f>
        <v>#DIV/0!</v>
      </c>
      <c r="F92" s="1808">
        <f>'ТЕ_2ст_тариф_з ЦТП'!P111/F$21*1000/12</f>
        <v>0</v>
      </c>
      <c r="G92" s="1808">
        <f>'ТЕ_2ст_тариф_з ЦТП'!S111/G$21*1000/12</f>
        <v>0</v>
      </c>
    </row>
    <row r="93" spans="1:7" x14ac:dyDescent="0.25">
      <c r="A93" s="1824" t="s">
        <v>2927</v>
      </c>
      <c r="B93" s="147" t="s">
        <v>63</v>
      </c>
      <c r="C93" s="2009" t="s">
        <v>3060</v>
      </c>
      <c r="D93" s="1808">
        <f>'ТЕ_2ст_тариф_з ЦТП'!J112/D$21*1000/12</f>
        <v>70449.503979375047</v>
      </c>
      <c r="E93" s="1808" t="e">
        <f>'ТЕ_2ст_тариф_з ЦТП'!M112/E$21*1000/12</f>
        <v>#DIV/0!</v>
      </c>
      <c r="F93" s="1808">
        <f>'ТЕ_2ст_тариф_з ЦТП'!P112/F$21*1000/12</f>
        <v>82795.815163245061</v>
      </c>
      <c r="G93" s="1808">
        <f>'ТЕ_2ст_тариф_з ЦТП'!S112/G$21*1000/12</f>
        <v>82795.815163245061</v>
      </c>
    </row>
    <row r="94" spans="1:7" x14ac:dyDescent="0.25">
      <c r="A94" s="1824" t="s">
        <v>2928</v>
      </c>
      <c r="B94" s="147" t="s">
        <v>234</v>
      </c>
      <c r="C94" s="2009" t="s">
        <v>3060</v>
      </c>
      <c r="D94" s="1808">
        <f>'ТЕ_2ст_тариф_з ЦТП'!J113/D$21*1000/12</f>
        <v>0</v>
      </c>
      <c r="E94" s="1808" t="e">
        <f>'ТЕ_2ст_тариф_з ЦТП'!M113/E$21*1000/12</f>
        <v>#DIV/0!</v>
      </c>
      <c r="F94" s="1808">
        <f>'ТЕ_2ст_тариф_з ЦТП'!P113/F$21*1000/12</f>
        <v>0</v>
      </c>
      <c r="G94" s="1808">
        <f>'ТЕ_2ст_тариф_з ЦТП'!S113/G$21*1000/12</f>
        <v>0</v>
      </c>
    </row>
    <row r="95" spans="1:7" x14ac:dyDescent="0.25">
      <c r="A95" s="1824" t="s">
        <v>2929</v>
      </c>
      <c r="B95" s="147" t="s">
        <v>235</v>
      </c>
      <c r="C95" s="2009" t="s">
        <v>3060</v>
      </c>
      <c r="D95" s="1808">
        <f>'ТЕ_2ст_тариф_з ЦТП'!J114/D$21*1000/12</f>
        <v>4618.972484736204</v>
      </c>
      <c r="E95" s="1808" t="e">
        <f>'ТЕ_2ст_тариф_з ЦТП'!M114/E$21*1000/12</f>
        <v>#DIV/0!</v>
      </c>
      <c r="F95" s="1808">
        <f>'ТЕ_2ст_тариф_з ЦТП'!P114/F$21*1000/12</f>
        <v>5191.1389679010163</v>
      </c>
      <c r="G95" s="1808">
        <f>'ТЕ_2ст_тариф_з ЦТП'!S114/G$21*1000/12</f>
        <v>5191.1389679010153</v>
      </c>
    </row>
    <row r="96" spans="1:7" x14ac:dyDescent="0.25">
      <c r="A96" s="1824" t="s">
        <v>2930</v>
      </c>
      <c r="B96" s="147" t="s">
        <v>65</v>
      </c>
      <c r="C96" s="2009" t="s">
        <v>3060</v>
      </c>
      <c r="D96" s="1808">
        <f>'ТЕ_2ст_тариф_з ЦТП'!J115/D$21*1000/12</f>
        <v>831.41504725251673</v>
      </c>
      <c r="E96" s="1808" t="e">
        <f>'ТЕ_2ст_тариф_з ЦТП'!M115/E$21*1000/12</f>
        <v>#DIV/0!</v>
      </c>
      <c r="F96" s="1808">
        <f>'ТЕ_2ст_тариф_з ЦТП'!P115/F$21*1000/12</f>
        <v>934.40501422218267</v>
      </c>
      <c r="G96" s="1808">
        <f>'ТЕ_2ст_тариф_з ЦТП'!S115/G$21*1000/12</f>
        <v>934.40501422218233</v>
      </c>
    </row>
    <row r="97" spans="1:9" x14ac:dyDescent="0.25">
      <c r="A97" s="1824" t="s">
        <v>2931</v>
      </c>
      <c r="B97" s="147" t="s">
        <v>84</v>
      </c>
      <c r="C97" s="2009" t="s">
        <v>3060</v>
      </c>
      <c r="D97" s="1808">
        <f>'ТЕ_2ст_тариф_з ЦТП'!J116/D$21*1000/12</f>
        <v>0</v>
      </c>
      <c r="E97" s="1808" t="e">
        <f>'ТЕ_2ст_тариф_з ЦТП'!M116/E$21*1000/12</f>
        <v>#DIV/0!</v>
      </c>
      <c r="F97" s="1808">
        <f>'ТЕ_2ст_тариф_з ЦТП'!P116/F$21*1000/12</f>
        <v>0</v>
      </c>
      <c r="G97" s="1808">
        <f>'ТЕ_2ст_тариф_з ЦТП'!S116/G$21*1000/12</f>
        <v>0</v>
      </c>
    </row>
    <row r="98" spans="1:9" x14ac:dyDescent="0.25">
      <c r="A98" s="1824" t="s">
        <v>2932</v>
      </c>
      <c r="B98" s="147" t="s">
        <v>85</v>
      </c>
      <c r="C98" s="2009" t="s">
        <v>3060</v>
      </c>
      <c r="D98" s="1808">
        <f>'ТЕ_2ст_тариф_з ЦТП'!J117/D$21*1000/12</f>
        <v>0</v>
      </c>
      <c r="E98" s="1808" t="e">
        <f>'ТЕ_2ст_тариф_з ЦТП'!M117/E$21*1000/12</f>
        <v>#DIV/0!</v>
      </c>
      <c r="F98" s="1808">
        <f>'ТЕ_2ст_тариф_з ЦТП'!P117/F$21*1000/12</f>
        <v>0</v>
      </c>
      <c r="G98" s="1808">
        <f>'ТЕ_2ст_тариф_з ЦТП'!S117/G$21*1000/12</f>
        <v>0</v>
      </c>
    </row>
    <row r="99" spans="1:9" x14ac:dyDescent="0.25">
      <c r="A99" s="1824" t="s">
        <v>2933</v>
      </c>
      <c r="B99" s="147" t="s">
        <v>71</v>
      </c>
      <c r="C99" s="2009" t="s">
        <v>3060</v>
      </c>
      <c r="D99" s="1808">
        <f>'ТЕ_2ст_тариф_з ЦТП'!J118/D$21*1000/12</f>
        <v>0</v>
      </c>
      <c r="E99" s="1808" t="e">
        <f>'ТЕ_2ст_тариф_з ЦТП'!M118/E$21*1000/12</f>
        <v>#DIV/0!</v>
      </c>
      <c r="F99" s="1808">
        <f>'ТЕ_2ст_тариф_з ЦТП'!P118/F$21*1000/12</f>
        <v>0</v>
      </c>
      <c r="G99" s="1808">
        <f>'ТЕ_2ст_тариф_з ЦТП'!S118/G$21*1000/12</f>
        <v>0</v>
      </c>
    </row>
    <row r="100" spans="1:9" x14ac:dyDescent="0.25">
      <c r="A100" s="1824" t="s">
        <v>2934</v>
      </c>
      <c r="B100" s="147" t="s">
        <v>86</v>
      </c>
      <c r="C100" s="2009" t="s">
        <v>3060</v>
      </c>
      <c r="D100" s="1808">
        <f>'ТЕ_2ст_тариф_з ЦТП'!J119/D$21*1000/12</f>
        <v>3787.5574374836874</v>
      </c>
      <c r="E100" s="1808" t="e">
        <f>'ТЕ_2ст_тариф_з ЦТП'!M119/E$21*1000/12</f>
        <v>#DIV/0!</v>
      </c>
      <c r="F100" s="1808">
        <f>'ТЕ_2ст_тариф_з ЦТП'!P119/F$21*1000/12</f>
        <v>4256.733953678834</v>
      </c>
      <c r="G100" s="1808">
        <f>'ТЕ_2ст_тариф_з ЦТП'!S119/G$21*1000/12</f>
        <v>4256.733953678834</v>
      </c>
    </row>
    <row r="101" spans="1:9" x14ac:dyDescent="0.25">
      <c r="A101" s="4899" t="s">
        <v>3065</v>
      </c>
      <c r="B101" s="4899"/>
      <c r="C101" s="4899"/>
      <c r="D101" s="4899"/>
      <c r="E101" s="4899"/>
      <c r="F101" s="4899"/>
      <c r="G101" s="4899"/>
    </row>
    <row r="102" spans="1:9" ht="26.4" x14ac:dyDescent="0.25">
      <c r="A102" s="1820" t="s">
        <v>2935</v>
      </c>
      <c r="B102" s="147" t="s">
        <v>2966</v>
      </c>
      <c r="C102" s="2007" t="s">
        <v>3058</v>
      </c>
      <c r="D102" s="1808">
        <f>'ТЕ_2ст_тариф_з ЦТП'!J159/D$20*1000/12</f>
        <v>2390.0810057385866</v>
      </c>
      <c r="E102" s="1808">
        <f>'ТЕ_2ст_тариф_з ЦТП'!M159/E$20*1000/12</f>
        <v>2390.0810057385866</v>
      </c>
      <c r="F102" s="1808">
        <f>'ТЕ_2ст_тариф_з ЦТП'!P159/F$20*1000/12</f>
        <v>2390.0810057385866</v>
      </c>
      <c r="G102" s="1808">
        <f>'ТЕ_2ст_тариф_з ЦТП'!S159/G$20*1000/12</f>
        <v>2390.0810057385866</v>
      </c>
      <c r="I102" s="1223"/>
    </row>
    <row r="103" spans="1:9" x14ac:dyDescent="0.25">
      <c r="A103" s="1822" t="s">
        <v>2936</v>
      </c>
      <c r="B103" s="147" t="s">
        <v>215</v>
      </c>
      <c r="C103" s="2009" t="s">
        <v>3060</v>
      </c>
      <c r="D103" s="1808">
        <f>'ТЕ_2ст_тариф_з ЦТП'!J130/D$20*1000/12</f>
        <v>2191.1137591288457</v>
      </c>
      <c r="E103" s="1808">
        <f>'ТЕ_2ст_тариф_з ЦТП'!M130/E$20*1000/12</f>
        <v>2191.1137591288452</v>
      </c>
      <c r="F103" s="1808">
        <f>'ТЕ_2ст_тариф_з ЦТП'!P130/F$20*1000/12</f>
        <v>2191.1137591288452</v>
      </c>
      <c r="G103" s="1808">
        <f>'ТЕ_2ст_тариф_з ЦТП'!S130/G$20*1000/12</f>
        <v>2191.1137591288448</v>
      </c>
    </row>
    <row r="104" spans="1:9" x14ac:dyDescent="0.25">
      <c r="A104" s="1822" t="s">
        <v>2937</v>
      </c>
      <c r="B104" s="147" t="s">
        <v>102</v>
      </c>
      <c r="C104" s="2009" t="s">
        <v>3060</v>
      </c>
      <c r="D104" s="1808">
        <f>'ТЕ_2ст_тариф_з ЦТП'!J131/D$20*1000/12</f>
        <v>18.862391084887296</v>
      </c>
      <c r="E104" s="1808">
        <f>'ТЕ_2ст_тариф_з ЦТП'!M131/E$20*1000/12</f>
        <v>18.862391084887296</v>
      </c>
      <c r="F104" s="1808">
        <f>'ТЕ_2ст_тариф_з ЦТП'!P131/F$20*1000/12</f>
        <v>18.862391084887296</v>
      </c>
      <c r="G104" s="1808">
        <f>'ТЕ_2ст_тариф_з ЦТП'!S131/G$20*1000/12</f>
        <v>18.8623910848873</v>
      </c>
    </row>
    <row r="105" spans="1:9" x14ac:dyDescent="0.25">
      <c r="A105" s="1822" t="s">
        <v>2938</v>
      </c>
      <c r="B105" s="147" t="s">
        <v>47</v>
      </c>
      <c r="C105" s="2009" t="s">
        <v>3060</v>
      </c>
      <c r="D105" s="1808">
        <f>'ТЕ_2ст_тариф_з ЦТП'!J132/D$20*1000/12</f>
        <v>878.19257624016871</v>
      </c>
      <c r="E105" s="1808">
        <f>'ТЕ_2ст_тариф_з ЦТП'!M132/E$20*1000/12</f>
        <v>878.19257624016871</v>
      </c>
      <c r="F105" s="1808">
        <f>'ТЕ_2ст_тариф_з ЦТП'!P132/F$20*1000/12</f>
        <v>878.19257624016848</v>
      </c>
      <c r="G105" s="1808">
        <f>'ТЕ_2ст_тариф_з ЦТП'!S132/G$20*1000/12</f>
        <v>878.19257624016848</v>
      </c>
    </row>
    <row r="106" spans="1:9" x14ac:dyDescent="0.25">
      <c r="A106" s="1822" t="s">
        <v>2939</v>
      </c>
      <c r="B106" s="147" t="s">
        <v>217</v>
      </c>
      <c r="C106" s="2009" t="s">
        <v>3060</v>
      </c>
      <c r="D106" s="1808">
        <f>'ТЕ_2ст_тариф_з ЦТП'!J133/D$20*1000/12</f>
        <v>1217.4689434394177</v>
      </c>
      <c r="E106" s="1808">
        <f>'ТЕ_2ст_тариф_з ЦТП'!M133/E$20*1000/12</f>
        <v>1217.4689434394177</v>
      </c>
      <c r="F106" s="1808">
        <f>'ТЕ_2ст_тариф_з ЦТП'!P133/F$20*1000/12</f>
        <v>1217.4689434394177</v>
      </c>
      <c r="G106" s="1808">
        <f>'ТЕ_2ст_тариф_з ЦТП'!S133/G$20*1000/12</f>
        <v>1217.4689434394174</v>
      </c>
    </row>
    <row r="107" spans="1:9" ht="26.4" x14ac:dyDescent="0.25">
      <c r="A107" s="1822" t="s">
        <v>2940</v>
      </c>
      <c r="B107" s="147" t="s">
        <v>452</v>
      </c>
      <c r="C107" s="2009" t="s">
        <v>3060</v>
      </c>
      <c r="D107" s="1808">
        <f>'ТЕ_2ст_тариф_з ЦТП'!J134/D$20*1000/12</f>
        <v>193.20236677283708</v>
      </c>
      <c r="E107" s="1808">
        <f>'ТЕ_2ст_тариф_з ЦТП'!M134/E$20*1000/12</f>
        <v>193.20236677283708</v>
      </c>
      <c r="F107" s="1808">
        <f>'ТЕ_2ст_тариф_з ЦТП'!P134/F$20*1000/12</f>
        <v>193.20236677283708</v>
      </c>
      <c r="G107" s="1808">
        <f>'ТЕ_2ст_тариф_з ЦТП'!S134/G$20*1000/12</f>
        <v>193.20236677283705</v>
      </c>
    </row>
    <row r="108" spans="1:9" x14ac:dyDescent="0.25">
      <c r="A108" s="1822" t="s">
        <v>2941</v>
      </c>
      <c r="B108" s="147" t="s">
        <v>460</v>
      </c>
      <c r="C108" s="2009" t="s">
        <v>3060</v>
      </c>
      <c r="D108" s="1808">
        <f>'ТЕ_2ст_тариф_з ЦТП'!J135/D$20*1000/12</f>
        <v>982.3826577323922</v>
      </c>
      <c r="E108" s="1808">
        <f>'ТЕ_2ст_тариф_з ЦТП'!M135/E$20*1000/12</f>
        <v>982.3826577323922</v>
      </c>
      <c r="F108" s="1808">
        <f>'ТЕ_2ст_тариф_з ЦТП'!P135/F$20*1000/12</f>
        <v>982.3826577323922</v>
      </c>
      <c r="G108" s="1808">
        <f>'ТЕ_2ст_тариф_з ЦТП'!S135/G$20*1000/12</f>
        <v>982.38265773239209</v>
      </c>
    </row>
    <row r="109" spans="1:9" x14ac:dyDescent="0.25">
      <c r="A109" s="1822" t="s">
        <v>2942</v>
      </c>
      <c r="B109" s="147" t="s">
        <v>52</v>
      </c>
      <c r="C109" s="2009" t="s">
        <v>3060</v>
      </c>
      <c r="D109" s="1808">
        <f>'ТЕ_2ст_тариф_з ЦТП'!J136/D$20*1000/12</f>
        <v>41.883918934188237</v>
      </c>
      <c r="E109" s="1808">
        <f>'ТЕ_2ст_тариф_з ЦТП'!M136/E$20*1000/12</f>
        <v>41.883918934188237</v>
      </c>
      <c r="F109" s="1808">
        <f>'ТЕ_2ст_тариф_з ЦТП'!P136/F$20*1000/12</f>
        <v>41.883918934188237</v>
      </c>
      <c r="G109" s="1808">
        <f>'ТЕ_2ст_тариф_з ЦТП'!S136/G$20*1000/12</f>
        <v>41.883918934188237</v>
      </c>
    </row>
    <row r="110" spans="1:9" x14ac:dyDescent="0.25">
      <c r="A110" s="1822" t="s">
        <v>2943</v>
      </c>
      <c r="B110" s="147" t="s">
        <v>218</v>
      </c>
      <c r="C110" s="2009" t="s">
        <v>3060</v>
      </c>
      <c r="D110" s="1808">
        <f>'ТЕ_2ст_тариф_з ЦТП'!J137/D$20*1000/12</f>
        <v>76.589848364372031</v>
      </c>
      <c r="E110" s="1808">
        <f>'ТЕ_2ст_тариф_з ЦТП'!M137/E$20*1000/12</f>
        <v>76.589848364372031</v>
      </c>
      <c r="F110" s="1808">
        <f>'ТЕ_2ст_тариф_з ЦТП'!P137/F$20*1000/12</f>
        <v>76.589848364372031</v>
      </c>
      <c r="G110" s="1808">
        <f>'ТЕ_2ст_тариф_з ЦТП'!S137/G$20*1000/12</f>
        <v>76.589848364372031</v>
      </c>
    </row>
    <row r="111" spans="1:9" x14ac:dyDescent="0.25">
      <c r="A111" s="1822" t="s">
        <v>2944</v>
      </c>
      <c r="B111" s="147" t="s">
        <v>55</v>
      </c>
      <c r="C111" s="2009" t="s">
        <v>3060</v>
      </c>
      <c r="D111" s="1808">
        <f>'ТЕ_2ст_тариф_з ЦТП'!J138/D$20*1000/12</f>
        <v>58.524266414929514</v>
      </c>
      <c r="E111" s="1808">
        <f>'ТЕ_2ст_тариф_з ЦТП'!M138/E$20*1000/12</f>
        <v>58.524266414929507</v>
      </c>
      <c r="F111" s="1808">
        <f>'ТЕ_2ст_тариф_з ЦТП'!P138/F$20*1000/12</f>
        <v>58.524266414929507</v>
      </c>
      <c r="G111" s="1808">
        <f>'ТЕ_2ст_тариф_з ЦТП'!S138/G$20*1000/12</f>
        <v>58.524266414929514</v>
      </c>
    </row>
    <row r="112" spans="1:9" ht="26.4" x14ac:dyDescent="0.25">
      <c r="A112" s="1822" t="s">
        <v>2945</v>
      </c>
      <c r="B112" s="147" t="s">
        <v>452</v>
      </c>
      <c r="C112" s="2009" t="s">
        <v>3060</v>
      </c>
      <c r="D112" s="1808">
        <f>'ТЕ_2ст_тариф_з ЦТП'!J139/D$20*1000/12</f>
        <v>12.492152930877575</v>
      </c>
      <c r="E112" s="1808">
        <f>'ТЕ_2ст_тариф_з ЦТП'!M139/E$20*1000/12</f>
        <v>12.492152930877575</v>
      </c>
      <c r="F112" s="1808">
        <f>'ТЕ_2ст_тариф_з ЦТП'!P139/F$20*1000/12</f>
        <v>12.492152930877575</v>
      </c>
      <c r="G112" s="1808">
        <f>'ТЕ_2ст_тариф_з ЦТП'!S139/G$20*1000/12</f>
        <v>12.492152930877573</v>
      </c>
    </row>
    <row r="113" spans="1:7" x14ac:dyDescent="0.25">
      <c r="A113" s="1822" t="s">
        <v>2946</v>
      </c>
      <c r="B113" s="147" t="s">
        <v>58</v>
      </c>
      <c r="C113" s="2009" t="s">
        <v>3060</v>
      </c>
      <c r="D113" s="1808">
        <f>'ТЕ_2ст_тариф_з ЦТП'!J140/D$20*1000/12</f>
        <v>5.5734290185649478</v>
      </c>
      <c r="E113" s="1808">
        <f>'ТЕ_2ст_тариф_з ЦТП'!M140/E$20*1000/12</f>
        <v>5.5734290185649478</v>
      </c>
      <c r="F113" s="1808">
        <f>'ТЕ_2ст_тариф_з ЦТП'!P140/F$20*1000/12</f>
        <v>5.5734290185649487</v>
      </c>
      <c r="G113" s="1808">
        <f>'ТЕ_2ст_тариф_з ЦТП'!S140/G$20*1000/12</f>
        <v>5.5734290185649478</v>
      </c>
    </row>
    <row r="114" spans="1:7" x14ac:dyDescent="0.25">
      <c r="A114" s="1822" t="s">
        <v>2947</v>
      </c>
      <c r="B114" s="147" t="s">
        <v>219</v>
      </c>
      <c r="C114" s="2009" t="s">
        <v>3060</v>
      </c>
      <c r="D114" s="1808">
        <f>'ТЕ_2ст_тариф_з ЦТП'!J141/D$20*1000/12</f>
        <v>93.112843092181308</v>
      </c>
      <c r="E114" s="1808">
        <f>'ТЕ_2ст_тариф_з ЦТП'!M141/E$20*1000/12</f>
        <v>93.112843092181279</v>
      </c>
      <c r="F114" s="1808">
        <f>'ТЕ_2ст_тариф_з ЦТП'!P141/F$20*1000/12</f>
        <v>93.112843092181279</v>
      </c>
      <c r="G114" s="1808">
        <f>'ТЕ_2ст_тариф_з ЦТП'!S141/G$20*1000/12</f>
        <v>93.112843092181279</v>
      </c>
    </row>
    <row r="115" spans="1:7" x14ac:dyDescent="0.25">
      <c r="A115" s="1822" t="s">
        <v>2948</v>
      </c>
      <c r="B115" s="147" t="s">
        <v>55</v>
      </c>
      <c r="C115" s="2009" t="s">
        <v>3060</v>
      </c>
      <c r="D115" s="1808">
        <f>'ТЕ_2ст_тариф_з ЦТП'!J142/D$20*1000/12</f>
        <v>69.72886848442441</v>
      </c>
      <c r="E115" s="1808">
        <f>'ТЕ_2ст_тариф_з ЦТП'!M142/E$20*1000/12</f>
        <v>69.728868484424396</v>
      </c>
      <c r="F115" s="1808">
        <f>'ТЕ_2ст_тариф_з ЦТП'!P142/F$20*1000/12</f>
        <v>69.72886848442441</v>
      </c>
      <c r="G115" s="1808">
        <f>'ТЕ_2ст_тариф_з ЦТП'!S142/G$20*1000/12</f>
        <v>69.728868484424396</v>
      </c>
    </row>
    <row r="116" spans="1:7" ht="26.4" x14ac:dyDescent="0.25">
      <c r="A116" s="1822" t="s">
        <v>2949</v>
      </c>
      <c r="B116" s="147" t="s">
        <v>452</v>
      </c>
      <c r="C116" s="2009" t="s">
        <v>3060</v>
      </c>
      <c r="D116" s="1808">
        <f>'ТЕ_2ст_тариф_з ЦТП'!J143/D$20*1000/12</f>
        <v>15.340351066573369</v>
      </c>
      <c r="E116" s="1808">
        <f>'ТЕ_2ст_тариф_з ЦТП'!M143/E$20*1000/12</f>
        <v>15.340351066573371</v>
      </c>
      <c r="F116" s="1808">
        <f>'ТЕ_2ст_тариф_з ЦТП'!P143/F$20*1000/12</f>
        <v>15.340351066573369</v>
      </c>
      <c r="G116" s="1808">
        <f>'ТЕ_2ст_тариф_з ЦТП'!S143/G$20*1000/12</f>
        <v>15.340351066573369</v>
      </c>
    </row>
    <row r="117" spans="1:7" x14ac:dyDescent="0.25">
      <c r="A117" s="1822" t="s">
        <v>2950</v>
      </c>
      <c r="B117" s="147" t="s">
        <v>58</v>
      </c>
      <c r="C117" s="2009" t="s">
        <v>3060</v>
      </c>
      <c r="D117" s="1808">
        <f>'ТЕ_2ст_тариф_з ЦТП'!J144/D$20*1000/12</f>
        <v>8.0436235411835124</v>
      </c>
      <c r="E117" s="1808">
        <f>'ТЕ_2ст_тариф_з ЦТП'!M144/E$20*1000/12</f>
        <v>8.0436235411835142</v>
      </c>
      <c r="F117" s="1808">
        <f>'ТЕ_2ст_тариф_з ЦТП'!P144/F$20*1000/12</f>
        <v>8.0436235411835124</v>
      </c>
      <c r="G117" s="1808">
        <f>'ТЕ_2ст_тариф_з ЦТП'!S144/G$20*1000/12</f>
        <v>8.0436235411835142</v>
      </c>
    </row>
    <row r="118" spans="1:7" x14ac:dyDescent="0.25">
      <c r="A118" s="1822" t="s">
        <v>2951</v>
      </c>
      <c r="B118" s="337" t="s">
        <v>220</v>
      </c>
      <c r="C118" s="2009" t="s">
        <v>3060</v>
      </c>
      <c r="D118" s="1808">
        <f>'ТЕ_2ст_тариф_з ЦТП'!J145/D$20*1000/12</f>
        <v>0</v>
      </c>
      <c r="E118" s="1808">
        <f>'ТЕ_2ст_тариф_з ЦТП'!M145/E$20*1000/12</f>
        <v>0</v>
      </c>
      <c r="F118" s="1808">
        <f>'ТЕ_2ст_тариф_з ЦТП'!P145/F$20*1000/12</f>
        <v>0</v>
      </c>
      <c r="G118" s="1808">
        <f>'ТЕ_2ст_тариф_з ЦТП'!S145/G$20*1000/12</f>
        <v>0</v>
      </c>
    </row>
    <row r="119" spans="1:7" x14ac:dyDescent="0.25">
      <c r="A119" s="1822" t="s">
        <v>2112</v>
      </c>
      <c r="B119" s="337" t="s">
        <v>55</v>
      </c>
      <c r="C119" s="2009" t="s">
        <v>3060</v>
      </c>
      <c r="D119" s="1808">
        <f>'ТЕ_2ст_тариф_з ЦТП'!J146/D$20*1000/12</f>
        <v>0</v>
      </c>
      <c r="E119" s="1808">
        <f>'ТЕ_2ст_тариф_з ЦТП'!M146/E$20*1000/12</f>
        <v>0</v>
      </c>
      <c r="F119" s="1808">
        <f>'ТЕ_2ст_тариф_з ЦТП'!P146/F$20*1000/12</f>
        <v>0</v>
      </c>
      <c r="G119" s="1808">
        <f>'ТЕ_2ст_тариф_з ЦТП'!S146/G$20*1000/12</f>
        <v>0</v>
      </c>
    </row>
    <row r="120" spans="1:7" ht="26.4" x14ac:dyDescent="0.25">
      <c r="A120" s="1822" t="s">
        <v>2114</v>
      </c>
      <c r="B120" s="337" t="s">
        <v>452</v>
      </c>
      <c r="C120" s="2009" t="s">
        <v>3060</v>
      </c>
      <c r="D120" s="1808">
        <f>'ТЕ_2ст_тариф_з ЦТП'!J147/D$20*1000/12</f>
        <v>0</v>
      </c>
      <c r="E120" s="1808">
        <f>'ТЕ_2ст_тариф_з ЦТП'!M147/E$20*1000/12</f>
        <v>0</v>
      </c>
      <c r="F120" s="1808">
        <f>'ТЕ_2ст_тариф_з ЦТП'!P147/F$20*1000/12</f>
        <v>0</v>
      </c>
      <c r="G120" s="1808">
        <f>'ТЕ_2ст_тариф_з ЦТП'!S147/G$20*1000/12</f>
        <v>0</v>
      </c>
    </row>
    <row r="121" spans="1:7" x14ac:dyDescent="0.25">
      <c r="A121" s="1822" t="s">
        <v>2952</v>
      </c>
      <c r="B121" s="1814" t="s">
        <v>233</v>
      </c>
      <c r="C121" s="2009" t="s">
        <v>3060</v>
      </c>
      <c r="D121" s="1808">
        <f>'ТЕ_2ст_тариф_з ЦТП'!J148/D$20*1000/12</f>
        <v>0</v>
      </c>
      <c r="E121" s="1808">
        <f>'ТЕ_2ст_тариф_з ЦТП'!M148/E$20*1000/12</f>
        <v>0</v>
      </c>
      <c r="F121" s="1808">
        <f>'ТЕ_2ст_тариф_з ЦТП'!P148/F$20*1000/12</f>
        <v>0</v>
      </c>
      <c r="G121" s="1808">
        <f>'ТЕ_2ст_тариф_з ЦТП'!S148/G$20*1000/12</f>
        <v>0</v>
      </c>
    </row>
    <row r="122" spans="1:7" x14ac:dyDescent="0.25">
      <c r="A122" s="1822" t="s">
        <v>2953</v>
      </c>
      <c r="B122" s="147" t="s">
        <v>105</v>
      </c>
      <c r="C122" s="2009" t="s">
        <v>3060</v>
      </c>
      <c r="D122" s="1808">
        <f>'ТЕ_2ст_тариф_з ЦТП'!J149/D$20*1000/12</f>
        <v>0</v>
      </c>
      <c r="E122" s="1808">
        <f>'ТЕ_2ст_тариф_з ЦТП'!M149/E$20*1000/12</f>
        <v>0</v>
      </c>
      <c r="F122" s="1808">
        <f>'ТЕ_2ст_тариф_з ЦТП'!P149/F$20*1000/12</f>
        <v>0</v>
      </c>
      <c r="G122" s="1808">
        <f>'ТЕ_2ст_тариф_з ЦТП'!S149/G$20*1000/12</f>
        <v>0</v>
      </c>
    </row>
    <row r="123" spans="1:7" x14ac:dyDescent="0.25">
      <c r="A123" s="1822" t="s">
        <v>2954</v>
      </c>
      <c r="B123" s="147" t="s">
        <v>5</v>
      </c>
      <c r="C123" s="2009" t="s">
        <v>3060</v>
      </c>
      <c r="D123" s="1808">
        <f>'ТЕ_2ст_тариф_з ЦТП'!J150/D$20*1000/12</f>
        <v>0</v>
      </c>
      <c r="E123" s="1808">
        <f>'ТЕ_2ст_тариф_з ЦТП'!M150/E$20*1000/12</f>
        <v>0</v>
      </c>
      <c r="F123" s="1808">
        <f>'ТЕ_2ст_тариф_з ЦТП'!P150/F$20*1000/12</f>
        <v>0</v>
      </c>
      <c r="G123" s="1808">
        <f>'ТЕ_2ст_тариф_з ЦТП'!S150/G$20*1000/12</f>
        <v>0</v>
      </c>
    </row>
    <row r="124" spans="1:7" x14ac:dyDescent="0.25">
      <c r="A124" s="1822" t="s">
        <v>2955</v>
      </c>
      <c r="B124" s="147" t="s">
        <v>63</v>
      </c>
      <c r="C124" s="2009" t="s">
        <v>3060</v>
      </c>
      <c r="D124" s="1808">
        <f>'ТЕ_2ст_тариф_з ЦТП'!J151/D$20*1000/12</f>
        <v>2284.226602221027</v>
      </c>
      <c r="E124" s="1808">
        <f>'ТЕ_2ст_тариф_з ЦТП'!M151/E$20*1000/12</f>
        <v>2284.2266022210274</v>
      </c>
      <c r="F124" s="1808">
        <f>'ТЕ_2ст_тариф_з ЦТП'!P151/F$20*1000/12</f>
        <v>2284.226602221027</v>
      </c>
      <c r="G124" s="1808">
        <f>'ТЕ_2ст_тариф_з ЦТП'!S151/G$20*1000/12</f>
        <v>2284.226602221027</v>
      </c>
    </row>
    <row r="125" spans="1:7" ht="14.4" customHeight="1" x14ac:dyDescent="0.25">
      <c r="A125" s="1822" t="s">
        <v>2956</v>
      </c>
      <c r="B125" s="147" t="s">
        <v>221</v>
      </c>
      <c r="C125" s="2009" t="s">
        <v>3060</v>
      </c>
      <c r="D125" s="1808">
        <f>'ТЕ_2ст_тариф_з ЦТП'!J152/D$20*1000/12</f>
        <v>0</v>
      </c>
      <c r="E125" s="1808">
        <f>'ТЕ_2ст_тариф_з ЦТП'!M152/E$20*1000/12</f>
        <v>0</v>
      </c>
      <c r="F125" s="1808">
        <f>'ТЕ_2ст_тариф_з ЦТП'!P152/F$20*1000/12</f>
        <v>0</v>
      </c>
      <c r="G125" s="1808">
        <f>'ТЕ_2ст_тариф_з ЦТП'!S152/G$20*1000/12</f>
        <v>0</v>
      </c>
    </row>
    <row r="126" spans="1:7" x14ac:dyDescent="0.25">
      <c r="A126" s="1822" t="s">
        <v>2957</v>
      </c>
      <c r="B126" s="147" t="s">
        <v>242</v>
      </c>
      <c r="C126" s="2009" t="s">
        <v>3060</v>
      </c>
      <c r="D126" s="1808">
        <f>'ТЕ_2ст_тариф_з ЦТП'!J153/D$20*1000/12</f>
        <v>105.85440351755976</v>
      </c>
      <c r="E126" s="1808">
        <f>'ТЕ_2ст_тариф_з ЦТП'!M153/E$20*1000/12</f>
        <v>105.85440351755977</v>
      </c>
      <c r="F126" s="1808">
        <f>'ТЕ_2ст_тариф_з ЦТП'!P153/F$20*1000/12</f>
        <v>105.85440351755977</v>
      </c>
      <c r="G126" s="1808">
        <f>'ТЕ_2ст_тариф_з ЦТП'!S153/G$20*1000/12</f>
        <v>105.85440351755976</v>
      </c>
    </row>
    <row r="127" spans="1:7" x14ac:dyDescent="0.25">
      <c r="A127" s="1822" t="s">
        <v>2958</v>
      </c>
      <c r="B127" s="147" t="s">
        <v>65</v>
      </c>
      <c r="C127" s="2009" t="s">
        <v>3060</v>
      </c>
      <c r="D127" s="1808">
        <f>'ТЕ_2ст_тариф_з ЦТП'!J154/D$20*1000/12</f>
        <v>19.053792633160743</v>
      </c>
      <c r="E127" s="1808">
        <f>'ТЕ_2ст_тариф_з ЦТП'!M154/E$20*1000/12</f>
        <v>19.05379263316075</v>
      </c>
      <c r="F127" s="1808">
        <f>'ТЕ_2ст_тариф_з ЦТП'!P154/F$20*1000/12</f>
        <v>19.053792633160754</v>
      </c>
      <c r="G127" s="1808">
        <f>'ТЕ_2ст_тариф_з ЦТП'!S154/G$20*1000/12</f>
        <v>19.05379263316075</v>
      </c>
    </row>
    <row r="128" spans="1:7" x14ac:dyDescent="0.25">
      <c r="A128" s="1822" t="s">
        <v>2959</v>
      </c>
      <c r="B128" s="147" t="s">
        <v>84</v>
      </c>
      <c r="C128" s="2009" t="s">
        <v>3060</v>
      </c>
      <c r="D128" s="1808">
        <f>'ТЕ_2ст_тариф_з ЦТП'!J155/D$20*1000/12</f>
        <v>0</v>
      </c>
      <c r="E128" s="1808">
        <f>'ТЕ_2ст_тариф_з ЦТП'!M155/E$20*1000/12</f>
        <v>0</v>
      </c>
      <c r="F128" s="1808">
        <f>'ТЕ_2ст_тариф_з ЦТП'!P155/F$20*1000/12</f>
        <v>0</v>
      </c>
      <c r="G128" s="1808">
        <f>'ТЕ_2ст_тариф_з ЦТП'!S155/G$20*1000/12</f>
        <v>0</v>
      </c>
    </row>
    <row r="129" spans="1:7" x14ac:dyDescent="0.25">
      <c r="A129" s="1822" t="s">
        <v>2960</v>
      </c>
      <c r="B129" s="147" t="s">
        <v>85</v>
      </c>
      <c r="C129" s="2009" t="s">
        <v>3060</v>
      </c>
      <c r="D129" s="1808">
        <f>'ТЕ_2ст_тариф_з ЦТП'!J156/D$20*1000/12</f>
        <v>0</v>
      </c>
      <c r="E129" s="1808">
        <f>'ТЕ_2ст_тариф_з ЦТП'!M156/E$20*1000/12</f>
        <v>0</v>
      </c>
      <c r="F129" s="1808">
        <f>'ТЕ_2ст_тариф_з ЦТП'!P156/F$20*1000/12</f>
        <v>0</v>
      </c>
      <c r="G129" s="1808">
        <f>'ТЕ_2ст_тариф_з ЦТП'!S156/G$20*1000/12</f>
        <v>0</v>
      </c>
    </row>
    <row r="130" spans="1:7" x14ac:dyDescent="0.25">
      <c r="A130" s="1822" t="s">
        <v>2961</v>
      </c>
      <c r="B130" s="147" t="s">
        <v>71</v>
      </c>
      <c r="C130" s="2009" t="s">
        <v>3060</v>
      </c>
      <c r="D130" s="1808">
        <f>'ТЕ_2ст_тариф_з ЦТП'!J157/D$20*1000/12</f>
        <v>0</v>
      </c>
      <c r="E130" s="1808">
        <f>'ТЕ_2ст_тариф_з ЦТП'!M157/E$20*1000/12</f>
        <v>0</v>
      </c>
      <c r="F130" s="1808">
        <f>'ТЕ_2ст_тариф_з ЦТП'!P157/F$20*1000/12</f>
        <v>0</v>
      </c>
      <c r="G130" s="1808">
        <f>'ТЕ_2ст_тариф_з ЦТП'!S157/G$20*1000/12</f>
        <v>0</v>
      </c>
    </row>
    <row r="131" spans="1:7" x14ac:dyDescent="0.25">
      <c r="A131" s="1822" t="s">
        <v>2962</v>
      </c>
      <c r="B131" s="147" t="s">
        <v>86</v>
      </c>
      <c r="C131" s="2009" t="s">
        <v>3060</v>
      </c>
      <c r="D131" s="1808">
        <f>'ТЕ_2ст_тариф_з ЦТП'!J158/D$20*1000/12</f>
        <v>86.800610884399021</v>
      </c>
      <c r="E131" s="1808">
        <f>'ТЕ_2ст_тариф_з ЦТП'!M158/E$20*1000/12</f>
        <v>86.800610884399021</v>
      </c>
      <c r="F131" s="1808">
        <f>'ТЕ_2ст_тариф_з ЦТП'!P158/F$20*1000/12</f>
        <v>86.800610884399021</v>
      </c>
      <c r="G131" s="1808">
        <f>'ТЕ_2ст_тариф_з ЦТП'!S158/G$20*1000/12</f>
        <v>86.800610884399021</v>
      </c>
    </row>
    <row r="135" spans="1:7" ht="15.6" x14ac:dyDescent="0.3">
      <c r="B135" s="1587" t="s">
        <v>2821</v>
      </c>
      <c r="C135" s="1587"/>
      <c r="D135" s="4901" t="s">
        <v>2822</v>
      </c>
      <c r="E135" s="4901"/>
      <c r="F135" s="4901"/>
      <c r="G135" s="4901"/>
    </row>
    <row r="141" spans="1:7" x14ac:dyDescent="0.25">
      <c r="D141" s="1789"/>
    </row>
  </sheetData>
  <mergeCells count="22">
    <mergeCell ref="A12:G12"/>
    <mergeCell ref="A15:G15"/>
    <mergeCell ref="D135:G135"/>
    <mergeCell ref="A23:G23"/>
    <mergeCell ref="A30:G30"/>
    <mergeCell ref="A61:G61"/>
    <mergeCell ref="A65:G65"/>
    <mergeCell ref="A101:G101"/>
    <mergeCell ref="L1:N1"/>
    <mergeCell ref="L2:N2"/>
    <mergeCell ref="L3:N3"/>
    <mergeCell ref="L4:N4"/>
    <mergeCell ref="D9:G9"/>
    <mergeCell ref="A7:G7"/>
    <mergeCell ref="A6:G6"/>
    <mergeCell ref="D1:G1"/>
    <mergeCell ref="D2:G2"/>
    <mergeCell ref="D3:G3"/>
    <mergeCell ref="D4:G4"/>
    <mergeCell ref="B9:B10"/>
    <mergeCell ref="A9:A10"/>
    <mergeCell ref="C9:C10"/>
  </mergeCells>
  <pageMargins left="1.0236220472440944" right="0.47244094488188981" top="0.51181102362204722" bottom="0.39370078740157483" header="0.31496062992125984" footer="0.31496062992125984"/>
  <pageSetup paperSize="9" orientation="portrait" horizontalDpi="0" verticalDpi="0" r:id="rId1"/>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700-000000000000}">
  <sheetPr codeName="Лист53">
    <tabColor rgb="FF0000FF"/>
  </sheetPr>
  <dimension ref="A1:I135"/>
  <sheetViews>
    <sheetView workbookViewId="0">
      <selection sqref="A1:XFD1048576"/>
    </sheetView>
  </sheetViews>
  <sheetFormatPr defaultColWidth="8.88671875" defaultRowHeight="13.8" x14ac:dyDescent="0.25"/>
  <cols>
    <col min="1" max="1" width="5.33203125" style="1445" customWidth="1"/>
    <col min="2" max="2" width="34.33203125" style="1788" customWidth="1"/>
    <col min="3" max="3" width="8" style="1788" customWidth="1"/>
    <col min="4" max="4" width="13.33203125" style="10" customWidth="1"/>
    <col min="5" max="5" width="12.33203125" style="10" customWidth="1"/>
    <col min="6" max="6" width="11.88671875" style="10" customWidth="1"/>
    <col min="7" max="7" width="12" style="10" customWidth="1"/>
    <col min="8" max="8" width="8.88671875" style="10"/>
    <col min="9" max="9" width="8.88671875" style="1121"/>
    <col min="10" max="16384" width="8.88671875" style="10"/>
  </cols>
  <sheetData>
    <row r="1" spans="1:9" s="45" customFormat="1" ht="15.6" x14ac:dyDescent="0.3">
      <c r="A1" s="1794"/>
      <c r="B1" s="1796"/>
      <c r="C1" s="1796"/>
      <c r="D1" s="4910" t="s">
        <v>2904</v>
      </c>
      <c r="E1" s="4910"/>
      <c r="F1" s="4910"/>
      <c r="I1" s="1499"/>
    </row>
    <row r="2" spans="1:9" s="45" customFormat="1" ht="15.6" x14ac:dyDescent="0.3">
      <c r="A2" s="1794"/>
      <c r="B2" s="1796"/>
      <c r="C2" s="1796"/>
      <c r="D2" s="5471" t="s">
        <v>2812</v>
      </c>
      <c r="E2" s="5471"/>
      <c r="F2" s="5471"/>
      <c r="I2" s="1499"/>
    </row>
    <row r="3" spans="1:9" s="45" customFormat="1" ht="27.6" customHeight="1" x14ac:dyDescent="0.3">
      <c r="A3" s="1794"/>
      <c r="B3" s="1796"/>
      <c r="C3" s="1796"/>
      <c r="D3" s="5472" t="s">
        <v>2827</v>
      </c>
      <c r="E3" s="5472"/>
      <c r="F3" s="5472"/>
      <c r="I3" s="1499"/>
    </row>
    <row r="4" spans="1:9" s="45" customFormat="1" ht="15.6" x14ac:dyDescent="0.3">
      <c r="A4" s="1794"/>
      <c r="B4" s="1796"/>
      <c r="C4" s="1796"/>
      <c r="D4" s="5471" t="s">
        <v>2823</v>
      </c>
      <c r="E4" s="5471"/>
      <c r="F4" s="5471"/>
      <c r="I4" s="1499"/>
    </row>
    <row r="5" spans="1:9" s="45" customFormat="1" ht="15.6" x14ac:dyDescent="0.3">
      <c r="A5" s="1445"/>
      <c r="B5" s="1795"/>
      <c r="C5" s="1795"/>
      <c r="I5" s="1499"/>
    </row>
    <row r="6" spans="1:9" s="45" customFormat="1" ht="15.6" x14ac:dyDescent="0.3">
      <c r="A6" s="4911" t="s">
        <v>2967</v>
      </c>
      <c r="B6" s="4911"/>
      <c r="C6" s="4911"/>
      <c r="D6" s="4911"/>
      <c r="E6" s="4911"/>
      <c r="F6" s="4911"/>
      <c r="G6" s="4911"/>
      <c r="I6" s="1499"/>
    </row>
    <row r="7" spans="1:9" s="45" customFormat="1" ht="67.2" customHeight="1" x14ac:dyDescent="0.3">
      <c r="A7" s="4912" t="s">
        <v>2907</v>
      </c>
      <c r="B7" s="4912"/>
      <c r="C7" s="4912"/>
      <c r="D7" s="4912"/>
      <c r="E7" s="4912"/>
      <c r="F7" s="4912"/>
      <c r="G7" s="4912"/>
      <c r="I7" s="1499"/>
    </row>
    <row r="8" spans="1:9" s="45" customFormat="1" ht="14.4" customHeight="1" x14ac:dyDescent="0.3">
      <c r="A8" s="1811"/>
      <c r="B8" s="1811"/>
      <c r="C8" s="1811"/>
      <c r="D8" s="1793"/>
      <c r="E8" s="1793"/>
      <c r="F8" s="1793"/>
      <c r="G8" s="1812" t="s">
        <v>1734</v>
      </c>
      <c r="I8" s="1499"/>
    </row>
    <row r="9" spans="1:9" s="40" customFormat="1" ht="15.6" x14ac:dyDescent="0.3">
      <c r="A9" s="4925" t="s">
        <v>2864</v>
      </c>
      <c r="B9" s="5474" t="s">
        <v>110</v>
      </c>
      <c r="C9" s="2006"/>
      <c r="D9" s="4917" t="s">
        <v>2865</v>
      </c>
      <c r="E9" s="4918"/>
      <c r="F9" s="4918"/>
      <c r="G9" s="4919"/>
      <c r="I9" s="1806"/>
    </row>
    <row r="10" spans="1:9" s="40" customFormat="1" ht="39.6" x14ac:dyDescent="0.3">
      <c r="A10" s="4926"/>
      <c r="B10" s="5475"/>
      <c r="C10" s="1867"/>
      <c r="D10" s="1475" t="s">
        <v>2736</v>
      </c>
      <c r="E10" s="1475" t="s">
        <v>2737</v>
      </c>
      <c r="F10" s="1475" t="s">
        <v>2866</v>
      </c>
      <c r="G10" s="1475" t="s">
        <v>2810</v>
      </c>
      <c r="I10" s="1806"/>
    </row>
    <row r="11" spans="1:9" s="40" customFormat="1" ht="15.6" x14ac:dyDescent="0.3">
      <c r="A11" s="1611">
        <v>1</v>
      </c>
      <c r="B11" s="1810">
        <v>2</v>
      </c>
      <c r="C11" s="1810"/>
      <c r="D11" s="1611">
        <v>3</v>
      </c>
      <c r="E11" s="1611">
        <v>4</v>
      </c>
      <c r="F11" s="1611">
        <v>5</v>
      </c>
      <c r="G11" s="1611">
        <v>6</v>
      </c>
      <c r="I11" s="1806"/>
    </row>
    <row r="12" spans="1:9" s="45" customFormat="1" ht="15.6" x14ac:dyDescent="0.3">
      <c r="A12" s="4902" t="s">
        <v>2867</v>
      </c>
      <c r="B12" s="4902"/>
      <c r="C12" s="4902"/>
      <c r="D12" s="4902"/>
      <c r="E12" s="4902"/>
      <c r="F12" s="4902"/>
      <c r="G12" s="4902"/>
      <c r="I12" s="1499"/>
    </row>
    <row r="13" spans="1:9" s="45" customFormat="1" ht="39.6" x14ac:dyDescent="0.3">
      <c r="A13" s="1611">
        <v>1</v>
      </c>
      <c r="B13" s="1800" t="s">
        <v>2868</v>
      </c>
      <c r="C13" s="1475" t="s">
        <v>2286</v>
      </c>
      <c r="D13" s="1804">
        <f>'ТЕ_2ст_тариф_без ЦТП'!I214</f>
        <v>1022.9</v>
      </c>
      <c r="E13" s="1804">
        <f>'ТЕ_2ст_тариф_без ЦТП'!L214</f>
        <v>2009.91</v>
      </c>
      <c r="F13" s="1804">
        <f>'ТЕ_2ст_тариф_без ЦТП'!O214</f>
        <v>2009.91</v>
      </c>
      <c r="G13" s="1804">
        <f>'ТЕ_2ст_тариф_без ЦТП'!R214</f>
        <v>2009.91</v>
      </c>
      <c r="I13" s="1499"/>
    </row>
    <row r="14" spans="1:9" s="45" customFormat="1" ht="53.4" customHeight="1" x14ac:dyDescent="0.3">
      <c r="A14" s="1611">
        <v>2</v>
      </c>
      <c r="B14" s="1800" t="s">
        <v>2869</v>
      </c>
      <c r="C14" s="1475" t="s">
        <v>3058</v>
      </c>
      <c r="D14" s="1804">
        <f>'ТЕ_2ст_тариф_без ЦТП'!J224/12</f>
        <v>8387.8350000000009</v>
      </c>
      <c r="E14" s="1804">
        <f>'ТЕ_2ст_тариф_без ЦТП'!M224/12</f>
        <v>9816.9566666666669</v>
      </c>
      <c r="F14" s="1804">
        <f>'ТЕ_2ст_тариф_без ЦТП'!P224/12</f>
        <v>9816.9566666666669</v>
      </c>
      <c r="G14" s="1804">
        <f>'ТЕ_2ст_тариф_без ЦТП'!S224/12</f>
        <v>9816.9566666666669</v>
      </c>
      <c r="I14" s="1499"/>
    </row>
    <row r="15" spans="1:9" s="45" customFormat="1" ht="15.6" x14ac:dyDescent="0.3">
      <c r="A15" s="4903" t="s">
        <v>2870</v>
      </c>
      <c r="B15" s="4904"/>
      <c r="C15" s="4904"/>
      <c r="D15" s="4904"/>
      <c r="E15" s="4904"/>
      <c r="F15" s="4904"/>
      <c r="G15" s="4905"/>
      <c r="I15" s="1499"/>
    </row>
    <row r="16" spans="1:9" s="45" customFormat="1" ht="26.4" x14ac:dyDescent="0.3">
      <c r="A16" s="1611">
        <v>3</v>
      </c>
      <c r="B16" s="1800" t="s">
        <v>3059</v>
      </c>
      <c r="C16" s="1475" t="s">
        <v>2160</v>
      </c>
      <c r="D16" s="1805">
        <f>'ТЕ_2ст_тариф_без ЦТП'!I30</f>
        <v>90.271057497103627</v>
      </c>
      <c r="E16" s="1805">
        <f>'ТЕ_2ст_тариф_без ЦТП'!L30</f>
        <v>1.4602989074179139E-2</v>
      </c>
      <c r="F16" s="1805">
        <f>'ТЕ_2ст_тариф_без ЦТП'!O30</f>
        <v>13.752767963175286</v>
      </c>
      <c r="G16" s="1805">
        <f>'ТЕ_2ст_тариф_без ЦТП'!R30</f>
        <v>4.6371042268930927</v>
      </c>
      <c r="I16" s="1807">
        <f>'ТЕ_2ст_тариф_без ЦТП'!E30-'Рішення 3Д'!D16-'Рішення 3Д'!E16-'Рішення 3Д'!F16-'Рішення 3Д'!G16</f>
        <v>-7.9936057773011271E-15</v>
      </c>
    </row>
    <row r="17" spans="1:9" s="45" customFormat="1" ht="27" customHeight="1" x14ac:dyDescent="0.3">
      <c r="A17" s="1801" t="s">
        <v>2873</v>
      </c>
      <c r="B17" s="1802" t="s">
        <v>2876</v>
      </c>
      <c r="C17" s="1006" t="s">
        <v>2160</v>
      </c>
      <c r="D17" s="1805">
        <f>'ТЕ_2ст_тариф_без ЦТП'!I14</f>
        <v>82.049342543904487</v>
      </c>
      <c r="E17" s="1805">
        <f>'ТЕ_2ст_тариф_без ЦТП'!L14</f>
        <v>1.3291675959893333E-2</v>
      </c>
      <c r="F17" s="1805">
        <f>'ТЕ_2ст_тариф_без ЦТП'!O14</f>
        <v>12.519553368115806</v>
      </c>
      <c r="G17" s="1805">
        <f>'ТЕ_2ст_тариф_без ЦТП'!R14</f>
        <v>4.2136191041387132</v>
      </c>
      <c r="I17" s="1499"/>
    </row>
    <row r="18" spans="1:9" s="45" customFormat="1" ht="14.4" customHeight="1" x14ac:dyDescent="0.3">
      <c r="A18" s="1611" t="s">
        <v>2874</v>
      </c>
      <c r="B18" s="2023" t="s">
        <v>644</v>
      </c>
      <c r="C18" s="1006" t="s">
        <v>2160</v>
      </c>
      <c r="D18" s="1805">
        <f>'ТЕ_2ст_тариф_без ЦТП'!I15</f>
        <v>13.668480880354855</v>
      </c>
      <c r="E18" s="1805">
        <f>'ТЕ_2ст_тариф_без ЦТП'!L15</f>
        <v>0</v>
      </c>
      <c r="F18" s="1805">
        <f>'ТЕ_2ст_тариф_без ЦТП'!O15</f>
        <v>2.0104763849135998</v>
      </c>
      <c r="G18" s="1805">
        <f>'ТЕ_2ст_тариф_без ЦТП'!R15</f>
        <v>0.76925616016375076</v>
      </c>
      <c r="I18" s="1499"/>
    </row>
    <row r="19" spans="1:9" s="45" customFormat="1" ht="15.6" customHeight="1" x14ac:dyDescent="0.3">
      <c r="A19" s="1611" t="s">
        <v>2875</v>
      </c>
      <c r="B19" s="2023" t="s">
        <v>643</v>
      </c>
      <c r="C19" s="1006" t="s">
        <v>2160</v>
      </c>
      <c r="D19" s="1805">
        <f>'ТЕ_2ст_тариф_без ЦТП'!I16</f>
        <v>68.380861663549609</v>
      </c>
      <c r="E19" s="1805">
        <f>'ТЕ_2ст_тариф_без ЦТП'!L16</f>
        <v>1.3291675959893333E-2</v>
      </c>
      <c r="F19" s="1805">
        <f>'ТЕ_2ст_тариф_без ЦТП'!O16</f>
        <v>10.509076983202204</v>
      </c>
      <c r="G19" s="1805">
        <f>'ТЕ_2ст_тариф_без ЦТП'!R16</f>
        <v>3.4443629439749621</v>
      </c>
      <c r="I19" s="1499"/>
    </row>
    <row r="20" spans="1:9" s="45" customFormat="1" ht="15.6" x14ac:dyDescent="0.3">
      <c r="A20" s="1611">
        <v>4</v>
      </c>
      <c r="B20" s="2023" t="s">
        <v>2189</v>
      </c>
      <c r="C20" s="1823" t="s">
        <v>31</v>
      </c>
      <c r="D20" s="1805">
        <f>'ТЕ_2ст_тариф_без ЦТП'!J17</f>
        <v>59.458515646999999</v>
      </c>
      <c r="E20" s="1805">
        <f>'ТЕ_2ст_тариф_без ЦТП'!M17</f>
        <v>9.6319999999999999E-3</v>
      </c>
      <c r="F20" s="1805">
        <f>'ТЕ_2ст_тариф_без ЦТП'!P17</f>
        <v>9.0724704999999997</v>
      </c>
      <c r="G20" s="1805">
        <f>'ТЕ_2ст_тариф_без ЦТП'!S17</f>
        <v>3.05345837</v>
      </c>
      <c r="I20" s="1499"/>
    </row>
    <row r="21" spans="1:9" s="45" customFormat="1" ht="15.6" x14ac:dyDescent="0.3">
      <c r="A21" s="1611" t="s">
        <v>1775</v>
      </c>
      <c r="B21" s="2023" t="s">
        <v>644</v>
      </c>
      <c r="C21" s="1823" t="s">
        <v>31</v>
      </c>
      <c r="D21" s="1805">
        <f>'ТЕ_2ст_тариф_без ЦТП'!J18</f>
        <v>9.9052058670000012</v>
      </c>
      <c r="E21" s="1805">
        <f>'ТЕ_2ст_тариф_без ЦТП'!M18</f>
        <v>0</v>
      </c>
      <c r="F21" s="1805">
        <f>'ТЕ_2ст_тариф_без ЦТП'!P18</f>
        <v>1.45692</v>
      </c>
      <c r="G21" s="1805">
        <f>'ТЕ_2ст_тариф_без ЦТП'!S18</f>
        <v>0.5574522999999999</v>
      </c>
      <c r="I21" s="1499"/>
    </row>
    <row r="22" spans="1:9" s="45" customFormat="1" ht="15.6" x14ac:dyDescent="0.3">
      <c r="A22" s="1611" t="s">
        <v>1778</v>
      </c>
      <c r="B22" s="2023" t="s">
        <v>643</v>
      </c>
      <c r="C22" s="1823" t="s">
        <v>31</v>
      </c>
      <c r="D22" s="1805">
        <f>'ТЕ_2ст_тариф_без ЦТП'!J19</f>
        <v>49.553309780062136</v>
      </c>
      <c r="E22" s="1805">
        <f>'ТЕ_2ст_тариф_без ЦТП'!M19</f>
        <v>9.6319999999999999E-3</v>
      </c>
      <c r="F22" s="1805">
        <f>'ТЕ_2ст_тариф_без ЦТП'!P19</f>
        <v>7.6155505000000003</v>
      </c>
      <c r="G22" s="1805">
        <f>'ТЕ_2ст_тариф_без ЦТП'!S19</f>
        <v>2.4960060699999995</v>
      </c>
      <c r="I22" s="1499"/>
    </row>
    <row r="23" spans="1:9" s="45" customFormat="1" ht="15.6" x14ac:dyDescent="0.3">
      <c r="A23" s="4906" t="s">
        <v>2877</v>
      </c>
      <c r="B23" s="4906"/>
      <c r="C23" s="4906"/>
      <c r="D23" s="4906"/>
      <c r="E23" s="4906"/>
      <c r="F23" s="4906"/>
      <c r="G23" s="4906"/>
      <c r="I23" s="1499"/>
    </row>
    <row r="24" spans="1:9" s="45" customFormat="1" ht="26.4" x14ac:dyDescent="0.3">
      <c r="A24" s="1491">
        <v>5</v>
      </c>
      <c r="B24" s="1823" t="s">
        <v>2963</v>
      </c>
      <c r="C24" s="2010" t="s">
        <v>2286</v>
      </c>
      <c r="D24" s="1803">
        <f>'ТЕ_2ст_тариф_без ЦТП'!I37/D$16</f>
        <v>889.12343253867959</v>
      </c>
      <c r="E24" s="1803">
        <f>'ТЕ_2ст_тариф_без ЦТП'!L37/E$16</f>
        <v>1876.1334419091138</v>
      </c>
      <c r="F24" s="1803">
        <f>'ТЕ_2ст_тариф_без ЦТП'!O37/F$16</f>
        <v>1876.1334419091138</v>
      </c>
      <c r="G24" s="1803">
        <f>'ТЕ_2ст_тариф_без ЦТП'!R37/G$16</f>
        <v>1876.133441909114</v>
      </c>
      <c r="I24" s="1499"/>
    </row>
    <row r="25" spans="1:9" s="45" customFormat="1" ht="16.2" customHeight="1" x14ac:dyDescent="0.3">
      <c r="A25" s="1491" t="s">
        <v>1847</v>
      </c>
      <c r="B25" s="337" t="s">
        <v>216</v>
      </c>
      <c r="C25" s="2010" t="s">
        <v>2286</v>
      </c>
      <c r="D25" s="1803">
        <f>'ТЕ_2ст_тариф_без ЦТП'!I38/D$16</f>
        <v>889.12343253867959</v>
      </c>
      <c r="E25" s="1803">
        <f>'ТЕ_2ст_тариф_без ЦТП'!L38/E$16</f>
        <v>1876.1334419091138</v>
      </c>
      <c r="F25" s="1803">
        <f>'ТЕ_2ст_тариф_без ЦТП'!O38/F$16</f>
        <v>1876.1334419091138</v>
      </c>
      <c r="G25" s="1803">
        <f>'ТЕ_2ст_тариф_без ЦТП'!R38/G$16</f>
        <v>1876.133441909114</v>
      </c>
      <c r="I25" s="1499"/>
    </row>
    <row r="26" spans="1:9" s="45" customFormat="1" ht="16.95" customHeight="1" x14ac:dyDescent="0.3">
      <c r="A26" s="1809" t="s">
        <v>2880</v>
      </c>
      <c r="B26" s="147" t="s">
        <v>454</v>
      </c>
      <c r="C26" s="2010" t="s">
        <v>2286</v>
      </c>
      <c r="D26" s="1803">
        <f>'ТЕ_2ст_тариф_без ЦТП'!I39/D$16</f>
        <v>834.48969635856406</v>
      </c>
      <c r="E26" s="1803">
        <f>'ТЕ_2ст_тариф_без ЦТП'!L39/E$16</f>
        <v>1821.4997057289984</v>
      </c>
      <c r="F26" s="1803">
        <f>'ТЕ_2ст_тариф_без ЦТП'!O39/F$16</f>
        <v>1821.4997057289984</v>
      </c>
      <c r="G26" s="1803">
        <f>'ТЕ_2ст_тариф_без ЦТП'!R39/G$16</f>
        <v>1821.4997057289986</v>
      </c>
      <c r="I26" s="1499"/>
    </row>
    <row r="27" spans="1:9" s="45" customFormat="1" ht="17.399999999999999" customHeight="1" x14ac:dyDescent="0.3">
      <c r="A27" s="1813" t="s">
        <v>2905</v>
      </c>
      <c r="B27" s="1797" t="s">
        <v>440</v>
      </c>
      <c r="C27" s="2010" t="s">
        <v>2286</v>
      </c>
      <c r="D27" s="1803">
        <f>'ТЕ_2ст_тариф_без ЦТП'!I40/D$16</f>
        <v>816.45600016595188</v>
      </c>
      <c r="E27" s="1803">
        <f>'ТЕ_2ст_тариф_без ЦТП'!L40/E$16</f>
        <v>1803.4660095363861</v>
      </c>
      <c r="F27" s="1803">
        <f>'ТЕ_2ст_тариф_без ЦТП'!O40/F$16</f>
        <v>1803.4660095363861</v>
      </c>
      <c r="G27" s="1803">
        <f>'ТЕ_2ст_тариф_без ЦТП'!R40/G$16</f>
        <v>1803.4660095363865</v>
      </c>
      <c r="I27" s="1499"/>
    </row>
    <row r="28" spans="1:9" s="45" customFormat="1" ht="17.399999999999999" customHeight="1" x14ac:dyDescent="0.3">
      <c r="A28" s="1813" t="s">
        <v>2906</v>
      </c>
      <c r="B28" s="1797" t="s">
        <v>1904</v>
      </c>
      <c r="C28" s="2010" t="s">
        <v>2286</v>
      </c>
      <c r="D28" s="1803">
        <f>'ТЕ_2ст_тариф_без ЦТП'!I41/D$16</f>
        <v>18.033696192612236</v>
      </c>
      <c r="E28" s="1803">
        <f>'ТЕ_2ст_тариф_без ЦТП'!L41/E$16</f>
        <v>18.033696192612236</v>
      </c>
      <c r="F28" s="1803">
        <f>'ТЕ_2ст_тариф_без ЦТП'!O41/F$16</f>
        <v>18.033696192612233</v>
      </c>
      <c r="G28" s="1803">
        <f>'ТЕ_2ст_тариф_без ЦТП'!R41/G$16</f>
        <v>18.03369619261224</v>
      </c>
      <c r="I28" s="1499"/>
    </row>
    <row r="29" spans="1:9" s="45" customFormat="1" ht="17.399999999999999" customHeight="1" x14ac:dyDescent="0.3">
      <c r="A29" s="1491" t="s">
        <v>1849</v>
      </c>
      <c r="B29" s="147" t="s">
        <v>43</v>
      </c>
      <c r="C29" s="2010" t="s">
        <v>2286</v>
      </c>
      <c r="D29" s="1803">
        <f>'ТЕ_2ст_тариф_без ЦТП'!I43/D$16</f>
        <v>54.633736180115534</v>
      </c>
      <c r="E29" s="1803">
        <f>'ТЕ_2ст_тариф_без ЦТП'!L43/E$16</f>
        <v>54.633736180115527</v>
      </c>
      <c r="F29" s="1803">
        <f>'ТЕ_2ст_тариф_без ЦТП'!O43/F$16</f>
        <v>54.633736180115527</v>
      </c>
      <c r="G29" s="1803">
        <f>'ТЕ_2ст_тариф_без ЦТП'!R43/G$16</f>
        <v>54.633736180115534</v>
      </c>
      <c r="I29" s="1499"/>
    </row>
    <row r="30" spans="1:9" s="45" customFormat="1" ht="15.6" x14ac:dyDescent="0.3">
      <c r="A30" s="4906" t="s">
        <v>2878</v>
      </c>
      <c r="B30" s="4906"/>
      <c r="C30" s="4906"/>
      <c r="D30" s="4906"/>
      <c r="E30" s="4906"/>
      <c r="F30" s="4906"/>
      <c r="G30" s="4906"/>
      <c r="I30" s="1499"/>
    </row>
    <row r="31" spans="1:9" s="45" customFormat="1" ht="39.6" x14ac:dyDescent="0.3">
      <c r="A31" s="1798">
        <v>6</v>
      </c>
      <c r="B31" s="1823" t="s">
        <v>2964</v>
      </c>
      <c r="C31" s="2010" t="s">
        <v>3058</v>
      </c>
      <c r="D31" s="1808">
        <f>'ТЕ_2ст_тариф_без ЦТП'!J76/D$20*1000/12</f>
        <v>54678.243989172748</v>
      </c>
      <c r="E31" s="1808">
        <f>'ТЕ_2ст_тариф_без ЦТП'!M76/E$20*1000/12</f>
        <v>60453.204509315598</v>
      </c>
      <c r="F31" s="1808">
        <f>'ТЕ_2ст_тариф_без ЦТП'!P76/F$20*1000/12</f>
        <v>60453.204509315598</v>
      </c>
      <c r="G31" s="1808">
        <f>'ТЕ_2ст_тариф_без ЦТП'!S76/G$20*1000/12</f>
        <v>60453.204509315576</v>
      </c>
      <c r="I31" s="1499"/>
    </row>
    <row r="32" spans="1:9" s="45" customFormat="1" ht="15.6" x14ac:dyDescent="0.3">
      <c r="A32" s="1798" t="s">
        <v>1853</v>
      </c>
      <c r="B32" s="337" t="s">
        <v>215</v>
      </c>
      <c r="C32" s="2008" t="s">
        <v>3060</v>
      </c>
      <c r="D32" s="1808">
        <f>'ТЕ_2ст_тариф_без ЦТП'!J37/D$20*1000/12</f>
        <v>39900.889675577782</v>
      </c>
      <c r="E32" s="1808">
        <f>'ТЕ_2ст_тариф_без ЦТП'!M37/E$20*1000/12</f>
        <v>39900.889675548191</v>
      </c>
      <c r="F32" s="1808">
        <f>'ТЕ_2ст_тариф_без ЦТП'!P37/F$20*1000/12</f>
        <v>39900.889675548191</v>
      </c>
      <c r="G32" s="1808">
        <f>'ТЕ_2ст_тариф_без ЦТП'!S37/G$20*1000/12</f>
        <v>39900.889675548176</v>
      </c>
      <c r="I32" s="1499"/>
    </row>
    <row r="33" spans="1:9" s="45" customFormat="1" ht="15.6" x14ac:dyDescent="0.3">
      <c r="A33" s="1798" t="s">
        <v>2881</v>
      </c>
      <c r="B33" s="337" t="s">
        <v>216</v>
      </c>
      <c r="C33" s="2008" t="s">
        <v>3060</v>
      </c>
      <c r="D33" s="1808">
        <f>'ТЕ_2ст_тариф_без ЦТП'!J38/D$20*1000/12</f>
        <v>12345.839733709254</v>
      </c>
      <c r="E33" s="1808">
        <f>'ТЕ_2ст_тариф_без ЦТП'!M38/E$20*1000/12</f>
        <v>12345.839733708459</v>
      </c>
      <c r="F33" s="1808">
        <f>'ТЕ_2ст_тариф_без ЦТП'!P38/F$20*1000/12</f>
        <v>12345.839733708459</v>
      </c>
      <c r="G33" s="1808">
        <f>'ТЕ_2ст_тариф_без ЦТП'!S38/G$20*1000/12</f>
        <v>12345.839733708459</v>
      </c>
      <c r="I33" s="1499"/>
    </row>
    <row r="34" spans="1:9" s="45" customFormat="1" ht="15.6" x14ac:dyDescent="0.3">
      <c r="A34" s="1798"/>
      <c r="B34" s="147" t="s">
        <v>454</v>
      </c>
      <c r="C34" s="2008" t="s">
        <v>3060</v>
      </c>
      <c r="D34" s="1808">
        <f>'ТЕ_2ст_тариф_без ЦТП'!J39/D$20*1000/12</f>
        <v>11581.902435319133</v>
      </c>
      <c r="E34" s="1808">
        <f>'ТЕ_2ст_тариф_без ЦТП'!M39/E$20*1000/12</f>
        <v>11581.902435319133</v>
      </c>
      <c r="F34" s="1808">
        <f>'ТЕ_2ст_тариф_без ЦТП'!P39/F$20*1000/12</f>
        <v>11581.902435319133</v>
      </c>
      <c r="G34" s="1808">
        <f>'ТЕ_2ст_тариф_без ЦТП'!S39/G$20*1000/12</f>
        <v>11581.902435319133</v>
      </c>
      <c r="I34" s="1499"/>
    </row>
    <row r="35" spans="1:9" s="45" customFormat="1" ht="15.6" x14ac:dyDescent="0.3">
      <c r="A35" s="1798"/>
      <c r="B35" s="147" t="s">
        <v>1905</v>
      </c>
      <c r="C35" s="2008" t="s">
        <v>3060</v>
      </c>
      <c r="D35" s="1808">
        <f>'ТЕ_2ст_тариф_без ЦТП'!J42/D$20*1000/12</f>
        <v>11581.902435319133</v>
      </c>
      <c r="E35" s="1808">
        <f>'ТЕ_2ст_тариф_без ЦТП'!M42/E$20*1000/12</f>
        <v>11581.902435319133</v>
      </c>
      <c r="F35" s="1808">
        <f>'ТЕ_2ст_тариф_без ЦТП'!P42/F$20*1000/12</f>
        <v>11581.902435319133</v>
      </c>
      <c r="G35" s="1808">
        <f>'ТЕ_2ст_тариф_без ЦТП'!S42/G$20*1000/12</f>
        <v>11581.902435319133</v>
      </c>
      <c r="I35" s="1499"/>
    </row>
    <row r="36" spans="1:9" s="45" customFormat="1" ht="26.4" x14ac:dyDescent="0.3">
      <c r="A36" s="1798" t="s">
        <v>2882</v>
      </c>
      <c r="B36" s="337" t="s">
        <v>1689</v>
      </c>
      <c r="C36" s="2008" t="s">
        <v>3060</v>
      </c>
      <c r="D36" s="1808">
        <f>'ТЕ_2ст_тариф_без ЦТП'!J47/D$20*1000/12</f>
        <v>38.776394808818559</v>
      </c>
      <c r="E36" s="1808">
        <f>'ТЕ_2ст_тариф_без ЦТП'!M47/E$20*1000/12</f>
        <v>38.776394808778043</v>
      </c>
      <c r="F36" s="1808">
        <f>'ТЕ_2ст_тариф_без ЦТП'!P47/F$20*1000/12</f>
        <v>38.776394808778036</v>
      </c>
      <c r="G36" s="1808">
        <f>'ТЕ_2ст_тариф_без ЦТП'!S47/G$20*1000/12</f>
        <v>38.776394808778029</v>
      </c>
      <c r="I36" s="1499"/>
    </row>
    <row r="37" spans="1:9" s="45" customFormat="1" ht="15.6" x14ac:dyDescent="0.3">
      <c r="A37" s="1798" t="s">
        <v>2883</v>
      </c>
      <c r="B37" s="337" t="s">
        <v>610</v>
      </c>
      <c r="C37" s="2008" t="s">
        <v>3060</v>
      </c>
      <c r="D37" s="1808">
        <f>'ТЕ_2ст_тариф_без ЦТП'!J48/D$20*1000/12</f>
        <v>725.16090358130612</v>
      </c>
      <c r="E37" s="1808">
        <f>'ТЕ_2ст_тариф_без ЦТП'!M48/E$20*1000/12</f>
        <v>725.16090358054828</v>
      </c>
      <c r="F37" s="1808">
        <f>'ТЕ_2ст_тариф_без ЦТП'!P48/F$20*1000/12</f>
        <v>725.16090358054851</v>
      </c>
      <c r="G37" s="1808">
        <f>'ТЕ_2ст_тариф_без ЦТП'!S48/G$20*1000/12</f>
        <v>725.16090358054817</v>
      </c>
      <c r="I37" s="1499"/>
    </row>
    <row r="38" spans="1:9" s="45" customFormat="1" ht="15.6" x14ac:dyDescent="0.3">
      <c r="A38" s="1798" t="s">
        <v>1855</v>
      </c>
      <c r="B38" s="337" t="s">
        <v>47</v>
      </c>
      <c r="C38" s="2008" t="s">
        <v>3060</v>
      </c>
      <c r="D38" s="1808">
        <f>'ТЕ_2ст_тариф_без ЦТП'!J49/D$20*1000/12</f>
        <v>13070.144791286863</v>
      </c>
      <c r="E38" s="1808">
        <f>'ТЕ_2ст_тариф_без ЦТП'!M49/E$20*1000/12</f>
        <v>13070.144791273206</v>
      </c>
      <c r="F38" s="1808">
        <f>'ТЕ_2ст_тариф_без ЦТП'!P49/F$20*1000/12</f>
        <v>13070.144791273204</v>
      </c>
      <c r="G38" s="1808">
        <f>'ТЕ_2ст_тариф_без ЦТП'!S49/G$20*1000/12</f>
        <v>13070.144791273204</v>
      </c>
      <c r="I38" s="1499"/>
    </row>
    <row r="39" spans="1:9" s="45" customFormat="1" ht="15.6" x14ac:dyDescent="0.3">
      <c r="A39" s="1798" t="s">
        <v>2539</v>
      </c>
      <c r="B39" s="337" t="s">
        <v>217</v>
      </c>
      <c r="C39" s="2008" t="s">
        <v>3060</v>
      </c>
      <c r="D39" s="1808">
        <f>'ТЕ_2ст_тариф_без ЦТП'!J50/D$20*1000/12</f>
        <v>8419.746090909719</v>
      </c>
      <c r="E39" s="1808">
        <f>'ТЕ_2ст_тариф_без ЦТП'!M50/E$20*1000/12</f>
        <v>8419.7460909009205</v>
      </c>
      <c r="F39" s="1808">
        <f>'ТЕ_2ст_тариф_без ЦТП'!P50/F$20*1000/12</f>
        <v>8419.7460909009224</v>
      </c>
      <c r="G39" s="1808">
        <f>'ТЕ_2ст_тариф_без ЦТП'!S50/G$20*1000/12</f>
        <v>8419.7460909009187</v>
      </c>
      <c r="I39" s="1499"/>
    </row>
    <row r="40" spans="1:9" s="45" customFormat="1" ht="27" customHeight="1" x14ac:dyDescent="0.3">
      <c r="A40" s="1798" t="s">
        <v>2884</v>
      </c>
      <c r="B40" s="147" t="s">
        <v>452</v>
      </c>
      <c r="C40" s="2008" t="s">
        <v>3060</v>
      </c>
      <c r="D40" s="1808">
        <f>'ТЕ_2ст_тариф_без ЦТП'!J51/D$20*1000/12</f>
        <v>2875.4318540831096</v>
      </c>
      <c r="E40" s="1808">
        <f>'ТЕ_2ст_тариф_без ЦТП'!M51/E$20*1000/12</f>
        <v>2875.4318540801046</v>
      </c>
      <c r="F40" s="1808">
        <f>'ТЕ_2ст_тариф_без ЦТП'!P51/F$20*1000/12</f>
        <v>2875.4318540801046</v>
      </c>
      <c r="G40" s="1808">
        <f>'ТЕ_2ст_тариф_без ЦТП'!S51/G$20*1000/12</f>
        <v>2875.4318540801037</v>
      </c>
      <c r="I40" s="1499"/>
    </row>
    <row r="41" spans="1:9" s="45" customFormat="1" ht="15.6" x14ac:dyDescent="0.3">
      <c r="A41" s="1798" t="s">
        <v>2885</v>
      </c>
      <c r="B41" s="147" t="s">
        <v>453</v>
      </c>
      <c r="C41" s="2008" t="s">
        <v>3060</v>
      </c>
      <c r="D41" s="1808">
        <f>'ТЕ_2ст_тариф_без ЦТП'!J52/D$20*1000/12</f>
        <v>2471.0643711521288</v>
      </c>
      <c r="E41" s="1808">
        <f>'ТЕ_2ст_тариф_без ЦТП'!M52/E$20*1000/12</f>
        <v>2471.0643711495463</v>
      </c>
      <c r="F41" s="1808">
        <f>'ТЕ_2ст_тариф_без ЦТП'!P52/F$20*1000/12</f>
        <v>2471.0643711495468</v>
      </c>
      <c r="G41" s="1808">
        <f>'ТЕ_2ст_тариф_без ЦТП'!S52/G$20*1000/12</f>
        <v>2471.0643711495463</v>
      </c>
      <c r="I41" s="1499"/>
    </row>
    <row r="42" spans="1:9" s="45" customFormat="1" ht="15.6" x14ac:dyDescent="0.3">
      <c r="A42" s="1798" t="s">
        <v>2886</v>
      </c>
      <c r="B42" s="147" t="s">
        <v>52</v>
      </c>
      <c r="C42" s="2008" t="s">
        <v>3060</v>
      </c>
      <c r="D42" s="1808">
        <f>'ТЕ_2ст_тариф_без ЦТП'!J53/D$20*1000/12</f>
        <v>3073.2498656744833</v>
      </c>
      <c r="E42" s="1808">
        <f>'ТЕ_2ст_тариф_без ЦТП'!M53/E$20*1000/12</f>
        <v>3073.2498656712719</v>
      </c>
      <c r="F42" s="1808">
        <f>'ТЕ_2ст_тариф_без ЦТП'!P53/F$20*1000/12</f>
        <v>3073.2498656712719</v>
      </c>
      <c r="G42" s="1808">
        <f>'ТЕ_2ст_тариф_без ЦТП'!S53/G$20*1000/12</f>
        <v>3073.249865671271</v>
      </c>
      <c r="I42" s="1499"/>
    </row>
    <row r="43" spans="1:9" s="45" customFormat="1" ht="15.6" x14ac:dyDescent="0.3">
      <c r="A43" s="1798" t="s">
        <v>2887</v>
      </c>
      <c r="B43" s="147" t="s">
        <v>218</v>
      </c>
      <c r="C43" s="2008" t="s">
        <v>3060</v>
      </c>
      <c r="D43" s="1808">
        <f>'ТЕ_2ст_тариф_без ЦТП'!J54/D$20*1000/12</f>
        <v>6065.1590596719434</v>
      </c>
      <c r="E43" s="1808">
        <f>'ТЕ_2ст_тариф_без ЦТП'!M54/E$20*1000/12</f>
        <v>6065.1590596656069</v>
      </c>
      <c r="F43" s="1808">
        <f>'ТЕ_2ст_тариф_без ЦТП'!P54/F$20*1000/12</f>
        <v>6065.1590596656069</v>
      </c>
      <c r="G43" s="1808">
        <f>'ТЕ_2ст_тариф_без ЦТП'!S54/G$20*1000/12</f>
        <v>6065.159059665606</v>
      </c>
      <c r="I43" s="1499"/>
    </row>
    <row r="44" spans="1:9" s="45" customFormat="1" ht="15.6" x14ac:dyDescent="0.3">
      <c r="A44" s="1798" t="s">
        <v>2888</v>
      </c>
      <c r="B44" s="147" t="s">
        <v>55</v>
      </c>
      <c r="C44" s="2008" t="s">
        <v>3060</v>
      </c>
      <c r="D44" s="1808">
        <f>'ТЕ_2ст_тариф_без ЦТП'!J55/D$20*1000/12</f>
        <v>4634.5435098456674</v>
      </c>
      <c r="E44" s="1808">
        <f>'ТЕ_2ст_тариф_без ЦТП'!M55/E$20*1000/12</f>
        <v>4634.5435098408252</v>
      </c>
      <c r="F44" s="1808">
        <f>'ТЕ_2ст_тариф_без ЦТП'!P55/F$20*1000/12</f>
        <v>4634.5435098408252</v>
      </c>
      <c r="G44" s="1808">
        <f>'ТЕ_2ст_тариф_без ЦТП'!S55/G$20*1000/12</f>
        <v>4634.5435098408243</v>
      </c>
      <c r="I44" s="1499"/>
    </row>
    <row r="45" spans="1:9" s="45" customFormat="1" ht="29.4" customHeight="1" x14ac:dyDescent="0.3">
      <c r="A45" s="1798" t="s">
        <v>2889</v>
      </c>
      <c r="B45" s="147" t="s">
        <v>452</v>
      </c>
      <c r="C45" s="2008" t="s">
        <v>3060</v>
      </c>
      <c r="D45" s="1808">
        <f>'ТЕ_2ст_тариф_без ЦТП'!J56/D$20*1000/12</f>
        <v>989.25505326845257</v>
      </c>
      <c r="E45" s="1808">
        <f>'ТЕ_2ст_тариф_без ЦТП'!M56/E$20*1000/12</f>
        <v>989.2550532674187</v>
      </c>
      <c r="F45" s="1808">
        <f>'ТЕ_2ст_тариф_без ЦТП'!P56/F$20*1000/12</f>
        <v>989.25505326741893</v>
      </c>
      <c r="G45" s="1808">
        <f>'ТЕ_2ст_тариф_без ЦТП'!S56/G$20*1000/12</f>
        <v>989.25505326741859</v>
      </c>
      <c r="I45" s="1499"/>
    </row>
    <row r="46" spans="1:9" s="45" customFormat="1" ht="15.6" x14ac:dyDescent="0.3">
      <c r="A46" s="1798" t="s">
        <v>2890</v>
      </c>
      <c r="B46" s="147" t="s">
        <v>58</v>
      </c>
      <c r="C46" s="2008" t="s">
        <v>3060</v>
      </c>
      <c r="D46" s="1808">
        <f>'ТЕ_2ст_тариф_без ЦТП'!J57/D$20*1000/12</f>
        <v>441.36049655782426</v>
      </c>
      <c r="E46" s="1808">
        <f>'ТЕ_2ст_тариф_без ЦТП'!M57/E$20*1000/12</f>
        <v>441.36049655736309</v>
      </c>
      <c r="F46" s="1808">
        <f>'ТЕ_2ст_тариф_без ЦТП'!P57/F$20*1000/12</f>
        <v>441.36049655736309</v>
      </c>
      <c r="G46" s="1808">
        <f>'ТЕ_2ст_тариф_без ЦТП'!S57/G$20*1000/12</f>
        <v>441.36049655736298</v>
      </c>
      <c r="I46" s="1499"/>
    </row>
    <row r="47" spans="1:9" s="45" customFormat="1" ht="15.6" x14ac:dyDescent="0.3">
      <c r="A47" s="1798">
        <v>7</v>
      </c>
      <c r="B47" s="147" t="s">
        <v>219</v>
      </c>
      <c r="C47" s="2008" t="s">
        <v>3060</v>
      </c>
      <c r="D47" s="1808">
        <f>'ТЕ_2ст_тариф_без ЦТП'!J58/D$20*1000/12</f>
        <v>7373.6169467997343</v>
      </c>
      <c r="E47" s="1808">
        <f>'ТЕ_2ст_тариф_без ЦТП'!M58/E$20*1000/12</f>
        <v>7373.6169467920299</v>
      </c>
      <c r="F47" s="1808">
        <f>'ТЕ_2ст_тариф_без ЦТП'!P58/F$20*1000/12</f>
        <v>7373.6169467920308</v>
      </c>
      <c r="G47" s="1808">
        <f>'ТЕ_2ст_тариф_без ЦТП'!S58/G$20*1000/12</f>
        <v>7373.616946792029</v>
      </c>
      <c r="I47" s="1499"/>
    </row>
    <row r="48" spans="1:9" s="45" customFormat="1" ht="15.6" x14ac:dyDescent="0.3">
      <c r="A48" s="1798" t="s">
        <v>1029</v>
      </c>
      <c r="B48" s="147" t="s">
        <v>55</v>
      </c>
      <c r="C48" s="2008" t="s">
        <v>3060</v>
      </c>
      <c r="D48" s="1808">
        <f>'ТЕ_2ст_тариф_без ЦТП'!J59/D$20*1000/12</f>
        <v>5521.8372596453919</v>
      </c>
      <c r="E48" s="1808">
        <f>'ТЕ_2ст_тариф_без ЦТП'!M59/E$20*1000/12</f>
        <v>5521.8372596396221</v>
      </c>
      <c r="F48" s="1808">
        <f>'ТЕ_2ст_тариф_без ЦТП'!P59/F$20*1000/12</f>
        <v>5521.8372596396221</v>
      </c>
      <c r="G48" s="1808">
        <f>'ТЕ_2ст_тариф_без ЦТП'!S59/G$20*1000/12</f>
        <v>5521.8372596396221</v>
      </c>
      <c r="I48" s="1499"/>
    </row>
    <row r="49" spans="1:9" s="45" customFormat="1" ht="27.6" customHeight="1" x14ac:dyDescent="0.3">
      <c r="A49" s="1798" t="s">
        <v>2793</v>
      </c>
      <c r="B49" s="147" t="s">
        <v>452</v>
      </c>
      <c r="C49" s="2008" t="s">
        <v>3060</v>
      </c>
      <c r="D49" s="1808">
        <f>'ТЕ_2ст_тариф_без ЦТП'!J60/D$20*1000/12</f>
        <v>1214.8041971219864</v>
      </c>
      <c r="E49" s="1808">
        <f>'ТЕ_2ст_тариф_без ЦТП'!M60/E$20*1000/12</f>
        <v>1214.8041971207169</v>
      </c>
      <c r="F49" s="1808">
        <f>'ТЕ_2ст_тариф_без ЦТП'!P60/F$20*1000/12</f>
        <v>1214.8041971207172</v>
      </c>
      <c r="G49" s="1808">
        <f>'ТЕ_2ст_тариф_без ЦТП'!S60/G$20*1000/12</f>
        <v>1214.8041971207167</v>
      </c>
      <c r="I49" s="1499"/>
    </row>
    <row r="50" spans="1:9" s="45" customFormat="1" ht="15.6" x14ac:dyDescent="0.3">
      <c r="A50" s="1798" t="s">
        <v>2794</v>
      </c>
      <c r="B50" s="147" t="s">
        <v>58</v>
      </c>
      <c r="C50" s="2008" t="s">
        <v>3060</v>
      </c>
      <c r="D50" s="1808">
        <f>'ТЕ_2ст_тариф_без ЦТП'!J61/D$20*1000/12</f>
        <v>636.97549003235565</v>
      </c>
      <c r="E50" s="1808">
        <f>'ТЕ_2ст_тариф_без ЦТП'!M61/E$20*1000/12</f>
        <v>636.97549003169013</v>
      </c>
      <c r="F50" s="1808">
        <f>'ТЕ_2ст_тариф_без ЦТП'!P61/F$20*1000/12</f>
        <v>636.97549003169013</v>
      </c>
      <c r="G50" s="1808">
        <f>'ТЕ_2ст_тариф_без ЦТП'!S61/G$20*1000/12</f>
        <v>636.9754900316899</v>
      </c>
      <c r="I50" s="1499"/>
    </row>
    <row r="51" spans="1:9" s="45" customFormat="1" ht="15.6" x14ac:dyDescent="0.3">
      <c r="A51" s="1798">
        <v>8</v>
      </c>
      <c r="B51" s="147" t="s">
        <v>5</v>
      </c>
      <c r="C51" s="2008" t="s">
        <v>3060</v>
      </c>
      <c r="D51" s="1808">
        <f>'ТЕ_2ст_тариф_без ЦТП'!J67/D$20*1000/12</f>
        <v>0</v>
      </c>
      <c r="E51" s="1808">
        <f>'ТЕ_2ст_тариф_без ЦТП'!M67/E$20*1000/12</f>
        <v>0</v>
      </c>
      <c r="F51" s="1808">
        <f>'ТЕ_2ст_тариф_без ЦТП'!P67/F$20*1000/12</f>
        <v>0</v>
      </c>
      <c r="G51" s="1808">
        <f>'ТЕ_2ст_тариф_без ЦТП'!S67/G$20*1000/12</f>
        <v>0</v>
      </c>
      <c r="I51" s="1499"/>
    </row>
    <row r="52" spans="1:9" s="45" customFormat="1" ht="15.6" x14ac:dyDescent="0.3">
      <c r="A52" s="1798">
        <v>9</v>
      </c>
      <c r="B52" s="147" t="s">
        <v>176</v>
      </c>
      <c r="C52" s="2008" t="s">
        <v>3060</v>
      </c>
      <c r="D52" s="1808">
        <f>'ТЕ_2ст_тариф_без ЦТП'!J68/D$20*1000/12</f>
        <v>47274.506622377514</v>
      </c>
      <c r="E52" s="1808">
        <f>'ТЕ_2ст_тариф_без ЦТП'!M68/E$20*1000/12</f>
        <v>47274.506622340232</v>
      </c>
      <c r="F52" s="1808">
        <f>'ТЕ_2ст_тариф_без ЦТП'!P68/F$20*1000/12</f>
        <v>47274.506622340232</v>
      </c>
      <c r="G52" s="1808">
        <f>'ТЕ_2ст_тариф_без ЦТП'!S68/G$20*1000/12</f>
        <v>47274.50662234021</v>
      </c>
      <c r="I52" s="1499"/>
    </row>
    <row r="53" spans="1:9" s="45" customFormat="1" ht="15.6" x14ac:dyDescent="0.3">
      <c r="A53" s="1798">
        <v>10</v>
      </c>
      <c r="B53" s="147" t="s">
        <v>221</v>
      </c>
      <c r="C53" s="2008" t="s">
        <v>3060</v>
      </c>
      <c r="D53" s="1808">
        <v>0</v>
      </c>
      <c r="E53" s="1808">
        <v>0</v>
      </c>
      <c r="F53" s="1808">
        <v>0</v>
      </c>
      <c r="G53" s="1808">
        <v>0</v>
      </c>
      <c r="I53" s="1499"/>
    </row>
    <row r="54" spans="1:9" s="45" customFormat="1" ht="15.6" x14ac:dyDescent="0.3">
      <c r="A54" s="1798">
        <v>11</v>
      </c>
      <c r="B54" s="147" t="s">
        <v>2879</v>
      </c>
      <c r="C54" s="2008" t="s">
        <v>3060</v>
      </c>
      <c r="D54" s="1808">
        <f>'ТЕ_2ст_тариф_без ЦТП'!J69/D$20*1000/12</f>
        <v>0</v>
      </c>
      <c r="E54" s="1808">
        <f>'ТЕ_2ст_тариф_без ЦТП'!M69/E$20*1000/12</f>
        <v>0</v>
      </c>
      <c r="F54" s="1808">
        <f>'ТЕ_2ст_тариф_без ЦТП'!P69/F$20*1000/12</f>
        <v>0</v>
      </c>
      <c r="G54" s="1808">
        <f>'ТЕ_2ст_тариф_без ЦТП'!S69/G$20*1000/12</f>
        <v>0</v>
      </c>
      <c r="I54" s="1499"/>
    </row>
    <row r="55" spans="1:9" s="45" customFormat="1" ht="28.2" customHeight="1" x14ac:dyDescent="0.3">
      <c r="A55" s="1798">
        <v>12</v>
      </c>
      <c r="B55" s="1506" t="s">
        <v>222</v>
      </c>
      <c r="C55" s="2008" t="s">
        <v>3060</v>
      </c>
      <c r="D55" s="1808">
        <f>'ТЕ_2ст_тариф_без ЦТП'!J70/D$20*1000/12</f>
        <v>7403.7373667952343</v>
      </c>
      <c r="E55" s="1808">
        <f>'ТЕ_2ст_тариф_без ЦТП'!M70/E$20*1000/12</f>
        <v>13178.697886975368</v>
      </c>
      <c r="F55" s="1808">
        <f>'ТЕ_2ст_тариф_без ЦТП'!P70/F$20*1000/12</f>
        <v>13178.697886975366</v>
      </c>
      <c r="G55" s="1808">
        <f>'ТЕ_2ст_тариф_без ЦТП'!S70/G$20*1000/12</f>
        <v>13178.697886975368</v>
      </c>
      <c r="I55" s="1499"/>
    </row>
    <row r="56" spans="1:9" s="45" customFormat="1" ht="15.6" x14ac:dyDescent="0.3">
      <c r="A56" s="1798" t="s">
        <v>2891</v>
      </c>
      <c r="B56" s="147" t="s">
        <v>2897</v>
      </c>
      <c r="C56" s="2008" t="s">
        <v>3060</v>
      </c>
      <c r="D56" s="1808">
        <f>'ТЕ_2ст_тариф_без ЦТП'!J71/D$20*1000/12</f>
        <v>1332.6727260231419</v>
      </c>
      <c r="E56" s="1808">
        <f>'ТЕ_2ст_тариф_без ЦТП'!M71/E$20*1000/12</f>
        <v>2372.1656196555664</v>
      </c>
      <c r="F56" s="1808">
        <f>'ТЕ_2ст_тариф_без ЦТП'!P71/F$20*1000/12</f>
        <v>2372.1656196555655</v>
      </c>
      <c r="G56" s="1808">
        <f>'ТЕ_2ст_тариф_без ЦТП'!S71/G$20*1000/12</f>
        <v>2372.1656196555659</v>
      </c>
      <c r="I56" s="1499"/>
    </row>
    <row r="57" spans="1:9" s="45" customFormat="1" ht="15.6" x14ac:dyDescent="0.3">
      <c r="A57" s="1798" t="s">
        <v>2892</v>
      </c>
      <c r="B57" s="147" t="s">
        <v>67</v>
      </c>
      <c r="C57" s="2008" t="s">
        <v>3060</v>
      </c>
      <c r="D57" s="1808">
        <f>'ТЕ_2ст_тариф_без ЦТП'!J72/D$20*1000/12</f>
        <v>0</v>
      </c>
      <c r="E57" s="1808">
        <f>'ТЕ_2ст_тариф_без ЦТП'!M72/E$20*1000/12</f>
        <v>0</v>
      </c>
      <c r="F57" s="1808">
        <f>'ТЕ_2ст_тариф_без ЦТП'!P72/F$20*1000/12</f>
        <v>0</v>
      </c>
      <c r="G57" s="1808">
        <f>'ТЕ_2ст_тариф_без ЦТП'!S72/G$20*1000/12</f>
        <v>0</v>
      </c>
      <c r="I57" s="1499"/>
    </row>
    <row r="58" spans="1:9" s="45" customFormat="1" ht="15.6" x14ac:dyDescent="0.3">
      <c r="A58" s="1798" t="s">
        <v>2893</v>
      </c>
      <c r="B58" s="147" t="s">
        <v>69</v>
      </c>
      <c r="C58" s="2008" t="s">
        <v>3060</v>
      </c>
      <c r="D58" s="1808">
        <f>'ТЕ_2ст_тариф_без ЦТП'!J73/D$20*1000/12</f>
        <v>0</v>
      </c>
      <c r="E58" s="1808">
        <f>'ТЕ_2ст_тариф_без ЦТП'!M73/E$20*1000/12</f>
        <v>0</v>
      </c>
      <c r="F58" s="1808">
        <f>'ТЕ_2ст_тариф_без ЦТП'!P73/F$20*1000/12</f>
        <v>0</v>
      </c>
      <c r="G58" s="1808">
        <f>'ТЕ_2ст_тариф_без ЦТП'!S73/G$20*1000/12</f>
        <v>0</v>
      </c>
      <c r="I58" s="1499"/>
    </row>
    <row r="59" spans="1:9" s="45" customFormat="1" ht="26.4" x14ac:dyDescent="0.3">
      <c r="A59" s="1798" t="s">
        <v>2894</v>
      </c>
      <c r="B59" s="147" t="s">
        <v>2898</v>
      </c>
      <c r="C59" s="2008" t="s">
        <v>3060</v>
      </c>
      <c r="D59" s="1808">
        <f>'ТЕ_2ст_тариф_без ЦТП'!J74/D$20*1000/12</f>
        <v>0</v>
      </c>
      <c r="E59" s="1808">
        <f>'ТЕ_2ст_тариф_без ЦТП'!M74/E$20*1000/12</f>
        <v>0</v>
      </c>
      <c r="F59" s="1808">
        <f>'ТЕ_2ст_тариф_без ЦТП'!P74/F$20*1000/12</f>
        <v>0</v>
      </c>
      <c r="G59" s="1808">
        <f>'ТЕ_2ст_тариф_без ЦТП'!S74/G$20*1000/12</f>
        <v>0</v>
      </c>
      <c r="I59" s="1499"/>
    </row>
    <row r="60" spans="1:9" s="45" customFormat="1" ht="15.6" x14ac:dyDescent="0.3">
      <c r="A60" s="1798" t="s">
        <v>2895</v>
      </c>
      <c r="B60" s="147" t="s">
        <v>2899</v>
      </c>
      <c r="C60" s="2008" t="s">
        <v>3060</v>
      </c>
      <c r="D60" s="1808">
        <f>'ТЕ_2ст_тариф_без ЦТП'!J75/D$20*1000/12</f>
        <v>6071.0646407720924</v>
      </c>
      <c r="E60" s="1808">
        <f>'ТЕ_2ст_тариф_без ЦТП'!M75/E$20*1000/12</f>
        <v>10806.532267319802</v>
      </c>
      <c r="F60" s="1808">
        <f>'ТЕ_2ст_тариф_без ЦТП'!P75/F$20*1000/12</f>
        <v>10806.532267319802</v>
      </c>
      <c r="G60" s="1808">
        <f>'ТЕ_2ст_тариф_без ЦТП'!S75/G$20*1000/12</f>
        <v>10806.532267319802</v>
      </c>
      <c r="I60" s="1499"/>
    </row>
    <row r="61" spans="1:9" s="45" customFormat="1" ht="15.6" x14ac:dyDescent="0.3">
      <c r="A61" s="4906" t="s">
        <v>2896</v>
      </c>
      <c r="B61" s="4906"/>
      <c r="C61" s="4906"/>
      <c r="D61" s="4906"/>
      <c r="E61" s="4906"/>
      <c r="F61" s="4906"/>
      <c r="G61" s="4906"/>
      <c r="I61" s="1499"/>
    </row>
    <row r="62" spans="1:9" s="45" customFormat="1" ht="26.4" x14ac:dyDescent="0.3">
      <c r="A62" s="1491" t="s">
        <v>1871</v>
      </c>
      <c r="B62" s="1823" t="s">
        <v>2963</v>
      </c>
      <c r="C62" s="2010" t="s">
        <v>2286</v>
      </c>
      <c r="D62" s="1803">
        <f>'ТЕ_2ст_тариф_без ЦТП'!I86/D$19</f>
        <v>133.78463036930509</v>
      </c>
      <c r="E62" s="1803">
        <f>'ТЕ_2ст_тариф_без ЦТП'!L86/E$19</f>
        <v>133.78463036930506</v>
      </c>
      <c r="F62" s="1803">
        <f>'ТЕ_2ст_тариф_без ЦТП'!O86/F$19</f>
        <v>133.78463036930509</v>
      </c>
      <c r="G62" s="1803">
        <f>'ТЕ_2ст_тариф_без ЦТП'!R86/G$19</f>
        <v>133.78463036930506</v>
      </c>
      <c r="I62" s="1499"/>
    </row>
    <row r="63" spans="1:9" s="45" customFormat="1" ht="16.95" customHeight="1" x14ac:dyDescent="0.3">
      <c r="A63" s="1491" t="s">
        <v>2901</v>
      </c>
      <c r="B63" s="1083" t="s">
        <v>216</v>
      </c>
      <c r="C63" s="2010" t="s">
        <v>2286</v>
      </c>
      <c r="D63" s="1803">
        <f>'ТЕ_2ст_тариф_без ЦТП'!I87/D$19</f>
        <v>133.78463036930509</v>
      </c>
      <c r="E63" s="1803">
        <f>'ТЕ_2ст_тариф_без ЦТП'!L87/E$19</f>
        <v>133.78463036930506</v>
      </c>
      <c r="F63" s="1803">
        <f>'ТЕ_2ст_тариф_без ЦТП'!O87/F$19</f>
        <v>133.78463036930509</v>
      </c>
      <c r="G63" s="1803">
        <f>'ТЕ_2ст_тариф_без ЦТП'!R87/G$19</f>
        <v>133.78463036930506</v>
      </c>
      <c r="I63" s="1499"/>
    </row>
    <row r="64" spans="1:9" s="45" customFormat="1" ht="16.95" customHeight="1" x14ac:dyDescent="0.3">
      <c r="A64" s="1491" t="s">
        <v>2902</v>
      </c>
      <c r="B64" s="1083" t="s">
        <v>43</v>
      </c>
      <c r="C64" s="2010" t="s">
        <v>2286</v>
      </c>
      <c r="D64" s="1803">
        <f>'ТЕ_2ст_тариф_без ЦТП'!I88/D$19</f>
        <v>133.78463036930509</v>
      </c>
      <c r="E64" s="1803">
        <f>'ТЕ_2ст_тариф_без ЦТП'!L88/E$19</f>
        <v>133.78463036930506</v>
      </c>
      <c r="F64" s="1803">
        <f>'ТЕ_2ст_тариф_без ЦТП'!O88/F$19</f>
        <v>133.78463036930509</v>
      </c>
      <c r="G64" s="1803">
        <f>'ТЕ_2ст_тариф_без ЦТП'!R88/G$19</f>
        <v>133.78463036930506</v>
      </c>
      <c r="I64" s="1499"/>
    </row>
    <row r="65" spans="1:9" s="45" customFormat="1" ht="15.6" x14ac:dyDescent="0.3">
      <c r="A65" s="4906" t="s">
        <v>2900</v>
      </c>
      <c r="B65" s="4906"/>
      <c r="C65" s="4906"/>
      <c r="D65" s="4906"/>
      <c r="E65" s="4906"/>
      <c r="F65" s="4906"/>
      <c r="G65" s="4906"/>
      <c r="I65" s="1499"/>
    </row>
    <row r="66" spans="1:9" s="45" customFormat="1" ht="39.6" x14ac:dyDescent="0.3">
      <c r="A66" s="1798">
        <v>14</v>
      </c>
      <c r="B66" s="1823" t="s">
        <v>2965</v>
      </c>
      <c r="C66" s="2010" t="s">
        <v>3058</v>
      </c>
      <c r="D66" s="1808">
        <f>'ТЕ_2ст_тариф_без ЦТП'!J120/D$22*1000/12</f>
        <v>43585.701875908293</v>
      </c>
      <c r="E66" s="1808">
        <f>'ТЕ_2ст_тариф_без ЦТП'!M120/E$22*1000/12</f>
        <v>54960.197533302467</v>
      </c>
      <c r="F66" s="1808">
        <f>'ТЕ_2ст_тариф_без ЦТП'!P120/F$22*1000/12</f>
        <v>54960.197533302446</v>
      </c>
      <c r="G66" s="1808">
        <f>'ТЕ_2ст_тариф_без ЦТП'!S120/G$22*1000/12</f>
        <v>54960.197533302467</v>
      </c>
      <c r="I66" s="1499"/>
    </row>
    <row r="67" spans="1:9" s="45" customFormat="1" ht="15.6" x14ac:dyDescent="0.3">
      <c r="A67" s="1818" t="s">
        <v>193</v>
      </c>
      <c r="B67" s="337" t="s">
        <v>215</v>
      </c>
      <c r="C67" s="2008" t="s">
        <v>3060</v>
      </c>
      <c r="D67" s="1808">
        <f>'ТЕ_2ст_тариф_без ЦТП'!J86/D$22*1000/12</f>
        <v>39087.09157355372</v>
      </c>
      <c r="E67" s="1808">
        <f>'ТЕ_2ст_тариф_без ЦТП'!M86/E$22*1000/12</f>
        <v>49957.819540560995</v>
      </c>
      <c r="F67" s="1808">
        <f>'ТЕ_2ст_тариф_без ЦТП'!P86/F$22*1000/12</f>
        <v>49957.81954056098</v>
      </c>
      <c r="G67" s="1808">
        <f>'ТЕ_2ст_тариф_без ЦТП'!S86/G$22*1000/12</f>
        <v>49957.81954056098</v>
      </c>
      <c r="I67" s="1499"/>
    </row>
    <row r="68" spans="1:9" s="45" customFormat="1" ht="15.6" x14ac:dyDescent="0.3">
      <c r="A68" s="1818" t="s">
        <v>333</v>
      </c>
      <c r="B68" s="337" t="s">
        <v>216</v>
      </c>
      <c r="C68" s="2008" t="s">
        <v>3060</v>
      </c>
      <c r="D68" s="1808">
        <f>'ТЕ_2ст_тариф_без ЦТП'!J87/D$22*1000/12</f>
        <v>11871.587276180891</v>
      </c>
      <c r="E68" s="1808">
        <f>'ТЕ_2ст_тариф_без ЦТП'!M87/E$22*1000/12</f>
        <v>22742.315243188161</v>
      </c>
      <c r="F68" s="1808">
        <f>'ТЕ_2ст_тариф_без ЦТП'!P87/F$22*1000/12</f>
        <v>22742.315243188161</v>
      </c>
      <c r="G68" s="1808">
        <f>'ТЕ_2ст_тариф_без ЦТП'!S87/G$22*1000/12</f>
        <v>22742.315243188161</v>
      </c>
      <c r="I68" s="1499"/>
    </row>
    <row r="69" spans="1:9" s="45" customFormat="1" ht="15.6" x14ac:dyDescent="0.3">
      <c r="A69" s="1818" t="s">
        <v>2911</v>
      </c>
      <c r="B69" s="337" t="s">
        <v>43</v>
      </c>
      <c r="C69" s="2008" t="s">
        <v>3060</v>
      </c>
      <c r="D69" s="1808">
        <f>'ТЕ_2ст_тариф_без ЦТП'!J88/D$22*1000/12</f>
        <v>0</v>
      </c>
      <c r="E69" s="1808">
        <f>'ТЕ_2ст_тариф_без ЦТП'!M88/E$22*1000/12</f>
        <v>0</v>
      </c>
      <c r="F69" s="1808">
        <f>'ТЕ_2ст_тариф_без ЦТП'!P88/F$22*1000/12</f>
        <v>0</v>
      </c>
      <c r="G69" s="1808">
        <f>'ТЕ_2ст_тариф_без ЦТП'!S88/G$22*1000/12</f>
        <v>0</v>
      </c>
      <c r="I69" s="1499"/>
    </row>
    <row r="70" spans="1:9" s="45" customFormat="1" ht="26.4" x14ac:dyDescent="0.3">
      <c r="A70" s="1819" t="s">
        <v>2912</v>
      </c>
      <c r="B70" s="337" t="s">
        <v>608</v>
      </c>
      <c r="C70" s="2008" t="s">
        <v>3060</v>
      </c>
      <c r="D70" s="1808">
        <f>'ТЕ_2ст_тариф_без ЦТП'!J89/D$22*1000/12</f>
        <v>0</v>
      </c>
      <c r="E70" s="1808">
        <f>'ТЕ_2ст_тариф_без ЦТП'!M89/E$22*1000/12</f>
        <v>0</v>
      </c>
      <c r="F70" s="1808">
        <f>'ТЕ_2ст_тариф_без ЦТП'!P89/F$22*1000/12</f>
        <v>0</v>
      </c>
      <c r="G70" s="1808">
        <f>'ТЕ_2ст_тариф_без ЦТП'!S89/G$22*1000/12</f>
        <v>0</v>
      </c>
      <c r="I70" s="1499"/>
    </row>
    <row r="71" spans="1:9" s="45" customFormat="1" ht="26.4" x14ac:dyDescent="0.3">
      <c r="A71" s="1819" t="s">
        <v>2913</v>
      </c>
      <c r="B71" s="337" t="s">
        <v>609</v>
      </c>
      <c r="C71" s="2008" t="s">
        <v>3060</v>
      </c>
      <c r="D71" s="1808">
        <f>'ТЕ_2ст_тариф_без ЦТП'!J90/D$22*1000/12</f>
        <v>759.15056750102906</v>
      </c>
      <c r="E71" s="1808">
        <f>'ТЕ_2ст_тариф_без ЦТП'!M90/E$22*1000/12</f>
        <v>759.15056750102895</v>
      </c>
      <c r="F71" s="1808">
        <f>'ТЕ_2ст_тариф_без ЦТП'!P90/F$22*1000/12</f>
        <v>759.15056750102895</v>
      </c>
      <c r="G71" s="1808">
        <f>'ТЕ_2ст_тариф_без ЦТП'!S90/G$22*1000/12</f>
        <v>759.15056750102895</v>
      </c>
      <c r="I71" s="1499"/>
    </row>
    <row r="72" spans="1:9" s="45" customFormat="1" ht="15.6" x14ac:dyDescent="0.3">
      <c r="A72" s="1819" t="s">
        <v>2914</v>
      </c>
      <c r="B72" s="337" t="s">
        <v>610</v>
      </c>
      <c r="C72" s="2008" t="s">
        <v>3060</v>
      </c>
      <c r="D72" s="1808">
        <f>'ТЕ_2ст_тариф_без ЦТП'!J91/D$22*1000/12</f>
        <v>11112.436708679865</v>
      </c>
      <c r="E72" s="1808">
        <f>'ТЕ_2ст_тариф_без ЦТП'!M91/E$22*1000/12</f>
        <v>21983.164675687131</v>
      </c>
      <c r="F72" s="1808">
        <f>'ТЕ_2ст_тариф_без ЦТП'!P91/F$22*1000/12</f>
        <v>21983.164675687131</v>
      </c>
      <c r="G72" s="1808">
        <f>'ТЕ_2ст_тариф_без ЦТП'!S91/G$22*1000/12</f>
        <v>21983.164675687131</v>
      </c>
      <c r="I72" s="1499"/>
    </row>
    <row r="73" spans="1:9" ht="26.4" x14ac:dyDescent="0.25">
      <c r="A73" s="1819" t="s">
        <v>2915</v>
      </c>
      <c r="B73" s="337" t="s">
        <v>2731</v>
      </c>
      <c r="C73" s="2008" t="s">
        <v>3060</v>
      </c>
      <c r="D73" s="1808">
        <f>'ТЕ_2ст_тариф_без ЦТП'!J92/D$22*1000/12</f>
        <v>10070.234518833347</v>
      </c>
      <c r="E73" s="1808">
        <f>'ТЕ_2ст_тариф_без ЦТП'!M92/E$22*1000/12</f>
        <v>20940.962485840617</v>
      </c>
      <c r="F73" s="1808">
        <f>'ТЕ_2ст_тариф_без ЦТП'!P92/F$22*1000/12</f>
        <v>20940.962485840613</v>
      </c>
      <c r="G73" s="1808">
        <f>'ТЕ_2ст_тариф_без ЦТП'!S92/G$22*1000/12</f>
        <v>20940.962485840613</v>
      </c>
    </row>
    <row r="74" spans="1:9" x14ac:dyDescent="0.25">
      <c r="A74" s="1819" t="s">
        <v>334</v>
      </c>
      <c r="B74" s="147" t="s">
        <v>47</v>
      </c>
      <c r="C74" s="2008" t="s">
        <v>3060</v>
      </c>
      <c r="D74" s="1808">
        <f>'ТЕ_2ст_тариф_без ЦТП'!J93/D$22*1000/12</f>
        <v>15437.667480654933</v>
      </c>
      <c r="E74" s="1808">
        <f>'ТЕ_2ст_тариф_без ЦТП'!M93/E$22*1000/12</f>
        <v>15437.667480654929</v>
      </c>
      <c r="F74" s="1808">
        <f>'ТЕ_2ст_тариф_без ЦТП'!P93/F$22*1000/12</f>
        <v>15437.667480654929</v>
      </c>
      <c r="G74" s="1808">
        <f>'ТЕ_2ст_тариф_без ЦТП'!S93/G$22*1000/12</f>
        <v>15437.667480654929</v>
      </c>
    </row>
    <row r="75" spans="1:9" x14ac:dyDescent="0.25">
      <c r="A75" s="1819" t="s">
        <v>2916</v>
      </c>
      <c r="B75" s="337" t="s">
        <v>217</v>
      </c>
      <c r="C75" s="2008" t="s">
        <v>3060</v>
      </c>
      <c r="D75" s="1808">
        <f>'ТЕ_2ст_тариф_без ЦТП'!J94/D$22*1000/12</f>
        <v>10225.793571197644</v>
      </c>
      <c r="E75" s="1808">
        <f>'ТЕ_2ст_тариф_без ЦТП'!M94/E$22*1000/12</f>
        <v>10225.793571197644</v>
      </c>
      <c r="F75" s="1808">
        <f>'ТЕ_2ст_тариф_без ЦТП'!P94/F$22*1000/12</f>
        <v>10225.793571197642</v>
      </c>
      <c r="G75" s="1808">
        <f>'ТЕ_2ст_тариф_без ЦТП'!S94/G$22*1000/12</f>
        <v>10225.793571197642</v>
      </c>
    </row>
    <row r="76" spans="1:9" ht="27" customHeight="1" x14ac:dyDescent="0.25">
      <c r="A76" s="1819" t="s">
        <v>2917</v>
      </c>
      <c r="B76" s="337" t="s">
        <v>452</v>
      </c>
      <c r="C76" s="2008" t="s">
        <v>3060</v>
      </c>
      <c r="D76" s="1808">
        <f>'ТЕ_2ст_тариф_без ЦТП'!J95/D$22*1000/12</f>
        <v>3350.3607515257791</v>
      </c>
      <c r="E76" s="1808">
        <f>'ТЕ_2ст_тариф_без ЦТП'!M95/E$22*1000/12</f>
        <v>3350.3607515257791</v>
      </c>
      <c r="F76" s="1808">
        <f>'ТЕ_2ст_тариф_без ЦТП'!P95/F$22*1000/12</f>
        <v>3350.3607515257786</v>
      </c>
      <c r="G76" s="1808">
        <f>'ТЕ_2ст_тариф_без ЦТП'!S95/G$22*1000/12</f>
        <v>3350.3607515257786</v>
      </c>
    </row>
    <row r="77" spans="1:9" x14ac:dyDescent="0.25">
      <c r="A77" s="1819" t="s">
        <v>2918</v>
      </c>
      <c r="B77" s="337" t="s">
        <v>460</v>
      </c>
      <c r="C77" s="2008" t="s">
        <v>3060</v>
      </c>
      <c r="D77" s="1808">
        <f>'ТЕ_2ст_тариф_без ЦТП'!J96/D$22*1000/12</f>
        <v>3328.2935803972964</v>
      </c>
      <c r="E77" s="1808">
        <f>'ТЕ_2ст_тариф_без ЦТП'!M96/E$22*1000/12</f>
        <v>3328.293580397296</v>
      </c>
      <c r="F77" s="1808">
        <f>'ТЕ_2ст_тариф_без ЦТП'!P96/F$22*1000/12</f>
        <v>3328.293580397296</v>
      </c>
      <c r="G77" s="1808">
        <f>'ТЕ_2ст_тариф_без ЦТП'!S96/G$22*1000/12</f>
        <v>3328.293580397296</v>
      </c>
    </row>
    <row r="78" spans="1:9" x14ac:dyDescent="0.25">
      <c r="A78" s="1819" t="s">
        <v>2919</v>
      </c>
      <c r="B78" s="337" t="s">
        <v>81</v>
      </c>
      <c r="C78" s="2008" t="s">
        <v>3060</v>
      </c>
      <c r="D78" s="1808">
        <f>'ТЕ_2ст_тариф_без ЦТП'!J97/D$22*1000/12</f>
        <v>3547.1392392745688</v>
      </c>
      <c r="E78" s="1808">
        <f>'ТЕ_2ст_тариф_без ЦТП'!M97/E$22*1000/12</f>
        <v>3547.1392392745679</v>
      </c>
      <c r="F78" s="1808">
        <f>'ТЕ_2ст_тариф_без ЦТП'!P97/F$22*1000/12</f>
        <v>3547.1392392745679</v>
      </c>
      <c r="G78" s="1808">
        <f>'ТЕ_2ст_тариф_без ЦТП'!S97/G$22*1000/12</f>
        <v>3547.1392392745679</v>
      </c>
    </row>
    <row r="79" spans="1:9" x14ac:dyDescent="0.25">
      <c r="A79" s="1819" t="s">
        <v>2920</v>
      </c>
      <c r="B79" s="337" t="s">
        <v>218</v>
      </c>
      <c r="C79" s="2008" t="s">
        <v>3060</v>
      </c>
      <c r="D79" s="1808">
        <f>'ТЕ_2ст_тариф_без ЦТП'!J98/D$22*1000/12</f>
        <v>1552.0432455202561</v>
      </c>
      <c r="E79" s="1808">
        <f>'ТЕ_2ст_тариф_без ЦТП'!M98/E$22*1000/12</f>
        <v>1552.0432455202556</v>
      </c>
      <c r="F79" s="1808">
        <f>'ТЕ_2ст_тариф_без ЦТП'!P98/F$22*1000/12</f>
        <v>1552.0432455202561</v>
      </c>
      <c r="G79" s="1808">
        <f>'ТЕ_2ст_тариф_без ЦТП'!S98/G$22*1000/12</f>
        <v>1552.0432455202561</v>
      </c>
    </row>
    <row r="80" spans="1:9" x14ac:dyDescent="0.25">
      <c r="A80" s="1819" t="s">
        <v>2921</v>
      </c>
      <c r="B80" s="337" t="s">
        <v>55</v>
      </c>
      <c r="C80" s="2008" t="s">
        <v>3060</v>
      </c>
      <c r="D80" s="1808">
        <f>'ТЕ_2ст_тариф_без ЦТП'!J99/D$22*1000/12</f>
        <v>1185.9560284829145</v>
      </c>
      <c r="E80" s="1808">
        <f>'ТЕ_2ст_тариф_без ЦТП'!M99/E$22*1000/12</f>
        <v>1185.9560284829142</v>
      </c>
      <c r="F80" s="1808">
        <f>'ТЕ_2ст_тариф_без ЦТП'!P99/F$22*1000/12</f>
        <v>1185.9560284829145</v>
      </c>
      <c r="G80" s="1808">
        <f>'ТЕ_2ст_тариф_без ЦТП'!S99/G$22*1000/12</f>
        <v>1185.9560284829145</v>
      </c>
    </row>
    <row r="81" spans="1:9" ht="28.2" customHeight="1" x14ac:dyDescent="0.25">
      <c r="A81" s="1819" t="s">
        <v>2922</v>
      </c>
      <c r="B81" s="337" t="s">
        <v>452</v>
      </c>
      <c r="C81" s="2008" t="s">
        <v>3060</v>
      </c>
      <c r="D81" s="1808">
        <f>'ТЕ_2ст_тариф_без ЦТП'!J100/D$22*1000/12</f>
        <v>253.14531876516494</v>
      </c>
      <c r="E81" s="1808">
        <f>'ТЕ_2ст_тариф_без ЦТП'!M100/E$22*1000/12</f>
        <v>253.14531876516494</v>
      </c>
      <c r="F81" s="1808">
        <f>'ТЕ_2ст_тариф_без ЦТП'!P100/F$22*1000/12</f>
        <v>253.14531876516492</v>
      </c>
      <c r="G81" s="1808">
        <f>'ТЕ_2ст_тариф_без ЦТП'!S100/G$22*1000/12</f>
        <v>253.14531876516494</v>
      </c>
    </row>
    <row r="82" spans="1:9" x14ac:dyDescent="0.25">
      <c r="A82" s="1819" t="s">
        <v>2923</v>
      </c>
      <c r="B82" s="337" t="s">
        <v>58</v>
      </c>
      <c r="C82" s="2008" t="s">
        <v>3060</v>
      </c>
      <c r="D82" s="1808">
        <f>'ТЕ_2ст_тариф_без ЦТП'!J101/D$22*1000/12</f>
        <v>112.94189827217646</v>
      </c>
      <c r="E82" s="1808">
        <f>'ТЕ_2ст_тариф_без ЦТП'!M101/E$22*1000/12</f>
        <v>112.94189827217645</v>
      </c>
      <c r="F82" s="1808">
        <f>'ТЕ_2ст_тариф_без ЦТП'!P101/F$22*1000/12</f>
        <v>112.94189827217643</v>
      </c>
      <c r="G82" s="1808">
        <f>'ТЕ_2ст_тариф_без ЦТП'!S101/G$22*1000/12</f>
        <v>112.94189827217645</v>
      </c>
    </row>
    <row r="83" spans="1:9" x14ac:dyDescent="0.25">
      <c r="A83" s="1819" t="s">
        <v>688</v>
      </c>
      <c r="B83" s="147" t="s">
        <v>219</v>
      </c>
      <c r="C83" s="2008" t="s">
        <v>3060</v>
      </c>
      <c r="D83" s="1808">
        <f>'ТЕ_2ст_тариф_без ЦТП'!J102/D$22*1000/12</f>
        <v>1886.8709401915039</v>
      </c>
      <c r="E83" s="1808">
        <f>'ТЕ_2ст_тариф_без ЦТП'!M102/E$22*1000/12</f>
        <v>1886.8709401915039</v>
      </c>
      <c r="F83" s="1808">
        <f>'ТЕ_2ст_тариф_без ЦТП'!P102/F$22*1000/12</f>
        <v>1886.8709401915037</v>
      </c>
      <c r="G83" s="1808">
        <f>'ТЕ_2ст_тариф_без ЦТП'!S102/G$22*1000/12</f>
        <v>1886.8709401915039</v>
      </c>
    </row>
    <row r="84" spans="1:9" x14ac:dyDescent="0.25">
      <c r="A84" s="1819" t="s">
        <v>194</v>
      </c>
      <c r="B84" s="147" t="s">
        <v>55</v>
      </c>
      <c r="C84" s="2008" t="s">
        <v>3060</v>
      </c>
      <c r="D84" s="1808">
        <f>'ТЕ_2ст_тариф_без ЦТП'!J103/D$22*1000/12</f>
        <v>1413.009970122409</v>
      </c>
      <c r="E84" s="1808">
        <f>'ТЕ_2ст_тариф_без ЦТП'!M103/E$22*1000/12</f>
        <v>1413.009970122409</v>
      </c>
      <c r="F84" s="1808">
        <f>'ТЕ_2ст_тариф_без ЦТП'!P103/F$22*1000/12</f>
        <v>1413.0099701224087</v>
      </c>
      <c r="G84" s="1808">
        <f>'ТЕ_2ст_тариф_без ЦТП'!S103/G$22*1000/12</f>
        <v>1413.0099701224087</v>
      </c>
    </row>
    <row r="85" spans="1:9" ht="26.4" customHeight="1" x14ac:dyDescent="0.25">
      <c r="A85" s="1819" t="s">
        <v>195</v>
      </c>
      <c r="B85" s="147" t="s">
        <v>452</v>
      </c>
      <c r="C85" s="2008" t="s">
        <v>3060</v>
      </c>
      <c r="D85" s="1808">
        <f>'ТЕ_2ст_тариф_без ЦТП'!J104/D$22*1000/12</f>
        <v>310.86219342692993</v>
      </c>
      <c r="E85" s="1808">
        <f>'ТЕ_2ст_тариф_без ЦТП'!M104/E$22*1000/12</f>
        <v>310.86219342692988</v>
      </c>
      <c r="F85" s="1808">
        <f>'ТЕ_2ст_тариф_без ЦТП'!P104/F$22*1000/12</f>
        <v>310.86219342692988</v>
      </c>
      <c r="G85" s="1808">
        <f>'ТЕ_2ст_тариф_без ЦТП'!S104/G$22*1000/12</f>
        <v>310.86219342692988</v>
      </c>
    </row>
    <row r="86" spans="1:9" x14ac:dyDescent="0.25">
      <c r="A86" s="1819" t="s">
        <v>2924</v>
      </c>
      <c r="B86" s="147" t="s">
        <v>58</v>
      </c>
      <c r="C86" s="2008" t="s">
        <v>3060</v>
      </c>
      <c r="D86" s="1808">
        <f>'ТЕ_2ст_тариф_без ЦТП'!J105/D$22*1000/12</f>
        <v>162.9987766421655</v>
      </c>
      <c r="E86" s="1808">
        <f>'ТЕ_2ст_тариф_без ЦТП'!M105/E$22*1000/12</f>
        <v>162.99877664216544</v>
      </c>
      <c r="F86" s="1808">
        <f>'ТЕ_2ст_тариф_без ЦТП'!P105/F$22*1000/12</f>
        <v>162.99877664216544</v>
      </c>
      <c r="G86" s="1808">
        <f>'ТЕ_2ст_тариф_без ЦТП'!S105/G$22*1000/12</f>
        <v>162.99877664216544</v>
      </c>
    </row>
    <row r="87" spans="1:9" x14ac:dyDescent="0.25">
      <c r="A87" s="1819" t="s">
        <v>689</v>
      </c>
      <c r="B87" s="337" t="s">
        <v>220</v>
      </c>
      <c r="C87" s="2008" t="s">
        <v>3060</v>
      </c>
      <c r="D87" s="1808">
        <f>'ТЕ_2ст_тариф_без ЦТП'!J106/D$22*1000/12</f>
        <v>0</v>
      </c>
      <c r="E87" s="1808">
        <f>'ТЕ_2ст_тариф_без ЦТП'!M106/E$22*1000/12</f>
        <v>0</v>
      </c>
      <c r="F87" s="1808">
        <f>'ТЕ_2ст_тариф_без ЦТП'!P106/F$22*1000/12</f>
        <v>0</v>
      </c>
      <c r="G87" s="1808">
        <f>'ТЕ_2ст_тариф_без ЦТП'!S106/G$22*1000/12</f>
        <v>0</v>
      </c>
    </row>
    <row r="88" spans="1:9" x14ac:dyDescent="0.25">
      <c r="A88" s="1819" t="s">
        <v>2227</v>
      </c>
      <c r="B88" s="337" t="s">
        <v>55</v>
      </c>
      <c r="C88" s="2008" t="s">
        <v>3060</v>
      </c>
      <c r="D88" s="1808">
        <f>'ТЕ_2ст_тариф_без ЦТП'!J107/D$22*1000/12</f>
        <v>0</v>
      </c>
      <c r="E88" s="1808">
        <f>'ТЕ_2ст_тариф_без ЦТП'!M107/E$22*1000/12</f>
        <v>0</v>
      </c>
      <c r="F88" s="1808">
        <f>'ТЕ_2ст_тариф_без ЦТП'!P107/F$22*1000/12</f>
        <v>0</v>
      </c>
      <c r="G88" s="1808">
        <f>'ТЕ_2ст_тариф_без ЦТП'!S107/G$22*1000/12</f>
        <v>0</v>
      </c>
    </row>
    <row r="89" spans="1:9" ht="26.4" customHeight="1" x14ac:dyDescent="0.25">
      <c r="A89" s="1819" t="s">
        <v>2228</v>
      </c>
      <c r="B89" s="147" t="s">
        <v>452</v>
      </c>
      <c r="C89" s="2008" t="s">
        <v>3060</v>
      </c>
      <c r="D89" s="1808">
        <f>'ТЕ_2ст_тариф_без ЦТП'!J108/D$22*1000/12</f>
        <v>0</v>
      </c>
      <c r="E89" s="1808">
        <f>'ТЕ_2ст_тариф_без ЦТП'!M108/E$22*1000/12</f>
        <v>0</v>
      </c>
      <c r="F89" s="1808">
        <f>'ТЕ_2ст_тариф_без ЦТП'!P108/F$22*1000/12</f>
        <v>0</v>
      </c>
      <c r="G89" s="1808">
        <f>'ТЕ_2ст_тариф_без ЦТП'!S108/G$22*1000/12</f>
        <v>0</v>
      </c>
    </row>
    <row r="90" spans="1:9" x14ac:dyDescent="0.25">
      <c r="A90" s="1819" t="s">
        <v>2925</v>
      </c>
      <c r="B90" s="1814" t="s">
        <v>233</v>
      </c>
      <c r="C90" s="2008" t="s">
        <v>3060</v>
      </c>
      <c r="D90" s="1808">
        <f>'ТЕ_2ст_тариф_без ЦТП'!J109/D$22*1000/12</f>
        <v>0</v>
      </c>
      <c r="E90" s="1808">
        <f>'ТЕ_2ст_тариф_без ЦТП'!M109/E$22*1000/12</f>
        <v>0</v>
      </c>
      <c r="F90" s="1808">
        <f>'ТЕ_2ст_тариф_без ЦТП'!P109/F$22*1000/12</f>
        <v>0</v>
      </c>
      <c r="G90" s="1808">
        <f>'ТЕ_2ст_тариф_без ЦТП'!S109/G$22*1000/12</f>
        <v>0</v>
      </c>
    </row>
    <row r="91" spans="1:9" x14ac:dyDescent="0.25">
      <c r="A91" s="1819" t="s">
        <v>690</v>
      </c>
      <c r="B91" s="147" t="s">
        <v>82</v>
      </c>
      <c r="C91" s="2008" t="s">
        <v>3060</v>
      </c>
      <c r="D91" s="1808">
        <f>'ТЕ_2ст_тариф_без ЦТП'!J110/D$22*1000/12</f>
        <v>0</v>
      </c>
      <c r="E91" s="1808">
        <f>'ТЕ_2ст_тариф_без ЦТП'!M110/E$22*1000/12</f>
        <v>0</v>
      </c>
      <c r="F91" s="1808">
        <f>'ТЕ_2ст_тариф_без ЦТП'!P110/F$22*1000/12</f>
        <v>0</v>
      </c>
      <c r="G91" s="1808">
        <f>'ТЕ_2ст_тариф_без ЦТП'!S110/G$22*1000/12</f>
        <v>0</v>
      </c>
    </row>
    <row r="92" spans="1:9" x14ac:dyDescent="0.25">
      <c r="A92" s="1819" t="s">
        <v>2926</v>
      </c>
      <c r="B92" s="147" t="s">
        <v>5</v>
      </c>
      <c r="C92" s="2008" t="s">
        <v>3060</v>
      </c>
      <c r="D92" s="1808">
        <f>'ТЕ_2ст_тариф_без ЦТП'!J111/D$22*1000/12</f>
        <v>0</v>
      </c>
      <c r="E92" s="1808">
        <f>'ТЕ_2ст_тариф_без ЦТП'!M111/E$22*1000/12</f>
        <v>0</v>
      </c>
      <c r="F92" s="1808">
        <f>'ТЕ_2ст_тариф_без ЦТП'!P111/F$22*1000/12</f>
        <v>0</v>
      </c>
      <c r="G92" s="1808">
        <f>'ТЕ_2ст_тариф_без ЦТП'!S111/G$22*1000/12</f>
        <v>0</v>
      </c>
    </row>
    <row r="93" spans="1:9" x14ac:dyDescent="0.25">
      <c r="A93" s="1819" t="s">
        <v>2927</v>
      </c>
      <c r="B93" s="147" t="s">
        <v>63</v>
      </c>
      <c r="C93" s="2008" t="s">
        <v>3060</v>
      </c>
      <c r="D93" s="1808">
        <f>'ТЕ_2ст_тариф_без ЦТП'!J112/D$22*1000/12</f>
        <v>40973.962513745217</v>
      </c>
      <c r="E93" s="1808">
        <f>'ТЕ_2ст_тариф_без ЦТП'!M112/E$22*1000/12</f>
        <v>51844.690480752499</v>
      </c>
      <c r="F93" s="1808">
        <f>'ТЕ_2ст_тариф_без ЦТП'!P112/F$22*1000/12</f>
        <v>51844.690480752477</v>
      </c>
      <c r="G93" s="1808">
        <f>'ТЕ_2ст_тариф_без ЦТП'!S112/G$22*1000/12</f>
        <v>51844.690480752492</v>
      </c>
    </row>
    <row r="94" spans="1:9" x14ac:dyDescent="0.25">
      <c r="A94" s="1819" t="s">
        <v>2928</v>
      </c>
      <c r="B94" s="147" t="s">
        <v>234</v>
      </c>
      <c r="C94" s="2008" t="s">
        <v>3060</v>
      </c>
      <c r="D94" s="1808">
        <f>'ТЕ_2ст_тариф_без ЦТП'!J113/D$22*1000/12</f>
        <v>0</v>
      </c>
      <c r="E94" s="1808">
        <f>'ТЕ_2ст_тариф_без ЦТП'!M113/E$22*1000/12</f>
        <v>0</v>
      </c>
      <c r="F94" s="1808">
        <f>'ТЕ_2ст_тариф_без ЦТП'!P113/F$22*1000/12</f>
        <v>0</v>
      </c>
      <c r="G94" s="1808">
        <f>'ТЕ_2ст_тариф_без ЦТП'!S113/G$22*1000/12</f>
        <v>0</v>
      </c>
    </row>
    <row r="95" spans="1:9" ht="27" customHeight="1" x14ac:dyDescent="0.25">
      <c r="A95" s="1819" t="s">
        <v>2929</v>
      </c>
      <c r="B95" s="147" t="s">
        <v>235</v>
      </c>
      <c r="C95" s="2008" t="s">
        <v>3060</v>
      </c>
      <c r="D95" s="1808">
        <f>'ТЕ_2ст_тариф_без ЦТП'!J114/D$22*1000/12</f>
        <v>2611.7393621630777</v>
      </c>
      <c r="E95" s="1808">
        <f>'ТЕ_2ст_тариф_без ЦТП'!M114/E$22*1000/12</f>
        <v>3115.5070525499746</v>
      </c>
      <c r="F95" s="1808">
        <f>'ТЕ_2ст_тариф_без ЦТП'!P114/F$22*1000/12</f>
        <v>3115.5070525499746</v>
      </c>
      <c r="G95" s="1808">
        <f>'ТЕ_2ст_тариф_без ЦТП'!S114/G$22*1000/12</f>
        <v>3115.5070525499746</v>
      </c>
      <c r="I95" s="2011"/>
    </row>
    <row r="96" spans="1:9" x14ac:dyDescent="0.25">
      <c r="A96" s="1819" t="s">
        <v>2930</v>
      </c>
      <c r="B96" s="147" t="s">
        <v>65</v>
      </c>
      <c r="C96" s="2008" t="s">
        <v>3060</v>
      </c>
      <c r="D96" s="1808">
        <f>'ТЕ_2ст_тариф_без ЦТП'!J115/D$22*1000/12</f>
        <v>470.11308518935385</v>
      </c>
      <c r="E96" s="1808">
        <f>'ТЕ_2ст_тариф_без ЦТП'!M115/E$22*1000/12</f>
        <v>560.79126945899532</v>
      </c>
      <c r="F96" s="1808">
        <f>'ТЕ_2ст_тариф_без ЦТП'!P115/F$22*1000/12</f>
        <v>560.79126945899498</v>
      </c>
      <c r="G96" s="1808">
        <f>'ТЕ_2ст_тариф_без ЦТП'!S115/G$22*1000/12</f>
        <v>560.7912694589952</v>
      </c>
    </row>
    <row r="97" spans="1:7" x14ac:dyDescent="0.25">
      <c r="A97" s="1819" t="s">
        <v>2931</v>
      </c>
      <c r="B97" s="147" t="s">
        <v>84</v>
      </c>
      <c r="C97" s="2008" t="s">
        <v>3060</v>
      </c>
      <c r="D97" s="1808">
        <f>'ТЕ_2ст_тариф_без ЦТП'!J116/D$22*1000/12</f>
        <v>0</v>
      </c>
      <c r="E97" s="1808">
        <f>'ТЕ_2ст_тариф_без ЦТП'!M116/E$22*1000/12</f>
        <v>0</v>
      </c>
      <c r="F97" s="1808">
        <f>'ТЕ_2ст_тариф_без ЦТП'!P116/F$22*1000/12</f>
        <v>0</v>
      </c>
      <c r="G97" s="1808">
        <f>'ТЕ_2ст_тариф_без ЦТП'!S116/G$22*1000/12</f>
        <v>0</v>
      </c>
    </row>
    <row r="98" spans="1:7" x14ac:dyDescent="0.25">
      <c r="A98" s="1819" t="s">
        <v>2932</v>
      </c>
      <c r="B98" s="147" t="s">
        <v>85</v>
      </c>
      <c r="C98" s="2008" t="s">
        <v>3060</v>
      </c>
      <c r="D98" s="1808">
        <f>'ТЕ_2ст_тариф_без ЦТП'!J117/D$22*1000/12</f>
        <v>0</v>
      </c>
      <c r="E98" s="1808">
        <f>'ТЕ_2ст_тариф_без ЦТП'!M117/E$22*1000/12</f>
        <v>0</v>
      </c>
      <c r="F98" s="1808">
        <f>'ТЕ_2ст_тариф_без ЦТП'!P117/F$22*1000/12</f>
        <v>0</v>
      </c>
      <c r="G98" s="1808">
        <f>'ТЕ_2ст_тариф_без ЦТП'!S117/G$22*1000/12</f>
        <v>0</v>
      </c>
    </row>
    <row r="99" spans="1:7" ht="26.4" x14ac:dyDescent="0.25">
      <c r="A99" s="1819" t="s">
        <v>2933</v>
      </c>
      <c r="B99" s="147" t="s">
        <v>71</v>
      </c>
      <c r="C99" s="2008" t="s">
        <v>3060</v>
      </c>
      <c r="D99" s="1808">
        <f>'ТЕ_2ст_тариф_без ЦТП'!J118/D$22*1000/12</f>
        <v>0</v>
      </c>
      <c r="E99" s="1808">
        <f>'ТЕ_2ст_тариф_без ЦТП'!M118/E$22*1000/12</f>
        <v>0</v>
      </c>
      <c r="F99" s="1808">
        <f>'ТЕ_2ст_тариф_без ЦТП'!P118/F$22*1000/12</f>
        <v>0</v>
      </c>
      <c r="G99" s="1808">
        <f>'ТЕ_2ст_тариф_без ЦТП'!S118/G$22*1000/12</f>
        <v>0</v>
      </c>
    </row>
    <row r="100" spans="1:7" x14ac:dyDescent="0.25">
      <c r="A100" s="1819" t="s">
        <v>2934</v>
      </c>
      <c r="B100" s="147" t="s">
        <v>86</v>
      </c>
      <c r="C100" s="2008" t="s">
        <v>3060</v>
      </c>
      <c r="D100" s="1808">
        <f>'ТЕ_2ст_тариф_без ЦТП'!J119/D$22*1000/12</f>
        <v>2141.6262769737236</v>
      </c>
      <c r="E100" s="1808">
        <f>'ТЕ_2ст_тариф_без ЦТП'!M119/E$22*1000/12</f>
        <v>2554.7157830909796</v>
      </c>
      <c r="F100" s="1808">
        <f>'ТЕ_2ст_тариф_без ЦТП'!P119/F$22*1000/12</f>
        <v>2554.7157830909796</v>
      </c>
      <c r="G100" s="1808">
        <f>'ТЕ_2ст_тариф_без ЦТП'!S119/G$22*1000/12</f>
        <v>2554.7157830909796</v>
      </c>
    </row>
    <row r="101" spans="1:7" x14ac:dyDescent="0.25">
      <c r="A101" s="4922" t="s">
        <v>2903</v>
      </c>
      <c r="B101" s="4923"/>
      <c r="C101" s="4923"/>
      <c r="D101" s="4923"/>
      <c r="E101" s="4923"/>
      <c r="F101" s="4923"/>
      <c r="G101" s="4924"/>
    </row>
    <row r="102" spans="1:7" ht="39.6" x14ac:dyDescent="0.25">
      <c r="A102" s="1821" t="s">
        <v>2935</v>
      </c>
      <c r="B102" s="1823" t="s">
        <v>2966</v>
      </c>
      <c r="C102" s="2010" t="s">
        <v>3058</v>
      </c>
      <c r="D102" s="1808">
        <f>'ТЕ_2ст_тариф_без ЦТП'!J159/D$20*1000/12</f>
        <v>2390.0810057385866</v>
      </c>
      <c r="E102" s="1808">
        <f>'ТЕ_2ст_тариф_без ЦТП'!M159/E$20*1000/12</f>
        <v>2390.0810057385866</v>
      </c>
      <c r="F102" s="1808">
        <f>'ТЕ_2ст_тариф_без ЦТП'!P159/F$20*1000/12</f>
        <v>2390.0810057385866</v>
      </c>
      <c r="G102" s="1808">
        <f>'ТЕ_2ст_тариф_без ЦТП'!S159/G$20*1000/12</f>
        <v>2390.0810057385866</v>
      </c>
    </row>
    <row r="103" spans="1:7" x14ac:dyDescent="0.25">
      <c r="A103" s="1822" t="s">
        <v>2936</v>
      </c>
      <c r="B103" s="147" t="s">
        <v>215</v>
      </c>
      <c r="C103" s="2009" t="s">
        <v>3060</v>
      </c>
      <c r="D103" s="1808">
        <f>'ТЕ_2ст_тариф_без ЦТП'!J130/D$20*1000/12</f>
        <v>2191.1137591288457</v>
      </c>
      <c r="E103" s="1808">
        <f>'ТЕ_2ст_тариф_без ЦТП'!M130/E$20*1000/12</f>
        <v>2191.1137591288452</v>
      </c>
      <c r="F103" s="1808">
        <f>'ТЕ_2ст_тариф_без ЦТП'!P130/F$20*1000/12</f>
        <v>2191.1137591288452</v>
      </c>
      <c r="G103" s="1808">
        <f>'ТЕ_2ст_тариф_без ЦТП'!S130/G$20*1000/12</f>
        <v>2191.1137591288448</v>
      </c>
    </row>
    <row r="104" spans="1:7" x14ac:dyDescent="0.25">
      <c r="A104" s="1822" t="s">
        <v>2937</v>
      </c>
      <c r="B104" s="147" t="s">
        <v>102</v>
      </c>
      <c r="C104" s="2009" t="s">
        <v>3060</v>
      </c>
      <c r="D104" s="1808">
        <f>'ТЕ_2ст_тариф_без ЦТП'!J131/D$20*1000/12</f>
        <v>18.862391084887296</v>
      </c>
      <c r="E104" s="1808">
        <f>'ТЕ_2ст_тариф_без ЦТП'!M131/E$20*1000/12</f>
        <v>18.862391084887296</v>
      </c>
      <c r="F104" s="1808">
        <f>'ТЕ_2ст_тариф_без ЦТП'!P131/F$20*1000/12</f>
        <v>18.862391084887296</v>
      </c>
      <c r="G104" s="1808">
        <f>'ТЕ_2ст_тариф_без ЦТП'!S131/G$20*1000/12</f>
        <v>18.8623910848873</v>
      </c>
    </row>
    <row r="105" spans="1:7" x14ac:dyDescent="0.25">
      <c r="A105" s="1822" t="s">
        <v>2938</v>
      </c>
      <c r="B105" s="147" t="s">
        <v>47</v>
      </c>
      <c r="C105" s="2009" t="s">
        <v>3060</v>
      </c>
      <c r="D105" s="1808">
        <f>'ТЕ_2ст_тариф_без ЦТП'!J132/D$20*1000/12</f>
        <v>878.19257624016871</v>
      </c>
      <c r="E105" s="1808">
        <f>'ТЕ_2ст_тариф_без ЦТП'!M132/E$20*1000/12</f>
        <v>878.19257624016871</v>
      </c>
      <c r="F105" s="1808">
        <f>'ТЕ_2ст_тариф_без ЦТП'!P132/F$20*1000/12</f>
        <v>878.19257624016848</v>
      </c>
      <c r="G105" s="1808">
        <f>'ТЕ_2ст_тариф_без ЦТП'!S132/G$20*1000/12</f>
        <v>878.19257624016848</v>
      </c>
    </row>
    <row r="106" spans="1:7" x14ac:dyDescent="0.25">
      <c r="A106" s="1822" t="s">
        <v>2939</v>
      </c>
      <c r="B106" s="147" t="s">
        <v>217</v>
      </c>
      <c r="C106" s="2009" t="s">
        <v>3060</v>
      </c>
      <c r="D106" s="1808">
        <f>'ТЕ_2ст_тариф_без ЦТП'!J133/D$20*1000/12</f>
        <v>1217.4689434394177</v>
      </c>
      <c r="E106" s="1808">
        <f>'ТЕ_2ст_тариф_без ЦТП'!M133/E$20*1000/12</f>
        <v>1217.4689434394177</v>
      </c>
      <c r="F106" s="1808">
        <f>'ТЕ_2ст_тариф_без ЦТП'!P133/F$20*1000/12</f>
        <v>1217.4689434394177</v>
      </c>
      <c r="G106" s="1808">
        <f>'ТЕ_2ст_тариф_без ЦТП'!S133/G$20*1000/12</f>
        <v>1217.4689434394174</v>
      </c>
    </row>
    <row r="107" spans="1:7" ht="28.95" customHeight="1" x14ac:dyDescent="0.25">
      <c r="A107" s="1822" t="s">
        <v>2940</v>
      </c>
      <c r="B107" s="147" t="s">
        <v>452</v>
      </c>
      <c r="C107" s="2009" t="s">
        <v>3060</v>
      </c>
      <c r="D107" s="1808">
        <f>'ТЕ_2ст_тариф_без ЦТП'!J134/D$20*1000/12</f>
        <v>193.20236677283708</v>
      </c>
      <c r="E107" s="1808">
        <f>'ТЕ_2ст_тариф_без ЦТП'!M134/E$20*1000/12</f>
        <v>193.20236677283708</v>
      </c>
      <c r="F107" s="1808">
        <f>'ТЕ_2ст_тариф_без ЦТП'!P134/F$20*1000/12</f>
        <v>193.20236677283708</v>
      </c>
      <c r="G107" s="1808">
        <f>'ТЕ_2ст_тариф_без ЦТП'!S134/G$20*1000/12</f>
        <v>193.20236677283705</v>
      </c>
    </row>
    <row r="108" spans="1:7" x14ac:dyDescent="0.25">
      <c r="A108" s="1822" t="s">
        <v>2941</v>
      </c>
      <c r="B108" s="147" t="s">
        <v>460</v>
      </c>
      <c r="C108" s="2009" t="s">
        <v>3060</v>
      </c>
      <c r="D108" s="1808">
        <f>'ТЕ_2ст_тариф_без ЦТП'!J135/D$20*1000/12</f>
        <v>982.3826577323922</v>
      </c>
      <c r="E108" s="1808">
        <f>'ТЕ_2ст_тариф_без ЦТП'!M135/E$20*1000/12</f>
        <v>982.3826577323922</v>
      </c>
      <c r="F108" s="1808">
        <f>'ТЕ_2ст_тариф_без ЦТП'!P135/F$20*1000/12</f>
        <v>982.3826577323922</v>
      </c>
      <c r="G108" s="1808">
        <f>'ТЕ_2ст_тариф_без ЦТП'!S135/G$20*1000/12</f>
        <v>982.38265773239209</v>
      </c>
    </row>
    <row r="109" spans="1:7" x14ac:dyDescent="0.25">
      <c r="A109" s="1822" t="s">
        <v>2942</v>
      </c>
      <c r="B109" s="147" t="s">
        <v>52</v>
      </c>
      <c r="C109" s="2009" t="s">
        <v>3060</v>
      </c>
      <c r="D109" s="1808">
        <f>'ТЕ_2ст_тариф_без ЦТП'!J136/D$20*1000/12</f>
        <v>41.883918934188237</v>
      </c>
      <c r="E109" s="1808">
        <f>'ТЕ_2ст_тариф_без ЦТП'!M136/E$20*1000/12</f>
        <v>41.883918934188237</v>
      </c>
      <c r="F109" s="1808">
        <f>'ТЕ_2ст_тариф_без ЦТП'!P136/F$20*1000/12</f>
        <v>41.883918934188237</v>
      </c>
      <c r="G109" s="1808">
        <f>'ТЕ_2ст_тариф_без ЦТП'!S136/G$20*1000/12</f>
        <v>41.883918934188237</v>
      </c>
    </row>
    <row r="110" spans="1:7" x14ac:dyDescent="0.25">
      <c r="A110" s="1822" t="s">
        <v>2943</v>
      </c>
      <c r="B110" s="147" t="s">
        <v>218</v>
      </c>
      <c r="C110" s="2009" t="s">
        <v>3060</v>
      </c>
      <c r="D110" s="1808">
        <f>'ТЕ_2ст_тариф_без ЦТП'!J137/D$20*1000/12</f>
        <v>76.589848364372031</v>
      </c>
      <c r="E110" s="1808">
        <f>'ТЕ_2ст_тариф_без ЦТП'!M137/E$20*1000/12</f>
        <v>76.589848364372031</v>
      </c>
      <c r="F110" s="1808">
        <f>'ТЕ_2ст_тариф_без ЦТП'!P137/F$20*1000/12</f>
        <v>76.589848364372031</v>
      </c>
      <c r="G110" s="1808">
        <f>'ТЕ_2ст_тариф_без ЦТП'!S137/G$20*1000/12</f>
        <v>76.589848364372031</v>
      </c>
    </row>
    <row r="111" spans="1:7" x14ac:dyDescent="0.25">
      <c r="A111" s="1822" t="s">
        <v>2944</v>
      </c>
      <c r="B111" s="147" t="s">
        <v>55</v>
      </c>
      <c r="C111" s="2009" t="s">
        <v>3060</v>
      </c>
      <c r="D111" s="1808">
        <f>'ТЕ_2ст_тариф_без ЦТП'!J138/D$20*1000/12</f>
        <v>58.524266414929514</v>
      </c>
      <c r="E111" s="1808">
        <f>'ТЕ_2ст_тариф_без ЦТП'!M138/E$20*1000/12</f>
        <v>58.524266414929507</v>
      </c>
      <c r="F111" s="1808">
        <f>'ТЕ_2ст_тариф_без ЦТП'!P138/F$20*1000/12</f>
        <v>58.524266414929507</v>
      </c>
      <c r="G111" s="1808">
        <f>'ТЕ_2ст_тариф_без ЦТП'!S138/G$20*1000/12</f>
        <v>58.524266414929514</v>
      </c>
    </row>
    <row r="112" spans="1:7" ht="27.6" customHeight="1" x14ac:dyDescent="0.25">
      <c r="A112" s="1822" t="s">
        <v>2945</v>
      </c>
      <c r="B112" s="147" t="s">
        <v>452</v>
      </c>
      <c r="C112" s="2009" t="s">
        <v>3060</v>
      </c>
      <c r="D112" s="1808">
        <f>'ТЕ_2ст_тариф_без ЦТП'!J139/D$20*1000/12</f>
        <v>12.492152930877575</v>
      </c>
      <c r="E112" s="1808">
        <f>'ТЕ_2ст_тариф_без ЦТП'!M139/E$20*1000/12</f>
        <v>12.492152930877575</v>
      </c>
      <c r="F112" s="1808">
        <f>'ТЕ_2ст_тариф_без ЦТП'!P139/F$20*1000/12</f>
        <v>12.492152930877575</v>
      </c>
      <c r="G112" s="1808">
        <f>'ТЕ_2ст_тариф_без ЦТП'!S139/G$20*1000/12</f>
        <v>12.492152930877573</v>
      </c>
    </row>
    <row r="113" spans="1:7" x14ac:dyDescent="0.25">
      <c r="A113" s="1822" t="s">
        <v>2946</v>
      </c>
      <c r="B113" s="147" t="s">
        <v>58</v>
      </c>
      <c r="C113" s="2009" t="s">
        <v>3060</v>
      </c>
      <c r="D113" s="1808">
        <f>'ТЕ_2ст_тариф_без ЦТП'!J140/D$20*1000/12</f>
        <v>5.5734290185649478</v>
      </c>
      <c r="E113" s="1808">
        <f>'ТЕ_2ст_тариф_без ЦТП'!M140/E$20*1000/12</f>
        <v>5.5734290185649478</v>
      </c>
      <c r="F113" s="1808">
        <f>'ТЕ_2ст_тариф_без ЦТП'!P140/F$20*1000/12</f>
        <v>5.5734290185649487</v>
      </c>
      <c r="G113" s="1808">
        <f>'ТЕ_2ст_тариф_без ЦТП'!S140/G$20*1000/12</f>
        <v>5.5734290185649478</v>
      </c>
    </row>
    <row r="114" spans="1:7" x14ac:dyDescent="0.25">
      <c r="A114" s="1822" t="s">
        <v>2947</v>
      </c>
      <c r="B114" s="147" t="s">
        <v>219</v>
      </c>
      <c r="C114" s="2009" t="s">
        <v>3060</v>
      </c>
      <c r="D114" s="1808">
        <f>'ТЕ_2ст_тариф_без ЦТП'!J141/D$20*1000/12</f>
        <v>93.112843092181308</v>
      </c>
      <c r="E114" s="1808">
        <f>'ТЕ_2ст_тариф_без ЦТП'!M141/E$20*1000/12</f>
        <v>93.112843092181279</v>
      </c>
      <c r="F114" s="1808">
        <f>'ТЕ_2ст_тариф_без ЦТП'!P141/F$20*1000/12</f>
        <v>93.112843092181279</v>
      </c>
      <c r="G114" s="1808">
        <f>'ТЕ_2ст_тариф_без ЦТП'!S141/G$20*1000/12</f>
        <v>93.112843092181279</v>
      </c>
    </row>
    <row r="115" spans="1:7" x14ac:dyDescent="0.25">
      <c r="A115" s="1822" t="s">
        <v>2948</v>
      </c>
      <c r="B115" s="147" t="s">
        <v>55</v>
      </c>
      <c r="C115" s="2009" t="s">
        <v>3060</v>
      </c>
      <c r="D115" s="1808">
        <f>'ТЕ_2ст_тариф_без ЦТП'!J142/D$20*1000/12</f>
        <v>69.72886848442441</v>
      </c>
      <c r="E115" s="1808">
        <f>'ТЕ_2ст_тариф_без ЦТП'!M142/E$20*1000/12</f>
        <v>69.728868484424396</v>
      </c>
      <c r="F115" s="1808">
        <f>'ТЕ_2ст_тариф_без ЦТП'!P142/F$20*1000/12</f>
        <v>69.72886848442441</v>
      </c>
      <c r="G115" s="1808">
        <f>'ТЕ_2ст_тариф_без ЦТП'!S142/G$20*1000/12</f>
        <v>69.728868484424396</v>
      </c>
    </row>
    <row r="116" spans="1:7" ht="25.95" customHeight="1" x14ac:dyDescent="0.25">
      <c r="A116" s="1822" t="s">
        <v>2949</v>
      </c>
      <c r="B116" s="147" t="s">
        <v>452</v>
      </c>
      <c r="C116" s="2009" t="s">
        <v>3060</v>
      </c>
      <c r="D116" s="1808">
        <f>'ТЕ_2ст_тариф_без ЦТП'!J143/D$20*1000/12</f>
        <v>15.340351066573369</v>
      </c>
      <c r="E116" s="1808">
        <f>'ТЕ_2ст_тариф_без ЦТП'!M143/E$20*1000/12</f>
        <v>15.340351066573371</v>
      </c>
      <c r="F116" s="1808">
        <f>'ТЕ_2ст_тариф_без ЦТП'!P143/F$20*1000/12</f>
        <v>15.340351066573369</v>
      </c>
      <c r="G116" s="1808">
        <f>'ТЕ_2ст_тариф_без ЦТП'!S143/G$20*1000/12</f>
        <v>15.340351066573369</v>
      </c>
    </row>
    <row r="117" spans="1:7" x14ac:dyDescent="0.25">
      <c r="A117" s="1822" t="s">
        <v>2950</v>
      </c>
      <c r="B117" s="147" t="s">
        <v>58</v>
      </c>
      <c r="C117" s="2009" t="s">
        <v>3060</v>
      </c>
      <c r="D117" s="1808">
        <f>'ТЕ_2ст_тариф_без ЦТП'!J144/D$20*1000/12</f>
        <v>8.0436235411835124</v>
      </c>
      <c r="E117" s="1808">
        <f>'ТЕ_2ст_тариф_без ЦТП'!M144/E$20*1000/12</f>
        <v>8.0436235411835142</v>
      </c>
      <c r="F117" s="1808">
        <f>'ТЕ_2ст_тариф_без ЦТП'!P144/F$20*1000/12</f>
        <v>8.0436235411835124</v>
      </c>
      <c r="G117" s="1808">
        <f>'ТЕ_2ст_тариф_без ЦТП'!S144/G$20*1000/12</f>
        <v>8.0436235411835142</v>
      </c>
    </row>
    <row r="118" spans="1:7" x14ac:dyDescent="0.25">
      <c r="A118" s="1822" t="s">
        <v>2951</v>
      </c>
      <c r="B118" s="337" t="s">
        <v>220</v>
      </c>
      <c r="C118" s="2009" t="s">
        <v>3060</v>
      </c>
      <c r="D118" s="1808">
        <f>'ТЕ_2ст_тариф_без ЦТП'!J145/D$20*1000/12</f>
        <v>0</v>
      </c>
      <c r="E118" s="1808">
        <f>'ТЕ_2ст_тариф_без ЦТП'!M145/E$20*1000/12</f>
        <v>0</v>
      </c>
      <c r="F118" s="1808">
        <f>'ТЕ_2ст_тариф_без ЦТП'!P145/F$20*1000/12</f>
        <v>0</v>
      </c>
      <c r="G118" s="1808">
        <f>'ТЕ_2ст_тариф_без ЦТП'!S145/G$20*1000/12</f>
        <v>0</v>
      </c>
    </row>
    <row r="119" spans="1:7" x14ac:dyDescent="0.25">
      <c r="A119" s="1822" t="s">
        <v>2112</v>
      </c>
      <c r="B119" s="337" t="s">
        <v>55</v>
      </c>
      <c r="C119" s="2009" t="s">
        <v>3060</v>
      </c>
      <c r="D119" s="1808">
        <f>'ТЕ_2ст_тариф_без ЦТП'!J146/D$20*1000/12</f>
        <v>0</v>
      </c>
      <c r="E119" s="1808">
        <f>'ТЕ_2ст_тариф_без ЦТП'!M146/E$20*1000/12</f>
        <v>0</v>
      </c>
      <c r="F119" s="1808">
        <f>'ТЕ_2ст_тариф_без ЦТП'!P146/F$20*1000/12</f>
        <v>0</v>
      </c>
      <c r="G119" s="1808">
        <f>'ТЕ_2ст_тариф_без ЦТП'!S146/G$20*1000/12</f>
        <v>0</v>
      </c>
    </row>
    <row r="120" spans="1:7" ht="28.2" customHeight="1" x14ac:dyDescent="0.25">
      <c r="A120" s="1822" t="s">
        <v>2114</v>
      </c>
      <c r="B120" s="337" t="s">
        <v>452</v>
      </c>
      <c r="C120" s="2009" t="s">
        <v>3060</v>
      </c>
      <c r="D120" s="1808">
        <f>'ТЕ_2ст_тариф_без ЦТП'!J147/D$20*1000/12</f>
        <v>0</v>
      </c>
      <c r="E120" s="1808">
        <f>'ТЕ_2ст_тариф_без ЦТП'!M147/E$20*1000/12</f>
        <v>0</v>
      </c>
      <c r="F120" s="1808">
        <f>'ТЕ_2ст_тариф_без ЦТП'!P147/F$20*1000/12</f>
        <v>0</v>
      </c>
      <c r="G120" s="1808">
        <f>'ТЕ_2ст_тариф_без ЦТП'!S147/G$20*1000/12</f>
        <v>0</v>
      </c>
    </row>
    <row r="121" spans="1:7" x14ac:dyDescent="0.25">
      <c r="A121" s="1822" t="s">
        <v>2952</v>
      </c>
      <c r="B121" s="1814" t="s">
        <v>233</v>
      </c>
      <c r="C121" s="2009" t="s">
        <v>3060</v>
      </c>
      <c r="D121" s="1808">
        <f>'ТЕ_2ст_тариф_без ЦТП'!J148/D$20*1000/12</f>
        <v>0</v>
      </c>
      <c r="E121" s="1808">
        <f>'ТЕ_2ст_тариф_без ЦТП'!M148/E$20*1000/12</f>
        <v>0</v>
      </c>
      <c r="F121" s="1808">
        <f>'ТЕ_2ст_тариф_без ЦТП'!P148/F$20*1000/12</f>
        <v>0</v>
      </c>
      <c r="G121" s="1808">
        <f>'ТЕ_2ст_тариф_без ЦТП'!S148/G$20*1000/12</f>
        <v>0</v>
      </c>
    </row>
    <row r="122" spans="1:7" x14ac:dyDescent="0.25">
      <c r="A122" s="1822" t="s">
        <v>2953</v>
      </c>
      <c r="B122" s="147" t="s">
        <v>105</v>
      </c>
      <c r="C122" s="2009" t="s">
        <v>3060</v>
      </c>
      <c r="D122" s="1808">
        <f>'ТЕ_2ст_тариф_без ЦТП'!J149/D$20*1000/12</f>
        <v>0</v>
      </c>
      <c r="E122" s="1808">
        <f>'ТЕ_2ст_тариф_без ЦТП'!M149/E$20*1000/12</f>
        <v>0</v>
      </c>
      <c r="F122" s="1808">
        <f>'ТЕ_2ст_тариф_без ЦТП'!P149/F$20*1000/12</f>
        <v>0</v>
      </c>
      <c r="G122" s="1808">
        <f>'ТЕ_2ст_тариф_без ЦТП'!S149/G$20*1000/12</f>
        <v>0</v>
      </c>
    </row>
    <row r="123" spans="1:7" x14ac:dyDescent="0.25">
      <c r="A123" s="1822" t="s">
        <v>2954</v>
      </c>
      <c r="B123" s="147" t="s">
        <v>5</v>
      </c>
      <c r="C123" s="2009" t="s">
        <v>3060</v>
      </c>
      <c r="D123" s="1808">
        <f>'ТЕ_2ст_тариф_без ЦТП'!J150/D$20*1000/12</f>
        <v>0</v>
      </c>
      <c r="E123" s="1808">
        <f>'ТЕ_2ст_тариф_без ЦТП'!M150/E$20*1000/12</f>
        <v>0</v>
      </c>
      <c r="F123" s="1808">
        <f>'ТЕ_2ст_тариф_без ЦТП'!P150/F$20*1000/12</f>
        <v>0</v>
      </c>
      <c r="G123" s="1808">
        <f>'ТЕ_2ст_тариф_без ЦТП'!S150/G$20*1000/12</f>
        <v>0</v>
      </c>
    </row>
    <row r="124" spans="1:7" x14ac:dyDescent="0.25">
      <c r="A124" s="1822" t="s">
        <v>2955</v>
      </c>
      <c r="B124" s="147" t="s">
        <v>63</v>
      </c>
      <c r="C124" s="2009" t="s">
        <v>3060</v>
      </c>
      <c r="D124" s="1808">
        <f>'ТЕ_2ст_тариф_без ЦТП'!J151/D$20*1000/12</f>
        <v>2284.226602221027</v>
      </c>
      <c r="E124" s="1808">
        <f>'ТЕ_2ст_тариф_без ЦТП'!M151/E$20*1000/12</f>
        <v>2284.2266022210274</v>
      </c>
      <c r="F124" s="1808">
        <f>'ТЕ_2ст_тариф_без ЦТП'!P151/F$20*1000/12</f>
        <v>2284.226602221027</v>
      </c>
      <c r="G124" s="1808">
        <f>'ТЕ_2ст_тариф_без ЦТП'!S151/G$20*1000/12</f>
        <v>2284.226602221027</v>
      </c>
    </row>
    <row r="125" spans="1:7" x14ac:dyDescent="0.25">
      <c r="A125" s="1822" t="s">
        <v>2956</v>
      </c>
      <c r="B125" s="147" t="s">
        <v>221</v>
      </c>
      <c r="C125" s="2009" t="s">
        <v>3060</v>
      </c>
      <c r="D125" s="1808">
        <f>'ТЕ_2ст_тариф_без ЦТП'!J152/D$20*1000/12</f>
        <v>0</v>
      </c>
      <c r="E125" s="1808">
        <f>'ТЕ_2ст_тариф_без ЦТП'!M152/E$20*1000/12</f>
        <v>0</v>
      </c>
      <c r="F125" s="1808">
        <f>'ТЕ_2ст_тариф_без ЦТП'!P152/F$20*1000/12</f>
        <v>0</v>
      </c>
      <c r="G125" s="1808">
        <f>'ТЕ_2ст_тариф_без ЦТП'!S152/G$20*1000/12</f>
        <v>0</v>
      </c>
    </row>
    <row r="126" spans="1:7" ht="26.4" x14ac:dyDescent="0.25">
      <c r="A126" s="1822" t="s">
        <v>2957</v>
      </c>
      <c r="B126" s="147" t="s">
        <v>242</v>
      </c>
      <c r="C126" s="2009" t="s">
        <v>3060</v>
      </c>
      <c r="D126" s="1808">
        <f>'ТЕ_2ст_тариф_без ЦТП'!J153/D$20*1000/12</f>
        <v>105.85440351755976</v>
      </c>
      <c r="E126" s="1808">
        <f>'ТЕ_2ст_тариф_без ЦТП'!M153/E$20*1000/12</f>
        <v>105.85440351755977</v>
      </c>
      <c r="F126" s="1808">
        <f>'ТЕ_2ст_тариф_без ЦТП'!P153/F$20*1000/12</f>
        <v>105.85440351755977</v>
      </c>
      <c r="G126" s="1808">
        <f>'ТЕ_2ст_тариф_без ЦТП'!S153/G$20*1000/12</f>
        <v>105.85440351755976</v>
      </c>
    </row>
    <row r="127" spans="1:7" x14ac:dyDescent="0.25">
      <c r="A127" s="1822" t="s">
        <v>2958</v>
      </c>
      <c r="B127" s="147" t="s">
        <v>65</v>
      </c>
      <c r="C127" s="2009" t="s">
        <v>3060</v>
      </c>
      <c r="D127" s="1808">
        <f>'ТЕ_2ст_тариф_без ЦТП'!J154/D$20*1000/12</f>
        <v>19.053792633160743</v>
      </c>
      <c r="E127" s="1808">
        <f>'ТЕ_2ст_тариф_без ЦТП'!M154/E$20*1000/12</f>
        <v>19.05379263316075</v>
      </c>
      <c r="F127" s="1808">
        <f>'ТЕ_2ст_тариф_без ЦТП'!P154/F$20*1000/12</f>
        <v>19.053792633160754</v>
      </c>
      <c r="G127" s="1808">
        <f>'ТЕ_2ст_тариф_без ЦТП'!S154/G$20*1000/12</f>
        <v>19.05379263316075</v>
      </c>
    </row>
    <row r="128" spans="1:7" x14ac:dyDescent="0.25">
      <c r="A128" s="1822" t="s">
        <v>2959</v>
      </c>
      <c r="B128" s="147" t="s">
        <v>84</v>
      </c>
      <c r="C128" s="2009" t="s">
        <v>3060</v>
      </c>
      <c r="D128" s="1808">
        <f>'ТЕ_2ст_тариф_без ЦТП'!J155/D$20*1000/12</f>
        <v>0</v>
      </c>
      <c r="E128" s="1808">
        <f>'ТЕ_2ст_тариф_без ЦТП'!M155/E$20*1000/12</f>
        <v>0</v>
      </c>
      <c r="F128" s="1808">
        <f>'ТЕ_2ст_тариф_без ЦТП'!P155/F$20*1000/12</f>
        <v>0</v>
      </c>
      <c r="G128" s="1808">
        <f>'ТЕ_2ст_тариф_без ЦТП'!S155/G$20*1000/12</f>
        <v>0</v>
      </c>
    </row>
    <row r="129" spans="1:7" x14ac:dyDescent="0.25">
      <c r="A129" s="1822" t="s">
        <v>2960</v>
      </c>
      <c r="B129" s="147" t="s">
        <v>85</v>
      </c>
      <c r="C129" s="2009" t="s">
        <v>3060</v>
      </c>
      <c r="D129" s="1808">
        <f>'ТЕ_2ст_тариф_без ЦТП'!J156/D$20*1000/12</f>
        <v>0</v>
      </c>
      <c r="E129" s="1808">
        <f>'ТЕ_2ст_тариф_без ЦТП'!M156/E$20*1000/12</f>
        <v>0</v>
      </c>
      <c r="F129" s="1808">
        <f>'ТЕ_2ст_тариф_без ЦТП'!P156/F$20*1000/12</f>
        <v>0</v>
      </c>
      <c r="G129" s="1808">
        <f>'ТЕ_2ст_тариф_без ЦТП'!S156/G$20*1000/12</f>
        <v>0</v>
      </c>
    </row>
    <row r="130" spans="1:7" ht="26.4" x14ac:dyDescent="0.25">
      <c r="A130" s="1822" t="s">
        <v>2961</v>
      </c>
      <c r="B130" s="147" t="s">
        <v>71</v>
      </c>
      <c r="C130" s="2009" t="s">
        <v>3060</v>
      </c>
      <c r="D130" s="1808">
        <f>'ТЕ_2ст_тариф_без ЦТП'!J157/D$20*1000/12</f>
        <v>0</v>
      </c>
      <c r="E130" s="1808">
        <f>'ТЕ_2ст_тариф_без ЦТП'!M157/E$20*1000/12</f>
        <v>0</v>
      </c>
      <c r="F130" s="1808">
        <f>'ТЕ_2ст_тариф_без ЦТП'!P157/F$20*1000/12</f>
        <v>0</v>
      </c>
      <c r="G130" s="1808">
        <f>'ТЕ_2ст_тариф_без ЦТП'!S157/G$20*1000/12</f>
        <v>0</v>
      </c>
    </row>
    <row r="131" spans="1:7" x14ac:dyDescent="0.25">
      <c r="A131" s="1822" t="s">
        <v>2962</v>
      </c>
      <c r="B131" s="1094" t="s">
        <v>86</v>
      </c>
      <c r="C131" s="2009" t="s">
        <v>3060</v>
      </c>
      <c r="D131" s="1808">
        <f>'ТЕ_2ст_тариф_без ЦТП'!J158/D$20*1000/12</f>
        <v>86.800610884399021</v>
      </c>
      <c r="E131" s="1808">
        <f>'ТЕ_2ст_тариф_без ЦТП'!M158/E$20*1000/12</f>
        <v>86.800610884399021</v>
      </c>
      <c r="F131" s="1808">
        <f>'ТЕ_2ст_тариф_без ЦТП'!P158/F$20*1000/12</f>
        <v>86.800610884399021</v>
      </c>
      <c r="G131" s="1808">
        <f>'ТЕ_2ст_тариф_без ЦТП'!S158/G$20*1000/12</f>
        <v>86.800610884399021</v>
      </c>
    </row>
    <row r="135" spans="1:7" ht="15.6" x14ac:dyDescent="0.3">
      <c r="B135" s="887" t="s">
        <v>2821</v>
      </c>
      <c r="C135" s="887"/>
      <c r="D135" s="45"/>
      <c r="E135" s="887" t="s">
        <v>2822</v>
      </c>
      <c r="F135" s="887"/>
      <c r="G135" s="887"/>
    </row>
  </sheetData>
  <mergeCells count="16">
    <mergeCell ref="A30:G30"/>
    <mergeCell ref="A61:G61"/>
    <mergeCell ref="A65:G65"/>
    <mergeCell ref="A101:G101"/>
    <mergeCell ref="A9:A10"/>
    <mergeCell ref="B9:B10"/>
    <mergeCell ref="D9:G9"/>
    <mergeCell ref="A12:G12"/>
    <mergeCell ref="A15:G15"/>
    <mergeCell ref="A23:G23"/>
    <mergeCell ref="A7:G7"/>
    <mergeCell ref="D1:F1"/>
    <mergeCell ref="D2:F2"/>
    <mergeCell ref="D3:F3"/>
    <mergeCell ref="D4:F4"/>
    <mergeCell ref="A6:G6"/>
  </mergeCells>
  <pageMargins left="0.79" right="0.31" top="0.43" bottom="0.37" header="0.31496062992125984" footer="0.31496062992125984"/>
  <pageSetup paperSize="9" orientation="portrait" horizontalDpi="0" verticalDpi="0" r:id="rId1"/>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800-000000000000}">
  <sheetPr codeName="Лист54">
    <tabColor rgb="FF0000FF"/>
  </sheetPr>
  <dimension ref="A1:J39"/>
  <sheetViews>
    <sheetView workbookViewId="0">
      <selection sqref="A1:XFD1048576"/>
    </sheetView>
  </sheetViews>
  <sheetFormatPr defaultColWidth="8.88671875" defaultRowHeight="15.6" x14ac:dyDescent="0.3"/>
  <cols>
    <col min="1" max="1" width="22.5546875" style="45" customWidth="1"/>
    <col min="2" max="2" width="19.88671875" style="45" customWidth="1"/>
    <col min="3" max="3" width="15.5546875" style="45" customWidth="1"/>
    <col min="4" max="5" width="13.33203125" style="45" customWidth="1"/>
    <col min="6" max="8" width="8.88671875" style="45"/>
    <col min="9" max="10" width="11.5546875" style="45" customWidth="1"/>
    <col min="11" max="16384" width="8.88671875" style="45"/>
  </cols>
  <sheetData>
    <row r="1" spans="1:7" x14ac:dyDescent="0.3">
      <c r="A1" s="1732"/>
      <c r="B1" s="1732"/>
      <c r="C1" s="4910" t="s">
        <v>3082</v>
      </c>
      <c r="D1" s="4910"/>
      <c r="E1" s="4910"/>
    </row>
    <row r="2" spans="1:7" ht="12.6" customHeight="1" x14ac:dyDescent="0.3">
      <c r="A2" s="1732"/>
      <c r="B2" s="1732"/>
      <c r="C2" s="5471" t="s">
        <v>2812</v>
      </c>
      <c r="D2" s="5471"/>
      <c r="E2" s="5471"/>
    </row>
    <row r="3" spans="1:7" ht="27" customHeight="1" x14ac:dyDescent="0.3">
      <c r="A3" s="1732"/>
      <c r="B3" s="1732"/>
      <c r="C3" s="5472" t="s">
        <v>2827</v>
      </c>
      <c r="D3" s="5472"/>
      <c r="E3" s="5472"/>
    </row>
    <row r="4" spans="1:7" x14ac:dyDescent="0.3">
      <c r="A4" s="1732"/>
      <c r="B4" s="1732"/>
      <c r="C4" s="5471" t="s">
        <v>2823</v>
      </c>
      <c r="D4" s="5471"/>
      <c r="E4" s="5471"/>
    </row>
    <row r="5" spans="1:7" ht="6" customHeight="1" x14ac:dyDescent="0.3"/>
    <row r="6" spans="1:7" x14ac:dyDescent="0.3">
      <c r="A6" s="4911" t="s">
        <v>2219</v>
      </c>
      <c r="B6" s="4911"/>
      <c r="C6" s="4911"/>
      <c r="D6" s="4911"/>
      <c r="E6" s="4911"/>
    </row>
    <row r="7" spans="1:7" ht="63.6" customHeight="1" x14ac:dyDescent="0.3">
      <c r="A7" s="4938" t="s">
        <v>2909</v>
      </c>
      <c r="B7" s="4938"/>
      <c r="C7" s="4938"/>
      <c r="D7" s="4938"/>
      <c r="E7" s="4938"/>
    </row>
    <row r="8" spans="1:7" ht="0.6" customHeight="1" x14ac:dyDescent="0.3"/>
    <row r="9" spans="1:7" ht="31.2" x14ac:dyDescent="0.3">
      <c r="A9" s="1733" t="s">
        <v>1544</v>
      </c>
      <c r="B9" s="1733" t="s">
        <v>259</v>
      </c>
      <c r="C9" s="1733" t="s">
        <v>2813</v>
      </c>
      <c r="D9" s="1733" t="s">
        <v>2824</v>
      </c>
      <c r="E9" s="1733" t="s">
        <v>2825</v>
      </c>
    </row>
    <row r="10" spans="1:7" ht="15.6" customHeight="1" x14ac:dyDescent="0.3">
      <c r="A10" s="5477" t="s">
        <v>2736</v>
      </c>
      <c r="B10" s="5478"/>
      <c r="C10" s="5478"/>
      <c r="D10" s="5478"/>
      <c r="E10" s="5479"/>
    </row>
    <row r="11" spans="1:7" x14ac:dyDescent="0.3">
      <c r="A11" s="5480" t="s">
        <v>2826</v>
      </c>
      <c r="B11" s="1735" t="s">
        <v>2814</v>
      </c>
      <c r="C11" s="1735" t="s">
        <v>2815</v>
      </c>
      <c r="D11" s="1786">
        <f>D13+D15+D17</f>
        <v>1143.25</v>
      </c>
      <c r="E11" s="1786">
        <f>E13+E15+E17</f>
        <v>1371.8999999999999</v>
      </c>
      <c r="G11" s="45">
        <f>D11*1.2-E11</f>
        <v>0</v>
      </c>
    </row>
    <row r="12" spans="1:7" ht="31.2" x14ac:dyDescent="0.3">
      <c r="A12" s="5480"/>
      <c r="B12" s="1735" t="s">
        <v>2816</v>
      </c>
      <c r="C12" s="1735" t="s">
        <v>2817</v>
      </c>
      <c r="D12" s="1786">
        <f>D14+D16+D18</f>
        <v>11011.4</v>
      </c>
      <c r="E12" s="1786">
        <f>E14+E16+E18</f>
        <v>13213.679999999998</v>
      </c>
      <c r="G12" s="45">
        <f t="shared" ref="G12:G36" si="0">D12*1.2-E12</f>
        <v>0</v>
      </c>
    </row>
    <row r="13" spans="1:7" x14ac:dyDescent="0.3">
      <c r="A13" s="5476" t="s">
        <v>2818</v>
      </c>
      <c r="B13" s="1734" t="s">
        <v>2814</v>
      </c>
      <c r="C13" s="1734" t="s">
        <v>2815</v>
      </c>
      <c r="D13" s="1787">
        <f>'ТЕ_2ст_тариф_з ЦТП'!H80</f>
        <v>889.12</v>
      </c>
      <c r="E13" s="1787">
        <f>'ТЕ_2ст_тариф_з ЦТП'!H83</f>
        <v>1066.944</v>
      </c>
      <c r="G13" s="45">
        <f t="shared" si="0"/>
        <v>0</v>
      </c>
    </row>
    <row r="14" spans="1:7" ht="31.2" x14ac:dyDescent="0.3">
      <c r="A14" s="5476"/>
      <c r="B14" s="1734" t="s">
        <v>2816</v>
      </c>
      <c r="C14" s="1734" t="s">
        <v>2817</v>
      </c>
      <c r="D14" s="1787">
        <f>'ТЕ_2ст_тариф_з ЦТП'!H81/12</f>
        <v>4556.5199999999995</v>
      </c>
      <c r="E14" s="1787">
        <f>'ТЕ_2ст_тариф_з ЦТП'!H84/12</f>
        <v>5467.8239999999996</v>
      </c>
      <c r="G14" s="45">
        <f t="shared" si="0"/>
        <v>0</v>
      </c>
    </row>
    <row r="15" spans="1:7" x14ac:dyDescent="0.3">
      <c r="A15" s="5476" t="s">
        <v>2819</v>
      </c>
      <c r="B15" s="1734" t="s">
        <v>2814</v>
      </c>
      <c r="C15" s="1734" t="s">
        <v>2815</v>
      </c>
      <c r="D15" s="1787">
        <f>'ТЕ_2ст_тариф_з ЦТП'!H124</f>
        <v>254.13</v>
      </c>
      <c r="E15" s="1787">
        <f>'ТЕ_2ст_тариф_з ЦТП'!H127</f>
        <v>304.95599999999996</v>
      </c>
      <c r="G15" s="45">
        <f t="shared" si="0"/>
        <v>0</v>
      </c>
    </row>
    <row r="16" spans="1:7" ht="31.2" x14ac:dyDescent="0.3">
      <c r="A16" s="5476"/>
      <c r="B16" s="1734" t="s">
        <v>2816</v>
      </c>
      <c r="C16" s="1734" t="s">
        <v>2817</v>
      </c>
      <c r="D16" s="1787">
        <f>'ТЕ_2ст_тариф_з ЦТП'!H125/12</f>
        <v>6255.706666666666</v>
      </c>
      <c r="E16" s="1787">
        <f>'ТЕ_2ст_тариф_з ЦТП'!H128/12</f>
        <v>7506.847999999999</v>
      </c>
      <c r="G16" s="45">
        <f t="shared" si="0"/>
        <v>0</v>
      </c>
    </row>
    <row r="17" spans="1:10" x14ac:dyDescent="0.3">
      <c r="A17" s="5476" t="s">
        <v>2820</v>
      </c>
      <c r="B17" s="1734" t="s">
        <v>2814</v>
      </c>
      <c r="C17" s="1734" t="s">
        <v>2815</v>
      </c>
      <c r="D17" s="1787">
        <v>0</v>
      </c>
      <c r="E17" s="1787">
        <v>0</v>
      </c>
      <c r="G17" s="45">
        <f t="shared" si="0"/>
        <v>0</v>
      </c>
    </row>
    <row r="18" spans="1:10" ht="31.2" x14ac:dyDescent="0.3">
      <c r="A18" s="5476"/>
      <c r="B18" s="1734" t="s">
        <v>2816</v>
      </c>
      <c r="C18" s="1734" t="s">
        <v>2817</v>
      </c>
      <c r="D18" s="1787">
        <f>'ТЕ_2ст_тариф_з ЦТП'!H164/12</f>
        <v>199.17333333333332</v>
      </c>
      <c r="E18" s="1787">
        <f>'ТЕ_2ст_тариф_з ЦТП'!H167/12</f>
        <v>239.00800000000001</v>
      </c>
      <c r="G18" s="45">
        <f t="shared" si="0"/>
        <v>0</v>
      </c>
    </row>
    <row r="19" spans="1:10" ht="15.6" customHeight="1" x14ac:dyDescent="0.3">
      <c r="A19" s="5477" t="s">
        <v>2859</v>
      </c>
      <c r="B19" s="5478"/>
      <c r="C19" s="5478"/>
      <c r="D19" s="5478"/>
      <c r="E19" s="5479"/>
      <c r="G19" s="45">
        <f t="shared" si="0"/>
        <v>0</v>
      </c>
    </row>
    <row r="20" spans="1:10" ht="15.6" customHeight="1" x14ac:dyDescent="0.3">
      <c r="A20" s="5480" t="s">
        <v>2826</v>
      </c>
      <c r="B20" s="1735" t="s">
        <v>2814</v>
      </c>
      <c r="C20" s="1735" t="s">
        <v>2815</v>
      </c>
      <c r="D20" s="1786">
        <f>D22+D24+D26</f>
        <v>2130.2600000000002</v>
      </c>
      <c r="E20" s="1786">
        <f>E22+E24+E26</f>
        <v>2556.3120000000004</v>
      </c>
      <c r="G20" s="45">
        <f t="shared" si="0"/>
        <v>0</v>
      </c>
    </row>
    <row r="21" spans="1:10" ht="31.2" x14ac:dyDescent="0.3">
      <c r="A21" s="5480"/>
      <c r="B21" s="1735" t="s">
        <v>2816</v>
      </c>
      <c r="C21" s="1735" t="s">
        <v>2817</v>
      </c>
      <c r="D21" s="1786">
        <f>D23+D25+D27</f>
        <v>12569.185833333335</v>
      </c>
      <c r="E21" s="1786">
        <f>E23+E25+E27</f>
        <v>15083.022999999999</v>
      </c>
      <c r="G21" s="45">
        <f t="shared" si="0"/>
        <v>0</v>
      </c>
    </row>
    <row r="22" spans="1:10" x14ac:dyDescent="0.3">
      <c r="A22" s="5476" t="s">
        <v>2818</v>
      </c>
      <c r="B22" s="1734" t="s">
        <v>2814</v>
      </c>
      <c r="C22" s="1734" t="s">
        <v>2286</v>
      </c>
      <c r="D22" s="1787">
        <f>'ТЕ_2ст_тариф_з ЦТП'!N80</f>
        <v>1876.13</v>
      </c>
      <c r="E22" s="1787">
        <f>'ТЕ_2ст_тариф_з ЦТП'!N83</f>
        <v>2251.3560000000002</v>
      </c>
      <c r="G22" s="45">
        <f t="shared" si="0"/>
        <v>0</v>
      </c>
    </row>
    <row r="23" spans="1:10" ht="31.2" x14ac:dyDescent="0.3">
      <c r="A23" s="5476"/>
      <c r="B23" s="1734" t="s">
        <v>2816</v>
      </c>
      <c r="C23" s="1734" t="s">
        <v>2817</v>
      </c>
      <c r="D23" s="1787">
        <f>'ТЕ_2ст_тариф_з ЦТП'!N81/12</f>
        <v>5037.7666666666664</v>
      </c>
      <c r="E23" s="1787">
        <f>'ТЕ_2ст_тариф_з ЦТП'!N84/12</f>
        <v>6045.32</v>
      </c>
      <c r="G23" s="45">
        <f t="shared" si="0"/>
        <v>0</v>
      </c>
    </row>
    <row r="24" spans="1:10" x14ac:dyDescent="0.3">
      <c r="A24" s="5476" t="s">
        <v>2819</v>
      </c>
      <c r="B24" s="1734" t="s">
        <v>2814</v>
      </c>
      <c r="C24" s="1734" t="s">
        <v>2286</v>
      </c>
      <c r="D24" s="1787">
        <f>'ТЕ_2ст_тариф_з ЦТП'!N124</f>
        <v>254.13</v>
      </c>
      <c r="E24" s="1787">
        <f>'ТЕ_2ст_тариф_з ЦТП'!N127</f>
        <v>304.95599999999996</v>
      </c>
      <c r="G24" s="45">
        <f t="shared" si="0"/>
        <v>0</v>
      </c>
    </row>
    <row r="25" spans="1:10" ht="31.2" x14ac:dyDescent="0.3">
      <c r="A25" s="5476"/>
      <c r="B25" s="1734" t="s">
        <v>2816</v>
      </c>
      <c r="C25" s="1734" t="s">
        <v>2817</v>
      </c>
      <c r="D25" s="1787">
        <f>'ТЕ_2ст_тариф_з ЦТП'!N125/12</f>
        <v>7332.2458333333334</v>
      </c>
      <c r="E25" s="1787">
        <f>'ТЕ_2ст_тариф_з ЦТП'!N128/12</f>
        <v>8798.6949999999997</v>
      </c>
      <c r="G25" s="45">
        <f t="shared" si="0"/>
        <v>0</v>
      </c>
    </row>
    <row r="26" spans="1:10" x14ac:dyDescent="0.3">
      <c r="A26" s="5476" t="s">
        <v>2820</v>
      </c>
      <c r="B26" s="1734" t="s">
        <v>2814</v>
      </c>
      <c r="C26" s="1734" t="s">
        <v>2286</v>
      </c>
      <c r="D26" s="1787">
        <v>0</v>
      </c>
      <c r="E26" s="1225">
        <v>0</v>
      </c>
      <c r="G26" s="45">
        <f t="shared" si="0"/>
        <v>0</v>
      </c>
    </row>
    <row r="27" spans="1:10" ht="31.2" x14ac:dyDescent="0.3">
      <c r="A27" s="5476"/>
      <c r="B27" s="1734" t="s">
        <v>2816</v>
      </c>
      <c r="C27" s="1734" t="s">
        <v>2817</v>
      </c>
      <c r="D27" s="1787">
        <f>'ТЕ_2ст_тариф_з ЦТП'!N164/12</f>
        <v>199.17333333333332</v>
      </c>
      <c r="E27" s="1787">
        <f>'ТЕ_2ст_тариф_з ЦТП'!N167/12</f>
        <v>239.00800000000001</v>
      </c>
      <c r="G27" s="45">
        <f t="shared" si="0"/>
        <v>0</v>
      </c>
    </row>
    <row r="28" spans="1:10" ht="15.6" customHeight="1" x14ac:dyDescent="0.3">
      <c r="A28" s="5477" t="s">
        <v>2739</v>
      </c>
      <c r="B28" s="5478"/>
      <c r="C28" s="5478"/>
      <c r="D28" s="5478"/>
      <c r="E28" s="5479"/>
      <c r="G28" s="45">
        <f t="shared" si="0"/>
        <v>0</v>
      </c>
    </row>
    <row r="29" spans="1:10" ht="15.6" customHeight="1" x14ac:dyDescent="0.3">
      <c r="A29" s="5480" t="s">
        <v>2826</v>
      </c>
      <c r="B29" s="1735" t="s">
        <v>2814</v>
      </c>
      <c r="C29" s="1735" t="s">
        <v>2286</v>
      </c>
      <c r="D29" s="1786">
        <f>D31+D33+D35</f>
        <v>2130.2600000000002</v>
      </c>
      <c r="E29" s="1786">
        <f>E31+E33+E35</f>
        <v>2556.3120000000004</v>
      </c>
      <c r="G29" s="45">
        <f t="shared" si="0"/>
        <v>0</v>
      </c>
      <c r="I29" s="1762">
        <f>'сведено-економ'!G40</f>
        <v>2130.2600000000002</v>
      </c>
      <c r="J29" s="1762">
        <f>'сведено-економ'!G69</f>
        <v>2556.3120000000004</v>
      </c>
    </row>
    <row r="30" spans="1:10" ht="31.95" customHeight="1" x14ac:dyDescent="0.3">
      <c r="A30" s="5480"/>
      <c r="B30" s="1735" t="s">
        <v>2816</v>
      </c>
      <c r="C30" s="1735" t="s">
        <v>2817</v>
      </c>
      <c r="D30" s="1786">
        <f>D32+D34+D36</f>
        <v>12569.185833333335</v>
      </c>
      <c r="E30" s="1786">
        <f>E32+E34+E36</f>
        <v>15083.022999999999</v>
      </c>
      <c r="G30" s="45">
        <f t="shared" si="0"/>
        <v>0</v>
      </c>
      <c r="I30" s="1762">
        <f>'сведено-економ'!G41</f>
        <v>150830.22999999998</v>
      </c>
      <c r="J30" s="1762">
        <f>'сведено-економ'!G70</f>
        <v>180996.27599999998</v>
      </c>
    </row>
    <row r="31" spans="1:10" x14ac:dyDescent="0.3">
      <c r="A31" s="5476" t="s">
        <v>2818</v>
      </c>
      <c r="B31" s="1734" t="s">
        <v>2814</v>
      </c>
      <c r="C31" s="1734" t="s">
        <v>2286</v>
      </c>
      <c r="D31" s="1787">
        <f>'ТЕ_2ст_тариф_з ЦТП'!Q80</f>
        <v>1876.13</v>
      </c>
      <c r="E31" s="1787">
        <f>'ТЕ_2ст_тариф_з ЦТП'!Q83</f>
        <v>2251.3560000000002</v>
      </c>
      <c r="G31" s="45">
        <f t="shared" si="0"/>
        <v>0</v>
      </c>
    </row>
    <row r="32" spans="1:10" ht="31.2" x14ac:dyDescent="0.3">
      <c r="A32" s="5476"/>
      <c r="B32" s="1734" t="s">
        <v>2816</v>
      </c>
      <c r="C32" s="1734" t="s">
        <v>2817</v>
      </c>
      <c r="D32" s="1787">
        <f>'ТЕ_2ст_тариф_з ЦТП'!Q81/12</f>
        <v>5037.7666666666664</v>
      </c>
      <c r="E32" s="1787">
        <f>'ТЕ_2ст_тариф_з ЦТП'!Q84/12</f>
        <v>6045.32</v>
      </c>
      <c r="G32" s="45">
        <f t="shared" si="0"/>
        <v>0</v>
      </c>
    </row>
    <row r="33" spans="1:7" x14ac:dyDescent="0.3">
      <c r="A33" s="5476" t="s">
        <v>2819</v>
      </c>
      <c r="B33" s="1734" t="s">
        <v>2814</v>
      </c>
      <c r="C33" s="1734" t="s">
        <v>2286</v>
      </c>
      <c r="D33" s="1787">
        <f>'ТЕ_2ст_тариф_з ЦТП'!Q124</f>
        <v>254.13</v>
      </c>
      <c r="E33" s="1787">
        <f>'ТЕ_2ст_тариф_з ЦТП'!Q127</f>
        <v>304.95599999999996</v>
      </c>
      <c r="G33" s="45">
        <f t="shared" si="0"/>
        <v>0</v>
      </c>
    </row>
    <row r="34" spans="1:7" ht="31.2" x14ac:dyDescent="0.3">
      <c r="A34" s="5476"/>
      <c r="B34" s="1734" t="s">
        <v>2816</v>
      </c>
      <c r="C34" s="1734" t="s">
        <v>2817</v>
      </c>
      <c r="D34" s="1787">
        <f>'ТЕ_2ст_тариф_з ЦТП'!Q125/12</f>
        <v>7332.2458333333334</v>
      </c>
      <c r="E34" s="1787">
        <f>'ТЕ_2ст_тариф_з ЦТП'!Q128/12</f>
        <v>8798.6949999999997</v>
      </c>
      <c r="G34" s="45">
        <f t="shared" si="0"/>
        <v>0</v>
      </c>
    </row>
    <row r="35" spans="1:7" x14ac:dyDescent="0.3">
      <c r="A35" s="5476" t="s">
        <v>2820</v>
      </c>
      <c r="B35" s="1734" t="s">
        <v>2814</v>
      </c>
      <c r="C35" s="1734" t="s">
        <v>2286</v>
      </c>
      <c r="D35" s="1787">
        <v>0</v>
      </c>
      <c r="E35" s="1225">
        <v>0</v>
      </c>
      <c r="G35" s="45">
        <f t="shared" si="0"/>
        <v>0</v>
      </c>
    </row>
    <row r="36" spans="1:7" ht="31.2" x14ac:dyDescent="0.3">
      <c r="A36" s="5476"/>
      <c r="B36" s="1734" t="s">
        <v>2816</v>
      </c>
      <c r="C36" s="1734" t="s">
        <v>2817</v>
      </c>
      <c r="D36" s="1787">
        <f>'ТЕ_2ст_тариф_з ЦТП'!Q164/12</f>
        <v>199.17333333333332</v>
      </c>
      <c r="E36" s="1787">
        <f>'ТЕ_2ст_тариф_з ЦТП'!Q167/12</f>
        <v>239.00800000000001</v>
      </c>
      <c r="G36" s="45">
        <f t="shared" si="0"/>
        <v>0</v>
      </c>
    </row>
    <row r="37" spans="1:7" x14ac:dyDescent="0.3">
      <c r="A37" s="887"/>
    </row>
    <row r="38" spans="1:7" x14ac:dyDescent="0.3">
      <c r="A38" s="887"/>
    </row>
    <row r="39" spans="1:7" x14ac:dyDescent="0.3">
      <c r="A39" s="887" t="s">
        <v>2821</v>
      </c>
      <c r="C39" s="887" t="s">
        <v>2822</v>
      </c>
      <c r="D39" s="887"/>
      <c r="E39" s="887"/>
      <c r="F39" s="887"/>
      <c r="G39" s="887"/>
    </row>
  </sheetData>
  <mergeCells count="21">
    <mergeCell ref="C1:E1"/>
    <mergeCell ref="C2:E2"/>
    <mergeCell ref="C3:E3"/>
    <mergeCell ref="C4:E4"/>
    <mergeCell ref="A20:A21"/>
    <mergeCell ref="A10:E10"/>
    <mergeCell ref="A11:A12"/>
    <mergeCell ref="A13:A14"/>
    <mergeCell ref="A15:A16"/>
    <mergeCell ref="A17:A18"/>
    <mergeCell ref="A19:E19"/>
    <mergeCell ref="A31:A32"/>
    <mergeCell ref="A33:A34"/>
    <mergeCell ref="A35:A36"/>
    <mergeCell ref="A6:E6"/>
    <mergeCell ref="A7:E7"/>
    <mergeCell ref="A22:A23"/>
    <mergeCell ref="A24:A25"/>
    <mergeCell ref="A26:A27"/>
    <mergeCell ref="A28:E28"/>
    <mergeCell ref="A29:A30"/>
  </mergeCells>
  <pageMargins left="1.1023622047244095" right="0.51181102362204722" top="0.56000000000000005" bottom="0.63" header="0.31496062992125984" footer="0.31496062992125984"/>
  <pageSetup paperSize="9" orientation="portrait" horizontalDpi="0" verticalDpi="0" r:id="rId1"/>
</worksheet>
</file>

<file path=xl/worksheets/sheet5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900-000000000000}">
  <sheetPr codeName="Лист55">
    <tabColor rgb="FF0000FF"/>
    <pageSetUpPr fitToPage="1"/>
  </sheetPr>
  <dimension ref="B1:H48"/>
  <sheetViews>
    <sheetView workbookViewId="0">
      <selection sqref="A1:XFD1048576"/>
    </sheetView>
  </sheetViews>
  <sheetFormatPr defaultColWidth="8.88671875" defaultRowHeight="15.6" x14ac:dyDescent="0.3"/>
  <cols>
    <col min="1" max="1" width="8.88671875" style="45"/>
    <col min="2" max="2" width="22.5546875" style="45" customWidth="1"/>
    <col min="3" max="3" width="19.88671875" style="45" customWidth="1"/>
    <col min="4" max="4" width="15.5546875" style="45" customWidth="1"/>
    <col min="5" max="6" width="13.33203125" style="45" customWidth="1"/>
    <col min="7" max="16384" width="8.88671875" style="45"/>
  </cols>
  <sheetData>
    <row r="1" spans="2:8" x14ac:dyDescent="0.3">
      <c r="B1" s="1732"/>
      <c r="C1" s="1732"/>
      <c r="D1" s="4910" t="s">
        <v>3083</v>
      </c>
      <c r="E1" s="4910"/>
      <c r="F1" s="4910"/>
    </row>
    <row r="2" spans="2:8" ht="12.6" customHeight="1" x14ac:dyDescent="0.3">
      <c r="B2" s="1732"/>
      <c r="C2" s="1732"/>
      <c r="D2" s="5471" t="s">
        <v>2812</v>
      </c>
      <c r="E2" s="5471"/>
      <c r="F2" s="5471"/>
    </row>
    <row r="3" spans="2:8" ht="27" customHeight="1" x14ac:dyDescent="0.3">
      <c r="B3" s="1732"/>
      <c r="C3" s="1732"/>
      <c r="D3" s="5472" t="s">
        <v>2827</v>
      </c>
      <c r="E3" s="5472"/>
      <c r="F3" s="5472"/>
    </row>
    <row r="4" spans="2:8" x14ac:dyDescent="0.3">
      <c r="B4" s="1732"/>
      <c r="C4" s="1732"/>
      <c r="D4" s="5471" t="s">
        <v>2823</v>
      </c>
      <c r="E4" s="5471"/>
      <c r="F4" s="5471"/>
    </row>
    <row r="5" spans="2:8" ht="6" customHeight="1" x14ac:dyDescent="0.3"/>
    <row r="6" spans="2:8" x14ac:dyDescent="0.3">
      <c r="B6" s="4911" t="s">
        <v>2219</v>
      </c>
      <c r="C6" s="4911"/>
      <c r="D6" s="4911"/>
      <c r="E6" s="4911"/>
      <c r="F6" s="4911"/>
    </row>
    <row r="7" spans="2:8" ht="63.6" customHeight="1" x14ac:dyDescent="0.3">
      <c r="B7" s="4938" t="s">
        <v>2910</v>
      </c>
      <c r="C7" s="4938"/>
      <c r="D7" s="4938"/>
      <c r="E7" s="4938"/>
      <c r="F7" s="4938"/>
    </row>
    <row r="8" spans="2:8" ht="0.6" customHeight="1" x14ac:dyDescent="0.3"/>
    <row r="9" spans="2:8" ht="31.2" x14ac:dyDescent="0.3">
      <c r="B9" s="1733" t="s">
        <v>1544</v>
      </c>
      <c r="C9" s="1733" t="s">
        <v>259</v>
      </c>
      <c r="D9" s="1733" t="s">
        <v>2813</v>
      </c>
      <c r="E9" s="1733" t="s">
        <v>2824</v>
      </c>
      <c r="F9" s="1733" t="s">
        <v>2825</v>
      </c>
    </row>
    <row r="10" spans="2:8" x14ac:dyDescent="0.3">
      <c r="B10" s="5481" t="s">
        <v>2736</v>
      </c>
      <c r="C10" s="5481"/>
      <c r="D10" s="5481"/>
      <c r="E10" s="5481"/>
      <c r="F10" s="5481"/>
    </row>
    <row r="11" spans="2:8" x14ac:dyDescent="0.3">
      <c r="B11" s="5480" t="s">
        <v>2826</v>
      </c>
      <c r="C11" s="1735" t="s">
        <v>2814</v>
      </c>
      <c r="D11" s="1735" t="s">
        <v>2815</v>
      </c>
      <c r="E11" s="1786">
        <f>E13+E15+E17</f>
        <v>1022.9</v>
      </c>
      <c r="F11" s="1786">
        <f>F13+F15+F17</f>
        <v>1227.48</v>
      </c>
      <c r="H11" s="45">
        <f>E11*1.2-F11</f>
        <v>0</v>
      </c>
    </row>
    <row r="12" spans="2:8" ht="31.2" x14ac:dyDescent="0.3">
      <c r="B12" s="5480"/>
      <c r="C12" s="1735" t="s">
        <v>2816</v>
      </c>
      <c r="D12" s="1735" t="s">
        <v>2817</v>
      </c>
      <c r="E12" s="1786">
        <f>E14+E16+E18</f>
        <v>8387.8349999999991</v>
      </c>
      <c r="F12" s="1786">
        <f>F14+F16+F18</f>
        <v>10065.402</v>
      </c>
      <c r="H12" s="45">
        <f t="shared" ref="H12:H45" si="0">E12*1.2-F12</f>
        <v>0</v>
      </c>
    </row>
    <row r="13" spans="2:8" x14ac:dyDescent="0.3">
      <c r="B13" s="5476" t="s">
        <v>2818</v>
      </c>
      <c r="C13" s="1734" t="s">
        <v>2814</v>
      </c>
      <c r="D13" s="1734" t="s">
        <v>2815</v>
      </c>
      <c r="E13" s="1787">
        <f>'ТЕ_2ст_тариф_без ЦТП'!H80</f>
        <v>889.12</v>
      </c>
      <c r="F13" s="1787">
        <f>'ТЕ_2ст_тариф_без ЦТП'!H83</f>
        <v>1066.944</v>
      </c>
      <c r="H13" s="45">
        <f t="shared" si="0"/>
        <v>0</v>
      </c>
    </row>
    <row r="14" spans="2:8" ht="31.2" x14ac:dyDescent="0.3">
      <c r="B14" s="5476"/>
      <c r="C14" s="1734" t="s">
        <v>2816</v>
      </c>
      <c r="D14" s="1734" t="s">
        <v>2817</v>
      </c>
      <c r="E14" s="1787">
        <f>'ТЕ_2ст_тариф_без ЦТП'!H81/12</f>
        <v>4556.5199999999995</v>
      </c>
      <c r="F14" s="1787">
        <f>'ТЕ_2ст_тариф_без ЦТП'!H84/12</f>
        <v>5467.8239999999996</v>
      </c>
      <c r="H14" s="45">
        <f t="shared" si="0"/>
        <v>0</v>
      </c>
    </row>
    <row r="15" spans="2:8" x14ac:dyDescent="0.3">
      <c r="B15" s="5476" t="s">
        <v>2819</v>
      </c>
      <c r="C15" s="1734" t="s">
        <v>2814</v>
      </c>
      <c r="D15" s="1734" t="s">
        <v>2815</v>
      </c>
      <c r="E15" s="1787">
        <f>'ТЕ_2ст_тариф_без ЦТП'!H124</f>
        <v>133.78</v>
      </c>
      <c r="F15" s="1787">
        <f>'ТЕ_2ст_тариф_без ЦТП'!H127</f>
        <v>160.536</v>
      </c>
      <c r="H15" s="45">
        <f t="shared" si="0"/>
        <v>0</v>
      </c>
    </row>
    <row r="16" spans="2:8" ht="31.2" x14ac:dyDescent="0.3">
      <c r="B16" s="5476"/>
      <c r="C16" s="1734" t="s">
        <v>2816</v>
      </c>
      <c r="D16" s="1734" t="s">
        <v>2817</v>
      </c>
      <c r="E16" s="1787">
        <f>'ТЕ_2ст_тариф_без ЦТП'!H125/12</f>
        <v>3632.1416666666664</v>
      </c>
      <c r="F16" s="1787">
        <f>'ТЕ_2ст_тариф_без ЦТП'!H128/12</f>
        <v>4358.57</v>
      </c>
      <c r="H16" s="45">
        <f t="shared" si="0"/>
        <v>0</v>
      </c>
    </row>
    <row r="17" spans="2:8" x14ac:dyDescent="0.3">
      <c r="B17" s="5476" t="s">
        <v>2820</v>
      </c>
      <c r="C17" s="1734" t="s">
        <v>2814</v>
      </c>
      <c r="D17" s="1734" t="s">
        <v>2815</v>
      </c>
      <c r="E17" s="1787">
        <v>0</v>
      </c>
      <c r="F17" s="1787">
        <v>0</v>
      </c>
      <c r="H17" s="45">
        <f t="shared" si="0"/>
        <v>0</v>
      </c>
    </row>
    <row r="18" spans="2:8" ht="31.2" x14ac:dyDescent="0.3">
      <c r="B18" s="5476"/>
      <c r="C18" s="1734" t="s">
        <v>2816</v>
      </c>
      <c r="D18" s="1734" t="s">
        <v>2817</v>
      </c>
      <c r="E18" s="1787">
        <f>'ТЕ_2ст_тариф_без ЦТП'!H164/12</f>
        <v>199.17333333333332</v>
      </c>
      <c r="F18" s="1787">
        <f>'ТЕ_2ст_тариф_без ЦТП'!H167/12</f>
        <v>239.00800000000001</v>
      </c>
      <c r="H18" s="45">
        <f t="shared" si="0"/>
        <v>0</v>
      </c>
    </row>
    <row r="19" spans="2:8" x14ac:dyDescent="0.3">
      <c r="B19" s="5481" t="s">
        <v>2737</v>
      </c>
      <c r="C19" s="5481"/>
      <c r="D19" s="5481"/>
      <c r="E19" s="5481"/>
      <c r="F19" s="5481"/>
      <c r="H19" s="45">
        <f t="shared" ref="H19:H27" si="1">E19*1.2-F19</f>
        <v>0</v>
      </c>
    </row>
    <row r="20" spans="2:8" ht="15.6" customHeight="1" x14ac:dyDescent="0.3">
      <c r="B20" s="5480" t="s">
        <v>2826</v>
      </c>
      <c r="C20" s="1735" t="s">
        <v>2814</v>
      </c>
      <c r="D20" s="1735" t="s">
        <v>2815</v>
      </c>
      <c r="E20" s="1786">
        <f>E22+E24+E26</f>
        <v>2009.91</v>
      </c>
      <c r="F20" s="1786">
        <f>F22+F24+F26</f>
        <v>2411.8920000000003</v>
      </c>
      <c r="H20" s="45">
        <f t="shared" si="1"/>
        <v>0</v>
      </c>
    </row>
    <row r="21" spans="2:8" ht="31.2" x14ac:dyDescent="0.3">
      <c r="B21" s="5480"/>
      <c r="C21" s="1735" t="s">
        <v>2816</v>
      </c>
      <c r="D21" s="1735" t="s">
        <v>2817</v>
      </c>
      <c r="E21" s="1786">
        <f>E23+E25+E27</f>
        <v>9816.9566666666669</v>
      </c>
      <c r="F21" s="1786">
        <f>F23+F25+F27</f>
        <v>11780.348</v>
      </c>
      <c r="H21" s="45">
        <f t="shared" si="1"/>
        <v>0</v>
      </c>
    </row>
    <row r="22" spans="2:8" x14ac:dyDescent="0.3">
      <c r="B22" s="5476" t="s">
        <v>2818</v>
      </c>
      <c r="C22" s="1734" t="s">
        <v>2814</v>
      </c>
      <c r="D22" s="1734" t="s">
        <v>2286</v>
      </c>
      <c r="E22" s="1787">
        <f>'ТЕ_2ст_тариф_без ЦТП'!K80</f>
        <v>1876.13</v>
      </c>
      <c r="F22" s="1787">
        <f>'ТЕ_2ст_тариф_без ЦТП'!K83</f>
        <v>2251.3560000000002</v>
      </c>
      <c r="H22" s="45">
        <f t="shared" si="1"/>
        <v>0</v>
      </c>
    </row>
    <row r="23" spans="2:8" ht="31.2" x14ac:dyDescent="0.3">
      <c r="B23" s="5476"/>
      <c r="C23" s="1734" t="s">
        <v>2816</v>
      </c>
      <c r="D23" s="1734" t="s">
        <v>2817</v>
      </c>
      <c r="E23" s="1787">
        <f>'ТЕ_2ст_тариф_без ЦТП'!K81/12</f>
        <v>5037.7666666666664</v>
      </c>
      <c r="F23" s="1787">
        <f>'ТЕ_2ст_тариф_без ЦТП'!K84/12</f>
        <v>6045.32</v>
      </c>
      <c r="H23" s="45">
        <f t="shared" si="1"/>
        <v>0</v>
      </c>
    </row>
    <row r="24" spans="2:8" x14ac:dyDescent="0.3">
      <c r="B24" s="5476" t="s">
        <v>2819</v>
      </c>
      <c r="C24" s="1734" t="s">
        <v>2814</v>
      </c>
      <c r="D24" s="1734" t="s">
        <v>2286</v>
      </c>
      <c r="E24" s="1787">
        <f>'ТЕ_2ст_тариф_без ЦТП'!K124</f>
        <v>133.78</v>
      </c>
      <c r="F24" s="1787">
        <f>'ТЕ_2ст_тариф_без ЦТП'!K127</f>
        <v>160.536</v>
      </c>
      <c r="H24" s="45">
        <f t="shared" si="1"/>
        <v>0</v>
      </c>
    </row>
    <row r="25" spans="2:8" ht="31.2" x14ac:dyDescent="0.3">
      <c r="B25" s="5476"/>
      <c r="C25" s="1734" t="s">
        <v>2816</v>
      </c>
      <c r="D25" s="1734" t="s">
        <v>2817</v>
      </c>
      <c r="E25" s="1787">
        <f>'ТЕ_2ст_тариф_без ЦТП'!K125/12</f>
        <v>4580.0166666666664</v>
      </c>
      <c r="F25" s="1787">
        <f>'ТЕ_2ст_тариф_без ЦТП'!K128/12</f>
        <v>5496.0199999999995</v>
      </c>
      <c r="H25" s="45">
        <f t="shared" si="1"/>
        <v>0</v>
      </c>
    </row>
    <row r="26" spans="2:8" x14ac:dyDescent="0.3">
      <c r="B26" s="5476" t="s">
        <v>2820</v>
      </c>
      <c r="C26" s="1734" t="s">
        <v>2814</v>
      </c>
      <c r="D26" s="1734" t="s">
        <v>2286</v>
      </c>
      <c r="E26" s="1787">
        <v>0</v>
      </c>
      <c r="F26" s="1225">
        <v>0</v>
      </c>
      <c r="H26" s="45">
        <f t="shared" si="1"/>
        <v>0</v>
      </c>
    </row>
    <row r="27" spans="2:8" ht="31.2" x14ac:dyDescent="0.3">
      <c r="B27" s="5476"/>
      <c r="C27" s="1734" t="s">
        <v>2816</v>
      </c>
      <c r="D27" s="1734" t="s">
        <v>2817</v>
      </c>
      <c r="E27" s="1787">
        <f>'ТЕ_2ст_тариф_без ЦТП'!K164/12</f>
        <v>199.17333333333332</v>
      </c>
      <c r="F27" s="1787">
        <f>'ТЕ_2ст_тариф_без ЦТП'!K167/12</f>
        <v>239.00800000000001</v>
      </c>
      <c r="H27" s="45">
        <f t="shared" si="1"/>
        <v>0</v>
      </c>
    </row>
    <row r="28" spans="2:8" x14ac:dyDescent="0.3">
      <c r="B28" s="5481" t="s">
        <v>2859</v>
      </c>
      <c r="C28" s="5481"/>
      <c r="D28" s="5481"/>
      <c r="E28" s="5481"/>
      <c r="F28" s="5481"/>
      <c r="H28" s="45">
        <f t="shared" si="0"/>
        <v>0</v>
      </c>
    </row>
    <row r="29" spans="2:8" ht="15.6" customHeight="1" x14ac:dyDescent="0.3">
      <c r="B29" s="5480" t="s">
        <v>2826</v>
      </c>
      <c r="C29" s="1735" t="s">
        <v>2814</v>
      </c>
      <c r="D29" s="1735" t="s">
        <v>2815</v>
      </c>
      <c r="E29" s="1786">
        <f>E31+E33+E35</f>
        <v>2009.91</v>
      </c>
      <c r="F29" s="1786">
        <f>F31+F33+F35</f>
        <v>2411.8920000000003</v>
      </c>
      <c r="H29" s="45">
        <f t="shared" si="0"/>
        <v>0</v>
      </c>
    </row>
    <row r="30" spans="2:8" ht="31.2" x14ac:dyDescent="0.3">
      <c r="B30" s="5480"/>
      <c r="C30" s="1735" t="s">
        <v>2816</v>
      </c>
      <c r="D30" s="1735" t="s">
        <v>2817</v>
      </c>
      <c r="E30" s="1786">
        <f>E32+E34+E36</f>
        <v>9816.9566666666669</v>
      </c>
      <c r="F30" s="1786">
        <f>F32+F34+F36</f>
        <v>11780.348</v>
      </c>
      <c r="H30" s="45">
        <f t="shared" si="0"/>
        <v>0</v>
      </c>
    </row>
    <row r="31" spans="2:8" x14ac:dyDescent="0.3">
      <c r="B31" s="5476" t="s">
        <v>2818</v>
      </c>
      <c r="C31" s="1734" t="s">
        <v>2814</v>
      </c>
      <c r="D31" s="1734" t="s">
        <v>2286</v>
      </c>
      <c r="E31" s="1787">
        <f>'ТЕ_2ст_тариф_без ЦТП'!N80</f>
        <v>1876.13</v>
      </c>
      <c r="F31" s="1787">
        <f>'ТЕ_2ст_тариф_без ЦТП'!N83</f>
        <v>2251.3560000000002</v>
      </c>
      <c r="H31" s="45">
        <f t="shared" si="0"/>
        <v>0</v>
      </c>
    </row>
    <row r="32" spans="2:8" ht="31.2" x14ac:dyDescent="0.3">
      <c r="B32" s="5476"/>
      <c r="C32" s="1734" t="s">
        <v>2816</v>
      </c>
      <c r="D32" s="1734" t="s">
        <v>2817</v>
      </c>
      <c r="E32" s="1787">
        <f>'ТЕ_2ст_тариф_без ЦТП'!N81/12</f>
        <v>5037.7666666666664</v>
      </c>
      <c r="F32" s="1787">
        <f>'ТЕ_2ст_тариф_без ЦТП'!N84/12</f>
        <v>6045.32</v>
      </c>
      <c r="H32" s="45">
        <f t="shared" si="0"/>
        <v>0</v>
      </c>
    </row>
    <row r="33" spans="2:8" x14ac:dyDescent="0.3">
      <c r="B33" s="5476" t="s">
        <v>2819</v>
      </c>
      <c r="C33" s="1734" t="s">
        <v>2814</v>
      </c>
      <c r="D33" s="1734" t="s">
        <v>2286</v>
      </c>
      <c r="E33" s="1787">
        <f>'ТЕ_2ст_тариф_без ЦТП'!N124</f>
        <v>133.78</v>
      </c>
      <c r="F33" s="1787">
        <f>'ТЕ_2ст_тариф_без ЦТП'!N127</f>
        <v>160.536</v>
      </c>
      <c r="H33" s="45">
        <f t="shared" si="0"/>
        <v>0</v>
      </c>
    </row>
    <row r="34" spans="2:8" ht="31.2" x14ac:dyDescent="0.3">
      <c r="B34" s="5476"/>
      <c r="C34" s="1734" t="s">
        <v>2816</v>
      </c>
      <c r="D34" s="1734" t="s">
        <v>2817</v>
      </c>
      <c r="E34" s="1787">
        <f>'ТЕ_2ст_тариф_без ЦТП'!N125/12</f>
        <v>4580.0166666666664</v>
      </c>
      <c r="F34" s="1787">
        <f>'ТЕ_2ст_тариф_без ЦТП'!N128/12</f>
        <v>5496.0199999999995</v>
      </c>
      <c r="H34" s="45">
        <f t="shared" si="0"/>
        <v>0</v>
      </c>
    </row>
    <row r="35" spans="2:8" x14ac:dyDescent="0.3">
      <c r="B35" s="5476" t="s">
        <v>2820</v>
      </c>
      <c r="C35" s="1734" t="s">
        <v>2814</v>
      </c>
      <c r="D35" s="1734" t="s">
        <v>2286</v>
      </c>
      <c r="E35" s="1787">
        <v>0</v>
      </c>
      <c r="F35" s="1225">
        <v>0</v>
      </c>
      <c r="H35" s="45">
        <f t="shared" si="0"/>
        <v>0</v>
      </c>
    </row>
    <row r="36" spans="2:8" ht="31.2" x14ac:dyDescent="0.3">
      <c r="B36" s="5476"/>
      <c r="C36" s="1734" t="s">
        <v>2816</v>
      </c>
      <c r="D36" s="1734" t="s">
        <v>2817</v>
      </c>
      <c r="E36" s="1787">
        <f>'ТЕ_2ст_тариф_без ЦТП'!N164/12</f>
        <v>199.17333333333332</v>
      </c>
      <c r="F36" s="1787">
        <f>'ТЕ_2ст_тариф_без ЦТП'!N167/12</f>
        <v>239.00800000000001</v>
      </c>
      <c r="H36" s="45">
        <f t="shared" si="0"/>
        <v>0</v>
      </c>
    </row>
    <row r="37" spans="2:8" x14ac:dyDescent="0.3">
      <c r="B37" s="5481" t="s">
        <v>2739</v>
      </c>
      <c r="C37" s="5481"/>
      <c r="D37" s="5481"/>
      <c r="E37" s="5481"/>
      <c r="F37" s="5481"/>
      <c r="H37" s="45">
        <f t="shared" si="0"/>
        <v>0</v>
      </c>
    </row>
    <row r="38" spans="2:8" ht="15.6" customHeight="1" x14ac:dyDescent="0.3">
      <c r="B38" s="5480" t="s">
        <v>2826</v>
      </c>
      <c r="C38" s="1735" t="s">
        <v>2814</v>
      </c>
      <c r="D38" s="1735" t="s">
        <v>2286</v>
      </c>
      <c r="E38" s="1786">
        <f>E40+E42+E44</f>
        <v>2009.91</v>
      </c>
      <c r="F38" s="1786">
        <f>F40+F42+F44</f>
        <v>2411.8920000000003</v>
      </c>
      <c r="H38" s="45">
        <f t="shared" si="0"/>
        <v>0</v>
      </c>
    </row>
    <row r="39" spans="2:8" ht="31.2" x14ac:dyDescent="0.3">
      <c r="B39" s="5480"/>
      <c r="C39" s="1735" t="s">
        <v>2816</v>
      </c>
      <c r="D39" s="1735" t="s">
        <v>2817</v>
      </c>
      <c r="E39" s="1786">
        <f>E41+E43+E45</f>
        <v>9816.9566666666669</v>
      </c>
      <c r="F39" s="1786">
        <f>F41+F43+F45</f>
        <v>11780.348</v>
      </c>
      <c r="H39" s="45">
        <f t="shared" si="0"/>
        <v>0</v>
      </c>
    </row>
    <row r="40" spans="2:8" x14ac:dyDescent="0.3">
      <c r="B40" s="5476" t="s">
        <v>2818</v>
      </c>
      <c r="C40" s="1734" t="s">
        <v>2814</v>
      </c>
      <c r="D40" s="1734" t="s">
        <v>2286</v>
      </c>
      <c r="E40" s="1787">
        <f>'ТЕ_2ст_тариф_без ЦТП'!Q80</f>
        <v>1876.13</v>
      </c>
      <c r="F40" s="1787">
        <f>'ТЕ_2ст_тариф_без ЦТП'!Q83</f>
        <v>2251.3560000000002</v>
      </c>
      <c r="H40" s="45">
        <f t="shared" si="0"/>
        <v>0</v>
      </c>
    </row>
    <row r="41" spans="2:8" ht="31.2" x14ac:dyDescent="0.3">
      <c r="B41" s="5476"/>
      <c r="C41" s="1734" t="s">
        <v>2816</v>
      </c>
      <c r="D41" s="1734" t="s">
        <v>2817</v>
      </c>
      <c r="E41" s="1787">
        <f>'ТЕ_2ст_тариф_без ЦТП'!Q81/12</f>
        <v>5037.7666666666664</v>
      </c>
      <c r="F41" s="1787">
        <f>'ТЕ_2ст_тариф_без ЦТП'!Q84/12</f>
        <v>6045.32</v>
      </c>
      <c r="H41" s="45">
        <f t="shared" si="0"/>
        <v>0</v>
      </c>
    </row>
    <row r="42" spans="2:8" x14ac:dyDescent="0.3">
      <c r="B42" s="5476" t="s">
        <v>2819</v>
      </c>
      <c r="C42" s="1734" t="s">
        <v>2814</v>
      </c>
      <c r="D42" s="1734" t="s">
        <v>2286</v>
      </c>
      <c r="E42" s="1787">
        <f>'ТЕ_2ст_тариф_без ЦТП'!Q124</f>
        <v>133.78</v>
      </c>
      <c r="F42" s="1787">
        <f>'ТЕ_2ст_тариф_без ЦТП'!Q127</f>
        <v>160.536</v>
      </c>
      <c r="H42" s="45">
        <f t="shared" si="0"/>
        <v>0</v>
      </c>
    </row>
    <row r="43" spans="2:8" ht="31.2" x14ac:dyDescent="0.3">
      <c r="B43" s="5476"/>
      <c r="C43" s="1734" t="s">
        <v>2816</v>
      </c>
      <c r="D43" s="1734" t="s">
        <v>2817</v>
      </c>
      <c r="E43" s="1787">
        <f>'ТЕ_2ст_тариф_без ЦТП'!Q125/12</f>
        <v>4580.0166666666664</v>
      </c>
      <c r="F43" s="1787">
        <f>'ТЕ_2ст_тариф_без ЦТП'!Q128/12</f>
        <v>5496.0199999999995</v>
      </c>
      <c r="H43" s="45">
        <f t="shared" si="0"/>
        <v>0</v>
      </c>
    </row>
    <row r="44" spans="2:8" x14ac:dyDescent="0.3">
      <c r="B44" s="5476" t="s">
        <v>2820</v>
      </c>
      <c r="C44" s="1734" t="s">
        <v>2814</v>
      </c>
      <c r="D44" s="1734" t="s">
        <v>2286</v>
      </c>
      <c r="E44" s="1787">
        <v>0</v>
      </c>
      <c r="F44" s="1225">
        <v>0</v>
      </c>
      <c r="H44" s="45">
        <f t="shared" si="0"/>
        <v>0</v>
      </c>
    </row>
    <row r="45" spans="2:8" ht="31.2" x14ac:dyDescent="0.3">
      <c r="B45" s="5476"/>
      <c r="C45" s="1734" t="s">
        <v>2816</v>
      </c>
      <c r="D45" s="1734" t="s">
        <v>2817</v>
      </c>
      <c r="E45" s="1787">
        <f>'ТЕ_2ст_тариф_без ЦТП'!Q164/12</f>
        <v>199.17333333333332</v>
      </c>
      <c r="F45" s="1787">
        <f>'ТЕ_2ст_тариф_без ЦТП'!Q167/12</f>
        <v>239.00800000000001</v>
      </c>
      <c r="H45" s="45">
        <f t="shared" si="0"/>
        <v>0</v>
      </c>
    </row>
    <row r="46" spans="2:8" x14ac:dyDescent="0.3">
      <c r="B46" s="887"/>
    </row>
    <row r="47" spans="2:8" x14ac:dyDescent="0.3">
      <c r="B47" s="887"/>
    </row>
    <row r="48" spans="2:8" x14ac:dyDescent="0.3">
      <c r="B48" s="887" t="s">
        <v>2821</v>
      </c>
      <c r="D48" s="887" t="s">
        <v>2822</v>
      </c>
      <c r="E48" s="887"/>
      <c r="F48" s="887"/>
      <c r="G48" s="887"/>
      <c r="H48" s="887"/>
    </row>
  </sheetData>
  <mergeCells count="26">
    <mergeCell ref="B17:B18"/>
    <mergeCell ref="B19:F19"/>
    <mergeCell ref="B20:B21"/>
    <mergeCell ref="B22:B23"/>
    <mergeCell ref="B7:F7"/>
    <mergeCell ref="B10:F10"/>
    <mergeCell ref="B11:B12"/>
    <mergeCell ref="B13:B14"/>
    <mergeCell ref="B15:B16"/>
    <mergeCell ref="D1:F1"/>
    <mergeCell ref="D2:F2"/>
    <mergeCell ref="D3:F3"/>
    <mergeCell ref="D4:F4"/>
    <mergeCell ref="B6:F6"/>
    <mergeCell ref="B24:B25"/>
    <mergeCell ref="B40:B41"/>
    <mergeCell ref="B42:B43"/>
    <mergeCell ref="B44:B45"/>
    <mergeCell ref="B29:B30"/>
    <mergeCell ref="B31:B32"/>
    <mergeCell ref="B33:B34"/>
    <mergeCell ref="B35:B36"/>
    <mergeCell ref="B37:F37"/>
    <mergeCell ref="B38:B39"/>
    <mergeCell ref="B26:B27"/>
    <mergeCell ref="B28:F28"/>
  </mergeCells>
  <pageMargins left="0.70866141732283472" right="0.51181102362204722" top="0.74803149606299213" bottom="0.43" header="0.31496062992125984" footer="0.31496062992125984"/>
  <pageSetup paperSize="9" fitToHeight="2" orientation="portrait" horizontalDpi="0" verticalDpi="0" r:id="rId1"/>
</worksheet>
</file>

<file path=xl/worksheets/sheet5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A00-000000000000}">
  <sheetPr codeName="Лист56">
    <tabColor rgb="FF0000FF"/>
  </sheetPr>
  <dimension ref="B1:E247"/>
  <sheetViews>
    <sheetView workbookViewId="0">
      <selection sqref="A1:XFD1048576"/>
    </sheetView>
  </sheetViews>
  <sheetFormatPr defaultColWidth="8.88671875" defaultRowHeight="15.6" x14ac:dyDescent="0.3"/>
  <cols>
    <col min="1" max="2" width="8.88671875" style="45"/>
    <col min="3" max="3" width="31.33203125" style="45" customWidth="1"/>
    <col min="4" max="4" width="24.6640625" style="45" customWidth="1"/>
    <col min="5" max="5" width="19.5546875" style="45" customWidth="1"/>
    <col min="6" max="16384" width="8.88671875" style="45"/>
  </cols>
  <sheetData>
    <row r="1" spans="2:5" x14ac:dyDescent="0.3">
      <c r="D1" s="5244" t="s">
        <v>3084</v>
      </c>
      <c r="E1" s="5244"/>
    </row>
    <row r="2" spans="2:5" ht="49.95" customHeight="1" x14ac:dyDescent="0.3">
      <c r="D2" s="5482" t="s">
        <v>3079</v>
      </c>
      <c r="E2" s="5482"/>
    </row>
    <row r="4" spans="2:5" ht="21" x14ac:dyDescent="0.4">
      <c r="B4" s="4940" t="s">
        <v>472</v>
      </c>
      <c r="C4" s="4940"/>
      <c r="D4" s="4940"/>
      <c r="E4" s="4940"/>
    </row>
    <row r="5" spans="2:5" x14ac:dyDescent="0.3">
      <c r="B5" s="4941" t="s">
        <v>1023</v>
      </c>
      <c r="C5" s="4941"/>
      <c r="D5" s="4941"/>
      <c r="E5" s="4941"/>
    </row>
    <row r="6" spans="2:5" ht="28.95" customHeight="1" x14ac:dyDescent="0.3">
      <c r="B6" s="4942" t="s">
        <v>3066</v>
      </c>
      <c r="C6" s="4942"/>
      <c r="D6" s="4942"/>
      <c r="E6" s="4942"/>
    </row>
    <row r="7" spans="2:5" x14ac:dyDescent="0.3">
      <c r="B7" s="4939" t="s">
        <v>369</v>
      </c>
      <c r="C7" s="4939"/>
      <c r="D7" s="4939"/>
      <c r="E7" s="4939"/>
    </row>
    <row r="8" spans="2:5" x14ac:dyDescent="0.3">
      <c r="B8" s="4943" t="s">
        <v>3067</v>
      </c>
      <c r="C8" s="4943"/>
      <c r="D8" s="4943"/>
      <c r="E8" s="4943"/>
    </row>
    <row r="9" spans="2:5" ht="16.2" thickBot="1" x14ac:dyDescent="0.35">
      <c r="B9" s="4939" t="s">
        <v>1024</v>
      </c>
      <c r="C9" s="4939"/>
      <c r="D9" s="4939"/>
      <c r="E9" s="4939"/>
    </row>
    <row r="10" spans="2:5" ht="0.6" customHeight="1" thickBot="1" x14ac:dyDescent="0.35"/>
    <row r="11" spans="2:5" ht="80.400000000000006" customHeight="1" thickBot="1" x14ac:dyDescent="0.35">
      <c r="B11" s="2014" t="s">
        <v>7</v>
      </c>
      <c r="C11" s="1508" t="s">
        <v>353</v>
      </c>
      <c r="D11" s="1508" t="s">
        <v>354</v>
      </c>
      <c r="E11" s="1508" t="s">
        <v>3068</v>
      </c>
    </row>
    <row r="12" spans="2:5" ht="16.2" thickBot="1" x14ac:dyDescent="0.35">
      <c r="B12" s="2015">
        <v>1</v>
      </c>
      <c r="C12" s="2016">
        <v>2</v>
      </c>
      <c r="D12" s="2016">
        <v>3</v>
      </c>
      <c r="E12" s="2015">
        <v>4</v>
      </c>
    </row>
    <row r="13" spans="2:5" ht="15.6" customHeight="1" thickBot="1" x14ac:dyDescent="0.35">
      <c r="B13" s="2017">
        <v>1</v>
      </c>
      <c r="C13" s="2018" t="s">
        <v>1034</v>
      </c>
      <c r="D13" s="2019" t="s">
        <v>1036</v>
      </c>
      <c r="E13" s="2017" t="s">
        <v>3069</v>
      </c>
    </row>
    <row r="14" spans="2:5" ht="15.6" customHeight="1" thickBot="1" x14ac:dyDescent="0.35">
      <c r="B14" s="2020">
        <v>2</v>
      </c>
      <c r="C14" s="2018" t="s">
        <v>1037</v>
      </c>
      <c r="D14" s="2019" t="s">
        <v>1036</v>
      </c>
      <c r="E14" s="2017" t="s">
        <v>3069</v>
      </c>
    </row>
    <row r="15" spans="2:5" ht="15.6" customHeight="1" thickBot="1" x14ac:dyDescent="0.35">
      <c r="B15" s="2020">
        <v>3</v>
      </c>
      <c r="C15" s="2018" t="s">
        <v>1039</v>
      </c>
      <c r="D15" s="2019" t="s">
        <v>1036</v>
      </c>
      <c r="E15" s="2017" t="s">
        <v>3069</v>
      </c>
    </row>
    <row r="16" spans="2:5" ht="15.6" customHeight="1" thickBot="1" x14ac:dyDescent="0.35">
      <c r="B16" s="2020">
        <v>4</v>
      </c>
      <c r="C16" s="2018" t="s">
        <v>1041</v>
      </c>
      <c r="D16" s="2019" t="s">
        <v>1036</v>
      </c>
      <c r="E16" s="2017" t="s">
        <v>3069</v>
      </c>
    </row>
    <row r="17" spans="2:5" ht="15.6" customHeight="1" thickBot="1" x14ac:dyDescent="0.35">
      <c r="B17" s="2020">
        <v>5</v>
      </c>
      <c r="C17" s="2018" t="s">
        <v>1043</v>
      </c>
      <c r="D17" s="2019" t="s">
        <v>1036</v>
      </c>
      <c r="E17" s="2017" t="s">
        <v>3069</v>
      </c>
    </row>
    <row r="18" spans="2:5" ht="15.6" customHeight="1" thickBot="1" x14ac:dyDescent="0.35">
      <c r="B18" s="2020">
        <v>6</v>
      </c>
      <c r="C18" s="2018" t="s">
        <v>1045</v>
      </c>
      <c r="D18" s="2019" t="s">
        <v>1036</v>
      </c>
      <c r="E18" s="2017" t="s">
        <v>3069</v>
      </c>
    </row>
    <row r="19" spans="2:5" ht="15.6" customHeight="1" thickBot="1" x14ac:dyDescent="0.35">
      <c r="B19" s="2020">
        <v>7</v>
      </c>
      <c r="C19" s="2018" t="s">
        <v>1047</v>
      </c>
      <c r="D19" s="2019" t="s">
        <v>1036</v>
      </c>
      <c r="E19" s="2017" t="s">
        <v>3069</v>
      </c>
    </row>
    <row r="20" spans="2:5" ht="15.6" customHeight="1" thickBot="1" x14ac:dyDescent="0.35">
      <c r="B20" s="2020">
        <v>8</v>
      </c>
      <c r="C20" s="2018" t="s">
        <v>1049</v>
      </c>
      <c r="D20" s="2019" t="s">
        <v>1036</v>
      </c>
      <c r="E20" s="2017" t="s">
        <v>3069</v>
      </c>
    </row>
    <row r="21" spans="2:5" ht="15.6" customHeight="1" thickBot="1" x14ac:dyDescent="0.35">
      <c r="B21" s="2020">
        <v>10</v>
      </c>
      <c r="C21" s="2018" t="s">
        <v>1052</v>
      </c>
      <c r="D21" s="2019" t="s">
        <v>1036</v>
      </c>
      <c r="E21" s="2017" t="s">
        <v>3069</v>
      </c>
    </row>
    <row r="22" spans="2:5" ht="15.6" customHeight="1" thickBot="1" x14ac:dyDescent="0.35">
      <c r="B22" s="2020">
        <v>11</v>
      </c>
      <c r="C22" s="2018" t="s">
        <v>1053</v>
      </c>
      <c r="D22" s="2019" t="s">
        <v>1036</v>
      </c>
      <c r="E22" s="2017" t="s">
        <v>3069</v>
      </c>
    </row>
    <row r="23" spans="2:5" ht="15.6" customHeight="1" thickBot="1" x14ac:dyDescent="0.35">
      <c r="B23" s="2020">
        <v>13</v>
      </c>
      <c r="C23" s="2018" t="s">
        <v>1056</v>
      </c>
      <c r="D23" s="2019" t="s">
        <v>1036</v>
      </c>
      <c r="E23" s="2017" t="s">
        <v>3069</v>
      </c>
    </row>
    <row r="24" spans="2:5" ht="15.6" customHeight="1" thickBot="1" x14ac:dyDescent="0.35">
      <c r="B24" s="2020">
        <v>14</v>
      </c>
      <c r="C24" s="2018" t="s">
        <v>1057</v>
      </c>
      <c r="D24" s="2019" t="s">
        <v>1036</v>
      </c>
      <c r="E24" s="2017" t="s">
        <v>3069</v>
      </c>
    </row>
    <row r="25" spans="2:5" ht="15.6" customHeight="1" thickBot="1" x14ac:dyDescent="0.35">
      <c r="B25" s="2020">
        <v>15</v>
      </c>
      <c r="C25" s="2018" t="s">
        <v>1058</v>
      </c>
      <c r="D25" s="2019" t="s">
        <v>1036</v>
      </c>
      <c r="E25" s="2017" t="s">
        <v>3069</v>
      </c>
    </row>
    <row r="26" spans="2:5" ht="15.6" customHeight="1" thickBot="1" x14ac:dyDescent="0.35">
      <c r="B26" s="2020">
        <v>16</v>
      </c>
      <c r="C26" s="2018" t="s">
        <v>1060</v>
      </c>
      <c r="D26" s="2019" t="s">
        <v>1036</v>
      </c>
      <c r="E26" s="2017" t="s">
        <v>3069</v>
      </c>
    </row>
    <row r="27" spans="2:5" ht="15.6" customHeight="1" thickBot="1" x14ac:dyDescent="0.35">
      <c r="B27" s="2020">
        <v>17</v>
      </c>
      <c r="C27" s="2018" t="s">
        <v>1062</v>
      </c>
      <c r="D27" s="2019" t="s">
        <v>1036</v>
      </c>
      <c r="E27" s="2017" t="s">
        <v>3069</v>
      </c>
    </row>
    <row r="28" spans="2:5" ht="15.6" customHeight="1" thickBot="1" x14ac:dyDescent="0.35">
      <c r="B28" s="2020">
        <v>18</v>
      </c>
      <c r="C28" s="2018" t="s">
        <v>1064</v>
      </c>
      <c r="D28" s="2019" t="s">
        <v>1036</v>
      </c>
      <c r="E28" s="2017" t="s">
        <v>3069</v>
      </c>
    </row>
    <row r="29" spans="2:5" ht="15.6" customHeight="1" thickBot="1" x14ac:dyDescent="0.35">
      <c r="B29" s="2020">
        <v>19</v>
      </c>
      <c r="C29" s="2018" t="s">
        <v>1066</v>
      </c>
      <c r="D29" s="2019" t="s">
        <v>1036</v>
      </c>
      <c r="E29" s="2017" t="s">
        <v>3069</v>
      </c>
    </row>
    <row r="30" spans="2:5" ht="15.6" customHeight="1" thickBot="1" x14ac:dyDescent="0.35">
      <c r="B30" s="2020">
        <v>20</v>
      </c>
      <c r="C30" s="2018" t="s">
        <v>1068</v>
      </c>
      <c r="D30" s="2019" t="s">
        <v>1036</v>
      </c>
      <c r="E30" s="2017" t="s">
        <v>3070</v>
      </c>
    </row>
    <row r="31" spans="2:5" ht="15.6" customHeight="1" thickBot="1" x14ac:dyDescent="0.35">
      <c r="B31" s="2020">
        <v>21</v>
      </c>
      <c r="C31" s="2018" t="s">
        <v>1070</v>
      </c>
      <c r="D31" s="2019" t="s">
        <v>1036</v>
      </c>
      <c r="E31" s="2017" t="s">
        <v>3069</v>
      </c>
    </row>
    <row r="32" spans="2:5" ht="15.6" customHeight="1" thickBot="1" x14ac:dyDescent="0.35">
      <c r="B32" s="2020">
        <v>22</v>
      </c>
      <c r="C32" s="2018" t="s">
        <v>1071</v>
      </c>
      <c r="D32" s="2019" t="s">
        <v>1036</v>
      </c>
      <c r="E32" s="2017" t="s">
        <v>3070</v>
      </c>
    </row>
    <row r="33" spans="2:5" ht="15.6" customHeight="1" thickBot="1" x14ac:dyDescent="0.35">
      <c r="B33" s="2020">
        <v>23</v>
      </c>
      <c r="C33" s="2018" t="s">
        <v>1073</v>
      </c>
      <c r="D33" s="2019" t="s">
        <v>1036</v>
      </c>
      <c r="E33" s="2017" t="s">
        <v>3069</v>
      </c>
    </row>
    <row r="34" spans="2:5" ht="15.6" customHeight="1" thickBot="1" x14ac:dyDescent="0.35">
      <c r="B34" s="2020">
        <v>24</v>
      </c>
      <c r="C34" s="2018" t="s">
        <v>1075</v>
      </c>
      <c r="D34" s="2019" t="s">
        <v>1036</v>
      </c>
      <c r="E34" s="2017" t="s">
        <v>3069</v>
      </c>
    </row>
    <row r="35" spans="2:5" ht="15.6" customHeight="1" thickBot="1" x14ac:dyDescent="0.35">
      <c r="B35" s="2020">
        <v>25</v>
      </c>
      <c r="C35" s="2018" t="s">
        <v>1076</v>
      </c>
      <c r="D35" s="2019" t="s">
        <v>1036</v>
      </c>
      <c r="E35" s="2017" t="s">
        <v>3069</v>
      </c>
    </row>
    <row r="36" spans="2:5" ht="15.6" customHeight="1" thickBot="1" x14ac:dyDescent="0.35">
      <c r="B36" s="2020">
        <v>26</v>
      </c>
      <c r="C36" s="2018" t="s">
        <v>1077</v>
      </c>
      <c r="D36" s="2019" t="s">
        <v>1036</v>
      </c>
      <c r="E36" s="2017" t="s">
        <v>3069</v>
      </c>
    </row>
    <row r="37" spans="2:5" ht="15.6" customHeight="1" thickBot="1" x14ac:dyDescent="0.35">
      <c r="B37" s="2020">
        <v>27</v>
      </c>
      <c r="C37" s="2018" t="s">
        <v>1079</v>
      </c>
      <c r="D37" s="2019" t="s">
        <v>1036</v>
      </c>
      <c r="E37" s="2017" t="s">
        <v>3070</v>
      </c>
    </row>
    <row r="38" spans="2:5" ht="15.6" customHeight="1" thickBot="1" x14ac:dyDescent="0.35">
      <c r="B38" s="2020">
        <v>28</v>
      </c>
      <c r="C38" s="2018" t="s">
        <v>1081</v>
      </c>
      <c r="D38" s="2019" t="s">
        <v>1036</v>
      </c>
      <c r="E38" s="2017" t="s">
        <v>3069</v>
      </c>
    </row>
    <row r="39" spans="2:5" ht="15.6" customHeight="1" thickBot="1" x14ac:dyDescent="0.35">
      <c r="B39" s="2020">
        <v>29</v>
      </c>
      <c r="C39" s="2018" t="s">
        <v>1082</v>
      </c>
      <c r="D39" s="2019" t="s">
        <v>1036</v>
      </c>
      <c r="E39" s="2017" t="s">
        <v>3070</v>
      </c>
    </row>
    <row r="40" spans="2:5" ht="15.6" customHeight="1" thickBot="1" x14ac:dyDescent="0.35">
      <c r="B40" s="2020">
        <v>30</v>
      </c>
      <c r="C40" s="2018" t="s">
        <v>1083</v>
      </c>
      <c r="D40" s="2019" t="s">
        <v>1036</v>
      </c>
      <c r="E40" s="2017" t="s">
        <v>3070</v>
      </c>
    </row>
    <row r="41" spans="2:5" ht="15.6" customHeight="1" thickBot="1" x14ac:dyDescent="0.35">
      <c r="B41" s="2020">
        <v>31</v>
      </c>
      <c r="C41" s="2018" t="s">
        <v>1084</v>
      </c>
      <c r="D41" s="2019" t="s">
        <v>1036</v>
      </c>
      <c r="E41" s="2017" t="s">
        <v>3070</v>
      </c>
    </row>
    <row r="42" spans="2:5" ht="15.6" customHeight="1" thickBot="1" x14ac:dyDescent="0.35">
      <c r="B42" s="2020">
        <v>32</v>
      </c>
      <c r="C42" s="2018" t="s">
        <v>1085</v>
      </c>
      <c r="D42" s="2019" t="s">
        <v>1036</v>
      </c>
      <c r="E42" s="2017" t="s">
        <v>3069</v>
      </c>
    </row>
    <row r="43" spans="2:5" ht="15.6" customHeight="1" thickBot="1" x14ac:dyDescent="0.35">
      <c r="B43" s="2020">
        <v>33</v>
      </c>
      <c r="C43" s="2018" t="s">
        <v>1087</v>
      </c>
      <c r="D43" s="2019" t="s">
        <v>1036</v>
      </c>
      <c r="E43" s="2017" t="s">
        <v>3069</v>
      </c>
    </row>
    <row r="44" spans="2:5" ht="15.6" customHeight="1" thickBot="1" x14ac:dyDescent="0.35">
      <c r="B44" s="2020">
        <v>34</v>
      </c>
      <c r="C44" s="2018" t="s">
        <v>1089</v>
      </c>
      <c r="D44" s="2019" t="s">
        <v>1036</v>
      </c>
      <c r="E44" s="2017" t="s">
        <v>3069</v>
      </c>
    </row>
    <row r="45" spans="2:5" ht="15.6" customHeight="1" thickBot="1" x14ac:dyDescent="0.35">
      <c r="B45" s="2020">
        <v>35</v>
      </c>
      <c r="C45" s="2018" t="s">
        <v>1091</v>
      </c>
      <c r="D45" s="2019" t="s">
        <v>1036</v>
      </c>
      <c r="E45" s="2017" t="s">
        <v>3069</v>
      </c>
    </row>
    <row r="46" spans="2:5" ht="15.6" customHeight="1" thickBot="1" x14ac:dyDescent="0.35">
      <c r="B46" s="2020">
        <v>36</v>
      </c>
      <c r="C46" s="2018" t="s">
        <v>1092</v>
      </c>
      <c r="D46" s="2019" t="s">
        <v>1036</v>
      </c>
      <c r="E46" s="2017" t="s">
        <v>3070</v>
      </c>
    </row>
    <row r="47" spans="2:5" ht="15.6" customHeight="1" thickBot="1" x14ac:dyDescent="0.35">
      <c r="B47" s="2020">
        <v>37</v>
      </c>
      <c r="C47" s="2018" t="s">
        <v>1093</v>
      </c>
      <c r="D47" s="2019" t="s">
        <v>1036</v>
      </c>
      <c r="E47" s="2017" t="s">
        <v>3069</v>
      </c>
    </row>
    <row r="48" spans="2:5" ht="15.6" customHeight="1" thickBot="1" x14ac:dyDescent="0.35">
      <c r="B48" s="2020">
        <v>38</v>
      </c>
      <c r="C48" s="2018" t="s">
        <v>1094</v>
      </c>
      <c r="D48" s="2019" t="s">
        <v>1036</v>
      </c>
      <c r="E48" s="2017" t="s">
        <v>3069</v>
      </c>
    </row>
    <row r="49" spans="2:5" ht="15.6" customHeight="1" thickBot="1" x14ac:dyDescent="0.35">
      <c r="B49" s="2020">
        <v>39</v>
      </c>
      <c r="C49" s="2018" t="s">
        <v>1987</v>
      </c>
      <c r="D49" s="2019" t="s">
        <v>1036</v>
      </c>
      <c r="E49" s="2017" t="s">
        <v>3070</v>
      </c>
    </row>
    <row r="50" spans="2:5" ht="15.6" customHeight="1" thickBot="1" x14ac:dyDescent="0.35">
      <c r="B50" s="2020">
        <v>40</v>
      </c>
      <c r="C50" s="2018" t="s">
        <v>1095</v>
      </c>
      <c r="D50" s="2019" t="s">
        <v>1036</v>
      </c>
      <c r="E50" s="2017" t="s">
        <v>3069</v>
      </c>
    </row>
    <row r="51" spans="2:5" ht="15.6" customHeight="1" thickBot="1" x14ac:dyDescent="0.35">
      <c r="B51" s="2020">
        <v>41</v>
      </c>
      <c r="C51" s="2018" t="s">
        <v>1096</v>
      </c>
      <c r="D51" s="2019" t="s">
        <v>1036</v>
      </c>
      <c r="E51" s="2017" t="s">
        <v>3070</v>
      </c>
    </row>
    <row r="52" spans="2:5" ht="15.6" customHeight="1" thickBot="1" x14ac:dyDescent="0.35">
      <c r="B52" s="2020">
        <v>42</v>
      </c>
      <c r="C52" s="2018" t="s">
        <v>1097</v>
      </c>
      <c r="D52" s="2019" t="s">
        <v>1036</v>
      </c>
      <c r="E52" s="2017" t="s">
        <v>3069</v>
      </c>
    </row>
    <row r="53" spans="2:5" ht="15.6" customHeight="1" thickBot="1" x14ac:dyDescent="0.35">
      <c r="B53" s="2020">
        <v>44</v>
      </c>
      <c r="C53" s="2018" t="s">
        <v>1099</v>
      </c>
      <c r="D53" s="2019" t="s">
        <v>1036</v>
      </c>
      <c r="E53" s="2017" t="s">
        <v>3069</v>
      </c>
    </row>
    <row r="54" spans="2:5" ht="15.6" customHeight="1" thickBot="1" x14ac:dyDescent="0.35">
      <c r="B54" s="2020">
        <v>47</v>
      </c>
      <c r="C54" s="2018" t="s">
        <v>1104</v>
      </c>
      <c r="D54" s="2019" t="s">
        <v>1036</v>
      </c>
      <c r="E54" s="2017" t="s">
        <v>3070</v>
      </c>
    </row>
    <row r="55" spans="2:5" ht="15.6" customHeight="1" thickBot="1" x14ac:dyDescent="0.35">
      <c r="B55" s="2020">
        <v>48</v>
      </c>
      <c r="C55" s="2018" t="s">
        <v>1106</v>
      </c>
      <c r="D55" s="2019" t="s">
        <v>1036</v>
      </c>
      <c r="E55" s="2021" t="s">
        <v>3070</v>
      </c>
    </row>
    <row r="56" spans="2:5" ht="15.6" customHeight="1" thickBot="1" x14ac:dyDescent="0.35">
      <c r="B56" s="2020">
        <v>49</v>
      </c>
      <c r="C56" s="2018" t="s">
        <v>1107</v>
      </c>
      <c r="D56" s="2019" t="s">
        <v>1036</v>
      </c>
      <c r="E56" s="2017" t="s">
        <v>3070</v>
      </c>
    </row>
    <row r="57" spans="2:5" ht="15.6" customHeight="1" thickBot="1" x14ac:dyDescent="0.35">
      <c r="B57" s="2020">
        <v>50</v>
      </c>
      <c r="C57" s="2018" t="s">
        <v>1108</v>
      </c>
      <c r="D57" s="2019" t="s">
        <v>1036</v>
      </c>
      <c r="E57" s="2021" t="s">
        <v>3070</v>
      </c>
    </row>
    <row r="58" spans="2:5" ht="15.6" customHeight="1" thickBot="1" x14ac:dyDescent="0.35">
      <c r="B58" s="2020">
        <v>51</v>
      </c>
      <c r="C58" s="2018" t="s">
        <v>1109</v>
      </c>
      <c r="D58" s="2019" t="s">
        <v>1036</v>
      </c>
      <c r="E58" s="2021" t="s">
        <v>3070</v>
      </c>
    </row>
    <row r="59" spans="2:5" ht="15.6" customHeight="1" thickBot="1" x14ac:dyDescent="0.35">
      <c r="B59" s="2020">
        <v>52</v>
      </c>
      <c r="C59" s="2018" t="s">
        <v>1110</v>
      </c>
      <c r="D59" s="2019" t="s">
        <v>1036</v>
      </c>
      <c r="E59" s="2021" t="s">
        <v>3070</v>
      </c>
    </row>
    <row r="60" spans="2:5" ht="15.6" customHeight="1" thickBot="1" x14ac:dyDescent="0.35">
      <c r="B60" s="2020">
        <v>53</v>
      </c>
      <c r="C60" s="2018" t="s">
        <v>1112</v>
      </c>
      <c r="D60" s="2019" t="s">
        <v>1036</v>
      </c>
      <c r="E60" s="2021" t="s">
        <v>3070</v>
      </c>
    </row>
    <row r="61" spans="2:5" ht="15.6" customHeight="1" thickBot="1" x14ac:dyDescent="0.35">
      <c r="B61" s="2020">
        <v>54</v>
      </c>
      <c r="C61" s="2018" t="s">
        <v>1113</v>
      </c>
      <c r="D61" s="2019" t="s">
        <v>1036</v>
      </c>
      <c r="E61" s="2021" t="s">
        <v>3070</v>
      </c>
    </row>
    <row r="62" spans="2:5" ht="15.6" customHeight="1" thickBot="1" x14ac:dyDescent="0.35">
      <c r="B62" s="2020">
        <v>55</v>
      </c>
      <c r="C62" s="2018" t="s">
        <v>1115</v>
      </c>
      <c r="D62" s="2019" t="s">
        <v>1036</v>
      </c>
      <c r="E62" s="2021" t="s">
        <v>3070</v>
      </c>
    </row>
    <row r="63" spans="2:5" ht="15.6" customHeight="1" thickBot="1" x14ac:dyDescent="0.35">
      <c r="B63" s="2020">
        <v>56</v>
      </c>
      <c r="C63" s="2018" t="s">
        <v>1116</v>
      </c>
      <c r="D63" s="2019" t="s">
        <v>1036</v>
      </c>
      <c r="E63" s="2021" t="s">
        <v>3070</v>
      </c>
    </row>
    <row r="64" spans="2:5" ht="15.6" customHeight="1" thickBot="1" x14ac:dyDescent="0.35">
      <c r="B64" s="2020">
        <v>57</v>
      </c>
      <c r="C64" s="2018" t="s">
        <v>1117</v>
      </c>
      <c r="D64" s="2019" t="s">
        <v>1036</v>
      </c>
      <c r="E64" s="2021" t="s">
        <v>3070</v>
      </c>
    </row>
    <row r="65" spans="2:5" ht="15.6" customHeight="1" thickBot="1" x14ac:dyDescent="0.35">
      <c r="B65" s="2020">
        <v>58</v>
      </c>
      <c r="C65" s="2018" t="s">
        <v>1118</v>
      </c>
      <c r="D65" s="2019" t="s">
        <v>1036</v>
      </c>
      <c r="E65" s="2021" t="s">
        <v>3070</v>
      </c>
    </row>
    <row r="66" spans="2:5" ht="15.6" customHeight="1" thickBot="1" x14ac:dyDescent="0.35">
      <c r="B66" s="2020">
        <v>59</v>
      </c>
      <c r="C66" s="2018" t="s">
        <v>1119</v>
      </c>
      <c r="D66" s="2019" t="s">
        <v>1036</v>
      </c>
      <c r="E66" s="2021" t="s">
        <v>3070</v>
      </c>
    </row>
    <row r="67" spans="2:5" ht="15.6" customHeight="1" thickBot="1" x14ac:dyDescent="0.35">
      <c r="B67" s="2020">
        <v>60</v>
      </c>
      <c r="C67" s="2018" t="s">
        <v>1120</v>
      </c>
      <c r="D67" s="2019" t="s">
        <v>1036</v>
      </c>
      <c r="E67" s="2021" t="s">
        <v>3070</v>
      </c>
    </row>
    <row r="68" spans="2:5" ht="15.6" customHeight="1" thickBot="1" x14ac:dyDescent="0.35">
      <c r="B68" s="2020">
        <v>61</v>
      </c>
      <c r="C68" s="2018" t="s">
        <v>1121</v>
      </c>
      <c r="D68" s="2019" t="s">
        <v>1036</v>
      </c>
      <c r="E68" s="2017" t="s">
        <v>3069</v>
      </c>
    </row>
    <row r="69" spans="2:5" ht="15.6" customHeight="1" thickBot="1" x14ac:dyDescent="0.35">
      <c r="B69" s="2020">
        <v>62</v>
      </c>
      <c r="C69" s="2018" t="s">
        <v>1122</v>
      </c>
      <c r="D69" s="2019" t="s">
        <v>1036</v>
      </c>
      <c r="E69" s="2017" t="s">
        <v>3069</v>
      </c>
    </row>
    <row r="70" spans="2:5" ht="15.6" customHeight="1" thickBot="1" x14ac:dyDescent="0.35">
      <c r="B70" s="2020">
        <v>63</v>
      </c>
      <c r="C70" s="2018" t="s">
        <v>1123</v>
      </c>
      <c r="D70" s="2019" t="s">
        <v>1036</v>
      </c>
      <c r="E70" s="2017" t="s">
        <v>3069</v>
      </c>
    </row>
    <row r="71" spans="2:5" ht="15.6" customHeight="1" thickBot="1" x14ac:dyDescent="0.35">
      <c r="B71" s="2020">
        <v>64</v>
      </c>
      <c r="C71" s="2018" t="s">
        <v>1125</v>
      </c>
      <c r="D71" s="2019" t="s">
        <v>1036</v>
      </c>
      <c r="E71" s="2017" t="s">
        <v>3069</v>
      </c>
    </row>
    <row r="72" spans="2:5" ht="15.6" customHeight="1" thickBot="1" x14ac:dyDescent="0.35">
      <c r="B72" s="2020">
        <v>65</v>
      </c>
      <c r="C72" s="2018" t="s">
        <v>1127</v>
      </c>
      <c r="D72" s="2019" t="s">
        <v>1036</v>
      </c>
      <c r="E72" s="2017" t="s">
        <v>3069</v>
      </c>
    </row>
    <row r="73" spans="2:5" ht="15.6" customHeight="1" thickBot="1" x14ac:dyDescent="0.35">
      <c r="B73" s="2020">
        <v>66</v>
      </c>
      <c r="C73" s="2018" t="s">
        <v>1128</v>
      </c>
      <c r="D73" s="2019" t="s">
        <v>1036</v>
      </c>
      <c r="E73" s="2017" t="s">
        <v>3069</v>
      </c>
    </row>
    <row r="74" spans="2:5" ht="15.6" customHeight="1" thickBot="1" x14ac:dyDescent="0.35">
      <c r="B74" s="2020">
        <v>67</v>
      </c>
      <c r="C74" s="2018" t="s">
        <v>1129</v>
      </c>
      <c r="D74" s="2019" t="s">
        <v>1036</v>
      </c>
      <c r="E74" s="2017" t="s">
        <v>3069</v>
      </c>
    </row>
    <row r="75" spans="2:5" ht="15.6" customHeight="1" thickBot="1" x14ac:dyDescent="0.35">
      <c r="B75" s="2020">
        <v>68</v>
      </c>
      <c r="C75" s="2018" t="s">
        <v>1131</v>
      </c>
      <c r="D75" s="2019" t="s">
        <v>1036</v>
      </c>
      <c r="E75" s="2017" t="s">
        <v>3069</v>
      </c>
    </row>
    <row r="76" spans="2:5" ht="15.6" customHeight="1" thickBot="1" x14ac:dyDescent="0.35">
      <c r="B76" s="2020">
        <v>70</v>
      </c>
      <c r="C76" s="2018" t="s">
        <v>1134</v>
      </c>
      <c r="D76" s="2019" t="s">
        <v>1036</v>
      </c>
      <c r="E76" s="2017" t="s">
        <v>3069</v>
      </c>
    </row>
    <row r="77" spans="2:5" ht="15.6" customHeight="1" thickBot="1" x14ac:dyDescent="0.35">
      <c r="B77" s="2020">
        <v>72</v>
      </c>
      <c r="C77" s="2018" t="s">
        <v>1138</v>
      </c>
      <c r="D77" s="2019" t="s">
        <v>1036</v>
      </c>
      <c r="E77" s="2017" t="s">
        <v>3069</v>
      </c>
    </row>
    <row r="78" spans="2:5" ht="15.6" customHeight="1" thickBot="1" x14ac:dyDescent="0.35">
      <c r="B78" s="2020">
        <v>73</v>
      </c>
      <c r="C78" s="2018" t="s">
        <v>1139</v>
      </c>
      <c r="D78" s="2019" t="s">
        <v>1036</v>
      </c>
      <c r="E78" s="2017" t="s">
        <v>3069</v>
      </c>
    </row>
    <row r="79" spans="2:5" ht="15.6" customHeight="1" thickBot="1" x14ac:dyDescent="0.35">
      <c r="B79" s="2020">
        <v>74</v>
      </c>
      <c r="C79" s="2018" t="s">
        <v>1141</v>
      </c>
      <c r="D79" s="2019" t="s">
        <v>1036</v>
      </c>
      <c r="E79" s="2017" t="s">
        <v>3069</v>
      </c>
    </row>
    <row r="80" spans="2:5" ht="15.6" customHeight="1" thickBot="1" x14ac:dyDescent="0.35">
      <c r="B80" s="2020">
        <v>76</v>
      </c>
      <c r="C80" s="2018" t="s">
        <v>1142</v>
      </c>
      <c r="D80" s="2019" t="s">
        <v>1036</v>
      </c>
      <c r="E80" s="2017" t="s">
        <v>3069</v>
      </c>
    </row>
    <row r="81" spans="2:5" ht="15.6" customHeight="1" thickBot="1" x14ac:dyDescent="0.35">
      <c r="B81" s="2020">
        <v>77</v>
      </c>
      <c r="C81" s="2018" t="s">
        <v>1143</v>
      </c>
      <c r="D81" s="2019" t="s">
        <v>1036</v>
      </c>
      <c r="E81" s="2017" t="s">
        <v>3069</v>
      </c>
    </row>
    <row r="82" spans="2:5" ht="15.6" customHeight="1" thickBot="1" x14ac:dyDescent="0.35">
      <c r="B82" s="2020">
        <v>78</v>
      </c>
      <c r="C82" s="2018" t="s">
        <v>1144</v>
      </c>
      <c r="D82" s="2019" t="s">
        <v>1036</v>
      </c>
      <c r="E82" s="2017" t="s">
        <v>3069</v>
      </c>
    </row>
    <row r="83" spans="2:5" ht="15.6" customHeight="1" thickBot="1" x14ac:dyDescent="0.35">
      <c r="B83" s="2020">
        <v>80</v>
      </c>
      <c r="C83" s="2018" t="s">
        <v>1146</v>
      </c>
      <c r="D83" s="2019" t="s">
        <v>1036</v>
      </c>
      <c r="E83" s="2017" t="s">
        <v>3069</v>
      </c>
    </row>
    <row r="84" spans="2:5" ht="15.6" customHeight="1" thickBot="1" x14ac:dyDescent="0.35">
      <c r="B84" s="2020">
        <v>81</v>
      </c>
      <c r="C84" s="2018" t="s">
        <v>1148</v>
      </c>
      <c r="D84" s="2019" t="s">
        <v>1036</v>
      </c>
      <c r="E84" s="2017" t="s">
        <v>3069</v>
      </c>
    </row>
    <row r="85" spans="2:5" ht="15.6" customHeight="1" thickBot="1" x14ac:dyDescent="0.35">
      <c r="B85" s="2020">
        <v>82</v>
      </c>
      <c r="C85" s="2018" t="s">
        <v>1150</v>
      </c>
      <c r="D85" s="2019" t="s">
        <v>1036</v>
      </c>
      <c r="E85" s="2017" t="s">
        <v>3069</v>
      </c>
    </row>
    <row r="86" spans="2:5" ht="15.6" customHeight="1" thickBot="1" x14ac:dyDescent="0.35">
      <c r="B86" s="2020">
        <v>83</v>
      </c>
      <c r="C86" s="2018" t="s">
        <v>1151</v>
      </c>
      <c r="D86" s="2019" t="s">
        <v>1036</v>
      </c>
      <c r="E86" s="2017" t="s">
        <v>3069</v>
      </c>
    </row>
    <row r="87" spans="2:5" ht="15.6" customHeight="1" thickBot="1" x14ac:dyDescent="0.35">
      <c r="B87" s="2020">
        <v>84</v>
      </c>
      <c r="C87" s="2018" t="s">
        <v>1153</v>
      </c>
      <c r="D87" s="2019" t="s">
        <v>1036</v>
      </c>
      <c r="E87" s="2017" t="s">
        <v>3069</v>
      </c>
    </row>
    <row r="88" spans="2:5" ht="15.6" customHeight="1" thickBot="1" x14ac:dyDescent="0.35">
      <c r="B88" s="2020">
        <v>85</v>
      </c>
      <c r="C88" s="2018" t="s">
        <v>1155</v>
      </c>
      <c r="D88" s="2019" t="s">
        <v>1036</v>
      </c>
      <c r="E88" s="2017" t="s">
        <v>3069</v>
      </c>
    </row>
    <row r="89" spans="2:5" ht="15.6" customHeight="1" thickBot="1" x14ac:dyDescent="0.35">
      <c r="B89" s="2020">
        <v>86</v>
      </c>
      <c r="C89" s="2018" t="s">
        <v>1156</v>
      </c>
      <c r="D89" s="2019" t="s">
        <v>1036</v>
      </c>
      <c r="E89" s="2017" t="s">
        <v>3069</v>
      </c>
    </row>
    <row r="90" spans="2:5" ht="15.6" customHeight="1" thickBot="1" x14ac:dyDescent="0.35">
      <c r="B90" s="2020">
        <v>87</v>
      </c>
      <c r="C90" s="2018" t="s">
        <v>1157</v>
      </c>
      <c r="D90" s="2019" t="s">
        <v>1036</v>
      </c>
      <c r="E90" s="2017" t="s">
        <v>3069</v>
      </c>
    </row>
    <row r="91" spans="2:5" ht="15.6" customHeight="1" thickBot="1" x14ac:dyDescent="0.35">
      <c r="B91" s="2020">
        <v>89</v>
      </c>
      <c r="C91" s="2018" t="s">
        <v>1159</v>
      </c>
      <c r="D91" s="2019" t="s">
        <v>1036</v>
      </c>
      <c r="E91" s="2017" t="s">
        <v>3069</v>
      </c>
    </row>
    <row r="92" spans="2:5" ht="15.6" customHeight="1" thickBot="1" x14ac:dyDescent="0.35">
      <c r="B92" s="2020">
        <v>90</v>
      </c>
      <c r="C92" s="2018" t="s">
        <v>1160</v>
      </c>
      <c r="D92" s="2019" t="s">
        <v>1036</v>
      </c>
      <c r="E92" s="2017" t="s">
        <v>3069</v>
      </c>
    </row>
    <row r="93" spans="2:5" ht="15.6" customHeight="1" thickBot="1" x14ac:dyDescent="0.35">
      <c r="B93" s="2020">
        <v>91</v>
      </c>
      <c r="C93" s="2018" t="s">
        <v>1161</v>
      </c>
      <c r="D93" s="2019" t="s">
        <v>1036</v>
      </c>
      <c r="E93" s="2021" t="s">
        <v>3070</v>
      </c>
    </row>
    <row r="94" spans="2:5" ht="15.6" customHeight="1" thickBot="1" x14ac:dyDescent="0.35">
      <c r="B94" s="2020">
        <v>92</v>
      </c>
      <c r="C94" s="2018" t="s">
        <v>1163</v>
      </c>
      <c r="D94" s="2019" t="s">
        <v>1036</v>
      </c>
      <c r="E94" s="2017" t="s">
        <v>3069</v>
      </c>
    </row>
    <row r="95" spans="2:5" ht="15.6" customHeight="1" thickBot="1" x14ac:dyDescent="0.35">
      <c r="B95" s="2020">
        <v>94</v>
      </c>
      <c r="C95" s="2018" t="s">
        <v>1165</v>
      </c>
      <c r="D95" s="2019" t="s">
        <v>1036</v>
      </c>
      <c r="E95" s="2017" t="s">
        <v>3069</v>
      </c>
    </row>
    <row r="96" spans="2:5" ht="15.6" customHeight="1" thickBot="1" x14ac:dyDescent="0.35">
      <c r="B96" s="2020">
        <v>95</v>
      </c>
      <c r="C96" s="2018" t="s">
        <v>1166</v>
      </c>
      <c r="D96" s="2019" t="s">
        <v>1036</v>
      </c>
      <c r="E96" s="2017" t="s">
        <v>3069</v>
      </c>
    </row>
    <row r="97" spans="2:5" ht="15.6" customHeight="1" thickBot="1" x14ac:dyDescent="0.35">
      <c r="B97" s="2020">
        <v>96</v>
      </c>
      <c r="C97" s="2018" t="s">
        <v>1167</v>
      </c>
      <c r="D97" s="2019" t="s">
        <v>1036</v>
      </c>
      <c r="E97" s="2017" t="s">
        <v>3069</v>
      </c>
    </row>
    <row r="98" spans="2:5" ht="15.6" customHeight="1" thickBot="1" x14ac:dyDescent="0.35">
      <c r="B98" s="2020">
        <v>98</v>
      </c>
      <c r="C98" s="2018" t="s">
        <v>1169</v>
      </c>
      <c r="D98" s="2019" t="s">
        <v>1036</v>
      </c>
      <c r="E98" s="2017" t="s">
        <v>3069</v>
      </c>
    </row>
    <row r="99" spans="2:5" ht="15.6" customHeight="1" thickBot="1" x14ac:dyDescent="0.35">
      <c r="B99" s="2020">
        <v>99</v>
      </c>
      <c r="C99" s="2018" t="s">
        <v>1170</v>
      </c>
      <c r="D99" s="2019" t="s">
        <v>1036</v>
      </c>
      <c r="E99" s="2017" t="s">
        <v>3069</v>
      </c>
    </row>
    <row r="100" spans="2:5" ht="15.6" customHeight="1" thickBot="1" x14ac:dyDescent="0.35">
      <c r="B100" s="2020">
        <v>100</v>
      </c>
      <c r="C100" s="2018" t="s">
        <v>1171</v>
      </c>
      <c r="D100" s="2019" t="s">
        <v>1036</v>
      </c>
      <c r="E100" s="2017" t="s">
        <v>3069</v>
      </c>
    </row>
    <row r="101" spans="2:5" ht="15.6" customHeight="1" thickBot="1" x14ac:dyDescent="0.35">
      <c r="B101" s="2020">
        <v>101</v>
      </c>
      <c r="C101" s="2018" t="s">
        <v>1172</v>
      </c>
      <c r="D101" s="2019" t="s">
        <v>1036</v>
      </c>
      <c r="E101" s="2017" t="s">
        <v>3069</v>
      </c>
    </row>
    <row r="102" spans="2:5" ht="15.6" customHeight="1" thickBot="1" x14ac:dyDescent="0.35">
      <c r="B102" s="2020">
        <v>102</v>
      </c>
      <c r="C102" s="2018" t="s">
        <v>1173</v>
      </c>
      <c r="D102" s="2019" t="s">
        <v>1036</v>
      </c>
      <c r="E102" s="2017" t="s">
        <v>3069</v>
      </c>
    </row>
    <row r="103" spans="2:5" ht="15.6" customHeight="1" thickBot="1" x14ac:dyDescent="0.35">
      <c r="B103" s="2020">
        <v>104</v>
      </c>
      <c r="C103" s="2018" t="s">
        <v>1175</v>
      </c>
      <c r="D103" s="2019" t="s">
        <v>1036</v>
      </c>
      <c r="E103" s="2017" t="s">
        <v>3069</v>
      </c>
    </row>
    <row r="104" spans="2:5" ht="15.6" customHeight="1" thickBot="1" x14ac:dyDescent="0.35">
      <c r="B104" s="2020">
        <v>105</v>
      </c>
      <c r="C104" s="2018" t="s">
        <v>1177</v>
      </c>
      <c r="D104" s="2019" t="s">
        <v>1036</v>
      </c>
      <c r="E104" s="2017" t="s">
        <v>3069</v>
      </c>
    </row>
    <row r="105" spans="2:5" ht="15.6" customHeight="1" thickBot="1" x14ac:dyDescent="0.35">
      <c r="B105" s="2020">
        <v>106</v>
      </c>
      <c r="C105" s="2018" t="s">
        <v>1179</v>
      </c>
      <c r="D105" s="2019" t="s">
        <v>1036</v>
      </c>
      <c r="E105" s="2017" t="s">
        <v>3069</v>
      </c>
    </row>
    <row r="106" spans="2:5" ht="15.6" customHeight="1" thickBot="1" x14ac:dyDescent="0.35">
      <c r="B106" s="2020">
        <v>107</v>
      </c>
      <c r="C106" s="2018" t="s">
        <v>1180</v>
      </c>
      <c r="D106" s="2019" t="s">
        <v>1036</v>
      </c>
      <c r="E106" s="2017" t="s">
        <v>3069</v>
      </c>
    </row>
    <row r="107" spans="2:5" ht="15.6" customHeight="1" thickBot="1" x14ac:dyDescent="0.35">
      <c r="B107" s="2020">
        <v>108</v>
      </c>
      <c r="C107" s="2018" t="s">
        <v>1181</v>
      </c>
      <c r="D107" s="2019" t="s">
        <v>1036</v>
      </c>
      <c r="E107" s="2017" t="s">
        <v>3069</v>
      </c>
    </row>
    <row r="108" spans="2:5" ht="15.6" customHeight="1" thickBot="1" x14ac:dyDescent="0.35">
      <c r="B108" s="2020">
        <v>109</v>
      </c>
      <c r="C108" s="2018" t="s">
        <v>1182</v>
      </c>
      <c r="D108" s="2019" t="s">
        <v>1036</v>
      </c>
      <c r="E108" s="2017" t="s">
        <v>3069</v>
      </c>
    </row>
    <row r="109" spans="2:5" ht="15.6" customHeight="1" thickBot="1" x14ac:dyDescent="0.35">
      <c r="B109" s="2020">
        <v>110</v>
      </c>
      <c r="C109" s="2018" t="s">
        <v>1183</v>
      </c>
      <c r="D109" s="2019" t="s">
        <v>1036</v>
      </c>
      <c r="E109" s="2017" t="s">
        <v>3069</v>
      </c>
    </row>
    <row r="110" spans="2:5" ht="15.6" customHeight="1" thickBot="1" x14ac:dyDescent="0.35">
      <c r="B110" s="2020">
        <v>111</v>
      </c>
      <c r="C110" s="2018" t="s">
        <v>1184</v>
      </c>
      <c r="D110" s="2019" t="s">
        <v>1036</v>
      </c>
      <c r="E110" s="2017" t="s">
        <v>3069</v>
      </c>
    </row>
    <row r="111" spans="2:5" ht="15.6" customHeight="1" thickBot="1" x14ac:dyDescent="0.35">
      <c r="B111" s="2020">
        <v>113</v>
      </c>
      <c r="C111" s="2018" t="s">
        <v>1186</v>
      </c>
      <c r="D111" s="2019" t="s">
        <v>1036</v>
      </c>
      <c r="E111" s="2017" t="s">
        <v>3069</v>
      </c>
    </row>
    <row r="112" spans="2:5" ht="15.6" customHeight="1" thickBot="1" x14ac:dyDescent="0.35">
      <c r="B112" s="2020">
        <v>114</v>
      </c>
      <c r="C112" s="2018" t="s">
        <v>1188</v>
      </c>
      <c r="D112" s="2019" t="s">
        <v>1036</v>
      </c>
      <c r="E112" s="2017" t="s">
        <v>3069</v>
      </c>
    </row>
    <row r="113" spans="2:5" ht="15.6" customHeight="1" thickBot="1" x14ac:dyDescent="0.35">
      <c r="B113" s="2020">
        <v>115</v>
      </c>
      <c r="C113" s="2018" t="s">
        <v>1189</v>
      </c>
      <c r="D113" s="2019" t="s">
        <v>1036</v>
      </c>
      <c r="E113" s="2017" t="s">
        <v>3069</v>
      </c>
    </row>
    <row r="114" spans="2:5" ht="15.6" customHeight="1" thickBot="1" x14ac:dyDescent="0.35">
      <c r="B114" s="2020">
        <v>116</v>
      </c>
      <c r="C114" s="2018" t="s">
        <v>1190</v>
      </c>
      <c r="D114" s="2019" t="s">
        <v>1036</v>
      </c>
      <c r="E114" s="2021" t="s">
        <v>3070</v>
      </c>
    </row>
    <row r="115" spans="2:5" ht="15.6" customHeight="1" thickBot="1" x14ac:dyDescent="0.35">
      <c r="B115" s="2020">
        <v>117</v>
      </c>
      <c r="C115" s="2018" t="s">
        <v>1192</v>
      </c>
      <c r="D115" s="2019" t="s">
        <v>1036</v>
      </c>
      <c r="E115" s="2021" t="s">
        <v>3070</v>
      </c>
    </row>
    <row r="116" spans="2:5" ht="15.6" customHeight="1" thickBot="1" x14ac:dyDescent="0.35">
      <c r="B116" s="2020">
        <v>118</v>
      </c>
      <c r="C116" s="2018" t="s">
        <v>1194</v>
      </c>
      <c r="D116" s="2019" t="s">
        <v>1036</v>
      </c>
      <c r="E116" s="2021" t="s">
        <v>3070</v>
      </c>
    </row>
    <row r="117" spans="2:5" ht="15.6" customHeight="1" thickBot="1" x14ac:dyDescent="0.35">
      <c r="B117" s="2020">
        <v>119</v>
      </c>
      <c r="C117" s="2018" t="s">
        <v>1195</v>
      </c>
      <c r="D117" s="2019" t="s">
        <v>1036</v>
      </c>
      <c r="E117" s="2017" t="s">
        <v>3069</v>
      </c>
    </row>
    <row r="118" spans="2:5" ht="15.6" customHeight="1" thickBot="1" x14ac:dyDescent="0.35">
      <c r="B118" s="2020">
        <v>121</v>
      </c>
      <c r="C118" s="2018" t="s">
        <v>1197</v>
      </c>
      <c r="D118" s="2019" t="s">
        <v>1036</v>
      </c>
      <c r="E118" s="2017" t="s">
        <v>3069</v>
      </c>
    </row>
    <row r="119" spans="2:5" ht="15.6" customHeight="1" thickBot="1" x14ac:dyDescent="0.35">
      <c r="B119" s="2020">
        <v>122</v>
      </c>
      <c r="C119" s="2018" t="s">
        <v>1198</v>
      </c>
      <c r="D119" s="2019" t="s">
        <v>1036</v>
      </c>
      <c r="E119" s="2017" t="s">
        <v>3069</v>
      </c>
    </row>
    <row r="120" spans="2:5" ht="15.6" customHeight="1" thickBot="1" x14ac:dyDescent="0.35">
      <c r="B120" s="2020">
        <v>123</v>
      </c>
      <c r="C120" s="2018" t="s">
        <v>1199</v>
      </c>
      <c r="D120" s="2019" t="s">
        <v>1036</v>
      </c>
      <c r="E120" s="2017" t="s">
        <v>3069</v>
      </c>
    </row>
    <row r="121" spans="2:5" ht="15.6" customHeight="1" thickBot="1" x14ac:dyDescent="0.35">
      <c r="B121" s="2020">
        <v>125</v>
      </c>
      <c r="C121" s="2018" t="s">
        <v>1201</v>
      </c>
      <c r="D121" s="2019" t="s">
        <v>1036</v>
      </c>
      <c r="E121" s="2021" t="s">
        <v>3070</v>
      </c>
    </row>
    <row r="122" spans="2:5" ht="15.6" customHeight="1" thickBot="1" x14ac:dyDescent="0.35">
      <c r="B122" s="2020">
        <v>126</v>
      </c>
      <c r="C122" s="2018" t="s">
        <v>1203</v>
      </c>
      <c r="D122" s="2019" t="s">
        <v>1036</v>
      </c>
      <c r="E122" s="2017" t="s">
        <v>3069</v>
      </c>
    </row>
    <row r="123" spans="2:5" ht="15.6" customHeight="1" thickBot="1" x14ac:dyDescent="0.35">
      <c r="B123" s="2020">
        <v>127</v>
      </c>
      <c r="C123" s="2018" t="s">
        <v>1204</v>
      </c>
      <c r="D123" s="2019" t="s">
        <v>1036</v>
      </c>
      <c r="E123" s="2021" t="s">
        <v>3070</v>
      </c>
    </row>
    <row r="124" spans="2:5" ht="15.6" customHeight="1" thickBot="1" x14ac:dyDescent="0.35">
      <c r="B124" s="2020">
        <v>128</v>
      </c>
      <c r="C124" s="2018" t="s">
        <v>1205</v>
      </c>
      <c r="D124" s="2019" t="s">
        <v>1036</v>
      </c>
      <c r="E124" s="2021" t="s">
        <v>3070</v>
      </c>
    </row>
    <row r="125" spans="2:5" ht="15.6" customHeight="1" thickBot="1" x14ac:dyDescent="0.35">
      <c r="B125" s="2020">
        <v>129</v>
      </c>
      <c r="C125" s="2018" t="s">
        <v>1206</v>
      </c>
      <c r="D125" s="2019" t="s">
        <v>1036</v>
      </c>
      <c r="E125" s="2017" t="s">
        <v>3069</v>
      </c>
    </row>
    <row r="126" spans="2:5" ht="15.6" customHeight="1" thickBot="1" x14ac:dyDescent="0.35">
      <c r="B126" s="2020">
        <v>130</v>
      </c>
      <c r="C126" s="2018" t="s">
        <v>1207</v>
      </c>
      <c r="D126" s="2019" t="s">
        <v>1036</v>
      </c>
      <c r="E126" s="2017" t="s">
        <v>3069</v>
      </c>
    </row>
    <row r="127" spans="2:5" ht="15.6" customHeight="1" thickBot="1" x14ac:dyDescent="0.35">
      <c r="B127" s="2020">
        <v>131</v>
      </c>
      <c r="C127" s="2018" t="s">
        <v>1208</v>
      </c>
      <c r="D127" s="2019" t="s">
        <v>1036</v>
      </c>
      <c r="E127" s="2017" t="s">
        <v>3069</v>
      </c>
    </row>
    <row r="128" spans="2:5" ht="15.6" customHeight="1" thickBot="1" x14ac:dyDescent="0.35">
      <c r="B128" s="2020">
        <v>132</v>
      </c>
      <c r="C128" s="2018" t="s">
        <v>1209</v>
      </c>
      <c r="D128" s="2019" t="s">
        <v>1036</v>
      </c>
      <c r="E128" s="2017" t="s">
        <v>3069</v>
      </c>
    </row>
    <row r="129" spans="2:5" ht="15.6" customHeight="1" thickBot="1" x14ac:dyDescent="0.35">
      <c r="B129" s="2020">
        <v>135</v>
      </c>
      <c r="C129" s="2018" t="s">
        <v>1212</v>
      </c>
      <c r="D129" s="2019" t="s">
        <v>1036</v>
      </c>
      <c r="E129" s="2017" t="s">
        <v>3069</v>
      </c>
    </row>
    <row r="130" spans="2:5" ht="15.6" customHeight="1" thickBot="1" x14ac:dyDescent="0.35">
      <c r="B130" s="2020">
        <v>136</v>
      </c>
      <c r="C130" s="2018" t="s">
        <v>1213</v>
      </c>
      <c r="D130" s="2019" t="s">
        <v>1036</v>
      </c>
      <c r="E130" s="2017" t="s">
        <v>3069</v>
      </c>
    </row>
    <row r="131" spans="2:5" ht="15.6" customHeight="1" thickBot="1" x14ac:dyDescent="0.35">
      <c r="B131" s="2020">
        <v>137</v>
      </c>
      <c r="C131" s="2018" t="s">
        <v>1214</v>
      </c>
      <c r="D131" s="2019" t="s">
        <v>1036</v>
      </c>
      <c r="E131" s="2017" t="s">
        <v>3069</v>
      </c>
    </row>
    <row r="132" spans="2:5" ht="15.6" customHeight="1" thickBot="1" x14ac:dyDescent="0.35">
      <c r="B132" s="2020">
        <v>138</v>
      </c>
      <c r="C132" s="2018" t="s">
        <v>1215</v>
      </c>
      <c r="D132" s="2019" t="s">
        <v>1036</v>
      </c>
      <c r="E132" s="2021" t="s">
        <v>3070</v>
      </c>
    </row>
    <row r="133" spans="2:5" ht="15.6" customHeight="1" thickBot="1" x14ac:dyDescent="0.35">
      <c r="B133" s="2020">
        <v>139</v>
      </c>
      <c r="C133" s="2018" t="s">
        <v>1216</v>
      </c>
      <c r="D133" s="2019" t="s">
        <v>1036</v>
      </c>
      <c r="E133" s="2017" t="s">
        <v>3069</v>
      </c>
    </row>
    <row r="134" spans="2:5" ht="15.6" customHeight="1" thickBot="1" x14ac:dyDescent="0.35">
      <c r="B134" s="2020">
        <v>140</v>
      </c>
      <c r="C134" s="2018" t="s">
        <v>1217</v>
      </c>
      <c r="D134" s="2019" t="s">
        <v>1036</v>
      </c>
      <c r="E134" s="2021" t="s">
        <v>3070</v>
      </c>
    </row>
    <row r="135" spans="2:5" ht="15.6" customHeight="1" thickBot="1" x14ac:dyDescent="0.35">
      <c r="B135" s="2020">
        <v>141</v>
      </c>
      <c r="C135" s="2018" t="s">
        <v>1218</v>
      </c>
      <c r="D135" s="2019" t="s">
        <v>1036</v>
      </c>
      <c r="E135" s="2017" t="s">
        <v>3069</v>
      </c>
    </row>
    <row r="136" spans="2:5" ht="15.6" customHeight="1" thickBot="1" x14ac:dyDescent="0.35">
      <c r="B136" s="2020">
        <v>142</v>
      </c>
      <c r="C136" s="2018" t="s">
        <v>1219</v>
      </c>
      <c r="D136" s="2019" t="s">
        <v>1036</v>
      </c>
      <c r="E136" s="2021" t="s">
        <v>3070</v>
      </c>
    </row>
    <row r="137" spans="2:5" ht="15.6" customHeight="1" thickBot="1" x14ac:dyDescent="0.35">
      <c r="B137" s="2020">
        <v>146</v>
      </c>
      <c r="C137" s="2018" t="s">
        <v>3071</v>
      </c>
      <c r="D137" s="2019" t="s">
        <v>1036</v>
      </c>
      <c r="E137" s="2017" t="s">
        <v>3069</v>
      </c>
    </row>
    <row r="138" spans="2:5" ht="15.6" customHeight="1" thickBot="1" x14ac:dyDescent="0.35">
      <c r="B138" s="2020">
        <v>148</v>
      </c>
      <c r="C138" s="2018" t="s">
        <v>1226</v>
      </c>
      <c r="D138" s="2019" t="s">
        <v>1036</v>
      </c>
      <c r="E138" s="2021" t="s">
        <v>3070</v>
      </c>
    </row>
    <row r="139" spans="2:5" ht="15.6" customHeight="1" thickBot="1" x14ac:dyDescent="0.35">
      <c r="B139" s="2020">
        <v>149</v>
      </c>
      <c r="C139" s="2018" t="s">
        <v>1227</v>
      </c>
      <c r="D139" s="2019" t="s">
        <v>1036</v>
      </c>
      <c r="E139" s="2021" t="s">
        <v>3070</v>
      </c>
    </row>
    <row r="140" spans="2:5" ht="15.6" customHeight="1" thickBot="1" x14ac:dyDescent="0.35">
      <c r="B140" s="2020">
        <v>150</v>
      </c>
      <c r="C140" s="2022" t="s">
        <v>1228</v>
      </c>
      <c r="D140" s="2019" t="s">
        <v>1036</v>
      </c>
      <c r="E140" s="2017" t="s">
        <v>3069</v>
      </c>
    </row>
    <row r="141" spans="2:5" ht="15.6" customHeight="1" thickBot="1" x14ac:dyDescent="0.35">
      <c r="B141" s="2020">
        <v>152</v>
      </c>
      <c r="C141" s="2018" t="s">
        <v>1230</v>
      </c>
      <c r="D141" s="2019" t="s">
        <v>1036</v>
      </c>
      <c r="E141" s="2017" t="s">
        <v>3069</v>
      </c>
    </row>
    <row r="142" spans="2:5" ht="15.6" customHeight="1" thickBot="1" x14ac:dyDescent="0.35">
      <c r="B142" s="2020">
        <v>153</v>
      </c>
      <c r="C142" s="2018" t="s">
        <v>1232</v>
      </c>
      <c r="D142" s="2019" t="s">
        <v>1036</v>
      </c>
      <c r="E142" s="2017" t="s">
        <v>3069</v>
      </c>
    </row>
    <row r="143" spans="2:5" ht="15.6" customHeight="1" thickBot="1" x14ac:dyDescent="0.35">
      <c r="B143" s="2020">
        <v>155</v>
      </c>
      <c r="C143" s="2018" t="s">
        <v>1235</v>
      </c>
      <c r="D143" s="2019" t="s">
        <v>1036</v>
      </c>
      <c r="E143" s="2017" t="s">
        <v>3069</v>
      </c>
    </row>
    <row r="144" spans="2:5" ht="15.6" customHeight="1" thickBot="1" x14ac:dyDescent="0.35">
      <c r="B144" s="2020">
        <v>156</v>
      </c>
      <c r="C144" s="2018" t="s">
        <v>1236</v>
      </c>
      <c r="D144" s="2019" t="s">
        <v>1036</v>
      </c>
      <c r="E144" s="2017" t="s">
        <v>3069</v>
      </c>
    </row>
    <row r="145" spans="2:5" ht="15.6" customHeight="1" thickBot="1" x14ac:dyDescent="0.35">
      <c r="B145" s="2020">
        <v>157</v>
      </c>
      <c r="C145" s="2018" t="s">
        <v>1237</v>
      </c>
      <c r="D145" s="2019" t="s">
        <v>1036</v>
      </c>
      <c r="E145" s="2017" t="s">
        <v>3069</v>
      </c>
    </row>
    <row r="146" spans="2:5" ht="15.6" customHeight="1" thickBot="1" x14ac:dyDescent="0.35">
      <c r="B146" s="2020">
        <v>159</v>
      </c>
      <c r="C146" s="2018" t="s">
        <v>1239</v>
      </c>
      <c r="D146" s="2019" t="s">
        <v>1036</v>
      </c>
      <c r="E146" s="2017" t="s">
        <v>3069</v>
      </c>
    </row>
    <row r="147" spans="2:5" ht="15.6" customHeight="1" thickBot="1" x14ac:dyDescent="0.35">
      <c r="B147" s="2020">
        <v>160</v>
      </c>
      <c r="C147" s="2018" t="s">
        <v>3072</v>
      </c>
      <c r="D147" s="2019" t="s">
        <v>1036</v>
      </c>
      <c r="E147" s="2017" t="s">
        <v>3069</v>
      </c>
    </row>
    <row r="148" spans="2:5" ht="15.6" customHeight="1" thickBot="1" x14ac:dyDescent="0.35">
      <c r="B148" s="2020">
        <v>161</v>
      </c>
      <c r="C148" s="2018" t="s">
        <v>3073</v>
      </c>
      <c r="D148" s="2019" t="s">
        <v>1036</v>
      </c>
      <c r="E148" s="2017" t="s">
        <v>3069</v>
      </c>
    </row>
    <row r="149" spans="2:5" ht="15.6" customHeight="1" thickBot="1" x14ac:dyDescent="0.35">
      <c r="B149" s="2020">
        <v>162</v>
      </c>
      <c r="C149" s="2018" t="s">
        <v>3074</v>
      </c>
      <c r="D149" s="2019" t="s">
        <v>1036</v>
      </c>
      <c r="E149" s="2017" t="s">
        <v>3069</v>
      </c>
    </row>
    <row r="150" spans="2:5" ht="15.6" customHeight="1" thickBot="1" x14ac:dyDescent="0.35">
      <c r="B150" s="2020">
        <v>163</v>
      </c>
      <c r="C150" s="2018" t="s">
        <v>3075</v>
      </c>
      <c r="D150" s="2019" t="s">
        <v>1036</v>
      </c>
      <c r="E150" s="2017" t="s">
        <v>3069</v>
      </c>
    </row>
    <row r="151" spans="2:5" ht="15.6" customHeight="1" thickBot="1" x14ac:dyDescent="0.35">
      <c r="B151" s="2020">
        <v>164</v>
      </c>
      <c r="C151" s="2018" t="s">
        <v>1242</v>
      </c>
      <c r="D151" s="2019" t="s">
        <v>1036</v>
      </c>
      <c r="E151" s="2017" t="s">
        <v>3069</v>
      </c>
    </row>
    <row r="152" spans="2:5" ht="15.6" customHeight="1" thickBot="1" x14ac:dyDescent="0.35">
      <c r="B152" s="2020">
        <v>166</v>
      </c>
      <c r="C152" s="2018" t="s">
        <v>1244</v>
      </c>
      <c r="D152" s="2019" t="s">
        <v>1036</v>
      </c>
      <c r="E152" s="2017" t="s">
        <v>3069</v>
      </c>
    </row>
    <row r="153" spans="2:5" ht="15.6" customHeight="1" thickBot="1" x14ac:dyDescent="0.35">
      <c r="B153" s="2020">
        <v>167</v>
      </c>
      <c r="C153" s="2018" t="s">
        <v>1245</v>
      </c>
      <c r="D153" s="2019" t="s">
        <v>1036</v>
      </c>
      <c r="E153" s="2017" t="s">
        <v>3069</v>
      </c>
    </row>
    <row r="154" spans="2:5" ht="15.6" customHeight="1" thickBot="1" x14ac:dyDescent="0.35">
      <c r="B154" s="2020">
        <v>168</v>
      </c>
      <c r="C154" s="2018" t="s">
        <v>1247</v>
      </c>
      <c r="D154" s="2019" t="s">
        <v>1036</v>
      </c>
      <c r="E154" s="2017" t="s">
        <v>3069</v>
      </c>
    </row>
    <row r="155" spans="2:5" ht="15.6" customHeight="1" thickBot="1" x14ac:dyDescent="0.35">
      <c r="B155" s="2020">
        <v>169</v>
      </c>
      <c r="C155" s="2022" t="s">
        <v>1249</v>
      </c>
      <c r="D155" s="2019" t="s">
        <v>1036</v>
      </c>
      <c r="E155" s="2017" t="s">
        <v>3069</v>
      </c>
    </row>
    <row r="156" spans="2:5" ht="15.6" customHeight="1" thickBot="1" x14ac:dyDescent="0.35">
      <c r="B156" s="2020">
        <v>170</v>
      </c>
      <c r="C156" s="2018" t="s">
        <v>1250</v>
      </c>
      <c r="D156" s="2019" t="s">
        <v>1036</v>
      </c>
      <c r="E156" s="2017" t="s">
        <v>3069</v>
      </c>
    </row>
    <row r="157" spans="2:5" ht="15.6" customHeight="1" thickBot="1" x14ac:dyDescent="0.35">
      <c r="B157" s="2020">
        <v>171</v>
      </c>
      <c r="C157" s="2018" t="s">
        <v>1251</v>
      </c>
      <c r="D157" s="2019" t="s">
        <v>1036</v>
      </c>
      <c r="E157" s="2021" t="s">
        <v>3070</v>
      </c>
    </row>
    <row r="158" spans="2:5" ht="15.6" customHeight="1" thickBot="1" x14ac:dyDescent="0.35">
      <c r="B158" s="2020">
        <v>172</v>
      </c>
      <c r="C158" s="2018" t="s">
        <v>1252</v>
      </c>
      <c r="D158" s="2019" t="s">
        <v>1036</v>
      </c>
      <c r="E158" s="2021" t="s">
        <v>3070</v>
      </c>
    </row>
    <row r="159" spans="2:5" ht="15.6" customHeight="1" thickBot="1" x14ac:dyDescent="0.35">
      <c r="B159" s="2020">
        <v>175</v>
      </c>
      <c r="C159" s="2018" t="s">
        <v>1255</v>
      </c>
      <c r="D159" s="2019" t="s">
        <v>1036</v>
      </c>
      <c r="E159" s="2017" t="s">
        <v>3069</v>
      </c>
    </row>
    <row r="160" spans="2:5" ht="15.6" customHeight="1" thickBot="1" x14ac:dyDescent="0.35">
      <c r="B160" s="2020">
        <v>179</v>
      </c>
      <c r="C160" s="2018" t="s">
        <v>1259</v>
      </c>
      <c r="D160" s="2019" t="s">
        <v>1036</v>
      </c>
      <c r="E160" s="2021" t="s">
        <v>3070</v>
      </c>
    </row>
    <row r="161" spans="2:5" ht="15.6" customHeight="1" thickBot="1" x14ac:dyDescent="0.35">
      <c r="B161" s="2020">
        <v>180</v>
      </c>
      <c r="C161" s="2018" t="s">
        <v>1260</v>
      </c>
      <c r="D161" s="2019" t="s">
        <v>1036</v>
      </c>
      <c r="E161" s="2021" t="s">
        <v>3070</v>
      </c>
    </row>
    <row r="162" spans="2:5" ht="15.6" customHeight="1" thickBot="1" x14ac:dyDescent="0.35">
      <c r="B162" s="2020">
        <v>183</v>
      </c>
      <c r="C162" s="2018" t="s">
        <v>1263</v>
      </c>
      <c r="D162" s="2019" t="s">
        <v>1036</v>
      </c>
      <c r="E162" s="2021" t="s">
        <v>3070</v>
      </c>
    </row>
    <row r="163" spans="2:5" ht="15.6" customHeight="1" thickBot="1" x14ac:dyDescent="0.35">
      <c r="B163" s="2020">
        <v>184</v>
      </c>
      <c r="C163" s="2018" t="s">
        <v>1264</v>
      </c>
      <c r="D163" s="2019" t="s">
        <v>1036</v>
      </c>
      <c r="E163" s="2021" t="s">
        <v>3070</v>
      </c>
    </row>
    <row r="164" spans="2:5" ht="15.6" customHeight="1" thickBot="1" x14ac:dyDescent="0.35">
      <c r="B164" s="2020">
        <v>186</v>
      </c>
      <c r="C164" s="2018" t="s">
        <v>1266</v>
      </c>
      <c r="D164" s="2019" t="s">
        <v>1036</v>
      </c>
      <c r="E164" s="2021" t="s">
        <v>3070</v>
      </c>
    </row>
    <row r="165" spans="2:5" ht="15.6" customHeight="1" thickBot="1" x14ac:dyDescent="0.35">
      <c r="B165" s="2020">
        <v>187</v>
      </c>
      <c r="C165" s="2018" t="s">
        <v>1268</v>
      </c>
      <c r="D165" s="2019" t="s">
        <v>1036</v>
      </c>
      <c r="E165" s="2021" t="s">
        <v>3070</v>
      </c>
    </row>
    <row r="166" spans="2:5" ht="15.6" customHeight="1" thickBot="1" x14ac:dyDescent="0.35">
      <c r="B166" s="2020">
        <v>188</v>
      </c>
      <c r="C166" s="2018" t="s">
        <v>1270</v>
      </c>
      <c r="D166" s="2019" t="s">
        <v>1036</v>
      </c>
      <c r="E166" s="2017" t="s">
        <v>3069</v>
      </c>
    </row>
    <row r="167" spans="2:5" ht="15.6" customHeight="1" thickBot="1" x14ac:dyDescent="0.35">
      <c r="B167" s="2020">
        <v>189</v>
      </c>
      <c r="C167" s="2018" t="s">
        <v>1272</v>
      </c>
      <c r="D167" s="2019" t="s">
        <v>1036</v>
      </c>
      <c r="E167" s="2021" t="s">
        <v>3070</v>
      </c>
    </row>
    <row r="168" spans="2:5" ht="15.6" customHeight="1" thickBot="1" x14ac:dyDescent="0.35">
      <c r="B168" s="2020">
        <v>190</v>
      </c>
      <c r="C168" s="2018" t="s">
        <v>1273</v>
      </c>
      <c r="D168" s="2019" t="s">
        <v>1036</v>
      </c>
      <c r="E168" s="2017" t="s">
        <v>3069</v>
      </c>
    </row>
    <row r="169" spans="2:5" ht="15.6" customHeight="1" thickBot="1" x14ac:dyDescent="0.35">
      <c r="B169" s="2020">
        <v>191</v>
      </c>
      <c r="C169" s="2018" t="s">
        <v>1274</v>
      </c>
      <c r="D169" s="2019" t="s">
        <v>1036</v>
      </c>
      <c r="E169" s="2017" t="s">
        <v>3069</v>
      </c>
    </row>
    <row r="170" spans="2:5" ht="15.6" customHeight="1" thickBot="1" x14ac:dyDescent="0.35">
      <c r="B170" s="2020">
        <v>192</v>
      </c>
      <c r="C170" s="2018" t="s">
        <v>1275</v>
      </c>
      <c r="D170" s="2019" t="s">
        <v>1036</v>
      </c>
      <c r="E170" s="2017" t="s">
        <v>3069</v>
      </c>
    </row>
    <row r="171" spans="2:5" ht="15.6" customHeight="1" thickBot="1" x14ac:dyDescent="0.35">
      <c r="B171" s="2020">
        <v>193</v>
      </c>
      <c r="C171" s="2018" t="s">
        <v>1276</v>
      </c>
      <c r="D171" s="2019" t="s">
        <v>1036</v>
      </c>
      <c r="E171" s="2017" t="s">
        <v>3069</v>
      </c>
    </row>
    <row r="172" spans="2:5" ht="15.6" customHeight="1" thickBot="1" x14ac:dyDescent="0.35">
      <c r="B172" s="2020">
        <v>194</v>
      </c>
      <c r="C172" s="2018" t="s">
        <v>1277</v>
      </c>
      <c r="D172" s="2019" t="s">
        <v>1036</v>
      </c>
      <c r="E172" s="2017" t="s">
        <v>3069</v>
      </c>
    </row>
    <row r="173" spans="2:5" ht="15.6" customHeight="1" thickBot="1" x14ac:dyDescent="0.35">
      <c r="B173" s="2020">
        <v>195</v>
      </c>
      <c r="C173" s="2018" t="s">
        <v>1278</v>
      </c>
      <c r="D173" s="2019" t="s">
        <v>1036</v>
      </c>
      <c r="E173" s="2017" t="s">
        <v>3069</v>
      </c>
    </row>
    <row r="174" spans="2:5" ht="15.6" customHeight="1" thickBot="1" x14ac:dyDescent="0.35">
      <c r="B174" s="2020">
        <v>196</v>
      </c>
      <c r="C174" s="2018" t="s">
        <v>1279</v>
      </c>
      <c r="D174" s="2019" t="s">
        <v>1036</v>
      </c>
      <c r="E174" s="2017" t="s">
        <v>3069</v>
      </c>
    </row>
    <row r="175" spans="2:5" ht="15.6" customHeight="1" thickBot="1" x14ac:dyDescent="0.35">
      <c r="B175" s="2020">
        <v>197</v>
      </c>
      <c r="C175" s="2018" t="s">
        <v>1280</v>
      </c>
      <c r="D175" s="2019" t="s">
        <v>1036</v>
      </c>
      <c r="E175" s="2017" t="s">
        <v>3069</v>
      </c>
    </row>
    <row r="176" spans="2:5" ht="15.6" customHeight="1" thickBot="1" x14ac:dyDescent="0.35">
      <c r="B176" s="2020">
        <v>198</v>
      </c>
      <c r="C176" s="2018" t="s">
        <v>1282</v>
      </c>
      <c r="D176" s="2019" t="s">
        <v>1036</v>
      </c>
      <c r="E176" s="2017" t="s">
        <v>3069</v>
      </c>
    </row>
    <row r="177" spans="2:5" ht="15.6" customHeight="1" thickBot="1" x14ac:dyDescent="0.35">
      <c r="B177" s="2020">
        <v>199</v>
      </c>
      <c r="C177" s="2018" t="s">
        <v>1283</v>
      </c>
      <c r="D177" s="2019" t="s">
        <v>1036</v>
      </c>
      <c r="E177" s="2017" t="s">
        <v>3069</v>
      </c>
    </row>
    <row r="178" spans="2:5" ht="15.6" customHeight="1" thickBot="1" x14ac:dyDescent="0.35">
      <c r="B178" s="2020">
        <v>201</v>
      </c>
      <c r="C178" s="2018" t="s">
        <v>1285</v>
      </c>
      <c r="D178" s="2019" t="s">
        <v>1036</v>
      </c>
      <c r="E178" s="2017" t="s">
        <v>3069</v>
      </c>
    </row>
    <row r="179" spans="2:5" ht="15.6" customHeight="1" thickBot="1" x14ac:dyDescent="0.35">
      <c r="B179" s="2020">
        <v>202</v>
      </c>
      <c r="C179" s="2018" t="s">
        <v>1286</v>
      </c>
      <c r="D179" s="2019" t="s">
        <v>1036</v>
      </c>
      <c r="E179" s="2017" t="s">
        <v>3069</v>
      </c>
    </row>
    <row r="180" spans="2:5" ht="15.6" customHeight="1" thickBot="1" x14ac:dyDescent="0.35">
      <c r="B180" s="2020">
        <v>204</v>
      </c>
      <c r="C180" s="2018" t="s">
        <v>1289</v>
      </c>
      <c r="D180" s="2019" t="s">
        <v>1036</v>
      </c>
      <c r="E180" s="2017" t="s">
        <v>3069</v>
      </c>
    </row>
    <row r="181" spans="2:5" ht="15.6" customHeight="1" thickBot="1" x14ac:dyDescent="0.35">
      <c r="B181" s="2020">
        <v>205</v>
      </c>
      <c r="C181" s="2018" t="s">
        <v>1290</v>
      </c>
      <c r="D181" s="2019" t="s">
        <v>1036</v>
      </c>
      <c r="E181" s="2021" t="s">
        <v>3070</v>
      </c>
    </row>
    <row r="182" spans="2:5" ht="15.6" customHeight="1" thickBot="1" x14ac:dyDescent="0.35">
      <c r="B182" s="2020">
        <v>206</v>
      </c>
      <c r="C182" s="2018" t="s">
        <v>1292</v>
      </c>
      <c r="D182" s="2019" t="s">
        <v>1036</v>
      </c>
      <c r="E182" s="2017" t="s">
        <v>3069</v>
      </c>
    </row>
    <row r="183" spans="2:5" ht="15.6" customHeight="1" thickBot="1" x14ac:dyDescent="0.35">
      <c r="B183" s="2020">
        <v>207</v>
      </c>
      <c r="C183" s="2018" t="s">
        <v>1293</v>
      </c>
      <c r="D183" s="2019" t="s">
        <v>1036</v>
      </c>
      <c r="E183" s="2017" t="s">
        <v>3069</v>
      </c>
    </row>
    <row r="184" spans="2:5" ht="15.6" customHeight="1" thickBot="1" x14ac:dyDescent="0.35">
      <c r="B184" s="2020">
        <v>208</v>
      </c>
      <c r="C184" s="2018" t="s">
        <v>1294</v>
      </c>
      <c r="D184" s="2019" t="s">
        <v>1036</v>
      </c>
      <c r="E184" s="2017" t="s">
        <v>3069</v>
      </c>
    </row>
    <row r="185" spans="2:5" ht="15.6" customHeight="1" thickBot="1" x14ac:dyDescent="0.35">
      <c r="B185" s="2020">
        <v>209</v>
      </c>
      <c r="C185" s="2018" t="s">
        <v>1295</v>
      </c>
      <c r="D185" s="2019" t="s">
        <v>1036</v>
      </c>
      <c r="E185" s="2017" t="s">
        <v>3069</v>
      </c>
    </row>
    <row r="186" spans="2:5" ht="15.6" customHeight="1" thickBot="1" x14ac:dyDescent="0.35">
      <c r="B186" s="2020">
        <v>210</v>
      </c>
      <c r="C186" s="2018" t="s">
        <v>1296</v>
      </c>
      <c r="D186" s="2019" t="s">
        <v>1036</v>
      </c>
      <c r="E186" s="2017" t="s">
        <v>3069</v>
      </c>
    </row>
    <row r="187" spans="2:5" ht="15.6" customHeight="1" thickBot="1" x14ac:dyDescent="0.35">
      <c r="B187" s="2020">
        <v>212</v>
      </c>
      <c r="C187" s="2018" t="s">
        <v>1298</v>
      </c>
      <c r="D187" s="2019" t="s">
        <v>1036</v>
      </c>
      <c r="E187" s="2017" t="s">
        <v>3069</v>
      </c>
    </row>
    <row r="188" spans="2:5" ht="15.6" customHeight="1" thickBot="1" x14ac:dyDescent="0.35">
      <c r="B188" s="2020">
        <v>213</v>
      </c>
      <c r="C188" s="2018" t="s">
        <v>1299</v>
      </c>
      <c r="D188" s="2019" t="s">
        <v>1036</v>
      </c>
      <c r="E188" s="2017" t="s">
        <v>3069</v>
      </c>
    </row>
    <row r="189" spans="2:5" ht="15.6" customHeight="1" thickBot="1" x14ac:dyDescent="0.35">
      <c r="B189" s="2020">
        <v>214</v>
      </c>
      <c r="C189" s="2018" t="s">
        <v>1300</v>
      </c>
      <c r="D189" s="2019" t="s">
        <v>1036</v>
      </c>
      <c r="E189" s="2021" t="s">
        <v>3070</v>
      </c>
    </row>
    <row r="190" spans="2:5" ht="15.6" customHeight="1" thickBot="1" x14ac:dyDescent="0.35">
      <c r="B190" s="2020">
        <v>215</v>
      </c>
      <c r="C190" s="2018" t="s">
        <v>1301</v>
      </c>
      <c r="D190" s="2019" t="s">
        <v>1036</v>
      </c>
      <c r="E190" s="2017" t="s">
        <v>3069</v>
      </c>
    </row>
    <row r="191" spans="2:5" ht="15.6" customHeight="1" thickBot="1" x14ac:dyDescent="0.35">
      <c r="B191" s="2020">
        <v>216</v>
      </c>
      <c r="C191" s="2018" t="s">
        <v>1302</v>
      </c>
      <c r="D191" s="2019" t="s">
        <v>1036</v>
      </c>
      <c r="E191" s="2021" t="s">
        <v>3070</v>
      </c>
    </row>
    <row r="192" spans="2:5" ht="15.6" customHeight="1" thickBot="1" x14ac:dyDescent="0.35">
      <c r="B192" s="2020">
        <v>217</v>
      </c>
      <c r="C192" s="2018" t="s">
        <v>1303</v>
      </c>
      <c r="D192" s="2019" t="s">
        <v>1036</v>
      </c>
      <c r="E192" s="2021" t="s">
        <v>3070</v>
      </c>
    </row>
    <row r="193" spans="2:5" ht="15.6" customHeight="1" thickBot="1" x14ac:dyDescent="0.35">
      <c r="B193" s="2020">
        <v>218</v>
      </c>
      <c r="C193" s="2018" t="s">
        <v>1304</v>
      </c>
      <c r="D193" s="2019" t="s">
        <v>1036</v>
      </c>
      <c r="E193" s="2017" t="s">
        <v>3069</v>
      </c>
    </row>
    <row r="194" spans="2:5" ht="15.6" customHeight="1" thickBot="1" x14ac:dyDescent="0.35">
      <c r="B194" s="2020">
        <v>219</v>
      </c>
      <c r="C194" s="2018" t="s">
        <v>1305</v>
      </c>
      <c r="D194" s="2019" t="s">
        <v>1036</v>
      </c>
      <c r="E194" s="2017" t="s">
        <v>3069</v>
      </c>
    </row>
    <row r="195" spans="2:5" ht="15.6" customHeight="1" thickBot="1" x14ac:dyDescent="0.35">
      <c r="B195" s="2020">
        <v>221</v>
      </c>
      <c r="C195" s="2018" t="s">
        <v>1307</v>
      </c>
      <c r="D195" s="2019" t="s">
        <v>1036</v>
      </c>
      <c r="E195" s="2017" t="s">
        <v>3070</v>
      </c>
    </row>
    <row r="196" spans="2:5" ht="15.6" customHeight="1" thickBot="1" x14ac:dyDescent="0.35">
      <c r="B196" s="2020">
        <v>222</v>
      </c>
      <c r="C196" s="2018" t="s">
        <v>1309</v>
      </c>
      <c r="D196" s="2019" t="s">
        <v>1036</v>
      </c>
      <c r="E196" s="2017" t="s">
        <v>3070</v>
      </c>
    </row>
    <row r="197" spans="2:5" ht="15.6" customHeight="1" thickBot="1" x14ac:dyDescent="0.35">
      <c r="B197" s="2020">
        <v>223</v>
      </c>
      <c r="C197" s="2018" t="s">
        <v>1311</v>
      </c>
      <c r="D197" s="2019" t="s">
        <v>1036</v>
      </c>
      <c r="E197" s="2017" t="s">
        <v>3070</v>
      </c>
    </row>
    <row r="198" spans="2:5" ht="15.6" customHeight="1" thickBot="1" x14ac:dyDescent="0.35">
      <c r="B198" s="2020">
        <v>224</v>
      </c>
      <c r="C198" s="2018" t="s">
        <v>1312</v>
      </c>
      <c r="D198" s="2019" t="s">
        <v>1036</v>
      </c>
      <c r="E198" s="2017" t="s">
        <v>3069</v>
      </c>
    </row>
    <row r="199" spans="2:5" ht="15.6" customHeight="1" thickBot="1" x14ac:dyDescent="0.35">
      <c r="B199" s="2020">
        <v>225</v>
      </c>
      <c r="C199" s="2018" t="s">
        <v>1313</v>
      </c>
      <c r="D199" s="2019" t="s">
        <v>1036</v>
      </c>
      <c r="E199" s="2021" t="s">
        <v>3070</v>
      </c>
    </row>
    <row r="200" spans="2:5" ht="15.6" customHeight="1" thickBot="1" x14ac:dyDescent="0.35">
      <c r="B200" s="2020">
        <v>226</v>
      </c>
      <c r="C200" s="2018" t="s">
        <v>1314</v>
      </c>
      <c r="D200" s="2019" t="s">
        <v>1036</v>
      </c>
      <c r="E200" s="2021" t="s">
        <v>3070</v>
      </c>
    </row>
    <row r="201" spans="2:5" ht="15.6" customHeight="1" thickBot="1" x14ac:dyDescent="0.35">
      <c r="B201" s="2020">
        <v>227</v>
      </c>
      <c r="C201" s="2018" t="s">
        <v>1315</v>
      </c>
      <c r="D201" s="2019" t="s">
        <v>1036</v>
      </c>
      <c r="E201" s="2017" t="s">
        <v>3069</v>
      </c>
    </row>
    <row r="202" spans="2:5" ht="15.6" customHeight="1" thickBot="1" x14ac:dyDescent="0.35">
      <c r="B202" s="2020">
        <v>229</v>
      </c>
      <c r="C202" s="2018" t="s">
        <v>1317</v>
      </c>
      <c r="D202" s="2019" t="s">
        <v>1036</v>
      </c>
      <c r="E202" s="2017" t="s">
        <v>3069</v>
      </c>
    </row>
    <row r="203" spans="2:5" ht="15.6" customHeight="1" thickBot="1" x14ac:dyDescent="0.35">
      <c r="B203" s="2020">
        <v>231</v>
      </c>
      <c r="C203" s="2018" t="s">
        <v>1319</v>
      </c>
      <c r="D203" s="2019" t="s">
        <v>1036</v>
      </c>
      <c r="E203" s="2021" t="s">
        <v>3070</v>
      </c>
    </row>
    <row r="204" spans="2:5" ht="15.6" customHeight="1" thickBot="1" x14ac:dyDescent="0.35">
      <c r="B204" s="2020">
        <v>232</v>
      </c>
      <c r="C204" s="2018" t="s">
        <v>1320</v>
      </c>
      <c r="D204" s="2019" t="s">
        <v>1036</v>
      </c>
      <c r="E204" s="2021" t="s">
        <v>3070</v>
      </c>
    </row>
    <row r="205" spans="2:5" ht="15.6" customHeight="1" thickBot="1" x14ac:dyDescent="0.35">
      <c r="B205" s="2020">
        <v>233</v>
      </c>
      <c r="C205" s="2018" t="s">
        <v>1321</v>
      </c>
      <c r="D205" s="2019" t="s">
        <v>1036</v>
      </c>
      <c r="E205" s="2021" t="s">
        <v>3070</v>
      </c>
    </row>
    <row r="206" spans="2:5" ht="15.6" customHeight="1" thickBot="1" x14ac:dyDescent="0.35">
      <c r="B206" s="2020">
        <v>234</v>
      </c>
      <c r="C206" s="2018" t="s">
        <v>1322</v>
      </c>
      <c r="D206" s="2019" t="s">
        <v>1036</v>
      </c>
      <c r="E206" s="2021" t="s">
        <v>3070</v>
      </c>
    </row>
    <row r="207" spans="2:5" ht="15.6" customHeight="1" thickBot="1" x14ac:dyDescent="0.35">
      <c r="B207" s="2020">
        <v>235</v>
      </c>
      <c r="C207" s="2018" t="s">
        <v>1323</v>
      </c>
      <c r="D207" s="2019" t="s">
        <v>1036</v>
      </c>
      <c r="E207" s="2021" t="s">
        <v>3070</v>
      </c>
    </row>
    <row r="208" spans="2:5" ht="15.6" customHeight="1" thickBot="1" x14ac:dyDescent="0.35">
      <c r="B208" s="2020">
        <v>236</v>
      </c>
      <c r="C208" s="2018" t="s">
        <v>1324</v>
      </c>
      <c r="D208" s="2019" t="s">
        <v>1036</v>
      </c>
      <c r="E208" s="2021" t="s">
        <v>3070</v>
      </c>
    </row>
    <row r="209" spans="2:5" ht="15.6" customHeight="1" thickBot="1" x14ac:dyDescent="0.35">
      <c r="B209" s="2020">
        <v>237</v>
      </c>
      <c r="C209" s="2018" t="s">
        <v>1325</v>
      </c>
      <c r="D209" s="2019" t="s">
        <v>1036</v>
      </c>
      <c r="E209" s="2021" t="s">
        <v>3070</v>
      </c>
    </row>
    <row r="210" spans="2:5" ht="15.6" customHeight="1" thickBot="1" x14ac:dyDescent="0.35">
      <c r="B210" s="2020">
        <v>238</v>
      </c>
      <c r="C210" s="2018" t="s">
        <v>1326</v>
      </c>
      <c r="D210" s="2019" t="s">
        <v>1036</v>
      </c>
      <c r="E210" s="2021" t="s">
        <v>3070</v>
      </c>
    </row>
    <row r="211" spans="2:5" ht="15.6" customHeight="1" thickBot="1" x14ac:dyDescent="0.35">
      <c r="B211" s="2020">
        <v>239</v>
      </c>
      <c r="C211" s="2018" t="s">
        <v>1327</v>
      </c>
      <c r="D211" s="2019" t="s">
        <v>1036</v>
      </c>
      <c r="E211" s="2017" t="s">
        <v>3069</v>
      </c>
    </row>
    <row r="212" spans="2:5" ht="15.6" customHeight="1" thickBot="1" x14ac:dyDescent="0.35">
      <c r="B212" s="2020">
        <v>241</v>
      </c>
      <c r="C212" s="2018" t="s">
        <v>1330</v>
      </c>
      <c r="D212" s="2019" t="s">
        <v>1036</v>
      </c>
      <c r="E212" s="2017" t="s">
        <v>3069</v>
      </c>
    </row>
    <row r="213" spans="2:5" ht="15.6" customHeight="1" thickBot="1" x14ac:dyDescent="0.35">
      <c r="B213" s="2020">
        <v>242</v>
      </c>
      <c r="C213" s="2018" t="s">
        <v>1331</v>
      </c>
      <c r="D213" s="2019" t="s">
        <v>1036</v>
      </c>
      <c r="E213" s="2017" t="s">
        <v>3069</v>
      </c>
    </row>
    <row r="214" spans="2:5" ht="15.6" customHeight="1" thickBot="1" x14ac:dyDescent="0.35">
      <c r="B214" s="2020">
        <v>243</v>
      </c>
      <c r="C214" s="2018" t="s">
        <v>1332</v>
      </c>
      <c r="D214" s="2019" t="s">
        <v>1036</v>
      </c>
      <c r="E214" s="2017" t="s">
        <v>3069</v>
      </c>
    </row>
    <row r="215" spans="2:5" ht="15.6" customHeight="1" thickBot="1" x14ac:dyDescent="0.35">
      <c r="B215" s="2020">
        <v>244</v>
      </c>
      <c r="C215" s="2018" t="s">
        <v>1333</v>
      </c>
      <c r="D215" s="2019" t="s">
        <v>1036</v>
      </c>
      <c r="E215" s="2017" t="s">
        <v>3069</v>
      </c>
    </row>
    <row r="216" spans="2:5" ht="15.6" customHeight="1" thickBot="1" x14ac:dyDescent="0.35">
      <c r="B216" s="2020">
        <v>245</v>
      </c>
      <c r="C216" s="2018" t="s">
        <v>1334</v>
      </c>
      <c r="D216" s="2019" t="s">
        <v>1036</v>
      </c>
      <c r="E216" s="2017" t="s">
        <v>3069</v>
      </c>
    </row>
    <row r="217" spans="2:5" ht="15.6" customHeight="1" thickBot="1" x14ac:dyDescent="0.35">
      <c r="B217" s="2020">
        <v>247</v>
      </c>
      <c r="C217" s="2018" t="s">
        <v>1336</v>
      </c>
      <c r="D217" s="2019" t="s">
        <v>1036</v>
      </c>
      <c r="E217" s="2017" t="s">
        <v>3069</v>
      </c>
    </row>
    <row r="218" spans="2:5" ht="15.6" customHeight="1" thickBot="1" x14ac:dyDescent="0.35">
      <c r="B218" s="2020">
        <v>248</v>
      </c>
      <c r="C218" s="2018" t="s">
        <v>1337</v>
      </c>
      <c r="D218" s="2019" t="s">
        <v>1036</v>
      </c>
      <c r="E218" s="2017" t="s">
        <v>3069</v>
      </c>
    </row>
    <row r="219" spans="2:5" ht="15.6" customHeight="1" thickBot="1" x14ac:dyDescent="0.35">
      <c r="B219" s="2020">
        <v>250</v>
      </c>
      <c r="C219" s="2018" t="s">
        <v>1339</v>
      </c>
      <c r="D219" s="2019" t="s">
        <v>1036</v>
      </c>
      <c r="E219" s="2017" t="s">
        <v>3069</v>
      </c>
    </row>
    <row r="220" spans="2:5" ht="15.6" customHeight="1" thickBot="1" x14ac:dyDescent="0.35">
      <c r="B220" s="2020">
        <v>251</v>
      </c>
      <c r="C220" s="2018" t="s">
        <v>1340</v>
      </c>
      <c r="D220" s="2019" t="s">
        <v>1036</v>
      </c>
      <c r="E220" s="2017" t="s">
        <v>3069</v>
      </c>
    </row>
    <row r="221" spans="2:5" ht="15.6" customHeight="1" thickBot="1" x14ac:dyDescent="0.35">
      <c r="B221" s="2020">
        <v>252</v>
      </c>
      <c r="C221" s="2018" t="s">
        <v>1341</v>
      </c>
      <c r="D221" s="2019" t="s">
        <v>1036</v>
      </c>
      <c r="E221" s="2017" t="s">
        <v>3069</v>
      </c>
    </row>
    <row r="222" spans="2:5" ht="15.6" customHeight="1" thickBot="1" x14ac:dyDescent="0.35">
      <c r="B222" s="2020">
        <v>253</v>
      </c>
      <c r="C222" s="2018" t="s">
        <v>1342</v>
      </c>
      <c r="D222" s="2019" t="s">
        <v>1036</v>
      </c>
      <c r="E222" s="2021" t="s">
        <v>3070</v>
      </c>
    </row>
    <row r="223" spans="2:5" ht="15.6" customHeight="1" thickBot="1" x14ac:dyDescent="0.35">
      <c r="B223" s="2020">
        <v>254</v>
      </c>
      <c r="C223" s="2018" t="s">
        <v>1344</v>
      </c>
      <c r="D223" s="2019" t="s">
        <v>1036</v>
      </c>
      <c r="E223" s="2021" t="s">
        <v>3070</v>
      </c>
    </row>
    <row r="224" spans="2:5" ht="15.6" customHeight="1" thickBot="1" x14ac:dyDescent="0.35">
      <c r="B224" s="2020">
        <v>257</v>
      </c>
      <c r="C224" s="2018" t="s">
        <v>1347</v>
      </c>
      <c r="D224" s="2019" t="s">
        <v>1036</v>
      </c>
      <c r="E224" s="2021" t="s">
        <v>3070</v>
      </c>
    </row>
    <row r="225" spans="2:5" ht="15.6" customHeight="1" thickBot="1" x14ac:dyDescent="0.35">
      <c r="B225" s="2020">
        <v>258</v>
      </c>
      <c r="C225" s="2018" t="s">
        <v>1348</v>
      </c>
      <c r="D225" s="2019" t="s">
        <v>1036</v>
      </c>
      <c r="E225" s="2021" t="s">
        <v>3070</v>
      </c>
    </row>
    <row r="226" spans="2:5" ht="15.6" customHeight="1" thickBot="1" x14ac:dyDescent="0.35">
      <c r="B226" s="2020">
        <v>259</v>
      </c>
      <c r="C226" s="2018" t="s">
        <v>1349</v>
      </c>
      <c r="D226" s="2019" t="s">
        <v>1036</v>
      </c>
      <c r="E226" s="2021" t="s">
        <v>3070</v>
      </c>
    </row>
    <row r="227" spans="2:5" ht="15.6" customHeight="1" thickBot="1" x14ac:dyDescent="0.35">
      <c r="B227" s="2020">
        <v>261</v>
      </c>
      <c r="C227" s="2018" t="s">
        <v>1351</v>
      </c>
      <c r="D227" s="2019" t="s">
        <v>1036</v>
      </c>
      <c r="E227" s="2021" t="s">
        <v>3070</v>
      </c>
    </row>
    <row r="228" spans="2:5" ht="15.6" customHeight="1" thickBot="1" x14ac:dyDescent="0.35">
      <c r="B228" s="2020">
        <v>263</v>
      </c>
      <c r="C228" s="2018" t="s">
        <v>1354</v>
      </c>
      <c r="D228" s="2019" t="s">
        <v>1036</v>
      </c>
      <c r="E228" s="2017" t="s">
        <v>3069</v>
      </c>
    </row>
    <row r="229" spans="2:5" ht="15.6" customHeight="1" thickBot="1" x14ac:dyDescent="0.35">
      <c r="B229" s="2020">
        <v>265</v>
      </c>
      <c r="C229" s="2018" t="s">
        <v>1357</v>
      </c>
      <c r="D229" s="2019" t="s">
        <v>1036</v>
      </c>
      <c r="E229" s="2021" t="s">
        <v>3070</v>
      </c>
    </row>
    <row r="230" spans="2:5" ht="15.6" customHeight="1" thickBot="1" x14ac:dyDescent="0.35">
      <c r="B230" s="2020">
        <v>266</v>
      </c>
      <c r="C230" s="2018" t="s">
        <v>1358</v>
      </c>
      <c r="D230" s="2019" t="s">
        <v>1036</v>
      </c>
      <c r="E230" s="2021" t="s">
        <v>3070</v>
      </c>
    </row>
    <row r="231" spans="2:5" ht="15.6" customHeight="1" thickBot="1" x14ac:dyDescent="0.35">
      <c r="B231" s="2020">
        <v>267</v>
      </c>
      <c r="C231" s="2018" t="s">
        <v>1360</v>
      </c>
      <c r="D231" s="2019" t="s">
        <v>1036</v>
      </c>
      <c r="E231" s="2021" t="s">
        <v>3070</v>
      </c>
    </row>
    <row r="232" spans="2:5" ht="15.6" customHeight="1" thickBot="1" x14ac:dyDescent="0.35">
      <c r="B232" s="2020">
        <v>270</v>
      </c>
      <c r="C232" s="2018" t="s">
        <v>1363</v>
      </c>
      <c r="D232" s="2019" t="s">
        <v>1036</v>
      </c>
      <c r="E232" s="2021" t="s">
        <v>3070</v>
      </c>
    </row>
    <row r="233" spans="2:5" ht="15.6" customHeight="1" thickBot="1" x14ac:dyDescent="0.35">
      <c r="B233" s="2020">
        <v>271</v>
      </c>
      <c r="C233" s="2018" t="s">
        <v>1364</v>
      </c>
      <c r="D233" s="2019" t="s">
        <v>1036</v>
      </c>
      <c r="E233" s="2021" t="s">
        <v>3070</v>
      </c>
    </row>
    <row r="234" spans="2:5" ht="15.6" customHeight="1" thickBot="1" x14ac:dyDescent="0.35">
      <c r="B234" s="2020">
        <v>272</v>
      </c>
      <c r="C234" s="2018" t="s">
        <v>1365</v>
      </c>
      <c r="D234" s="2019" t="s">
        <v>1036</v>
      </c>
      <c r="E234" s="2021" t="s">
        <v>3070</v>
      </c>
    </row>
    <row r="235" spans="2:5" ht="15.6" customHeight="1" thickBot="1" x14ac:dyDescent="0.35">
      <c r="B235" s="2020">
        <v>274</v>
      </c>
      <c r="C235" s="2018" t="s">
        <v>1367</v>
      </c>
      <c r="D235" s="2019" t="s">
        <v>1036</v>
      </c>
      <c r="E235" s="2021" t="s">
        <v>3070</v>
      </c>
    </row>
    <row r="236" spans="2:5" ht="15.6" customHeight="1" thickBot="1" x14ac:dyDescent="0.35">
      <c r="B236" s="2020">
        <v>275</v>
      </c>
      <c r="C236" s="2018" t="s">
        <v>1368</v>
      </c>
      <c r="D236" s="2019" t="s">
        <v>1036</v>
      </c>
      <c r="E236" s="2021" t="s">
        <v>3070</v>
      </c>
    </row>
    <row r="237" spans="2:5" ht="15.6" customHeight="1" thickBot="1" x14ac:dyDescent="0.35">
      <c r="B237" s="2020">
        <v>276</v>
      </c>
      <c r="C237" s="2018" t="s">
        <v>1369</v>
      </c>
      <c r="D237" s="2019" t="s">
        <v>1036</v>
      </c>
      <c r="E237" s="2021" t="s">
        <v>3070</v>
      </c>
    </row>
    <row r="238" spans="2:5" ht="15.6" customHeight="1" thickBot="1" x14ac:dyDescent="0.35">
      <c r="B238" s="2020">
        <v>277</v>
      </c>
      <c r="C238" s="2018" t="s">
        <v>1370</v>
      </c>
      <c r="D238" s="2019" t="s">
        <v>1036</v>
      </c>
      <c r="E238" s="2021" t="s">
        <v>3070</v>
      </c>
    </row>
    <row r="239" spans="2:5" ht="15.6" customHeight="1" thickBot="1" x14ac:dyDescent="0.35">
      <c r="B239" s="2020">
        <v>279</v>
      </c>
      <c r="C239" s="2018" t="s">
        <v>1372</v>
      </c>
      <c r="D239" s="2019" t="s">
        <v>1036</v>
      </c>
      <c r="E239" s="2019" t="s">
        <v>3069</v>
      </c>
    </row>
    <row r="240" spans="2:5" ht="15.6" customHeight="1" thickBot="1" x14ac:dyDescent="0.35">
      <c r="B240" s="2020">
        <v>280</v>
      </c>
      <c r="C240" s="2018" t="s">
        <v>1373</v>
      </c>
      <c r="D240" s="2019" t="s">
        <v>1036</v>
      </c>
      <c r="E240" s="2019" t="s">
        <v>3069</v>
      </c>
    </row>
    <row r="241" spans="2:5" ht="15.6" customHeight="1" thickBot="1" x14ac:dyDescent="0.35">
      <c r="B241" s="2020">
        <v>281</v>
      </c>
      <c r="C241" s="2018" t="s">
        <v>1374</v>
      </c>
      <c r="D241" s="2019" t="s">
        <v>1036</v>
      </c>
      <c r="E241" s="2019" t="s">
        <v>3069</v>
      </c>
    </row>
    <row r="242" spans="2:5" ht="15.6" customHeight="1" thickBot="1" x14ac:dyDescent="0.35">
      <c r="B242" s="2020">
        <v>282</v>
      </c>
      <c r="C242" s="2018" t="s">
        <v>1375</v>
      </c>
      <c r="D242" s="2019" t="s">
        <v>1036</v>
      </c>
      <c r="E242" s="2019" t="s">
        <v>3069</v>
      </c>
    </row>
    <row r="243" spans="2:5" ht="15.6" customHeight="1" thickBot="1" x14ac:dyDescent="0.35">
      <c r="B243" s="2020">
        <v>283</v>
      </c>
      <c r="C243" s="2018" t="s">
        <v>1376</v>
      </c>
      <c r="D243" s="2019" t="s">
        <v>1036</v>
      </c>
      <c r="E243" s="2019" t="s">
        <v>3069</v>
      </c>
    </row>
    <row r="244" spans="2:5" ht="15.6" customHeight="1" thickBot="1" x14ac:dyDescent="0.35">
      <c r="B244" s="2020">
        <v>284</v>
      </c>
      <c r="C244" s="2018" t="s">
        <v>3076</v>
      </c>
      <c r="D244" s="2019" t="s">
        <v>1036</v>
      </c>
      <c r="E244" s="2019" t="s">
        <v>3069</v>
      </c>
    </row>
    <row r="245" spans="2:5" ht="15.6" customHeight="1" thickBot="1" x14ac:dyDescent="0.35">
      <c r="B245" s="2020">
        <v>284</v>
      </c>
      <c r="C245" s="2018" t="s">
        <v>3077</v>
      </c>
      <c r="D245" s="2019" t="s">
        <v>1036</v>
      </c>
      <c r="E245" s="2019" t="s">
        <v>3069</v>
      </c>
    </row>
    <row r="247" spans="2:5" x14ac:dyDescent="0.3">
      <c r="B247" s="5244" t="s">
        <v>3078</v>
      </c>
      <c r="C247" s="5244"/>
      <c r="D247" s="5244"/>
      <c r="E247" s="5244"/>
    </row>
  </sheetData>
  <mergeCells count="9">
    <mergeCell ref="B8:E8"/>
    <mergeCell ref="B9:E9"/>
    <mergeCell ref="B247:E247"/>
    <mergeCell ref="D1:E1"/>
    <mergeCell ref="D2:E2"/>
    <mergeCell ref="B4:E4"/>
    <mergeCell ref="B5:E5"/>
    <mergeCell ref="B6:E6"/>
    <mergeCell ref="B7:E7"/>
  </mergeCells>
  <pageMargins left="0.7" right="0.7" top="0.75" bottom="0.75" header="0.3" footer="0.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Лист10">
    <tabColor rgb="FF0000FF"/>
    <pageSetUpPr fitToPage="1"/>
  </sheetPr>
  <dimension ref="A1:K26"/>
  <sheetViews>
    <sheetView topLeftCell="A16" workbookViewId="0">
      <selection activeCell="B5" sqref="B5"/>
    </sheetView>
  </sheetViews>
  <sheetFormatPr defaultColWidth="8.88671875" defaultRowHeight="15.6" x14ac:dyDescent="0.3"/>
  <cols>
    <col min="1" max="1" width="8.88671875" style="45"/>
    <col min="2" max="2" width="29.88671875" style="45" customWidth="1"/>
    <col min="3" max="3" width="19.44140625" style="45" customWidth="1"/>
    <col min="4" max="4" width="17.6640625" style="45" customWidth="1"/>
    <col min="5" max="5" width="12.5546875" style="45" customWidth="1"/>
    <col min="6" max="6" width="12.88671875" style="45" customWidth="1"/>
    <col min="7" max="9" width="0" style="45" hidden="1" customWidth="1"/>
    <col min="10" max="10" width="11.5546875" style="45" hidden="1" customWidth="1"/>
    <col min="11" max="11" width="11.5546875" style="45" customWidth="1"/>
    <col min="12" max="16384" width="8.88671875" style="45"/>
  </cols>
  <sheetData>
    <row r="1" spans="1:8" ht="91.2" customHeight="1" x14ac:dyDescent="0.3">
      <c r="A1" s="2093"/>
      <c r="B1" s="1732"/>
      <c r="C1" s="1732"/>
      <c r="D1" s="2059"/>
      <c r="E1" s="4895" t="s">
        <v>3466</v>
      </c>
      <c r="F1" s="4895"/>
    </row>
    <row r="3" spans="1:8" x14ac:dyDescent="0.3">
      <c r="B3" s="4911" t="s">
        <v>4173</v>
      </c>
      <c r="C3" s="4911"/>
      <c r="D3" s="4911"/>
      <c r="E3" s="4911"/>
      <c r="F3" s="4911"/>
    </row>
    <row r="4" spans="1:8" ht="47.4" customHeight="1" x14ac:dyDescent="0.3">
      <c r="B4" s="4938" t="s">
        <v>4174</v>
      </c>
      <c r="C4" s="4938"/>
      <c r="D4" s="4938"/>
      <c r="E4" s="4938"/>
      <c r="F4" s="4938"/>
    </row>
    <row r="5" spans="1:8" ht="16.2" thickBot="1" x14ac:dyDescent="0.35"/>
    <row r="6" spans="1:8" s="1489" customFormat="1" ht="31.8" thickBot="1" x14ac:dyDescent="0.35">
      <c r="B6" s="3085" t="s">
        <v>1544</v>
      </c>
      <c r="C6" s="3086" t="s">
        <v>259</v>
      </c>
      <c r="D6" s="3086" t="s">
        <v>2813</v>
      </c>
      <c r="E6" s="3086" t="s">
        <v>2824</v>
      </c>
      <c r="F6" s="3087" t="s">
        <v>2825</v>
      </c>
    </row>
    <row r="7" spans="1:8" ht="18" customHeight="1" thickBot="1" x14ac:dyDescent="0.35">
      <c r="B7" s="4929" t="s">
        <v>2736</v>
      </c>
      <c r="C7" s="4930"/>
      <c r="D7" s="4930"/>
      <c r="E7" s="4930"/>
      <c r="F7" s="4931"/>
    </row>
    <row r="8" spans="1:8" ht="31.2" customHeight="1" x14ac:dyDescent="0.3">
      <c r="B8" s="4936" t="s">
        <v>3425</v>
      </c>
      <c r="C8" s="2046" t="s">
        <v>3427</v>
      </c>
      <c r="D8" s="2046" t="s">
        <v>2815</v>
      </c>
      <c r="E8" s="3090">
        <f>'ТЕ_2ст_тариф_з ЦТП'!H223</f>
        <v>1143.25</v>
      </c>
      <c r="F8" s="2095">
        <f>'ТЕ_2ст_тариф_з ЦТП'!H226</f>
        <v>1371.8999999999999</v>
      </c>
      <c r="H8" s="3173">
        <f>E8*1.2-F8</f>
        <v>0</v>
      </c>
    </row>
    <row r="9" spans="1:8" ht="31.2" customHeight="1" thickBot="1" x14ac:dyDescent="0.35">
      <c r="B9" s="4937"/>
      <c r="C9" s="2048" t="s">
        <v>3428</v>
      </c>
      <c r="D9" s="2048" t="s">
        <v>2817</v>
      </c>
      <c r="E9" s="2049">
        <f>'ТЕ_2ст_тариф_з ЦТП'!H224</f>
        <v>132136.79999999999</v>
      </c>
      <c r="F9" s="2096">
        <f>'ТЕ_2ст_тариф_з ЦТП'!H227</f>
        <v>158564.15999999997</v>
      </c>
      <c r="H9" s="3173">
        <f>E9*1.2-F9</f>
        <v>0</v>
      </c>
    </row>
    <row r="10" spans="1:8" ht="31.2" customHeight="1" x14ac:dyDescent="0.3">
      <c r="B10" s="4936" t="s">
        <v>3426</v>
      </c>
      <c r="C10" s="2046" t="s">
        <v>3427</v>
      </c>
      <c r="D10" s="2046" t="s">
        <v>2815</v>
      </c>
      <c r="E10" s="2047">
        <f>'ТЕ_2ст_тариф_без ЦТП'!H223</f>
        <v>1022.9</v>
      </c>
      <c r="F10" s="2095">
        <f>'ТЕ_2ст_тариф_без ЦТП'!H226</f>
        <v>1227.48</v>
      </c>
      <c r="H10" s="3173">
        <f>E10*1.2-F10</f>
        <v>0</v>
      </c>
    </row>
    <row r="11" spans="1:8" ht="31.2" customHeight="1" thickBot="1" x14ac:dyDescent="0.35">
      <c r="B11" s="4937"/>
      <c r="C11" s="2048" t="s">
        <v>3428</v>
      </c>
      <c r="D11" s="2048" t="s">
        <v>2817</v>
      </c>
      <c r="E11" s="2049">
        <f>'ТЕ_2ст_тариф_без ЦТП'!H224</f>
        <v>100654.02</v>
      </c>
      <c r="F11" s="2096">
        <f>'ТЕ_2ст_тариф_без ЦТП'!H227</f>
        <v>120784.82399999999</v>
      </c>
      <c r="H11" s="3173">
        <f>E11*1.2-F11</f>
        <v>0</v>
      </c>
    </row>
    <row r="12" spans="1:8" ht="20.399999999999999" customHeight="1" thickBot="1" x14ac:dyDescent="0.35">
      <c r="B12" s="4929" t="s">
        <v>2738</v>
      </c>
      <c r="C12" s="4930"/>
      <c r="D12" s="4930"/>
      <c r="E12" s="4930"/>
      <c r="F12" s="4931"/>
      <c r="H12" s="3173"/>
    </row>
    <row r="13" spans="1:8" ht="31.2" customHeight="1" x14ac:dyDescent="0.3">
      <c r="B13" s="4936" t="s">
        <v>3425</v>
      </c>
      <c r="C13" s="2046" t="s">
        <v>3427</v>
      </c>
      <c r="D13" s="2046" t="s">
        <v>2815</v>
      </c>
      <c r="E13" s="3090">
        <f>'ТЕ_2ст_тариф_з ЦТП'!N223</f>
        <v>2130.2600000000002</v>
      </c>
      <c r="F13" s="2095">
        <f>'ТЕ_2ст_тариф_з ЦТП'!N226</f>
        <v>2556.3120000000004</v>
      </c>
      <c r="H13" s="3173">
        <f>E13*1.2-F13</f>
        <v>0</v>
      </c>
    </row>
    <row r="14" spans="1:8" ht="31.2" customHeight="1" thickBot="1" x14ac:dyDescent="0.35">
      <c r="B14" s="4937"/>
      <c r="C14" s="2048" t="s">
        <v>3428</v>
      </c>
      <c r="D14" s="2048" t="s">
        <v>2817</v>
      </c>
      <c r="E14" s="2049">
        <f>'ТЕ_2ст_тариф_з ЦТП'!N224</f>
        <v>150830.23000000001</v>
      </c>
      <c r="F14" s="2096">
        <f>'ТЕ_2ст_тариф_з ЦТП'!N227</f>
        <v>180996.27600000001</v>
      </c>
      <c r="H14" s="3173">
        <f>E14*1.2-F14</f>
        <v>0</v>
      </c>
    </row>
    <row r="15" spans="1:8" ht="31.2" customHeight="1" x14ac:dyDescent="0.3">
      <c r="B15" s="4936" t="s">
        <v>3426</v>
      </c>
      <c r="C15" s="2046" t="s">
        <v>3427</v>
      </c>
      <c r="D15" s="2046" t="s">
        <v>2815</v>
      </c>
      <c r="E15" s="2047">
        <f>'ТЕ_2ст_тариф_без ЦТП'!N223</f>
        <v>2009.91</v>
      </c>
      <c r="F15" s="2095">
        <f>'ТЕ_2ст_тариф_без ЦТП'!N226</f>
        <v>2411.8919999999998</v>
      </c>
      <c r="H15" s="3173">
        <f>E15*1.2-F15</f>
        <v>0</v>
      </c>
    </row>
    <row r="16" spans="1:8" ht="31.2" customHeight="1" thickBot="1" x14ac:dyDescent="0.35">
      <c r="B16" s="4937"/>
      <c r="C16" s="2048" t="s">
        <v>3428</v>
      </c>
      <c r="D16" s="2048" t="s">
        <v>2817</v>
      </c>
      <c r="E16" s="2049">
        <f>'ТЕ_2ст_тариф_без ЦТП'!N224</f>
        <v>117803.48</v>
      </c>
      <c r="F16" s="2096">
        <f>'ТЕ_2ст_тариф_без ЦТП'!N227</f>
        <v>141364.17599999998</v>
      </c>
      <c r="H16" s="3173">
        <f>E16*1.2-F16</f>
        <v>0</v>
      </c>
    </row>
    <row r="17" spans="1:11" ht="21" customHeight="1" thickBot="1" x14ac:dyDescent="0.35">
      <c r="B17" s="4929" t="s">
        <v>2810</v>
      </c>
      <c r="C17" s="4930"/>
      <c r="D17" s="4930"/>
      <c r="E17" s="4930"/>
      <c r="F17" s="4931"/>
      <c r="H17" s="3173"/>
    </row>
    <row r="18" spans="1:11" ht="30.6" customHeight="1" x14ac:dyDescent="0.3">
      <c r="A18" s="1320"/>
      <c r="B18" s="4932" t="s">
        <v>3425</v>
      </c>
      <c r="C18" s="2046" t="s">
        <v>3427</v>
      </c>
      <c r="D18" s="3091" t="s">
        <v>2815</v>
      </c>
      <c r="E18" s="3090">
        <f>'ТЕ_2ст_тариф_з ЦТП'!Q223</f>
        <v>2130.2600000000002</v>
      </c>
      <c r="F18" s="2095">
        <f>'ТЕ_2ст_тариф_з ЦТП'!Q226</f>
        <v>2556.3120000000004</v>
      </c>
      <c r="G18" s="1320"/>
      <c r="H18" s="4509">
        <v>0</v>
      </c>
      <c r="I18" s="1320"/>
      <c r="J18" s="1320"/>
      <c r="K18" s="1320"/>
    </row>
    <row r="19" spans="1:11" ht="31.95" customHeight="1" thickBot="1" x14ac:dyDescent="0.35">
      <c r="A19" s="1320"/>
      <c r="B19" s="4933"/>
      <c r="C19" s="2048" t="s">
        <v>3428</v>
      </c>
      <c r="D19" s="3092" t="s">
        <v>2817</v>
      </c>
      <c r="E19" s="2049">
        <f>'ТЕ_2ст_тариф_з ЦТП'!Q224</f>
        <v>150830.23000000001</v>
      </c>
      <c r="F19" s="2096">
        <f>'ТЕ_2ст_тариф_з ЦТП'!Q227</f>
        <v>180996.27600000001</v>
      </c>
      <c r="G19" s="1320"/>
      <c r="H19" s="4509">
        <v>0</v>
      </c>
      <c r="I19" s="1320"/>
      <c r="J19" s="1320"/>
      <c r="K19" s="1320"/>
    </row>
    <row r="20" spans="1:11" ht="31.95" customHeight="1" x14ac:dyDescent="0.3">
      <c r="A20" s="1320"/>
      <c r="B20" s="4934" t="s">
        <v>3426</v>
      </c>
      <c r="C20" s="2050" t="s">
        <v>3427</v>
      </c>
      <c r="D20" s="3089" t="s">
        <v>2815</v>
      </c>
      <c r="E20" s="2047">
        <f>'ТЕ_2ст_тариф_без ЦТП'!Q223</f>
        <v>2009.91</v>
      </c>
      <c r="F20" s="2095">
        <f>'ТЕ_2ст_тариф_без ЦТП'!Q226</f>
        <v>2411.8919999999998</v>
      </c>
      <c r="G20" s="1320"/>
      <c r="H20" s="4509">
        <v>0</v>
      </c>
      <c r="I20" s="1320"/>
      <c r="J20" s="1320"/>
      <c r="K20" s="1320"/>
    </row>
    <row r="21" spans="1:11" ht="31.95" customHeight="1" thickBot="1" x14ac:dyDescent="0.35">
      <c r="A21" s="1320"/>
      <c r="B21" s="4935"/>
      <c r="C21" s="2052" t="s">
        <v>3428</v>
      </c>
      <c r="D21" s="3088" t="s">
        <v>2817</v>
      </c>
      <c r="E21" s="2049">
        <f>'ТЕ_2ст_тариф_без ЦТП'!Q224</f>
        <v>117803.48</v>
      </c>
      <c r="F21" s="2096">
        <f>'ТЕ_2ст_тариф_без ЦТП'!Q227</f>
        <v>141364.17599999998</v>
      </c>
      <c r="G21" s="1320"/>
      <c r="H21" s="4509">
        <v>0</v>
      </c>
      <c r="I21" s="1320"/>
      <c r="J21" s="1320"/>
      <c r="K21" s="1320"/>
    </row>
    <row r="22" spans="1:11" ht="31.2" customHeight="1" thickBot="1" x14ac:dyDescent="0.35">
      <c r="B22" s="4929" t="s">
        <v>2737</v>
      </c>
      <c r="C22" s="4930"/>
      <c r="D22" s="4930"/>
      <c r="E22" s="4930"/>
      <c r="F22" s="4931"/>
      <c r="H22" s="3173"/>
    </row>
    <row r="23" spans="1:11" ht="31.2" customHeight="1" x14ac:dyDescent="0.3">
      <c r="B23" s="4936" t="s">
        <v>3426</v>
      </c>
      <c r="C23" s="2046" t="s">
        <v>3427</v>
      </c>
      <c r="D23" s="2046" t="s">
        <v>2815</v>
      </c>
      <c r="E23" s="2047">
        <f>'ТЕ_2ст_тариф_без ЦТП'!K223</f>
        <v>2009.91</v>
      </c>
      <c r="F23" s="2095">
        <f>'ТЕ_2ст_тариф_без ЦТП'!K226</f>
        <v>2411.8869999999997</v>
      </c>
      <c r="H23" s="3173">
        <f>E23*1.2-F23</f>
        <v>5.0000000001091394E-3</v>
      </c>
    </row>
    <row r="24" spans="1:11" ht="31.2" customHeight="1" thickBot="1" x14ac:dyDescent="0.35">
      <c r="B24" s="4937"/>
      <c r="C24" s="2048" t="s">
        <v>3428</v>
      </c>
      <c r="D24" s="2048" t="s">
        <v>2817</v>
      </c>
      <c r="E24" s="2049">
        <f>'ТЕ_2ст_тариф_без ЦТП'!K224</f>
        <v>117803.48</v>
      </c>
      <c r="F24" s="2096">
        <f>'ТЕ_2ст_тариф_без ЦТП'!K227</f>
        <v>141364.17599999998</v>
      </c>
      <c r="H24" s="3173">
        <f>E24*1.2-F24</f>
        <v>0</v>
      </c>
    </row>
    <row r="25" spans="1:11" ht="16.2" customHeight="1" x14ac:dyDescent="0.3">
      <c r="B25" s="3083"/>
      <c r="C25" s="3083"/>
      <c r="D25" s="3083"/>
      <c r="E25" s="3084"/>
      <c r="F25" s="3084"/>
    </row>
    <row r="26" spans="1:11" ht="46.95" customHeight="1" x14ac:dyDescent="0.3">
      <c r="B26" s="4928" t="str">
        <f>'D1_2023-2024'!B108</f>
        <v>Начальник управління економічного
розвитку та торгівлі</v>
      </c>
      <c r="C26" s="4928"/>
      <c r="D26" s="887"/>
      <c r="E26" s="4403" t="str">
        <f>'D1_2023-2024'!F108</f>
        <v>Наталія ГЄНЧЕВА</v>
      </c>
      <c r="F26" s="887"/>
      <c r="G26" s="887"/>
      <c r="H26" s="887"/>
    </row>
  </sheetData>
  <mergeCells count="15">
    <mergeCell ref="B13:B14"/>
    <mergeCell ref="B15:B16"/>
    <mergeCell ref="B10:B11"/>
    <mergeCell ref="B12:F12"/>
    <mergeCell ref="E1:F1"/>
    <mergeCell ref="B3:F3"/>
    <mergeCell ref="B4:F4"/>
    <mergeCell ref="B7:F7"/>
    <mergeCell ref="B8:B9"/>
    <mergeCell ref="B26:C26"/>
    <mergeCell ref="B17:F17"/>
    <mergeCell ref="B18:B19"/>
    <mergeCell ref="B20:B21"/>
    <mergeCell ref="B22:F22"/>
    <mergeCell ref="B23:B24"/>
  </mergeCells>
  <pageMargins left="0.70866141732283472" right="0.47244094488188981" top="0.5" bottom="0.6" header="0.31496062992125984" footer="0.31496062992125984"/>
  <pageSetup paperSize="9" scale="93" orientation="portrait" r:id="rId1"/>
</worksheet>
</file>

<file path=xl/worksheets/sheet6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B00-000000000000}">
  <sheetPr codeName="Лист57">
    <tabColor rgb="FFFFFF00"/>
    <pageSetUpPr fitToPage="1"/>
  </sheetPr>
  <dimension ref="A1:R85"/>
  <sheetViews>
    <sheetView workbookViewId="0">
      <pane xSplit="2" ySplit="6" topLeftCell="C40" activePane="bottomRight" state="frozen"/>
      <selection pane="topRight" activeCell="C1" sqref="C1"/>
      <selection pane="bottomLeft" activeCell="A7" sqref="A7"/>
      <selection pane="bottomRight" activeCell="R8" sqref="R8"/>
    </sheetView>
  </sheetViews>
  <sheetFormatPr defaultRowHeight="15.6" x14ac:dyDescent="0.3"/>
  <cols>
    <col min="1" max="1" width="7" style="1123" customWidth="1"/>
    <col min="2" max="2" width="38.6640625" style="1124" customWidth="1"/>
    <col min="3" max="4" width="11.88671875" style="1124" customWidth="1"/>
    <col min="5" max="5" width="12.33203125" style="1124" hidden="1" customWidth="1"/>
    <col min="6" max="6" width="10.44140625" style="1124" hidden="1" customWidth="1"/>
    <col min="7" max="8" width="12" style="1124" hidden="1" customWidth="1"/>
    <col min="9" max="9" width="9.44140625" style="1124" hidden="1" customWidth="1"/>
    <col min="10" max="10" width="13.44140625" style="1124" hidden="1" customWidth="1"/>
    <col min="11" max="11" width="9.44140625" style="1124" hidden="1" customWidth="1"/>
    <col min="12" max="12" width="12.44140625" style="1124" hidden="1" customWidth="1"/>
    <col min="13" max="13" width="8.6640625" style="1124" hidden="1" customWidth="1"/>
    <col min="14" max="14" width="2.6640625" customWidth="1"/>
    <col min="15" max="15" width="11.6640625" customWidth="1"/>
    <col min="16" max="16" width="13.109375" customWidth="1"/>
    <col min="17" max="17" width="10.44140625" customWidth="1"/>
  </cols>
  <sheetData>
    <row r="1" spans="1:18" ht="17.399999999999999" x14ac:dyDescent="0.3">
      <c r="A1" s="5483" t="s">
        <v>4124</v>
      </c>
      <c r="B1" s="5483"/>
      <c r="C1" s="5483"/>
      <c r="D1" s="5483"/>
      <c r="E1" s="5483"/>
      <c r="F1" s="5483"/>
      <c r="G1" s="5483"/>
      <c r="H1" s="5483"/>
      <c r="I1" s="5483"/>
      <c r="J1" s="5483"/>
      <c r="K1" s="5483"/>
      <c r="L1" s="5483"/>
      <c r="M1" s="5483"/>
    </row>
    <row r="2" spans="1:18" s="4393" customFormat="1" ht="16.2" thickBot="1" x14ac:dyDescent="0.35">
      <c r="A2" s="4388"/>
      <c r="B2" s="4389"/>
      <c r="C2" s="4389"/>
      <c r="D2" s="4390"/>
      <c r="E2" s="4390"/>
      <c r="F2" s="4391">
        <f>'Д 2_Т на В'!H51</f>
        <v>162608.01309177768</v>
      </c>
      <c r="G2" s="4389"/>
      <c r="H2" s="4391">
        <f>'Д 3_Т на Т з ЦТП'!G45</f>
        <v>15929.260173628891</v>
      </c>
      <c r="I2" s="4389"/>
      <c r="J2" s="4392">
        <f>'Д 3.1_Т на Т без ЦТП'!G45</f>
        <v>46773.592741148037</v>
      </c>
      <c r="K2" s="4389"/>
      <c r="L2" s="4392">
        <f>'Д 4_Т на П'!G40</f>
        <v>2053.3877088801205</v>
      </c>
      <c r="M2" s="4389"/>
    </row>
    <row r="3" spans="1:18" ht="16.2" thickBot="1" x14ac:dyDescent="0.35">
      <c r="A3" s="5484" t="s">
        <v>2263</v>
      </c>
      <c r="B3" s="5487" t="s">
        <v>8</v>
      </c>
      <c r="C3" s="5487" t="s">
        <v>2264</v>
      </c>
      <c r="D3" s="5490" t="s">
        <v>2153</v>
      </c>
      <c r="E3" s="5491"/>
      <c r="F3" s="5491"/>
      <c r="G3" s="5491"/>
      <c r="H3" s="5491"/>
      <c r="I3" s="5491"/>
      <c r="J3" s="5491"/>
      <c r="K3" s="5491"/>
      <c r="L3" s="5491"/>
      <c r="M3" s="5492"/>
    </row>
    <row r="4" spans="1:18" ht="22.2" customHeight="1" thickBot="1" x14ac:dyDescent="0.35">
      <c r="A4" s="5485"/>
      <c r="B4" s="5488"/>
      <c r="C4" s="5488"/>
      <c r="D4" s="5493" t="s">
        <v>2265</v>
      </c>
      <c r="E4" s="5493"/>
      <c r="F4" s="5494" t="s">
        <v>869</v>
      </c>
      <c r="G4" s="5495"/>
      <c r="H4" s="5493" t="s">
        <v>1895</v>
      </c>
      <c r="I4" s="5493"/>
      <c r="J4" s="5493" t="s">
        <v>1895</v>
      </c>
      <c r="K4" s="5493"/>
      <c r="L4" s="5494" t="s">
        <v>2233</v>
      </c>
      <c r="M4" s="5496"/>
    </row>
    <row r="5" spans="1:18" ht="31.8" thickBot="1" x14ac:dyDescent="0.35">
      <c r="A5" s="5486"/>
      <c r="B5" s="5489"/>
      <c r="C5" s="5489"/>
      <c r="D5" s="1126" t="s">
        <v>2266</v>
      </c>
      <c r="E5" s="1126" t="s">
        <v>2267</v>
      </c>
      <c r="F5" s="1126" t="s">
        <v>2266</v>
      </c>
      <c r="G5" s="1126" t="s">
        <v>2267</v>
      </c>
      <c r="H5" s="1126" t="s">
        <v>2266</v>
      </c>
      <c r="I5" s="1126" t="s">
        <v>2267</v>
      </c>
      <c r="J5" s="1126" t="s">
        <v>2266</v>
      </c>
      <c r="K5" s="1126" t="s">
        <v>2267</v>
      </c>
      <c r="L5" s="1126" t="s">
        <v>2266</v>
      </c>
      <c r="M5" s="4852" t="s">
        <v>2268</v>
      </c>
    </row>
    <row r="6" spans="1:18" x14ac:dyDescent="0.3">
      <c r="A6" s="1127">
        <v>1</v>
      </c>
      <c r="B6" s="1128">
        <f>A6+1</f>
        <v>2</v>
      </c>
      <c r="C6" s="1128">
        <f t="shared" ref="C6:M6" si="0">B6+1</f>
        <v>3</v>
      </c>
      <c r="D6" s="1128">
        <f t="shared" si="0"/>
        <v>4</v>
      </c>
      <c r="E6" s="1128">
        <f t="shared" si="0"/>
        <v>5</v>
      </c>
      <c r="F6" s="1128">
        <f t="shared" si="0"/>
        <v>6</v>
      </c>
      <c r="G6" s="1128">
        <f t="shared" si="0"/>
        <v>7</v>
      </c>
      <c r="H6" s="1128">
        <f>E6+1</f>
        <v>6</v>
      </c>
      <c r="I6" s="1128">
        <f t="shared" ref="I6" si="1">H6+1</f>
        <v>7</v>
      </c>
      <c r="J6" s="1128">
        <f>G6+1</f>
        <v>8</v>
      </c>
      <c r="K6" s="1128">
        <f t="shared" si="0"/>
        <v>9</v>
      </c>
      <c r="L6" s="1128">
        <f t="shared" si="0"/>
        <v>10</v>
      </c>
      <c r="M6" s="4853">
        <f t="shared" si="0"/>
        <v>11</v>
      </c>
    </row>
    <row r="7" spans="1:18" x14ac:dyDescent="0.3">
      <c r="A7" s="1129">
        <v>1</v>
      </c>
      <c r="B7" s="1130" t="s">
        <v>2269</v>
      </c>
      <c r="C7" s="1131" t="s">
        <v>2270</v>
      </c>
      <c r="D7" s="1132">
        <f>D8+D16+D17+D21</f>
        <v>223125.22440802644</v>
      </c>
      <c r="E7" s="1136">
        <f t="shared" ref="E7:E45" si="2">D7/D$53*1000</f>
        <v>2053.1320980292389</v>
      </c>
      <c r="F7" s="1132">
        <f>F8+F16+F17+F21</f>
        <v>149071.37204744882</v>
      </c>
      <c r="G7" s="1136">
        <f>F7/$F$53*1000</f>
        <v>1371.7105256023483</v>
      </c>
      <c r="H7" s="1132">
        <f>H8+H16+H17+H21</f>
        <v>14707.463085955644</v>
      </c>
      <c r="I7" s="1136">
        <f t="shared" ref="I7:I37" si="3">H7/$H$51*1000</f>
        <v>894.16781662225912</v>
      </c>
      <c r="J7" s="1132">
        <f>J8+J16+J17+J21</f>
        <v>43350.858098990757</v>
      </c>
      <c r="K7" s="1136">
        <f>J7/$J$51*1000</f>
        <v>526.43746318847354</v>
      </c>
      <c r="L7" s="1132">
        <f>L8+L16+L17+L21</f>
        <v>1882.449193542265</v>
      </c>
      <c r="M7" s="4854">
        <f>L7/$L$51*1000</f>
        <v>19.053938183921233</v>
      </c>
      <c r="N7" s="4845"/>
      <c r="O7" s="68">
        <f>'ТЕ_2ст_тариф_з ЦТП'!E169</f>
        <v>39316.759015317759</v>
      </c>
      <c r="P7" s="68">
        <f>'ТЕ_2ст_тариф_без ЦТП'!E169</f>
        <v>166003.03686320584</v>
      </c>
      <c r="Q7" s="68">
        <f>O7+P7</f>
        <v>205319.79587852361</v>
      </c>
    </row>
    <row r="8" spans="1:18" x14ac:dyDescent="0.3">
      <c r="A8" s="1129" t="s">
        <v>23</v>
      </c>
      <c r="B8" s="1130" t="s">
        <v>2271</v>
      </c>
      <c r="C8" s="1131" t="s">
        <v>40</v>
      </c>
      <c r="D8" s="1132">
        <f>D9+D12+D13+D14+D15</f>
        <v>170384.76423532871</v>
      </c>
      <c r="E8" s="1136">
        <f t="shared" si="2"/>
        <v>1567.8300353302127</v>
      </c>
      <c r="F8" s="1132">
        <f>F9+F12+F13+F14+F15</f>
        <v>125398.03179983833</v>
      </c>
      <c r="G8" s="1136">
        <f>F8/$F$53*1000</f>
        <v>1153.8754741916923</v>
      </c>
      <c r="H8" s="1132">
        <f>H9+H12+H13+H14</f>
        <v>6995.4459242393823</v>
      </c>
      <c r="I8" s="1136">
        <f t="shared" si="3"/>
        <v>425.30126180287971</v>
      </c>
      <c r="J8" s="1132">
        <f>J9+J12+J13+J14</f>
        <v>23861.999303514553</v>
      </c>
      <c r="K8" s="1136">
        <f>J8/$J$51*1000</f>
        <v>289.77166614009366</v>
      </c>
      <c r="L8" s="1132">
        <f>L9+L12+L13+L14+L15</f>
        <v>16.205225647500001</v>
      </c>
      <c r="M8" s="4854">
        <f t="shared" ref="M8:M50" si="4">L8/$L$51*1000</f>
        <v>0.16402746422225142</v>
      </c>
      <c r="N8" s="4845"/>
      <c r="O8" s="68">
        <f>'ТЕ_2ст_тариф_з ЦТП'!E170</f>
        <v>27352.699153712623</v>
      </c>
      <c r="P8" s="68">
        <f>'ТЕ_2ст_тариф_без ЦТП'!E170</f>
        <v>125226.63655209105</v>
      </c>
      <c r="Q8" s="68">
        <f t="shared" ref="Q8:Q48" si="5">O8+P8</f>
        <v>152579.33570580368</v>
      </c>
    </row>
    <row r="9" spans="1:18" x14ac:dyDescent="0.3">
      <c r="A9" s="1133" t="s">
        <v>41</v>
      </c>
      <c r="B9" s="1134" t="s">
        <v>2302</v>
      </c>
      <c r="C9" s="1135" t="s">
        <v>40</v>
      </c>
      <c r="D9" s="1136">
        <f t="shared" ref="D9:D13" si="6">F9+J9+L9+H9</f>
        <v>118804.36079362931</v>
      </c>
      <c r="E9" s="1136">
        <f t="shared" si="2"/>
        <v>1093.2024703992738</v>
      </c>
      <c r="F9" s="1136">
        <f>Виробництво_2ст!F13+Виробництво_2ст!F14+Виробництво_2ст!F15</f>
        <v>118804.36079362931</v>
      </c>
      <c r="G9" s="1136">
        <f>F9/F$53*1000</f>
        <v>1093.2024703992738</v>
      </c>
      <c r="H9" s="1136"/>
      <c r="I9" s="1136">
        <f t="shared" si="3"/>
        <v>0</v>
      </c>
      <c r="J9" s="1136"/>
      <c r="K9" s="1136">
        <f>J9/$J$51*1000</f>
        <v>0</v>
      </c>
      <c r="L9" s="1136"/>
      <c r="M9" s="4854">
        <f t="shared" si="4"/>
        <v>0</v>
      </c>
      <c r="N9" s="4845"/>
      <c r="O9" s="68">
        <f>'ТЕ_2ст_тариф_з ЦТП'!E171</f>
        <v>19917.568287346592</v>
      </c>
      <c r="P9" s="68">
        <f>'ТЕ_2ст_тариф_без ЦТП'!E171</f>
        <v>98886.792506291371</v>
      </c>
      <c r="Q9" s="68">
        <f t="shared" si="5"/>
        <v>118804.36079363796</v>
      </c>
      <c r="R9" s="68">
        <f>D9-Q9</f>
        <v>-8.64383764564991E-9</v>
      </c>
    </row>
    <row r="10" spans="1:18" ht="16.2" customHeight="1" x14ac:dyDescent="0.3">
      <c r="A10" s="1133" t="s">
        <v>455</v>
      </c>
      <c r="B10" s="1168" t="s">
        <v>2303</v>
      </c>
      <c r="C10" s="1135" t="s">
        <v>40</v>
      </c>
      <c r="D10" s="1136">
        <f t="shared" si="6"/>
        <v>108854.01348362931</v>
      </c>
      <c r="E10" s="1136">
        <f t="shared" si="2"/>
        <v>1001.6423274217099</v>
      </c>
      <c r="F10" s="1136">
        <f>Виробництво_2ст!F13+Виробництво_2ст!F14</f>
        <v>108854.01348362931</v>
      </c>
      <c r="G10" s="1136">
        <f>F10/$F$53*1000</f>
        <v>1001.6423274217099</v>
      </c>
      <c r="H10" s="1136"/>
      <c r="I10" s="1136">
        <f t="shared" si="3"/>
        <v>0</v>
      </c>
      <c r="J10" s="1136"/>
      <c r="K10" s="1136">
        <f>J10/$J$51*1000</f>
        <v>0</v>
      </c>
      <c r="L10" s="1136"/>
      <c r="M10" s="4854">
        <f t="shared" si="4"/>
        <v>0</v>
      </c>
      <c r="N10" s="4845"/>
      <c r="O10" s="68">
        <f>'ТЕ_2ст_тариф_з ЦТП'!E172</f>
        <v>17932.064538433755</v>
      </c>
      <c r="P10" s="68">
        <f>'ТЕ_2ст_тариф_без ЦТП'!E172</f>
        <v>88962.127405341831</v>
      </c>
      <c r="Q10" s="68">
        <f t="shared" si="5"/>
        <v>106894.19194377559</v>
      </c>
      <c r="R10" s="68">
        <f>D10-Q10-Q11</f>
        <v>0</v>
      </c>
    </row>
    <row r="11" spans="1:18" ht="18.600000000000001" customHeight="1" x14ac:dyDescent="0.3">
      <c r="A11" s="1133" t="s">
        <v>456</v>
      </c>
      <c r="B11" s="1168" t="s">
        <v>1990</v>
      </c>
      <c r="C11" s="1135" t="s">
        <v>40</v>
      </c>
      <c r="D11" s="1136">
        <f t="shared" si="6"/>
        <v>9950.3473099999992</v>
      </c>
      <c r="E11" s="1136">
        <f t="shared" si="2"/>
        <v>91.560142977563729</v>
      </c>
      <c r="F11" s="1136">
        <f>Виробництво_2ст!F15</f>
        <v>9950.3473099999992</v>
      </c>
      <c r="G11" s="1136">
        <f>F11/$F$53*1000</f>
        <v>91.560142977563729</v>
      </c>
      <c r="H11" s="1136"/>
      <c r="I11" s="1136">
        <f t="shared" si="3"/>
        <v>0</v>
      </c>
      <c r="J11" s="1136"/>
      <c r="K11" s="1136">
        <f>J11/$J$51*1000</f>
        <v>0</v>
      </c>
      <c r="L11" s="1136"/>
      <c r="M11" s="4854">
        <f t="shared" si="4"/>
        <v>0</v>
      </c>
      <c r="N11" s="4845"/>
      <c r="O11" s="68">
        <f>'ТЕ_2ст_тариф_з ЦТП'!E173</f>
        <v>328.88705210858473</v>
      </c>
      <c r="P11" s="68">
        <f>'ТЕ_2ст_тариф_без ЦТП'!E173</f>
        <v>1630.9344877451424</v>
      </c>
      <c r="Q11" s="68">
        <f t="shared" si="5"/>
        <v>1959.8215398537272</v>
      </c>
      <c r="R11" s="68"/>
    </row>
    <row r="12" spans="1:18" x14ac:dyDescent="0.3">
      <c r="A12" s="1133" t="s">
        <v>42</v>
      </c>
      <c r="B12" s="1134" t="s">
        <v>43</v>
      </c>
      <c r="C12" s="1135" t="s">
        <v>40</v>
      </c>
      <c r="D12" s="1136">
        <f t="shared" si="6"/>
        <v>21134.121925002095</v>
      </c>
      <c r="E12" s="1136">
        <f t="shared" si="2"/>
        <v>194.46991797097948</v>
      </c>
      <c r="F12" s="1136">
        <f>Виробництво_1ст!F16</f>
        <v>5937.3503814675587</v>
      </c>
      <c r="G12" s="1136">
        <f t="shared" ref="G12:G37" si="7">F12/$F$53*1000</f>
        <v>54.633736180115534</v>
      </c>
      <c r="H12" s="1136">
        <f>'Д 3_Т на Т з ЦТП'!G13</f>
        <v>4179.9292165489842</v>
      </c>
      <c r="I12" s="1136">
        <f t="shared" si="3"/>
        <v>254.12664028823843</v>
      </c>
      <c r="J12" s="1136">
        <f>'Д 3.1_Т на Т без ЦТП'!G13</f>
        <v>11016.842326985552</v>
      </c>
      <c r="K12" s="1136">
        <f t="shared" ref="K12:K37" si="8">J12/$J$51*1000</f>
        <v>133.78463036930506</v>
      </c>
      <c r="L12" s="1136"/>
      <c r="M12" s="4854">
        <f t="shared" si="4"/>
        <v>0</v>
      </c>
      <c r="N12" s="4845"/>
      <c r="O12" s="68">
        <f>'ТЕ_2ст_тариф_з ЦТП'!E174</f>
        <v>1656.6166968042489</v>
      </c>
      <c r="P12" s="68">
        <f>'ТЕ_2ст_тариф_без ЦТП'!E174</f>
        <v>8293.730613204385</v>
      </c>
      <c r="Q12" s="68">
        <f t="shared" si="5"/>
        <v>9950.3473100086339</v>
      </c>
      <c r="R12" s="68">
        <f t="shared" ref="R12" si="9">Q12-D11</f>
        <v>8.6347426986321807E-9</v>
      </c>
    </row>
    <row r="13" spans="1:18" ht="31.2" x14ac:dyDescent="0.3">
      <c r="A13" s="1133" t="s">
        <v>44</v>
      </c>
      <c r="B13" s="1134" t="s">
        <v>2272</v>
      </c>
      <c r="C13" s="1135" t="s">
        <v>40</v>
      </c>
      <c r="D13" s="1136">
        <f t="shared" si="6"/>
        <v>685.52105597936031</v>
      </c>
      <c r="E13" s="1136">
        <f t="shared" si="2"/>
        <v>6.3079613147292957</v>
      </c>
      <c r="F13" s="1136">
        <f>Виробництво_2ст!F17</f>
        <v>33.313922123945588</v>
      </c>
      <c r="G13" s="1136">
        <f t="shared" si="7"/>
        <v>0.30654482479686251</v>
      </c>
      <c r="H13" s="1136">
        <f>'Д 3_Т на Т з ЦТП'!G15</f>
        <v>108.58398240194796</v>
      </c>
      <c r="I13" s="1136">
        <f t="shared" si="3"/>
        <v>6.6015669661761294</v>
      </c>
      <c r="J13" s="1136">
        <f>'Д 3.1_Т на Т без ЦТП'!G15</f>
        <v>543.62315145346668</v>
      </c>
      <c r="K13" s="1136">
        <f t="shared" si="8"/>
        <v>6.6015669661761303</v>
      </c>
      <c r="L13" s="1136">
        <v>0</v>
      </c>
      <c r="M13" s="4854">
        <f t="shared" si="4"/>
        <v>0</v>
      </c>
      <c r="N13" s="4846"/>
      <c r="O13" s="68">
        <f>'ТЕ_2ст_тариф_з ЦТП'!E175</f>
        <v>5176.3044602063164</v>
      </c>
      <c r="P13" s="68">
        <f>'ТЕ_2ст_тариф_без ЦТП'!E175</f>
        <v>15957.817464795779</v>
      </c>
      <c r="Q13" s="68">
        <f t="shared" si="5"/>
        <v>21134.121925002095</v>
      </c>
      <c r="R13" s="68">
        <f>Q13-D12</f>
        <v>0</v>
      </c>
    </row>
    <row r="14" spans="1:18" x14ac:dyDescent="0.3">
      <c r="A14" s="1133" t="s">
        <v>45</v>
      </c>
      <c r="B14" s="1134" t="s">
        <v>610</v>
      </c>
      <c r="C14" s="1135" t="s">
        <v>40</v>
      </c>
      <c r="D14" s="1136">
        <f>F14+J14+L14+H14</f>
        <v>15647.678478628994</v>
      </c>
      <c r="E14" s="1136">
        <f t="shared" si="2"/>
        <v>143.98529359174879</v>
      </c>
      <c r="F14" s="1136">
        <f>Виробництво_2ст!F11-Виробництво_2ст!F12-Виробництво_2ст!F16-Виробництво_2ст!F17</f>
        <v>623.00670261750906</v>
      </c>
      <c r="G14" s="1136">
        <f t="shared" si="7"/>
        <v>5.7327227875063649</v>
      </c>
      <c r="H14" s="1136">
        <f>'Д 3_Т на Т з ЦТП'!G16</f>
        <v>2706.93272528845</v>
      </c>
      <c r="I14" s="1136">
        <f t="shared" si="3"/>
        <v>164.57305454846508</v>
      </c>
      <c r="J14" s="1136">
        <f>'Д 3.1_Т на Т без ЦТП'!G16</f>
        <v>12301.533825075534</v>
      </c>
      <c r="K14" s="1136">
        <f t="shared" si="8"/>
        <v>149.38546880461243</v>
      </c>
      <c r="L14" s="1136">
        <f>'Д 4_Т на П'!G12</f>
        <v>16.205225647500001</v>
      </c>
      <c r="M14" s="4854">
        <f t="shared" si="4"/>
        <v>0.16402746422225142</v>
      </c>
      <c r="N14" s="4847"/>
      <c r="O14" s="68">
        <f>'ТЕ_2ст_тариф_з ЦТП'!E176</f>
        <v>0</v>
      </c>
      <c r="P14" s="68">
        <f>'ТЕ_2ст_тариф_без ЦТП'!E176</f>
        <v>0</v>
      </c>
      <c r="Q14" s="68">
        <f t="shared" si="5"/>
        <v>0</v>
      </c>
      <c r="R14" s="68"/>
    </row>
    <row r="15" spans="1:18" ht="31.2" x14ac:dyDescent="0.3">
      <c r="A15" s="1133" t="s">
        <v>46</v>
      </c>
      <c r="B15" s="1170" t="s">
        <v>1998</v>
      </c>
      <c r="C15" s="1135" t="s">
        <v>40</v>
      </c>
      <c r="D15" s="1136">
        <f>F15+J15+L15+H15</f>
        <v>14113.081982088981</v>
      </c>
      <c r="E15" s="1136">
        <f t="shared" si="2"/>
        <v>129.86439205348157</v>
      </c>
      <c r="F15" s="1136"/>
      <c r="G15" s="1136">
        <f t="shared" si="7"/>
        <v>0</v>
      </c>
      <c r="H15" s="1136">
        <f>'Д 3_Т на Т з ЦТП'!G17</f>
        <v>2557.8628713145722</v>
      </c>
      <c r="I15" s="1136">
        <f t="shared" si="3"/>
        <v>155.51007304900409</v>
      </c>
      <c r="J15" s="1136">
        <f>'Д 3.1_Т на Т без ЦТП'!G17</f>
        <v>11555.219110774409</v>
      </c>
      <c r="K15" s="1136">
        <f t="shared" si="8"/>
        <v>140.32248730515138</v>
      </c>
      <c r="L15" s="1136"/>
      <c r="M15" s="4854">
        <f t="shared" si="4"/>
        <v>0</v>
      </c>
      <c r="N15" s="4845"/>
      <c r="O15" s="68">
        <f>'ТЕ_2ст_тариф_з ЦТП'!E177</f>
        <v>0</v>
      </c>
      <c r="P15" s="68">
        <f>'ТЕ_2ст_тариф_без ЦТП'!E177</f>
        <v>0</v>
      </c>
      <c r="Q15" s="68">
        <f t="shared" si="5"/>
        <v>0</v>
      </c>
      <c r="R15" s="68"/>
    </row>
    <row r="16" spans="1:18" s="245" customFormat="1" ht="16.95" customHeight="1" x14ac:dyDescent="0.3">
      <c r="A16" s="1129" t="s">
        <v>24</v>
      </c>
      <c r="B16" s="1130" t="s">
        <v>47</v>
      </c>
      <c r="C16" s="1131" t="s">
        <v>40</v>
      </c>
      <c r="D16" s="1132">
        <f t="shared" ref="D16:D37" si="10">F16+J16+L16+H16</f>
        <v>26504.404546260466</v>
      </c>
      <c r="E16" s="1132">
        <f t="shared" si="2"/>
        <v>243.88566491060487</v>
      </c>
      <c r="F16" s="1132">
        <f>Виробництво_2ст!F29</f>
        <v>11228.939355305936</v>
      </c>
      <c r="G16" s="1132">
        <f t="shared" si="7"/>
        <v>103.32536753013136</v>
      </c>
      <c r="H16" s="1132">
        <f>'Д 3_Т на Т з ЦТП'!G18</f>
        <v>3466.1638017167252</v>
      </c>
      <c r="I16" s="1132">
        <f t="shared" si="3"/>
        <v>210.73193252449823</v>
      </c>
      <c r="J16" s="1132">
        <f>'Д 3.1_Т на Т без ЦТП'!G18</f>
        <v>11054.820751237807</v>
      </c>
      <c r="K16" s="1132">
        <f t="shared" si="8"/>
        <v>134.24582689910844</v>
      </c>
      <c r="L16" s="1132">
        <f>'Д 4_Т на П'!G13</f>
        <v>754.48063799999989</v>
      </c>
      <c r="M16" s="1165">
        <f t="shared" si="4"/>
        <v>7.6367678271125046</v>
      </c>
      <c r="N16" s="4848"/>
      <c r="O16" s="68">
        <f>'ТЕ_2ст_тариф_з ЦТП'!E178</f>
        <v>0</v>
      </c>
      <c r="P16" s="68">
        <f>'ТЕ_2ст_тариф_без ЦТП'!E178</f>
        <v>0</v>
      </c>
      <c r="Q16" s="68">
        <f t="shared" si="5"/>
        <v>0</v>
      </c>
      <c r="R16" s="68"/>
    </row>
    <row r="17" spans="1:18" s="245" customFormat="1" x14ac:dyDescent="0.3">
      <c r="A17" s="1129" t="s">
        <v>48</v>
      </c>
      <c r="B17" s="1130" t="s">
        <v>2274</v>
      </c>
      <c r="C17" s="1131" t="s">
        <v>40</v>
      </c>
      <c r="D17" s="1132">
        <f t="shared" si="10"/>
        <v>19423.406386496485</v>
      </c>
      <c r="E17" s="1132">
        <f t="shared" si="2"/>
        <v>178.7284212754723</v>
      </c>
      <c r="F17" s="1132">
        <f>F18+F19+F20</f>
        <v>7233.6473506343445</v>
      </c>
      <c r="G17" s="1132">
        <f t="shared" si="7"/>
        <v>66.561876187752461</v>
      </c>
      <c r="H17" s="1132">
        <f>'Д 3_Т на Т з ЦТП'!G19</f>
        <v>3821.1670404279466</v>
      </c>
      <c r="I17" s="1132">
        <f t="shared" si="3"/>
        <v>232.31502057966148</v>
      </c>
      <c r="J17" s="1132">
        <f>J18+J19+J20</f>
        <v>7322.6292191101174</v>
      </c>
      <c r="K17" s="1132">
        <f t="shared" si="8"/>
        <v>88.923415106928843</v>
      </c>
      <c r="L17" s="1132">
        <f>L18+L19+L20</f>
        <v>1045.9627763240737</v>
      </c>
      <c r="M17" s="1165">
        <f t="shared" si="4"/>
        <v>10.587117119086308</v>
      </c>
      <c r="N17" s="4848"/>
      <c r="O17" s="68">
        <f>'ТЕ_2ст_тариф_з ЦТП'!E179</f>
        <v>0</v>
      </c>
      <c r="P17" s="68">
        <f>'ТЕ_2ст_тариф_без ЦТП'!E179</f>
        <v>0</v>
      </c>
      <c r="Q17" s="68">
        <f t="shared" si="5"/>
        <v>0</v>
      </c>
      <c r="R17" s="68"/>
    </row>
    <row r="18" spans="1:18" x14ac:dyDescent="0.3">
      <c r="A18" s="1133" t="s">
        <v>49</v>
      </c>
      <c r="B18" s="1134" t="s">
        <v>2275</v>
      </c>
      <c r="C18" s="1135" t="s">
        <v>40</v>
      </c>
      <c r="D18" s="1136">
        <f t="shared" si="10"/>
        <v>5794.7971149787027</v>
      </c>
      <c r="E18" s="1136">
        <f t="shared" si="2"/>
        <v>53.322003327482228</v>
      </c>
      <c r="F18" s="1136">
        <f>Виробництво_2ст!F32</f>
        <v>2470.366658167306</v>
      </c>
      <c r="G18" s="1136">
        <f t="shared" si="7"/>
        <v>22.731580856628902</v>
      </c>
      <c r="H18" s="1136">
        <f>'Д 3_Т на Т з ЦТП'!G20</f>
        <v>759.27155078294027</v>
      </c>
      <c r="I18" s="1136">
        <f t="shared" si="3"/>
        <v>46.161338690374464</v>
      </c>
      <c r="J18" s="1136">
        <f>'Д 3.1_Т на Т без ЦТП'!G20</f>
        <v>2399.1731656684565</v>
      </c>
      <c r="K18" s="1136">
        <f t="shared" si="8"/>
        <v>29.134708987773546</v>
      </c>
      <c r="L18" s="1136">
        <f>'Д 4_Т на П'!G15</f>
        <v>165.98574035999997</v>
      </c>
      <c r="M18" s="4854">
        <f t="shared" si="4"/>
        <v>1.6800889219647508</v>
      </c>
      <c r="N18" s="4845"/>
      <c r="O18" s="68">
        <f>'ТЕ_2ст_тариф_з ЦТП'!E180</f>
        <v>114.13036162944498</v>
      </c>
      <c r="P18" s="68">
        <f>'ТЕ_2ст_тариф_без ЦТП'!E180</f>
        <v>571.39069434994417</v>
      </c>
      <c r="Q18" s="68">
        <f t="shared" si="5"/>
        <v>685.52105597938919</v>
      </c>
      <c r="R18" s="68">
        <f t="shared" ref="R18:R22" si="11">D13-Q18</f>
        <v>-2.8876456781290472E-11</v>
      </c>
    </row>
    <row r="19" spans="1:18" x14ac:dyDescent="0.3">
      <c r="A19" s="1133" t="s">
        <v>50</v>
      </c>
      <c r="B19" s="1134" t="s">
        <v>2276</v>
      </c>
      <c r="C19" s="1135" t="s">
        <v>40</v>
      </c>
      <c r="D19" s="1136">
        <f t="shared" si="10"/>
        <v>7860.0856499999954</v>
      </c>
      <c r="E19" s="1136">
        <f t="shared" si="2"/>
        <v>72.326175510138711</v>
      </c>
      <c r="F19" s="1136">
        <f>Виробництво_2ст!F33</f>
        <v>2122.9628600000001</v>
      </c>
      <c r="G19" s="1136">
        <f t="shared" si="7"/>
        <v>19.534874205075123</v>
      </c>
      <c r="H19" s="1136">
        <f>'Д 3_Т на Т з ЦТП'!G21</f>
        <v>2509.7584427367042</v>
      </c>
      <c r="I19" s="1136">
        <f t="shared" si="3"/>
        <v>152.58547404644685</v>
      </c>
      <c r="J19" s="1136">
        <f>'Д 3.1_Т на Т без ЦТП'!G21</f>
        <v>2383.3709972632905</v>
      </c>
      <c r="K19" s="1136">
        <f t="shared" si="8"/>
        <v>28.942813052770447</v>
      </c>
      <c r="L19" s="1136">
        <f>'Д 4_Т на П'!G16</f>
        <v>843.99335000000065</v>
      </c>
      <c r="M19" s="4854">
        <f t="shared" si="4"/>
        <v>8.5428053908215862</v>
      </c>
      <c r="N19" s="4845"/>
      <c r="O19" s="68">
        <f>'ТЕ_2ст_тариф_з ЦТП'!E181</f>
        <v>2144.696044530273</v>
      </c>
      <c r="P19" s="68">
        <f>'ТЕ_2ст_тариф_без ЦТП'!E181</f>
        <v>9810.6358866539704</v>
      </c>
      <c r="Q19" s="68">
        <f t="shared" si="5"/>
        <v>11955.331931184242</v>
      </c>
      <c r="R19" s="68">
        <f t="shared" si="11"/>
        <v>3692.3465474447512</v>
      </c>
    </row>
    <row r="20" spans="1:18" x14ac:dyDescent="0.3">
      <c r="A20" s="1133" t="s">
        <v>51</v>
      </c>
      <c r="B20" s="1134" t="s">
        <v>81</v>
      </c>
      <c r="C20" s="1135" t="s">
        <v>40</v>
      </c>
      <c r="D20" s="1136">
        <f t="shared" si="10"/>
        <v>5768.5236215177838</v>
      </c>
      <c r="E20" s="1136">
        <f t="shared" si="2"/>
        <v>53.080242437851354</v>
      </c>
      <c r="F20" s="1136">
        <f>Виробництво_2ст!F31-Виробництво_2ст!F32-Виробництво_2ст!F33</f>
        <v>2640.3178324670384</v>
      </c>
      <c r="G20" s="1136">
        <f t="shared" si="7"/>
        <v>24.295421126048435</v>
      </c>
      <c r="H20" s="1136">
        <f>'Д 3_Т на Т з ЦТП'!G22</f>
        <v>552.13704690830218</v>
      </c>
      <c r="I20" s="1136">
        <f t="shared" si="3"/>
        <v>33.56820784284016</v>
      </c>
      <c r="J20" s="1136">
        <f>'Д 3.1_Т на Т без ЦТП'!G22</f>
        <v>2540.0850561783709</v>
      </c>
      <c r="K20" s="1136">
        <f t="shared" si="8"/>
        <v>30.845893066384857</v>
      </c>
      <c r="L20" s="1136">
        <f>'Д 4_Т на П'!G17</f>
        <v>35.983685964073175</v>
      </c>
      <c r="M20" s="4854">
        <f t="shared" si="4"/>
        <v>0.36422280629997272</v>
      </c>
      <c r="N20" s="4845"/>
      <c r="O20" s="68">
        <f>'ТЕ_2ст_тариф_з ЦТП'!E182</f>
        <v>1889.2048647303027</v>
      </c>
      <c r="P20" s="68">
        <f>'ТЕ_2ст_тариф_без ЦТП'!E182</f>
        <v>8531.5305699133514</v>
      </c>
      <c r="Q20" s="68">
        <f t="shared" si="5"/>
        <v>10420.735434643655</v>
      </c>
      <c r="R20" s="68">
        <f t="shared" si="11"/>
        <v>3692.346547445326</v>
      </c>
    </row>
    <row r="21" spans="1:18" s="245" customFormat="1" ht="17.399999999999999" customHeight="1" x14ac:dyDescent="0.3">
      <c r="A21" s="1129" t="s">
        <v>53</v>
      </c>
      <c r="B21" s="1130" t="s">
        <v>2277</v>
      </c>
      <c r="C21" s="1131" t="s">
        <v>40</v>
      </c>
      <c r="D21" s="1132">
        <f t="shared" si="10"/>
        <v>6812.6492399407898</v>
      </c>
      <c r="E21" s="1132">
        <f t="shared" si="2"/>
        <v>62.68797651294944</v>
      </c>
      <c r="F21" s="1132">
        <f>SUM(F22:F24)</f>
        <v>5210.7535416702249</v>
      </c>
      <c r="G21" s="1132">
        <f t="shared" si="7"/>
        <v>47.947807692772123</v>
      </c>
      <c r="H21" s="1132">
        <f>H22+H23+H24</f>
        <v>424.6863195715905</v>
      </c>
      <c r="I21" s="1132">
        <f t="shared" si="3"/>
        <v>25.819601715219786</v>
      </c>
      <c r="J21" s="1132">
        <f>J22+J23+J24</f>
        <v>1111.4088251282831</v>
      </c>
      <c r="K21" s="1132">
        <f t="shared" si="8"/>
        <v>13.496555042342669</v>
      </c>
      <c r="L21" s="1132">
        <f>SUM(L22:L24)</f>
        <v>65.800553570691349</v>
      </c>
      <c r="M21" s="1165">
        <f t="shared" si="4"/>
        <v>0.66602577350016579</v>
      </c>
      <c r="N21" s="4848"/>
      <c r="O21" s="68">
        <f>'ТЕ_2ст_тариф_з ЦТП'!E183</f>
        <v>5461.2633723395011</v>
      </c>
      <c r="P21" s="68">
        <f>'ТЕ_2ст_тариф_без ЦТП'!E183</f>
        <v>21043.14117393137</v>
      </c>
      <c r="Q21" s="68">
        <f t="shared" si="5"/>
        <v>26504.404546270871</v>
      </c>
      <c r="R21" s="68">
        <f t="shared" si="11"/>
        <v>-1.0404619388282299E-8</v>
      </c>
    </row>
    <row r="22" spans="1:18" x14ac:dyDescent="0.3">
      <c r="A22" s="1133" t="s">
        <v>54</v>
      </c>
      <c r="B22" s="1134" t="s">
        <v>55</v>
      </c>
      <c r="C22" s="1135" t="s">
        <v>40</v>
      </c>
      <c r="D22" s="1136">
        <f t="shared" si="10"/>
        <v>5205.7199175136511</v>
      </c>
      <c r="E22" s="1136">
        <f t="shared" si="2"/>
        <v>47.901489777114243</v>
      </c>
      <c r="F22" s="1136">
        <f>ЗВВ_2ст!G21</f>
        <v>3981.6703519823727</v>
      </c>
      <c r="G22" s="1136">
        <f t="shared" si="7"/>
        <v>36.638148936836714</v>
      </c>
      <c r="H22" s="1136">
        <f>'Д 3_Т на Т з ЦТП'!G24</f>
        <v>324.51370305813811</v>
      </c>
      <c r="I22" s="1136">
        <f t="shared" si="3"/>
        <v>19.729419522023921</v>
      </c>
      <c r="J22" s="1136">
        <f>'Д 3.1_Т на Т без ЦТП'!G24</f>
        <v>849.25597277939903</v>
      </c>
      <c r="K22" s="1136">
        <f t="shared" si="8"/>
        <v>10.313063674235655</v>
      </c>
      <c r="L22" s="1136">
        <f>'Д 4_Т на П'!G19</f>
        <v>50.279889693741083</v>
      </c>
      <c r="M22" s="4854">
        <f t="shared" si="4"/>
        <v>0.50892736622344903</v>
      </c>
      <c r="N22" s="4845"/>
      <c r="O22" s="68">
        <f>'ТЕ_2ст_тариф_з ЦТП'!E184</f>
        <v>5199.6254953970792</v>
      </c>
      <c r="P22" s="68">
        <f>'ТЕ_2ст_тариф_без ЦТП'!E184</f>
        <v>14223.780891106588</v>
      </c>
      <c r="Q22" s="68">
        <f t="shared" si="5"/>
        <v>19423.406386503666</v>
      </c>
      <c r="R22" s="68">
        <f t="shared" si="11"/>
        <v>-7.1813701651990414E-9</v>
      </c>
    </row>
    <row r="23" spans="1:18" x14ac:dyDescent="0.3">
      <c r="A23" s="1133" t="s">
        <v>56</v>
      </c>
      <c r="B23" s="1134" t="s">
        <v>2275</v>
      </c>
      <c r="C23" s="1135" t="s">
        <v>40</v>
      </c>
      <c r="D23" s="1136">
        <f t="shared" si="10"/>
        <v>1111.1741044960222</v>
      </c>
      <c r="E23" s="1136">
        <f t="shared" si="2"/>
        <v>10.224694345932548</v>
      </c>
      <c r="F23" s="1136">
        <f>ЗВВ_2ст!G23</f>
        <v>849.8976237422155</v>
      </c>
      <c r="G23" s="1136">
        <f t="shared" si="7"/>
        <v>7.8205057091749808</v>
      </c>
      <c r="H23" s="1136">
        <f>'Д 3_Т на Т з ЦТП'!G25</f>
        <v>69.268272036529339</v>
      </c>
      <c r="I23" s="1136">
        <f t="shared" si="3"/>
        <v>4.2112945792293059</v>
      </c>
      <c r="J23" s="1136">
        <f>'Д 3.1_Т на Т без ЦТП'!G25</f>
        <v>181.27583888373348</v>
      </c>
      <c r="K23" s="1136">
        <f t="shared" si="8"/>
        <v>2.2013495682461888</v>
      </c>
      <c r="L23" s="1136">
        <f>'Д 4_Т на П'!G20</f>
        <v>10.73236983354378</v>
      </c>
      <c r="M23" s="4854">
        <f t="shared" si="4"/>
        <v>0.10863183563032658</v>
      </c>
      <c r="N23" s="4849"/>
      <c r="O23" s="68">
        <f>'ТЕ_2ст_тариф_з ЦТП'!E185</f>
        <v>1198.1934563199509</v>
      </c>
      <c r="P23" s="68">
        <f>'ТЕ_2ст_тариф_без ЦТП'!E185</f>
        <v>4596.6036586610408</v>
      </c>
      <c r="Q23" s="68">
        <f t="shared" si="5"/>
        <v>5794.7971149809919</v>
      </c>
      <c r="R23" s="68">
        <f t="shared" ref="R23:R30" si="12">D18-Q23</f>
        <v>-2.2891981643624604E-9</v>
      </c>
    </row>
    <row r="24" spans="1:18" x14ac:dyDescent="0.3">
      <c r="A24" s="1133" t="s">
        <v>57</v>
      </c>
      <c r="B24" s="1134" t="s">
        <v>58</v>
      </c>
      <c r="C24" s="1135" t="s">
        <v>40</v>
      </c>
      <c r="D24" s="1136">
        <f t="shared" si="10"/>
        <v>495.7552179311167</v>
      </c>
      <c r="E24" s="1136">
        <f t="shared" si="2"/>
        <v>4.5617923899026511</v>
      </c>
      <c r="F24" s="1136">
        <f>ЗВВ_2ст!G8-ЗВВ_2ст!G21-ЗВВ_2ст!G23</f>
        <v>379.18556594563665</v>
      </c>
      <c r="G24" s="1136">
        <f t="shared" si="7"/>
        <v>3.4891530467604266</v>
      </c>
      <c r="H24" s="1136">
        <f>'Д 3_Т на Т з ЦТП'!G26</f>
        <v>30.904344476923058</v>
      </c>
      <c r="I24" s="1136">
        <f t="shared" si="3"/>
        <v>1.8788876139665602</v>
      </c>
      <c r="J24" s="1136">
        <f>'Д 3.1_Т на Т без ЦТП'!G26</f>
        <v>80.877013465150554</v>
      </c>
      <c r="K24" s="1136">
        <f t="shared" si="8"/>
        <v>0.98214179986082206</v>
      </c>
      <c r="L24" s="1136">
        <f>'Д 4_Т на П'!G21</f>
        <v>4.788294043406486</v>
      </c>
      <c r="M24" s="4854">
        <f t="shared" si="4"/>
        <v>4.8466571646390087E-2</v>
      </c>
      <c r="N24" s="4847"/>
      <c r="O24" s="68">
        <f>'ТЕ_2ст_тариф_з ЦТП'!E186</f>
        <v>3003.7220244132377</v>
      </c>
      <c r="P24" s="68">
        <f>'ТЕ_2ст_тариф_без ЦТП'!E186</f>
        <v>4856.3636255893334</v>
      </c>
      <c r="Q24" s="68">
        <f t="shared" si="5"/>
        <v>7860.0856500025711</v>
      </c>
      <c r="R24" s="68">
        <f t="shared" si="12"/>
        <v>-2.5756889954209328E-9</v>
      </c>
    </row>
    <row r="25" spans="1:18" x14ac:dyDescent="0.3">
      <c r="A25" s="1129">
        <v>2</v>
      </c>
      <c r="B25" s="1130" t="s">
        <v>2278</v>
      </c>
      <c r="C25" s="1131" t="s">
        <v>40</v>
      </c>
      <c r="D25" s="1132">
        <f t="shared" si="10"/>
        <v>8282.3657869488452</v>
      </c>
      <c r="E25" s="1136">
        <f t="shared" si="2"/>
        <v>76.211872010075439</v>
      </c>
      <c r="F25" s="1132">
        <f>F26+F27+F28</f>
        <v>6334.8875507536159</v>
      </c>
      <c r="G25" s="1136">
        <f t="shared" si="7"/>
        <v>58.291755234600913</v>
      </c>
      <c r="H25" s="1132">
        <f>H26+H27+H28</f>
        <v>516.3053783516873</v>
      </c>
      <c r="I25" s="1136">
        <f t="shared" si="3"/>
        <v>31.389754315406478</v>
      </c>
      <c r="J25" s="1132">
        <f>J26+J27+J28</f>
        <v>1351.1769216868572</v>
      </c>
      <c r="K25" s="1136">
        <f t="shared" si="8"/>
        <v>16.408213866202566</v>
      </c>
      <c r="L25" s="1132">
        <f>SUM(L26:L28)</f>
        <v>79.995936156684508</v>
      </c>
      <c r="M25" s="4854">
        <f t="shared" si="4"/>
        <v>0.809709833191391</v>
      </c>
      <c r="N25" s="4847"/>
      <c r="O25" s="68">
        <f>'ТЕ_2ст_тариф_з ЦТП'!E187</f>
        <v>997.71001466389191</v>
      </c>
      <c r="P25" s="68">
        <f>'ТЕ_2ст_тариф_без ЦТП'!E187</f>
        <v>4770.8136068562171</v>
      </c>
      <c r="Q25" s="68">
        <f t="shared" si="5"/>
        <v>5768.5236215201094</v>
      </c>
      <c r="R25" s="68">
        <f t="shared" si="12"/>
        <v>-2.3255779524333775E-9</v>
      </c>
    </row>
    <row r="26" spans="1:18" x14ac:dyDescent="0.3">
      <c r="A26" s="1133" t="s">
        <v>25</v>
      </c>
      <c r="B26" s="1134" t="s">
        <v>55</v>
      </c>
      <c r="C26" s="1135" t="s">
        <v>40</v>
      </c>
      <c r="D26" s="1136">
        <f t="shared" si="10"/>
        <v>6202.3666716557036</v>
      </c>
      <c r="E26" s="1136">
        <f t="shared" si="2"/>
        <v>57.072337433422952</v>
      </c>
      <c r="F26" s="1136">
        <f>Адміністративні_2ст!G21</f>
        <v>4743.9700713768461</v>
      </c>
      <c r="G26" s="1136">
        <f t="shared" si="7"/>
        <v>43.652604726673331</v>
      </c>
      <c r="H26" s="1136">
        <f>'Д 3_Т на Т з ЦТП'!G28</f>
        <v>386.64257936195304</v>
      </c>
      <c r="I26" s="1136">
        <f t="shared" si="3"/>
        <v>23.506661140724674</v>
      </c>
      <c r="J26" s="1136">
        <f>'Д 3.1_Т на Т без ЦТП'!G28</f>
        <v>1011.8479335682923</v>
      </c>
      <c r="K26" s="1136">
        <f t="shared" si="8"/>
        <v>12.287522845887842</v>
      </c>
      <c r="L26" s="1136">
        <f>'Д 4_Т на П'!G23</f>
        <v>59.90608734861253</v>
      </c>
      <c r="M26" s="4854">
        <f t="shared" si="4"/>
        <v>0.60636265196254868</v>
      </c>
      <c r="N26" s="4847"/>
      <c r="O26" s="68">
        <f>'ТЕ_2ст_тариф_з ЦТП'!E188</f>
        <v>1303.1709938685465</v>
      </c>
      <c r="P26" s="68">
        <f>'ТЕ_2ст_тариф_без ЦТП'!E188</f>
        <v>5509.4782460768229</v>
      </c>
      <c r="Q26" s="68">
        <f t="shared" si="5"/>
        <v>6812.6492399453691</v>
      </c>
      <c r="R26" s="68">
        <f t="shared" si="12"/>
        <v>-4.5793058234266937E-9</v>
      </c>
    </row>
    <row r="27" spans="1:18" x14ac:dyDescent="0.3">
      <c r="A27" s="1133" t="s">
        <v>26</v>
      </c>
      <c r="B27" s="1134" t="s">
        <v>2275</v>
      </c>
      <c r="C27" s="1135" t="s">
        <v>40</v>
      </c>
      <c r="D27" s="1136">
        <f t="shared" si="10"/>
        <v>1364.520667764255</v>
      </c>
      <c r="E27" s="1136">
        <f t="shared" si="2"/>
        <v>12.55591423535305</v>
      </c>
      <c r="F27" s="1136">
        <f>Адміністративні_2ст!G23</f>
        <v>1043.6734157029061</v>
      </c>
      <c r="G27" s="1136">
        <f t="shared" si="7"/>
        <v>9.6035730398681345</v>
      </c>
      <c r="H27" s="1136">
        <f>'Д 3_Т на Т з ЦТП'!G29</f>
        <v>85.061367459629665</v>
      </c>
      <c r="I27" s="1136">
        <f t="shared" si="3"/>
        <v>5.1714654509594276</v>
      </c>
      <c r="J27" s="1136">
        <f>'Д 3.1_Т на Т без ЦТП'!G29</f>
        <v>222.6065453850243</v>
      </c>
      <c r="K27" s="1136">
        <f t="shared" si="8"/>
        <v>2.703255026095325</v>
      </c>
      <c r="L27" s="1136">
        <f>'Д 4_Т на П'!G24</f>
        <v>13.179339216694757</v>
      </c>
      <c r="M27" s="4854">
        <f t="shared" si="4"/>
        <v>0.1333997834317607</v>
      </c>
      <c r="N27" s="4848"/>
      <c r="O27" s="68">
        <f>'ТЕ_2ст_тариф_з ЦТП'!E189</f>
        <v>995.78636148402575</v>
      </c>
      <c r="P27" s="68">
        <f>'ТЕ_2ст_тариф_без ЦТП'!E189</f>
        <v>4209.9335560331247</v>
      </c>
      <c r="Q27" s="68">
        <f t="shared" si="5"/>
        <v>5205.71991751715</v>
      </c>
      <c r="R27" s="68">
        <f t="shared" si="12"/>
        <v>-3.4988261177204549E-9</v>
      </c>
    </row>
    <row r="28" spans="1:18" x14ac:dyDescent="0.3">
      <c r="A28" s="1133" t="s">
        <v>59</v>
      </c>
      <c r="B28" s="1134" t="s">
        <v>58</v>
      </c>
      <c r="C28" s="1135" t="s">
        <v>40</v>
      </c>
      <c r="D28" s="1136">
        <f t="shared" si="10"/>
        <v>715.47844752888625</v>
      </c>
      <c r="E28" s="1136">
        <f t="shared" si="2"/>
        <v>6.5836203412994392</v>
      </c>
      <c r="F28" s="1136">
        <f>Адміністративні_2ст!G8-Адміністративні_2ст!G20</f>
        <v>547.24406367386382</v>
      </c>
      <c r="G28" s="1136">
        <f t="shared" si="7"/>
        <v>5.0355774680594507</v>
      </c>
      <c r="H28" s="1136">
        <f>'Д 3_Т на Т з ЦТП'!G30</f>
        <v>44.601431530104591</v>
      </c>
      <c r="I28" s="1136">
        <f t="shared" si="3"/>
        <v>2.7116277237223785</v>
      </c>
      <c r="J28" s="1136">
        <f>'Д 3.1_Т на Т без ЦТП'!G30</f>
        <v>116.72244273354059</v>
      </c>
      <c r="K28" s="1136">
        <f t="shared" si="8"/>
        <v>1.4174359942193975</v>
      </c>
      <c r="L28" s="1136">
        <f>'Д 4_Т на П'!G25</f>
        <v>6.9105095913772203</v>
      </c>
      <c r="M28" s="4854">
        <f t="shared" si="4"/>
        <v>6.9947397797081617E-2</v>
      </c>
      <c r="N28" s="4845"/>
      <c r="O28" s="68">
        <f>'ТЕ_2ст_тариф_з ЦТП'!E190</f>
        <v>212.5531215709058</v>
      </c>
      <c r="P28" s="68">
        <f>'ТЕ_2ст_тариф_без ЦТП'!E190</f>
        <v>898.62098292586325</v>
      </c>
      <c r="Q28" s="68">
        <f t="shared" si="5"/>
        <v>1111.1741044967691</v>
      </c>
      <c r="R28" s="68">
        <f t="shared" si="12"/>
        <v>-7.4692252383101732E-10</v>
      </c>
    </row>
    <row r="29" spans="1:18" x14ac:dyDescent="0.3">
      <c r="A29" s="1129">
        <v>3</v>
      </c>
      <c r="B29" s="1130" t="s">
        <v>2279</v>
      </c>
      <c r="C29" s="1131" t="s">
        <v>40</v>
      </c>
      <c r="D29" s="1132">
        <f t="shared" si="10"/>
        <v>0</v>
      </c>
      <c r="E29" s="1136">
        <f t="shared" si="2"/>
        <v>0</v>
      </c>
      <c r="F29" s="1132">
        <v>0</v>
      </c>
      <c r="G29" s="1136">
        <f t="shared" si="7"/>
        <v>0</v>
      </c>
      <c r="H29" s="1132">
        <v>0</v>
      </c>
      <c r="I29" s="1136">
        <f t="shared" si="3"/>
        <v>0</v>
      </c>
      <c r="J29" s="1132">
        <v>0</v>
      </c>
      <c r="K29" s="1136">
        <f t="shared" si="8"/>
        <v>0</v>
      </c>
      <c r="L29" s="1132">
        <v>0</v>
      </c>
      <c r="M29" s="4854">
        <f t="shared" si="4"/>
        <v>0</v>
      </c>
      <c r="N29" s="4847"/>
      <c r="O29" s="68">
        <f>'ТЕ_2ст_тариф_з ЦТП'!E191</f>
        <v>94.831510813615083</v>
      </c>
      <c r="P29" s="68">
        <f>'ТЕ_2ст_тариф_без ЦТП'!E191</f>
        <v>400.92370711783485</v>
      </c>
      <c r="Q29" s="68">
        <f t="shared" si="5"/>
        <v>495.75521793144992</v>
      </c>
      <c r="R29" s="68">
        <f t="shared" si="12"/>
        <v>-3.3321612136205658E-10</v>
      </c>
    </row>
    <row r="30" spans="1:18" x14ac:dyDescent="0.3">
      <c r="A30" s="1133" t="s">
        <v>60</v>
      </c>
      <c r="B30" s="1134" t="s">
        <v>55</v>
      </c>
      <c r="C30" s="1135" t="s">
        <v>40</v>
      </c>
      <c r="D30" s="1136">
        <f t="shared" si="10"/>
        <v>0</v>
      </c>
      <c r="E30" s="1136">
        <f t="shared" si="2"/>
        <v>0</v>
      </c>
      <c r="F30" s="1136"/>
      <c r="G30" s="1136">
        <f t="shared" si="7"/>
        <v>0</v>
      </c>
      <c r="H30" s="1136"/>
      <c r="I30" s="1136">
        <f t="shared" si="3"/>
        <v>0</v>
      </c>
      <c r="J30" s="1136"/>
      <c r="K30" s="1136">
        <f t="shared" si="8"/>
        <v>0</v>
      </c>
      <c r="L30" s="1136"/>
      <c r="M30" s="4854">
        <f t="shared" si="4"/>
        <v>0</v>
      </c>
      <c r="N30" s="4"/>
      <c r="O30" s="68">
        <f>'ТЕ_2ст_тариф_з ЦТП'!E192</f>
        <v>1584.3086109413114</v>
      </c>
      <c r="P30" s="68">
        <f>'ТЕ_2ст_тариф_без ЦТП'!E192</f>
        <v>6698.0571760131006</v>
      </c>
      <c r="Q30" s="68">
        <f t="shared" si="5"/>
        <v>8282.3657869544113</v>
      </c>
      <c r="R30" s="68">
        <f t="shared" si="12"/>
        <v>-5.5661075748503208E-9</v>
      </c>
    </row>
    <row r="31" spans="1:18" x14ac:dyDescent="0.3">
      <c r="A31" s="1133" t="s">
        <v>61</v>
      </c>
      <c r="B31" s="1134" t="s">
        <v>2275</v>
      </c>
      <c r="C31" s="1135" t="s">
        <v>40</v>
      </c>
      <c r="D31" s="1136">
        <f t="shared" si="10"/>
        <v>0</v>
      </c>
      <c r="E31" s="1136">
        <f t="shared" si="2"/>
        <v>0</v>
      </c>
      <c r="F31" s="1136"/>
      <c r="G31" s="1136">
        <f t="shared" si="7"/>
        <v>0</v>
      </c>
      <c r="H31" s="1136"/>
      <c r="I31" s="1136">
        <f t="shared" si="3"/>
        <v>0</v>
      </c>
      <c r="J31" s="1136"/>
      <c r="K31" s="1136">
        <f t="shared" si="8"/>
        <v>0</v>
      </c>
      <c r="L31" s="1136"/>
      <c r="M31" s="4854">
        <f t="shared" si="4"/>
        <v>0</v>
      </c>
      <c r="N31" s="4849"/>
      <c r="O31" s="68">
        <f>'ТЕ_2ст_тариф_з ЦТП'!E193</f>
        <v>1186.4318938441284</v>
      </c>
      <c r="P31" s="68">
        <f>'ТЕ_2ст_тариф_без ЦТП'!E193</f>
        <v>5015.9347778157444</v>
      </c>
      <c r="Q31" s="68">
        <f t="shared" si="5"/>
        <v>6202.3666716598727</v>
      </c>
      <c r="R31" s="68">
        <f t="shared" ref="R31:R32" si="13">D26-Q31</f>
        <v>-4.169123712927103E-9</v>
      </c>
    </row>
    <row r="32" spans="1:18" x14ac:dyDescent="0.3">
      <c r="A32" s="1133" t="s">
        <v>62</v>
      </c>
      <c r="B32" s="1134" t="s">
        <v>58</v>
      </c>
      <c r="C32" s="1135" t="s">
        <v>40</v>
      </c>
      <c r="D32" s="1136">
        <f t="shared" si="10"/>
        <v>0</v>
      </c>
      <c r="E32" s="1136">
        <f t="shared" si="2"/>
        <v>0</v>
      </c>
      <c r="F32" s="1136"/>
      <c r="G32" s="1136">
        <f t="shared" si="7"/>
        <v>0</v>
      </c>
      <c r="H32" s="1136"/>
      <c r="I32" s="1136">
        <f t="shared" si="3"/>
        <v>0</v>
      </c>
      <c r="J32" s="1136"/>
      <c r="K32" s="1136">
        <f t="shared" si="8"/>
        <v>0</v>
      </c>
      <c r="L32" s="1136"/>
      <c r="M32" s="4854">
        <f t="shared" si="4"/>
        <v>0</v>
      </c>
      <c r="N32" s="4849"/>
      <c r="O32" s="68">
        <f>'ТЕ_2ст_тариф_з ЦТП'!E194</f>
        <v>261.01501664570827</v>
      </c>
      <c r="P32" s="68">
        <f>'ТЕ_2ст_тариф_без ЦТП'!E194</f>
        <v>1103.5056511194637</v>
      </c>
      <c r="Q32" s="68">
        <f t="shared" si="5"/>
        <v>1364.520667765172</v>
      </c>
      <c r="R32" s="68">
        <f t="shared" si="13"/>
        <v>-9.169980330625549E-10</v>
      </c>
    </row>
    <row r="33" spans="1:18" x14ac:dyDescent="0.3">
      <c r="A33" s="1133">
        <v>4</v>
      </c>
      <c r="B33" s="1134" t="s">
        <v>2280</v>
      </c>
      <c r="C33" s="1135" t="s">
        <v>40</v>
      </c>
      <c r="D33" s="1136">
        <f t="shared" si="10"/>
        <v>0</v>
      </c>
      <c r="E33" s="1136">
        <f t="shared" si="2"/>
        <v>0</v>
      </c>
      <c r="F33" s="1136">
        <v>0</v>
      </c>
      <c r="G33" s="1136">
        <f t="shared" si="7"/>
        <v>0</v>
      </c>
      <c r="H33" s="1136">
        <v>0</v>
      </c>
      <c r="I33" s="1136">
        <f t="shared" si="3"/>
        <v>0</v>
      </c>
      <c r="J33" s="1136">
        <v>0</v>
      </c>
      <c r="K33" s="1136">
        <f t="shared" si="8"/>
        <v>0</v>
      </c>
      <c r="L33" s="1136">
        <v>0</v>
      </c>
      <c r="M33" s="4854">
        <f t="shared" si="4"/>
        <v>0</v>
      </c>
      <c r="N33" s="4849"/>
      <c r="O33" s="68">
        <f>'ТЕ_2ст_тариф_з ЦТП'!E195</f>
        <v>136.86170045147472</v>
      </c>
      <c r="P33" s="68">
        <f>'ТЕ_2ст_тариф_без ЦТП'!E195</f>
        <v>578.61674707789211</v>
      </c>
      <c r="Q33" s="68">
        <f t="shared" si="5"/>
        <v>715.4784475293668</v>
      </c>
      <c r="R33" s="68">
        <f>D28-Q33</f>
        <v>-4.8055426304927096E-10</v>
      </c>
    </row>
    <row r="34" spans="1:18" x14ac:dyDescent="0.3">
      <c r="A34" s="1133">
        <v>5</v>
      </c>
      <c r="B34" s="1134" t="s">
        <v>5</v>
      </c>
      <c r="C34" s="1135" t="s">
        <v>40</v>
      </c>
      <c r="D34" s="1136">
        <f t="shared" si="10"/>
        <v>0</v>
      </c>
      <c r="E34" s="1136">
        <f t="shared" si="2"/>
        <v>0</v>
      </c>
      <c r="F34" s="1136">
        <f>'ТЕ_2ст_тариф_з ЦТП'!E67</f>
        <v>0</v>
      </c>
      <c r="G34" s="1136">
        <f t="shared" si="7"/>
        <v>0</v>
      </c>
      <c r="H34" s="1136"/>
      <c r="I34" s="1136">
        <f t="shared" si="3"/>
        <v>0</v>
      </c>
      <c r="J34" s="1136"/>
      <c r="K34" s="1136">
        <f t="shared" si="8"/>
        <v>0</v>
      </c>
      <c r="L34" s="1136"/>
      <c r="M34" s="4854">
        <f t="shared" si="4"/>
        <v>0</v>
      </c>
      <c r="N34" s="4849"/>
      <c r="O34" s="68">
        <f>'ТЕ_2ст_тариф_з ЦТП'!E196</f>
        <v>0</v>
      </c>
      <c r="P34" s="68">
        <f>'ТЕ_2ст_тариф_без ЦТП'!E196</f>
        <v>0</v>
      </c>
      <c r="Q34" s="68">
        <f t="shared" si="5"/>
        <v>0</v>
      </c>
    </row>
    <row r="35" spans="1:18" x14ac:dyDescent="0.3">
      <c r="A35" s="1129">
        <v>6</v>
      </c>
      <c r="B35" s="1130" t="s">
        <v>63</v>
      </c>
      <c r="C35" s="1131" t="s">
        <v>40</v>
      </c>
      <c r="D35" s="1132">
        <f t="shared" si="10"/>
        <v>217294.50821288634</v>
      </c>
      <c r="E35" s="1136">
        <f t="shared" si="2"/>
        <v>1999.4795779858332</v>
      </c>
      <c r="F35" s="1132">
        <f>F7+F25+F34</f>
        <v>155406.25959820245</v>
      </c>
      <c r="G35" s="1136">
        <f t="shared" si="7"/>
        <v>1430.0022808369492</v>
      </c>
      <c r="H35" s="1132">
        <f>H7+H25+H29+H33+H34</f>
        <v>15223.768464307332</v>
      </c>
      <c r="I35" s="1136">
        <f t="shared" si="3"/>
        <v>925.55757093766567</v>
      </c>
      <c r="J35" s="1132">
        <f>J7+J25+J29+J33+J34</f>
        <v>44702.035020677613</v>
      </c>
      <c r="K35" s="1136">
        <f t="shared" si="8"/>
        <v>542.84567705467612</v>
      </c>
      <c r="L35" s="1132">
        <f>L7+L25+L29+L33+L34</f>
        <v>1962.4451296989496</v>
      </c>
      <c r="M35" s="4854">
        <f t="shared" si="4"/>
        <v>19.86364801711262</v>
      </c>
      <c r="N35" s="4849"/>
      <c r="O35" s="68">
        <f>'ТЕ_2ст_тариф_з ЦТП'!E197</f>
        <v>0</v>
      </c>
      <c r="P35" s="68">
        <f>'ТЕ_2ст_тариф_без ЦТП'!E197</f>
        <v>0</v>
      </c>
      <c r="Q35" s="68">
        <f t="shared" si="5"/>
        <v>0</v>
      </c>
    </row>
    <row r="36" spans="1:18" x14ac:dyDescent="0.3">
      <c r="A36" s="1133" t="s">
        <v>32</v>
      </c>
      <c r="B36" s="1137" t="s">
        <v>2281</v>
      </c>
      <c r="C36" s="1135" t="s">
        <v>40</v>
      </c>
      <c r="D36" s="1136">
        <f t="shared" si="10"/>
        <v>77356.025494254922</v>
      </c>
      <c r="E36" s="1136">
        <f t="shared" si="2"/>
        <v>711.80718961558</v>
      </c>
      <c r="F36" s="1136">
        <f>F35-F37</f>
        <v>30664.548423105574</v>
      </c>
      <c r="G36" s="1136">
        <f t="shared" si="7"/>
        <v>282.16607425756007</v>
      </c>
      <c r="H36" s="1136">
        <f>H35-H37</f>
        <v>11043.839247758347</v>
      </c>
      <c r="I36" s="1136">
        <f t="shared" si="3"/>
        <v>671.43093064942718</v>
      </c>
      <c r="J36" s="1136">
        <f>J35-J37</f>
        <v>33685.192693692064</v>
      </c>
      <c r="K36" s="1136">
        <f t="shared" si="8"/>
        <v>409.06104668537108</v>
      </c>
      <c r="L36" s="1136">
        <f>L35-L37</f>
        <v>1962.4451296989496</v>
      </c>
      <c r="M36" s="4854">
        <f t="shared" si="4"/>
        <v>19.86364801711262</v>
      </c>
      <c r="N36" s="4847"/>
      <c r="O36" s="68">
        <f>'ТЕ_2ст_тариф_з ЦТП'!E198</f>
        <v>0</v>
      </c>
      <c r="P36" s="68">
        <f>'ТЕ_2ст_тариф_без ЦТП'!E198</f>
        <v>0</v>
      </c>
      <c r="Q36" s="68">
        <f t="shared" si="5"/>
        <v>0</v>
      </c>
    </row>
    <row r="37" spans="1:18" x14ac:dyDescent="0.3">
      <c r="A37" s="1133" t="s">
        <v>33</v>
      </c>
      <c r="B37" s="1137" t="s">
        <v>2158</v>
      </c>
      <c r="C37" s="1135" t="s">
        <v>40</v>
      </c>
      <c r="D37" s="1136">
        <f t="shared" si="10"/>
        <v>139938.48271863139</v>
      </c>
      <c r="E37" s="1136">
        <f t="shared" si="2"/>
        <v>1287.672388370253</v>
      </c>
      <c r="F37" s="1136">
        <f>F9+F12</f>
        <v>124741.71117509688</v>
      </c>
      <c r="G37" s="1136">
        <f t="shared" si="7"/>
        <v>1147.8362065793892</v>
      </c>
      <c r="H37" s="1136">
        <f>H9+H12</f>
        <v>4179.9292165489842</v>
      </c>
      <c r="I37" s="1136">
        <f t="shared" si="3"/>
        <v>254.12664028823843</v>
      </c>
      <c r="J37" s="1136">
        <f>J9+J12</f>
        <v>11016.842326985552</v>
      </c>
      <c r="K37" s="1136">
        <f t="shared" si="8"/>
        <v>133.78463036930506</v>
      </c>
      <c r="L37" s="1136">
        <f>L9+L12</f>
        <v>0</v>
      </c>
      <c r="M37" s="4854">
        <f t="shared" si="4"/>
        <v>0</v>
      </c>
      <c r="N37" s="4847"/>
      <c r="O37" s="68">
        <f>'ТЕ_2ст_тариф_з ЦТП'!E199</f>
        <v>0</v>
      </c>
      <c r="P37" s="68">
        <f>'ТЕ_2ст_тариф_без ЦТП'!E199</f>
        <v>0</v>
      </c>
      <c r="Q37" s="68">
        <f t="shared" si="5"/>
        <v>0</v>
      </c>
    </row>
    <row r="38" spans="1:18" x14ac:dyDescent="0.3">
      <c r="A38" s="1133"/>
      <c r="B38" s="1137" t="s">
        <v>2281</v>
      </c>
      <c r="C38" s="1135" t="s">
        <v>4</v>
      </c>
      <c r="D38" s="1138">
        <f>D36/D35</f>
        <v>0.35599622894504168</v>
      </c>
      <c r="E38" s="1136">
        <f t="shared" si="2"/>
        <v>3.2757716495909455E-3</v>
      </c>
      <c r="F38" s="1138">
        <f>F36/F35</f>
        <v>0.19731861832584938</v>
      </c>
      <c r="G38" s="1136"/>
      <c r="H38" s="1138">
        <f>H36/H35</f>
        <v>0.72543399971242484</v>
      </c>
      <c r="I38" s="1136"/>
      <c r="J38" s="1138">
        <f>J36/J35</f>
        <v>0.75354942293142724</v>
      </c>
      <c r="K38" s="1136"/>
      <c r="L38" s="1138">
        <f>L36/L35</f>
        <v>1</v>
      </c>
      <c r="M38" s="4854"/>
      <c r="N38" s="4847"/>
      <c r="O38" s="68">
        <f>'ТЕ_2ст_тариф_з ЦТП'!E200</f>
        <v>0</v>
      </c>
      <c r="P38" s="68">
        <f>'ТЕ_2ст_тариф_без ЦТП'!E200</f>
        <v>0</v>
      </c>
      <c r="Q38" s="68">
        <f t="shared" si="5"/>
        <v>0</v>
      </c>
    </row>
    <row r="39" spans="1:18" x14ac:dyDescent="0.3">
      <c r="A39" s="1133"/>
      <c r="B39" s="1137" t="s">
        <v>2158</v>
      </c>
      <c r="C39" s="1135" t="s">
        <v>4</v>
      </c>
      <c r="D39" s="1138">
        <f>D37/D35</f>
        <v>0.64400377105495821</v>
      </c>
      <c r="E39" s="1136">
        <f t="shared" si="2"/>
        <v>5.9259315799583077E-3</v>
      </c>
      <c r="F39" s="1138">
        <f>F37/F35</f>
        <v>0.8026813816741506</v>
      </c>
      <c r="G39" s="1136"/>
      <c r="H39" s="1138">
        <f>H37/H35</f>
        <v>0.27456600028757516</v>
      </c>
      <c r="I39" s="1136"/>
      <c r="J39" s="1138">
        <f>J37/J35</f>
        <v>0.24645057706857287</v>
      </c>
      <c r="K39" s="1136"/>
      <c r="L39" s="1138">
        <f>L37/L35</f>
        <v>0</v>
      </c>
      <c r="M39" s="4854"/>
      <c r="N39" s="4847"/>
      <c r="O39" s="68">
        <f>'ТЕ_2ст_тариф_з ЦТП'!E201</f>
        <v>0</v>
      </c>
      <c r="P39" s="68">
        <f>'ТЕ_2ст_тариф_без ЦТП'!E201</f>
        <v>0</v>
      </c>
      <c r="Q39" s="68">
        <f t="shared" si="5"/>
        <v>0</v>
      </c>
    </row>
    <row r="40" spans="1:18" ht="31.2" x14ac:dyDescent="0.3">
      <c r="A40" s="1129">
        <v>7</v>
      </c>
      <c r="B40" s="1130" t="s">
        <v>2282</v>
      </c>
      <c r="C40" s="1131" t="s">
        <v>40</v>
      </c>
      <c r="D40" s="1132">
        <f t="shared" ref="D40:D47" si="14">F40+J40+L40+H40</f>
        <v>10069.745502548391</v>
      </c>
      <c r="E40" s="1136">
        <f t="shared" si="2"/>
        <v>92.658809711538595</v>
      </c>
      <c r="F40" s="1132">
        <f>'ТЕ_2ст_тариф_з ЦТП'!E70</f>
        <v>7201.7534935752356</v>
      </c>
      <c r="G40" s="1136">
        <f t="shared" ref="G40:G50" si="15">F40/$F$53*1000</f>
        <v>66.268398380248868</v>
      </c>
      <c r="H40" s="1132">
        <f>H45+H44+H43+H42+H41</f>
        <v>705.49170932155926</v>
      </c>
      <c r="I40" s="1136">
        <f t="shared" ref="I40:I45" si="16">H40/$H$51*1000</f>
        <v>42.89169231174548</v>
      </c>
      <c r="J40" s="1132">
        <f>J45+J44+J43+J42+J41</f>
        <v>2071.5577204704259</v>
      </c>
      <c r="K40" s="1136">
        <f t="shared" ref="K40:K50" si="17">J40/$J$51*1000</f>
        <v>25.156263083021575</v>
      </c>
      <c r="L40" s="1132">
        <f>L45+L44+L43+L42+L41</f>
        <v>90.942579181170828</v>
      </c>
      <c r="M40" s="4854">
        <f t="shared" si="4"/>
        <v>0.92051051786619464</v>
      </c>
      <c r="N40" s="4847"/>
      <c r="O40" s="68">
        <f>'ТЕ_2ст_тариф_з ЦТП'!E202</f>
        <v>40901.067626259071</v>
      </c>
      <c r="P40" s="68">
        <f>'ТЕ_2ст_тариф_без ЦТП'!E202</f>
        <v>172701.09403921894</v>
      </c>
      <c r="Q40" s="68">
        <f t="shared" si="5"/>
        <v>213602.16166547802</v>
      </c>
      <c r="R40" s="68">
        <f>D35-Q40</f>
        <v>3692.3465474083205</v>
      </c>
    </row>
    <row r="41" spans="1:18" x14ac:dyDescent="0.3">
      <c r="A41" s="1133" t="s">
        <v>64</v>
      </c>
      <c r="B41" s="1134" t="s">
        <v>65</v>
      </c>
      <c r="C41" s="1135" t="s">
        <v>40</v>
      </c>
      <c r="D41" s="1136">
        <f t="shared" si="14"/>
        <v>1812.5541904587108</v>
      </c>
      <c r="E41" s="1136">
        <f t="shared" si="2"/>
        <v>16.678585748076955</v>
      </c>
      <c r="F41" s="1136">
        <f>(F45+F44+F43+F42)/82*18</f>
        <v>1296.3156288435425</v>
      </c>
      <c r="G41" s="1136">
        <f t="shared" si="15"/>
        <v>11.928311708444799</v>
      </c>
      <c r="H41" s="1136">
        <f>(H45+H44+H43+H42)/82*18</f>
        <v>126.98850767788068</v>
      </c>
      <c r="I41" s="1136">
        <f t="shared" si="16"/>
        <v>7.7205046161141873</v>
      </c>
      <c r="J41" s="1136">
        <f>(J45+J44+J43+J42)/82*18</f>
        <v>372.88038968467669</v>
      </c>
      <c r="K41" s="1136">
        <f t="shared" si="17"/>
        <v>4.5281273549438836</v>
      </c>
      <c r="L41" s="1136">
        <f>(L45+L44+L43+L42)/82*18</f>
        <v>16.36966425261075</v>
      </c>
      <c r="M41" s="4854">
        <f t="shared" si="4"/>
        <v>0.16569189321591507</v>
      </c>
      <c r="N41" s="4849"/>
      <c r="O41" s="68">
        <f>'ТЕ_2ст_тариф_з ЦТП'!E203</f>
        <v>0</v>
      </c>
      <c r="P41" s="68">
        <f>'ТЕ_2ст_тариф_без ЦТП'!E203</f>
        <v>0</v>
      </c>
      <c r="Q41" s="68">
        <f t="shared" si="5"/>
        <v>0</v>
      </c>
    </row>
    <row r="42" spans="1:18" x14ac:dyDescent="0.3">
      <c r="A42" s="1133" t="s">
        <v>66</v>
      </c>
      <c r="B42" s="1134" t="s">
        <v>84</v>
      </c>
      <c r="C42" s="1135" t="s">
        <v>40</v>
      </c>
      <c r="D42" s="1136">
        <f t="shared" si="14"/>
        <v>0</v>
      </c>
      <c r="E42" s="1136">
        <f t="shared" si="2"/>
        <v>0</v>
      </c>
      <c r="F42" s="1136">
        <f>(F45+F44+F43)/85*'Вхідні дані'!D47</f>
        <v>0</v>
      </c>
      <c r="G42" s="1136">
        <f t="shared" si="15"/>
        <v>0</v>
      </c>
      <c r="H42" s="1136">
        <f>(H45+H44+H43)/85*'Вхідні дані'!D47</f>
        <v>0</v>
      </c>
      <c r="I42" s="1136">
        <f t="shared" si="16"/>
        <v>0</v>
      </c>
      <c r="J42" s="1136">
        <f>(J45+J44+J43)/85*'Вхідні дані'!D47</f>
        <v>0</v>
      </c>
      <c r="K42" s="1136">
        <f t="shared" si="17"/>
        <v>0</v>
      </c>
      <c r="L42" s="1136">
        <f>(L45+L44)/85*'Вхідні дані'!D47</f>
        <v>0</v>
      </c>
      <c r="M42" s="4854">
        <f t="shared" si="4"/>
        <v>0</v>
      </c>
      <c r="N42" s="4849"/>
      <c r="O42" s="68">
        <f>'ТЕ_2ст_тариф_з ЦТП'!E204</f>
        <v>1888.2341581399048</v>
      </c>
      <c r="P42" s="68">
        <f>'ТЕ_2ст_тариф_без ЦТП'!E204</f>
        <v>8010.4026019714975</v>
      </c>
      <c r="Q42" s="68">
        <f t="shared" si="5"/>
        <v>9898.6367601114016</v>
      </c>
      <c r="R42" s="68">
        <f>D40-Q42</f>
        <v>171.1087424369889</v>
      </c>
    </row>
    <row r="43" spans="1:18" x14ac:dyDescent="0.3">
      <c r="A43" s="1133" t="s">
        <v>68</v>
      </c>
      <c r="B43" s="1134" t="s">
        <v>85</v>
      </c>
      <c r="C43" s="1135" t="s">
        <v>40</v>
      </c>
      <c r="D43" s="1136">
        <f t="shared" si="14"/>
        <v>0</v>
      </c>
      <c r="E43" s="1136">
        <f t="shared" si="2"/>
        <v>0</v>
      </c>
      <c r="F43" s="1136">
        <v>0</v>
      </c>
      <c r="G43" s="1136">
        <f t="shared" si="15"/>
        <v>0</v>
      </c>
      <c r="H43" s="1136">
        <v>0</v>
      </c>
      <c r="I43" s="1136">
        <f t="shared" si="16"/>
        <v>0</v>
      </c>
      <c r="J43" s="1136">
        <v>0</v>
      </c>
      <c r="K43" s="1136">
        <f t="shared" si="17"/>
        <v>0</v>
      </c>
      <c r="L43" s="1136">
        <v>0</v>
      </c>
      <c r="M43" s="4854">
        <f t="shared" si="4"/>
        <v>0</v>
      </c>
      <c r="N43" s="4845"/>
      <c r="O43" s="68">
        <f>'ТЕ_2ст_тариф_з ЦТП'!E205</f>
        <v>339.88214846518281</v>
      </c>
      <c r="P43" s="68">
        <f>'ТЕ_2ст_тариф_без ЦТП'!E205</f>
        <v>1441.8724683548694</v>
      </c>
      <c r="Q43" s="68">
        <f t="shared" si="5"/>
        <v>1781.7546168200522</v>
      </c>
      <c r="R43" s="68">
        <f>D41-Q43</f>
        <v>30.799573638658558</v>
      </c>
    </row>
    <row r="44" spans="1:18" ht="31.2" x14ac:dyDescent="0.3">
      <c r="A44" s="1133" t="s">
        <v>70</v>
      </c>
      <c r="B44" s="1134" t="s">
        <v>71</v>
      </c>
      <c r="C44" s="1135" t="s">
        <v>40</v>
      </c>
      <c r="D44" s="1136">
        <f t="shared" si="14"/>
        <v>0</v>
      </c>
      <c r="E44" s="1136">
        <f t="shared" si="2"/>
        <v>0</v>
      </c>
      <c r="F44" s="1505"/>
      <c r="G44" s="1136">
        <f t="shared" si="15"/>
        <v>0</v>
      </c>
      <c r="H44" s="1505"/>
      <c r="I44" s="1136">
        <f t="shared" si="16"/>
        <v>0</v>
      </c>
      <c r="J44" s="1505"/>
      <c r="K44" s="1136">
        <f t="shared" si="17"/>
        <v>0</v>
      </c>
      <c r="L44" s="1505"/>
      <c r="M44" s="4854">
        <f t="shared" si="4"/>
        <v>0</v>
      </c>
      <c r="N44" s="4847"/>
      <c r="O44" s="68">
        <f>'ТЕ_2ст_тариф_з ЦТП'!E206</f>
        <v>0</v>
      </c>
      <c r="P44" s="68">
        <f>'ТЕ_2ст_тариф_без ЦТП'!E206</f>
        <v>0</v>
      </c>
      <c r="Q44" s="68">
        <f t="shared" si="5"/>
        <v>0</v>
      </c>
    </row>
    <row r="45" spans="1:18" ht="31.2" x14ac:dyDescent="0.3">
      <c r="A45" s="1133" t="s">
        <v>72</v>
      </c>
      <c r="B45" s="1134" t="s">
        <v>2545</v>
      </c>
      <c r="C45" s="1135" t="s">
        <v>40</v>
      </c>
      <c r="D45" s="1136">
        <f t="shared" si="14"/>
        <v>8257.1913120896807</v>
      </c>
      <c r="E45" s="1136">
        <f t="shared" si="2"/>
        <v>75.980223963461654</v>
      </c>
      <c r="F45" s="1136">
        <f>'ТЕ_2ст_тариф_з ЦТП'!E75</f>
        <v>5905.4378647316935</v>
      </c>
      <c r="G45" s="1136">
        <f t="shared" si="15"/>
        <v>54.34008667180408</v>
      </c>
      <c r="H45" s="1136">
        <f>'Д 3_Т на Т з ЦТП'!G44</f>
        <v>578.50320164367861</v>
      </c>
      <c r="I45" s="1136">
        <f t="shared" si="16"/>
        <v>35.171187695631296</v>
      </c>
      <c r="J45" s="1136">
        <f>'Д 3.1_Т на Т без ЦТП'!G44</f>
        <v>1698.6773307857493</v>
      </c>
      <c r="K45" s="1136">
        <f t="shared" si="17"/>
        <v>20.628135728077691</v>
      </c>
      <c r="L45" s="1136">
        <f>'Д 4_Т на П'!G39</f>
        <v>74.572914928560081</v>
      </c>
      <c r="M45" s="4854">
        <f t="shared" si="4"/>
        <v>0.7548186246502796</v>
      </c>
      <c r="N45" s="4850"/>
      <c r="O45" s="68">
        <f>'ТЕ_2ст_тариф_з ЦТП'!E207</f>
        <v>0</v>
      </c>
      <c r="P45" s="68">
        <f>'ТЕ_2ст_тариф_без ЦТП'!E207</f>
        <v>0</v>
      </c>
      <c r="Q45" s="68">
        <f t="shared" si="5"/>
        <v>0</v>
      </c>
    </row>
    <row r="46" spans="1:18" s="245" customFormat="1" x14ac:dyDescent="0.3">
      <c r="A46" s="1129"/>
      <c r="B46" s="1137" t="s">
        <v>4127</v>
      </c>
      <c r="C46" s="1131" t="s">
        <v>40</v>
      </c>
      <c r="D46" s="1136">
        <f t="shared" si="14"/>
        <v>1812.5541904587108</v>
      </c>
      <c r="E46" s="1136">
        <f t="shared" ref="E46" si="18">G46+K46+M46</f>
        <v>16.622130956604597</v>
      </c>
      <c r="F46" s="1136">
        <f>F41</f>
        <v>1296.3156288435425</v>
      </c>
      <c r="G46" s="1136">
        <f t="shared" si="15"/>
        <v>11.928311708444799</v>
      </c>
      <c r="H46" s="1136">
        <f>H41</f>
        <v>126.98850767788068</v>
      </c>
      <c r="I46" s="1136">
        <f t="shared" ref="I46" si="19">H46/$J$51*1000</f>
        <v>1.5421034500258222</v>
      </c>
      <c r="J46" s="1136">
        <f>J41</f>
        <v>372.88038968467669</v>
      </c>
      <c r="K46" s="1136">
        <f t="shared" si="17"/>
        <v>4.5281273549438836</v>
      </c>
      <c r="L46" s="1136">
        <f>L41</f>
        <v>16.36966425261075</v>
      </c>
      <c r="M46" s="4854">
        <f t="shared" si="4"/>
        <v>0.16569189321591507</v>
      </c>
      <c r="N46" s="4847"/>
      <c r="O46" s="68">
        <f>'ТЕ_2ст_тариф_з ЦТП'!E208</f>
        <v>0</v>
      </c>
      <c r="P46" s="68">
        <f>'ТЕ_2ст_тариф_без ЦТП'!E208</f>
        <v>0</v>
      </c>
      <c r="Q46" s="68">
        <f t="shared" si="5"/>
        <v>0</v>
      </c>
    </row>
    <row r="47" spans="1:18" s="245" customFormat="1" x14ac:dyDescent="0.3">
      <c r="A47" s="1129"/>
      <c r="B47" s="1137" t="s">
        <v>2158</v>
      </c>
      <c r="C47" s="1131" t="s">
        <v>40</v>
      </c>
      <c r="D47" s="1136">
        <f t="shared" si="14"/>
        <v>0</v>
      </c>
      <c r="E47" s="1136"/>
      <c r="F47" s="1136">
        <f>F37*0%</f>
        <v>0</v>
      </c>
      <c r="G47" s="1136"/>
      <c r="H47" s="1136">
        <f>H37*0%</f>
        <v>0</v>
      </c>
      <c r="I47" s="1136"/>
      <c r="J47" s="1136">
        <f>J37*0%</f>
        <v>0</v>
      </c>
      <c r="K47" s="1136"/>
      <c r="L47" s="1136">
        <f>L37*0%</f>
        <v>0</v>
      </c>
      <c r="M47" s="4854"/>
      <c r="N47" s="4845"/>
      <c r="O47" s="68">
        <f>'ТЕ_2ст_тариф_з ЦТП'!E209</f>
        <v>1548.3520096747222</v>
      </c>
      <c r="P47" s="68">
        <f>'ТЕ_2ст_тариф_без ЦТП'!E209</f>
        <v>6568.5301336166285</v>
      </c>
      <c r="Q47" s="68">
        <f t="shared" si="5"/>
        <v>8116.882143291351</v>
      </c>
      <c r="R47" s="4856">
        <f>D45-Q47</f>
        <v>140.30916879832967</v>
      </c>
    </row>
    <row r="48" spans="1:18" ht="31.2" x14ac:dyDescent="0.3">
      <c r="A48" s="1129">
        <v>8</v>
      </c>
      <c r="B48" s="1130" t="s">
        <v>2283</v>
      </c>
      <c r="C48" s="1131" t="s">
        <v>40</v>
      </c>
      <c r="D48" s="1132">
        <f>F48+J48+L48+H48</f>
        <v>227364.25371543472</v>
      </c>
      <c r="E48" s="1169">
        <f>(D48-D15)/D51*1000</f>
        <v>2158.5042814408957</v>
      </c>
      <c r="F48" s="1132">
        <f>F35+F40</f>
        <v>162608.01309177768</v>
      </c>
      <c r="G48" s="1169">
        <f t="shared" si="15"/>
        <v>1496.2706792171982</v>
      </c>
      <c r="H48" s="1132">
        <f>H35+H40</f>
        <v>15929.260173628891</v>
      </c>
      <c r="I48" s="1169">
        <f>H48/$H$51*1000</f>
        <v>968.44926324941105</v>
      </c>
      <c r="J48" s="1132">
        <f>J35+J40</f>
        <v>46773.592741148037</v>
      </c>
      <c r="K48" s="1169">
        <f>J48/$J$51*1000</f>
        <v>568.00194013769772</v>
      </c>
      <c r="L48" s="1132">
        <f>L35+L40</f>
        <v>2053.3877088801205</v>
      </c>
      <c r="M48" s="4855">
        <f t="shared" si="4"/>
        <v>20.784158534978818</v>
      </c>
      <c r="N48" s="4851"/>
      <c r="O48" s="68">
        <f>'ТЕ_2ст_тариф_з ЦТП'!E210</f>
        <v>42789.301784398973</v>
      </c>
      <c r="P48" s="68">
        <f>'ТЕ_2ст_тариф_без ЦТП'!E210</f>
        <v>180711.49664119043</v>
      </c>
      <c r="Q48" s="68">
        <f t="shared" si="5"/>
        <v>223500.7984255894</v>
      </c>
      <c r="R48" s="68">
        <f>D48-Q48</f>
        <v>3863.4552898453258</v>
      </c>
    </row>
    <row r="49" spans="1:14" x14ac:dyDescent="0.3">
      <c r="A49" s="1139" t="s">
        <v>115</v>
      </c>
      <c r="B49" s="1137" t="s">
        <v>2281</v>
      </c>
      <c r="C49" s="1135" t="s">
        <v>40</v>
      </c>
      <c r="D49" s="1140">
        <f>D36+D46</f>
        <v>79168.579684713637</v>
      </c>
      <c r="E49" s="1136"/>
      <c r="F49" s="1140">
        <f>F36+F46</f>
        <v>31960.864051949116</v>
      </c>
      <c r="G49" s="1136">
        <f t="shared" si="15"/>
        <v>294.09438596600484</v>
      </c>
      <c r="H49" s="1140">
        <f>H36+H46</f>
        <v>11170.827755436228</v>
      </c>
      <c r="I49" s="1136">
        <f>H49/$H$51*1000</f>
        <v>679.15143526554129</v>
      </c>
      <c r="J49" s="1140">
        <f>J36+J46</f>
        <v>34058.073083376745</v>
      </c>
      <c r="K49" s="1136">
        <f t="shared" si="17"/>
        <v>413.58917404031496</v>
      </c>
      <c r="L49" s="1140">
        <f>L36+L46</f>
        <v>1978.8147939515604</v>
      </c>
      <c r="M49" s="4854">
        <f t="shared" si="4"/>
        <v>20.029339910328538</v>
      </c>
      <c r="N49" s="4845"/>
    </row>
    <row r="50" spans="1:14" ht="16.2" thickBot="1" x14ac:dyDescent="0.35">
      <c r="A50" s="1139" t="s">
        <v>117</v>
      </c>
      <c r="B50" s="1137" t="s">
        <v>2158</v>
      </c>
      <c r="C50" s="1147" t="s">
        <v>40</v>
      </c>
      <c r="D50" s="1140">
        <f>D37+D47</f>
        <v>139938.48271863139</v>
      </c>
      <c r="E50" s="1136"/>
      <c r="F50" s="1140">
        <f>F37+F47</f>
        <v>124741.71117509688</v>
      </c>
      <c r="G50" s="1136">
        <f t="shared" si="15"/>
        <v>1147.8362065793892</v>
      </c>
      <c r="H50" s="1140">
        <f>H37+H47</f>
        <v>4179.9292165489842</v>
      </c>
      <c r="I50" s="1136">
        <f>H50/$H$51*1000</f>
        <v>254.12664028823843</v>
      </c>
      <c r="J50" s="1140">
        <f>J37+J47</f>
        <v>11016.842326985552</v>
      </c>
      <c r="K50" s="1136">
        <f t="shared" si="17"/>
        <v>133.78463036930506</v>
      </c>
      <c r="L50" s="1140">
        <f>L37+L47</f>
        <v>0</v>
      </c>
      <c r="M50" s="4854">
        <f t="shared" si="4"/>
        <v>0</v>
      </c>
      <c r="N50" s="4845"/>
    </row>
    <row r="51" spans="1:14" ht="31.8" thickBot="1" x14ac:dyDescent="0.35">
      <c r="A51" s="1171" t="s">
        <v>187</v>
      </c>
      <c r="B51" s="1176" t="s">
        <v>2284</v>
      </c>
      <c r="C51" s="1141" t="s">
        <v>182</v>
      </c>
      <c r="D51" s="1142">
        <f>'ТЕ_2ст_тариф_з ЦТП'!E14*1000</f>
        <v>98795.806692118902</v>
      </c>
      <c r="E51" s="1142"/>
      <c r="F51" s="1142">
        <f>D51</f>
        <v>98795.806692118902</v>
      </c>
      <c r="G51" s="1142"/>
      <c r="H51" s="1193">
        <f>'Д 7_РП'!D168</f>
        <v>16448.213425432205</v>
      </c>
      <c r="I51" s="1155"/>
      <c r="J51" s="1193">
        <f>'Д 7_РП'!D173</f>
        <v>82347.593266686672</v>
      </c>
      <c r="K51" s="1155"/>
      <c r="L51" s="1193">
        <f>D51</f>
        <v>98795.806692118902</v>
      </c>
      <c r="M51" s="1164"/>
      <c r="N51" s="4851"/>
    </row>
    <row r="52" spans="1:14" ht="31.8" thickBot="1" x14ac:dyDescent="0.35">
      <c r="A52" s="1172" t="s">
        <v>188</v>
      </c>
      <c r="B52" s="1156" t="s">
        <v>2285</v>
      </c>
      <c r="C52" s="1135" t="s">
        <v>31</v>
      </c>
      <c r="D52" s="1136">
        <f>'ТЕ_2ст_тариф_з ЦТП'!E17</f>
        <v>71.594076517000005</v>
      </c>
      <c r="E52" s="1136"/>
      <c r="F52" s="1142">
        <f>D52</f>
        <v>71.594076517000005</v>
      </c>
      <c r="G52" s="1136"/>
      <c r="H52" s="1142">
        <f>'Д 7_РП'!D183</f>
        <v>11.919578167000001</v>
      </c>
      <c r="I52" s="1132"/>
      <c r="J52" s="1142">
        <f>'Д 7_РП'!D188</f>
        <v>59.674498350062137</v>
      </c>
      <c r="K52" s="1132"/>
      <c r="L52" s="1142">
        <f>D52</f>
        <v>71.594076517000005</v>
      </c>
      <c r="M52" s="1165"/>
      <c r="N52" s="4845"/>
    </row>
    <row r="53" spans="1:14" ht="31.2" x14ac:dyDescent="0.3">
      <c r="A53" s="1173">
        <v>11</v>
      </c>
      <c r="B53" s="1177" t="s">
        <v>2290</v>
      </c>
      <c r="C53" s="1145" t="s">
        <v>182</v>
      </c>
      <c r="D53" s="1146">
        <f>'ТЕ_2ст_тариф_з ЦТП'!E30*1000</f>
        <v>108675.53267624618</v>
      </c>
      <c r="E53" s="1146"/>
      <c r="F53" s="1193">
        <f>D53</f>
        <v>108675.53267624618</v>
      </c>
      <c r="G53" s="1146"/>
      <c r="H53" s="1142">
        <f>'Д 7_РП'!D157</f>
        <v>18237.362357436083</v>
      </c>
      <c r="I53" s="1146"/>
      <c r="J53" s="1142">
        <f>'Д 7_РП'!D162</f>
        <v>90438.170318810095</v>
      </c>
      <c r="K53" s="1146"/>
      <c r="L53" s="1142">
        <f>D53</f>
        <v>108675.53267624618</v>
      </c>
      <c r="M53" s="1178"/>
      <c r="N53" s="4845"/>
    </row>
    <row r="54" spans="1:14" ht="18.600000000000001" customHeight="1" thickBot="1" x14ac:dyDescent="0.35">
      <c r="A54" s="1174" t="s">
        <v>189</v>
      </c>
      <c r="B54" s="1179" t="s">
        <v>4125</v>
      </c>
      <c r="C54" s="1143" t="s">
        <v>2286</v>
      </c>
      <c r="D54" s="4394">
        <v>0.16</v>
      </c>
      <c r="E54" s="1181">
        <f>G54+K54+M54</f>
        <v>2085.0567778898749</v>
      </c>
      <c r="F54" s="1132"/>
      <c r="G54" s="4386">
        <f>F48/F53*1000</f>
        <v>1496.2706792171982</v>
      </c>
      <c r="H54" s="1132"/>
      <c r="I54" s="1132"/>
      <c r="J54" s="1132"/>
      <c r="K54" s="4386">
        <f>J48/J51*1000</f>
        <v>568.00194013769772</v>
      </c>
      <c r="L54" s="1132"/>
      <c r="M54" s="4385">
        <f>L48/L51*1000</f>
        <v>20.784158534978818</v>
      </c>
      <c r="N54" s="4845"/>
    </row>
    <row r="55" spans="1:14" ht="16.2" thickBot="1" x14ac:dyDescent="0.35">
      <c r="A55" s="1174"/>
      <c r="B55" s="1179" t="s">
        <v>4126</v>
      </c>
      <c r="C55" s="1143" t="s">
        <v>2286</v>
      </c>
      <c r="D55" s="4394">
        <v>0.84</v>
      </c>
      <c r="E55" s="1181">
        <f>G55+I55+M55</f>
        <v>2485.504101001588</v>
      </c>
      <c r="F55" s="1132"/>
      <c r="G55" s="1181">
        <f>G54</f>
        <v>1496.2706792171982</v>
      </c>
      <c r="H55" s="1132"/>
      <c r="I55" s="4386">
        <f>H48/H51*1000</f>
        <v>968.44926324941105</v>
      </c>
      <c r="J55" s="1132"/>
      <c r="K55" s="1132"/>
      <c r="L55" s="1132"/>
      <c r="M55" s="4385">
        <f>L48/L51*1000</f>
        <v>20.784158534978818</v>
      </c>
      <c r="N55" s="4845"/>
    </row>
    <row r="56" spans="1:14" ht="31.2" x14ac:dyDescent="0.3">
      <c r="A56" s="1172"/>
      <c r="B56" s="1156" t="s">
        <v>2287</v>
      </c>
      <c r="C56" s="1135" t="s">
        <v>2288</v>
      </c>
      <c r="D56" s="1136">
        <f t="shared" ref="D56:E57" si="20">F56+J56+L56</f>
        <v>87065.65511599592</v>
      </c>
      <c r="E56" s="1136">
        <f t="shared" si="20"/>
        <v>0</v>
      </c>
      <c r="F56" s="1136">
        <f>F49*1000/F52/12</f>
        <v>37201.476256628594</v>
      </c>
      <c r="G56" s="1136"/>
      <c r="H56" s="1136">
        <f>H49*1000/H52/12</f>
        <v>78098.595429347712</v>
      </c>
      <c r="I56" s="1132"/>
      <c r="J56" s="1136">
        <f>J49*1000/J52/12</f>
        <v>47560.898464513135</v>
      </c>
      <c r="K56" s="1132"/>
      <c r="L56" s="1136">
        <f>L49*1000/L52/12</f>
        <v>2303.2803948541878</v>
      </c>
      <c r="M56" s="1165"/>
      <c r="N56" s="4845"/>
    </row>
    <row r="57" spans="1:14" ht="16.2" thickBot="1" x14ac:dyDescent="0.35">
      <c r="A57" s="1175"/>
      <c r="B57" s="1180" t="s">
        <v>2289</v>
      </c>
      <c r="C57" s="1143" t="s">
        <v>2286</v>
      </c>
      <c r="D57" s="1144">
        <f t="shared" si="20"/>
        <v>1396.4061459143338</v>
      </c>
      <c r="E57" s="1144">
        <f t="shared" si="20"/>
        <v>0</v>
      </c>
      <c r="F57" s="1144">
        <f>F50/F51*1000</f>
        <v>1262.6215155450288</v>
      </c>
      <c r="G57" s="1144"/>
      <c r="H57" s="1144">
        <f>H50/H51*1000</f>
        <v>254.12664028823843</v>
      </c>
      <c r="I57" s="1166"/>
      <c r="J57" s="1144">
        <f>J50/J51*1000</f>
        <v>133.78463036930506</v>
      </c>
      <c r="K57" s="1166"/>
      <c r="L57" s="1144">
        <f>L50/L51*1000</f>
        <v>0</v>
      </c>
      <c r="M57" s="1167"/>
      <c r="N57" s="4845"/>
    </row>
    <row r="58" spans="1:14" hidden="1" x14ac:dyDescent="0.3">
      <c r="N58" s="4850"/>
    </row>
    <row r="59" spans="1:14" x14ac:dyDescent="0.3">
      <c r="A59" s="1124" t="s">
        <v>2291</v>
      </c>
      <c r="N59" s="4850"/>
    </row>
    <row r="60" spans="1:14" ht="35.4" customHeight="1" x14ac:dyDescent="0.3">
      <c r="B60" s="1163" t="s">
        <v>424</v>
      </c>
      <c r="C60" s="1150"/>
      <c r="E60" s="1151" t="s">
        <v>615</v>
      </c>
      <c r="F60" s="1151"/>
    </row>
    <row r="61" spans="1:14" x14ac:dyDescent="0.3">
      <c r="A61" s="1152"/>
      <c r="B61" s="1149" t="s">
        <v>2292</v>
      </c>
      <c r="C61" s="1153" t="s">
        <v>2293</v>
      </c>
      <c r="D61" s="1149"/>
      <c r="E61" s="1149"/>
    </row>
    <row r="62" spans="1:14" x14ac:dyDescent="0.3">
      <c r="A62" s="1152"/>
      <c r="B62" s="1154"/>
      <c r="C62" s="1154"/>
    </row>
    <row r="63" spans="1:14" x14ac:dyDescent="0.3">
      <c r="A63" s="1152"/>
      <c r="B63" s="1154"/>
      <c r="C63" s="1154"/>
    </row>
    <row r="64" spans="1:14" ht="32.4" customHeight="1" x14ac:dyDescent="0.3">
      <c r="A64" s="1152"/>
      <c r="B64" s="5085" t="s">
        <v>2698</v>
      </c>
      <c r="C64" s="5085"/>
      <c r="D64" s="5085"/>
      <c r="E64" s="5085"/>
      <c r="F64" s="5085"/>
      <c r="G64" s="5085"/>
      <c r="H64" s="5085"/>
      <c r="I64" s="5085"/>
      <c r="J64" s="5085"/>
    </row>
    <row r="65" spans="1:13" x14ac:dyDescent="0.3">
      <c r="A65" s="1152"/>
      <c r="E65" s="5100" t="s">
        <v>1780</v>
      </c>
      <c r="F65" s="5100"/>
    </row>
    <row r="66" spans="1:13" x14ac:dyDescent="0.3">
      <c r="B66" s="1183" t="s">
        <v>357</v>
      </c>
      <c r="C66" s="5114" t="s">
        <v>2305</v>
      </c>
      <c r="D66" s="5114"/>
      <c r="E66" s="5114" t="s">
        <v>2306</v>
      </c>
      <c r="F66" s="5114"/>
      <c r="G66" s="1183" t="s">
        <v>2309</v>
      </c>
      <c r="H66" s="1183" t="s">
        <v>2308</v>
      </c>
      <c r="J66" s="1183" t="s">
        <v>2308</v>
      </c>
      <c r="M66" s="1124">
        <v>6235.51</v>
      </c>
    </row>
    <row r="67" spans="1:13" x14ac:dyDescent="0.3">
      <c r="B67" s="778" t="s">
        <v>2294</v>
      </c>
      <c r="C67" s="1158">
        <f>D67/D77</f>
        <v>0.18967647548807665</v>
      </c>
      <c r="D67" s="1148">
        <f>D16+D22+D26</f>
        <v>37912.491135429824</v>
      </c>
      <c r="E67" s="1182">
        <f>F67/F$77</f>
        <v>9.8885793253881721E-2</v>
      </c>
      <c r="F67" s="1148">
        <v>16154.18</v>
      </c>
      <c r="G67" s="1192">
        <f>C67-E67</f>
        <v>9.0790682234194925E-2</v>
      </c>
      <c r="H67" s="1148">
        <f>D67-F67</f>
        <v>21758.311135429823</v>
      </c>
      <c r="J67" s="1148">
        <f>D67-F67</f>
        <v>21758.311135429823</v>
      </c>
      <c r="M67" s="1124">
        <v>4011.12</v>
      </c>
    </row>
    <row r="68" spans="1:13" x14ac:dyDescent="0.3">
      <c r="B68" s="778" t="s">
        <v>2295</v>
      </c>
      <c r="C68" s="1158">
        <f>D68/D77</f>
        <v>4.1377332502907711E-2</v>
      </c>
      <c r="D68" s="1148">
        <f>D18+D23+D27</f>
        <v>8270.491887238979</v>
      </c>
      <c r="E68" s="1182">
        <f t="shared" ref="E68:E75" si="21">F68/F$77</f>
        <v>2.0740055585048926E-2</v>
      </c>
      <c r="F68" s="1148">
        <v>3388.1367596526197</v>
      </c>
      <c r="G68" s="1192">
        <f t="shared" ref="G68:G77" si="22">C68-E68</f>
        <v>2.0637276917858785E-2</v>
      </c>
      <c r="H68" s="1148">
        <f t="shared" ref="H68:H77" si="23">D68-F68</f>
        <v>4882.3551275863592</v>
      </c>
      <c r="J68" s="1148">
        <f t="shared" ref="J68:J77" si="24">D68-F68</f>
        <v>4882.3551275863592</v>
      </c>
      <c r="M68" s="1191">
        <f>1-M67/M66</f>
        <v>0.35672944153726005</v>
      </c>
    </row>
    <row r="69" spans="1:13" x14ac:dyDescent="0.3">
      <c r="B69" s="778" t="s">
        <v>2296</v>
      </c>
      <c r="C69" s="1158">
        <f>D69/D77</f>
        <v>0.59437910179662923</v>
      </c>
      <c r="D69" s="1148">
        <f>D9</f>
        <v>118804.36079362931</v>
      </c>
      <c r="E69" s="1182">
        <f t="shared" si="21"/>
        <v>0.73286097311867859</v>
      </c>
      <c r="F69" s="1148">
        <v>119721.62719410223</v>
      </c>
      <c r="G69" s="1192">
        <f t="shared" si="22"/>
        <v>-0.13848187132204937</v>
      </c>
      <c r="H69" s="1148">
        <f t="shared" si="23"/>
        <v>-917.26640047291585</v>
      </c>
      <c r="J69" s="1148">
        <f t="shared" si="24"/>
        <v>-917.26640047291585</v>
      </c>
    </row>
    <row r="70" spans="1:13" x14ac:dyDescent="0.3">
      <c r="B70" s="778" t="s">
        <v>43</v>
      </c>
      <c r="C70" s="1158">
        <f>D70/D77</f>
        <v>0.10573416937837514</v>
      </c>
      <c r="D70" s="1148">
        <f>D12</f>
        <v>21134.121925002095</v>
      </c>
      <c r="E70" s="1182">
        <f t="shared" si="21"/>
        <v>5.6596409435314667E-2</v>
      </c>
      <c r="F70" s="1148">
        <v>9245.7020901319647</v>
      </c>
      <c r="G70" s="1192">
        <f t="shared" si="22"/>
        <v>4.9137759943060473E-2</v>
      </c>
      <c r="H70" s="1148">
        <f t="shared" si="23"/>
        <v>11888.41983487013</v>
      </c>
      <c r="J70" s="1148">
        <f t="shared" si="24"/>
        <v>11888.41983487013</v>
      </c>
    </row>
    <row r="71" spans="1:13" x14ac:dyDescent="0.3">
      <c r="B71" s="778" t="s">
        <v>2297</v>
      </c>
      <c r="C71" s="1158">
        <f>D71/D77</f>
        <v>3.4296669481979005E-3</v>
      </c>
      <c r="D71" s="1148">
        <f>D13</f>
        <v>685.52105597936031</v>
      </c>
      <c r="E71" s="1182">
        <f t="shared" si="21"/>
        <v>3.4546788460518706E-3</v>
      </c>
      <c r="F71" s="1148">
        <v>564.36321219604019</v>
      </c>
      <c r="G71" s="1192">
        <f t="shared" si="22"/>
        <v>-2.5011897853970122E-5</v>
      </c>
      <c r="H71" s="1148">
        <f t="shared" si="23"/>
        <v>121.15784378332012</v>
      </c>
      <c r="J71" s="1148">
        <f t="shared" si="24"/>
        <v>121.15784378332012</v>
      </c>
    </row>
    <row r="72" spans="1:13" x14ac:dyDescent="0.3">
      <c r="B72" s="778" t="s">
        <v>460</v>
      </c>
      <c r="C72" s="1158">
        <f>D72/D77</f>
        <v>3.9875723654784187E-2</v>
      </c>
      <c r="D72" s="1148">
        <f>D19+ЗВВ_1ст!F37+ЗВВ_1ст!F39-ЗВВ_1ст!L37-ЗВВ_1ст!L39+Адміністративні_1ст!F36+Адміністративні_1ст!F38-Адміністративні_1ст!L36-Адміністративні_1ст!L38</f>
        <v>7970.3506493924069</v>
      </c>
      <c r="E72" s="1182">
        <f t="shared" si="21"/>
        <v>2.5722258357380401E-2</v>
      </c>
      <c r="F72" s="1148">
        <v>4202.0393207020788</v>
      </c>
      <c r="G72" s="1192">
        <f t="shared" si="22"/>
        <v>1.4153465297403786E-2</v>
      </c>
      <c r="H72" s="1148">
        <f t="shared" si="23"/>
        <v>3768.3113286903281</v>
      </c>
      <c r="J72" s="1148">
        <f t="shared" si="24"/>
        <v>3768.3113286903281</v>
      </c>
    </row>
    <row r="73" spans="1:13" x14ac:dyDescent="0.3">
      <c r="B73" s="778" t="s">
        <v>2298</v>
      </c>
      <c r="C73" s="1158">
        <f>D73/D77</f>
        <v>4.523849862118008E-3</v>
      </c>
      <c r="D73" s="1148">
        <f>Виробництво_2ст!F71</f>
        <v>904.22609</v>
      </c>
      <c r="E73" s="1182">
        <f t="shared" si="21"/>
        <v>6.160068556171212E-4</v>
      </c>
      <c r="F73" s="1148">
        <v>100.63210598234608</v>
      </c>
      <c r="G73" s="1192">
        <f t="shared" si="22"/>
        <v>3.9078430065008869E-3</v>
      </c>
      <c r="H73" s="1148">
        <f t="shared" si="23"/>
        <v>803.59398401765395</v>
      </c>
      <c r="J73" s="1148">
        <f t="shared" si="24"/>
        <v>803.59398401765395</v>
      </c>
    </row>
    <row r="74" spans="1:13" x14ac:dyDescent="0.3">
      <c r="B74" s="778" t="s">
        <v>2299</v>
      </c>
      <c r="C74" s="1158">
        <f>D74/D77</f>
        <v>6.2695415687336236E-3</v>
      </c>
      <c r="D74" s="1148">
        <f>Виробництво_2ст!F35+ЗВВ_1ст!G25+ЗВВ_1ст!G26-ЗВВ_1ст!L25-ЗВВ_1ст!L26+Адміністративні_1ст!F25+Адміністративні_1ст!F26-Адміністративні_1ст!L25-Адміністративні_1ст!L26</f>
        <v>1253.1545545444517</v>
      </c>
      <c r="E74" s="1182">
        <f t="shared" si="21"/>
        <v>8.0881150816039648E-3</v>
      </c>
      <c r="F74" s="1148">
        <v>1321.2905776413565</v>
      </c>
      <c r="G74" s="1192">
        <f t="shared" si="22"/>
        <v>-1.8185735128703412E-3</v>
      </c>
      <c r="H74" s="1148">
        <f t="shared" si="23"/>
        <v>-68.136023096904864</v>
      </c>
      <c r="J74" s="1148">
        <f t="shared" si="24"/>
        <v>-68.136023096904864</v>
      </c>
    </row>
    <row r="75" spans="1:13" x14ac:dyDescent="0.3">
      <c r="B75" s="778" t="s">
        <v>2300</v>
      </c>
      <c r="C75" s="1158">
        <f>D75/D77</f>
        <v>-3.2115292663724537E-2</v>
      </c>
      <c r="D75" s="1148">
        <f>F35+J35+L35-J15-D67-D68-D69-D70-D71-D72-D73-D74</f>
        <v>-6419.197453411819</v>
      </c>
      <c r="E75" s="1182">
        <f t="shared" si="21"/>
        <v>1.0219486016394452E-2</v>
      </c>
      <c r="F75" s="1148">
        <f>2241.6055756519-572.13</f>
        <v>1669.4755756518998</v>
      </c>
      <c r="G75" s="1192">
        <f t="shared" si="22"/>
        <v>-4.2334778680118992E-2</v>
      </c>
      <c r="H75" s="1148">
        <f t="shared" si="23"/>
        <v>-8088.6730290637188</v>
      </c>
      <c r="J75" s="1148">
        <f t="shared" si="24"/>
        <v>-8088.6730290637188</v>
      </c>
    </row>
    <row r="76" spans="1:13" x14ac:dyDescent="0.3">
      <c r="B76" s="778" t="s">
        <v>2304</v>
      </c>
      <c r="C76" s="1158">
        <f>D76/D77</f>
        <v>4.6849431463902164E-2</v>
      </c>
      <c r="D76" s="1148">
        <f>J40+L40+F40</f>
        <v>9364.2537932268315</v>
      </c>
      <c r="E76" s="1182">
        <f>F76/F77</f>
        <v>4.2816223450028286E-2</v>
      </c>
      <c r="F76" s="1148">
        <v>6994.5434806412613</v>
      </c>
      <c r="G76" s="1192">
        <f t="shared" si="22"/>
        <v>4.0332080138738777E-3</v>
      </c>
      <c r="H76" s="1148">
        <f t="shared" si="23"/>
        <v>2369.7103125855701</v>
      </c>
      <c r="J76" s="1148">
        <f t="shared" si="24"/>
        <v>2369.7103125855701</v>
      </c>
    </row>
    <row r="77" spans="1:13" x14ac:dyDescent="0.3">
      <c r="B77" s="1160" t="s">
        <v>1934</v>
      </c>
      <c r="C77" s="1161">
        <f>SUM(C67:C76)</f>
        <v>1</v>
      </c>
      <c r="D77" s="1148">
        <f>D67+D68+D69+D70+D71+D72+D73+D74+D75+D76</f>
        <v>199879.77443103143</v>
      </c>
      <c r="E77" s="1161">
        <f>SUM(E67:E76)</f>
        <v>1</v>
      </c>
      <c r="F77" s="1148">
        <f>F67+F68+F69+F70+F71+F72+F73+F74+F75+F76</f>
        <v>163361.99031670179</v>
      </c>
      <c r="G77" s="1192">
        <f t="shared" si="22"/>
        <v>0</v>
      </c>
      <c r="H77" s="1148">
        <f t="shared" si="23"/>
        <v>36517.784114329639</v>
      </c>
      <c r="J77" s="1148">
        <f t="shared" si="24"/>
        <v>36517.784114329639</v>
      </c>
    </row>
    <row r="78" spans="1:13" x14ac:dyDescent="0.3">
      <c r="D78" s="1157">
        <f>D48-D15</f>
        <v>213251.17173334575</v>
      </c>
      <c r="E78" s="1159"/>
      <c r="F78" s="1125">
        <v>163361.98953868638</v>
      </c>
    </row>
    <row r="79" spans="1:13" x14ac:dyDescent="0.3">
      <c r="D79" s="1157"/>
      <c r="E79" s="1125"/>
      <c r="F79" s="1125">
        <f>F77-F78</f>
        <v>7.780154119245708E-4</v>
      </c>
    </row>
    <row r="80" spans="1:13" x14ac:dyDescent="0.3">
      <c r="B80" s="1124" t="s">
        <v>2301</v>
      </c>
      <c r="C80" s="4387">
        <f>D40/D35</f>
        <v>4.6341463414634139E-2</v>
      </c>
      <c r="D80" s="1162"/>
      <c r="E80" s="1162"/>
      <c r="F80" s="1162"/>
      <c r="G80" s="1162"/>
      <c r="H80" s="1162"/>
      <c r="I80" s="1162"/>
      <c r="J80" s="1162"/>
      <c r="K80" s="1162"/>
      <c r="L80" s="1162"/>
      <c r="M80" s="1162"/>
    </row>
    <row r="82" spans="3:4" x14ac:dyDescent="0.3">
      <c r="C82" s="1124" t="s">
        <v>3398</v>
      </c>
      <c r="D82" s="1124">
        <f>E54*J51/1000</f>
        <v>171699.40748362365</v>
      </c>
    </row>
    <row r="83" spans="3:4" x14ac:dyDescent="0.3">
      <c r="D83" s="1124">
        <f>E55*H51/1000</f>
        <v>40882.101923061127</v>
      </c>
    </row>
    <row r="84" spans="3:4" x14ac:dyDescent="0.3">
      <c r="D84" s="1124">
        <f>SUM(D82:D83)</f>
        <v>212581.50940668478</v>
      </c>
    </row>
    <row r="85" spans="3:4" x14ac:dyDescent="0.3">
      <c r="D85" s="1125">
        <f>D48-D84-D15</f>
        <v>669.66232666096039</v>
      </c>
    </row>
  </sheetData>
  <mergeCells count="14">
    <mergeCell ref="A1:M1"/>
    <mergeCell ref="C66:D66"/>
    <mergeCell ref="E66:F66"/>
    <mergeCell ref="E65:F65"/>
    <mergeCell ref="A3:A5"/>
    <mergeCell ref="B3:B5"/>
    <mergeCell ref="C3:C5"/>
    <mergeCell ref="D3:M3"/>
    <mergeCell ref="D4:E4"/>
    <mergeCell ref="F4:G4"/>
    <mergeCell ref="J4:K4"/>
    <mergeCell ref="L4:M4"/>
    <mergeCell ref="H4:I4"/>
    <mergeCell ref="B64:J64"/>
  </mergeCells>
  <pageMargins left="0.5" right="0.46" top="0.74803149606299213" bottom="0.48" header="0.31496062992125984" footer="0.31496062992125984"/>
  <pageSetup paperSize="9" scale="80" fitToHeight="2" orientation="landscape" horizontalDpi="0" verticalDpi="0" r:id="rId1"/>
</worksheet>
</file>

<file path=xl/worksheets/sheet6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C00-000000000000}">
  <sheetPr codeName="Лист58">
    <tabColor rgb="FFFFFF00"/>
    <pageSetUpPr fitToPage="1"/>
  </sheetPr>
  <dimension ref="A1:U67"/>
  <sheetViews>
    <sheetView topLeftCell="B44" workbookViewId="0">
      <selection activeCell="B37" sqref="B37"/>
    </sheetView>
  </sheetViews>
  <sheetFormatPr defaultRowHeight="15.6" x14ac:dyDescent="0.3"/>
  <cols>
    <col min="1" max="1" width="7" style="1123" customWidth="1"/>
    <col min="2" max="2" width="41.88671875" style="1124" customWidth="1"/>
    <col min="3" max="3" width="10.5546875" style="1124" customWidth="1"/>
    <col min="4" max="4" width="11.5546875" style="1124" customWidth="1"/>
    <col min="5" max="5" width="9" style="1124" customWidth="1"/>
    <col min="6" max="6" width="10.44140625" style="1124" customWidth="1"/>
    <col min="7" max="7" width="8.6640625" style="1124" customWidth="1"/>
    <col min="8" max="8" width="10.109375" style="1124" customWidth="1"/>
    <col min="9" max="9" width="8.6640625" style="1124" customWidth="1"/>
    <col min="10" max="10" width="8.88671875" style="1124" customWidth="1"/>
    <col min="11" max="11" width="8.6640625" style="1124" customWidth="1"/>
    <col min="12" max="12" width="11.5546875" customWidth="1"/>
    <col min="13" max="13" width="9" bestFit="1" customWidth="1"/>
    <col min="14" max="14" width="11" hidden="1" customWidth="1"/>
    <col min="15" max="15" width="9" hidden="1" customWidth="1"/>
    <col min="16" max="16" width="10.5546875" hidden="1" customWidth="1"/>
    <col min="17" max="17" width="9" hidden="1" customWidth="1"/>
    <col min="18" max="18" width="9.88671875" hidden="1" customWidth="1"/>
    <col min="19" max="19" width="9" hidden="1" customWidth="1"/>
    <col min="20" max="20" width="10.109375" customWidth="1"/>
    <col min="21" max="21" width="7.109375" customWidth="1"/>
  </cols>
  <sheetData>
    <row r="1" spans="1:21" ht="33.6" customHeight="1" x14ac:dyDescent="0.3">
      <c r="A1" s="5503" t="s">
        <v>3440</v>
      </c>
      <c r="B1" s="5503"/>
      <c r="C1" s="5503"/>
      <c r="D1" s="5503"/>
      <c r="E1" s="5503"/>
      <c r="F1" s="5503"/>
      <c r="G1" s="5503"/>
      <c r="H1" s="5503"/>
      <c r="I1" s="5503"/>
      <c r="J1" s="5503"/>
      <c r="K1" s="5503"/>
      <c r="L1" s="5503"/>
      <c r="M1" s="5503"/>
      <c r="N1" s="5503"/>
      <c r="O1" s="5503"/>
      <c r="P1" s="5503"/>
      <c r="Q1" s="5503"/>
      <c r="R1" s="5503"/>
      <c r="S1" s="5503"/>
      <c r="T1" s="5503"/>
      <c r="U1" s="5503"/>
    </row>
    <row r="2" spans="1:21" ht="16.2" thickBot="1" x14ac:dyDescent="0.35">
      <c r="D2" s="1125"/>
      <c r="E2" s="1125"/>
    </row>
    <row r="3" spans="1:21" ht="62.4" customHeight="1" thickBot="1" x14ac:dyDescent="0.35">
      <c r="A3" s="5504" t="s">
        <v>2263</v>
      </c>
      <c r="B3" s="5497" t="s">
        <v>8</v>
      </c>
      <c r="C3" s="5497" t="s">
        <v>2264</v>
      </c>
      <c r="D3" s="5500" t="s">
        <v>3441</v>
      </c>
      <c r="E3" s="5501"/>
      <c r="F3" s="5501"/>
      <c r="G3" s="5501"/>
      <c r="H3" s="5501"/>
      <c r="I3" s="5501"/>
      <c r="J3" s="5501"/>
      <c r="K3" s="5502"/>
      <c r="L3" s="5500" t="s">
        <v>3442</v>
      </c>
      <c r="M3" s="5501"/>
      <c r="N3" s="5501"/>
      <c r="O3" s="5501"/>
      <c r="P3" s="5501"/>
      <c r="Q3" s="5501"/>
      <c r="R3" s="5501"/>
      <c r="S3" s="5502"/>
      <c r="T3" s="4883" t="s">
        <v>3443</v>
      </c>
      <c r="U3" s="4884"/>
    </row>
    <row r="4" spans="1:21" ht="22.2" hidden="1" customHeight="1" x14ac:dyDescent="0.3">
      <c r="A4" s="5505"/>
      <c r="B4" s="5498"/>
      <c r="C4" s="5498"/>
      <c r="D4" s="5507" t="s">
        <v>2265</v>
      </c>
      <c r="E4" s="5508"/>
      <c r="F4" s="5509" t="s">
        <v>869</v>
      </c>
      <c r="G4" s="5507"/>
      <c r="H4" s="5508" t="s">
        <v>1895</v>
      </c>
      <c r="I4" s="5508"/>
      <c r="J4" s="5509" t="s">
        <v>2233</v>
      </c>
      <c r="K4" s="5507"/>
      <c r="L4" s="5508" t="s">
        <v>2265</v>
      </c>
      <c r="M4" s="5508"/>
      <c r="N4" s="5510" t="s">
        <v>869</v>
      </c>
      <c r="O4" s="5511"/>
      <c r="P4" s="5512" t="s">
        <v>1895</v>
      </c>
      <c r="Q4" s="5512"/>
      <c r="R4" s="5510" t="s">
        <v>2233</v>
      </c>
      <c r="S4" s="5513"/>
      <c r="T4" s="3107"/>
      <c r="U4" s="3108"/>
    </row>
    <row r="5" spans="1:21" ht="47.4" thickBot="1" x14ac:dyDescent="0.35">
      <c r="A5" s="5506"/>
      <c r="B5" s="5499"/>
      <c r="C5" s="5499"/>
      <c r="D5" s="3109" t="s">
        <v>1780</v>
      </c>
      <c r="E5" s="3110" t="s">
        <v>2267</v>
      </c>
      <c r="F5" s="3111" t="s">
        <v>2266</v>
      </c>
      <c r="G5" s="3094" t="s">
        <v>2267</v>
      </c>
      <c r="H5" s="3094" t="s">
        <v>2266</v>
      </c>
      <c r="I5" s="3094" t="s">
        <v>2267</v>
      </c>
      <c r="J5" s="3094" t="s">
        <v>2266</v>
      </c>
      <c r="K5" s="3094" t="s">
        <v>2268</v>
      </c>
      <c r="L5" s="3094" t="s">
        <v>1780</v>
      </c>
      <c r="M5" s="3110" t="s">
        <v>2267</v>
      </c>
      <c r="N5" s="3112" t="s">
        <v>2266</v>
      </c>
      <c r="O5" s="1126" t="s">
        <v>2267</v>
      </c>
      <c r="P5" s="1126" t="s">
        <v>2266</v>
      </c>
      <c r="Q5" s="1126" t="s">
        <v>2267</v>
      </c>
      <c r="R5" s="1126" t="s">
        <v>2266</v>
      </c>
      <c r="S5" s="3113" t="s">
        <v>2268</v>
      </c>
      <c r="T5" s="3109" t="s">
        <v>1780</v>
      </c>
      <c r="U5" s="3114" t="s">
        <v>4</v>
      </c>
    </row>
    <row r="6" spans="1:21" x14ac:dyDescent="0.3">
      <c r="A6" s="1127">
        <v>1</v>
      </c>
      <c r="B6" s="1128">
        <f>A6+1</f>
        <v>2</v>
      </c>
      <c r="C6" s="1128">
        <f t="shared" ref="C6:S6" si="0">B6+1</f>
        <v>3</v>
      </c>
      <c r="D6" s="1128">
        <f t="shared" si="0"/>
        <v>4</v>
      </c>
      <c r="E6" s="1128">
        <f t="shared" si="0"/>
        <v>5</v>
      </c>
      <c r="F6" s="1128">
        <f t="shared" si="0"/>
        <v>6</v>
      </c>
      <c r="G6" s="1128">
        <f t="shared" si="0"/>
        <v>7</v>
      </c>
      <c r="H6" s="1128">
        <f t="shared" si="0"/>
        <v>8</v>
      </c>
      <c r="I6" s="1128">
        <f t="shared" si="0"/>
        <v>9</v>
      </c>
      <c r="J6" s="1128">
        <f t="shared" si="0"/>
        <v>10</v>
      </c>
      <c r="K6" s="1128">
        <f t="shared" si="0"/>
        <v>11</v>
      </c>
      <c r="L6" s="1128">
        <f t="shared" si="0"/>
        <v>12</v>
      </c>
      <c r="M6" s="1128">
        <f t="shared" si="0"/>
        <v>13</v>
      </c>
      <c r="N6" s="1128">
        <f t="shared" si="0"/>
        <v>14</v>
      </c>
      <c r="O6" s="1128">
        <f t="shared" si="0"/>
        <v>15</v>
      </c>
      <c r="P6" s="1128">
        <f t="shared" si="0"/>
        <v>16</v>
      </c>
      <c r="Q6" s="1128">
        <f t="shared" si="0"/>
        <v>17</v>
      </c>
      <c r="R6" s="1128">
        <f t="shared" si="0"/>
        <v>18</v>
      </c>
      <c r="S6" s="1128">
        <f t="shared" si="0"/>
        <v>19</v>
      </c>
      <c r="T6" s="2042"/>
      <c r="U6" s="2042"/>
    </row>
    <row r="7" spans="1:21" x14ac:dyDescent="0.3">
      <c r="A7" s="1431">
        <v>1</v>
      </c>
      <c r="B7" s="1130" t="s">
        <v>2269</v>
      </c>
      <c r="C7" s="1131" t="s">
        <v>2270</v>
      </c>
      <c r="D7" s="3115">
        <f>D8+D17+D18+D22</f>
        <v>209012.14242593749</v>
      </c>
      <c r="E7" s="3116">
        <f>G7+I7+K7</f>
        <v>1978.4242352771362</v>
      </c>
      <c r="F7" s="3115">
        <f>'Д 2_Т на В'!H12</f>
        <v>149071.37204744882</v>
      </c>
      <c r="G7" s="3116">
        <f>F7/$F$47*1000</f>
        <v>1371.7105256023483</v>
      </c>
      <c r="H7" s="3115">
        <f>H8+H17+H18+H22</f>
        <v>58058.321184946406</v>
      </c>
      <c r="I7" s="3116">
        <f>H7/$H$45*1000</f>
        <v>587.65977149086655</v>
      </c>
      <c r="J7" s="3115">
        <f>J8+J17+J18+J22</f>
        <v>1882.449193542265</v>
      </c>
      <c r="K7" s="3116">
        <f>J7/$J$45*1000</f>
        <v>19.053938183921233</v>
      </c>
      <c r="L7" s="3117">
        <f>'[40]Структ тарифа'!D7</f>
        <v>214010.80808722967</v>
      </c>
      <c r="M7" s="3118">
        <f>'[40]Структ тарифа'!E7</f>
        <v>1850.4574581774666</v>
      </c>
      <c r="N7" s="3117">
        <f>'[40]Структ тарифа'!F7</f>
        <v>168131.30157837324</v>
      </c>
      <c r="O7" s="3118">
        <f>'[40]Структ тарифа'!G7</f>
        <v>1411.5845789432915</v>
      </c>
      <c r="P7" s="3117">
        <f>'[40]Структ тарифа'!H7</f>
        <v>45921.220822931085</v>
      </c>
      <c r="Q7" s="3118">
        <f>'[40]Структ тарифа'!I7</f>
        <v>423.19715677849308</v>
      </c>
      <c r="R7" s="3117">
        <f>'[40]Структ тарифа'!J7</f>
        <v>1700.9762492878315</v>
      </c>
      <c r="S7" s="3118">
        <f>'[40]Структ тарифа'!K7</f>
        <v>15.675722455682061</v>
      </c>
      <c r="T7" s="3119">
        <f>D7-L7</f>
        <v>-4998.6656612921797</v>
      </c>
      <c r="U7" s="3120">
        <f>T7/L7*100</f>
        <v>-2.3357071102945182</v>
      </c>
    </row>
    <row r="8" spans="1:21" ht="18" customHeight="1" x14ac:dyDescent="0.3">
      <c r="A8" s="1431" t="s">
        <v>23</v>
      </c>
      <c r="B8" s="1130" t="s">
        <v>2271</v>
      </c>
      <c r="C8" s="1131" t="s">
        <v>40</v>
      </c>
      <c r="D8" s="3115">
        <f>D9+D13+D14+D15+D16</f>
        <v>156271.68225323976</v>
      </c>
      <c r="E8" s="3116">
        <f t="shared" ref="E8:E44" si="1">G8+I8+K8</f>
        <v>1466.3750780424325</v>
      </c>
      <c r="F8" s="3115">
        <f>'Д 2_Т на В'!H13</f>
        <v>125398.03179983834</v>
      </c>
      <c r="G8" s="3116">
        <f t="shared" ref="G8:G44" si="2">F8/$F$47*1000</f>
        <v>1153.8754741916925</v>
      </c>
      <c r="H8" s="3115">
        <f>H9+H13+H14+H15+H16</f>
        <v>30857.445227753935</v>
      </c>
      <c r="I8" s="3116">
        <f t="shared" ref="I8:I44" si="3">H8/$H$45*1000</f>
        <v>312.33557638651769</v>
      </c>
      <c r="J8" s="3115">
        <f>J9+J13+J14+J15+J16</f>
        <v>16.205225647500001</v>
      </c>
      <c r="K8" s="3116">
        <f t="shared" ref="K8:K44" si="4">J8/$J$45*1000</f>
        <v>0.16402746422225145</v>
      </c>
      <c r="L8" s="3117">
        <f>'[40]Структ тарифа'!D8</f>
        <v>170735.33297282766</v>
      </c>
      <c r="M8" s="3118">
        <f>'[40]Структ тарифа'!E8</f>
        <v>1453.2749432053977</v>
      </c>
      <c r="N8" s="3117">
        <f>'[40]Структ тарифа'!F8</f>
        <v>146154.75864821792</v>
      </c>
      <c r="O8" s="3118">
        <f>'[40]Структ тарифа'!G8</f>
        <v>1227.075514851904</v>
      </c>
      <c r="P8" s="3117">
        <f>'[40]Структ тарифа'!H8</f>
        <v>24525.027283578005</v>
      </c>
      <c r="Q8" s="3118">
        <f>'[40]Структ тарифа'!I8</f>
        <v>226.01580773180123</v>
      </c>
      <c r="R8" s="3117">
        <f>'[40]Структ тарифа'!J8</f>
        <v>19.924715894999999</v>
      </c>
      <c r="S8" s="3118">
        <f>'[40]Структ тарифа'!K8</f>
        <v>0.18362062169245785</v>
      </c>
      <c r="T8" s="3119">
        <f t="shared" ref="T8:T47" si="5">D8-L8</f>
        <v>-14463.650719587895</v>
      </c>
      <c r="U8" s="3120">
        <f t="shared" ref="U8:U47" si="6">T8/L8*100</f>
        <v>-8.4713869518090714</v>
      </c>
    </row>
    <row r="9" spans="1:21" x14ac:dyDescent="0.3">
      <c r="A9" s="1432" t="s">
        <v>41</v>
      </c>
      <c r="B9" s="1134" t="s">
        <v>2302</v>
      </c>
      <c r="C9" s="1135" t="s">
        <v>40</v>
      </c>
      <c r="D9" s="3116">
        <f t="shared" ref="D9:D47" si="7">F9+H9+J9</f>
        <v>118804.3607936293</v>
      </c>
      <c r="E9" s="3116">
        <f t="shared" si="1"/>
        <v>1093.2024703992736</v>
      </c>
      <c r="F9" s="3116">
        <f>'Д 2_Т на В'!H14</f>
        <v>118804.3607936293</v>
      </c>
      <c r="G9" s="3116">
        <f t="shared" si="2"/>
        <v>1093.2024703992736</v>
      </c>
      <c r="H9" s="3116"/>
      <c r="I9" s="3116">
        <f t="shared" si="3"/>
        <v>0</v>
      </c>
      <c r="J9" s="3116"/>
      <c r="K9" s="3116">
        <f t="shared" si="4"/>
        <v>0</v>
      </c>
      <c r="L9" s="3118">
        <f>'[40]Структ тарифа'!D9</f>
        <v>142556.93915274038</v>
      </c>
      <c r="M9" s="3118">
        <f>'[40]Структ тарифа'!E9</f>
        <v>1196.8692030589136</v>
      </c>
      <c r="N9" s="3118">
        <f>'[40]Структ тарифа'!F9</f>
        <v>142556.93915274038</v>
      </c>
      <c r="O9" s="3118">
        <f>'[40]Структ тарифа'!G9</f>
        <v>1196.8692030589136</v>
      </c>
      <c r="P9" s="3118">
        <f>'[40]Структ тарифа'!H9</f>
        <v>0</v>
      </c>
      <c r="Q9" s="3118">
        <f>'[40]Структ тарифа'!I9</f>
        <v>0</v>
      </c>
      <c r="R9" s="3118">
        <f>'[40]Структ тарифа'!J9</f>
        <v>0</v>
      </c>
      <c r="S9" s="3118">
        <f>'[40]Структ тарифа'!K9</f>
        <v>0</v>
      </c>
      <c r="T9" s="3119">
        <f t="shared" si="5"/>
        <v>-23752.578359111081</v>
      </c>
      <c r="U9" s="3120">
        <f t="shared" si="6"/>
        <v>-16.661818428678352</v>
      </c>
    </row>
    <row r="10" spans="1:21" ht="16.2" customHeight="1" x14ac:dyDescent="0.3">
      <c r="A10" s="1432" t="s">
        <v>455</v>
      </c>
      <c r="B10" s="1168" t="s">
        <v>2233</v>
      </c>
      <c r="C10" s="1135" t="s">
        <v>40</v>
      </c>
      <c r="D10" s="3116">
        <f t="shared" si="7"/>
        <v>106894.19194377559</v>
      </c>
      <c r="E10" s="3116">
        <f t="shared" si="1"/>
        <v>983.60863122909768</v>
      </c>
      <c r="F10" s="3116">
        <f>'Д 2_Т на В'!H15</f>
        <v>106894.19194377559</v>
      </c>
      <c r="G10" s="3116">
        <f t="shared" si="2"/>
        <v>983.60863122909768</v>
      </c>
      <c r="H10" s="3116"/>
      <c r="I10" s="3116">
        <f t="shared" si="3"/>
        <v>0</v>
      </c>
      <c r="J10" s="3116"/>
      <c r="K10" s="3116">
        <f t="shared" si="4"/>
        <v>0</v>
      </c>
      <c r="L10" s="3118">
        <f>'[40]Структ тарифа'!D10</f>
        <v>129881.01669683617</v>
      </c>
      <c r="M10" s="3118">
        <f>'[40]Структ тарифа'!E10</f>
        <v>1090.4456133129281</v>
      </c>
      <c r="N10" s="3118">
        <f>'[40]Структ тарифа'!F10</f>
        <v>129881.01669683617</v>
      </c>
      <c r="O10" s="3118">
        <f>'[40]Структ тарифа'!G10</f>
        <v>1090.4456133129281</v>
      </c>
      <c r="P10" s="3118">
        <f>'[40]Структ тарифа'!H10</f>
        <v>0</v>
      </c>
      <c r="Q10" s="3118">
        <f>'[40]Структ тарифа'!I10</f>
        <v>0</v>
      </c>
      <c r="R10" s="3118">
        <f>'[40]Структ тарифа'!J10</f>
        <v>0</v>
      </c>
      <c r="S10" s="3118">
        <f>'[40]Структ тарифа'!K10</f>
        <v>0</v>
      </c>
      <c r="T10" s="3119">
        <f t="shared" si="5"/>
        <v>-22986.824753060588</v>
      </c>
      <c r="U10" s="3120">
        <f t="shared" si="6"/>
        <v>-17.698371430765473</v>
      </c>
    </row>
    <row r="11" spans="1:21" ht="16.2" customHeight="1" x14ac:dyDescent="0.3">
      <c r="A11" s="1432" t="s">
        <v>456</v>
      </c>
      <c r="B11" s="1168" t="s">
        <v>1895</v>
      </c>
      <c r="C11" s="1135" t="s">
        <v>40</v>
      </c>
      <c r="D11" s="3116">
        <f t="shared" si="7"/>
        <v>1959.8215398537277</v>
      </c>
      <c r="E11" s="3116">
        <f t="shared" si="1"/>
        <v>18.03369619261224</v>
      </c>
      <c r="F11" s="3116">
        <f>'Д 2_Т на В'!H16</f>
        <v>1959.8215398537277</v>
      </c>
      <c r="G11" s="3116">
        <f t="shared" si="2"/>
        <v>18.03369619261224</v>
      </c>
      <c r="H11" s="3116"/>
      <c r="I11" s="3116">
        <f t="shared" si="3"/>
        <v>0</v>
      </c>
      <c r="J11" s="3116"/>
      <c r="K11" s="3116">
        <f t="shared" si="4"/>
        <v>0</v>
      </c>
      <c r="L11" s="3118">
        <f>'[40]Структ тарифа'!D11</f>
        <v>2174.5863747372441</v>
      </c>
      <c r="M11" s="3118">
        <f>'[40]Структ тарифа'!E11</f>
        <v>18.257234455110744</v>
      </c>
      <c r="N11" s="3118">
        <f>'[40]Структ тарифа'!F11</f>
        <v>2174.5863747372441</v>
      </c>
      <c r="O11" s="3118">
        <f>'[40]Структ тарифа'!G11</f>
        <v>18.257234455110744</v>
      </c>
      <c r="P11" s="3118">
        <f>'[40]Структ тарифа'!H11</f>
        <v>0</v>
      </c>
      <c r="Q11" s="3118">
        <f>'[40]Структ тарифа'!I11</f>
        <v>0</v>
      </c>
      <c r="R11" s="3118">
        <f>'[40]Структ тарифа'!J11</f>
        <v>0</v>
      </c>
      <c r="S11" s="3118">
        <f>'[40]Структ тарифа'!K11</f>
        <v>0</v>
      </c>
      <c r="T11" s="3119">
        <f t="shared" si="5"/>
        <v>-214.76483488351641</v>
      </c>
      <c r="U11" s="3120">
        <f t="shared" si="6"/>
        <v>-9.8761234494291603</v>
      </c>
    </row>
    <row r="12" spans="1:21" ht="18.600000000000001" customHeight="1" x14ac:dyDescent="0.3">
      <c r="A12" s="1432" t="s">
        <v>457</v>
      </c>
      <c r="B12" s="1168" t="s">
        <v>1990</v>
      </c>
      <c r="C12" s="1135" t="s">
        <v>40</v>
      </c>
      <c r="D12" s="3116">
        <f t="shared" si="7"/>
        <v>9950.3473099999992</v>
      </c>
      <c r="E12" s="3116">
        <f t="shared" si="1"/>
        <v>91.560142977563729</v>
      </c>
      <c r="F12" s="3116">
        <f>'Д 2_Т на В'!H17</f>
        <v>9950.3473099999992</v>
      </c>
      <c r="G12" s="3116">
        <f t="shared" si="2"/>
        <v>91.560142977563729</v>
      </c>
      <c r="H12" s="3116"/>
      <c r="I12" s="3116">
        <f t="shared" si="3"/>
        <v>0</v>
      </c>
      <c r="J12" s="3116"/>
      <c r="K12" s="3116">
        <f t="shared" si="4"/>
        <v>0</v>
      </c>
      <c r="L12" s="3118">
        <f>'[40]Структ тарифа'!D12</f>
        <v>10501.336081166977</v>
      </c>
      <c r="M12" s="3118">
        <f>'[40]Структ тарифа'!E12</f>
        <v>88.166355290874847</v>
      </c>
      <c r="N12" s="3118">
        <f>'[40]Структ тарифа'!F12</f>
        <v>10501.336081166977</v>
      </c>
      <c r="O12" s="3118">
        <f>'[40]Структ тарифа'!G12</f>
        <v>88.166355290874847</v>
      </c>
      <c r="P12" s="3118">
        <f>'[40]Структ тарифа'!H12</f>
        <v>0</v>
      </c>
      <c r="Q12" s="3118">
        <f>'[40]Структ тарифа'!I12</f>
        <v>0</v>
      </c>
      <c r="R12" s="3118">
        <f>'[40]Структ тарифа'!J12</f>
        <v>0</v>
      </c>
      <c r="S12" s="3118">
        <f>'[40]Структ тарифа'!K12</f>
        <v>0</v>
      </c>
      <c r="T12" s="3119">
        <f t="shared" si="5"/>
        <v>-550.98877116697804</v>
      </c>
      <c r="U12" s="3120">
        <f t="shared" si="6"/>
        <v>-5.2468444672970467</v>
      </c>
    </row>
    <row r="13" spans="1:21" x14ac:dyDescent="0.3">
      <c r="A13" s="1432" t="s">
        <v>42</v>
      </c>
      <c r="B13" s="1134" t="s">
        <v>43</v>
      </c>
      <c r="C13" s="1135" t="s">
        <v>40</v>
      </c>
      <c r="D13" s="3116">
        <f t="shared" si="7"/>
        <v>21134.121925002095</v>
      </c>
      <c r="E13" s="3116">
        <f t="shared" si="1"/>
        <v>208.45374182967527</v>
      </c>
      <c r="F13" s="3116">
        <f>'Д 2_Т на В'!H18</f>
        <v>5937.3503814675587</v>
      </c>
      <c r="G13" s="3116">
        <f t="shared" si="2"/>
        <v>54.633736180115534</v>
      </c>
      <c r="H13" s="3116">
        <f>'Д 3_Т на Т з ЦТП'!G13+'Д 3.1_Т на Т без ЦТП'!G13</f>
        <v>15196.771543534536</v>
      </c>
      <c r="I13" s="3116">
        <f t="shared" si="3"/>
        <v>153.82000564955973</v>
      </c>
      <c r="J13" s="3116"/>
      <c r="K13" s="3116">
        <f t="shared" si="4"/>
        <v>0</v>
      </c>
      <c r="L13" s="3118">
        <f>'[40]Структ тарифа'!D13</f>
        <v>10423.766390494366</v>
      </c>
      <c r="M13" s="3118">
        <f>'[40]Структ тарифа'!E13</f>
        <v>93.403621151716521</v>
      </c>
      <c r="N13" s="3118">
        <f>'[40]Структ тарифа'!F13</f>
        <v>3242.5879653075317</v>
      </c>
      <c r="O13" s="3118">
        <f>'[40]Структ тарифа'!G13</f>
        <v>27.223884694436819</v>
      </c>
      <c r="P13" s="3118">
        <f>'[40]Структ тарифа'!H13</f>
        <v>7181.1784251868339</v>
      </c>
      <c r="Q13" s="3118">
        <f>'[40]Структ тарифа'!I13</f>
        <v>66.179736457279702</v>
      </c>
      <c r="R13" s="3118">
        <f>'[40]Структ тарифа'!J13</f>
        <v>0</v>
      </c>
      <c r="S13" s="3118">
        <f>'[40]Структ тарифа'!K13</f>
        <v>0</v>
      </c>
      <c r="T13" s="3119">
        <f t="shared" si="5"/>
        <v>10710.355534507729</v>
      </c>
      <c r="U13" s="3120">
        <f t="shared" si="6"/>
        <v>102.74938187673422</v>
      </c>
    </row>
    <row r="14" spans="1:21" ht="32.4" customHeight="1" x14ac:dyDescent="0.3">
      <c r="A14" s="1432" t="s">
        <v>44</v>
      </c>
      <c r="B14" s="1134" t="s">
        <v>2272</v>
      </c>
      <c r="C14" s="1135" t="s">
        <v>40</v>
      </c>
      <c r="D14" s="3116">
        <f t="shared" si="7"/>
        <v>685.5210559793602</v>
      </c>
      <c r="E14" s="3116">
        <f t="shared" si="1"/>
        <v>6.9081117909729928</v>
      </c>
      <c r="F14" s="3116">
        <f>'Д 2_Т на В'!H22</f>
        <v>33.313922123945588</v>
      </c>
      <c r="G14" s="3116">
        <f t="shared" si="2"/>
        <v>0.30654482479686251</v>
      </c>
      <c r="H14" s="3116">
        <f>'Д 3_Т на Т з ЦТП'!G15+'Д 3.1_Т на Т без ЦТП'!G15</f>
        <v>652.20713385541467</v>
      </c>
      <c r="I14" s="3116">
        <f t="shared" si="3"/>
        <v>6.6015669661761303</v>
      </c>
      <c r="J14" s="3116">
        <v>0</v>
      </c>
      <c r="K14" s="3116">
        <f t="shared" si="4"/>
        <v>0</v>
      </c>
      <c r="L14" s="3118">
        <f>'[40]Структ тарифа'!D14</f>
        <v>639.8210996687078</v>
      </c>
      <c r="M14" s="3118">
        <f>'[40]Структ тарифа'!E14</f>
        <v>5.8709838271636006</v>
      </c>
      <c r="N14" s="3118">
        <f>'[40]Структ тарифа'!F14</f>
        <v>31.011080305521947</v>
      </c>
      <c r="O14" s="3118">
        <f>'[40]Структ тарифа'!G14</f>
        <v>0.26036057726729422</v>
      </c>
      <c r="P14" s="3118">
        <f>'[40]Структ тарифа'!H14</f>
        <v>608.8100193631858</v>
      </c>
      <c r="Q14" s="3118">
        <f>'[40]Структ тарифа'!I14</f>
        <v>5.6106232498963067</v>
      </c>
      <c r="R14" s="3118">
        <f>'[40]Структ тарифа'!J14</f>
        <v>0</v>
      </c>
      <c r="S14" s="3118">
        <f>'[40]Структ тарифа'!K14</f>
        <v>0</v>
      </c>
      <c r="T14" s="3119">
        <f t="shared" si="5"/>
        <v>45.699956310652396</v>
      </c>
      <c r="U14" s="3120">
        <f t="shared" si="6"/>
        <v>7.1426147612692548</v>
      </c>
    </row>
    <row r="15" spans="1:21" ht="33.6" customHeight="1" x14ac:dyDescent="0.3">
      <c r="A15" s="1432" t="s">
        <v>45</v>
      </c>
      <c r="B15" s="1134" t="s">
        <v>2273</v>
      </c>
      <c r="C15" s="1135" t="s">
        <v>40</v>
      </c>
      <c r="D15" s="3116">
        <f t="shared" si="7"/>
        <v>1534.5964965400356</v>
      </c>
      <c r="E15" s="3116">
        <f t="shared" si="1"/>
        <v>14.959731751189878</v>
      </c>
      <c r="F15" s="3116">
        <f>'Д 2_Т на В'!H23</f>
        <v>623.00670261753226</v>
      </c>
      <c r="G15" s="3116">
        <f t="shared" si="2"/>
        <v>5.7327227875065789</v>
      </c>
      <c r="H15" s="3116">
        <f>'Д 3_Т на Т з ЦТП'!G16+'Д 3.1_Т на Т без ЦТП'!G16-H16</f>
        <v>895.3845682750034</v>
      </c>
      <c r="I15" s="3116">
        <f t="shared" si="3"/>
        <v>9.0629814994610474</v>
      </c>
      <c r="J15" s="3116">
        <f>'Д 4_Т на П'!G12</f>
        <v>16.205225647500001</v>
      </c>
      <c r="K15" s="3116">
        <f t="shared" si="4"/>
        <v>0.16402746422225145</v>
      </c>
      <c r="L15" s="3118">
        <f>'[40]Структ тарифа'!D15</f>
        <v>957.77221508550178</v>
      </c>
      <c r="M15" s="3118">
        <f>'[40]Структ тарифа'!E15</f>
        <v>8.5314927207162903</v>
      </c>
      <c r="N15" s="3118">
        <f>'[40]Структ тарифа'!F15</f>
        <v>359.8427750012047</v>
      </c>
      <c r="O15" s="3118">
        <f>'[40]Структ тарифа'!G15</f>
        <v>3.0211418532264469</v>
      </c>
      <c r="P15" s="3118">
        <f>'[40]Структ тарифа'!H15</f>
        <v>578.00472418929712</v>
      </c>
      <c r="Q15" s="3118">
        <f>'[40]Структ тарифа'!I15</f>
        <v>5.3267302457973837</v>
      </c>
      <c r="R15" s="3118">
        <f>'[40]Структ тарифа'!J15</f>
        <v>19.924715894999999</v>
      </c>
      <c r="S15" s="3118">
        <f>'[40]Структ тарифа'!K15</f>
        <v>0.18362062169245785</v>
      </c>
      <c r="T15" s="3119">
        <f t="shared" si="5"/>
        <v>576.82428145453378</v>
      </c>
      <c r="U15" s="3120">
        <f t="shared" si="6"/>
        <v>60.225622791014018</v>
      </c>
    </row>
    <row r="16" spans="1:21" ht="30" customHeight="1" x14ac:dyDescent="0.3">
      <c r="A16" s="1432" t="s">
        <v>46</v>
      </c>
      <c r="B16" s="1450" t="s">
        <v>2392</v>
      </c>
      <c r="C16" s="1135" t="s">
        <v>40</v>
      </c>
      <c r="D16" s="3116">
        <f t="shared" si="7"/>
        <v>14113.081982088981</v>
      </c>
      <c r="E16" s="3116">
        <f t="shared" si="1"/>
        <v>142.85102227132083</v>
      </c>
      <c r="F16" s="3116"/>
      <c r="G16" s="3116">
        <f t="shared" si="2"/>
        <v>0</v>
      </c>
      <c r="H16" s="3116">
        <f>'Д 3_Т на Т з ЦТП'!G17+'Д 3.1_Т на Т без ЦТП'!G17</f>
        <v>14113.081982088981</v>
      </c>
      <c r="I16" s="3116">
        <f t="shared" si="3"/>
        <v>142.85102227132083</v>
      </c>
      <c r="J16" s="3116"/>
      <c r="K16" s="3116">
        <f t="shared" si="4"/>
        <v>0</v>
      </c>
      <c r="L16" s="3118">
        <f>'[40]Структ тарифа'!D16</f>
        <v>16157.034114838687</v>
      </c>
      <c r="M16" s="3118">
        <f>'[40]Структ тарифа'!E16</f>
        <v>148.89871777882786</v>
      </c>
      <c r="N16" s="3118">
        <f>'[40]Структ тарифа'!F16</f>
        <v>0</v>
      </c>
      <c r="O16" s="3118">
        <f>'[40]Структ тарифа'!G16</f>
        <v>0</v>
      </c>
      <c r="P16" s="3118">
        <f>'[40]Структ тарифа'!H16</f>
        <v>16157.034114838687</v>
      </c>
      <c r="Q16" s="3118">
        <f>'[40]Структ тарифа'!I16</f>
        <v>148.89871777882786</v>
      </c>
      <c r="R16" s="3118">
        <f>'[40]Структ тарифа'!J16</f>
        <v>0</v>
      </c>
      <c r="S16" s="3118">
        <f>'[40]Структ тарифа'!K16</f>
        <v>0</v>
      </c>
      <c r="T16" s="3119">
        <f t="shared" si="5"/>
        <v>-2043.9521327497059</v>
      </c>
      <c r="U16" s="3120">
        <f t="shared" si="6"/>
        <v>-12.650540428534047</v>
      </c>
    </row>
    <row r="17" spans="1:21" x14ac:dyDescent="0.3">
      <c r="A17" s="1431" t="s">
        <v>24</v>
      </c>
      <c r="B17" s="1130" t="s">
        <v>47</v>
      </c>
      <c r="C17" s="1131" t="s">
        <v>40</v>
      </c>
      <c r="D17" s="3116">
        <f t="shared" si="7"/>
        <v>26504.40454626047</v>
      </c>
      <c r="E17" s="3116">
        <f t="shared" si="1"/>
        <v>257.94190139333512</v>
      </c>
      <c r="F17" s="3115">
        <f>'Д 2_Т на В'!H24</f>
        <v>11228.939355305938</v>
      </c>
      <c r="G17" s="3116">
        <f t="shared" si="2"/>
        <v>103.32536753013137</v>
      </c>
      <c r="H17" s="3115">
        <f>'Д 3_Т на Т з ЦТП'!G18+'Д 3.1_Т на Т без ЦТП'!G18</f>
        <v>14520.984552954531</v>
      </c>
      <c r="I17" s="3116">
        <f t="shared" si="3"/>
        <v>146.97976603609123</v>
      </c>
      <c r="J17" s="3115">
        <f>'Д 4_Т на П'!G13</f>
        <v>754.48063799999989</v>
      </c>
      <c r="K17" s="3116">
        <f t="shared" si="4"/>
        <v>7.6367678271125055</v>
      </c>
      <c r="L17" s="3117">
        <f>'[40]Структ тарифа'!D17</f>
        <v>22053.272730501172</v>
      </c>
      <c r="M17" s="3118">
        <f>'[40]Структ тарифа'!E17</f>
        <v>195.36142961791404</v>
      </c>
      <c r="N17" s="3117">
        <f>'[40]Структ тарифа'!F17</f>
        <v>9604.1951759493149</v>
      </c>
      <c r="O17" s="3118">
        <f>'[40]Структ тарифа'!G17</f>
        <v>80.634204792687228</v>
      </c>
      <c r="P17" s="3117">
        <f>'[40]Структ тарифа'!H17</f>
        <v>11851.20921955186</v>
      </c>
      <c r="Q17" s="3118">
        <f>'[40]Структ тарифа'!I17</f>
        <v>109.21743708514248</v>
      </c>
      <c r="R17" s="3117">
        <f>'[40]Структ тарифа'!J17</f>
        <v>597.86833500000012</v>
      </c>
      <c r="S17" s="3118">
        <f>'[40]Структ тарифа'!K17</f>
        <v>5.509787740084346</v>
      </c>
      <c r="T17" s="3119">
        <f t="shared" si="5"/>
        <v>4451.1318157592978</v>
      </c>
      <c r="U17" s="3120">
        <f t="shared" si="6"/>
        <v>20.183543141889686</v>
      </c>
    </row>
    <row r="18" spans="1:21" x14ac:dyDescent="0.3">
      <c r="A18" s="1431" t="s">
        <v>48</v>
      </c>
      <c r="B18" s="1130" t="s">
        <v>2274</v>
      </c>
      <c r="C18" s="1131" t="s">
        <v>40</v>
      </c>
      <c r="D18" s="3116">
        <f t="shared" si="7"/>
        <v>19423.406386496481</v>
      </c>
      <c r="E18" s="3116">
        <f t="shared" si="1"/>
        <v>189.94524076565955</v>
      </c>
      <c r="F18" s="3115">
        <f>'Д 2_Т на В'!H25</f>
        <v>7233.6473506343445</v>
      </c>
      <c r="G18" s="3116">
        <f t="shared" si="2"/>
        <v>66.561876187752461</v>
      </c>
      <c r="H18" s="3115">
        <f>'Д 3_Т на Т з ЦТП'!G19+'Д 3.1_Т на Т без ЦТП'!G19</f>
        <v>11143.796259538063</v>
      </c>
      <c r="I18" s="3116">
        <f t="shared" si="3"/>
        <v>112.79624745882077</v>
      </c>
      <c r="J18" s="3115">
        <f>'Д 4_Т на П'!G14</f>
        <v>1045.9627763240737</v>
      </c>
      <c r="K18" s="3116">
        <f t="shared" si="4"/>
        <v>10.58711711908631</v>
      </c>
      <c r="L18" s="3117">
        <f>'[40]Структ тарифа'!D18</f>
        <v>15640.368366268429</v>
      </c>
      <c r="M18" s="3118">
        <f>'[40]Структ тарифа'!E18</f>
        <v>139.29939602430488</v>
      </c>
      <c r="N18" s="3117">
        <f>'[40]Структ тарифа'!F18</f>
        <v>5899.8933769536125</v>
      </c>
      <c r="O18" s="3118">
        <f>'[40]Структ тарифа'!G18</f>
        <v>49.533896604227778</v>
      </c>
      <c r="P18" s="3117">
        <f>'[40]Структ тарифа'!H18</f>
        <v>8705.2795896929329</v>
      </c>
      <c r="Q18" s="3118">
        <f>'[40]Структ тарифа'!I18</f>
        <v>80.225427488640264</v>
      </c>
      <c r="R18" s="3117">
        <f>'[40]Структ тарифа'!J18</f>
        <v>1035.195399621884</v>
      </c>
      <c r="S18" s="3118">
        <f>'[40]Структ тарифа'!K18</f>
        <v>9.5400719314368274</v>
      </c>
      <c r="T18" s="3119">
        <f t="shared" si="5"/>
        <v>3783.0380202280521</v>
      </c>
      <c r="U18" s="3120">
        <f t="shared" si="6"/>
        <v>24.187652948040071</v>
      </c>
    </row>
    <row r="19" spans="1:21" x14ac:dyDescent="0.3">
      <c r="A19" s="1432" t="s">
        <v>49</v>
      </c>
      <c r="B19" s="1134" t="s">
        <v>2275</v>
      </c>
      <c r="C19" s="1135" t="s">
        <v>40</v>
      </c>
      <c r="D19" s="3116">
        <f t="shared" si="7"/>
        <v>5794.7971149787027</v>
      </c>
      <c r="E19" s="3116">
        <f t="shared" si="1"/>
        <v>56.381090568832029</v>
      </c>
      <c r="F19" s="3116">
        <f>'Д 2_Т на В'!H26</f>
        <v>2470.366658167306</v>
      </c>
      <c r="G19" s="3116">
        <f t="shared" si="2"/>
        <v>22.731580856628902</v>
      </c>
      <c r="H19" s="3116">
        <f>'Д 3_Т на Т з ЦТП'!G20+'Д 3.1_Т на Т без ЦТП'!G20</f>
        <v>3158.4447164513967</v>
      </c>
      <c r="I19" s="3116">
        <f t="shared" si="3"/>
        <v>31.969420790238374</v>
      </c>
      <c r="J19" s="3116">
        <f>'Д 4_Т на П'!G15</f>
        <v>165.98574035999997</v>
      </c>
      <c r="K19" s="3116">
        <f t="shared" si="4"/>
        <v>1.680088921964751</v>
      </c>
      <c r="L19" s="3118">
        <f>'[40]Структ тарифа'!D19</f>
        <v>4794.9435745520195</v>
      </c>
      <c r="M19" s="3118">
        <f>'[40]Структ тарифа'!E19</f>
        <v>42.456278815939562</v>
      </c>
      <c r="N19" s="3118">
        <f>'[40]Структ тарифа'!F19</f>
        <v>2112.9229387088499</v>
      </c>
      <c r="O19" s="3118">
        <f>'[40]Структ тарифа'!G19</f>
        <v>17.739525054391194</v>
      </c>
      <c r="P19" s="3118">
        <f>'[40]Структ тарифа'!H19</f>
        <v>2550.4896021431691</v>
      </c>
      <c r="Q19" s="3118">
        <f>'[40]Структ тарифа'!I19</f>
        <v>23.504600458729815</v>
      </c>
      <c r="R19" s="3118">
        <f>'[40]Структ тарифа'!J19</f>
        <v>131.53103370000002</v>
      </c>
      <c r="S19" s="3118">
        <f>'[40]Структ тарифа'!K19</f>
        <v>1.2121533028185558</v>
      </c>
      <c r="T19" s="3119">
        <f t="shared" si="5"/>
        <v>999.85354042668314</v>
      </c>
      <c r="U19" s="3120">
        <f t="shared" si="6"/>
        <v>20.852248308679986</v>
      </c>
    </row>
    <row r="20" spans="1:21" x14ac:dyDescent="0.3">
      <c r="A20" s="1432" t="s">
        <v>50</v>
      </c>
      <c r="B20" s="1134" t="s">
        <v>2276</v>
      </c>
      <c r="C20" s="1135" t="s">
        <v>40</v>
      </c>
      <c r="D20" s="3116">
        <f t="shared" si="7"/>
        <v>7860.0856499999954</v>
      </c>
      <c r="E20" s="3116">
        <f t="shared" si="1"/>
        <v>77.605383289320045</v>
      </c>
      <c r="F20" s="3116">
        <f>'Д 2_Т на В'!H27</f>
        <v>2122.9628600000001</v>
      </c>
      <c r="G20" s="3116">
        <f t="shared" si="2"/>
        <v>19.534874205075123</v>
      </c>
      <c r="H20" s="3116">
        <f>'Д 3_Т на Т з ЦТП'!G21+'Д 3.1_Т на Т без ЦТП'!G21</f>
        <v>4893.1294399999952</v>
      </c>
      <c r="I20" s="3116">
        <f t="shared" si="3"/>
        <v>49.527703693423341</v>
      </c>
      <c r="J20" s="3116">
        <f>'Д 4_Т на П'!G16</f>
        <v>843.99335000000065</v>
      </c>
      <c r="K20" s="3116">
        <f t="shared" si="4"/>
        <v>8.542805390821588</v>
      </c>
      <c r="L20" s="3118">
        <f>'[40]Структ тарифа'!D20</f>
        <v>7347.5205858333375</v>
      </c>
      <c r="M20" s="3118">
        <f>'[40]Структ тарифа'!E20</f>
        <v>66.021095232870024</v>
      </c>
      <c r="N20" s="3118">
        <f>'[40]Структ тарифа'!F20</f>
        <v>2062.9481808333339</v>
      </c>
      <c r="O20" s="3118">
        <f>'[40]Структ тарифа'!G20</f>
        <v>17.319950609351764</v>
      </c>
      <c r="P20" s="3118">
        <f>'[40]Структ тарифа'!H20</f>
        <v>4397.3028050000021</v>
      </c>
      <c r="Q20" s="3118">
        <f>'[40]Структ тарифа'!I20</f>
        <v>40.524315582673417</v>
      </c>
      <c r="R20" s="3118">
        <f>'[40]Структ тарифа'!J20</f>
        <v>887.2696000000019</v>
      </c>
      <c r="S20" s="3118">
        <f>'[40]Структ тарифа'!K20</f>
        <v>8.1768290408448383</v>
      </c>
      <c r="T20" s="3119">
        <f t="shared" si="5"/>
        <v>512.56506416665798</v>
      </c>
      <c r="U20" s="3120">
        <f t="shared" si="6"/>
        <v>6.9760276024939394</v>
      </c>
    </row>
    <row r="21" spans="1:21" x14ac:dyDescent="0.3">
      <c r="A21" s="1432" t="s">
        <v>51</v>
      </c>
      <c r="B21" s="1134" t="s">
        <v>81</v>
      </c>
      <c r="C21" s="1135" t="s">
        <v>40</v>
      </c>
      <c r="D21" s="3116">
        <f t="shared" si="7"/>
        <v>5768.5236215177847</v>
      </c>
      <c r="E21" s="3116">
        <f t="shared" si="1"/>
        <v>55.958766907507488</v>
      </c>
      <c r="F21" s="3116">
        <f>'Д 2_Т на В'!H28</f>
        <v>2640.3178324670394</v>
      </c>
      <c r="G21" s="3116">
        <f t="shared" si="2"/>
        <v>24.295421126048442</v>
      </c>
      <c r="H21" s="3116">
        <f>'Д 3_Т на Т з ЦТП'!G22+'Д 3.1_Т на Т без ЦТП'!G22</f>
        <v>3092.2221030866731</v>
      </c>
      <c r="I21" s="3116">
        <f t="shared" si="3"/>
        <v>31.299122975159076</v>
      </c>
      <c r="J21" s="3116">
        <f>'Д 4_Т на П'!G17</f>
        <v>35.983685964073175</v>
      </c>
      <c r="K21" s="3116">
        <f t="shared" si="4"/>
        <v>0.36422280629997278</v>
      </c>
      <c r="L21" s="3118">
        <f>'[40]Структ тарифа'!D21</f>
        <v>3497.9042058830719</v>
      </c>
      <c r="M21" s="3118">
        <f>'[40]Структ тарифа'!E21</f>
        <v>30.822021975495296</v>
      </c>
      <c r="N21" s="3118">
        <f>'[40]Структ тарифа'!F21</f>
        <v>1724.0222574114287</v>
      </c>
      <c r="O21" s="3118">
        <f>'[40]Структ тарифа'!G21</f>
        <v>14.474420940484823</v>
      </c>
      <c r="P21" s="3118">
        <f>'[40]Структ тарифа'!H21</f>
        <v>1757.4871825497612</v>
      </c>
      <c r="Q21" s="3118">
        <f>'[40]Структ тарифа'!I21</f>
        <v>16.196511447237043</v>
      </c>
      <c r="R21" s="3118">
        <f>'[40]Структ тарифа'!J21</f>
        <v>16.394765921882026</v>
      </c>
      <c r="S21" s="3118">
        <f>'[40]Структ тарифа'!K21</f>
        <v>0.15108958777343207</v>
      </c>
      <c r="T21" s="3119">
        <f t="shared" si="5"/>
        <v>2270.6194156347128</v>
      </c>
      <c r="U21" s="3120">
        <f t="shared" si="6"/>
        <v>64.913710667541807</v>
      </c>
    </row>
    <row r="22" spans="1:21" ht="18" customHeight="1" x14ac:dyDescent="0.3">
      <c r="A22" s="1431" t="s">
        <v>53</v>
      </c>
      <c r="B22" s="1130" t="s">
        <v>2277</v>
      </c>
      <c r="C22" s="1131" t="s">
        <v>40</v>
      </c>
      <c r="D22" s="3116">
        <f t="shared" si="7"/>
        <v>6812.6492399407898</v>
      </c>
      <c r="E22" s="3116">
        <f t="shared" si="1"/>
        <v>64.162015075709064</v>
      </c>
      <c r="F22" s="3115">
        <f>'Д 2_Т на В'!H29</f>
        <v>5210.7535416702249</v>
      </c>
      <c r="G22" s="3116">
        <f t="shared" si="2"/>
        <v>47.947807692772123</v>
      </c>
      <c r="H22" s="3116">
        <f>'Д 3_Т на Т з ЦТП'!G23+'Д 3.1_Т на Т без ЦТП'!G23</f>
        <v>1536.0951446998736</v>
      </c>
      <c r="I22" s="3116">
        <f t="shared" si="3"/>
        <v>15.548181609436774</v>
      </c>
      <c r="J22" s="3115">
        <f>'Д 4_Т на П'!G18</f>
        <v>65.800553570691349</v>
      </c>
      <c r="K22" s="3116">
        <f t="shared" si="4"/>
        <v>0.6660257735001659</v>
      </c>
      <c r="L22" s="3117">
        <f>'[40]Структ тарифа'!D22</f>
        <v>5581.8340176324209</v>
      </c>
      <c r="M22" s="3118">
        <f>'[40]Структ тарифа'!E22</f>
        <v>47.591459049253139</v>
      </c>
      <c r="N22" s="3117">
        <f>'[40]Структ тарифа'!F22</f>
        <v>4694.1414887531846</v>
      </c>
      <c r="O22" s="3118">
        <f>'[40]Структ тарифа'!G22</f>
        <v>39.410732413875664</v>
      </c>
      <c r="P22" s="3117">
        <f>'[40]Структ тарифа'!H22</f>
        <v>839.70473010828846</v>
      </c>
      <c r="Q22" s="3118">
        <f>'[40]Структ тарифа'!I22</f>
        <v>7.7384844729090414</v>
      </c>
      <c r="R22" s="3117">
        <f>'[40]Структ тарифа'!J22</f>
        <v>47.987798770947478</v>
      </c>
      <c r="S22" s="3118">
        <f>'[40]Структ тарифа'!K22</f>
        <v>0.44224216246843207</v>
      </c>
      <c r="T22" s="3119">
        <f t="shared" si="5"/>
        <v>1230.8152223083689</v>
      </c>
      <c r="U22" s="3120">
        <f t="shared" si="6"/>
        <v>22.050373021131662</v>
      </c>
    </row>
    <row r="23" spans="1:21" x14ac:dyDescent="0.3">
      <c r="A23" s="1432" t="s">
        <v>54</v>
      </c>
      <c r="B23" s="1134" t="s">
        <v>55</v>
      </c>
      <c r="C23" s="1135" t="s">
        <v>40</v>
      </c>
      <c r="D23" s="3116">
        <f t="shared" si="7"/>
        <v>5205.7199175136511</v>
      </c>
      <c r="E23" s="3116">
        <f t="shared" si="1"/>
        <v>49.027840427952626</v>
      </c>
      <c r="F23" s="3116">
        <f>'Д 2_Т на В'!H30</f>
        <v>3981.6703519823727</v>
      </c>
      <c r="G23" s="3116">
        <f t="shared" si="2"/>
        <v>36.638148936836714</v>
      </c>
      <c r="H23" s="3116">
        <f>'Д 3_Т на Т з ЦТП'!G24+'Д 3.1_Т на Т без ЦТП'!G24</f>
        <v>1173.7696758375371</v>
      </c>
      <c r="I23" s="3116">
        <f t="shared" si="3"/>
        <v>11.880764124892467</v>
      </c>
      <c r="J23" s="3116">
        <f>'Д 4_Т на П'!G19</f>
        <v>50.279889693741083</v>
      </c>
      <c r="K23" s="3116">
        <f t="shared" si="4"/>
        <v>0.50892736622344914</v>
      </c>
      <c r="L23" s="3118">
        <f>'[40]Структ тарифа'!D23</f>
        <v>4153.1963849473759</v>
      </c>
      <c r="M23" s="3118">
        <f>'[40]Структ тарифа'!E23</f>
        <v>35.410704627431201</v>
      </c>
      <c r="N23" s="3118">
        <f>'[40]Структ тарифа'!F23</f>
        <v>3492.7035450958233</v>
      </c>
      <c r="O23" s="3118">
        <f>'[40]Структ тарифа'!G23</f>
        <v>29.323786926015256</v>
      </c>
      <c r="P23" s="3118">
        <f>'[40]Структ тарифа'!H23</f>
        <v>624.78723632634797</v>
      </c>
      <c r="Q23" s="3118">
        <f>'[40]Структ тарифа'!I23</f>
        <v>5.7578648229832936</v>
      </c>
      <c r="R23" s="3118">
        <f>'[40]Структ тарифа'!J23</f>
        <v>35.705603525204253</v>
      </c>
      <c r="S23" s="3118">
        <f>'[40]Структ тарифа'!K23</f>
        <v>0.32905287843264475</v>
      </c>
      <c r="T23" s="3119">
        <f t="shared" si="5"/>
        <v>1052.5235325662752</v>
      </c>
      <c r="U23" s="3120">
        <f t="shared" si="6"/>
        <v>25.342493708724817</v>
      </c>
    </row>
    <row r="24" spans="1:21" x14ac:dyDescent="0.3">
      <c r="A24" s="1432" t="s">
        <v>56</v>
      </c>
      <c r="B24" s="1134" t="s">
        <v>2275</v>
      </c>
      <c r="C24" s="1135" t="s">
        <v>40</v>
      </c>
      <c r="D24" s="3116">
        <f t="shared" si="7"/>
        <v>1111.174104496022</v>
      </c>
      <c r="E24" s="3116">
        <f t="shared" si="1"/>
        <v>10.465116745836005</v>
      </c>
      <c r="F24" s="3116">
        <f>'Д 2_Т на В'!H31</f>
        <v>849.8976237422155</v>
      </c>
      <c r="G24" s="3116">
        <f t="shared" si="2"/>
        <v>7.8205057091749808</v>
      </c>
      <c r="H24" s="3116">
        <f>'Д 3_Т на Т з ЦТП'!G25+'Д 3.1_Т на Т без ЦТП'!G25</f>
        <v>250.54411092026282</v>
      </c>
      <c r="I24" s="3116">
        <f t="shared" si="3"/>
        <v>2.5359792010306967</v>
      </c>
      <c r="J24" s="3116">
        <f>'Д 4_Т на П'!G20</f>
        <v>10.73236983354378</v>
      </c>
      <c r="K24" s="3116">
        <f t="shared" si="4"/>
        <v>0.10863183563032661</v>
      </c>
      <c r="L24" s="3118">
        <f>'[40]Структ тарифа'!D24</f>
        <v>873.53919514142183</v>
      </c>
      <c r="M24" s="3118">
        <f>'[40]Структ тарифа'!E24</f>
        <v>7.447911332039939</v>
      </c>
      <c r="N24" s="3118">
        <f>'[40]Структ тарифа'!F24</f>
        <v>734.61814969995817</v>
      </c>
      <c r="O24" s="3118">
        <f>'[40]Структ тарифа'!G24</f>
        <v>6.1676537431962739</v>
      </c>
      <c r="P24" s="3118">
        <f>'[40]Структ тарифа'!H24</f>
        <v>131.41110820890469</v>
      </c>
      <c r="Q24" s="3118">
        <f>'[40]Структ тарифа'!I24</f>
        <v>1.211048102957853</v>
      </c>
      <c r="R24" s="3118">
        <f>'[40]Структ тарифа'!J24</f>
        <v>7.5099372325589755</v>
      </c>
      <c r="S24" s="3118">
        <f>'[40]Структ тарифа'!K24</f>
        <v>6.9209485885811953E-2</v>
      </c>
      <c r="T24" s="3119">
        <f t="shared" si="5"/>
        <v>237.63490935460015</v>
      </c>
      <c r="U24" s="3120">
        <f t="shared" si="6"/>
        <v>27.203691680500746</v>
      </c>
    </row>
    <row r="25" spans="1:21" x14ac:dyDescent="0.3">
      <c r="A25" s="1432" t="s">
        <v>57</v>
      </c>
      <c r="B25" s="1134" t="s">
        <v>58</v>
      </c>
      <c r="C25" s="1135" t="s">
        <v>40</v>
      </c>
      <c r="D25" s="3116">
        <f t="shared" si="7"/>
        <v>495.75521793111676</v>
      </c>
      <c r="E25" s="3116">
        <f t="shared" si="1"/>
        <v>4.6690579019204286</v>
      </c>
      <c r="F25" s="3116">
        <f>'Д 2_Т на В'!H32</f>
        <v>379.18556594563665</v>
      </c>
      <c r="G25" s="3116">
        <f t="shared" si="2"/>
        <v>3.4891530467604266</v>
      </c>
      <c r="H25" s="3116">
        <f>'Д 3_Т на Т з ЦТП'!G26+'Д 3.1_Т на Т без ЦТП'!G26</f>
        <v>111.78135794207361</v>
      </c>
      <c r="I25" s="3116">
        <f t="shared" si="3"/>
        <v>1.1314382835136119</v>
      </c>
      <c r="J25" s="3116">
        <f>'Д 4_Т на П'!G21</f>
        <v>4.788294043406486</v>
      </c>
      <c r="K25" s="3116">
        <f t="shared" si="4"/>
        <v>4.8466571646390094E-2</v>
      </c>
      <c r="L25" s="3118">
        <f>'[40]Структ тарифа'!D25</f>
        <v>555.09843754362316</v>
      </c>
      <c r="M25" s="3118">
        <f>'[40]Структ тарифа'!E25</f>
        <v>4.7328430897820093</v>
      </c>
      <c r="N25" s="3118">
        <f>'[40]Структ тарифа'!F25</f>
        <v>466.81979395740314</v>
      </c>
      <c r="O25" s="3118">
        <f>'[40]Структ тарифа'!G25</f>
        <v>3.9192917446641395</v>
      </c>
      <c r="P25" s="3118">
        <f>'[40]Структ тарифа'!H25</f>
        <v>83.506385573035814</v>
      </c>
      <c r="Q25" s="3118">
        <f>'[40]Структ тарифа'!I25</f>
        <v>0.76957154696789365</v>
      </c>
      <c r="R25" s="3118">
        <f>'[40]Структ тарифа'!J25</f>
        <v>4.7722580131842491</v>
      </c>
      <c r="S25" s="3118">
        <f>'[40]Структ тарифа'!K25</f>
        <v>4.3979798149975359E-2</v>
      </c>
      <c r="T25" s="3119">
        <f t="shared" si="5"/>
        <v>-59.343219612506402</v>
      </c>
      <c r="U25" s="3120">
        <f t="shared" si="6"/>
        <v>-10.690575868868814</v>
      </c>
    </row>
    <row r="26" spans="1:21" x14ac:dyDescent="0.3">
      <c r="A26" s="1431">
        <v>2</v>
      </c>
      <c r="B26" s="1130" t="s">
        <v>2278</v>
      </c>
      <c r="C26" s="1131" t="s">
        <v>40</v>
      </c>
      <c r="D26" s="3116">
        <f t="shared" si="7"/>
        <v>8282.3657869488452</v>
      </c>
      <c r="E26" s="3116">
        <f t="shared" si="1"/>
        <v>78.003910045626739</v>
      </c>
      <c r="F26" s="3115">
        <f>'Д 2_Т на В'!H33</f>
        <v>6334.8875507536159</v>
      </c>
      <c r="G26" s="3116">
        <f t="shared" si="2"/>
        <v>58.291755234600913</v>
      </c>
      <c r="H26" s="3115">
        <f>'Д 3_Т на Т з ЦТП'!G27+'Д 3.1_Т на Т без ЦТП'!G27</f>
        <v>1867.4823000385445</v>
      </c>
      <c r="I26" s="3116">
        <f t="shared" si="3"/>
        <v>18.902444977834435</v>
      </c>
      <c r="J26" s="3115">
        <f>'Д 4_Т на П'!G22</f>
        <v>79.995936156684508</v>
      </c>
      <c r="K26" s="3116">
        <f t="shared" si="4"/>
        <v>0.80970983319139112</v>
      </c>
      <c r="L26" s="3117">
        <f>'[40]Структ тарифа'!D26</f>
        <v>6590.0227063402108</v>
      </c>
      <c r="M26" s="3118">
        <f>'[40]Структ тарифа'!E26</f>
        <v>56.187409867745707</v>
      </c>
      <c r="N26" s="3117">
        <f>'[40]Структ тарифа'!F26</f>
        <v>5541.9954982427525</v>
      </c>
      <c r="O26" s="3118">
        <f>'[40]Структ тарифа'!G26</f>
        <v>46.52908357011664</v>
      </c>
      <c r="P26" s="3117">
        <f>'[40]Структ тарифа'!H26</f>
        <v>991.37187178167869</v>
      </c>
      <c r="Q26" s="3118">
        <f>'[40]Структ тарифа'!I26</f>
        <v>9.1362065278254985</v>
      </c>
      <c r="R26" s="3117">
        <f>'[40]Структ тарифа'!J26</f>
        <v>56.65533631578046</v>
      </c>
      <c r="S26" s="3118">
        <f>'[40]Структ тарифа'!K26</f>
        <v>0.522119769803568</v>
      </c>
      <c r="T26" s="3119">
        <f t="shared" si="5"/>
        <v>1692.3430806086344</v>
      </c>
      <c r="U26" s="3120">
        <f t="shared" si="6"/>
        <v>25.680383149218045</v>
      </c>
    </row>
    <row r="27" spans="1:21" x14ac:dyDescent="0.3">
      <c r="A27" s="1432" t="s">
        <v>25</v>
      </c>
      <c r="B27" s="1134" t="s">
        <v>55</v>
      </c>
      <c r="C27" s="1135" t="s">
        <v>40</v>
      </c>
      <c r="D27" s="3116">
        <f t="shared" si="7"/>
        <v>6202.3666716557036</v>
      </c>
      <c r="E27" s="3116">
        <f t="shared" si="1"/>
        <v>58.414330442661608</v>
      </c>
      <c r="F27" s="3116">
        <f>'Д 2_Т на В'!H34</f>
        <v>4743.9700713768461</v>
      </c>
      <c r="G27" s="3116">
        <f t="shared" si="2"/>
        <v>43.652604726673331</v>
      </c>
      <c r="H27" s="3116">
        <f>'Д 3_Т на Т з ЦТП'!G28+'Д 3.1_Т на Т без ЦТП'!G28</f>
        <v>1398.4905129302454</v>
      </c>
      <c r="I27" s="3116">
        <f t="shared" si="3"/>
        <v>14.155363064025726</v>
      </c>
      <c r="J27" s="3116">
        <f>'Д 4_Т на П'!G23</f>
        <v>59.90608734861253</v>
      </c>
      <c r="K27" s="3116">
        <f t="shared" si="4"/>
        <v>0.60636265196254879</v>
      </c>
      <c r="L27" s="3118">
        <f>'[40]Структ тарифа'!D27</f>
        <v>4877.1954091341786</v>
      </c>
      <c r="M27" s="3118">
        <f>'[40]Структ тарифа'!E27</f>
        <v>41.583616577597056</v>
      </c>
      <c r="N27" s="3118">
        <f>'[40]Структ тарифа'!F27</f>
        <v>4101.5632579637486</v>
      </c>
      <c r="O27" s="3118">
        <f>'[40]Структ тарифа'!G27</f>
        <v>34.435607112713647</v>
      </c>
      <c r="P27" s="3118">
        <f>'[40]Структ тарифа'!H27</f>
        <v>733.70222793717141</v>
      </c>
      <c r="Q27" s="3118">
        <f>'[40]Структ тарифа'!I27</f>
        <v>6.7615949929189618</v>
      </c>
      <c r="R27" s="3118">
        <f>'[40]Структ тарифа'!J27</f>
        <v>41.929923233258783</v>
      </c>
      <c r="S27" s="3118">
        <f>'[40]Структ тарифа'!K27</f>
        <v>0.38641447196444506</v>
      </c>
      <c r="T27" s="3119">
        <f t="shared" si="5"/>
        <v>1325.171262521525</v>
      </c>
      <c r="U27" s="3120">
        <f t="shared" si="6"/>
        <v>27.170764165809285</v>
      </c>
    </row>
    <row r="28" spans="1:21" x14ac:dyDescent="0.3">
      <c r="A28" s="1432" t="s">
        <v>26</v>
      </c>
      <c r="B28" s="1134" t="s">
        <v>2275</v>
      </c>
      <c r="C28" s="1135" t="s">
        <v>40</v>
      </c>
      <c r="D28" s="3116">
        <f t="shared" si="7"/>
        <v>1364.520667764255</v>
      </c>
      <c r="E28" s="3116">
        <f t="shared" si="1"/>
        <v>12.851152697385556</v>
      </c>
      <c r="F28" s="3116">
        <f>'Д 2_Т на В'!H35</f>
        <v>1043.6734157029061</v>
      </c>
      <c r="G28" s="3116">
        <f t="shared" si="2"/>
        <v>9.6035730398681345</v>
      </c>
      <c r="H28" s="3116">
        <f>'Д 3_Т на Т з ЦТП'!G29+'Д 3.1_Т на Т без ЦТП'!G29</f>
        <v>307.66791284465398</v>
      </c>
      <c r="I28" s="3116">
        <f t="shared" si="3"/>
        <v>3.1141798740856599</v>
      </c>
      <c r="J28" s="3116">
        <f>'Д 4_Т на П'!G24</f>
        <v>13.179339216694757</v>
      </c>
      <c r="K28" s="3116">
        <f t="shared" si="4"/>
        <v>0.13339978343176073</v>
      </c>
      <c r="L28" s="3118">
        <f>'[40]Структ тарифа'!D28</f>
        <v>1072.9829900095192</v>
      </c>
      <c r="M28" s="3118">
        <f>'[40]Структ тарифа'!E28</f>
        <v>9.1483956470713519</v>
      </c>
      <c r="N28" s="3118">
        <f>'[40]Структ тарифа'!F28</f>
        <v>902.34391675202471</v>
      </c>
      <c r="O28" s="3118">
        <f>'[40]Структ тарифа'!G28</f>
        <v>7.5758335647970023</v>
      </c>
      <c r="P28" s="3118">
        <f>'[40]Структ тарифа'!H28</f>
        <v>161.41449014617771</v>
      </c>
      <c r="Q28" s="3118">
        <f>'[40]Структ тарифа'!I28</f>
        <v>1.4875508984421715</v>
      </c>
      <c r="R28" s="3118">
        <f>'[40]Структ тарифа'!J28</f>
        <v>9.2245831113169316</v>
      </c>
      <c r="S28" s="3118">
        <f>'[40]Структ тарифа'!K28</f>
        <v>8.50111838321779E-2</v>
      </c>
      <c r="T28" s="3119">
        <f t="shared" si="5"/>
        <v>291.5376777547358</v>
      </c>
      <c r="U28" s="3120">
        <f t="shared" si="6"/>
        <v>27.170764165809313</v>
      </c>
    </row>
    <row r="29" spans="1:21" x14ac:dyDescent="0.3">
      <c r="A29" s="1432" t="s">
        <v>59</v>
      </c>
      <c r="B29" s="1134" t="s">
        <v>58</v>
      </c>
      <c r="C29" s="1135" t="s">
        <v>40</v>
      </c>
      <c r="D29" s="3116">
        <f t="shared" si="7"/>
        <v>715.47844752888602</v>
      </c>
      <c r="E29" s="3116">
        <f t="shared" si="1"/>
        <v>6.7384269055795807</v>
      </c>
      <c r="F29" s="3116">
        <f>'Д 2_Т на В'!H36</f>
        <v>547.24406367386359</v>
      </c>
      <c r="G29" s="3116">
        <f t="shared" si="2"/>
        <v>5.0355774680594481</v>
      </c>
      <c r="H29" s="3116">
        <f>'Д 3_Т на Т з ЦТП'!G30+'Д 3.1_Т на Т без ЦТП'!G30</f>
        <v>161.32387426364517</v>
      </c>
      <c r="I29" s="3116">
        <f t="shared" si="3"/>
        <v>1.6329020397230509</v>
      </c>
      <c r="J29" s="3116">
        <f>'Д 4_Т на П'!G25</f>
        <v>6.9105095913772203</v>
      </c>
      <c r="K29" s="3116">
        <f t="shared" si="4"/>
        <v>6.9947397797081631E-2</v>
      </c>
      <c r="L29" s="3118">
        <f>'[40]Структ тарифа'!D29</f>
        <v>639.84430719651357</v>
      </c>
      <c r="M29" s="3118">
        <f>'[40]Структ тарифа'!E29</f>
        <v>5.455397643077303</v>
      </c>
      <c r="N29" s="3118">
        <f>'[40]Структ тарифа'!F29</f>
        <v>538.08832352697925</v>
      </c>
      <c r="O29" s="3118">
        <f>'[40]Структ тарифа'!G29</f>
        <v>4.5176428926059931</v>
      </c>
      <c r="P29" s="3118">
        <f>'[40]Структ тарифа'!H29</f>
        <v>96.25515369832948</v>
      </c>
      <c r="Q29" s="3118">
        <f>'[40]Структ тарифа'!I29</f>
        <v>0.88706063646436473</v>
      </c>
      <c r="R29" s="3118">
        <f>'[40]Структ тарифа'!J29</f>
        <v>5.5008299712047446</v>
      </c>
      <c r="S29" s="3118">
        <f>'[40]Структ тарифа'!K29</f>
        <v>5.0694114006945054E-2</v>
      </c>
      <c r="T29" s="3119">
        <f t="shared" si="5"/>
        <v>75.634140332372453</v>
      </c>
      <c r="U29" s="3120">
        <f t="shared" si="6"/>
        <v>11.820710051131728</v>
      </c>
    </row>
    <row r="30" spans="1:21" x14ac:dyDescent="0.3">
      <c r="A30" s="1431">
        <v>3</v>
      </c>
      <c r="B30" s="1130" t="s">
        <v>2279</v>
      </c>
      <c r="C30" s="1131" t="s">
        <v>40</v>
      </c>
      <c r="D30" s="3115">
        <f t="shared" si="7"/>
        <v>0</v>
      </c>
      <c r="E30" s="3116">
        <f t="shared" si="1"/>
        <v>0</v>
      </c>
      <c r="F30" s="3115">
        <f>'Д 2_Т на В'!H37</f>
        <v>0</v>
      </c>
      <c r="G30" s="3116">
        <f t="shared" si="2"/>
        <v>0</v>
      </c>
      <c r="H30" s="3116">
        <f>'Д 3_Т на Т з ЦТП'!G31+'Д 3.1_Т на Т без ЦТП'!G31</f>
        <v>0</v>
      </c>
      <c r="I30" s="3116">
        <f t="shared" si="3"/>
        <v>0</v>
      </c>
      <c r="J30" s="3115">
        <f>'Д 4_Т на П'!G26</f>
        <v>0</v>
      </c>
      <c r="K30" s="3116">
        <f t="shared" si="4"/>
        <v>0</v>
      </c>
      <c r="L30" s="3118">
        <f>'[40]Структ тарифа'!D30</f>
        <v>0</v>
      </c>
      <c r="M30" s="3118">
        <f>'[40]Структ тарифа'!E30</f>
        <v>0</v>
      </c>
      <c r="N30" s="3118">
        <f>'[40]Структ тарифа'!F30</f>
        <v>0</v>
      </c>
      <c r="O30" s="3118">
        <f>'[40]Структ тарифа'!G30</f>
        <v>0</v>
      </c>
      <c r="P30" s="3118">
        <f>'[40]Структ тарифа'!H30</f>
        <v>0</v>
      </c>
      <c r="Q30" s="3118">
        <f>'[40]Структ тарифа'!I30</f>
        <v>0</v>
      </c>
      <c r="R30" s="3118">
        <f>'[40]Структ тарифа'!J30</f>
        <v>0</v>
      </c>
      <c r="S30" s="3118">
        <f>'[40]Структ тарифа'!K30</f>
        <v>0</v>
      </c>
      <c r="T30" s="3119">
        <f t="shared" si="5"/>
        <v>0</v>
      </c>
      <c r="U30" s="3120">
        <v>0</v>
      </c>
    </row>
    <row r="31" spans="1:21" x14ac:dyDescent="0.3">
      <c r="A31" s="1432" t="s">
        <v>60</v>
      </c>
      <c r="B31" s="1134" t="s">
        <v>55</v>
      </c>
      <c r="C31" s="1135" t="s">
        <v>40</v>
      </c>
      <c r="D31" s="3116">
        <f t="shared" si="7"/>
        <v>0</v>
      </c>
      <c r="E31" s="3116">
        <f t="shared" si="1"/>
        <v>0</v>
      </c>
      <c r="F31" s="3116">
        <f>'Д 2_Т на В'!H38</f>
        <v>0</v>
      </c>
      <c r="G31" s="3116">
        <f t="shared" si="2"/>
        <v>0</v>
      </c>
      <c r="H31" s="3116">
        <f>'Д 3_Т на Т з ЦТП'!G32+'Д 3.1_Т на Т без ЦТП'!G32</f>
        <v>0</v>
      </c>
      <c r="I31" s="3116">
        <f t="shared" si="3"/>
        <v>0</v>
      </c>
      <c r="J31" s="3116">
        <f>'Д 4_Т на П'!G27</f>
        <v>0</v>
      </c>
      <c r="K31" s="3116">
        <f t="shared" si="4"/>
        <v>0</v>
      </c>
      <c r="L31" s="3118">
        <f>'[40]Структ тарифа'!D31</f>
        <v>0</v>
      </c>
      <c r="M31" s="3118">
        <f>'[40]Структ тарифа'!E31</f>
        <v>0</v>
      </c>
      <c r="N31" s="3118">
        <f>'[40]Структ тарифа'!F31</f>
        <v>0</v>
      </c>
      <c r="O31" s="3118">
        <f>'[40]Структ тарифа'!G31</f>
        <v>0</v>
      </c>
      <c r="P31" s="3118">
        <f>'[40]Структ тарифа'!H31</f>
        <v>0</v>
      </c>
      <c r="Q31" s="3118">
        <f>'[40]Структ тарифа'!I31</f>
        <v>0</v>
      </c>
      <c r="R31" s="3118">
        <f>'[40]Структ тарифа'!J31</f>
        <v>0</v>
      </c>
      <c r="S31" s="3118">
        <f>'[40]Структ тарифа'!K31</f>
        <v>0</v>
      </c>
      <c r="T31" s="3119">
        <f t="shared" si="5"/>
        <v>0</v>
      </c>
      <c r="U31" s="3120">
        <v>0</v>
      </c>
    </row>
    <row r="32" spans="1:21" x14ac:dyDescent="0.3">
      <c r="A32" s="1432" t="s">
        <v>61</v>
      </c>
      <c r="B32" s="1134" t="s">
        <v>2275</v>
      </c>
      <c r="C32" s="1135" t="s">
        <v>40</v>
      </c>
      <c r="D32" s="3116">
        <f t="shared" si="7"/>
        <v>0</v>
      </c>
      <c r="E32" s="3116">
        <f t="shared" si="1"/>
        <v>0</v>
      </c>
      <c r="F32" s="3116">
        <f>'Д 2_Т на В'!H39</f>
        <v>0</v>
      </c>
      <c r="G32" s="3116">
        <f t="shared" si="2"/>
        <v>0</v>
      </c>
      <c r="H32" s="3116">
        <f>'Д 3_Т на Т з ЦТП'!G33+'Д 3.1_Т на Т без ЦТП'!G33</f>
        <v>0</v>
      </c>
      <c r="I32" s="3116">
        <f t="shared" si="3"/>
        <v>0</v>
      </c>
      <c r="J32" s="3116">
        <f>'Д 4_Т на П'!G28</f>
        <v>0</v>
      </c>
      <c r="K32" s="3116">
        <f t="shared" si="4"/>
        <v>0</v>
      </c>
      <c r="L32" s="3118">
        <f>'[40]Структ тарифа'!D32</f>
        <v>0</v>
      </c>
      <c r="M32" s="3118">
        <f>'[40]Структ тарифа'!E32</f>
        <v>0</v>
      </c>
      <c r="N32" s="3118">
        <f>'[40]Структ тарифа'!F32</f>
        <v>0</v>
      </c>
      <c r="O32" s="3118">
        <f>'[40]Структ тарифа'!G32</f>
        <v>0</v>
      </c>
      <c r="P32" s="3118">
        <f>'[40]Структ тарифа'!H32</f>
        <v>0</v>
      </c>
      <c r="Q32" s="3118">
        <f>'[40]Структ тарифа'!I32</f>
        <v>0</v>
      </c>
      <c r="R32" s="3118">
        <f>'[40]Структ тарифа'!J32</f>
        <v>0</v>
      </c>
      <c r="S32" s="3118">
        <f>'[40]Структ тарифа'!K32</f>
        <v>0</v>
      </c>
      <c r="T32" s="3119">
        <f t="shared" si="5"/>
        <v>0</v>
      </c>
      <c r="U32" s="3120">
        <v>0</v>
      </c>
    </row>
    <row r="33" spans="1:21" x14ac:dyDescent="0.3">
      <c r="A33" s="1432" t="s">
        <v>62</v>
      </c>
      <c r="B33" s="1134" t="s">
        <v>58</v>
      </c>
      <c r="C33" s="1135" t="s">
        <v>40</v>
      </c>
      <c r="D33" s="3116">
        <f t="shared" si="7"/>
        <v>0</v>
      </c>
      <c r="E33" s="3116">
        <f t="shared" si="1"/>
        <v>0</v>
      </c>
      <c r="F33" s="3116">
        <f>'Д 2_Т на В'!H40</f>
        <v>0</v>
      </c>
      <c r="G33" s="3116">
        <f t="shared" si="2"/>
        <v>0</v>
      </c>
      <c r="H33" s="3116">
        <f>'Д 3_Т на Т з ЦТП'!G34+'Д 3.1_Т на Т без ЦТП'!G34</f>
        <v>0</v>
      </c>
      <c r="I33" s="3116">
        <f t="shared" si="3"/>
        <v>0</v>
      </c>
      <c r="J33" s="3116">
        <f>'Д 4_Т на П'!G29</f>
        <v>0</v>
      </c>
      <c r="K33" s="3116">
        <f t="shared" si="4"/>
        <v>0</v>
      </c>
      <c r="L33" s="3118">
        <f>'[40]Структ тарифа'!D33</f>
        <v>0</v>
      </c>
      <c r="M33" s="3118">
        <f>'[40]Структ тарифа'!E33</f>
        <v>0</v>
      </c>
      <c r="N33" s="3118">
        <f>'[40]Структ тарифа'!F33</f>
        <v>0</v>
      </c>
      <c r="O33" s="3118">
        <f>'[40]Структ тарифа'!G33</f>
        <v>0</v>
      </c>
      <c r="P33" s="3118">
        <f>'[40]Структ тарифа'!H33</f>
        <v>0</v>
      </c>
      <c r="Q33" s="3118">
        <f>'[40]Структ тарифа'!I33</f>
        <v>0</v>
      </c>
      <c r="R33" s="3118">
        <f>'[40]Структ тарифа'!J33</f>
        <v>0</v>
      </c>
      <c r="S33" s="3118">
        <f>'[40]Структ тарифа'!K33</f>
        <v>0</v>
      </c>
      <c r="T33" s="3119">
        <f t="shared" si="5"/>
        <v>0</v>
      </c>
      <c r="U33" s="3120">
        <v>0</v>
      </c>
    </row>
    <row r="34" spans="1:21" x14ac:dyDescent="0.3">
      <c r="A34" s="1432">
        <v>4</v>
      </c>
      <c r="B34" s="1134" t="s">
        <v>2280</v>
      </c>
      <c r="C34" s="1135" t="s">
        <v>40</v>
      </c>
      <c r="D34" s="3116">
        <f t="shared" si="7"/>
        <v>0</v>
      </c>
      <c r="E34" s="3116">
        <f t="shared" si="1"/>
        <v>0</v>
      </c>
      <c r="F34" s="3116">
        <f>'Д 2_Т на В'!H41</f>
        <v>0</v>
      </c>
      <c r="G34" s="3116">
        <f t="shared" si="2"/>
        <v>0</v>
      </c>
      <c r="H34" s="3116">
        <f>'Д 3_Т на Т з ЦТП'!G35+'Д 3.1_Т на Т без ЦТП'!G35</f>
        <v>0</v>
      </c>
      <c r="I34" s="3116">
        <f t="shared" si="3"/>
        <v>0</v>
      </c>
      <c r="J34" s="3116">
        <f>'Д 4_Т на П'!G30</f>
        <v>0</v>
      </c>
      <c r="K34" s="3116">
        <f t="shared" si="4"/>
        <v>0</v>
      </c>
      <c r="L34" s="3118">
        <f>'[40]Структ тарифа'!D34</f>
        <v>0</v>
      </c>
      <c r="M34" s="3118">
        <f>'[40]Структ тарифа'!E34</f>
        <v>0</v>
      </c>
      <c r="N34" s="3118">
        <f>'[40]Структ тарифа'!F34</f>
        <v>0</v>
      </c>
      <c r="O34" s="3118">
        <f>'[40]Структ тарифа'!G34</f>
        <v>0</v>
      </c>
      <c r="P34" s="3118">
        <f>'[40]Структ тарифа'!H34</f>
        <v>0</v>
      </c>
      <c r="Q34" s="3118">
        <f>'[40]Структ тарифа'!I34</f>
        <v>0</v>
      </c>
      <c r="R34" s="3118">
        <f>'[40]Структ тарифа'!J34</f>
        <v>0</v>
      </c>
      <c r="S34" s="3118">
        <f>'[40]Структ тарифа'!K34</f>
        <v>0</v>
      </c>
      <c r="T34" s="3119">
        <f t="shared" si="5"/>
        <v>0</v>
      </c>
      <c r="U34" s="3120">
        <v>0</v>
      </c>
    </row>
    <row r="35" spans="1:21" x14ac:dyDescent="0.3">
      <c r="A35" s="1432">
        <v>5</v>
      </c>
      <c r="B35" s="1134" t="s">
        <v>5</v>
      </c>
      <c r="C35" s="1135" t="s">
        <v>40</v>
      </c>
      <c r="D35" s="3116">
        <f t="shared" si="7"/>
        <v>0</v>
      </c>
      <c r="E35" s="3116">
        <f t="shared" si="1"/>
        <v>0</v>
      </c>
      <c r="F35" s="3116">
        <f>'Д 2_Т на В'!H42</f>
        <v>0</v>
      </c>
      <c r="G35" s="3116">
        <f t="shared" si="2"/>
        <v>0</v>
      </c>
      <c r="H35" s="3116">
        <f>'Д 3_Т на Т з ЦТП'!G36+'Д 3.1_Т на Т без ЦТП'!G36</f>
        <v>0</v>
      </c>
      <c r="I35" s="3116">
        <f t="shared" si="3"/>
        <v>0</v>
      </c>
      <c r="J35" s="3116">
        <f>'Д 4_Т на П'!G31</f>
        <v>0</v>
      </c>
      <c r="K35" s="3116">
        <f t="shared" si="4"/>
        <v>0</v>
      </c>
      <c r="L35" s="3118">
        <f>'[40]Структ тарифа'!D35</f>
        <v>50.187150000000003</v>
      </c>
      <c r="M35" s="3118">
        <f>'[40]Структ тарифа'!E35</f>
        <v>0.421357631422907</v>
      </c>
      <c r="N35" s="3118">
        <f>'[40]Структ тарифа'!F35</f>
        <v>50.187150000000003</v>
      </c>
      <c r="O35" s="3118">
        <f>'[40]Структ тарифа'!G35</f>
        <v>0.421357631422907</v>
      </c>
      <c r="P35" s="3118">
        <f>'[40]Структ тарифа'!H35</f>
        <v>0</v>
      </c>
      <c r="Q35" s="3118">
        <f>'[40]Структ тарифа'!I35</f>
        <v>0</v>
      </c>
      <c r="R35" s="3118">
        <f>'[40]Структ тарифа'!J35</f>
        <v>0</v>
      </c>
      <c r="S35" s="3118">
        <f>'[40]Структ тарифа'!K35</f>
        <v>0</v>
      </c>
      <c r="T35" s="3119">
        <f t="shared" si="5"/>
        <v>-50.187150000000003</v>
      </c>
      <c r="U35" s="3120">
        <v>-100</v>
      </c>
    </row>
    <row r="36" spans="1:21" x14ac:dyDescent="0.3">
      <c r="A36" s="1431">
        <v>6</v>
      </c>
      <c r="B36" s="1130" t="s">
        <v>63</v>
      </c>
      <c r="C36" s="1131" t="s">
        <v>40</v>
      </c>
      <c r="D36" s="3115">
        <f t="shared" si="7"/>
        <v>217294.50821288634</v>
      </c>
      <c r="E36" s="3116">
        <f t="shared" si="1"/>
        <v>2056.4281453227627</v>
      </c>
      <c r="F36" s="3115">
        <f>'Д 2_Т на В'!H43</f>
        <v>155406.25959820245</v>
      </c>
      <c r="G36" s="3116">
        <f t="shared" si="2"/>
        <v>1430.0022808369492</v>
      </c>
      <c r="H36" s="3115">
        <f>'Д 3_Т на Т з ЦТП'!G37+'Д 3.1_Т на Т без ЦТП'!G37</f>
        <v>59925.803484984943</v>
      </c>
      <c r="I36" s="3116">
        <f t="shared" si="3"/>
        <v>606.56221646870085</v>
      </c>
      <c r="J36" s="3115">
        <f>J7+J26+J30+J34+J35</f>
        <v>1962.4451296989496</v>
      </c>
      <c r="K36" s="3116">
        <f t="shared" si="4"/>
        <v>19.863648017112624</v>
      </c>
      <c r="L36" s="3117">
        <f>'[40]Структ тарифа'!D36</f>
        <v>220651.01794356984</v>
      </c>
      <c r="M36" s="3118">
        <f>'[40]Структ тарифа'!E36</f>
        <v>1892.435070727978</v>
      </c>
      <c r="N36" s="3117">
        <f>'[40]Структ тарифа'!F36</f>
        <v>171980.79366325345</v>
      </c>
      <c r="O36" s="3118">
        <f>'[40]Структ тарифа'!G36</f>
        <v>1443.9038651961739</v>
      </c>
      <c r="P36" s="3117">
        <f>'[40]Структ тарифа'!H36</f>
        <v>46912.592694712759</v>
      </c>
      <c r="Q36" s="3118">
        <f>'[40]Структ тарифа'!I36</f>
        <v>432.33336330631852</v>
      </c>
      <c r="R36" s="3117">
        <f>'[40]Структ тарифа'!J36</f>
        <v>1757.6315856036119</v>
      </c>
      <c r="S36" s="3118">
        <f>'[40]Структ тарифа'!K36</f>
        <v>16.19784222548563</v>
      </c>
      <c r="T36" s="3119">
        <f t="shared" si="5"/>
        <v>-3356.5097306834941</v>
      </c>
      <c r="U36" s="3120">
        <f t="shared" si="6"/>
        <v>-1.5211847930571982</v>
      </c>
    </row>
    <row r="37" spans="1:21" s="428" customFormat="1" ht="33.6" customHeight="1" x14ac:dyDescent="0.3">
      <c r="A37" s="3121" t="s">
        <v>171</v>
      </c>
      <c r="B37" s="3122" t="s">
        <v>2655</v>
      </c>
      <c r="C37" s="1131" t="s">
        <v>40</v>
      </c>
      <c r="D37" s="3116">
        <f>F37+H37+J37</f>
        <v>0</v>
      </c>
      <c r="E37" s="3116">
        <f t="shared" si="1"/>
        <v>0</v>
      </c>
      <c r="F37" s="3115">
        <f>'Д 2_Т на В'!H44</f>
        <v>0</v>
      </c>
      <c r="G37" s="3116">
        <f t="shared" si="2"/>
        <v>0</v>
      </c>
      <c r="H37" s="3115">
        <f>'Д 3_Т на Т з ЦТП'!G38+'Д 3.1_Т на Т без ЦТП'!G38</f>
        <v>0</v>
      </c>
      <c r="I37" s="3116">
        <f t="shared" si="3"/>
        <v>0</v>
      </c>
      <c r="J37" s="3116">
        <f>'Д 4_Т на П'!G33</f>
        <v>0</v>
      </c>
      <c r="K37" s="3116">
        <f t="shared" si="4"/>
        <v>0</v>
      </c>
      <c r="L37" s="3118">
        <f>'[40]Структ тарифа'!D37</f>
        <v>0</v>
      </c>
      <c r="M37" s="3118">
        <f>'[40]Структ тарифа'!E37</f>
        <v>0</v>
      </c>
      <c r="N37" s="3118">
        <f>'[40]Структ тарифа'!F37</f>
        <v>0</v>
      </c>
      <c r="O37" s="3118">
        <f>'[40]Структ тарифа'!G37</f>
        <v>0</v>
      </c>
      <c r="P37" s="3118">
        <f>'[40]Структ тарифа'!H37</f>
        <v>0</v>
      </c>
      <c r="Q37" s="3118">
        <f>'[40]Структ тарифа'!I37</f>
        <v>0</v>
      </c>
      <c r="R37" s="3118">
        <f>'[40]Структ тарифа'!J37</f>
        <v>0</v>
      </c>
      <c r="S37" s="3118">
        <f>'[40]Структ тарифа'!K37</f>
        <v>0</v>
      </c>
      <c r="T37" s="3119">
        <f t="shared" si="5"/>
        <v>0</v>
      </c>
      <c r="U37" s="3120">
        <v>0</v>
      </c>
    </row>
    <row r="38" spans="1:21" ht="16.95" customHeight="1" x14ac:dyDescent="0.3">
      <c r="A38" s="3121" t="s">
        <v>172</v>
      </c>
      <c r="B38" s="1130" t="s">
        <v>2443</v>
      </c>
      <c r="C38" s="1131" t="s">
        <v>40</v>
      </c>
      <c r="D38" s="3115">
        <f t="shared" si="7"/>
        <v>10069.745502548391</v>
      </c>
      <c r="E38" s="3116">
        <f t="shared" si="1"/>
        <v>95.297889661298754</v>
      </c>
      <c r="F38" s="3115">
        <f>'Д 2_Т на В'!H45</f>
        <v>7201.7534935752356</v>
      </c>
      <c r="G38" s="3116">
        <f t="shared" si="2"/>
        <v>66.268398380248868</v>
      </c>
      <c r="H38" s="3115">
        <f>'Д 3_Т на Т з ЦТП'!G39+'Д 3.1_Т на Т без ЦТП'!G39</f>
        <v>2777.0494297919849</v>
      </c>
      <c r="I38" s="3116">
        <f t="shared" si="3"/>
        <v>28.108980763183695</v>
      </c>
      <c r="J38" s="3115">
        <f>'Д 4_Т на П'!G34</f>
        <v>90.942579181170828</v>
      </c>
      <c r="K38" s="3116">
        <f t="shared" si="4"/>
        <v>0.92051051786619476</v>
      </c>
      <c r="L38" s="3117">
        <f>'[40]Структ тарифа'!D38</f>
        <v>12653.401990250341</v>
      </c>
      <c r="M38" s="3118">
        <f>'[40]Структ тарифа'!E38</f>
        <v>108.52314171735622</v>
      </c>
      <c r="N38" s="3117">
        <f>'[40]Структ тарифа'!F38</f>
        <v>9862.3706208324857</v>
      </c>
      <c r="O38" s="3118">
        <f>'[40]Структ тарифа'!G38</f>
        <v>82.801775454650056</v>
      </c>
      <c r="P38" s="3117">
        <f>'[40]Структ тарифа'!H38</f>
        <v>2690.2386370267841</v>
      </c>
      <c r="Q38" s="3118">
        <f>'[40]Структ тарифа'!I38</f>
        <v>24.792488567221728</v>
      </c>
      <c r="R38" s="3117">
        <f>'[40]Структ тарифа'!J38</f>
        <v>100.79273239107084</v>
      </c>
      <c r="S38" s="3118">
        <f>'[40]Структ тарифа'!K38</f>
        <v>0.92887769548444865</v>
      </c>
      <c r="T38" s="3119">
        <f t="shared" si="5"/>
        <v>-2583.65648770195</v>
      </c>
      <c r="U38" s="3120">
        <f t="shared" si="6"/>
        <v>-20.418670723436279</v>
      </c>
    </row>
    <row r="39" spans="1:21" x14ac:dyDescent="0.3">
      <c r="A39" s="3123" t="s">
        <v>115</v>
      </c>
      <c r="B39" s="1134" t="s">
        <v>65</v>
      </c>
      <c r="C39" s="1135" t="s">
        <v>40</v>
      </c>
      <c r="D39" s="3116">
        <f t="shared" si="7"/>
        <v>1812.5541904587101</v>
      </c>
      <c r="E39" s="3116">
        <f t="shared" si="1"/>
        <v>17.153620139033777</v>
      </c>
      <c r="F39" s="3116">
        <f>'Д 2_Т на В'!H46</f>
        <v>1296.3156288435421</v>
      </c>
      <c r="G39" s="3116">
        <f t="shared" si="2"/>
        <v>11.928311708444795</v>
      </c>
      <c r="H39" s="3116">
        <f>'Д 3_Т на Т з ЦТП'!G40+'Д 3.1_Т на Т без ЦТП'!G40</f>
        <v>499.86889736255728</v>
      </c>
      <c r="I39" s="3116">
        <f t="shared" si="3"/>
        <v>5.0596165373730653</v>
      </c>
      <c r="J39" s="3116">
        <f>'Д 4_Т на П'!G35</f>
        <v>16.369664252610747</v>
      </c>
      <c r="K39" s="3116">
        <f t="shared" si="4"/>
        <v>0.16569189321591504</v>
      </c>
      <c r="L39" s="3118">
        <f>'[40]Структ тарифа'!D39</f>
        <v>2277.6123582450605</v>
      </c>
      <c r="M39" s="3118">
        <f>'[40]Структ тарифа'!E39</f>
        <v>19.534165509124115</v>
      </c>
      <c r="N39" s="3118">
        <f>'[40]Структ тарифа'!F39</f>
        <v>1775.2267117498468</v>
      </c>
      <c r="O39" s="3118">
        <f>'[40]Структ тарифа'!G39</f>
        <v>14.904319581837004</v>
      </c>
      <c r="P39" s="3118">
        <f>'[40]Структ тарифа'!H39</f>
        <v>484.2429546648209</v>
      </c>
      <c r="Q39" s="3118">
        <f>'[40]Структ тарифа'!I39</f>
        <v>4.4626479420999097</v>
      </c>
      <c r="R39" s="3118">
        <f>'[40]Структ тарифа'!J39</f>
        <v>18.142691830392749</v>
      </c>
      <c r="S39" s="3118">
        <f>'[40]Структ тарифа'!K39</f>
        <v>0.16719798518720072</v>
      </c>
      <c r="T39" s="3119">
        <f t="shared" si="5"/>
        <v>-465.0581677863504</v>
      </c>
      <c r="U39" s="3120">
        <f t="shared" si="6"/>
        <v>-20.418670723436261</v>
      </c>
    </row>
    <row r="40" spans="1:21" x14ac:dyDescent="0.3">
      <c r="A40" s="3123" t="s">
        <v>117</v>
      </c>
      <c r="B40" s="1134" t="s">
        <v>84</v>
      </c>
      <c r="C40" s="1135" t="s">
        <v>40</v>
      </c>
      <c r="D40" s="3116">
        <f t="shared" si="7"/>
        <v>0</v>
      </c>
      <c r="E40" s="3116">
        <f t="shared" si="1"/>
        <v>0</v>
      </c>
      <c r="F40" s="3116">
        <f>'Д 2_Т на В'!H47</f>
        <v>0</v>
      </c>
      <c r="G40" s="3116">
        <f t="shared" si="2"/>
        <v>0</v>
      </c>
      <c r="H40" s="3116">
        <f>'Д 3_Т на Т з ЦТП'!G41+'Д 3.1_Т на Т без ЦТП'!G41</f>
        <v>0</v>
      </c>
      <c r="I40" s="3116">
        <f t="shared" si="3"/>
        <v>0</v>
      </c>
      <c r="J40" s="3116">
        <f>'Д 4_Т на П'!G36</f>
        <v>0</v>
      </c>
      <c r="K40" s="3116">
        <f t="shared" si="4"/>
        <v>0</v>
      </c>
      <c r="L40" s="3118">
        <f>'[40]Структ тарифа'!D40</f>
        <v>1556.3684448007921</v>
      </c>
      <c r="M40" s="3118">
        <f>'[40]Структ тарифа'!E40</f>
        <v>13.348346431234818</v>
      </c>
      <c r="N40" s="3118">
        <f>'[40]Структ тарифа'!F40</f>
        <v>1213.0715863623959</v>
      </c>
      <c r="O40" s="3118">
        <f>'[40]Структ тарифа'!G40</f>
        <v>10.184618380921957</v>
      </c>
      <c r="P40" s="3118">
        <f>'[40]Структ тарифа'!H40</f>
        <v>330.89935235429448</v>
      </c>
      <c r="Q40" s="3118">
        <f>'[40]Структ тарифа'!I40</f>
        <v>3.0494760937682734</v>
      </c>
      <c r="R40" s="3118">
        <f>'[40]Структ тарифа'!J40</f>
        <v>12.397506084101714</v>
      </c>
      <c r="S40" s="3118">
        <f>'[40]Структ тарифа'!K40</f>
        <v>0.11425195654458718</v>
      </c>
      <c r="T40" s="3119">
        <f t="shared" si="5"/>
        <v>-1556.3684448007921</v>
      </c>
      <c r="U40" s="3120">
        <f t="shared" si="6"/>
        <v>-100</v>
      </c>
    </row>
    <row r="41" spans="1:21" x14ac:dyDescent="0.3">
      <c r="A41" s="3123" t="s">
        <v>119</v>
      </c>
      <c r="B41" s="1134" t="s">
        <v>85</v>
      </c>
      <c r="C41" s="1135" t="s">
        <v>40</v>
      </c>
      <c r="D41" s="3116">
        <f t="shared" si="7"/>
        <v>0</v>
      </c>
      <c r="E41" s="3116">
        <f t="shared" si="1"/>
        <v>0</v>
      </c>
      <c r="F41" s="3116">
        <f>'Д 2_Т на В'!H48</f>
        <v>0</v>
      </c>
      <c r="G41" s="3116">
        <f t="shared" si="2"/>
        <v>0</v>
      </c>
      <c r="H41" s="3116">
        <f>'Д 3_Т на Т з ЦТП'!G42+'Д 3.1_Т на Т без ЦТП'!G42</f>
        <v>0</v>
      </c>
      <c r="I41" s="3116">
        <f t="shared" si="3"/>
        <v>0</v>
      </c>
      <c r="J41" s="3116">
        <f>'Д 4_Т на П'!G37</f>
        <v>0</v>
      </c>
      <c r="K41" s="3116">
        <f t="shared" si="4"/>
        <v>0</v>
      </c>
      <c r="L41" s="3118">
        <f>'[40]Структ тарифа'!D41</f>
        <v>0</v>
      </c>
      <c r="M41" s="3118">
        <f>'[40]Структ тарифа'!E41</f>
        <v>0</v>
      </c>
      <c r="N41" s="3118">
        <f>'[40]Структ тарифа'!F41</f>
        <v>0</v>
      </c>
      <c r="O41" s="3118">
        <f>'[40]Структ тарифа'!G41</f>
        <v>0</v>
      </c>
      <c r="P41" s="3118">
        <f>'[40]Структ тарифа'!H41</f>
        <v>0</v>
      </c>
      <c r="Q41" s="3118">
        <f>'[40]Структ тарифа'!I41</f>
        <v>0</v>
      </c>
      <c r="R41" s="3118">
        <f>'[40]Структ тарифа'!J41</f>
        <v>0</v>
      </c>
      <c r="S41" s="3118">
        <f>'[40]Структ тарифа'!K41</f>
        <v>0</v>
      </c>
      <c r="T41" s="3119">
        <f t="shared" si="5"/>
        <v>0</v>
      </c>
      <c r="U41" s="3120">
        <v>0</v>
      </c>
    </row>
    <row r="42" spans="1:21" ht="18" customHeight="1" x14ac:dyDescent="0.3">
      <c r="A42" s="3123" t="s">
        <v>121</v>
      </c>
      <c r="B42" s="1134" t="s">
        <v>71</v>
      </c>
      <c r="C42" s="1135" t="s">
        <v>40</v>
      </c>
      <c r="D42" s="3116">
        <f t="shared" si="7"/>
        <v>0</v>
      </c>
      <c r="E42" s="3116">
        <f t="shared" si="1"/>
        <v>0</v>
      </c>
      <c r="F42" s="3116">
        <f>'Д 2_Т на В'!H49</f>
        <v>0</v>
      </c>
      <c r="G42" s="3116">
        <f t="shared" si="2"/>
        <v>0</v>
      </c>
      <c r="H42" s="3116">
        <f>'Д 3_Т на Т з ЦТП'!G43+'Д 3.1_Т на Т без ЦТП'!G43</f>
        <v>0</v>
      </c>
      <c r="I42" s="3116">
        <f t="shared" si="3"/>
        <v>0</v>
      </c>
      <c r="J42" s="3116">
        <f>'Д 4_Т на П'!G38</f>
        <v>0</v>
      </c>
      <c r="K42" s="3116">
        <f t="shared" si="4"/>
        <v>0</v>
      </c>
      <c r="L42" s="3118">
        <f>'[40]Структ тарифа'!D42</f>
        <v>0</v>
      </c>
      <c r="M42" s="3118">
        <f>'[40]Структ тарифа'!E42</f>
        <v>0</v>
      </c>
      <c r="N42" s="3118">
        <f>'[40]Структ тарифа'!F42</f>
        <v>0</v>
      </c>
      <c r="O42" s="3118">
        <f>'[40]Структ тарифа'!G42</f>
        <v>0</v>
      </c>
      <c r="P42" s="3118">
        <f>'[40]Структ тарифа'!H42</f>
        <v>0</v>
      </c>
      <c r="Q42" s="3118">
        <f>'[40]Структ тарифа'!I42</f>
        <v>0</v>
      </c>
      <c r="R42" s="3118">
        <f>'[40]Структ тарифа'!J42</f>
        <v>0</v>
      </c>
      <c r="S42" s="3118">
        <f>'[40]Структ тарифа'!K42</f>
        <v>0</v>
      </c>
      <c r="T42" s="3119">
        <f t="shared" si="5"/>
        <v>0</v>
      </c>
      <c r="U42" s="3120">
        <v>0</v>
      </c>
    </row>
    <row r="43" spans="1:21" ht="18" customHeight="1" x14ac:dyDescent="0.3">
      <c r="A43" s="3123" t="s">
        <v>223</v>
      </c>
      <c r="B43" s="1134" t="s">
        <v>2545</v>
      </c>
      <c r="C43" s="1135" t="s">
        <v>40</v>
      </c>
      <c r="D43" s="3116">
        <f t="shared" si="7"/>
        <v>8257.1913120896807</v>
      </c>
      <c r="E43" s="3116">
        <f t="shared" si="1"/>
        <v>78.144269522265006</v>
      </c>
      <c r="F43" s="3116">
        <f>'Д 2_Т на В'!H50</f>
        <v>5905.4378647316935</v>
      </c>
      <c r="G43" s="3116">
        <f t="shared" si="2"/>
        <v>54.34008667180408</v>
      </c>
      <c r="H43" s="3116">
        <f>'Д 3_Т на Т з ЦТП'!G44+'Д 3.1_Т на Т без ЦТП'!G44</f>
        <v>2277.1805324294278</v>
      </c>
      <c r="I43" s="3116">
        <f t="shared" si="3"/>
        <v>23.049364225810635</v>
      </c>
      <c r="J43" s="3116">
        <f>'Д 4_Т на П'!G39</f>
        <v>74.572914928560081</v>
      </c>
      <c r="K43" s="3116">
        <f t="shared" si="4"/>
        <v>0.75481862465027971</v>
      </c>
      <c r="L43" s="3118">
        <f>'[40]Структ тарифа'!D43</f>
        <v>8819.4211872044889</v>
      </c>
      <c r="M43" s="3118">
        <f>'[40]Структ тарифа'!E43</f>
        <v>75.640629776997315</v>
      </c>
      <c r="N43" s="3118">
        <f>'[40]Структ тарифа'!F43</f>
        <v>6874.0723227202434</v>
      </c>
      <c r="O43" s="3118">
        <f>'[40]Структ тарифа'!G43</f>
        <v>57.712837491891101</v>
      </c>
      <c r="P43" s="3118">
        <f>'[40]Структ тарифа'!H43</f>
        <v>1875.0963300076689</v>
      </c>
      <c r="Q43" s="3118">
        <f>'[40]Структ тарифа'!I43</f>
        <v>17.280364531353552</v>
      </c>
      <c r="R43" s="3118">
        <f>'[40]Структ тарифа'!J43</f>
        <v>70.252534476576372</v>
      </c>
      <c r="S43" s="3118">
        <f>'[40]Структ тарифа'!K43</f>
        <v>0.64742775375266071</v>
      </c>
      <c r="T43" s="3119">
        <f t="shared" si="5"/>
        <v>-562.22987511480824</v>
      </c>
      <c r="U43" s="3120">
        <f t="shared" si="6"/>
        <v>-6.3749067334544609</v>
      </c>
    </row>
    <row r="44" spans="1:21" s="245" customFormat="1" ht="18" customHeight="1" x14ac:dyDescent="0.3">
      <c r="A44" s="3121" t="s">
        <v>187</v>
      </c>
      <c r="B44" s="1130" t="s">
        <v>2283</v>
      </c>
      <c r="C44" s="3095" t="s">
        <v>40</v>
      </c>
      <c r="D44" s="3115">
        <f t="shared" si="7"/>
        <v>227364.25371543475</v>
      </c>
      <c r="E44" s="3116">
        <f t="shared" si="1"/>
        <v>2151.7260349840617</v>
      </c>
      <c r="F44" s="3115">
        <f>F36+F38</f>
        <v>162608.01309177768</v>
      </c>
      <c r="G44" s="3116">
        <f t="shared" si="2"/>
        <v>1496.2706792171982</v>
      </c>
      <c r="H44" s="3115">
        <f>H36+H38</f>
        <v>62702.85291477693</v>
      </c>
      <c r="I44" s="3116">
        <f t="shared" si="3"/>
        <v>634.67119723188455</v>
      </c>
      <c r="J44" s="3115">
        <f>J36+J38</f>
        <v>2053.3877088801205</v>
      </c>
      <c r="K44" s="3116">
        <f t="shared" si="4"/>
        <v>20.784158534978822</v>
      </c>
      <c r="L44" s="3117">
        <f>'[40]Структ тарифа'!D44</f>
        <v>233304.41993382017</v>
      </c>
      <c r="M44" s="3118">
        <f>'[40]Структ тарифа'!E44</f>
        <v>2000.9582124453345</v>
      </c>
      <c r="N44" s="3117">
        <f>'[40]Структ тарифа'!F44</f>
        <v>181843.16428408594</v>
      </c>
      <c r="O44" s="3118">
        <f>'[40]Структ тарифа'!G44</f>
        <v>1526.7056406508241</v>
      </c>
      <c r="P44" s="3117">
        <f>'[40]Структ тарифа'!H44</f>
        <v>49602.831331739544</v>
      </c>
      <c r="Q44" s="3118">
        <f>'[40]Структ тарифа'!I44</f>
        <v>457.12585187354023</v>
      </c>
      <c r="R44" s="3117">
        <f>'[40]Структ тарифа'!J44</f>
        <v>1858.4243179946827</v>
      </c>
      <c r="S44" s="3118">
        <f>'[40]Структ тарифа'!K44</f>
        <v>17.126719920970075</v>
      </c>
      <c r="T44" s="3119">
        <f t="shared" si="5"/>
        <v>-5940.1662183854205</v>
      </c>
      <c r="U44" s="3120">
        <f t="shared" si="6"/>
        <v>-2.5461010211767205</v>
      </c>
    </row>
    <row r="45" spans="1:21" s="245" customFormat="1" ht="18" customHeight="1" x14ac:dyDescent="0.3">
      <c r="A45" s="3121" t="s">
        <v>188</v>
      </c>
      <c r="B45" s="1134" t="s">
        <v>2284</v>
      </c>
      <c r="C45" s="1844" t="s">
        <v>182</v>
      </c>
      <c r="D45" s="3116">
        <f>H45</f>
        <v>98795.806692118887</v>
      </c>
      <c r="E45" s="3116"/>
      <c r="F45" s="3115"/>
      <c r="G45" s="3116"/>
      <c r="H45" s="3124">
        <f>'Д 2_Т на В'!H55</f>
        <v>98795.806692118887</v>
      </c>
      <c r="I45" s="3115"/>
      <c r="J45" s="3125">
        <f>H45</f>
        <v>98795.806692118887</v>
      </c>
      <c r="K45" s="3115"/>
      <c r="L45" s="3118">
        <f>'[40]Структ тарифа'!D45</f>
        <v>108510.23001311622</v>
      </c>
      <c r="M45" s="3118">
        <f>'[40]Структ тарифа'!E45</f>
        <v>0</v>
      </c>
      <c r="N45" s="3118">
        <f>'[40]Структ тарифа'!F45</f>
        <v>0</v>
      </c>
      <c r="O45" s="3118">
        <f>'[40]Структ тарифа'!G45</f>
        <v>0</v>
      </c>
      <c r="P45" s="3126">
        <f>'[40]Структ тарифа'!H45</f>
        <v>108510.23001311622</v>
      </c>
      <c r="Q45" s="3118">
        <f>'[40]Структ тарифа'!I45</f>
        <v>0</v>
      </c>
      <c r="R45" s="3126">
        <f>'[40]Структ тарифа'!J45</f>
        <v>108510.23001311622</v>
      </c>
      <c r="S45" s="3118">
        <f>'[40]Структ тарифа'!K45</f>
        <v>0</v>
      </c>
      <c r="T45" s="3119">
        <f t="shared" si="5"/>
        <v>-9714.4233209973318</v>
      </c>
      <c r="U45" s="3120">
        <f t="shared" si="6"/>
        <v>-8.9525414514586288</v>
      </c>
    </row>
    <row r="46" spans="1:21" ht="18" customHeight="1" x14ac:dyDescent="0.3">
      <c r="A46" s="1432" t="s">
        <v>189</v>
      </c>
      <c r="B46" s="1134" t="s">
        <v>2285</v>
      </c>
      <c r="C46" s="1844" t="s">
        <v>31</v>
      </c>
      <c r="D46" s="3116">
        <f>F46</f>
        <v>71.594076517000005</v>
      </c>
      <c r="E46" s="3116"/>
      <c r="F46" s="3116">
        <f>'ТЕ_2ст_тариф_з ЦТП'!E17</f>
        <v>71.594076517000005</v>
      </c>
      <c r="G46" s="3116"/>
      <c r="H46" s="3116">
        <f>F46</f>
        <v>71.594076517000005</v>
      </c>
      <c r="I46" s="3115"/>
      <c r="J46" s="3116">
        <f>F46</f>
        <v>71.594076517000005</v>
      </c>
      <c r="K46" s="3115"/>
      <c r="L46" s="3118">
        <f>'[40]Структ тарифа'!D46</f>
        <v>73.1036</v>
      </c>
      <c r="M46" s="3118">
        <f>'[40]Структ тарифа'!E46</f>
        <v>0</v>
      </c>
      <c r="N46" s="3118">
        <f>'[40]Структ тарифа'!F46</f>
        <v>73.1036</v>
      </c>
      <c r="O46" s="3118">
        <f>'[40]Структ тарифа'!G46</f>
        <v>0</v>
      </c>
      <c r="P46" s="3118">
        <f>'[40]Структ тарифа'!H46</f>
        <v>73.1036</v>
      </c>
      <c r="Q46" s="3118">
        <f>'[40]Структ тарифа'!I46</f>
        <v>0</v>
      </c>
      <c r="R46" s="3118">
        <f>'[40]Структ тарифа'!J46</f>
        <v>73.1036</v>
      </c>
      <c r="S46" s="3118">
        <f>'[40]Структ тарифа'!K46</f>
        <v>0</v>
      </c>
      <c r="T46" s="3119">
        <f t="shared" si="5"/>
        <v>-1.5095234829999953</v>
      </c>
      <c r="U46" s="3120">
        <f t="shared" si="6"/>
        <v>-2.0649099127813066</v>
      </c>
    </row>
    <row r="47" spans="1:21" ht="18" customHeight="1" x14ac:dyDescent="0.3">
      <c r="A47" s="1432" t="s">
        <v>190</v>
      </c>
      <c r="B47" s="1134" t="s">
        <v>2290</v>
      </c>
      <c r="C47" s="1844" t="s">
        <v>182</v>
      </c>
      <c r="D47" s="3116">
        <f t="shared" si="7"/>
        <v>108675.53267624618</v>
      </c>
      <c r="E47" s="3116"/>
      <c r="F47" s="3116">
        <f>'Д 2_Т на В'!H58</f>
        <v>108675.53267624618</v>
      </c>
      <c r="G47" s="3116"/>
      <c r="H47" s="3116"/>
      <c r="I47" s="3116"/>
      <c r="J47" s="3116"/>
      <c r="K47" s="3116"/>
      <c r="L47" s="3118">
        <f>'[40]Структ тарифа'!D47</f>
        <v>119108.20229010712</v>
      </c>
      <c r="M47" s="3118">
        <f>'[40]Структ тарифа'!E47</f>
        <v>0</v>
      </c>
      <c r="N47" s="3118">
        <f>'[40]Структ тарифа'!F47</f>
        <v>119108.20229010712</v>
      </c>
      <c r="O47" s="3118">
        <f>'[40]Структ тарифа'!G47</f>
        <v>0</v>
      </c>
      <c r="P47" s="3118">
        <f>'[40]Структ тарифа'!H47</f>
        <v>0</v>
      </c>
      <c r="Q47" s="3118">
        <f>'[40]Структ тарифа'!I47</f>
        <v>0</v>
      </c>
      <c r="R47" s="3118">
        <f>'[40]Структ тарифа'!J47</f>
        <v>0</v>
      </c>
      <c r="S47" s="3118">
        <f>'[40]Структ тарифа'!K47</f>
        <v>0</v>
      </c>
      <c r="T47" s="3119">
        <f t="shared" si="5"/>
        <v>-10432.66961386094</v>
      </c>
      <c r="U47" s="3120">
        <f t="shared" si="6"/>
        <v>-8.7589850348429419</v>
      </c>
    </row>
    <row r="48" spans="1:21" s="245" customFormat="1" ht="18" customHeight="1" x14ac:dyDescent="0.3">
      <c r="A48" s="1431" t="s">
        <v>191</v>
      </c>
      <c r="B48" s="1130" t="s">
        <v>3444</v>
      </c>
      <c r="C48" s="3095" t="s">
        <v>2286</v>
      </c>
      <c r="D48" s="3115"/>
      <c r="E48" s="3115">
        <f>E44</f>
        <v>2151.7260349840617</v>
      </c>
      <c r="F48" s="3115"/>
      <c r="G48" s="3115">
        <f>G44</f>
        <v>1496.2706792171982</v>
      </c>
      <c r="H48" s="3115"/>
      <c r="I48" s="3115">
        <f>I44</f>
        <v>634.67119723188455</v>
      </c>
      <c r="J48" s="3115"/>
      <c r="K48" s="3115">
        <f>K44</f>
        <v>20.784158534978822</v>
      </c>
      <c r="L48" s="3118"/>
      <c r="M48" s="3118">
        <f>'[40]Структ тарифа'!E48</f>
        <v>2000.9582124453345</v>
      </c>
      <c r="N48" s="3118"/>
      <c r="O48" s="3118">
        <f>'[40]Структ тарифа'!G48</f>
        <v>1526.7056406508241</v>
      </c>
      <c r="P48" s="3118">
        <f>'[40]Структ тарифа'!H48</f>
        <v>0</v>
      </c>
      <c r="Q48" s="3118">
        <f>'[40]Структ тарифа'!I48</f>
        <v>457.12585187354023</v>
      </c>
      <c r="R48" s="3118">
        <f>'[40]Структ тарифа'!J48</f>
        <v>0</v>
      </c>
      <c r="S48" s="3118">
        <f>'[40]Структ тарифа'!K48</f>
        <v>17.126719920970075</v>
      </c>
      <c r="T48" s="3119">
        <f>E48-M48</f>
        <v>150.76782253872716</v>
      </c>
      <c r="U48" s="3120">
        <f>T48/M48*100</f>
        <v>7.5347811663931035</v>
      </c>
    </row>
    <row r="49" spans="1:21" ht="17.399999999999999" customHeight="1" x14ac:dyDescent="0.3">
      <c r="A49" s="1432" t="s">
        <v>236</v>
      </c>
      <c r="B49" s="1134" t="s">
        <v>3445</v>
      </c>
      <c r="C49" s="1844" t="s">
        <v>2286</v>
      </c>
      <c r="D49" s="3116"/>
      <c r="E49" s="3116">
        <f t="shared" ref="E49:E58" si="8">G49+I49+K49</f>
        <v>2485.504101001588</v>
      </c>
      <c r="F49" s="3115"/>
      <c r="G49" s="3116">
        <f>G48</f>
        <v>1496.2706792171982</v>
      </c>
      <c r="H49" s="3115"/>
      <c r="I49" s="3116">
        <f>'Д 3_Т на Т з ЦТП'!G46</f>
        <v>968.44926324941105</v>
      </c>
      <c r="J49" s="3115"/>
      <c r="K49" s="3116">
        <f>K48</f>
        <v>20.784158534978822</v>
      </c>
      <c r="L49" s="3118"/>
      <c r="M49" s="3118">
        <f>'[40]Структ тарифа'!E49</f>
        <v>2235.2196226041783</v>
      </c>
      <c r="N49" s="3118"/>
      <c r="O49" s="3118">
        <f>'[40]Структ тарифа'!G49</f>
        <v>1526.7056406508241</v>
      </c>
      <c r="P49" s="3118"/>
      <c r="Q49" s="3118">
        <f>'[40]Структ тарифа'!I49</f>
        <v>691.38726203238434</v>
      </c>
      <c r="R49" s="3118"/>
      <c r="S49" s="3118">
        <f>'[40]Структ тарифа'!K49</f>
        <v>17.126719920970075</v>
      </c>
      <c r="T49" s="3119">
        <f t="shared" ref="T49:T58" si="9">E49-M49</f>
        <v>250.28447839740966</v>
      </c>
      <c r="U49" s="3120">
        <f t="shared" ref="U49:U58" si="10">T49/M49*100</f>
        <v>11.197310361198946</v>
      </c>
    </row>
    <row r="50" spans="1:21" s="758" customFormat="1" ht="17.399999999999999" customHeight="1" x14ac:dyDescent="0.3">
      <c r="A50" s="3127" t="s">
        <v>3446</v>
      </c>
      <c r="B50" s="3128" t="s">
        <v>3447</v>
      </c>
      <c r="C50" s="1844" t="s">
        <v>2286</v>
      </c>
      <c r="D50" s="3129"/>
      <c r="E50" s="3129">
        <f t="shared" si="8"/>
        <v>2291.6205284132493</v>
      </c>
      <c r="F50" s="3130"/>
      <c r="G50" s="3129">
        <f>'Д 2_Т на В'!L52</f>
        <v>1321.3719506169798</v>
      </c>
      <c r="H50" s="3130"/>
      <c r="I50" s="3129">
        <f>'Д 3_Т на Т з ЦТП'!H46</f>
        <v>949.4644192612908</v>
      </c>
      <c r="J50" s="3130"/>
      <c r="K50" s="3129">
        <f>K49</f>
        <v>20.784158534978822</v>
      </c>
      <c r="L50" s="3118"/>
      <c r="M50" s="3118">
        <f>'[40]Структ тарифа'!E50</f>
        <v>1929.5308297744068</v>
      </c>
      <c r="N50" s="3118"/>
      <c r="O50" s="3118">
        <f>'[40]Структ тарифа'!G50</f>
        <v>1247.7046330531921</v>
      </c>
      <c r="P50" s="3118"/>
      <c r="Q50" s="3118">
        <f>'[40]Структ тарифа'!I50</f>
        <v>664.6994768002445</v>
      </c>
      <c r="R50" s="3118"/>
      <c r="S50" s="3118">
        <f>'[40]Структ тарифа'!K50</f>
        <v>17.126719920970075</v>
      </c>
      <c r="T50" s="3119">
        <f t="shared" si="9"/>
        <v>362.08969863884249</v>
      </c>
      <c r="U50" s="3120">
        <f t="shared" si="10"/>
        <v>18.765686095887705</v>
      </c>
    </row>
    <row r="51" spans="1:21" s="758" customFormat="1" ht="17.399999999999999" customHeight="1" x14ac:dyDescent="0.3">
      <c r="A51" s="3127" t="s">
        <v>3448</v>
      </c>
      <c r="B51" s="3128" t="s">
        <v>3449</v>
      </c>
      <c r="C51" s="1844" t="s">
        <v>2286</v>
      </c>
      <c r="D51" s="3129"/>
      <c r="E51" s="3129">
        <f t="shared" si="8"/>
        <v>0</v>
      </c>
      <c r="F51" s="3130"/>
      <c r="G51" s="3129">
        <f>IF(I51=0,0,'Д 2_Т на В'!P52)</f>
        <v>0</v>
      </c>
      <c r="H51" s="3130"/>
      <c r="I51" s="3129">
        <f>'Д 3_Т на Т з ЦТП'!I46</f>
        <v>0</v>
      </c>
      <c r="J51" s="3130"/>
      <c r="K51" s="3129">
        <f>IF(I51=0,0,K48)</f>
        <v>0</v>
      </c>
      <c r="L51" s="3118"/>
      <c r="M51" s="3118">
        <f>'[40]Структ тарифа'!E51</f>
        <v>0</v>
      </c>
      <c r="N51" s="3118"/>
      <c r="O51" s="3118">
        <f>'[40]Структ тарифа'!G51</f>
        <v>0</v>
      </c>
      <c r="P51" s="3118"/>
      <c r="Q51" s="3118">
        <f>'[40]Структ тарифа'!I51</f>
        <v>0</v>
      </c>
      <c r="R51" s="3118"/>
      <c r="S51" s="3118">
        <f>'[40]Структ тарифа'!K51</f>
        <v>0</v>
      </c>
      <c r="T51" s="3119">
        <f t="shared" si="9"/>
        <v>0</v>
      </c>
      <c r="U51" s="3120">
        <v>0</v>
      </c>
    </row>
    <row r="52" spans="1:21" s="758" customFormat="1" ht="17.399999999999999" customHeight="1" x14ac:dyDescent="0.3">
      <c r="A52" s="3127" t="s">
        <v>3450</v>
      </c>
      <c r="B52" s="3128" t="s">
        <v>3451</v>
      </c>
      <c r="C52" s="1844" t="s">
        <v>2286</v>
      </c>
      <c r="D52" s="3129"/>
      <c r="E52" s="3129">
        <f t="shared" si="8"/>
        <v>3436.7070083408057</v>
      </c>
      <c r="F52" s="3130"/>
      <c r="G52" s="3129">
        <f>'Д 2_Т на В'!T52</f>
        <v>2354.1214482265323</v>
      </c>
      <c r="H52" s="3130"/>
      <c r="I52" s="3129">
        <f>'Д 3_Т на Т з ЦТП'!J46</f>
        <v>1061.8014015792946</v>
      </c>
      <c r="J52" s="3130"/>
      <c r="K52" s="3129">
        <f>K49</f>
        <v>20.784158534978822</v>
      </c>
      <c r="L52" s="3118"/>
      <c r="M52" s="3118">
        <f>'[40]Структ тарифа'!E52</f>
        <v>3105.8481717714371</v>
      </c>
      <c r="N52" s="3118"/>
      <c r="O52" s="3118">
        <f>'[40]Структ тарифа'!G52</f>
        <v>2304.2650476069825</v>
      </c>
      <c r="P52" s="3118"/>
      <c r="Q52" s="3118">
        <f>'[40]Структ тарифа'!I52</f>
        <v>784.4564042434846</v>
      </c>
      <c r="R52" s="3118"/>
      <c r="S52" s="3118">
        <f>'[40]Структ тарифа'!K52</f>
        <v>17.126719920970075</v>
      </c>
      <c r="T52" s="3119">
        <f t="shared" si="9"/>
        <v>330.85883656936858</v>
      </c>
      <c r="U52" s="3120">
        <f t="shared" si="10"/>
        <v>10.652769171928371</v>
      </c>
    </row>
    <row r="53" spans="1:21" s="758" customFormat="1" ht="17.399999999999999" customHeight="1" x14ac:dyDescent="0.3">
      <c r="A53" s="3127" t="s">
        <v>3452</v>
      </c>
      <c r="B53" s="3128" t="s">
        <v>3453</v>
      </c>
      <c r="C53" s="1844" t="s">
        <v>2286</v>
      </c>
      <c r="D53" s="3129"/>
      <c r="E53" s="3129">
        <f t="shared" si="8"/>
        <v>3436.7070083408053</v>
      </c>
      <c r="F53" s="3130"/>
      <c r="G53" s="3129">
        <f>'Д 2_Т на В'!X52</f>
        <v>2354.1214482265318</v>
      </c>
      <c r="H53" s="3130"/>
      <c r="I53" s="3129">
        <f>'Д 3_Т на Т з ЦТП'!K46</f>
        <v>1061.8014015792946</v>
      </c>
      <c r="J53" s="3130"/>
      <c r="K53" s="3129">
        <f>K49</f>
        <v>20.784158534978822</v>
      </c>
      <c r="L53" s="3118"/>
      <c r="M53" s="3118">
        <f>'[40]Структ тарифа'!E53</f>
        <v>4204.739957063156</v>
      </c>
      <c r="N53" s="3118"/>
      <c r="O53" s="3118">
        <f>'[40]Структ тарифа'!G53</f>
        <v>3291.2823820994427</v>
      </c>
      <c r="P53" s="3118"/>
      <c r="Q53" s="3118">
        <f>'[40]Структ тарифа'!I53</f>
        <v>896.33085504274368</v>
      </c>
      <c r="R53" s="3118"/>
      <c r="S53" s="3118">
        <f>'[40]Структ тарифа'!K53</f>
        <v>17.126719920970075</v>
      </c>
      <c r="T53" s="3119">
        <f t="shared" si="9"/>
        <v>-768.03294872235074</v>
      </c>
      <c r="U53" s="3120">
        <f t="shared" si="10"/>
        <v>-18.265884610347968</v>
      </c>
    </row>
    <row r="54" spans="1:21" ht="16.95" customHeight="1" x14ac:dyDescent="0.3">
      <c r="A54" s="1432" t="s">
        <v>237</v>
      </c>
      <c r="B54" s="1134" t="s">
        <v>3454</v>
      </c>
      <c r="C54" s="1844" t="s">
        <v>2286</v>
      </c>
      <c r="D54" s="3116"/>
      <c r="E54" s="3116">
        <f t="shared" si="8"/>
        <v>2085.0567778898749</v>
      </c>
      <c r="F54" s="3131"/>
      <c r="G54" s="3116">
        <f>G48</f>
        <v>1496.2706792171982</v>
      </c>
      <c r="H54" s="3115"/>
      <c r="I54" s="3116">
        <f>'Д 3.1_Т на Т без ЦТП'!G46</f>
        <v>568.00194013769772</v>
      </c>
      <c r="J54" s="3115"/>
      <c r="K54" s="3116">
        <f>K48</f>
        <v>20.784158534978822</v>
      </c>
      <c r="L54" s="3118"/>
      <c r="M54" s="3118">
        <f>'[40]Структ тарифа'!E54</f>
        <v>1955.2341268005832</v>
      </c>
      <c r="N54" s="3118"/>
      <c r="O54" s="3118">
        <f>'[40]Структ тарифа'!G54</f>
        <v>1526.7056406508241</v>
      </c>
      <c r="P54" s="3118"/>
      <c r="Q54" s="3118">
        <f>'[40]Структ тарифа'!I54</f>
        <v>411.40176622878897</v>
      </c>
      <c r="R54" s="3118"/>
      <c r="S54" s="3118">
        <f>'[40]Структ тарифа'!K54</f>
        <v>17.126719920970075</v>
      </c>
      <c r="T54" s="3119">
        <f t="shared" si="9"/>
        <v>129.82265108929164</v>
      </c>
      <c r="U54" s="3120">
        <f t="shared" si="10"/>
        <v>6.6397496499166015</v>
      </c>
    </row>
    <row r="55" spans="1:21" s="758" customFormat="1" ht="16.95" customHeight="1" x14ac:dyDescent="0.3">
      <c r="A55" s="3127" t="s">
        <v>3455</v>
      </c>
      <c r="B55" s="3128" t="s">
        <v>3447</v>
      </c>
      <c r="C55" s="1844" t="s">
        <v>2286</v>
      </c>
      <c r="D55" s="3129"/>
      <c r="E55" s="3129">
        <f t="shared" si="8"/>
        <v>1893.4766574782534</v>
      </c>
      <c r="F55" s="3130"/>
      <c r="G55" s="3129">
        <f>G50</f>
        <v>1321.3719506169798</v>
      </c>
      <c r="H55" s="3130"/>
      <c r="I55" s="3129">
        <f>'Д 3.1_Т на Т без ЦТП'!H46</f>
        <v>551.32054832629467</v>
      </c>
      <c r="J55" s="3130"/>
      <c r="K55" s="3129">
        <f>K54</f>
        <v>20.784158534978822</v>
      </c>
      <c r="L55" s="3118"/>
      <c r="M55" s="3118">
        <f>'[40]Структ тарифа'!E55</f>
        <v>1647.6097314502754</v>
      </c>
      <c r="N55" s="3118"/>
      <c r="O55" s="3118">
        <f>'[40]Структ тарифа'!G55</f>
        <v>1247.7046330531921</v>
      </c>
      <c r="P55" s="3118"/>
      <c r="Q55" s="3118">
        <f>'[40]Структ тарифа'!I55</f>
        <v>382.77837847611329</v>
      </c>
      <c r="R55" s="3118"/>
      <c r="S55" s="3118">
        <f>'[40]Структ тарифа'!K55</f>
        <v>17.126719920970075</v>
      </c>
      <c r="T55" s="3119">
        <f t="shared" si="9"/>
        <v>245.86692602797802</v>
      </c>
      <c r="U55" s="3120">
        <f t="shared" si="10"/>
        <v>14.922643471616217</v>
      </c>
    </row>
    <row r="56" spans="1:21" s="758" customFormat="1" ht="16.95" customHeight="1" x14ac:dyDescent="0.3">
      <c r="A56" s="3127" t="s">
        <v>3456</v>
      </c>
      <c r="B56" s="3128" t="s">
        <v>3449</v>
      </c>
      <c r="C56" s="1844" t="s">
        <v>2286</v>
      </c>
      <c r="D56" s="3129"/>
      <c r="E56" s="3129">
        <f t="shared" si="8"/>
        <v>3024.5793351330999</v>
      </c>
      <c r="F56" s="3130"/>
      <c r="G56" s="3129">
        <f>IF(I56=0,0,'Д 2_Т на В'!P52)</f>
        <v>2354.1214482265309</v>
      </c>
      <c r="H56" s="3130"/>
      <c r="I56" s="3129">
        <f>'Д 3.1_Т на Т без ЦТП'!I46</f>
        <v>649.6737283715903</v>
      </c>
      <c r="J56" s="3130"/>
      <c r="K56" s="3129">
        <f>K55</f>
        <v>20.784158534978822</v>
      </c>
      <c r="L56" s="3118"/>
      <c r="M56" s="3118">
        <f>'[40]Структ тарифа'!E56</f>
        <v>2811.9283935982562</v>
      </c>
      <c r="N56" s="3118"/>
      <c r="O56" s="3118">
        <f>'[40]Структ тарифа'!G56</f>
        <v>2304.2650476069834</v>
      </c>
      <c r="P56" s="3118"/>
      <c r="Q56" s="3118">
        <f>'[40]Структ тарифа'!I56</f>
        <v>490.53662607030282</v>
      </c>
      <c r="R56" s="3118"/>
      <c r="S56" s="3118">
        <f>'[40]Структ тарифа'!K56</f>
        <v>17.126719920970075</v>
      </c>
      <c r="T56" s="3119">
        <f t="shared" si="9"/>
        <v>212.6509415348437</v>
      </c>
      <c r="U56" s="3120">
        <f t="shared" si="10"/>
        <v>7.5624593435228631</v>
      </c>
    </row>
    <row r="57" spans="1:21" s="758" customFormat="1" ht="16.95" customHeight="1" x14ac:dyDescent="0.3">
      <c r="A57" s="3127" t="s">
        <v>3457</v>
      </c>
      <c r="B57" s="3128" t="s">
        <v>3451</v>
      </c>
      <c r="C57" s="1844" t="s">
        <v>2286</v>
      </c>
      <c r="D57" s="3129"/>
      <c r="E57" s="3129">
        <f t="shared" si="8"/>
        <v>3024.5793351331013</v>
      </c>
      <c r="F57" s="3130"/>
      <c r="G57" s="3129">
        <f>G52</f>
        <v>2354.1214482265323</v>
      </c>
      <c r="H57" s="3130"/>
      <c r="I57" s="3129">
        <f>'Д 3.1_Т на Т без ЦТП'!J46</f>
        <v>649.67372837159041</v>
      </c>
      <c r="J57" s="3130"/>
      <c r="K57" s="3129">
        <f>K56</f>
        <v>20.784158534978822</v>
      </c>
      <c r="L57" s="3118"/>
      <c r="M57" s="3118">
        <f>'[40]Структ тарифа'!E57</f>
        <v>2805.0869517867714</v>
      </c>
      <c r="N57" s="3118"/>
      <c r="O57" s="3118">
        <f>'[40]Структ тарифа'!G57</f>
        <v>2304.2650476069825</v>
      </c>
      <c r="P57" s="3118"/>
      <c r="Q57" s="3118">
        <f>'[40]Структ тарифа'!I57</f>
        <v>483.69518425881876</v>
      </c>
      <c r="R57" s="3118"/>
      <c r="S57" s="3118">
        <f>'[40]Структ тарифа'!K57</f>
        <v>17.126719920970075</v>
      </c>
      <c r="T57" s="3119">
        <f t="shared" si="9"/>
        <v>219.49238334632992</v>
      </c>
      <c r="U57" s="3120">
        <f t="shared" si="10"/>
        <v>7.8247978447341406</v>
      </c>
    </row>
    <row r="58" spans="1:21" s="758" customFormat="1" ht="16.95" customHeight="1" x14ac:dyDescent="0.3">
      <c r="A58" s="3127" t="s">
        <v>3458</v>
      </c>
      <c r="B58" s="3128" t="s">
        <v>3453</v>
      </c>
      <c r="C58" s="1844" t="s">
        <v>2286</v>
      </c>
      <c r="D58" s="3129"/>
      <c r="E58" s="3129">
        <f t="shared" si="8"/>
        <v>3024.5793351331008</v>
      </c>
      <c r="F58" s="3130"/>
      <c r="G58" s="3129">
        <f>G53</f>
        <v>2354.1214482265318</v>
      </c>
      <c r="H58" s="3130"/>
      <c r="I58" s="3129">
        <f>'Д 3.1_Т на Т без ЦТП'!K46</f>
        <v>649.67372837159019</v>
      </c>
      <c r="J58" s="3130"/>
      <c r="K58" s="3129">
        <f>K57</f>
        <v>20.784158534978822</v>
      </c>
      <c r="L58" s="3118"/>
      <c r="M58" s="3118">
        <f>'[40]Структ тарифа'!E58</f>
        <v>3899.3876760622779</v>
      </c>
      <c r="N58" s="3118"/>
      <c r="O58" s="3118">
        <f>'[40]Структ тарифа'!G58</f>
        <v>3291.2823820994427</v>
      </c>
      <c r="P58" s="3118"/>
      <c r="Q58" s="3118">
        <f>'[40]Структ тарифа'!I58</f>
        <v>590.97857404186527</v>
      </c>
      <c r="R58" s="3118"/>
      <c r="S58" s="3118">
        <f>'[40]Структ тарифа'!K58</f>
        <v>17.126719920970075</v>
      </c>
      <c r="T58" s="3119">
        <f t="shared" si="9"/>
        <v>-874.80834092917712</v>
      </c>
      <c r="U58" s="3120">
        <f t="shared" si="10"/>
        <v>-22.434505455804938</v>
      </c>
    </row>
    <row r="59" spans="1:21" ht="28.2" customHeight="1" x14ac:dyDescent="0.3">
      <c r="A59" s="3132"/>
      <c r="B59" s="3133"/>
      <c r="C59" s="1149"/>
      <c r="D59" s="3134"/>
      <c r="E59" s="3135"/>
      <c r="G59" s="3135"/>
      <c r="H59" s="3135"/>
      <c r="I59" s="3135"/>
      <c r="J59" s="3135"/>
      <c r="K59" s="3135"/>
      <c r="L59" s="3136"/>
    </row>
    <row r="60" spans="1:21" s="10" customFormat="1" ht="18" x14ac:dyDescent="0.35">
      <c r="B60" s="419" t="str">
        <f>'Вхідні дані'!$B$13</f>
        <v>Директор підприємства</v>
      </c>
      <c r="C60" s="498" t="s">
        <v>3459</v>
      </c>
      <c r="D60" s="498"/>
      <c r="E60" s="498"/>
      <c r="G60" s="5204" t="str">
        <f>'Вхідні дані'!$F$13</f>
        <v>Анатолій ПАНШИН</v>
      </c>
      <c r="H60" s="5204"/>
      <c r="I60" s="5204"/>
      <c r="J60" s="45"/>
      <c r="L60" s="3137" t="str">
        <f>G60</f>
        <v>Анатолій ПАНШИН</v>
      </c>
      <c r="M60" s="16"/>
      <c r="N60" s="16"/>
      <c r="O60" s="16"/>
      <c r="P60" s="16"/>
      <c r="Q60" s="16"/>
      <c r="R60" s="16"/>
      <c r="S60" s="16"/>
      <c r="T60" s="16"/>
    </row>
    <row r="61" spans="1:21" s="10" customFormat="1" ht="18" x14ac:dyDescent="0.35">
      <c r="B61" s="419"/>
      <c r="C61" s="5197" t="s">
        <v>209</v>
      </c>
      <c r="D61" s="5197"/>
      <c r="E61" s="899"/>
      <c r="G61" s="5205" t="s">
        <v>1985</v>
      </c>
      <c r="H61" s="5205"/>
      <c r="I61" s="5205"/>
      <c r="J61" s="45"/>
      <c r="L61" s="729" t="str">
        <f>G61</f>
        <v xml:space="preserve">(ініціали, прізвище)               </v>
      </c>
    </row>
    <row r="66" spans="3:4" x14ac:dyDescent="0.3">
      <c r="C66" s="1124" t="s">
        <v>3472</v>
      </c>
      <c r="D66" s="1125">
        <f>D17+D23+D27</f>
        <v>37912.491135429824</v>
      </c>
    </row>
    <row r="67" spans="3:4" x14ac:dyDescent="0.3">
      <c r="C67" s="1124" t="s">
        <v>3473</v>
      </c>
      <c r="D67" s="1125">
        <f>D19+D24+D28</f>
        <v>8270.491887238979</v>
      </c>
    </row>
  </sheetData>
  <mergeCells count="18">
    <mergeCell ref="G60:I60"/>
    <mergeCell ref="C61:D61"/>
    <mergeCell ref="G61:I61"/>
    <mergeCell ref="T3:U3"/>
    <mergeCell ref="D4:E4"/>
    <mergeCell ref="F4:G4"/>
    <mergeCell ref="H4:I4"/>
    <mergeCell ref="J4:K4"/>
    <mergeCell ref="L4:M4"/>
    <mergeCell ref="N4:O4"/>
    <mergeCell ref="P4:Q4"/>
    <mergeCell ref="R4:S4"/>
    <mergeCell ref="B3:B5"/>
    <mergeCell ref="C3:C5"/>
    <mergeCell ref="D3:K3"/>
    <mergeCell ref="L3:S3"/>
    <mergeCell ref="A1:U1"/>
    <mergeCell ref="A3:A5"/>
  </mergeCells>
  <pageMargins left="0.70866141732283472" right="0.41" top="0.42" bottom="0.47" header="0.31496062992125984" footer="0.31496062992125984"/>
  <pageSetup paperSize="9" scale="69" orientation="portrait" horizontalDpi="0" verticalDpi="0" r:id="rId1"/>
</worksheet>
</file>

<file path=xl/worksheets/sheet6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D00-000000000000}">
  <sheetPr codeName="Лист59">
    <tabColor rgb="FFFFFF00"/>
  </sheetPr>
  <dimension ref="A1:N72"/>
  <sheetViews>
    <sheetView workbookViewId="0">
      <pane xSplit="1" ySplit="2" topLeftCell="D3" activePane="bottomRight" state="frozen"/>
      <selection pane="topRight" activeCell="B1" sqref="B1"/>
      <selection pane="bottomLeft" activeCell="A3" sqref="A3"/>
      <selection pane="bottomRight" activeCell="F12" sqref="F12"/>
    </sheetView>
  </sheetViews>
  <sheetFormatPr defaultColWidth="8.88671875" defaultRowHeight="15.6" x14ac:dyDescent="0.3"/>
  <cols>
    <col min="1" max="1" width="18.6640625" style="1467" customWidth="1"/>
    <col min="2" max="5" width="13.5546875" style="1775" customWidth="1"/>
    <col min="6" max="6" width="13.5546875" style="1776" customWidth="1"/>
    <col min="7" max="8" width="13.5546875" style="45" customWidth="1"/>
    <col min="9" max="9" width="19.6640625" style="1587" customWidth="1"/>
    <col min="10" max="10" width="8.88671875" style="45" customWidth="1"/>
    <col min="11" max="11" width="8.5546875" style="45" customWidth="1"/>
    <col min="12" max="12" width="11.6640625" style="45" customWidth="1"/>
    <col min="13" max="13" width="11" style="45" customWidth="1"/>
    <col min="14" max="14" width="10.6640625" style="45" customWidth="1"/>
    <col min="15" max="16384" width="8.88671875" style="45"/>
  </cols>
  <sheetData>
    <row r="1" spans="1:14" s="49" customFormat="1" ht="57" customHeight="1" x14ac:dyDescent="0.3">
      <c r="A1" s="7"/>
      <c r="B1" s="1765">
        <f>B14</f>
        <v>2021</v>
      </c>
      <c r="C1" s="1765">
        <f>C14</f>
        <v>2022</v>
      </c>
      <c r="D1" s="1765" t="str">
        <f>D14</f>
        <v>Ріш. №270 від 29.10.2021</v>
      </c>
      <c r="E1" s="1765" t="str">
        <f>E14</f>
        <v>Ріш. №296 від 25.10.2022</v>
      </c>
      <c r="F1" s="1765" t="str">
        <f>F14</f>
        <v xml:space="preserve">   ПЛАН    2023-2024</v>
      </c>
      <c r="G1" s="3952"/>
      <c r="H1" s="3953"/>
      <c r="I1" s="5514" t="s">
        <v>2857</v>
      </c>
      <c r="J1" s="3954">
        <f>B1</f>
        <v>2021</v>
      </c>
      <c r="K1" s="3954">
        <f>C1</f>
        <v>2022</v>
      </c>
      <c r="L1" s="3954" t="str">
        <f>D1</f>
        <v>Ріш. №270 від 29.10.2021</v>
      </c>
      <c r="M1" s="3954" t="str">
        <f>E1</f>
        <v>Ріш. №296 від 25.10.2022</v>
      </c>
      <c r="N1" s="3954" t="str">
        <f>F1</f>
        <v xml:space="preserve">   ПЛАН    2023-2024</v>
      </c>
    </row>
    <row r="2" spans="1:14" s="1761" customFormat="1" x14ac:dyDescent="0.3">
      <c r="A2" s="1763" t="s">
        <v>2829</v>
      </c>
      <c r="B2" s="1773">
        <f>SUM(B3:B11)</f>
        <v>151254.26227550636</v>
      </c>
      <c r="C2" s="1773">
        <f>SUM(C3:C11)</f>
        <v>141800.73740999997</v>
      </c>
      <c r="D2" s="1773">
        <f>SUM(D3:D12)</f>
        <v>222601.10342752447</v>
      </c>
      <c r="E2" s="1773">
        <f>SUM(E3:E12)</f>
        <v>339045.57781590958</v>
      </c>
      <c r="F2" s="1773">
        <f>SUM(F3:F12)</f>
        <v>213602.16166544103</v>
      </c>
      <c r="G2" s="1514"/>
      <c r="I2" s="5515"/>
      <c r="J2" s="1784">
        <v>100</v>
      </c>
      <c r="K2" s="1784">
        <v>100</v>
      </c>
      <c r="L2" s="1784">
        <v>100</v>
      </c>
      <c r="M2" s="1784">
        <v>100</v>
      </c>
      <c r="N2" s="1783">
        <f>SUM(N3:N11)</f>
        <v>99.999999999999986</v>
      </c>
    </row>
    <row r="3" spans="1:14" x14ac:dyDescent="0.3">
      <c r="A3" s="713" t="s">
        <v>2294</v>
      </c>
      <c r="B3" s="1772">
        <f t="shared" ref="B3:E11" si="0">B16+B28+B40+B52+B64</f>
        <v>25264.459600000002</v>
      </c>
      <c r="C3" s="1772">
        <f t="shared" si="0"/>
        <v>27881.298749999998</v>
      </c>
      <c r="D3" s="1772">
        <f t="shared" si="0"/>
        <v>32509.493823101177</v>
      </c>
      <c r="E3" s="1772">
        <f t="shared" si="0"/>
        <v>33404.516763659987</v>
      </c>
      <c r="F3" s="1772">
        <f t="shared" ref="F3:F12" si="1">F16+F28+F40+F52+F64</f>
        <v>37912.491135429824</v>
      </c>
      <c r="G3" s="1514"/>
      <c r="H3" s="2081"/>
      <c r="I3" s="1779" t="s">
        <v>2294</v>
      </c>
      <c r="J3" s="1785">
        <f t="shared" ref="J3:L11" si="2">B3/(B$2-B$12)*100</f>
        <v>16.703304237457676</v>
      </c>
      <c r="K3" s="1785">
        <f t="shared" si="2"/>
        <v>19.662308715211076</v>
      </c>
      <c r="L3" s="1785">
        <f t="shared" si="2"/>
        <v>15.753346308705346</v>
      </c>
      <c r="M3" s="1785">
        <f t="shared" ref="M3:M11" si="3">E3/(E$2-E$12)*100</f>
        <v>10.650700947393833</v>
      </c>
      <c r="N3" s="1785">
        <f t="shared" ref="N3:N11" si="4">F3/(F$2-F$12)*100</f>
        <v>18.659427605535338</v>
      </c>
    </row>
    <row r="4" spans="1:14" ht="18" customHeight="1" x14ac:dyDescent="0.3">
      <c r="A4" s="713" t="s">
        <v>2295</v>
      </c>
      <c r="B4" s="1772">
        <f t="shared" si="0"/>
        <v>5439.5085900000013</v>
      </c>
      <c r="C4" s="1772">
        <f t="shared" si="0"/>
        <v>5861.8054999999995</v>
      </c>
      <c r="D4" s="1772">
        <f t="shared" si="0"/>
        <v>7048.8063349240201</v>
      </c>
      <c r="E4" s="1772">
        <f t="shared" si="0"/>
        <v>7272.079398606259</v>
      </c>
      <c r="F4" s="1772">
        <f t="shared" si="1"/>
        <v>8270.491887238979</v>
      </c>
      <c r="G4" s="1514"/>
      <c r="H4" s="2081"/>
      <c r="I4" s="1779" t="s">
        <v>2858</v>
      </c>
      <c r="J4" s="1785">
        <f t="shared" si="2"/>
        <v>3.5962679716701502</v>
      </c>
      <c r="K4" s="1785">
        <f t="shared" si="2"/>
        <v>4.1338328749668527</v>
      </c>
      <c r="L4" s="1785">
        <f t="shared" si="2"/>
        <v>3.4156879790649879</v>
      </c>
      <c r="M4" s="1785">
        <f t="shared" si="3"/>
        <v>2.3186308452908961</v>
      </c>
      <c r="N4" s="1785">
        <f t="shared" si="4"/>
        <v>4.0704960294177583</v>
      </c>
    </row>
    <row r="5" spans="1:14" x14ac:dyDescent="0.3">
      <c r="A5" s="713" t="s">
        <v>2296</v>
      </c>
      <c r="B5" s="1772">
        <f t="shared" si="0"/>
        <v>97718.766315506393</v>
      </c>
      <c r="C5" s="1772">
        <f t="shared" si="0"/>
        <v>82691.585459999988</v>
      </c>
      <c r="D5" s="1772">
        <f t="shared" si="0"/>
        <v>142556.93915274038</v>
      </c>
      <c r="E5" s="1772">
        <f t="shared" si="0"/>
        <v>243029.48255653607</v>
      </c>
      <c r="F5" s="1772">
        <f t="shared" si="1"/>
        <v>118804.3607936293</v>
      </c>
      <c r="G5" s="1514"/>
      <c r="H5" s="2081"/>
      <c r="I5" s="1779" t="s">
        <v>2296</v>
      </c>
      <c r="J5" s="1785">
        <f t="shared" si="2"/>
        <v>64.605628195464519</v>
      </c>
      <c r="K5" s="1785">
        <f t="shared" si="2"/>
        <v>58.315342339093135</v>
      </c>
      <c r="L5" s="1785">
        <f t="shared" si="2"/>
        <v>69.079784613143715</v>
      </c>
      <c r="M5" s="1785">
        <f t="shared" si="3"/>
        <v>77.487555303462159</v>
      </c>
      <c r="N5" s="1785">
        <f t="shared" si="4"/>
        <v>58.47205770604117</v>
      </c>
    </row>
    <row r="6" spans="1:14" x14ac:dyDescent="0.3">
      <c r="A6" s="713" t="s">
        <v>43</v>
      </c>
      <c r="B6" s="1772">
        <f t="shared" si="0"/>
        <v>10493.27925</v>
      </c>
      <c r="C6" s="1772">
        <f t="shared" si="0"/>
        <v>10794.992549999999</v>
      </c>
      <c r="D6" s="1772">
        <f t="shared" si="0"/>
        <v>10499.228280746825</v>
      </c>
      <c r="E6" s="1772">
        <f t="shared" si="0"/>
        <v>13893.66250690008</v>
      </c>
      <c r="F6" s="1772">
        <f t="shared" si="1"/>
        <v>21332.049229824435</v>
      </c>
      <c r="G6" s="1514"/>
      <c r="H6" s="2081"/>
      <c r="I6" s="1779" t="s">
        <v>43</v>
      </c>
      <c r="J6" s="1785">
        <f t="shared" si="2"/>
        <v>6.9375097879137568</v>
      </c>
      <c r="K6" s="1785">
        <f t="shared" si="2"/>
        <v>7.6127901357716938</v>
      </c>
      <c r="L6" s="1785">
        <f t="shared" si="2"/>
        <v>5.0876823853598836</v>
      </c>
      <c r="M6" s="1785">
        <f t="shared" si="3"/>
        <v>4.4298573594691826</v>
      </c>
      <c r="N6" s="1785">
        <f t="shared" si="4"/>
        <v>10.499015399957369</v>
      </c>
    </row>
    <row r="7" spans="1:14" ht="31.2" x14ac:dyDescent="0.3">
      <c r="A7" s="713" t="s">
        <v>2297</v>
      </c>
      <c r="B7" s="1772">
        <f t="shared" si="0"/>
        <v>555.47201999999993</v>
      </c>
      <c r="C7" s="1772">
        <f t="shared" si="0"/>
        <v>505.51147000000009</v>
      </c>
      <c r="D7" s="1772">
        <f t="shared" si="0"/>
        <v>643.3739421687078</v>
      </c>
      <c r="E7" s="1772">
        <f t="shared" si="0"/>
        <v>778.7290198376503</v>
      </c>
      <c r="F7" s="1772">
        <f t="shared" si="1"/>
        <v>689.8917678840304</v>
      </c>
      <c r="G7" s="1514"/>
      <c r="H7" s="2081"/>
      <c r="I7" s="1779" t="s">
        <v>2297</v>
      </c>
      <c r="J7" s="1785">
        <f t="shared" si="2"/>
        <v>0.36724387904402961</v>
      </c>
      <c r="K7" s="1785">
        <f t="shared" si="2"/>
        <v>0.35649424624526022</v>
      </c>
      <c r="L7" s="1785">
        <f t="shared" si="2"/>
        <v>0.31176408258250093</v>
      </c>
      <c r="M7" s="1785">
        <f t="shared" si="3"/>
        <v>0.24829007310684398</v>
      </c>
      <c r="N7" s="1785">
        <f t="shared" si="4"/>
        <v>0.33954470183724872</v>
      </c>
    </row>
    <row r="8" spans="1:14" x14ac:dyDescent="0.3">
      <c r="A8" s="713" t="s">
        <v>460</v>
      </c>
      <c r="B8" s="1772">
        <f t="shared" si="0"/>
        <v>6755.5705300000009</v>
      </c>
      <c r="C8" s="1772">
        <f t="shared" si="0"/>
        <v>8683.0692499999986</v>
      </c>
      <c r="D8" s="1772">
        <f t="shared" si="0"/>
        <v>7491.1665058333374</v>
      </c>
      <c r="E8" s="1772">
        <f t="shared" si="0"/>
        <v>7507.867344374401</v>
      </c>
      <c r="F8" s="1772">
        <f t="shared" si="1"/>
        <v>7970.350649392406</v>
      </c>
      <c r="G8" s="1514"/>
      <c r="H8" s="2081"/>
      <c r="I8" s="1779" t="s">
        <v>460</v>
      </c>
      <c r="J8" s="1785">
        <f t="shared" si="2"/>
        <v>4.4663670486818257</v>
      </c>
      <c r="K8" s="1785">
        <f t="shared" si="2"/>
        <v>6.123430250502814</v>
      </c>
      <c r="L8" s="1785">
        <f t="shared" si="2"/>
        <v>3.6300454527135213</v>
      </c>
      <c r="M8" s="1785">
        <f t="shared" si="3"/>
        <v>2.3938095079593165</v>
      </c>
      <c r="N8" s="1785">
        <f t="shared" si="4"/>
        <v>3.9227752247091443</v>
      </c>
    </row>
    <row r="9" spans="1:14" x14ac:dyDescent="0.3">
      <c r="A9" s="713" t="s">
        <v>2298</v>
      </c>
      <c r="B9" s="1772">
        <f t="shared" si="0"/>
        <v>304.46217000000001</v>
      </c>
      <c r="C9" s="1772">
        <f t="shared" si="0"/>
        <v>604.82120999999995</v>
      </c>
      <c r="D9" s="1772">
        <f t="shared" si="0"/>
        <v>373.85469000000001</v>
      </c>
      <c r="E9" s="1772">
        <f t="shared" si="0"/>
        <v>942.73414000000002</v>
      </c>
      <c r="F9" s="1772">
        <f t="shared" si="1"/>
        <v>904.66954999999996</v>
      </c>
      <c r="G9" s="1514"/>
      <c r="H9" s="2081"/>
      <c r="I9" s="1779" t="s">
        <v>2298</v>
      </c>
      <c r="J9" s="1785">
        <f t="shared" si="2"/>
        <v>0.20129163001398848</v>
      </c>
      <c r="K9" s="1785">
        <f t="shared" si="2"/>
        <v>0.4265289596141037</v>
      </c>
      <c r="L9" s="1785">
        <f t="shared" si="2"/>
        <v>0.1811613073015195</v>
      </c>
      <c r="M9" s="1785">
        <f t="shared" si="3"/>
        <v>0.30058148929613154</v>
      </c>
      <c r="N9" s="1785">
        <f t="shared" si="4"/>
        <v>0.44525209158260848</v>
      </c>
    </row>
    <row r="10" spans="1:14" x14ac:dyDescent="0.3">
      <c r="A10" s="713" t="s">
        <v>2299</v>
      </c>
      <c r="B10" s="1772">
        <f t="shared" si="0"/>
        <v>1332.5433700000001</v>
      </c>
      <c r="C10" s="1772">
        <f t="shared" si="0"/>
        <v>1870.9750499999998</v>
      </c>
      <c r="D10" s="1772">
        <f t="shared" si="0"/>
        <v>2578.4259967219323</v>
      </c>
      <c r="E10" s="1772">
        <f t="shared" si="0"/>
        <v>3635.4145249721178</v>
      </c>
      <c r="F10" s="1772">
        <f t="shared" si="1"/>
        <v>3986.9308638290786</v>
      </c>
      <c r="G10" s="1514"/>
      <c r="H10" s="2081"/>
      <c r="I10" s="1779" t="s">
        <v>2299</v>
      </c>
      <c r="J10" s="1785">
        <f t="shared" si="2"/>
        <v>0.88099558316763416</v>
      </c>
      <c r="K10" s="1785">
        <f t="shared" si="2"/>
        <v>1.3194395770949328</v>
      </c>
      <c r="L10" s="1785">
        <f t="shared" si="2"/>
        <v>1.2494454044333874</v>
      </c>
      <c r="M10" s="1785">
        <f t="shared" si="3"/>
        <v>1.1591160919714945</v>
      </c>
      <c r="N10" s="1785">
        <f t="shared" si="4"/>
        <v>1.9622516377556349</v>
      </c>
    </row>
    <row r="11" spans="1:14" x14ac:dyDescent="0.3">
      <c r="A11" s="713" t="s">
        <v>2300</v>
      </c>
      <c r="B11" s="1772">
        <f t="shared" si="0"/>
        <v>3390.2004299999694</v>
      </c>
      <c r="C11" s="1772">
        <f t="shared" si="0"/>
        <v>2906.678170000002</v>
      </c>
      <c r="D11" s="1772">
        <f t="shared" si="0"/>
        <v>2664.3505864494173</v>
      </c>
      <c r="E11" s="1772">
        <f t="shared" si="0"/>
        <v>3172.3056206179804</v>
      </c>
      <c r="F11" s="1772">
        <f t="shared" si="1"/>
        <v>3310.1903535692991</v>
      </c>
      <c r="G11" s="1514"/>
      <c r="H11" s="2081"/>
      <c r="I11" s="1779" t="s">
        <v>2300</v>
      </c>
      <c r="J11" s="1785">
        <f t="shared" si="2"/>
        <v>2.2413916665864217</v>
      </c>
      <c r="K11" s="1785">
        <f t="shared" si="2"/>
        <v>2.0498329015001437</v>
      </c>
      <c r="L11" s="1785">
        <f t="shared" si="2"/>
        <v>1.291082466695139</v>
      </c>
      <c r="M11" s="1785">
        <f t="shared" si="3"/>
        <v>1.0114583820501519</v>
      </c>
      <c r="N11" s="1785">
        <f t="shared" si="4"/>
        <v>1.6291796031637238</v>
      </c>
    </row>
    <row r="12" spans="1:14" x14ac:dyDescent="0.3">
      <c r="A12" s="713" t="s">
        <v>2716</v>
      </c>
      <c r="B12" s="1772"/>
      <c r="C12" s="1772"/>
      <c r="D12" s="1772">
        <f>D25+D37+D50+D62+D73</f>
        <v>16235.464114838687</v>
      </c>
      <c r="E12" s="1772">
        <f>E25+E37+E50+E62+E73</f>
        <v>25408.785940405032</v>
      </c>
      <c r="F12" s="1772">
        <f t="shared" si="1"/>
        <v>10420.735434643655</v>
      </c>
      <c r="G12" s="1514"/>
      <c r="H12" s="2081"/>
      <c r="I12" s="1782" t="s">
        <v>2716</v>
      </c>
      <c r="J12" s="1785">
        <f>B12/(B$2)*100</f>
        <v>0</v>
      </c>
      <c r="K12" s="1785">
        <f>C12/(C$2)*100</f>
        <v>0</v>
      </c>
      <c r="L12" s="1785">
        <f>D12/(D$2)*100</f>
        <v>7.2935236460428001</v>
      </c>
      <c r="M12" s="1785">
        <f>E12/(E$2)*100</f>
        <v>7.4942095113245077</v>
      </c>
      <c r="N12" s="1785">
        <f>F12/(F$2)*100</f>
        <v>4.8785720862532074</v>
      </c>
    </row>
    <row r="13" spans="1:14" x14ac:dyDescent="0.3">
      <c r="A13" s="713" t="s">
        <v>2224</v>
      </c>
      <c r="B13" s="1772"/>
      <c r="C13" s="1772"/>
      <c r="D13" s="1772"/>
      <c r="E13" s="1772"/>
      <c r="F13" s="1774"/>
      <c r="G13" s="1319"/>
      <c r="H13" s="1762"/>
    </row>
    <row r="14" spans="1:14" s="40" customFormat="1" ht="46.8" x14ac:dyDescent="0.3">
      <c r="A14" s="7"/>
      <c r="B14" s="1765">
        <f>Виробництво_2ст!C94</f>
        <v>2021</v>
      </c>
      <c r="C14" s="1765">
        <f>Виробництво_2ст!D94</f>
        <v>2022</v>
      </c>
      <c r="D14" s="1765" t="s">
        <v>3741</v>
      </c>
      <c r="E14" s="1765" t="str">
        <f>Виробництво_2ст!E94</f>
        <v>Ріш. №296 від 25.10.2022</v>
      </c>
      <c r="F14" s="1765" t="str">
        <f>"   ПЛАН    "&amp;Виробництво_2ст!F94</f>
        <v xml:space="preserve">   ПЛАН    2023-2024</v>
      </c>
      <c r="G14" s="1759"/>
      <c r="H14" s="1760"/>
      <c r="I14" s="1738"/>
    </row>
    <row r="15" spans="1:14" x14ac:dyDescent="0.3">
      <c r="A15" s="1763" t="str">
        <f>Виробництво_2ст!B95</f>
        <v>виробництво</v>
      </c>
      <c r="B15" s="1773">
        <f>SUM(B16:B25)</f>
        <v>113102.30962550634</v>
      </c>
      <c r="C15" s="1773">
        <f>SUM(C16:C25)</f>
        <v>99460.556329999978</v>
      </c>
      <c r="D15" s="1773">
        <f>SUM(D16:D25)</f>
        <v>161772.89952625759</v>
      </c>
      <c r="E15" s="1773">
        <f>SUM(E16:E25)</f>
        <v>264453.01604563743</v>
      </c>
      <c r="F15" s="1773">
        <f>SUM(F16:F25)</f>
        <v>143860.61850577861</v>
      </c>
      <c r="G15" s="1514"/>
      <c r="H15" s="1762"/>
      <c r="I15" s="1780"/>
    </row>
    <row r="16" spans="1:14" x14ac:dyDescent="0.3">
      <c r="A16" s="713" t="str">
        <f>Виробництво_2ст!B96</f>
        <v>Зарплата</v>
      </c>
      <c r="B16" s="1772">
        <f>Виробництво_2ст!C96</f>
        <v>7334.8339500000002</v>
      </c>
      <c r="C16" s="1772">
        <f>Виробництво_2ст!D96</f>
        <v>8106.6893399999999</v>
      </c>
      <c r="D16" s="1772">
        <v>9604.1951759493168</v>
      </c>
      <c r="E16" s="1772">
        <f>Виробництво_2ст!E96</f>
        <v>10366.7803628</v>
      </c>
      <c r="F16" s="1772">
        <f>Виробництво_2ст!F96</f>
        <v>11228.939355305936</v>
      </c>
      <c r="G16" s="1514"/>
      <c r="H16" s="1762"/>
    </row>
    <row r="17" spans="1:9" x14ac:dyDescent="0.3">
      <c r="A17" s="713" t="str">
        <f>Виробництво_2ст!B97</f>
        <v>Відрахування</v>
      </c>
      <c r="B17" s="1772">
        <f>Виробництво_2ст!C97</f>
        <v>1608.3573699999999</v>
      </c>
      <c r="C17" s="1772">
        <f>Виробництво_2ст!D97</f>
        <v>1788.1156299999998</v>
      </c>
      <c r="D17" s="1772">
        <v>2112.9229387088499</v>
      </c>
      <c r="E17" s="1772">
        <f>Виробництво_2ст!E97</f>
        <v>2280.691679816</v>
      </c>
      <c r="F17" s="1772">
        <f>Виробництво_2ст!F97</f>
        <v>2470.366658167306</v>
      </c>
      <c r="G17" s="1514"/>
      <c r="H17" s="1762"/>
    </row>
    <row r="18" spans="1:9" x14ac:dyDescent="0.3">
      <c r="A18" s="713" t="str">
        <f>Виробництво_2ст!B98</f>
        <v>газ</v>
      </c>
      <c r="B18" s="1772">
        <f>Виробництво_2ст!C98</f>
        <v>97718.766315506393</v>
      </c>
      <c r="C18" s="1772">
        <f>Виробництво_2ст!D98</f>
        <v>82691.585459999988</v>
      </c>
      <c r="D18" s="1772">
        <v>142556.93915274038</v>
      </c>
      <c r="E18" s="1772">
        <f>Виробництво_2ст!E98</f>
        <v>243029.48255653607</v>
      </c>
      <c r="F18" s="1772">
        <f>Виробництво_2ст!F98</f>
        <v>118804.3607936293</v>
      </c>
      <c r="G18" s="1514"/>
      <c r="H18" s="1762"/>
    </row>
    <row r="19" spans="1:9" x14ac:dyDescent="0.3">
      <c r="A19" s="713" t="str">
        <f>Виробництво_2ст!B99</f>
        <v>електроенергія</v>
      </c>
      <c r="B19" s="1772">
        <f>Виробництво_2ст!C99</f>
        <v>2813.79909</v>
      </c>
      <c r="C19" s="1772">
        <f>Виробництво_2ст!D99</f>
        <v>2831.3806500000001</v>
      </c>
      <c r="D19" s="1772">
        <v>3242.5879653075322</v>
      </c>
      <c r="E19" s="1772">
        <f>Виробництво_2ст!E99</f>
        <v>3835.5365105267629</v>
      </c>
      <c r="F19" s="1772">
        <f>Виробництво_2ст!F99</f>
        <v>5937.3503814675587</v>
      </c>
      <c r="G19" s="1514"/>
      <c r="H19" s="1762"/>
    </row>
    <row r="20" spans="1:9" ht="31.2" x14ac:dyDescent="0.3">
      <c r="A20" s="713" t="str">
        <f>Виробництво_2ст!B100</f>
        <v>водопостачання, водовідведення</v>
      </c>
      <c r="B20" s="1772">
        <f>Виробництво_2ст!C100</f>
        <v>30.959239999999998</v>
      </c>
      <c r="C20" s="1772">
        <f>Виробництво_2ст!D100</f>
        <v>34.119480000000003</v>
      </c>
      <c r="D20" s="1772">
        <v>31.011080305521951</v>
      </c>
      <c r="E20" s="1772">
        <f>Виробництво_2ст!E100</f>
        <v>37.583397437391703</v>
      </c>
      <c r="F20" s="1772">
        <f>Виробництво_2ст!F100</f>
        <v>33.313922123945588</v>
      </c>
      <c r="G20" s="3162"/>
      <c r="H20" s="1762"/>
    </row>
    <row r="21" spans="1:9" x14ac:dyDescent="0.3">
      <c r="A21" s="713" t="str">
        <f>Виробництво_2ст!B101</f>
        <v>амортизація</v>
      </c>
      <c r="B21" s="1772">
        <f>Виробництво_2ст!C101</f>
        <v>2065.88202</v>
      </c>
      <c r="C21" s="1772">
        <f>Виробництво_2ст!D101</f>
        <v>2301.1614399999999</v>
      </c>
      <c r="D21" s="1772">
        <v>2062.9481808333344</v>
      </c>
      <c r="E21" s="1772">
        <f>Виробництво_2ст!E101</f>
        <v>2299.5848500000002</v>
      </c>
      <c r="F21" s="1772">
        <f>Виробництво_2ст!F101</f>
        <v>2122.9628600000001</v>
      </c>
      <c r="G21" s="1514"/>
      <c r="H21" s="1762"/>
    </row>
    <row r="22" spans="1:9" x14ac:dyDescent="0.3">
      <c r="A22" s="713" t="str">
        <f>Виробництво_2ст!B102</f>
        <v>податки</v>
      </c>
      <c r="B22" s="1772">
        <f>Виробництво_2ст!C102</f>
        <v>304.15017</v>
      </c>
      <c r="C22" s="1772">
        <f>Виробництво_2ст!D102</f>
        <v>604.37774999999999</v>
      </c>
      <c r="D22" s="1772">
        <v>373.46669000000003</v>
      </c>
      <c r="E22" s="1772">
        <f>Виробництво_2ст!E102</f>
        <v>942.16534000000001</v>
      </c>
      <c r="F22" s="1772">
        <f>Виробництво_2ст!F102</f>
        <v>904.22609</v>
      </c>
      <c r="G22" s="1514"/>
      <c r="H22" s="1762"/>
    </row>
    <row r="23" spans="1:9" x14ac:dyDescent="0.3">
      <c r="A23" s="713" t="str">
        <f>Виробництво_2ст!B103</f>
        <v>Ремонти</v>
      </c>
      <c r="B23" s="1772">
        <f>Виробництво_2ст!C103</f>
        <v>485.08694000000003</v>
      </c>
      <c r="C23" s="1772">
        <f>Виробництво_2ст!D103</f>
        <v>269.56459000000001</v>
      </c>
      <c r="D23" s="1772">
        <v>823.65733333333333</v>
      </c>
      <c r="E23" s="1772">
        <f>Виробництво_2ст!E103</f>
        <v>610.07500000000005</v>
      </c>
      <c r="F23" s="1772">
        <f>Виробництво_2ст!F103</f>
        <v>1244.7175333333332</v>
      </c>
      <c r="G23" s="1514"/>
      <c r="H23" s="1762"/>
    </row>
    <row r="24" spans="1:9" x14ac:dyDescent="0.3">
      <c r="A24" s="713" t="str">
        <f>Виробництво_2ст!B104</f>
        <v>інші</v>
      </c>
      <c r="B24" s="1772">
        <f>Виробництво_2ст!C104</f>
        <v>740.47452999996938</v>
      </c>
      <c r="C24" s="1772">
        <f>Виробництво_2ст!D104</f>
        <v>833.56199000000299</v>
      </c>
      <c r="D24" s="1772">
        <v>886.74100907931506</v>
      </c>
      <c r="E24" s="1772">
        <f>Виробництво_2ст!E104</f>
        <v>1051.1163485212248</v>
      </c>
      <c r="F24" s="1772">
        <f>Виробництво_2ст!F104</f>
        <v>1114.3809117512146</v>
      </c>
      <c r="G24" s="1514"/>
      <c r="H24" s="1762"/>
    </row>
    <row r="25" spans="1:9" x14ac:dyDescent="0.3">
      <c r="A25" s="713" t="s">
        <v>2836</v>
      </c>
      <c r="B25" s="1772">
        <f>'Д 2_Т на В'!E42</f>
        <v>0</v>
      </c>
      <c r="C25" s="1772">
        <f>'Д 2_Т на В'!F42</f>
        <v>0</v>
      </c>
      <c r="D25" s="1772">
        <v>78.430000000000007</v>
      </c>
      <c r="E25" s="1772">
        <f>'Д 2_Т на В'!G42</f>
        <v>0</v>
      </c>
      <c r="F25" s="1772">
        <f>'Д 2_Т на В'!H42</f>
        <v>0</v>
      </c>
      <c r="G25" s="1514"/>
      <c r="H25" s="1762"/>
    </row>
    <row r="26" spans="1:9" x14ac:dyDescent="0.3">
      <c r="A26" s="713"/>
      <c r="B26" s="1772"/>
      <c r="C26" s="1772"/>
      <c r="D26" s="1772"/>
      <c r="E26" s="1772"/>
      <c r="F26" s="1772"/>
      <c r="G26" s="1319"/>
      <c r="H26" s="1762"/>
    </row>
    <row r="27" spans="1:9" ht="31.2" x14ac:dyDescent="0.3">
      <c r="A27" s="1763" t="str">
        <f>Транспортування_2ст!B84</f>
        <v>транспортування</v>
      </c>
      <c r="B27" s="1773">
        <f>SUM(B28:B37)</f>
        <v>24399.499690000004</v>
      </c>
      <c r="C27" s="1773">
        <f>SUM(C28:C37)</f>
        <v>27266.815179999998</v>
      </c>
      <c r="D27" s="1773">
        <f>SUM(D28:D37)</f>
        <v>45081.516092822792</v>
      </c>
      <c r="E27" s="1773">
        <f>SUM(E28:E37)</f>
        <v>59961.438013990097</v>
      </c>
      <c r="F27" s="1773">
        <f>SUM(F28:F37)</f>
        <v>52829.879492801207</v>
      </c>
      <c r="G27" s="1514"/>
      <c r="H27" s="1762"/>
      <c r="I27" s="1780"/>
    </row>
    <row r="28" spans="1:9" x14ac:dyDescent="0.3">
      <c r="A28" s="713" t="str">
        <f>Транспортування_2ст!B85</f>
        <v>Зарплата</v>
      </c>
      <c r="B28" s="1772">
        <f>Транспортування_2ст!C27</f>
        <v>8521.6485800000009</v>
      </c>
      <c r="C28" s="1772">
        <f>Транспортування_2ст!D27</f>
        <v>9028.9914800000006</v>
      </c>
      <c r="D28" s="1772">
        <v>11851.20921955186</v>
      </c>
      <c r="E28" s="1772">
        <f>Транспортування_2ст!E27</f>
        <v>12740.596360928026</v>
      </c>
      <c r="F28" s="1772">
        <f>Транспортування_2ст!F27</f>
        <v>14520.984552954531</v>
      </c>
      <c r="G28" s="1514"/>
      <c r="H28" s="1762"/>
    </row>
    <row r="29" spans="1:9" x14ac:dyDescent="0.3">
      <c r="A29" s="713" t="str">
        <f>Транспортування_2ст!B86</f>
        <v>Відрахування</v>
      </c>
      <c r="B29" s="1772">
        <f>Транспортування_2ст!C30</f>
        <v>1821.4948900000002</v>
      </c>
      <c r="C29" s="1772">
        <f>Транспортування_2ст!D30</f>
        <v>1941.2065</v>
      </c>
      <c r="D29" s="1772">
        <v>2550.4896021431696</v>
      </c>
      <c r="E29" s="1772">
        <f>Транспортування_2ст!E30</f>
        <v>2770.1035343387657</v>
      </c>
      <c r="F29" s="1772">
        <f>Транспортування_2ст!F30</f>
        <v>3158.4447164513967</v>
      </c>
      <c r="G29" s="1514"/>
      <c r="H29" s="1762"/>
    </row>
    <row r="30" spans="1:9" x14ac:dyDescent="0.3">
      <c r="A30" s="713" t="str">
        <f>Транспортування_2ст!B87</f>
        <v>газ</v>
      </c>
      <c r="B30" s="1772">
        <f>Транспортування_2ст!C87</f>
        <v>0</v>
      </c>
      <c r="C30" s="1772">
        <f>Транспортування_2ст!D87</f>
        <v>0</v>
      </c>
      <c r="D30" s="1772">
        <v>0</v>
      </c>
      <c r="E30" s="1772">
        <f>Транспортування_2ст!E87</f>
        <v>0</v>
      </c>
      <c r="F30" s="1772">
        <f>Транспортування_2ст!F87</f>
        <v>0</v>
      </c>
      <c r="G30" s="1514"/>
      <c r="H30" s="1762"/>
    </row>
    <row r="31" spans="1:9" x14ac:dyDescent="0.3">
      <c r="A31" s="713" t="str">
        <f>Транспортування_2ст!B88</f>
        <v>електроенергія</v>
      </c>
      <c r="B31" s="1772">
        <f>Транспортування_2ст!C14</f>
        <v>7563.8176999999996</v>
      </c>
      <c r="C31" s="1772">
        <f>Транспортування_2ст!D14</f>
        <v>7847.1020099999996</v>
      </c>
      <c r="D31" s="1772">
        <v>7181.1784251868348</v>
      </c>
      <c r="E31" s="1772">
        <f>Транспортування_2ст!E14</f>
        <v>9941.9100189679011</v>
      </c>
      <c r="F31" s="1772">
        <f>Транспортування_2ст!F14</f>
        <v>15196.771543534536</v>
      </c>
      <c r="G31" s="1514"/>
      <c r="H31" s="1762"/>
    </row>
    <row r="32" spans="1:9" ht="31.2" x14ac:dyDescent="0.3">
      <c r="A32" s="713" t="str">
        <f>Транспортування_2ст!B89</f>
        <v>водопостачання, водовідведення</v>
      </c>
      <c r="B32" s="1772">
        <f>Транспортування_2ст!C15</f>
        <v>521.01531</v>
      </c>
      <c r="C32" s="1772">
        <f>Транспортування_2ст!D15</f>
        <v>466.57226000000003</v>
      </c>
      <c r="D32" s="1772">
        <v>608.8100193631858</v>
      </c>
      <c r="E32" s="1772">
        <f>Транспортування_2ст!E15</f>
        <v>737.11792346428263</v>
      </c>
      <c r="F32" s="1772">
        <f>Транспортування_2ст!F15</f>
        <v>652.20713385541455</v>
      </c>
      <c r="G32" s="1514"/>
    </row>
    <row r="33" spans="1:9" x14ac:dyDescent="0.3">
      <c r="A33" s="713" t="str">
        <f>Транспортування_2ст!B90</f>
        <v>амортизація</v>
      </c>
      <c r="B33" s="1772">
        <f>Транспортування_2ст!C31+Транспортування_2ст!C32</f>
        <v>4496.1033900000002</v>
      </c>
      <c r="C33" s="1772">
        <f>Транспортування_2ст!D31+Транспортування_2ст!D32</f>
        <v>5291.07</v>
      </c>
      <c r="D33" s="1772">
        <v>4397.3028050000021</v>
      </c>
      <c r="E33" s="1772">
        <f>Транспортування_2ст!E31+Транспортування_2ст!E32</f>
        <v>4186.5031399999998</v>
      </c>
      <c r="F33" s="1772">
        <f>Транспортування_2ст!F31+Транспортування_2ст!F32</f>
        <v>4893.1294399999952</v>
      </c>
      <c r="G33" s="1514"/>
    </row>
    <row r="34" spans="1:9" x14ac:dyDescent="0.3">
      <c r="A34" s="713" t="str">
        <f>Транспортування_2ст!B91</f>
        <v>податки</v>
      </c>
      <c r="B34" s="1772">
        <f>Транспортування_2ст!C69</f>
        <v>0.312</v>
      </c>
      <c r="C34" s="1772">
        <f>Транспортування_2ст!D69</f>
        <v>0.44345999999999997</v>
      </c>
      <c r="D34" s="1772">
        <v>0.38800000000000001</v>
      </c>
      <c r="E34" s="1772">
        <f>Транспортування_2ст!E69</f>
        <v>0.56879999999999997</v>
      </c>
      <c r="F34" s="1772">
        <f>Транспортування_2ст!F69</f>
        <v>0.44345999999999997</v>
      </c>
      <c r="G34" s="1514"/>
    </row>
    <row r="35" spans="1:9" x14ac:dyDescent="0.3">
      <c r="A35" s="713" t="str">
        <f>Транспортування_2ст!B92</f>
        <v>Ремонти</v>
      </c>
      <c r="B35" s="1772">
        <f>Транспортування_2ст!C33</f>
        <v>671.51651000000004</v>
      </c>
      <c r="C35" s="1772">
        <f>Транспортування_2ст!D33</f>
        <v>1570.3259699999999</v>
      </c>
      <c r="D35" s="1772">
        <v>1488.6374395280236</v>
      </c>
      <c r="E35" s="1772">
        <f>Транспортування_2ст!E33</f>
        <v>3010.7659999999996</v>
      </c>
      <c r="F35" s="1772">
        <f>Транспортування_2ст!F33</f>
        <v>2728.4690000000001</v>
      </c>
      <c r="G35" s="1514"/>
    </row>
    <row r="36" spans="1:9" x14ac:dyDescent="0.3">
      <c r="A36" s="713" t="str">
        <f>Транспортування_2ст!B93</f>
        <v>інші</v>
      </c>
      <c r="B36" s="1772">
        <f>Транспортування_2ст!C12-'Порівняння структур'!B28-'Порівняння структур'!B29-'Порівняння структур'!B30-'Порівняння структур'!B31-'Порівняння структур'!B32-'Порівняння структур'!B33-'Порівняння структур'!B34-'Порівняння структур'!B35</f>
        <v>803.59131000000014</v>
      </c>
      <c r="C36" s="1772">
        <f>Транспортування_2ст!D12-'Порівняння структур'!C28-'Порівняння структур'!C29-'Порівняння структур'!C30-'Порівняння структур'!C31-'Порівняння структур'!C32-'Порівняння структур'!C33-'Порівняння структур'!C34-'Порівняння структур'!C35</f>
        <v>1121.1034999999988</v>
      </c>
      <c r="D36" s="1772">
        <v>846.46646721103025</v>
      </c>
      <c r="E36" s="1772">
        <f>Транспортування_2ст!E12-'Порівняння структур'!E28-'Порівняння структур'!E29-'Порівняння структур'!E30-'Порівняння структур'!E31-'Порівняння структур'!E32-'Порівняння структур'!E33-'Порівняння структур'!E34-'Порівняння структур'!E35-E37</f>
        <v>1165.086295886078</v>
      </c>
      <c r="F36" s="1772">
        <f>Транспортування_2ст!F12-'Порівняння структур'!F28-'Порівняння структур'!F29-'Порівняння структур'!F30-'Порівняння структур'!F31-'Порівняння структур'!F32-'Порівняння структур'!F33-'Порівняння структур'!F34-'Порівняння структур'!F35-F37</f>
        <v>1258.6942113616751</v>
      </c>
      <c r="G36" s="1514"/>
    </row>
    <row r="37" spans="1:9" x14ac:dyDescent="0.3">
      <c r="A37" s="713" t="s">
        <v>2716</v>
      </c>
      <c r="B37" s="1772"/>
      <c r="C37" s="1772"/>
      <c r="D37" s="1772">
        <v>16157.034114838687</v>
      </c>
      <c r="E37" s="1772">
        <f>Транспортування_2ст!E26</f>
        <v>25408.785940405032</v>
      </c>
      <c r="F37" s="1772">
        <f>Транспортування_2ст!F26</f>
        <v>10420.735434643655</v>
      </c>
      <c r="G37" s="1514"/>
    </row>
    <row r="38" spans="1:9" x14ac:dyDescent="0.3">
      <c r="A38" s="713"/>
      <c r="B38" s="1772"/>
      <c r="C38" s="1772"/>
      <c r="D38" s="1772"/>
      <c r="E38" s="1772"/>
      <c r="F38" s="1774"/>
      <c r="G38" s="1319"/>
    </row>
    <row r="39" spans="1:9" x14ac:dyDescent="0.3">
      <c r="A39" s="1763" t="s">
        <v>2233</v>
      </c>
      <c r="B39" s="1773">
        <f>SUM(B40:B48)</f>
        <v>780.90219000000002</v>
      </c>
      <c r="C39" s="1773">
        <f>SUM(C40:C48)</f>
        <v>1602.66103</v>
      </c>
      <c r="D39" s="1773">
        <f>SUM(D40:D48)</f>
        <v>1652.9884505168845</v>
      </c>
      <c r="E39" s="1773">
        <f>SUM(E40:E48)</f>
        <v>1702.8224901170292</v>
      </c>
      <c r="F39" s="1773">
        <f>SUM(F40:F48)</f>
        <v>1816.6486399715739</v>
      </c>
      <c r="G39" s="1514"/>
      <c r="H39" s="1762"/>
      <c r="I39" s="1780"/>
    </row>
    <row r="40" spans="1:9" x14ac:dyDescent="0.3">
      <c r="A40" s="713" t="str">
        <f>Постачання_2ст!B76</f>
        <v>Зарплата</v>
      </c>
      <c r="B40" s="1772">
        <f>Постачання_2ст!C76</f>
        <v>586.92831000000001</v>
      </c>
      <c r="C40" s="1772">
        <f>Постачання_2ст!D76</f>
        <v>565.58097999999995</v>
      </c>
      <c r="D40" s="1772">
        <v>597.86833500000012</v>
      </c>
      <c r="E40" s="1772">
        <f>Постачання_2ст!E76</f>
        <v>684.72567299999992</v>
      </c>
      <c r="F40" s="1772">
        <f>Постачання_2ст!F76</f>
        <v>754.48063799999989</v>
      </c>
      <c r="G40" s="1514"/>
    </row>
    <row r="41" spans="1:9" x14ac:dyDescent="0.3">
      <c r="A41" s="713" t="str">
        <f>Постачання_2ст!B77</f>
        <v>Відрахування</v>
      </c>
      <c r="B41" s="1772">
        <f>Постачання_2ст!C77</f>
        <v>127.35957000000001</v>
      </c>
      <c r="C41" s="1772">
        <f>Постачання_2ст!D77</f>
        <v>124.51048</v>
      </c>
      <c r="D41" s="1772">
        <v>131.53103370000002</v>
      </c>
      <c r="E41" s="1772">
        <f>Постачання_2ст!E77</f>
        <v>150.63964805999998</v>
      </c>
      <c r="F41" s="1772">
        <f>Постачання_2ст!F77</f>
        <v>165.98574035999997</v>
      </c>
      <c r="G41" s="1514"/>
    </row>
    <row r="42" spans="1:9" x14ac:dyDescent="0.3">
      <c r="A42" s="713" t="str">
        <f>Постачання_2ст!B78</f>
        <v>газ</v>
      </c>
      <c r="B42" s="1772">
        <f>Постачання_2ст!C78</f>
        <v>0</v>
      </c>
      <c r="C42" s="1772">
        <f>Постачання_2ст!D78</f>
        <v>0</v>
      </c>
      <c r="D42" s="1772">
        <v>0</v>
      </c>
      <c r="E42" s="1772">
        <f>Постачання_2ст!E78</f>
        <v>0</v>
      </c>
      <c r="F42" s="1772">
        <f>Постачання_2ст!F78</f>
        <v>0</v>
      </c>
      <c r="G42" s="1514"/>
    </row>
    <row r="43" spans="1:9" x14ac:dyDescent="0.3">
      <c r="A43" s="713" t="str">
        <f>Постачання_2ст!B79</f>
        <v>електроенергія</v>
      </c>
      <c r="B43" s="1772">
        <f>Постачання_2ст!C79</f>
        <v>0</v>
      </c>
      <c r="C43" s="1772">
        <f>Постачання_2ст!D79</f>
        <v>0</v>
      </c>
      <c r="D43" s="1772">
        <v>0</v>
      </c>
      <c r="E43" s="1772">
        <f>Постачання_2ст!E79</f>
        <v>0</v>
      </c>
      <c r="F43" s="1772">
        <f>Постачання_2ст!F79</f>
        <v>0</v>
      </c>
      <c r="G43" s="1514"/>
    </row>
    <row r="44" spans="1:9" ht="31.2" x14ac:dyDescent="0.3">
      <c r="A44" s="713" t="str">
        <f>Постачання_2ст!B80</f>
        <v>водопостачання, водовідведення</v>
      </c>
      <c r="B44" s="1772">
        <f>Постачання_2ст!C80</f>
        <v>0</v>
      </c>
      <c r="C44" s="1772">
        <f>Постачання_2ст!D80</f>
        <v>0</v>
      </c>
      <c r="D44" s="1772">
        <v>0</v>
      </c>
      <c r="E44" s="1772">
        <f>Постачання_2ст!E80</f>
        <v>0</v>
      </c>
      <c r="F44" s="1772">
        <f>Постачання_2ст!F80</f>
        <v>0</v>
      </c>
      <c r="G44" s="1514"/>
    </row>
    <row r="45" spans="1:9" x14ac:dyDescent="0.3">
      <c r="A45" s="713" t="str">
        <f>Постачання_2ст!B81</f>
        <v>амортизація</v>
      </c>
      <c r="B45" s="1772">
        <f>Постачання_2ст!C81</f>
        <v>28.322400000000002</v>
      </c>
      <c r="C45" s="1772">
        <f>Постачання_2ст!D81</f>
        <v>887.7299999999999</v>
      </c>
      <c r="D45" s="1772">
        <v>887.2696000000019</v>
      </c>
      <c r="E45" s="1772">
        <f>Постачання_2ст!E81</f>
        <v>826.87560000000099</v>
      </c>
      <c r="F45" s="1772">
        <f>Постачання_2ст!F81</f>
        <v>843.99335000000065</v>
      </c>
      <c r="G45" s="1514"/>
    </row>
    <row r="46" spans="1:9" x14ac:dyDescent="0.3">
      <c r="A46" s="713" t="str">
        <f>Постачання_2ст!B82</f>
        <v>податки</v>
      </c>
      <c r="B46" s="1772">
        <f>Постачання_2ст!C82</f>
        <v>0</v>
      </c>
      <c r="C46" s="1772">
        <f>Постачання_2ст!D82</f>
        <v>0</v>
      </c>
      <c r="D46" s="1772">
        <v>0</v>
      </c>
      <c r="E46" s="1772">
        <f>Постачання_2ст!E82</f>
        <v>0</v>
      </c>
      <c r="F46" s="1772">
        <f>Постачання_2ст!F82</f>
        <v>0</v>
      </c>
      <c r="G46" s="1514"/>
    </row>
    <row r="47" spans="1:9" x14ac:dyDescent="0.3">
      <c r="A47" s="713" t="str">
        <f>Постачання_2ст!B83</f>
        <v>Ремонти</v>
      </c>
      <c r="B47" s="1772">
        <f>Постачання_2ст!C83</f>
        <v>0</v>
      </c>
      <c r="C47" s="1772">
        <f>Постачання_2ст!D83</f>
        <v>0</v>
      </c>
      <c r="D47" s="1772">
        <v>0</v>
      </c>
      <c r="E47" s="1772">
        <f>Постачання_2ст!E83</f>
        <v>0</v>
      </c>
      <c r="F47" s="1772">
        <f>Постачання_2ст!F83</f>
        <v>0</v>
      </c>
      <c r="G47" s="1514"/>
    </row>
    <row r="48" spans="1:9" x14ac:dyDescent="0.3">
      <c r="A48" s="713" t="str">
        <f>Постачання_2ст!B84</f>
        <v>інші</v>
      </c>
      <c r="B48" s="1772">
        <f>Постачання_2ст!C84</f>
        <v>38.291910000000001</v>
      </c>
      <c r="C48" s="1772">
        <f>Постачання_2ст!D84</f>
        <v>24.839569999999998</v>
      </c>
      <c r="D48" s="1772">
        <v>36.319481816882409</v>
      </c>
      <c r="E48" s="1772">
        <f>Постачання_2ст!E84</f>
        <v>40.581569057028474</v>
      </c>
      <c r="F48" s="1772">
        <f>Постачання_2ст!F84</f>
        <v>52.188911611573275</v>
      </c>
      <c r="G48" s="1514"/>
    </row>
    <row r="49" spans="1:14" x14ac:dyDescent="0.3">
      <c r="A49" s="713"/>
      <c r="B49" s="1772"/>
      <c r="C49" s="1772"/>
      <c r="D49" s="1772"/>
      <c r="E49" s="1772"/>
      <c r="F49" s="1772"/>
      <c r="G49" s="1514"/>
    </row>
    <row r="50" spans="1:14" x14ac:dyDescent="0.3">
      <c r="A50" s="713"/>
      <c r="B50" s="5516" t="s">
        <v>3742</v>
      </c>
      <c r="C50" s="5517"/>
      <c r="D50" s="5517"/>
      <c r="E50" s="5517"/>
      <c r="F50" s="5518"/>
      <c r="G50" s="1499" t="s">
        <v>2830</v>
      </c>
      <c r="H50" s="1499" t="s">
        <v>2831</v>
      </c>
      <c r="I50" s="1781" t="s">
        <v>2833</v>
      </c>
      <c r="J50" s="1499" t="s">
        <v>2834</v>
      </c>
      <c r="K50" s="1499" t="s">
        <v>2832</v>
      </c>
    </row>
    <row r="51" spans="1:14" ht="31.2" x14ac:dyDescent="0.3">
      <c r="A51" s="1763" t="s">
        <v>1896</v>
      </c>
      <c r="B51" s="1773">
        <f t="shared" ref="B51:K51" si="5">SUM(B52:B60)</f>
        <v>4945.956619999999</v>
      </c>
      <c r="C51" s="1773">
        <f t="shared" si="5"/>
        <v>5313.0774899999988</v>
      </c>
      <c r="D51" s="1773">
        <f t="shared" si="5"/>
        <v>6463.1626975951012</v>
      </c>
      <c r="E51" s="1773">
        <f t="shared" si="5"/>
        <v>5955.081412783672</v>
      </c>
      <c r="F51" s="1773">
        <f t="shared" si="5"/>
        <v>6812.6492399407898</v>
      </c>
      <c r="G51" s="1773">
        <f t="shared" si="5"/>
        <v>5210.7535416702249</v>
      </c>
      <c r="H51" s="1773">
        <f t="shared" si="5"/>
        <v>1536.0951446998736</v>
      </c>
      <c r="I51" s="1773">
        <f t="shared" si="5"/>
        <v>424.6863195715905</v>
      </c>
      <c r="J51" s="1773">
        <f t="shared" si="5"/>
        <v>1111.4088251282831</v>
      </c>
      <c r="K51" s="1773">
        <f t="shared" si="5"/>
        <v>65.800553570691349</v>
      </c>
      <c r="M51" s="1762">
        <f>'сведено-економ'!G8</f>
        <v>6812.6492399407898</v>
      </c>
      <c r="N51" s="1762">
        <f>M51-F51</f>
        <v>0</v>
      </c>
    </row>
    <row r="52" spans="1:14" x14ac:dyDescent="0.3">
      <c r="A52" s="713" t="s">
        <v>2294</v>
      </c>
      <c r="B52" s="3951">
        <f>ЗВВ_2ст!C76</f>
        <v>3790.6984600000001</v>
      </c>
      <c r="C52" s="3951">
        <f>ЗВВ_2ст!D76</f>
        <v>4097.1417599999995</v>
      </c>
      <c r="D52" s="3951">
        <v>4808.9539999999997</v>
      </c>
      <c r="E52" s="3951">
        <v>4566.9611827439339</v>
      </c>
      <c r="F52" s="1772">
        <f t="shared" ref="F52:F60" si="6">G52+H52+K52</f>
        <v>5205.7199175136511</v>
      </c>
      <c r="G52" s="1772">
        <f>ЗВВ_2ст!G76</f>
        <v>3981.6703519823727</v>
      </c>
      <c r="H52" s="1772">
        <f>ЗВВ_2ст!H76</f>
        <v>1173.7696758375371</v>
      </c>
      <c r="I52" s="1772">
        <f>ЗВВ_2ст!I76</f>
        <v>324.51370305813811</v>
      </c>
      <c r="J52" s="1772">
        <f>ЗВВ_2ст!J76</f>
        <v>849.25597277939903</v>
      </c>
      <c r="K52" s="1772">
        <f>ЗВВ_2ст!K76</f>
        <v>50.279889693741083</v>
      </c>
    </row>
    <row r="53" spans="1:14" x14ac:dyDescent="0.3">
      <c r="A53" s="713" t="s">
        <v>2295</v>
      </c>
      <c r="B53" s="3951">
        <f>ЗВВ_2ст!C77</f>
        <v>784.20613000000003</v>
      </c>
      <c r="C53" s="3951">
        <f>ЗВВ_2ст!D77</f>
        <v>824.63490999999999</v>
      </c>
      <c r="D53" s="3951">
        <v>1011.4640000000001</v>
      </c>
      <c r="E53" s="3951">
        <v>960.64483587012853</v>
      </c>
      <c r="F53" s="1772">
        <f t="shared" si="6"/>
        <v>1111.174104496022</v>
      </c>
      <c r="G53" s="1772">
        <f>ЗВВ_2ст!G77</f>
        <v>849.8976237422155</v>
      </c>
      <c r="H53" s="1772">
        <f>ЗВВ_2ст!H77</f>
        <v>250.54411092026282</v>
      </c>
      <c r="I53" s="1772">
        <f>ЗВВ_2ст!I77</f>
        <v>69.268272036529339</v>
      </c>
      <c r="J53" s="1772">
        <f>ЗВВ_2ст!J77</f>
        <v>181.27583888373348</v>
      </c>
      <c r="K53" s="1772">
        <f>ЗВВ_2ст!K77</f>
        <v>10.73236983354378</v>
      </c>
    </row>
    <row r="54" spans="1:14" x14ac:dyDescent="0.3">
      <c r="A54" s="713" t="s">
        <v>2296</v>
      </c>
      <c r="B54" s="3951">
        <f>ЗВВ_2ст!C78</f>
        <v>0</v>
      </c>
      <c r="C54" s="3951">
        <f>ЗВВ_2ст!D78</f>
        <v>0</v>
      </c>
      <c r="D54" s="3951">
        <v>0</v>
      </c>
      <c r="E54" s="3951">
        <v>0</v>
      </c>
      <c r="F54" s="1772">
        <f t="shared" si="6"/>
        <v>0</v>
      </c>
      <c r="G54" s="1772">
        <f>ЗВВ_2ст!G78</f>
        <v>0</v>
      </c>
      <c r="H54" s="1772">
        <f>ЗВВ_2ст!H78</f>
        <v>0</v>
      </c>
      <c r="I54" s="1772">
        <f>ЗВВ_2ст!I78</f>
        <v>0</v>
      </c>
      <c r="J54" s="1772">
        <f>ЗВВ_2ст!J78</f>
        <v>0</v>
      </c>
      <c r="K54" s="1772">
        <f>ЗВВ_2ст!K78</f>
        <v>0</v>
      </c>
    </row>
    <row r="55" spans="1:14" x14ac:dyDescent="0.3">
      <c r="A55" s="713" t="s">
        <v>43</v>
      </c>
      <c r="B55" s="3951">
        <f>ЗВВ_2ст!C79</f>
        <v>80.554880000000011</v>
      </c>
      <c r="C55" s="3951">
        <f>ЗВВ_2ст!D79</f>
        <v>74.930890000000005</v>
      </c>
      <c r="D55" s="3951">
        <v>42.963999999999999</v>
      </c>
      <c r="E55" s="3951">
        <v>64.645121238150608</v>
      </c>
      <c r="F55" s="1772">
        <f t="shared" si="6"/>
        <v>110.04354329495554</v>
      </c>
      <c r="G55" s="1772">
        <f>ЗВВ_2ст!G79</f>
        <v>84.168399511951677</v>
      </c>
      <c r="H55" s="1772">
        <f>ЗВВ_2ст!H79</f>
        <v>24.8122788371269</v>
      </c>
      <c r="I55" s="1772">
        <f>ЗВВ_2ст!I79</f>
        <v>6.8598845689225314</v>
      </c>
      <c r="J55" s="1772">
        <f>ЗВВ_2ст!J79</f>
        <v>17.952394268204372</v>
      </c>
      <c r="K55" s="1772">
        <f>ЗВВ_2ст!K79</f>
        <v>1.0628649458769652</v>
      </c>
    </row>
    <row r="56" spans="1:14" ht="31.2" x14ac:dyDescent="0.3">
      <c r="A56" s="713" t="s">
        <v>2297</v>
      </c>
      <c r="B56" s="3951">
        <f>ЗВВ_2ст!C80</f>
        <v>2.1199299999999996</v>
      </c>
      <c r="C56" s="3951">
        <f>ЗВВ_2ст!D80</f>
        <v>3.0426100000000003</v>
      </c>
      <c r="D56" s="3951">
        <v>2.23</v>
      </c>
      <c r="E56" s="3951">
        <v>2.5924427772387393</v>
      </c>
      <c r="F56" s="1772">
        <f t="shared" si="6"/>
        <v>2.8585150232662317</v>
      </c>
      <c r="G56" s="1772">
        <f>ЗВВ_2ст!G80</f>
        <v>2.1863766585950812</v>
      </c>
      <c r="H56" s="1772">
        <f>ЗВВ_2ст!H80</f>
        <v>0.64452915358505491</v>
      </c>
      <c r="I56" s="1772">
        <f>ЗВВ_2ст!I80</f>
        <v>0.17819385409626434</v>
      </c>
      <c r="J56" s="1772">
        <f>ЗВВ_2ст!J80</f>
        <v>0.4663352994887906</v>
      </c>
      <c r="K56" s="1772">
        <f>ЗВВ_2ст!K80</f>
        <v>2.7609211086095851E-2</v>
      </c>
    </row>
    <row r="57" spans="1:14" x14ac:dyDescent="0.3">
      <c r="A57" s="713" t="s">
        <v>460</v>
      </c>
      <c r="B57" s="3951">
        <f>ЗВВ_2ст!C81</f>
        <v>72.753870000000006</v>
      </c>
      <c r="C57" s="3951">
        <f>ЗВВ_2ст!D81</f>
        <v>64.585720000000009</v>
      </c>
      <c r="D57" s="3951">
        <v>48.57</v>
      </c>
      <c r="E57" s="3951">
        <v>85.132083789885357</v>
      </c>
      <c r="F57" s="1772">
        <f t="shared" si="6"/>
        <v>32.029500111888446</v>
      </c>
      <c r="G57" s="1772">
        <f>ЗВВ_2ст!G81</f>
        <v>24.498227527621857</v>
      </c>
      <c r="H57" s="1772">
        <f>ЗВВ_2ст!H81</f>
        <v>7.2219129264115027</v>
      </c>
      <c r="I57" s="1772">
        <f>ЗВВ_2ст!I81</f>
        <v>1.9966521159621551</v>
      </c>
      <c r="J57" s="1772">
        <f>ЗВВ_2ст!J81</f>
        <v>5.2252608104493481</v>
      </c>
      <c r="K57" s="1772">
        <f>ЗВВ_2ст!K81</f>
        <v>0.3093596578550839</v>
      </c>
    </row>
    <row r="58" spans="1:14" x14ac:dyDescent="0.3">
      <c r="A58" s="713" t="s">
        <v>2298</v>
      </c>
      <c r="B58" s="3951">
        <f>ЗВВ_2ст!C82</f>
        <v>0</v>
      </c>
      <c r="C58" s="3951">
        <f>ЗВВ_2ст!D82</f>
        <v>0</v>
      </c>
      <c r="D58" s="3951">
        <v>0</v>
      </c>
      <c r="E58" s="3951">
        <v>0</v>
      </c>
      <c r="F58" s="1772">
        <f t="shared" si="6"/>
        <v>0</v>
      </c>
      <c r="G58" s="1772">
        <f>ЗВВ_2ст!G82</f>
        <v>0</v>
      </c>
      <c r="H58" s="1772">
        <f>ЗВВ_2ст!H82</f>
        <v>0</v>
      </c>
      <c r="I58" s="1772">
        <f>ЗВВ_2ст!I82</f>
        <v>0</v>
      </c>
      <c r="J58" s="1772">
        <f>ЗВВ_2ст!J82</f>
        <v>0</v>
      </c>
      <c r="K58" s="1772">
        <f>ЗВВ_2ст!K82</f>
        <v>0</v>
      </c>
    </row>
    <row r="59" spans="1:14" x14ac:dyDescent="0.3">
      <c r="A59" s="713" t="s">
        <v>2299</v>
      </c>
      <c r="B59" s="3951">
        <f>ЗВВ_2ст!C83</f>
        <v>4.5830099999999998</v>
      </c>
      <c r="C59" s="3951">
        <f>ЗВВ_2ст!D83</f>
        <v>7.7384899999999996</v>
      </c>
      <c r="D59" s="3951">
        <v>203.63122386057498</v>
      </c>
      <c r="E59" s="3951">
        <v>14.573524972118484</v>
      </c>
      <c r="F59" s="1772">
        <f t="shared" si="6"/>
        <v>13.744330495745244</v>
      </c>
      <c r="G59" s="1772">
        <f>ЗВВ_2ст!G83</f>
        <v>10.512550446412394</v>
      </c>
      <c r="H59" s="1772">
        <f>ЗВВ_2ст!H83</f>
        <v>3.0990292613168746</v>
      </c>
      <c r="I59" s="1772">
        <f>ЗВВ_2ст!I83</f>
        <v>0.85679284631192187</v>
      </c>
      <c r="J59" s="1772">
        <f>ЗВВ_2ст!J83</f>
        <v>2.2422364150049527</v>
      </c>
      <c r="K59" s="1772">
        <f>ЗВВ_2ст!K83</f>
        <v>0.13275078801597481</v>
      </c>
    </row>
    <row r="60" spans="1:14" x14ac:dyDescent="0.3">
      <c r="A60" s="713" t="s">
        <v>2300</v>
      </c>
      <c r="B60" s="3951">
        <f>ЗВВ_2ст!C84</f>
        <v>211.04033999999996</v>
      </c>
      <c r="C60" s="3951">
        <f>ЗВВ_2ст!D84</f>
        <v>241.00310999999996</v>
      </c>
      <c r="D60" s="3951">
        <v>345.3494737345269</v>
      </c>
      <c r="E60" s="3951">
        <v>260.53222139221646</v>
      </c>
      <c r="F60" s="1772">
        <f t="shared" si="6"/>
        <v>337.07932900526185</v>
      </c>
      <c r="G60" s="1772">
        <f>ЗВВ_2ст!G84</f>
        <v>257.82001180105624</v>
      </c>
      <c r="H60" s="1772">
        <f>ЗВВ_2ст!H84</f>
        <v>76.003607763633255</v>
      </c>
      <c r="I60" s="1772">
        <f>ЗВВ_2ст!I84</f>
        <v>21.012821091630144</v>
      </c>
      <c r="J60" s="1772">
        <f>ЗВВ_2ст!J84</f>
        <v>54.990786672003097</v>
      </c>
      <c r="K60" s="1772">
        <f>ЗВВ_2ст!K84</f>
        <v>3.2557094405723723</v>
      </c>
    </row>
    <row r="61" spans="1:14" x14ac:dyDescent="0.3">
      <c r="A61" s="713"/>
      <c r="B61" s="1772"/>
      <c r="C61" s="1772"/>
      <c r="D61" s="1772"/>
      <c r="E61" s="1772"/>
      <c r="F61" s="1772"/>
      <c r="G61" s="1772"/>
      <c r="H61" s="1772"/>
      <c r="I61" s="1772"/>
      <c r="J61" s="1772"/>
      <c r="K61" s="1772"/>
    </row>
    <row r="62" spans="1:14" x14ac:dyDescent="0.3">
      <c r="A62" s="713"/>
      <c r="B62" s="5516" t="s">
        <v>3742</v>
      </c>
      <c r="C62" s="5517"/>
      <c r="D62" s="5517"/>
      <c r="E62" s="5517"/>
      <c r="F62" s="5518"/>
      <c r="G62" s="1499" t="s">
        <v>2830</v>
      </c>
      <c r="H62" s="1499" t="s">
        <v>2831</v>
      </c>
      <c r="I62" s="3160" t="s">
        <v>2833</v>
      </c>
      <c r="J62" s="1499" t="s">
        <v>2834</v>
      </c>
      <c r="K62" s="1499" t="s">
        <v>2832</v>
      </c>
    </row>
    <row r="63" spans="1:14" x14ac:dyDescent="0.3">
      <c r="A63" s="1763" t="s">
        <v>1897</v>
      </c>
      <c r="B63" s="1773">
        <f t="shared" ref="B63:K63" si="7">SUM(B64:B72)</f>
        <v>8025.5941500000017</v>
      </c>
      <c r="C63" s="1773">
        <f t="shared" si="7"/>
        <v>8157.6273799999999</v>
      </c>
      <c r="D63" s="1773">
        <f t="shared" si="7"/>
        <v>7630.5366603321218</v>
      </c>
      <c r="E63" s="1773">
        <f t="shared" si="7"/>
        <v>6973.2198533813398</v>
      </c>
      <c r="F63" s="1773">
        <f t="shared" si="7"/>
        <v>8282.3657869488434</v>
      </c>
      <c r="G63" s="1764">
        <f t="shared" si="7"/>
        <v>6334.8875507536159</v>
      </c>
      <c r="H63" s="1764">
        <f t="shared" si="7"/>
        <v>1867.4823000385445</v>
      </c>
      <c r="I63" s="3161">
        <f t="shared" si="7"/>
        <v>516.30537835168718</v>
      </c>
      <c r="J63" s="1764">
        <f t="shared" si="7"/>
        <v>1351.176921686857</v>
      </c>
      <c r="K63" s="1764">
        <f t="shared" si="7"/>
        <v>79.995936156684508</v>
      </c>
      <c r="M63" s="1762">
        <f>'сведено-економ'!G9</f>
        <v>8282.3657869488434</v>
      </c>
      <c r="N63" s="1762">
        <f>F63-M63</f>
        <v>0</v>
      </c>
    </row>
    <row r="64" spans="1:14" x14ac:dyDescent="0.3">
      <c r="A64" s="713" t="s">
        <v>2294</v>
      </c>
      <c r="B64" s="3951">
        <f>Адміністративні_2ст!C96</f>
        <v>5030.3503000000001</v>
      </c>
      <c r="C64" s="3951">
        <f>Адміністративні_2ст!D96</f>
        <v>6082.8951900000002</v>
      </c>
      <c r="D64" s="3951">
        <v>5647.267092600001</v>
      </c>
      <c r="E64" s="3951">
        <v>5045.4531841880244</v>
      </c>
      <c r="F64" s="1772">
        <f t="shared" ref="F64:F72" si="8">G64+H64+K64</f>
        <v>6202.3666716557036</v>
      </c>
      <c r="G64" s="1736">
        <f>Адміністративні_2ст!G96</f>
        <v>4743.9700713768461</v>
      </c>
      <c r="H64" s="1736">
        <f>Адміністративні_2ст!H96</f>
        <v>1398.4905129302454</v>
      </c>
      <c r="I64" s="1225">
        <f>Адміністративні_2ст!I96</f>
        <v>386.64257936195304</v>
      </c>
      <c r="J64" s="1736">
        <f>Адміністративні_2ст!J96</f>
        <v>1011.8479335682923</v>
      </c>
      <c r="K64" s="1736">
        <f>Адміністративні_2ст!K96</f>
        <v>59.90608734861253</v>
      </c>
    </row>
    <row r="65" spans="1:11" x14ac:dyDescent="0.3">
      <c r="A65" s="713" t="s">
        <v>2295</v>
      </c>
      <c r="B65" s="3951">
        <f>Адміністративні_2ст!C97</f>
        <v>1098.0906300000001</v>
      </c>
      <c r="C65" s="3951">
        <f>Адміністративні_2ст!D97</f>
        <v>1183.33798</v>
      </c>
      <c r="D65" s="3951">
        <v>1242.3987603720002</v>
      </c>
      <c r="E65" s="3951">
        <v>1109.9997005213652</v>
      </c>
      <c r="F65" s="1772">
        <f t="shared" si="8"/>
        <v>1364.520667764255</v>
      </c>
      <c r="G65" s="1736">
        <f>Адміністративні_2ст!G97</f>
        <v>1043.6734157029061</v>
      </c>
      <c r="H65" s="1736">
        <f>Адміністративні_2ст!H97</f>
        <v>307.66791284465398</v>
      </c>
      <c r="I65" s="1225">
        <f>Адміністративні_2ст!I97</f>
        <v>85.061367459629665</v>
      </c>
      <c r="J65" s="1736">
        <f>Адміністративні_2ст!J97</f>
        <v>222.6065453850243</v>
      </c>
      <c r="K65" s="1736">
        <f>Адміністративні_2ст!K97</f>
        <v>13.179339216694757</v>
      </c>
    </row>
    <row r="66" spans="1:11" x14ac:dyDescent="0.3">
      <c r="A66" s="713" t="s">
        <v>2296</v>
      </c>
      <c r="B66" s="3951">
        <f>Адміністративні_2ст!C98</f>
        <v>0</v>
      </c>
      <c r="C66" s="3951">
        <f>Адміністративні_2ст!D98</f>
        <v>0</v>
      </c>
      <c r="D66" s="3951">
        <v>0</v>
      </c>
      <c r="E66" s="3951">
        <v>0</v>
      </c>
      <c r="F66" s="1772">
        <f t="shared" si="8"/>
        <v>0</v>
      </c>
      <c r="G66" s="1736">
        <f>Адміністративні_2ст!G98</f>
        <v>0</v>
      </c>
      <c r="H66" s="1736">
        <f>Адміністративні_2ст!H98</f>
        <v>0</v>
      </c>
      <c r="I66" s="1225">
        <f>Адміністративні_2ст!I98</f>
        <v>0</v>
      </c>
      <c r="J66" s="1736">
        <f>Адміністративні_2ст!J98</f>
        <v>0</v>
      </c>
      <c r="K66" s="1736">
        <f>Адміністративні_2ст!K98</f>
        <v>0</v>
      </c>
    </row>
    <row r="67" spans="1:11" x14ac:dyDescent="0.3">
      <c r="A67" s="713" t="s">
        <v>43</v>
      </c>
      <c r="B67" s="3951">
        <f>Адміністративні_2ст!C99</f>
        <v>35.107579999999999</v>
      </c>
      <c r="C67" s="3951">
        <f>Адміністративні_2ст!D99</f>
        <v>41.579000000000001</v>
      </c>
      <c r="D67" s="3951">
        <v>32.497890252458667</v>
      </c>
      <c r="E67" s="3951">
        <v>51.570856167265212</v>
      </c>
      <c r="F67" s="1772">
        <f t="shared" si="8"/>
        <v>87.883761527385417</v>
      </c>
      <c r="G67" s="1736">
        <f>Адміністративні_2ст!G99</f>
        <v>67.219169152190943</v>
      </c>
      <c r="H67" s="1736">
        <f>Адміністративні_2ст!H99</f>
        <v>19.815759570993496</v>
      </c>
      <c r="I67" s="1225">
        <f>Адміністративні_2ст!I99</f>
        <v>5.4784900731946431</v>
      </c>
      <c r="J67" s="1736">
        <f>Адміністративні_2ст!J99</f>
        <v>14.337269497798854</v>
      </c>
      <c r="K67" s="1736">
        <f>Адміністративні_2ст!K99</f>
        <v>0.84883280420097584</v>
      </c>
    </row>
    <row r="68" spans="1:11" ht="31.2" x14ac:dyDescent="0.3">
      <c r="A68" s="713" t="s">
        <v>2297</v>
      </c>
      <c r="B68" s="3951">
        <f>Адміністративні_2ст!C100</f>
        <v>1.37754</v>
      </c>
      <c r="C68" s="3951">
        <f>Адміністративні_2ст!D100</f>
        <v>1.7771199999999998</v>
      </c>
      <c r="D68" s="3951">
        <v>1.3228425000000001</v>
      </c>
      <c r="E68" s="3951">
        <v>1.4352561587372479</v>
      </c>
      <c r="F68" s="1772">
        <f t="shared" si="8"/>
        <v>1.512196881403999</v>
      </c>
      <c r="G68" s="1771">
        <f>Адміністративні_2ст!G100</f>
        <v>1.1566257087304617</v>
      </c>
      <c r="H68" s="1771">
        <f>Адміністративні_2ст!H100</f>
        <v>0.34096549015565664</v>
      </c>
      <c r="I68" s="1772">
        <f>Адміністративні_2ст!I100</f>
        <v>9.4267194069818663E-2</v>
      </c>
      <c r="J68" s="1771">
        <f>Адміністративні_2ст!J100</f>
        <v>0.24669829608583799</v>
      </c>
      <c r="K68" s="1771">
        <f>Адміністративні_2ст!K100</f>
        <v>1.4605682517880669E-2</v>
      </c>
    </row>
    <row r="69" spans="1:11" x14ac:dyDescent="0.3">
      <c r="A69" s="713" t="s">
        <v>460</v>
      </c>
      <c r="B69" s="3951">
        <f>Адміністративні_2ст!C101</f>
        <v>92.50885000000001</v>
      </c>
      <c r="C69" s="3951">
        <f>Адміністративні_2ст!D101</f>
        <v>138.52208999999999</v>
      </c>
      <c r="D69" s="3951">
        <v>95.075919999999982</v>
      </c>
      <c r="E69" s="3951">
        <v>109.77167058451373</v>
      </c>
      <c r="F69" s="1772">
        <f t="shared" si="8"/>
        <v>78.23549928052212</v>
      </c>
      <c r="G69" s="1736">
        <f>Адміністративні_2ст!G101</f>
        <v>59.839555891161972</v>
      </c>
      <c r="H69" s="1736">
        <f>Адміністративні_2ст!H101</f>
        <v>17.64029914873835</v>
      </c>
      <c r="I69" s="1225">
        <f>Адміністративні_2ст!I101</f>
        <v>4.8770375633752021</v>
      </c>
      <c r="J69" s="1736">
        <f>Адміністративні_2ст!J101</f>
        <v>12.76326158536315</v>
      </c>
      <c r="K69" s="1736">
        <f>Адміністративні_2ст!K101</f>
        <v>0.75564424062180591</v>
      </c>
    </row>
    <row r="70" spans="1:11" x14ac:dyDescent="0.3">
      <c r="A70" s="713" t="s">
        <v>2298</v>
      </c>
      <c r="B70" s="3951">
        <f>Адміністративні_2ст!C102</f>
        <v>0</v>
      </c>
      <c r="C70" s="3951">
        <f>Адміністративні_2ст!D102</f>
        <v>0</v>
      </c>
      <c r="D70" s="3951">
        <v>0</v>
      </c>
      <c r="E70" s="3951">
        <v>0</v>
      </c>
      <c r="F70" s="1772">
        <f t="shared" si="8"/>
        <v>0</v>
      </c>
      <c r="G70" s="1736">
        <f>Адміністративні_2ст!G102</f>
        <v>0</v>
      </c>
      <c r="H70" s="1736">
        <f>Адміністративні_2ст!H102</f>
        <v>0</v>
      </c>
      <c r="I70" s="1225">
        <f>Адміністративні_2ст!I102</f>
        <v>0</v>
      </c>
      <c r="J70" s="1736">
        <f>Адміністративні_2ст!J102</f>
        <v>0</v>
      </c>
      <c r="K70" s="1736">
        <f>Адміністративні_2ст!K102</f>
        <v>0</v>
      </c>
    </row>
    <row r="71" spans="1:11" x14ac:dyDescent="0.3">
      <c r="A71" s="713" t="s">
        <v>2299</v>
      </c>
      <c r="B71" s="3951">
        <f>Адміністративні_2ст!C103</f>
        <v>171.35691</v>
      </c>
      <c r="C71" s="3951">
        <f>Адміністративні_2ст!D103</f>
        <v>23.346</v>
      </c>
      <c r="D71" s="3951">
        <v>62.5</v>
      </c>
      <c r="E71" s="3951">
        <v>0</v>
      </c>
      <c r="F71" s="1772">
        <f t="shared" si="8"/>
        <v>0</v>
      </c>
      <c r="G71" s="1736">
        <f>Адміністративні_2ст!G103</f>
        <v>0</v>
      </c>
      <c r="H71" s="1736">
        <f>Адміністративні_2ст!H103</f>
        <v>0</v>
      </c>
      <c r="I71" s="1225">
        <f>Адміністративні_2ст!I103</f>
        <v>0</v>
      </c>
      <c r="J71" s="1736">
        <f>Адміністративні_2ст!J103</f>
        <v>0</v>
      </c>
      <c r="K71" s="1736">
        <f>Адміністративні_2ст!K103</f>
        <v>0</v>
      </c>
    </row>
    <row r="72" spans="1:11" x14ac:dyDescent="0.3">
      <c r="A72" s="713" t="s">
        <v>2300</v>
      </c>
      <c r="B72" s="3951">
        <f>Адміністративні_2ст!C104</f>
        <v>1596.80234</v>
      </c>
      <c r="C72" s="3951">
        <f>Адміністративні_2ст!D104</f>
        <v>686.17000000000019</v>
      </c>
      <c r="D72" s="3951">
        <v>549.4741546076624</v>
      </c>
      <c r="E72" s="3951">
        <v>654.98918576143285</v>
      </c>
      <c r="F72" s="1772">
        <f t="shared" si="8"/>
        <v>547.84698983957446</v>
      </c>
      <c r="G72" s="1736">
        <f>Адміністративні_2ст!G104</f>
        <v>419.02871292178037</v>
      </c>
      <c r="H72" s="1736">
        <f>Адміністративні_2ст!H104</f>
        <v>123.52685005375756</v>
      </c>
      <c r="I72" s="1225">
        <f>Адміністративні_2ст!I104</f>
        <v>34.151636699464881</v>
      </c>
      <c r="J72" s="1736">
        <f>Адміністративні_2ст!J104</f>
        <v>89.375213354292669</v>
      </c>
      <c r="K72" s="1736">
        <f>Адміністративні_2ст!K104</f>
        <v>5.2914268640365556</v>
      </c>
    </row>
  </sheetData>
  <mergeCells count="3">
    <mergeCell ref="I1:I2"/>
    <mergeCell ref="B50:F50"/>
    <mergeCell ref="B62:F62"/>
  </mergeCells>
  <pageMargins left="0.7" right="0.7" top="0.75" bottom="0.75" header="0.3" footer="0.3"/>
  <pageSetup paperSize="9" orientation="portrait" horizontalDpi="0" verticalDpi="0" r:id="rId1"/>
</worksheet>
</file>

<file path=xl/worksheets/sheet6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E00-000000000000}">
  <sheetPr codeName="Лист60">
    <tabColor rgb="FF92D050"/>
  </sheetPr>
  <dimension ref="A1:I15"/>
  <sheetViews>
    <sheetView workbookViewId="0">
      <selection activeCell="B8" sqref="B8"/>
    </sheetView>
  </sheetViews>
  <sheetFormatPr defaultRowHeight="14.4" x14ac:dyDescent="0.3"/>
  <cols>
    <col min="2" max="2" width="43.5546875" customWidth="1"/>
    <col min="3" max="3" width="13.109375" customWidth="1"/>
    <col min="4" max="4" width="12" customWidth="1"/>
    <col min="5" max="5" width="12.109375" customWidth="1"/>
    <col min="6" max="6" width="10.44140625" customWidth="1"/>
  </cols>
  <sheetData>
    <row r="1" spans="1:9" ht="15.6" x14ac:dyDescent="0.3">
      <c r="A1" s="347"/>
      <c r="B1" s="5519" t="str">
        <f>"Витрати на податки, збори, платежі на "&amp;'Вхідні дані'!F6</f>
        <v>Витрати на податки, збори, платежі на 2023-2024</v>
      </c>
      <c r="C1" s="5519"/>
      <c r="D1" s="5519"/>
      <c r="E1" s="5519"/>
      <c r="F1" s="5519"/>
      <c r="G1" s="347"/>
      <c r="H1" s="347"/>
      <c r="I1" s="347"/>
    </row>
    <row r="2" spans="1:9" ht="15.6" x14ac:dyDescent="0.3">
      <c r="A2" s="347"/>
      <c r="B2" s="3874"/>
      <c r="C2" s="3874"/>
      <c r="D2" s="347"/>
      <c r="E2" s="347"/>
      <c r="F2" s="347"/>
      <c r="G2" s="347"/>
      <c r="H2" s="347"/>
      <c r="I2" s="347"/>
    </row>
    <row r="3" spans="1:9" ht="15.6" x14ac:dyDescent="0.3">
      <c r="A3" s="347"/>
      <c r="B3" s="5523" t="str">
        <f>'Вхідні дані'!$F$5</f>
        <v>КП «КТЕ"</v>
      </c>
      <c r="C3" s="5523"/>
      <c r="D3" s="347"/>
      <c r="E3" s="347"/>
      <c r="F3" s="347"/>
      <c r="G3" s="347"/>
      <c r="H3" s="347"/>
      <c r="I3" s="347"/>
    </row>
    <row r="4" spans="1:9" ht="15" thickBot="1" x14ac:dyDescent="0.35">
      <c r="A4" s="347"/>
      <c r="B4" s="347"/>
      <c r="C4" s="359"/>
      <c r="D4" s="347"/>
      <c r="E4" s="347" t="s">
        <v>3693</v>
      </c>
      <c r="F4" s="347"/>
      <c r="G4" s="347"/>
      <c r="H4" s="347"/>
      <c r="I4" s="347"/>
    </row>
    <row r="5" spans="1:9" ht="40.200000000000003" thickBot="1" x14ac:dyDescent="0.35">
      <c r="A5" s="347"/>
      <c r="B5" s="695" t="s">
        <v>926</v>
      </c>
      <c r="C5" s="360" t="s">
        <v>869</v>
      </c>
      <c r="D5" s="361" t="s">
        <v>870</v>
      </c>
      <c r="E5" s="3875" t="s">
        <v>1992</v>
      </c>
      <c r="F5" s="3876" t="s">
        <v>1993</v>
      </c>
      <c r="G5" s="347"/>
      <c r="H5" s="347"/>
      <c r="I5" s="347"/>
    </row>
    <row r="6" spans="1:9" ht="18" customHeight="1" x14ac:dyDescent="0.3">
      <c r="A6" s="347"/>
      <c r="B6" s="696" t="s">
        <v>1901</v>
      </c>
      <c r="C6" s="2614">
        <v>904.22609</v>
      </c>
      <c r="D6" s="697"/>
      <c r="E6" s="903"/>
      <c r="F6" s="904"/>
      <c r="G6" s="347" t="s">
        <v>2487</v>
      </c>
      <c r="H6" s="347"/>
      <c r="I6" s="347"/>
    </row>
    <row r="7" spans="1:9" ht="18" customHeight="1" x14ac:dyDescent="0.3">
      <c r="A7" s="347"/>
      <c r="B7" s="4243" t="s">
        <v>4099</v>
      </c>
      <c r="C7" s="4244"/>
      <c r="D7" s="4245"/>
      <c r="E7" s="4246"/>
      <c r="F7" s="4247"/>
      <c r="G7" s="347"/>
      <c r="H7" s="347"/>
      <c r="I7" s="347"/>
    </row>
    <row r="8" spans="1:9" ht="31.2" customHeight="1" x14ac:dyDescent="0.3">
      <c r="A8" s="347"/>
      <c r="B8" s="698" t="s">
        <v>927</v>
      </c>
      <c r="C8" s="699"/>
      <c r="D8" s="2565">
        <f>13.62*12/1000</f>
        <v>0.16344</v>
      </c>
      <c r="E8" s="905"/>
      <c r="F8" s="906"/>
      <c r="G8" s="2566"/>
      <c r="H8" s="347"/>
      <c r="I8" s="347"/>
    </row>
    <row r="9" spans="1:9" ht="15" thickBot="1" x14ac:dyDescent="0.35">
      <c r="A9" s="347"/>
      <c r="B9" s="700" t="s">
        <v>786</v>
      </c>
      <c r="C9" s="701">
        <f>C8+C6</f>
        <v>904.22609</v>
      </c>
      <c r="D9" s="702">
        <f>D8+D6</f>
        <v>0.16344</v>
      </c>
      <c r="E9" s="907"/>
      <c r="F9" s="908"/>
      <c r="G9" s="2531">
        <f>C9+D9</f>
        <v>904.38953000000004</v>
      </c>
      <c r="H9" s="347"/>
      <c r="I9" s="347"/>
    </row>
    <row r="10" spans="1:9" x14ac:dyDescent="0.3">
      <c r="A10" s="347"/>
      <c r="B10" s="347"/>
      <c r="C10" s="359"/>
      <c r="D10" s="347"/>
      <c r="E10" s="347"/>
      <c r="F10" s="347"/>
      <c r="G10" s="347"/>
      <c r="H10" s="347"/>
      <c r="I10" s="347"/>
    </row>
    <row r="11" spans="1:9" ht="33" customHeight="1" x14ac:dyDescent="0.3">
      <c r="A11" s="347"/>
      <c r="B11" s="2439" t="str">
        <f>'Вхідні дані'!B13</f>
        <v>Директор підприємства</v>
      </c>
      <c r="C11" s="368" t="s">
        <v>370</v>
      </c>
      <c r="D11" s="5520" t="str">
        <f>'Вхідні дані'!$F$13</f>
        <v>Анатолій ПАНШИН</v>
      </c>
      <c r="E11" s="5520"/>
      <c r="F11" s="5520"/>
      <c r="G11" s="347"/>
      <c r="H11" s="347"/>
      <c r="I11" s="347"/>
    </row>
    <row r="12" spans="1:9" x14ac:dyDescent="0.3">
      <c r="A12" s="347"/>
      <c r="B12" s="347"/>
      <c r="C12" s="371" t="s">
        <v>209</v>
      </c>
      <c r="D12" s="5522" t="s">
        <v>1985</v>
      </c>
      <c r="E12" s="5522"/>
      <c r="F12" s="5522"/>
      <c r="G12" s="347"/>
      <c r="H12" s="347"/>
      <c r="I12" s="347"/>
    </row>
    <row r="13" spans="1:9" x14ac:dyDescent="0.3">
      <c r="A13" s="347"/>
      <c r="B13" s="347"/>
      <c r="C13" s="359"/>
      <c r="D13" s="347"/>
      <c r="E13" s="347"/>
      <c r="F13" s="347"/>
      <c r="G13" s="347"/>
      <c r="H13" s="347"/>
      <c r="I13" s="347"/>
    </row>
    <row r="14" spans="1:9" ht="15.6" x14ac:dyDescent="0.3">
      <c r="A14" s="347"/>
      <c r="B14" s="2439" t="str">
        <f>'Вхідні дані'!$B$15</f>
        <v>Заступник директора з економіки</v>
      </c>
      <c r="C14" s="368" t="s">
        <v>370</v>
      </c>
      <c r="D14" s="5520" t="str">
        <f>'Вхідні дані'!$F$15</f>
        <v>Олена ЛАВРОВА</v>
      </c>
      <c r="E14" s="5520"/>
      <c r="F14" s="5520"/>
      <c r="G14" s="367"/>
      <c r="H14" s="367"/>
      <c r="I14" s="367"/>
    </row>
    <row r="15" spans="1:9" x14ac:dyDescent="0.3">
      <c r="A15" s="347"/>
      <c r="B15" s="347"/>
      <c r="C15" s="371" t="s">
        <v>209</v>
      </c>
      <c r="D15" s="5521" t="s">
        <v>1985</v>
      </c>
      <c r="E15" s="5521"/>
      <c r="F15" s="5521"/>
      <c r="G15" s="367"/>
      <c r="H15" s="367"/>
      <c r="I15" s="367"/>
    </row>
  </sheetData>
  <mergeCells count="6">
    <mergeCell ref="B1:F1"/>
    <mergeCell ref="D14:F14"/>
    <mergeCell ref="D15:F15"/>
    <mergeCell ref="D11:F11"/>
    <mergeCell ref="D12:F12"/>
    <mergeCell ref="B3:C3"/>
  </mergeCells>
  <pageMargins left="0.7" right="0.37" top="0.75" bottom="0.75" header="0.3" footer="0.3"/>
  <pageSetup paperSize="9" orientation="portrait" horizontalDpi="0" verticalDpi="0" r:id="rId1"/>
</worksheet>
</file>

<file path=xl/worksheets/sheet6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3F00-000000000000}">
  <sheetPr codeName="Лист61">
    <tabColor rgb="FF92D050"/>
    <pageSetUpPr fitToPage="1"/>
  </sheetPr>
  <dimension ref="A1:W290"/>
  <sheetViews>
    <sheetView topLeftCell="A4" workbookViewId="0">
      <pane xSplit="2" ySplit="5" topLeftCell="C9" activePane="bottomRight" state="frozen"/>
      <selection activeCell="A4" sqref="A4"/>
      <selection pane="topRight" activeCell="C4" sqref="C4"/>
      <selection pane="bottomLeft" activeCell="A9" sqref="A9"/>
      <selection pane="bottomRight" activeCell="G9" sqref="G9"/>
    </sheetView>
  </sheetViews>
  <sheetFormatPr defaultColWidth="9.109375" defaultRowHeight="13.2" x14ac:dyDescent="0.25"/>
  <cols>
    <col min="1" max="1" width="4" style="347" customWidth="1"/>
    <col min="2" max="2" width="31.109375" style="345" customWidth="1"/>
    <col min="3" max="3" width="19.44140625" style="356" customWidth="1"/>
    <col min="4" max="4" width="10.88671875" style="345" customWidth="1"/>
    <col min="5" max="5" width="9.33203125" style="345" customWidth="1"/>
    <col min="6" max="6" width="12.44140625" style="345" customWidth="1"/>
    <col min="7" max="7" width="12" style="345" customWidth="1"/>
    <col min="8" max="8" width="11.33203125" style="345" customWidth="1"/>
    <col min="9" max="9" width="11.44140625" style="345" customWidth="1"/>
    <col min="10" max="10" width="10.44140625" style="345" customWidth="1"/>
    <col min="11" max="11" width="12.6640625" style="345" customWidth="1"/>
    <col min="12" max="12" width="9.5546875" style="345" bestFit="1" customWidth="1"/>
    <col min="13" max="13" width="10.33203125" style="345" customWidth="1"/>
    <col min="14" max="15" width="8.88671875" style="346" customWidth="1"/>
    <col min="16" max="16" width="10.33203125" style="346" customWidth="1"/>
    <col min="17" max="17" width="10.6640625" style="346" customWidth="1"/>
    <col min="18" max="19" width="8.88671875" style="346" customWidth="1"/>
    <col min="20" max="22" width="9.109375" style="347" customWidth="1"/>
    <col min="23" max="257" width="9.109375" style="347"/>
    <col min="258" max="258" width="34.6640625" style="347" customWidth="1"/>
    <col min="259" max="259" width="22" style="347" customWidth="1"/>
    <col min="260" max="260" width="11.109375" style="347" customWidth="1"/>
    <col min="261" max="261" width="8.44140625" style="347" customWidth="1"/>
    <col min="262" max="262" width="12.44140625" style="347" customWidth="1"/>
    <col min="263" max="263" width="10.88671875" style="347" customWidth="1"/>
    <col min="264" max="264" width="11.33203125" style="347" customWidth="1"/>
    <col min="265" max="266" width="11.44140625" style="347" customWidth="1"/>
    <col min="267" max="267" width="12.6640625" style="347" customWidth="1"/>
    <col min="268" max="268" width="9.5546875" style="347" bestFit="1" customWidth="1"/>
    <col min="269" max="269" width="12.6640625" style="347" customWidth="1"/>
    <col min="270" max="278" width="0" style="347" hidden="1" customWidth="1"/>
    <col min="279" max="513" width="9.109375" style="347"/>
    <col min="514" max="514" width="34.6640625" style="347" customWidth="1"/>
    <col min="515" max="515" width="22" style="347" customWidth="1"/>
    <col min="516" max="516" width="11.109375" style="347" customWidth="1"/>
    <col min="517" max="517" width="8.44140625" style="347" customWidth="1"/>
    <col min="518" max="518" width="12.44140625" style="347" customWidth="1"/>
    <col min="519" max="519" width="10.88671875" style="347" customWidth="1"/>
    <col min="520" max="520" width="11.33203125" style="347" customWidth="1"/>
    <col min="521" max="522" width="11.44140625" style="347" customWidth="1"/>
    <col min="523" max="523" width="12.6640625" style="347" customWidth="1"/>
    <col min="524" max="524" width="9.5546875" style="347" bestFit="1" customWidth="1"/>
    <col min="525" max="525" width="12.6640625" style="347" customWidth="1"/>
    <col min="526" max="534" width="0" style="347" hidden="1" customWidth="1"/>
    <col min="535" max="769" width="9.109375" style="347"/>
    <col min="770" max="770" width="34.6640625" style="347" customWidth="1"/>
    <col min="771" max="771" width="22" style="347" customWidth="1"/>
    <col min="772" max="772" width="11.109375" style="347" customWidth="1"/>
    <col min="773" max="773" width="8.44140625" style="347" customWidth="1"/>
    <col min="774" max="774" width="12.44140625" style="347" customWidth="1"/>
    <col min="775" max="775" width="10.88671875" style="347" customWidth="1"/>
    <col min="776" max="776" width="11.33203125" style="347" customWidth="1"/>
    <col min="777" max="778" width="11.44140625" style="347" customWidth="1"/>
    <col min="779" max="779" width="12.6640625" style="347" customWidth="1"/>
    <col min="780" max="780" width="9.5546875" style="347" bestFit="1" customWidth="1"/>
    <col min="781" max="781" width="12.6640625" style="347" customWidth="1"/>
    <col min="782" max="790" width="0" style="347" hidden="1" customWidth="1"/>
    <col min="791" max="1025" width="9.109375" style="347"/>
    <col min="1026" max="1026" width="34.6640625" style="347" customWidth="1"/>
    <col min="1027" max="1027" width="22" style="347" customWidth="1"/>
    <col min="1028" max="1028" width="11.109375" style="347" customWidth="1"/>
    <col min="1029" max="1029" width="8.44140625" style="347" customWidth="1"/>
    <col min="1030" max="1030" width="12.44140625" style="347" customWidth="1"/>
    <col min="1031" max="1031" width="10.88671875" style="347" customWidth="1"/>
    <col min="1032" max="1032" width="11.33203125" style="347" customWidth="1"/>
    <col min="1033" max="1034" width="11.44140625" style="347" customWidth="1"/>
    <col min="1035" max="1035" width="12.6640625" style="347" customWidth="1"/>
    <col min="1036" max="1036" width="9.5546875" style="347" bestFit="1" customWidth="1"/>
    <col min="1037" max="1037" width="12.6640625" style="347" customWidth="1"/>
    <col min="1038" max="1046" width="0" style="347" hidden="1" customWidth="1"/>
    <col min="1047" max="1281" width="9.109375" style="347"/>
    <col min="1282" max="1282" width="34.6640625" style="347" customWidth="1"/>
    <col min="1283" max="1283" width="22" style="347" customWidth="1"/>
    <col min="1284" max="1284" width="11.109375" style="347" customWidth="1"/>
    <col min="1285" max="1285" width="8.44140625" style="347" customWidth="1"/>
    <col min="1286" max="1286" width="12.44140625" style="347" customWidth="1"/>
    <col min="1287" max="1287" width="10.88671875" style="347" customWidth="1"/>
    <col min="1288" max="1288" width="11.33203125" style="347" customWidth="1"/>
    <col min="1289" max="1290" width="11.44140625" style="347" customWidth="1"/>
    <col min="1291" max="1291" width="12.6640625" style="347" customWidth="1"/>
    <col min="1292" max="1292" width="9.5546875" style="347" bestFit="1" customWidth="1"/>
    <col min="1293" max="1293" width="12.6640625" style="347" customWidth="1"/>
    <col min="1294" max="1302" width="0" style="347" hidden="1" customWidth="1"/>
    <col min="1303" max="1537" width="9.109375" style="347"/>
    <col min="1538" max="1538" width="34.6640625" style="347" customWidth="1"/>
    <col min="1539" max="1539" width="22" style="347" customWidth="1"/>
    <col min="1540" max="1540" width="11.109375" style="347" customWidth="1"/>
    <col min="1541" max="1541" width="8.44140625" style="347" customWidth="1"/>
    <col min="1542" max="1542" width="12.44140625" style="347" customWidth="1"/>
    <col min="1543" max="1543" width="10.88671875" style="347" customWidth="1"/>
    <col min="1544" max="1544" width="11.33203125" style="347" customWidth="1"/>
    <col min="1545" max="1546" width="11.44140625" style="347" customWidth="1"/>
    <col min="1547" max="1547" width="12.6640625" style="347" customWidth="1"/>
    <col min="1548" max="1548" width="9.5546875" style="347" bestFit="1" customWidth="1"/>
    <col min="1549" max="1549" width="12.6640625" style="347" customWidth="1"/>
    <col min="1550" max="1558" width="0" style="347" hidden="1" customWidth="1"/>
    <col min="1559" max="1793" width="9.109375" style="347"/>
    <col min="1794" max="1794" width="34.6640625" style="347" customWidth="1"/>
    <col min="1795" max="1795" width="22" style="347" customWidth="1"/>
    <col min="1796" max="1796" width="11.109375" style="347" customWidth="1"/>
    <col min="1797" max="1797" width="8.44140625" style="347" customWidth="1"/>
    <col min="1798" max="1798" width="12.44140625" style="347" customWidth="1"/>
    <col min="1799" max="1799" width="10.88671875" style="347" customWidth="1"/>
    <col min="1800" max="1800" width="11.33203125" style="347" customWidth="1"/>
    <col min="1801" max="1802" width="11.44140625" style="347" customWidth="1"/>
    <col min="1803" max="1803" width="12.6640625" style="347" customWidth="1"/>
    <col min="1804" max="1804" width="9.5546875" style="347" bestFit="1" customWidth="1"/>
    <col min="1805" max="1805" width="12.6640625" style="347" customWidth="1"/>
    <col min="1806" max="1814" width="0" style="347" hidden="1" customWidth="1"/>
    <col min="1815" max="2049" width="9.109375" style="347"/>
    <col min="2050" max="2050" width="34.6640625" style="347" customWidth="1"/>
    <col min="2051" max="2051" width="22" style="347" customWidth="1"/>
    <col min="2052" max="2052" width="11.109375" style="347" customWidth="1"/>
    <col min="2053" max="2053" width="8.44140625" style="347" customWidth="1"/>
    <col min="2054" max="2054" width="12.44140625" style="347" customWidth="1"/>
    <col min="2055" max="2055" width="10.88671875" style="347" customWidth="1"/>
    <col min="2056" max="2056" width="11.33203125" style="347" customWidth="1"/>
    <col min="2057" max="2058" width="11.44140625" style="347" customWidth="1"/>
    <col min="2059" max="2059" width="12.6640625" style="347" customWidth="1"/>
    <col min="2060" max="2060" width="9.5546875" style="347" bestFit="1" customWidth="1"/>
    <col min="2061" max="2061" width="12.6640625" style="347" customWidth="1"/>
    <col min="2062" max="2070" width="0" style="347" hidden="1" customWidth="1"/>
    <col min="2071" max="2305" width="9.109375" style="347"/>
    <col min="2306" max="2306" width="34.6640625" style="347" customWidth="1"/>
    <col min="2307" max="2307" width="22" style="347" customWidth="1"/>
    <col min="2308" max="2308" width="11.109375" style="347" customWidth="1"/>
    <col min="2309" max="2309" width="8.44140625" style="347" customWidth="1"/>
    <col min="2310" max="2310" width="12.44140625" style="347" customWidth="1"/>
    <col min="2311" max="2311" width="10.88671875" style="347" customWidth="1"/>
    <col min="2312" max="2312" width="11.33203125" style="347" customWidth="1"/>
    <col min="2313" max="2314" width="11.44140625" style="347" customWidth="1"/>
    <col min="2315" max="2315" width="12.6640625" style="347" customWidth="1"/>
    <col min="2316" max="2316" width="9.5546875" style="347" bestFit="1" customWidth="1"/>
    <col min="2317" max="2317" width="12.6640625" style="347" customWidth="1"/>
    <col min="2318" max="2326" width="0" style="347" hidden="1" customWidth="1"/>
    <col min="2327" max="2561" width="9.109375" style="347"/>
    <col min="2562" max="2562" width="34.6640625" style="347" customWidth="1"/>
    <col min="2563" max="2563" width="22" style="347" customWidth="1"/>
    <col min="2564" max="2564" width="11.109375" style="347" customWidth="1"/>
    <col min="2565" max="2565" width="8.44140625" style="347" customWidth="1"/>
    <col min="2566" max="2566" width="12.44140625" style="347" customWidth="1"/>
    <col min="2567" max="2567" width="10.88671875" style="347" customWidth="1"/>
    <col min="2568" max="2568" width="11.33203125" style="347" customWidth="1"/>
    <col min="2569" max="2570" width="11.44140625" style="347" customWidth="1"/>
    <col min="2571" max="2571" width="12.6640625" style="347" customWidth="1"/>
    <col min="2572" max="2572" width="9.5546875" style="347" bestFit="1" customWidth="1"/>
    <col min="2573" max="2573" width="12.6640625" style="347" customWidth="1"/>
    <col min="2574" max="2582" width="0" style="347" hidden="1" customWidth="1"/>
    <col min="2583" max="2817" width="9.109375" style="347"/>
    <col min="2818" max="2818" width="34.6640625" style="347" customWidth="1"/>
    <col min="2819" max="2819" width="22" style="347" customWidth="1"/>
    <col min="2820" max="2820" width="11.109375" style="347" customWidth="1"/>
    <col min="2821" max="2821" width="8.44140625" style="347" customWidth="1"/>
    <col min="2822" max="2822" width="12.44140625" style="347" customWidth="1"/>
    <col min="2823" max="2823" width="10.88671875" style="347" customWidth="1"/>
    <col min="2824" max="2824" width="11.33203125" style="347" customWidth="1"/>
    <col min="2825" max="2826" width="11.44140625" style="347" customWidth="1"/>
    <col min="2827" max="2827" width="12.6640625" style="347" customWidth="1"/>
    <col min="2828" max="2828" width="9.5546875" style="347" bestFit="1" customWidth="1"/>
    <col min="2829" max="2829" width="12.6640625" style="347" customWidth="1"/>
    <col min="2830" max="2838" width="0" style="347" hidden="1" customWidth="1"/>
    <col min="2839" max="3073" width="9.109375" style="347"/>
    <col min="3074" max="3074" width="34.6640625" style="347" customWidth="1"/>
    <col min="3075" max="3075" width="22" style="347" customWidth="1"/>
    <col min="3076" max="3076" width="11.109375" style="347" customWidth="1"/>
    <col min="3077" max="3077" width="8.44140625" style="347" customWidth="1"/>
    <col min="3078" max="3078" width="12.44140625" style="347" customWidth="1"/>
    <col min="3079" max="3079" width="10.88671875" style="347" customWidth="1"/>
    <col min="3080" max="3080" width="11.33203125" style="347" customWidth="1"/>
    <col min="3081" max="3082" width="11.44140625" style="347" customWidth="1"/>
    <col min="3083" max="3083" width="12.6640625" style="347" customWidth="1"/>
    <col min="3084" max="3084" width="9.5546875" style="347" bestFit="1" customWidth="1"/>
    <col min="3085" max="3085" width="12.6640625" style="347" customWidth="1"/>
    <col min="3086" max="3094" width="0" style="347" hidden="1" customWidth="1"/>
    <col min="3095" max="3329" width="9.109375" style="347"/>
    <col min="3330" max="3330" width="34.6640625" style="347" customWidth="1"/>
    <col min="3331" max="3331" width="22" style="347" customWidth="1"/>
    <col min="3332" max="3332" width="11.109375" style="347" customWidth="1"/>
    <col min="3333" max="3333" width="8.44140625" style="347" customWidth="1"/>
    <col min="3334" max="3334" width="12.44140625" style="347" customWidth="1"/>
    <col min="3335" max="3335" width="10.88671875" style="347" customWidth="1"/>
    <col min="3336" max="3336" width="11.33203125" style="347" customWidth="1"/>
    <col min="3337" max="3338" width="11.44140625" style="347" customWidth="1"/>
    <col min="3339" max="3339" width="12.6640625" style="347" customWidth="1"/>
    <col min="3340" max="3340" width="9.5546875" style="347" bestFit="1" customWidth="1"/>
    <col min="3341" max="3341" width="12.6640625" style="347" customWidth="1"/>
    <col min="3342" max="3350" width="0" style="347" hidden="1" customWidth="1"/>
    <col min="3351" max="3585" width="9.109375" style="347"/>
    <col min="3586" max="3586" width="34.6640625" style="347" customWidth="1"/>
    <col min="3587" max="3587" width="22" style="347" customWidth="1"/>
    <col min="3588" max="3588" width="11.109375" style="347" customWidth="1"/>
    <col min="3589" max="3589" width="8.44140625" style="347" customWidth="1"/>
    <col min="3590" max="3590" width="12.44140625" style="347" customWidth="1"/>
    <col min="3591" max="3591" width="10.88671875" style="347" customWidth="1"/>
    <col min="3592" max="3592" width="11.33203125" style="347" customWidth="1"/>
    <col min="3593" max="3594" width="11.44140625" style="347" customWidth="1"/>
    <col min="3595" max="3595" width="12.6640625" style="347" customWidth="1"/>
    <col min="3596" max="3596" width="9.5546875" style="347" bestFit="1" customWidth="1"/>
    <col min="3597" max="3597" width="12.6640625" style="347" customWidth="1"/>
    <col min="3598" max="3606" width="0" style="347" hidden="1" customWidth="1"/>
    <col min="3607" max="3841" width="9.109375" style="347"/>
    <col min="3842" max="3842" width="34.6640625" style="347" customWidth="1"/>
    <col min="3843" max="3843" width="22" style="347" customWidth="1"/>
    <col min="3844" max="3844" width="11.109375" style="347" customWidth="1"/>
    <col min="3845" max="3845" width="8.44140625" style="347" customWidth="1"/>
    <col min="3846" max="3846" width="12.44140625" style="347" customWidth="1"/>
    <col min="3847" max="3847" width="10.88671875" style="347" customWidth="1"/>
    <col min="3848" max="3848" width="11.33203125" style="347" customWidth="1"/>
    <col min="3849" max="3850" width="11.44140625" style="347" customWidth="1"/>
    <col min="3851" max="3851" width="12.6640625" style="347" customWidth="1"/>
    <col min="3852" max="3852" width="9.5546875" style="347" bestFit="1" customWidth="1"/>
    <col min="3853" max="3853" width="12.6640625" style="347" customWidth="1"/>
    <col min="3854" max="3862" width="0" style="347" hidden="1" customWidth="1"/>
    <col min="3863" max="4097" width="9.109375" style="347"/>
    <col min="4098" max="4098" width="34.6640625" style="347" customWidth="1"/>
    <col min="4099" max="4099" width="22" style="347" customWidth="1"/>
    <col min="4100" max="4100" width="11.109375" style="347" customWidth="1"/>
    <col min="4101" max="4101" width="8.44140625" style="347" customWidth="1"/>
    <col min="4102" max="4102" width="12.44140625" style="347" customWidth="1"/>
    <col min="4103" max="4103" width="10.88671875" style="347" customWidth="1"/>
    <col min="4104" max="4104" width="11.33203125" style="347" customWidth="1"/>
    <col min="4105" max="4106" width="11.44140625" style="347" customWidth="1"/>
    <col min="4107" max="4107" width="12.6640625" style="347" customWidth="1"/>
    <col min="4108" max="4108" width="9.5546875" style="347" bestFit="1" customWidth="1"/>
    <col min="4109" max="4109" width="12.6640625" style="347" customWidth="1"/>
    <col min="4110" max="4118" width="0" style="347" hidden="1" customWidth="1"/>
    <col min="4119" max="4353" width="9.109375" style="347"/>
    <col min="4354" max="4354" width="34.6640625" style="347" customWidth="1"/>
    <col min="4355" max="4355" width="22" style="347" customWidth="1"/>
    <col min="4356" max="4356" width="11.109375" style="347" customWidth="1"/>
    <col min="4357" max="4357" width="8.44140625" style="347" customWidth="1"/>
    <col min="4358" max="4358" width="12.44140625" style="347" customWidth="1"/>
    <col min="4359" max="4359" width="10.88671875" style="347" customWidth="1"/>
    <col min="4360" max="4360" width="11.33203125" style="347" customWidth="1"/>
    <col min="4361" max="4362" width="11.44140625" style="347" customWidth="1"/>
    <col min="4363" max="4363" width="12.6640625" style="347" customWidth="1"/>
    <col min="4364" max="4364" width="9.5546875" style="347" bestFit="1" customWidth="1"/>
    <col min="4365" max="4365" width="12.6640625" style="347" customWidth="1"/>
    <col min="4366" max="4374" width="0" style="347" hidden="1" customWidth="1"/>
    <col min="4375" max="4609" width="9.109375" style="347"/>
    <col min="4610" max="4610" width="34.6640625" style="347" customWidth="1"/>
    <col min="4611" max="4611" width="22" style="347" customWidth="1"/>
    <col min="4612" max="4612" width="11.109375" style="347" customWidth="1"/>
    <col min="4613" max="4613" width="8.44140625" style="347" customWidth="1"/>
    <col min="4614" max="4614" width="12.44140625" style="347" customWidth="1"/>
    <col min="4615" max="4615" width="10.88671875" style="347" customWidth="1"/>
    <col min="4616" max="4616" width="11.33203125" style="347" customWidth="1"/>
    <col min="4617" max="4618" width="11.44140625" style="347" customWidth="1"/>
    <col min="4619" max="4619" width="12.6640625" style="347" customWidth="1"/>
    <col min="4620" max="4620" width="9.5546875" style="347" bestFit="1" customWidth="1"/>
    <col min="4621" max="4621" width="12.6640625" style="347" customWidth="1"/>
    <col min="4622" max="4630" width="0" style="347" hidden="1" customWidth="1"/>
    <col min="4631" max="4865" width="9.109375" style="347"/>
    <col min="4866" max="4866" width="34.6640625" style="347" customWidth="1"/>
    <col min="4867" max="4867" width="22" style="347" customWidth="1"/>
    <col min="4868" max="4868" width="11.109375" style="347" customWidth="1"/>
    <col min="4869" max="4869" width="8.44140625" style="347" customWidth="1"/>
    <col min="4870" max="4870" width="12.44140625" style="347" customWidth="1"/>
    <col min="4871" max="4871" width="10.88671875" style="347" customWidth="1"/>
    <col min="4872" max="4872" width="11.33203125" style="347" customWidth="1"/>
    <col min="4873" max="4874" width="11.44140625" style="347" customWidth="1"/>
    <col min="4875" max="4875" width="12.6640625" style="347" customWidth="1"/>
    <col min="4876" max="4876" width="9.5546875" style="347" bestFit="1" customWidth="1"/>
    <col min="4877" max="4877" width="12.6640625" style="347" customWidth="1"/>
    <col min="4878" max="4886" width="0" style="347" hidden="1" customWidth="1"/>
    <col min="4887" max="5121" width="9.109375" style="347"/>
    <col min="5122" max="5122" width="34.6640625" style="347" customWidth="1"/>
    <col min="5123" max="5123" width="22" style="347" customWidth="1"/>
    <col min="5124" max="5124" width="11.109375" style="347" customWidth="1"/>
    <col min="5125" max="5125" width="8.44140625" style="347" customWidth="1"/>
    <col min="5126" max="5126" width="12.44140625" style="347" customWidth="1"/>
    <col min="5127" max="5127" width="10.88671875" style="347" customWidth="1"/>
    <col min="5128" max="5128" width="11.33203125" style="347" customWidth="1"/>
    <col min="5129" max="5130" width="11.44140625" style="347" customWidth="1"/>
    <col min="5131" max="5131" width="12.6640625" style="347" customWidth="1"/>
    <col min="5132" max="5132" width="9.5546875" style="347" bestFit="1" customWidth="1"/>
    <col min="5133" max="5133" width="12.6640625" style="347" customWidth="1"/>
    <col min="5134" max="5142" width="0" style="347" hidden="1" customWidth="1"/>
    <col min="5143" max="5377" width="9.109375" style="347"/>
    <col min="5378" max="5378" width="34.6640625" style="347" customWidth="1"/>
    <col min="5379" max="5379" width="22" style="347" customWidth="1"/>
    <col min="5380" max="5380" width="11.109375" style="347" customWidth="1"/>
    <col min="5381" max="5381" width="8.44140625" style="347" customWidth="1"/>
    <col min="5382" max="5382" width="12.44140625" style="347" customWidth="1"/>
    <col min="5383" max="5383" width="10.88671875" style="347" customWidth="1"/>
    <col min="5384" max="5384" width="11.33203125" style="347" customWidth="1"/>
    <col min="5385" max="5386" width="11.44140625" style="347" customWidth="1"/>
    <col min="5387" max="5387" width="12.6640625" style="347" customWidth="1"/>
    <col min="5388" max="5388" width="9.5546875" style="347" bestFit="1" customWidth="1"/>
    <col min="5389" max="5389" width="12.6640625" style="347" customWidth="1"/>
    <col min="5390" max="5398" width="0" style="347" hidden="1" customWidth="1"/>
    <col min="5399" max="5633" width="9.109375" style="347"/>
    <col min="5634" max="5634" width="34.6640625" style="347" customWidth="1"/>
    <col min="5635" max="5635" width="22" style="347" customWidth="1"/>
    <col min="5636" max="5636" width="11.109375" style="347" customWidth="1"/>
    <col min="5637" max="5637" width="8.44140625" style="347" customWidth="1"/>
    <col min="5638" max="5638" width="12.44140625" style="347" customWidth="1"/>
    <col min="5639" max="5639" width="10.88671875" style="347" customWidth="1"/>
    <col min="5640" max="5640" width="11.33203125" style="347" customWidth="1"/>
    <col min="5641" max="5642" width="11.44140625" style="347" customWidth="1"/>
    <col min="5643" max="5643" width="12.6640625" style="347" customWidth="1"/>
    <col min="5644" max="5644" width="9.5546875" style="347" bestFit="1" customWidth="1"/>
    <col min="5645" max="5645" width="12.6640625" style="347" customWidth="1"/>
    <col min="5646" max="5654" width="0" style="347" hidden="1" customWidth="1"/>
    <col min="5655" max="5889" width="9.109375" style="347"/>
    <col min="5890" max="5890" width="34.6640625" style="347" customWidth="1"/>
    <col min="5891" max="5891" width="22" style="347" customWidth="1"/>
    <col min="5892" max="5892" width="11.109375" style="347" customWidth="1"/>
    <col min="5893" max="5893" width="8.44140625" style="347" customWidth="1"/>
    <col min="5894" max="5894" width="12.44140625" style="347" customWidth="1"/>
    <col min="5895" max="5895" width="10.88671875" style="347" customWidth="1"/>
    <col min="5896" max="5896" width="11.33203125" style="347" customWidth="1"/>
    <col min="5897" max="5898" width="11.44140625" style="347" customWidth="1"/>
    <col min="5899" max="5899" width="12.6640625" style="347" customWidth="1"/>
    <col min="5900" max="5900" width="9.5546875" style="347" bestFit="1" customWidth="1"/>
    <col min="5901" max="5901" width="12.6640625" style="347" customWidth="1"/>
    <col min="5902" max="5910" width="0" style="347" hidden="1" customWidth="1"/>
    <col min="5911" max="6145" width="9.109375" style="347"/>
    <col min="6146" max="6146" width="34.6640625" style="347" customWidth="1"/>
    <col min="6147" max="6147" width="22" style="347" customWidth="1"/>
    <col min="6148" max="6148" width="11.109375" style="347" customWidth="1"/>
    <col min="6149" max="6149" width="8.44140625" style="347" customWidth="1"/>
    <col min="6150" max="6150" width="12.44140625" style="347" customWidth="1"/>
    <col min="6151" max="6151" width="10.88671875" style="347" customWidth="1"/>
    <col min="6152" max="6152" width="11.33203125" style="347" customWidth="1"/>
    <col min="6153" max="6154" width="11.44140625" style="347" customWidth="1"/>
    <col min="6155" max="6155" width="12.6640625" style="347" customWidth="1"/>
    <col min="6156" max="6156" width="9.5546875" style="347" bestFit="1" customWidth="1"/>
    <col min="6157" max="6157" width="12.6640625" style="347" customWidth="1"/>
    <col min="6158" max="6166" width="0" style="347" hidden="1" customWidth="1"/>
    <col min="6167" max="6401" width="9.109375" style="347"/>
    <col min="6402" max="6402" width="34.6640625" style="347" customWidth="1"/>
    <col min="6403" max="6403" width="22" style="347" customWidth="1"/>
    <col min="6404" max="6404" width="11.109375" style="347" customWidth="1"/>
    <col min="6405" max="6405" width="8.44140625" style="347" customWidth="1"/>
    <col min="6406" max="6406" width="12.44140625" style="347" customWidth="1"/>
    <col min="6407" max="6407" width="10.88671875" style="347" customWidth="1"/>
    <col min="6408" max="6408" width="11.33203125" style="347" customWidth="1"/>
    <col min="6409" max="6410" width="11.44140625" style="347" customWidth="1"/>
    <col min="6411" max="6411" width="12.6640625" style="347" customWidth="1"/>
    <col min="6412" max="6412" width="9.5546875" style="347" bestFit="1" customWidth="1"/>
    <col min="6413" max="6413" width="12.6640625" style="347" customWidth="1"/>
    <col min="6414" max="6422" width="0" style="347" hidden="1" customWidth="1"/>
    <col min="6423" max="6657" width="9.109375" style="347"/>
    <col min="6658" max="6658" width="34.6640625" style="347" customWidth="1"/>
    <col min="6659" max="6659" width="22" style="347" customWidth="1"/>
    <col min="6660" max="6660" width="11.109375" style="347" customWidth="1"/>
    <col min="6661" max="6661" width="8.44140625" style="347" customWidth="1"/>
    <col min="6662" max="6662" width="12.44140625" style="347" customWidth="1"/>
    <col min="6663" max="6663" width="10.88671875" style="347" customWidth="1"/>
    <col min="6664" max="6664" width="11.33203125" style="347" customWidth="1"/>
    <col min="6665" max="6666" width="11.44140625" style="347" customWidth="1"/>
    <col min="6667" max="6667" width="12.6640625" style="347" customWidth="1"/>
    <col min="6668" max="6668" width="9.5546875" style="347" bestFit="1" customWidth="1"/>
    <col min="6669" max="6669" width="12.6640625" style="347" customWidth="1"/>
    <col min="6670" max="6678" width="0" style="347" hidden="1" customWidth="1"/>
    <col min="6679" max="6913" width="9.109375" style="347"/>
    <col min="6914" max="6914" width="34.6640625" style="347" customWidth="1"/>
    <col min="6915" max="6915" width="22" style="347" customWidth="1"/>
    <col min="6916" max="6916" width="11.109375" style="347" customWidth="1"/>
    <col min="6917" max="6917" width="8.44140625" style="347" customWidth="1"/>
    <col min="6918" max="6918" width="12.44140625" style="347" customWidth="1"/>
    <col min="6919" max="6919" width="10.88671875" style="347" customWidth="1"/>
    <col min="6920" max="6920" width="11.33203125" style="347" customWidth="1"/>
    <col min="6921" max="6922" width="11.44140625" style="347" customWidth="1"/>
    <col min="6923" max="6923" width="12.6640625" style="347" customWidth="1"/>
    <col min="6924" max="6924" width="9.5546875" style="347" bestFit="1" customWidth="1"/>
    <col min="6925" max="6925" width="12.6640625" style="347" customWidth="1"/>
    <col min="6926" max="6934" width="0" style="347" hidden="1" customWidth="1"/>
    <col min="6935" max="7169" width="9.109375" style="347"/>
    <col min="7170" max="7170" width="34.6640625" style="347" customWidth="1"/>
    <col min="7171" max="7171" width="22" style="347" customWidth="1"/>
    <col min="7172" max="7172" width="11.109375" style="347" customWidth="1"/>
    <col min="7173" max="7173" width="8.44140625" style="347" customWidth="1"/>
    <col min="7174" max="7174" width="12.44140625" style="347" customWidth="1"/>
    <col min="7175" max="7175" width="10.88671875" style="347" customWidth="1"/>
    <col min="7176" max="7176" width="11.33203125" style="347" customWidth="1"/>
    <col min="7177" max="7178" width="11.44140625" style="347" customWidth="1"/>
    <col min="7179" max="7179" width="12.6640625" style="347" customWidth="1"/>
    <col min="7180" max="7180" width="9.5546875" style="347" bestFit="1" customWidth="1"/>
    <col min="7181" max="7181" width="12.6640625" style="347" customWidth="1"/>
    <col min="7182" max="7190" width="0" style="347" hidden="1" customWidth="1"/>
    <col min="7191" max="7425" width="9.109375" style="347"/>
    <col min="7426" max="7426" width="34.6640625" style="347" customWidth="1"/>
    <col min="7427" max="7427" width="22" style="347" customWidth="1"/>
    <col min="7428" max="7428" width="11.109375" style="347" customWidth="1"/>
    <col min="7429" max="7429" width="8.44140625" style="347" customWidth="1"/>
    <col min="7430" max="7430" width="12.44140625" style="347" customWidth="1"/>
    <col min="7431" max="7431" width="10.88671875" style="347" customWidth="1"/>
    <col min="7432" max="7432" width="11.33203125" style="347" customWidth="1"/>
    <col min="7433" max="7434" width="11.44140625" style="347" customWidth="1"/>
    <col min="7435" max="7435" width="12.6640625" style="347" customWidth="1"/>
    <col min="7436" max="7436" width="9.5546875" style="347" bestFit="1" customWidth="1"/>
    <col min="7437" max="7437" width="12.6640625" style="347" customWidth="1"/>
    <col min="7438" max="7446" width="0" style="347" hidden="1" customWidth="1"/>
    <col min="7447" max="7681" width="9.109375" style="347"/>
    <col min="7682" max="7682" width="34.6640625" style="347" customWidth="1"/>
    <col min="7683" max="7683" width="22" style="347" customWidth="1"/>
    <col min="7684" max="7684" width="11.109375" style="347" customWidth="1"/>
    <col min="7685" max="7685" width="8.44140625" style="347" customWidth="1"/>
    <col min="7686" max="7686" width="12.44140625" style="347" customWidth="1"/>
    <col min="7687" max="7687" width="10.88671875" style="347" customWidth="1"/>
    <col min="7688" max="7688" width="11.33203125" style="347" customWidth="1"/>
    <col min="7689" max="7690" width="11.44140625" style="347" customWidth="1"/>
    <col min="7691" max="7691" width="12.6640625" style="347" customWidth="1"/>
    <col min="7692" max="7692" width="9.5546875" style="347" bestFit="1" customWidth="1"/>
    <col min="7693" max="7693" width="12.6640625" style="347" customWidth="1"/>
    <col min="7694" max="7702" width="0" style="347" hidden="1" customWidth="1"/>
    <col min="7703" max="7937" width="9.109375" style="347"/>
    <col min="7938" max="7938" width="34.6640625" style="347" customWidth="1"/>
    <col min="7939" max="7939" width="22" style="347" customWidth="1"/>
    <col min="7940" max="7940" width="11.109375" style="347" customWidth="1"/>
    <col min="7941" max="7941" width="8.44140625" style="347" customWidth="1"/>
    <col min="7942" max="7942" width="12.44140625" style="347" customWidth="1"/>
    <col min="7943" max="7943" width="10.88671875" style="347" customWidth="1"/>
    <col min="7944" max="7944" width="11.33203125" style="347" customWidth="1"/>
    <col min="7945" max="7946" width="11.44140625" style="347" customWidth="1"/>
    <col min="7947" max="7947" width="12.6640625" style="347" customWidth="1"/>
    <col min="7948" max="7948" width="9.5546875" style="347" bestFit="1" customWidth="1"/>
    <col min="7949" max="7949" width="12.6640625" style="347" customWidth="1"/>
    <col min="7950" max="7958" width="0" style="347" hidden="1" customWidth="1"/>
    <col min="7959" max="8193" width="9.109375" style="347"/>
    <col min="8194" max="8194" width="34.6640625" style="347" customWidth="1"/>
    <col min="8195" max="8195" width="22" style="347" customWidth="1"/>
    <col min="8196" max="8196" width="11.109375" style="347" customWidth="1"/>
    <col min="8197" max="8197" width="8.44140625" style="347" customWidth="1"/>
    <col min="8198" max="8198" width="12.44140625" style="347" customWidth="1"/>
    <col min="8199" max="8199" width="10.88671875" style="347" customWidth="1"/>
    <col min="8200" max="8200" width="11.33203125" style="347" customWidth="1"/>
    <col min="8201" max="8202" width="11.44140625" style="347" customWidth="1"/>
    <col min="8203" max="8203" width="12.6640625" style="347" customWidth="1"/>
    <col min="8204" max="8204" width="9.5546875" style="347" bestFit="1" customWidth="1"/>
    <col min="8205" max="8205" width="12.6640625" style="347" customWidth="1"/>
    <col min="8206" max="8214" width="0" style="347" hidden="1" customWidth="1"/>
    <col min="8215" max="8449" width="9.109375" style="347"/>
    <col min="8450" max="8450" width="34.6640625" style="347" customWidth="1"/>
    <col min="8451" max="8451" width="22" style="347" customWidth="1"/>
    <col min="8452" max="8452" width="11.109375" style="347" customWidth="1"/>
    <col min="8453" max="8453" width="8.44140625" style="347" customWidth="1"/>
    <col min="8454" max="8454" width="12.44140625" style="347" customWidth="1"/>
    <col min="8455" max="8455" width="10.88671875" style="347" customWidth="1"/>
    <col min="8456" max="8456" width="11.33203125" style="347" customWidth="1"/>
    <col min="8457" max="8458" width="11.44140625" style="347" customWidth="1"/>
    <col min="8459" max="8459" width="12.6640625" style="347" customWidth="1"/>
    <col min="8460" max="8460" width="9.5546875" style="347" bestFit="1" customWidth="1"/>
    <col min="8461" max="8461" width="12.6640625" style="347" customWidth="1"/>
    <col min="8462" max="8470" width="0" style="347" hidden="1" customWidth="1"/>
    <col min="8471" max="8705" width="9.109375" style="347"/>
    <col min="8706" max="8706" width="34.6640625" style="347" customWidth="1"/>
    <col min="8707" max="8707" width="22" style="347" customWidth="1"/>
    <col min="8708" max="8708" width="11.109375" style="347" customWidth="1"/>
    <col min="8709" max="8709" width="8.44140625" style="347" customWidth="1"/>
    <col min="8710" max="8710" width="12.44140625" style="347" customWidth="1"/>
    <col min="8711" max="8711" width="10.88671875" style="347" customWidth="1"/>
    <col min="8712" max="8712" width="11.33203125" style="347" customWidth="1"/>
    <col min="8713" max="8714" width="11.44140625" style="347" customWidth="1"/>
    <col min="8715" max="8715" width="12.6640625" style="347" customWidth="1"/>
    <col min="8716" max="8716" width="9.5546875" style="347" bestFit="1" customWidth="1"/>
    <col min="8717" max="8717" width="12.6640625" style="347" customWidth="1"/>
    <col min="8718" max="8726" width="0" style="347" hidden="1" customWidth="1"/>
    <col min="8727" max="8961" width="9.109375" style="347"/>
    <col min="8962" max="8962" width="34.6640625" style="347" customWidth="1"/>
    <col min="8963" max="8963" width="22" style="347" customWidth="1"/>
    <col min="8964" max="8964" width="11.109375" style="347" customWidth="1"/>
    <col min="8965" max="8965" width="8.44140625" style="347" customWidth="1"/>
    <col min="8966" max="8966" width="12.44140625" style="347" customWidth="1"/>
    <col min="8967" max="8967" width="10.88671875" style="347" customWidth="1"/>
    <col min="8968" max="8968" width="11.33203125" style="347" customWidth="1"/>
    <col min="8969" max="8970" width="11.44140625" style="347" customWidth="1"/>
    <col min="8971" max="8971" width="12.6640625" style="347" customWidth="1"/>
    <col min="8972" max="8972" width="9.5546875" style="347" bestFit="1" customWidth="1"/>
    <col min="8973" max="8973" width="12.6640625" style="347" customWidth="1"/>
    <col min="8974" max="8982" width="0" style="347" hidden="1" customWidth="1"/>
    <col min="8983" max="9217" width="9.109375" style="347"/>
    <col min="9218" max="9218" width="34.6640625" style="347" customWidth="1"/>
    <col min="9219" max="9219" width="22" style="347" customWidth="1"/>
    <col min="9220" max="9220" width="11.109375" style="347" customWidth="1"/>
    <col min="9221" max="9221" width="8.44140625" style="347" customWidth="1"/>
    <col min="9222" max="9222" width="12.44140625" style="347" customWidth="1"/>
    <col min="9223" max="9223" width="10.88671875" style="347" customWidth="1"/>
    <col min="9224" max="9224" width="11.33203125" style="347" customWidth="1"/>
    <col min="9225" max="9226" width="11.44140625" style="347" customWidth="1"/>
    <col min="9227" max="9227" width="12.6640625" style="347" customWidth="1"/>
    <col min="9228" max="9228" width="9.5546875" style="347" bestFit="1" customWidth="1"/>
    <col min="9229" max="9229" width="12.6640625" style="347" customWidth="1"/>
    <col min="9230" max="9238" width="0" style="347" hidden="1" customWidth="1"/>
    <col min="9239" max="9473" width="9.109375" style="347"/>
    <col min="9474" max="9474" width="34.6640625" style="347" customWidth="1"/>
    <col min="9475" max="9475" width="22" style="347" customWidth="1"/>
    <col min="9476" max="9476" width="11.109375" style="347" customWidth="1"/>
    <col min="9477" max="9477" width="8.44140625" style="347" customWidth="1"/>
    <col min="9478" max="9478" width="12.44140625" style="347" customWidth="1"/>
    <col min="9479" max="9479" width="10.88671875" style="347" customWidth="1"/>
    <col min="9480" max="9480" width="11.33203125" style="347" customWidth="1"/>
    <col min="9481" max="9482" width="11.44140625" style="347" customWidth="1"/>
    <col min="9483" max="9483" width="12.6640625" style="347" customWidth="1"/>
    <col min="9484" max="9484" width="9.5546875" style="347" bestFit="1" customWidth="1"/>
    <col min="9485" max="9485" width="12.6640625" style="347" customWidth="1"/>
    <col min="9486" max="9494" width="0" style="347" hidden="1" customWidth="1"/>
    <col min="9495" max="9729" width="9.109375" style="347"/>
    <col min="9730" max="9730" width="34.6640625" style="347" customWidth="1"/>
    <col min="9731" max="9731" width="22" style="347" customWidth="1"/>
    <col min="9732" max="9732" width="11.109375" style="347" customWidth="1"/>
    <col min="9733" max="9733" width="8.44140625" style="347" customWidth="1"/>
    <col min="9734" max="9734" width="12.44140625" style="347" customWidth="1"/>
    <col min="9735" max="9735" width="10.88671875" style="347" customWidth="1"/>
    <col min="9736" max="9736" width="11.33203125" style="347" customWidth="1"/>
    <col min="9737" max="9738" width="11.44140625" style="347" customWidth="1"/>
    <col min="9739" max="9739" width="12.6640625" style="347" customWidth="1"/>
    <col min="9740" max="9740" width="9.5546875" style="347" bestFit="1" customWidth="1"/>
    <col min="9741" max="9741" width="12.6640625" style="347" customWidth="1"/>
    <col min="9742" max="9750" width="0" style="347" hidden="1" customWidth="1"/>
    <col min="9751" max="9985" width="9.109375" style="347"/>
    <col min="9986" max="9986" width="34.6640625" style="347" customWidth="1"/>
    <col min="9987" max="9987" width="22" style="347" customWidth="1"/>
    <col min="9988" max="9988" width="11.109375" style="347" customWidth="1"/>
    <col min="9989" max="9989" width="8.44140625" style="347" customWidth="1"/>
    <col min="9990" max="9990" width="12.44140625" style="347" customWidth="1"/>
    <col min="9991" max="9991" width="10.88671875" style="347" customWidth="1"/>
    <col min="9992" max="9992" width="11.33203125" style="347" customWidth="1"/>
    <col min="9993" max="9994" width="11.44140625" style="347" customWidth="1"/>
    <col min="9995" max="9995" width="12.6640625" style="347" customWidth="1"/>
    <col min="9996" max="9996" width="9.5546875" style="347" bestFit="1" customWidth="1"/>
    <col min="9997" max="9997" width="12.6640625" style="347" customWidth="1"/>
    <col min="9998" max="10006" width="0" style="347" hidden="1" customWidth="1"/>
    <col min="10007" max="10241" width="9.109375" style="347"/>
    <col min="10242" max="10242" width="34.6640625" style="347" customWidth="1"/>
    <col min="10243" max="10243" width="22" style="347" customWidth="1"/>
    <col min="10244" max="10244" width="11.109375" style="347" customWidth="1"/>
    <col min="10245" max="10245" width="8.44140625" style="347" customWidth="1"/>
    <col min="10246" max="10246" width="12.44140625" style="347" customWidth="1"/>
    <col min="10247" max="10247" width="10.88671875" style="347" customWidth="1"/>
    <col min="10248" max="10248" width="11.33203125" style="347" customWidth="1"/>
    <col min="10249" max="10250" width="11.44140625" style="347" customWidth="1"/>
    <col min="10251" max="10251" width="12.6640625" style="347" customWidth="1"/>
    <col min="10252" max="10252" width="9.5546875" style="347" bestFit="1" customWidth="1"/>
    <col min="10253" max="10253" width="12.6640625" style="347" customWidth="1"/>
    <col min="10254" max="10262" width="0" style="347" hidden="1" customWidth="1"/>
    <col min="10263" max="10497" width="9.109375" style="347"/>
    <col min="10498" max="10498" width="34.6640625" style="347" customWidth="1"/>
    <col min="10499" max="10499" width="22" style="347" customWidth="1"/>
    <col min="10500" max="10500" width="11.109375" style="347" customWidth="1"/>
    <col min="10501" max="10501" width="8.44140625" style="347" customWidth="1"/>
    <col min="10502" max="10502" width="12.44140625" style="347" customWidth="1"/>
    <col min="10503" max="10503" width="10.88671875" style="347" customWidth="1"/>
    <col min="10504" max="10504" width="11.33203125" style="347" customWidth="1"/>
    <col min="10505" max="10506" width="11.44140625" style="347" customWidth="1"/>
    <col min="10507" max="10507" width="12.6640625" style="347" customWidth="1"/>
    <col min="10508" max="10508" width="9.5546875" style="347" bestFit="1" customWidth="1"/>
    <col min="10509" max="10509" width="12.6640625" style="347" customWidth="1"/>
    <col min="10510" max="10518" width="0" style="347" hidden="1" customWidth="1"/>
    <col min="10519" max="10753" width="9.109375" style="347"/>
    <col min="10754" max="10754" width="34.6640625" style="347" customWidth="1"/>
    <col min="10755" max="10755" width="22" style="347" customWidth="1"/>
    <col min="10756" max="10756" width="11.109375" style="347" customWidth="1"/>
    <col min="10757" max="10757" width="8.44140625" style="347" customWidth="1"/>
    <col min="10758" max="10758" width="12.44140625" style="347" customWidth="1"/>
    <col min="10759" max="10759" width="10.88671875" style="347" customWidth="1"/>
    <col min="10760" max="10760" width="11.33203125" style="347" customWidth="1"/>
    <col min="10761" max="10762" width="11.44140625" style="347" customWidth="1"/>
    <col min="10763" max="10763" width="12.6640625" style="347" customWidth="1"/>
    <col min="10764" max="10764" width="9.5546875" style="347" bestFit="1" customWidth="1"/>
    <col min="10765" max="10765" width="12.6640625" style="347" customWidth="1"/>
    <col min="10766" max="10774" width="0" style="347" hidden="1" customWidth="1"/>
    <col min="10775" max="11009" width="9.109375" style="347"/>
    <col min="11010" max="11010" width="34.6640625" style="347" customWidth="1"/>
    <col min="11011" max="11011" width="22" style="347" customWidth="1"/>
    <col min="11012" max="11012" width="11.109375" style="347" customWidth="1"/>
    <col min="11013" max="11013" width="8.44140625" style="347" customWidth="1"/>
    <col min="11014" max="11014" width="12.44140625" style="347" customWidth="1"/>
    <col min="11015" max="11015" width="10.88671875" style="347" customWidth="1"/>
    <col min="11016" max="11016" width="11.33203125" style="347" customWidth="1"/>
    <col min="11017" max="11018" width="11.44140625" style="347" customWidth="1"/>
    <col min="11019" max="11019" width="12.6640625" style="347" customWidth="1"/>
    <col min="11020" max="11020" width="9.5546875" style="347" bestFit="1" customWidth="1"/>
    <col min="11021" max="11021" width="12.6640625" style="347" customWidth="1"/>
    <col min="11022" max="11030" width="0" style="347" hidden="1" customWidth="1"/>
    <col min="11031" max="11265" width="9.109375" style="347"/>
    <col min="11266" max="11266" width="34.6640625" style="347" customWidth="1"/>
    <col min="11267" max="11267" width="22" style="347" customWidth="1"/>
    <col min="11268" max="11268" width="11.109375" style="347" customWidth="1"/>
    <col min="11269" max="11269" width="8.44140625" style="347" customWidth="1"/>
    <col min="11270" max="11270" width="12.44140625" style="347" customWidth="1"/>
    <col min="11271" max="11271" width="10.88671875" style="347" customWidth="1"/>
    <col min="11272" max="11272" width="11.33203125" style="347" customWidth="1"/>
    <col min="11273" max="11274" width="11.44140625" style="347" customWidth="1"/>
    <col min="11275" max="11275" width="12.6640625" style="347" customWidth="1"/>
    <col min="11276" max="11276" width="9.5546875" style="347" bestFit="1" customWidth="1"/>
    <col min="11277" max="11277" width="12.6640625" style="347" customWidth="1"/>
    <col min="11278" max="11286" width="0" style="347" hidden="1" customWidth="1"/>
    <col min="11287" max="11521" width="9.109375" style="347"/>
    <col min="11522" max="11522" width="34.6640625" style="347" customWidth="1"/>
    <col min="11523" max="11523" width="22" style="347" customWidth="1"/>
    <col min="11524" max="11524" width="11.109375" style="347" customWidth="1"/>
    <col min="11525" max="11525" width="8.44140625" style="347" customWidth="1"/>
    <col min="11526" max="11526" width="12.44140625" style="347" customWidth="1"/>
    <col min="11527" max="11527" width="10.88671875" style="347" customWidth="1"/>
    <col min="11528" max="11528" width="11.33203125" style="347" customWidth="1"/>
    <col min="11529" max="11530" width="11.44140625" style="347" customWidth="1"/>
    <col min="11531" max="11531" width="12.6640625" style="347" customWidth="1"/>
    <col min="11532" max="11532" width="9.5546875" style="347" bestFit="1" customWidth="1"/>
    <col min="11533" max="11533" width="12.6640625" style="347" customWidth="1"/>
    <col min="11534" max="11542" width="0" style="347" hidden="1" customWidth="1"/>
    <col min="11543" max="11777" width="9.109375" style="347"/>
    <col min="11778" max="11778" width="34.6640625" style="347" customWidth="1"/>
    <col min="11779" max="11779" width="22" style="347" customWidth="1"/>
    <col min="11780" max="11780" width="11.109375" style="347" customWidth="1"/>
    <col min="11781" max="11781" width="8.44140625" style="347" customWidth="1"/>
    <col min="11782" max="11782" width="12.44140625" style="347" customWidth="1"/>
    <col min="11783" max="11783" width="10.88671875" style="347" customWidth="1"/>
    <col min="11784" max="11784" width="11.33203125" style="347" customWidth="1"/>
    <col min="11785" max="11786" width="11.44140625" style="347" customWidth="1"/>
    <col min="11787" max="11787" width="12.6640625" style="347" customWidth="1"/>
    <col min="11788" max="11788" width="9.5546875" style="347" bestFit="1" customWidth="1"/>
    <col min="11789" max="11789" width="12.6640625" style="347" customWidth="1"/>
    <col min="11790" max="11798" width="0" style="347" hidden="1" customWidth="1"/>
    <col min="11799" max="12033" width="9.109375" style="347"/>
    <col min="12034" max="12034" width="34.6640625" style="347" customWidth="1"/>
    <col min="12035" max="12035" width="22" style="347" customWidth="1"/>
    <col min="12036" max="12036" width="11.109375" style="347" customWidth="1"/>
    <col min="12037" max="12037" width="8.44140625" style="347" customWidth="1"/>
    <col min="12038" max="12038" width="12.44140625" style="347" customWidth="1"/>
    <col min="12039" max="12039" width="10.88671875" style="347" customWidth="1"/>
    <col min="12040" max="12040" width="11.33203125" style="347" customWidth="1"/>
    <col min="12041" max="12042" width="11.44140625" style="347" customWidth="1"/>
    <col min="12043" max="12043" width="12.6640625" style="347" customWidth="1"/>
    <col min="12044" max="12044" width="9.5546875" style="347" bestFit="1" customWidth="1"/>
    <col min="12045" max="12045" width="12.6640625" style="347" customWidth="1"/>
    <col min="12046" max="12054" width="0" style="347" hidden="1" customWidth="1"/>
    <col min="12055" max="12289" width="9.109375" style="347"/>
    <col min="12290" max="12290" width="34.6640625" style="347" customWidth="1"/>
    <col min="12291" max="12291" width="22" style="347" customWidth="1"/>
    <col min="12292" max="12292" width="11.109375" style="347" customWidth="1"/>
    <col min="12293" max="12293" width="8.44140625" style="347" customWidth="1"/>
    <col min="12294" max="12294" width="12.44140625" style="347" customWidth="1"/>
    <col min="12295" max="12295" width="10.88671875" style="347" customWidth="1"/>
    <col min="12296" max="12296" width="11.33203125" style="347" customWidth="1"/>
    <col min="12297" max="12298" width="11.44140625" style="347" customWidth="1"/>
    <col min="12299" max="12299" width="12.6640625" style="347" customWidth="1"/>
    <col min="12300" max="12300" width="9.5546875" style="347" bestFit="1" customWidth="1"/>
    <col min="12301" max="12301" width="12.6640625" style="347" customWidth="1"/>
    <col min="12302" max="12310" width="0" style="347" hidden="1" customWidth="1"/>
    <col min="12311" max="12545" width="9.109375" style="347"/>
    <col min="12546" max="12546" width="34.6640625" style="347" customWidth="1"/>
    <col min="12547" max="12547" width="22" style="347" customWidth="1"/>
    <col min="12548" max="12548" width="11.109375" style="347" customWidth="1"/>
    <col min="12549" max="12549" width="8.44140625" style="347" customWidth="1"/>
    <col min="12550" max="12550" width="12.44140625" style="347" customWidth="1"/>
    <col min="12551" max="12551" width="10.88671875" style="347" customWidth="1"/>
    <col min="12552" max="12552" width="11.33203125" style="347" customWidth="1"/>
    <col min="12553" max="12554" width="11.44140625" style="347" customWidth="1"/>
    <col min="12555" max="12555" width="12.6640625" style="347" customWidth="1"/>
    <col min="12556" max="12556" width="9.5546875" style="347" bestFit="1" customWidth="1"/>
    <col min="12557" max="12557" width="12.6640625" style="347" customWidth="1"/>
    <col min="12558" max="12566" width="0" style="347" hidden="1" customWidth="1"/>
    <col min="12567" max="12801" width="9.109375" style="347"/>
    <col min="12802" max="12802" width="34.6640625" style="347" customWidth="1"/>
    <col min="12803" max="12803" width="22" style="347" customWidth="1"/>
    <col min="12804" max="12804" width="11.109375" style="347" customWidth="1"/>
    <col min="12805" max="12805" width="8.44140625" style="347" customWidth="1"/>
    <col min="12806" max="12806" width="12.44140625" style="347" customWidth="1"/>
    <col min="12807" max="12807" width="10.88671875" style="347" customWidth="1"/>
    <col min="12808" max="12808" width="11.33203125" style="347" customWidth="1"/>
    <col min="12809" max="12810" width="11.44140625" style="347" customWidth="1"/>
    <col min="12811" max="12811" width="12.6640625" style="347" customWidth="1"/>
    <col min="12812" max="12812" width="9.5546875" style="347" bestFit="1" customWidth="1"/>
    <col min="12813" max="12813" width="12.6640625" style="347" customWidth="1"/>
    <col min="12814" max="12822" width="0" style="347" hidden="1" customWidth="1"/>
    <col min="12823" max="13057" width="9.109375" style="347"/>
    <col min="13058" max="13058" width="34.6640625" style="347" customWidth="1"/>
    <col min="13059" max="13059" width="22" style="347" customWidth="1"/>
    <col min="13060" max="13060" width="11.109375" style="347" customWidth="1"/>
    <col min="13061" max="13061" width="8.44140625" style="347" customWidth="1"/>
    <col min="13062" max="13062" width="12.44140625" style="347" customWidth="1"/>
    <col min="13063" max="13063" width="10.88671875" style="347" customWidth="1"/>
    <col min="13064" max="13064" width="11.33203125" style="347" customWidth="1"/>
    <col min="13065" max="13066" width="11.44140625" style="347" customWidth="1"/>
    <col min="13067" max="13067" width="12.6640625" style="347" customWidth="1"/>
    <col min="13068" max="13068" width="9.5546875" style="347" bestFit="1" customWidth="1"/>
    <col min="13069" max="13069" width="12.6640625" style="347" customWidth="1"/>
    <col min="13070" max="13078" width="0" style="347" hidden="1" customWidth="1"/>
    <col min="13079" max="13313" width="9.109375" style="347"/>
    <col min="13314" max="13314" width="34.6640625" style="347" customWidth="1"/>
    <col min="13315" max="13315" width="22" style="347" customWidth="1"/>
    <col min="13316" max="13316" width="11.109375" style="347" customWidth="1"/>
    <col min="13317" max="13317" width="8.44140625" style="347" customWidth="1"/>
    <col min="13318" max="13318" width="12.44140625" style="347" customWidth="1"/>
    <col min="13319" max="13319" width="10.88671875" style="347" customWidth="1"/>
    <col min="13320" max="13320" width="11.33203125" style="347" customWidth="1"/>
    <col min="13321" max="13322" width="11.44140625" style="347" customWidth="1"/>
    <col min="13323" max="13323" width="12.6640625" style="347" customWidth="1"/>
    <col min="13324" max="13324" width="9.5546875" style="347" bestFit="1" customWidth="1"/>
    <col min="13325" max="13325" width="12.6640625" style="347" customWidth="1"/>
    <col min="13326" max="13334" width="0" style="347" hidden="1" customWidth="1"/>
    <col min="13335" max="13569" width="9.109375" style="347"/>
    <col min="13570" max="13570" width="34.6640625" style="347" customWidth="1"/>
    <col min="13571" max="13571" width="22" style="347" customWidth="1"/>
    <col min="13572" max="13572" width="11.109375" style="347" customWidth="1"/>
    <col min="13573" max="13573" width="8.44140625" style="347" customWidth="1"/>
    <col min="13574" max="13574" width="12.44140625" style="347" customWidth="1"/>
    <col min="13575" max="13575" width="10.88671875" style="347" customWidth="1"/>
    <col min="13576" max="13576" width="11.33203125" style="347" customWidth="1"/>
    <col min="13577" max="13578" width="11.44140625" style="347" customWidth="1"/>
    <col min="13579" max="13579" width="12.6640625" style="347" customWidth="1"/>
    <col min="13580" max="13580" width="9.5546875" style="347" bestFit="1" customWidth="1"/>
    <col min="13581" max="13581" width="12.6640625" style="347" customWidth="1"/>
    <col min="13582" max="13590" width="0" style="347" hidden="1" customWidth="1"/>
    <col min="13591" max="13825" width="9.109375" style="347"/>
    <col min="13826" max="13826" width="34.6640625" style="347" customWidth="1"/>
    <col min="13827" max="13827" width="22" style="347" customWidth="1"/>
    <col min="13828" max="13828" width="11.109375" style="347" customWidth="1"/>
    <col min="13829" max="13829" width="8.44140625" style="347" customWidth="1"/>
    <col min="13830" max="13830" width="12.44140625" style="347" customWidth="1"/>
    <col min="13831" max="13831" width="10.88671875" style="347" customWidth="1"/>
    <col min="13832" max="13832" width="11.33203125" style="347" customWidth="1"/>
    <col min="13833" max="13834" width="11.44140625" style="347" customWidth="1"/>
    <col min="13835" max="13835" width="12.6640625" style="347" customWidth="1"/>
    <col min="13836" max="13836" width="9.5546875" style="347" bestFit="1" customWidth="1"/>
    <col min="13837" max="13837" width="12.6640625" style="347" customWidth="1"/>
    <col min="13838" max="13846" width="0" style="347" hidden="1" customWidth="1"/>
    <col min="13847" max="14081" width="9.109375" style="347"/>
    <col min="14082" max="14082" width="34.6640625" style="347" customWidth="1"/>
    <col min="14083" max="14083" width="22" style="347" customWidth="1"/>
    <col min="14084" max="14084" width="11.109375" style="347" customWidth="1"/>
    <col min="14085" max="14085" width="8.44140625" style="347" customWidth="1"/>
    <col min="14086" max="14086" width="12.44140625" style="347" customWidth="1"/>
    <col min="14087" max="14087" width="10.88671875" style="347" customWidth="1"/>
    <col min="14088" max="14088" width="11.33203125" style="347" customWidth="1"/>
    <col min="14089" max="14090" width="11.44140625" style="347" customWidth="1"/>
    <col min="14091" max="14091" width="12.6640625" style="347" customWidth="1"/>
    <col min="14092" max="14092" width="9.5546875" style="347" bestFit="1" customWidth="1"/>
    <col min="14093" max="14093" width="12.6640625" style="347" customWidth="1"/>
    <col min="14094" max="14102" width="0" style="347" hidden="1" customWidth="1"/>
    <col min="14103" max="14337" width="9.109375" style="347"/>
    <col min="14338" max="14338" width="34.6640625" style="347" customWidth="1"/>
    <col min="14339" max="14339" width="22" style="347" customWidth="1"/>
    <col min="14340" max="14340" width="11.109375" style="347" customWidth="1"/>
    <col min="14341" max="14341" width="8.44140625" style="347" customWidth="1"/>
    <col min="14342" max="14342" width="12.44140625" style="347" customWidth="1"/>
    <col min="14343" max="14343" width="10.88671875" style="347" customWidth="1"/>
    <col min="14344" max="14344" width="11.33203125" style="347" customWidth="1"/>
    <col min="14345" max="14346" width="11.44140625" style="347" customWidth="1"/>
    <col min="14347" max="14347" width="12.6640625" style="347" customWidth="1"/>
    <col min="14348" max="14348" width="9.5546875" style="347" bestFit="1" customWidth="1"/>
    <col min="14349" max="14349" width="12.6640625" style="347" customWidth="1"/>
    <col min="14350" max="14358" width="0" style="347" hidden="1" customWidth="1"/>
    <col min="14359" max="14593" width="9.109375" style="347"/>
    <col min="14594" max="14594" width="34.6640625" style="347" customWidth="1"/>
    <col min="14595" max="14595" width="22" style="347" customWidth="1"/>
    <col min="14596" max="14596" width="11.109375" style="347" customWidth="1"/>
    <col min="14597" max="14597" width="8.44140625" style="347" customWidth="1"/>
    <col min="14598" max="14598" width="12.44140625" style="347" customWidth="1"/>
    <col min="14599" max="14599" width="10.88671875" style="347" customWidth="1"/>
    <col min="14600" max="14600" width="11.33203125" style="347" customWidth="1"/>
    <col min="14601" max="14602" width="11.44140625" style="347" customWidth="1"/>
    <col min="14603" max="14603" width="12.6640625" style="347" customWidth="1"/>
    <col min="14604" max="14604" width="9.5546875" style="347" bestFit="1" customWidth="1"/>
    <col min="14605" max="14605" width="12.6640625" style="347" customWidth="1"/>
    <col min="14606" max="14614" width="0" style="347" hidden="1" customWidth="1"/>
    <col min="14615" max="14849" width="9.109375" style="347"/>
    <col min="14850" max="14850" width="34.6640625" style="347" customWidth="1"/>
    <col min="14851" max="14851" width="22" style="347" customWidth="1"/>
    <col min="14852" max="14852" width="11.109375" style="347" customWidth="1"/>
    <col min="14853" max="14853" width="8.44140625" style="347" customWidth="1"/>
    <col min="14854" max="14854" width="12.44140625" style="347" customWidth="1"/>
    <col min="14855" max="14855" width="10.88671875" style="347" customWidth="1"/>
    <col min="14856" max="14856" width="11.33203125" style="347" customWidth="1"/>
    <col min="14857" max="14858" width="11.44140625" style="347" customWidth="1"/>
    <col min="14859" max="14859" width="12.6640625" style="347" customWidth="1"/>
    <col min="14860" max="14860" width="9.5546875" style="347" bestFit="1" customWidth="1"/>
    <col min="14861" max="14861" width="12.6640625" style="347" customWidth="1"/>
    <col min="14862" max="14870" width="0" style="347" hidden="1" customWidth="1"/>
    <col min="14871" max="15105" width="9.109375" style="347"/>
    <col min="15106" max="15106" width="34.6640625" style="347" customWidth="1"/>
    <col min="15107" max="15107" width="22" style="347" customWidth="1"/>
    <col min="15108" max="15108" width="11.109375" style="347" customWidth="1"/>
    <col min="15109" max="15109" width="8.44140625" style="347" customWidth="1"/>
    <col min="15110" max="15110" width="12.44140625" style="347" customWidth="1"/>
    <col min="15111" max="15111" width="10.88671875" style="347" customWidth="1"/>
    <col min="15112" max="15112" width="11.33203125" style="347" customWidth="1"/>
    <col min="15113" max="15114" width="11.44140625" style="347" customWidth="1"/>
    <col min="15115" max="15115" width="12.6640625" style="347" customWidth="1"/>
    <col min="15116" max="15116" width="9.5546875" style="347" bestFit="1" customWidth="1"/>
    <col min="15117" max="15117" width="12.6640625" style="347" customWidth="1"/>
    <col min="15118" max="15126" width="0" style="347" hidden="1" customWidth="1"/>
    <col min="15127" max="15361" width="9.109375" style="347"/>
    <col min="15362" max="15362" width="34.6640625" style="347" customWidth="1"/>
    <col min="15363" max="15363" width="22" style="347" customWidth="1"/>
    <col min="15364" max="15364" width="11.109375" style="347" customWidth="1"/>
    <col min="15365" max="15365" width="8.44140625" style="347" customWidth="1"/>
    <col min="15366" max="15366" width="12.44140625" style="347" customWidth="1"/>
    <col min="15367" max="15367" width="10.88671875" style="347" customWidth="1"/>
    <col min="15368" max="15368" width="11.33203125" style="347" customWidth="1"/>
    <col min="15369" max="15370" width="11.44140625" style="347" customWidth="1"/>
    <col min="15371" max="15371" width="12.6640625" style="347" customWidth="1"/>
    <col min="15372" max="15372" width="9.5546875" style="347" bestFit="1" customWidth="1"/>
    <col min="15373" max="15373" width="12.6640625" style="347" customWidth="1"/>
    <col min="15374" max="15382" width="0" style="347" hidden="1" customWidth="1"/>
    <col min="15383" max="15617" width="9.109375" style="347"/>
    <col min="15618" max="15618" width="34.6640625" style="347" customWidth="1"/>
    <col min="15619" max="15619" width="22" style="347" customWidth="1"/>
    <col min="15620" max="15620" width="11.109375" style="347" customWidth="1"/>
    <col min="15621" max="15621" width="8.44140625" style="347" customWidth="1"/>
    <col min="15622" max="15622" width="12.44140625" style="347" customWidth="1"/>
    <col min="15623" max="15623" width="10.88671875" style="347" customWidth="1"/>
    <col min="15624" max="15624" width="11.33203125" style="347" customWidth="1"/>
    <col min="15625" max="15626" width="11.44140625" style="347" customWidth="1"/>
    <col min="15627" max="15627" width="12.6640625" style="347" customWidth="1"/>
    <col min="15628" max="15628" width="9.5546875" style="347" bestFit="1" customWidth="1"/>
    <col min="15629" max="15629" width="12.6640625" style="347" customWidth="1"/>
    <col min="15630" max="15638" width="0" style="347" hidden="1" customWidth="1"/>
    <col min="15639" max="15873" width="9.109375" style="347"/>
    <col min="15874" max="15874" width="34.6640625" style="347" customWidth="1"/>
    <col min="15875" max="15875" width="22" style="347" customWidth="1"/>
    <col min="15876" max="15876" width="11.109375" style="347" customWidth="1"/>
    <col min="15877" max="15877" width="8.44140625" style="347" customWidth="1"/>
    <col min="15878" max="15878" width="12.44140625" style="347" customWidth="1"/>
    <col min="15879" max="15879" width="10.88671875" style="347" customWidth="1"/>
    <col min="15880" max="15880" width="11.33203125" style="347" customWidth="1"/>
    <col min="15881" max="15882" width="11.44140625" style="347" customWidth="1"/>
    <col min="15883" max="15883" width="12.6640625" style="347" customWidth="1"/>
    <col min="15884" max="15884" width="9.5546875" style="347" bestFit="1" customWidth="1"/>
    <col min="15885" max="15885" width="12.6640625" style="347" customWidth="1"/>
    <col min="15886" max="15894" width="0" style="347" hidden="1" customWidth="1"/>
    <col min="15895" max="16129" width="9.109375" style="347"/>
    <col min="16130" max="16130" width="34.6640625" style="347" customWidth="1"/>
    <col min="16131" max="16131" width="22" style="347" customWidth="1"/>
    <col min="16132" max="16132" width="11.109375" style="347" customWidth="1"/>
    <col min="16133" max="16133" width="8.44140625" style="347" customWidth="1"/>
    <col min="16134" max="16134" width="12.44140625" style="347" customWidth="1"/>
    <col min="16135" max="16135" width="10.88671875" style="347" customWidth="1"/>
    <col min="16136" max="16136" width="11.33203125" style="347" customWidth="1"/>
    <col min="16137" max="16138" width="11.44140625" style="347" customWidth="1"/>
    <col min="16139" max="16139" width="12.6640625" style="347" customWidth="1"/>
    <col min="16140" max="16140" width="9.5546875" style="347" bestFit="1" customWidth="1"/>
    <col min="16141" max="16141" width="12.6640625" style="347" customWidth="1"/>
    <col min="16142" max="16150" width="0" style="347" hidden="1" customWidth="1"/>
    <col min="16151" max="16384" width="9.109375" style="347"/>
  </cols>
  <sheetData>
    <row r="1" spans="2:23" ht="15.6" x14ac:dyDescent="0.3">
      <c r="L1" s="885" t="s">
        <v>820</v>
      </c>
      <c r="N1" s="346" t="s">
        <v>861</v>
      </c>
      <c r="W1" s="1290"/>
    </row>
    <row r="2" spans="2:23" ht="5.4" customHeight="1" x14ac:dyDescent="0.25"/>
    <row r="3" spans="2:23" ht="16.2" customHeight="1" x14ac:dyDescent="0.3">
      <c r="B3" s="347"/>
      <c r="C3" s="357" t="s">
        <v>1983</v>
      </c>
      <c r="D3" s="347"/>
      <c r="E3" s="355" t="str">
        <f>'Вхідні дані'!$F$5</f>
        <v>КП «КТЕ"</v>
      </c>
      <c r="F3" s="355"/>
      <c r="G3" s="355"/>
      <c r="H3" s="886" t="s">
        <v>461</v>
      </c>
      <c r="I3" s="353" t="str">
        <f>'Вхідні дані'!$F$6</f>
        <v>2023-2024</v>
      </c>
      <c r="J3" s="352" t="s">
        <v>661</v>
      </c>
      <c r="K3" s="347"/>
      <c r="L3" s="347"/>
      <c r="M3" s="352"/>
    </row>
    <row r="4" spans="2:23" ht="16.2" customHeight="1" x14ac:dyDescent="0.25">
      <c r="B4" s="3848" t="s">
        <v>3481</v>
      </c>
      <c r="C4" s="358"/>
      <c r="D4" s="348"/>
      <c r="E4" s="348"/>
      <c r="F4" s="348"/>
      <c r="G4" s="5533" t="s">
        <v>967</v>
      </c>
      <c r="H4" s="5533"/>
      <c r="I4" s="5533"/>
      <c r="J4" s="5533"/>
      <c r="K4" s="5533"/>
      <c r="L4" s="5533"/>
      <c r="M4" s="2493"/>
      <c r="N4" s="2481"/>
      <c r="O4" s="2481"/>
      <c r="P4" s="2481"/>
      <c r="Q4" s="2481"/>
      <c r="R4" s="2481"/>
      <c r="S4" s="2481"/>
    </row>
    <row r="5" spans="2:23" ht="16.2" customHeight="1" x14ac:dyDescent="0.25">
      <c r="B5" s="5525" t="s">
        <v>862</v>
      </c>
      <c r="C5" s="5534" t="s">
        <v>863</v>
      </c>
      <c r="D5" s="5534" t="s">
        <v>864</v>
      </c>
      <c r="E5" s="5534" t="s">
        <v>865</v>
      </c>
      <c r="F5" s="5534" t="s">
        <v>3244</v>
      </c>
      <c r="G5" s="5527" t="s">
        <v>866</v>
      </c>
      <c r="H5" s="5527"/>
      <c r="I5" s="5527"/>
      <c r="J5" s="5525" t="s">
        <v>872</v>
      </c>
      <c r="K5" s="5528" t="s">
        <v>867</v>
      </c>
      <c r="L5" s="5528" t="s">
        <v>868</v>
      </c>
      <c r="M5" s="5524"/>
      <c r="N5" s="5529"/>
      <c r="O5" s="5529"/>
      <c r="P5" s="5529"/>
      <c r="Q5" s="5530"/>
      <c r="R5" s="5524"/>
      <c r="S5" s="5524"/>
    </row>
    <row r="6" spans="2:23" ht="12.75" customHeight="1" x14ac:dyDescent="0.25">
      <c r="B6" s="5525"/>
      <c r="C6" s="5534"/>
      <c r="D6" s="5534"/>
      <c r="E6" s="5534"/>
      <c r="F6" s="5534"/>
      <c r="G6" s="5525" t="s">
        <v>869</v>
      </c>
      <c r="H6" s="5525" t="s">
        <v>870</v>
      </c>
      <c r="I6" s="5525" t="s">
        <v>902</v>
      </c>
      <c r="J6" s="5525"/>
      <c r="K6" s="5528"/>
      <c r="L6" s="5528"/>
      <c r="M6" s="5524"/>
      <c r="N6" s="5526"/>
      <c r="O6" s="5526"/>
      <c r="P6" s="5526"/>
      <c r="Q6" s="5526"/>
      <c r="R6" s="5524"/>
      <c r="S6" s="5524"/>
    </row>
    <row r="7" spans="2:23" ht="27" customHeight="1" x14ac:dyDescent="0.25">
      <c r="B7" s="5525"/>
      <c r="C7" s="5534"/>
      <c r="D7" s="5534"/>
      <c r="E7" s="5534"/>
      <c r="F7" s="5534"/>
      <c r="G7" s="5525"/>
      <c r="H7" s="5525"/>
      <c r="I7" s="5525"/>
      <c r="J7" s="5525"/>
      <c r="K7" s="5528"/>
      <c r="L7" s="5528"/>
      <c r="M7" s="5524"/>
      <c r="N7" s="5526"/>
      <c r="O7" s="5526"/>
      <c r="P7" s="5526"/>
      <c r="Q7" s="5526"/>
      <c r="R7" s="5524"/>
      <c r="S7" s="5524"/>
    </row>
    <row r="8" spans="2:23" x14ac:dyDescent="0.25">
      <c r="B8" s="2462" t="s">
        <v>3245</v>
      </c>
      <c r="C8" s="2463"/>
      <c r="D8" s="2463"/>
      <c r="E8" s="2463"/>
      <c r="F8" s="2463">
        <f>F13+F16+F23+F42+F43+F44+F49</f>
        <v>118901.5061826087</v>
      </c>
      <c r="G8" s="2463">
        <f>G13+G16+G23+G42+G43+G44+G49</f>
        <v>6806.3595999999998</v>
      </c>
      <c r="H8" s="2463">
        <f t="shared" ref="H8:L8" si="0">H13+H16+H23+H42+H43+H44+H49</f>
        <v>31061.620000000003</v>
      </c>
      <c r="I8" s="2463">
        <f t="shared" si="0"/>
        <v>1406.8700000000001</v>
      </c>
      <c r="J8" s="2463">
        <f t="shared" si="0"/>
        <v>48306.446582608703</v>
      </c>
      <c r="K8" s="2463">
        <f t="shared" si="0"/>
        <v>4968.03</v>
      </c>
      <c r="L8" s="2463">
        <f t="shared" si="0"/>
        <v>26352.18</v>
      </c>
      <c r="M8" s="2482"/>
      <c r="N8" s="359"/>
      <c r="O8" s="359"/>
      <c r="P8" s="359"/>
      <c r="Q8" s="359"/>
      <c r="R8" s="359"/>
      <c r="S8" s="2482"/>
    </row>
    <row r="9" spans="2:23" x14ac:dyDescent="0.25">
      <c r="B9" s="2464" t="s">
        <v>874</v>
      </c>
      <c r="C9" s="2465" t="s">
        <v>875</v>
      </c>
      <c r="D9" s="2466">
        <v>110800</v>
      </c>
      <c r="E9" s="2466" t="s">
        <v>876</v>
      </c>
      <c r="F9" s="2467">
        <v>1</v>
      </c>
      <c r="G9" s="2466"/>
      <c r="H9" s="2466"/>
      <c r="I9" s="2466"/>
      <c r="J9" s="2466"/>
      <c r="K9" s="2466"/>
      <c r="L9" s="2468">
        <v>1</v>
      </c>
      <c r="M9" s="2482"/>
      <c r="N9" s="359"/>
      <c r="O9" s="359"/>
      <c r="P9" s="359"/>
      <c r="Q9" s="359"/>
      <c r="R9" s="359"/>
      <c r="S9" s="2482"/>
    </row>
    <row r="10" spans="2:23" x14ac:dyDescent="0.25">
      <c r="B10" s="2464" t="s">
        <v>877</v>
      </c>
      <c r="C10" s="2464"/>
      <c r="D10" s="2466">
        <v>110793</v>
      </c>
      <c r="E10" s="2466" t="s">
        <v>876</v>
      </c>
      <c r="F10" s="2467">
        <v>1</v>
      </c>
      <c r="G10" s="2466"/>
      <c r="H10" s="2466"/>
      <c r="I10" s="2466"/>
      <c r="J10" s="2466"/>
      <c r="K10" s="2466">
        <v>1</v>
      </c>
      <c r="L10" s="2468"/>
      <c r="M10" s="2486"/>
      <c r="N10" s="2487"/>
      <c r="O10" s="2487"/>
      <c r="P10" s="2487"/>
      <c r="Q10" s="2487"/>
      <c r="R10" s="2487"/>
      <c r="S10" s="2487"/>
    </row>
    <row r="11" spans="2:23" x14ac:dyDescent="0.25">
      <c r="B11" s="2465" t="s">
        <v>878</v>
      </c>
      <c r="C11" s="2464"/>
      <c r="D11" s="2466"/>
      <c r="E11" s="2466" t="s">
        <v>876</v>
      </c>
      <c r="F11" s="2469">
        <v>2</v>
      </c>
      <c r="G11" s="2469"/>
      <c r="H11" s="2469"/>
      <c r="I11" s="2469"/>
      <c r="J11" s="2469"/>
      <c r="K11" s="2469">
        <v>1</v>
      </c>
      <c r="L11" s="2469">
        <v>1</v>
      </c>
      <c r="M11" s="2490"/>
      <c r="N11" s="2490"/>
      <c r="O11" s="2490"/>
      <c r="P11" s="359"/>
      <c r="Q11" s="359"/>
      <c r="R11" s="359"/>
      <c r="S11" s="2490"/>
    </row>
    <row r="12" spans="2:23" ht="27" thickBot="1" x14ac:dyDescent="0.3">
      <c r="B12" s="2470" t="s">
        <v>3246</v>
      </c>
      <c r="C12" s="2465"/>
      <c r="D12" s="2471"/>
      <c r="E12" s="2471" t="s">
        <v>3247</v>
      </c>
      <c r="F12" s="3805">
        <f>(K12+L12)/2</f>
        <v>62.5</v>
      </c>
      <c r="G12" s="2472"/>
      <c r="H12" s="2472"/>
      <c r="I12" s="2466"/>
      <c r="J12" s="2466"/>
      <c r="K12" s="3806">
        <v>62.5</v>
      </c>
      <c r="L12" s="3806">
        <v>62.5</v>
      </c>
      <c r="M12" s="2490"/>
      <c r="N12" s="2490"/>
      <c r="O12" s="2490"/>
      <c r="P12" s="359"/>
      <c r="Q12" s="359"/>
      <c r="R12" s="359"/>
      <c r="S12" s="2490"/>
    </row>
    <row r="13" spans="2:23" ht="13.8" thickBot="1" x14ac:dyDescent="0.3">
      <c r="B13" s="2653" t="s">
        <v>3248</v>
      </c>
      <c r="C13" s="2473"/>
      <c r="D13" s="2474"/>
      <c r="E13" s="2474" t="s">
        <v>447</v>
      </c>
      <c r="F13" s="3807">
        <f>F11*F12*12</f>
        <v>1500</v>
      </c>
      <c r="G13" s="2474">
        <v>0</v>
      </c>
      <c r="H13" s="2474">
        <v>0</v>
      </c>
      <c r="I13" s="2474">
        <v>0</v>
      </c>
      <c r="J13" s="2474">
        <v>0</v>
      </c>
      <c r="K13" s="3807">
        <f>K11*K12*12</f>
        <v>750</v>
      </c>
      <c r="L13" s="3807">
        <f>L11*L12*12</f>
        <v>750</v>
      </c>
      <c r="M13" s="2492"/>
      <c r="N13" s="2492"/>
      <c r="O13" s="2492"/>
      <c r="P13" s="2492"/>
      <c r="Q13" s="2492"/>
      <c r="R13" s="2492"/>
      <c r="S13" s="2492"/>
      <c r="U13" s="349"/>
    </row>
    <row r="14" spans="2:23" x14ac:dyDescent="0.25">
      <c r="B14" s="2464" t="s">
        <v>880</v>
      </c>
      <c r="C14" s="2465" t="s">
        <v>881</v>
      </c>
      <c r="D14" s="2466">
        <v>205115618</v>
      </c>
      <c r="E14" s="2471" t="s">
        <v>876</v>
      </c>
      <c r="F14" s="2475">
        <f>J14</f>
        <v>20.013500000000001</v>
      </c>
      <c r="G14" s="2466"/>
      <c r="H14" s="2466"/>
      <c r="I14" s="2466"/>
      <c r="J14" s="2475">
        <v>20.013500000000001</v>
      </c>
      <c r="K14" s="2466"/>
      <c r="L14" s="2466"/>
      <c r="M14" s="359"/>
      <c r="N14" s="359"/>
      <c r="O14" s="359"/>
      <c r="P14" s="359"/>
      <c r="Q14" s="359"/>
      <c r="R14" s="359"/>
      <c r="S14" s="359"/>
    </row>
    <row r="15" spans="2:23" s="2484" customFormat="1" ht="13.8" thickBot="1" x14ac:dyDescent="0.3">
      <c r="B15" s="2465" t="s">
        <v>878</v>
      </c>
      <c r="C15" s="2465"/>
      <c r="D15" s="2476"/>
      <c r="E15" s="2471" t="s">
        <v>876</v>
      </c>
      <c r="F15" s="2476">
        <v>145</v>
      </c>
      <c r="G15" s="2476"/>
      <c r="H15" s="2476"/>
      <c r="I15" s="2476"/>
      <c r="J15" s="2476">
        <v>145</v>
      </c>
      <c r="K15" s="2476"/>
      <c r="L15" s="2476"/>
      <c r="M15" s="2483"/>
      <c r="N15" s="350"/>
      <c r="O15" s="350"/>
      <c r="P15" s="350"/>
      <c r="Q15" s="350"/>
      <c r="R15" s="350"/>
      <c r="S15" s="350"/>
    </row>
    <row r="16" spans="2:23" ht="13.8" thickBot="1" x14ac:dyDescent="0.3">
      <c r="B16" s="2470" t="s">
        <v>882</v>
      </c>
      <c r="C16" s="2477"/>
      <c r="D16" s="2468"/>
      <c r="E16" s="2473" t="s">
        <v>447</v>
      </c>
      <c r="F16" s="2478">
        <f>J16</f>
        <v>34823.49</v>
      </c>
      <c r="G16" s="2478">
        <v>0</v>
      </c>
      <c r="H16" s="2478">
        <v>0</v>
      </c>
      <c r="I16" s="2478">
        <v>0</v>
      </c>
      <c r="J16" s="3808">
        <f>J14*J15*12</f>
        <v>34823.49</v>
      </c>
      <c r="K16" s="2478">
        <v>0</v>
      </c>
      <c r="L16" s="2478">
        <v>0</v>
      </c>
      <c r="M16" s="351"/>
      <c r="N16" s="359"/>
      <c r="O16" s="359"/>
      <c r="P16" s="359"/>
      <c r="Q16" s="359"/>
      <c r="R16" s="359"/>
      <c r="S16" s="359"/>
    </row>
    <row r="17" spans="2:19" x14ac:dyDescent="0.25">
      <c r="B17" s="2464" t="s">
        <v>424</v>
      </c>
      <c r="C17" s="2465" t="s">
        <v>883</v>
      </c>
      <c r="D17" s="2466" t="s">
        <v>884</v>
      </c>
      <c r="E17" s="2466" t="s">
        <v>876</v>
      </c>
      <c r="F17" s="2466">
        <v>1</v>
      </c>
      <c r="G17" s="2466"/>
      <c r="H17" s="2466"/>
      <c r="I17" s="2466"/>
      <c r="J17" s="2466"/>
      <c r="K17" s="2466"/>
      <c r="L17" s="2466">
        <v>1</v>
      </c>
      <c r="M17" s="359"/>
      <c r="N17" s="359"/>
      <c r="O17" s="359"/>
      <c r="P17" s="359"/>
      <c r="Q17" s="359"/>
      <c r="R17" s="359"/>
      <c r="S17" s="359"/>
    </row>
    <row r="18" spans="2:19" x14ac:dyDescent="0.25">
      <c r="B18" s="2464" t="s">
        <v>436</v>
      </c>
      <c r="C18" s="2465"/>
      <c r="D18" s="2466"/>
      <c r="E18" s="2466" t="s">
        <v>876</v>
      </c>
      <c r="F18" s="2466">
        <v>1</v>
      </c>
      <c r="G18" s="2466"/>
      <c r="H18" s="2466"/>
      <c r="I18" s="2466"/>
      <c r="J18" s="2466"/>
      <c r="K18" s="2466"/>
      <c r="L18" s="2466">
        <v>1</v>
      </c>
      <c r="M18" s="359"/>
      <c r="N18" s="359"/>
      <c r="O18" s="359"/>
      <c r="P18" s="359"/>
      <c r="Q18" s="359"/>
      <c r="R18" s="359"/>
      <c r="S18" s="359"/>
    </row>
    <row r="19" spans="2:19" x14ac:dyDescent="0.25">
      <c r="B19" s="2464" t="s">
        <v>889</v>
      </c>
      <c r="C19" s="2465"/>
      <c r="D19" s="2466"/>
      <c r="E19" s="2466" t="s">
        <v>876</v>
      </c>
      <c r="F19" s="2466">
        <v>1</v>
      </c>
      <c r="G19" s="2466"/>
      <c r="H19" s="2466"/>
      <c r="I19" s="2466"/>
      <c r="J19" s="2466">
        <v>1</v>
      </c>
      <c r="K19" s="2466"/>
      <c r="L19" s="2466"/>
      <c r="M19" s="359"/>
      <c r="N19" s="359"/>
      <c r="O19" s="359"/>
      <c r="P19" s="359"/>
      <c r="Q19" s="359"/>
      <c r="R19" s="359"/>
      <c r="S19" s="359"/>
    </row>
    <row r="20" spans="2:19" x14ac:dyDescent="0.25">
      <c r="B20" s="2464" t="s">
        <v>880</v>
      </c>
      <c r="C20" s="2465"/>
      <c r="D20" s="2466"/>
      <c r="E20" s="2466" t="s">
        <v>876</v>
      </c>
      <c r="F20" s="2466">
        <v>49</v>
      </c>
      <c r="G20" s="2466">
        <v>3</v>
      </c>
      <c r="H20" s="2466"/>
      <c r="I20" s="2466"/>
      <c r="J20" s="2466">
        <v>46</v>
      </c>
      <c r="K20" s="2466"/>
      <c r="L20" s="2466"/>
      <c r="M20" s="359"/>
      <c r="N20" s="359"/>
      <c r="O20" s="359"/>
      <c r="P20" s="359"/>
      <c r="Q20" s="359"/>
      <c r="R20" s="359"/>
      <c r="S20" s="359"/>
    </row>
    <row r="21" spans="2:19" ht="26.4" x14ac:dyDescent="0.25">
      <c r="B21" s="2477" t="s">
        <v>3246</v>
      </c>
      <c r="C21" s="2465"/>
      <c r="D21" s="2466"/>
      <c r="E21" s="2471" t="s">
        <v>3247</v>
      </c>
      <c r="F21" s="3809">
        <f>SUM(G21:L21)</f>
        <v>505.62936521739135</v>
      </c>
      <c r="G21" s="2475">
        <v>23.529433333333333</v>
      </c>
      <c r="H21" s="2466"/>
      <c r="I21" s="2466"/>
      <c r="J21" s="2475">
        <v>18.977015217391322</v>
      </c>
      <c r="K21" s="2466"/>
      <c r="L21" s="2475">
        <v>463.1229166666667</v>
      </c>
      <c r="M21" s="350"/>
      <c r="N21" s="359"/>
      <c r="O21" s="359"/>
      <c r="P21" s="359"/>
      <c r="Q21" s="359"/>
      <c r="R21" s="359"/>
      <c r="S21" s="359"/>
    </row>
    <row r="22" spans="2:19" x14ac:dyDescent="0.25">
      <c r="B22" s="2465" t="s">
        <v>878</v>
      </c>
      <c r="C22" s="2465"/>
      <c r="D22" s="2466"/>
      <c r="E22" s="2466" t="s">
        <v>876</v>
      </c>
      <c r="F22" s="2479">
        <v>50</v>
      </c>
      <c r="G22" s="2476">
        <v>3</v>
      </c>
      <c r="H22" s="2476"/>
      <c r="I22" s="2476"/>
      <c r="J22" s="2476">
        <v>47</v>
      </c>
      <c r="K22" s="2476"/>
      <c r="L22" s="2476">
        <v>2</v>
      </c>
      <c r="M22" s="359"/>
      <c r="N22" s="359"/>
      <c r="O22" s="359"/>
      <c r="P22" s="359"/>
      <c r="Q22" s="359"/>
      <c r="R22" s="359"/>
      <c r="S22" s="359"/>
    </row>
    <row r="23" spans="2:19" x14ac:dyDescent="0.25">
      <c r="B23" s="2470" t="s">
        <v>885</v>
      </c>
      <c r="C23" s="2477"/>
      <c r="D23" s="2477"/>
      <c r="E23" s="2471" t="s">
        <v>447</v>
      </c>
      <c r="F23" s="2480">
        <v>22665.046182608708</v>
      </c>
      <c r="G23" s="2480">
        <v>847.05960000000005</v>
      </c>
      <c r="H23" s="2480">
        <v>0</v>
      </c>
      <c r="I23" s="2480">
        <v>0</v>
      </c>
      <c r="J23" s="2480">
        <v>10703.036582608707</v>
      </c>
      <c r="K23" s="2480">
        <v>0</v>
      </c>
      <c r="L23" s="2470">
        <v>11114.95</v>
      </c>
      <c r="M23" s="350"/>
      <c r="N23" s="350"/>
      <c r="O23" s="350"/>
      <c r="P23" s="350"/>
      <c r="Q23" s="350"/>
      <c r="R23" s="350"/>
      <c r="S23" s="350"/>
    </row>
    <row r="24" spans="2:19" x14ac:dyDescent="0.25">
      <c r="B24" s="2464" t="s">
        <v>886</v>
      </c>
      <c r="C24" s="2465" t="s">
        <v>887</v>
      </c>
      <c r="D24" s="2466">
        <v>68210033</v>
      </c>
      <c r="E24" s="2466" t="s">
        <v>876</v>
      </c>
      <c r="F24" s="2466">
        <v>2</v>
      </c>
      <c r="G24" s="2466">
        <v>2</v>
      </c>
      <c r="H24" s="2466"/>
      <c r="I24" s="2466"/>
      <c r="J24" s="2466"/>
      <c r="K24" s="2466"/>
      <c r="L24" s="2466"/>
      <c r="M24" s="359"/>
      <c r="N24" s="359"/>
      <c r="O24" s="359"/>
      <c r="P24" s="359"/>
      <c r="Q24" s="359"/>
      <c r="R24" s="359"/>
      <c r="S24" s="359"/>
    </row>
    <row r="25" spans="2:19" x14ac:dyDescent="0.25">
      <c r="B25" s="2464" t="s">
        <v>905</v>
      </c>
      <c r="C25" s="2465"/>
      <c r="D25" s="2466"/>
      <c r="E25" s="2466" t="s">
        <v>876</v>
      </c>
      <c r="F25" s="2466">
        <v>1</v>
      </c>
      <c r="G25" s="2466"/>
      <c r="H25" s="2466"/>
      <c r="I25" s="2466"/>
      <c r="J25" s="2466"/>
      <c r="K25" s="2466"/>
      <c r="L25" s="2466">
        <v>1</v>
      </c>
      <c r="M25" s="359"/>
      <c r="N25" s="359"/>
      <c r="O25" s="359"/>
      <c r="P25" s="359"/>
      <c r="Q25" s="359"/>
      <c r="R25" s="359"/>
      <c r="S25" s="359"/>
    </row>
    <row r="26" spans="2:19" x14ac:dyDescent="0.25">
      <c r="B26" s="2464" t="s">
        <v>888</v>
      </c>
      <c r="C26" s="2465"/>
      <c r="D26" s="2466"/>
      <c r="E26" s="2466" t="s">
        <v>876</v>
      </c>
      <c r="F26" s="2466">
        <v>1</v>
      </c>
      <c r="G26" s="2466"/>
      <c r="H26" s="2466"/>
      <c r="I26" s="2466"/>
      <c r="J26" s="2466"/>
      <c r="K26" s="2466"/>
      <c r="L26" s="2466"/>
      <c r="M26" s="359"/>
      <c r="N26" s="359"/>
      <c r="O26" s="359"/>
      <c r="P26" s="359"/>
      <c r="Q26" s="359"/>
      <c r="R26" s="359"/>
      <c r="S26" s="359"/>
    </row>
    <row r="27" spans="2:19" ht="12" customHeight="1" x14ac:dyDescent="0.25">
      <c r="B27" s="2464" t="s">
        <v>3685</v>
      </c>
      <c r="C27" s="2464"/>
      <c r="D27" s="2466"/>
      <c r="E27" s="2466" t="s">
        <v>876</v>
      </c>
      <c r="F27" s="2466">
        <v>1</v>
      </c>
      <c r="G27" s="2466"/>
      <c r="H27" s="2466"/>
      <c r="I27" s="2466"/>
      <c r="J27" s="2466"/>
      <c r="K27" s="2466">
        <v>2</v>
      </c>
      <c r="L27" s="2466"/>
      <c r="M27" s="359"/>
      <c r="N27" s="359"/>
      <c r="O27" s="359"/>
      <c r="P27" s="359"/>
      <c r="Q27" s="359"/>
      <c r="R27" s="359"/>
      <c r="S27" s="359"/>
    </row>
    <row r="28" spans="2:19" x14ac:dyDescent="0.25">
      <c r="B28" s="2464" t="s">
        <v>889</v>
      </c>
      <c r="C28" s="2464"/>
      <c r="D28" s="2466"/>
      <c r="E28" s="2466" t="s">
        <v>876</v>
      </c>
      <c r="F28" s="2466">
        <v>1</v>
      </c>
      <c r="G28" s="2466"/>
      <c r="H28" s="2466"/>
      <c r="I28" s="2466"/>
      <c r="J28" s="2466">
        <v>1</v>
      </c>
      <c r="K28" s="2466"/>
      <c r="L28" s="2466"/>
      <c r="M28" s="359"/>
      <c r="N28" s="359"/>
      <c r="O28" s="359"/>
      <c r="P28" s="359"/>
      <c r="Q28" s="359"/>
      <c r="R28" s="359"/>
      <c r="S28" s="359"/>
    </row>
    <row r="29" spans="2:19" x14ac:dyDescent="0.25">
      <c r="B29" s="2464" t="s">
        <v>874</v>
      </c>
      <c r="C29" s="2464"/>
      <c r="D29" s="2466"/>
      <c r="E29" s="2466" t="s">
        <v>876</v>
      </c>
      <c r="F29" s="2466">
        <v>1</v>
      </c>
      <c r="G29" s="2466"/>
      <c r="H29" s="2466"/>
      <c r="I29" s="2466"/>
      <c r="J29" s="2466"/>
      <c r="K29" s="2466"/>
      <c r="L29" s="2466">
        <v>1</v>
      </c>
      <c r="M29" s="359"/>
      <c r="N29" s="359"/>
      <c r="O29" s="359"/>
      <c r="P29" s="359"/>
      <c r="Q29" s="359"/>
      <c r="R29" s="359"/>
      <c r="S29" s="359"/>
    </row>
    <row r="30" spans="2:19" x14ac:dyDescent="0.25">
      <c r="B30" s="2464" t="s">
        <v>890</v>
      </c>
      <c r="C30" s="2464"/>
      <c r="D30" s="2466"/>
      <c r="E30" s="2466" t="s">
        <v>876</v>
      </c>
      <c r="F30" s="2466">
        <v>2</v>
      </c>
      <c r="G30" s="2466"/>
      <c r="H30" s="2466">
        <v>2</v>
      </c>
      <c r="I30" s="2466"/>
      <c r="J30" s="2466"/>
      <c r="K30" s="2466"/>
      <c r="L30" s="2466"/>
      <c r="M30" s="359"/>
      <c r="N30" s="359"/>
      <c r="O30" s="359"/>
      <c r="P30" s="359"/>
      <c r="Q30" s="359"/>
      <c r="R30" s="359"/>
      <c r="S30" s="359"/>
    </row>
    <row r="31" spans="2:19" x14ac:dyDescent="0.25">
      <c r="B31" s="2464" t="s">
        <v>891</v>
      </c>
      <c r="C31" s="2464"/>
      <c r="D31" s="2466"/>
      <c r="E31" s="2466" t="s">
        <v>876</v>
      </c>
      <c r="F31" s="2466">
        <v>1</v>
      </c>
      <c r="G31" s="2466"/>
      <c r="H31" s="2466"/>
      <c r="I31" s="2466"/>
      <c r="J31" s="2466"/>
      <c r="K31" s="2466">
        <v>1</v>
      </c>
      <c r="L31" s="2466"/>
      <c r="M31" s="359"/>
      <c r="N31" s="359"/>
      <c r="O31" s="359"/>
      <c r="P31" s="359"/>
      <c r="Q31" s="359"/>
      <c r="R31" s="359"/>
      <c r="S31" s="359"/>
    </row>
    <row r="32" spans="2:19" x14ac:dyDescent="0.25">
      <c r="B32" s="2464" t="s">
        <v>424</v>
      </c>
      <c r="C32" s="2464"/>
      <c r="D32" s="2466"/>
      <c r="E32" s="2466" t="s">
        <v>876</v>
      </c>
      <c r="F32" s="2466">
        <v>1</v>
      </c>
      <c r="G32" s="2466"/>
      <c r="H32" s="2466"/>
      <c r="I32" s="2466"/>
      <c r="J32" s="2466"/>
      <c r="K32" s="2466"/>
      <c r="L32" s="2466">
        <v>1</v>
      </c>
      <c r="M32" s="359"/>
      <c r="N32" s="359"/>
      <c r="O32" s="359"/>
      <c r="P32" s="359"/>
      <c r="Q32" s="359"/>
      <c r="R32" s="359"/>
      <c r="S32" s="359"/>
    </row>
    <row r="33" spans="2:21" x14ac:dyDescent="0.25">
      <c r="B33" s="2464" t="s">
        <v>892</v>
      </c>
      <c r="C33" s="2464"/>
      <c r="D33" s="2466"/>
      <c r="E33" s="2466" t="s">
        <v>876</v>
      </c>
      <c r="F33" s="2466">
        <v>1</v>
      </c>
      <c r="G33" s="2466"/>
      <c r="H33" s="2466"/>
      <c r="I33" s="2466"/>
      <c r="J33" s="2466">
        <v>1</v>
      </c>
      <c r="K33" s="2466"/>
      <c r="L33" s="2466"/>
      <c r="M33" s="359"/>
      <c r="N33" s="359"/>
      <c r="O33" s="359"/>
      <c r="P33" s="359"/>
      <c r="Q33" s="359"/>
      <c r="R33" s="359"/>
      <c r="S33" s="359"/>
    </row>
    <row r="34" spans="2:21" x14ac:dyDescent="0.25">
      <c r="B34" s="2464" t="s">
        <v>436</v>
      </c>
      <c r="C34" s="2464"/>
      <c r="D34" s="2466"/>
      <c r="E34" s="2466" t="s">
        <v>876</v>
      </c>
      <c r="F34" s="2466">
        <v>1</v>
      </c>
      <c r="G34" s="2466"/>
      <c r="H34" s="2466"/>
      <c r="I34" s="2466"/>
      <c r="J34" s="2466"/>
      <c r="K34" s="2466"/>
      <c r="L34" s="2466">
        <v>1</v>
      </c>
      <c r="M34" s="359"/>
      <c r="N34" s="359"/>
      <c r="O34" s="359"/>
      <c r="P34" s="359"/>
      <c r="Q34" s="359"/>
      <c r="R34" s="359"/>
      <c r="S34" s="359"/>
    </row>
    <row r="35" spans="2:21" x14ac:dyDescent="0.25">
      <c r="B35" s="2464" t="s">
        <v>893</v>
      </c>
      <c r="C35" s="2464"/>
      <c r="D35" s="2466"/>
      <c r="E35" s="2466" t="s">
        <v>876</v>
      </c>
      <c r="F35" s="2466">
        <v>2</v>
      </c>
      <c r="G35" s="2466"/>
      <c r="H35" s="2466"/>
      <c r="I35" s="2466"/>
      <c r="J35" s="2466"/>
      <c r="K35" s="2466"/>
      <c r="L35" s="2466">
        <v>2</v>
      </c>
      <c r="M35" s="359"/>
      <c r="N35" s="359"/>
      <c r="O35" s="359"/>
      <c r="P35" s="359"/>
      <c r="Q35" s="359"/>
      <c r="R35" s="359"/>
      <c r="S35" s="359"/>
    </row>
    <row r="36" spans="2:21" x14ac:dyDescent="0.25">
      <c r="B36" s="2464" t="s">
        <v>894</v>
      </c>
      <c r="C36" s="2464"/>
      <c r="D36" s="2466"/>
      <c r="E36" s="2466" t="s">
        <v>876</v>
      </c>
      <c r="F36" s="2466">
        <v>1</v>
      </c>
      <c r="G36" s="2466"/>
      <c r="H36" s="2466"/>
      <c r="I36" s="2466"/>
      <c r="J36" s="2466"/>
      <c r="K36" s="2466"/>
      <c r="L36" s="2466">
        <v>1</v>
      </c>
      <c r="M36" s="359"/>
      <c r="N36" s="359"/>
      <c r="O36" s="359"/>
      <c r="P36" s="359"/>
      <c r="Q36" s="359"/>
      <c r="R36" s="359"/>
      <c r="S36" s="359"/>
    </row>
    <row r="37" spans="2:21" x14ac:dyDescent="0.25">
      <c r="B37" s="2464" t="s">
        <v>895</v>
      </c>
      <c r="C37" s="2464"/>
      <c r="D37" s="2466"/>
      <c r="E37" s="2466" t="s">
        <v>876</v>
      </c>
      <c r="F37" s="2466">
        <v>1</v>
      </c>
      <c r="G37" s="2466"/>
      <c r="H37" s="2466"/>
      <c r="I37" s="2466"/>
      <c r="J37" s="2466"/>
      <c r="K37" s="2466"/>
      <c r="L37" s="2466">
        <v>1</v>
      </c>
      <c r="M37" s="359"/>
      <c r="N37" s="359"/>
      <c r="O37" s="359"/>
      <c r="P37" s="359"/>
      <c r="Q37" s="359"/>
      <c r="R37" s="359"/>
      <c r="S37" s="359"/>
    </row>
    <row r="38" spans="2:21" x14ac:dyDescent="0.25">
      <c r="B38" s="2464" t="s">
        <v>3249</v>
      </c>
      <c r="C38" s="2464"/>
      <c r="D38" s="2466"/>
      <c r="E38" s="2466" t="s">
        <v>876</v>
      </c>
      <c r="F38" s="2466">
        <v>1</v>
      </c>
      <c r="G38" s="2466"/>
      <c r="H38" s="2466"/>
      <c r="I38" s="2466">
        <v>1</v>
      </c>
      <c r="J38" s="2466"/>
      <c r="K38" s="2466"/>
      <c r="L38" s="2466"/>
      <c r="M38" s="359"/>
      <c r="N38" s="359"/>
      <c r="O38" s="359"/>
      <c r="P38" s="359"/>
      <c r="Q38" s="359"/>
      <c r="R38" s="359"/>
      <c r="S38" s="359"/>
    </row>
    <row r="39" spans="2:21" x14ac:dyDescent="0.25">
      <c r="B39" s="2464" t="s">
        <v>3250</v>
      </c>
      <c r="C39" s="2464"/>
      <c r="D39" s="2466"/>
      <c r="E39" s="2466" t="s">
        <v>876</v>
      </c>
      <c r="F39" s="2466">
        <v>2</v>
      </c>
      <c r="G39" s="2466"/>
      <c r="H39" s="2466">
        <v>2</v>
      </c>
      <c r="I39" s="2466"/>
      <c r="J39" s="2466"/>
      <c r="K39" s="2466"/>
      <c r="L39" s="2466"/>
      <c r="M39" s="359"/>
      <c r="N39" s="359"/>
      <c r="O39" s="359"/>
      <c r="P39" s="359"/>
      <c r="Q39" s="359"/>
      <c r="R39" s="359"/>
      <c r="S39" s="359"/>
    </row>
    <row r="40" spans="2:21" x14ac:dyDescent="0.25">
      <c r="B40" s="2465" t="s">
        <v>878</v>
      </c>
      <c r="C40" s="2464"/>
      <c r="D40" s="2466"/>
      <c r="E40" s="2466" t="s">
        <v>876</v>
      </c>
      <c r="F40" s="2476">
        <f>SUM(G40:L40)</f>
        <v>20</v>
      </c>
      <c r="G40" s="2476">
        <f t="shared" ref="G40:L40" si="1">SUM(G24:G39)</f>
        <v>2</v>
      </c>
      <c r="H40" s="2476">
        <f t="shared" si="1"/>
        <v>4</v>
      </c>
      <c r="I40" s="2476">
        <f t="shared" si="1"/>
        <v>1</v>
      </c>
      <c r="J40" s="2476">
        <f t="shared" si="1"/>
        <v>2</v>
      </c>
      <c r="K40" s="2476">
        <f t="shared" si="1"/>
        <v>3</v>
      </c>
      <c r="L40" s="2476">
        <f t="shared" si="1"/>
        <v>8</v>
      </c>
      <c r="M40" s="350"/>
      <c r="N40" s="350"/>
      <c r="O40" s="350"/>
      <c r="P40" s="350"/>
      <c r="Q40" s="350"/>
      <c r="R40" s="350"/>
      <c r="S40" s="350"/>
    </row>
    <row r="41" spans="2:21" ht="27" thickBot="1" x14ac:dyDescent="0.3">
      <c r="B41" s="2470" t="s">
        <v>3246</v>
      </c>
      <c r="C41" s="2464"/>
      <c r="D41" s="2466"/>
      <c r="E41" s="2471" t="s">
        <v>3247</v>
      </c>
      <c r="F41" s="3810">
        <f>115+0.83</f>
        <v>115.83</v>
      </c>
      <c r="G41" s="3810">
        <f t="shared" ref="G41:L41" si="2">115+0.83</f>
        <v>115.83</v>
      </c>
      <c r="H41" s="3810">
        <f t="shared" si="2"/>
        <v>115.83</v>
      </c>
      <c r="I41" s="3810">
        <f t="shared" si="2"/>
        <v>115.83</v>
      </c>
      <c r="J41" s="3810">
        <f t="shared" si="2"/>
        <v>115.83</v>
      </c>
      <c r="K41" s="3810">
        <f t="shared" si="2"/>
        <v>115.83</v>
      </c>
      <c r="L41" s="3810">
        <f t="shared" si="2"/>
        <v>115.83</v>
      </c>
      <c r="M41" s="2483"/>
      <c r="N41" s="359"/>
      <c r="O41" s="359"/>
      <c r="P41" s="359"/>
      <c r="Q41" s="359"/>
      <c r="R41" s="359"/>
      <c r="S41" s="359"/>
    </row>
    <row r="42" spans="2:21" x14ac:dyDescent="0.25">
      <c r="B42" s="2470" t="s">
        <v>879</v>
      </c>
      <c r="C42" s="2464"/>
      <c r="D42" s="2466"/>
      <c r="E42" s="2471" t="s">
        <v>447</v>
      </c>
      <c r="F42" s="3811">
        <f>SUM(G42:L42)</f>
        <v>27799.200000000001</v>
      </c>
      <c r="G42" s="3812">
        <f t="shared" ref="G42:L42" si="3">(G40*G41)*12</f>
        <v>2779.92</v>
      </c>
      <c r="H42" s="3812">
        <f t="shared" si="3"/>
        <v>5559.84</v>
      </c>
      <c r="I42" s="3812">
        <f t="shared" si="3"/>
        <v>1389.96</v>
      </c>
      <c r="J42" s="3812">
        <f t="shared" si="3"/>
        <v>2779.92</v>
      </c>
      <c r="K42" s="3812">
        <f t="shared" si="3"/>
        <v>4169.88</v>
      </c>
      <c r="L42" s="3812">
        <f t="shared" si="3"/>
        <v>11119.68</v>
      </c>
      <c r="M42" s="2483">
        <f>F41*F40*12</f>
        <v>27799.199999999997</v>
      </c>
      <c r="N42" s="2483"/>
      <c r="O42" s="2483"/>
      <c r="P42" s="2483"/>
      <c r="Q42" s="2483"/>
      <c r="R42" s="2483"/>
      <c r="S42" s="2483"/>
      <c r="T42" s="2483"/>
      <c r="U42" s="2483"/>
    </row>
    <row r="43" spans="2:21" x14ac:dyDescent="0.25">
      <c r="B43" s="2470" t="s">
        <v>896</v>
      </c>
      <c r="C43" s="2464"/>
      <c r="D43" s="2466"/>
      <c r="E43" s="2471" t="s">
        <v>447</v>
      </c>
      <c r="F43" s="3810">
        <f>SUM(G43:L43)</f>
        <v>333.09000000000003</v>
      </c>
      <c r="G43" s="3813">
        <v>59.379999999999995</v>
      </c>
      <c r="H43" s="3814">
        <v>1.06</v>
      </c>
      <c r="I43" s="3814">
        <v>16.91</v>
      </c>
      <c r="J43" s="3814">
        <v>0</v>
      </c>
      <c r="K43" s="3814">
        <v>48.150000000000006</v>
      </c>
      <c r="L43" s="3815">
        <v>207.59</v>
      </c>
      <c r="M43" s="2483"/>
      <c r="N43" s="2483"/>
      <c r="O43" s="2483"/>
      <c r="P43" s="2483"/>
      <c r="Q43" s="2483"/>
      <c r="R43" s="2483"/>
      <c r="S43" s="2483"/>
    </row>
    <row r="44" spans="2:21" ht="13.8" thickBot="1" x14ac:dyDescent="0.3">
      <c r="B44" s="2470" t="s">
        <v>897</v>
      </c>
      <c r="C44" s="2464"/>
      <c r="D44" s="2466"/>
      <c r="E44" s="2471" t="s">
        <v>447</v>
      </c>
      <c r="F44" s="3810">
        <f>SUM(G44:L44)</f>
        <v>39.96</v>
      </c>
      <c r="G44" s="3813"/>
      <c r="H44" s="3814"/>
      <c r="I44" s="3814"/>
      <c r="J44" s="3814"/>
      <c r="K44" s="3814"/>
      <c r="L44" s="3815">
        <f>3.33*12</f>
        <v>39.96</v>
      </c>
      <c r="M44" s="2483"/>
      <c r="N44" s="2483"/>
      <c r="O44" s="2483"/>
      <c r="P44" s="2483"/>
      <c r="Q44" s="2483"/>
      <c r="R44" s="2483"/>
      <c r="S44" s="2483"/>
    </row>
    <row r="45" spans="2:21" ht="13.95" customHeight="1" thickBot="1" x14ac:dyDescent="0.3">
      <c r="B45" s="2470" t="s">
        <v>898</v>
      </c>
      <c r="C45" s="2477"/>
      <c r="D45" s="2468"/>
      <c r="E45" s="2471" t="s">
        <v>447</v>
      </c>
      <c r="F45" s="3845">
        <f>SUM(G45:L45)</f>
        <v>28172.25</v>
      </c>
      <c r="G45" s="3846">
        <f>G42+G43</f>
        <v>2839.3</v>
      </c>
      <c r="H45" s="3808">
        <f>H42+H43</f>
        <v>5560.9000000000005</v>
      </c>
      <c r="I45" s="3808">
        <f>I42+I43</f>
        <v>1406.8700000000001</v>
      </c>
      <c r="J45" s="3808">
        <f>J42+J43</f>
        <v>2779.92</v>
      </c>
      <c r="K45" s="3808">
        <f>K42+K43</f>
        <v>4218.03</v>
      </c>
      <c r="L45" s="3847">
        <f>L42+L43+L44</f>
        <v>11367.23</v>
      </c>
      <c r="M45" s="2483"/>
      <c r="N45" s="351"/>
      <c r="O45" s="351"/>
      <c r="P45" s="351"/>
      <c r="Q45" s="351"/>
      <c r="R45" s="351"/>
      <c r="S45" s="351"/>
    </row>
    <row r="46" spans="2:21" x14ac:dyDescent="0.25">
      <c r="B46" s="3816" t="s">
        <v>899</v>
      </c>
      <c r="C46" s="3817" t="s">
        <v>900</v>
      </c>
      <c r="D46" s="3818">
        <v>886958</v>
      </c>
      <c r="E46" s="3819" t="s">
        <v>876</v>
      </c>
      <c r="F46" s="3820">
        <v>20</v>
      </c>
      <c r="G46" s="3821">
        <v>1</v>
      </c>
      <c r="H46" s="3822">
        <f>16+2</f>
        <v>18</v>
      </c>
      <c r="I46" s="3823"/>
      <c r="J46" s="3823"/>
      <c r="K46" s="3823"/>
      <c r="L46" s="3824">
        <v>1</v>
      </c>
      <c r="M46" s="351"/>
      <c r="N46" s="351"/>
      <c r="O46" s="351"/>
      <c r="P46" s="351"/>
      <c r="Q46" s="351"/>
      <c r="R46" s="351"/>
      <c r="S46" s="351"/>
    </row>
    <row r="47" spans="2:21" ht="39.6" x14ac:dyDescent="0.25">
      <c r="B47" s="3825" t="s">
        <v>3251</v>
      </c>
      <c r="C47" s="3826"/>
      <c r="D47" s="3827" t="s">
        <v>3252</v>
      </c>
      <c r="E47" s="3828" t="s">
        <v>447</v>
      </c>
      <c r="F47" s="3829">
        <f>H47</f>
        <v>3000</v>
      </c>
      <c r="G47" s="3830"/>
      <c r="H47" s="3831">
        <f>1500*2</f>
        <v>3000</v>
      </c>
      <c r="I47" s="3831"/>
      <c r="J47" s="3831"/>
      <c r="K47" s="3831"/>
      <c r="L47" s="3832"/>
      <c r="M47" s="2483"/>
      <c r="N47" s="351"/>
      <c r="O47" s="351"/>
      <c r="P47" s="351"/>
      <c r="Q47" s="351"/>
      <c r="R47" s="351"/>
      <c r="S47" s="351"/>
    </row>
    <row r="48" spans="2:21" ht="27" thickBot="1" x14ac:dyDescent="0.3">
      <c r="B48" s="3833" t="s">
        <v>3253</v>
      </c>
      <c r="C48" s="3834"/>
      <c r="D48" s="3835"/>
      <c r="E48" s="3836" t="s">
        <v>3254</v>
      </c>
      <c r="F48" s="3837">
        <f>G48+L48+H48</f>
        <v>624.16999999999996</v>
      </c>
      <c r="G48" s="3838">
        <v>260</v>
      </c>
      <c r="H48" s="3839">
        <v>104.17</v>
      </c>
      <c r="I48" s="3839"/>
      <c r="J48" s="3839"/>
      <c r="K48" s="3839"/>
      <c r="L48" s="3840">
        <v>260</v>
      </c>
      <c r="M48" s="2483"/>
      <c r="N48" s="351"/>
      <c r="O48" s="351"/>
      <c r="P48" s="351"/>
      <c r="Q48" s="351"/>
      <c r="R48" s="351"/>
      <c r="S48" s="351"/>
    </row>
    <row r="49" spans="1:21" ht="13.8" thickBot="1" x14ac:dyDescent="0.3">
      <c r="B49" s="3841" t="s">
        <v>3684</v>
      </c>
      <c r="C49" s="3842"/>
      <c r="D49" s="3843"/>
      <c r="E49" s="3844" t="s">
        <v>447</v>
      </c>
      <c r="F49" s="3845">
        <f>SUM(G49:L49)</f>
        <v>31740.720000000001</v>
      </c>
      <c r="G49" s="3846">
        <f>G46*G48*12</f>
        <v>3120</v>
      </c>
      <c r="H49" s="3808">
        <f>H46*H48*12+H47</f>
        <v>25500.720000000001</v>
      </c>
      <c r="I49" s="3808">
        <v>0</v>
      </c>
      <c r="J49" s="3808">
        <v>0</v>
      </c>
      <c r="K49" s="3808">
        <v>0</v>
      </c>
      <c r="L49" s="3847">
        <f>L46*L48*12</f>
        <v>3120</v>
      </c>
      <c r="M49" s="2483"/>
      <c r="N49" s="351"/>
      <c r="O49" s="351"/>
      <c r="P49" s="351"/>
      <c r="Q49" s="351"/>
      <c r="R49" s="351"/>
      <c r="S49" s="351"/>
    </row>
    <row r="50" spans="1:21" x14ac:dyDescent="0.25">
      <c r="B50" s="2488"/>
      <c r="C50" s="359"/>
      <c r="D50" s="359"/>
      <c r="E50" s="2489"/>
      <c r="F50" s="2483"/>
      <c r="G50" s="2483"/>
      <c r="H50" s="2507"/>
      <c r="I50" s="2483"/>
      <c r="J50" s="2483"/>
      <c r="K50" s="2483"/>
      <c r="L50" s="2483"/>
      <c r="M50" s="2483"/>
      <c r="N50" s="351"/>
      <c r="O50" s="351"/>
      <c r="P50" s="351"/>
      <c r="Q50" s="351"/>
      <c r="R50" s="351"/>
      <c r="S50" s="351"/>
    </row>
    <row r="51" spans="1:21" s="362" customFormat="1" ht="15.6" x14ac:dyDescent="0.3">
      <c r="A51" s="1512"/>
      <c r="B51" s="5531" t="str">
        <f>'Вхідні дані'!B13</f>
        <v>Директор підприємства</v>
      </c>
      <c r="C51" s="5531"/>
      <c r="D51" s="5532" t="s">
        <v>370</v>
      </c>
      <c r="E51" s="5532"/>
      <c r="F51" s="5532"/>
      <c r="G51" s="5532"/>
      <c r="H51" s="5520" t="str">
        <f>'Вхідні дані'!$F$13</f>
        <v>Анатолій ПАНШИН</v>
      </c>
      <c r="I51" s="5520"/>
      <c r="J51" s="5520"/>
      <c r="L51" s="367"/>
      <c r="M51" s="367"/>
      <c r="N51" s="5535"/>
      <c r="O51" s="5535"/>
      <c r="P51" s="5535"/>
    </row>
    <row r="52" spans="1:21" s="362" customFormat="1" ht="13.8" x14ac:dyDescent="0.3">
      <c r="B52" s="369"/>
      <c r="C52" s="370"/>
      <c r="D52" s="5536" t="s">
        <v>209</v>
      </c>
      <c r="E52" s="5536"/>
      <c r="F52" s="5536"/>
      <c r="G52" s="5536"/>
      <c r="H52" s="5522" t="s">
        <v>1985</v>
      </c>
      <c r="I52" s="5522"/>
      <c r="J52" s="5522"/>
      <c r="L52" s="367"/>
      <c r="M52" s="367"/>
      <c r="N52" s="5521"/>
      <c r="O52" s="5521"/>
      <c r="P52" s="5521"/>
    </row>
    <row r="53" spans="1:21" ht="15.6" x14ac:dyDescent="0.25">
      <c r="B53" s="5531" t="str">
        <f>'Вхідні дані'!$B$15</f>
        <v>Заступник директора з економіки</v>
      </c>
      <c r="C53" s="5531"/>
      <c r="D53" s="5532" t="s">
        <v>370</v>
      </c>
      <c r="E53" s="5532"/>
      <c r="F53" s="5532"/>
      <c r="G53" s="5532"/>
      <c r="H53" s="5520" t="str">
        <f>'Вхідні дані'!$F$15</f>
        <v>Олена ЛАВРОВА</v>
      </c>
      <c r="I53" s="5520"/>
      <c r="J53" s="5520"/>
      <c r="K53" s="2483"/>
      <c r="L53" s="2483"/>
      <c r="M53" s="2485"/>
      <c r="N53" s="2483"/>
      <c r="O53" s="2483"/>
      <c r="P53" s="2483"/>
      <c r="Q53" s="2483"/>
      <c r="R53" s="2483"/>
      <c r="S53" s="2485"/>
    </row>
    <row r="54" spans="1:21" ht="13.8" x14ac:dyDescent="0.25">
      <c r="B54" s="2491"/>
      <c r="C54" s="359"/>
      <c r="D54" s="5536" t="s">
        <v>209</v>
      </c>
      <c r="E54" s="5536"/>
      <c r="F54" s="5536"/>
      <c r="G54" s="5536"/>
      <c r="H54" s="5522" t="s">
        <v>1985</v>
      </c>
      <c r="I54" s="5522"/>
      <c r="J54" s="5522"/>
      <c r="K54" s="2483"/>
      <c r="L54" s="2483"/>
      <c r="M54" s="2483"/>
      <c r="N54" s="2483"/>
      <c r="O54" s="2483"/>
      <c r="P54" s="2483"/>
      <c r="Q54" s="2483"/>
      <c r="R54" s="2483"/>
      <c r="S54" s="2483"/>
    </row>
    <row r="55" spans="1:21" x14ac:dyDescent="0.25">
      <c r="B55" s="347" t="s">
        <v>901</v>
      </c>
      <c r="C55" s="359"/>
      <c r="D55" s="347"/>
      <c r="E55" s="347"/>
      <c r="F55" s="349"/>
      <c r="G55" s="349"/>
      <c r="H55" s="349"/>
      <c r="I55" s="349"/>
      <c r="J55" s="349"/>
      <c r="K55" s="349"/>
      <c r="L55" s="349"/>
      <c r="M55" s="349"/>
      <c r="N55" s="349"/>
      <c r="O55" s="349"/>
      <c r="P55" s="349"/>
      <c r="Q55" s="349"/>
      <c r="R55" s="349"/>
      <c r="S55" s="349"/>
      <c r="T55" s="349"/>
      <c r="U55" s="349"/>
    </row>
    <row r="56" spans="1:21" x14ac:dyDescent="0.25">
      <c r="B56" s="347"/>
      <c r="C56" s="359"/>
      <c r="D56" s="347"/>
      <c r="E56" s="347"/>
      <c r="F56" s="347"/>
      <c r="G56" s="347"/>
      <c r="H56" s="347"/>
      <c r="I56" s="347"/>
      <c r="J56" s="347"/>
      <c r="K56" s="347"/>
      <c r="L56" s="347"/>
      <c r="M56" s="347"/>
      <c r="N56" s="347"/>
      <c r="O56" s="347"/>
      <c r="P56" s="347"/>
      <c r="Q56" s="347"/>
      <c r="R56" s="347"/>
      <c r="S56" s="347"/>
    </row>
    <row r="57" spans="1:21" x14ac:dyDescent="0.25">
      <c r="B57" s="347"/>
      <c r="C57" s="359"/>
      <c r="D57" s="347"/>
      <c r="E57" s="347"/>
      <c r="F57" s="2508">
        <f>F13+F16+F23+F42+F43+F44+F49</f>
        <v>118901.5061826087</v>
      </c>
      <c r="G57" s="349"/>
      <c r="H57" s="349"/>
      <c r="I57" s="349"/>
      <c r="J57" s="349"/>
      <c r="K57" s="349"/>
      <c r="L57" s="349"/>
      <c r="M57" s="349"/>
      <c r="N57" s="347"/>
      <c r="O57" s="347"/>
      <c r="P57" s="347"/>
      <c r="Q57" s="347"/>
      <c r="R57" s="347"/>
      <c r="S57" s="347"/>
    </row>
    <row r="58" spans="1:21" x14ac:dyDescent="0.25">
      <c r="B58" s="347"/>
      <c r="C58" s="359"/>
      <c r="D58" s="347"/>
      <c r="E58" s="347"/>
      <c r="F58" s="349"/>
      <c r="G58" s="349"/>
      <c r="H58" s="349"/>
      <c r="I58" s="349"/>
      <c r="J58" s="349"/>
      <c r="K58" s="349"/>
      <c r="L58" s="349"/>
      <c r="M58" s="349"/>
      <c r="N58" s="349"/>
      <c r="O58" s="349"/>
      <c r="P58" s="349"/>
      <c r="Q58" s="349"/>
      <c r="R58" s="349"/>
      <c r="S58" s="349"/>
      <c r="T58" s="349"/>
      <c r="U58" s="349"/>
    </row>
    <row r="59" spans="1:21" ht="13.8" x14ac:dyDescent="0.25">
      <c r="B59" s="347"/>
      <c r="C59" s="347"/>
      <c r="D59" s="694" t="s">
        <v>979</v>
      </c>
      <c r="E59" s="347"/>
      <c r="F59" s="347"/>
      <c r="G59" s="347"/>
      <c r="H59" s="347"/>
      <c r="I59" s="347"/>
      <c r="J59" s="347"/>
      <c r="K59" s="347"/>
      <c r="L59" s="347"/>
      <c r="M59" s="347"/>
      <c r="N59" s="347"/>
      <c r="O59" s="347"/>
      <c r="P59" s="347"/>
      <c r="Q59" s="347"/>
      <c r="R59" s="347"/>
      <c r="S59" s="347"/>
    </row>
    <row r="60" spans="1:21" x14ac:dyDescent="0.25">
      <c r="B60" s="347"/>
      <c r="C60" s="347"/>
      <c r="D60" s="347"/>
      <c r="E60" s="347"/>
      <c r="F60" s="347"/>
      <c r="G60" s="347"/>
      <c r="H60" s="347"/>
      <c r="I60" s="347"/>
      <c r="J60" s="347"/>
      <c r="K60" s="347"/>
      <c r="L60" s="347"/>
      <c r="M60" s="347"/>
      <c r="N60" s="347"/>
      <c r="O60" s="347"/>
      <c r="P60" s="347"/>
      <c r="Q60" s="347"/>
      <c r="R60" s="347"/>
      <c r="S60" s="347"/>
    </row>
    <row r="61" spans="1:21" x14ac:dyDescent="0.25">
      <c r="J61" s="347"/>
      <c r="K61" s="347"/>
      <c r="L61" s="347"/>
      <c r="M61" s="347"/>
      <c r="N61" s="347"/>
      <c r="O61" s="347"/>
      <c r="P61" s="347"/>
      <c r="Q61" s="347"/>
      <c r="R61" s="347"/>
      <c r="S61" s="347"/>
    </row>
    <row r="62" spans="1:21" x14ac:dyDescent="0.25">
      <c r="J62" s="347"/>
      <c r="K62" s="347"/>
      <c r="L62" s="347"/>
      <c r="M62" s="347"/>
      <c r="N62" s="347"/>
      <c r="O62" s="347"/>
      <c r="P62" s="347"/>
      <c r="Q62" s="347"/>
      <c r="R62" s="347"/>
      <c r="S62" s="347"/>
    </row>
    <row r="63" spans="1:21" x14ac:dyDescent="0.25">
      <c r="J63" s="347"/>
      <c r="K63" s="347"/>
      <c r="L63" s="347"/>
      <c r="M63" s="347"/>
      <c r="N63" s="347"/>
      <c r="O63" s="347"/>
      <c r="P63" s="347"/>
      <c r="Q63" s="347"/>
      <c r="R63" s="347"/>
      <c r="S63" s="347"/>
    </row>
    <row r="64" spans="1:21" x14ac:dyDescent="0.25">
      <c r="J64" s="347"/>
      <c r="K64" s="347"/>
      <c r="L64" s="347"/>
      <c r="M64" s="347"/>
      <c r="N64" s="347"/>
      <c r="O64" s="347"/>
      <c r="P64" s="347"/>
      <c r="Q64" s="347"/>
      <c r="R64" s="347"/>
      <c r="S64" s="347"/>
    </row>
    <row r="65" spans="2:19" x14ac:dyDescent="0.25">
      <c r="J65" s="347"/>
      <c r="K65" s="347"/>
      <c r="L65" s="347"/>
      <c r="M65" s="347"/>
      <c r="N65" s="347"/>
      <c r="O65" s="347"/>
      <c r="P65" s="347"/>
      <c r="Q65" s="347"/>
      <c r="R65" s="347"/>
      <c r="S65" s="347"/>
    </row>
    <row r="66" spans="2:19" x14ac:dyDescent="0.25">
      <c r="J66" s="347"/>
      <c r="K66" s="347"/>
      <c r="L66" s="347"/>
      <c r="M66" s="347"/>
      <c r="N66" s="347"/>
      <c r="O66" s="347"/>
      <c r="P66" s="347"/>
      <c r="Q66" s="347"/>
      <c r="R66" s="347"/>
      <c r="S66" s="347"/>
    </row>
    <row r="67" spans="2:19" x14ac:dyDescent="0.25">
      <c r="J67" s="347"/>
      <c r="K67" s="347"/>
      <c r="L67" s="347"/>
      <c r="M67" s="347"/>
      <c r="N67" s="347"/>
      <c r="O67" s="347"/>
      <c r="P67" s="347"/>
      <c r="Q67" s="347"/>
      <c r="R67" s="347"/>
      <c r="S67" s="347"/>
    </row>
    <row r="68" spans="2:19" x14ac:dyDescent="0.25">
      <c r="J68" s="347"/>
      <c r="K68" s="347"/>
      <c r="L68" s="347"/>
      <c r="M68" s="347"/>
      <c r="N68" s="347"/>
      <c r="O68" s="347"/>
      <c r="P68" s="347"/>
      <c r="Q68" s="347"/>
      <c r="R68" s="347"/>
      <c r="S68" s="347"/>
    </row>
    <row r="69" spans="2:19" x14ac:dyDescent="0.25">
      <c r="J69" s="347"/>
      <c r="K69" s="347"/>
      <c r="L69" s="347"/>
      <c r="M69" s="347"/>
      <c r="N69" s="347"/>
      <c r="O69" s="347"/>
      <c r="P69" s="347"/>
      <c r="Q69" s="347"/>
      <c r="R69" s="347"/>
      <c r="S69" s="347"/>
    </row>
    <row r="70" spans="2:19" x14ac:dyDescent="0.25">
      <c r="J70" s="347"/>
      <c r="K70" s="347"/>
      <c r="L70" s="347"/>
      <c r="M70" s="347"/>
      <c r="N70" s="347"/>
      <c r="O70" s="347"/>
      <c r="P70" s="347"/>
      <c r="Q70" s="347"/>
      <c r="R70" s="347"/>
      <c r="S70" s="347"/>
    </row>
    <row r="71" spans="2:19" x14ac:dyDescent="0.25">
      <c r="J71" s="347"/>
      <c r="K71" s="347"/>
      <c r="L71" s="347"/>
      <c r="M71" s="347"/>
      <c r="N71" s="347"/>
      <c r="O71" s="347"/>
      <c r="P71" s="347"/>
      <c r="Q71" s="347"/>
      <c r="R71" s="347"/>
      <c r="S71" s="347"/>
    </row>
    <row r="72" spans="2:19" x14ac:dyDescent="0.25">
      <c r="J72" s="347"/>
      <c r="K72" s="347"/>
      <c r="L72" s="347"/>
      <c r="M72" s="347"/>
      <c r="N72" s="347"/>
      <c r="O72" s="347"/>
      <c r="P72" s="347"/>
      <c r="Q72" s="347"/>
      <c r="R72" s="347"/>
      <c r="S72" s="347"/>
    </row>
    <row r="73" spans="2:19" x14ac:dyDescent="0.25">
      <c r="J73" s="367"/>
      <c r="N73" s="347"/>
      <c r="O73" s="347"/>
      <c r="P73" s="347"/>
      <c r="Q73" s="347"/>
      <c r="R73" s="347"/>
      <c r="S73" s="347"/>
    </row>
    <row r="74" spans="2:19" x14ac:dyDescent="0.25">
      <c r="J74" s="367"/>
      <c r="N74" s="347"/>
      <c r="O74" s="347"/>
      <c r="P74" s="347"/>
      <c r="Q74" s="347"/>
      <c r="R74" s="347"/>
      <c r="S74" s="347"/>
    </row>
    <row r="75" spans="2:19" x14ac:dyDescent="0.25">
      <c r="B75" s="347"/>
      <c r="C75" s="359"/>
      <c r="D75" s="347"/>
      <c r="E75" s="347"/>
      <c r="F75" s="347"/>
      <c r="G75" s="347"/>
      <c r="H75" s="347"/>
      <c r="I75" s="347"/>
      <c r="J75" s="347"/>
      <c r="K75" s="347"/>
      <c r="L75" s="347"/>
      <c r="M75" s="347"/>
      <c r="N75" s="347"/>
      <c r="O75" s="347"/>
      <c r="P75" s="347"/>
      <c r="Q75" s="347"/>
      <c r="R75" s="347"/>
      <c r="S75" s="347"/>
    </row>
    <row r="76" spans="2:19" x14ac:dyDescent="0.25">
      <c r="B76" s="347"/>
      <c r="C76" s="359"/>
      <c r="D76" s="347"/>
      <c r="E76" s="347"/>
      <c r="F76" s="347"/>
      <c r="G76" s="347"/>
      <c r="H76" s="347"/>
      <c r="I76" s="347"/>
      <c r="J76" s="347"/>
      <c r="K76" s="347"/>
      <c r="L76" s="347"/>
      <c r="M76" s="347"/>
      <c r="N76" s="347"/>
      <c r="O76" s="347"/>
      <c r="P76" s="347"/>
      <c r="Q76" s="347"/>
      <c r="R76" s="347"/>
      <c r="S76" s="347"/>
    </row>
    <row r="77" spans="2:19" x14ac:dyDescent="0.25">
      <c r="B77" s="347"/>
      <c r="C77" s="359"/>
      <c r="D77" s="347"/>
      <c r="E77" s="347"/>
      <c r="F77" s="347"/>
      <c r="G77" s="347"/>
      <c r="H77" s="347"/>
      <c r="I77" s="347"/>
      <c r="J77" s="347"/>
      <c r="K77" s="347"/>
      <c r="L77" s="347"/>
      <c r="M77" s="347"/>
      <c r="N77" s="347"/>
      <c r="O77" s="347"/>
      <c r="P77" s="347"/>
      <c r="Q77" s="347"/>
      <c r="R77" s="347"/>
      <c r="S77" s="347"/>
    </row>
    <row r="78" spans="2:19" x14ac:dyDescent="0.25">
      <c r="B78" s="347"/>
      <c r="C78" s="359"/>
      <c r="D78" s="347"/>
      <c r="E78" s="347"/>
      <c r="F78" s="347"/>
      <c r="G78" s="347"/>
      <c r="H78" s="347"/>
      <c r="I78" s="347"/>
      <c r="J78" s="347"/>
      <c r="K78" s="347"/>
      <c r="L78" s="347"/>
      <c r="M78" s="347"/>
      <c r="N78" s="347"/>
      <c r="O78" s="347"/>
      <c r="P78" s="347"/>
      <c r="Q78" s="347"/>
      <c r="R78" s="347"/>
      <c r="S78" s="347"/>
    </row>
    <row r="79" spans="2:19" x14ac:dyDescent="0.25">
      <c r="B79" s="347"/>
      <c r="C79" s="359"/>
      <c r="D79" s="347"/>
      <c r="E79" s="347"/>
      <c r="F79" s="347"/>
      <c r="G79" s="347"/>
      <c r="H79" s="347"/>
      <c r="I79" s="347"/>
      <c r="J79" s="347"/>
      <c r="K79" s="347"/>
      <c r="L79" s="347"/>
      <c r="M79" s="347"/>
      <c r="N79" s="347"/>
      <c r="O79" s="347"/>
      <c r="P79" s="347"/>
      <c r="Q79" s="347"/>
      <c r="R79" s="347"/>
      <c r="S79" s="347"/>
    </row>
    <row r="80" spans="2:19" x14ac:dyDescent="0.25">
      <c r="B80" s="347"/>
      <c r="C80" s="359"/>
      <c r="D80" s="347"/>
      <c r="E80" s="347"/>
      <c r="F80" s="347"/>
      <c r="G80" s="347"/>
      <c r="H80" s="347"/>
      <c r="I80" s="347"/>
      <c r="J80" s="347"/>
      <c r="K80" s="347"/>
      <c r="L80" s="347"/>
      <c r="M80" s="347"/>
      <c r="N80" s="347"/>
      <c r="O80" s="347"/>
      <c r="P80" s="347"/>
      <c r="Q80" s="347"/>
      <c r="R80" s="347"/>
      <c r="S80" s="347"/>
    </row>
    <row r="81" spans="3:3" s="347" customFormat="1" x14ac:dyDescent="0.25">
      <c r="C81" s="359"/>
    </row>
    <row r="82" spans="3:3" s="347" customFormat="1" x14ac:dyDescent="0.25">
      <c r="C82" s="359"/>
    </row>
    <row r="83" spans="3:3" s="347" customFormat="1" x14ac:dyDescent="0.25">
      <c r="C83" s="359"/>
    </row>
    <row r="84" spans="3:3" s="347" customFormat="1" x14ac:dyDescent="0.25">
      <c r="C84" s="359"/>
    </row>
    <row r="85" spans="3:3" s="347" customFormat="1" x14ac:dyDescent="0.25">
      <c r="C85" s="359"/>
    </row>
    <row r="86" spans="3:3" s="347" customFormat="1" x14ac:dyDescent="0.25">
      <c r="C86" s="359"/>
    </row>
    <row r="87" spans="3:3" s="347" customFormat="1" x14ac:dyDescent="0.25">
      <c r="C87" s="359"/>
    </row>
    <row r="88" spans="3:3" s="347" customFormat="1" x14ac:dyDescent="0.25">
      <c r="C88" s="359"/>
    </row>
    <row r="89" spans="3:3" s="347" customFormat="1" x14ac:dyDescent="0.25">
      <c r="C89" s="359"/>
    </row>
    <row r="90" spans="3:3" s="347" customFormat="1" x14ac:dyDescent="0.25">
      <c r="C90" s="359"/>
    </row>
    <row r="91" spans="3:3" s="347" customFormat="1" x14ac:dyDescent="0.25">
      <c r="C91" s="359"/>
    </row>
    <row r="92" spans="3:3" s="347" customFormat="1" x14ac:dyDescent="0.25">
      <c r="C92" s="359"/>
    </row>
    <row r="93" spans="3:3" s="347" customFormat="1" x14ac:dyDescent="0.25">
      <c r="C93" s="359"/>
    </row>
    <row r="94" spans="3:3" s="347" customFormat="1" x14ac:dyDescent="0.25">
      <c r="C94" s="359"/>
    </row>
    <row r="95" spans="3:3" s="347" customFormat="1" x14ac:dyDescent="0.25">
      <c r="C95" s="359"/>
    </row>
    <row r="96" spans="3:3" s="347" customFormat="1" x14ac:dyDescent="0.25">
      <c r="C96" s="359"/>
    </row>
    <row r="97" spans="3:3" s="347" customFormat="1" x14ac:dyDescent="0.25">
      <c r="C97" s="359"/>
    </row>
    <row r="98" spans="3:3" s="347" customFormat="1" x14ac:dyDescent="0.25">
      <c r="C98" s="359"/>
    </row>
    <row r="99" spans="3:3" s="347" customFormat="1" x14ac:dyDescent="0.25">
      <c r="C99" s="359"/>
    </row>
    <row r="100" spans="3:3" s="347" customFormat="1" x14ac:dyDescent="0.25">
      <c r="C100" s="359"/>
    </row>
    <row r="101" spans="3:3" s="347" customFormat="1" x14ac:dyDescent="0.25">
      <c r="C101" s="359"/>
    </row>
    <row r="102" spans="3:3" s="347" customFormat="1" x14ac:dyDescent="0.25">
      <c r="C102" s="359"/>
    </row>
    <row r="103" spans="3:3" s="347" customFormat="1" x14ac:dyDescent="0.25">
      <c r="C103" s="359"/>
    </row>
    <row r="104" spans="3:3" s="347" customFormat="1" x14ac:dyDescent="0.25">
      <c r="C104" s="359"/>
    </row>
    <row r="105" spans="3:3" s="347" customFormat="1" x14ac:dyDescent="0.25">
      <c r="C105" s="359"/>
    </row>
    <row r="106" spans="3:3" s="347" customFormat="1" x14ac:dyDescent="0.25">
      <c r="C106" s="359"/>
    </row>
    <row r="107" spans="3:3" s="347" customFormat="1" x14ac:dyDescent="0.25">
      <c r="C107" s="359"/>
    </row>
    <row r="108" spans="3:3" s="347" customFormat="1" x14ac:dyDescent="0.25">
      <c r="C108" s="359"/>
    </row>
    <row r="109" spans="3:3" s="347" customFormat="1" x14ac:dyDescent="0.25">
      <c r="C109" s="359"/>
    </row>
    <row r="110" spans="3:3" s="347" customFormat="1" x14ac:dyDescent="0.25">
      <c r="C110" s="359"/>
    </row>
    <row r="111" spans="3:3" s="347" customFormat="1" x14ac:dyDescent="0.25">
      <c r="C111" s="359"/>
    </row>
    <row r="112" spans="3:3" s="347" customFormat="1" x14ac:dyDescent="0.25">
      <c r="C112" s="359"/>
    </row>
    <row r="113" spans="3:3" s="347" customFormat="1" x14ac:dyDescent="0.25">
      <c r="C113" s="359"/>
    </row>
    <row r="114" spans="3:3" s="347" customFormat="1" x14ac:dyDescent="0.25">
      <c r="C114" s="359"/>
    </row>
    <row r="115" spans="3:3" s="347" customFormat="1" x14ac:dyDescent="0.25">
      <c r="C115" s="359"/>
    </row>
    <row r="116" spans="3:3" s="347" customFormat="1" x14ac:dyDescent="0.25">
      <c r="C116" s="359"/>
    </row>
    <row r="117" spans="3:3" s="347" customFormat="1" x14ac:dyDescent="0.25">
      <c r="C117" s="359"/>
    </row>
    <row r="118" spans="3:3" s="347" customFormat="1" x14ac:dyDescent="0.25">
      <c r="C118" s="359"/>
    </row>
    <row r="119" spans="3:3" s="347" customFormat="1" x14ac:dyDescent="0.25">
      <c r="C119" s="359"/>
    </row>
    <row r="120" spans="3:3" s="347" customFormat="1" x14ac:dyDescent="0.25">
      <c r="C120" s="359"/>
    </row>
    <row r="121" spans="3:3" s="347" customFormat="1" x14ac:dyDescent="0.25">
      <c r="C121" s="359"/>
    </row>
    <row r="122" spans="3:3" s="347" customFormat="1" x14ac:dyDescent="0.25">
      <c r="C122" s="359"/>
    </row>
    <row r="123" spans="3:3" s="347" customFormat="1" x14ac:dyDescent="0.25">
      <c r="C123" s="359"/>
    </row>
    <row r="124" spans="3:3" s="347" customFormat="1" x14ac:dyDescent="0.25">
      <c r="C124" s="359"/>
    </row>
    <row r="125" spans="3:3" s="347" customFormat="1" x14ac:dyDescent="0.25">
      <c r="C125" s="359"/>
    </row>
    <row r="126" spans="3:3" s="347" customFormat="1" x14ac:dyDescent="0.25">
      <c r="C126" s="359"/>
    </row>
    <row r="127" spans="3:3" s="347" customFormat="1" x14ac:dyDescent="0.25">
      <c r="C127" s="359"/>
    </row>
    <row r="128" spans="3:3" s="347" customFormat="1" x14ac:dyDescent="0.25">
      <c r="C128" s="359"/>
    </row>
    <row r="129" spans="3:3" s="347" customFormat="1" x14ac:dyDescent="0.25">
      <c r="C129" s="359"/>
    </row>
    <row r="130" spans="3:3" s="347" customFormat="1" x14ac:dyDescent="0.25">
      <c r="C130" s="359"/>
    </row>
    <row r="131" spans="3:3" s="347" customFormat="1" x14ac:dyDescent="0.25">
      <c r="C131" s="359"/>
    </row>
    <row r="132" spans="3:3" s="347" customFormat="1" x14ac:dyDescent="0.25">
      <c r="C132" s="359"/>
    </row>
    <row r="133" spans="3:3" s="347" customFormat="1" x14ac:dyDescent="0.25">
      <c r="C133" s="359"/>
    </row>
    <row r="134" spans="3:3" s="347" customFormat="1" x14ac:dyDescent="0.25">
      <c r="C134" s="359"/>
    </row>
    <row r="135" spans="3:3" s="347" customFormat="1" x14ac:dyDescent="0.25">
      <c r="C135" s="359"/>
    </row>
    <row r="136" spans="3:3" s="347" customFormat="1" x14ac:dyDescent="0.25">
      <c r="C136" s="359"/>
    </row>
    <row r="137" spans="3:3" s="347" customFormat="1" x14ac:dyDescent="0.25">
      <c r="C137" s="359"/>
    </row>
    <row r="138" spans="3:3" s="347" customFormat="1" x14ac:dyDescent="0.25">
      <c r="C138" s="359"/>
    </row>
    <row r="139" spans="3:3" s="347" customFormat="1" x14ac:dyDescent="0.25">
      <c r="C139" s="359"/>
    </row>
    <row r="140" spans="3:3" s="347" customFormat="1" x14ac:dyDescent="0.25">
      <c r="C140" s="359"/>
    </row>
    <row r="141" spans="3:3" s="347" customFormat="1" x14ac:dyDescent="0.25">
      <c r="C141" s="359"/>
    </row>
    <row r="142" spans="3:3" s="347" customFormat="1" x14ac:dyDescent="0.25">
      <c r="C142" s="359"/>
    </row>
    <row r="143" spans="3:3" s="347" customFormat="1" x14ac:dyDescent="0.25">
      <c r="C143" s="359"/>
    </row>
    <row r="144" spans="3:3" s="347" customFormat="1" x14ac:dyDescent="0.25">
      <c r="C144" s="359"/>
    </row>
    <row r="145" spans="3:3" s="347" customFormat="1" x14ac:dyDescent="0.25">
      <c r="C145" s="359"/>
    </row>
    <row r="146" spans="3:3" s="347" customFormat="1" x14ac:dyDescent="0.25">
      <c r="C146" s="359"/>
    </row>
    <row r="147" spans="3:3" s="347" customFormat="1" x14ac:dyDescent="0.25">
      <c r="C147" s="359"/>
    </row>
    <row r="148" spans="3:3" s="347" customFormat="1" x14ac:dyDescent="0.25">
      <c r="C148" s="359"/>
    </row>
    <row r="149" spans="3:3" s="347" customFormat="1" x14ac:dyDescent="0.25">
      <c r="C149" s="359"/>
    </row>
    <row r="150" spans="3:3" s="347" customFormat="1" x14ac:dyDescent="0.25">
      <c r="C150" s="359"/>
    </row>
    <row r="151" spans="3:3" s="347" customFormat="1" x14ac:dyDescent="0.25">
      <c r="C151" s="359"/>
    </row>
    <row r="152" spans="3:3" s="347" customFormat="1" x14ac:dyDescent="0.25">
      <c r="C152" s="359"/>
    </row>
    <row r="153" spans="3:3" s="347" customFormat="1" x14ac:dyDescent="0.25">
      <c r="C153" s="359"/>
    </row>
    <row r="154" spans="3:3" s="347" customFormat="1" x14ac:dyDescent="0.25">
      <c r="C154" s="359"/>
    </row>
    <row r="155" spans="3:3" s="347" customFormat="1" x14ac:dyDescent="0.25">
      <c r="C155" s="359"/>
    </row>
    <row r="156" spans="3:3" s="347" customFormat="1" x14ac:dyDescent="0.25">
      <c r="C156" s="359"/>
    </row>
    <row r="157" spans="3:3" s="347" customFormat="1" x14ac:dyDescent="0.25">
      <c r="C157" s="359"/>
    </row>
    <row r="158" spans="3:3" s="347" customFormat="1" x14ac:dyDescent="0.25">
      <c r="C158" s="359"/>
    </row>
    <row r="159" spans="3:3" s="347" customFormat="1" x14ac:dyDescent="0.25">
      <c r="C159" s="359"/>
    </row>
    <row r="160" spans="3:3" s="347" customFormat="1" x14ac:dyDescent="0.25">
      <c r="C160" s="359"/>
    </row>
    <row r="161" spans="3:3" s="347" customFormat="1" x14ac:dyDescent="0.25">
      <c r="C161" s="359"/>
    </row>
    <row r="162" spans="3:3" s="347" customFormat="1" x14ac:dyDescent="0.25">
      <c r="C162" s="359"/>
    </row>
    <row r="163" spans="3:3" s="347" customFormat="1" x14ac:dyDescent="0.25">
      <c r="C163" s="359"/>
    </row>
    <row r="164" spans="3:3" s="347" customFormat="1" x14ac:dyDescent="0.25">
      <c r="C164" s="359"/>
    </row>
    <row r="165" spans="3:3" s="347" customFormat="1" x14ac:dyDescent="0.25">
      <c r="C165" s="359"/>
    </row>
    <row r="166" spans="3:3" s="347" customFormat="1" x14ac:dyDescent="0.25">
      <c r="C166" s="359"/>
    </row>
    <row r="167" spans="3:3" s="347" customFormat="1" x14ac:dyDescent="0.25">
      <c r="C167" s="359"/>
    </row>
    <row r="168" spans="3:3" s="347" customFormat="1" x14ac:dyDescent="0.25">
      <c r="C168" s="359"/>
    </row>
    <row r="169" spans="3:3" s="347" customFormat="1" x14ac:dyDescent="0.25">
      <c r="C169" s="359"/>
    </row>
    <row r="170" spans="3:3" s="347" customFormat="1" x14ac:dyDescent="0.25">
      <c r="C170" s="359"/>
    </row>
    <row r="171" spans="3:3" s="347" customFormat="1" x14ac:dyDescent="0.25">
      <c r="C171" s="359"/>
    </row>
    <row r="172" spans="3:3" s="347" customFormat="1" x14ac:dyDescent="0.25">
      <c r="C172" s="359"/>
    </row>
    <row r="173" spans="3:3" s="347" customFormat="1" x14ac:dyDescent="0.25">
      <c r="C173" s="359"/>
    </row>
    <row r="174" spans="3:3" s="347" customFormat="1" x14ac:dyDescent="0.25">
      <c r="C174" s="359"/>
    </row>
    <row r="175" spans="3:3" s="347" customFormat="1" x14ac:dyDescent="0.25">
      <c r="C175" s="359"/>
    </row>
    <row r="176" spans="3:3" s="347" customFormat="1" x14ac:dyDescent="0.25">
      <c r="C176" s="359"/>
    </row>
    <row r="177" spans="3:3" s="347" customFormat="1" x14ac:dyDescent="0.25">
      <c r="C177" s="359"/>
    </row>
    <row r="178" spans="3:3" s="347" customFormat="1" x14ac:dyDescent="0.25">
      <c r="C178" s="359"/>
    </row>
    <row r="179" spans="3:3" s="347" customFormat="1" x14ac:dyDescent="0.25">
      <c r="C179" s="359"/>
    </row>
    <row r="180" spans="3:3" s="347" customFormat="1" x14ac:dyDescent="0.25">
      <c r="C180" s="359"/>
    </row>
    <row r="181" spans="3:3" s="347" customFormat="1" x14ac:dyDescent="0.25">
      <c r="C181" s="359"/>
    </row>
    <row r="182" spans="3:3" s="347" customFormat="1" x14ac:dyDescent="0.25">
      <c r="C182" s="359"/>
    </row>
    <row r="183" spans="3:3" s="347" customFormat="1" x14ac:dyDescent="0.25">
      <c r="C183" s="359"/>
    </row>
    <row r="184" spans="3:3" s="347" customFormat="1" x14ac:dyDescent="0.25">
      <c r="C184" s="359"/>
    </row>
    <row r="185" spans="3:3" s="347" customFormat="1" x14ac:dyDescent="0.25">
      <c r="C185" s="359"/>
    </row>
    <row r="186" spans="3:3" s="347" customFormat="1" x14ac:dyDescent="0.25">
      <c r="C186" s="359"/>
    </row>
    <row r="187" spans="3:3" s="347" customFormat="1" x14ac:dyDescent="0.25">
      <c r="C187" s="359"/>
    </row>
    <row r="188" spans="3:3" s="347" customFormat="1" x14ac:dyDescent="0.25">
      <c r="C188" s="359"/>
    </row>
    <row r="189" spans="3:3" s="347" customFormat="1" x14ac:dyDescent="0.25">
      <c r="C189" s="359"/>
    </row>
    <row r="190" spans="3:3" s="347" customFormat="1" x14ac:dyDescent="0.25">
      <c r="C190" s="359"/>
    </row>
    <row r="191" spans="3:3" s="347" customFormat="1" x14ac:dyDescent="0.25">
      <c r="C191" s="359"/>
    </row>
    <row r="192" spans="3:3" s="347" customFormat="1" x14ac:dyDescent="0.25">
      <c r="C192" s="359"/>
    </row>
    <row r="193" spans="3:3" s="347" customFormat="1" x14ac:dyDescent="0.25">
      <c r="C193" s="359"/>
    </row>
    <row r="194" spans="3:3" s="347" customFormat="1" x14ac:dyDescent="0.25">
      <c r="C194" s="359"/>
    </row>
    <row r="195" spans="3:3" s="347" customFormat="1" x14ac:dyDescent="0.25">
      <c r="C195" s="359"/>
    </row>
    <row r="196" spans="3:3" s="347" customFormat="1" x14ac:dyDescent="0.25">
      <c r="C196" s="359"/>
    </row>
    <row r="197" spans="3:3" s="347" customFormat="1" x14ac:dyDescent="0.25">
      <c r="C197" s="359"/>
    </row>
    <row r="198" spans="3:3" s="347" customFormat="1" x14ac:dyDescent="0.25">
      <c r="C198" s="359"/>
    </row>
    <row r="199" spans="3:3" s="347" customFormat="1" x14ac:dyDescent="0.25">
      <c r="C199" s="359"/>
    </row>
    <row r="200" spans="3:3" s="347" customFormat="1" x14ac:dyDescent="0.25">
      <c r="C200" s="359"/>
    </row>
    <row r="201" spans="3:3" s="347" customFormat="1" x14ac:dyDescent="0.25">
      <c r="C201" s="359"/>
    </row>
    <row r="202" spans="3:3" s="347" customFormat="1" x14ac:dyDescent="0.25">
      <c r="C202" s="359"/>
    </row>
    <row r="203" spans="3:3" s="347" customFormat="1" x14ac:dyDescent="0.25">
      <c r="C203" s="359"/>
    </row>
    <row r="204" spans="3:3" s="347" customFormat="1" x14ac:dyDescent="0.25">
      <c r="C204" s="359"/>
    </row>
    <row r="205" spans="3:3" s="347" customFormat="1" x14ac:dyDescent="0.25">
      <c r="C205" s="359"/>
    </row>
    <row r="206" spans="3:3" s="347" customFormat="1" x14ac:dyDescent="0.25">
      <c r="C206" s="359"/>
    </row>
    <row r="207" spans="3:3" s="347" customFormat="1" x14ac:dyDescent="0.25">
      <c r="C207" s="359"/>
    </row>
    <row r="208" spans="3:3" s="347" customFormat="1" x14ac:dyDescent="0.25">
      <c r="C208" s="359"/>
    </row>
    <row r="209" spans="3:3" s="347" customFormat="1" x14ac:dyDescent="0.25">
      <c r="C209" s="359"/>
    </row>
    <row r="210" spans="3:3" s="347" customFormat="1" x14ac:dyDescent="0.25">
      <c r="C210" s="359"/>
    </row>
    <row r="211" spans="3:3" s="347" customFormat="1" x14ac:dyDescent="0.25">
      <c r="C211" s="359"/>
    </row>
    <row r="212" spans="3:3" s="347" customFormat="1" x14ac:dyDescent="0.25">
      <c r="C212" s="359"/>
    </row>
    <row r="213" spans="3:3" s="347" customFormat="1" x14ac:dyDescent="0.25">
      <c r="C213" s="359"/>
    </row>
    <row r="214" spans="3:3" s="347" customFormat="1" x14ac:dyDescent="0.25">
      <c r="C214" s="359"/>
    </row>
    <row r="215" spans="3:3" s="347" customFormat="1" x14ac:dyDescent="0.25">
      <c r="C215" s="359"/>
    </row>
    <row r="216" spans="3:3" s="347" customFormat="1" x14ac:dyDescent="0.25">
      <c r="C216" s="359"/>
    </row>
    <row r="217" spans="3:3" s="347" customFormat="1" x14ac:dyDescent="0.25">
      <c r="C217" s="359"/>
    </row>
    <row r="218" spans="3:3" s="347" customFormat="1" x14ac:dyDescent="0.25">
      <c r="C218" s="359"/>
    </row>
    <row r="219" spans="3:3" s="347" customFormat="1" x14ac:dyDescent="0.25">
      <c r="C219" s="359"/>
    </row>
    <row r="220" spans="3:3" s="347" customFormat="1" x14ac:dyDescent="0.25">
      <c r="C220" s="359"/>
    </row>
    <row r="221" spans="3:3" s="347" customFormat="1" x14ac:dyDescent="0.25">
      <c r="C221" s="359"/>
    </row>
    <row r="222" spans="3:3" s="347" customFormat="1" x14ac:dyDescent="0.25">
      <c r="C222" s="359"/>
    </row>
    <row r="223" spans="3:3" s="347" customFormat="1" x14ac:dyDescent="0.25">
      <c r="C223" s="359"/>
    </row>
    <row r="224" spans="3:3" s="347" customFormat="1" x14ac:dyDescent="0.25">
      <c r="C224" s="359"/>
    </row>
    <row r="225" spans="3:3" s="347" customFormat="1" x14ac:dyDescent="0.25">
      <c r="C225" s="359"/>
    </row>
    <row r="226" spans="3:3" s="347" customFormat="1" x14ac:dyDescent="0.25">
      <c r="C226" s="359"/>
    </row>
    <row r="227" spans="3:3" s="347" customFormat="1" x14ac:dyDescent="0.25">
      <c r="C227" s="359"/>
    </row>
    <row r="228" spans="3:3" s="347" customFormat="1" x14ac:dyDescent="0.25">
      <c r="C228" s="359"/>
    </row>
    <row r="229" spans="3:3" s="347" customFormat="1" x14ac:dyDescent="0.25">
      <c r="C229" s="359"/>
    </row>
    <row r="230" spans="3:3" s="347" customFormat="1" x14ac:dyDescent="0.25">
      <c r="C230" s="359"/>
    </row>
    <row r="231" spans="3:3" s="347" customFormat="1" x14ac:dyDescent="0.25">
      <c r="C231" s="359"/>
    </row>
    <row r="232" spans="3:3" s="347" customFormat="1" x14ac:dyDescent="0.25">
      <c r="C232" s="359"/>
    </row>
    <row r="233" spans="3:3" s="347" customFormat="1" x14ac:dyDescent="0.25">
      <c r="C233" s="359"/>
    </row>
    <row r="234" spans="3:3" s="347" customFormat="1" x14ac:dyDescent="0.25">
      <c r="C234" s="359"/>
    </row>
    <row r="235" spans="3:3" s="347" customFormat="1" x14ac:dyDescent="0.25">
      <c r="C235" s="359"/>
    </row>
    <row r="236" spans="3:3" s="347" customFormat="1" x14ac:dyDescent="0.25">
      <c r="C236" s="359"/>
    </row>
    <row r="237" spans="3:3" s="347" customFormat="1" x14ac:dyDescent="0.25">
      <c r="C237" s="359"/>
    </row>
    <row r="238" spans="3:3" s="347" customFormat="1" x14ac:dyDescent="0.25">
      <c r="C238" s="359"/>
    </row>
    <row r="239" spans="3:3" s="347" customFormat="1" x14ac:dyDescent="0.25">
      <c r="C239" s="359"/>
    </row>
    <row r="240" spans="3:3" s="347" customFormat="1" x14ac:dyDescent="0.25">
      <c r="C240" s="359"/>
    </row>
    <row r="241" spans="3:3" s="347" customFormat="1" x14ac:dyDescent="0.25">
      <c r="C241" s="359"/>
    </row>
    <row r="242" spans="3:3" s="347" customFormat="1" x14ac:dyDescent="0.25">
      <c r="C242" s="359"/>
    </row>
    <row r="243" spans="3:3" s="347" customFormat="1" x14ac:dyDescent="0.25">
      <c r="C243" s="359"/>
    </row>
    <row r="244" spans="3:3" s="347" customFormat="1" x14ac:dyDescent="0.25">
      <c r="C244" s="359"/>
    </row>
    <row r="245" spans="3:3" s="347" customFormat="1" x14ac:dyDescent="0.25">
      <c r="C245" s="359"/>
    </row>
    <row r="246" spans="3:3" s="347" customFormat="1" x14ac:dyDescent="0.25">
      <c r="C246" s="359"/>
    </row>
    <row r="247" spans="3:3" s="347" customFormat="1" x14ac:dyDescent="0.25">
      <c r="C247" s="359"/>
    </row>
    <row r="248" spans="3:3" s="347" customFormat="1" x14ac:dyDescent="0.25">
      <c r="C248" s="359"/>
    </row>
    <row r="249" spans="3:3" s="347" customFormat="1" x14ac:dyDescent="0.25">
      <c r="C249" s="359"/>
    </row>
    <row r="250" spans="3:3" s="347" customFormat="1" x14ac:dyDescent="0.25">
      <c r="C250" s="359"/>
    </row>
    <row r="251" spans="3:3" s="347" customFormat="1" x14ac:dyDescent="0.25">
      <c r="C251" s="359"/>
    </row>
    <row r="252" spans="3:3" s="347" customFormat="1" x14ac:dyDescent="0.25">
      <c r="C252" s="359"/>
    </row>
    <row r="253" spans="3:3" s="347" customFormat="1" x14ac:dyDescent="0.25">
      <c r="C253" s="359"/>
    </row>
    <row r="254" spans="3:3" s="347" customFormat="1" x14ac:dyDescent="0.25">
      <c r="C254" s="359"/>
    </row>
    <row r="255" spans="3:3" s="347" customFormat="1" x14ac:dyDescent="0.25">
      <c r="C255" s="359"/>
    </row>
    <row r="256" spans="3:3" s="347" customFormat="1" x14ac:dyDescent="0.25">
      <c r="C256" s="359"/>
    </row>
    <row r="257" spans="3:3" s="347" customFormat="1" x14ac:dyDescent="0.25">
      <c r="C257" s="359"/>
    </row>
    <row r="258" spans="3:3" s="347" customFormat="1" x14ac:dyDescent="0.25">
      <c r="C258" s="359"/>
    </row>
    <row r="259" spans="3:3" s="347" customFormat="1" x14ac:dyDescent="0.25">
      <c r="C259" s="359"/>
    </row>
    <row r="260" spans="3:3" s="347" customFormat="1" x14ac:dyDescent="0.25">
      <c r="C260" s="359"/>
    </row>
    <row r="261" spans="3:3" s="347" customFormat="1" x14ac:dyDescent="0.25">
      <c r="C261" s="359"/>
    </row>
    <row r="262" spans="3:3" s="347" customFormat="1" x14ac:dyDescent="0.25">
      <c r="C262" s="359"/>
    </row>
    <row r="263" spans="3:3" s="347" customFormat="1" x14ac:dyDescent="0.25">
      <c r="C263" s="359"/>
    </row>
    <row r="264" spans="3:3" s="347" customFormat="1" x14ac:dyDescent="0.25">
      <c r="C264" s="359"/>
    </row>
    <row r="265" spans="3:3" s="347" customFormat="1" x14ac:dyDescent="0.25">
      <c r="C265" s="359"/>
    </row>
    <row r="266" spans="3:3" s="347" customFormat="1" x14ac:dyDescent="0.25">
      <c r="C266" s="359"/>
    </row>
    <row r="267" spans="3:3" s="347" customFormat="1" x14ac:dyDescent="0.25">
      <c r="C267" s="359"/>
    </row>
    <row r="268" spans="3:3" s="347" customFormat="1" x14ac:dyDescent="0.25">
      <c r="C268" s="359"/>
    </row>
    <row r="269" spans="3:3" s="347" customFormat="1" x14ac:dyDescent="0.25">
      <c r="C269" s="359"/>
    </row>
    <row r="270" spans="3:3" s="347" customFormat="1" x14ac:dyDescent="0.25">
      <c r="C270" s="359"/>
    </row>
    <row r="271" spans="3:3" s="347" customFormat="1" x14ac:dyDescent="0.25">
      <c r="C271" s="359"/>
    </row>
    <row r="272" spans="3:3" s="347" customFormat="1" x14ac:dyDescent="0.25">
      <c r="C272" s="359"/>
    </row>
    <row r="273" spans="3:3" s="347" customFormat="1" x14ac:dyDescent="0.25">
      <c r="C273" s="359"/>
    </row>
    <row r="274" spans="3:3" s="347" customFormat="1" x14ac:dyDescent="0.25">
      <c r="C274" s="359"/>
    </row>
    <row r="275" spans="3:3" s="347" customFormat="1" x14ac:dyDescent="0.25">
      <c r="C275" s="359"/>
    </row>
    <row r="276" spans="3:3" s="347" customFormat="1" x14ac:dyDescent="0.25">
      <c r="C276" s="359"/>
    </row>
    <row r="277" spans="3:3" s="347" customFormat="1" x14ac:dyDescent="0.25">
      <c r="C277" s="359"/>
    </row>
    <row r="278" spans="3:3" s="347" customFormat="1" x14ac:dyDescent="0.25">
      <c r="C278" s="359"/>
    </row>
    <row r="279" spans="3:3" s="347" customFormat="1" x14ac:dyDescent="0.25">
      <c r="C279" s="359"/>
    </row>
    <row r="280" spans="3:3" s="347" customFormat="1" x14ac:dyDescent="0.25">
      <c r="C280" s="359"/>
    </row>
    <row r="281" spans="3:3" s="347" customFormat="1" x14ac:dyDescent="0.25">
      <c r="C281" s="359"/>
    </row>
    <row r="282" spans="3:3" s="347" customFormat="1" x14ac:dyDescent="0.25">
      <c r="C282" s="359"/>
    </row>
    <row r="283" spans="3:3" s="347" customFormat="1" x14ac:dyDescent="0.25">
      <c r="C283" s="359"/>
    </row>
    <row r="284" spans="3:3" s="347" customFormat="1" x14ac:dyDescent="0.25">
      <c r="C284" s="359"/>
    </row>
    <row r="285" spans="3:3" s="347" customFormat="1" x14ac:dyDescent="0.25">
      <c r="C285" s="359"/>
    </row>
    <row r="286" spans="3:3" s="347" customFormat="1" x14ac:dyDescent="0.25">
      <c r="C286" s="359"/>
    </row>
    <row r="287" spans="3:3" s="347" customFormat="1" x14ac:dyDescent="0.25">
      <c r="C287" s="359"/>
    </row>
    <row r="288" spans="3:3" s="347" customFormat="1" x14ac:dyDescent="0.25">
      <c r="C288" s="359"/>
    </row>
    <row r="289" spans="3:3" s="347" customFormat="1" x14ac:dyDescent="0.25">
      <c r="C289" s="359"/>
    </row>
    <row r="290" spans="3:3" s="347" customFormat="1" x14ac:dyDescent="0.25">
      <c r="C290" s="359"/>
    </row>
  </sheetData>
  <mergeCells count="33">
    <mergeCell ref="H54:J54"/>
    <mergeCell ref="H53:J53"/>
    <mergeCell ref="H51:J51"/>
    <mergeCell ref="H52:J52"/>
    <mergeCell ref="D51:G51"/>
    <mergeCell ref="D54:G54"/>
    <mergeCell ref="D52:G52"/>
    <mergeCell ref="N52:P52"/>
    <mergeCell ref="B53:C53"/>
    <mergeCell ref="D53:G53"/>
    <mergeCell ref="G4:L4"/>
    <mergeCell ref="D5:D7"/>
    <mergeCell ref="E5:E7"/>
    <mergeCell ref="F5:F7"/>
    <mergeCell ref="B5:B7"/>
    <mergeCell ref="C5:C7"/>
    <mergeCell ref="B51:C51"/>
    <mergeCell ref="N51:P51"/>
    <mergeCell ref="S5:S7"/>
    <mergeCell ref="G6:G7"/>
    <mergeCell ref="H6:H7"/>
    <mergeCell ref="I6:I7"/>
    <mergeCell ref="N6:N7"/>
    <mergeCell ref="O6:O7"/>
    <mergeCell ref="P6:P7"/>
    <mergeCell ref="Q6:Q7"/>
    <mergeCell ref="G5:I5"/>
    <mergeCell ref="J5:J7"/>
    <mergeCell ref="K5:K7"/>
    <mergeCell ref="L5:L7"/>
    <mergeCell ref="M5:M7"/>
    <mergeCell ref="N5:Q5"/>
    <mergeCell ref="R5:R7"/>
  </mergeCells>
  <pageMargins left="0.70866141732283472" right="0.70866141732283472" top="0.35433070866141736" bottom="0.19685039370078741" header="0.23622047244094491" footer="0.15748031496062992"/>
  <pageSetup paperSize="9" scale="62" orientation="landscape" verticalDpi="0" r:id="rId1"/>
</worksheet>
</file>

<file path=xl/worksheets/sheet6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000-000000000000}">
  <sheetPr codeName="Лист62">
    <tabColor rgb="FF92D050"/>
  </sheetPr>
  <dimension ref="A2:I11"/>
  <sheetViews>
    <sheetView workbookViewId="0">
      <selection activeCell="A2" sqref="A2:D2"/>
    </sheetView>
  </sheetViews>
  <sheetFormatPr defaultRowHeight="14.4" x14ac:dyDescent="0.3"/>
  <cols>
    <col min="1" max="1" width="8.109375" customWidth="1"/>
    <col min="2" max="2" width="20.44140625" customWidth="1"/>
    <col min="3" max="3" width="9.5546875" customWidth="1"/>
    <col min="4" max="4" width="9.6640625" customWidth="1"/>
    <col min="6" max="6" width="9.88671875" bestFit="1" customWidth="1"/>
    <col min="8" max="8" width="9.88671875" bestFit="1" customWidth="1"/>
  </cols>
  <sheetData>
    <row r="2" spans="1:9" ht="15.6" x14ac:dyDescent="0.3">
      <c r="A2" s="5537" t="s">
        <v>3312</v>
      </c>
      <c r="B2" s="5537"/>
      <c r="C2" s="5537"/>
      <c r="D2" s="5537"/>
      <c r="E2" s="2415"/>
      <c r="F2" s="2411"/>
      <c r="G2" s="2416"/>
      <c r="H2" s="2411"/>
      <c r="I2" s="2411"/>
    </row>
    <row r="3" spans="1:9" ht="16.2" thickBot="1" x14ac:dyDescent="0.35">
      <c r="A3" s="380"/>
      <c r="B3" s="381"/>
      <c r="C3" s="382"/>
      <c r="D3" s="382"/>
      <c r="E3" s="382"/>
      <c r="F3" s="382"/>
      <c r="G3" s="382"/>
      <c r="H3" s="382"/>
      <c r="I3" s="382" t="s">
        <v>967</v>
      </c>
    </row>
    <row r="4" spans="1:9" ht="47.4" thickBot="1" x14ac:dyDescent="0.35">
      <c r="A4" s="2417" t="s">
        <v>968</v>
      </c>
      <c r="B4" s="2418" t="s">
        <v>2468</v>
      </c>
      <c r="C4" s="2419" t="s">
        <v>869</v>
      </c>
      <c r="D4" s="2419" t="s">
        <v>928</v>
      </c>
      <c r="E4" s="2419" t="s">
        <v>902</v>
      </c>
      <c r="F4" s="2419" t="s">
        <v>970</v>
      </c>
      <c r="G4" s="2419" t="s">
        <v>971</v>
      </c>
      <c r="H4" s="2419" t="s">
        <v>972</v>
      </c>
      <c r="I4" s="2420" t="s">
        <v>973</v>
      </c>
    </row>
    <row r="5" spans="1:9" ht="16.2" thickBot="1" x14ac:dyDescent="0.35">
      <c r="A5" s="2430"/>
      <c r="B5" s="2431" t="s">
        <v>973</v>
      </c>
      <c r="C5" s="2432">
        <f t="shared" ref="C5:I5" si="0">SUM(C6:C10)</f>
        <v>0</v>
      </c>
      <c r="D5" s="2432">
        <f t="shared" si="0"/>
        <v>0</v>
      </c>
      <c r="E5" s="2432">
        <f t="shared" si="0"/>
        <v>0</v>
      </c>
      <c r="F5" s="2432">
        <f t="shared" si="0"/>
        <v>6788.38</v>
      </c>
      <c r="G5" s="2432">
        <f t="shared" si="0"/>
        <v>0</v>
      </c>
      <c r="H5" s="2432">
        <f t="shared" si="0"/>
        <v>39989.53</v>
      </c>
      <c r="I5" s="2432">
        <f t="shared" si="0"/>
        <v>0</v>
      </c>
    </row>
    <row r="6" spans="1:9" ht="46.8" x14ac:dyDescent="0.3">
      <c r="A6" s="2421">
        <v>1</v>
      </c>
      <c r="B6" s="2422" t="s">
        <v>3313</v>
      </c>
      <c r="C6" s="2423"/>
      <c r="D6" s="2423"/>
      <c r="E6" s="2423"/>
      <c r="F6" s="2423"/>
      <c r="G6" s="2424"/>
      <c r="H6" s="2425">
        <v>32401.57</v>
      </c>
      <c r="I6" s="2426"/>
    </row>
    <row r="7" spans="1:9" ht="15.6" x14ac:dyDescent="0.3">
      <c r="A7" s="2410">
        <f>A6+1</f>
        <v>2</v>
      </c>
      <c r="B7" s="2427" t="s">
        <v>3314</v>
      </c>
      <c r="C7" s="2428"/>
      <c r="D7" s="2428"/>
      <c r="E7" s="2428"/>
      <c r="F7" s="2428">
        <f>6196.38+592</f>
        <v>6788.38</v>
      </c>
      <c r="G7" s="2428"/>
      <c r="H7" s="2428">
        <v>7587.96</v>
      </c>
      <c r="I7" s="2429"/>
    </row>
    <row r="8" spans="1:9" ht="15.6" x14ac:dyDescent="0.3">
      <c r="A8" s="2410">
        <f>A7+1</f>
        <v>3</v>
      </c>
      <c r="B8" s="2427"/>
      <c r="C8" s="2428"/>
      <c r="D8" s="2428"/>
      <c r="E8" s="2428"/>
      <c r="F8" s="2428"/>
      <c r="G8" s="2428"/>
      <c r="H8" s="2428"/>
      <c r="I8" s="2429"/>
    </row>
    <row r="9" spans="1:9" ht="15.6" x14ac:dyDescent="0.3">
      <c r="A9" s="2410">
        <f>A8+1</f>
        <v>4</v>
      </c>
      <c r="B9" s="2427"/>
      <c r="C9" s="2428"/>
      <c r="D9" s="2428"/>
      <c r="E9" s="2428"/>
      <c r="F9" s="2428"/>
      <c r="G9" s="2428"/>
      <c r="H9" s="2428"/>
      <c r="I9" s="2429"/>
    </row>
    <row r="10" spans="1:9" ht="15.6" x14ac:dyDescent="0.3">
      <c r="A10" s="2410">
        <f>A9+1</f>
        <v>5</v>
      </c>
      <c r="B10" s="2427"/>
      <c r="C10" s="2428"/>
      <c r="D10" s="2428"/>
      <c r="E10" s="2428"/>
      <c r="F10" s="2428"/>
      <c r="G10" s="2428"/>
      <c r="H10" s="2428"/>
      <c r="I10" s="2429"/>
    </row>
    <row r="11" spans="1:9" ht="16.2" thickBot="1" x14ac:dyDescent="0.35">
      <c r="A11" s="2433"/>
      <c r="B11" s="2434"/>
      <c r="C11" s="2435"/>
      <c r="D11" s="2435"/>
      <c r="E11" s="2435"/>
      <c r="F11" s="2435"/>
      <c r="G11" s="2435"/>
      <c r="H11" s="2435"/>
      <c r="I11" s="2436"/>
    </row>
  </sheetData>
  <mergeCells count="1">
    <mergeCell ref="A2:D2"/>
  </mergeCells>
  <pageMargins left="0.7" right="0.7" top="0.75" bottom="0.75" header="0.3" footer="0.3"/>
</worksheet>
</file>

<file path=xl/worksheets/sheet6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100-000000000000}">
  <sheetPr codeName="Лист63">
    <tabColor rgb="FF92D050"/>
  </sheetPr>
  <dimension ref="A1:U51"/>
  <sheetViews>
    <sheetView zoomScaleNormal="100" workbookViewId="0">
      <selection activeCell="N18" sqref="N18"/>
    </sheetView>
  </sheetViews>
  <sheetFormatPr defaultColWidth="9.109375" defaultRowHeight="13.8" x14ac:dyDescent="0.3"/>
  <cols>
    <col min="1" max="1" width="18.6640625" style="362" customWidth="1"/>
    <col min="2" max="3" width="9.109375" style="362" hidden="1" customWidth="1"/>
    <col min="4" max="6" width="10.44140625" style="362" customWidth="1"/>
    <col min="7" max="7" width="9.109375" style="362" hidden="1" customWidth="1"/>
    <col min="8" max="8" width="9.109375" style="362" customWidth="1"/>
    <col min="9" max="9" width="8.33203125" style="362" customWidth="1"/>
    <col min="10" max="10" width="10.44140625" style="362" customWidth="1"/>
    <col min="11" max="11" width="9.88671875" style="362" customWidth="1"/>
    <col min="12" max="12" width="8.109375" style="362" customWidth="1"/>
    <col min="13" max="13" width="9.109375" style="362" customWidth="1"/>
    <col min="14" max="14" width="9.6640625" style="362" customWidth="1"/>
    <col min="15" max="15" width="10.6640625" style="362" customWidth="1"/>
    <col min="16" max="16" width="11" style="362" customWidth="1"/>
    <col min="17" max="16384" width="9.109375" style="362"/>
  </cols>
  <sheetData>
    <row r="1" spans="1:21" x14ac:dyDescent="0.3">
      <c r="A1" s="3804"/>
      <c r="O1" s="5539" t="s">
        <v>821</v>
      </c>
      <c r="P1" s="5539"/>
    </row>
    <row r="3" spans="1:21" ht="17.25" customHeight="1" x14ac:dyDescent="0.3">
      <c r="A3" s="5540" t="s">
        <v>1016</v>
      </c>
      <c r="B3" s="5540"/>
      <c r="C3" s="5540"/>
      <c r="D3" s="5540"/>
      <c r="E3" s="5540"/>
      <c r="F3" s="5540"/>
      <c r="G3" s="5540"/>
      <c r="H3" s="5540"/>
      <c r="I3" s="5540"/>
      <c r="J3" s="5541" t="str">
        <f>'Вхідні дані'!$F$5</f>
        <v>КП «КТЕ"</v>
      </c>
      <c r="K3" s="5541"/>
      <c r="L3" s="5541"/>
      <c r="M3" s="5541"/>
      <c r="N3" s="388" t="s">
        <v>461</v>
      </c>
      <c r="O3" s="884" t="str">
        <f>'Вхідні дані'!$F$6</f>
        <v>2023-2024</v>
      </c>
      <c r="P3" s="388" t="s">
        <v>661</v>
      </c>
      <c r="R3" s="5543" t="s">
        <v>2548</v>
      </c>
      <c r="S3" s="5543"/>
      <c r="T3" s="5543"/>
      <c r="U3" s="5543"/>
    </row>
    <row r="4" spans="1:21" ht="23.25" customHeight="1" x14ac:dyDescent="0.3">
      <c r="A4" s="387"/>
      <c r="B4" s="387"/>
      <c r="C4" s="387"/>
      <c r="D4" s="387"/>
      <c r="E4" s="387"/>
      <c r="F4" s="387"/>
      <c r="G4" s="387"/>
      <c r="H4" s="387"/>
      <c r="I4" s="387"/>
      <c r="J4" s="387"/>
      <c r="K4" s="387"/>
      <c r="L4" s="387"/>
      <c r="M4" s="387"/>
      <c r="N4" s="387"/>
      <c r="O4" s="387"/>
      <c r="P4" s="387"/>
    </row>
    <row r="5" spans="1:21" ht="13.95" customHeight="1" x14ac:dyDescent="0.3">
      <c r="A5" s="5542" t="s">
        <v>1017</v>
      </c>
      <c r="B5" s="5542" t="s">
        <v>1725</v>
      </c>
      <c r="C5" s="5542"/>
      <c r="D5" s="5542"/>
      <c r="E5" s="5542"/>
      <c r="F5" s="5542"/>
      <c r="G5" s="5542"/>
      <c r="H5" s="5542"/>
      <c r="I5" s="5542" t="s">
        <v>1726</v>
      </c>
      <c r="J5" s="5542"/>
      <c r="K5" s="5542"/>
      <c r="L5" s="5542"/>
      <c r="M5" s="5542"/>
      <c r="N5" s="5542" t="s">
        <v>943</v>
      </c>
      <c r="O5" s="5542" t="s">
        <v>2389</v>
      </c>
      <c r="P5" s="5542" t="s">
        <v>3270</v>
      </c>
    </row>
    <row r="6" spans="1:21" x14ac:dyDescent="0.3">
      <c r="A6" s="5542"/>
      <c r="B6" s="5542" t="s">
        <v>125</v>
      </c>
      <c r="C6" s="5542"/>
      <c r="D6" s="5542"/>
      <c r="E6" s="5542"/>
      <c r="F6" s="5542"/>
      <c r="G6" s="5542"/>
      <c r="H6" s="5542" t="s">
        <v>944</v>
      </c>
      <c r="I6" s="5542" t="s">
        <v>945</v>
      </c>
      <c r="J6" s="5542"/>
      <c r="K6" s="5542"/>
      <c r="L6" s="5542"/>
      <c r="M6" s="5542" t="s">
        <v>946</v>
      </c>
      <c r="N6" s="5542"/>
      <c r="O6" s="5542"/>
      <c r="P6" s="5542"/>
    </row>
    <row r="7" spans="1:21" ht="20.399999999999999" x14ac:dyDescent="0.3">
      <c r="A7" s="5542"/>
      <c r="B7" s="534" t="s">
        <v>947</v>
      </c>
      <c r="C7" s="534" t="s">
        <v>948</v>
      </c>
      <c r="D7" s="534" t="s">
        <v>949</v>
      </c>
      <c r="E7" s="534" t="s">
        <v>950</v>
      </c>
      <c r="F7" s="534" t="s">
        <v>951</v>
      </c>
      <c r="G7" s="534" t="s">
        <v>952</v>
      </c>
      <c r="H7" s="5542"/>
      <c r="I7" s="535" t="s">
        <v>2507</v>
      </c>
      <c r="J7" s="535" t="s">
        <v>2508</v>
      </c>
      <c r="K7" s="535" t="s">
        <v>2509</v>
      </c>
      <c r="L7" s="535" t="s">
        <v>2510</v>
      </c>
      <c r="M7" s="5542"/>
      <c r="N7" s="5542"/>
      <c r="O7" s="5542"/>
      <c r="P7" s="5542"/>
    </row>
    <row r="8" spans="1:21" x14ac:dyDescent="0.3">
      <c r="A8" s="5542"/>
      <c r="B8" s="5542" t="s">
        <v>953</v>
      </c>
      <c r="C8" s="5542"/>
      <c r="D8" s="5542"/>
      <c r="E8" s="5542"/>
      <c r="F8" s="5542"/>
      <c r="G8" s="5542"/>
      <c r="H8" s="5542"/>
      <c r="I8" s="5542" t="s">
        <v>954</v>
      </c>
      <c r="J8" s="5542"/>
      <c r="K8" s="5542"/>
      <c r="L8" s="5542"/>
      <c r="M8" s="5542"/>
      <c r="N8" s="5542"/>
      <c r="O8" s="5542"/>
      <c r="P8" s="5542"/>
    </row>
    <row r="9" spans="1:21" ht="18.600000000000001" customHeight="1" x14ac:dyDescent="0.3">
      <c r="A9" s="5542"/>
      <c r="B9" s="536"/>
      <c r="C9" s="536"/>
      <c r="D9" s="536">
        <v>24.567</v>
      </c>
      <c r="E9" s="536">
        <v>39.020000000000003</v>
      </c>
      <c r="F9" s="536">
        <v>45.79</v>
      </c>
      <c r="G9" s="536"/>
      <c r="H9" s="5542"/>
      <c r="I9" s="536">
        <v>143.69147766323024</v>
      </c>
      <c r="J9" s="536">
        <v>185</v>
      </c>
      <c r="K9" s="536">
        <v>211.06557377049182</v>
      </c>
      <c r="L9" s="536">
        <v>25.304081632653062</v>
      </c>
      <c r="M9" s="5542"/>
      <c r="N9" s="5542"/>
      <c r="O9" s="5542"/>
      <c r="P9" s="5542"/>
      <c r="R9" s="5544"/>
      <c r="S9" s="5544"/>
      <c r="T9" s="5544"/>
      <c r="U9" s="5544"/>
    </row>
    <row r="10" spans="1:21" s="365" customFormat="1" x14ac:dyDescent="0.3">
      <c r="A10" s="363">
        <v>1</v>
      </c>
      <c r="B10" s="363">
        <v>2</v>
      </c>
      <c r="C10" s="363">
        <v>3</v>
      </c>
      <c r="D10" s="363">
        <v>4</v>
      </c>
      <c r="E10" s="363">
        <v>5</v>
      </c>
      <c r="F10" s="363">
        <v>6</v>
      </c>
      <c r="G10" s="363">
        <v>7</v>
      </c>
      <c r="H10" s="363">
        <v>8</v>
      </c>
      <c r="I10" s="363">
        <v>9</v>
      </c>
      <c r="J10" s="363">
        <v>10</v>
      </c>
      <c r="K10" s="363">
        <v>11</v>
      </c>
      <c r="L10" s="363">
        <v>12</v>
      </c>
      <c r="M10" s="363">
        <v>13</v>
      </c>
      <c r="N10" s="364">
        <v>14</v>
      </c>
      <c r="O10" s="363">
        <v>15</v>
      </c>
      <c r="P10" s="363">
        <v>16</v>
      </c>
    </row>
    <row r="11" spans="1:21" x14ac:dyDescent="0.3">
      <c r="A11" s="366" t="s">
        <v>955</v>
      </c>
      <c r="B11" s="537"/>
      <c r="C11" s="537"/>
      <c r="D11" s="3802">
        <v>0</v>
      </c>
      <c r="E11" s="3802">
        <v>13812.73</v>
      </c>
      <c r="F11" s="3802">
        <v>0</v>
      </c>
      <c r="G11" s="537"/>
      <c r="H11" s="538">
        <f>SUM(B11:G11)</f>
        <v>13812.73</v>
      </c>
      <c r="I11" s="537">
        <v>402.34</v>
      </c>
      <c r="J11" s="537">
        <v>74</v>
      </c>
      <c r="K11" s="537">
        <v>21.11</v>
      </c>
      <c r="L11" s="537">
        <v>7.59</v>
      </c>
      <c r="M11" s="538">
        <f>SUM(I11:L11)</f>
        <v>505.03999999999996</v>
      </c>
      <c r="N11" s="539">
        <f t="shared" ref="N11:N18" si="0">M11+H11</f>
        <v>14317.77</v>
      </c>
      <c r="O11" s="540">
        <v>1458.34</v>
      </c>
      <c r="P11" s="540">
        <v>5572.75</v>
      </c>
    </row>
    <row r="12" spans="1:21" x14ac:dyDescent="0.3">
      <c r="A12" s="366" t="s">
        <v>956</v>
      </c>
      <c r="B12" s="1291"/>
      <c r="C12" s="537"/>
      <c r="D12" s="3803">
        <v>1491.22</v>
      </c>
      <c r="E12" s="3803">
        <v>21182.44</v>
      </c>
      <c r="F12" s="3803">
        <v>351637.24</v>
      </c>
      <c r="G12" s="537"/>
      <c r="H12" s="538">
        <f>SUM(C12:G12)</f>
        <v>374310.89999999997</v>
      </c>
      <c r="I12" s="537">
        <v>4210.16</v>
      </c>
      <c r="J12" s="537">
        <v>629</v>
      </c>
      <c r="K12" s="537">
        <v>181.52</v>
      </c>
      <c r="L12" s="537">
        <v>69.59</v>
      </c>
      <c r="M12" s="538">
        <f t="shared" ref="M12:M17" si="1">SUM(I12:L12)</f>
        <v>5090.2700000000004</v>
      </c>
      <c r="N12" s="539">
        <f t="shared" si="0"/>
        <v>379401.17</v>
      </c>
      <c r="O12" s="540">
        <v>227165.66</v>
      </c>
      <c r="P12" s="540">
        <v>470721.74</v>
      </c>
    </row>
    <row r="13" spans="1:21" x14ac:dyDescent="0.3">
      <c r="A13" s="366" t="s">
        <v>957</v>
      </c>
      <c r="B13" s="1291"/>
      <c r="C13" s="537"/>
      <c r="D13" s="3803">
        <v>0</v>
      </c>
      <c r="E13" s="3803">
        <v>0</v>
      </c>
      <c r="F13" s="3803">
        <v>0</v>
      </c>
      <c r="G13" s="537"/>
      <c r="H13" s="538">
        <f>SUM(C13:G13)</f>
        <v>0</v>
      </c>
      <c r="I13" s="537">
        <v>0</v>
      </c>
      <c r="J13" s="537">
        <v>0</v>
      </c>
      <c r="K13" s="537">
        <v>0</v>
      </c>
      <c r="L13" s="537">
        <v>0</v>
      </c>
      <c r="M13" s="538">
        <f t="shared" si="1"/>
        <v>0</v>
      </c>
      <c r="N13" s="539">
        <f t="shared" si="0"/>
        <v>0</v>
      </c>
      <c r="O13" s="537">
        <v>0</v>
      </c>
      <c r="P13" s="537">
        <v>2200.9499999999998</v>
      </c>
    </row>
    <row r="14" spans="1:21" ht="39.6" x14ac:dyDescent="0.3">
      <c r="A14" s="366" t="s">
        <v>958</v>
      </c>
      <c r="B14" s="1291"/>
      <c r="C14" s="537"/>
      <c r="D14" s="3803">
        <v>0</v>
      </c>
      <c r="E14" s="3803">
        <v>0</v>
      </c>
      <c r="F14" s="3803">
        <v>0</v>
      </c>
      <c r="G14" s="537"/>
      <c r="H14" s="538">
        <f>SUM(C14:G14)</f>
        <v>0</v>
      </c>
      <c r="I14" s="537">
        <v>0</v>
      </c>
      <c r="J14" s="537">
        <v>0</v>
      </c>
      <c r="K14" s="537">
        <v>0</v>
      </c>
      <c r="L14" s="537">
        <v>0</v>
      </c>
      <c r="M14" s="538">
        <f t="shared" si="1"/>
        <v>0</v>
      </c>
      <c r="N14" s="539">
        <f t="shared" si="0"/>
        <v>0</v>
      </c>
      <c r="O14" s="537">
        <v>0</v>
      </c>
      <c r="P14" s="537">
        <v>3507.62</v>
      </c>
    </row>
    <row r="15" spans="1:21" ht="26.4" x14ac:dyDescent="0.3">
      <c r="A15" s="366" t="s">
        <v>959</v>
      </c>
      <c r="B15" s="1291"/>
      <c r="C15" s="537"/>
      <c r="D15" s="3803">
        <v>0</v>
      </c>
      <c r="E15" s="3803">
        <v>0</v>
      </c>
      <c r="F15" s="3803">
        <v>0</v>
      </c>
      <c r="G15" s="537"/>
      <c r="H15" s="538">
        <f>SUM(C15:G15)</f>
        <v>0</v>
      </c>
      <c r="I15" s="537">
        <v>0</v>
      </c>
      <c r="J15" s="537">
        <v>0</v>
      </c>
      <c r="K15" s="537">
        <v>0</v>
      </c>
      <c r="L15" s="537">
        <v>0</v>
      </c>
      <c r="M15" s="538">
        <f t="shared" si="1"/>
        <v>0</v>
      </c>
      <c r="N15" s="539">
        <f t="shared" si="0"/>
        <v>0</v>
      </c>
      <c r="O15" s="537">
        <v>3514.01</v>
      </c>
      <c r="P15" s="537">
        <v>88736.83</v>
      </c>
    </row>
    <row r="16" spans="1:21" ht="26.4" x14ac:dyDescent="0.3">
      <c r="A16" s="366" t="s">
        <v>960</v>
      </c>
      <c r="B16" s="1291"/>
      <c r="C16" s="537"/>
      <c r="D16" s="3803">
        <v>21303.89</v>
      </c>
      <c r="E16" s="3803">
        <v>91918.62</v>
      </c>
      <c r="F16" s="3803">
        <v>0</v>
      </c>
      <c r="G16" s="537"/>
      <c r="H16" s="538">
        <f>SUM(C16:G16)</f>
        <v>113222.51</v>
      </c>
      <c r="I16" s="537">
        <v>2031</v>
      </c>
      <c r="J16" s="537">
        <v>435.81</v>
      </c>
      <c r="K16" s="537">
        <v>149.16</v>
      </c>
      <c r="L16" s="537">
        <v>59.61</v>
      </c>
      <c r="M16" s="538">
        <f t="shared" si="1"/>
        <v>2675.58</v>
      </c>
      <c r="N16" s="539">
        <f t="shared" si="0"/>
        <v>115898.09</v>
      </c>
      <c r="O16" s="537">
        <v>58647.08</v>
      </c>
      <c r="P16" s="537">
        <v>102263.57</v>
      </c>
    </row>
    <row r="17" spans="1:16" ht="26.4" x14ac:dyDescent="0.3">
      <c r="A17" s="366" t="s">
        <v>961</v>
      </c>
      <c r="B17" s="537"/>
      <c r="C17" s="537"/>
      <c r="D17" s="3803">
        <v>0</v>
      </c>
      <c r="E17" s="3803">
        <v>144917.54</v>
      </c>
      <c r="F17" s="3803">
        <v>0</v>
      </c>
      <c r="G17" s="537"/>
      <c r="H17" s="538">
        <f>SUM(B17:G17)</f>
        <v>144917.54</v>
      </c>
      <c r="I17" s="537">
        <v>3202.04</v>
      </c>
      <c r="J17" s="537">
        <v>687.09</v>
      </c>
      <c r="K17" s="537">
        <v>235.17</v>
      </c>
      <c r="L17" s="537">
        <v>93.98</v>
      </c>
      <c r="M17" s="538">
        <f t="shared" si="1"/>
        <v>4218.28</v>
      </c>
      <c r="N17" s="539">
        <f t="shared" si="0"/>
        <v>149135.82</v>
      </c>
      <c r="O17" s="540">
        <v>86565.01</v>
      </c>
      <c r="P17" s="540">
        <v>113046.86</v>
      </c>
    </row>
    <row r="18" spans="1:16" s="365" customFormat="1" x14ac:dyDescent="0.3">
      <c r="A18" s="378" t="s">
        <v>962</v>
      </c>
      <c r="B18" s="541">
        <f t="shared" ref="B18:G18" si="2">SUM(B11:B17)</f>
        <v>0</v>
      </c>
      <c r="C18" s="541">
        <f t="shared" si="2"/>
        <v>0</v>
      </c>
      <c r="D18" s="541">
        <f t="shared" si="2"/>
        <v>22795.11</v>
      </c>
      <c r="E18" s="541">
        <f t="shared" si="2"/>
        <v>271831.33</v>
      </c>
      <c r="F18" s="541">
        <f t="shared" si="2"/>
        <v>351637.24</v>
      </c>
      <c r="G18" s="541">
        <f t="shared" si="2"/>
        <v>0</v>
      </c>
      <c r="H18" s="541">
        <f>SUM(B18:G18)</f>
        <v>646263.67999999993</v>
      </c>
      <c r="I18" s="541">
        <f>SUM(I11:I17)</f>
        <v>9845.5400000000009</v>
      </c>
      <c r="J18" s="541">
        <f>SUM(J11:J17)</f>
        <v>1825.9</v>
      </c>
      <c r="K18" s="541">
        <f>SUM(K11:K17)</f>
        <v>586.95999999999992</v>
      </c>
      <c r="L18" s="541">
        <f>SUM(L11:L17)</f>
        <v>230.77000000000004</v>
      </c>
      <c r="M18" s="541">
        <f>SUM(I18:L18)</f>
        <v>12489.17</v>
      </c>
      <c r="N18" s="541">
        <f t="shared" si="0"/>
        <v>658752.85</v>
      </c>
      <c r="O18" s="542">
        <f>SUM(O11:O17)</f>
        <v>377350.10000000003</v>
      </c>
      <c r="P18" s="542">
        <f>SUM(P11:P17)</f>
        <v>786050.32</v>
      </c>
    </row>
    <row r="21" spans="1:16" ht="15.6" x14ac:dyDescent="0.3">
      <c r="A21" s="5531" t="str">
        <f>'Вхідні дані'!B13</f>
        <v>Директор підприємства</v>
      </c>
      <c r="B21" s="5531"/>
      <c r="C21" s="5531"/>
      <c r="D21" s="5531"/>
      <c r="E21" s="5531"/>
      <c r="F21" s="367"/>
      <c r="G21" s="367"/>
      <c r="H21" s="5532" t="s">
        <v>370</v>
      </c>
      <c r="I21" s="5532"/>
      <c r="J21" s="5532"/>
      <c r="K21" s="5532"/>
      <c r="L21" s="367"/>
      <c r="M21" s="367"/>
      <c r="N21" s="5520" t="str">
        <f>'Вхідні дані'!$F$13</f>
        <v>Анатолій ПАНШИН</v>
      </c>
      <c r="O21" s="5520"/>
      <c r="P21" s="5520"/>
    </row>
    <row r="22" spans="1:16" x14ac:dyDescent="0.3">
      <c r="B22" s="369"/>
      <c r="C22" s="370"/>
      <c r="D22" s="370"/>
      <c r="E22" s="367"/>
      <c r="F22" s="367"/>
      <c r="G22" s="367"/>
      <c r="H22" s="5536" t="s">
        <v>209</v>
      </c>
      <c r="I22" s="5536"/>
      <c r="J22" s="5536"/>
      <c r="K22" s="5536"/>
      <c r="L22" s="367"/>
      <c r="M22" s="367"/>
      <c r="N22" s="5521" t="s">
        <v>1985</v>
      </c>
      <c r="O22" s="5521"/>
      <c r="P22" s="5521"/>
    </row>
    <row r="23" spans="1:16" ht="15.6" x14ac:dyDescent="0.3">
      <c r="A23" s="5531" t="str">
        <f>'Вхідні дані'!B15</f>
        <v>Заступник директора з економіки</v>
      </c>
      <c r="B23" s="5531"/>
      <c r="C23" s="5531"/>
      <c r="D23" s="5531"/>
      <c r="E23" s="5531"/>
      <c r="F23" s="367"/>
      <c r="G23" s="367"/>
      <c r="H23" s="5532" t="s">
        <v>370</v>
      </c>
      <c r="I23" s="5532"/>
      <c r="J23" s="5532"/>
      <c r="K23" s="5532"/>
      <c r="L23" s="367"/>
      <c r="M23" s="367"/>
      <c r="N23" s="5520" t="str">
        <f>'Вхідні дані'!$F$15</f>
        <v>Олена ЛАВРОВА</v>
      </c>
      <c r="O23" s="5520"/>
      <c r="P23" s="5520"/>
    </row>
    <row r="24" spans="1:16" ht="15.6" x14ac:dyDescent="0.3">
      <c r="B24" s="373"/>
      <c r="C24" s="370"/>
      <c r="D24" s="367"/>
      <c r="E24" s="367"/>
      <c r="F24" s="367"/>
      <c r="G24" s="367"/>
      <c r="H24" s="5536" t="s">
        <v>209</v>
      </c>
      <c r="I24" s="5536"/>
      <c r="J24" s="5536"/>
      <c r="K24" s="5536"/>
      <c r="L24" s="367"/>
      <c r="M24" s="367"/>
      <c r="N24" s="5521" t="s">
        <v>1985</v>
      </c>
      <c r="O24" s="5521"/>
      <c r="P24" s="5521"/>
    </row>
    <row r="25" spans="1:16" x14ac:dyDescent="0.3">
      <c r="A25" s="5538" t="s">
        <v>3640</v>
      </c>
      <c r="B25" s="5538"/>
      <c r="C25" s="5538"/>
      <c r="D25" s="5538"/>
      <c r="E25" s="5538"/>
    </row>
    <row r="26" spans="1:16" ht="18" x14ac:dyDescent="0.35">
      <c r="B26" s="374"/>
      <c r="C26" s="375"/>
      <c r="D26" s="375"/>
      <c r="E26" s="376"/>
      <c r="F26" s="367"/>
      <c r="G26" s="367"/>
      <c r="H26" s="368"/>
      <c r="I26" s="367"/>
      <c r="J26" s="367"/>
      <c r="K26" s="367"/>
      <c r="L26" s="367"/>
      <c r="M26" s="367"/>
      <c r="N26" s="367"/>
      <c r="O26" s="377"/>
    </row>
    <row r="27" spans="1:16" x14ac:dyDescent="0.3">
      <c r="B27" s="369"/>
      <c r="C27" s="370"/>
      <c r="D27" s="370"/>
      <c r="E27" s="367"/>
      <c r="F27" s="367"/>
      <c r="G27" s="367"/>
      <c r="H27" s="371"/>
      <c r="I27" s="367"/>
      <c r="J27" s="367"/>
      <c r="K27" s="367"/>
      <c r="L27" s="367"/>
      <c r="M27" s="367"/>
      <c r="N27" s="367"/>
      <c r="O27" s="372"/>
    </row>
    <row r="29" spans="1:16" x14ac:dyDescent="0.3">
      <c r="D29" s="422"/>
      <c r="E29" s="422"/>
      <c r="F29" s="422"/>
      <c r="G29" s="422"/>
      <c r="H29" s="422"/>
      <c r="I29" s="422"/>
      <c r="J29" s="422"/>
      <c r="K29" s="422"/>
      <c r="L29" s="422"/>
      <c r="M29" s="422"/>
      <c r="N29" s="422"/>
      <c r="O29" s="422"/>
      <c r="P29" s="422"/>
    </row>
    <row r="51" spans="3:3" x14ac:dyDescent="0.3">
      <c r="C51" s="362">
        <v>4.68</v>
      </c>
    </row>
  </sheetData>
  <sheetProtection password="E93B" sheet="1" objects="1" scenarios="1"/>
  <mergeCells count="28">
    <mergeCell ref="H24:K24"/>
    <mergeCell ref="R3:U3"/>
    <mergeCell ref="R9:U9"/>
    <mergeCell ref="N5:N9"/>
    <mergeCell ref="O5:O9"/>
    <mergeCell ref="P5:P9"/>
    <mergeCell ref="A5:A9"/>
    <mergeCell ref="B5:H5"/>
    <mergeCell ref="I5:M5"/>
    <mergeCell ref="B6:G6"/>
    <mergeCell ref="H6:H9"/>
    <mergeCell ref="I6:L6"/>
    <mergeCell ref="A25:E25"/>
    <mergeCell ref="O1:P1"/>
    <mergeCell ref="A3:I3"/>
    <mergeCell ref="J3:M3"/>
    <mergeCell ref="N21:P21"/>
    <mergeCell ref="N23:P23"/>
    <mergeCell ref="N22:P22"/>
    <mergeCell ref="H21:K21"/>
    <mergeCell ref="H22:K22"/>
    <mergeCell ref="H23:K23"/>
    <mergeCell ref="N24:P24"/>
    <mergeCell ref="M6:M9"/>
    <mergeCell ref="B8:G8"/>
    <mergeCell ref="I8:L8"/>
    <mergeCell ref="A21:E21"/>
    <mergeCell ref="A23:E23"/>
  </mergeCells>
  <pageMargins left="0.3" right="0.15748031496062992" top="0.48" bottom="0.52" header="0.43" footer="0.31496062992125984"/>
  <pageSetup paperSize="9" orientation="landscape" verticalDpi="0" r:id="rId1"/>
</worksheet>
</file>

<file path=xl/worksheets/sheet6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200-000000000000}">
  <sheetPr codeName="Лист64">
    <tabColor theme="5" tint="-0.249977111117893"/>
    <pageSetUpPr fitToPage="1"/>
  </sheetPr>
  <dimension ref="A1:BS1716"/>
  <sheetViews>
    <sheetView zoomScale="110" zoomScaleNormal="110" workbookViewId="0">
      <pane xSplit="26" ySplit="10" topLeftCell="AA20" activePane="bottomRight" state="frozen"/>
      <selection pane="topRight" activeCell="AA1" sqref="AA1"/>
      <selection pane="bottomLeft" activeCell="A11" sqref="A11"/>
      <selection pane="bottomRight" activeCell="AL29" sqref="AL29"/>
    </sheetView>
  </sheetViews>
  <sheetFormatPr defaultColWidth="9.109375" defaultRowHeight="12" customHeight="1" zeroHeight="1" outlineLevelCol="1" x14ac:dyDescent="0.3"/>
  <cols>
    <col min="1" max="1" width="3.44140625" style="3216" customWidth="1"/>
    <col min="2" max="2" width="32.44140625" style="3216" customWidth="1"/>
    <col min="3" max="3" width="8.109375" style="3226" hidden="1" customWidth="1" outlineLevel="1"/>
    <col min="4" max="4" width="8.5546875" style="3216" hidden="1" customWidth="1" outlineLevel="1"/>
    <col min="5" max="6" width="6.88671875" style="3216" hidden="1" customWidth="1" outlineLevel="1"/>
    <col min="7" max="7" width="8.109375" style="3216" hidden="1" customWidth="1" outlineLevel="1"/>
    <col min="8" max="10" width="9" style="3216" hidden="1" customWidth="1" outlineLevel="1"/>
    <col min="11" max="11" width="6.88671875" style="3216" hidden="1" customWidth="1" outlineLevel="1"/>
    <col min="12" max="13" width="9" style="3216" hidden="1" customWidth="1" outlineLevel="1"/>
    <col min="14" max="14" width="2.5546875" style="3216" customWidth="1" collapsed="1"/>
    <col min="15" max="15" width="9.44140625" style="3226" hidden="1" customWidth="1" outlineLevel="1"/>
    <col min="16" max="16" width="8.44140625" style="3216" hidden="1" customWidth="1" outlineLevel="1"/>
    <col min="17" max="18" width="9" style="3216" hidden="1" customWidth="1" outlineLevel="1"/>
    <col min="19" max="19" width="8.5546875" style="3216" hidden="1" customWidth="1" outlineLevel="1"/>
    <col min="20" max="22" width="9" style="3216" hidden="1" customWidth="1" outlineLevel="1"/>
    <col min="23" max="23" width="6.88671875" style="3216" hidden="1" customWidth="1" outlineLevel="1"/>
    <col min="24" max="25" width="9" style="3216" hidden="1" customWidth="1" outlineLevel="1"/>
    <col min="26" max="26" width="2.5546875" style="3216" customWidth="1" collapsed="1"/>
    <col min="27" max="27" width="8.6640625" style="3226" customWidth="1" outlineLevel="1"/>
    <col min="28" max="28" width="9.88671875" style="3216" customWidth="1" outlineLevel="1"/>
    <col min="29" max="29" width="7.6640625" style="3216" customWidth="1" outlineLevel="1"/>
    <col min="30" max="30" width="8.33203125" style="3216" customWidth="1" outlineLevel="1"/>
    <col min="31" max="31" width="8.44140625" style="3216" customWidth="1" outlineLevel="1"/>
    <col min="32" max="32" width="8" style="3216" customWidth="1" outlineLevel="1"/>
    <col min="33" max="33" width="3.33203125" style="3229" customWidth="1" outlineLevel="1"/>
    <col min="34" max="34" width="7" style="3229" customWidth="1" outlineLevel="1"/>
    <col min="35" max="35" width="2.6640625" style="3229" customWidth="1" outlineLevel="1"/>
    <col min="36" max="36" width="7.44140625" style="3229" customWidth="1" outlineLevel="1"/>
    <col min="37" max="37" width="2.6640625" style="3229" customWidth="1" outlineLevel="1"/>
    <col min="38" max="38" width="7.88671875" style="3216" customWidth="1" outlineLevel="1"/>
    <col min="39" max="39" width="3.109375" style="3229" customWidth="1" outlineLevel="1"/>
    <col min="40" max="40" width="6" style="3216" customWidth="1" outlineLevel="1"/>
    <col min="41" max="41" width="3" style="3229" customWidth="1" outlineLevel="1"/>
    <col min="42" max="42" width="7.6640625" style="3216" customWidth="1" outlineLevel="1"/>
    <col min="43" max="43" width="6.6640625" style="3216" customWidth="1" outlineLevel="1"/>
    <col min="44" max="44" width="5.44140625" style="3216" customWidth="1" outlineLevel="1"/>
    <col min="45" max="45" width="3.33203125" style="3216" customWidth="1"/>
    <col min="46" max="46" width="10.88671875" style="3225" hidden="1" customWidth="1" outlineLevel="1"/>
    <col min="47" max="47" width="8.44140625" style="3225" hidden="1" customWidth="1" outlineLevel="1"/>
    <col min="48" max="48" width="8" style="3225" hidden="1" customWidth="1" outlineLevel="1"/>
    <col min="49" max="49" width="10.88671875" style="3225" hidden="1" customWidth="1" outlineLevel="1"/>
    <col min="50" max="51" width="8" style="3225" hidden="1" customWidth="1" outlineLevel="1"/>
    <col min="52" max="52" width="10.88671875" style="3225" hidden="1" customWidth="1" outlineLevel="1"/>
    <col min="53" max="54" width="8" style="3225" hidden="1" customWidth="1" outlineLevel="1"/>
    <col min="55" max="55" width="10.88671875" style="3225" hidden="1" customWidth="1" outlineLevel="1"/>
    <col min="56" max="57" width="8" style="3225" hidden="1" customWidth="1" outlineLevel="1"/>
    <col min="58" max="58" width="8.88671875" style="3225" hidden="1" customWidth="1" outlineLevel="1"/>
    <col min="59" max="59" width="10" style="3225" hidden="1" customWidth="1" outlineLevel="1"/>
    <col min="60" max="60" width="10.5546875" style="3216" hidden="1" customWidth="1" outlineLevel="1"/>
    <col min="61" max="61" width="18.5546875" style="3216" hidden="1" customWidth="1" outlineLevel="1"/>
    <col min="62" max="62" width="12.6640625" style="3216" hidden="1" customWidth="1" collapsed="1"/>
    <col min="63" max="63" width="15.6640625" style="3216" hidden="1" customWidth="1"/>
    <col min="64" max="64" width="16.6640625" style="3216" customWidth="1"/>
    <col min="65" max="65" width="15.33203125" style="3216" customWidth="1"/>
    <col min="66" max="70" width="9.109375" style="3216"/>
    <col min="71" max="71" width="30.33203125" style="3216" customWidth="1"/>
    <col min="72" max="16384" width="9.109375" style="3216"/>
  </cols>
  <sheetData>
    <row r="1" spans="1:71" ht="27" customHeight="1" thickBot="1" x14ac:dyDescent="0.35">
      <c r="A1" s="5549" t="s">
        <v>3683</v>
      </c>
      <c r="B1" s="5549"/>
      <c r="C1" s="5549"/>
      <c r="D1" s="5549"/>
      <c r="E1" s="5549"/>
      <c r="F1" s="5549"/>
      <c r="G1" s="5549"/>
      <c r="H1" s="5549"/>
      <c r="I1" s="5549"/>
      <c r="J1" s="5549"/>
      <c r="K1" s="5549"/>
      <c r="L1" s="5549"/>
      <c r="M1" s="5549"/>
      <c r="N1" s="5549"/>
      <c r="O1" s="5549"/>
      <c r="P1" s="5549"/>
      <c r="Q1" s="5549"/>
      <c r="R1" s="5549"/>
      <c r="S1" s="5549"/>
      <c r="T1" s="5549"/>
      <c r="U1" s="5549"/>
      <c r="V1" s="5549"/>
      <c r="W1" s="5549"/>
      <c r="X1" s="5549"/>
      <c r="Y1" s="5549"/>
      <c r="Z1" s="5549"/>
      <c r="AA1" s="5549"/>
      <c r="AB1" s="5549"/>
      <c r="AC1" s="5549"/>
      <c r="AD1" s="5549"/>
      <c r="AE1" s="5549"/>
      <c r="AF1" s="5549"/>
      <c r="AG1" s="5549"/>
      <c r="AH1" s="5549"/>
      <c r="AI1" s="5549"/>
      <c r="AJ1" s="5549"/>
      <c r="AK1" s="5549"/>
      <c r="AL1" s="5549"/>
      <c r="AM1" s="5549"/>
      <c r="AN1" s="5549"/>
      <c r="AO1" s="5549"/>
      <c r="AP1" s="5549"/>
      <c r="AQ1" s="5549"/>
      <c r="AR1" s="5549"/>
      <c r="AS1" s="4264"/>
    </row>
    <row r="2" spans="1:71" s="3265" customFormat="1" ht="12.75" customHeight="1" thickBot="1" x14ac:dyDescent="0.35">
      <c r="A2" s="5550" t="s">
        <v>4035</v>
      </c>
      <c r="B2" s="5551"/>
      <c r="C2" s="3219">
        <f>SUM(C11:C913)</f>
        <v>0</v>
      </c>
      <c r="D2" s="3218">
        <f t="shared" ref="D2:M2" si="0">SUM(D11:D913)</f>
        <v>0</v>
      </c>
      <c r="E2" s="3218">
        <f t="shared" si="0"/>
        <v>0</v>
      </c>
      <c r="F2" s="3218">
        <f t="shared" si="0"/>
        <v>0</v>
      </c>
      <c r="G2" s="3218">
        <f t="shared" si="0"/>
        <v>0</v>
      </c>
      <c r="H2" s="3218">
        <f t="shared" si="0"/>
        <v>0</v>
      </c>
      <c r="I2" s="3218">
        <f t="shared" si="0"/>
        <v>0</v>
      </c>
      <c r="J2" s="3218">
        <f t="shared" si="0"/>
        <v>0</v>
      </c>
      <c r="K2" s="3218">
        <f t="shared" si="0"/>
        <v>0</v>
      </c>
      <c r="L2" s="3218">
        <f t="shared" si="0"/>
        <v>0</v>
      </c>
      <c r="M2" s="3218">
        <f t="shared" si="0"/>
        <v>0</v>
      </c>
      <c r="N2" s="3217"/>
      <c r="O2" s="3219">
        <f>SUM(O11:O913)</f>
        <v>0</v>
      </c>
      <c r="P2" s="3219">
        <f t="shared" ref="P2:Y2" si="1">SUM(P11:P913)</f>
        <v>0</v>
      </c>
      <c r="Q2" s="3219">
        <f t="shared" si="1"/>
        <v>0</v>
      </c>
      <c r="R2" s="3219">
        <f t="shared" si="1"/>
        <v>0</v>
      </c>
      <c r="S2" s="3219">
        <f t="shared" si="1"/>
        <v>0</v>
      </c>
      <c r="T2" s="3219">
        <f t="shared" si="1"/>
        <v>0</v>
      </c>
      <c r="U2" s="3219">
        <f t="shared" si="1"/>
        <v>0</v>
      </c>
      <c r="V2" s="3219">
        <f t="shared" si="1"/>
        <v>0</v>
      </c>
      <c r="W2" s="3219">
        <f t="shared" si="1"/>
        <v>0</v>
      </c>
      <c r="X2" s="3219">
        <f t="shared" si="1"/>
        <v>0</v>
      </c>
      <c r="Y2" s="3219">
        <f t="shared" si="1"/>
        <v>0</v>
      </c>
      <c r="Z2" s="3217"/>
      <c r="AA2" s="3263">
        <f t="shared" ref="AA2:AJ2" si="2">SUM(AA11:AA913)</f>
        <v>225481160.23231435</v>
      </c>
      <c r="AB2" s="3263">
        <f t="shared" si="2"/>
        <v>208120240.03461739</v>
      </c>
      <c r="AC2" s="3263">
        <f t="shared" si="2"/>
        <v>7841425.8143791538</v>
      </c>
      <c r="AD2" s="3263">
        <f t="shared" si="2"/>
        <v>9533084.2430489305</v>
      </c>
      <c r="AE2" s="3263">
        <f t="shared" si="2"/>
        <v>202188842.36639675</v>
      </c>
      <c r="AF2" s="5552">
        <f t="shared" si="2"/>
        <v>143860621.83577865</v>
      </c>
      <c r="AG2" s="5552"/>
      <c r="AH2" s="5577">
        <f t="shared" si="2"/>
        <v>6124147.7393595204</v>
      </c>
      <c r="AI2" s="5578"/>
      <c r="AJ2" s="5577">
        <f t="shared" si="2"/>
        <v>10746316.846381828</v>
      </c>
      <c r="AK2" s="5578"/>
      <c r="AL2" s="5577">
        <f>SUM(AL11:AL913)</f>
        <v>39651761.434505172</v>
      </c>
      <c r="AM2" s="5578"/>
      <c r="AN2" s="5552">
        <f>SUM(AN11:AN913)</f>
        <v>1816648.6399715741</v>
      </c>
      <c r="AO2" s="5552"/>
      <c r="AP2" s="3263">
        <f>SUM(AP11:AP913)</f>
        <v>5931397.6682206839</v>
      </c>
      <c r="AQ2" s="3263">
        <f>SUM(AQ11:AQ913)</f>
        <v>5893310.4996008268</v>
      </c>
      <c r="AR2" s="3263">
        <f>SUM(AR11:AR913)</f>
        <v>38087.1686198569</v>
      </c>
      <c r="AS2" s="3217"/>
      <c r="AT2" s="3263">
        <f>SUM(AT11:AT913)</f>
        <v>0</v>
      </c>
      <c r="AU2" s="3263">
        <f t="shared" ref="AU2:BE2" si="3">SUM(AU11:AU913)</f>
        <v>0</v>
      </c>
      <c r="AV2" s="3263">
        <f t="shared" si="3"/>
        <v>0</v>
      </c>
      <c r="AW2" s="3263">
        <f t="shared" si="3"/>
        <v>0</v>
      </c>
      <c r="AX2" s="3263">
        <f t="shared" si="3"/>
        <v>0</v>
      </c>
      <c r="AY2" s="3263">
        <f t="shared" si="3"/>
        <v>0</v>
      </c>
      <c r="AZ2" s="3263">
        <f t="shared" si="3"/>
        <v>0</v>
      </c>
      <c r="BA2" s="3263">
        <f t="shared" si="3"/>
        <v>0</v>
      </c>
      <c r="BB2" s="3263">
        <f t="shared" si="3"/>
        <v>0</v>
      </c>
      <c r="BC2" s="3263">
        <f t="shared" si="3"/>
        <v>0</v>
      </c>
      <c r="BD2" s="3263">
        <f t="shared" si="3"/>
        <v>0</v>
      </c>
      <c r="BE2" s="3263">
        <f t="shared" si="3"/>
        <v>0</v>
      </c>
      <c r="BF2" s="3264"/>
      <c r="BG2" s="3264"/>
    </row>
    <row r="3" spans="1:71" ht="18" customHeight="1" x14ac:dyDescent="0.25">
      <c r="A3" s="5548" t="str">
        <f>'Вхідні дані'!F5</f>
        <v>КП «КТЕ"</v>
      </c>
      <c r="B3" s="5548"/>
      <c r="L3" s="3227"/>
      <c r="M3" s="3227" t="s">
        <v>447</v>
      </c>
      <c r="N3" s="3228"/>
      <c r="X3" s="3227"/>
      <c r="Y3" s="3227" t="s">
        <v>447</v>
      </c>
      <c r="Z3" s="3228"/>
      <c r="AC3" s="4250">
        <f>ЗВВ_2ст!F8*1000-'Прямі витрати'!AC2</f>
        <v>0.53999999817460775</v>
      </c>
      <c r="AD3" s="4250">
        <f>Адміністративні_2ст!F8*1000-'Прямі витрати'!AD2</f>
        <v>0.32816750183701515</v>
      </c>
      <c r="AE3" s="4250"/>
      <c r="AF3" s="5553">
        <f>AF2-Виробництво_1ст!F10*1000</f>
        <v>3.3300000727176666</v>
      </c>
      <c r="AG3" s="5553"/>
      <c r="AH3" s="4269">
        <f>AH2+AJ2+AL2-Транспортування_1ст!F12*1000</f>
        <v>-2.000001072883606E-2</v>
      </c>
      <c r="AI3" s="4269"/>
      <c r="AJ3" s="4251"/>
      <c r="AK3" s="4251"/>
      <c r="AL3" s="4252"/>
      <c r="AM3" s="4251"/>
      <c r="AN3" s="5553">
        <f>Постачання_2ст!F9*1000-'Прямі витрати'!AN2:AO2</f>
        <v>0</v>
      </c>
      <c r="AO3" s="5553"/>
      <c r="AQ3" s="3227"/>
      <c r="AR3" s="3227" t="s">
        <v>447</v>
      </c>
      <c r="AS3" s="3228"/>
      <c r="AT3" s="10"/>
      <c r="AU3" s="10"/>
      <c r="AV3" s="10"/>
      <c r="AW3" s="10"/>
      <c r="AX3" s="10"/>
      <c r="AY3" s="10"/>
      <c r="AZ3" s="10"/>
      <c r="BA3" s="10"/>
      <c r="BB3" s="10"/>
      <c r="BC3" s="10"/>
      <c r="BD3" s="10"/>
      <c r="BE3" s="10"/>
      <c r="BH3" s="3228"/>
      <c r="BI3" s="3228"/>
    </row>
    <row r="4" spans="1:71" ht="13.2" customHeight="1" x14ac:dyDescent="0.25">
      <c r="A4" s="5554" t="s">
        <v>968</v>
      </c>
      <c r="B4" s="5554" t="s">
        <v>1881</v>
      </c>
      <c r="C4" s="5554" t="s">
        <v>3644</v>
      </c>
      <c r="D4" s="5554"/>
      <c r="E4" s="5554"/>
      <c r="F4" s="5554"/>
      <c r="G4" s="5554"/>
      <c r="H4" s="5554"/>
      <c r="I4" s="5554"/>
      <c r="J4" s="5554"/>
      <c r="K4" s="5554"/>
      <c r="L4" s="5554"/>
      <c r="M4" s="5554"/>
      <c r="N4" s="5554"/>
      <c r="O4" s="5554" t="s">
        <v>3645</v>
      </c>
      <c r="P4" s="5554"/>
      <c r="Q4" s="5554"/>
      <c r="R4" s="5554"/>
      <c r="S4" s="5554"/>
      <c r="T4" s="5554"/>
      <c r="U4" s="5554"/>
      <c r="V4" s="5554"/>
      <c r="W4" s="5554"/>
      <c r="X4" s="5554"/>
      <c r="Y4" s="5554"/>
      <c r="Z4" s="5554"/>
      <c r="AA4" s="5566" t="s">
        <v>3498</v>
      </c>
      <c r="AB4" s="5567"/>
      <c r="AC4" s="5567"/>
      <c r="AD4" s="5567"/>
      <c r="AE4" s="5567"/>
      <c r="AF4" s="5567"/>
      <c r="AG4" s="5567"/>
      <c r="AH4" s="5567"/>
      <c r="AI4" s="5567"/>
      <c r="AJ4" s="5567"/>
      <c r="AK4" s="5567"/>
      <c r="AL4" s="5567"/>
      <c r="AM4" s="5567"/>
      <c r="AN4" s="5567"/>
      <c r="AO4" s="5567"/>
      <c r="AP4" s="5567"/>
      <c r="AQ4" s="5567"/>
      <c r="AR4" s="5568"/>
      <c r="AS4" s="5554"/>
      <c r="AT4" s="5565" t="s">
        <v>3483</v>
      </c>
      <c r="AU4" s="5565"/>
      <c r="AV4" s="5565"/>
      <c r="AW4" s="5569" t="s">
        <v>3484</v>
      </c>
      <c r="AX4" s="5570"/>
      <c r="AY4" s="5570"/>
      <c r="AZ4" s="5570"/>
      <c r="BA4" s="5570"/>
      <c r="BB4" s="5570"/>
      <c r="BC4" s="5570"/>
      <c r="BD4" s="5570"/>
      <c r="BE4" s="5571"/>
      <c r="BF4" s="5565" t="s">
        <v>4038</v>
      </c>
      <c r="BG4" s="5565"/>
      <c r="BH4" s="5572" t="s">
        <v>3485</v>
      </c>
      <c r="BI4" s="5554" t="s">
        <v>3486</v>
      </c>
    </row>
    <row r="5" spans="1:71" ht="10.95" customHeight="1" x14ac:dyDescent="0.25">
      <c r="A5" s="5554"/>
      <c r="B5" s="5554"/>
      <c r="C5" s="5554" t="s">
        <v>3497</v>
      </c>
      <c r="D5" s="5554"/>
      <c r="E5" s="5554"/>
      <c r="F5" s="5554"/>
      <c r="G5" s="5554" t="s">
        <v>3487</v>
      </c>
      <c r="H5" s="5554"/>
      <c r="I5" s="5554"/>
      <c r="J5" s="5554"/>
      <c r="K5" s="5554"/>
      <c r="L5" s="5554"/>
      <c r="M5" s="5554"/>
      <c r="N5" s="5554"/>
      <c r="O5" s="5554" t="s">
        <v>3497</v>
      </c>
      <c r="P5" s="5554"/>
      <c r="Q5" s="5554"/>
      <c r="R5" s="5554"/>
      <c r="S5" s="5554" t="s">
        <v>3487</v>
      </c>
      <c r="T5" s="5554"/>
      <c r="U5" s="5554"/>
      <c r="V5" s="5554"/>
      <c r="W5" s="5554"/>
      <c r="X5" s="5554"/>
      <c r="Y5" s="5554"/>
      <c r="Z5" s="5554"/>
      <c r="AA5" s="5554" t="s">
        <v>3497</v>
      </c>
      <c r="AB5" s="5554"/>
      <c r="AC5" s="5554"/>
      <c r="AD5" s="5554"/>
      <c r="AE5" s="5555" t="s">
        <v>3487</v>
      </c>
      <c r="AF5" s="5564"/>
      <c r="AG5" s="5564"/>
      <c r="AH5" s="5564"/>
      <c r="AI5" s="5564"/>
      <c r="AJ5" s="5564"/>
      <c r="AK5" s="5564"/>
      <c r="AL5" s="5564"/>
      <c r="AM5" s="5564"/>
      <c r="AN5" s="5564"/>
      <c r="AO5" s="5564"/>
      <c r="AP5" s="5564"/>
      <c r="AQ5" s="5564"/>
      <c r="AR5" s="5556"/>
      <c r="AS5" s="5554"/>
      <c r="AT5" s="5565"/>
      <c r="AU5" s="5565"/>
      <c r="AV5" s="5565"/>
      <c r="AW5" s="5565" t="s">
        <v>908</v>
      </c>
      <c r="AX5" s="5565"/>
      <c r="AY5" s="5565"/>
      <c r="AZ5" s="5565" t="s">
        <v>2849</v>
      </c>
      <c r="BA5" s="5565"/>
      <c r="BB5" s="5565"/>
      <c r="BC5" s="5565" t="s">
        <v>910</v>
      </c>
      <c r="BD5" s="5565"/>
      <c r="BE5" s="5565"/>
      <c r="BF5" s="5565"/>
      <c r="BG5" s="5565"/>
      <c r="BH5" s="5573"/>
      <c r="BI5" s="5554"/>
    </row>
    <row r="6" spans="1:71" ht="10.95" customHeight="1" x14ac:dyDescent="0.25">
      <c r="A6" s="5554"/>
      <c r="B6" s="5554"/>
      <c r="C6" s="5554"/>
      <c r="D6" s="5554"/>
      <c r="E6" s="5554"/>
      <c r="F6" s="5554"/>
      <c r="G6" s="5563" t="s">
        <v>3502</v>
      </c>
      <c r="H6" s="5554" t="s">
        <v>3487</v>
      </c>
      <c r="I6" s="5554"/>
      <c r="J6" s="5554"/>
      <c r="K6" s="5563" t="s">
        <v>3501</v>
      </c>
      <c r="L6" s="5554" t="s">
        <v>3487</v>
      </c>
      <c r="M6" s="5554"/>
      <c r="N6" s="5554"/>
      <c r="O6" s="5554"/>
      <c r="P6" s="5554"/>
      <c r="Q6" s="5554"/>
      <c r="R6" s="5554"/>
      <c r="S6" s="5563" t="s">
        <v>3499</v>
      </c>
      <c r="T6" s="5554" t="s">
        <v>3487</v>
      </c>
      <c r="U6" s="5554"/>
      <c r="V6" s="5554"/>
      <c r="W6" s="5563" t="s">
        <v>3501</v>
      </c>
      <c r="X6" s="5554" t="s">
        <v>3487</v>
      </c>
      <c r="Y6" s="5554"/>
      <c r="Z6" s="5554"/>
      <c r="AA6" s="5554"/>
      <c r="AB6" s="5554"/>
      <c r="AC6" s="5554"/>
      <c r="AD6" s="5554"/>
      <c r="AE6" s="5554" t="s">
        <v>3502</v>
      </c>
      <c r="AF6" s="5555" t="s">
        <v>3487</v>
      </c>
      <c r="AG6" s="5564"/>
      <c r="AH6" s="5564"/>
      <c r="AI6" s="5564"/>
      <c r="AJ6" s="5564"/>
      <c r="AK6" s="5564"/>
      <c r="AL6" s="5564"/>
      <c r="AM6" s="5564"/>
      <c r="AN6" s="5564"/>
      <c r="AO6" s="5556"/>
      <c r="AP6" s="5554" t="s">
        <v>3501</v>
      </c>
      <c r="AQ6" s="5555" t="s">
        <v>3487</v>
      </c>
      <c r="AR6" s="5556"/>
      <c r="AS6" s="5554"/>
      <c r="AT6" s="5565"/>
      <c r="AU6" s="5565"/>
      <c r="AV6" s="5565"/>
      <c r="AW6" s="5565"/>
      <c r="AX6" s="5565"/>
      <c r="AY6" s="5565"/>
      <c r="AZ6" s="5565"/>
      <c r="BA6" s="5565"/>
      <c r="BB6" s="5565"/>
      <c r="BC6" s="5565"/>
      <c r="BD6" s="5565"/>
      <c r="BE6" s="5565"/>
      <c r="BF6" s="5565"/>
      <c r="BG6" s="5565"/>
      <c r="BH6" s="5573"/>
      <c r="BI6" s="5554"/>
    </row>
    <row r="7" spans="1:71" ht="10.95" customHeight="1" x14ac:dyDescent="0.3">
      <c r="A7" s="5554"/>
      <c r="B7" s="5554"/>
      <c r="C7" s="5554"/>
      <c r="D7" s="5554"/>
      <c r="E7" s="5554"/>
      <c r="F7" s="5554"/>
      <c r="G7" s="5563"/>
      <c r="H7" s="5563" t="s">
        <v>0</v>
      </c>
      <c r="I7" s="5563" t="s">
        <v>1</v>
      </c>
      <c r="J7" s="5563" t="s">
        <v>2</v>
      </c>
      <c r="K7" s="5563"/>
      <c r="L7" s="5563" t="s">
        <v>958</v>
      </c>
      <c r="M7" s="5563" t="s">
        <v>1953</v>
      </c>
      <c r="N7" s="5554"/>
      <c r="O7" s="5554"/>
      <c r="P7" s="5554"/>
      <c r="Q7" s="5554"/>
      <c r="R7" s="5554"/>
      <c r="S7" s="5563"/>
      <c r="T7" s="5563" t="s">
        <v>0</v>
      </c>
      <c r="U7" s="5563" t="s">
        <v>1</v>
      </c>
      <c r="V7" s="5563" t="s">
        <v>2</v>
      </c>
      <c r="W7" s="5563"/>
      <c r="X7" s="5563" t="s">
        <v>958</v>
      </c>
      <c r="Y7" s="5563" t="s">
        <v>1953</v>
      </c>
      <c r="Z7" s="5554"/>
      <c r="AA7" s="5554"/>
      <c r="AB7" s="5554"/>
      <c r="AC7" s="5554"/>
      <c r="AD7" s="5554"/>
      <c r="AE7" s="5554"/>
      <c r="AF7" s="5557" t="s">
        <v>0</v>
      </c>
      <c r="AG7" s="5558"/>
      <c r="AH7" s="5554" t="s">
        <v>1</v>
      </c>
      <c r="AI7" s="5554"/>
      <c r="AJ7" s="5554"/>
      <c r="AK7" s="5554"/>
      <c r="AL7" s="5554"/>
      <c r="AM7" s="5554"/>
      <c r="AN7" s="5557" t="s">
        <v>2</v>
      </c>
      <c r="AO7" s="5558"/>
      <c r="AP7" s="5554"/>
      <c r="AQ7" s="5554" t="s">
        <v>1880</v>
      </c>
      <c r="AR7" s="5554" t="s">
        <v>1953</v>
      </c>
      <c r="AS7" s="5554"/>
      <c r="AT7" s="5565"/>
      <c r="AU7" s="5565"/>
      <c r="AV7" s="5565"/>
      <c r="AW7" s="5565"/>
      <c r="AX7" s="5565"/>
      <c r="AY7" s="5565"/>
      <c r="AZ7" s="5565"/>
      <c r="BA7" s="5565"/>
      <c r="BB7" s="5565"/>
      <c r="BC7" s="5565"/>
      <c r="BD7" s="5565"/>
      <c r="BE7" s="5565"/>
      <c r="BF7" s="5565"/>
      <c r="BG7" s="5565"/>
      <c r="BH7" s="5573"/>
      <c r="BI7" s="5554"/>
    </row>
    <row r="8" spans="1:71" ht="12.6" customHeight="1" x14ac:dyDescent="0.25">
      <c r="A8" s="5554"/>
      <c r="B8" s="5554"/>
      <c r="C8" s="5579" t="s">
        <v>3488</v>
      </c>
      <c r="D8" s="5554" t="s">
        <v>3487</v>
      </c>
      <c r="E8" s="5554"/>
      <c r="F8" s="5554"/>
      <c r="G8" s="5563"/>
      <c r="H8" s="5563"/>
      <c r="I8" s="5563"/>
      <c r="J8" s="5563"/>
      <c r="K8" s="5563"/>
      <c r="L8" s="5563"/>
      <c r="M8" s="5563"/>
      <c r="N8" s="5554"/>
      <c r="O8" s="5563" t="s">
        <v>3488</v>
      </c>
      <c r="P8" s="5554" t="s">
        <v>3487</v>
      </c>
      <c r="Q8" s="5554"/>
      <c r="R8" s="5554"/>
      <c r="S8" s="5563"/>
      <c r="T8" s="5563"/>
      <c r="U8" s="5563"/>
      <c r="V8" s="5563"/>
      <c r="W8" s="5563"/>
      <c r="X8" s="5563"/>
      <c r="Y8" s="5563"/>
      <c r="Z8" s="5554"/>
      <c r="AA8" s="5554" t="s">
        <v>3488</v>
      </c>
      <c r="AB8" s="5555" t="s">
        <v>3487</v>
      </c>
      <c r="AC8" s="5564"/>
      <c r="AD8" s="5556"/>
      <c r="AE8" s="5554"/>
      <c r="AF8" s="5559"/>
      <c r="AG8" s="5560"/>
      <c r="AH8" s="5554"/>
      <c r="AI8" s="5554"/>
      <c r="AJ8" s="5554"/>
      <c r="AK8" s="5554"/>
      <c r="AL8" s="5554"/>
      <c r="AM8" s="5554"/>
      <c r="AN8" s="5559"/>
      <c r="AO8" s="5560"/>
      <c r="AP8" s="5554"/>
      <c r="AQ8" s="5554"/>
      <c r="AR8" s="5554"/>
      <c r="AS8" s="5554"/>
      <c r="AT8" s="5565"/>
      <c r="AU8" s="5565"/>
      <c r="AV8" s="5565"/>
      <c r="AW8" s="5565"/>
      <c r="AX8" s="5565"/>
      <c r="AY8" s="5565"/>
      <c r="AZ8" s="5565"/>
      <c r="BA8" s="5565"/>
      <c r="BB8" s="5565"/>
      <c r="BC8" s="5565"/>
      <c r="BD8" s="5565"/>
      <c r="BE8" s="5565"/>
      <c r="BF8" s="5565"/>
      <c r="BG8" s="5565"/>
      <c r="BH8" s="5573"/>
      <c r="BI8" s="5554"/>
    </row>
    <row r="9" spans="1:71" ht="75" customHeight="1" x14ac:dyDescent="0.3">
      <c r="A9" s="5554"/>
      <c r="B9" s="5554"/>
      <c r="C9" s="5580"/>
      <c r="D9" s="3230" t="s">
        <v>3500</v>
      </c>
      <c r="E9" s="3231" t="s">
        <v>1567</v>
      </c>
      <c r="F9" s="3231" t="s">
        <v>929</v>
      </c>
      <c r="G9" s="5563"/>
      <c r="H9" s="5563"/>
      <c r="I9" s="5563"/>
      <c r="J9" s="5563"/>
      <c r="K9" s="5563"/>
      <c r="L9" s="5563"/>
      <c r="M9" s="5563"/>
      <c r="N9" s="5554"/>
      <c r="O9" s="5563"/>
      <c r="P9" s="3230" t="s">
        <v>3500</v>
      </c>
      <c r="Q9" s="3231" t="s">
        <v>1567</v>
      </c>
      <c r="R9" s="3231" t="s">
        <v>929</v>
      </c>
      <c r="S9" s="5563"/>
      <c r="T9" s="5563"/>
      <c r="U9" s="5563"/>
      <c r="V9" s="5563"/>
      <c r="W9" s="5563"/>
      <c r="X9" s="5563"/>
      <c r="Y9" s="5563"/>
      <c r="Z9" s="5554"/>
      <c r="AA9" s="5554"/>
      <c r="AB9" s="4197" t="s">
        <v>3500</v>
      </c>
      <c r="AC9" s="3234" t="s">
        <v>1567</v>
      </c>
      <c r="AD9" s="3234" t="s">
        <v>929</v>
      </c>
      <c r="AE9" s="5554"/>
      <c r="AF9" s="5561"/>
      <c r="AG9" s="5562"/>
      <c r="AH9" s="5575" t="s">
        <v>4036</v>
      </c>
      <c r="AI9" s="5576"/>
      <c r="AJ9" s="5575" t="s">
        <v>644</v>
      </c>
      <c r="AK9" s="5576"/>
      <c r="AL9" s="5575" t="s">
        <v>643</v>
      </c>
      <c r="AM9" s="5576"/>
      <c r="AN9" s="5561"/>
      <c r="AO9" s="5562"/>
      <c r="AP9" s="5554"/>
      <c r="AQ9" s="5554"/>
      <c r="AR9" s="5554"/>
      <c r="AS9" s="5554"/>
      <c r="AT9" s="3232" t="s">
        <v>447</v>
      </c>
      <c r="AU9" s="3233" t="s">
        <v>3489</v>
      </c>
      <c r="AV9" s="3233" t="s">
        <v>3490</v>
      </c>
      <c r="AW9" s="3232" t="s">
        <v>447</v>
      </c>
      <c r="AX9" s="3233" t="s">
        <v>3489</v>
      </c>
      <c r="AY9" s="3233" t="s">
        <v>3490</v>
      </c>
      <c r="AZ9" s="3232" t="s">
        <v>447</v>
      </c>
      <c r="BA9" s="3233" t="s">
        <v>3489</v>
      </c>
      <c r="BB9" s="3233" t="s">
        <v>3490</v>
      </c>
      <c r="BC9" s="3232" t="s">
        <v>447</v>
      </c>
      <c r="BD9" s="3233" t="s">
        <v>3489</v>
      </c>
      <c r="BE9" s="3233" t="s">
        <v>3490</v>
      </c>
      <c r="BF9" s="3233" t="s">
        <v>3491</v>
      </c>
      <c r="BG9" s="3233" t="s">
        <v>3492</v>
      </c>
      <c r="BH9" s="5574"/>
      <c r="BI9" s="5554"/>
      <c r="BL9" s="3216" t="s">
        <v>4026</v>
      </c>
      <c r="BM9" s="3216" t="s">
        <v>4028</v>
      </c>
    </row>
    <row r="10" spans="1:71" s="3226" customFormat="1" ht="16.5" customHeight="1" x14ac:dyDescent="0.3">
      <c r="A10" s="3234">
        <v>1</v>
      </c>
      <c r="B10" s="3234">
        <v>2</v>
      </c>
      <c r="C10" s="3234">
        <v>3</v>
      </c>
      <c r="D10" s="3234">
        <v>4</v>
      </c>
      <c r="E10" s="3234">
        <v>5</v>
      </c>
      <c r="F10" s="3234">
        <v>6</v>
      </c>
      <c r="G10" s="3234">
        <v>7</v>
      </c>
      <c r="H10" s="3234">
        <v>8</v>
      </c>
      <c r="I10" s="3234">
        <v>9</v>
      </c>
      <c r="J10" s="3234">
        <v>10</v>
      </c>
      <c r="K10" s="3234">
        <v>11</v>
      </c>
      <c r="L10" s="3234">
        <v>12</v>
      </c>
      <c r="M10" s="3234">
        <v>13</v>
      </c>
      <c r="N10" s="3234"/>
      <c r="O10" s="3234">
        <v>14</v>
      </c>
      <c r="P10" s="3234">
        <v>15</v>
      </c>
      <c r="Q10" s="3234">
        <v>16</v>
      </c>
      <c r="R10" s="3234">
        <v>17</v>
      </c>
      <c r="S10" s="3234">
        <v>18</v>
      </c>
      <c r="T10" s="3234">
        <v>19</v>
      </c>
      <c r="U10" s="3234">
        <v>20</v>
      </c>
      <c r="V10" s="3234">
        <v>21</v>
      </c>
      <c r="W10" s="3234">
        <v>22</v>
      </c>
      <c r="X10" s="3234">
        <v>23</v>
      </c>
      <c r="Y10" s="3234">
        <v>24</v>
      </c>
      <c r="Z10" s="3234"/>
      <c r="AA10" s="3235">
        <v>25</v>
      </c>
      <c r="AB10" s="3235">
        <v>26</v>
      </c>
      <c r="AC10" s="3235">
        <v>27</v>
      </c>
      <c r="AD10" s="3235">
        <v>28</v>
      </c>
      <c r="AE10" s="3235">
        <v>29</v>
      </c>
      <c r="AF10" s="3235">
        <v>30</v>
      </c>
      <c r="AG10" s="3236" t="s">
        <v>3493</v>
      </c>
      <c r="AH10" s="3235">
        <v>31</v>
      </c>
      <c r="AI10" s="3236" t="s">
        <v>3493</v>
      </c>
      <c r="AJ10" s="3235">
        <v>31</v>
      </c>
      <c r="AK10" s="3236" t="s">
        <v>3493</v>
      </c>
      <c r="AL10" s="3235">
        <v>31</v>
      </c>
      <c r="AM10" s="3236" t="s">
        <v>3493</v>
      </c>
      <c r="AN10" s="3235">
        <v>32</v>
      </c>
      <c r="AO10" s="3236" t="s">
        <v>3493</v>
      </c>
      <c r="AP10" s="3235">
        <v>33</v>
      </c>
      <c r="AQ10" s="3235">
        <v>34</v>
      </c>
      <c r="AR10" s="3235">
        <v>35</v>
      </c>
      <c r="AS10" s="3234"/>
      <c r="AT10" s="3237">
        <v>36</v>
      </c>
      <c r="AU10" s="3237">
        <v>37</v>
      </c>
      <c r="AV10" s="3237">
        <v>38</v>
      </c>
      <c r="AW10" s="3237">
        <v>39</v>
      </c>
      <c r="AX10" s="3237">
        <v>40</v>
      </c>
      <c r="AY10" s="3237">
        <v>41</v>
      </c>
      <c r="AZ10" s="3237">
        <v>42</v>
      </c>
      <c r="BA10" s="3237">
        <v>43</v>
      </c>
      <c r="BB10" s="3237">
        <v>44</v>
      </c>
      <c r="BC10" s="3237">
        <v>45</v>
      </c>
      <c r="BD10" s="3237">
        <v>46</v>
      </c>
      <c r="BE10" s="3237">
        <v>47</v>
      </c>
      <c r="BF10" s="3237">
        <v>48</v>
      </c>
      <c r="BG10" s="3237">
        <v>49</v>
      </c>
      <c r="BH10" s="3237">
        <v>50</v>
      </c>
      <c r="BI10" s="3237">
        <v>51</v>
      </c>
      <c r="BL10" s="3226">
        <v>37</v>
      </c>
    </row>
    <row r="11" spans="1:71" ht="25.95" customHeight="1" x14ac:dyDescent="0.25">
      <c r="A11" s="3270">
        <f>1</f>
        <v>1</v>
      </c>
      <c r="B11" s="3279" t="s">
        <v>3510</v>
      </c>
      <c r="C11" s="3271"/>
      <c r="D11" s="3240"/>
      <c r="E11" s="3241"/>
      <c r="F11" s="3241"/>
      <c r="G11" s="3240"/>
      <c r="H11" s="3241"/>
      <c r="I11" s="3241"/>
      <c r="J11" s="3241"/>
      <c r="K11" s="3240"/>
      <c r="L11" s="3241"/>
      <c r="M11" s="3241"/>
      <c r="N11" s="3240">
        <f>A11</f>
        <v>1</v>
      </c>
      <c r="O11" s="3239"/>
      <c r="P11" s="3240"/>
      <c r="Q11" s="3241"/>
      <c r="R11" s="3241"/>
      <c r="S11" s="3240"/>
      <c r="T11" s="3241"/>
      <c r="U11" s="3241"/>
      <c r="V11" s="3241"/>
      <c r="W11" s="3240"/>
      <c r="X11" s="3241"/>
      <c r="Y11" s="3241"/>
      <c r="Z11" s="3242">
        <f>N11</f>
        <v>1</v>
      </c>
      <c r="AA11" s="3243">
        <f>AB11+AC11+AD11</f>
        <v>0</v>
      </c>
      <c r="AB11" s="3242">
        <f t="shared" ref="AB11:AB35" si="4">AE11+AP11</f>
        <v>0</v>
      </c>
      <c r="AC11" s="3244"/>
      <c r="AD11" s="3244"/>
      <c r="AE11" s="3242">
        <f>AF11+AL11+AN11</f>
        <v>0</v>
      </c>
      <c r="AF11" s="3263"/>
      <c r="AG11" s="3246"/>
      <c r="AH11" s="3250"/>
      <c r="AI11" s="3246"/>
      <c r="AJ11" s="3245"/>
      <c r="AK11" s="3246"/>
      <c r="AL11" s="3245"/>
      <c r="AM11" s="3246"/>
      <c r="AN11" s="3245"/>
      <c r="AO11" s="3246"/>
      <c r="AP11" s="3242">
        <f>AQ11+AR11</f>
        <v>0</v>
      </c>
      <c r="AQ11" s="3244"/>
      <c r="AR11" s="3244"/>
      <c r="AS11" s="3242">
        <f>Z11</f>
        <v>1</v>
      </c>
      <c r="AT11" s="3247"/>
      <c r="AU11" s="3248"/>
      <c r="AV11" s="3248"/>
      <c r="AW11" s="3247"/>
      <c r="AX11" s="3248"/>
      <c r="AY11" s="3248"/>
      <c r="AZ11" s="3247"/>
      <c r="BA11" s="3248"/>
      <c r="BB11" s="3248"/>
      <c r="BC11" s="3247"/>
      <c r="BD11" s="3248"/>
      <c r="BE11" s="3248"/>
      <c r="BF11" s="3248"/>
      <c r="BG11" s="3248"/>
      <c r="BH11" s="3249"/>
      <c r="BI11" s="3249"/>
      <c r="BJ11" s="3220" t="s">
        <v>123</v>
      </c>
      <c r="BK11" s="3221" t="s">
        <v>3494</v>
      </c>
      <c r="BM11" s="4198"/>
    </row>
    <row r="12" spans="1:71" ht="11.4" customHeight="1" x14ac:dyDescent="0.25">
      <c r="A12" s="3270">
        <f>A11+1</f>
        <v>2</v>
      </c>
      <c r="B12" s="3273" t="s">
        <v>3504</v>
      </c>
      <c r="C12" s="3271">
        <f>D12+E12+F12</f>
        <v>0</v>
      </c>
      <c r="D12" s="3240">
        <f>H12+I12+J12+L12+M12</f>
        <v>0</v>
      </c>
      <c r="E12" s="3241"/>
      <c r="F12" s="3241"/>
      <c r="G12" s="3240">
        <f>H12+I12+J12</f>
        <v>0</v>
      </c>
      <c r="H12" s="3241"/>
      <c r="I12" s="3241"/>
      <c r="J12" s="3241"/>
      <c r="K12" s="3240">
        <f>L12+M12</f>
        <v>0</v>
      </c>
      <c r="L12" s="3241"/>
      <c r="M12" s="3241"/>
      <c r="N12" s="3240">
        <f t="shared" ref="N12:N209" si="5">A12</f>
        <v>2</v>
      </c>
      <c r="O12" s="3239"/>
      <c r="P12" s="3240"/>
      <c r="Q12" s="3241"/>
      <c r="R12" s="3241"/>
      <c r="S12" s="3240"/>
      <c r="T12" s="3241"/>
      <c r="U12" s="3241"/>
      <c r="V12" s="3241"/>
      <c r="W12" s="3240"/>
      <c r="X12" s="3241"/>
      <c r="Y12" s="3241"/>
      <c r="Z12" s="3242">
        <f t="shared" ref="Z12:Z209" si="6">N12</f>
        <v>2</v>
      </c>
      <c r="AA12" s="3243">
        <f t="shared" ref="AA12:AA111" si="7">AB12+AC12+AD12</f>
        <v>106894191.94377558</v>
      </c>
      <c r="AB12" s="3242">
        <f t="shared" si="4"/>
        <v>106894191.94377558</v>
      </c>
      <c r="AC12" s="3241"/>
      <c r="AD12" s="3241"/>
      <c r="AE12" s="3242">
        <f>AF12+AL12+AN12</f>
        <v>106894191.94377558</v>
      </c>
      <c r="AF12" s="4259">
        <f>'Д 8_Паливо'!I9*1000</f>
        <v>106894191.94377558</v>
      </c>
      <c r="AG12" s="3250" t="s">
        <v>1435</v>
      </c>
      <c r="AH12" s="3250"/>
      <c r="AI12" s="3250" t="s">
        <v>1435</v>
      </c>
      <c r="AJ12" s="3250"/>
      <c r="AK12" s="3250"/>
      <c r="AL12" s="3252"/>
      <c r="AM12" s="3250"/>
      <c r="AN12" s="3252"/>
      <c r="AO12" s="3250"/>
      <c r="AP12" s="3242">
        <f t="shared" ref="AP12:AP76" si="8">AQ12+AR12</f>
        <v>0</v>
      </c>
      <c r="AQ12" s="3241"/>
      <c r="AR12" s="3241"/>
      <c r="AS12" s="3242">
        <f t="shared" ref="AS12:AS209" si="9">Z12</f>
        <v>2</v>
      </c>
      <c r="AT12" s="3247"/>
      <c r="AU12" s="3248"/>
      <c r="AV12" s="3248"/>
      <c r="AW12" s="3247"/>
      <c r="AX12" s="3248"/>
      <c r="AY12" s="3248"/>
      <c r="AZ12" s="3247"/>
      <c r="BA12" s="3248"/>
      <c r="BB12" s="3248"/>
      <c r="BC12" s="3247"/>
      <c r="BD12" s="3248"/>
      <c r="BE12" s="3248"/>
      <c r="BF12" s="3248"/>
      <c r="BG12" s="3248"/>
      <c r="BH12" s="3249"/>
      <c r="BI12" s="3249"/>
      <c r="BJ12" s="3220" t="s">
        <v>2436</v>
      </c>
      <c r="BK12" s="3221" t="s">
        <v>124</v>
      </c>
      <c r="BM12" s="4198"/>
    </row>
    <row r="13" spans="1:71" ht="12.6" customHeight="1" x14ac:dyDescent="0.25">
      <c r="A13" s="3270">
        <f t="shared" ref="A13:A41" si="10">A12+1</f>
        <v>3</v>
      </c>
      <c r="B13" s="3273" t="s">
        <v>1904</v>
      </c>
      <c r="C13" s="3271"/>
      <c r="D13" s="3240"/>
      <c r="E13" s="3251"/>
      <c r="F13" s="3251"/>
      <c r="G13" s="3240"/>
      <c r="H13" s="3251"/>
      <c r="I13" s="3251"/>
      <c r="J13" s="3251"/>
      <c r="K13" s="3240"/>
      <c r="L13" s="3251"/>
      <c r="M13" s="3251"/>
      <c r="N13" s="3240">
        <f t="shared" si="5"/>
        <v>3</v>
      </c>
      <c r="O13" s="3239"/>
      <c r="P13" s="3240"/>
      <c r="Q13" s="3251"/>
      <c r="R13" s="3251"/>
      <c r="S13" s="3240"/>
      <c r="T13" s="3251"/>
      <c r="U13" s="3251"/>
      <c r="V13" s="3251"/>
      <c r="W13" s="3240"/>
      <c r="X13" s="3251"/>
      <c r="Y13" s="3251"/>
      <c r="Z13" s="3242">
        <f t="shared" si="6"/>
        <v>3</v>
      </c>
      <c r="AA13" s="3243">
        <f t="shared" si="7"/>
        <v>1959821.5398537277</v>
      </c>
      <c r="AB13" s="3242">
        <f t="shared" si="4"/>
        <v>1959821.5398537277</v>
      </c>
      <c r="AC13" s="3241"/>
      <c r="AD13" s="3241"/>
      <c r="AE13" s="3242">
        <f>AF13+AL13+AN13</f>
        <v>1959821.5398537277</v>
      </c>
      <c r="AF13" s="4260">
        <f>'Д 8_Паливо'!I15*1000</f>
        <v>1959821.5398537277</v>
      </c>
      <c r="AG13" s="3250" t="s">
        <v>1435</v>
      </c>
      <c r="AH13" s="3250"/>
      <c r="AI13" s="3250" t="s">
        <v>1435</v>
      </c>
      <c r="AJ13" s="3250"/>
      <c r="AK13" s="3250"/>
      <c r="AL13" s="3240"/>
      <c r="AM13" s="3250"/>
      <c r="AN13" s="3252"/>
      <c r="AO13" s="3250"/>
      <c r="AP13" s="3242">
        <f t="shared" si="8"/>
        <v>0</v>
      </c>
      <c r="AQ13" s="3241"/>
      <c r="AR13" s="3241"/>
      <c r="AS13" s="3242">
        <f t="shared" si="9"/>
        <v>3</v>
      </c>
      <c r="AT13" s="3247"/>
      <c r="AU13" s="3248"/>
      <c r="AV13" s="3248"/>
      <c r="AW13" s="3247"/>
      <c r="AX13" s="3248"/>
      <c r="AY13" s="3248"/>
      <c r="AZ13" s="3247"/>
      <c r="BA13" s="3248"/>
      <c r="BB13" s="3248"/>
      <c r="BC13" s="3247"/>
      <c r="BD13" s="3248"/>
      <c r="BE13" s="3248"/>
      <c r="BF13" s="3248"/>
      <c r="BG13" s="3248"/>
      <c r="BH13" s="3253"/>
      <c r="BI13" s="3254"/>
      <c r="BJ13" s="3220" t="s">
        <v>3495</v>
      </c>
      <c r="BK13" s="3221" t="s">
        <v>4037</v>
      </c>
      <c r="BM13" s="4198"/>
      <c r="BS13" s="3216" t="e">
        <f>$W$193:$W$1707,$O$201:$O$1707,$A$8:$AE$9,$AN$7,$AP$6:$AR$9,$A$6:$AF$7,$AN$2,$A$2:$AF$2,$C$11:$Z$30,$A$1:$AR$1,$A$10:$AR$10,$A$3:$AR$5,$K$31:$K$210,$AP$2:$AR$2,$W$6:$Y$9,$K$6:$M$9,$B$219:$B$251,$AB$12:$AB$263,$AN$227:$AR$1130,$A$252:$N$1130,$Z$226:$AE$251,$AN$226:$AO$226,$X$252:$AE$1130,$AG$226:$AM$1130,$AA$222:$AE$225,$AA$12:$AA$305,$AA$218:$AD$221,$AG$193:$AO$225,$AC$195:$AD$217,$AP$193:$AR$226,$C$220:$N$251,$P$246:$V$1130,$E$217:$N$219,$H$211:$N$216,$L$31:$M$199,$O$31:$O$199,$T$31:$Y$192,$C$31:$J$194,$L$200:$O$200,$C$195:$D$219,$P$31:$S$245,$T$193:$V$245,$X$193:$Y$251,$E$195:$G$216,$H$195:$J$210,$L$201:$N$210,$AA$11:$AR$11,$AA$12:$AM$17,$AE$12:$AE$255,$AN$12:$AR$21,$AK$10:$AK$500,$AM$15:$AM$211,$AO$15:$AO$211,$AJ$18:$AJ$29,$N$12:$N$247,$A$11:$A$251,$Z$12:$Z$247,$AS$1:$BI$1130,$AA$18:$AE$194,$AH$2:$AL$2,$AG$13:$AG$211,$AH$11:$AH$18,$AJ$18:$AM$21,$AI$10:$AI$18,$AJ$22:$AR$192,$AH$20:$AI$26,$AH$29:$AI$626</f>
        <v>#VALUE!</v>
      </c>
    </row>
    <row r="14" spans="1:71" ht="13.2" x14ac:dyDescent="0.25">
      <c r="A14" s="3270">
        <f t="shared" si="10"/>
        <v>4</v>
      </c>
      <c r="B14" s="3273" t="s">
        <v>1905</v>
      </c>
      <c r="C14" s="3271"/>
      <c r="D14" s="3240"/>
      <c r="E14" s="3251"/>
      <c r="F14" s="3251"/>
      <c r="G14" s="3240"/>
      <c r="H14" s="3241"/>
      <c r="I14" s="3241"/>
      <c r="J14" s="3241"/>
      <c r="K14" s="3240"/>
      <c r="L14" s="3251"/>
      <c r="M14" s="3251"/>
      <c r="N14" s="3240">
        <f t="shared" si="5"/>
        <v>4</v>
      </c>
      <c r="O14" s="3239"/>
      <c r="P14" s="3240"/>
      <c r="Q14" s="3251"/>
      <c r="R14" s="3251"/>
      <c r="S14" s="3240"/>
      <c r="T14" s="3251"/>
      <c r="U14" s="3251"/>
      <c r="V14" s="3251"/>
      <c r="W14" s="3240"/>
      <c r="X14" s="3251"/>
      <c r="Y14" s="3251"/>
      <c r="Z14" s="3242">
        <f t="shared" si="6"/>
        <v>4</v>
      </c>
      <c r="AA14" s="3243">
        <f t="shared" si="7"/>
        <v>9950347.3099999987</v>
      </c>
      <c r="AB14" s="3242">
        <f t="shared" si="4"/>
        <v>9950347.3099999987</v>
      </c>
      <c r="AC14" s="3240"/>
      <c r="AD14" s="3240"/>
      <c r="AE14" s="3242">
        <f>AF14+AL14+AN14</f>
        <v>9950347.3099999987</v>
      </c>
      <c r="AF14" s="4259">
        <f>'Д 8_Паливо'!I21*1000</f>
        <v>9950347.3099999987</v>
      </c>
      <c r="AG14" s="3250" t="s">
        <v>1435</v>
      </c>
      <c r="AH14" s="3250"/>
      <c r="AI14" s="3250" t="s">
        <v>1435</v>
      </c>
      <c r="AJ14" s="3250"/>
      <c r="AK14" s="3250"/>
      <c r="AL14" s="3240"/>
      <c r="AM14" s="3250"/>
      <c r="AN14" s="3240"/>
      <c r="AO14" s="3250"/>
      <c r="AP14" s="3242">
        <f t="shared" si="8"/>
        <v>0</v>
      </c>
      <c r="AQ14" s="3240"/>
      <c r="AR14" s="3240"/>
      <c r="AS14" s="3242">
        <f t="shared" si="9"/>
        <v>4</v>
      </c>
      <c r="AT14" s="3247"/>
      <c r="AU14" s="3248"/>
      <c r="AV14" s="3248"/>
      <c r="AW14" s="3247"/>
      <c r="AX14" s="3248"/>
      <c r="AY14" s="3248"/>
      <c r="AZ14" s="3247"/>
      <c r="BA14" s="3248"/>
      <c r="BB14" s="3248"/>
      <c r="BC14" s="3247"/>
      <c r="BD14" s="3248"/>
      <c r="BE14" s="3248"/>
      <c r="BF14" s="3248"/>
      <c r="BG14" s="3248"/>
      <c r="BH14" s="3249"/>
      <c r="BI14" s="3253"/>
      <c r="BJ14" s="3220" t="s">
        <v>124</v>
      </c>
      <c r="BK14" s="4197" t="s">
        <v>4040</v>
      </c>
      <c r="BM14" s="4198"/>
    </row>
    <row r="15" spans="1:71" ht="26.4" x14ac:dyDescent="0.25">
      <c r="A15" s="3270">
        <f t="shared" si="10"/>
        <v>5</v>
      </c>
      <c r="B15" s="3279" t="s">
        <v>3511</v>
      </c>
      <c r="C15" s="3271"/>
      <c r="D15" s="3240"/>
      <c r="E15" s="3241"/>
      <c r="F15" s="3241"/>
      <c r="G15" s="3240"/>
      <c r="H15" s="3251"/>
      <c r="I15" s="3251"/>
      <c r="J15" s="3251"/>
      <c r="K15" s="3240"/>
      <c r="L15" s="3241"/>
      <c r="M15" s="3241"/>
      <c r="N15" s="3240">
        <f t="shared" si="5"/>
        <v>5</v>
      </c>
      <c r="O15" s="3239"/>
      <c r="P15" s="3240"/>
      <c r="Q15" s="3241"/>
      <c r="R15" s="3241"/>
      <c r="S15" s="3240"/>
      <c r="T15" s="3241"/>
      <c r="U15" s="3241"/>
      <c r="V15" s="3241"/>
      <c r="W15" s="3240"/>
      <c r="X15" s="3241"/>
      <c r="Y15" s="3241"/>
      <c r="Z15" s="3242">
        <f t="shared" si="6"/>
        <v>5</v>
      </c>
      <c r="AA15" s="3243">
        <f t="shared" si="7"/>
        <v>21196517.970859662</v>
      </c>
      <c r="AB15" s="3242">
        <f t="shared" si="4"/>
        <v>21196517.970859662</v>
      </c>
      <c r="AC15" s="3241"/>
      <c r="AD15" s="3241"/>
      <c r="AE15" s="3242">
        <f>AF15+AH15+AJ15+AL15+AN15</f>
        <v>21196517.970859662</v>
      </c>
      <c r="AF15" s="4261">
        <f>'Д 9_ЕЕ'!D235*1000</f>
        <v>5937350.3814675584</v>
      </c>
      <c r="AG15" s="3250" t="s">
        <v>123</v>
      </c>
      <c r="AH15" s="3241"/>
      <c r="AI15" s="3250" t="s">
        <v>123</v>
      </c>
      <c r="AJ15" s="3241">
        <f>'Д 9_ЕЕ'!D245*1000</f>
        <v>4190317.3444820512</v>
      </c>
      <c r="AK15" s="3250" t="s">
        <v>123</v>
      </c>
      <c r="AL15" s="3241">
        <f>'Д 9_ЕЕ'!D250*1000</f>
        <v>11068850.244910052</v>
      </c>
      <c r="AM15" s="3250" t="s">
        <v>123</v>
      </c>
      <c r="AN15" s="3241"/>
      <c r="AO15" s="3250" t="s">
        <v>123</v>
      </c>
      <c r="AP15" s="3242">
        <f t="shared" si="8"/>
        <v>0</v>
      </c>
      <c r="AQ15" s="3241"/>
      <c r="AR15" s="3241"/>
      <c r="AS15" s="3242">
        <f t="shared" si="9"/>
        <v>5</v>
      </c>
      <c r="AT15" s="3247"/>
      <c r="AU15" s="3248"/>
      <c r="AV15" s="3248"/>
      <c r="AW15" s="3247"/>
      <c r="AX15" s="3248"/>
      <c r="AY15" s="3248"/>
      <c r="AZ15" s="3247"/>
      <c r="BA15" s="3248"/>
      <c r="BB15" s="3248"/>
      <c r="BC15" s="3247"/>
      <c r="BD15" s="3248"/>
      <c r="BE15" s="3248"/>
      <c r="BF15" s="3248"/>
      <c r="BG15" s="3248"/>
      <c r="BH15" s="3256"/>
      <c r="BI15" s="3249"/>
      <c r="BJ15" s="3220" t="s">
        <v>4037</v>
      </c>
      <c r="BK15" s="4197" t="s">
        <v>4041</v>
      </c>
      <c r="BM15" s="4199">
        <f>'Д 9_ЕЕ'!D230*1000-'Прямі витрати'!AA15-'Прямі витрати'!AA39-AC36</f>
        <v>5.3460098570212722E-9</v>
      </c>
    </row>
    <row r="16" spans="1:71" ht="24.6" customHeight="1" x14ac:dyDescent="0.25">
      <c r="A16" s="3270">
        <f t="shared" si="10"/>
        <v>6</v>
      </c>
      <c r="B16" s="3279" t="s">
        <v>3512</v>
      </c>
      <c r="C16" s="3271"/>
      <c r="D16" s="3240"/>
      <c r="E16" s="3251"/>
      <c r="F16" s="3251"/>
      <c r="G16" s="3240"/>
      <c r="H16" s="3251"/>
      <c r="I16" s="3251"/>
      <c r="J16" s="3251"/>
      <c r="K16" s="3240"/>
      <c r="L16" s="3251"/>
      <c r="M16" s="3251"/>
      <c r="N16" s="3240">
        <f t="shared" si="5"/>
        <v>6</v>
      </c>
      <c r="O16" s="3239"/>
      <c r="P16" s="3240"/>
      <c r="Q16" s="3251"/>
      <c r="R16" s="3251"/>
      <c r="S16" s="3240"/>
      <c r="T16" s="3251"/>
      <c r="U16" s="3251"/>
      <c r="V16" s="3251"/>
      <c r="W16" s="3240"/>
      <c r="X16" s="3251"/>
      <c r="Y16" s="3251"/>
      <c r="Z16" s="3242">
        <f t="shared" si="6"/>
        <v>6</v>
      </c>
      <c r="AA16" s="3243">
        <f t="shared" si="7"/>
        <v>711580.57093238959</v>
      </c>
      <c r="AB16" s="3242">
        <f t="shared" si="4"/>
        <v>711580.57093238959</v>
      </c>
      <c r="AC16" s="3241"/>
      <c r="AD16" s="3241"/>
      <c r="AE16" s="3242">
        <f t="shared" ref="AE16:AE114" si="11">AF16+AH16+AJ16+AL16+AN16</f>
        <v>711580.57093238959</v>
      </c>
      <c r="AF16" s="4261">
        <f>(ВОДА!J88+ВОДА!K88)*1000</f>
        <v>44102.87578808621</v>
      </c>
      <c r="AG16" s="3250" t="s">
        <v>2436</v>
      </c>
      <c r="AH16" s="3241">
        <f>(ВОДА!L88+ВОДА!M88)*1000</f>
        <v>667477.69514430338</v>
      </c>
      <c r="AI16" s="3250" t="s">
        <v>2436</v>
      </c>
      <c r="AJ16" s="3241"/>
      <c r="AK16" s="3250" t="s">
        <v>2436</v>
      </c>
      <c r="AL16" s="3241"/>
      <c r="AM16" s="3250" t="s">
        <v>2436</v>
      </c>
      <c r="AN16" s="3241"/>
      <c r="AO16" s="3250" t="s">
        <v>2436</v>
      </c>
      <c r="AP16" s="3242">
        <f t="shared" si="8"/>
        <v>0</v>
      </c>
      <c r="AQ16" s="3241"/>
      <c r="AR16" s="3241"/>
      <c r="AS16" s="3242">
        <f t="shared" si="9"/>
        <v>6</v>
      </c>
      <c r="AT16" s="3247"/>
      <c r="AU16" s="3248"/>
      <c r="AV16" s="3248"/>
      <c r="AW16" s="3247"/>
      <c r="AX16" s="3248"/>
      <c r="AY16" s="3248"/>
      <c r="AZ16" s="3247"/>
      <c r="BA16" s="3248"/>
      <c r="BB16" s="3248"/>
      <c r="BC16" s="3247"/>
      <c r="BD16" s="3248"/>
      <c r="BE16" s="3248"/>
      <c r="BF16" s="3248"/>
      <c r="BG16" s="3248"/>
      <c r="BH16" s="3253"/>
      <c r="BI16" s="3254"/>
      <c r="BJ16" s="4201" t="s">
        <v>4040</v>
      </c>
      <c r="BM16" s="4198"/>
    </row>
    <row r="17" spans="1:65" ht="13.95" customHeight="1" x14ac:dyDescent="0.25">
      <c r="A17" s="3270">
        <f t="shared" si="10"/>
        <v>7</v>
      </c>
      <c r="B17" s="3279" t="s">
        <v>3513</v>
      </c>
      <c r="C17" s="3271"/>
      <c r="D17" s="3240"/>
      <c r="E17" s="3251"/>
      <c r="F17" s="3251"/>
      <c r="G17" s="3240"/>
      <c r="H17" s="3251"/>
      <c r="I17" s="3251"/>
      <c r="J17" s="3251"/>
      <c r="K17" s="3240"/>
      <c r="L17" s="3251"/>
      <c r="M17" s="3251"/>
      <c r="N17" s="3240">
        <f t="shared" si="5"/>
        <v>7</v>
      </c>
      <c r="O17" s="3239"/>
      <c r="P17" s="3240"/>
      <c r="Q17" s="3251"/>
      <c r="R17" s="3251"/>
      <c r="S17" s="3240"/>
      <c r="T17" s="3251"/>
      <c r="U17" s="3251"/>
      <c r="V17" s="3251"/>
      <c r="W17" s="3240"/>
      <c r="X17" s="3251"/>
      <c r="Y17" s="3251"/>
      <c r="Z17" s="3242">
        <f t="shared" si="6"/>
        <v>7</v>
      </c>
      <c r="AA17" s="3243">
        <f t="shared" si="7"/>
        <v>0</v>
      </c>
      <c r="AB17" s="3242">
        <f t="shared" si="4"/>
        <v>0</v>
      </c>
      <c r="AC17" s="3241"/>
      <c r="AD17" s="3241"/>
      <c r="AE17" s="3242">
        <f t="shared" si="11"/>
        <v>0</v>
      </c>
      <c r="AF17" s="4261"/>
      <c r="AG17" s="3250"/>
      <c r="AH17" s="3241"/>
      <c r="AI17" s="3250"/>
      <c r="AJ17" s="3241"/>
      <c r="AK17" s="3250"/>
      <c r="AL17" s="3241"/>
      <c r="AM17" s="3250"/>
      <c r="AN17" s="3241"/>
      <c r="AO17" s="3250"/>
      <c r="AP17" s="3242">
        <f t="shared" si="8"/>
        <v>0</v>
      </c>
      <c r="AQ17" s="3241"/>
      <c r="AR17" s="3241"/>
      <c r="AS17" s="3242">
        <f t="shared" si="9"/>
        <v>7</v>
      </c>
      <c r="AT17" s="3247"/>
      <c r="AU17" s="3248"/>
      <c r="AV17" s="3248"/>
      <c r="AW17" s="3247"/>
      <c r="AX17" s="3248"/>
      <c r="AY17" s="3248"/>
      <c r="AZ17" s="3247"/>
      <c r="BA17" s="3248"/>
      <c r="BB17" s="3248"/>
      <c r="BC17" s="3247"/>
      <c r="BD17" s="3248"/>
      <c r="BE17" s="3248"/>
      <c r="BF17" s="3248"/>
      <c r="BG17" s="3248"/>
      <c r="BH17" s="3253"/>
      <c r="BI17" s="3254"/>
      <c r="BJ17" s="4201" t="s">
        <v>4041</v>
      </c>
      <c r="BM17" s="4198"/>
    </row>
    <row r="18" spans="1:65" ht="13.2" x14ac:dyDescent="0.25">
      <c r="A18" s="3270">
        <f t="shared" si="10"/>
        <v>8</v>
      </c>
      <c r="B18" s="3272" t="s">
        <v>1692</v>
      </c>
      <c r="C18" s="3271"/>
      <c r="D18" s="3240"/>
      <c r="E18" s="3241"/>
      <c r="F18" s="3241"/>
      <c r="G18" s="3240"/>
      <c r="H18" s="3241"/>
      <c r="I18" s="3241"/>
      <c r="J18" s="3241"/>
      <c r="K18" s="3240"/>
      <c r="L18" s="3241"/>
      <c r="M18" s="3241"/>
      <c r="N18" s="3240">
        <f t="shared" si="5"/>
        <v>8</v>
      </c>
      <c r="O18" s="3239"/>
      <c r="P18" s="3240"/>
      <c r="Q18" s="3241"/>
      <c r="R18" s="3241"/>
      <c r="S18" s="3240"/>
      <c r="T18" s="3241"/>
      <c r="U18" s="3241"/>
      <c r="V18" s="3241"/>
      <c r="W18" s="3240"/>
      <c r="X18" s="3241"/>
      <c r="Y18" s="3241"/>
      <c r="Z18" s="3242">
        <f t="shared" si="6"/>
        <v>8</v>
      </c>
      <c r="AA18" s="3243">
        <f t="shared" si="7"/>
        <v>192585</v>
      </c>
      <c r="AB18" s="3242">
        <f t="shared" si="4"/>
        <v>192585</v>
      </c>
      <c r="AC18" s="3241"/>
      <c r="AD18" s="3241"/>
      <c r="AE18" s="3242">
        <f t="shared" si="11"/>
        <v>192585</v>
      </c>
      <c r="AF18" s="4261">
        <f>Виробництво_1ст!F18*1000</f>
        <v>192585</v>
      </c>
      <c r="AG18" s="3250" t="s">
        <v>3495</v>
      </c>
      <c r="AH18" s="3241"/>
      <c r="AI18" s="3250" t="s">
        <v>3495</v>
      </c>
      <c r="AJ18" s="3241"/>
      <c r="AK18" s="3250" t="s">
        <v>3495</v>
      </c>
      <c r="AL18" s="3241"/>
      <c r="AM18" s="3250" t="s">
        <v>3495</v>
      </c>
      <c r="AN18" s="3241"/>
      <c r="AO18" s="3250" t="s">
        <v>3495</v>
      </c>
      <c r="AP18" s="3242">
        <f t="shared" si="8"/>
        <v>0</v>
      </c>
      <c r="AQ18" s="3241"/>
      <c r="AR18" s="3241"/>
      <c r="AS18" s="3242">
        <f t="shared" si="9"/>
        <v>8</v>
      </c>
      <c r="AT18" s="3247"/>
      <c r="AU18" s="3248"/>
      <c r="AV18" s="3248"/>
      <c r="AW18" s="3247"/>
      <c r="AX18" s="3248"/>
      <c r="AY18" s="3248"/>
      <c r="AZ18" s="3247"/>
      <c r="BA18" s="3248"/>
      <c r="BB18" s="3248"/>
      <c r="BC18" s="3247"/>
      <c r="BD18" s="3248"/>
      <c r="BE18" s="3248"/>
      <c r="BF18" s="3248"/>
      <c r="BG18" s="3248"/>
      <c r="BH18" s="3249"/>
      <c r="BI18" s="3249"/>
      <c r="BJ18" s="4202" t="s">
        <v>1435</v>
      </c>
      <c r="BL18" s="3216" t="s">
        <v>4030</v>
      </c>
      <c r="BM18" s="4198"/>
    </row>
    <row r="19" spans="1:65" ht="13.2" x14ac:dyDescent="0.25">
      <c r="A19" s="3270">
        <f t="shared" si="10"/>
        <v>9</v>
      </c>
      <c r="B19" s="3272" t="s">
        <v>934</v>
      </c>
      <c r="C19" s="3271"/>
      <c r="D19" s="3240"/>
      <c r="E19" s="3241"/>
      <c r="F19" s="3241"/>
      <c r="G19" s="3240"/>
      <c r="H19" s="3241"/>
      <c r="I19" s="3241"/>
      <c r="J19" s="3241"/>
      <c r="K19" s="3240"/>
      <c r="L19" s="3241"/>
      <c r="M19" s="3241"/>
      <c r="N19" s="3240">
        <f t="shared" si="5"/>
        <v>9</v>
      </c>
      <c r="O19" s="3239"/>
      <c r="P19" s="3240"/>
      <c r="Q19" s="3241"/>
      <c r="R19" s="3241"/>
      <c r="S19" s="3240"/>
      <c r="T19" s="3241"/>
      <c r="U19" s="3241"/>
      <c r="V19" s="3241"/>
      <c r="W19" s="3240"/>
      <c r="X19" s="3241"/>
      <c r="Y19" s="3241"/>
      <c r="Z19" s="3242">
        <f t="shared" si="6"/>
        <v>9</v>
      </c>
      <c r="AA19" s="3243">
        <f t="shared" si="7"/>
        <v>658752.85000000009</v>
      </c>
      <c r="AB19" s="3242">
        <f t="shared" si="4"/>
        <v>393718.94</v>
      </c>
      <c r="AC19" s="3241">
        <f>ПММ!N16</f>
        <v>115898.09</v>
      </c>
      <c r="AD19" s="3241">
        <f>ПММ!N17</f>
        <v>149135.82</v>
      </c>
      <c r="AE19" s="3242">
        <f t="shared" si="11"/>
        <v>393718.94</v>
      </c>
      <c r="AF19" s="4261">
        <f>ПММ!N11</f>
        <v>14317.77</v>
      </c>
      <c r="AG19" s="3250" t="s">
        <v>3495</v>
      </c>
      <c r="AH19" s="3241">
        <f>ПММ!N12</f>
        <v>379401.17</v>
      </c>
      <c r="AI19" s="3250" t="s">
        <v>3495</v>
      </c>
      <c r="AJ19" s="3241"/>
      <c r="AK19" s="3250" t="s">
        <v>3495</v>
      </c>
      <c r="AL19" s="3241"/>
      <c r="AM19" s="3250" t="s">
        <v>3495</v>
      </c>
      <c r="AN19" s="3241">
        <f>ПММ!N13</f>
        <v>0</v>
      </c>
      <c r="AO19" s="3250" t="s">
        <v>3495</v>
      </c>
      <c r="AP19" s="3242">
        <f t="shared" si="8"/>
        <v>0</v>
      </c>
      <c r="AQ19" s="3241">
        <f>ПММ!N14</f>
        <v>0</v>
      </c>
      <c r="AR19" s="3241"/>
      <c r="AS19" s="3242">
        <f t="shared" si="9"/>
        <v>9</v>
      </c>
      <c r="AT19" s="3247"/>
      <c r="AU19" s="3248"/>
      <c r="AV19" s="3248"/>
      <c r="AW19" s="3247"/>
      <c r="AX19" s="3248"/>
      <c r="AY19" s="3248"/>
      <c r="AZ19" s="3247"/>
      <c r="BA19" s="3248"/>
      <c r="BB19" s="3248"/>
      <c r="BC19" s="3247"/>
      <c r="BD19" s="3248"/>
      <c r="BE19" s="3248"/>
      <c r="BF19" s="3248"/>
      <c r="BG19" s="3248"/>
      <c r="BH19" s="3249"/>
      <c r="BI19" s="3249"/>
      <c r="BL19" s="3216" t="s">
        <v>4039</v>
      </c>
      <c r="BM19" s="4198"/>
    </row>
    <row r="20" spans="1:65" ht="13.2" x14ac:dyDescent="0.25">
      <c r="A20" s="3270">
        <f t="shared" si="10"/>
        <v>10</v>
      </c>
      <c r="B20" s="3272" t="s">
        <v>935</v>
      </c>
      <c r="C20" s="3271"/>
      <c r="D20" s="3240"/>
      <c r="E20" s="3241"/>
      <c r="F20" s="3241"/>
      <c r="G20" s="3240"/>
      <c r="H20" s="3241"/>
      <c r="I20" s="3241"/>
      <c r="J20" s="3241"/>
      <c r="K20" s="3240"/>
      <c r="L20" s="3241"/>
      <c r="M20" s="3241"/>
      <c r="N20" s="3240">
        <f t="shared" si="5"/>
        <v>10</v>
      </c>
      <c r="O20" s="3239"/>
      <c r="P20" s="3240"/>
      <c r="Q20" s="3241"/>
      <c r="R20" s="3241"/>
      <c r="S20" s="3240"/>
      <c r="T20" s="3241"/>
      <c r="U20" s="3241"/>
      <c r="V20" s="3241"/>
      <c r="W20" s="3240"/>
      <c r="X20" s="3241"/>
      <c r="Y20" s="3241"/>
      <c r="Z20" s="3242">
        <f t="shared" si="6"/>
        <v>10</v>
      </c>
      <c r="AA20" s="3243">
        <f t="shared" si="7"/>
        <v>188105.29205999998</v>
      </c>
      <c r="AB20" s="3242">
        <f t="shared" si="4"/>
        <v>186689.23715249996</v>
      </c>
      <c r="AC20" s="3241">
        <f>ЗВВ_1ст!F11*1000</f>
        <v>987.7811324999999</v>
      </c>
      <c r="AD20" s="3241">
        <f>Адміністративні_1ст!F11*1000</f>
        <v>428.27377499999994</v>
      </c>
      <c r="AE20" s="3242">
        <f t="shared" si="11"/>
        <v>130242.18215249998</v>
      </c>
      <c r="AF20" s="4261">
        <f>Виробництво_2ст!F20*1000</f>
        <v>55165.72589999999</v>
      </c>
      <c r="AG20" s="3250" t="s">
        <v>3495</v>
      </c>
      <c r="AH20" s="3241">
        <f>Транспортування_1ст!F17*1000</f>
        <v>75076.456252499993</v>
      </c>
      <c r="AI20" s="3250" t="s">
        <v>3495</v>
      </c>
      <c r="AJ20" s="3241"/>
      <c r="AK20" s="3250" t="s">
        <v>3495</v>
      </c>
      <c r="AL20" s="3241"/>
      <c r="AM20" s="3250" t="s">
        <v>3495</v>
      </c>
      <c r="AN20" s="3241"/>
      <c r="AO20" s="3250" t="s">
        <v>3495</v>
      </c>
      <c r="AP20" s="3242">
        <f t="shared" si="8"/>
        <v>56447.054999999993</v>
      </c>
      <c r="AQ20" s="3241">
        <f>53.34*1000*'Вхідні дані'!D71</f>
        <v>56447.054999999993</v>
      </c>
      <c r="AR20" s="3241"/>
      <c r="AS20" s="3242">
        <f t="shared" si="9"/>
        <v>10</v>
      </c>
      <c r="AT20" s="3247"/>
      <c r="AU20" s="3248"/>
      <c r="AV20" s="3248"/>
      <c r="AW20" s="3247"/>
      <c r="AX20" s="3248"/>
      <c r="AY20" s="3248"/>
      <c r="AZ20" s="3247"/>
      <c r="BA20" s="3248"/>
      <c r="BB20" s="3248"/>
      <c r="BC20" s="3247"/>
      <c r="BD20" s="3248"/>
      <c r="BE20" s="3248"/>
      <c r="BF20" s="3248"/>
      <c r="BG20" s="3248"/>
      <c r="BH20" s="3249"/>
      <c r="BI20" s="3249"/>
      <c r="BM20" s="4198"/>
    </row>
    <row r="21" spans="1:65" ht="13.2" x14ac:dyDescent="0.25">
      <c r="A21" s="3270">
        <f t="shared" si="10"/>
        <v>11</v>
      </c>
      <c r="B21" s="3272" t="s">
        <v>936</v>
      </c>
      <c r="C21" s="3271"/>
      <c r="D21" s="3240"/>
      <c r="E21" s="3241"/>
      <c r="F21" s="3241"/>
      <c r="G21" s="3240"/>
      <c r="H21" s="3241"/>
      <c r="I21" s="3241"/>
      <c r="J21" s="3241"/>
      <c r="K21" s="3240"/>
      <c r="L21" s="3241"/>
      <c r="M21" s="3241"/>
      <c r="N21" s="3240">
        <f t="shared" si="5"/>
        <v>11</v>
      </c>
      <c r="O21" s="3239"/>
      <c r="P21" s="3240"/>
      <c r="Q21" s="3241"/>
      <c r="R21" s="3241"/>
      <c r="S21" s="3240"/>
      <c r="T21" s="3241"/>
      <c r="U21" s="3241"/>
      <c r="V21" s="3241"/>
      <c r="W21" s="3240"/>
      <c r="X21" s="3241"/>
      <c r="Y21" s="3241"/>
      <c r="Z21" s="3242">
        <f t="shared" si="6"/>
        <v>11</v>
      </c>
      <c r="AA21" s="3243">
        <f t="shared" si="7"/>
        <v>102766.54109249997</v>
      </c>
      <c r="AB21" s="3242">
        <f t="shared" si="4"/>
        <v>85056.812002499981</v>
      </c>
      <c r="AC21" s="3241">
        <f>ЗВВ_1ст!F12*1000</f>
        <v>71.960999999999999</v>
      </c>
      <c r="AD21" s="3241">
        <f>Адміністративні_1ст!F12*1000</f>
        <v>17637.768089999994</v>
      </c>
      <c r="AE21" s="3242">
        <f t="shared" si="11"/>
        <v>80114.784502499984</v>
      </c>
      <c r="AF21" s="4261">
        <f>Виробництво_2ст!F21*1000</f>
        <v>48916.516252499998</v>
      </c>
      <c r="AG21" s="3250" t="s">
        <v>3495</v>
      </c>
      <c r="AH21" s="3241">
        <f>Транспортування_1ст!F18*1000</f>
        <v>26490.516134999998</v>
      </c>
      <c r="AI21" s="3250" t="s">
        <v>3495</v>
      </c>
      <c r="AJ21" s="3241"/>
      <c r="AK21" s="3250" t="s">
        <v>3495</v>
      </c>
      <c r="AL21" s="3241"/>
      <c r="AM21" s="3250" t="s">
        <v>3495</v>
      </c>
      <c r="AN21" s="3241">
        <f>Постачання_1ст!F13*1000</f>
        <v>4707.7521150000002</v>
      </c>
      <c r="AO21" s="3250" t="s">
        <v>3495</v>
      </c>
      <c r="AP21" s="3242">
        <f t="shared" si="8"/>
        <v>4942.0274999999992</v>
      </c>
      <c r="AQ21" s="3241">
        <f>4.67*1000*'Вхідні дані'!D71</f>
        <v>4942.0274999999992</v>
      </c>
      <c r="AR21" s="3241"/>
      <c r="AS21" s="3242">
        <f t="shared" si="9"/>
        <v>11</v>
      </c>
      <c r="AT21" s="3247"/>
      <c r="AU21" s="3248"/>
      <c r="AV21" s="3248"/>
      <c r="AW21" s="3247"/>
      <c r="AX21" s="3248"/>
      <c r="AY21" s="3248"/>
      <c r="AZ21" s="3247"/>
      <c r="BA21" s="3248"/>
      <c r="BB21" s="3248"/>
      <c r="BC21" s="3247"/>
      <c r="BD21" s="3248"/>
      <c r="BE21" s="3248"/>
      <c r="BF21" s="3248"/>
      <c r="BG21" s="3248"/>
      <c r="BH21" s="3249"/>
      <c r="BI21" s="3249"/>
      <c r="BM21" s="4198"/>
    </row>
    <row r="22" spans="1:65" ht="13.2" customHeight="1" x14ac:dyDescent="0.25">
      <c r="A22" s="3270">
        <f t="shared" si="10"/>
        <v>12</v>
      </c>
      <c r="B22" s="3272" t="s">
        <v>1570</v>
      </c>
      <c r="C22" s="3271"/>
      <c r="D22" s="3240"/>
      <c r="E22" s="3241"/>
      <c r="F22" s="3241"/>
      <c r="G22" s="3240"/>
      <c r="H22" s="3241"/>
      <c r="I22" s="3241"/>
      <c r="J22" s="3241"/>
      <c r="K22" s="3240"/>
      <c r="L22" s="3241"/>
      <c r="M22" s="3241"/>
      <c r="N22" s="3240">
        <f t="shared" si="5"/>
        <v>12</v>
      </c>
      <c r="O22" s="3239"/>
      <c r="P22" s="3240"/>
      <c r="Q22" s="3241"/>
      <c r="R22" s="3241"/>
      <c r="S22" s="3240"/>
      <c r="T22" s="3241"/>
      <c r="U22" s="3241"/>
      <c r="V22" s="3241"/>
      <c r="W22" s="3240"/>
      <c r="X22" s="3241"/>
      <c r="Y22" s="3241"/>
      <c r="Z22" s="3242">
        <f t="shared" si="6"/>
        <v>12</v>
      </c>
      <c r="AA22" s="3243">
        <f t="shared" si="7"/>
        <v>54639.669824999997</v>
      </c>
      <c r="AB22" s="3242">
        <f t="shared" si="4"/>
        <v>48002.219999999994</v>
      </c>
      <c r="AC22" s="3241">
        <f>ЗВВ_1ст!F13*1000</f>
        <v>6297.0531299999993</v>
      </c>
      <c r="AD22" s="3241">
        <f>Адміністративні_1ст!F13*1000</f>
        <v>340.39669499999997</v>
      </c>
      <c r="AE22" s="3242">
        <f t="shared" si="11"/>
        <v>48002.219999999994</v>
      </c>
      <c r="AF22" s="4261">
        <f>Виробництво_2ст!F22*1000</f>
        <v>48002.219999999994</v>
      </c>
      <c r="AG22" s="3250" t="s">
        <v>3495</v>
      </c>
      <c r="AH22" s="3241">
        <f>Транспортування_1ст!F19*1000</f>
        <v>0</v>
      </c>
      <c r="AI22" s="3250" t="s">
        <v>3495</v>
      </c>
      <c r="AJ22" s="3241"/>
      <c r="AK22" s="3250" t="s">
        <v>3495</v>
      </c>
      <c r="AL22" s="3241"/>
      <c r="AM22" s="3250" t="s">
        <v>3495</v>
      </c>
      <c r="AN22" s="3241"/>
      <c r="AO22" s="3250" t="s">
        <v>3495</v>
      </c>
      <c r="AP22" s="3242">
        <f t="shared" si="8"/>
        <v>0</v>
      </c>
      <c r="AQ22" s="3241"/>
      <c r="AR22" s="3241"/>
      <c r="AS22" s="3242">
        <f t="shared" si="9"/>
        <v>12</v>
      </c>
      <c r="AT22" s="3247"/>
      <c r="AU22" s="3248"/>
      <c r="AV22" s="3248"/>
      <c r="AW22" s="3247"/>
      <c r="AX22" s="3248"/>
      <c r="AY22" s="3248"/>
      <c r="AZ22" s="3247"/>
      <c r="BA22" s="3248"/>
      <c r="BB22" s="3248"/>
      <c r="BC22" s="3247"/>
      <c r="BD22" s="3248"/>
      <c r="BE22" s="3248"/>
      <c r="BF22" s="3248"/>
      <c r="BG22" s="3248"/>
      <c r="BH22" s="3249"/>
      <c r="BI22" s="3249"/>
      <c r="BM22" s="4198"/>
    </row>
    <row r="23" spans="1:65" ht="13.2" x14ac:dyDescent="0.25">
      <c r="A23" s="3270">
        <f t="shared" si="10"/>
        <v>13</v>
      </c>
      <c r="B23" s="3272" t="s">
        <v>915</v>
      </c>
      <c r="C23" s="3271"/>
      <c r="D23" s="3240"/>
      <c r="E23" s="3241"/>
      <c r="F23" s="3241"/>
      <c r="G23" s="3240"/>
      <c r="H23" s="3241"/>
      <c r="I23" s="3241"/>
      <c r="J23" s="3241"/>
      <c r="K23" s="3240"/>
      <c r="L23" s="3241"/>
      <c r="M23" s="3241"/>
      <c r="N23" s="3240">
        <f t="shared" si="5"/>
        <v>13</v>
      </c>
      <c r="O23" s="3239"/>
      <c r="P23" s="3240"/>
      <c r="Q23" s="3241"/>
      <c r="R23" s="3241"/>
      <c r="S23" s="3240"/>
      <c r="T23" s="3241"/>
      <c r="U23" s="3241"/>
      <c r="V23" s="3241"/>
      <c r="W23" s="3240"/>
      <c r="X23" s="3241"/>
      <c r="Y23" s="3241"/>
      <c r="Z23" s="3242">
        <f t="shared" si="6"/>
        <v>13</v>
      </c>
      <c r="AA23" s="3243">
        <f t="shared" si="7"/>
        <v>397349.57218499994</v>
      </c>
      <c r="AB23" s="3242">
        <f t="shared" si="4"/>
        <v>336460.21649999998</v>
      </c>
      <c r="AC23" s="3241">
        <f>ЗВВ_1ст!F14*1000</f>
        <v>8430.6967800000002</v>
      </c>
      <c r="AD23" s="3241">
        <f>Адміністративні_1ст!F14*1000</f>
        <v>52458.658904999989</v>
      </c>
      <c r="AE23" s="3242">
        <f t="shared" si="11"/>
        <v>66460.21649999998</v>
      </c>
      <c r="AF23" s="4261">
        <f>Виробництво_2ст!F23*1000</f>
        <v>0</v>
      </c>
      <c r="AG23" s="3250" t="s">
        <v>3495</v>
      </c>
      <c r="AH23" s="3241">
        <f>Транспортування_1ст!F20*1000</f>
        <v>66460.21649999998</v>
      </c>
      <c r="AI23" s="3250" t="s">
        <v>3495</v>
      </c>
      <c r="AJ23" s="3241"/>
      <c r="AK23" s="3250" t="s">
        <v>3495</v>
      </c>
      <c r="AL23" s="3241"/>
      <c r="AM23" s="3250" t="s">
        <v>3495</v>
      </c>
      <c r="AN23" s="3241"/>
      <c r="AO23" s="3250" t="s">
        <v>3495</v>
      </c>
      <c r="AP23" s="3242">
        <f t="shared" si="8"/>
        <v>270000</v>
      </c>
      <c r="AQ23" s="3241">
        <v>270000</v>
      </c>
      <c r="AR23" s="3241"/>
      <c r="AS23" s="3242">
        <f t="shared" si="9"/>
        <v>13</v>
      </c>
      <c r="AT23" s="3247"/>
      <c r="AU23" s="3248"/>
      <c r="AV23" s="3248"/>
      <c r="AW23" s="3247"/>
      <c r="AX23" s="3248"/>
      <c r="AY23" s="3248"/>
      <c r="AZ23" s="3247"/>
      <c r="BA23" s="3248"/>
      <c r="BB23" s="3248"/>
      <c r="BC23" s="3247"/>
      <c r="BD23" s="3248"/>
      <c r="BE23" s="3248"/>
      <c r="BF23" s="3248"/>
      <c r="BG23" s="3248"/>
      <c r="BH23" s="3249"/>
      <c r="BI23" s="3249"/>
      <c r="BM23" s="4198"/>
    </row>
    <row r="24" spans="1:65" ht="13.2" x14ac:dyDescent="0.25">
      <c r="A24" s="3270">
        <f t="shared" si="10"/>
        <v>14</v>
      </c>
      <c r="B24" s="3272" t="s">
        <v>937</v>
      </c>
      <c r="C24" s="3271"/>
      <c r="D24" s="3240"/>
      <c r="E24" s="3241"/>
      <c r="F24" s="3241"/>
      <c r="G24" s="3240"/>
      <c r="H24" s="3241"/>
      <c r="I24" s="3241"/>
      <c r="J24" s="3241"/>
      <c r="K24" s="3240"/>
      <c r="L24" s="3241"/>
      <c r="M24" s="3241"/>
      <c r="N24" s="3240">
        <f t="shared" si="5"/>
        <v>14</v>
      </c>
      <c r="O24" s="3239"/>
      <c r="P24" s="3240"/>
      <c r="Q24" s="3241"/>
      <c r="R24" s="3241"/>
      <c r="S24" s="3240"/>
      <c r="T24" s="3241"/>
      <c r="U24" s="3241"/>
      <c r="V24" s="3241"/>
      <c r="W24" s="3240"/>
      <c r="X24" s="3241"/>
      <c r="Y24" s="3241"/>
      <c r="Z24" s="3242">
        <f t="shared" si="6"/>
        <v>14</v>
      </c>
      <c r="AA24" s="3243">
        <f t="shared" si="7"/>
        <v>268404.8258475</v>
      </c>
      <c r="AB24" s="3242">
        <f t="shared" si="4"/>
        <v>180325.18621499999</v>
      </c>
      <c r="AC24" s="3241">
        <f>ЗВВ_1ст!F15*1000</f>
        <v>7535.4384449999998</v>
      </c>
      <c r="AD24" s="3241">
        <f>Адміністративні_1ст!F15*1000</f>
        <v>80544.201187499988</v>
      </c>
      <c r="AE24" s="3242">
        <f t="shared" si="11"/>
        <v>114036.40621499998</v>
      </c>
      <c r="AF24" s="4261">
        <f>Виробництво_2ст!F24*1000</f>
        <v>35268.139012500003</v>
      </c>
      <c r="AG24" s="3250" t="s">
        <v>3495</v>
      </c>
      <c r="AH24" s="3241">
        <f>Транспортування_1ст!F21*1000</f>
        <v>67270.793669999985</v>
      </c>
      <c r="AI24" s="3250" t="s">
        <v>3495</v>
      </c>
      <c r="AJ24" s="3241"/>
      <c r="AK24" s="3250" t="s">
        <v>3495</v>
      </c>
      <c r="AL24" s="3241"/>
      <c r="AM24" s="3250" t="s">
        <v>3495</v>
      </c>
      <c r="AN24" s="3241">
        <f>Постачання_1ст!F16*1000</f>
        <v>11497.473532499998</v>
      </c>
      <c r="AO24" s="3250" t="s">
        <v>3495</v>
      </c>
      <c r="AP24" s="3242">
        <f t="shared" si="8"/>
        <v>66288.78</v>
      </c>
      <c r="AQ24" s="3241">
        <f>62.64*1000*'Вхідні дані'!D71</f>
        <v>66288.78</v>
      </c>
      <c r="AR24" s="3241"/>
      <c r="AS24" s="3242">
        <f t="shared" si="9"/>
        <v>14</v>
      </c>
      <c r="AT24" s="3247"/>
      <c r="AU24" s="3248"/>
      <c r="AV24" s="3248"/>
      <c r="AW24" s="3247"/>
      <c r="AX24" s="3248"/>
      <c r="AY24" s="3248"/>
      <c r="AZ24" s="3247"/>
      <c r="BA24" s="3248"/>
      <c r="BB24" s="3248"/>
      <c r="BC24" s="3247"/>
      <c r="BD24" s="3248"/>
      <c r="BE24" s="3248"/>
      <c r="BF24" s="3248"/>
      <c r="BG24" s="3248"/>
      <c r="BH24" s="3249"/>
      <c r="BI24" s="3249"/>
      <c r="BM24" s="4198"/>
    </row>
    <row r="25" spans="1:65" ht="13.2" x14ac:dyDescent="0.25">
      <c r="A25" s="3270">
        <f t="shared" si="10"/>
        <v>15</v>
      </c>
      <c r="B25" s="3272" t="s">
        <v>938</v>
      </c>
      <c r="C25" s="3271"/>
      <c r="D25" s="3240"/>
      <c r="E25" s="3241"/>
      <c r="F25" s="3241"/>
      <c r="G25" s="3240"/>
      <c r="H25" s="3241"/>
      <c r="I25" s="3241"/>
      <c r="J25" s="3241"/>
      <c r="K25" s="3240"/>
      <c r="L25" s="3241"/>
      <c r="M25" s="3241"/>
      <c r="N25" s="3240">
        <f t="shared" si="5"/>
        <v>15</v>
      </c>
      <c r="O25" s="3239"/>
      <c r="P25" s="3240"/>
      <c r="Q25" s="3241"/>
      <c r="R25" s="3241"/>
      <c r="S25" s="3240"/>
      <c r="T25" s="3241"/>
      <c r="U25" s="3241"/>
      <c r="V25" s="3241"/>
      <c r="W25" s="3240"/>
      <c r="X25" s="3241"/>
      <c r="Y25" s="3241"/>
      <c r="Z25" s="3242">
        <f t="shared" si="6"/>
        <v>15</v>
      </c>
      <c r="AA25" s="3243">
        <f t="shared" si="7"/>
        <v>144758.69478000002</v>
      </c>
      <c r="AB25" s="3242">
        <f t="shared" si="4"/>
        <v>121159.7515275</v>
      </c>
      <c r="AC25" s="3241">
        <f>ЗВВ_1ст!F16*1000</f>
        <v>17315.753197499998</v>
      </c>
      <c r="AD25" s="3241">
        <f>Адміністративні_1ст!F16*1000</f>
        <v>6283.1900549999991</v>
      </c>
      <c r="AE25" s="3242">
        <f t="shared" si="11"/>
        <v>109857.6415275</v>
      </c>
      <c r="AF25" s="4261">
        <f>Виробництво_2ст!F25*1000</f>
        <v>44516.841877500003</v>
      </c>
      <c r="AG25" s="3250" t="s">
        <v>3495</v>
      </c>
      <c r="AH25" s="3241">
        <f>Транспортування_1ст!F22*1000</f>
        <v>65340.799649999994</v>
      </c>
      <c r="AI25" s="3250" t="s">
        <v>3495</v>
      </c>
      <c r="AJ25" s="3241"/>
      <c r="AK25" s="3250" t="s">
        <v>3495</v>
      </c>
      <c r="AL25" s="3241"/>
      <c r="AM25" s="3250" t="s">
        <v>3495</v>
      </c>
      <c r="AN25" s="3241"/>
      <c r="AO25" s="3250" t="s">
        <v>3495</v>
      </c>
      <c r="AP25" s="3242">
        <f t="shared" si="8"/>
        <v>11302.109999999999</v>
      </c>
      <c r="AQ25" s="3241">
        <f>10.68*1000*'Вхідні дані'!D71</f>
        <v>11302.109999999999</v>
      </c>
      <c r="AR25" s="3241"/>
      <c r="AS25" s="3242">
        <f t="shared" si="9"/>
        <v>15</v>
      </c>
      <c r="AT25" s="3247"/>
      <c r="AU25" s="3248"/>
      <c r="AV25" s="3248"/>
      <c r="AW25" s="3247"/>
      <c r="AX25" s="3248"/>
      <c r="AY25" s="3248"/>
      <c r="AZ25" s="3247"/>
      <c r="BA25" s="3248"/>
      <c r="BB25" s="3248"/>
      <c r="BC25" s="3247"/>
      <c r="BD25" s="3248"/>
      <c r="BE25" s="3248"/>
      <c r="BF25" s="3248"/>
      <c r="BG25" s="3248"/>
      <c r="BH25" s="3249"/>
      <c r="BI25" s="3249"/>
      <c r="BM25" s="4198"/>
    </row>
    <row r="26" spans="1:65" ht="13.2" x14ac:dyDescent="0.25">
      <c r="A26" s="3270">
        <f t="shared" si="10"/>
        <v>16</v>
      </c>
      <c r="B26" s="3272" t="s">
        <v>939</v>
      </c>
      <c r="C26" s="3271"/>
      <c r="D26" s="3240"/>
      <c r="E26" s="3241"/>
      <c r="F26" s="3241"/>
      <c r="G26" s="3240"/>
      <c r="H26" s="3241"/>
      <c r="I26" s="3241"/>
      <c r="J26" s="3241"/>
      <c r="K26" s="3240"/>
      <c r="L26" s="3241"/>
      <c r="M26" s="3241"/>
      <c r="N26" s="3240">
        <f t="shared" si="5"/>
        <v>16</v>
      </c>
      <c r="O26" s="3239"/>
      <c r="P26" s="3240"/>
      <c r="Q26" s="3241"/>
      <c r="R26" s="3241"/>
      <c r="S26" s="3240"/>
      <c r="T26" s="3241"/>
      <c r="U26" s="3241"/>
      <c r="V26" s="3241"/>
      <c r="W26" s="3240"/>
      <c r="X26" s="3241"/>
      <c r="Y26" s="3241"/>
      <c r="Z26" s="3242">
        <f t="shared" si="6"/>
        <v>16</v>
      </c>
      <c r="AA26" s="3243">
        <f t="shared" si="7"/>
        <v>31838.319015000001</v>
      </c>
      <c r="AB26" s="3242">
        <f t="shared" si="4"/>
        <v>11731.008142499999</v>
      </c>
      <c r="AC26" s="3241">
        <f>ЗВВ_1ст!F17*1000</f>
        <v>4358.6566049999992</v>
      </c>
      <c r="AD26" s="3241">
        <f>Адміністративні_1ст!F17*1000</f>
        <v>15748.6542675</v>
      </c>
      <c r="AE26" s="3242">
        <f t="shared" si="11"/>
        <v>7826.0656424999988</v>
      </c>
      <c r="AF26" s="4261">
        <f>Виробництво_2ст!F26*1000</f>
        <v>7593.0495749999991</v>
      </c>
      <c r="AG26" s="3250" t="s">
        <v>3495</v>
      </c>
      <c r="AH26" s="3241">
        <f>Транспортування_1ст!F23*1000</f>
        <v>233.01606749999999</v>
      </c>
      <c r="AI26" s="3250" t="s">
        <v>3495</v>
      </c>
      <c r="AJ26" s="3241"/>
      <c r="AK26" s="3250" t="s">
        <v>3495</v>
      </c>
      <c r="AL26" s="3241"/>
      <c r="AM26" s="3250" t="s">
        <v>3495</v>
      </c>
      <c r="AN26" s="3241"/>
      <c r="AO26" s="3250" t="s">
        <v>3495</v>
      </c>
      <c r="AP26" s="3242">
        <f t="shared" si="8"/>
        <v>3904.9424999999997</v>
      </c>
      <c r="AQ26" s="3241">
        <f>3.69*1000*'Вхідні дані'!D71</f>
        <v>3904.9424999999997</v>
      </c>
      <c r="AR26" s="3241"/>
      <c r="AS26" s="3242">
        <f t="shared" si="9"/>
        <v>16</v>
      </c>
      <c r="AT26" s="3247"/>
      <c r="AU26" s="3248"/>
      <c r="AV26" s="3248"/>
      <c r="AW26" s="3247"/>
      <c r="AX26" s="3248"/>
      <c r="AY26" s="3248"/>
      <c r="AZ26" s="3247"/>
      <c r="BA26" s="3248"/>
      <c r="BB26" s="3248"/>
      <c r="BC26" s="3247"/>
      <c r="BD26" s="3248"/>
      <c r="BE26" s="3248"/>
      <c r="BF26" s="3248"/>
      <c r="BG26" s="3248"/>
      <c r="BH26" s="3249"/>
      <c r="BI26" s="3249"/>
      <c r="BM26" s="4198"/>
    </row>
    <row r="27" spans="1:65" ht="13.2" x14ac:dyDescent="0.25">
      <c r="A27" s="3270">
        <f t="shared" si="10"/>
        <v>17</v>
      </c>
      <c r="B27" s="3272" t="s">
        <v>940</v>
      </c>
      <c r="C27" s="3271"/>
      <c r="D27" s="3240"/>
      <c r="E27" s="3241"/>
      <c r="F27" s="3241"/>
      <c r="G27" s="3240"/>
      <c r="H27" s="3241"/>
      <c r="I27" s="3241"/>
      <c r="J27" s="3241"/>
      <c r="K27" s="3240"/>
      <c r="L27" s="3241"/>
      <c r="M27" s="3241"/>
      <c r="N27" s="3240">
        <f t="shared" si="5"/>
        <v>17</v>
      </c>
      <c r="O27" s="3239"/>
      <c r="P27" s="3240"/>
      <c r="Q27" s="3241"/>
      <c r="R27" s="3241"/>
      <c r="S27" s="3240"/>
      <c r="T27" s="3241"/>
      <c r="U27" s="3241"/>
      <c r="V27" s="3241"/>
      <c r="W27" s="3240"/>
      <c r="X27" s="3241"/>
      <c r="Y27" s="3241"/>
      <c r="Z27" s="3242">
        <f t="shared" si="6"/>
        <v>17</v>
      </c>
      <c r="AA27" s="3243">
        <f t="shared" si="7"/>
        <v>421274.38</v>
      </c>
      <c r="AB27" s="3242">
        <f t="shared" si="4"/>
        <v>376612.52</v>
      </c>
      <c r="AC27" s="3241">
        <f>ОП!H6*1000</f>
        <v>36379.869999999995</v>
      </c>
      <c r="AD27" s="3241">
        <f>ОП!I6*1000</f>
        <v>8281.99</v>
      </c>
      <c r="AE27" s="3242">
        <f t="shared" si="11"/>
        <v>329783.02</v>
      </c>
      <c r="AF27" s="4261">
        <f>ОП!D6*1000</f>
        <v>139534.51999999999</v>
      </c>
      <c r="AG27" s="3250" t="s">
        <v>3495</v>
      </c>
      <c r="AH27" s="3241">
        <f>ОП!E6*1000</f>
        <v>190248.50000000006</v>
      </c>
      <c r="AI27" s="3250" t="s">
        <v>3495</v>
      </c>
      <c r="AJ27" s="3241"/>
      <c r="AK27" s="3250" t="s">
        <v>3495</v>
      </c>
      <c r="AL27" s="3241"/>
      <c r="AM27" s="3250" t="s">
        <v>3495</v>
      </c>
      <c r="AN27" s="3241"/>
      <c r="AO27" s="3250" t="s">
        <v>3495</v>
      </c>
      <c r="AP27" s="3242">
        <f t="shared" si="8"/>
        <v>46829.499999999985</v>
      </c>
      <c r="AQ27" s="3241">
        <f>ОП!G6*1000</f>
        <v>46829.499999999985</v>
      </c>
      <c r="AR27" s="3241"/>
      <c r="AS27" s="3242">
        <f t="shared" si="9"/>
        <v>17</v>
      </c>
      <c r="AT27" s="3247"/>
      <c r="AU27" s="3248"/>
      <c r="AV27" s="3248"/>
      <c r="AW27" s="3247"/>
      <c r="AX27" s="3248"/>
      <c r="AY27" s="3248"/>
      <c r="AZ27" s="3247"/>
      <c r="BA27" s="3248"/>
      <c r="BB27" s="3248"/>
      <c r="BC27" s="3247"/>
      <c r="BD27" s="3248"/>
      <c r="BE27" s="3248"/>
      <c r="BF27" s="3248"/>
      <c r="BG27" s="3248"/>
      <c r="BH27" s="3249"/>
      <c r="BI27" s="3249"/>
      <c r="BM27" s="4198"/>
    </row>
    <row r="28" spans="1:65" ht="13.2" x14ac:dyDescent="0.25">
      <c r="A28" s="3270">
        <f t="shared" si="10"/>
        <v>18</v>
      </c>
      <c r="B28" s="3272" t="s">
        <v>941</v>
      </c>
      <c r="C28" s="3271"/>
      <c r="D28" s="3240"/>
      <c r="E28" s="3241"/>
      <c r="F28" s="3241"/>
      <c r="G28" s="3240"/>
      <c r="H28" s="3241"/>
      <c r="I28" s="3241"/>
      <c r="J28" s="3241"/>
      <c r="K28" s="3240"/>
      <c r="L28" s="3241"/>
      <c r="M28" s="3241"/>
      <c r="N28" s="3240">
        <f t="shared" si="5"/>
        <v>18</v>
      </c>
      <c r="O28" s="3239"/>
      <c r="P28" s="3240"/>
      <c r="Q28" s="3241"/>
      <c r="R28" s="3241"/>
      <c r="S28" s="3240"/>
      <c r="T28" s="3241"/>
      <c r="U28" s="3241"/>
      <c r="V28" s="3241"/>
      <c r="W28" s="3240"/>
      <c r="X28" s="3241"/>
      <c r="Y28" s="3241"/>
      <c r="Z28" s="3242">
        <f t="shared" si="6"/>
        <v>18</v>
      </c>
      <c r="AA28" s="3243">
        <f t="shared" si="7"/>
        <v>67434.89</v>
      </c>
      <c r="AB28" s="3242">
        <f t="shared" si="4"/>
        <v>62783.490000000005</v>
      </c>
      <c r="AC28" s="3241">
        <f>ОП!H8*1000</f>
        <v>4651.3999999999996</v>
      </c>
      <c r="AD28" s="3241"/>
      <c r="AE28" s="3242">
        <f t="shared" si="11"/>
        <v>61970.020000000004</v>
      </c>
      <c r="AF28" s="4261">
        <f>ОП!D8*1000</f>
        <v>37106.920000000006</v>
      </c>
      <c r="AG28" s="3250" t="s">
        <v>3495</v>
      </c>
      <c r="AH28" s="3241">
        <f>ОП!E8*1000</f>
        <v>24863.100000000002</v>
      </c>
      <c r="AI28" s="3250" t="s">
        <v>3495</v>
      </c>
      <c r="AJ28" s="3241"/>
      <c r="AK28" s="3250" t="s">
        <v>3495</v>
      </c>
      <c r="AL28" s="3241"/>
      <c r="AM28" s="3250" t="s">
        <v>3495</v>
      </c>
      <c r="AN28" s="3241"/>
      <c r="AO28" s="3250" t="s">
        <v>3495</v>
      </c>
      <c r="AP28" s="3242">
        <f t="shared" si="8"/>
        <v>813.47</v>
      </c>
      <c r="AQ28" s="3241">
        <f>ОП!G8*1000</f>
        <v>813.47</v>
      </c>
      <c r="AR28" s="3241"/>
      <c r="AS28" s="3242">
        <f t="shared" si="9"/>
        <v>18</v>
      </c>
      <c r="AT28" s="3247"/>
      <c r="AU28" s="3248"/>
      <c r="AV28" s="3248"/>
      <c r="AW28" s="3247"/>
      <c r="AX28" s="3248"/>
      <c r="AY28" s="3248"/>
      <c r="AZ28" s="3247"/>
      <c r="BA28" s="3248"/>
      <c r="BB28" s="3248"/>
      <c r="BC28" s="3247"/>
      <c r="BD28" s="3248"/>
      <c r="BE28" s="3248"/>
      <c r="BF28" s="3248"/>
      <c r="BG28" s="3248"/>
      <c r="BH28" s="3249"/>
      <c r="BI28" s="3249"/>
      <c r="BM28" s="4198"/>
    </row>
    <row r="29" spans="1:65" ht="26.4" x14ac:dyDescent="0.25">
      <c r="A29" s="3270">
        <f t="shared" si="10"/>
        <v>19</v>
      </c>
      <c r="B29" s="3272" t="s">
        <v>2392</v>
      </c>
      <c r="C29" s="3271"/>
      <c r="D29" s="3240"/>
      <c r="E29" s="3241"/>
      <c r="F29" s="3241"/>
      <c r="G29" s="3240"/>
      <c r="H29" s="3241"/>
      <c r="I29" s="3241"/>
      <c r="J29" s="3241"/>
      <c r="K29" s="3240"/>
      <c r="L29" s="3241"/>
      <c r="M29" s="3241"/>
      <c r="N29" s="3240">
        <f t="shared" si="5"/>
        <v>19</v>
      </c>
      <c r="O29" s="3239"/>
      <c r="P29" s="3240"/>
      <c r="Q29" s="3241"/>
      <c r="R29" s="3241"/>
      <c r="S29" s="3240"/>
      <c r="T29" s="3241"/>
      <c r="U29" s="3241"/>
      <c r="V29" s="3241"/>
      <c r="W29" s="3240"/>
      <c r="X29" s="3241"/>
      <c r="Y29" s="3241"/>
      <c r="Z29" s="3242">
        <f t="shared" si="6"/>
        <v>19</v>
      </c>
      <c r="AA29" s="3243">
        <f t="shared" si="7"/>
        <v>14113081.982088981</v>
      </c>
      <c r="AB29" s="3242">
        <f t="shared" si="4"/>
        <v>14113081.982088981</v>
      </c>
      <c r="AC29" s="3241"/>
      <c r="AD29" s="3241">
        <f>ОП!I8*1000</f>
        <v>0</v>
      </c>
      <c r="AE29" s="3242">
        <f t="shared" si="11"/>
        <v>14113081.982088981</v>
      </c>
      <c r="AF29" s="4261"/>
      <c r="AG29" s="3250" t="s">
        <v>124</v>
      </c>
      <c r="AH29" s="3241"/>
      <c r="AI29" s="3250" t="s">
        <v>124</v>
      </c>
      <c r="AJ29" s="3241">
        <f>Транспортування_1ст!G26*1000</f>
        <v>2557862.8713145722</v>
      </c>
      <c r="AK29" s="3250" t="s">
        <v>124</v>
      </c>
      <c r="AL29" s="3241">
        <f>Транспортування_1ст!H26*1000</f>
        <v>11555219.110774409</v>
      </c>
      <c r="AM29" s="3250" t="s">
        <v>124</v>
      </c>
      <c r="AN29" s="3241"/>
      <c r="AO29" s="3250" t="s">
        <v>124</v>
      </c>
      <c r="AP29" s="3242">
        <f t="shared" si="8"/>
        <v>0</v>
      </c>
      <c r="AQ29" s="3241"/>
      <c r="AR29" s="3241"/>
      <c r="AS29" s="3242">
        <f t="shared" si="9"/>
        <v>19</v>
      </c>
      <c r="AT29" s="3247"/>
      <c r="AU29" s="3248"/>
      <c r="AV29" s="3248"/>
      <c r="AW29" s="3247"/>
      <c r="AX29" s="3248"/>
      <c r="AY29" s="3248"/>
      <c r="AZ29" s="3247"/>
      <c r="BA29" s="3248"/>
      <c r="BB29" s="3248"/>
      <c r="BC29" s="3247"/>
      <c r="BD29" s="3248"/>
      <c r="BE29" s="3248"/>
      <c r="BF29" s="3248"/>
      <c r="BG29" s="3248"/>
      <c r="BH29" s="3249"/>
      <c r="BI29" s="3249"/>
      <c r="BM29" s="4198"/>
    </row>
    <row r="30" spans="1:65" ht="13.2" x14ac:dyDescent="0.25">
      <c r="A30" s="3270">
        <f t="shared" si="10"/>
        <v>20</v>
      </c>
      <c r="B30" s="3274" t="s">
        <v>3503</v>
      </c>
      <c r="C30" s="3271"/>
      <c r="D30" s="3240"/>
      <c r="E30" s="3241"/>
      <c r="F30" s="3241"/>
      <c r="G30" s="3240"/>
      <c r="H30" s="3241"/>
      <c r="I30" s="3241"/>
      <c r="J30" s="3241"/>
      <c r="K30" s="3240"/>
      <c r="L30" s="3241"/>
      <c r="M30" s="3241"/>
      <c r="N30" s="3240">
        <f t="shared" si="5"/>
        <v>20</v>
      </c>
      <c r="O30" s="3239"/>
      <c r="P30" s="3240"/>
      <c r="Q30" s="3241"/>
      <c r="R30" s="3241"/>
      <c r="S30" s="3240"/>
      <c r="T30" s="3241"/>
      <c r="U30" s="3241"/>
      <c r="V30" s="3241"/>
      <c r="W30" s="3240"/>
      <c r="X30" s="3241"/>
      <c r="Y30" s="3241"/>
      <c r="Z30" s="3242">
        <f t="shared" si="6"/>
        <v>20</v>
      </c>
      <c r="AA30" s="3243">
        <f t="shared" si="7"/>
        <v>43637650.593634434</v>
      </c>
      <c r="AB30" s="3242">
        <f t="shared" si="4"/>
        <v>30506830.602360465</v>
      </c>
      <c r="AC30" s="3241">
        <f>ФОП!H44</f>
        <v>5991834.8819999993</v>
      </c>
      <c r="AD30" s="3241">
        <f>ФОП!H49</f>
        <v>7138985.109273972</v>
      </c>
      <c r="AE30" s="3242">
        <f t="shared" si="11"/>
        <v>26504404.546260465</v>
      </c>
      <c r="AF30" s="4261">
        <f>ФОП!H9</f>
        <v>11228939.355305936</v>
      </c>
      <c r="AG30" s="3250" t="s">
        <v>4040</v>
      </c>
      <c r="AH30" s="3241"/>
      <c r="AI30" s="3250" t="s">
        <v>4040</v>
      </c>
      <c r="AJ30" s="3241">
        <f>ФОП!H19</f>
        <v>2362111.7955616438</v>
      </c>
      <c r="AK30" s="3250" t="s">
        <v>4040</v>
      </c>
      <c r="AL30" s="3241">
        <f>ФОП!H14</f>
        <v>12158872.757392887</v>
      </c>
      <c r="AM30" s="3250" t="s">
        <v>4040</v>
      </c>
      <c r="AN30" s="3241">
        <f>ФОП!H24</f>
        <v>754480.63799999992</v>
      </c>
      <c r="AO30" s="3250" t="s">
        <v>4040</v>
      </c>
      <c r="AP30" s="3242">
        <f t="shared" si="8"/>
        <v>4002426.0561000002</v>
      </c>
      <c r="AQ30" s="3241">
        <f>ФОП!H29</f>
        <v>4002426.0561000002</v>
      </c>
      <c r="AR30" s="3241"/>
      <c r="AS30" s="3242">
        <f t="shared" si="9"/>
        <v>20</v>
      </c>
      <c r="AT30" s="3247"/>
      <c r="AU30" s="3248"/>
      <c r="AV30" s="3248"/>
      <c r="AW30" s="3247"/>
      <c r="AX30" s="3248"/>
      <c r="AY30" s="3248"/>
      <c r="AZ30" s="3247"/>
      <c r="BA30" s="3248"/>
      <c r="BB30" s="3248"/>
      <c r="BC30" s="3247"/>
      <c r="BD30" s="3248"/>
      <c r="BE30" s="3248"/>
      <c r="BF30" s="3248"/>
      <c r="BG30" s="3248"/>
      <c r="BH30" s="3249"/>
      <c r="BI30" s="3249"/>
      <c r="BL30" s="3216" t="s">
        <v>4044</v>
      </c>
      <c r="BM30" s="4204">
        <f>ФОП!H54-'Прямі витрати'!AA30</f>
        <v>0</v>
      </c>
    </row>
    <row r="31" spans="1:65" s="3226" customFormat="1" ht="13.2" x14ac:dyDescent="0.25">
      <c r="A31" s="3270">
        <f t="shared" si="10"/>
        <v>21</v>
      </c>
      <c r="B31" s="3274" t="s">
        <v>1660</v>
      </c>
      <c r="C31" s="3271"/>
      <c r="D31" s="3239"/>
      <c r="E31" s="3255"/>
      <c r="F31" s="3255"/>
      <c r="G31" s="3239"/>
      <c r="H31" s="3255"/>
      <c r="I31" s="3255"/>
      <c r="J31" s="3255"/>
      <c r="K31" s="3239"/>
      <c r="L31" s="3255"/>
      <c r="M31" s="3255"/>
      <c r="N31" s="3240">
        <f t="shared" si="5"/>
        <v>21</v>
      </c>
      <c r="O31" s="3239"/>
      <c r="P31" s="3239"/>
      <c r="Q31" s="3255"/>
      <c r="R31" s="3255"/>
      <c r="S31" s="3239"/>
      <c r="T31" s="3255"/>
      <c r="U31" s="3255"/>
      <c r="V31" s="3255"/>
      <c r="W31" s="3239"/>
      <c r="X31" s="3255"/>
      <c r="Y31" s="3255"/>
      <c r="Z31" s="3242">
        <f t="shared" si="6"/>
        <v>21</v>
      </c>
      <c r="AA31" s="3243">
        <f t="shared" si="7"/>
        <v>0</v>
      </c>
      <c r="AB31" s="3242">
        <f t="shared" si="4"/>
        <v>0</v>
      </c>
      <c r="AC31" s="3255"/>
      <c r="AD31" s="3255"/>
      <c r="AE31" s="3242">
        <f t="shared" si="11"/>
        <v>0</v>
      </c>
      <c r="AF31" s="4262"/>
      <c r="AG31" s="3250"/>
      <c r="AH31" s="3255"/>
      <c r="AI31" s="3250"/>
      <c r="AJ31" s="3255"/>
      <c r="AK31" s="3250"/>
      <c r="AL31" s="3255"/>
      <c r="AM31" s="3250"/>
      <c r="AN31" s="3255"/>
      <c r="AO31" s="3250"/>
      <c r="AP31" s="3242">
        <f t="shared" si="8"/>
        <v>0</v>
      </c>
      <c r="AQ31" s="3255"/>
      <c r="AR31" s="3255"/>
      <c r="AS31" s="3242">
        <f t="shared" si="9"/>
        <v>21</v>
      </c>
      <c r="AT31" s="3267"/>
      <c r="AU31" s="3268"/>
      <c r="AV31" s="3268"/>
      <c r="AW31" s="3267"/>
      <c r="AX31" s="3268"/>
      <c r="AY31" s="3268"/>
      <c r="AZ31" s="3267"/>
      <c r="BA31" s="3268"/>
      <c r="BB31" s="3268"/>
      <c r="BC31" s="3267"/>
      <c r="BD31" s="3268"/>
      <c r="BE31" s="3268"/>
      <c r="BF31" s="3268"/>
      <c r="BG31" s="3268"/>
      <c r="BH31" s="3269"/>
      <c r="BI31" s="3269"/>
      <c r="BM31" s="4240"/>
    </row>
    <row r="32" spans="1:65" ht="24.6" customHeight="1" x14ac:dyDescent="0.25">
      <c r="A32" s="3270">
        <f t="shared" si="10"/>
        <v>22</v>
      </c>
      <c r="B32" s="3272" t="s">
        <v>548</v>
      </c>
      <c r="C32" s="3271"/>
      <c r="D32" s="3240"/>
      <c r="E32" s="3241"/>
      <c r="F32" s="3241"/>
      <c r="G32" s="3240"/>
      <c r="H32" s="3241"/>
      <c r="I32" s="3241"/>
      <c r="J32" s="3241"/>
      <c r="K32" s="3240"/>
      <c r="L32" s="3241"/>
      <c r="M32" s="3241"/>
      <c r="N32" s="3240">
        <f t="shared" si="5"/>
        <v>22</v>
      </c>
      <c r="O32" s="3239"/>
      <c r="P32" s="3240"/>
      <c r="Q32" s="3241"/>
      <c r="R32" s="3241"/>
      <c r="S32" s="3240"/>
      <c r="T32" s="3241"/>
      <c r="U32" s="3241"/>
      <c r="V32" s="3241"/>
      <c r="W32" s="3240"/>
      <c r="X32" s="3241"/>
      <c r="Y32" s="3241"/>
      <c r="Z32" s="3242">
        <f t="shared" si="6"/>
        <v>22</v>
      </c>
      <c r="AA32" s="3243">
        <f t="shared" si="7"/>
        <v>9404923.5305796396</v>
      </c>
      <c r="AB32" s="3242">
        <f t="shared" si="4"/>
        <v>6555374.4713403657</v>
      </c>
      <c r="AC32" s="3241">
        <f>ФОП!H46</f>
        <v>1278972.3351989998</v>
      </c>
      <c r="AD32" s="3241">
        <f>ФОП!H51</f>
        <v>1570576.724040274</v>
      </c>
      <c r="AE32" s="3242">
        <f t="shared" si="11"/>
        <v>5794797.1149787027</v>
      </c>
      <c r="AF32" s="4261">
        <f>ФОП!H11</f>
        <v>2470366.6581673059</v>
      </c>
      <c r="AG32" s="3250" t="s">
        <v>4041</v>
      </c>
      <c r="AH32" s="3241"/>
      <c r="AI32" s="3250" t="s">
        <v>4041</v>
      </c>
      <c r="AJ32" s="3241">
        <f>ФОП!H21</f>
        <v>519664.59502356162</v>
      </c>
      <c r="AK32" s="3250" t="s">
        <v>4041</v>
      </c>
      <c r="AL32" s="3241">
        <f>ФОП!H16</f>
        <v>2638780.121427835</v>
      </c>
      <c r="AM32" s="3250" t="s">
        <v>4041</v>
      </c>
      <c r="AN32" s="3241">
        <f>ФОП!H26</f>
        <v>165985.74036</v>
      </c>
      <c r="AO32" s="3250" t="s">
        <v>4041</v>
      </c>
      <c r="AP32" s="3242">
        <f t="shared" si="8"/>
        <v>760577.3563616625</v>
      </c>
      <c r="AQ32" s="3241">
        <f>ФОП!H31</f>
        <v>760577.3563616625</v>
      </c>
      <c r="AR32" s="3241"/>
      <c r="AS32" s="3242">
        <f t="shared" si="9"/>
        <v>22</v>
      </c>
      <c r="AT32" s="3247"/>
      <c r="AU32" s="3248"/>
      <c r="AV32" s="3248"/>
      <c r="AW32" s="3247"/>
      <c r="AX32" s="3248"/>
      <c r="AY32" s="3248"/>
      <c r="AZ32" s="3247"/>
      <c r="BA32" s="3248"/>
      <c r="BB32" s="3248"/>
      <c r="BC32" s="3247"/>
      <c r="BD32" s="3248"/>
      <c r="BE32" s="3248"/>
      <c r="BF32" s="3248"/>
      <c r="BG32" s="3248"/>
      <c r="BH32" s="3249"/>
      <c r="BI32" s="3249"/>
      <c r="BL32" s="3216" t="s">
        <v>4044</v>
      </c>
      <c r="BM32" s="4239">
        <f>ФОП!H56-'Прямі витрати'!AA32</f>
        <v>0</v>
      </c>
    </row>
    <row r="33" spans="1:65" ht="13.95" customHeight="1" x14ac:dyDescent="0.3">
      <c r="A33" s="3270">
        <f t="shared" si="10"/>
        <v>23</v>
      </c>
      <c r="B33" s="3275" t="s">
        <v>4043</v>
      </c>
      <c r="C33" s="3271"/>
      <c r="D33" s="3240"/>
      <c r="E33" s="3241"/>
      <c r="F33" s="3241"/>
      <c r="G33" s="3240"/>
      <c r="H33" s="3241"/>
      <c r="I33" s="3241"/>
      <c r="J33" s="3241"/>
      <c r="K33" s="3240"/>
      <c r="L33" s="3241"/>
      <c r="M33" s="3241"/>
      <c r="N33" s="3240">
        <f t="shared" si="5"/>
        <v>23</v>
      </c>
      <c r="O33" s="3239"/>
      <c r="P33" s="3240"/>
      <c r="Q33" s="3241"/>
      <c r="R33" s="3241"/>
      <c r="S33" s="3240"/>
      <c r="T33" s="3241"/>
      <c r="U33" s="3241"/>
      <c r="V33" s="3241"/>
      <c r="W33" s="3240"/>
      <c r="X33" s="3241"/>
      <c r="Y33" s="3241"/>
      <c r="Z33" s="3242">
        <f t="shared" si="6"/>
        <v>23</v>
      </c>
      <c r="AA33" s="3243">
        <f t="shared" si="7"/>
        <v>8011012.9599999944</v>
      </c>
      <c r="AB33" s="3242">
        <f t="shared" si="4"/>
        <v>7884096.8599999947</v>
      </c>
      <c r="AC33" s="3241">
        <f>Амортизація!G24</f>
        <v>36866.270000000011</v>
      </c>
      <c r="AD33" s="3241">
        <f>Амортизація!G18</f>
        <v>90049.830000000016</v>
      </c>
      <c r="AE33" s="3242">
        <f t="shared" si="11"/>
        <v>7860085.6499999948</v>
      </c>
      <c r="AF33" s="4261">
        <f>Амортизація!G9</f>
        <v>2122962.86</v>
      </c>
      <c r="AG33" s="3250" t="s">
        <v>4037</v>
      </c>
      <c r="AH33" s="3241">
        <f>Амортизація!G12</f>
        <v>1547929.9999999998</v>
      </c>
      <c r="AI33" s="3250" t="s">
        <v>4037</v>
      </c>
      <c r="AJ33" s="3241">
        <f>Амортизація!G10</f>
        <v>1115760.2400000002</v>
      </c>
      <c r="AK33" s="3250" t="s">
        <v>4037</v>
      </c>
      <c r="AL33" s="3241">
        <f>Амортизація!G11</f>
        <v>2229439.1999999946</v>
      </c>
      <c r="AM33" s="3250" t="s">
        <v>4037</v>
      </c>
      <c r="AN33" s="3241">
        <f>Амортизація!G14</f>
        <v>843993.35000000068</v>
      </c>
      <c r="AO33" s="3250" t="s">
        <v>4037</v>
      </c>
      <c r="AP33" s="3242">
        <f t="shared" si="8"/>
        <v>24011.210000000021</v>
      </c>
      <c r="AQ33" s="3241">
        <f>Амортизація!G15</f>
        <v>13824.890000000021</v>
      </c>
      <c r="AR33" s="3241">
        <f>Амортизація!G17</f>
        <v>10186.32</v>
      </c>
      <c r="AS33" s="3242">
        <f t="shared" si="9"/>
        <v>23</v>
      </c>
      <c r="AT33" s="3247"/>
      <c r="AU33" s="3248"/>
      <c r="AV33" s="3248"/>
      <c r="AW33" s="3247"/>
      <c r="AX33" s="3248"/>
      <c r="AY33" s="3248"/>
      <c r="AZ33" s="3247"/>
      <c r="BA33" s="3248"/>
      <c r="BB33" s="3248"/>
      <c r="BC33" s="3247"/>
      <c r="BD33" s="3248"/>
      <c r="BE33" s="3248"/>
      <c r="BF33" s="3248"/>
      <c r="BG33" s="3248"/>
      <c r="BH33" s="3249"/>
      <c r="BI33" s="3249"/>
      <c r="BL33" s="3216" t="s">
        <v>4068</v>
      </c>
      <c r="BM33" s="4239">
        <f>Амортизація!G8-'Прямі витрати'!AA33</f>
        <v>0</v>
      </c>
    </row>
    <row r="34" spans="1:65" ht="26.4" x14ac:dyDescent="0.25">
      <c r="A34" s="3270">
        <f t="shared" si="10"/>
        <v>24</v>
      </c>
      <c r="B34" s="3272" t="s">
        <v>4042</v>
      </c>
      <c r="C34" s="3271"/>
      <c r="D34" s="3240"/>
      <c r="E34" s="3241"/>
      <c r="F34" s="3241"/>
      <c r="G34" s="3240"/>
      <c r="H34" s="3241"/>
      <c r="I34" s="3241"/>
      <c r="J34" s="3241"/>
      <c r="K34" s="3240"/>
      <c r="L34" s="3241"/>
      <c r="M34" s="3241"/>
      <c r="N34" s="3240">
        <f t="shared" si="5"/>
        <v>24</v>
      </c>
      <c r="O34" s="3239"/>
      <c r="P34" s="3240"/>
      <c r="Q34" s="3241"/>
      <c r="R34" s="3241"/>
      <c r="S34" s="3240"/>
      <c r="T34" s="3241"/>
      <c r="U34" s="3241"/>
      <c r="V34" s="3241"/>
      <c r="W34" s="3240"/>
      <c r="X34" s="3241"/>
      <c r="Y34" s="3241"/>
      <c r="Z34" s="3242">
        <f t="shared" si="6"/>
        <v>24</v>
      </c>
      <c r="AA34" s="3243">
        <f t="shared" si="7"/>
        <v>0</v>
      </c>
      <c r="AB34" s="3242">
        <f t="shared" si="4"/>
        <v>0</v>
      </c>
      <c r="AC34" s="3241"/>
      <c r="AD34" s="3241"/>
      <c r="AE34" s="3242">
        <f t="shared" si="11"/>
        <v>0</v>
      </c>
      <c r="AF34" s="4261"/>
      <c r="AG34" s="3250" t="s">
        <v>124</v>
      </c>
      <c r="AH34" s="3241"/>
      <c r="AI34" s="3250" t="s">
        <v>124</v>
      </c>
      <c r="AJ34" s="3241"/>
      <c r="AK34" s="3250" t="s">
        <v>124</v>
      </c>
      <c r="AL34" s="3241"/>
      <c r="AM34" s="3250" t="s">
        <v>124</v>
      </c>
      <c r="AN34" s="3241"/>
      <c r="AO34" s="3250" t="s">
        <v>124</v>
      </c>
      <c r="AP34" s="3242">
        <f t="shared" si="8"/>
        <v>0</v>
      </c>
      <c r="AQ34" s="3241"/>
      <c r="AR34" s="3241"/>
      <c r="AS34" s="3242">
        <f t="shared" si="9"/>
        <v>24</v>
      </c>
      <c r="AT34" s="3247"/>
      <c r="AU34" s="3248"/>
      <c r="AV34" s="3248"/>
      <c r="AW34" s="3247"/>
      <c r="AX34" s="3248"/>
      <c r="AY34" s="3248"/>
      <c r="AZ34" s="3247"/>
      <c r="BA34" s="3248"/>
      <c r="BB34" s="3248"/>
      <c r="BC34" s="3247"/>
      <c r="BD34" s="3248"/>
      <c r="BE34" s="3248"/>
      <c r="BF34" s="3248"/>
      <c r="BG34" s="3248"/>
      <c r="BH34" s="3249"/>
      <c r="BI34" s="3249"/>
      <c r="BM34" s="4198"/>
    </row>
    <row r="35" spans="1:65" ht="13.2" x14ac:dyDescent="0.3">
      <c r="A35" s="3270">
        <f t="shared" si="10"/>
        <v>25</v>
      </c>
      <c r="B35" s="3275" t="s">
        <v>1390</v>
      </c>
      <c r="C35" s="3271"/>
      <c r="D35" s="3240"/>
      <c r="E35" s="3241"/>
      <c r="F35" s="3241"/>
      <c r="G35" s="3240"/>
      <c r="H35" s="3241"/>
      <c r="I35" s="3241"/>
      <c r="J35" s="3241"/>
      <c r="K35" s="3240"/>
      <c r="L35" s="3241"/>
      <c r="M35" s="3241"/>
      <c r="N35" s="3240">
        <f t="shared" si="5"/>
        <v>25</v>
      </c>
      <c r="O35" s="3239"/>
      <c r="P35" s="3240"/>
      <c r="Q35" s="3241"/>
      <c r="R35" s="3241"/>
      <c r="S35" s="3240"/>
      <c r="T35" s="3241"/>
      <c r="U35" s="3241"/>
      <c r="V35" s="3241"/>
      <c r="W35" s="3240"/>
      <c r="X35" s="3241"/>
      <c r="Y35" s="3241"/>
      <c r="Z35" s="3242">
        <f t="shared" si="6"/>
        <v>25</v>
      </c>
      <c r="AA35" s="3243">
        <f t="shared" si="7"/>
        <v>3975416.5333333332</v>
      </c>
      <c r="AB35" s="3242">
        <f t="shared" si="4"/>
        <v>3973186.5333333332</v>
      </c>
      <c r="AC35" s="3241">
        <f>'Ремонт-план'!M5</f>
        <v>2230</v>
      </c>
      <c r="AD35" s="3241"/>
      <c r="AE35" s="3242">
        <f t="shared" si="11"/>
        <v>3973186.5333333332</v>
      </c>
      <c r="AF35" s="4261">
        <f>'Ремонт-план'!C5</f>
        <v>1244717.5333333332</v>
      </c>
      <c r="AG35" s="3250" t="s">
        <v>124</v>
      </c>
      <c r="AH35" s="3241">
        <f>'Ремонт-план'!D5</f>
        <v>2728469</v>
      </c>
      <c r="AI35" s="3250" t="s">
        <v>124</v>
      </c>
      <c r="AJ35" s="3241"/>
      <c r="AK35" s="3250" t="s">
        <v>124</v>
      </c>
      <c r="AL35" s="3241"/>
      <c r="AM35" s="3250" t="s">
        <v>124</v>
      </c>
      <c r="AN35" s="3241"/>
      <c r="AO35" s="3250" t="s">
        <v>124</v>
      </c>
      <c r="AP35" s="3242">
        <f t="shared" si="8"/>
        <v>0</v>
      </c>
      <c r="AQ35" s="3241"/>
      <c r="AR35" s="3241"/>
      <c r="AS35" s="3242">
        <f t="shared" si="9"/>
        <v>25</v>
      </c>
      <c r="AT35" s="3247"/>
      <c r="AU35" s="3248"/>
      <c r="AV35" s="3248"/>
      <c r="AW35" s="3247"/>
      <c r="AX35" s="3248"/>
      <c r="AY35" s="3248"/>
      <c r="AZ35" s="3247"/>
      <c r="BA35" s="3248"/>
      <c r="BB35" s="3248"/>
      <c r="BC35" s="3247"/>
      <c r="BD35" s="3248"/>
      <c r="BE35" s="3248"/>
      <c r="BF35" s="3248"/>
      <c r="BG35" s="3248"/>
      <c r="BH35" s="3249"/>
      <c r="BI35" s="3249"/>
      <c r="BL35" s="3216" t="s">
        <v>2678</v>
      </c>
      <c r="BM35" s="4203">
        <f>AA35-'Ремонт-план'!I2</f>
        <v>0</v>
      </c>
    </row>
    <row r="36" spans="1:65" ht="13.2" x14ac:dyDescent="0.3">
      <c r="A36" s="3270">
        <f t="shared" si="10"/>
        <v>26</v>
      </c>
      <c r="B36" s="3275" t="s">
        <v>3646</v>
      </c>
      <c r="C36" s="3271"/>
      <c r="D36" s="3240"/>
      <c r="E36" s="3241"/>
      <c r="F36" s="3241"/>
      <c r="G36" s="3240"/>
      <c r="H36" s="3241"/>
      <c r="I36" s="3241"/>
      <c r="J36" s="3241"/>
      <c r="K36" s="3240"/>
      <c r="L36" s="3241"/>
      <c r="M36" s="3241"/>
      <c r="N36" s="3240">
        <f t="shared" si="5"/>
        <v>26</v>
      </c>
      <c r="O36" s="3239"/>
      <c r="P36" s="3240"/>
      <c r="Q36" s="3241"/>
      <c r="R36" s="3241"/>
      <c r="S36" s="3240"/>
      <c r="T36" s="3241"/>
      <c r="U36" s="3241"/>
      <c r="V36" s="3241"/>
      <c r="W36" s="3240"/>
      <c r="X36" s="3241"/>
      <c r="Y36" s="3241"/>
      <c r="Z36" s="3242">
        <f t="shared" si="6"/>
        <v>26</v>
      </c>
      <c r="AA36" s="3243"/>
      <c r="AB36" s="3242"/>
      <c r="AC36" s="3241">
        <f>'Д 9_ЕЕ'!D270*1000</f>
        <v>13589.859731039158</v>
      </c>
      <c r="AD36" s="3241"/>
      <c r="AE36" s="3242">
        <f t="shared" si="11"/>
        <v>0</v>
      </c>
      <c r="AF36" s="4261"/>
      <c r="AG36" s="3250"/>
      <c r="AH36" s="3250"/>
      <c r="AI36" s="3250"/>
      <c r="AJ36" s="3241"/>
      <c r="AK36" s="3250"/>
      <c r="AL36" s="3241"/>
      <c r="AM36" s="3250"/>
      <c r="AN36" s="3241"/>
      <c r="AO36" s="3250"/>
      <c r="AP36" s="3242">
        <f t="shared" si="8"/>
        <v>0</v>
      </c>
      <c r="AQ36" s="3241"/>
      <c r="AR36" s="3241"/>
      <c r="AS36" s="3242">
        <f t="shared" si="9"/>
        <v>26</v>
      </c>
      <c r="AT36" s="3247"/>
      <c r="AU36" s="3248"/>
      <c r="AV36" s="3248"/>
      <c r="AW36" s="3247"/>
      <c r="AX36" s="3248"/>
      <c r="AY36" s="3248"/>
      <c r="AZ36" s="3247"/>
      <c r="BA36" s="3248"/>
      <c r="BB36" s="3248"/>
      <c r="BC36" s="3247"/>
      <c r="BD36" s="3248"/>
      <c r="BE36" s="3248"/>
      <c r="BF36" s="3248"/>
      <c r="BG36" s="3248"/>
      <c r="BH36" s="3249"/>
      <c r="BI36" s="3249"/>
      <c r="BM36" s="4198"/>
    </row>
    <row r="37" spans="1:65" ht="13.2" x14ac:dyDescent="0.3">
      <c r="A37" s="3270">
        <f t="shared" si="10"/>
        <v>27</v>
      </c>
      <c r="B37" s="3275" t="s">
        <v>1542</v>
      </c>
      <c r="C37" s="3271"/>
      <c r="D37" s="3240"/>
      <c r="E37" s="3241"/>
      <c r="F37" s="3241"/>
      <c r="G37" s="3240"/>
      <c r="H37" s="3241"/>
      <c r="I37" s="3241"/>
      <c r="J37" s="3241"/>
      <c r="K37" s="3240"/>
      <c r="L37" s="3241"/>
      <c r="M37" s="3241"/>
      <c r="N37" s="3240">
        <f t="shared" si="5"/>
        <v>27</v>
      </c>
      <c r="O37" s="3239"/>
      <c r="P37" s="3240"/>
      <c r="Q37" s="3241"/>
      <c r="R37" s="3241"/>
      <c r="S37" s="3240"/>
      <c r="T37" s="3241"/>
      <c r="U37" s="3241"/>
      <c r="V37" s="3241"/>
      <c r="W37" s="3240"/>
      <c r="X37" s="3241"/>
      <c r="Y37" s="3241"/>
      <c r="Z37" s="3242">
        <f t="shared" si="6"/>
        <v>27</v>
      </c>
      <c r="AA37" s="3243">
        <f t="shared" si="7"/>
        <v>0</v>
      </c>
      <c r="AB37" s="3242">
        <f>AE37+AP37</f>
        <v>0</v>
      </c>
      <c r="AC37" s="3241"/>
      <c r="AD37" s="3241"/>
      <c r="AE37" s="3242">
        <f t="shared" si="11"/>
        <v>0</v>
      </c>
      <c r="AF37" s="4261"/>
      <c r="AG37" s="3250"/>
      <c r="AH37" s="3250"/>
      <c r="AI37" s="3250"/>
      <c r="AJ37" s="3241"/>
      <c r="AK37" s="3250"/>
      <c r="AL37" s="3241"/>
      <c r="AM37" s="3250"/>
      <c r="AN37" s="3241"/>
      <c r="AO37" s="3250"/>
      <c r="AP37" s="3242">
        <f t="shared" si="8"/>
        <v>0</v>
      </c>
      <c r="AQ37" s="3241"/>
      <c r="AR37" s="3241"/>
      <c r="AS37" s="3242">
        <f t="shared" si="9"/>
        <v>27</v>
      </c>
      <c r="AT37" s="3247"/>
      <c r="AU37" s="3248"/>
      <c r="AV37" s="3248"/>
      <c r="AW37" s="3247"/>
      <c r="AX37" s="3248"/>
      <c r="AY37" s="3248"/>
      <c r="AZ37" s="3247"/>
      <c r="BA37" s="3248"/>
      <c r="BB37" s="3248"/>
      <c r="BC37" s="3247"/>
      <c r="BD37" s="3248"/>
      <c r="BE37" s="3248"/>
      <c r="BF37" s="3248"/>
      <c r="BG37" s="3248"/>
      <c r="BH37" s="3249"/>
      <c r="BI37" s="3249"/>
      <c r="BM37" s="4198"/>
    </row>
    <row r="38" spans="1:65" ht="39.6" x14ac:dyDescent="0.3">
      <c r="A38" s="3270">
        <f t="shared" si="10"/>
        <v>28</v>
      </c>
      <c r="B38" s="3275" t="s">
        <v>1693</v>
      </c>
      <c r="C38" s="3271"/>
      <c r="D38" s="3240"/>
      <c r="E38" s="3241"/>
      <c r="F38" s="3241"/>
      <c r="G38" s="3240"/>
      <c r="H38" s="3241"/>
      <c r="I38" s="3241"/>
      <c r="J38" s="3241"/>
      <c r="K38" s="3240"/>
      <c r="L38" s="3241"/>
      <c r="M38" s="3241"/>
      <c r="N38" s="3240">
        <f t="shared" si="5"/>
        <v>28</v>
      </c>
      <c r="O38" s="3239"/>
      <c r="P38" s="3240"/>
      <c r="Q38" s="3241"/>
      <c r="R38" s="3241"/>
      <c r="S38" s="3240"/>
      <c r="T38" s="3241"/>
      <c r="U38" s="3241"/>
      <c r="V38" s="3241"/>
      <c r="W38" s="3240"/>
      <c r="X38" s="3241"/>
      <c r="Y38" s="3241"/>
      <c r="Z38" s="3242">
        <f t="shared" si="6"/>
        <v>28</v>
      </c>
      <c r="AA38" s="3243">
        <f t="shared" si="7"/>
        <v>9032.5551812928079</v>
      </c>
      <c r="AB38" s="3242">
        <f>AE38+AP38</f>
        <v>4001.8227437928081</v>
      </c>
      <c r="AC38" s="3241">
        <f>(ВОДА!P88+ВОДА!Q88)*1000</f>
        <v>3290.1789374999994</v>
      </c>
      <c r="AD38" s="3241">
        <f>(ВОДА!R88+ВОДА!S88)*1000</f>
        <v>1740.5535</v>
      </c>
      <c r="AE38" s="3242">
        <f t="shared" si="11"/>
        <v>248.65050000000002</v>
      </c>
      <c r="AF38" s="4261"/>
      <c r="AG38" s="3250" t="s">
        <v>124</v>
      </c>
      <c r="AH38" s="3241"/>
      <c r="AI38" s="3250" t="s">
        <v>124</v>
      </c>
      <c r="AJ38" s="3241"/>
      <c r="AK38" s="3250" t="s">
        <v>124</v>
      </c>
      <c r="AL38" s="3241"/>
      <c r="AM38" s="3250" t="s">
        <v>124</v>
      </c>
      <c r="AN38" s="3241">
        <f>(ВОДА!N88+ВОДА!O88)*1000</f>
        <v>248.65050000000002</v>
      </c>
      <c r="AO38" s="3250" t="s">
        <v>124</v>
      </c>
      <c r="AP38" s="3242">
        <f t="shared" si="8"/>
        <v>3753.1722437928079</v>
      </c>
      <c r="AQ38" s="3241">
        <f>(ВОДА!T88+ВОДА!U88+ВОДА!V88+ВОДА!W88)*1000</f>
        <v>3753.1722437928079</v>
      </c>
      <c r="AR38" s="3241"/>
      <c r="AS38" s="3242">
        <f t="shared" si="9"/>
        <v>28</v>
      </c>
      <c r="AT38" s="3247"/>
      <c r="AU38" s="3248"/>
      <c r="AV38" s="3248"/>
      <c r="AW38" s="3247"/>
      <c r="AX38" s="3248"/>
      <c r="AY38" s="3248"/>
      <c r="AZ38" s="3247"/>
      <c r="BA38" s="3248"/>
      <c r="BB38" s="3248"/>
      <c r="BC38" s="3247"/>
      <c r="BD38" s="3248"/>
      <c r="BE38" s="3248"/>
      <c r="BF38" s="3248"/>
      <c r="BG38" s="3248"/>
      <c r="BH38" s="3249"/>
      <c r="BI38" s="3249"/>
      <c r="BL38" s="3216" t="s">
        <v>4034</v>
      </c>
      <c r="BM38" s="4198">
        <f>ВОДА!H88*1000+ВОДА!I88*1000-AA38</f>
        <v>711580.5709323897</v>
      </c>
    </row>
    <row r="39" spans="1:65" ht="13.2" x14ac:dyDescent="0.3">
      <c r="A39" s="3270">
        <f t="shared" si="10"/>
        <v>29</v>
      </c>
      <c r="B39" s="3275" t="s">
        <v>920</v>
      </c>
      <c r="C39" s="3271"/>
      <c r="D39" s="3240"/>
      <c r="E39" s="3241"/>
      <c r="F39" s="3241"/>
      <c r="G39" s="3240"/>
      <c r="H39" s="3241"/>
      <c r="I39" s="3241"/>
      <c r="J39" s="3241"/>
      <c r="K39" s="3240"/>
      <c r="L39" s="3241"/>
      <c r="M39" s="3241"/>
      <c r="N39" s="3240">
        <f t="shared" si="5"/>
        <v>29</v>
      </c>
      <c r="O39" s="3239"/>
      <c r="P39" s="3240"/>
      <c r="Q39" s="3241"/>
      <c r="R39" s="3241"/>
      <c r="S39" s="3240"/>
      <c r="T39" s="3241"/>
      <c r="U39" s="3241"/>
      <c r="V39" s="3241"/>
      <c r="W39" s="3240"/>
      <c r="X39" s="3241"/>
      <c r="Y39" s="3241"/>
      <c r="Z39" s="3242">
        <f t="shared" si="6"/>
        <v>29</v>
      </c>
      <c r="AA39" s="3243">
        <f t="shared" si="7"/>
        <v>319249.59568777692</v>
      </c>
      <c r="AB39" s="3242">
        <f>AE39+AP39</f>
        <v>91433.318990896922</v>
      </c>
      <c r="AC39" s="3241">
        <f>'Д 9_ЕЕ'!D260*1000</f>
        <v>126661.201851312</v>
      </c>
      <c r="AD39" s="3241">
        <f>'Д 9_ЕЕ'!D265*1000</f>
        <v>101155.07484556802</v>
      </c>
      <c r="AE39" s="3242">
        <f t="shared" si="11"/>
        <v>24449.068362624002</v>
      </c>
      <c r="AF39" s="4261"/>
      <c r="AG39" s="3250" t="s">
        <v>124</v>
      </c>
      <c r="AH39" s="3241"/>
      <c r="AI39" s="3250" t="s">
        <v>124</v>
      </c>
      <c r="AJ39" s="3241"/>
      <c r="AK39" s="3250" t="s">
        <v>124</v>
      </c>
      <c r="AL39" s="3241"/>
      <c r="AM39" s="3250" t="s">
        <v>124</v>
      </c>
      <c r="AN39" s="3241">
        <f>'Д 9_ЕЕ'!D255*1000</f>
        <v>24449.068362624002</v>
      </c>
      <c r="AO39" s="3250" t="s">
        <v>124</v>
      </c>
      <c r="AP39" s="3242">
        <f t="shared" si="8"/>
        <v>66984.250628272915</v>
      </c>
      <c r="AQ39" s="3241">
        <f>'Д 9_ЕЕ'!D275*1000</f>
        <v>39083.402008416007</v>
      </c>
      <c r="AR39" s="3241">
        <f>'Д 9_ЕЕ'!D285*1000</f>
        <v>27900.848619856901</v>
      </c>
      <c r="AS39" s="3242">
        <f t="shared" si="9"/>
        <v>29</v>
      </c>
      <c r="AT39" s="3247"/>
      <c r="AU39" s="3248"/>
      <c r="AV39" s="3248"/>
      <c r="AW39" s="3247"/>
      <c r="AX39" s="3248"/>
      <c r="AY39" s="3248"/>
      <c r="AZ39" s="3247"/>
      <c r="BA39" s="3248"/>
      <c r="BB39" s="3248"/>
      <c r="BC39" s="3247"/>
      <c r="BD39" s="3248"/>
      <c r="BE39" s="3248"/>
      <c r="BF39" s="3248"/>
      <c r="BG39" s="3248"/>
      <c r="BH39" s="3249"/>
      <c r="BI39" s="3249"/>
      <c r="BM39" s="4198"/>
    </row>
    <row r="40" spans="1:65" ht="15" customHeight="1" x14ac:dyDescent="0.25">
      <c r="A40" s="3270">
        <f t="shared" si="10"/>
        <v>30</v>
      </c>
      <c r="B40" s="3275" t="s">
        <v>4075</v>
      </c>
      <c r="C40" s="3271"/>
      <c r="D40" s="3240"/>
      <c r="E40" s="3241"/>
      <c r="F40" s="3241"/>
      <c r="G40" s="3240"/>
      <c r="H40" s="3241"/>
      <c r="I40" s="3241"/>
      <c r="J40" s="3241"/>
      <c r="K40" s="3240"/>
      <c r="L40" s="3241"/>
      <c r="M40" s="3241"/>
      <c r="N40" s="3240">
        <f t="shared" si="5"/>
        <v>30</v>
      </c>
      <c r="O40" s="3239"/>
      <c r="P40" s="3240"/>
      <c r="Q40" s="3241"/>
      <c r="R40" s="3241"/>
      <c r="S40" s="3240"/>
      <c r="T40" s="3241"/>
      <c r="U40" s="3241"/>
      <c r="V40" s="3241"/>
      <c r="W40" s="3240"/>
      <c r="X40" s="3241"/>
      <c r="Y40" s="3241"/>
      <c r="Z40" s="3242">
        <f t="shared" si="6"/>
        <v>30</v>
      </c>
      <c r="AA40" s="3243">
        <f t="shared" si="7"/>
        <v>17606.580000000002</v>
      </c>
      <c r="AB40" s="3242">
        <f t="shared" ref="AB40:AB120" si="12">AE40+AP40</f>
        <v>17606.580000000002</v>
      </c>
      <c r="AC40" s="3241"/>
      <c r="AD40" s="3241"/>
      <c r="AE40" s="3242">
        <f t="shared" si="11"/>
        <v>17606.580000000002</v>
      </c>
      <c r="AF40" s="4274">
        <f>ТО!E11</f>
        <v>17606.580000000002</v>
      </c>
      <c r="AG40" s="3250" t="s">
        <v>124</v>
      </c>
      <c r="AH40" s="3241"/>
      <c r="AI40" s="3250" t="s">
        <v>124</v>
      </c>
      <c r="AJ40" s="3241"/>
      <c r="AK40" s="3250" t="s">
        <v>124</v>
      </c>
      <c r="AL40" s="3241"/>
      <c r="AM40" s="3250" t="s">
        <v>124</v>
      </c>
      <c r="AN40" s="3241"/>
      <c r="AO40" s="3250" t="s">
        <v>124</v>
      </c>
      <c r="AP40" s="3242">
        <f t="shared" si="8"/>
        <v>0</v>
      </c>
      <c r="AQ40" s="3241"/>
      <c r="AR40" s="3241"/>
      <c r="AS40" s="3242">
        <f t="shared" si="9"/>
        <v>30</v>
      </c>
      <c r="AT40" s="3247"/>
      <c r="AU40" s="3248"/>
      <c r="AV40" s="3248"/>
      <c r="AW40" s="3247"/>
      <c r="AX40" s="3248"/>
      <c r="AY40" s="3248"/>
      <c r="AZ40" s="3247"/>
      <c r="BA40" s="3248"/>
      <c r="BB40" s="3248"/>
      <c r="BC40" s="3247"/>
      <c r="BD40" s="3248"/>
      <c r="BE40" s="3248"/>
      <c r="BF40" s="3248"/>
      <c r="BG40" s="3248"/>
      <c r="BH40" s="3249"/>
      <c r="BI40" s="3249"/>
      <c r="BL40" s="1478" t="s">
        <v>3704</v>
      </c>
      <c r="BM40" s="4198"/>
    </row>
    <row r="41" spans="1:65" ht="14.4" customHeight="1" x14ac:dyDescent="0.3">
      <c r="A41" s="3270">
        <f t="shared" si="10"/>
        <v>31</v>
      </c>
      <c r="B41" s="3275" t="s">
        <v>4074</v>
      </c>
      <c r="C41" s="3271"/>
      <c r="D41" s="3240"/>
      <c r="E41" s="3241"/>
      <c r="F41" s="3241"/>
      <c r="G41" s="3240"/>
      <c r="H41" s="3241"/>
      <c r="I41" s="3241"/>
      <c r="J41" s="3241"/>
      <c r="K41" s="3240"/>
      <c r="L41" s="3241"/>
      <c r="M41" s="3241"/>
      <c r="N41" s="3240">
        <f t="shared" si="5"/>
        <v>31</v>
      </c>
      <c r="O41" s="3239"/>
      <c r="P41" s="3240"/>
      <c r="Q41" s="3241"/>
      <c r="R41" s="3241"/>
      <c r="S41" s="3240"/>
      <c r="T41" s="3241"/>
      <c r="U41" s="3241"/>
      <c r="V41" s="3241"/>
      <c r="W41" s="3240"/>
      <c r="X41" s="3241"/>
      <c r="Y41" s="3241"/>
      <c r="Z41" s="3242">
        <f t="shared" si="6"/>
        <v>31</v>
      </c>
      <c r="AA41" s="3243">
        <f t="shared" si="7"/>
        <v>0</v>
      </c>
      <c r="AB41" s="3242">
        <f t="shared" si="12"/>
        <v>0</v>
      </c>
      <c r="AC41" s="3241"/>
      <c r="AD41" s="3241"/>
      <c r="AE41" s="3242">
        <f t="shared" si="11"/>
        <v>0</v>
      </c>
      <c r="AF41" s="4261"/>
      <c r="AG41" s="3250" t="s">
        <v>124</v>
      </c>
      <c r="AH41" s="3241"/>
      <c r="AI41" s="3250" t="s">
        <v>124</v>
      </c>
      <c r="AJ41" s="3241"/>
      <c r="AK41" s="3250" t="s">
        <v>124</v>
      </c>
      <c r="AL41" s="3241"/>
      <c r="AM41" s="3250" t="s">
        <v>124</v>
      </c>
      <c r="AN41" s="3241"/>
      <c r="AO41" s="3250" t="s">
        <v>124</v>
      </c>
      <c r="AP41" s="3242">
        <f t="shared" si="8"/>
        <v>0</v>
      </c>
      <c r="AQ41" s="3241"/>
      <c r="AR41" s="3241"/>
      <c r="AS41" s="3242">
        <f t="shared" si="9"/>
        <v>31</v>
      </c>
      <c r="AT41" s="3247"/>
      <c r="AU41" s="3248"/>
      <c r="AV41" s="3248"/>
      <c r="AW41" s="3247"/>
      <c r="AX41" s="3248"/>
      <c r="AY41" s="3248"/>
      <c r="AZ41" s="3247"/>
      <c r="BA41" s="3248"/>
      <c r="BB41" s="3248"/>
      <c r="BC41" s="3247"/>
      <c r="BD41" s="3248"/>
      <c r="BE41" s="3248"/>
      <c r="BF41" s="3248"/>
      <c r="BG41" s="3248"/>
      <c r="BH41" s="3249"/>
      <c r="BI41" s="3249"/>
      <c r="BM41" s="4198"/>
    </row>
    <row r="42" spans="1:65" ht="15" customHeight="1" x14ac:dyDescent="0.25">
      <c r="A42" s="3270">
        <f t="shared" ref="A42:A106" si="13">A41+1</f>
        <v>32</v>
      </c>
      <c r="B42" s="3275" t="s">
        <v>4076</v>
      </c>
      <c r="C42" s="3271"/>
      <c r="D42" s="3240"/>
      <c r="E42" s="3241"/>
      <c r="F42" s="3241"/>
      <c r="G42" s="3240"/>
      <c r="H42" s="3241"/>
      <c r="I42" s="3241"/>
      <c r="J42" s="3241"/>
      <c r="K42" s="3240"/>
      <c r="L42" s="3241"/>
      <c r="M42" s="3241"/>
      <c r="N42" s="3240">
        <f t="shared" si="5"/>
        <v>32</v>
      </c>
      <c r="O42" s="3239"/>
      <c r="P42" s="3240"/>
      <c r="Q42" s="3241"/>
      <c r="R42" s="3241"/>
      <c r="S42" s="3240"/>
      <c r="T42" s="3241"/>
      <c r="U42" s="3241"/>
      <c r="V42" s="3241"/>
      <c r="W42" s="3240"/>
      <c r="X42" s="3241"/>
      <c r="Y42" s="3241"/>
      <c r="Z42" s="3242">
        <f t="shared" si="6"/>
        <v>32</v>
      </c>
      <c r="AA42" s="3243">
        <f t="shared" si="7"/>
        <v>16335.76</v>
      </c>
      <c r="AB42" s="3242">
        <f t="shared" si="12"/>
        <v>16335.76</v>
      </c>
      <c r="AC42" s="3241"/>
      <c r="AD42" s="3241"/>
      <c r="AE42" s="3242">
        <f t="shared" si="11"/>
        <v>16335.76</v>
      </c>
      <c r="AF42" s="4274">
        <f>ТО!E12</f>
        <v>16335.76</v>
      </c>
      <c r="AG42" s="3250" t="s">
        <v>124</v>
      </c>
      <c r="AH42" s="3241"/>
      <c r="AI42" s="3250" t="s">
        <v>124</v>
      </c>
      <c r="AJ42" s="3241"/>
      <c r="AK42" s="3250" t="s">
        <v>124</v>
      </c>
      <c r="AL42" s="3241"/>
      <c r="AM42" s="3250" t="s">
        <v>124</v>
      </c>
      <c r="AN42" s="3241"/>
      <c r="AO42" s="3250" t="s">
        <v>124</v>
      </c>
      <c r="AP42" s="3242">
        <f t="shared" si="8"/>
        <v>0</v>
      </c>
      <c r="AQ42" s="3241"/>
      <c r="AR42" s="3241"/>
      <c r="AS42" s="3242">
        <f t="shared" si="9"/>
        <v>32</v>
      </c>
      <c r="AT42" s="3247"/>
      <c r="AU42" s="3248"/>
      <c r="AV42" s="3248"/>
      <c r="AW42" s="3247"/>
      <c r="AX42" s="3248"/>
      <c r="AY42" s="3248"/>
      <c r="AZ42" s="3247"/>
      <c r="BA42" s="3248"/>
      <c r="BB42" s="3248"/>
      <c r="BC42" s="3247"/>
      <c r="BD42" s="3248"/>
      <c r="BE42" s="3248"/>
      <c r="BF42" s="3248"/>
      <c r="BG42" s="3248"/>
      <c r="BH42" s="3249"/>
      <c r="BI42" s="3249"/>
      <c r="BL42" s="1478" t="s">
        <v>3703</v>
      </c>
      <c r="BM42" s="4198"/>
    </row>
    <row r="43" spans="1:65" ht="28.2" customHeight="1" x14ac:dyDescent="0.25">
      <c r="A43" s="3270">
        <f t="shared" si="13"/>
        <v>33</v>
      </c>
      <c r="B43" s="3275" t="s">
        <v>4111</v>
      </c>
      <c r="C43" s="3271"/>
      <c r="D43" s="3240"/>
      <c r="E43" s="3241"/>
      <c r="F43" s="3241"/>
      <c r="G43" s="3240"/>
      <c r="H43" s="3241"/>
      <c r="I43" s="3241"/>
      <c r="J43" s="3241"/>
      <c r="K43" s="3240"/>
      <c r="L43" s="3241"/>
      <c r="M43" s="3241"/>
      <c r="N43" s="3240">
        <f t="shared" si="5"/>
        <v>33</v>
      </c>
      <c r="O43" s="3239"/>
      <c r="P43" s="3240"/>
      <c r="Q43" s="3241"/>
      <c r="R43" s="3241"/>
      <c r="S43" s="3240"/>
      <c r="T43" s="3241"/>
      <c r="U43" s="3241"/>
      <c r="V43" s="3241"/>
      <c r="W43" s="3240"/>
      <c r="X43" s="3241"/>
      <c r="Y43" s="3241"/>
      <c r="Z43" s="3242">
        <f t="shared" si="6"/>
        <v>33</v>
      </c>
      <c r="AA43" s="3243">
        <f t="shared" si="7"/>
        <v>58327</v>
      </c>
      <c r="AB43" s="3242">
        <f t="shared" si="12"/>
        <v>58327</v>
      </c>
      <c r="AC43" s="3241"/>
      <c r="AD43" s="3241"/>
      <c r="AE43" s="3242">
        <f t="shared" si="11"/>
        <v>58327</v>
      </c>
      <c r="AF43" s="4278">
        <f>69992.4/1.2</f>
        <v>58327</v>
      </c>
      <c r="AG43" s="3250"/>
      <c r="AH43" s="3241"/>
      <c r="AI43" s="3250"/>
      <c r="AJ43" s="3241"/>
      <c r="AK43" s="3250"/>
      <c r="AL43" s="3241"/>
      <c r="AM43" s="3250"/>
      <c r="AN43" s="3241"/>
      <c r="AO43" s="3250"/>
      <c r="AP43" s="3242"/>
      <c r="AQ43" s="3241"/>
      <c r="AR43" s="3241"/>
      <c r="AS43" s="3242"/>
      <c r="AT43" s="3247"/>
      <c r="AU43" s="3248"/>
      <c r="AV43" s="3248"/>
      <c r="AW43" s="3247"/>
      <c r="AX43" s="3248"/>
      <c r="AY43" s="3248"/>
      <c r="AZ43" s="3247"/>
      <c r="BA43" s="3248"/>
      <c r="BB43" s="3248"/>
      <c r="BC43" s="3247"/>
      <c r="BD43" s="3248"/>
      <c r="BE43" s="3248"/>
      <c r="BF43" s="3248"/>
      <c r="BG43" s="3248"/>
      <c r="BH43" s="3249"/>
      <c r="BI43" s="3249"/>
      <c r="BL43" s="1478"/>
      <c r="BM43" s="4198"/>
    </row>
    <row r="44" spans="1:65" ht="15" customHeight="1" x14ac:dyDescent="0.3">
      <c r="A44" s="3270">
        <f t="shared" si="13"/>
        <v>34</v>
      </c>
      <c r="B44" s="3275" t="s">
        <v>4077</v>
      </c>
      <c r="C44" s="3271"/>
      <c r="D44" s="3240"/>
      <c r="E44" s="3241"/>
      <c r="F44" s="3241"/>
      <c r="G44" s="3240"/>
      <c r="H44" s="3241"/>
      <c r="I44" s="3241"/>
      <c r="J44" s="3241"/>
      <c r="K44" s="3240"/>
      <c r="L44" s="3241"/>
      <c r="M44" s="3241"/>
      <c r="N44" s="3240">
        <f t="shared" si="5"/>
        <v>34</v>
      </c>
      <c r="O44" s="3239"/>
      <c r="P44" s="3240"/>
      <c r="Q44" s="3241"/>
      <c r="R44" s="3241"/>
      <c r="S44" s="3240"/>
      <c r="T44" s="3241"/>
      <c r="U44" s="3241"/>
      <c r="V44" s="3241"/>
      <c r="W44" s="3240"/>
      <c r="X44" s="3241"/>
      <c r="Y44" s="3241"/>
      <c r="Z44" s="3242">
        <f t="shared" si="6"/>
        <v>34</v>
      </c>
      <c r="AA44" s="3243">
        <f t="shared" si="7"/>
        <v>0</v>
      </c>
      <c r="AB44" s="3242">
        <f t="shared" si="12"/>
        <v>0</v>
      </c>
      <c r="AC44" s="3241"/>
      <c r="AD44" s="3241"/>
      <c r="AE44" s="3242">
        <f t="shared" si="11"/>
        <v>0</v>
      </c>
      <c r="AF44" s="4261"/>
      <c r="AG44" s="3250" t="s">
        <v>124</v>
      </c>
      <c r="AH44" s="3241"/>
      <c r="AI44" s="3250" t="s">
        <v>124</v>
      </c>
      <c r="AJ44" s="3241"/>
      <c r="AK44" s="3250" t="s">
        <v>124</v>
      </c>
      <c r="AL44" s="3241"/>
      <c r="AM44" s="3250" t="s">
        <v>124</v>
      </c>
      <c r="AN44" s="3241"/>
      <c r="AO44" s="3250" t="s">
        <v>124</v>
      </c>
      <c r="AP44" s="3242">
        <f t="shared" si="8"/>
        <v>0</v>
      </c>
      <c r="AQ44" s="3241"/>
      <c r="AR44" s="3241"/>
      <c r="AS44" s="3242">
        <f t="shared" si="9"/>
        <v>34</v>
      </c>
      <c r="AT44" s="3247"/>
      <c r="AU44" s="3248"/>
      <c r="AV44" s="3248"/>
      <c r="AW44" s="3247"/>
      <c r="AX44" s="3248"/>
      <c r="AY44" s="3248"/>
      <c r="AZ44" s="3247"/>
      <c r="BA44" s="3248"/>
      <c r="BB44" s="3248"/>
      <c r="BC44" s="3247"/>
      <c r="BD44" s="3248"/>
      <c r="BE44" s="3248"/>
      <c r="BF44" s="3248"/>
      <c r="BG44" s="3248"/>
      <c r="BH44" s="3249"/>
      <c r="BI44" s="3249"/>
      <c r="BM44" s="4198"/>
    </row>
    <row r="45" spans="1:65" ht="54.6" customHeight="1" x14ac:dyDescent="0.3">
      <c r="A45" s="3270">
        <f t="shared" si="13"/>
        <v>35</v>
      </c>
      <c r="B45" s="4205" t="s">
        <v>2613</v>
      </c>
      <c r="C45" s="3271"/>
      <c r="D45" s="3240"/>
      <c r="E45" s="3241"/>
      <c r="F45" s="3241"/>
      <c r="G45" s="3240"/>
      <c r="H45" s="3241"/>
      <c r="I45" s="3241"/>
      <c r="J45" s="3241"/>
      <c r="K45" s="3240"/>
      <c r="L45" s="3241"/>
      <c r="M45" s="3241"/>
      <c r="N45" s="3240">
        <f t="shared" si="5"/>
        <v>35</v>
      </c>
      <c r="O45" s="3239"/>
      <c r="P45" s="3240"/>
      <c r="Q45" s="3241"/>
      <c r="R45" s="3241"/>
      <c r="S45" s="3240"/>
      <c r="T45" s="3241"/>
      <c r="U45" s="3241"/>
      <c r="V45" s="3241"/>
      <c r="W45" s="3240"/>
      <c r="X45" s="3241"/>
      <c r="Y45" s="3241"/>
      <c r="Z45" s="3242">
        <f t="shared" si="6"/>
        <v>35</v>
      </c>
      <c r="AA45" s="3243">
        <f t="shared" si="7"/>
        <v>0</v>
      </c>
      <c r="AB45" s="3242">
        <f t="shared" si="12"/>
        <v>0</v>
      </c>
      <c r="AC45" s="3241"/>
      <c r="AD45" s="3241"/>
      <c r="AE45" s="3242">
        <f>AF45+AH45+AJ45+AL45+AN45</f>
        <v>0</v>
      </c>
      <c r="AF45" s="4261"/>
      <c r="AG45" s="3250" t="s">
        <v>124</v>
      </c>
      <c r="AH45" s="3241"/>
      <c r="AI45" s="3250" t="s">
        <v>124</v>
      </c>
      <c r="AJ45" s="3241"/>
      <c r="AK45" s="3250"/>
      <c r="AL45" s="3241"/>
      <c r="AM45" s="3250"/>
      <c r="AN45" s="3241"/>
      <c r="AO45" s="3250" t="s">
        <v>124</v>
      </c>
      <c r="AP45" s="3242">
        <f t="shared" si="8"/>
        <v>0</v>
      </c>
      <c r="AQ45" s="3241"/>
      <c r="AR45" s="3241"/>
      <c r="AS45" s="3242">
        <f t="shared" si="9"/>
        <v>35</v>
      </c>
      <c r="AT45" s="3247"/>
      <c r="AU45" s="3248"/>
      <c r="AV45" s="3248"/>
      <c r="AW45" s="3247"/>
      <c r="AX45" s="3248"/>
      <c r="AY45" s="3248"/>
      <c r="AZ45" s="3247"/>
      <c r="BA45" s="3248"/>
      <c r="BB45" s="3248"/>
      <c r="BC45" s="3247"/>
      <c r="BD45" s="3248"/>
      <c r="BE45" s="3248"/>
      <c r="BF45" s="3248"/>
      <c r="BG45" s="3248"/>
      <c r="BH45" s="3249"/>
      <c r="BI45" s="3249"/>
      <c r="BM45" s="4198"/>
    </row>
    <row r="46" spans="1:65" ht="54.6" customHeight="1" x14ac:dyDescent="0.3">
      <c r="A46" s="3270">
        <f t="shared" si="13"/>
        <v>36</v>
      </c>
      <c r="B46" s="4205" t="s">
        <v>2614</v>
      </c>
      <c r="C46" s="3271"/>
      <c r="D46" s="3240"/>
      <c r="E46" s="3241"/>
      <c r="F46" s="3241"/>
      <c r="G46" s="3240"/>
      <c r="H46" s="3241"/>
      <c r="I46" s="3241"/>
      <c r="J46" s="3241"/>
      <c r="K46" s="3240"/>
      <c r="L46" s="3241"/>
      <c r="M46" s="3241"/>
      <c r="N46" s="3240">
        <f t="shared" si="5"/>
        <v>36</v>
      </c>
      <c r="O46" s="3239"/>
      <c r="P46" s="3240"/>
      <c r="Q46" s="3241"/>
      <c r="R46" s="3241"/>
      <c r="S46" s="3240"/>
      <c r="T46" s="3241"/>
      <c r="U46" s="3241"/>
      <c r="V46" s="3241"/>
      <c r="W46" s="3240"/>
      <c r="X46" s="3241"/>
      <c r="Y46" s="3241"/>
      <c r="Z46" s="3242">
        <f t="shared" si="6"/>
        <v>36</v>
      </c>
      <c r="AA46" s="3243">
        <f t="shared" si="7"/>
        <v>0</v>
      </c>
      <c r="AB46" s="3242">
        <f t="shared" si="12"/>
        <v>0</v>
      </c>
      <c r="AC46" s="3241"/>
      <c r="AD46" s="3241"/>
      <c r="AE46" s="3242">
        <f t="shared" si="11"/>
        <v>0</v>
      </c>
      <c r="AF46" s="4261"/>
      <c r="AG46" s="3250" t="s">
        <v>124</v>
      </c>
      <c r="AH46" s="3241"/>
      <c r="AI46" s="3250" t="s">
        <v>124</v>
      </c>
      <c r="AJ46" s="3241"/>
      <c r="AK46" s="3250"/>
      <c r="AL46" s="3241"/>
      <c r="AM46" s="3250"/>
      <c r="AN46" s="3241"/>
      <c r="AO46" s="3250" t="s">
        <v>124</v>
      </c>
      <c r="AP46" s="3242">
        <f t="shared" si="8"/>
        <v>0</v>
      </c>
      <c r="AQ46" s="3241"/>
      <c r="AR46" s="3241"/>
      <c r="AS46" s="3242">
        <f t="shared" si="9"/>
        <v>36</v>
      </c>
      <c r="AT46" s="3247"/>
      <c r="AU46" s="3248"/>
      <c r="AV46" s="3248"/>
      <c r="AW46" s="3247"/>
      <c r="AX46" s="3248"/>
      <c r="AY46" s="3248"/>
      <c r="AZ46" s="3247"/>
      <c r="BA46" s="3248"/>
      <c r="BB46" s="3248"/>
      <c r="BC46" s="3247"/>
      <c r="BD46" s="3248"/>
      <c r="BE46" s="3248"/>
      <c r="BF46" s="3248"/>
      <c r="BG46" s="3248"/>
      <c r="BH46" s="3249"/>
      <c r="BI46" s="3249"/>
      <c r="BM46" s="4198"/>
    </row>
    <row r="47" spans="1:65" ht="26.4" x14ac:dyDescent="0.3">
      <c r="A47" s="3270">
        <f t="shared" si="13"/>
        <v>37</v>
      </c>
      <c r="B47" s="4205" t="s">
        <v>4048</v>
      </c>
      <c r="C47" s="3271"/>
      <c r="D47" s="3240"/>
      <c r="E47" s="3241"/>
      <c r="F47" s="3241"/>
      <c r="G47" s="3240"/>
      <c r="H47" s="3241"/>
      <c r="I47" s="3241"/>
      <c r="J47" s="3241"/>
      <c r="K47" s="3240"/>
      <c r="L47" s="3241"/>
      <c r="M47" s="3241"/>
      <c r="N47" s="3240">
        <f t="shared" si="5"/>
        <v>37</v>
      </c>
      <c r="O47" s="3239"/>
      <c r="P47" s="3240"/>
      <c r="Q47" s="3241"/>
      <c r="R47" s="3241"/>
      <c r="S47" s="3240"/>
      <c r="T47" s="3241"/>
      <c r="U47" s="3241"/>
      <c r="V47" s="3241"/>
      <c r="W47" s="3240"/>
      <c r="X47" s="3241"/>
      <c r="Y47" s="3241"/>
      <c r="Z47" s="3242">
        <f t="shared" si="6"/>
        <v>37</v>
      </c>
      <c r="AA47" s="3243">
        <f t="shared" si="7"/>
        <v>0</v>
      </c>
      <c r="AB47" s="3242">
        <f t="shared" si="12"/>
        <v>0</v>
      </c>
      <c r="AC47" s="3241"/>
      <c r="AD47" s="3241"/>
      <c r="AE47" s="3242">
        <f t="shared" si="11"/>
        <v>0</v>
      </c>
      <c r="AF47" s="4261"/>
      <c r="AG47" s="3250" t="s">
        <v>124</v>
      </c>
      <c r="AH47" s="3241"/>
      <c r="AI47" s="3250" t="s">
        <v>124</v>
      </c>
      <c r="AJ47" s="3241"/>
      <c r="AK47" s="3250" t="s">
        <v>124</v>
      </c>
      <c r="AL47" s="3241"/>
      <c r="AM47" s="3250" t="s">
        <v>124</v>
      </c>
      <c r="AN47" s="3241"/>
      <c r="AO47" s="3250" t="s">
        <v>124</v>
      </c>
      <c r="AP47" s="3242">
        <f t="shared" si="8"/>
        <v>0</v>
      </c>
      <c r="AQ47" s="3241"/>
      <c r="AR47" s="3241"/>
      <c r="AS47" s="3242">
        <f t="shared" si="9"/>
        <v>37</v>
      </c>
      <c r="AT47" s="3247"/>
      <c r="AU47" s="3248"/>
      <c r="AV47" s="3248"/>
      <c r="AW47" s="3247"/>
      <c r="AX47" s="3248"/>
      <c r="AY47" s="3248"/>
      <c r="AZ47" s="3247"/>
      <c r="BA47" s="3248"/>
      <c r="BB47" s="3248"/>
      <c r="BC47" s="3247"/>
      <c r="BD47" s="3248"/>
      <c r="BE47" s="3248"/>
      <c r="BF47" s="3248"/>
      <c r="BG47" s="3248"/>
      <c r="BH47" s="3249"/>
      <c r="BI47" s="3249"/>
      <c r="BM47" s="4198"/>
    </row>
    <row r="48" spans="1:65" ht="67.2" customHeight="1" x14ac:dyDescent="0.3">
      <c r="A48" s="3270">
        <f t="shared" si="13"/>
        <v>38</v>
      </c>
      <c r="B48" s="4205" t="s">
        <v>4094</v>
      </c>
      <c r="C48" s="3271"/>
      <c r="D48" s="3240"/>
      <c r="E48" s="3241"/>
      <c r="F48" s="3241"/>
      <c r="G48" s="3240"/>
      <c r="H48" s="3241"/>
      <c r="I48" s="3241"/>
      <c r="J48" s="3241"/>
      <c r="K48" s="3240"/>
      <c r="L48" s="3241"/>
      <c r="M48" s="3241"/>
      <c r="N48" s="3240">
        <f t="shared" si="5"/>
        <v>38</v>
      </c>
      <c r="O48" s="3239"/>
      <c r="P48" s="3240"/>
      <c r="Q48" s="3241"/>
      <c r="R48" s="3241"/>
      <c r="S48" s="3240"/>
      <c r="T48" s="3241"/>
      <c r="U48" s="3241"/>
      <c r="V48" s="3241"/>
      <c r="W48" s="3240"/>
      <c r="X48" s="3241"/>
      <c r="Y48" s="3241"/>
      <c r="Z48" s="3242">
        <f t="shared" si="6"/>
        <v>38</v>
      </c>
      <c r="AA48" s="3243">
        <f t="shared" si="7"/>
        <v>0</v>
      </c>
      <c r="AB48" s="3242">
        <f t="shared" si="12"/>
        <v>0</v>
      </c>
      <c r="AC48" s="3241"/>
      <c r="AD48" s="3241"/>
      <c r="AE48" s="3242">
        <f t="shared" si="11"/>
        <v>0</v>
      </c>
      <c r="AF48" s="4261"/>
      <c r="AG48" s="3250" t="s">
        <v>124</v>
      </c>
      <c r="AH48" s="3241"/>
      <c r="AI48" s="3250" t="s">
        <v>124</v>
      </c>
      <c r="AJ48" s="3241"/>
      <c r="AK48" s="3250" t="s">
        <v>124</v>
      </c>
      <c r="AL48" s="3241"/>
      <c r="AM48" s="3250" t="s">
        <v>124</v>
      </c>
      <c r="AN48" s="3241"/>
      <c r="AO48" s="3250" t="s">
        <v>124</v>
      </c>
      <c r="AP48" s="3242">
        <f t="shared" si="8"/>
        <v>0</v>
      </c>
      <c r="AQ48" s="3241"/>
      <c r="AR48" s="3241"/>
      <c r="AS48" s="3242">
        <f t="shared" si="9"/>
        <v>38</v>
      </c>
      <c r="AT48" s="3247"/>
      <c r="AU48" s="3248"/>
      <c r="AV48" s="3248"/>
      <c r="AW48" s="3247"/>
      <c r="AX48" s="3248"/>
      <c r="AY48" s="3248"/>
      <c r="AZ48" s="3247"/>
      <c r="BA48" s="3248"/>
      <c r="BB48" s="3248"/>
      <c r="BC48" s="3247"/>
      <c r="BD48" s="3248"/>
      <c r="BE48" s="3248"/>
      <c r="BF48" s="3248"/>
      <c r="BG48" s="3248"/>
      <c r="BH48" s="3249"/>
      <c r="BI48" s="3249"/>
      <c r="BM48" s="4198"/>
    </row>
    <row r="49" spans="1:65" ht="39.6" x14ac:dyDescent="0.25">
      <c r="A49" s="3270">
        <f t="shared" si="13"/>
        <v>39</v>
      </c>
      <c r="B49" s="3275" t="s">
        <v>4079</v>
      </c>
      <c r="C49" s="3271"/>
      <c r="D49" s="3240"/>
      <c r="E49" s="3241"/>
      <c r="F49" s="3241"/>
      <c r="G49" s="3240"/>
      <c r="H49" s="3241"/>
      <c r="I49" s="3241"/>
      <c r="J49" s="3241"/>
      <c r="K49" s="3240"/>
      <c r="L49" s="3241"/>
      <c r="M49" s="3241"/>
      <c r="N49" s="3240">
        <f t="shared" si="5"/>
        <v>39</v>
      </c>
      <c r="O49" s="3239"/>
      <c r="P49" s="3240"/>
      <c r="Q49" s="3241"/>
      <c r="R49" s="3241"/>
      <c r="S49" s="3240"/>
      <c r="T49" s="3241"/>
      <c r="U49" s="3241"/>
      <c r="V49" s="3241"/>
      <c r="W49" s="3240"/>
      <c r="X49" s="3241"/>
      <c r="Y49" s="3241"/>
      <c r="Z49" s="3242">
        <f t="shared" si="6"/>
        <v>39</v>
      </c>
      <c r="AA49" s="3243">
        <f t="shared" si="7"/>
        <v>10000</v>
      </c>
      <c r="AB49" s="3242">
        <f t="shared" si="12"/>
        <v>10000</v>
      </c>
      <c r="AC49" s="3241"/>
      <c r="AD49" s="3241"/>
      <c r="AE49" s="3242">
        <f t="shared" si="11"/>
        <v>10000</v>
      </c>
      <c r="AF49" s="4261">
        <v>10000</v>
      </c>
      <c r="AG49" s="3250" t="s">
        <v>124</v>
      </c>
      <c r="AH49" s="3241"/>
      <c r="AI49" s="3250" t="s">
        <v>124</v>
      </c>
      <c r="AJ49" s="3241"/>
      <c r="AK49" s="3250" t="s">
        <v>124</v>
      </c>
      <c r="AL49" s="3241"/>
      <c r="AM49" s="3250" t="s">
        <v>124</v>
      </c>
      <c r="AN49" s="3241"/>
      <c r="AO49" s="3250" t="s">
        <v>124</v>
      </c>
      <c r="AP49" s="3242">
        <f t="shared" si="8"/>
        <v>0</v>
      </c>
      <c r="AQ49" s="3241"/>
      <c r="AR49" s="3241"/>
      <c r="AS49" s="3242">
        <f t="shared" si="9"/>
        <v>39</v>
      </c>
      <c r="AT49" s="3247"/>
      <c r="AU49" s="3248"/>
      <c r="AV49" s="3248"/>
      <c r="AW49" s="3247"/>
      <c r="AX49" s="3248"/>
      <c r="AY49" s="3248"/>
      <c r="AZ49" s="3247"/>
      <c r="BA49" s="3248"/>
      <c r="BB49" s="3248"/>
      <c r="BC49" s="3247"/>
      <c r="BD49" s="3248"/>
      <c r="BE49" s="3248"/>
      <c r="BF49" s="3248"/>
      <c r="BG49" s="3248"/>
      <c r="BH49" s="3249"/>
      <c r="BI49" s="3249"/>
      <c r="BL49" s="1478" t="s">
        <v>3713</v>
      </c>
      <c r="BM49" s="4198"/>
    </row>
    <row r="50" spans="1:65" ht="39.6" x14ac:dyDescent="0.25">
      <c r="A50" s="3270">
        <f t="shared" si="13"/>
        <v>40</v>
      </c>
      <c r="B50" s="3275" t="s">
        <v>4080</v>
      </c>
      <c r="C50" s="3271"/>
      <c r="D50" s="3240"/>
      <c r="E50" s="3241"/>
      <c r="F50" s="3241"/>
      <c r="G50" s="3240"/>
      <c r="H50" s="3241"/>
      <c r="I50" s="3241"/>
      <c r="J50" s="3241"/>
      <c r="K50" s="3240"/>
      <c r="L50" s="3241"/>
      <c r="M50" s="3241"/>
      <c r="N50" s="3240">
        <f t="shared" si="5"/>
        <v>40</v>
      </c>
      <c r="O50" s="3239"/>
      <c r="P50" s="3240"/>
      <c r="Q50" s="3241"/>
      <c r="R50" s="3241"/>
      <c r="S50" s="3240"/>
      <c r="T50" s="3241"/>
      <c r="U50" s="3241"/>
      <c r="V50" s="3241"/>
      <c r="W50" s="3240"/>
      <c r="X50" s="3241"/>
      <c r="Y50" s="3241"/>
      <c r="Z50" s="3242">
        <f t="shared" si="6"/>
        <v>40</v>
      </c>
      <c r="AA50" s="3243">
        <f t="shared" si="7"/>
        <v>2500</v>
      </c>
      <c r="AB50" s="3242">
        <f t="shared" si="12"/>
        <v>2500</v>
      </c>
      <c r="AC50" s="3241"/>
      <c r="AD50" s="3241"/>
      <c r="AE50" s="3242">
        <f t="shared" si="11"/>
        <v>2500</v>
      </c>
      <c r="AF50" s="4274">
        <v>2500</v>
      </c>
      <c r="AG50" s="3250" t="s">
        <v>124</v>
      </c>
      <c r="AH50" s="3241"/>
      <c r="AI50" s="3250" t="s">
        <v>124</v>
      </c>
      <c r="AJ50" s="3241"/>
      <c r="AK50" s="3250" t="s">
        <v>124</v>
      </c>
      <c r="AL50" s="3241"/>
      <c r="AM50" s="3250" t="s">
        <v>124</v>
      </c>
      <c r="AN50" s="3241"/>
      <c r="AO50" s="3250" t="s">
        <v>124</v>
      </c>
      <c r="AP50" s="3242">
        <f t="shared" si="8"/>
        <v>0</v>
      </c>
      <c r="AQ50" s="3241"/>
      <c r="AR50" s="3241"/>
      <c r="AS50" s="3242">
        <f t="shared" si="9"/>
        <v>40</v>
      </c>
      <c r="AT50" s="3247"/>
      <c r="AU50" s="3248"/>
      <c r="AV50" s="3248"/>
      <c r="AW50" s="3247"/>
      <c r="AX50" s="3248"/>
      <c r="AY50" s="3248"/>
      <c r="AZ50" s="3247"/>
      <c r="BA50" s="3248"/>
      <c r="BB50" s="3248"/>
      <c r="BC50" s="3247"/>
      <c r="BD50" s="3248"/>
      <c r="BE50" s="3248"/>
      <c r="BF50" s="3248"/>
      <c r="BG50" s="3248"/>
      <c r="BH50" s="3249"/>
      <c r="BI50" s="3249"/>
      <c r="BL50" s="1478" t="s">
        <v>3712</v>
      </c>
      <c r="BM50" s="4198"/>
    </row>
    <row r="51" spans="1:65" ht="39.6" customHeight="1" x14ac:dyDescent="0.3">
      <c r="A51" s="3270">
        <f t="shared" si="13"/>
        <v>41</v>
      </c>
      <c r="B51" s="4205" t="s">
        <v>4045</v>
      </c>
      <c r="C51" s="3271"/>
      <c r="D51" s="3240"/>
      <c r="E51" s="3241"/>
      <c r="F51" s="3241"/>
      <c r="G51" s="3240"/>
      <c r="H51" s="3241"/>
      <c r="I51" s="3241"/>
      <c r="J51" s="3241"/>
      <c r="K51" s="3240"/>
      <c r="L51" s="3241"/>
      <c r="M51" s="3241"/>
      <c r="N51" s="3240">
        <f t="shared" si="5"/>
        <v>41</v>
      </c>
      <c r="O51" s="3239"/>
      <c r="P51" s="3240"/>
      <c r="Q51" s="3241"/>
      <c r="R51" s="3241"/>
      <c r="S51" s="3240"/>
      <c r="T51" s="3241"/>
      <c r="U51" s="3241"/>
      <c r="V51" s="3241"/>
      <c r="W51" s="3240"/>
      <c r="X51" s="3241"/>
      <c r="Y51" s="3241"/>
      <c r="Z51" s="3242">
        <f t="shared" si="6"/>
        <v>41</v>
      </c>
      <c r="AA51" s="3243">
        <f t="shared" si="7"/>
        <v>12053.44</v>
      </c>
      <c r="AB51" s="3242">
        <f t="shared" si="12"/>
        <v>12053.44</v>
      </c>
      <c r="AC51" s="3241"/>
      <c r="AD51" s="3241"/>
      <c r="AE51" s="3242">
        <f t="shared" si="11"/>
        <v>12053.44</v>
      </c>
      <c r="AF51" s="4261">
        <v>12053.44</v>
      </c>
      <c r="AG51" s="3250" t="s">
        <v>124</v>
      </c>
      <c r="AH51" s="3241"/>
      <c r="AI51" s="3250" t="s">
        <v>124</v>
      </c>
      <c r="AJ51" s="3241"/>
      <c r="AK51" s="3250" t="s">
        <v>124</v>
      </c>
      <c r="AL51" s="3241"/>
      <c r="AM51" s="3250" t="s">
        <v>124</v>
      </c>
      <c r="AN51" s="3241"/>
      <c r="AO51" s="3250" t="s">
        <v>124</v>
      </c>
      <c r="AP51" s="3242">
        <f t="shared" si="8"/>
        <v>0</v>
      </c>
      <c r="AQ51" s="3241"/>
      <c r="AR51" s="3241"/>
      <c r="AS51" s="3242">
        <f t="shared" si="9"/>
        <v>41</v>
      </c>
      <c r="AT51" s="3247"/>
      <c r="AU51" s="3248"/>
      <c r="AV51" s="3248"/>
      <c r="AW51" s="3247"/>
      <c r="AX51" s="3248"/>
      <c r="AY51" s="3248"/>
      <c r="AZ51" s="3247"/>
      <c r="BA51" s="3248"/>
      <c r="BB51" s="3248"/>
      <c r="BC51" s="3247"/>
      <c r="BD51" s="3248"/>
      <c r="BE51" s="3248"/>
      <c r="BF51" s="3248"/>
      <c r="BG51" s="3248"/>
      <c r="BH51" s="3249"/>
      <c r="BI51" s="3249"/>
      <c r="BM51" s="4198"/>
    </row>
    <row r="52" spans="1:65" ht="13.2" x14ac:dyDescent="0.3">
      <c r="A52" s="3270">
        <f t="shared" si="13"/>
        <v>42</v>
      </c>
      <c r="B52" s="4205" t="s">
        <v>4047</v>
      </c>
      <c r="C52" s="3271"/>
      <c r="D52" s="3240"/>
      <c r="E52" s="3241"/>
      <c r="F52" s="3241"/>
      <c r="G52" s="3240"/>
      <c r="H52" s="3241"/>
      <c r="I52" s="3241"/>
      <c r="J52" s="3241"/>
      <c r="K52" s="3240"/>
      <c r="L52" s="3241"/>
      <c r="M52" s="3241"/>
      <c r="N52" s="3240">
        <f t="shared" si="5"/>
        <v>42</v>
      </c>
      <c r="O52" s="3239"/>
      <c r="P52" s="3240"/>
      <c r="Q52" s="3241"/>
      <c r="R52" s="3241"/>
      <c r="S52" s="3240"/>
      <c r="T52" s="3241"/>
      <c r="U52" s="3241"/>
      <c r="V52" s="3241"/>
      <c r="W52" s="3240"/>
      <c r="X52" s="3241"/>
      <c r="Y52" s="3241"/>
      <c r="Z52" s="3242">
        <f t="shared" si="6"/>
        <v>42</v>
      </c>
      <c r="AA52" s="3243">
        <f t="shared" si="7"/>
        <v>0</v>
      </c>
      <c r="AB52" s="3242">
        <f t="shared" si="12"/>
        <v>0</v>
      </c>
      <c r="AC52" s="3241"/>
      <c r="AD52" s="3241"/>
      <c r="AE52" s="3242">
        <f t="shared" si="11"/>
        <v>0</v>
      </c>
      <c r="AF52" s="4261"/>
      <c r="AG52" s="3250" t="s">
        <v>124</v>
      </c>
      <c r="AH52" s="3241"/>
      <c r="AI52" s="3250" t="s">
        <v>124</v>
      </c>
      <c r="AJ52" s="3241"/>
      <c r="AK52" s="3250" t="s">
        <v>124</v>
      </c>
      <c r="AL52" s="3241"/>
      <c r="AM52" s="3250" t="s">
        <v>124</v>
      </c>
      <c r="AN52" s="3241"/>
      <c r="AO52" s="3250" t="s">
        <v>124</v>
      </c>
      <c r="AP52" s="3242">
        <f t="shared" si="8"/>
        <v>0</v>
      </c>
      <c r="AQ52" s="3241"/>
      <c r="AR52" s="3241"/>
      <c r="AS52" s="3242">
        <f t="shared" si="9"/>
        <v>42</v>
      </c>
      <c r="AT52" s="3247"/>
      <c r="AU52" s="3248"/>
      <c r="AV52" s="3248"/>
      <c r="AW52" s="3247"/>
      <c r="AX52" s="3248"/>
      <c r="AY52" s="3248"/>
      <c r="AZ52" s="3247"/>
      <c r="BA52" s="3248"/>
      <c r="BB52" s="3248"/>
      <c r="BC52" s="3247"/>
      <c r="BD52" s="3248"/>
      <c r="BE52" s="3248"/>
      <c r="BF52" s="3248"/>
      <c r="BG52" s="3248"/>
      <c r="BH52" s="3249"/>
      <c r="BI52" s="3249"/>
      <c r="BM52" s="4198"/>
    </row>
    <row r="53" spans="1:65" ht="26.4" x14ac:dyDescent="0.3">
      <c r="A53" s="3270">
        <f t="shared" si="13"/>
        <v>43</v>
      </c>
      <c r="B53" s="4205" t="s">
        <v>2602</v>
      </c>
      <c r="C53" s="3271"/>
      <c r="D53" s="3240"/>
      <c r="E53" s="3241"/>
      <c r="F53" s="3241"/>
      <c r="G53" s="3240"/>
      <c r="H53" s="3241"/>
      <c r="I53" s="3241"/>
      <c r="J53" s="3241"/>
      <c r="K53" s="3240"/>
      <c r="L53" s="3241"/>
      <c r="M53" s="3241"/>
      <c r="N53" s="3240">
        <f t="shared" si="5"/>
        <v>43</v>
      </c>
      <c r="O53" s="3239"/>
      <c r="P53" s="3240"/>
      <c r="Q53" s="3241"/>
      <c r="R53" s="3241"/>
      <c r="S53" s="3240"/>
      <c r="T53" s="3241"/>
      <c r="U53" s="3241"/>
      <c r="V53" s="3241"/>
      <c r="W53" s="3240"/>
      <c r="X53" s="3241"/>
      <c r="Y53" s="3241"/>
      <c r="Z53" s="3242">
        <f t="shared" si="6"/>
        <v>43</v>
      </c>
      <c r="AA53" s="3243">
        <f t="shared" si="7"/>
        <v>39980.833333333336</v>
      </c>
      <c r="AB53" s="3242">
        <f t="shared" si="12"/>
        <v>39980.833333333336</v>
      </c>
      <c r="AC53" s="3241"/>
      <c r="AD53" s="3241"/>
      <c r="AE53" s="3242">
        <f t="shared" si="11"/>
        <v>39980.833333333336</v>
      </c>
      <c r="AF53" s="4275">
        <f>47977/1.2</f>
        <v>39980.833333333336</v>
      </c>
      <c r="AG53" s="3250" t="s">
        <v>124</v>
      </c>
      <c r="AH53" s="3241"/>
      <c r="AI53" s="3250" t="s">
        <v>124</v>
      </c>
      <c r="AJ53" s="3241"/>
      <c r="AK53" s="3250" t="s">
        <v>124</v>
      </c>
      <c r="AL53" s="3241"/>
      <c r="AM53" s="3250" t="s">
        <v>124</v>
      </c>
      <c r="AN53" s="3241"/>
      <c r="AO53" s="3250" t="s">
        <v>124</v>
      </c>
      <c r="AP53" s="3242">
        <f t="shared" si="8"/>
        <v>0</v>
      </c>
      <c r="AQ53" s="3241"/>
      <c r="AR53" s="3241"/>
      <c r="AS53" s="3242">
        <f t="shared" si="9"/>
        <v>43</v>
      </c>
      <c r="AT53" s="3247"/>
      <c r="AU53" s="3248"/>
      <c r="AV53" s="3248"/>
      <c r="AW53" s="3247"/>
      <c r="AX53" s="3248"/>
      <c r="AY53" s="3248"/>
      <c r="AZ53" s="3247"/>
      <c r="BA53" s="3248"/>
      <c r="BB53" s="3248"/>
      <c r="BC53" s="3247"/>
      <c r="BD53" s="3248"/>
      <c r="BE53" s="3248"/>
      <c r="BF53" s="3248"/>
      <c r="BG53" s="3248"/>
      <c r="BH53" s="3249"/>
      <c r="BI53" s="3249"/>
      <c r="BL53" s="3216" t="s">
        <v>3706</v>
      </c>
      <c r="BM53" s="4198"/>
    </row>
    <row r="54" spans="1:65" ht="26.4" x14ac:dyDescent="0.3">
      <c r="A54" s="3270">
        <f t="shared" si="13"/>
        <v>44</v>
      </c>
      <c r="B54" s="4205" t="s">
        <v>4109</v>
      </c>
      <c r="C54" s="3271"/>
      <c r="D54" s="3240"/>
      <c r="E54" s="3241"/>
      <c r="F54" s="3241"/>
      <c r="G54" s="3240"/>
      <c r="H54" s="3241"/>
      <c r="I54" s="3241"/>
      <c r="J54" s="3241"/>
      <c r="K54" s="3240"/>
      <c r="L54" s="3241"/>
      <c r="M54" s="3241"/>
      <c r="N54" s="3240">
        <f t="shared" si="5"/>
        <v>44</v>
      </c>
      <c r="O54" s="3239"/>
      <c r="P54" s="3240"/>
      <c r="Q54" s="3241"/>
      <c r="R54" s="3241"/>
      <c r="S54" s="3240"/>
      <c r="T54" s="3241"/>
      <c r="U54" s="3241"/>
      <c r="V54" s="3241"/>
      <c r="W54" s="3240"/>
      <c r="X54" s="3241"/>
      <c r="Y54" s="3241"/>
      <c r="Z54" s="3242">
        <f t="shared" si="6"/>
        <v>44</v>
      </c>
      <c r="AA54" s="3243">
        <f t="shared" si="7"/>
        <v>21000</v>
      </c>
      <c r="AB54" s="3242">
        <f t="shared" si="12"/>
        <v>21000</v>
      </c>
      <c r="AC54" s="3241"/>
      <c r="AD54" s="3241"/>
      <c r="AE54" s="3242">
        <f t="shared" si="11"/>
        <v>21000</v>
      </c>
      <c r="AF54" s="4275">
        <f>25200/1.2</f>
        <v>21000</v>
      </c>
      <c r="AG54" s="3250" t="s">
        <v>124</v>
      </c>
      <c r="AH54" s="3241"/>
      <c r="AI54" s="3250" t="s">
        <v>124</v>
      </c>
      <c r="AJ54" s="3241"/>
      <c r="AK54" s="3250" t="s">
        <v>124</v>
      </c>
      <c r="AL54" s="3241"/>
      <c r="AM54" s="3250" t="s">
        <v>124</v>
      </c>
      <c r="AN54" s="3241"/>
      <c r="AO54" s="3250" t="s">
        <v>124</v>
      </c>
      <c r="AP54" s="3242">
        <f t="shared" si="8"/>
        <v>0</v>
      </c>
      <c r="AQ54" s="3241"/>
      <c r="AR54" s="3241"/>
      <c r="AS54" s="3242">
        <f t="shared" si="9"/>
        <v>44</v>
      </c>
      <c r="AT54" s="3247"/>
      <c r="AU54" s="3248"/>
      <c r="AV54" s="3248"/>
      <c r="AW54" s="3247"/>
      <c r="AX54" s="3248"/>
      <c r="AY54" s="3248"/>
      <c r="AZ54" s="3247"/>
      <c r="BA54" s="3248"/>
      <c r="BB54" s="3248"/>
      <c r="BC54" s="3247"/>
      <c r="BD54" s="3248"/>
      <c r="BE54" s="3248"/>
      <c r="BF54" s="3248"/>
      <c r="BG54" s="3248"/>
      <c r="BH54" s="3249"/>
      <c r="BI54" s="3249"/>
      <c r="BL54" s="3216" t="s">
        <v>3708</v>
      </c>
      <c r="BM54" s="4198"/>
    </row>
    <row r="55" spans="1:65" ht="13.2" x14ac:dyDescent="0.3">
      <c r="A55" s="3270">
        <f t="shared" si="13"/>
        <v>45</v>
      </c>
      <c r="B55" s="3275"/>
      <c r="C55" s="3271"/>
      <c r="D55" s="3240"/>
      <c r="E55" s="3241"/>
      <c r="F55" s="3241"/>
      <c r="G55" s="3240"/>
      <c r="H55" s="3241"/>
      <c r="I55" s="3241"/>
      <c r="J55" s="3241"/>
      <c r="K55" s="3240"/>
      <c r="L55" s="3241"/>
      <c r="M55" s="3241"/>
      <c r="N55" s="3240">
        <f t="shared" si="5"/>
        <v>45</v>
      </c>
      <c r="O55" s="3239"/>
      <c r="P55" s="3240"/>
      <c r="Q55" s="3241"/>
      <c r="R55" s="3241"/>
      <c r="S55" s="3240"/>
      <c r="T55" s="3241"/>
      <c r="U55" s="3241"/>
      <c r="V55" s="3241"/>
      <c r="W55" s="3240"/>
      <c r="X55" s="3241"/>
      <c r="Y55" s="3241"/>
      <c r="Z55" s="3242">
        <f t="shared" si="6"/>
        <v>45</v>
      </c>
      <c r="AA55" s="3243">
        <f t="shared" si="7"/>
        <v>0</v>
      </c>
      <c r="AB55" s="3242">
        <f t="shared" si="12"/>
        <v>0</v>
      </c>
      <c r="AC55" s="3241"/>
      <c r="AD55" s="3241"/>
      <c r="AE55" s="3242">
        <f t="shared" si="11"/>
        <v>0</v>
      </c>
      <c r="AF55" s="4261"/>
      <c r="AG55" s="3250" t="s">
        <v>124</v>
      </c>
      <c r="AH55" s="3241"/>
      <c r="AI55" s="3250" t="s">
        <v>124</v>
      </c>
      <c r="AJ55" s="3241"/>
      <c r="AK55" s="3250" t="s">
        <v>124</v>
      </c>
      <c r="AL55" s="3241"/>
      <c r="AM55" s="3250" t="s">
        <v>124</v>
      </c>
      <c r="AN55" s="3241"/>
      <c r="AO55" s="3250" t="s">
        <v>124</v>
      </c>
      <c r="AP55" s="3242">
        <f t="shared" si="8"/>
        <v>0</v>
      </c>
      <c r="AQ55" s="3241"/>
      <c r="AR55" s="3241"/>
      <c r="AS55" s="3242">
        <f t="shared" si="9"/>
        <v>45</v>
      </c>
      <c r="AT55" s="3247"/>
      <c r="AU55" s="3248"/>
      <c r="AV55" s="3248"/>
      <c r="AW55" s="3247"/>
      <c r="AX55" s="3248"/>
      <c r="AY55" s="3248"/>
      <c r="AZ55" s="3247"/>
      <c r="BA55" s="3248"/>
      <c r="BB55" s="3248"/>
      <c r="BC55" s="3247"/>
      <c r="BD55" s="3248"/>
      <c r="BE55" s="3248"/>
      <c r="BF55" s="3248"/>
      <c r="BG55" s="3248"/>
      <c r="BH55" s="3249"/>
      <c r="BI55" s="3249"/>
      <c r="BL55" s="3216" t="s">
        <v>4046</v>
      </c>
      <c r="BM55" s="4198"/>
    </row>
    <row r="56" spans="1:65" ht="26.4" x14ac:dyDescent="0.25">
      <c r="A56" s="3270">
        <f t="shared" si="13"/>
        <v>46</v>
      </c>
      <c r="B56" s="3275" t="s">
        <v>4081</v>
      </c>
      <c r="C56" s="3271"/>
      <c r="D56" s="3240"/>
      <c r="E56" s="3241"/>
      <c r="F56" s="3241"/>
      <c r="G56" s="3240"/>
      <c r="H56" s="3241"/>
      <c r="I56" s="3241"/>
      <c r="J56" s="3241"/>
      <c r="K56" s="3240"/>
      <c r="L56" s="3241"/>
      <c r="M56" s="3241"/>
      <c r="N56" s="3240">
        <f t="shared" si="5"/>
        <v>46</v>
      </c>
      <c r="O56" s="3239"/>
      <c r="P56" s="3240"/>
      <c r="Q56" s="3241"/>
      <c r="R56" s="3241"/>
      <c r="S56" s="3240"/>
      <c r="T56" s="3241"/>
      <c r="U56" s="3241"/>
      <c r="V56" s="3241"/>
      <c r="W56" s="3240"/>
      <c r="X56" s="3241"/>
      <c r="Y56" s="3241"/>
      <c r="Z56" s="3242">
        <f t="shared" si="6"/>
        <v>46</v>
      </c>
      <c r="AA56" s="3243">
        <f t="shared" si="7"/>
        <v>6250</v>
      </c>
      <c r="AB56" s="3242">
        <f t="shared" si="12"/>
        <v>6250</v>
      </c>
      <c r="AC56" s="3241"/>
      <c r="AD56" s="3241"/>
      <c r="AE56" s="3242">
        <f t="shared" si="11"/>
        <v>6250</v>
      </c>
      <c r="AF56" s="4274">
        <f>1500/1.2*5</f>
        <v>6250</v>
      </c>
      <c r="AG56" s="3250" t="s">
        <v>124</v>
      </c>
      <c r="AH56" s="3241"/>
      <c r="AI56" s="3250" t="s">
        <v>124</v>
      </c>
      <c r="AJ56" s="3241"/>
      <c r="AK56" s="3250" t="s">
        <v>124</v>
      </c>
      <c r="AL56" s="3241"/>
      <c r="AM56" s="3250" t="s">
        <v>124</v>
      </c>
      <c r="AN56" s="3241"/>
      <c r="AO56" s="3250" t="s">
        <v>124</v>
      </c>
      <c r="AP56" s="3242">
        <f t="shared" si="8"/>
        <v>0</v>
      </c>
      <c r="AQ56" s="3241"/>
      <c r="AR56" s="3241"/>
      <c r="AS56" s="3242">
        <f t="shared" si="9"/>
        <v>46</v>
      </c>
      <c r="AT56" s="3247"/>
      <c r="AU56" s="3248"/>
      <c r="AV56" s="3248"/>
      <c r="AW56" s="3247"/>
      <c r="AX56" s="3248"/>
      <c r="AY56" s="3248"/>
      <c r="AZ56" s="3247"/>
      <c r="BA56" s="3248"/>
      <c r="BB56" s="3248"/>
      <c r="BC56" s="3247"/>
      <c r="BD56" s="3248"/>
      <c r="BE56" s="3248"/>
      <c r="BF56" s="3248"/>
      <c r="BG56" s="3248"/>
      <c r="BH56" s="3249"/>
      <c r="BI56" s="3249"/>
      <c r="BL56" s="2568" t="s">
        <v>3707</v>
      </c>
      <c r="BM56" s="4198"/>
    </row>
    <row r="57" spans="1:65" ht="26.4" x14ac:dyDescent="0.3">
      <c r="A57" s="3270">
        <f t="shared" si="13"/>
        <v>47</v>
      </c>
      <c r="B57" s="3275" t="s">
        <v>4082</v>
      </c>
      <c r="C57" s="3271"/>
      <c r="D57" s="3240"/>
      <c r="E57" s="3241"/>
      <c r="F57" s="3241"/>
      <c r="G57" s="3240"/>
      <c r="H57" s="3241"/>
      <c r="I57" s="3241"/>
      <c r="J57" s="3241"/>
      <c r="K57" s="3240"/>
      <c r="L57" s="3241"/>
      <c r="M57" s="3241"/>
      <c r="N57" s="3240">
        <f t="shared" si="5"/>
        <v>47</v>
      </c>
      <c r="O57" s="3239"/>
      <c r="P57" s="3240"/>
      <c r="Q57" s="3241"/>
      <c r="R57" s="3241"/>
      <c r="S57" s="3240"/>
      <c r="T57" s="3241"/>
      <c r="U57" s="3241"/>
      <c r="V57" s="3241"/>
      <c r="W57" s="3240"/>
      <c r="X57" s="3241"/>
      <c r="Y57" s="3241"/>
      <c r="Z57" s="3242">
        <f t="shared" si="6"/>
        <v>47</v>
      </c>
      <c r="AA57" s="3243">
        <f t="shared" si="7"/>
        <v>0</v>
      </c>
      <c r="AB57" s="3242">
        <f t="shared" si="12"/>
        <v>0</v>
      </c>
      <c r="AC57" s="3241"/>
      <c r="AD57" s="3241"/>
      <c r="AE57" s="3242">
        <f t="shared" si="11"/>
        <v>0</v>
      </c>
      <c r="AF57" s="4261"/>
      <c r="AG57" s="3250" t="s">
        <v>124</v>
      </c>
      <c r="AH57" s="3241"/>
      <c r="AI57" s="3250" t="s">
        <v>124</v>
      </c>
      <c r="AJ57" s="3241"/>
      <c r="AK57" s="3250" t="s">
        <v>124</v>
      </c>
      <c r="AL57" s="3241"/>
      <c r="AM57" s="3250" t="s">
        <v>124</v>
      </c>
      <c r="AN57" s="3241"/>
      <c r="AO57" s="3250" t="s">
        <v>124</v>
      </c>
      <c r="AP57" s="3242">
        <f t="shared" si="8"/>
        <v>0</v>
      </c>
      <c r="AQ57" s="3241"/>
      <c r="AR57" s="3241"/>
      <c r="AS57" s="3242">
        <f t="shared" si="9"/>
        <v>47</v>
      </c>
      <c r="AT57" s="3247"/>
      <c r="AU57" s="3248"/>
      <c r="AV57" s="3248"/>
      <c r="AW57" s="3247"/>
      <c r="AX57" s="3248"/>
      <c r="AY57" s="3248"/>
      <c r="AZ57" s="3247"/>
      <c r="BA57" s="3248"/>
      <c r="BB57" s="3248"/>
      <c r="BC57" s="3247"/>
      <c r="BD57" s="3248"/>
      <c r="BE57" s="3248"/>
      <c r="BF57" s="3248"/>
      <c r="BG57" s="3248"/>
      <c r="BH57" s="3249"/>
      <c r="BI57" s="3249"/>
      <c r="BM57" s="4198"/>
    </row>
    <row r="58" spans="1:65" ht="39.6" x14ac:dyDescent="0.3">
      <c r="A58" s="3270">
        <f t="shared" si="13"/>
        <v>48</v>
      </c>
      <c r="B58" s="3275" t="s">
        <v>4084</v>
      </c>
      <c r="C58" s="3271"/>
      <c r="D58" s="3240"/>
      <c r="E58" s="3241"/>
      <c r="F58" s="3241"/>
      <c r="G58" s="3240"/>
      <c r="H58" s="3241"/>
      <c r="I58" s="3241"/>
      <c r="J58" s="3241"/>
      <c r="K58" s="3240"/>
      <c r="L58" s="3241"/>
      <c r="M58" s="3241"/>
      <c r="N58" s="3240">
        <f t="shared" si="5"/>
        <v>48</v>
      </c>
      <c r="O58" s="3239"/>
      <c r="P58" s="3240"/>
      <c r="Q58" s="3241"/>
      <c r="R58" s="3241"/>
      <c r="S58" s="3240"/>
      <c r="T58" s="3241"/>
      <c r="U58" s="3241"/>
      <c r="V58" s="3241"/>
      <c r="W58" s="3240"/>
      <c r="X58" s="3241"/>
      <c r="Y58" s="3241"/>
      <c r="Z58" s="3242">
        <f t="shared" si="6"/>
        <v>48</v>
      </c>
      <c r="AA58" s="3243">
        <f t="shared" si="7"/>
        <v>2065.1333333333332</v>
      </c>
      <c r="AB58" s="3242">
        <f t="shared" si="12"/>
        <v>2065.1333333333332</v>
      </c>
      <c r="AC58" s="3241"/>
      <c r="AD58" s="3241"/>
      <c r="AE58" s="3242">
        <f t="shared" si="11"/>
        <v>2065.1333333333332</v>
      </c>
      <c r="AF58" s="4274">
        <f>2478.16/1.2</f>
        <v>2065.1333333333332</v>
      </c>
      <c r="AG58" s="3250" t="s">
        <v>124</v>
      </c>
      <c r="AH58" s="3241"/>
      <c r="AI58" s="3250" t="s">
        <v>124</v>
      </c>
      <c r="AJ58" s="3241"/>
      <c r="AK58" s="3250" t="s">
        <v>124</v>
      </c>
      <c r="AL58" s="3241"/>
      <c r="AM58" s="3250" t="s">
        <v>124</v>
      </c>
      <c r="AN58" s="3241"/>
      <c r="AO58" s="3250" t="s">
        <v>124</v>
      </c>
      <c r="AP58" s="3242">
        <f t="shared" si="8"/>
        <v>0</v>
      </c>
      <c r="AQ58" s="3241"/>
      <c r="AR58" s="3241"/>
      <c r="AS58" s="3242">
        <f t="shared" si="9"/>
        <v>48</v>
      </c>
      <c r="AT58" s="3247"/>
      <c r="AU58" s="3248"/>
      <c r="AV58" s="3248"/>
      <c r="AW58" s="3247"/>
      <c r="AX58" s="3248"/>
      <c r="AY58" s="3248"/>
      <c r="AZ58" s="3247"/>
      <c r="BA58" s="3248"/>
      <c r="BB58" s="3248"/>
      <c r="BC58" s="3247"/>
      <c r="BD58" s="3248"/>
      <c r="BE58" s="3248"/>
      <c r="BF58" s="3248"/>
      <c r="BG58" s="3248"/>
      <c r="BH58" s="3249"/>
      <c r="BI58" s="3249"/>
      <c r="BL58" s="1526" t="s">
        <v>3705</v>
      </c>
      <c r="BM58" s="4198"/>
    </row>
    <row r="59" spans="1:65" ht="39.6" x14ac:dyDescent="0.3">
      <c r="A59" s="3270">
        <f t="shared" si="13"/>
        <v>49</v>
      </c>
      <c r="B59" s="3275" t="s">
        <v>4083</v>
      </c>
      <c r="C59" s="3271"/>
      <c r="D59" s="3240"/>
      <c r="E59" s="3241"/>
      <c r="F59" s="3241"/>
      <c r="G59" s="3240"/>
      <c r="H59" s="3241"/>
      <c r="I59" s="3241"/>
      <c r="J59" s="3241"/>
      <c r="K59" s="3240"/>
      <c r="L59" s="3241"/>
      <c r="M59" s="3241"/>
      <c r="N59" s="3240">
        <f t="shared" si="5"/>
        <v>49</v>
      </c>
      <c r="O59" s="3239"/>
      <c r="P59" s="3240"/>
      <c r="Q59" s="3241"/>
      <c r="R59" s="3241"/>
      <c r="S59" s="3240"/>
      <c r="T59" s="3241"/>
      <c r="U59" s="3241"/>
      <c r="V59" s="3241"/>
      <c r="W59" s="3240"/>
      <c r="X59" s="3241"/>
      <c r="Y59" s="3241"/>
      <c r="Z59" s="3242">
        <f t="shared" si="6"/>
        <v>49</v>
      </c>
      <c r="AA59" s="3243">
        <f t="shared" si="7"/>
        <v>0</v>
      </c>
      <c r="AB59" s="3242">
        <f t="shared" si="12"/>
        <v>0</v>
      </c>
      <c r="AC59" s="3241"/>
      <c r="AD59" s="3241"/>
      <c r="AE59" s="3242">
        <f t="shared" si="11"/>
        <v>0</v>
      </c>
      <c r="AF59" s="4261"/>
      <c r="AG59" s="3250" t="s">
        <v>124</v>
      </c>
      <c r="AH59" s="3241"/>
      <c r="AI59" s="3250" t="s">
        <v>124</v>
      </c>
      <c r="AJ59" s="3241"/>
      <c r="AK59" s="3250" t="s">
        <v>124</v>
      </c>
      <c r="AL59" s="3241"/>
      <c r="AM59" s="3250" t="s">
        <v>124</v>
      </c>
      <c r="AN59" s="3241"/>
      <c r="AO59" s="3250" t="s">
        <v>124</v>
      </c>
      <c r="AP59" s="3242">
        <f t="shared" si="8"/>
        <v>0</v>
      </c>
      <c r="AQ59" s="3241"/>
      <c r="AR59" s="3241"/>
      <c r="AS59" s="3242">
        <f t="shared" si="9"/>
        <v>49</v>
      </c>
      <c r="AT59" s="3247"/>
      <c r="AU59" s="3248"/>
      <c r="AV59" s="3248"/>
      <c r="AW59" s="3247"/>
      <c r="AX59" s="3248"/>
      <c r="AY59" s="3248"/>
      <c r="AZ59" s="3247"/>
      <c r="BA59" s="3248"/>
      <c r="BB59" s="3248"/>
      <c r="BC59" s="3247"/>
      <c r="BD59" s="3248"/>
      <c r="BE59" s="3248"/>
      <c r="BF59" s="3248"/>
      <c r="BG59" s="3248"/>
      <c r="BH59" s="3249"/>
      <c r="BI59" s="3249"/>
      <c r="BM59" s="4198"/>
    </row>
    <row r="60" spans="1:65" ht="26.4" x14ac:dyDescent="0.3">
      <c r="A60" s="3270">
        <f t="shared" si="13"/>
        <v>50</v>
      </c>
      <c r="B60" s="3275" t="s">
        <v>4085</v>
      </c>
      <c r="C60" s="3271"/>
      <c r="D60" s="3240"/>
      <c r="E60" s="3241"/>
      <c r="F60" s="3241"/>
      <c r="G60" s="3240"/>
      <c r="H60" s="3241"/>
      <c r="I60" s="3241"/>
      <c r="J60" s="3241"/>
      <c r="K60" s="3240"/>
      <c r="L60" s="3241"/>
      <c r="M60" s="3241"/>
      <c r="N60" s="3240">
        <f t="shared" si="5"/>
        <v>50</v>
      </c>
      <c r="O60" s="3239"/>
      <c r="P60" s="3240"/>
      <c r="Q60" s="3241"/>
      <c r="R60" s="3241"/>
      <c r="S60" s="3240"/>
      <c r="T60" s="3241"/>
      <c r="U60" s="3241"/>
      <c r="V60" s="3241"/>
      <c r="W60" s="3240"/>
      <c r="X60" s="3241"/>
      <c r="Y60" s="3241"/>
      <c r="Z60" s="3242">
        <f t="shared" si="6"/>
        <v>50</v>
      </c>
      <c r="AA60" s="3243">
        <f t="shared" si="7"/>
        <v>0</v>
      </c>
      <c r="AB60" s="3242">
        <f t="shared" si="12"/>
        <v>0</v>
      </c>
      <c r="AC60" s="3241"/>
      <c r="AD60" s="3241"/>
      <c r="AE60" s="3242">
        <f t="shared" si="11"/>
        <v>0</v>
      </c>
      <c r="AF60" s="4261"/>
      <c r="AG60" s="3250" t="s">
        <v>124</v>
      </c>
      <c r="AH60" s="3241"/>
      <c r="AI60" s="3250" t="s">
        <v>124</v>
      </c>
      <c r="AJ60" s="3241"/>
      <c r="AK60" s="3250" t="s">
        <v>124</v>
      </c>
      <c r="AL60" s="3241"/>
      <c r="AM60" s="3250" t="s">
        <v>124</v>
      </c>
      <c r="AN60" s="3241"/>
      <c r="AO60" s="3250" t="s">
        <v>124</v>
      </c>
      <c r="AP60" s="3242">
        <f t="shared" si="8"/>
        <v>0</v>
      </c>
      <c r="AQ60" s="3241"/>
      <c r="AR60" s="3241"/>
      <c r="AS60" s="3242">
        <f t="shared" si="9"/>
        <v>50</v>
      </c>
      <c r="AT60" s="3247"/>
      <c r="AU60" s="3248"/>
      <c r="AV60" s="3248"/>
      <c r="AW60" s="3247"/>
      <c r="AX60" s="3248"/>
      <c r="AY60" s="3248"/>
      <c r="AZ60" s="3247"/>
      <c r="BA60" s="3248"/>
      <c r="BB60" s="3248"/>
      <c r="BC60" s="3247"/>
      <c r="BD60" s="3248"/>
      <c r="BE60" s="3248"/>
      <c r="BF60" s="3248"/>
      <c r="BG60" s="3248"/>
      <c r="BH60" s="3249"/>
      <c r="BI60" s="3249"/>
      <c r="BM60" s="4198"/>
    </row>
    <row r="61" spans="1:65" ht="26.4" x14ac:dyDescent="0.25">
      <c r="A61" s="3270">
        <f t="shared" si="13"/>
        <v>51</v>
      </c>
      <c r="B61" s="3275" t="s">
        <v>4086</v>
      </c>
      <c r="C61" s="3271"/>
      <c r="D61" s="3240"/>
      <c r="E61" s="3241"/>
      <c r="F61" s="3241"/>
      <c r="G61" s="3240"/>
      <c r="H61" s="3241"/>
      <c r="I61" s="3241"/>
      <c r="J61" s="3241"/>
      <c r="K61" s="3240"/>
      <c r="L61" s="3241"/>
      <c r="M61" s="3241"/>
      <c r="N61" s="3240">
        <f t="shared" si="5"/>
        <v>51</v>
      </c>
      <c r="O61" s="3239"/>
      <c r="P61" s="3240"/>
      <c r="Q61" s="3241"/>
      <c r="R61" s="3241"/>
      <c r="S61" s="3240"/>
      <c r="T61" s="3241"/>
      <c r="U61" s="3241"/>
      <c r="V61" s="3241"/>
      <c r="W61" s="3240"/>
      <c r="X61" s="3241"/>
      <c r="Y61" s="3241"/>
      <c r="Z61" s="3242">
        <f t="shared" si="6"/>
        <v>51</v>
      </c>
      <c r="AA61" s="3243">
        <f t="shared" si="7"/>
        <v>13966.666666666668</v>
      </c>
      <c r="AB61" s="3242">
        <f t="shared" si="12"/>
        <v>13966.666666666668</v>
      </c>
      <c r="AC61" s="3241"/>
      <c r="AD61" s="3241"/>
      <c r="AE61" s="3242">
        <f t="shared" si="11"/>
        <v>13966.666666666668</v>
      </c>
      <c r="AF61" s="4274">
        <f>16760/1.2</f>
        <v>13966.666666666668</v>
      </c>
      <c r="AG61" s="3250" t="s">
        <v>124</v>
      </c>
      <c r="AH61" s="3241"/>
      <c r="AI61" s="3250" t="s">
        <v>124</v>
      </c>
      <c r="AJ61" s="3241"/>
      <c r="AK61" s="3250" t="s">
        <v>124</v>
      </c>
      <c r="AL61" s="3241"/>
      <c r="AM61" s="3250" t="s">
        <v>124</v>
      </c>
      <c r="AN61" s="3241"/>
      <c r="AO61" s="3250" t="s">
        <v>124</v>
      </c>
      <c r="AP61" s="3242">
        <f t="shared" si="8"/>
        <v>0</v>
      </c>
      <c r="AQ61" s="3241"/>
      <c r="AR61" s="3241"/>
      <c r="AS61" s="3242">
        <f t="shared" si="9"/>
        <v>51</v>
      </c>
      <c r="AT61" s="3247"/>
      <c r="AU61" s="3248"/>
      <c r="AV61" s="3248"/>
      <c r="AW61" s="3247"/>
      <c r="AX61" s="3248"/>
      <c r="AY61" s="3248"/>
      <c r="AZ61" s="3247"/>
      <c r="BA61" s="3248"/>
      <c r="BB61" s="3248"/>
      <c r="BC61" s="3247"/>
      <c r="BD61" s="3248"/>
      <c r="BE61" s="3248"/>
      <c r="BF61" s="3248"/>
      <c r="BG61" s="3248"/>
      <c r="BH61" s="3249"/>
      <c r="BI61" s="3249"/>
      <c r="BL61" s="1478" t="s">
        <v>3714</v>
      </c>
      <c r="BM61" s="4198"/>
    </row>
    <row r="62" spans="1:65" ht="12" customHeight="1" x14ac:dyDescent="0.3">
      <c r="A62" s="3270">
        <f t="shared" si="13"/>
        <v>52</v>
      </c>
      <c r="B62" s="4205"/>
      <c r="C62" s="3271"/>
      <c r="D62" s="3240"/>
      <c r="E62" s="3241"/>
      <c r="F62" s="3241"/>
      <c r="G62" s="3240"/>
      <c r="H62" s="3241"/>
      <c r="I62" s="3241"/>
      <c r="J62" s="3241"/>
      <c r="K62" s="3240"/>
      <c r="L62" s="3241"/>
      <c r="M62" s="3241"/>
      <c r="N62" s="3240">
        <f t="shared" si="5"/>
        <v>52</v>
      </c>
      <c r="O62" s="3239"/>
      <c r="P62" s="3240"/>
      <c r="Q62" s="3241"/>
      <c r="R62" s="3241"/>
      <c r="S62" s="3240"/>
      <c r="T62" s="3241"/>
      <c r="U62" s="3241"/>
      <c r="V62" s="3241"/>
      <c r="W62" s="3240"/>
      <c r="X62" s="3241"/>
      <c r="Y62" s="3241"/>
      <c r="Z62" s="3242">
        <f t="shared" si="6"/>
        <v>52</v>
      </c>
      <c r="AA62" s="3243">
        <f t="shared" si="7"/>
        <v>0</v>
      </c>
      <c r="AB62" s="3242">
        <f t="shared" si="12"/>
        <v>0</v>
      </c>
      <c r="AC62" s="3241"/>
      <c r="AD62" s="3241"/>
      <c r="AE62" s="3242">
        <f t="shared" si="11"/>
        <v>0</v>
      </c>
      <c r="AF62" s="4261"/>
      <c r="AG62" s="3250" t="s">
        <v>124</v>
      </c>
      <c r="AH62" s="3241"/>
      <c r="AI62" s="3250" t="s">
        <v>124</v>
      </c>
      <c r="AJ62" s="3241"/>
      <c r="AK62" s="3250" t="s">
        <v>124</v>
      </c>
      <c r="AL62" s="3241"/>
      <c r="AM62" s="3250" t="s">
        <v>124</v>
      </c>
      <c r="AN62" s="3241"/>
      <c r="AO62" s="3250" t="s">
        <v>124</v>
      </c>
      <c r="AP62" s="3242">
        <f t="shared" si="8"/>
        <v>0</v>
      </c>
      <c r="AQ62" s="3241"/>
      <c r="AR62" s="3241"/>
      <c r="AS62" s="3242">
        <f t="shared" si="9"/>
        <v>52</v>
      </c>
      <c r="AT62" s="3247"/>
      <c r="AU62" s="3248"/>
      <c r="AV62" s="3248"/>
      <c r="AW62" s="3247"/>
      <c r="AX62" s="3248"/>
      <c r="AY62" s="3248"/>
      <c r="AZ62" s="3247"/>
      <c r="BA62" s="3248"/>
      <c r="BB62" s="3248"/>
      <c r="BC62" s="3247"/>
      <c r="BD62" s="3248"/>
      <c r="BE62" s="3248"/>
      <c r="BF62" s="3248"/>
      <c r="BG62" s="3248"/>
      <c r="BH62" s="3249"/>
      <c r="BI62" s="3249"/>
      <c r="BL62" s="3216" t="s">
        <v>4046</v>
      </c>
      <c r="BM62" s="4198"/>
    </row>
    <row r="63" spans="1:65" ht="26.4" x14ac:dyDescent="0.3">
      <c r="A63" s="3270">
        <f t="shared" si="13"/>
        <v>53</v>
      </c>
      <c r="B63" s="4205" t="s">
        <v>4088</v>
      </c>
      <c r="C63" s="3271"/>
      <c r="D63" s="3240"/>
      <c r="E63" s="3241"/>
      <c r="F63" s="3241"/>
      <c r="G63" s="3240"/>
      <c r="H63" s="3241"/>
      <c r="I63" s="3241"/>
      <c r="J63" s="3241"/>
      <c r="K63" s="3240"/>
      <c r="L63" s="3241"/>
      <c r="M63" s="3241"/>
      <c r="N63" s="3240">
        <f t="shared" si="5"/>
        <v>53</v>
      </c>
      <c r="O63" s="3239"/>
      <c r="P63" s="3240"/>
      <c r="Q63" s="3241"/>
      <c r="R63" s="3241"/>
      <c r="S63" s="3240"/>
      <c r="T63" s="3241"/>
      <c r="U63" s="3241"/>
      <c r="V63" s="3241"/>
      <c r="W63" s="3240"/>
      <c r="X63" s="3241"/>
      <c r="Y63" s="3241"/>
      <c r="Z63" s="3242">
        <f t="shared" si="6"/>
        <v>53</v>
      </c>
      <c r="AA63" s="3243">
        <f t="shared" si="7"/>
        <v>0</v>
      </c>
      <c r="AB63" s="3242">
        <f t="shared" si="12"/>
        <v>0</v>
      </c>
      <c r="AC63" s="3241"/>
      <c r="AD63" s="3241"/>
      <c r="AE63" s="3242">
        <f t="shared" si="11"/>
        <v>0</v>
      </c>
      <c r="AF63" s="4261"/>
      <c r="AG63" s="3250" t="s">
        <v>124</v>
      </c>
      <c r="AH63" s="3241"/>
      <c r="AI63" s="3250" t="s">
        <v>124</v>
      </c>
      <c r="AJ63" s="3241"/>
      <c r="AK63" s="3250" t="s">
        <v>124</v>
      </c>
      <c r="AL63" s="3241"/>
      <c r="AM63" s="3250" t="s">
        <v>124</v>
      </c>
      <c r="AN63" s="3241"/>
      <c r="AO63" s="3250" t="s">
        <v>124</v>
      </c>
      <c r="AP63" s="3242">
        <f t="shared" si="8"/>
        <v>0</v>
      </c>
      <c r="AQ63" s="3241"/>
      <c r="AR63" s="3241"/>
      <c r="AS63" s="3242">
        <f t="shared" si="9"/>
        <v>53</v>
      </c>
      <c r="AT63" s="3247"/>
      <c r="AU63" s="3248"/>
      <c r="AV63" s="3248"/>
      <c r="AW63" s="3247"/>
      <c r="AX63" s="3248"/>
      <c r="AY63" s="3248"/>
      <c r="AZ63" s="3247"/>
      <c r="BA63" s="3248"/>
      <c r="BB63" s="3248"/>
      <c r="BC63" s="3247"/>
      <c r="BD63" s="3248"/>
      <c r="BE63" s="3248"/>
      <c r="BF63" s="3248"/>
      <c r="BG63" s="3248"/>
      <c r="BH63" s="3249"/>
      <c r="BI63" s="3249"/>
      <c r="BM63" s="4198"/>
    </row>
    <row r="64" spans="1:65" ht="26.4" x14ac:dyDescent="0.3">
      <c r="A64" s="3270">
        <f t="shared" si="13"/>
        <v>54</v>
      </c>
      <c r="B64" s="4205" t="s">
        <v>4087</v>
      </c>
      <c r="C64" s="3271"/>
      <c r="D64" s="3240"/>
      <c r="E64" s="3241"/>
      <c r="F64" s="3241"/>
      <c r="G64" s="3240"/>
      <c r="H64" s="3241"/>
      <c r="I64" s="3241"/>
      <c r="J64" s="3241"/>
      <c r="K64" s="3240"/>
      <c r="L64" s="3241"/>
      <c r="M64" s="3241"/>
      <c r="N64" s="3240">
        <f t="shared" si="5"/>
        <v>54</v>
      </c>
      <c r="O64" s="3239"/>
      <c r="P64" s="3240"/>
      <c r="Q64" s="3241"/>
      <c r="R64" s="3241"/>
      <c r="S64" s="3240"/>
      <c r="T64" s="3241"/>
      <c r="U64" s="3241"/>
      <c r="V64" s="3241"/>
      <c r="W64" s="3240"/>
      <c r="X64" s="3241"/>
      <c r="Y64" s="3241"/>
      <c r="Z64" s="3242">
        <f t="shared" si="6"/>
        <v>54</v>
      </c>
      <c r="AA64" s="3243">
        <f t="shared" si="7"/>
        <v>0</v>
      </c>
      <c r="AB64" s="3242">
        <f t="shared" si="12"/>
        <v>0</v>
      </c>
      <c r="AC64" s="3241"/>
      <c r="AD64" s="3241"/>
      <c r="AE64" s="3242">
        <f t="shared" si="11"/>
        <v>0</v>
      </c>
      <c r="AF64" s="4261"/>
      <c r="AG64" s="3250" t="s">
        <v>124</v>
      </c>
      <c r="AH64" s="3241"/>
      <c r="AI64" s="3250" t="s">
        <v>124</v>
      </c>
      <c r="AJ64" s="3241"/>
      <c r="AK64" s="3250" t="s">
        <v>124</v>
      </c>
      <c r="AL64" s="3241"/>
      <c r="AM64" s="3250" t="s">
        <v>124</v>
      </c>
      <c r="AN64" s="3241"/>
      <c r="AO64" s="3250" t="s">
        <v>124</v>
      </c>
      <c r="AP64" s="3242">
        <f t="shared" si="8"/>
        <v>0</v>
      </c>
      <c r="AQ64" s="3241"/>
      <c r="AR64" s="3241"/>
      <c r="AS64" s="3242">
        <f t="shared" si="9"/>
        <v>54</v>
      </c>
      <c r="AT64" s="3247"/>
      <c r="AU64" s="3248"/>
      <c r="AV64" s="3248"/>
      <c r="AW64" s="3247"/>
      <c r="AX64" s="3248"/>
      <c r="AY64" s="3248"/>
      <c r="AZ64" s="3247"/>
      <c r="BA64" s="3248"/>
      <c r="BB64" s="3248"/>
      <c r="BC64" s="3247"/>
      <c r="BD64" s="3248"/>
      <c r="BE64" s="3248"/>
      <c r="BF64" s="3248"/>
      <c r="BG64" s="3248"/>
      <c r="BH64" s="3249"/>
      <c r="BI64" s="3249"/>
      <c r="BM64" s="4198"/>
    </row>
    <row r="65" spans="1:65" ht="52.2" customHeight="1" x14ac:dyDescent="0.3">
      <c r="A65" s="3270">
        <f t="shared" si="13"/>
        <v>55</v>
      </c>
      <c r="B65" s="4205" t="s">
        <v>4090</v>
      </c>
      <c r="C65" s="3271"/>
      <c r="D65" s="3240"/>
      <c r="E65" s="3241"/>
      <c r="F65" s="3241"/>
      <c r="G65" s="3240"/>
      <c r="H65" s="3241"/>
      <c r="I65" s="3241"/>
      <c r="J65" s="3241"/>
      <c r="K65" s="3240"/>
      <c r="L65" s="3241"/>
      <c r="M65" s="3241"/>
      <c r="N65" s="3240">
        <f t="shared" si="5"/>
        <v>55</v>
      </c>
      <c r="O65" s="3239"/>
      <c r="P65" s="3240"/>
      <c r="Q65" s="3241"/>
      <c r="R65" s="3241"/>
      <c r="S65" s="3240"/>
      <c r="T65" s="3241"/>
      <c r="U65" s="3241"/>
      <c r="V65" s="3241"/>
      <c r="W65" s="3240"/>
      <c r="X65" s="3241"/>
      <c r="Y65" s="3241"/>
      <c r="Z65" s="3242">
        <f t="shared" si="6"/>
        <v>55</v>
      </c>
      <c r="AA65" s="3243">
        <f t="shared" si="7"/>
        <v>1958.3333333333335</v>
      </c>
      <c r="AB65" s="3242">
        <f t="shared" si="12"/>
        <v>1958.3333333333335</v>
      </c>
      <c r="AC65" s="3241"/>
      <c r="AD65" s="3241"/>
      <c r="AE65" s="3242">
        <f t="shared" si="11"/>
        <v>1958.3333333333335</v>
      </c>
      <c r="AF65" s="4261">
        <f>2350/1.2</f>
        <v>1958.3333333333335</v>
      </c>
      <c r="AG65" s="3250" t="s">
        <v>124</v>
      </c>
      <c r="AH65" s="3241"/>
      <c r="AI65" s="3250" t="s">
        <v>124</v>
      </c>
      <c r="AJ65" s="3241"/>
      <c r="AK65" s="3250" t="s">
        <v>124</v>
      </c>
      <c r="AL65" s="3241"/>
      <c r="AM65" s="3250" t="s">
        <v>124</v>
      </c>
      <c r="AN65" s="3241"/>
      <c r="AO65" s="3250" t="s">
        <v>124</v>
      </c>
      <c r="AP65" s="3242">
        <f t="shared" si="8"/>
        <v>0</v>
      </c>
      <c r="AQ65" s="3241"/>
      <c r="AR65" s="3241"/>
      <c r="AS65" s="3242">
        <f t="shared" si="9"/>
        <v>55</v>
      </c>
      <c r="AT65" s="3247"/>
      <c r="AU65" s="3248"/>
      <c r="AV65" s="3248"/>
      <c r="AW65" s="3247"/>
      <c r="AX65" s="3248"/>
      <c r="AY65" s="3248"/>
      <c r="AZ65" s="3247"/>
      <c r="BA65" s="3248"/>
      <c r="BB65" s="3248"/>
      <c r="BC65" s="3247"/>
      <c r="BD65" s="3248"/>
      <c r="BE65" s="3248"/>
      <c r="BF65" s="3248"/>
      <c r="BG65" s="3248"/>
      <c r="BH65" s="3249"/>
      <c r="BI65" s="3249"/>
      <c r="BM65" s="4198"/>
    </row>
    <row r="66" spans="1:65" ht="40.950000000000003" customHeight="1" x14ac:dyDescent="0.25">
      <c r="A66" s="3270">
        <f t="shared" si="13"/>
        <v>56</v>
      </c>
      <c r="B66" s="4205" t="s">
        <v>4112</v>
      </c>
      <c r="C66" s="3271"/>
      <c r="D66" s="3240"/>
      <c r="E66" s="3241"/>
      <c r="F66" s="3241"/>
      <c r="G66" s="3240"/>
      <c r="H66" s="3241"/>
      <c r="I66" s="3241"/>
      <c r="J66" s="3241"/>
      <c r="K66" s="3240"/>
      <c r="L66" s="3241"/>
      <c r="M66" s="3241"/>
      <c r="N66" s="3240">
        <f t="shared" si="5"/>
        <v>56</v>
      </c>
      <c r="O66" s="3239"/>
      <c r="P66" s="3240"/>
      <c r="Q66" s="3241"/>
      <c r="R66" s="3241"/>
      <c r="S66" s="3240"/>
      <c r="T66" s="3241"/>
      <c r="U66" s="3241"/>
      <c r="V66" s="3241"/>
      <c r="W66" s="3240"/>
      <c r="X66" s="3241"/>
      <c r="Y66" s="3241"/>
      <c r="Z66" s="3242">
        <f t="shared" si="6"/>
        <v>56</v>
      </c>
      <c r="AA66" s="3243">
        <f t="shared" si="7"/>
        <v>5844.8583333333336</v>
      </c>
      <c r="AB66" s="3242">
        <f t="shared" si="12"/>
        <v>5844.8583333333336</v>
      </c>
      <c r="AC66" s="3241"/>
      <c r="AD66" s="3241"/>
      <c r="AE66" s="3242">
        <f t="shared" si="11"/>
        <v>5844.8583333333336</v>
      </c>
      <c r="AF66" s="4261">
        <f>7013.83/1.2</f>
        <v>5844.8583333333336</v>
      </c>
      <c r="AG66" s="3250" t="s">
        <v>124</v>
      </c>
      <c r="AH66" s="3241"/>
      <c r="AI66" s="3250" t="s">
        <v>124</v>
      </c>
      <c r="AJ66" s="3241"/>
      <c r="AK66" s="3250" t="s">
        <v>124</v>
      </c>
      <c r="AL66" s="3241"/>
      <c r="AM66" s="3250" t="s">
        <v>124</v>
      </c>
      <c r="AN66" s="3241"/>
      <c r="AO66" s="3250" t="s">
        <v>124</v>
      </c>
      <c r="AP66" s="3242">
        <f t="shared" si="8"/>
        <v>0</v>
      </c>
      <c r="AQ66" s="3241"/>
      <c r="AR66" s="3241"/>
      <c r="AS66" s="3242">
        <f t="shared" si="9"/>
        <v>56</v>
      </c>
      <c r="AT66" s="3247"/>
      <c r="AU66" s="3248"/>
      <c r="AV66" s="3248"/>
      <c r="AW66" s="3247"/>
      <c r="AX66" s="3248"/>
      <c r="AY66" s="3248"/>
      <c r="AZ66" s="3247"/>
      <c r="BA66" s="3248"/>
      <c r="BB66" s="3248"/>
      <c r="BC66" s="3247"/>
      <c r="BD66" s="3248"/>
      <c r="BE66" s="3248"/>
      <c r="BF66" s="3248"/>
      <c r="BG66" s="3248"/>
      <c r="BH66" s="3249"/>
      <c r="BI66" s="3249"/>
      <c r="BL66" s="1478" t="s">
        <v>3892</v>
      </c>
      <c r="BM66" s="4198"/>
    </row>
    <row r="67" spans="1:65" ht="26.4" x14ac:dyDescent="0.25">
      <c r="A67" s="3270">
        <f t="shared" si="13"/>
        <v>57</v>
      </c>
      <c r="B67" s="4205" t="s">
        <v>4089</v>
      </c>
      <c r="C67" s="3271"/>
      <c r="D67" s="3240"/>
      <c r="E67" s="3241"/>
      <c r="F67" s="3241"/>
      <c r="G67" s="3240"/>
      <c r="H67" s="3241"/>
      <c r="I67" s="3241"/>
      <c r="J67" s="3241"/>
      <c r="K67" s="3240"/>
      <c r="L67" s="3241"/>
      <c r="M67" s="3241"/>
      <c r="N67" s="3240">
        <f t="shared" si="5"/>
        <v>57</v>
      </c>
      <c r="O67" s="3239"/>
      <c r="P67" s="3240"/>
      <c r="Q67" s="3241"/>
      <c r="R67" s="3241"/>
      <c r="S67" s="3240"/>
      <c r="T67" s="3241"/>
      <c r="U67" s="3241"/>
      <c r="V67" s="3241"/>
      <c r="W67" s="3240"/>
      <c r="X67" s="3241"/>
      <c r="Y67" s="3241"/>
      <c r="Z67" s="3242">
        <f t="shared" si="6"/>
        <v>57</v>
      </c>
      <c r="AA67" s="3243">
        <f t="shared" si="7"/>
        <v>18743.84</v>
      </c>
      <c r="AB67" s="3242">
        <f t="shared" si="12"/>
        <v>18743.84</v>
      </c>
      <c r="AC67" s="3241"/>
      <c r="AD67" s="3241"/>
      <c r="AE67" s="3242">
        <f t="shared" si="11"/>
        <v>18743.84</v>
      </c>
      <c r="AF67" s="4263"/>
      <c r="AG67" s="3250" t="s">
        <v>124</v>
      </c>
      <c r="AH67" s="4273">
        <f>8*2342.98</f>
        <v>18743.84</v>
      </c>
      <c r="AI67" s="3250" t="s">
        <v>124</v>
      </c>
      <c r="AJ67" s="3241"/>
      <c r="AK67" s="3250" t="s">
        <v>124</v>
      </c>
      <c r="AL67" s="3241"/>
      <c r="AM67" s="3250" t="s">
        <v>124</v>
      </c>
      <c r="AN67" s="3241"/>
      <c r="AO67" s="3250" t="s">
        <v>124</v>
      </c>
      <c r="AP67" s="3242">
        <f t="shared" si="8"/>
        <v>0</v>
      </c>
      <c r="AQ67" s="3241"/>
      <c r="AR67" s="3241"/>
      <c r="AS67" s="3242">
        <f t="shared" si="9"/>
        <v>57</v>
      </c>
      <c r="AT67" s="3247"/>
      <c r="AU67" s="3248"/>
      <c r="AV67" s="3248"/>
      <c r="AW67" s="3247"/>
      <c r="AX67" s="3248"/>
      <c r="AY67" s="3248"/>
      <c r="AZ67" s="3247"/>
      <c r="BA67" s="3248"/>
      <c r="BB67" s="3248"/>
      <c r="BC67" s="3247"/>
      <c r="BD67" s="3248"/>
      <c r="BE67" s="3248"/>
      <c r="BF67" s="3248"/>
      <c r="BG67" s="3248"/>
      <c r="BH67" s="3249"/>
      <c r="BI67" s="3249"/>
      <c r="BL67" s="1478" t="s">
        <v>3643</v>
      </c>
      <c r="BM67" s="4198"/>
    </row>
    <row r="68" spans="1:65" ht="26.4" x14ac:dyDescent="0.3">
      <c r="A68" s="3270">
        <f t="shared" si="13"/>
        <v>58</v>
      </c>
      <c r="B68" s="4205" t="s">
        <v>4093</v>
      </c>
      <c r="C68" s="3271"/>
      <c r="D68" s="3240"/>
      <c r="E68" s="3241"/>
      <c r="F68" s="3241"/>
      <c r="G68" s="3240"/>
      <c r="H68" s="3241"/>
      <c r="I68" s="3241"/>
      <c r="J68" s="3241"/>
      <c r="K68" s="3240"/>
      <c r="L68" s="3241"/>
      <c r="M68" s="3241"/>
      <c r="N68" s="3240">
        <f t="shared" si="5"/>
        <v>58</v>
      </c>
      <c r="O68" s="3239"/>
      <c r="P68" s="3240"/>
      <c r="Q68" s="3241"/>
      <c r="R68" s="3241"/>
      <c r="S68" s="3240"/>
      <c r="T68" s="3241"/>
      <c r="U68" s="3241"/>
      <c r="V68" s="3241"/>
      <c r="W68" s="3240"/>
      <c r="X68" s="3241"/>
      <c r="Y68" s="3241"/>
      <c r="Z68" s="3242">
        <f t="shared" si="6"/>
        <v>58</v>
      </c>
      <c r="AA68" s="3243">
        <f t="shared" si="7"/>
        <v>4215</v>
      </c>
      <c r="AB68" s="3242">
        <f t="shared" si="12"/>
        <v>4015</v>
      </c>
      <c r="AC68" s="3241"/>
      <c r="AD68" s="4273">
        <f>ТО!Q52</f>
        <v>200</v>
      </c>
      <c r="AE68" s="3242">
        <f t="shared" si="11"/>
        <v>4015</v>
      </c>
      <c r="AF68" s="4274">
        <f>670.5+600+110+87+1177.5</f>
        <v>2645</v>
      </c>
      <c r="AG68" s="3250" t="s">
        <v>124</v>
      </c>
      <c r="AH68" s="4273">
        <f>100+110+100+200+200+165+495</f>
        <v>1370</v>
      </c>
      <c r="AI68" s="3250" t="s">
        <v>124</v>
      </c>
      <c r="AJ68" s="3241"/>
      <c r="AK68" s="3250" t="s">
        <v>124</v>
      </c>
      <c r="AL68" s="3241"/>
      <c r="AM68" s="3250" t="s">
        <v>124</v>
      </c>
      <c r="AN68" s="3241"/>
      <c r="AO68" s="3250" t="s">
        <v>124</v>
      </c>
      <c r="AP68" s="3242">
        <f t="shared" si="8"/>
        <v>0</v>
      </c>
      <c r="AQ68" s="3241"/>
      <c r="AR68" s="3241"/>
      <c r="AS68" s="3242">
        <f t="shared" si="9"/>
        <v>58</v>
      </c>
      <c r="AT68" s="3247"/>
      <c r="AU68" s="3248"/>
      <c r="AV68" s="3248"/>
      <c r="AW68" s="3247"/>
      <c r="AX68" s="3248"/>
      <c r="AY68" s="3248"/>
      <c r="AZ68" s="3247"/>
      <c r="BA68" s="3248"/>
      <c r="BB68" s="3248"/>
      <c r="BC68" s="3247"/>
      <c r="BD68" s="3248"/>
      <c r="BE68" s="3248"/>
      <c r="BF68" s="3248"/>
      <c r="BG68" s="3248"/>
      <c r="BH68" s="3249"/>
      <c r="BI68" s="3249"/>
      <c r="BL68" s="4271" t="s">
        <v>3700</v>
      </c>
      <c r="BM68" s="4198"/>
    </row>
    <row r="69" spans="1:65" ht="39.6" x14ac:dyDescent="0.25">
      <c r="A69" s="3270">
        <f t="shared" si="13"/>
        <v>59</v>
      </c>
      <c r="B69" s="4205" t="s">
        <v>4091</v>
      </c>
      <c r="C69" s="3271"/>
      <c r="D69" s="3240"/>
      <c r="E69" s="3241"/>
      <c r="F69" s="3241"/>
      <c r="G69" s="3240"/>
      <c r="H69" s="3241"/>
      <c r="I69" s="3241"/>
      <c r="J69" s="3241"/>
      <c r="K69" s="3240"/>
      <c r="L69" s="3241"/>
      <c r="M69" s="3241"/>
      <c r="N69" s="3240">
        <f t="shared" si="5"/>
        <v>59</v>
      </c>
      <c r="O69" s="3239"/>
      <c r="P69" s="3240"/>
      <c r="Q69" s="3241"/>
      <c r="R69" s="3241"/>
      <c r="S69" s="3240"/>
      <c r="T69" s="3241"/>
      <c r="U69" s="3241"/>
      <c r="V69" s="3241"/>
      <c r="W69" s="3240"/>
      <c r="X69" s="3241"/>
      <c r="Y69" s="3241"/>
      <c r="Z69" s="3242">
        <f t="shared" si="6"/>
        <v>59</v>
      </c>
      <c r="AA69" s="3243">
        <f t="shared" si="7"/>
        <v>4900</v>
      </c>
      <c r="AB69" s="3242">
        <f t="shared" si="12"/>
        <v>4900</v>
      </c>
      <c r="AC69" s="3241"/>
      <c r="AD69" s="3241"/>
      <c r="AE69" s="3242">
        <f t="shared" si="11"/>
        <v>4900</v>
      </c>
      <c r="AF69" s="4261"/>
      <c r="AG69" s="3250" t="s">
        <v>124</v>
      </c>
      <c r="AH69" s="4273">
        <v>4900</v>
      </c>
      <c r="AI69" s="3250" t="s">
        <v>124</v>
      </c>
      <c r="AJ69" s="3241"/>
      <c r="AK69" s="3250" t="s">
        <v>124</v>
      </c>
      <c r="AL69" s="3241"/>
      <c r="AM69" s="3250" t="s">
        <v>124</v>
      </c>
      <c r="AN69" s="3241"/>
      <c r="AO69" s="3250" t="s">
        <v>124</v>
      </c>
      <c r="AP69" s="3242">
        <f t="shared" si="8"/>
        <v>0</v>
      </c>
      <c r="AQ69" s="3241"/>
      <c r="AR69" s="3241"/>
      <c r="AS69" s="3242">
        <f t="shared" si="9"/>
        <v>59</v>
      </c>
      <c r="AT69" s="3247"/>
      <c r="AU69" s="3248"/>
      <c r="AV69" s="3248"/>
      <c r="AW69" s="3247"/>
      <c r="AX69" s="3248"/>
      <c r="AY69" s="3248"/>
      <c r="AZ69" s="3247"/>
      <c r="BA69" s="3248"/>
      <c r="BB69" s="3248"/>
      <c r="BC69" s="3247"/>
      <c r="BD69" s="3248"/>
      <c r="BE69" s="3248"/>
      <c r="BF69" s="3248"/>
      <c r="BG69" s="3248"/>
      <c r="BH69" s="3249"/>
      <c r="BI69" s="3249"/>
      <c r="BL69" s="1478" t="s">
        <v>3729</v>
      </c>
      <c r="BM69" s="4198"/>
    </row>
    <row r="70" spans="1:65" ht="26.4" x14ac:dyDescent="0.3">
      <c r="A70" s="3270">
        <f t="shared" si="13"/>
        <v>60</v>
      </c>
      <c r="B70" s="4205" t="s">
        <v>4049</v>
      </c>
      <c r="C70" s="3271"/>
      <c r="D70" s="3240"/>
      <c r="E70" s="3241"/>
      <c r="F70" s="3241"/>
      <c r="G70" s="3240"/>
      <c r="H70" s="3241"/>
      <c r="I70" s="3241"/>
      <c r="J70" s="3241"/>
      <c r="K70" s="3240"/>
      <c r="L70" s="3241"/>
      <c r="M70" s="3241"/>
      <c r="N70" s="3240">
        <f t="shared" si="5"/>
        <v>60</v>
      </c>
      <c r="O70" s="3239"/>
      <c r="P70" s="3240"/>
      <c r="Q70" s="3241"/>
      <c r="R70" s="3241"/>
      <c r="S70" s="3240"/>
      <c r="T70" s="3241"/>
      <c r="U70" s="3241"/>
      <c r="V70" s="3241"/>
      <c r="W70" s="3240"/>
      <c r="X70" s="3241"/>
      <c r="Y70" s="3241"/>
      <c r="Z70" s="3242">
        <f t="shared" si="6"/>
        <v>60</v>
      </c>
      <c r="AA70" s="3243">
        <f t="shared" si="7"/>
        <v>1800</v>
      </c>
      <c r="AB70" s="3242">
        <f t="shared" si="12"/>
        <v>1800</v>
      </c>
      <c r="AC70" s="3241"/>
      <c r="AD70" s="3241"/>
      <c r="AE70" s="3242">
        <f t="shared" si="11"/>
        <v>1800</v>
      </c>
      <c r="AF70" s="4274">
        <f>1*600</f>
        <v>600</v>
      </c>
      <c r="AG70" s="3250" t="s">
        <v>124</v>
      </c>
      <c r="AH70" s="3241"/>
      <c r="AI70" s="3250" t="s">
        <v>124</v>
      </c>
      <c r="AJ70" s="4273">
        <v>600</v>
      </c>
      <c r="AK70" s="3250" t="s">
        <v>124</v>
      </c>
      <c r="AL70" s="4273">
        <v>600</v>
      </c>
      <c r="AM70" s="3250" t="s">
        <v>124</v>
      </c>
      <c r="AN70" s="3241"/>
      <c r="AO70" s="3250" t="s">
        <v>124</v>
      </c>
      <c r="AP70" s="3242">
        <f t="shared" si="8"/>
        <v>0</v>
      </c>
      <c r="AQ70" s="3241"/>
      <c r="AR70" s="3241"/>
      <c r="AS70" s="3242">
        <f t="shared" si="9"/>
        <v>60</v>
      </c>
      <c r="AT70" s="3247"/>
      <c r="AU70" s="3248"/>
      <c r="AV70" s="3248"/>
      <c r="AW70" s="3247"/>
      <c r="AX70" s="3248"/>
      <c r="AY70" s="3248"/>
      <c r="AZ70" s="3247"/>
      <c r="BA70" s="3248"/>
      <c r="BB70" s="3248"/>
      <c r="BC70" s="3247"/>
      <c r="BD70" s="3248"/>
      <c r="BE70" s="3248"/>
      <c r="BF70" s="3248"/>
      <c r="BG70" s="3248"/>
      <c r="BH70" s="3249"/>
      <c r="BI70" s="3249"/>
      <c r="BM70" s="4198"/>
    </row>
    <row r="71" spans="1:65" ht="13.2" x14ac:dyDescent="0.3">
      <c r="A71" s="3270">
        <f t="shared" si="13"/>
        <v>61</v>
      </c>
      <c r="B71" s="4205" t="s">
        <v>4050</v>
      </c>
      <c r="C71" s="3271"/>
      <c r="D71" s="3240"/>
      <c r="E71" s="3241"/>
      <c r="F71" s="3241"/>
      <c r="G71" s="3240"/>
      <c r="H71" s="3241"/>
      <c r="I71" s="3241"/>
      <c r="J71" s="3241"/>
      <c r="K71" s="3240"/>
      <c r="L71" s="3241"/>
      <c r="M71" s="3241"/>
      <c r="N71" s="3240">
        <f t="shared" si="5"/>
        <v>61</v>
      </c>
      <c r="O71" s="3239"/>
      <c r="P71" s="3240"/>
      <c r="Q71" s="3241"/>
      <c r="R71" s="3241"/>
      <c r="S71" s="3240"/>
      <c r="T71" s="3241"/>
      <c r="U71" s="3241"/>
      <c r="V71" s="3241"/>
      <c r="W71" s="3240"/>
      <c r="X71" s="3241"/>
      <c r="Y71" s="3241"/>
      <c r="Z71" s="3242">
        <f t="shared" si="6"/>
        <v>61</v>
      </c>
      <c r="AA71" s="3243">
        <f t="shared" si="7"/>
        <v>0</v>
      </c>
      <c r="AB71" s="3242">
        <f t="shared" si="12"/>
        <v>0</v>
      </c>
      <c r="AC71" s="3241"/>
      <c r="AD71" s="3241"/>
      <c r="AE71" s="3242">
        <f t="shared" si="11"/>
        <v>0</v>
      </c>
      <c r="AF71" s="4261"/>
      <c r="AG71" s="3250" t="s">
        <v>124</v>
      </c>
      <c r="AH71" s="3241"/>
      <c r="AI71" s="3250" t="s">
        <v>124</v>
      </c>
      <c r="AJ71" s="3241"/>
      <c r="AK71" s="3250" t="s">
        <v>124</v>
      </c>
      <c r="AL71" s="3241"/>
      <c r="AM71" s="3250" t="s">
        <v>124</v>
      </c>
      <c r="AN71" s="3241"/>
      <c r="AO71" s="3250" t="s">
        <v>124</v>
      </c>
      <c r="AP71" s="3242">
        <f t="shared" si="8"/>
        <v>0</v>
      </c>
      <c r="AQ71" s="3241"/>
      <c r="AR71" s="3241"/>
      <c r="AS71" s="3242">
        <f t="shared" si="9"/>
        <v>61</v>
      </c>
      <c r="AT71" s="3247"/>
      <c r="AU71" s="3248"/>
      <c r="AV71" s="3248"/>
      <c r="AW71" s="3247"/>
      <c r="AX71" s="3248"/>
      <c r="AY71" s="3248"/>
      <c r="AZ71" s="3247"/>
      <c r="BA71" s="3248"/>
      <c r="BB71" s="3248"/>
      <c r="BC71" s="3247"/>
      <c r="BD71" s="3248"/>
      <c r="BE71" s="3248"/>
      <c r="BF71" s="3248"/>
      <c r="BG71" s="3248"/>
      <c r="BH71" s="3249"/>
      <c r="BI71" s="3249"/>
      <c r="BM71" s="4198"/>
    </row>
    <row r="72" spans="1:65" ht="13.2" x14ac:dyDescent="0.3">
      <c r="A72" s="3270">
        <f t="shared" si="13"/>
        <v>62</v>
      </c>
      <c r="B72" s="3275" t="s">
        <v>3505</v>
      </c>
      <c r="C72" s="3271"/>
      <c r="D72" s="3240"/>
      <c r="E72" s="3241"/>
      <c r="F72" s="3241"/>
      <c r="G72" s="3240"/>
      <c r="H72" s="3241"/>
      <c r="I72" s="3241"/>
      <c r="J72" s="3241"/>
      <c r="K72" s="3240"/>
      <c r="L72" s="3241"/>
      <c r="M72" s="3241"/>
      <c r="N72" s="3240">
        <f t="shared" si="5"/>
        <v>62</v>
      </c>
      <c r="O72" s="3239"/>
      <c r="P72" s="3240"/>
      <c r="Q72" s="3241"/>
      <c r="R72" s="3241"/>
      <c r="S72" s="3240"/>
      <c r="T72" s="3241"/>
      <c r="U72" s="3241"/>
      <c r="V72" s="3241"/>
      <c r="W72" s="3240"/>
      <c r="X72" s="3241"/>
      <c r="Y72" s="3241"/>
      <c r="Z72" s="3242">
        <f t="shared" si="6"/>
        <v>62</v>
      </c>
      <c r="AA72" s="3243">
        <f t="shared" si="7"/>
        <v>0</v>
      </c>
      <c r="AB72" s="3242">
        <f t="shared" si="12"/>
        <v>0</v>
      </c>
      <c r="AC72" s="3241"/>
      <c r="AD72" s="3241"/>
      <c r="AE72" s="3242">
        <f t="shared" si="11"/>
        <v>0</v>
      </c>
      <c r="AF72" s="4261"/>
      <c r="AG72" s="3250" t="s">
        <v>124</v>
      </c>
      <c r="AH72" s="3241"/>
      <c r="AI72" s="3250" t="s">
        <v>124</v>
      </c>
      <c r="AJ72" s="3241"/>
      <c r="AK72" s="3250" t="s">
        <v>124</v>
      </c>
      <c r="AL72" s="3241"/>
      <c r="AM72" s="3250" t="s">
        <v>124</v>
      </c>
      <c r="AN72" s="3241"/>
      <c r="AO72" s="3250" t="s">
        <v>124</v>
      </c>
      <c r="AP72" s="3242">
        <f t="shared" si="8"/>
        <v>0</v>
      </c>
      <c r="AQ72" s="3241"/>
      <c r="AR72" s="3241"/>
      <c r="AS72" s="3242">
        <f t="shared" si="9"/>
        <v>62</v>
      </c>
      <c r="AT72" s="3247"/>
      <c r="AU72" s="3248"/>
      <c r="AV72" s="3248"/>
      <c r="AW72" s="3247"/>
      <c r="AX72" s="3248"/>
      <c r="AY72" s="3248"/>
      <c r="AZ72" s="3247"/>
      <c r="BA72" s="3248"/>
      <c r="BB72" s="3248"/>
      <c r="BC72" s="3247"/>
      <c r="BD72" s="3248"/>
      <c r="BE72" s="3248"/>
      <c r="BF72" s="3248"/>
      <c r="BG72" s="3248"/>
      <c r="BH72" s="3249"/>
      <c r="BI72" s="3249"/>
      <c r="BM72" s="4198"/>
    </row>
    <row r="73" spans="1:65" ht="39.6" x14ac:dyDescent="0.3">
      <c r="A73" s="3270">
        <f t="shared" si="13"/>
        <v>63</v>
      </c>
      <c r="B73" s="3275" t="s">
        <v>4092</v>
      </c>
      <c r="C73" s="3271"/>
      <c r="D73" s="3240"/>
      <c r="E73" s="3241"/>
      <c r="F73" s="3241"/>
      <c r="G73" s="3240"/>
      <c r="H73" s="3241"/>
      <c r="I73" s="3241"/>
      <c r="J73" s="3241"/>
      <c r="K73" s="3240"/>
      <c r="L73" s="3241"/>
      <c r="M73" s="3241"/>
      <c r="N73" s="3240">
        <f t="shared" si="5"/>
        <v>63</v>
      </c>
      <c r="O73" s="3239"/>
      <c r="P73" s="3240"/>
      <c r="Q73" s="3241"/>
      <c r="R73" s="3241"/>
      <c r="S73" s="3240"/>
      <c r="T73" s="3241"/>
      <c r="U73" s="3241"/>
      <c r="V73" s="3241"/>
      <c r="W73" s="3240"/>
      <c r="X73" s="3241"/>
      <c r="Y73" s="3241"/>
      <c r="Z73" s="3242">
        <f t="shared" si="6"/>
        <v>63</v>
      </c>
      <c r="AA73" s="3243">
        <f t="shared" si="7"/>
        <v>21008.27</v>
      </c>
      <c r="AB73" s="3242">
        <f t="shared" si="12"/>
        <v>21008.27</v>
      </c>
      <c r="AC73" s="3241"/>
      <c r="AD73" s="3241"/>
      <c r="AE73" s="3242">
        <f t="shared" si="11"/>
        <v>21008.27</v>
      </c>
      <c r="AF73" s="3263">
        <v>21008.27</v>
      </c>
      <c r="AG73" s="3250" t="s">
        <v>124</v>
      </c>
      <c r="AH73" s="3241"/>
      <c r="AI73" s="3250" t="s">
        <v>124</v>
      </c>
      <c r="AJ73" s="3241"/>
      <c r="AK73" s="3250" t="s">
        <v>124</v>
      </c>
      <c r="AL73" s="3241"/>
      <c r="AM73" s="3250" t="s">
        <v>124</v>
      </c>
      <c r="AN73" s="3241"/>
      <c r="AO73" s="3250" t="s">
        <v>124</v>
      </c>
      <c r="AP73" s="3242">
        <f t="shared" si="8"/>
        <v>0</v>
      </c>
      <c r="AQ73" s="3241"/>
      <c r="AR73" s="3241"/>
      <c r="AS73" s="3242">
        <f t="shared" si="9"/>
        <v>63</v>
      </c>
      <c r="AT73" s="3247"/>
      <c r="AU73" s="3248"/>
      <c r="AV73" s="3248"/>
      <c r="AW73" s="3247"/>
      <c r="AX73" s="3248"/>
      <c r="AY73" s="3248"/>
      <c r="AZ73" s="3247"/>
      <c r="BA73" s="3248"/>
      <c r="BB73" s="3248"/>
      <c r="BC73" s="3247"/>
      <c r="BD73" s="3248"/>
      <c r="BE73" s="3248"/>
      <c r="BF73" s="3248"/>
      <c r="BG73" s="3248"/>
      <c r="BH73" s="3249"/>
      <c r="BI73" s="3249"/>
      <c r="BL73" s="1526" t="s">
        <v>3301</v>
      </c>
      <c r="BM73" s="4198"/>
    </row>
    <row r="74" spans="1:65" ht="52.8" x14ac:dyDescent="0.3">
      <c r="A74" s="3270">
        <f t="shared" si="13"/>
        <v>64</v>
      </c>
      <c r="B74" s="3275" t="s">
        <v>3302</v>
      </c>
      <c r="C74" s="3271"/>
      <c r="D74" s="3240"/>
      <c r="E74" s="3241"/>
      <c r="F74" s="3241"/>
      <c r="G74" s="3240"/>
      <c r="H74" s="3241"/>
      <c r="I74" s="3241"/>
      <c r="J74" s="3241"/>
      <c r="K74" s="3240"/>
      <c r="L74" s="3241"/>
      <c r="M74" s="3241"/>
      <c r="N74" s="3240">
        <f t="shared" si="5"/>
        <v>64</v>
      </c>
      <c r="O74" s="3239"/>
      <c r="P74" s="3240"/>
      <c r="Q74" s="3241"/>
      <c r="R74" s="3241"/>
      <c r="S74" s="3240"/>
      <c r="T74" s="3241"/>
      <c r="U74" s="3241"/>
      <c r="V74" s="3241"/>
      <c r="W74" s="3240"/>
      <c r="X74" s="3241"/>
      <c r="Y74" s="3241"/>
      <c r="Z74" s="3242">
        <f t="shared" si="6"/>
        <v>64</v>
      </c>
      <c r="AA74" s="3243">
        <f t="shared" si="7"/>
        <v>7752.07</v>
      </c>
      <c r="AB74" s="3242">
        <f t="shared" si="12"/>
        <v>7752.07</v>
      </c>
      <c r="AC74" s="3241"/>
      <c r="AD74" s="3241"/>
      <c r="AE74" s="3242">
        <f t="shared" si="11"/>
        <v>7752.07</v>
      </c>
      <c r="AF74" s="4261">
        <v>7752.07</v>
      </c>
      <c r="AG74" s="3250" t="s">
        <v>124</v>
      </c>
      <c r="AH74" s="3241"/>
      <c r="AI74" s="3250" t="s">
        <v>124</v>
      </c>
      <c r="AJ74" s="3241"/>
      <c r="AK74" s="3250" t="s">
        <v>124</v>
      </c>
      <c r="AL74" s="3241"/>
      <c r="AM74" s="3250" t="s">
        <v>124</v>
      </c>
      <c r="AN74" s="3241"/>
      <c r="AO74" s="3250" t="s">
        <v>124</v>
      </c>
      <c r="AP74" s="3242">
        <f t="shared" si="8"/>
        <v>0</v>
      </c>
      <c r="AQ74" s="3241"/>
      <c r="AR74" s="3241"/>
      <c r="AS74" s="3242">
        <f t="shared" si="9"/>
        <v>64</v>
      </c>
      <c r="AT74" s="3247"/>
      <c r="AU74" s="3248"/>
      <c r="AV74" s="3248"/>
      <c r="AW74" s="3247"/>
      <c r="AX74" s="3248"/>
      <c r="AY74" s="3248"/>
      <c r="AZ74" s="3247"/>
      <c r="BA74" s="3248"/>
      <c r="BB74" s="3248"/>
      <c r="BC74" s="3247"/>
      <c r="BD74" s="3248"/>
      <c r="BE74" s="3248"/>
      <c r="BF74" s="3248"/>
      <c r="BG74" s="3248"/>
      <c r="BH74" s="3249"/>
      <c r="BI74" s="3249"/>
      <c r="BL74" s="1526" t="s">
        <v>3301</v>
      </c>
      <c r="BM74" s="4198"/>
    </row>
    <row r="75" spans="1:65" ht="25.95" customHeight="1" x14ac:dyDescent="0.3">
      <c r="A75" s="3270">
        <f t="shared" si="13"/>
        <v>65</v>
      </c>
      <c r="B75" s="3275" t="s">
        <v>4025</v>
      </c>
      <c r="C75" s="3271"/>
      <c r="D75" s="3240"/>
      <c r="E75" s="3241"/>
      <c r="F75" s="3241"/>
      <c r="G75" s="3240"/>
      <c r="H75" s="3241"/>
      <c r="I75" s="3241"/>
      <c r="J75" s="3241"/>
      <c r="K75" s="3240"/>
      <c r="L75" s="3241"/>
      <c r="M75" s="3241"/>
      <c r="N75" s="3240">
        <f t="shared" si="5"/>
        <v>65</v>
      </c>
      <c r="O75" s="3239"/>
      <c r="P75" s="3240"/>
      <c r="Q75" s="3241"/>
      <c r="R75" s="3241"/>
      <c r="S75" s="3240"/>
      <c r="T75" s="3241"/>
      <c r="U75" s="3241"/>
      <c r="V75" s="3241"/>
      <c r="W75" s="3240"/>
      <c r="X75" s="3241"/>
      <c r="Y75" s="3241"/>
      <c r="Z75" s="3242">
        <f t="shared" si="6"/>
        <v>65</v>
      </c>
      <c r="AA75" s="3243">
        <f t="shared" si="7"/>
        <v>3910</v>
      </c>
      <c r="AB75" s="3242">
        <f t="shared" si="12"/>
        <v>3910</v>
      </c>
      <c r="AC75" s="3241"/>
      <c r="AD75" s="3241"/>
      <c r="AE75" s="3242">
        <f t="shared" si="11"/>
        <v>3910</v>
      </c>
      <c r="AF75" s="4261">
        <f>4692/1.2</f>
        <v>3910</v>
      </c>
      <c r="AG75" s="3250" t="s">
        <v>124</v>
      </c>
      <c r="AH75" s="3241"/>
      <c r="AI75" s="3250" t="s">
        <v>124</v>
      </c>
      <c r="AJ75" s="3241"/>
      <c r="AK75" s="3250" t="s">
        <v>124</v>
      </c>
      <c r="AL75" s="3241"/>
      <c r="AM75" s="3250" t="s">
        <v>124</v>
      </c>
      <c r="AN75" s="3241"/>
      <c r="AO75" s="3250" t="s">
        <v>124</v>
      </c>
      <c r="AP75" s="3242">
        <f t="shared" si="8"/>
        <v>0</v>
      </c>
      <c r="AQ75" s="3241"/>
      <c r="AR75" s="3241"/>
      <c r="AS75" s="3242">
        <f t="shared" si="9"/>
        <v>65</v>
      </c>
      <c r="AT75" s="3247"/>
      <c r="AU75" s="3248"/>
      <c r="AV75" s="3248"/>
      <c r="AW75" s="3247"/>
      <c r="AX75" s="3248"/>
      <c r="AY75" s="3248"/>
      <c r="AZ75" s="3247"/>
      <c r="BA75" s="3248"/>
      <c r="BB75" s="3248"/>
      <c r="BC75" s="3247"/>
      <c r="BD75" s="3248"/>
      <c r="BE75" s="3248"/>
      <c r="BF75" s="3248"/>
      <c r="BG75" s="3248"/>
      <c r="BH75" s="3249"/>
      <c r="BI75" s="3249"/>
      <c r="BL75" s="3216" t="s">
        <v>4027</v>
      </c>
      <c r="BM75" s="4198" t="s">
        <v>4029</v>
      </c>
    </row>
    <row r="76" spans="1:65" ht="13.2" x14ac:dyDescent="0.3">
      <c r="A76" s="3270">
        <f t="shared" si="13"/>
        <v>66</v>
      </c>
      <c r="B76" s="3275" t="s">
        <v>4031</v>
      </c>
      <c r="C76" s="3271"/>
      <c r="D76" s="3240"/>
      <c r="E76" s="3241"/>
      <c r="F76" s="3241"/>
      <c r="G76" s="3240"/>
      <c r="H76" s="3241"/>
      <c r="I76" s="3241"/>
      <c r="J76" s="3241"/>
      <c r="K76" s="3240"/>
      <c r="L76" s="3241"/>
      <c r="M76" s="3241"/>
      <c r="N76" s="3240">
        <f t="shared" si="5"/>
        <v>66</v>
      </c>
      <c r="O76" s="3239"/>
      <c r="P76" s="3240"/>
      <c r="Q76" s="3241"/>
      <c r="R76" s="3241"/>
      <c r="S76" s="3240"/>
      <c r="T76" s="3241"/>
      <c r="U76" s="3241"/>
      <c r="V76" s="3241"/>
      <c r="W76" s="3240"/>
      <c r="X76" s="3241"/>
      <c r="Y76" s="3241"/>
      <c r="Z76" s="3242">
        <f t="shared" si="6"/>
        <v>66</v>
      </c>
      <c r="AA76" s="3243">
        <f t="shared" si="7"/>
        <v>11282.716666666667</v>
      </c>
      <c r="AB76" s="3242">
        <f t="shared" si="12"/>
        <v>11282.716666666667</v>
      </c>
      <c r="AC76" s="3241"/>
      <c r="AD76" s="3241"/>
      <c r="AE76" s="3242">
        <f t="shared" si="11"/>
        <v>11282.716666666667</v>
      </c>
      <c r="AF76" s="4261">
        <f>13539.26/1.2</f>
        <v>11282.716666666667</v>
      </c>
      <c r="AG76" s="3250" t="s">
        <v>124</v>
      </c>
      <c r="AH76" s="3241"/>
      <c r="AI76" s="3250" t="s">
        <v>124</v>
      </c>
      <c r="AJ76" s="3241"/>
      <c r="AK76" s="3250" t="s">
        <v>124</v>
      </c>
      <c r="AL76" s="3241"/>
      <c r="AM76" s="3250" t="s">
        <v>124</v>
      </c>
      <c r="AN76" s="3241"/>
      <c r="AO76" s="3250" t="s">
        <v>124</v>
      </c>
      <c r="AP76" s="3242">
        <f t="shared" si="8"/>
        <v>0</v>
      </c>
      <c r="AQ76" s="3241"/>
      <c r="AR76" s="3241"/>
      <c r="AS76" s="3242">
        <f t="shared" si="9"/>
        <v>66</v>
      </c>
      <c r="AT76" s="3247"/>
      <c r="AU76" s="3248"/>
      <c r="AV76" s="3248"/>
      <c r="AW76" s="3247"/>
      <c r="AX76" s="3248"/>
      <c r="AY76" s="3248"/>
      <c r="AZ76" s="3247"/>
      <c r="BA76" s="3248"/>
      <c r="BB76" s="3248"/>
      <c r="BC76" s="3247"/>
      <c r="BD76" s="3248"/>
      <c r="BE76" s="3248"/>
      <c r="BF76" s="3248"/>
      <c r="BG76" s="3248"/>
      <c r="BH76" s="3249"/>
      <c r="BI76" s="3249"/>
      <c r="BL76" s="3216" t="s">
        <v>4032</v>
      </c>
      <c r="BM76" s="4198"/>
    </row>
    <row r="77" spans="1:65" ht="26.4" x14ac:dyDescent="0.3">
      <c r="A77" s="3270">
        <f t="shared" si="13"/>
        <v>67</v>
      </c>
      <c r="B77" s="3275" t="s">
        <v>4065</v>
      </c>
      <c r="C77" s="3271"/>
      <c r="D77" s="3240"/>
      <c r="E77" s="3241"/>
      <c r="F77" s="3241"/>
      <c r="G77" s="3240"/>
      <c r="H77" s="3241"/>
      <c r="I77" s="3241"/>
      <c r="J77" s="3241"/>
      <c r="K77" s="3240"/>
      <c r="L77" s="3241"/>
      <c r="M77" s="3241"/>
      <c r="N77" s="3240">
        <f t="shared" si="5"/>
        <v>67</v>
      </c>
      <c r="O77" s="3239"/>
      <c r="P77" s="3240"/>
      <c r="Q77" s="3241"/>
      <c r="R77" s="3241"/>
      <c r="S77" s="3240"/>
      <c r="T77" s="3241"/>
      <c r="U77" s="3241"/>
      <c r="V77" s="3241"/>
      <c r="W77" s="3240"/>
      <c r="X77" s="3241"/>
      <c r="Y77" s="3241"/>
      <c r="Z77" s="3242">
        <f t="shared" si="6"/>
        <v>67</v>
      </c>
      <c r="AA77" s="3243">
        <f t="shared" si="7"/>
        <v>163.44</v>
      </c>
      <c r="AB77" s="3242">
        <f t="shared" si="12"/>
        <v>163.44</v>
      </c>
      <c r="AC77" s="3241"/>
      <c r="AD77" s="3241"/>
      <c r="AE77" s="3242">
        <f t="shared" si="11"/>
        <v>163.44</v>
      </c>
      <c r="AF77" s="4261"/>
      <c r="AG77" s="3250" t="s">
        <v>124</v>
      </c>
      <c r="AH77" s="3241">
        <f>Податки!D8*1000</f>
        <v>163.44</v>
      </c>
      <c r="AI77" s="3250" t="s">
        <v>124</v>
      </c>
      <c r="AJ77" s="3241"/>
      <c r="AK77" s="3250" t="s">
        <v>124</v>
      </c>
      <c r="AL77" s="3241"/>
      <c r="AM77" s="3250" t="s">
        <v>124</v>
      </c>
      <c r="AN77" s="3241"/>
      <c r="AO77" s="3250" t="s">
        <v>124</v>
      </c>
      <c r="AP77" s="3242">
        <f t="shared" ref="AP77:AP148" si="14">AQ77+AR77</f>
        <v>0</v>
      </c>
      <c r="AQ77" s="3241"/>
      <c r="AR77" s="3241"/>
      <c r="AS77" s="3242">
        <f t="shared" si="9"/>
        <v>67</v>
      </c>
      <c r="AT77" s="3247"/>
      <c r="AU77" s="3248"/>
      <c r="AV77" s="3248"/>
      <c r="AW77" s="3247"/>
      <c r="AX77" s="3248"/>
      <c r="AY77" s="3248"/>
      <c r="AZ77" s="3247"/>
      <c r="BA77" s="3248"/>
      <c r="BB77" s="3248"/>
      <c r="BC77" s="3247"/>
      <c r="BD77" s="3248"/>
      <c r="BE77" s="3248"/>
      <c r="BF77" s="3248"/>
      <c r="BG77" s="3248"/>
      <c r="BH77" s="3249"/>
      <c r="BI77" s="3249"/>
      <c r="BL77" s="3216" t="s">
        <v>4033</v>
      </c>
      <c r="BM77" s="4198"/>
    </row>
    <row r="78" spans="1:65" ht="24.6" customHeight="1" x14ac:dyDescent="0.25">
      <c r="A78" s="3270">
        <f t="shared" si="13"/>
        <v>68</v>
      </c>
      <c r="B78" s="3272" t="s">
        <v>1581</v>
      </c>
      <c r="N78" s="3240">
        <f t="shared" si="5"/>
        <v>68</v>
      </c>
      <c r="Z78" s="3242">
        <f t="shared" ref="Z78:Z79" si="15">N78</f>
        <v>68</v>
      </c>
      <c r="AA78" s="3243">
        <f t="shared" si="7"/>
        <v>0</v>
      </c>
      <c r="AB78" s="3242">
        <f t="shared" si="12"/>
        <v>0</v>
      </c>
      <c r="AD78" s="4197"/>
      <c r="AE78" s="3242">
        <f t="shared" si="11"/>
        <v>0</v>
      </c>
      <c r="AF78" s="3265"/>
      <c r="AG78" s="3250" t="s">
        <v>124</v>
      </c>
      <c r="AI78" s="3250" t="s">
        <v>124</v>
      </c>
      <c r="AJ78" s="3241"/>
      <c r="AK78" s="3250" t="s">
        <v>124</v>
      </c>
      <c r="AM78" s="3250" t="s">
        <v>124</v>
      </c>
      <c r="AO78" s="3250" t="s">
        <v>124</v>
      </c>
      <c r="AP78" s="3242">
        <f t="shared" si="14"/>
        <v>0</v>
      </c>
      <c r="AS78" s="3242">
        <f t="shared" si="9"/>
        <v>68</v>
      </c>
    </row>
    <row r="79" spans="1:65" ht="13.2" x14ac:dyDescent="0.3">
      <c r="A79" s="3270">
        <f t="shared" si="13"/>
        <v>69</v>
      </c>
      <c r="B79" s="3275" t="s">
        <v>1901</v>
      </c>
      <c r="C79" s="3271"/>
      <c r="D79" s="3240"/>
      <c r="E79" s="3241"/>
      <c r="F79" s="3241"/>
      <c r="G79" s="3240"/>
      <c r="H79" s="3241"/>
      <c r="I79" s="3241"/>
      <c r="J79" s="3241"/>
      <c r="K79" s="3240"/>
      <c r="L79" s="3241"/>
      <c r="M79" s="3241"/>
      <c r="N79" s="3240">
        <f t="shared" si="5"/>
        <v>69</v>
      </c>
      <c r="O79" s="3239"/>
      <c r="P79" s="3240"/>
      <c r="Q79" s="3241"/>
      <c r="R79" s="3241"/>
      <c r="S79" s="3240"/>
      <c r="T79" s="3241"/>
      <c r="U79" s="3241"/>
      <c r="V79" s="3241"/>
      <c r="W79" s="3240"/>
      <c r="X79" s="3241"/>
      <c r="Y79" s="3241"/>
      <c r="Z79" s="3242">
        <f t="shared" si="15"/>
        <v>69</v>
      </c>
      <c r="AA79" s="3243">
        <f t="shared" si="7"/>
        <v>904226.09</v>
      </c>
      <c r="AB79" s="3242">
        <f t="shared" si="12"/>
        <v>904226.09</v>
      </c>
      <c r="AC79" s="3241"/>
      <c r="AD79" s="3241"/>
      <c r="AE79" s="3242">
        <f t="shared" si="11"/>
        <v>904226.09</v>
      </c>
      <c r="AF79" s="4261">
        <f>Податки!C6*1000</f>
        <v>904226.09</v>
      </c>
      <c r="AG79" s="3250" t="s">
        <v>124</v>
      </c>
      <c r="AH79" s="3241"/>
      <c r="AI79" s="3250" t="s">
        <v>124</v>
      </c>
      <c r="AJ79" s="3241"/>
      <c r="AK79" s="3250" t="s">
        <v>124</v>
      </c>
      <c r="AL79" s="3241"/>
      <c r="AM79" s="3250" t="s">
        <v>124</v>
      </c>
      <c r="AN79" s="3241"/>
      <c r="AO79" s="3250" t="s">
        <v>124</v>
      </c>
      <c r="AP79" s="3242">
        <f t="shared" si="14"/>
        <v>0</v>
      </c>
      <c r="AQ79" s="3241"/>
      <c r="AR79" s="3241"/>
      <c r="AS79" s="3242">
        <f t="shared" si="9"/>
        <v>69</v>
      </c>
      <c r="AT79" s="3247"/>
      <c r="AU79" s="3248"/>
      <c r="AV79" s="3248"/>
      <c r="AW79" s="3247"/>
      <c r="AX79" s="3248"/>
      <c r="AY79" s="3248"/>
      <c r="AZ79" s="3247"/>
      <c r="BA79" s="3248"/>
      <c r="BB79" s="3248"/>
      <c r="BC79" s="3247"/>
      <c r="BD79" s="3248"/>
      <c r="BE79" s="3248"/>
      <c r="BF79" s="3248"/>
      <c r="BG79" s="3248"/>
      <c r="BH79" s="3249"/>
      <c r="BI79" s="3249"/>
      <c r="BJ79" s="3216" t="s">
        <v>1681</v>
      </c>
      <c r="BM79" s="4198"/>
    </row>
    <row r="80" spans="1:65" ht="13.2" x14ac:dyDescent="0.3">
      <c r="A80" s="3270">
        <f t="shared" si="13"/>
        <v>70</v>
      </c>
      <c r="B80" s="3275" t="s">
        <v>4103</v>
      </c>
      <c r="C80" s="3271"/>
      <c r="D80" s="3240"/>
      <c r="E80" s="3241"/>
      <c r="F80" s="3241"/>
      <c r="G80" s="3240"/>
      <c r="H80" s="3241"/>
      <c r="I80" s="3241"/>
      <c r="J80" s="3241"/>
      <c r="K80" s="3240"/>
      <c r="L80" s="3241"/>
      <c r="M80" s="3241"/>
      <c r="N80" s="3240">
        <f t="shared" si="5"/>
        <v>70</v>
      </c>
      <c r="O80" s="3239"/>
      <c r="P80" s="3240"/>
      <c r="Q80" s="3241"/>
      <c r="R80" s="3241"/>
      <c r="S80" s="3240"/>
      <c r="T80" s="3241"/>
      <c r="U80" s="3241"/>
      <c r="V80" s="3241"/>
      <c r="W80" s="3240"/>
      <c r="X80" s="3241"/>
      <c r="Y80" s="3241"/>
      <c r="Z80" s="3242">
        <f t="shared" si="6"/>
        <v>70</v>
      </c>
      <c r="AA80" s="3243">
        <f t="shared" si="7"/>
        <v>448</v>
      </c>
      <c r="AB80" s="3242">
        <f t="shared" si="12"/>
        <v>448</v>
      </c>
      <c r="AC80" s="3241"/>
      <c r="AD80" s="3241"/>
      <c r="AE80" s="3242">
        <f t="shared" si="11"/>
        <v>448</v>
      </c>
      <c r="AF80" s="4261"/>
      <c r="AG80" s="3250" t="s">
        <v>124</v>
      </c>
      <c r="AH80" s="3241">
        <v>448</v>
      </c>
      <c r="AI80" s="3250"/>
      <c r="AJ80" s="3241">
        <f>Податки!E9*1000</f>
        <v>0</v>
      </c>
      <c r="AK80" s="3250" t="s">
        <v>124</v>
      </c>
      <c r="AL80" s="3241">
        <f>Податки!F9*1000</f>
        <v>0</v>
      </c>
      <c r="AM80" s="3250" t="s">
        <v>124</v>
      </c>
      <c r="AN80" s="3241"/>
      <c r="AO80" s="3250" t="s">
        <v>124</v>
      </c>
      <c r="AP80" s="3242">
        <f t="shared" si="14"/>
        <v>0</v>
      </c>
      <c r="AQ80" s="3241"/>
      <c r="AR80" s="3241"/>
      <c r="AS80" s="3242">
        <f t="shared" si="9"/>
        <v>70</v>
      </c>
      <c r="AT80" s="3247"/>
      <c r="AU80" s="3248"/>
      <c r="AV80" s="3248"/>
      <c r="AW80" s="3247"/>
      <c r="AX80" s="3248"/>
      <c r="AY80" s="3248"/>
      <c r="AZ80" s="3247"/>
      <c r="BA80" s="3248"/>
      <c r="BB80" s="3248"/>
      <c r="BC80" s="3247"/>
      <c r="BD80" s="3248"/>
      <c r="BE80" s="3248"/>
      <c r="BF80" s="3248"/>
      <c r="BG80" s="3248"/>
      <c r="BH80" s="3249"/>
      <c r="BI80" s="3249"/>
      <c r="BJ80" s="3216" t="s">
        <v>1027</v>
      </c>
      <c r="BM80" s="4198"/>
    </row>
    <row r="81" spans="1:65" ht="13.2" x14ac:dyDescent="0.3">
      <c r="A81" s="3270">
        <f t="shared" si="13"/>
        <v>71</v>
      </c>
      <c r="B81" s="4249" t="s">
        <v>4066</v>
      </c>
      <c r="C81" s="3271"/>
      <c r="D81" s="3240"/>
      <c r="E81" s="3241"/>
      <c r="F81" s="3241"/>
      <c r="G81" s="3240"/>
      <c r="H81" s="3241"/>
      <c r="I81" s="3241"/>
      <c r="J81" s="3241"/>
      <c r="K81" s="3240"/>
      <c r="L81" s="3241"/>
      <c r="M81" s="3241"/>
      <c r="N81" s="3240">
        <f t="shared" si="5"/>
        <v>71</v>
      </c>
      <c r="O81" s="3239"/>
      <c r="P81" s="3240"/>
      <c r="Q81" s="3241"/>
      <c r="R81" s="3241"/>
      <c r="S81" s="3240"/>
      <c r="T81" s="3241"/>
      <c r="U81" s="3241"/>
      <c r="V81" s="3241"/>
      <c r="W81" s="3240"/>
      <c r="X81" s="3241"/>
      <c r="Y81" s="3241"/>
      <c r="Z81" s="3242">
        <f t="shared" si="6"/>
        <v>71</v>
      </c>
      <c r="AA81" s="3243">
        <f t="shared" si="7"/>
        <v>0</v>
      </c>
      <c r="AB81" s="3242">
        <f t="shared" si="12"/>
        <v>0</v>
      </c>
      <c r="AC81" s="3241"/>
      <c r="AD81" s="3241"/>
      <c r="AE81" s="3242">
        <f t="shared" si="11"/>
        <v>0</v>
      </c>
      <c r="AF81" s="4261"/>
      <c r="AG81" s="3250" t="s">
        <v>124</v>
      </c>
      <c r="AH81" s="3241"/>
      <c r="AI81" s="3250"/>
      <c r="AJ81" s="3241"/>
      <c r="AK81" s="3250" t="s">
        <v>124</v>
      </c>
      <c r="AL81" s="3241"/>
      <c r="AM81" s="3250" t="s">
        <v>124</v>
      </c>
      <c r="AN81" s="3241"/>
      <c r="AO81" s="3250" t="s">
        <v>124</v>
      </c>
      <c r="AP81" s="3242">
        <f t="shared" si="14"/>
        <v>0</v>
      </c>
      <c r="AQ81" s="3241"/>
      <c r="AR81" s="3241"/>
      <c r="AS81" s="3242">
        <f t="shared" si="9"/>
        <v>71</v>
      </c>
      <c r="AT81" s="3247"/>
      <c r="AU81" s="3248"/>
      <c r="AV81" s="3248"/>
      <c r="AW81" s="3247"/>
      <c r="AX81" s="3248"/>
      <c r="AY81" s="3248"/>
      <c r="AZ81" s="3247"/>
      <c r="BA81" s="3248"/>
      <c r="BB81" s="3248"/>
      <c r="BC81" s="3247"/>
      <c r="BD81" s="3248"/>
      <c r="BE81" s="3248"/>
      <c r="BF81" s="3248"/>
      <c r="BG81" s="3248"/>
      <c r="BH81" s="3249"/>
      <c r="BI81" s="3249"/>
      <c r="BJ81" s="3216" t="s">
        <v>4067</v>
      </c>
      <c r="BM81" s="4198"/>
    </row>
    <row r="82" spans="1:65" ht="55.2" customHeight="1" x14ac:dyDescent="0.3">
      <c r="A82" s="3270">
        <f t="shared" si="13"/>
        <v>72</v>
      </c>
      <c r="B82" s="3275" t="s">
        <v>2706</v>
      </c>
      <c r="C82" s="3271"/>
      <c r="D82" s="3240"/>
      <c r="E82" s="3241"/>
      <c r="F82" s="3241"/>
      <c r="G82" s="3240"/>
      <c r="H82" s="3241"/>
      <c r="I82" s="3241"/>
      <c r="J82" s="3241"/>
      <c r="K82" s="3240"/>
      <c r="L82" s="3241"/>
      <c r="M82" s="3241"/>
      <c r="N82" s="3240">
        <f t="shared" si="5"/>
        <v>72</v>
      </c>
      <c r="O82" s="3239"/>
      <c r="P82" s="3240"/>
      <c r="Q82" s="3241"/>
      <c r="R82" s="3241"/>
      <c r="S82" s="3240"/>
      <c r="T82" s="3241"/>
      <c r="U82" s="3241"/>
      <c r="V82" s="3241"/>
      <c r="W82" s="3240"/>
      <c r="X82" s="3241"/>
      <c r="Y82" s="3241"/>
      <c r="Z82" s="3242">
        <f t="shared" si="6"/>
        <v>72</v>
      </c>
      <c r="AA82" s="3243">
        <f t="shared" si="7"/>
        <v>30000</v>
      </c>
      <c r="AB82" s="3242">
        <f t="shared" si="12"/>
        <v>30000</v>
      </c>
      <c r="AC82" s="3241"/>
      <c r="AD82" s="3241"/>
      <c r="AE82" s="3242">
        <f t="shared" si="11"/>
        <v>30000</v>
      </c>
      <c r="AF82" s="4261">
        <v>30000</v>
      </c>
      <c r="AG82" s="3250" t="s">
        <v>124</v>
      </c>
      <c r="AH82" s="3241"/>
      <c r="AI82" s="3250" t="s">
        <v>124</v>
      </c>
      <c r="AJ82" s="3241"/>
      <c r="AK82" s="3250" t="s">
        <v>124</v>
      </c>
      <c r="AL82" s="3241"/>
      <c r="AM82" s="3250" t="s">
        <v>124</v>
      </c>
      <c r="AN82" s="3241"/>
      <c r="AO82" s="3250" t="s">
        <v>124</v>
      </c>
      <c r="AP82" s="3242">
        <f t="shared" si="14"/>
        <v>0</v>
      </c>
      <c r="AQ82" s="3241"/>
      <c r="AR82" s="3241"/>
      <c r="AS82" s="3242">
        <f t="shared" si="9"/>
        <v>72</v>
      </c>
      <c r="AT82" s="3247"/>
      <c r="AU82" s="3248"/>
      <c r="AV82" s="3248"/>
      <c r="AW82" s="3247"/>
      <c r="AX82" s="3248"/>
      <c r="AY82" s="3248"/>
      <c r="AZ82" s="3247"/>
      <c r="BA82" s="3248"/>
      <c r="BB82" s="3248"/>
      <c r="BC82" s="3247"/>
      <c r="BD82" s="3248"/>
      <c r="BE82" s="3248"/>
      <c r="BF82" s="3248"/>
      <c r="BG82" s="3248"/>
      <c r="BH82" s="3249"/>
      <c r="BI82" s="3249"/>
      <c r="BM82" s="4198"/>
    </row>
    <row r="83" spans="1:65" ht="13.2" x14ac:dyDescent="0.3">
      <c r="A83" s="3270">
        <f t="shared" si="13"/>
        <v>73</v>
      </c>
      <c r="B83" s="3275" t="s">
        <v>1940</v>
      </c>
      <c r="C83" s="3271"/>
      <c r="D83" s="3240"/>
      <c r="E83" s="3241"/>
      <c r="F83" s="3241"/>
      <c r="G83" s="3240"/>
      <c r="H83" s="3241"/>
      <c r="I83" s="3241"/>
      <c r="J83" s="3241"/>
      <c r="K83" s="3240"/>
      <c r="L83" s="3241"/>
      <c r="M83" s="3241"/>
      <c r="N83" s="3240">
        <f t="shared" si="5"/>
        <v>73</v>
      </c>
      <c r="O83" s="3239"/>
      <c r="P83" s="3240"/>
      <c r="Q83" s="3241"/>
      <c r="R83" s="3241"/>
      <c r="S83" s="3240"/>
      <c r="T83" s="3241"/>
      <c r="U83" s="3241"/>
      <c r="V83" s="3241"/>
      <c r="W83" s="3240"/>
      <c r="X83" s="3241"/>
      <c r="Y83" s="3241"/>
      <c r="Z83" s="3242">
        <f t="shared" si="6"/>
        <v>73</v>
      </c>
      <c r="AA83" s="3243">
        <f t="shared" si="7"/>
        <v>238034.69999999998</v>
      </c>
      <c r="AB83" s="3242">
        <f t="shared" si="12"/>
        <v>238034.69999999998</v>
      </c>
      <c r="AC83" s="3241"/>
      <c r="AD83" s="3241"/>
      <c r="AE83" s="3242">
        <f t="shared" si="11"/>
        <v>100702.48000000001</v>
      </c>
      <c r="AF83" s="4274">
        <f>'Котел-повірка Юст'!N27</f>
        <v>84305.02</v>
      </c>
      <c r="AG83" s="3250" t="s">
        <v>124</v>
      </c>
      <c r="AH83" s="4273">
        <f>'Котел-повірка Юст'!N28</f>
        <v>16397.46</v>
      </c>
      <c r="AI83" s="3250"/>
      <c r="AJ83" s="3241"/>
      <c r="AK83" s="3250" t="s">
        <v>124</v>
      </c>
      <c r="AL83" s="3241"/>
      <c r="AM83" s="3250" t="s">
        <v>124</v>
      </c>
      <c r="AN83" s="3241"/>
      <c r="AO83" s="3250" t="s">
        <v>124</v>
      </c>
      <c r="AP83" s="3242">
        <f t="shared" si="14"/>
        <v>137332.21999999997</v>
      </c>
      <c r="AQ83" s="4277">
        <f>'Факт 2023Поверка Юст'!F98</f>
        <v>137332.21999999997</v>
      </c>
      <c r="AR83" s="3241"/>
      <c r="AS83" s="3242">
        <f t="shared" si="9"/>
        <v>73</v>
      </c>
      <c r="AT83" s="3247"/>
      <c r="AU83" s="3248"/>
      <c r="AV83" s="3248"/>
      <c r="AW83" s="3247"/>
      <c r="AX83" s="3248"/>
      <c r="AY83" s="3248"/>
      <c r="AZ83" s="3247"/>
      <c r="BA83" s="3248"/>
      <c r="BB83" s="3248"/>
      <c r="BC83" s="3247"/>
      <c r="BD83" s="3248"/>
      <c r="BE83" s="3248"/>
      <c r="BF83" s="3248"/>
      <c r="BG83" s="3248"/>
      <c r="BH83" s="3249"/>
      <c r="BI83" s="3249"/>
      <c r="BM83" s="4198"/>
    </row>
    <row r="84" spans="1:65" ht="13.2" x14ac:dyDescent="0.3">
      <c r="A84" s="3270">
        <f t="shared" si="13"/>
        <v>74</v>
      </c>
      <c r="B84" s="3275" t="s">
        <v>1591</v>
      </c>
      <c r="C84" s="3271"/>
      <c r="D84" s="3240"/>
      <c r="E84" s="3241"/>
      <c r="F84" s="3241"/>
      <c r="G84" s="3240"/>
      <c r="H84" s="3241"/>
      <c r="I84" s="3241"/>
      <c r="J84" s="3241"/>
      <c r="K84" s="3240"/>
      <c r="L84" s="3241"/>
      <c r="M84" s="3241"/>
      <c r="N84" s="3240">
        <f t="shared" si="5"/>
        <v>74</v>
      </c>
      <c r="O84" s="3239"/>
      <c r="P84" s="3240"/>
      <c r="Q84" s="3241"/>
      <c r="R84" s="3241"/>
      <c r="S84" s="3240"/>
      <c r="T84" s="3241"/>
      <c r="U84" s="3241"/>
      <c r="V84" s="3241"/>
      <c r="W84" s="3240"/>
      <c r="X84" s="3241"/>
      <c r="Y84" s="3241"/>
      <c r="Z84" s="3242">
        <f t="shared" si="6"/>
        <v>74</v>
      </c>
      <c r="AA84" s="3243">
        <f t="shared" si="7"/>
        <v>49735</v>
      </c>
      <c r="AB84" s="3242">
        <f t="shared" si="12"/>
        <v>39570</v>
      </c>
      <c r="AC84" s="3241">
        <v>6900</v>
      </c>
      <c r="AD84" s="3241">
        <f>3.918/1.2*1000</f>
        <v>3265</v>
      </c>
      <c r="AE84" s="3242">
        <f t="shared" si="11"/>
        <v>39570</v>
      </c>
      <c r="AF84" s="4261">
        <v>31350</v>
      </c>
      <c r="AG84" s="3250" t="s">
        <v>124</v>
      </c>
      <c r="AH84" s="3241">
        <v>8220</v>
      </c>
      <c r="AI84" s="3250"/>
      <c r="AJ84" s="3241"/>
      <c r="AK84" s="3250" t="s">
        <v>124</v>
      </c>
      <c r="AL84" s="3241"/>
      <c r="AM84" s="3250" t="s">
        <v>124</v>
      </c>
      <c r="AN84" s="3241"/>
      <c r="AO84" s="3250" t="s">
        <v>124</v>
      </c>
      <c r="AP84" s="3242">
        <f t="shared" si="14"/>
        <v>0</v>
      </c>
      <c r="AQ84" s="3241"/>
      <c r="AR84" s="3241"/>
      <c r="AS84" s="3242">
        <f t="shared" si="9"/>
        <v>74</v>
      </c>
      <c r="AT84" s="3247"/>
      <c r="AU84" s="3248"/>
      <c r="AV84" s="3248"/>
      <c r="AW84" s="3247"/>
      <c r="AX84" s="3248"/>
      <c r="AY84" s="3248"/>
      <c r="AZ84" s="3247"/>
      <c r="BA84" s="3248"/>
      <c r="BB84" s="3248"/>
      <c r="BC84" s="3247"/>
      <c r="BD84" s="3248"/>
      <c r="BE84" s="3248"/>
      <c r="BF84" s="3248"/>
      <c r="BG84" s="3248"/>
      <c r="BH84" s="3249"/>
      <c r="BI84" s="3249"/>
      <c r="BM84" s="4198"/>
    </row>
    <row r="85" spans="1:65" ht="26.4" x14ac:dyDescent="0.3">
      <c r="A85" s="3270">
        <f t="shared" si="13"/>
        <v>75</v>
      </c>
      <c r="B85" s="3277" t="s">
        <v>1582</v>
      </c>
      <c r="C85" s="3271"/>
      <c r="D85" s="3240"/>
      <c r="E85" s="3241"/>
      <c r="F85" s="3241"/>
      <c r="G85" s="3240"/>
      <c r="H85" s="3241"/>
      <c r="I85" s="3241"/>
      <c r="J85" s="3241"/>
      <c r="K85" s="3240"/>
      <c r="L85" s="3241"/>
      <c r="M85" s="3241"/>
      <c r="N85" s="3240">
        <f t="shared" si="5"/>
        <v>75</v>
      </c>
      <c r="O85" s="3239"/>
      <c r="P85" s="3240"/>
      <c r="Q85" s="3241"/>
      <c r="R85" s="3241"/>
      <c r="S85" s="3240"/>
      <c r="T85" s="3241"/>
      <c r="U85" s="3241"/>
      <c r="V85" s="3241"/>
      <c r="W85" s="3240"/>
      <c r="X85" s="3241"/>
      <c r="Y85" s="3241"/>
      <c r="Z85" s="3242">
        <f t="shared" si="6"/>
        <v>75</v>
      </c>
      <c r="AA85" s="3243">
        <f t="shared" si="7"/>
        <v>0</v>
      </c>
      <c r="AB85" s="3242">
        <f t="shared" si="12"/>
        <v>0</v>
      </c>
      <c r="AC85" s="3241"/>
      <c r="AD85" s="3241"/>
      <c r="AE85" s="3242">
        <f t="shared" si="11"/>
        <v>0</v>
      </c>
      <c r="AF85" s="4261"/>
      <c r="AG85" s="3250" t="s">
        <v>124</v>
      </c>
      <c r="AH85" s="3241"/>
      <c r="AI85" s="3250"/>
      <c r="AJ85" s="3241"/>
      <c r="AK85" s="3250" t="s">
        <v>124</v>
      </c>
      <c r="AL85" s="3241"/>
      <c r="AM85" s="3250" t="s">
        <v>124</v>
      </c>
      <c r="AN85" s="3241"/>
      <c r="AO85" s="3250" t="s">
        <v>124</v>
      </c>
      <c r="AP85" s="3242">
        <f t="shared" si="14"/>
        <v>0</v>
      </c>
      <c r="AQ85" s="3241"/>
      <c r="AR85" s="3241"/>
      <c r="AS85" s="3242">
        <f t="shared" si="9"/>
        <v>75</v>
      </c>
      <c r="AT85" s="3247"/>
      <c r="AU85" s="3248"/>
      <c r="AV85" s="3248"/>
      <c r="AW85" s="3247"/>
      <c r="AX85" s="3248"/>
      <c r="AY85" s="3248"/>
      <c r="AZ85" s="3247"/>
      <c r="BA85" s="3248"/>
      <c r="BB85" s="3248"/>
      <c r="BC85" s="3247"/>
      <c r="BD85" s="3248"/>
      <c r="BE85" s="3248"/>
      <c r="BF85" s="3248"/>
      <c r="BG85" s="3248"/>
      <c r="BH85" s="3249"/>
      <c r="BI85" s="3249"/>
      <c r="BM85" s="4198"/>
    </row>
    <row r="86" spans="1:65" ht="13.2" x14ac:dyDescent="0.3">
      <c r="A86" s="3270">
        <f t="shared" si="13"/>
        <v>76</v>
      </c>
      <c r="B86" s="3275"/>
      <c r="C86" s="3271"/>
      <c r="D86" s="3240"/>
      <c r="E86" s="3241"/>
      <c r="F86" s="3241"/>
      <c r="G86" s="3240"/>
      <c r="H86" s="3241"/>
      <c r="I86" s="3241"/>
      <c r="J86" s="3241"/>
      <c r="K86" s="3240"/>
      <c r="L86" s="3241"/>
      <c r="M86" s="3241"/>
      <c r="N86" s="3240">
        <f t="shared" si="5"/>
        <v>76</v>
      </c>
      <c r="O86" s="3239"/>
      <c r="P86" s="3240"/>
      <c r="Q86" s="3241"/>
      <c r="R86" s="3241"/>
      <c r="S86" s="3240"/>
      <c r="T86" s="3241"/>
      <c r="U86" s="3241"/>
      <c r="V86" s="3241"/>
      <c r="W86" s="3240"/>
      <c r="X86" s="3241"/>
      <c r="Y86" s="3241"/>
      <c r="Z86" s="3242">
        <f t="shared" si="6"/>
        <v>76</v>
      </c>
      <c r="AA86" s="3243">
        <f t="shared" si="7"/>
        <v>0</v>
      </c>
      <c r="AB86" s="3242">
        <f t="shared" si="12"/>
        <v>0</v>
      </c>
      <c r="AC86" s="3241"/>
      <c r="AD86" s="3241"/>
      <c r="AE86" s="3242">
        <f t="shared" si="11"/>
        <v>0</v>
      </c>
      <c r="AF86" s="4261"/>
      <c r="AG86" s="3250" t="s">
        <v>124</v>
      </c>
      <c r="AH86" s="3241"/>
      <c r="AI86" s="3250"/>
      <c r="AJ86" s="3241"/>
      <c r="AK86" s="3250" t="s">
        <v>124</v>
      </c>
      <c r="AL86" s="3241"/>
      <c r="AM86" s="3250" t="s">
        <v>124</v>
      </c>
      <c r="AN86" s="3241"/>
      <c r="AO86" s="3250" t="s">
        <v>124</v>
      </c>
      <c r="AP86" s="3242">
        <f t="shared" si="14"/>
        <v>0</v>
      </c>
      <c r="AQ86" s="3241"/>
      <c r="AR86" s="3241"/>
      <c r="AS86" s="3242">
        <f t="shared" si="9"/>
        <v>76</v>
      </c>
      <c r="AT86" s="3247"/>
      <c r="AU86" s="3248"/>
      <c r="AV86" s="3248"/>
      <c r="AW86" s="3247"/>
      <c r="AX86" s="3248"/>
      <c r="AY86" s="3248"/>
      <c r="AZ86" s="3247"/>
      <c r="BA86" s="3248"/>
      <c r="BB86" s="3248"/>
      <c r="BC86" s="3247"/>
      <c r="BD86" s="3248"/>
      <c r="BE86" s="3248"/>
      <c r="BF86" s="3248"/>
      <c r="BG86" s="3248"/>
      <c r="BH86" s="3249"/>
      <c r="BI86" s="3249"/>
      <c r="BM86" s="4198"/>
    </row>
    <row r="87" spans="1:65" ht="26.4" x14ac:dyDescent="0.3">
      <c r="A87" s="3270">
        <f t="shared" si="13"/>
        <v>77</v>
      </c>
      <c r="B87" s="3275" t="s">
        <v>1682</v>
      </c>
      <c r="C87" s="3271"/>
      <c r="D87" s="3240"/>
      <c r="E87" s="3241"/>
      <c r="F87" s="3241"/>
      <c r="G87" s="3240"/>
      <c r="H87" s="3241"/>
      <c r="I87" s="3241"/>
      <c r="J87" s="3241"/>
      <c r="K87" s="3240"/>
      <c r="L87" s="3241"/>
      <c r="M87" s="3241"/>
      <c r="N87" s="3240">
        <f t="shared" si="5"/>
        <v>77</v>
      </c>
      <c r="O87" s="3239"/>
      <c r="P87" s="3240"/>
      <c r="Q87" s="3241"/>
      <c r="R87" s="3241"/>
      <c r="S87" s="3240"/>
      <c r="T87" s="3241"/>
      <c r="U87" s="3241"/>
      <c r="V87" s="3241"/>
      <c r="W87" s="3240"/>
      <c r="X87" s="3241"/>
      <c r="Y87" s="3241"/>
      <c r="Z87" s="3242">
        <f t="shared" si="6"/>
        <v>77</v>
      </c>
      <c r="AA87" s="3243">
        <f t="shared" si="7"/>
        <v>0</v>
      </c>
      <c r="AB87" s="3242">
        <f t="shared" si="12"/>
        <v>0</v>
      </c>
      <c r="AC87" s="3241"/>
      <c r="AD87" s="3241"/>
      <c r="AE87" s="3242">
        <f t="shared" si="11"/>
        <v>0</v>
      </c>
      <c r="AF87" s="4261"/>
      <c r="AG87" s="3250" t="s">
        <v>124</v>
      </c>
      <c r="AH87" s="3241"/>
      <c r="AI87" s="3250"/>
      <c r="AJ87" s="3241"/>
      <c r="AK87" s="3250" t="s">
        <v>124</v>
      </c>
      <c r="AL87" s="3241"/>
      <c r="AM87" s="3250" t="s">
        <v>124</v>
      </c>
      <c r="AN87" s="3241"/>
      <c r="AO87" s="3250" t="s">
        <v>124</v>
      </c>
      <c r="AP87" s="3242">
        <f t="shared" si="14"/>
        <v>0</v>
      </c>
      <c r="AQ87" s="3241"/>
      <c r="AR87" s="3241"/>
      <c r="AS87" s="3242">
        <f t="shared" si="9"/>
        <v>77</v>
      </c>
      <c r="AT87" s="3247"/>
      <c r="AU87" s="3248"/>
      <c r="AV87" s="3248"/>
      <c r="AW87" s="3247"/>
      <c r="AX87" s="3248"/>
      <c r="AY87" s="3248"/>
      <c r="AZ87" s="3247"/>
      <c r="BA87" s="3248"/>
      <c r="BB87" s="3248"/>
      <c r="BC87" s="3247"/>
      <c r="BD87" s="3248"/>
      <c r="BE87" s="3248"/>
      <c r="BF87" s="3248"/>
      <c r="BG87" s="3248"/>
      <c r="BH87" s="3249"/>
      <c r="BI87" s="3249"/>
      <c r="BM87" s="4198"/>
    </row>
    <row r="88" spans="1:65" ht="26.4" x14ac:dyDescent="0.3">
      <c r="A88" s="3270">
        <f t="shared" si="13"/>
        <v>78</v>
      </c>
      <c r="B88" s="3275" t="s">
        <v>1721</v>
      </c>
      <c r="C88" s="3271"/>
      <c r="D88" s="3240"/>
      <c r="E88" s="3241"/>
      <c r="F88" s="3241"/>
      <c r="G88" s="3240"/>
      <c r="H88" s="3241"/>
      <c r="I88" s="3241"/>
      <c r="J88" s="3241"/>
      <c r="K88" s="3240"/>
      <c r="L88" s="3241"/>
      <c r="M88" s="3241"/>
      <c r="N88" s="3240">
        <f t="shared" si="5"/>
        <v>78</v>
      </c>
      <c r="O88" s="3239"/>
      <c r="P88" s="3240"/>
      <c r="Q88" s="3241"/>
      <c r="R88" s="3241"/>
      <c r="S88" s="3240"/>
      <c r="T88" s="3241"/>
      <c r="U88" s="3241"/>
      <c r="V88" s="3241"/>
      <c r="W88" s="3240"/>
      <c r="X88" s="3241"/>
      <c r="Y88" s="3241"/>
      <c r="Z88" s="3242">
        <f t="shared" si="6"/>
        <v>78</v>
      </c>
      <c r="AA88" s="3243">
        <f t="shared" si="7"/>
        <v>2525.1833333333334</v>
      </c>
      <c r="AB88" s="4261">
        <f t="shared" si="12"/>
        <v>2525.1833333333334</v>
      </c>
      <c r="AC88" s="4261"/>
      <c r="AD88" s="4261"/>
      <c r="AE88" s="4261">
        <f t="shared" si="11"/>
        <v>2525.1833333333334</v>
      </c>
      <c r="AF88" s="4261">
        <f>3030.22/1.2</f>
        <v>2525.1833333333334</v>
      </c>
      <c r="AG88" s="3250" t="s">
        <v>124</v>
      </c>
      <c r="AH88" s="3241"/>
      <c r="AI88" s="3250"/>
      <c r="AJ88" s="3241"/>
      <c r="AK88" s="3250" t="s">
        <v>124</v>
      </c>
      <c r="AL88" s="3241"/>
      <c r="AM88" s="3250" t="s">
        <v>124</v>
      </c>
      <c r="AN88" s="3241"/>
      <c r="AO88" s="3250" t="s">
        <v>124</v>
      </c>
      <c r="AP88" s="3242">
        <f t="shared" si="14"/>
        <v>0</v>
      </c>
      <c r="AQ88" s="3241"/>
      <c r="AR88" s="3241"/>
      <c r="AS88" s="3242">
        <f t="shared" si="9"/>
        <v>78</v>
      </c>
      <c r="AT88" s="3247"/>
      <c r="AU88" s="3248"/>
      <c r="AV88" s="3248"/>
      <c r="AW88" s="3247"/>
      <c r="AX88" s="3248"/>
      <c r="AY88" s="3248"/>
      <c r="AZ88" s="3247"/>
      <c r="BA88" s="3248"/>
      <c r="BB88" s="3248"/>
      <c r="BC88" s="3247"/>
      <c r="BD88" s="3248"/>
      <c r="BE88" s="3248"/>
      <c r="BF88" s="3248"/>
      <c r="BG88" s="3248"/>
      <c r="BH88" s="3249"/>
      <c r="BI88" s="3249"/>
      <c r="BM88" s="4198"/>
    </row>
    <row r="89" spans="1:65" ht="13.2" x14ac:dyDescent="0.2">
      <c r="A89" s="3270">
        <f t="shared" si="13"/>
        <v>79</v>
      </c>
      <c r="B89" s="3275" t="s">
        <v>2403</v>
      </c>
      <c r="C89" s="3271"/>
      <c r="D89" s="3240"/>
      <c r="E89" s="3241"/>
      <c r="F89" s="3241"/>
      <c r="G89" s="3240"/>
      <c r="H89" s="3241"/>
      <c r="I89" s="3241"/>
      <c r="J89" s="3241"/>
      <c r="K89" s="3240"/>
      <c r="L89" s="3241"/>
      <c r="M89" s="3241"/>
      <c r="N89" s="3240">
        <f t="shared" si="5"/>
        <v>79</v>
      </c>
      <c r="O89" s="3239"/>
      <c r="P89" s="3240"/>
      <c r="Q89" s="3241"/>
      <c r="R89" s="3241"/>
      <c r="S89" s="3240"/>
      <c r="T89" s="3241"/>
      <c r="U89" s="3241"/>
      <c r="V89" s="3241"/>
      <c r="W89" s="3240"/>
      <c r="X89" s="3241"/>
      <c r="Y89" s="3241"/>
      <c r="Z89" s="3242">
        <f t="shared" si="6"/>
        <v>79</v>
      </c>
      <c r="AA89" s="3243">
        <f t="shared" si="7"/>
        <v>3000</v>
      </c>
      <c r="AB89" s="4261">
        <f t="shared" si="12"/>
        <v>3000</v>
      </c>
      <c r="AC89" s="4261"/>
      <c r="AD89" s="4261"/>
      <c r="AE89" s="4261">
        <f t="shared" si="11"/>
        <v>3000</v>
      </c>
      <c r="AF89" s="4261">
        <f>5*600</f>
        <v>3000</v>
      </c>
      <c r="AG89" s="3250" t="s">
        <v>124</v>
      </c>
      <c r="AH89" s="3241"/>
      <c r="AI89" s="3250"/>
      <c r="AJ89" s="3241"/>
      <c r="AK89" s="3250" t="s">
        <v>124</v>
      </c>
      <c r="AL89" s="3241"/>
      <c r="AM89" s="3250" t="s">
        <v>124</v>
      </c>
      <c r="AN89" s="3241"/>
      <c r="AO89" s="3250" t="s">
        <v>124</v>
      </c>
      <c r="AP89" s="3242">
        <f t="shared" si="14"/>
        <v>0</v>
      </c>
      <c r="AQ89" s="3241"/>
      <c r="AR89" s="3241"/>
      <c r="AS89" s="3242">
        <f t="shared" si="9"/>
        <v>79</v>
      </c>
      <c r="AT89" s="3247"/>
      <c r="AU89" s="3248"/>
      <c r="AV89" s="3248"/>
      <c r="AW89" s="3247"/>
      <c r="AX89" s="3248"/>
      <c r="AY89" s="3248"/>
      <c r="AZ89" s="3247"/>
      <c r="BA89" s="3248"/>
      <c r="BB89" s="3248"/>
      <c r="BC89" s="3247"/>
      <c r="BD89" s="3248"/>
      <c r="BE89" s="3248"/>
      <c r="BF89" s="3248"/>
      <c r="BG89" s="3248"/>
      <c r="BH89" s="3249"/>
      <c r="BI89" s="3249"/>
      <c r="BL89" s="4272" t="s">
        <v>3260</v>
      </c>
      <c r="BM89" s="4198"/>
    </row>
    <row r="90" spans="1:65" ht="13.2" x14ac:dyDescent="0.3">
      <c r="A90" s="3270">
        <f t="shared" si="13"/>
        <v>80</v>
      </c>
      <c r="B90" s="3276" t="s">
        <v>1716</v>
      </c>
      <c r="C90" s="3271"/>
      <c r="D90" s="3240"/>
      <c r="E90" s="3241"/>
      <c r="F90" s="3241"/>
      <c r="G90" s="3240"/>
      <c r="H90" s="3241"/>
      <c r="I90" s="3241"/>
      <c r="J90" s="3241"/>
      <c r="K90" s="3240"/>
      <c r="L90" s="3241"/>
      <c r="M90" s="3241"/>
      <c r="N90" s="3240">
        <f t="shared" si="5"/>
        <v>80</v>
      </c>
      <c r="O90" s="3239"/>
      <c r="P90" s="3240"/>
      <c r="Q90" s="3241"/>
      <c r="R90" s="3241"/>
      <c r="S90" s="3240"/>
      <c r="T90" s="3241"/>
      <c r="U90" s="3241"/>
      <c r="V90" s="3241"/>
      <c r="W90" s="3240"/>
      <c r="X90" s="3241"/>
      <c r="Y90" s="3241"/>
      <c r="Z90" s="3242">
        <f t="shared" si="6"/>
        <v>80</v>
      </c>
      <c r="AA90" s="3243">
        <f t="shared" si="7"/>
        <v>291.66666666666669</v>
      </c>
      <c r="AB90" s="4261">
        <f t="shared" si="12"/>
        <v>291.66666666666669</v>
      </c>
      <c r="AC90" s="4261"/>
      <c r="AD90" s="4261"/>
      <c r="AE90" s="4261">
        <f t="shared" si="11"/>
        <v>291.66666666666669</v>
      </c>
      <c r="AF90" s="4261">
        <f>0.175*2/1.2*1000</f>
        <v>291.66666666666669</v>
      </c>
      <c r="AG90" s="3250" t="s">
        <v>124</v>
      </c>
      <c r="AH90" s="3241"/>
      <c r="AI90" s="3250"/>
      <c r="AJ90" s="3241"/>
      <c r="AK90" s="3250" t="s">
        <v>124</v>
      </c>
      <c r="AL90" s="3241"/>
      <c r="AM90" s="3250" t="s">
        <v>124</v>
      </c>
      <c r="AN90" s="3241"/>
      <c r="AO90" s="3250" t="s">
        <v>124</v>
      </c>
      <c r="AP90" s="3242">
        <f t="shared" si="14"/>
        <v>0</v>
      </c>
      <c r="AQ90" s="3241"/>
      <c r="AR90" s="3241"/>
      <c r="AS90" s="3242">
        <f t="shared" si="9"/>
        <v>80</v>
      </c>
      <c r="AT90" s="3247"/>
      <c r="AU90" s="3248"/>
      <c r="AV90" s="3248"/>
      <c r="AW90" s="3247"/>
      <c r="AX90" s="3248"/>
      <c r="AY90" s="3248"/>
      <c r="AZ90" s="3247"/>
      <c r="BA90" s="3248"/>
      <c r="BB90" s="3248"/>
      <c r="BC90" s="3247"/>
      <c r="BD90" s="3248"/>
      <c r="BE90" s="3248"/>
      <c r="BF90" s="3248"/>
      <c r="BG90" s="3248"/>
      <c r="BH90" s="3249"/>
      <c r="BI90" s="3249"/>
      <c r="BM90" s="4198"/>
    </row>
    <row r="91" spans="1:65" ht="66" x14ac:dyDescent="0.3">
      <c r="A91" s="3270">
        <f t="shared" si="13"/>
        <v>81</v>
      </c>
      <c r="B91" s="3276" t="s">
        <v>2705</v>
      </c>
      <c r="C91" s="3271"/>
      <c r="D91" s="3240"/>
      <c r="E91" s="3241"/>
      <c r="F91" s="3241"/>
      <c r="G91" s="3240"/>
      <c r="H91" s="3241"/>
      <c r="I91" s="3241"/>
      <c r="J91" s="3241"/>
      <c r="K91" s="3240"/>
      <c r="L91" s="3241"/>
      <c r="M91" s="3241"/>
      <c r="N91" s="3240">
        <f t="shared" si="5"/>
        <v>81</v>
      </c>
      <c r="O91" s="3239"/>
      <c r="P91" s="3240"/>
      <c r="Q91" s="3241"/>
      <c r="R91" s="3241"/>
      <c r="S91" s="3240"/>
      <c r="T91" s="3241"/>
      <c r="U91" s="3241"/>
      <c r="V91" s="3241"/>
      <c r="W91" s="3240"/>
      <c r="X91" s="3241"/>
      <c r="Y91" s="3241"/>
      <c r="Z91" s="3242">
        <f t="shared" si="6"/>
        <v>81</v>
      </c>
      <c r="AA91" s="3243">
        <f t="shared" si="7"/>
        <v>0</v>
      </c>
      <c r="AB91" s="3242">
        <f t="shared" si="12"/>
        <v>0</v>
      </c>
      <c r="AC91" s="3241"/>
      <c r="AD91" s="3241"/>
      <c r="AE91" s="3242">
        <f t="shared" si="11"/>
        <v>0</v>
      </c>
      <c r="AF91" s="4261"/>
      <c r="AG91" s="3250" t="s">
        <v>124</v>
      </c>
      <c r="AH91" s="3241"/>
      <c r="AI91" s="3250"/>
      <c r="AJ91" s="3241"/>
      <c r="AK91" s="3250" t="s">
        <v>124</v>
      </c>
      <c r="AL91" s="3241"/>
      <c r="AM91" s="3250" t="s">
        <v>124</v>
      </c>
      <c r="AN91" s="3241"/>
      <c r="AO91" s="3250" t="s">
        <v>124</v>
      </c>
      <c r="AP91" s="3242">
        <f t="shared" si="14"/>
        <v>0</v>
      </c>
      <c r="AQ91" s="3241"/>
      <c r="AR91" s="3241"/>
      <c r="AS91" s="3242">
        <f t="shared" si="9"/>
        <v>81</v>
      </c>
      <c r="AT91" s="3247"/>
      <c r="AU91" s="3248"/>
      <c r="AV91" s="3248"/>
      <c r="AW91" s="3247"/>
      <c r="AX91" s="3248"/>
      <c r="AY91" s="3248"/>
      <c r="AZ91" s="3247"/>
      <c r="BA91" s="3248"/>
      <c r="BB91" s="3248"/>
      <c r="BC91" s="3247"/>
      <c r="BD91" s="3248"/>
      <c r="BE91" s="3248"/>
      <c r="BF91" s="3248"/>
      <c r="BG91" s="3248"/>
      <c r="BH91" s="3249"/>
      <c r="BI91" s="3249"/>
      <c r="BM91" s="4198"/>
    </row>
    <row r="92" spans="1:65" ht="39.6" x14ac:dyDescent="0.3">
      <c r="A92" s="3270">
        <f t="shared" si="13"/>
        <v>82</v>
      </c>
      <c r="B92" s="3276" t="s">
        <v>2554</v>
      </c>
      <c r="C92" s="3271"/>
      <c r="D92" s="3240"/>
      <c r="E92" s="3241"/>
      <c r="F92" s="3241"/>
      <c r="G92" s="3240"/>
      <c r="H92" s="3241"/>
      <c r="I92" s="3241"/>
      <c r="J92" s="3241"/>
      <c r="K92" s="3240"/>
      <c r="L92" s="3241"/>
      <c r="M92" s="3241"/>
      <c r="N92" s="3240">
        <f t="shared" si="5"/>
        <v>82</v>
      </c>
      <c r="O92" s="3239"/>
      <c r="P92" s="3240"/>
      <c r="Q92" s="3241"/>
      <c r="R92" s="3241"/>
      <c r="S92" s="3240"/>
      <c r="T92" s="3241"/>
      <c r="U92" s="3241"/>
      <c r="V92" s="3241"/>
      <c r="W92" s="3240"/>
      <c r="X92" s="3241"/>
      <c r="Y92" s="3241"/>
      <c r="Z92" s="3242">
        <f t="shared" si="6"/>
        <v>82</v>
      </c>
      <c r="AA92" s="3243">
        <f t="shared" si="7"/>
        <v>0</v>
      </c>
      <c r="AB92" s="3242">
        <f t="shared" si="12"/>
        <v>0</v>
      </c>
      <c r="AC92" s="3241"/>
      <c r="AD92" s="3241"/>
      <c r="AE92" s="3242">
        <f t="shared" si="11"/>
        <v>0</v>
      </c>
      <c r="AF92" s="4261"/>
      <c r="AG92" s="3250" t="s">
        <v>124</v>
      </c>
      <c r="AH92" s="3241"/>
      <c r="AI92" s="3250"/>
      <c r="AJ92" s="3241"/>
      <c r="AK92" s="3250" t="s">
        <v>124</v>
      </c>
      <c r="AL92" s="3241"/>
      <c r="AM92" s="3250" t="s">
        <v>124</v>
      </c>
      <c r="AN92" s="3241"/>
      <c r="AO92" s="3250" t="s">
        <v>124</v>
      </c>
      <c r="AP92" s="3242">
        <f t="shared" si="14"/>
        <v>0</v>
      </c>
      <c r="AQ92" s="3241"/>
      <c r="AR92" s="3241"/>
      <c r="AS92" s="3242">
        <f t="shared" si="9"/>
        <v>82</v>
      </c>
      <c r="AT92" s="3247"/>
      <c r="AU92" s="3248"/>
      <c r="AV92" s="3248"/>
      <c r="AW92" s="3247"/>
      <c r="AX92" s="3248"/>
      <c r="AY92" s="3248"/>
      <c r="AZ92" s="3247"/>
      <c r="BA92" s="3248"/>
      <c r="BB92" s="3248"/>
      <c r="BC92" s="3247"/>
      <c r="BD92" s="3248"/>
      <c r="BE92" s="3248"/>
      <c r="BF92" s="3248"/>
      <c r="BG92" s="3248"/>
      <c r="BH92" s="3249"/>
      <c r="BI92" s="3249"/>
      <c r="BM92" s="4198"/>
    </row>
    <row r="93" spans="1:65" ht="26.4" x14ac:dyDescent="0.3">
      <c r="A93" s="3270">
        <f t="shared" si="13"/>
        <v>83</v>
      </c>
      <c r="B93" s="3275" t="s">
        <v>3264</v>
      </c>
      <c r="C93" s="3271"/>
      <c r="D93" s="3240"/>
      <c r="E93" s="3241"/>
      <c r="F93" s="3241"/>
      <c r="G93" s="3240"/>
      <c r="H93" s="3241"/>
      <c r="I93" s="3241"/>
      <c r="J93" s="3241"/>
      <c r="K93" s="3240"/>
      <c r="L93" s="3241"/>
      <c r="M93" s="3241"/>
      <c r="N93" s="3240">
        <f t="shared" si="5"/>
        <v>83</v>
      </c>
      <c r="O93" s="3239"/>
      <c r="P93" s="3240"/>
      <c r="Q93" s="3241"/>
      <c r="R93" s="3241"/>
      <c r="S93" s="3240"/>
      <c r="T93" s="3241"/>
      <c r="U93" s="3241"/>
      <c r="V93" s="3241"/>
      <c r="W93" s="3240"/>
      <c r="X93" s="3241"/>
      <c r="Y93" s="3241"/>
      <c r="Z93" s="3242">
        <f t="shared" si="6"/>
        <v>83</v>
      </c>
      <c r="AA93" s="3243">
        <f t="shared" si="7"/>
        <v>0</v>
      </c>
      <c r="AB93" s="3242">
        <f t="shared" si="12"/>
        <v>0</v>
      </c>
      <c r="AC93" s="3241"/>
      <c r="AD93" s="3241"/>
      <c r="AE93" s="3242">
        <f t="shared" si="11"/>
        <v>0</v>
      </c>
      <c r="AF93" s="4261"/>
      <c r="AG93" s="3250" t="s">
        <v>124</v>
      </c>
      <c r="AH93" s="3241"/>
      <c r="AI93" s="3250"/>
      <c r="AJ93" s="3241"/>
      <c r="AK93" s="3250" t="s">
        <v>124</v>
      </c>
      <c r="AL93" s="3241"/>
      <c r="AM93" s="3250" t="s">
        <v>124</v>
      </c>
      <c r="AN93" s="3241"/>
      <c r="AO93" s="3250" t="s">
        <v>124</v>
      </c>
      <c r="AP93" s="3242">
        <f t="shared" si="14"/>
        <v>0</v>
      </c>
      <c r="AQ93" s="3241"/>
      <c r="AR93" s="3241"/>
      <c r="AS93" s="3242">
        <f t="shared" si="9"/>
        <v>83</v>
      </c>
      <c r="AT93" s="3247"/>
      <c r="AU93" s="3248"/>
      <c r="AV93" s="3248"/>
      <c r="AW93" s="3247"/>
      <c r="AX93" s="3248"/>
      <c r="AY93" s="3248"/>
      <c r="AZ93" s="3247"/>
      <c r="BA93" s="3248"/>
      <c r="BB93" s="3248"/>
      <c r="BC93" s="3247"/>
      <c r="BD93" s="3248"/>
      <c r="BE93" s="3248"/>
      <c r="BF93" s="3248"/>
      <c r="BG93" s="3248"/>
      <c r="BH93" s="3249"/>
      <c r="BI93" s="3249"/>
      <c r="BM93" s="4198"/>
    </row>
    <row r="94" spans="1:65" ht="14.4" customHeight="1" x14ac:dyDescent="0.3">
      <c r="A94" s="3270">
        <f t="shared" si="13"/>
        <v>84</v>
      </c>
      <c r="B94" s="3275" t="s">
        <v>3343</v>
      </c>
      <c r="C94" s="3271"/>
      <c r="D94" s="3240"/>
      <c r="E94" s="3241"/>
      <c r="F94" s="3241"/>
      <c r="G94" s="3240"/>
      <c r="H94" s="3241"/>
      <c r="I94" s="3241"/>
      <c r="J94" s="3241"/>
      <c r="K94" s="3240"/>
      <c r="L94" s="3241"/>
      <c r="M94" s="3241"/>
      <c r="N94" s="3240">
        <f t="shared" si="5"/>
        <v>84</v>
      </c>
      <c r="O94" s="3239"/>
      <c r="P94" s="3240"/>
      <c r="Q94" s="3241"/>
      <c r="R94" s="3241"/>
      <c r="S94" s="3240"/>
      <c r="T94" s="3241"/>
      <c r="U94" s="3241"/>
      <c r="V94" s="3241"/>
      <c r="W94" s="3240"/>
      <c r="X94" s="3241"/>
      <c r="Y94" s="3241"/>
      <c r="Z94" s="3242">
        <f t="shared" si="6"/>
        <v>84</v>
      </c>
      <c r="AA94" s="3243">
        <f t="shared" si="7"/>
        <v>0</v>
      </c>
      <c r="AB94" s="3242">
        <f t="shared" si="12"/>
        <v>0</v>
      </c>
      <c r="AC94" s="3241"/>
      <c r="AD94" s="3241"/>
      <c r="AE94" s="3242">
        <f t="shared" si="11"/>
        <v>0</v>
      </c>
      <c r="AF94" s="4261"/>
      <c r="AG94" s="3250" t="s">
        <v>124</v>
      </c>
      <c r="AH94" s="3241"/>
      <c r="AI94" s="3250"/>
      <c r="AJ94" s="3241"/>
      <c r="AK94" s="3250" t="s">
        <v>124</v>
      </c>
      <c r="AL94" s="3241"/>
      <c r="AM94" s="3250" t="s">
        <v>124</v>
      </c>
      <c r="AN94" s="3241"/>
      <c r="AO94" s="3250" t="s">
        <v>124</v>
      </c>
      <c r="AP94" s="3242">
        <f t="shared" si="14"/>
        <v>0</v>
      </c>
      <c r="AQ94" s="3241"/>
      <c r="AR94" s="3241"/>
      <c r="AS94" s="3242">
        <f t="shared" si="9"/>
        <v>84</v>
      </c>
      <c r="AT94" s="3247"/>
      <c r="AU94" s="3248"/>
      <c r="AV94" s="3248"/>
      <c r="AW94" s="3247"/>
      <c r="AX94" s="3248"/>
      <c r="AY94" s="3248"/>
      <c r="AZ94" s="3247"/>
      <c r="BA94" s="3248"/>
      <c r="BB94" s="3248"/>
      <c r="BC94" s="3247"/>
      <c r="BD94" s="3248"/>
      <c r="BE94" s="3248"/>
      <c r="BF94" s="3248"/>
      <c r="BG94" s="3248"/>
      <c r="BH94" s="3249"/>
      <c r="BI94" s="3249"/>
      <c r="BM94" s="4198"/>
    </row>
    <row r="95" spans="1:65" ht="13.2" x14ac:dyDescent="0.3">
      <c r="A95" s="3270">
        <f t="shared" si="13"/>
        <v>85</v>
      </c>
      <c r="B95" s="3276" t="s">
        <v>3696</v>
      </c>
      <c r="C95" s="3271"/>
      <c r="D95" s="3240"/>
      <c r="E95" s="3241"/>
      <c r="F95" s="3241"/>
      <c r="G95" s="3240"/>
      <c r="H95" s="3241"/>
      <c r="I95" s="3241"/>
      <c r="J95" s="3241"/>
      <c r="K95" s="3240"/>
      <c r="L95" s="3241"/>
      <c r="M95" s="3241"/>
      <c r="N95" s="3240">
        <f t="shared" si="5"/>
        <v>85</v>
      </c>
      <c r="O95" s="3239"/>
      <c r="P95" s="3240"/>
      <c r="Q95" s="3241"/>
      <c r="R95" s="3241"/>
      <c r="S95" s="3240"/>
      <c r="T95" s="3241"/>
      <c r="U95" s="3241"/>
      <c r="V95" s="3241"/>
      <c r="W95" s="3240"/>
      <c r="X95" s="3241"/>
      <c r="Y95" s="3241"/>
      <c r="Z95" s="3242">
        <f t="shared" si="6"/>
        <v>85</v>
      </c>
      <c r="AA95" s="3243">
        <f t="shared" si="7"/>
        <v>8333.33</v>
      </c>
      <c r="AB95" s="3242">
        <f t="shared" si="12"/>
        <v>8333.33</v>
      </c>
      <c r="AC95" s="3241"/>
      <c r="AD95" s="3241"/>
      <c r="AE95" s="3242">
        <f t="shared" si="11"/>
        <v>8333.33</v>
      </c>
      <c r="AF95" s="4274">
        <v>8333.33</v>
      </c>
      <c r="AG95" s="3250" t="s">
        <v>124</v>
      </c>
      <c r="AH95" s="3241"/>
      <c r="AI95" s="3250"/>
      <c r="AJ95" s="3241"/>
      <c r="AK95" s="3250" t="s">
        <v>124</v>
      </c>
      <c r="AL95" s="3241"/>
      <c r="AM95" s="3250" t="s">
        <v>124</v>
      </c>
      <c r="AN95" s="3241"/>
      <c r="AO95" s="3250" t="s">
        <v>124</v>
      </c>
      <c r="AP95" s="3242">
        <f t="shared" si="14"/>
        <v>0</v>
      </c>
      <c r="AQ95" s="3241"/>
      <c r="AR95" s="3241"/>
      <c r="AS95" s="3242">
        <f t="shared" si="9"/>
        <v>85</v>
      </c>
      <c r="AT95" s="3247"/>
      <c r="AU95" s="3248"/>
      <c r="AV95" s="3248"/>
      <c r="AW95" s="3247"/>
      <c r="AX95" s="3248"/>
      <c r="AY95" s="3248"/>
      <c r="AZ95" s="3247"/>
      <c r="BA95" s="3248"/>
      <c r="BB95" s="3248"/>
      <c r="BC95" s="3247"/>
      <c r="BD95" s="3248"/>
      <c r="BE95" s="3248"/>
      <c r="BF95" s="3248"/>
      <c r="BG95" s="3248"/>
      <c r="BH95" s="3249"/>
      <c r="BI95" s="3249"/>
      <c r="BM95" s="4198"/>
    </row>
    <row r="96" spans="1:65" ht="13.2" x14ac:dyDescent="0.3">
      <c r="A96" s="3270">
        <f t="shared" si="13"/>
        <v>86</v>
      </c>
      <c r="B96" s="3276" t="s">
        <v>1408</v>
      </c>
      <c r="C96" s="3271"/>
      <c r="D96" s="3240"/>
      <c r="E96" s="3241"/>
      <c r="F96" s="3241"/>
      <c r="G96" s="3240"/>
      <c r="H96" s="3241"/>
      <c r="I96" s="3241"/>
      <c r="J96" s="3241"/>
      <c r="K96" s="3240"/>
      <c r="L96" s="3241"/>
      <c r="M96" s="3241"/>
      <c r="N96" s="3240">
        <f t="shared" si="5"/>
        <v>86</v>
      </c>
      <c r="O96" s="3239"/>
      <c r="P96" s="3240"/>
      <c r="Q96" s="3241"/>
      <c r="R96" s="3241"/>
      <c r="S96" s="3240"/>
      <c r="T96" s="3241"/>
      <c r="U96" s="3241"/>
      <c r="V96" s="3241"/>
      <c r="W96" s="3240"/>
      <c r="X96" s="3241"/>
      <c r="Y96" s="3241"/>
      <c r="Z96" s="3242">
        <f t="shared" si="6"/>
        <v>86</v>
      </c>
      <c r="AA96" s="3243">
        <f t="shared" si="7"/>
        <v>62662.780000000006</v>
      </c>
      <c r="AB96" s="3242">
        <f t="shared" si="12"/>
        <v>50335.58</v>
      </c>
      <c r="AC96" s="3241">
        <f>ОП!H4*1000</f>
        <v>8001.5800000000008</v>
      </c>
      <c r="AD96" s="3241">
        <f>ОП!I4*1000</f>
        <v>4325.62</v>
      </c>
      <c r="AE96" s="3242">
        <f t="shared" si="11"/>
        <v>45905.279999999999</v>
      </c>
      <c r="AF96" s="4261">
        <f>ОП!D4*1000</f>
        <v>20826.78</v>
      </c>
      <c r="AG96" s="3250" t="s">
        <v>124</v>
      </c>
      <c r="AH96" s="3241">
        <f>ОП!E4*1000</f>
        <v>23812.699999999997</v>
      </c>
      <c r="AI96" s="3250"/>
      <c r="AJ96" s="3241"/>
      <c r="AK96" s="3250" t="s">
        <v>124</v>
      </c>
      <c r="AL96" s="3241"/>
      <c r="AM96" s="3250" t="s">
        <v>124</v>
      </c>
      <c r="AN96" s="3241">
        <f>ОП!F4*1000</f>
        <v>1265.8</v>
      </c>
      <c r="AO96" s="3250" t="s">
        <v>124</v>
      </c>
      <c r="AP96" s="3242">
        <f t="shared" si="14"/>
        <v>4430.3</v>
      </c>
      <c r="AQ96" s="3241">
        <f>ОП!G4*1000</f>
        <v>4430.3</v>
      </c>
      <c r="AR96" s="3241"/>
      <c r="AS96" s="3242">
        <f t="shared" si="9"/>
        <v>86</v>
      </c>
      <c r="AT96" s="3247"/>
      <c r="AU96" s="3248"/>
      <c r="AV96" s="3248"/>
      <c r="AW96" s="3247"/>
      <c r="AX96" s="3248"/>
      <c r="AY96" s="3248"/>
      <c r="AZ96" s="3247"/>
      <c r="BA96" s="3248"/>
      <c r="BB96" s="3248"/>
      <c r="BC96" s="3247"/>
      <c r="BD96" s="3248"/>
      <c r="BE96" s="3248"/>
      <c r="BF96" s="3248"/>
      <c r="BG96" s="3248"/>
      <c r="BH96" s="3249"/>
      <c r="BI96" s="3249"/>
      <c r="BM96" s="4198"/>
    </row>
    <row r="97" spans="1:65" ht="13.2" x14ac:dyDescent="0.3">
      <c r="A97" s="3270">
        <f t="shared" si="13"/>
        <v>87</v>
      </c>
      <c r="B97" s="3276" t="s">
        <v>1410</v>
      </c>
      <c r="C97" s="3271"/>
      <c r="D97" s="3240"/>
      <c r="E97" s="3241"/>
      <c r="F97" s="3241"/>
      <c r="G97" s="3240"/>
      <c r="H97" s="3241"/>
      <c r="I97" s="3241"/>
      <c r="J97" s="3241"/>
      <c r="K97" s="3240"/>
      <c r="L97" s="3241"/>
      <c r="M97" s="3241"/>
      <c r="N97" s="3240">
        <f t="shared" si="5"/>
        <v>87</v>
      </c>
      <c r="O97" s="3239"/>
      <c r="P97" s="3240"/>
      <c r="Q97" s="3241"/>
      <c r="R97" s="3241"/>
      <c r="S97" s="3240"/>
      <c r="T97" s="3241"/>
      <c r="U97" s="3241"/>
      <c r="V97" s="3241"/>
      <c r="W97" s="3240"/>
      <c r="X97" s="3241"/>
      <c r="Y97" s="3241"/>
      <c r="Z97" s="3242">
        <f t="shared" si="6"/>
        <v>87</v>
      </c>
      <c r="AA97" s="3243">
        <f t="shared" si="7"/>
        <v>36617.5</v>
      </c>
      <c r="AB97" s="3242">
        <f t="shared" si="12"/>
        <v>4577.5</v>
      </c>
      <c r="AC97" s="3241">
        <f>ОП!H5*1000</f>
        <v>9960</v>
      </c>
      <c r="AD97" s="3241">
        <f>ОП!I5*1000</f>
        <v>22080</v>
      </c>
      <c r="AE97" s="3242">
        <f t="shared" si="11"/>
        <v>4222</v>
      </c>
      <c r="AF97" s="4261">
        <f>ОП!D5*1000</f>
        <v>355.5</v>
      </c>
      <c r="AG97" s="3250" t="s">
        <v>124</v>
      </c>
      <c r="AH97" s="3241">
        <f>ОП!E5*1000</f>
        <v>3866.5</v>
      </c>
      <c r="AI97" s="3250"/>
      <c r="AJ97" s="3241"/>
      <c r="AK97" s="3250" t="s">
        <v>124</v>
      </c>
      <c r="AL97" s="3241"/>
      <c r="AM97" s="3250" t="s">
        <v>124</v>
      </c>
      <c r="AN97" s="3241"/>
      <c r="AO97" s="3250" t="s">
        <v>124</v>
      </c>
      <c r="AP97" s="3242">
        <f t="shared" si="14"/>
        <v>355.5</v>
      </c>
      <c r="AQ97" s="3241">
        <f>ОП!G5*1000</f>
        <v>355.5</v>
      </c>
      <c r="AR97" s="3241"/>
      <c r="AS97" s="3242">
        <f t="shared" si="9"/>
        <v>87</v>
      </c>
      <c r="AT97" s="3247"/>
      <c r="AU97" s="3248"/>
      <c r="AV97" s="3248"/>
      <c r="AW97" s="3247"/>
      <c r="AX97" s="3248"/>
      <c r="AY97" s="3248"/>
      <c r="AZ97" s="3247"/>
      <c r="BA97" s="3248"/>
      <c r="BB97" s="3248"/>
      <c r="BC97" s="3247"/>
      <c r="BD97" s="3248"/>
      <c r="BE97" s="3248"/>
      <c r="BF97" s="3248"/>
      <c r="BG97" s="3248"/>
      <c r="BH97" s="3249"/>
      <c r="BI97" s="3249"/>
      <c r="BM97" s="4198"/>
    </row>
    <row r="98" spans="1:65" ht="12.6" customHeight="1" x14ac:dyDescent="0.3">
      <c r="A98" s="3270">
        <f t="shared" si="13"/>
        <v>88</v>
      </c>
      <c r="B98" s="3276" t="s">
        <v>1594</v>
      </c>
      <c r="C98" s="3271"/>
      <c r="D98" s="3240"/>
      <c r="E98" s="3241"/>
      <c r="F98" s="3241"/>
      <c r="G98" s="3240"/>
      <c r="H98" s="3241"/>
      <c r="I98" s="3241"/>
      <c r="J98" s="3241"/>
      <c r="K98" s="3240"/>
      <c r="L98" s="3241"/>
      <c r="M98" s="3241"/>
      <c r="N98" s="3240">
        <f t="shared" si="5"/>
        <v>88</v>
      </c>
      <c r="O98" s="3239"/>
      <c r="P98" s="3240"/>
      <c r="Q98" s="3241"/>
      <c r="R98" s="3241"/>
      <c r="S98" s="3240"/>
      <c r="T98" s="3241"/>
      <c r="U98" s="3241"/>
      <c r="V98" s="3241"/>
      <c r="W98" s="3240"/>
      <c r="X98" s="3241"/>
      <c r="Y98" s="3241"/>
      <c r="Z98" s="3242">
        <f t="shared" si="6"/>
        <v>88</v>
      </c>
      <c r="AA98" s="3243">
        <f t="shared" si="7"/>
        <v>4800</v>
      </c>
      <c r="AB98" s="3242">
        <f t="shared" si="12"/>
        <v>4800</v>
      </c>
      <c r="AC98" s="3241">
        <f>ОП!H7*1000</f>
        <v>0</v>
      </c>
      <c r="AD98" s="3241">
        <f>ОП!I7*1000</f>
        <v>0</v>
      </c>
      <c r="AE98" s="3242">
        <f t="shared" si="11"/>
        <v>4800</v>
      </c>
      <c r="AF98" s="4261">
        <f>ОП!D7*1000</f>
        <v>2400</v>
      </c>
      <c r="AG98" s="3250" t="s">
        <v>124</v>
      </c>
      <c r="AH98" s="3241">
        <f>ОП!E7*1000</f>
        <v>2400</v>
      </c>
      <c r="AI98" s="3250"/>
      <c r="AJ98" s="3241"/>
      <c r="AK98" s="3250" t="s">
        <v>124</v>
      </c>
      <c r="AL98" s="3241"/>
      <c r="AM98" s="3250" t="s">
        <v>124</v>
      </c>
      <c r="AN98" s="3241"/>
      <c r="AO98" s="3250" t="s">
        <v>124</v>
      </c>
      <c r="AP98" s="3242">
        <f t="shared" si="14"/>
        <v>0</v>
      </c>
      <c r="AQ98" s="3241"/>
      <c r="AR98" s="3241"/>
      <c r="AS98" s="3242">
        <f t="shared" si="9"/>
        <v>88</v>
      </c>
      <c r="AT98" s="3247"/>
      <c r="AU98" s="3248"/>
      <c r="AV98" s="3248"/>
      <c r="AW98" s="3247"/>
      <c r="AX98" s="3248"/>
      <c r="AY98" s="3248"/>
      <c r="AZ98" s="3247"/>
      <c r="BA98" s="3248"/>
      <c r="BB98" s="3248"/>
      <c r="BC98" s="3247"/>
      <c r="BD98" s="3248"/>
      <c r="BE98" s="3248"/>
      <c r="BF98" s="3248"/>
      <c r="BG98" s="3248"/>
      <c r="BH98" s="3249"/>
      <c r="BI98" s="3249"/>
      <c r="BM98" s="4198"/>
    </row>
    <row r="99" spans="1:65" ht="12.6" customHeight="1" x14ac:dyDescent="0.3">
      <c r="A99" s="3270">
        <f t="shared" si="13"/>
        <v>89</v>
      </c>
      <c r="B99" s="3275" t="s">
        <v>1405</v>
      </c>
      <c r="C99" s="3271"/>
      <c r="D99" s="3240"/>
      <c r="E99" s="3241"/>
      <c r="F99" s="3241"/>
      <c r="G99" s="3240"/>
      <c r="H99" s="3241"/>
      <c r="I99" s="3241"/>
      <c r="J99" s="3241"/>
      <c r="K99" s="3240"/>
      <c r="L99" s="3241"/>
      <c r="M99" s="3241"/>
      <c r="N99" s="3240">
        <f t="shared" si="5"/>
        <v>89</v>
      </c>
      <c r="O99" s="3239"/>
      <c r="P99" s="3240"/>
      <c r="Q99" s="3241"/>
      <c r="R99" s="3241"/>
      <c r="S99" s="3240"/>
      <c r="T99" s="3241"/>
      <c r="U99" s="3241"/>
      <c r="V99" s="3241"/>
      <c r="W99" s="3240"/>
      <c r="X99" s="3241"/>
      <c r="Y99" s="3241"/>
      <c r="Z99" s="3242">
        <f t="shared" si="6"/>
        <v>89</v>
      </c>
      <c r="AA99" s="3243">
        <f t="shared" si="7"/>
        <v>33885</v>
      </c>
      <c r="AB99" s="3242">
        <f t="shared" si="12"/>
        <v>28941</v>
      </c>
      <c r="AC99" s="3241">
        <f>Страхування!N25</f>
        <v>3841</v>
      </c>
      <c r="AD99" s="3241">
        <f>Страхування!P25</f>
        <v>1103</v>
      </c>
      <c r="AE99" s="3242">
        <f t="shared" si="11"/>
        <v>28941</v>
      </c>
      <c r="AF99" s="4261">
        <f>Страхування!D25</f>
        <v>7069</v>
      </c>
      <c r="AG99" s="3250" t="s">
        <v>124</v>
      </c>
      <c r="AH99" s="3241">
        <f>Страхування!F25</f>
        <v>21872</v>
      </c>
      <c r="AI99" s="3250" t="s">
        <v>124</v>
      </c>
      <c r="AJ99" s="3241"/>
      <c r="AK99" s="3250" t="s">
        <v>124</v>
      </c>
      <c r="AL99" s="3241"/>
      <c r="AM99" s="3250" t="s">
        <v>124</v>
      </c>
      <c r="AN99" s="3241"/>
      <c r="AO99" s="3250" t="s">
        <v>124</v>
      </c>
      <c r="AP99" s="3242">
        <f t="shared" si="14"/>
        <v>0</v>
      </c>
      <c r="AQ99" s="3241"/>
      <c r="AR99" s="3241"/>
      <c r="AS99" s="3242">
        <f t="shared" si="9"/>
        <v>89</v>
      </c>
      <c r="AT99" s="3247"/>
      <c r="AU99" s="3248"/>
      <c r="AV99" s="3248"/>
      <c r="AW99" s="3247"/>
      <c r="AX99" s="3248"/>
      <c r="AY99" s="3248"/>
      <c r="AZ99" s="3247"/>
      <c r="BA99" s="3248"/>
      <c r="BB99" s="3248"/>
      <c r="BC99" s="3247"/>
      <c r="BD99" s="3248"/>
      <c r="BE99" s="3248"/>
      <c r="BF99" s="3248"/>
      <c r="BG99" s="3248"/>
      <c r="BH99" s="3249"/>
      <c r="BI99" s="3249"/>
      <c r="BL99" s="3216" t="s">
        <v>2681</v>
      </c>
      <c r="BM99" s="4239">
        <f>Страхування!R25-'Прямі витрати'!AA99</f>
        <v>0</v>
      </c>
    </row>
    <row r="100" spans="1:65" ht="27.6" customHeight="1" x14ac:dyDescent="0.3">
      <c r="A100" s="3270">
        <f t="shared" si="13"/>
        <v>90</v>
      </c>
      <c r="B100" s="3276" t="s">
        <v>1592</v>
      </c>
      <c r="C100" s="3271"/>
      <c r="D100" s="3240"/>
      <c r="E100" s="3241"/>
      <c r="F100" s="3241"/>
      <c r="G100" s="3240"/>
      <c r="H100" s="3241"/>
      <c r="I100" s="3241"/>
      <c r="J100" s="3241"/>
      <c r="K100" s="3240"/>
      <c r="L100" s="3241"/>
      <c r="M100" s="3241"/>
      <c r="N100" s="3240">
        <f t="shared" si="5"/>
        <v>90</v>
      </c>
      <c r="O100" s="3239"/>
      <c r="P100" s="3240"/>
      <c r="Q100" s="3241"/>
      <c r="R100" s="3241"/>
      <c r="S100" s="3240"/>
      <c r="T100" s="3241"/>
      <c r="U100" s="3241"/>
      <c r="V100" s="3241"/>
      <c r="W100" s="3240"/>
      <c r="X100" s="3241"/>
      <c r="Y100" s="3241"/>
      <c r="Z100" s="3242">
        <f t="shared" si="6"/>
        <v>90</v>
      </c>
      <c r="AA100" s="3243">
        <f t="shared" si="7"/>
        <v>7140</v>
      </c>
      <c r="AB100" s="3242">
        <f t="shared" si="12"/>
        <v>7140</v>
      </c>
      <c r="AC100" s="3241"/>
      <c r="AD100" s="3241"/>
      <c r="AE100" s="3242">
        <f t="shared" si="11"/>
        <v>7140</v>
      </c>
      <c r="AF100" s="4274">
        <f>8.568/1.2*1000-AH100</f>
        <v>5490</v>
      </c>
      <c r="AG100" s="3250" t="s">
        <v>124</v>
      </c>
      <c r="AH100" s="4273">
        <v>1650</v>
      </c>
      <c r="AI100" s="3250" t="s">
        <v>124</v>
      </c>
      <c r="AJ100" s="3241"/>
      <c r="AK100" s="3250" t="s">
        <v>124</v>
      </c>
      <c r="AL100" s="3241"/>
      <c r="AM100" s="3250" t="s">
        <v>124</v>
      </c>
      <c r="AN100" s="3241"/>
      <c r="AO100" s="3250" t="s">
        <v>124</v>
      </c>
      <c r="AP100" s="3242">
        <f t="shared" si="14"/>
        <v>0</v>
      </c>
      <c r="AQ100" s="3241"/>
      <c r="AR100" s="3241"/>
      <c r="AS100" s="3242">
        <f t="shared" si="9"/>
        <v>90</v>
      </c>
      <c r="AT100" s="3247"/>
      <c r="AU100" s="3248"/>
      <c r="AV100" s="3248"/>
      <c r="AW100" s="3247"/>
      <c r="AX100" s="3248"/>
      <c r="AY100" s="3248"/>
      <c r="AZ100" s="3247"/>
      <c r="BA100" s="3248"/>
      <c r="BB100" s="3248"/>
      <c r="BC100" s="3247"/>
      <c r="BD100" s="3248"/>
      <c r="BE100" s="3248"/>
      <c r="BF100" s="3248"/>
      <c r="BG100" s="3248"/>
      <c r="BH100" s="3249"/>
      <c r="BI100" s="3249"/>
      <c r="BM100" s="4198"/>
    </row>
    <row r="101" spans="1:65" ht="12.6" customHeight="1" x14ac:dyDescent="0.3">
      <c r="A101" s="3270">
        <f t="shared" si="13"/>
        <v>91</v>
      </c>
      <c r="B101" s="3276" t="s">
        <v>4070</v>
      </c>
      <c r="C101" s="3271"/>
      <c r="D101" s="3240"/>
      <c r="E101" s="3241"/>
      <c r="F101" s="3241"/>
      <c r="G101" s="3240"/>
      <c r="H101" s="3241"/>
      <c r="I101" s="3241"/>
      <c r="J101" s="3241"/>
      <c r="K101" s="3240"/>
      <c r="L101" s="3241"/>
      <c r="M101" s="3241"/>
      <c r="N101" s="3240">
        <f t="shared" si="5"/>
        <v>91</v>
      </c>
      <c r="O101" s="3239"/>
      <c r="P101" s="3240"/>
      <c r="Q101" s="3241"/>
      <c r="R101" s="3241"/>
      <c r="S101" s="3240"/>
      <c r="T101" s="3241"/>
      <c r="U101" s="3241"/>
      <c r="V101" s="3241"/>
      <c r="W101" s="3240"/>
      <c r="X101" s="3241"/>
      <c r="Y101" s="3241"/>
      <c r="Z101" s="3242">
        <f t="shared" si="6"/>
        <v>91</v>
      </c>
      <c r="AA101" s="3243">
        <f t="shared" si="7"/>
        <v>0</v>
      </c>
      <c r="AB101" s="3242">
        <f t="shared" si="12"/>
        <v>0</v>
      </c>
      <c r="AC101" s="3241"/>
      <c r="AD101" s="3241"/>
      <c r="AE101" s="3242">
        <f t="shared" si="11"/>
        <v>0</v>
      </c>
      <c r="AF101" s="4261"/>
      <c r="AG101" s="3250" t="s">
        <v>124</v>
      </c>
      <c r="AH101" s="3241"/>
      <c r="AI101" s="3250" t="s">
        <v>124</v>
      </c>
      <c r="AJ101" s="3241"/>
      <c r="AK101" s="3250" t="s">
        <v>124</v>
      </c>
      <c r="AL101" s="3241"/>
      <c r="AM101" s="3250" t="s">
        <v>124</v>
      </c>
      <c r="AN101" s="3241"/>
      <c r="AO101" s="3250" t="s">
        <v>124</v>
      </c>
      <c r="AP101" s="3242">
        <f t="shared" si="14"/>
        <v>0</v>
      </c>
      <c r="AQ101" s="3241"/>
      <c r="AR101" s="3241"/>
      <c r="AS101" s="3242">
        <f t="shared" si="9"/>
        <v>91</v>
      </c>
      <c r="AT101" s="3247"/>
      <c r="AU101" s="3248"/>
      <c r="AV101" s="3248"/>
      <c r="AW101" s="3247"/>
      <c r="AX101" s="3248"/>
      <c r="AY101" s="3248"/>
      <c r="AZ101" s="3247"/>
      <c r="BA101" s="3248"/>
      <c r="BB101" s="3248"/>
      <c r="BC101" s="3247"/>
      <c r="BD101" s="3248"/>
      <c r="BE101" s="3248"/>
      <c r="BF101" s="3248"/>
      <c r="BG101" s="3248"/>
      <c r="BH101" s="3249"/>
      <c r="BI101" s="3249"/>
      <c r="BM101" s="4198"/>
    </row>
    <row r="102" spans="1:65" ht="26.4" customHeight="1" x14ac:dyDescent="0.3">
      <c r="A102" s="3270">
        <f t="shared" si="13"/>
        <v>92</v>
      </c>
      <c r="B102" s="4205" t="s">
        <v>1404</v>
      </c>
      <c r="C102" s="3271"/>
      <c r="D102" s="3240"/>
      <c r="E102" s="3241"/>
      <c r="F102" s="3241"/>
      <c r="G102" s="3240"/>
      <c r="H102" s="3241"/>
      <c r="I102" s="3241"/>
      <c r="J102" s="3241"/>
      <c r="K102" s="3240"/>
      <c r="L102" s="3241"/>
      <c r="M102" s="3241"/>
      <c r="N102" s="3240">
        <f t="shared" si="5"/>
        <v>92</v>
      </c>
      <c r="O102" s="3239"/>
      <c r="P102" s="3240"/>
      <c r="Q102" s="3241"/>
      <c r="R102" s="3241"/>
      <c r="S102" s="3240"/>
      <c r="T102" s="3241"/>
      <c r="U102" s="3241"/>
      <c r="V102" s="3241"/>
      <c r="W102" s="3240"/>
      <c r="X102" s="3241"/>
      <c r="Y102" s="3241"/>
      <c r="Z102" s="3242">
        <f t="shared" si="6"/>
        <v>92</v>
      </c>
      <c r="AA102" s="3243">
        <f t="shared" si="7"/>
        <v>0</v>
      </c>
      <c r="AB102" s="3242">
        <f t="shared" si="12"/>
        <v>0</v>
      </c>
      <c r="AC102" s="3241">
        <f>'ТК ТЗ'!I14</f>
        <v>0</v>
      </c>
      <c r="AD102" s="3241">
        <f>'ТК ТЗ'!I15</f>
        <v>0</v>
      </c>
      <c r="AE102" s="3242">
        <f t="shared" si="11"/>
        <v>0</v>
      </c>
      <c r="AF102" s="4261"/>
      <c r="AG102" s="3250" t="s">
        <v>124</v>
      </c>
      <c r="AH102" s="3241">
        <f>'ТК ТЗ'!I13</f>
        <v>0</v>
      </c>
      <c r="AI102" s="3250" t="s">
        <v>124</v>
      </c>
      <c r="AJ102" s="3241"/>
      <c r="AK102" s="3250" t="s">
        <v>124</v>
      </c>
      <c r="AL102" s="3241"/>
      <c r="AM102" s="3250" t="s">
        <v>124</v>
      </c>
      <c r="AN102" s="3241"/>
      <c r="AO102" s="3250" t="s">
        <v>124</v>
      </c>
      <c r="AP102" s="3242">
        <f t="shared" si="14"/>
        <v>0</v>
      </c>
      <c r="AQ102" s="3241"/>
      <c r="AR102" s="3241"/>
      <c r="AS102" s="3242">
        <f t="shared" si="9"/>
        <v>92</v>
      </c>
      <c r="AT102" s="3247"/>
      <c r="AU102" s="3248"/>
      <c r="AV102" s="3248"/>
      <c r="AW102" s="3247"/>
      <c r="AX102" s="3248"/>
      <c r="AY102" s="3248"/>
      <c r="AZ102" s="3247"/>
      <c r="BA102" s="3248"/>
      <c r="BB102" s="3248"/>
      <c r="BC102" s="3247"/>
      <c r="BD102" s="3248"/>
      <c r="BE102" s="3248"/>
      <c r="BF102" s="3248"/>
      <c r="BG102" s="3248"/>
      <c r="BH102" s="3249"/>
      <c r="BI102" s="3249"/>
      <c r="BL102" s="3216" t="s">
        <v>4071</v>
      </c>
      <c r="BM102" s="4198" t="s">
        <v>4072</v>
      </c>
    </row>
    <row r="103" spans="1:65" ht="12.6" customHeight="1" x14ac:dyDescent="0.3">
      <c r="A103" s="3270">
        <f t="shared" si="13"/>
        <v>93</v>
      </c>
      <c r="B103" s="3275" t="s">
        <v>4073</v>
      </c>
      <c r="C103" s="3271"/>
      <c r="D103" s="3240"/>
      <c r="E103" s="3241"/>
      <c r="F103" s="3241"/>
      <c r="G103" s="3240"/>
      <c r="H103" s="3241"/>
      <c r="I103" s="3241"/>
      <c r="J103" s="3241"/>
      <c r="K103" s="3240"/>
      <c r="L103" s="3241"/>
      <c r="M103" s="3241"/>
      <c r="N103" s="3240">
        <f t="shared" si="5"/>
        <v>93</v>
      </c>
      <c r="O103" s="3239"/>
      <c r="P103" s="3240"/>
      <c r="Q103" s="3241"/>
      <c r="R103" s="3241"/>
      <c r="S103" s="3240"/>
      <c r="T103" s="3241"/>
      <c r="U103" s="3241"/>
      <c r="V103" s="3241"/>
      <c r="W103" s="3240"/>
      <c r="X103" s="3241"/>
      <c r="Y103" s="3241"/>
      <c r="Z103" s="3242">
        <f t="shared" si="6"/>
        <v>93</v>
      </c>
      <c r="AA103" s="3243">
        <f t="shared" si="7"/>
        <v>9000</v>
      </c>
      <c r="AB103" s="3242">
        <f t="shared" si="12"/>
        <v>9000</v>
      </c>
      <c r="AC103" s="3241"/>
      <c r="AD103" s="3241"/>
      <c r="AE103" s="3242">
        <f t="shared" si="11"/>
        <v>9000</v>
      </c>
      <c r="AF103" s="4261"/>
      <c r="AG103" s="3250" t="s">
        <v>124</v>
      </c>
      <c r="AH103" s="3241">
        <v>9000</v>
      </c>
      <c r="AI103" s="3250" t="s">
        <v>124</v>
      </c>
      <c r="AJ103" s="3241"/>
      <c r="AK103" s="3250" t="s">
        <v>124</v>
      </c>
      <c r="AL103" s="3241"/>
      <c r="AM103" s="3250" t="s">
        <v>124</v>
      </c>
      <c r="AN103" s="3241"/>
      <c r="AO103" s="3250" t="s">
        <v>124</v>
      </c>
      <c r="AP103" s="3242">
        <f t="shared" si="14"/>
        <v>0</v>
      </c>
      <c r="AQ103" s="3241"/>
      <c r="AR103" s="3241"/>
      <c r="AS103" s="3242">
        <f t="shared" si="9"/>
        <v>93</v>
      </c>
      <c r="AT103" s="3247"/>
      <c r="AU103" s="3248"/>
      <c r="AV103" s="3248"/>
      <c r="AW103" s="3247"/>
      <c r="AX103" s="3248"/>
      <c r="AY103" s="3248"/>
      <c r="AZ103" s="3247"/>
      <c r="BA103" s="3248"/>
      <c r="BB103" s="3248"/>
      <c r="BC103" s="3247"/>
      <c r="BD103" s="3248"/>
      <c r="BE103" s="3248"/>
      <c r="BF103" s="3248"/>
      <c r="BG103" s="3248"/>
      <c r="BH103" s="3249"/>
      <c r="BI103" s="3249"/>
      <c r="BM103" s="4198"/>
    </row>
    <row r="104" spans="1:65" ht="25.95" customHeight="1" x14ac:dyDescent="0.3">
      <c r="A104" s="3270">
        <f t="shared" si="13"/>
        <v>94</v>
      </c>
      <c r="B104" s="3275" t="s">
        <v>4078</v>
      </c>
      <c r="C104" s="3271"/>
      <c r="D104" s="3240"/>
      <c r="E104" s="3241"/>
      <c r="F104" s="3241"/>
      <c r="G104" s="3240"/>
      <c r="H104" s="3241"/>
      <c r="I104" s="3241"/>
      <c r="J104" s="3241"/>
      <c r="K104" s="3240"/>
      <c r="L104" s="3241"/>
      <c r="M104" s="3241"/>
      <c r="N104" s="3240">
        <f t="shared" si="5"/>
        <v>94</v>
      </c>
      <c r="O104" s="3239"/>
      <c r="P104" s="3240"/>
      <c r="Q104" s="3241"/>
      <c r="R104" s="3241"/>
      <c r="S104" s="3240"/>
      <c r="T104" s="3241"/>
      <c r="U104" s="3241"/>
      <c r="V104" s="3241"/>
      <c r="W104" s="3240"/>
      <c r="X104" s="3241"/>
      <c r="Y104" s="3241"/>
      <c r="Z104" s="3242">
        <f t="shared" si="6"/>
        <v>94</v>
      </c>
      <c r="AA104" s="3243">
        <f t="shared" si="7"/>
        <v>235000</v>
      </c>
      <c r="AB104" s="3242">
        <f t="shared" si="12"/>
        <v>122000</v>
      </c>
      <c r="AC104" s="3241">
        <f>'ТО ТЗ'!I40</f>
        <v>67000</v>
      </c>
      <c r="AD104" s="3241">
        <f>'ТО ТЗ'!I41</f>
        <v>46000</v>
      </c>
      <c r="AE104" s="3242">
        <f t="shared" si="11"/>
        <v>122000</v>
      </c>
      <c r="AF104" s="4261">
        <f>'ТО ТЗ'!I38</f>
        <v>2000</v>
      </c>
      <c r="AG104" s="3250" t="s">
        <v>124</v>
      </c>
      <c r="AH104" s="3241">
        <f>'ТО ТЗ'!I39</f>
        <v>120000</v>
      </c>
      <c r="AI104" s="3250" t="s">
        <v>124</v>
      </c>
      <c r="AJ104" s="3241"/>
      <c r="AK104" s="3250" t="s">
        <v>124</v>
      </c>
      <c r="AL104" s="3241"/>
      <c r="AM104" s="3250" t="s">
        <v>124</v>
      </c>
      <c r="AN104" s="3241"/>
      <c r="AO104" s="3250" t="s">
        <v>124</v>
      </c>
      <c r="AP104" s="3242">
        <f t="shared" si="14"/>
        <v>0</v>
      </c>
      <c r="AQ104" s="3241"/>
      <c r="AR104" s="3241"/>
      <c r="AS104" s="3242">
        <f t="shared" si="9"/>
        <v>94</v>
      </c>
      <c r="AT104" s="3247"/>
      <c r="AU104" s="3248"/>
      <c r="AV104" s="3248"/>
      <c r="AW104" s="3247"/>
      <c r="AX104" s="3248"/>
      <c r="AY104" s="3248"/>
      <c r="AZ104" s="3247"/>
      <c r="BA104" s="3248"/>
      <c r="BB104" s="3248"/>
      <c r="BC104" s="3247"/>
      <c r="BD104" s="3248"/>
      <c r="BE104" s="3248"/>
      <c r="BF104" s="3248"/>
      <c r="BG104" s="3248"/>
      <c r="BH104" s="3249"/>
      <c r="BI104" s="3249"/>
      <c r="BL104" s="3216" t="s">
        <v>2680</v>
      </c>
      <c r="BM104" s="4241">
        <f>'ТО ТЗ'!I37-'Прямі витрати'!AA104</f>
        <v>0</v>
      </c>
    </row>
    <row r="105" spans="1:65" ht="28.2" customHeight="1" x14ac:dyDescent="0.25">
      <c r="A105" s="3270">
        <f t="shared" si="13"/>
        <v>95</v>
      </c>
      <c r="B105" s="4205" t="s">
        <v>4095</v>
      </c>
      <c r="C105" s="3271"/>
      <c r="D105" s="3240"/>
      <c r="E105" s="3241"/>
      <c r="F105" s="3241"/>
      <c r="G105" s="3240"/>
      <c r="H105" s="3241"/>
      <c r="I105" s="3241"/>
      <c r="J105" s="3241"/>
      <c r="K105" s="3240"/>
      <c r="L105" s="3241"/>
      <c r="M105" s="3241"/>
      <c r="N105" s="3240">
        <f t="shared" si="5"/>
        <v>95</v>
      </c>
      <c r="O105" s="3239"/>
      <c r="P105" s="3240"/>
      <c r="Q105" s="3241"/>
      <c r="R105" s="3241"/>
      <c r="S105" s="3240"/>
      <c r="T105" s="3241"/>
      <c r="U105" s="3241"/>
      <c r="V105" s="3241"/>
      <c r="W105" s="3240"/>
      <c r="X105" s="3241"/>
      <c r="Y105" s="3241"/>
      <c r="Z105" s="3242">
        <f t="shared" si="6"/>
        <v>95</v>
      </c>
      <c r="AA105" s="3243">
        <f t="shared" si="7"/>
        <v>1600</v>
      </c>
      <c r="AB105" s="3242">
        <f t="shared" si="12"/>
        <v>1600</v>
      </c>
      <c r="AC105" s="3241"/>
      <c r="AD105" s="3241"/>
      <c r="AE105" s="3242">
        <f t="shared" si="11"/>
        <v>1600</v>
      </c>
      <c r="AF105" s="4261"/>
      <c r="AG105" s="3250" t="s">
        <v>124</v>
      </c>
      <c r="AH105" s="3241">
        <v>1600</v>
      </c>
      <c r="AI105" s="3250" t="s">
        <v>124</v>
      </c>
      <c r="AJ105" s="3241"/>
      <c r="AK105" s="3250" t="s">
        <v>124</v>
      </c>
      <c r="AL105" s="3241"/>
      <c r="AM105" s="3250" t="s">
        <v>124</v>
      </c>
      <c r="AN105" s="3241"/>
      <c r="AO105" s="3250" t="s">
        <v>124</v>
      </c>
      <c r="AP105" s="3242">
        <f t="shared" si="14"/>
        <v>0</v>
      </c>
      <c r="AQ105" s="3241"/>
      <c r="AR105" s="3241"/>
      <c r="AS105" s="3242">
        <f t="shared" si="9"/>
        <v>95</v>
      </c>
      <c r="AT105" s="3247"/>
      <c r="AU105" s="3248"/>
      <c r="AV105" s="3248"/>
      <c r="AW105" s="3247"/>
      <c r="AX105" s="3248"/>
      <c r="AY105" s="3248"/>
      <c r="AZ105" s="3247"/>
      <c r="BA105" s="3248"/>
      <c r="BB105" s="3248"/>
      <c r="BC105" s="3247"/>
      <c r="BD105" s="3248"/>
      <c r="BE105" s="3248"/>
      <c r="BF105" s="3248"/>
      <c r="BG105" s="3248"/>
      <c r="BH105" s="3249"/>
      <c r="BI105" s="3249"/>
      <c r="BL105" s="1478" t="s">
        <v>3727</v>
      </c>
      <c r="BM105" s="4198"/>
    </row>
    <row r="106" spans="1:65" ht="27" customHeight="1" x14ac:dyDescent="0.3">
      <c r="A106" s="3270">
        <f t="shared" si="13"/>
        <v>96</v>
      </c>
      <c r="B106" s="4205" t="s">
        <v>4096</v>
      </c>
      <c r="C106" s="3271"/>
      <c r="D106" s="3240"/>
      <c r="E106" s="3241"/>
      <c r="F106" s="3241"/>
      <c r="G106" s="3240"/>
      <c r="H106" s="3241"/>
      <c r="I106" s="3241"/>
      <c r="J106" s="3241"/>
      <c r="K106" s="3240"/>
      <c r="L106" s="3241"/>
      <c r="M106" s="3241"/>
      <c r="N106" s="3240">
        <f t="shared" si="5"/>
        <v>96</v>
      </c>
      <c r="O106" s="3239"/>
      <c r="P106" s="3240"/>
      <c r="Q106" s="3241"/>
      <c r="R106" s="3241"/>
      <c r="S106" s="3240"/>
      <c r="T106" s="3241"/>
      <c r="U106" s="3241"/>
      <c r="V106" s="3241"/>
      <c r="W106" s="3240"/>
      <c r="X106" s="3241"/>
      <c r="Y106" s="3241"/>
      <c r="Z106" s="3242">
        <f t="shared" si="6"/>
        <v>96</v>
      </c>
      <c r="AA106" s="3243">
        <f t="shared" si="7"/>
        <v>0</v>
      </c>
      <c r="AB106" s="3242">
        <f t="shared" si="12"/>
        <v>0</v>
      </c>
      <c r="AC106" s="3241"/>
      <c r="AD106" s="3241"/>
      <c r="AE106" s="3242">
        <f t="shared" si="11"/>
        <v>0</v>
      </c>
      <c r="AF106" s="4261"/>
      <c r="AG106" s="3250" t="s">
        <v>124</v>
      </c>
      <c r="AH106" s="3241"/>
      <c r="AI106" s="3250" t="s">
        <v>124</v>
      </c>
      <c r="AJ106" s="3241"/>
      <c r="AK106" s="3250" t="s">
        <v>124</v>
      </c>
      <c r="AL106" s="3241"/>
      <c r="AM106" s="3250" t="s">
        <v>124</v>
      </c>
      <c r="AN106" s="3241"/>
      <c r="AO106" s="3250" t="s">
        <v>124</v>
      </c>
      <c r="AP106" s="3242">
        <f t="shared" si="14"/>
        <v>0</v>
      </c>
      <c r="AQ106" s="3241"/>
      <c r="AR106" s="3241"/>
      <c r="AS106" s="3242">
        <f t="shared" si="9"/>
        <v>96</v>
      </c>
      <c r="AT106" s="3247"/>
      <c r="AU106" s="3248"/>
      <c r="AV106" s="3248"/>
      <c r="AW106" s="3247"/>
      <c r="AX106" s="3248"/>
      <c r="AY106" s="3248"/>
      <c r="AZ106" s="3247"/>
      <c r="BA106" s="3248"/>
      <c r="BB106" s="3248"/>
      <c r="BC106" s="3247"/>
      <c r="BD106" s="3248"/>
      <c r="BE106" s="3248"/>
      <c r="BF106" s="3248"/>
      <c r="BG106" s="3248"/>
      <c r="BH106" s="3249"/>
      <c r="BI106" s="3249"/>
      <c r="BM106" s="4198"/>
    </row>
    <row r="107" spans="1:65" ht="12.6" customHeight="1" x14ac:dyDescent="0.3">
      <c r="A107" s="3270">
        <f t="shared" ref="A107:A148" si="16">A106+1</f>
        <v>97</v>
      </c>
      <c r="B107" s="3275" t="s">
        <v>4097</v>
      </c>
      <c r="C107" s="3271"/>
      <c r="D107" s="3240"/>
      <c r="E107" s="3241"/>
      <c r="F107" s="3241"/>
      <c r="G107" s="3240"/>
      <c r="H107" s="3241"/>
      <c r="I107" s="3241"/>
      <c r="J107" s="3241"/>
      <c r="K107" s="3240"/>
      <c r="L107" s="3241"/>
      <c r="M107" s="3241"/>
      <c r="N107" s="3240">
        <f t="shared" si="5"/>
        <v>97</v>
      </c>
      <c r="O107" s="3239"/>
      <c r="P107" s="3240"/>
      <c r="Q107" s="3241"/>
      <c r="R107" s="3241"/>
      <c r="S107" s="3240"/>
      <c r="T107" s="3241"/>
      <c r="U107" s="3241"/>
      <c r="V107" s="3241"/>
      <c r="W107" s="3240"/>
      <c r="X107" s="3241"/>
      <c r="Y107" s="3241"/>
      <c r="Z107" s="3242">
        <f t="shared" si="6"/>
        <v>97</v>
      </c>
      <c r="AA107" s="3243">
        <f t="shared" si="7"/>
        <v>0</v>
      </c>
      <c r="AB107" s="3242">
        <f t="shared" si="12"/>
        <v>0</v>
      </c>
      <c r="AC107" s="3241"/>
      <c r="AD107" s="3241"/>
      <c r="AE107" s="3242">
        <f t="shared" si="11"/>
        <v>0</v>
      </c>
      <c r="AF107" s="4261"/>
      <c r="AG107" s="3250" t="s">
        <v>124</v>
      </c>
      <c r="AH107" s="3241"/>
      <c r="AI107" s="3250" t="s">
        <v>124</v>
      </c>
      <c r="AJ107" s="3241"/>
      <c r="AK107" s="3250" t="s">
        <v>124</v>
      </c>
      <c r="AL107" s="3241"/>
      <c r="AM107" s="3250" t="s">
        <v>124</v>
      </c>
      <c r="AN107" s="3241"/>
      <c r="AO107" s="3250" t="s">
        <v>124</v>
      </c>
      <c r="AP107" s="3242">
        <f t="shared" si="14"/>
        <v>0</v>
      </c>
      <c r="AQ107" s="3241"/>
      <c r="AR107" s="3241"/>
      <c r="AS107" s="3242">
        <f t="shared" si="9"/>
        <v>97</v>
      </c>
      <c r="AT107" s="3247"/>
      <c r="AU107" s="3248"/>
      <c r="AV107" s="3248"/>
      <c r="AW107" s="3247"/>
      <c r="AX107" s="3248"/>
      <c r="AY107" s="3248"/>
      <c r="AZ107" s="3247"/>
      <c r="BA107" s="3248"/>
      <c r="BB107" s="3248"/>
      <c r="BC107" s="3247"/>
      <c r="BD107" s="3248"/>
      <c r="BE107" s="3248"/>
      <c r="BF107" s="3248"/>
      <c r="BG107" s="3248"/>
      <c r="BH107" s="3249"/>
      <c r="BI107" s="3249"/>
      <c r="BM107" s="4198"/>
    </row>
    <row r="108" spans="1:65" ht="28.95" customHeight="1" x14ac:dyDescent="0.3">
      <c r="A108" s="3270">
        <f t="shared" si="16"/>
        <v>98</v>
      </c>
      <c r="B108" s="3276" t="s">
        <v>1411</v>
      </c>
      <c r="C108" s="3271"/>
      <c r="D108" s="3240"/>
      <c r="E108" s="3241"/>
      <c r="F108" s="3241"/>
      <c r="G108" s="3240"/>
      <c r="H108" s="3241"/>
      <c r="I108" s="3241"/>
      <c r="J108" s="3241"/>
      <c r="K108" s="3240"/>
      <c r="L108" s="3241"/>
      <c r="M108" s="3241"/>
      <c r="N108" s="3240">
        <f t="shared" si="5"/>
        <v>98</v>
      </c>
      <c r="O108" s="3239"/>
      <c r="P108" s="3240"/>
      <c r="Q108" s="3241"/>
      <c r="R108" s="3241"/>
      <c r="S108" s="3240"/>
      <c r="T108" s="3241"/>
      <c r="U108" s="3241"/>
      <c r="V108" s="3241"/>
      <c r="W108" s="3240"/>
      <c r="X108" s="3241"/>
      <c r="Y108" s="3241"/>
      <c r="Z108" s="3242">
        <f t="shared" si="6"/>
        <v>98</v>
      </c>
      <c r="AA108" s="3243">
        <f t="shared" si="7"/>
        <v>3258.25</v>
      </c>
      <c r="AB108" s="3242">
        <f t="shared" si="12"/>
        <v>3183.25</v>
      </c>
      <c r="AC108" s="3241">
        <f>Утилизація!H34</f>
        <v>75</v>
      </c>
      <c r="AD108" s="3241">
        <f>Утилизація!I34</f>
        <v>0</v>
      </c>
      <c r="AE108" s="3242">
        <f t="shared" si="11"/>
        <v>3175.75</v>
      </c>
      <c r="AF108" s="4261">
        <f>Утилизація!C34</f>
        <v>1531</v>
      </c>
      <c r="AG108" s="3250" t="s">
        <v>124</v>
      </c>
      <c r="AH108" s="3241">
        <f>Утилизація!D34</f>
        <v>1637.25</v>
      </c>
      <c r="AI108" s="3250" t="s">
        <v>124</v>
      </c>
      <c r="AJ108" s="3241"/>
      <c r="AK108" s="3250" t="s">
        <v>124</v>
      </c>
      <c r="AL108" s="3241"/>
      <c r="AM108" s="3250" t="s">
        <v>124</v>
      </c>
      <c r="AN108" s="3241">
        <f>Утилизація!E34</f>
        <v>7.5</v>
      </c>
      <c r="AO108" s="3250" t="s">
        <v>124</v>
      </c>
      <c r="AP108" s="3242">
        <f t="shared" si="14"/>
        <v>7.5</v>
      </c>
      <c r="AQ108" s="3241">
        <f>Утилизація!F34</f>
        <v>7.5</v>
      </c>
      <c r="AR108" s="3241"/>
      <c r="AS108" s="3242">
        <f t="shared" si="9"/>
        <v>98</v>
      </c>
      <c r="AT108" s="3247"/>
      <c r="AU108" s="3248"/>
      <c r="AV108" s="3248"/>
      <c r="AW108" s="3247"/>
      <c r="AX108" s="3248"/>
      <c r="AY108" s="3248"/>
      <c r="AZ108" s="3247"/>
      <c r="BA108" s="3248"/>
      <c r="BB108" s="3248"/>
      <c r="BC108" s="3247"/>
      <c r="BD108" s="3248"/>
      <c r="BE108" s="3248"/>
      <c r="BF108" s="3248"/>
      <c r="BG108" s="3248"/>
      <c r="BH108" s="3249"/>
      <c r="BI108" s="3249"/>
      <c r="BM108" s="4198"/>
    </row>
    <row r="109" spans="1:65" ht="12.6" customHeight="1" x14ac:dyDescent="0.3">
      <c r="A109" s="3270">
        <f t="shared" si="16"/>
        <v>99</v>
      </c>
      <c r="B109" s="3276" t="s">
        <v>1593</v>
      </c>
      <c r="C109" s="3271"/>
      <c r="D109" s="3240"/>
      <c r="E109" s="3241"/>
      <c r="F109" s="3241"/>
      <c r="G109" s="3240"/>
      <c r="H109" s="3241"/>
      <c r="I109" s="3241"/>
      <c r="J109" s="3241"/>
      <c r="K109" s="3240"/>
      <c r="L109" s="3241"/>
      <c r="M109" s="3241"/>
      <c r="N109" s="3240">
        <f t="shared" si="5"/>
        <v>99</v>
      </c>
      <c r="O109" s="3239"/>
      <c r="P109" s="3240"/>
      <c r="Q109" s="3241"/>
      <c r="R109" s="3241"/>
      <c r="S109" s="3240"/>
      <c r="T109" s="3241"/>
      <c r="U109" s="3241"/>
      <c r="V109" s="3241"/>
      <c r="W109" s="3240"/>
      <c r="X109" s="3241"/>
      <c r="Y109" s="3241"/>
      <c r="Z109" s="3242">
        <f t="shared" si="6"/>
        <v>99</v>
      </c>
      <c r="AA109" s="3243">
        <f t="shared" si="7"/>
        <v>0</v>
      </c>
      <c r="AB109" s="3242">
        <f t="shared" si="12"/>
        <v>0</v>
      </c>
      <c r="AC109" s="3241"/>
      <c r="AD109" s="3241"/>
      <c r="AE109" s="3242">
        <f t="shared" si="11"/>
        <v>0</v>
      </c>
      <c r="AF109" s="4261"/>
      <c r="AG109" s="3250" t="s">
        <v>124</v>
      </c>
      <c r="AH109" s="3241"/>
      <c r="AI109" s="3250" t="s">
        <v>124</v>
      </c>
      <c r="AJ109" s="3241"/>
      <c r="AK109" s="3250" t="s">
        <v>124</v>
      </c>
      <c r="AL109" s="3241"/>
      <c r="AM109" s="3250" t="s">
        <v>124</v>
      </c>
      <c r="AN109" s="3241"/>
      <c r="AO109" s="3250" t="s">
        <v>124</v>
      </c>
      <c r="AP109" s="3242">
        <f t="shared" si="14"/>
        <v>0</v>
      </c>
      <c r="AQ109" s="3241"/>
      <c r="AR109" s="3241"/>
      <c r="AS109" s="3242">
        <f t="shared" si="9"/>
        <v>99</v>
      </c>
      <c r="AT109" s="3247"/>
      <c r="AU109" s="3248"/>
      <c r="AV109" s="3248"/>
      <c r="AW109" s="3247"/>
      <c r="AX109" s="3248"/>
      <c r="AY109" s="3248"/>
      <c r="AZ109" s="3247"/>
      <c r="BA109" s="3248"/>
      <c r="BB109" s="3248"/>
      <c r="BC109" s="3247"/>
      <c r="BD109" s="3248"/>
      <c r="BE109" s="3248"/>
      <c r="BF109" s="3248"/>
      <c r="BG109" s="3248"/>
      <c r="BH109" s="3249"/>
      <c r="BI109" s="3249"/>
    </row>
    <row r="110" spans="1:65" ht="12.6" customHeight="1" x14ac:dyDescent="0.3">
      <c r="A110" s="3270">
        <f t="shared" si="16"/>
        <v>100</v>
      </c>
      <c r="B110" s="3276" t="s">
        <v>1589</v>
      </c>
      <c r="C110" s="3271"/>
      <c r="D110" s="3240"/>
      <c r="E110" s="3241"/>
      <c r="F110" s="3241"/>
      <c r="G110" s="3240"/>
      <c r="H110" s="3241"/>
      <c r="I110" s="3241"/>
      <c r="J110" s="3241"/>
      <c r="K110" s="3240"/>
      <c r="L110" s="3241"/>
      <c r="M110" s="3241"/>
      <c r="N110" s="3240">
        <f t="shared" si="5"/>
        <v>100</v>
      </c>
      <c r="O110" s="3239"/>
      <c r="P110" s="3240"/>
      <c r="Q110" s="3241"/>
      <c r="R110" s="3241"/>
      <c r="S110" s="3240"/>
      <c r="T110" s="3241"/>
      <c r="U110" s="3241"/>
      <c r="V110" s="3241"/>
      <c r="W110" s="3240"/>
      <c r="X110" s="3241"/>
      <c r="Y110" s="3241"/>
      <c r="Z110" s="3242">
        <f t="shared" si="6"/>
        <v>100</v>
      </c>
      <c r="AA110" s="3243">
        <f t="shared" si="7"/>
        <v>0</v>
      </c>
      <c r="AB110" s="3242">
        <f t="shared" si="12"/>
        <v>0</v>
      </c>
      <c r="AC110" s="3241"/>
      <c r="AD110" s="3241"/>
      <c r="AE110" s="3242">
        <f t="shared" si="11"/>
        <v>0</v>
      </c>
      <c r="AF110" s="4261"/>
      <c r="AG110" s="3250" t="s">
        <v>124</v>
      </c>
      <c r="AH110" s="3241"/>
      <c r="AI110" s="3250" t="s">
        <v>124</v>
      </c>
      <c r="AJ110" s="3241"/>
      <c r="AK110" s="3250" t="s">
        <v>124</v>
      </c>
      <c r="AL110" s="3241"/>
      <c r="AM110" s="3250" t="s">
        <v>124</v>
      </c>
      <c r="AN110" s="3241"/>
      <c r="AO110" s="3250" t="s">
        <v>124</v>
      </c>
      <c r="AP110" s="3242">
        <f t="shared" si="14"/>
        <v>0</v>
      </c>
      <c r="AQ110" s="3241"/>
      <c r="AR110" s="3241"/>
      <c r="AS110" s="3242">
        <f t="shared" si="9"/>
        <v>100</v>
      </c>
      <c r="AT110" s="3247"/>
      <c r="AU110" s="3248"/>
      <c r="AV110" s="3248"/>
      <c r="AW110" s="3247"/>
      <c r="AX110" s="3248"/>
      <c r="AY110" s="3248"/>
      <c r="AZ110" s="3247"/>
      <c r="BA110" s="3248"/>
      <c r="BB110" s="3248"/>
      <c r="BC110" s="3247"/>
      <c r="BD110" s="3248"/>
      <c r="BE110" s="3248"/>
      <c r="BF110" s="3248"/>
      <c r="BG110" s="3248"/>
      <c r="BH110" s="3249"/>
      <c r="BI110" s="3249"/>
    </row>
    <row r="111" spans="1:65" ht="41.4" customHeight="1" x14ac:dyDescent="0.3">
      <c r="A111" s="3270">
        <f t="shared" si="16"/>
        <v>101</v>
      </c>
      <c r="B111" s="3276" t="s">
        <v>1719</v>
      </c>
      <c r="C111" s="3271"/>
      <c r="D111" s="3240"/>
      <c r="E111" s="3241"/>
      <c r="F111" s="3241"/>
      <c r="G111" s="3240"/>
      <c r="H111" s="3241"/>
      <c r="I111" s="3241"/>
      <c r="J111" s="3241"/>
      <c r="K111" s="3240"/>
      <c r="L111" s="3241"/>
      <c r="M111" s="3241"/>
      <c r="N111" s="3240">
        <f t="shared" si="5"/>
        <v>101</v>
      </c>
      <c r="O111" s="3239"/>
      <c r="P111" s="3240"/>
      <c r="Q111" s="3241"/>
      <c r="R111" s="3241"/>
      <c r="S111" s="3240"/>
      <c r="T111" s="3241"/>
      <c r="U111" s="3241"/>
      <c r="V111" s="3241"/>
      <c r="W111" s="3240"/>
      <c r="X111" s="3241"/>
      <c r="Y111" s="3241"/>
      <c r="Z111" s="3242">
        <f t="shared" si="6"/>
        <v>101</v>
      </c>
      <c r="AA111" s="3243">
        <f t="shared" si="7"/>
        <v>0</v>
      </c>
      <c r="AB111" s="3242">
        <f t="shared" si="12"/>
        <v>0</v>
      </c>
      <c r="AC111" s="3241"/>
      <c r="AD111" s="3241"/>
      <c r="AE111" s="3242">
        <f t="shared" si="11"/>
        <v>0</v>
      </c>
      <c r="AF111" s="4261"/>
      <c r="AG111" s="3250" t="s">
        <v>124</v>
      </c>
      <c r="AH111" s="3241"/>
      <c r="AI111" s="3250" t="s">
        <v>124</v>
      </c>
      <c r="AJ111" s="3241"/>
      <c r="AK111" s="3250" t="s">
        <v>124</v>
      </c>
      <c r="AL111" s="3241"/>
      <c r="AM111" s="3250" t="s">
        <v>124</v>
      </c>
      <c r="AN111" s="3241"/>
      <c r="AO111" s="3250" t="s">
        <v>124</v>
      </c>
      <c r="AP111" s="3242">
        <f t="shared" si="14"/>
        <v>0</v>
      </c>
      <c r="AQ111" s="3241"/>
      <c r="AR111" s="3241"/>
      <c r="AS111" s="3242">
        <f t="shared" si="9"/>
        <v>101</v>
      </c>
      <c r="AT111" s="3247"/>
      <c r="AU111" s="3248"/>
      <c r="AV111" s="3248"/>
      <c r="AW111" s="3247"/>
      <c r="AX111" s="3248"/>
      <c r="AY111" s="3248"/>
      <c r="AZ111" s="3247"/>
      <c r="BA111" s="3248"/>
      <c r="BB111" s="3248"/>
      <c r="BC111" s="3247"/>
      <c r="BD111" s="3248"/>
      <c r="BE111" s="3248"/>
      <c r="BF111" s="3248"/>
      <c r="BG111" s="3248"/>
      <c r="BH111" s="3249"/>
      <c r="BI111" s="3249"/>
    </row>
    <row r="112" spans="1:65" ht="13.2" x14ac:dyDescent="0.3">
      <c r="A112" s="3270">
        <f t="shared" si="16"/>
        <v>102</v>
      </c>
      <c r="B112" s="3275" t="s">
        <v>1401</v>
      </c>
      <c r="C112" s="3271"/>
      <c r="D112" s="3240"/>
      <c r="E112" s="3241"/>
      <c r="F112" s="3241"/>
      <c r="G112" s="3240"/>
      <c r="H112" s="3241"/>
      <c r="I112" s="3241"/>
      <c r="J112" s="3241"/>
      <c r="K112" s="3240"/>
      <c r="L112" s="3241"/>
      <c r="M112" s="3241"/>
      <c r="N112" s="3240">
        <f t="shared" si="5"/>
        <v>102</v>
      </c>
      <c r="O112" s="3239"/>
      <c r="P112" s="3240"/>
      <c r="Q112" s="3241"/>
      <c r="R112" s="3241"/>
      <c r="S112" s="3240"/>
      <c r="T112" s="3241"/>
      <c r="U112" s="3241"/>
      <c r="V112" s="3241"/>
      <c r="W112" s="3240"/>
      <c r="X112" s="3241"/>
      <c r="Y112" s="3241"/>
      <c r="Z112" s="3242">
        <f t="shared" si="6"/>
        <v>102</v>
      </c>
      <c r="AA112" s="3243">
        <f t="shared" ref="AA112:AA184" si="17">AB112+AC112+AD112</f>
        <v>18712.8</v>
      </c>
      <c r="AB112" s="3242">
        <f t="shared" si="12"/>
        <v>9356.4</v>
      </c>
      <c r="AC112" s="3263">
        <f>2339.1*4</f>
        <v>9356.4</v>
      </c>
      <c r="AD112" s="3241"/>
      <c r="AE112" s="3242">
        <f t="shared" si="11"/>
        <v>9356.4</v>
      </c>
      <c r="AF112" s="3263">
        <f>2339.1*4</f>
        <v>9356.4</v>
      </c>
      <c r="AG112" s="3250" t="s">
        <v>124</v>
      </c>
      <c r="AH112" s="3241"/>
      <c r="AI112" s="3250" t="s">
        <v>124</v>
      </c>
      <c r="AJ112" s="3241"/>
      <c r="AK112" s="3250" t="s">
        <v>124</v>
      </c>
      <c r="AL112" s="3241"/>
      <c r="AM112" s="3250" t="s">
        <v>124</v>
      </c>
      <c r="AN112" s="3241"/>
      <c r="AO112" s="3250" t="s">
        <v>124</v>
      </c>
      <c r="AP112" s="3242">
        <f t="shared" si="14"/>
        <v>0</v>
      </c>
      <c r="AQ112" s="3241"/>
      <c r="AR112" s="3241"/>
      <c r="AS112" s="3242">
        <f t="shared" si="9"/>
        <v>102</v>
      </c>
      <c r="AT112" s="3247"/>
      <c r="AU112" s="3248"/>
      <c r="AV112" s="3248"/>
      <c r="AW112" s="3247"/>
      <c r="AX112" s="3248"/>
      <c r="AY112" s="3248"/>
      <c r="AZ112" s="3247"/>
      <c r="BA112" s="3248"/>
      <c r="BB112" s="3248"/>
      <c r="BC112" s="3247"/>
      <c r="BD112" s="3248"/>
      <c r="BE112" s="3248"/>
      <c r="BF112" s="3248"/>
      <c r="BG112" s="3248"/>
      <c r="BH112" s="3249"/>
      <c r="BI112" s="3249"/>
    </row>
    <row r="113" spans="1:65" ht="13.2" x14ac:dyDescent="0.3">
      <c r="A113" s="3270">
        <f t="shared" si="16"/>
        <v>103</v>
      </c>
      <c r="B113" s="3276" t="s">
        <v>1900</v>
      </c>
      <c r="C113" s="3271"/>
      <c r="D113" s="3240"/>
      <c r="E113" s="3241"/>
      <c r="F113" s="3241"/>
      <c r="G113" s="3240"/>
      <c r="H113" s="3241"/>
      <c r="I113" s="3241"/>
      <c r="J113" s="3241"/>
      <c r="K113" s="3240"/>
      <c r="L113" s="3241"/>
      <c r="M113" s="3241"/>
      <c r="N113" s="3240">
        <f t="shared" si="5"/>
        <v>103</v>
      </c>
      <c r="O113" s="3239"/>
      <c r="P113" s="3240"/>
      <c r="Q113" s="3241"/>
      <c r="R113" s="3241"/>
      <c r="S113" s="3240"/>
      <c r="T113" s="3241"/>
      <c r="U113" s="3241"/>
      <c r="V113" s="3241"/>
      <c r="W113" s="3240"/>
      <c r="X113" s="3241"/>
      <c r="Y113" s="3241"/>
      <c r="Z113" s="3242">
        <f t="shared" si="6"/>
        <v>103</v>
      </c>
      <c r="AA113" s="3243">
        <f t="shared" si="17"/>
        <v>39550</v>
      </c>
      <c r="AB113" s="3242">
        <f t="shared" si="12"/>
        <v>28350</v>
      </c>
      <c r="AC113" s="3241">
        <f>Картріджі!E62</f>
        <v>9100</v>
      </c>
      <c r="AD113" s="3241">
        <f>Картріджі!E63</f>
        <v>2100</v>
      </c>
      <c r="AE113" s="3242">
        <f t="shared" si="11"/>
        <v>10500</v>
      </c>
      <c r="AF113" s="4261">
        <f>Картріджі!E57</f>
        <v>700</v>
      </c>
      <c r="AG113" s="3250" t="s">
        <v>124</v>
      </c>
      <c r="AH113" s="3241">
        <f>Картріджі!E58</f>
        <v>2100</v>
      </c>
      <c r="AI113" s="3250" t="s">
        <v>124</v>
      </c>
      <c r="AJ113" s="3241"/>
      <c r="AK113" s="3250" t="s">
        <v>124</v>
      </c>
      <c r="AL113" s="3241"/>
      <c r="AM113" s="3250" t="s">
        <v>124</v>
      </c>
      <c r="AN113" s="3241">
        <f>Картріджі!E59</f>
        <v>7700</v>
      </c>
      <c r="AO113" s="3250" t="s">
        <v>124</v>
      </c>
      <c r="AP113" s="3242">
        <f t="shared" si="14"/>
        <v>17850</v>
      </c>
      <c r="AQ113" s="3241">
        <f>Картріджі!E60+Картріджі!E61</f>
        <v>17850</v>
      </c>
      <c r="AR113" s="3241"/>
      <c r="AS113" s="3242">
        <f t="shared" si="9"/>
        <v>103</v>
      </c>
      <c r="AT113" s="3247"/>
      <c r="AU113" s="3248"/>
      <c r="AV113" s="3248"/>
      <c r="AW113" s="3247"/>
      <c r="AX113" s="3248"/>
      <c r="AY113" s="3248"/>
      <c r="AZ113" s="3247"/>
      <c r="BA113" s="3248"/>
      <c r="BB113" s="3248"/>
      <c r="BC113" s="3247"/>
      <c r="BD113" s="3248"/>
      <c r="BE113" s="3248"/>
      <c r="BF113" s="3248"/>
      <c r="BG113" s="3248"/>
      <c r="BH113" s="3249"/>
      <c r="BI113" s="3249"/>
      <c r="BL113" s="4267">
        <f>Картріджі!E64-'Прямі витрати'!AA113</f>
        <v>0</v>
      </c>
    </row>
    <row r="114" spans="1:65" ht="13.2" x14ac:dyDescent="0.3">
      <c r="A114" s="3270">
        <f t="shared" si="16"/>
        <v>104</v>
      </c>
      <c r="B114" s="3275" t="s">
        <v>1540</v>
      </c>
      <c r="C114" s="3271"/>
      <c r="D114" s="3240"/>
      <c r="E114" s="3241"/>
      <c r="F114" s="3241"/>
      <c r="G114" s="3240"/>
      <c r="H114" s="3241"/>
      <c r="I114" s="3241"/>
      <c r="J114" s="3241"/>
      <c r="K114" s="3240"/>
      <c r="L114" s="3241"/>
      <c r="M114" s="3241"/>
      <c r="N114" s="3240">
        <f t="shared" si="5"/>
        <v>104</v>
      </c>
      <c r="O114" s="3239"/>
      <c r="P114" s="3240"/>
      <c r="Q114" s="3241"/>
      <c r="R114" s="3241"/>
      <c r="S114" s="3240"/>
      <c r="T114" s="3241"/>
      <c r="U114" s="3241"/>
      <c r="V114" s="3241"/>
      <c r="W114" s="3240"/>
      <c r="X114" s="3241"/>
      <c r="Y114" s="3241"/>
      <c r="Z114" s="3242">
        <f t="shared" si="6"/>
        <v>104</v>
      </c>
      <c r="AA114" s="3243">
        <f t="shared" si="17"/>
        <v>0</v>
      </c>
      <c r="AB114" s="3242">
        <f t="shared" si="12"/>
        <v>0</v>
      </c>
      <c r="AC114" s="3241"/>
      <c r="AD114" s="3241"/>
      <c r="AE114" s="3242">
        <f t="shared" si="11"/>
        <v>0</v>
      </c>
      <c r="AF114" s="4261"/>
      <c r="AG114" s="3250" t="s">
        <v>124</v>
      </c>
      <c r="AH114" s="3241"/>
      <c r="AI114" s="3250" t="s">
        <v>124</v>
      </c>
      <c r="AJ114" s="3241"/>
      <c r="AK114" s="3250" t="s">
        <v>124</v>
      </c>
      <c r="AL114" s="3241"/>
      <c r="AM114" s="3250" t="s">
        <v>124</v>
      </c>
      <c r="AN114" s="3241"/>
      <c r="AO114" s="3250" t="s">
        <v>124</v>
      </c>
      <c r="AP114" s="3242">
        <f t="shared" si="14"/>
        <v>0</v>
      </c>
      <c r="AQ114" s="3241"/>
      <c r="AR114" s="3241"/>
      <c r="AS114" s="3242">
        <f t="shared" si="9"/>
        <v>104</v>
      </c>
      <c r="AT114" s="3247"/>
      <c r="AU114" s="3248"/>
      <c r="AV114" s="3248"/>
      <c r="AW114" s="3247"/>
      <c r="AX114" s="3248"/>
      <c r="AY114" s="3248"/>
      <c r="AZ114" s="3247"/>
      <c r="BA114" s="3248"/>
      <c r="BB114" s="3248"/>
      <c r="BC114" s="3247"/>
      <c r="BD114" s="3248"/>
      <c r="BE114" s="3248"/>
      <c r="BF114" s="3248"/>
      <c r="BG114" s="3248"/>
      <c r="BH114" s="3249"/>
      <c r="BI114" s="3249"/>
    </row>
    <row r="115" spans="1:65" ht="13.2" x14ac:dyDescent="0.3">
      <c r="A115" s="3270">
        <f t="shared" si="16"/>
        <v>105</v>
      </c>
      <c r="B115" s="3275" t="s">
        <v>924</v>
      </c>
      <c r="C115" s="3271"/>
      <c r="D115" s="3240"/>
      <c r="E115" s="3241"/>
      <c r="F115" s="3241"/>
      <c r="G115" s="3240"/>
      <c r="H115" s="3241"/>
      <c r="I115" s="3241"/>
      <c r="J115" s="3241"/>
      <c r="K115" s="3240"/>
      <c r="L115" s="3241"/>
      <c r="M115" s="3241"/>
      <c r="N115" s="3240">
        <f t="shared" si="5"/>
        <v>105</v>
      </c>
      <c r="O115" s="3239"/>
      <c r="P115" s="3240"/>
      <c r="Q115" s="3241"/>
      <c r="R115" s="3241"/>
      <c r="S115" s="3240"/>
      <c r="T115" s="3241"/>
      <c r="U115" s="3241"/>
      <c r="V115" s="3241"/>
      <c r="W115" s="3240"/>
      <c r="X115" s="3241"/>
      <c r="Y115" s="3241"/>
      <c r="Z115" s="3242">
        <f t="shared" si="6"/>
        <v>105</v>
      </c>
      <c r="AA115" s="3243">
        <f t="shared" si="17"/>
        <v>72679.16</v>
      </c>
      <c r="AB115" s="3242">
        <f t="shared" si="12"/>
        <v>9943.376085144364</v>
      </c>
      <c r="AC115" s="3241">
        <f>'Періодичні видання'!G3</f>
        <v>25324.695210882179</v>
      </c>
      <c r="AD115" s="3241">
        <f>'Періодичні видання'!H3</f>
        <v>37411.088703973466</v>
      </c>
      <c r="AE115" s="3242">
        <f t="shared" ref="AE115:AE164" si="18">AF115+AH115+AJ115+AL115+AN115</f>
        <v>9943.376085144364</v>
      </c>
      <c r="AF115" s="4261">
        <f>'Періодичні видання'!B3</f>
        <v>0</v>
      </c>
      <c r="AG115" s="3250" t="s">
        <v>124</v>
      </c>
      <c r="AH115" s="3241">
        <f>'Періодичні видання'!C3</f>
        <v>9943.376085144364</v>
      </c>
      <c r="AI115" s="3250" t="s">
        <v>124</v>
      </c>
      <c r="AJ115" s="3241"/>
      <c r="AK115" s="3250" t="s">
        <v>124</v>
      </c>
      <c r="AL115" s="3241"/>
      <c r="AM115" s="3250" t="s">
        <v>124</v>
      </c>
      <c r="AN115" s="3241">
        <f>'Періодичні видання'!D3</f>
        <v>0</v>
      </c>
      <c r="AO115" s="3250" t="s">
        <v>124</v>
      </c>
      <c r="AP115" s="3242">
        <f t="shared" si="14"/>
        <v>0</v>
      </c>
      <c r="AQ115" s="3241">
        <f>'Періодичні видання'!E3</f>
        <v>0</v>
      </c>
      <c r="AR115" s="3241"/>
      <c r="AS115" s="3242">
        <f t="shared" si="9"/>
        <v>105</v>
      </c>
      <c r="AT115" s="3247"/>
      <c r="AU115" s="3248"/>
      <c r="AV115" s="3248"/>
      <c r="AW115" s="3247"/>
      <c r="AX115" s="3248"/>
      <c r="AY115" s="3248"/>
      <c r="AZ115" s="3247"/>
      <c r="BA115" s="3248"/>
      <c r="BB115" s="3248"/>
      <c r="BC115" s="3247"/>
      <c r="BD115" s="3248"/>
      <c r="BE115" s="3248"/>
      <c r="BF115" s="3248"/>
      <c r="BG115" s="3248"/>
      <c r="BH115" s="3249"/>
      <c r="BI115" s="3249"/>
      <c r="BL115" s="3265" t="s">
        <v>4098</v>
      </c>
      <c r="BM115" s="4242">
        <f>'Періодичні видання'!L3-'Прямі витрати'!AA115</f>
        <v>0</v>
      </c>
    </row>
    <row r="116" spans="1:65" ht="13.2" x14ac:dyDescent="0.3">
      <c r="A116" s="3270">
        <f t="shared" si="16"/>
        <v>106</v>
      </c>
      <c r="B116" s="3275" t="s">
        <v>1392</v>
      </c>
      <c r="C116" s="3271"/>
      <c r="D116" s="3240"/>
      <c r="E116" s="3241"/>
      <c r="F116" s="3241"/>
      <c r="G116" s="3240"/>
      <c r="H116" s="3241"/>
      <c r="I116" s="3241"/>
      <c r="J116" s="3241"/>
      <c r="K116" s="3240"/>
      <c r="L116" s="3241"/>
      <c r="M116" s="3241"/>
      <c r="N116" s="3240">
        <f t="shared" si="5"/>
        <v>106</v>
      </c>
      <c r="O116" s="3239"/>
      <c r="P116" s="3240"/>
      <c r="Q116" s="3241"/>
      <c r="R116" s="3241"/>
      <c r="S116" s="3240"/>
      <c r="T116" s="3241"/>
      <c r="U116" s="3241"/>
      <c r="V116" s="3241"/>
      <c r="W116" s="3240"/>
      <c r="X116" s="3241"/>
      <c r="Y116" s="3241"/>
      <c r="Z116" s="3242">
        <f t="shared" si="6"/>
        <v>106</v>
      </c>
      <c r="AA116" s="3243">
        <f t="shared" si="17"/>
        <v>76506.656582608703</v>
      </c>
      <c r="AB116" s="3242">
        <f t="shared" si="12"/>
        <v>48306.446582608703</v>
      </c>
      <c r="AC116" s="3241">
        <f>'Зв''язок'!K8-'Зв''язок'!K49</f>
        <v>4968.03</v>
      </c>
      <c r="AD116" s="3241">
        <f>'Зв''язок'!L8-'Зв''язок'!L49</f>
        <v>23232.18</v>
      </c>
      <c r="AE116" s="3242"/>
      <c r="AF116" s="4261">
        <f>'Зв''язок'!G8-'Зв''язок'!G49</f>
        <v>3686.3595999999998</v>
      </c>
      <c r="AG116" s="3250" t="s">
        <v>124</v>
      </c>
      <c r="AH116" s="3241">
        <f>'Зв''язок'!H8-'Зв''язок'!H49</f>
        <v>5560.9000000000015</v>
      </c>
      <c r="AI116" s="3250" t="s">
        <v>124</v>
      </c>
      <c r="AJ116" s="3241"/>
      <c r="AK116" s="3250" t="s">
        <v>124</v>
      </c>
      <c r="AL116" s="3241"/>
      <c r="AM116" s="3250" t="s">
        <v>124</v>
      </c>
      <c r="AN116" s="3241">
        <f>'Зв''язок'!I8-'Зв''язок'!I49</f>
        <v>1406.8700000000001</v>
      </c>
      <c r="AO116" s="3250" t="s">
        <v>124</v>
      </c>
      <c r="AP116" s="3242">
        <f t="shared" si="14"/>
        <v>48306.446582608703</v>
      </c>
      <c r="AQ116" s="3241">
        <f>'Зв''язок'!J8-'Зв''язок'!J49</f>
        <v>48306.446582608703</v>
      </c>
      <c r="AR116" s="3241"/>
      <c r="AS116" s="3242">
        <f t="shared" si="9"/>
        <v>106</v>
      </c>
      <c r="AT116" s="3247"/>
      <c r="AU116" s="3248"/>
      <c r="AV116" s="3248"/>
      <c r="AW116" s="3247"/>
      <c r="AX116" s="3248"/>
      <c r="AY116" s="3248"/>
      <c r="AZ116" s="3247"/>
      <c r="BA116" s="3248"/>
      <c r="BB116" s="3248"/>
      <c r="BC116" s="3247"/>
      <c r="BD116" s="3248"/>
      <c r="BE116" s="3248"/>
      <c r="BF116" s="3248"/>
      <c r="BG116" s="3248"/>
      <c r="BH116" s="3249"/>
      <c r="BI116" s="3249"/>
    </row>
    <row r="117" spans="1:65" ht="13.2" x14ac:dyDescent="0.3">
      <c r="A117" s="3270">
        <f t="shared" si="16"/>
        <v>107</v>
      </c>
      <c r="B117" s="3275" t="s">
        <v>1393</v>
      </c>
      <c r="C117" s="3271"/>
      <c r="D117" s="3240"/>
      <c r="E117" s="3241"/>
      <c r="F117" s="3241"/>
      <c r="G117" s="3240"/>
      <c r="H117" s="3241"/>
      <c r="I117" s="3241"/>
      <c r="J117" s="3241"/>
      <c r="K117" s="3240"/>
      <c r="L117" s="3241"/>
      <c r="M117" s="3241"/>
      <c r="N117" s="3240">
        <f t="shared" si="5"/>
        <v>107</v>
      </c>
      <c r="O117" s="3239"/>
      <c r="P117" s="3240"/>
      <c r="Q117" s="3241"/>
      <c r="R117" s="3241"/>
      <c r="S117" s="3240"/>
      <c r="T117" s="3241"/>
      <c r="U117" s="3241"/>
      <c r="V117" s="3241"/>
      <c r="W117" s="3240"/>
      <c r="X117" s="3241"/>
      <c r="Y117" s="3241"/>
      <c r="Z117" s="3242">
        <f t="shared" si="6"/>
        <v>107</v>
      </c>
      <c r="AA117" s="3243">
        <f t="shared" si="17"/>
        <v>31740.720000000001</v>
      </c>
      <c r="AB117" s="3242">
        <f t="shared" si="12"/>
        <v>28620.720000000001</v>
      </c>
      <c r="AC117" s="3241">
        <f>'Зв''язок'!K49</f>
        <v>0</v>
      </c>
      <c r="AD117" s="3241">
        <f>'Зв''язок'!L49</f>
        <v>3120</v>
      </c>
      <c r="AE117" s="3242">
        <f t="shared" si="18"/>
        <v>28620.720000000001</v>
      </c>
      <c r="AF117" s="4261">
        <f>'Зв''язок'!G49</f>
        <v>3120</v>
      </c>
      <c r="AG117" s="3250" t="s">
        <v>124</v>
      </c>
      <c r="AH117" s="3241">
        <f>'Зв''язок'!H49</f>
        <v>25500.720000000001</v>
      </c>
      <c r="AI117" s="3250" t="s">
        <v>124</v>
      </c>
      <c r="AJ117" s="3241"/>
      <c r="AK117" s="3250" t="s">
        <v>124</v>
      </c>
      <c r="AL117" s="3241"/>
      <c r="AM117" s="3250" t="s">
        <v>124</v>
      </c>
      <c r="AN117" s="3241">
        <f>'Зв''язок'!I49</f>
        <v>0</v>
      </c>
      <c r="AO117" s="3250" t="s">
        <v>124</v>
      </c>
      <c r="AP117" s="3242">
        <f t="shared" si="14"/>
        <v>0</v>
      </c>
      <c r="AQ117" s="3241">
        <f>'Зв''язок'!J49</f>
        <v>0</v>
      </c>
      <c r="AR117" s="3241"/>
      <c r="AS117" s="3242">
        <f t="shared" si="9"/>
        <v>107</v>
      </c>
      <c r="AT117" s="3247"/>
      <c r="AU117" s="3248"/>
      <c r="AV117" s="3248"/>
      <c r="AW117" s="3247"/>
      <c r="AX117" s="3248"/>
      <c r="AY117" s="3248"/>
      <c r="AZ117" s="3247"/>
      <c r="BA117" s="3248"/>
      <c r="BB117" s="3248"/>
      <c r="BC117" s="3247"/>
      <c r="BD117" s="3248"/>
      <c r="BE117" s="3248"/>
      <c r="BF117" s="3248"/>
      <c r="BG117" s="3248"/>
      <c r="BH117" s="3249"/>
      <c r="BI117" s="3249"/>
    </row>
    <row r="118" spans="1:65" ht="13.2" x14ac:dyDescent="0.3">
      <c r="A118" s="3270">
        <f t="shared" si="16"/>
        <v>108</v>
      </c>
      <c r="B118" s="3275" t="s">
        <v>3506</v>
      </c>
      <c r="C118" s="3271"/>
      <c r="D118" s="3240"/>
      <c r="E118" s="3241"/>
      <c r="F118" s="3241"/>
      <c r="G118" s="3240"/>
      <c r="H118" s="3241"/>
      <c r="I118" s="3241"/>
      <c r="J118" s="3241"/>
      <c r="K118" s="3240"/>
      <c r="L118" s="3241"/>
      <c r="M118" s="3241"/>
      <c r="N118" s="3240">
        <f t="shared" si="5"/>
        <v>108</v>
      </c>
      <c r="O118" s="3239"/>
      <c r="P118" s="3240"/>
      <c r="Q118" s="3241"/>
      <c r="R118" s="3241"/>
      <c r="S118" s="3240"/>
      <c r="T118" s="3241"/>
      <c r="U118" s="3241"/>
      <c r="V118" s="3241"/>
      <c r="W118" s="3240"/>
      <c r="X118" s="3241"/>
      <c r="Y118" s="3241"/>
      <c r="Z118" s="3242">
        <f t="shared" si="6"/>
        <v>108</v>
      </c>
      <c r="AA118" s="3243">
        <f t="shared" si="17"/>
        <v>0</v>
      </c>
      <c r="AB118" s="3242">
        <f t="shared" si="12"/>
        <v>0</v>
      </c>
      <c r="AC118" s="3241"/>
      <c r="AD118" s="3241"/>
      <c r="AE118" s="3242">
        <f t="shared" si="18"/>
        <v>0</v>
      </c>
      <c r="AF118" s="4261"/>
      <c r="AG118" s="3250" t="s">
        <v>124</v>
      </c>
      <c r="AH118" s="3241"/>
      <c r="AI118" s="3250" t="s">
        <v>124</v>
      </c>
      <c r="AJ118" s="3241"/>
      <c r="AK118" s="3250" t="s">
        <v>124</v>
      </c>
      <c r="AL118" s="3241"/>
      <c r="AM118" s="3250" t="s">
        <v>124</v>
      </c>
      <c r="AN118" s="3241"/>
      <c r="AO118" s="3250" t="s">
        <v>124</v>
      </c>
      <c r="AP118" s="3242">
        <f t="shared" si="14"/>
        <v>0</v>
      </c>
      <c r="AQ118" s="3241"/>
      <c r="AR118" s="3241"/>
      <c r="AS118" s="3242">
        <f t="shared" si="9"/>
        <v>108</v>
      </c>
      <c r="AT118" s="3247"/>
      <c r="AU118" s="3248"/>
      <c r="AV118" s="3248"/>
      <c r="AW118" s="3247"/>
      <c r="AX118" s="3248"/>
      <c r="AY118" s="3248"/>
      <c r="AZ118" s="3247"/>
      <c r="BA118" s="3248"/>
      <c r="BB118" s="3248"/>
      <c r="BC118" s="3247"/>
      <c r="BD118" s="3248"/>
      <c r="BE118" s="3248"/>
      <c r="BF118" s="3248"/>
      <c r="BG118" s="3248"/>
      <c r="BH118" s="3249"/>
      <c r="BI118" s="3249"/>
    </row>
    <row r="119" spans="1:65" ht="14.4" customHeight="1" x14ac:dyDescent="0.3">
      <c r="A119" s="3270">
        <f t="shared" si="16"/>
        <v>109</v>
      </c>
      <c r="B119" s="3275" t="s">
        <v>4059</v>
      </c>
      <c r="C119" s="3271"/>
      <c r="D119" s="3240"/>
      <c r="E119" s="3241"/>
      <c r="F119" s="3241"/>
      <c r="G119" s="3240"/>
      <c r="H119" s="3241"/>
      <c r="I119" s="3241"/>
      <c r="J119" s="3241"/>
      <c r="K119" s="3240"/>
      <c r="L119" s="3241"/>
      <c r="M119" s="3241"/>
      <c r="N119" s="3240">
        <f>A119</f>
        <v>109</v>
      </c>
      <c r="O119" s="3239"/>
      <c r="P119" s="3240"/>
      <c r="Q119" s="3241"/>
      <c r="R119" s="3241"/>
      <c r="S119" s="3240"/>
      <c r="T119" s="3241"/>
      <c r="U119" s="3241"/>
      <c r="V119" s="3241"/>
      <c r="W119" s="3240"/>
      <c r="X119" s="3241"/>
      <c r="Y119" s="3241"/>
      <c r="Z119" s="3242">
        <f>N119</f>
        <v>109</v>
      </c>
      <c r="AA119" s="3243">
        <f t="shared" si="17"/>
        <v>442107.91000000003</v>
      </c>
      <c r="AB119" s="3242">
        <f t="shared" si="12"/>
        <v>402118.38</v>
      </c>
      <c r="AC119" s="3241"/>
      <c r="AD119" s="3241">
        <f>РКО!H5</f>
        <v>39989.53</v>
      </c>
      <c r="AE119" s="3242">
        <f t="shared" si="18"/>
        <v>0</v>
      </c>
      <c r="AF119" s="4261"/>
      <c r="AG119" s="3250" t="s">
        <v>124</v>
      </c>
      <c r="AH119" s="3241"/>
      <c r="AI119" s="3250" t="s">
        <v>124</v>
      </c>
      <c r="AJ119" s="3241"/>
      <c r="AK119" s="3250" t="s">
        <v>124</v>
      </c>
      <c r="AL119" s="3241"/>
      <c r="AM119" s="3250" t="s">
        <v>124</v>
      </c>
      <c r="AN119" s="3241"/>
      <c r="AO119" s="3250" t="s">
        <v>124</v>
      </c>
      <c r="AP119" s="3242">
        <f t="shared" si="14"/>
        <v>402118.38</v>
      </c>
      <c r="AQ119" s="3241">
        <f>РКО!F5+395330</f>
        <v>402118.38</v>
      </c>
      <c r="AR119" s="3241"/>
      <c r="AS119" s="3242">
        <f>Z119</f>
        <v>109</v>
      </c>
      <c r="AT119" s="3247"/>
      <c r="AU119" s="3248"/>
      <c r="AV119" s="3248"/>
      <c r="AW119" s="3247"/>
      <c r="AX119" s="3248"/>
      <c r="AY119" s="3248"/>
      <c r="AZ119" s="3247"/>
      <c r="BA119" s="3248"/>
      <c r="BB119" s="3248"/>
      <c r="BC119" s="3247"/>
      <c r="BD119" s="3248"/>
      <c r="BE119" s="3248"/>
      <c r="BF119" s="3248"/>
      <c r="BG119" s="3248"/>
      <c r="BH119" s="3249"/>
      <c r="BI119" s="3249"/>
      <c r="BL119" s="3216" t="s">
        <v>4060</v>
      </c>
      <c r="BM119" s="4198"/>
    </row>
    <row r="120" spans="1:65" ht="26.4" x14ac:dyDescent="0.3">
      <c r="A120" s="3270">
        <f t="shared" si="16"/>
        <v>110</v>
      </c>
      <c r="B120" s="3275" t="s">
        <v>3507</v>
      </c>
      <c r="C120" s="3271"/>
      <c r="D120" s="3240"/>
      <c r="E120" s="3241"/>
      <c r="F120" s="3241"/>
      <c r="G120" s="3240"/>
      <c r="H120" s="3241"/>
      <c r="I120" s="3241"/>
      <c r="J120" s="3241"/>
      <c r="K120" s="3240"/>
      <c r="L120" s="3241"/>
      <c r="M120" s="3241"/>
      <c r="N120" s="3240">
        <f t="shared" si="5"/>
        <v>110</v>
      </c>
      <c r="O120" s="3239"/>
      <c r="P120" s="3240"/>
      <c r="Q120" s="3241"/>
      <c r="R120" s="3241"/>
      <c r="S120" s="3240"/>
      <c r="T120" s="3241"/>
      <c r="U120" s="3241"/>
      <c r="V120" s="3241"/>
      <c r="W120" s="3240"/>
      <c r="X120" s="3241"/>
      <c r="Y120" s="3241"/>
      <c r="Z120" s="3242">
        <f t="shared" si="6"/>
        <v>110</v>
      </c>
      <c r="AA120" s="3243">
        <f t="shared" si="17"/>
        <v>0</v>
      </c>
      <c r="AB120" s="3242">
        <f t="shared" si="12"/>
        <v>0</v>
      </c>
      <c r="AC120" s="3241"/>
      <c r="AD120" s="3241"/>
      <c r="AE120" s="3242">
        <f t="shared" si="18"/>
        <v>0</v>
      </c>
      <c r="AF120" s="4261"/>
      <c r="AG120" s="3250" t="s">
        <v>124</v>
      </c>
      <c r="AH120" s="3241"/>
      <c r="AI120" s="3250" t="s">
        <v>124</v>
      </c>
      <c r="AJ120" s="3241"/>
      <c r="AK120" s="3250" t="s">
        <v>124</v>
      </c>
      <c r="AL120" s="3241"/>
      <c r="AM120" s="3250" t="s">
        <v>124</v>
      </c>
      <c r="AN120" s="3241"/>
      <c r="AO120" s="3250" t="s">
        <v>124</v>
      </c>
      <c r="AP120" s="3242">
        <f t="shared" si="14"/>
        <v>0</v>
      </c>
      <c r="AQ120" s="3241"/>
      <c r="AR120" s="3241"/>
      <c r="AS120" s="3242">
        <f t="shared" si="9"/>
        <v>110</v>
      </c>
      <c r="AT120" s="3247"/>
      <c r="AU120" s="3248"/>
      <c r="AV120" s="3248"/>
      <c r="AW120" s="3247"/>
      <c r="AX120" s="3248"/>
      <c r="AY120" s="3248"/>
      <c r="AZ120" s="3247"/>
      <c r="BA120" s="3248"/>
      <c r="BB120" s="3248"/>
      <c r="BC120" s="3247"/>
      <c r="BD120" s="3248"/>
      <c r="BE120" s="3248"/>
      <c r="BF120" s="3248"/>
      <c r="BG120" s="3248"/>
      <c r="BH120" s="3249"/>
      <c r="BI120" s="3249"/>
    </row>
    <row r="121" spans="1:65" ht="13.2" x14ac:dyDescent="0.3">
      <c r="A121" s="3270">
        <f t="shared" si="16"/>
        <v>111</v>
      </c>
      <c r="B121" s="3275" t="s">
        <v>1541</v>
      </c>
      <c r="C121" s="3271"/>
      <c r="D121" s="3240"/>
      <c r="E121" s="3241"/>
      <c r="F121" s="3241"/>
      <c r="G121" s="3240"/>
      <c r="H121" s="3241"/>
      <c r="I121" s="3241"/>
      <c r="J121" s="3241"/>
      <c r="K121" s="3240"/>
      <c r="L121" s="3241"/>
      <c r="M121" s="3241"/>
      <c r="N121" s="3240">
        <f t="shared" si="5"/>
        <v>111</v>
      </c>
      <c r="O121" s="3239"/>
      <c r="P121" s="3240"/>
      <c r="Q121" s="3241"/>
      <c r="R121" s="3241"/>
      <c r="S121" s="3240"/>
      <c r="T121" s="3241"/>
      <c r="U121" s="3241"/>
      <c r="V121" s="3241"/>
      <c r="W121" s="3240"/>
      <c r="X121" s="3241"/>
      <c r="Y121" s="3241"/>
      <c r="Z121" s="3242">
        <f t="shared" si="6"/>
        <v>111</v>
      </c>
      <c r="AA121" s="3243">
        <f t="shared" si="17"/>
        <v>15530</v>
      </c>
      <c r="AB121" s="3242">
        <f t="shared" ref="AB121:AB157" si="19">AE121+AP121</f>
        <v>0</v>
      </c>
      <c r="AC121" s="3241"/>
      <c r="AD121" s="3241">
        <f>15530</f>
        <v>15530</v>
      </c>
      <c r="AE121" s="3242">
        <f t="shared" si="18"/>
        <v>0</v>
      </c>
      <c r="AF121" s="4261"/>
      <c r="AG121" s="3250" t="s">
        <v>124</v>
      </c>
      <c r="AH121" s="3241"/>
      <c r="AI121" s="3250" t="s">
        <v>124</v>
      </c>
      <c r="AJ121" s="3241"/>
      <c r="AK121" s="3250" t="s">
        <v>124</v>
      </c>
      <c r="AL121" s="3241"/>
      <c r="AM121" s="3250" t="s">
        <v>124</v>
      </c>
      <c r="AN121" s="3241"/>
      <c r="AO121" s="3250" t="s">
        <v>124</v>
      </c>
      <c r="AP121" s="3242">
        <f t="shared" si="14"/>
        <v>0</v>
      </c>
      <c r="AQ121" s="3241"/>
      <c r="AR121" s="3241"/>
      <c r="AS121" s="3242">
        <f t="shared" si="9"/>
        <v>111</v>
      </c>
      <c r="AT121" s="3247"/>
      <c r="AU121" s="3248"/>
      <c r="AV121" s="3248"/>
      <c r="AW121" s="3247"/>
      <c r="AX121" s="3248"/>
      <c r="AY121" s="3248"/>
      <c r="AZ121" s="3247"/>
      <c r="BA121" s="3248"/>
      <c r="BB121" s="3248"/>
      <c r="BC121" s="3247"/>
      <c r="BD121" s="3248"/>
      <c r="BE121" s="3248"/>
      <c r="BF121" s="3248"/>
      <c r="BG121" s="3248"/>
      <c r="BH121" s="3249"/>
      <c r="BI121" s="3249"/>
    </row>
    <row r="122" spans="1:65" ht="13.2" x14ac:dyDescent="0.3">
      <c r="A122" s="3270">
        <f t="shared" si="16"/>
        <v>112</v>
      </c>
      <c r="B122" s="3275" t="s">
        <v>3508</v>
      </c>
      <c r="C122" s="3271"/>
      <c r="D122" s="3240"/>
      <c r="E122" s="3241"/>
      <c r="F122" s="3241"/>
      <c r="G122" s="3240"/>
      <c r="H122" s="3241"/>
      <c r="I122" s="3241"/>
      <c r="J122" s="3241"/>
      <c r="K122" s="3240"/>
      <c r="L122" s="3241"/>
      <c r="M122" s="3241"/>
      <c r="N122" s="3240">
        <f t="shared" si="5"/>
        <v>112</v>
      </c>
      <c r="O122" s="3239"/>
      <c r="P122" s="3240"/>
      <c r="Q122" s="3241"/>
      <c r="R122" s="3241"/>
      <c r="S122" s="3240"/>
      <c r="T122" s="3241"/>
      <c r="U122" s="3241"/>
      <c r="V122" s="3241"/>
      <c r="W122" s="3240"/>
      <c r="X122" s="3241"/>
      <c r="Y122" s="3241"/>
      <c r="Z122" s="3242">
        <f t="shared" si="6"/>
        <v>112</v>
      </c>
      <c r="AA122" s="3243">
        <f t="shared" si="17"/>
        <v>0</v>
      </c>
      <c r="AB122" s="3242">
        <f t="shared" si="19"/>
        <v>0</v>
      </c>
      <c r="AC122" s="3241"/>
      <c r="AD122" s="3241"/>
      <c r="AE122" s="3242">
        <f t="shared" si="18"/>
        <v>0</v>
      </c>
      <c r="AF122" s="4261"/>
      <c r="AG122" s="3250" t="s">
        <v>124</v>
      </c>
      <c r="AH122" s="3241"/>
      <c r="AI122" s="3250" t="s">
        <v>124</v>
      </c>
      <c r="AJ122" s="3241"/>
      <c r="AK122" s="3250" t="s">
        <v>124</v>
      </c>
      <c r="AL122" s="3241"/>
      <c r="AM122" s="3250" t="s">
        <v>124</v>
      </c>
      <c r="AN122" s="3241"/>
      <c r="AO122" s="3250" t="s">
        <v>124</v>
      </c>
      <c r="AP122" s="3242">
        <f t="shared" si="14"/>
        <v>0</v>
      </c>
      <c r="AQ122" s="3241"/>
      <c r="AR122" s="3241"/>
      <c r="AS122" s="3242">
        <f t="shared" si="9"/>
        <v>112</v>
      </c>
      <c r="AT122" s="3247"/>
      <c r="AU122" s="3248"/>
      <c r="AV122" s="3248"/>
      <c r="AW122" s="3247"/>
      <c r="AX122" s="3248"/>
      <c r="AY122" s="3248"/>
      <c r="AZ122" s="3247"/>
      <c r="BA122" s="3248"/>
      <c r="BB122" s="3248"/>
      <c r="BC122" s="3247"/>
      <c r="BD122" s="3248"/>
      <c r="BE122" s="3248"/>
      <c r="BF122" s="3248"/>
      <c r="BG122" s="3248"/>
      <c r="BH122" s="3249"/>
      <c r="BI122" s="3249"/>
    </row>
    <row r="123" spans="1:65" ht="13.2" x14ac:dyDescent="0.3">
      <c r="A123" s="3270">
        <f t="shared" si="16"/>
        <v>113</v>
      </c>
      <c r="B123" s="3275" t="s">
        <v>1943</v>
      </c>
      <c r="C123" s="3271"/>
      <c r="D123" s="3240"/>
      <c r="E123" s="3241"/>
      <c r="F123" s="3241"/>
      <c r="G123" s="3240"/>
      <c r="H123" s="3241"/>
      <c r="I123" s="3241"/>
      <c r="J123" s="3241"/>
      <c r="K123" s="3240"/>
      <c r="L123" s="3241"/>
      <c r="M123" s="3241"/>
      <c r="N123" s="3240">
        <f t="shared" si="5"/>
        <v>113</v>
      </c>
      <c r="O123" s="3239"/>
      <c r="P123" s="3240"/>
      <c r="Q123" s="3241"/>
      <c r="R123" s="3241"/>
      <c r="S123" s="3240"/>
      <c r="T123" s="3241"/>
      <c r="U123" s="3241"/>
      <c r="V123" s="3241"/>
      <c r="W123" s="3240"/>
      <c r="X123" s="3241"/>
      <c r="Y123" s="3241"/>
      <c r="Z123" s="3242">
        <f t="shared" si="6"/>
        <v>113</v>
      </c>
      <c r="AA123" s="3243">
        <f t="shared" si="17"/>
        <v>990</v>
      </c>
      <c r="AB123" s="3242">
        <f t="shared" si="19"/>
        <v>0</v>
      </c>
      <c r="AC123" s="3241"/>
      <c r="AD123" s="3241">
        <v>990</v>
      </c>
      <c r="AE123" s="3242">
        <f t="shared" si="18"/>
        <v>0</v>
      </c>
      <c r="AF123" s="4261"/>
      <c r="AG123" s="3250" t="s">
        <v>124</v>
      </c>
      <c r="AH123" s="3241"/>
      <c r="AI123" s="3250" t="s">
        <v>124</v>
      </c>
      <c r="AJ123" s="3241"/>
      <c r="AK123" s="3250" t="s">
        <v>124</v>
      </c>
      <c r="AL123" s="3241"/>
      <c r="AM123" s="3250" t="s">
        <v>124</v>
      </c>
      <c r="AN123" s="3241"/>
      <c r="AO123" s="3250" t="s">
        <v>124</v>
      </c>
      <c r="AP123" s="3242">
        <f t="shared" si="14"/>
        <v>0</v>
      </c>
      <c r="AQ123" s="3241"/>
      <c r="AR123" s="3241"/>
      <c r="AS123" s="3242">
        <f t="shared" si="9"/>
        <v>113</v>
      </c>
      <c r="AT123" s="3247"/>
      <c r="AU123" s="3248"/>
      <c r="AV123" s="3248"/>
      <c r="AW123" s="3247"/>
      <c r="AX123" s="3248"/>
      <c r="AY123" s="3248"/>
      <c r="AZ123" s="3247"/>
      <c r="BA123" s="3248"/>
      <c r="BB123" s="3248"/>
      <c r="BC123" s="3247"/>
      <c r="BD123" s="3248"/>
      <c r="BE123" s="3248"/>
      <c r="BF123" s="3248"/>
      <c r="BG123" s="3248"/>
      <c r="BH123" s="3249"/>
      <c r="BI123" s="3249"/>
    </row>
    <row r="124" spans="1:65" ht="13.2" x14ac:dyDescent="0.3">
      <c r="A124" s="3270">
        <f t="shared" si="16"/>
        <v>114</v>
      </c>
      <c r="B124" s="3275" t="s">
        <v>3509</v>
      </c>
      <c r="C124" s="3271"/>
      <c r="D124" s="3240"/>
      <c r="E124" s="3241"/>
      <c r="F124" s="3241"/>
      <c r="G124" s="3240"/>
      <c r="H124" s="3241"/>
      <c r="I124" s="3241"/>
      <c r="J124" s="3241"/>
      <c r="K124" s="3240"/>
      <c r="L124" s="3241"/>
      <c r="M124" s="3241"/>
      <c r="N124" s="3240">
        <f t="shared" si="5"/>
        <v>114</v>
      </c>
      <c r="O124" s="3239"/>
      <c r="P124" s="3240"/>
      <c r="Q124" s="3241"/>
      <c r="R124" s="3241"/>
      <c r="S124" s="3240"/>
      <c r="T124" s="3241"/>
      <c r="U124" s="3241"/>
      <c r="V124" s="3241"/>
      <c r="W124" s="3240"/>
      <c r="X124" s="3241"/>
      <c r="Y124" s="3241"/>
      <c r="Z124" s="3242">
        <f t="shared" si="6"/>
        <v>114</v>
      </c>
      <c r="AA124" s="3243">
        <f t="shared" si="17"/>
        <v>0</v>
      </c>
      <c r="AB124" s="3242">
        <f t="shared" si="19"/>
        <v>0</v>
      </c>
      <c r="AC124" s="3241"/>
      <c r="AD124" s="3241"/>
      <c r="AE124" s="3242">
        <f t="shared" si="18"/>
        <v>0</v>
      </c>
      <c r="AF124" s="4261"/>
      <c r="AG124" s="3250" t="s">
        <v>124</v>
      </c>
      <c r="AH124" s="3241"/>
      <c r="AI124" s="3250" t="s">
        <v>124</v>
      </c>
      <c r="AJ124" s="3241"/>
      <c r="AK124" s="3250" t="s">
        <v>124</v>
      </c>
      <c r="AL124" s="3241"/>
      <c r="AM124" s="3250" t="s">
        <v>124</v>
      </c>
      <c r="AN124" s="3241"/>
      <c r="AO124" s="3250" t="s">
        <v>124</v>
      </c>
      <c r="AP124" s="3242">
        <f t="shared" si="14"/>
        <v>0</v>
      </c>
      <c r="AQ124" s="3241"/>
      <c r="AR124" s="3241"/>
      <c r="AS124" s="3242">
        <f t="shared" si="9"/>
        <v>114</v>
      </c>
      <c r="AT124" s="3247"/>
      <c r="AU124" s="3248"/>
      <c r="AV124" s="3248"/>
      <c r="AW124" s="3247"/>
      <c r="AX124" s="3248"/>
      <c r="AY124" s="3248"/>
      <c r="AZ124" s="3247"/>
      <c r="BA124" s="3248"/>
      <c r="BB124" s="3248"/>
      <c r="BC124" s="3247"/>
      <c r="BD124" s="3248"/>
      <c r="BE124" s="3248"/>
      <c r="BF124" s="3248"/>
      <c r="BG124" s="3248"/>
      <c r="BH124" s="3249"/>
      <c r="BI124" s="3249"/>
    </row>
    <row r="125" spans="1:65" ht="13.2" x14ac:dyDescent="0.3">
      <c r="A125" s="3270">
        <f t="shared" si="16"/>
        <v>115</v>
      </c>
      <c r="B125" s="3276"/>
      <c r="C125" s="3271"/>
      <c r="D125" s="3240"/>
      <c r="E125" s="3241"/>
      <c r="F125" s="3241"/>
      <c r="G125" s="3240"/>
      <c r="H125" s="3241"/>
      <c r="I125" s="3241"/>
      <c r="J125" s="3241"/>
      <c r="K125" s="3240"/>
      <c r="L125" s="3241"/>
      <c r="M125" s="3241"/>
      <c r="N125" s="3240">
        <f t="shared" si="5"/>
        <v>115</v>
      </c>
      <c r="O125" s="3239"/>
      <c r="P125" s="3240"/>
      <c r="Q125" s="3241"/>
      <c r="R125" s="3241"/>
      <c r="S125" s="3240"/>
      <c r="T125" s="3241"/>
      <c r="U125" s="3241"/>
      <c r="V125" s="3241"/>
      <c r="W125" s="3240"/>
      <c r="X125" s="3241"/>
      <c r="Y125" s="3241"/>
      <c r="Z125" s="3242">
        <f t="shared" si="6"/>
        <v>115</v>
      </c>
      <c r="AA125" s="3243">
        <f t="shared" si="17"/>
        <v>0</v>
      </c>
      <c r="AB125" s="3242">
        <f t="shared" si="19"/>
        <v>0</v>
      </c>
      <c r="AC125" s="3241"/>
      <c r="AD125" s="3241"/>
      <c r="AE125" s="3242">
        <f t="shared" si="18"/>
        <v>0</v>
      </c>
      <c r="AF125" s="4261"/>
      <c r="AG125" s="3250" t="s">
        <v>124</v>
      </c>
      <c r="AH125" s="3241"/>
      <c r="AI125" s="3250" t="s">
        <v>124</v>
      </c>
      <c r="AJ125" s="3241"/>
      <c r="AK125" s="3250" t="s">
        <v>124</v>
      </c>
      <c r="AL125" s="3241"/>
      <c r="AM125" s="3250" t="s">
        <v>124</v>
      </c>
      <c r="AN125" s="3241"/>
      <c r="AO125" s="3250" t="s">
        <v>124</v>
      </c>
      <c r="AP125" s="3242">
        <f t="shared" si="14"/>
        <v>0</v>
      </c>
      <c r="AQ125" s="3241"/>
      <c r="AR125" s="3241"/>
      <c r="AS125" s="3242">
        <f t="shared" si="9"/>
        <v>115</v>
      </c>
      <c r="AT125" s="3247"/>
      <c r="AU125" s="3248"/>
      <c r="AV125" s="3248"/>
      <c r="AW125" s="3247"/>
      <c r="AX125" s="3248"/>
      <c r="AY125" s="3248"/>
      <c r="AZ125" s="3247"/>
      <c r="BA125" s="3248"/>
      <c r="BB125" s="3248"/>
      <c r="BC125" s="3247"/>
      <c r="BD125" s="3248"/>
      <c r="BE125" s="3248"/>
      <c r="BF125" s="3248"/>
      <c r="BG125" s="3248"/>
      <c r="BH125" s="3249"/>
      <c r="BI125" s="3249"/>
    </row>
    <row r="126" spans="1:65" ht="13.2" x14ac:dyDescent="0.3">
      <c r="A126" s="3270">
        <f t="shared" si="16"/>
        <v>116</v>
      </c>
      <c r="B126" s="3276" t="s">
        <v>1589</v>
      </c>
      <c r="C126" s="3271"/>
      <c r="D126" s="3240"/>
      <c r="E126" s="3241"/>
      <c r="F126" s="3241"/>
      <c r="G126" s="3240"/>
      <c r="H126" s="3241"/>
      <c r="I126" s="3241"/>
      <c r="J126" s="3241"/>
      <c r="K126" s="3240"/>
      <c r="L126" s="3241"/>
      <c r="M126" s="3241"/>
      <c r="N126" s="3240">
        <f t="shared" si="5"/>
        <v>116</v>
      </c>
      <c r="O126" s="3239"/>
      <c r="P126" s="3240"/>
      <c r="Q126" s="3241"/>
      <c r="R126" s="3241"/>
      <c r="S126" s="3240"/>
      <c r="T126" s="3241"/>
      <c r="U126" s="3241"/>
      <c r="V126" s="3241"/>
      <c r="W126" s="3240"/>
      <c r="X126" s="3241"/>
      <c r="Y126" s="3241"/>
      <c r="Z126" s="3242">
        <f t="shared" si="6"/>
        <v>116</v>
      </c>
      <c r="AA126" s="3243">
        <f t="shared" si="17"/>
        <v>0</v>
      </c>
      <c r="AB126" s="3242">
        <f t="shared" si="19"/>
        <v>0</v>
      </c>
      <c r="AC126" s="3241"/>
      <c r="AD126" s="3241"/>
      <c r="AE126" s="3242">
        <f t="shared" si="18"/>
        <v>0</v>
      </c>
      <c r="AF126" s="4261"/>
      <c r="AG126" s="3250" t="s">
        <v>124</v>
      </c>
      <c r="AH126" s="3241"/>
      <c r="AI126" s="3250" t="s">
        <v>124</v>
      </c>
      <c r="AJ126" s="3241"/>
      <c r="AK126" s="3250" t="s">
        <v>124</v>
      </c>
      <c r="AL126" s="3241"/>
      <c r="AM126" s="3250" t="s">
        <v>124</v>
      </c>
      <c r="AN126" s="3241"/>
      <c r="AO126" s="3250" t="s">
        <v>124</v>
      </c>
      <c r="AP126" s="3242">
        <f t="shared" si="14"/>
        <v>0</v>
      </c>
      <c r="AQ126" s="3241"/>
      <c r="AR126" s="3241"/>
      <c r="AS126" s="3242">
        <f t="shared" si="9"/>
        <v>116</v>
      </c>
      <c r="AT126" s="3247"/>
      <c r="AU126" s="3248"/>
      <c r="AV126" s="3248"/>
      <c r="AW126" s="3247"/>
      <c r="AX126" s="3248"/>
      <c r="AY126" s="3248"/>
      <c r="AZ126" s="3247"/>
      <c r="BA126" s="3248"/>
      <c r="BB126" s="3248"/>
      <c r="BC126" s="3247"/>
      <c r="BD126" s="3248"/>
      <c r="BE126" s="3248"/>
      <c r="BF126" s="3248"/>
      <c r="BG126" s="3248"/>
      <c r="BH126" s="3249"/>
      <c r="BI126" s="3249"/>
    </row>
    <row r="127" spans="1:65" ht="13.2" x14ac:dyDescent="0.3">
      <c r="A127" s="3270">
        <f t="shared" si="16"/>
        <v>117</v>
      </c>
      <c r="B127" s="3276" t="s">
        <v>2402</v>
      </c>
      <c r="C127" s="3271"/>
      <c r="D127" s="3240"/>
      <c r="E127" s="3241"/>
      <c r="F127" s="3241"/>
      <c r="G127" s="3240"/>
      <c r="H127" s="3241"/>
      <c r="I127" s="3241"/>
      <c r="J127" s="3241"/>
      <c r="K127" s="3240"/>
      <c r="L127" s="3241"/>
      <c r="M127" s="3241"/>
      <c r="N127" s="3240">
        <f t="shared" si="5"/>
        <v>117</v>
      </c>
      <c r="O127" s="3239"/>
      <c r="P127" s="3240"/>
      <c r="Q127" s="3241"/>
      <c r="R127" s="3241"/>
      <c r="S127" s="3240"/>
      <c r="T127" s="3241"/>
      <c r="U127" s="3241"/>
      <c r="V127" s="3241"/>
      <c r="W127" s="3240"/>
      <c r="X127" s="3241"/>
      <c r="Y127" s="3241"/>
      <c r="Z127" s="3242">
        <f t="shared" si="6"/>
        <v>117</v>
      </c>
      <c r="AA127" s="3243">
        <f t="shared" si="17"/>
        <v>389.37</v>
      </c>
      <c r="AB127" s="3242">
        <f t="shared" si="19"/>
        <v>389.37</v>
      </c>
      <c r="AC127" s="3241"/>
      <c r="AD127" s="3241"/>
      <c r="AE127" s="3242">
        <f t="shared" si="18"/>
        <v>389.37</v>
      </c>
      <c r="AF127" s="4261">
        <f>0.38937*1000</f>
        <v>389.37</v>
      </c>
      <c r="AG127" s="3250" t="s">
        <v>124</v>
      </c>
      <c r="AH127" s="3241"/>
      <c r="AI127" s="3250" t="s">
        <v>124</v>
      </c>
      <c r="AJ127" s="3241"/>
      <c r="AK127" s="3250" t="s">
        <v>124</v>
      </c>
      <c r="AL127" s="3241"/>
      <c r="AM127" s="3250" t="s">
        <v>124</v>
      </c>
      <c r="AN127" s="3241"/>
      <c r="AO127" s="3250" t="s">
        <v>124</v>
      </c>
      <c r="AP127" s="3242">
        <f t="shared" si="14"/>
        <v>0</v>
      </c>
      <c r="AQ127" s="3241"/>
      <c r="AR127" s="3241"/>
      <c r="AS127" s="3242">
        <f t="shared" si="9"/>
        <v>117</v>
      </c>
      <c r="AT127" s="3247"/>
      <c r="AU127" s="3248"/>
      <c r="AV127" s="3248"/>
      <c r="AW127" s="3247"/>
      <c r="AX127" s="3248"/>
      <c r="AY127" s="3248"/>
      <c r="AZ127" s="3247"/>
      <c r="BA127" s="3248"/>
      <c r="BB127" s="3248"/>
      <c r="BC127" s="3247"/>
      <c r="BD127" s="3248"/>
      <c r="BE127" s="3248"/>
      <c r="BF127" s="3248"/>
      <c r="BG127" s="3248"/>
      <c r="BH127" s="3249"/>
      <c r="BI127" s="3249"/>
    </row>
    <row r="128" spans="1:65" ht="13.2" x14ac:dyDescent="0.3">
      <c r="A128" s="3270">
        <f t="shared" si="16"/>
        <v>118</v>
      </c>
      <c r="B128" s="3276" t="s">
        <v>3261</v>
      </c>
      <c r="C128" s="3271"/>
      <c r="D128" s="3240"/>
      <c r="E128" s="3241"/>
      <c r="F128" s="3241"/>
      <c r="G128" s="3240"/>
      <c r="H128" s="3241"/>
      <c r="I128" s="3241"/>
      <c r="J128" s="3241"/>
      <c r="K128" s="3240"/>
      <c r="L128" s="3241"/>
      <c r="M128" s="3241"/>
      <c r="N128" s="3240">
        <f t="shared" si="5"/>
        <v>118</v>
      </c>
      <c r="O128" s="3239"/>
      <c r="P128" s="3240"/>
      <c r="Q128" s="3241"/>
      <c r="R128" s="3241"/>
      <c r="S128" s="3240"/>
      <c r="T128" s="3241"/>
      <c r="U128" s="3241"/>
      <c r="V128" s="3241"/>
      <c r="W128" s="3240"/>
      <c r="X128" s="3241"/>
      <c r="Y128" s="3241"/>
      <c r="Z128" s="3242">
        <f t="shared" si="6"/>
        <v>118</v>
      </c>
      <c r="AA128" s="3243">
        <f t="shared" si="17"/>
        <v>22320.720000000001</v>
      </c>
      <c r="AB128" s="3242">
        <f t="shared" si="19"/>
        <v>9490.7200000000012</v>
      </c>
      <c r="AC128" s="4273">
        <v>12120</v>
      </c>
      <c r="AD128" s="4273">
        <v>710</v>
      </c>
      <c r="AE128" s="3242">
        <f t="shared" si="18"/>
        <v>9490.7200000000012</v>
      </c>
      <c r="AF128" s="4261">
        <v>6960.72</v>
      </c>
      <c r="AG128" s="3250" t="s">
        <v>124</v>
      </c>
      <c r="AH128" s="4273">
        <v>2530</v>
      </c>
      <c r="AI128" s="3250" t="s">
        <v>124</v>
      </c>
      <c r="AJ128" s="3241"/>
      <c r="AK128" s="3250" t="s">
        <v>124</v>
      </c>
      <c r="AL128" s="3241"/>
      <c r="AM128" s="3250" t="s">
        <v>124</v>
      </c>
      <c r="AN128" s="3241"/>
      <c r="AO128" s="3250" t="s">
        <v>124</v>
      </c>
      <c r="AP128" s="3242">
        <f t="shared" si="14"/>
        <v>0</v>
      </c>
      <c r="AQ128" s="3241"/>
      <c r="AR128" s="3241"/>
      <c r="AS128" s="3242">
        <f t="shared" si="9"/>
        <v>118</v>
      </c>
      <c r="AT128" s="3247"/>
      <c r="AU128" s="3248"/>
      <c r="AV128" s="3248"/>
      <c r="AW128" s="3247"/>
      <c r="AX128" s="3248"/>
      <c r="AY128" s="3248"/>
      <c r="AZ128" s="3247"/>
      <c r="BA128" s="3248"/>
      <c r="BB128" s="3248"/>
      <c r="BC128" s="3247"/>
      <c r="BD128" s="3248"/>
      <c r="BE128" s="3248"/>
      <c r="BF128" s="3248"/>
      <c r="BG128" s="3248"/>
      <c r="BH128" s="3249"/>
      <c r="BI128" s="3249"/>
    </row>
    <row r="129" spans="1:61" ht="26.4" x14ac:dyDescent="0.3">
      <c r="A129" s="3270">
        <f t="shared" si="16"/>
        <v>119</v>
      </c>
      <c r="B129" s="3275" t="s">
        <v>3264</v>
      </c>
      <c r="C129" s="3271"/>
      <c r="D129" s="3240"/>
      <c r="E129" s="3241"/>
      <c r="F129" s="3241"/>
      <c r="G129" s="3240"/>
      <c r="H129" s="3241"/>
      <c r="I129" s="3241"/>
      <c r="J129" s="3241"/>
      <c r="K129" s="3240"/>
      <c r="L129" s="3241"/>
      <c r="M129" s="3241"/>
      <c r="N129" s="3240">
        <f t="shared" si="5"/>
        <v>119</v>
      </c>
      <c r="O129" s="3239"/>
      <c r="P129" s="3240"/>
      <c r="Q129" s="3241"/>
      <c r="R129" s="3241"/>
      <c r="S129" s="3240"/>
      <c r="T129" s="3241"/>
      <c r="U129" s="3241"/>
      <c r="V129" s="3241"/>
      <c r="W129" s="3240"/>
      <c r="X129" s="3241"/>
      <c r="Y129" s="3241"/>
      <c r="Z129" s="3242">
        <f t="shared" si="6"/>
        <v>119</v>
      </c>
      <c r="AA129" s="3243">
        <f t="shared" si="17"/>
        <v>0</v>
      </c>
      <c r="AB129" s="3242">
        <f t="shared" si="19"/>
        <v>0</v>
      </c>
      <c r="AC129" s="3241"/>
      <c r="AD129" s="3241"/>
      <c r="AE129" s="3242">
        <f t="shared" si="18"/>
        <v>0</v>
      </c>
      <c r="AF129" s="4261"/>
      <c r="AG129" s="3250" t="s">
        <v>124</v>
      </c>
      <c r="AH129" s="3241"/>
      <c r="AI129" s="3250" t="s">
        <v>124</v>
      </c>
      <c r="AJ129" s="3241"/>
      <c r="AK129" s="3250" t="s">
        <v>124</v>
      </c>
      <c r="AL129" s="3241"/>
      <c r="AM129" s="3250" t="s">
        <v>124</v>
      </c>
      <c r="AN129" s="3241"/>
      <c r="AO129" s="3250" t="s">
        <v>124</v>
      </c>
      <c r="AP129" s="3242">
        <f t="shared" si="14"/>
        <v>0</v>
      </c>
      <c r="AQ129" s="3241"/>
      <c r="AR129" s="3241"/>
      <c r="AS129" s="3242">
        <f t="shared" si="9"/>
        <v>119</v>
      </c>
      <c r="AT129" s="3247"/>
      <c r="AU129" s="3248"/>
      <c r="AV129" s="3248"/>
      <c r="AW129" s="3247"/>
      <c r="AX129" s="3248"/>
      <c r="AY129" s="3248"/>
      <c r="AZ129" s="3247"/>
      <c r="BA129" s="3248"/>
      <c r="BB129" s="3248"/>
      <c r="BC129" s="3247"/>
      <c r="BD129" s="3248"/>
      <c r="BE129" s="3248"/>
      <c r="BF129" s="3248"/>
      <c r="BG129" s="3248"/>
      <c r="BH129" s="3249"/>
      <c r="BI129" s="3249"/>
    </row>
    <row r="130" spans="1:61" ht="13.2" x14ac:dyDescent="0.25">
      <c r="A130" s="3270">
        <f t="shared" si="16"/>
        <v>120</v>
      </c>
      <c r="B130" s="3272" t="s">
        <v>1583</v>
      </c>
      <c r="C130" s="3271"/>
      <c r="D130" s="3240"/>
      <c r="E130" s="3241"/>
      <c r="F130" s="3241"/>
      <c r="G130" s="3240"/>
      <c r="H130" s="3241"/>
      <c r="I130" s="3241"/>
      <c r="J130" s="3241"/>
      <c r="K130" s="3240"/>
      <c r="L130" s="3241"/>
      <c r="M130" s="3241"/>
      <c r="N130" s="3240">
        <f t="shared" si="5"/>
        <v>120</v>
      </c>
      <c r="O130" s="3239"/>
      <c r="P130" s="3240"/>
      <c r="Q130" s="3241"/>
      <c r="R130" s="3241"/>
      <c r="S130" s="3240"/>
      <c r="T130" s="3241"/>
      <c r="U130" s="3241"/>
      <c r="V130" s="3241"/>
      <c r="W130" s="3240"/>
      <c r="X130" s="3241"/>
      <c r="Y130" s="3241"/>
      <c r="Z130" s="3242">
        <f t="shared" si="6"/>
        <v>120</v>
      </c>
      <c r="AA130" s="3243">
        <f t="shared" si="17"/>
        <v>0</v>
      </c>
      <c r="AB130" s="3242">
        <f t="shared" si="19"/>
        <v>0</v>
      </c>
      <c r="AC130" s="3241"/>
      <c r="AD130" s="3241"/>
      <c r="AE130" s="3242">
        <f t="shared" si="18"/>
        <v>0</v>
      </c>
      <c r="AF130" s="4261"/>
      <c r="AG130" s="3250" t="s">
        <v>124</v>
      </c>
      <c r="AH130" s="3241"/>
      <c r="AI130" s="3250" t="s">
        <v>124</v>
      </c>
      <c r="AJ130" s="3241"/>
      <c r="AK130" s="3250" t="s">
        <v>124</v>
      </c>
      <c r="AL130" s="3241"/>
      <c r="AM130" s="3250" t="s">
        <v>124</v>
      </c>
      <c r="AN130" s="3241"/>
      <c r="AO130" s="3250" t="s">
        <v>124</v>
      </c>
      <c r="AP130" s="3242">
        <f t="shared" si="14"/>
        <v>0</v>
      </c>
      <c r="AQ130" s="3241"/>
      <c r="AR130" s="3241"/>
      <c r="AS130" s="3242">
        <f t="shared" si="9"/>
        <v>120</v>
      </c>
      <c r="AT130" s="3247"/>
      <c r="AU130" s="3248"/>
      <c r="AV130" s="3248"/>
      <c r="AW130" s="3247"/>
      <c r="AX130" s="3248"/>
      <c r="AY130" s="3248"/>
      <c r="AZ130" s="3247"/>
      <c r="BA130" s="3248"/>
      <c r="BB130" s="3248"/>
      <c r="BC130" s="3247"/>
      <c r="BD130" s="3248"/>
      <c r="BE130" s="3248"/>
      <c r="BF130" s="3248"/>
      <c r="BG130" s="3248"/>
      <c r="BH130" s="3249"/>
      <c r="BI130" s="3249"/>
    </row>
    <row r="131" spans="1:61" ht="13.2" x14ac:dyDescent="0.25">
      <c r="A131" s="3270">
        <f t="shared" si="16"/>
        <v>121</v>
      </c>
      <c r="B131" s="3272" t="s">
        <v>1547</v>
      </c>
      <c r="C131" s="3271"/>
      <c r="D131" s="3240"/>
      <c r="E131" s="3241"/>
      <c r="F131" s="3241"/>
      <c r="G131" s="3240"/>
      <c r="H131" s="3241"/>
      <c r="I131" s="3241"/>
      <c r="J131" s="3241"/>
      <c r="K131" s="3240"/>
      <c r="L131" s="3241"/>
      <c r="M131" s="3241"/>
      <c r="N131" s="3240">
        <f t="shared" si="5"/>
        <v>121</v>
      </c>
      <c r="O131" s="3239"/>
      <c r="P131" s="3240"/>
      <c r="Q131" s="3241"/>
      <c r="R131" s="3241"/>
      <c r="S131" s="3240"/>
      <c r="T131" s="3241"/>
      <c r="U131" s="3241"/>
      <c r="V131" s="3241"/>
      <c r="W131" s="3240"/>
      <c r="X131" s="3241"/>
      <c r="Y131" s="3241"/>
      <c r="Z131" s="3242">
        <f t="shared" si="6"/>
        <v>121</v>
      </c>
      <c r="AA131" s="3243">
        <f t="shared" si="17"/>
        <v>1850</v>
      </c>
      <c r="AB131" s="3242"/>
      <c r="AC131" s="4273">
        <v>1850</v>
      </c>
      <c r="AD131" s="3241"/>
      <c r="AE131" s="3242">
        <f t="shared" si="18"/>
        <v>0</v>
      </c>
      <c r="AF131" s="4261"/>
      <c r="AG131" s="3250"/>
      <c r="AH131" s="3241"/>
      <c r="AI131" s="3250"/>
      <c r="AJ131" s="3241"/>
      <c r="AK131" s="3250"/>
      <c r="AL131" s="3241"/>
      <c r="AM131" s="3250"/>
      <c r="AN131" s="3241"/>
      <c r="AO131" s="3250"/>
      <c r="AP131" s="3242">
        <f t="shared" si="14"/>
        <v>0</v>
      </c>
      <c r="AQ131" s="3241"/>
      <c r="AR131" s="3241"/>
      <c r="AS131" s="3242"/>
      <c r="AT131" s="3247"/>
      <c r="AU131" s="3248"/>
      <c r="AV131" s="3248"/>
      <c r="AW131" s="3247"/>
      <c r="AX131" s="3248"/>
      <c r="AY131" s="3248"/>
      <c r="AZ131" s="3247"/>
      <c r="BA131" s="3248"/>
      <c r="BB131" s="3248"/>
      <c r="BC131" s="3247"/>
      <c r="BD131" s="3248"/>
      <c r="BE131" s="3248"/>
      <c r="BF131" s="3248"/>
      <c r="BG131" s="3248"/>
      <c r="BH131" s="3249"/>
      <c r="BI131" s="3249"/>
    </row>
    <row r="132" spans="1:61" ht="26.4" x14ac:dyDescent="0.25">
      <c r="A132" s="3270">
        <f t="shared" si="16"/>
        <v>122</v>
      </c>
      <c r="B132" s="3272" t="s">
        <v>4104</v>
      </c>
      <c r="C132" s="3271"/>
      <c r="D132" s="3240"/>
      <c r="E132" s="3241"/>
      <c r="F132" s="3241"/>
      <c r="G132" s="3240"/>
      <c r="H132" s="3241"/>
      <c r="I132" s="3241"/>
      <c r="J132" s="3241"/>
      <c r="K132" s="3240"/>
      <c r="L132" s="3241"/>
      <c r="M132" s="3241"/>
      <c r="N132" s="3240">
        <f t="shared" si="5"/>
        <v>122</v>
      </c>
      <c r="O132" s="3239"/>
      <c r="P132" s="3240"/>
      <c r="Q132" s="3241"/>
      <c r="R132" s="3241"/>
      <c r="S132" s="3240"/>
      <c r="T132" s="3241"/>
      <c r="U132" s="3241"/>
      <c r="V132" s="3241"/>
      <c r="W132" s="3240"/>
      <c r="X132" s="3241"/>
      <c r="Y132" s="3241"/>
      <c r="Z132" s="3242">
        <f t="shared" si="6"/>
        <v>122</v>
      </c>
      <c r="AA132" s="3243">
        <f t="shared" si="17"/>
        <v>3050</v>
      </c>
      <c r="AB132" s="3242"/>
      <c r="AC132" s="3241">
        <v>3050</v>
      </c>
      <c r="AD132" s="3241"/>
      <c r="AE132" s="3242">
        <f t="shared" si="18"/>
        <v>0</v>
      </c>
      <c r="AF132" s="4261"/>
      <c r="AG132" s="3250"/>
      <c r="AH132" s="3241"/>
      <c r="AI132" s="3250"/>
      <c r="AJ132" s="3241"/>
      <c r="AK132" s="3250"/>
      <c r="AL132" s="3241"/>
      <c r="AM132" s="3250"/>
      <c r="AN132" s="3241"/>
      <c r="AO132" s="3250"/>
      <c r="AP132" s="3242">
        <f t="shared" si="14"/>
        <v>0</v>
      </c>
      <c r="AQ132" s="3241"/>
      <c r="AR132" s="3241"/>
      <c r="AS132" s="3242"/>
      <c r="AT132" s="3247"/>
      <c r="AU132" s="3248"/>
      <c r="AV132" s="3248"/>
      <c r="AW132" s="3247"/>
      <c r="AX132" s="3248"/>
      <c r="AY132" s="3248"/>
      <c r="AZ132" s="3247"/>
      <c r="BA132" s="3248"/>
      <c r="BB132" s="3248"/>
      <c r="BC132" s="3247"/>
      <c r="BD132" s="3248"/>
      <c r="BE132" s="3248"/>
      <c r="BF132" s="3248"/>
      <c r="BG132" s="3248"/>
      <c r="BH132" s="3249"/>
      <c r="BI132" s="3249"/>
    </row>
    <row r="133" spans="1:61" ht="26.4" x14ac:dyDescent="0.25">
      <c r="A133" s="3270">
        <f t="shared" si="16"/>
        <v>123</v>
      </c>
      <c r="B133" s="3272" t="s">
        <v>4105</v>
      </c>
      <c r="C133" s="3271"/>
      <c r="D133" s="3240"/>
      <c r="E133" s="3241"/>
      <c r="F133" s="3241"/>
      <c r="G133" s="3240"/>
      <c r="H133" s="3241"/>
      <c r="I133" s="3241"/>
      <c r="J133" s="3241"/>
      <c r="K133" s="3240"/>
      <c r="L133" s="3241"/>
      <c r="M133" s="3241"/>
      <c r="N133" s="3240">
        <f t="shared" si="5"/>
        <v>123</v>
      </c>
      <c r="O133" s="3239"/>
      <c r="P133" s="3240"/>
      <c r="Q133" s="3241"/>
      <c r="R133" s="3241"/>
      <c r="S133" s="3240"/>
      <c r="T133" s="3241"/>
      <c r="U133" s="3241"/>
      <c r="V133" s="3241"/>
      <c r="W133" s="3240"/>
      <c r="X133" s="3241"/>
      <c r="Y133" s="3241"/>
      <c r="Z133" s="3242">
        <f t="shared" si="6"/>
        <v>123</v>
      </c>
      <c r="AA133" s="3243">
        <f t="shared" si="17"/>
        <v>2880</v>
      </c>
      <c r="AB133" s="3242"/>
      <c r="AC133" s="3241">
        <v>2880</v>
      </c>
      <c r="AD133" s="3241"/>
      <c r="AE133" s="3242">
        <f t="shared" si="18"/>
        <v>0</v>
      </c>
      <c r="AF133" s="4261"/>
      <c r="AG133" s="3250"/>
      <c r="AH133" s="3241"/>
      <c r="AI133" s="3250"/>
      <c r="AJ133" s="3241"/>
      <c r="AK133" s="3250"/>
      <c r="AL133" s="3241"/>
      <c r="AM133" s="3250"/>
      <c r="AN133" s="3241"/>
      <c r="AO133" s="3250"/>
      <c r="AP133" s="3242">
        <f t="shared" si="14"/>
        <v>0</v>
      </c>
      <c r="AQ133" s="3241"/>
      <c r="AR133" s="3241"/>
      <c r="AS133" s="3242"/>
      <c r="AT133" s="3247"/>
      <c r="AU133" s="3248"/>
      <c r="AV133" s="3248"/>
      <c r="AW133" s="3247"/>
      <c r="AX133" s="3248"/>
      <c r="AY133" s="3248"/>
      <c r="AZ133" s="3247"/>
      <c r="BA133" s="3248"/>
      <c r="BB133" s="3248"/>
      <c r="BC133" s="3247"/>
      <c r="BD133" s="3248"/>
      <c r="BE133" s="3248"/>
      <c r="BF133" s="3248"/>
      <c r="BG133" s="3248"/>
      <c r="BH133" s="3249"/>
      <c r="BI133" s="3249"/>
    </row>
    <row r="134" spans="1:61" ht="26.4" x14ac:dyDescent="0.25">
      <c r="A134" s="3270">
        <f t="shared" si="16"/>
        <v>124</v>
      </c>
      <c r="B134" s="3272" t="s">
        <v>4106</v>
      </c>
      <c r="C134" s="3271"/>
      <c r="D134" s="3240"/>
      <c r="E134" s="3241"/>
      <c r="F134" s="3241"/>
      <c r="G134" s="3240"/>
      <c r="H134" s="3241"/>
      <c r="I134" s="3241"/>
      <c r="J134" s="3241"/>
      <c r="K134" s="3240"/>
      <c r="L134" s="3241"/>
      <c r="M134" s="3241"/>
      <c r="N134" s="3240">
        <f t="shared" si="5"/>
        <v>124</v>
      </c>
      <c r="O134" s="3239"/>
      <c r="P134" s="3240"/>
      <c r="Q134" s="3241"/>
      <c r="R134" s="3241"/>
      <c r="S134" s="3240"/>
      <c r="T134" s="3241"/>
      <c r="U134" s="3241"/>
      <c r="V134" s="3241"/>
      <c r="W134" s="3240"/>
      <c r="X134" s="3241"/>
      <c r="Y134" s="3241"/>
      <c r="Z134" s="3242">
        <f t="shared" si="6"/>
        <v>124</v>
      </c>
      <c r="AA134" s="3243">
        <f t="shared" si="17"/>
        <v>5450</v>
      </c>
      <c r="AB134" s="3242"/>
      <c r="AC134" s="3241">
        <v>5450</v>
      </c>
      <c r="AD134" s="3241"/>
      <c r="AE134" s="3242">
        <f t="shared" si="18"/>
        <v>0</v>
      </c>
      <c r="AF134" s="4261"/>
      <c r="AG134" s="3250"/>
      <c r="AH134" s="3241"/>
      <c r="AI134" s="3250"/>
      <c r="AJ134" s="3241"/>
      <c r="AK134" s="3250"/>
      <c r="AL134" s="3241"/>
      <c r="AM134" s="3250"/>
      <c r="AN134" s="3241"/>
      <c r="AO134" s="3250"/>
      <c r="AP134" s="3242">
        <f t="shared" si="14"/>
        <v>0</v>
      </c>
      <c r="AQ134" s="3241"/>
      <c r="AR134" s="3241"/>
      <c r="AS134" s="3242"/>
      <c r="AT134" s="3247"/>
      <c r="AU134" s="3248"/>
      <c r="AV134" s="3248"/>
      <c r="AW134" s="3247"/>
      <c r="AX134" s="3248"/>
      <c r="AY134" s="3248"/>
      <c r="AZ134" s="3247"/>
      <c r="BA134" s="3248"/>
      <c r="BB134" s="3248"/>
      <c r="BC134" s="3247"/>
      <c r="BD134" s="3248"/>
      <c r="BE134" s="3248"/>
      <c r="BF134" s="3248"/>
      <c r="BG134" s="3248"/>
      <c r="BH134" s="3249"/>
      <c r="BI134" s="3249"/>
    </row>
    <row r="135" spans="1:61" ht="26.4" x14ac:dyDescent="0.25">
      <c r="A135" s="3270">
        <f t="shared" si="16"/>
        <v>125</v>
      </c>
      <c r="B135" s="3272" t="s">
        <v>4107</v>
      </c>
      <c r="C135" s="3271"/>
      <c r="D135" s="3240"/>
      <c r="E135" s="3241"/>
      <c r="F135" s="3241"/>
      <c r="G135" s="3240"/>
      <c r="H135" s="3241"/>
      <c r="I135" s="3241"/>
      <c r="J135" s="3241"/>
      <c r="K135" s="3240"/>
      <c r="L135" s="3241"/>
      <c r="M135" s="3241"/>
      <c r="N135" s="3240">
        <f t="shared" si="5"/>
        <v>125</v>
      </c>
      <c r="O135" s="3239"/>
      <c r="P135" s="3240"/>
      <c r="Q135" s="3241"/>
      <c r="R135" s="3241"/>
      <c r="S135" s="3240"/>
      <c r="T135" s="3241"/>
      <c r="U135" s="3241"/>
      <c r="V135" s="3241"/>
      <c r="W135" s="3240"/>
      <c r="X135" s="3241"/>
      <c r="Y135" s="3241"/>
      <c r="Z135" s="3242">
        <f t="shared" si="6"/>
        <v>125</v>
      </c>
      <c r="AA135" s="3243">
        <f t="shared" si="17"/>
        <v>48000</v>
      </c>
      <c r="AB135" s="3242"/>
      <c r="AC135" s="3241"/>
      <c r="AD135" s="4273">
        <f>48000</f>
        <v>48000</v>
      </c>
      <c r="AE135" s="3242">
        <f t="shared" si="18"/>
        <v>0</v>
      </c>
      <c r="AF135" s="4261"/>
      <c r="AG135" s="3250"/>
      <c r="AH135" s="3241"/>
      <c r="AI135" s="3250"/>
      <c r="AJ135" s="3241"/>
      <c r="AK135" s="3250"/>
      <c r="AL135" s="3241"/>
      <c r="AM135" s="3250"/>
      <c r="AN135" s="3241"/>
      <c r="AO135" s="3250"/>
      <c r="AP135" s="3242">
        <f t="shared" si="14"/>
        <v>0</v>
      </c>
      <c r="AQ135" s="3241"/>
      <c r="AR135" s="3241"/>
      <c r="AS135" s="3242"/>
      <c r="AT135" s="3247"/>
      <c r="AU135" s="3248"/>
      <c r="AV135" s="3248"/>
      <c r="AW135" s="3247"/>
      <c r="AX135" s="3248"/>
      <c r="AY135" s="3248"/>
      <c r="AZ135" s="3247"/>
      <c r="BA135" s="3248"/>
      <c r="BB135" s="3248"/>
      <c r="BC135" s="3247"/>
      <c r="BD135" s="3248"/>
      <c r="BE135" s="3248"/>
      <c r="BF135" s="3248"/>
      <c r="BG135" s="3248"/>
      <c r="BH135" s="3249"/>
      <c r="BI135" s="3249"/>
    </row>
    <row r="136" spans="1:61" ht="26.4" x14ac:dyDescent="0.25">
      <c r="A136" s="3270">
        <f t="shared" si="16"/>
        <v>126</v>
      </c>
      <c r="B136" s="3272" t="s">
        <v>4108</v>
      </c>
      <c r="C136" s="3271"/>
      <c r="D136" s="3240"/>
      <c r="E136" s="3241"/>
      <c r="F136" s="3241"/>
      <c r="G136" s="3240"/>
      <c r="H136" s="3241"/>
      <c r="I136" s="3241"/>
      <c r="J136" s="3241"/>
      <c r="K136" s="3240"/>
      <c r="L136" s="3241"/>
      <c r="M136" s="3241"/>
      <c r="N136" s="3240">
        <f t="shared" si="5"/>
        <v>126</v>
      </c>
      <c r="O136" s="3239"/>
      <c r="P136" s="3240"/>
      <c r="Q136" s="3241"/>
      <c r="R136" s="3241"/>
      <c r="S136" s="3240"/>
      <c r="T136" s="3241"/>
      <c r="U136" s="3241"/>
      <c r="V136" s="3241"/>
      <c r="W136" s="3240"/>
      <c r="X136" s="3241"/>
      <c r="Y136" s="3241"/>
      <c r="Z136" s="3242">
        <f t="shared" si="6"/>
        <v>126</v>
      </c>
      <c r="AA136" s="3243">
        <f t="shared" si="17"/>
        <v>33600</v>
      </c>
      <c r="AB136" s="3242"/>
      <c r="AC136" s="3241"/>
      <c r="AD136" s="4273">
        <f>2800*12</f>
        <v>33600</v>
      </c>
      <c r="AE136" s="3242">
        <f t="shared" si="18"/>
        <v>0</v>
      </c>
      <c r="AF136" s="4261"/>
      <c r="AG136" s="3250"/>
      <c r="AH136" s="3241"/>
      <c r="AI136" s="3250"/>
      <c r="AJ136" s="3241"/>
      <c r="AK136" s="3250"/>
      <c r="AL136" s="3241"/>
      <c r="AM136" s="3250"/>
      <c r="AN136" s="3241"/>
      <c r="AO136" s="3250"/>
      <c r="AP136" s="3242">
        <f t="shared" si="14"/>
        <v>0</v>
      </c>
      <c r="AQ136" s="3241"/>
      <c r="AR136" s="3241"/>
      <c r="AS136" s="3242"/>
      <c r="AT136" s="3247"/>
      <c r="AU136" s="3248"/>
      <c r="AV136" s="3248"/>
      <c r="AW136" s="3247"/>
      <c r="AX136" s="3248"/>
      <c r="AY136" s="3248"/>
      <c r="AZ136" s="3247"/>
      <c r="BA136" s="3248"/>
      <c r="BB136" s="3248"/>
      <c r="BC136" s="3247"/>
      <c r="BD136" s="3248"/>
      <c r="BE136" s="3248"/>
      <c r="BF136" s="3248"/>
      <c r="BG136" s="3248"/>
      <c r="BH136" s="3249"/>
      <c r="BI136" s="3249"/>
    </row>
    <row r="137" spans="1:61" ht="13.2" x14ac:dyDescent="0.25">
      <c r="A137" s="3270">
        <f t="shared" si="16"/>
        <v>127</v>
      </c>
      <c r="B137" s="3272" t="s">
        <v>1559</v>
      </c>
      <c r="C137" s="3271"/>
      <c r="D137" s="3240"/>
      <c r="E137" s="3241"/>
      <c r="F137" s="3241"/>
      <c r="G137" s="3240"/>
      <c r="H137" s="3241"/>
      <c r="I137" s="3241"/>
      <c r="J137" s="3241"/>
      <c r="K137" s="3240"/>
      <c r="L137" s="3241"/>
      <c r="M137" s="3241"/>
      <c r="N137" s="3240">
        <f t="shared" si="5"/>
        <v>127</v>
      </c>
      <c r="O137" s="3239"/>
      <c r="P137" s="3240"/>
      <c r="Q137" s="3241"/>
      <c r="R137" s="3241"/>
      <c r="S137" s="3240"/>
      <c r="T137" s="3241"/>
      <c r="U137" s="3241"/>
      <c r="V137" s="3241"/>
      <c r="W137" s="3240"/>
      <c r="X137" s="3241"/>
      <c r="Y137" s="3241"/>
      <c r="Z137" s="3242">
        <f t="shared" si="6"/>
        <v>127</v>
      </c>
      <c r="AA137" s="3243">
        <f t="shared" si="17"/>
        <v>0</v>
      </c>
      <c r="AB137" s="3242"/>
      <c r="AC137" s="3241"/>
      <c r="AD137" s="3241"/>
      <c r="AE137" s="3242">
        <f t="shared" si="18"/>
        <v>0</v>
      </c>
      <c r="AF137" s="4261"/>
      <c r="AG137" s="3250"/>
      <c r="AH137" s="3241"/>
      <c r="AI137" s="3250"/>
      <c r="AJ137" s="3241"/>
      <c r="AK137" s="3250"/>
      <c r="AL137" s="3241"/>
      <c r="AM137" s="3250"/>
      <c r="AN137" s="3241"/>
      <c r="AO137" s="3250"/>
      <c r="AP137" s="3242">
        <f t="shared" si="14"/>
        <v>0</v>
      </c>
      <c r="AQ137" s="3241"/>
      <c r="AR137" s="3241"/>
      <c r="AS137" s="3242"/>
      <c r="AT137" s="3247"/>
      <c r="AU137" s="3248"/>
      <c r="AV137" s="3248"/>
      <c r="AW137" s="3247"/>
      <c r="AX137" s="3248"/>
      <c r="AY137" s="3248"/>
      <c r="AZ137" s="3247"/>
      <c r="BA137" s="3248"/>
      <c r="BB137" s="3248"/>
      <c r="BC137" s="3247"/>
      <c r="BD137" s="3248"/>
      <c r="BE137" s="3248"/>
      <c r="BF137" s="3248"/>
      <c r="BG137" s="3248"/>
      <c r="BH137" s="3249"/>
      <c r="BI137" s="3249"/>
    </row>
    <row r="138" spans="1:61" ht="13.2" x14ac:dyDescent="0.25">
      <c r="A138" s="3270">
        <f t="shared" si="16"/>
        <v>128</v>
      </c>
      <c r="B138" s="3272" t="s">
        <v>4123</v>
      </c>
      <c r="C138" s="3271"/>
      <c r="D138" s="3240"/>
      <c r="E138" s="3241"/>
      <c r="F138" s="3241"/>
      <c r="G138" s="3240"/>
      <c r="H138" s="3241"/>
      <c r="I138" s="3241"/>
      <c r="J138" s="3241"/>
      <c r="K138" s="3240"/>
      <c r="L138" s="3241"/>
      <c r="M138" s="3241"/>
      <c r="N138" s="3240">
        <f t="shared" si="5"/>
        <v>128</v>
      </c>
      <c r="O138" s="3239"/>
      <c r="P138" s="3240"/>
      <c r="Q138" s="3241"/>
      <c r="R138" s="3241"/>
      <c r="S138" s="3240"/>
      <c r="T138" s="3241"/>
      <c r="U138" s="3241"/>
      <c r="V138" s="3241"/>
      <c r="W138" s="3240"/>
      <c r="X138" s="3241"/>
      <c r="Y138" s="3241"/>
      <c r="Z138" s="3242">
        <f t="shared" si="6"/>
        <v>128</v>
      </c>
      <c r="AA138" s="3243">
        <f t="shared" si="17"/>
        <v>6000</v>
      </c>
      <c r="AB138" s="3242"/>
      <c r="AC138" s="3241"/>
      <c r="AD138" s="4384">
        <v>6000</v>
      </c>
      <c r="AE138" s="3242">
        <f t="shared" si="18"/>
        <v>0</v>
      </c>
      <c r="AF138" s="4261"/>
      <c r="AG138" s="3250"/>
      <c r="AH138" s="3241"/>
      <c r="AI138" s="3250"/>
      <c r="AJ138" s="3241"/>
      <c r="AK138" s="3250"/>
      <c r="AL138" s="3241"/>
      <c r="AM138" s="3250"/>
      <c r="AN138" s="3241"/>
      <c r="AO138" s="3250"/>
      <c r="AP138" s="3242">
        <f t="shared" si="14"/>
        <v>0</v>
      </c>
      <c r="AQ138" s="3241"/>
      <c r="AR138" s="3241"/>
      <c r="AS138" s="3242"/>
      <c r="AT138" s="3247"/>
      <c r="AU138" s="3248"/>
      <c r="AV138" s="3248"/>
      <c r="AW138" s="3247"/>
      <c r="AX138" s="3248"/>
      <c r="AY138" s="3248"/>
      <c r="AZ138" s="3247"/>
      <c r="BA138" s="3248"/>
      <c r="BB138" s="3248"/>
      <c r="BC138" s="3247"/>
      <c r="BD138" s="3248"/>
      <c r="BE138" s="3248"/>
      <c r="BF138" s="3248"/>
      <c r="BG138" s="3248"/>
      <c r="BH138" s="3249"/>
      <c r="BI138" s="3249"/>
    </row>
    <row r="139" spans="1:61" ht="13.2" x14ac:dyDescent="0.25">
      <c r="A139" s="3270">
        <f t="shared" si="16"/>
        <v>129</v>
      </c>
      <c r="B139" s="3272"/>
      <c r="C139" s="3271"/>
      <c r="D139" s="3240"/>
      <c r="E139" s="3241"/>
      <c r="F139" s="3241"/>
      <c r="G139" s="3240"/>
      <c r="H139" s="3241"/>
      <c r="I139" s="3241"/>
      <c r="J139" s="3241"/>
      <c r="K139" s="3240"/>
      <c r="L139" s="3241"/>
      <c r="M139" s="3241"/>
      <c r="N139" s="3240">
        <f t="shared" si="5"/>
        <v>129</v>
      </c>
      <c r="O139" s="3239"/>
      <c r="P139" s="3240"/>
      <c r="Q139" s="3241"/>
      <c r="R139" s="3241"/>
      <c r="S139" s="3240"/>
      <c r="T139" s="3241"/>
      <c r="U139" s="3241"/>
      <c r="V139" s="3241"/>
      <c r="W139" s="3240"/>
      <c r="X139" s="3241"/>
      <c r="Y139" s="3241"/>
      <c r="Z139" s="3242">
        <f t="shared" si="6"/>
        <v>129</v>
      </c>
      <c r="AA139" s="3243">
        <f t="shared" si="17"/>
        <v>0</v>
      </c>
      <c r="AB139" s="3242"/>
      <c r="AC139" s="3241"/>
      <c r="AD139" s="3241"/>
      <c r="AE139" s="3242">
        <f t="shared" si="18"/>
        <v>0</v>
      </c>
      <c r="AF139" s="4261"/>
      <c r="AG139" s="3250"/>
      <c r="AH139" s="3241"/>
      <c r="AI139" s="3250"/>
      <c r="AJ139" s="3241"/>
      <c r="AK139" s="3250"/>
      <c r="AL139" s="3241"/>
      <c r="AM139" s="3250"/>
      <c r="AN139" s="3241"/>
      <c r="AO139" s="3250"/>
      <c r="AP139" s="3242">
        <f t="shared" si="14"/>
        <v>0</v>
      </c>
      <c r="AQ139" s="3241"/>
      <c r="AR139" s="3241"/>
      <c r="AS139" s="3242"/>
      <c r="AT139" s="3247"/>
      <c r="AU139" s="3248"/>
      <c r="AV139" s="3248"/>
      <c r="AW139" s="3247"/>
      <c r="AX139" s="3248"/>
      <c r="AY139" s="3248"/>
      <c r="AZ139" s="3247"/>
      <c r="BA139" s="3248"/>
      <c r="BB139" s="3248"/>
      <c r="BC139" s="3247"/>
      <c r="BD139" s="3248"/>
      <c r="BE139" s="3248"/>
      <c r="BF139" s="3248"/>
      <c r="BG139" s="3248"/>
      <c r="BH139" s="3249"/>
      <c r="BI139" s="3249"/>
    </row>
    <row r="140" spans="1:61" ht="26.4" x14ac:dyDescent="0.25">
      <c r="A140" s="3270">
        <f t="shared" si="16"/>
        <v>130</v>
      </c>
      <c r="B140" s="3272" t="s">
        <v>1581</v>
      </c>
      <c r="C140" s="3271"/>
      <c r="D140" s="3240"/>
      <c r="E140" s="3241"/>
      <c r="F140" s="3241"/>
      <c r="G140" s="3240"/>
      <c r="H140" s="3241"/>
      <c r="I140" s="3241"/>
      <c r="J140" s="3241"/>
      <c r="K140" s="3240"/>
      <c r="L140" s="3241"/>
      <c r="M140" s="3241"/>
      <c r="N140" s="3240">
        <f t="shared" si="5"/>
        <v>130</v>
      </c>
      <c r="O140" s="3239"/>
      <c r="P140" s="3240"/>
      <c r="Q140" s="3241"/>
      <c r="R140" s="3241"/>
      <c r="S140" s="3240"/>
      <c r="T140" s="3241"/>
      <c r="U140" s="3241"/>
      <c r="V140" s="3241"/>
      <c r="W140" s="3240"/>
      <c r="X140" s="3241"/>
      <c r="Y140" s="3241"/>
      <c r="Z140" s="3242">
        <f t="shared" si="6"/>
        <v>130</v>
      </c>
      <c r="AA140" s="3243">
        <f t="shared" si="17"/>
        <v>0</v>
      </c>
      <c r="AB140" s="3242">
        <f t="shared" si="19"/>
        <v>0</v>
      </c>
      <c r="AC140" s="3241"/>
      <c r="AD140" s="3241"/>
      <c r="AE140" s="3242">
        <f t="shared" si="18"/>
        <v>0</v>
      </c>
      <c r="AF140" s="4261"/>
      <c r="AG140" s="3250" t="s">
        <v>124</v>
      </c>
      <c r="AH140" s="3241"/>
      <c r="AI140" s="3250" t="s">
        <v>124</v>
      </c>
      <c r="AJ140" s="3241"/>
      <c r="AK140" s="3250" t="s">
        <v>124</v>
      </c>
      <c r="AL140" s="3241"/>
      <c r="AM140" s="3250" t="s">
        <v>124</v>
      </c>
      <c r="AN140" s="3241"/>
      <c r="AO140" s="3250" t="s">
        <v>124</v>
      </c>
      <c r="AP140" s="3242">
        <f t="shared" si="14"/>
        <v>0</v>
      </c>
      <c r="AQ140" s="3241"/>
      <c r="AR140" s="3241"/>
      <c r="AS140" s="3242">
        <f t="shared" si="9"/>
        <v>130</v>
      </c>
      <c r="AT140" s="3247"/>
      <c r="AU140" s="3248"/>
      <c r="AV140" s="3248"/>
      <c r="AW140" s="3247"/>
      <c r="AX140" s="3248"/>
      <c r="AY140" s="3248"/>
      <c r="AZ140" s="3247"/>
      <c r="BA140" s="3248"/>
      <c r="BB140" s="3248"/>
      <c r="BC140" s="3247"/>
      <c r="BD140" s="3248"/>
      <c r="BE140" s="3248"/>
      <c r="BF140" s="3248"/>
      <c r="BG140" s="3248"/>
      <c r="BH140" s="3249"/>
      <c r="BI140" s="3249"/>
    </row>
    <row r="141" spans="1:61" ht="13.2" x14ac:dyDescent="0.3">
      <c r="A141" s="3270">
        <f t="shared" si="16"/>
        <v>131</v>
      </c>
      <c r="B141" s="3275" t="s">
        <v>1722</v>
      </c>
      <c r="C141" s="3271"/>
      <c r="D141" s="3240"/>
      <c r="E141" s="3241"/>
      <c r="F141" s="3241"/>
      <c r="G141" s="3240"/>
      <c r="H141" s="3241"/>
      <c r="I141" s="3241"/>
      <c r="J141" s="3241"/>
      <c r="K141" s="3240"/>
      <c r="L141" s="3241"/>
      <c r="M141" s="3241"/>
      <c r="N141" s="3240">
        <f t="shared" si="5"/>
        <v>131</v>
      </c>
      <c r="O141" s="3239"/>
      <c r="P141" s="3240"/>
      <c r="Q141" s="3241"/>
      <c r="R141" s="3241"/>
      <c r="S141" s="3240"/>
      <c r="T141" s="3241"/>
      <c r="U141" s="3241"/>
      <c r="V141" s="3241"/>
      <c r="W141" s="3240"/>
      <c r="X141" s="3241"/>
      <c r="Y141" s="3241"/>
      <c r="Z141" s="3242">
        <f t="shared" si="6"/>
        <v>131</v>
      </c>
      <c r="AA141" s="3243">
        <f t="shared" si="17"/>
        <v>4500</v>
      </c>
      <c r="AB141" s="3242">
        <f t="shared" si="19"/>
        <v>0</v>
      </c>
      <c r="AC141" s="3241"/>
      <c r="AD141" s="3241">
        <v>4500</v>
      </c>
      <c r="AE141" s="3242">
        <f t="shared" si="18"/>
        <v>0</v>
      </c>
      <c r="AF141" s="4261"/>
      <c r="AG141" s="3250" t="s">
        <v>124</v>
      </c>
      <c r="AH141" s="3241"/>
      <c r="AI141" s="3250" t="s">
        <v>124</v>
      </c>
      <c r="AJ141" s="3241"/>
      <c r="AK141" s="3250" t="s">
        <v>124</v>
      </c>
      <c r="AL141" s="3241"/>
      <c r="AM141" s="3250" t="s">
        <v>124</v>
      </c>
      <c r="AN141" s="3241"/>
      <c r="AO141" s="3250" t="s">
        <v>124</v>
      </c>
      <c r="AP141" s="3242">
        <f t="shared" si="14"/>
        <v>0</v>
      </c>
      <c r="AQ141" s="3241"/>
      <c r="AR141" s="3241"/>
      <c r="AS141" s="3242">
        <f t="shared" si="9"/>
        <v>131</v>
      </c>
      <c r="AT141" s="3247"/>
      <c r="AU141" s="3248"/>
      <c r="AV141" s="3248"/>
      <c r="AW141" s="3247"/>
      <c r="AX141" s="3248"/>
      <c r="AY141" s="3248"/>
      <c r="AZ141" s="3247"/>
      <c r="BA141" s="3248"/>
      <c r="BB141" s="3248"/>
      <c r="BC141" s="3247"/>
      <c r="BD141" s="3248"/>
      <c r="BE141" s="3248"/>
      <c r="BF141" s="3248"/>
      <c r="BG141" s="3248"/>
      <c r="BH141" s="3249"/>
      <c r="BI141" s="3249"/>
    </row>
    <row r="142" spans="1:61" ht="14.4" customHeight="1" x14ac:dyDescent="0.3">
      <c r="A142" s="3270">
        <f t="shared" si="16"/>
        <v>132</v>
      </c>
      <c r="B142" s="3278" t="s">
        <v>3514</v>
      </c>
      <c r="C142" s="3271"/>
      <c r="D142" s="3240"/>
      <c r="E142" s="3241"/>
      <c r="F142" s="3241"/>
      <c r="G142" s="3240"/>
      <c r="H142" s="3241"/>
      <c r="I142" s="3241"/>
      <c r="J142" s="3241"/>
      <c r="K142" s="3240"/>
      <c r="L142" s="3241"/>
      <c r="M142" s="3241"/>
      <c r="N142" s="3240">
        <f t="shared" si="5"/>
        <v>132</v>
      </c>
      <c r="O142" s="3239"/>
      <c r="P142" s="3240"/>
      <c r="Q142" s="3241"/>
      <c r="R142" s="3241"/>
      <c r="S142" s="3240"/>
      <c r="T142" s="3241"/>
      <c r="U142" s="3241"/>
      <c r="V142" s="3241"/>
      <c r="W142" s="3240"/>
      <c r="X142" s="3241"/>
      <c r="Y142" s="3241"/>
      <c r="Z142" s="3242">
        <f t="shared" si="6"/>
        <v>132</v>
      </c>
      <c r="AA142" s="3243">
        <f t="shared" si="17"/>
        <v>641</v>
      </c>
      <c r="AB142" s="3242">
        <f t="shared" si="19"/>
        <v>0</v>
      </c>
      <c r="AC142" s="3241"/>
      <c r="AD142" s="3241">
        <v>641</v>
      </c>
      <c r="AE142" s="3242">
        <f t="shared" si="18"/>
        <v>0</v>
      </c>
      <c r="AF142" s="4261"/>
      <c r="AG142" s="3250" t="s">
        <v>124</v>
      </c>
      <c r="AH142" s="3241"/>
      <c r="AI142" s="3250" t="s">
        <v>124</v>
      </c>
      <c r="AJ142" s="3241"/>
      <c r="AK142" s="3250" t="s">
        <v>124</v>
      </c>
      <c r="AL142" s="3241"/>
      <c r="AM142" s="3250" t="s">
        <v>124</v>
      </c>
      <c r="AN142" s="3241"/>
      <c r="AO142" s="3250" t="s">
        <v>124</v>
      </c>
      <c r="AP142" s="3242">
        <f t="shared" si="14"/>
        <v>0</v>
      </c>
      <c r="AQ142" s="3241"/>
      <c r="AR142" s="3241"/>
      <c r="AS142" s="3242">
        <f t="shared" si="9"/>
        <v>132</v>
      </c>
      <c r="AT142" s="3247"/>
      <c r="AU142" s="3248"/>
      <c r="AV142" s="3248"/>
      <c r="AW142" s="3247"/>
      <c r="AX142" s="3248"/>
      <c r="AY142" s="3248"/>
      <c r="AZ142" s="3247"/>
      <c r="BA142" s="3248"/>
      <c r="BB142" s="3248"/>
      <c r="BC142" s="3247"/>
      <c r="BD142" s="3248"/>
      <c r="BE142" s="3248"/>
      <c r="BF142" s="3248"/>
      <c r="BG142" s="3248"/>
      <c r="BH142" s="3249"/>
      <c r="BI142" s="3249"/>
    </row>
    <row r="143" spans="1:61" ht="13.2" x14ac:dyDescent="0.3">
      <c r="A143" s="3270">
        <f t="shared" si="16"/>
        <v>133</v>
      </c>
      <c r="B143" s="3275" t="s">
        <v>1724</v>
      </c>
      <c r="C143" s="3271"/>
      <c r="D143" s="3240"/>
      <c r="E143" s="3241"/>
      <c r="F143" s="3241"/>
      <c r="G143" s="3240"/>
      <c r="H143" s="3241"/>
      <c r="I143" s="3241"/>
      <c r="J143" s="3241"/>
      <c r="K143" s="3240"/>
      <c r="L143" s="3241"/>
      <c r="M143" s="3241"/>
      <c r="N143" s="3240">
        <f t="shared" si="5"/>
        <v>133</v>
      </c>
      <c r="O143" s="3239"/>
      <c r="P143" s="3240"/>
      <c r="Q143" s="3241"/>
      <c r="R143" s="3241"/>
      <c r="S143" s="3240"/>
      <c r="T143" s="3241"/>
      <c r="U143" s="3241"/>
      <c r="V143" s="3241"/>
      <c r="W143" s="3240"/>
      <c r="X143" s="3241"/>
      <c r="Y143" s="3241"/>
      <c r="Z143" s="3242">
        <f t="shared" si="6"/>
        <v>133</v>
      </c>
      <c r="AA143" s="3243">
        <f t="shared" si="17"/>
        <v>0</v>
      </c>
      <c r="AB143" s="3242">
        <f t="shared" si="19"/>
        <v>0</v>
      </c>
      <c r="AC143" s="3241"/>
      <c r="AD143" s="3241"/>
      <c r="AE143" s="3242">
        <f t="shared" si="18"/>
        <v>0</v>
      </c>
      <c r="AF143" s="4261"/>
      <c r="AG143" s="3250" t="s">
        <v>124</v>
      </c>
      <c r="AH143" s="3241"/>
      <c r="AI143" s="3250" t="s">
        <v>124</v>
      </c>
      <c r="AJ143" s="3241"/>
      <c r="AK143" s="3250" t="s">
        <v>124</v>
      </c>
      <c r="AL143" s="3241"/>
      <c r="AM143" s="3250" t="s">
        <v>124</v>
      </c>
      <c r="AN143" s="3241"/>
      <c r="AO143" s="3250" t="s">
        <v>124</v>
      </c>
      <c r="AP143" s="3242">
        <f t="shared" si="14"/>
        <v>0</v>
      </c>
      <c r="AQ143" s="3241"/>
      <c r="AR143" s="3241"/>
      <c r="AS143" s="3242">
        <f t="shared" si="9"/>
        <v>133</v>
      </c>
      <c r="AT143" s="3247"/>
      <c r="AU143" s="3248"/>
      <c r="AV143" s="3248"/>
      <c r="AW143" s="3247"/>
      <c r="AX143" s="3248"/>
      <c r="AY143" s="3248"/>
      <c r="AZ143" s="3247"/>
      <c r="BA143" s="3248"/>
      <c r="BB143" s="3248"/>
      <c r="BC143" s="3247"/>
      <c r="BD143" s="3248"/>
      <c r="BE143" s="3248"/>
      <c r="BF143" s="3248"/>
      <c r="BG143" s="3248"/>
      <c r="BH143" s="3249"/>
      <c r="BI143" s="3249"/>
    </row>
    <row r="144" spans="1:61" ht="13.2" customHeight="1" x14ac:dyDescent="0.3">
      <c r="A144" s="3270">
        <f t="shared" si="16"/>
        <v>134</v>
      </c>
      <c r="B144" s="3275" t="s">
        <v>3343</v>
      </c>
      <c r="C144" s="3271"/>
      <c r="D144" s="3240"/>
      <c r="E144" s="3241"/>
      <c r="F144" s="3241"/>
      <c r="G144" s="3240"/>
      <c r="H144" s="3241"/>
      <c r="I144" s="3241"/>
      <c r="J144" s="3241"/>
      <c r="K144" s="3240"/>
      <c r="L144" s="3241"/>
      <c r="M144" s="3241"/>
      <c r="N144" s="3240">
        <f t="shared" si="5"/>
        <v>134</v>
      </c>
      <c r="O144" s="3239"/>
      <c r="P144" s="3240"/>
      <c r="Q144" s="3241"/>
      <c r="R144" s="3241"/>
      <c r="S144" s="3240"/>
      <c r="T144" s="3241"/>
      <c r="U144" s="3241"/>
      <c r="V144" s="3241"/>
      <c r="W144" s="3240"/>
      <c r="X144" s="3241"/>
      <c r="Y144" s="3241"/>
      <c r="Z144" s="3242">
        <f t="shared" si="6"/>
        <v>134</v>
      </c>
      <c r="AA144" s="3243">
        <f t="shared" si="17"/>
        <v>0</v>
      </c>
      <c r="AB144" s="3242">
        <f t="shared" si="19"/>
        <v>0</v>
      </c>
      <c r="AC144" s="3241"/>
      <c r="AD144" s="3241"/>
      <c r="AE144" s="3242">
        <f t="shared" si="18"/>
        <v>0</v>
      </c>
      <c r="AF144" s="4261"/>
      <c r="AG144" s="3250" t="s">
        <v>124</v>
      </c>
      <c r="AH144" s="3241"/>
      <c r="AI144" s="3250" t="s">
        <v>124</v>
      </c>
      <c r="AJ144" s="3241"/>
      <c r="AK144" s="3250" t="s">
        <v>124</v>
      </c>
      <c r="AL144" s="3241"/>
      <c r="AM144" s="3250" t="s">
        <v>124</v>
      </c>
      <c r="AN144" s="3241"/>
      <c r="AO144" s="3250" t="s">
        <v>124</v>
      </c>
      <c r="AP144" s="3242">
        <f t="shared" si="14"/>
        <v>0</v>
      </c>
      <c r="AQ144" s="3241"/>
      <c r="AR144" s="3241"/>
      <c r="AS144" s="3242">
        <f t="shared" si="9"/>
        <v>134</v>
      </c>
      <c r="AT144" s="3247"/>
      <c r="AU144" s="3248"/>
      <c r="AV144" s="3248"/>
      <c r="AW144" s="3247"/>
      <c r="AX144" s="3248"/>
      <c r="AY144" s="3248"/>
      <c r="AZ144" s="3247"/>
      <c r="BA144" s="3248"/>
      <c r="BB144" s="3248"/>
      <c r="BC144" s="3247"/>
      <c r="BD144" s="3248"/>
      <c r="BE144" s="3248"/>
      <c r="BF144" s="3248"/>
      <c r="BG144" s="3248"/>
      <c r="BH144" s="3249"/>
      <c r="BI144" s="3249"/>
    </row>
    <row r="145" spans="1:64" ht="13.2" x14ac:dyDescent="0.25">
      <c r="A145" s="3270">
        <f t="shared" si="16"/>
        <v>135</v>
      </c>
      <c r="B145" s="3272" t="s">
        <v>3333</v>
      </c>
      <c r="C145" s="3271"/>
      <c r="D145" s="3240"/>
      <c r="E145" s="3241"/>
      <c r="F145" s="3241"/>
      <c r="G145" s="3240"/>
      <c r="H145" s="3241"/>
      <c r="I145" s="3241"/>
      <c r="J145" s="3241"/>
      <c r="K145" s="3240"/>
      <c r="L145" s="3241"/>
      <c r="M145" s="3241"/>
      <c r="N145" s="3240">
        <f t="shared" si="5"/>
        <v>135</v>
      </c>
      <c r="O145" s="3239"/>
      <c r="P145" s="3240"/>
      <c r="Q145" s="3241"/>
      <c r="R145" s="3241"/>
      <c r="S145" s="3240"/>
      <c r="T145" s="3241"/>
      <c r="U145" s="3241"/>
      <c r="V145" s="3241"/>
      <c r="W145" s="3240"/>
      <c r="X145" s="3241"/>
      <c r="Y145" s="3241"/>
      <c r="Z145" s="3242">
        <f t="shared" si="6"/>
        <v>135</v>
      </c>
      <c r="AA145" s="3243">
        <f t="shared" si="17"/>
        <v>10870</v>
      </c>
      <c r="AB145" s="3242">
        <f t="shared" si="19"/>
        <v>0</v>
      </c>
      <c r="AC145" s="3241">
        <v>10290</v>
      </c>
      <c r="AD145" s="3241">
        <v>580</v>
      </c>
      <c r="AE145" s="3242">
        <f t="shared" si="18"/>
        <v>0</v>
      </c>
      <c r="AF145" s="4261"/>
      <c r="AG145" s="3250" t="s">
        <v>124</v>
      </c>
      <c r="AH145" s="3241"/>
      <c r="AI145" s="3250" t="s">
        <v>124</v>
      </c>
      <c r="AJ145" s="3241"/>
      <c r="AK145" s="3250" t="s">
        <v>124</v>
      </c>
      <c r="AL145" s="3241"/>
      <c r="AM145" s="3250" t="s">
        <v>124</v>
      </c>
      <c r="AN145" s="3241"/>
      <c r="AO145" s="3250" t="s">
        <v>124</v>
      </c>
      <c r="AP145" s="3242">
        <f t="shared" si="14"/>
        <v>0</v>
      </c>
      <c r="AQ145" s="3241"/>
      <c r="AR145" s="3241"/>
      <c r="AS145" s="3242">
        <f t="shared" si="9"/>
        <v>135</v>
      </c>
      <c r="AT145" s="3247"/>
      <c r="AU145" s="3248"/>
      <c r="AV145" s="3248"/>
      <c r="AW145" s="3247"/>
      <c r="AX145" s="3248"/>
      <c r="AY145" s="3248"/>
      <c r="AZ145" s="3247"/>
      <c r="BA145" s="3248"/>
      <c r="BB145" s="3248"/>
      <c r="BC145" s="3247"/>
      <c r="BD145" s="3248"/>
      <c r="BE145" s="3248"/>
      <c r="BF145" s="3248"/>
      <c r="BG145" s="3248"/>
      <c r="BH145" s="3249"/>
      <c r="BI145" s="3249"/>
    </row>
    <row r="146" spans="1:64" ht="26.4" x14ac:dyDescent="0.25">
      <c r="A146" s="3270">
        <f t="shared" si="16"/>
        <v>136</v>
      </c>
      <c r="B146" s="3272" t="s">
        <v>3332</v>
      </c>
      <c r="C146" s="3271"/>
      <c r="D146" s="3240"/>
      <c r="E146" s="3241"/>
      <c r="F146" s="3241"/>
      <c r="G146" s="3240"/>
      <c r="H146" s="3241"/>
      <c r="I146" s="3241"/>
      <c r="J146" s="3241"/>
      <c r="K146" s="3240"/>
      <c r="L146" s="3241"/>
      <c r="M146" s="3241"/>
      <c r="N146" s="3240">
        <f t="shared" si="5"/>
        <v>136</v>
      </c>
      <c r="O146" s="3239"/>
      <c r="P146" s="3240"/>
      <c r="Q146" s="3241"/>
      <c r="R146" s="3241"/>
      <c r="S146" s="3240"/>
      <c r="T146" s="3241"/>
      <c r="U146" s="3241"/>
      <c r="V146" s="3241"/>
      <c r="W146" s="3240"/>
      <c r="X146" s="3241"/>
      <c r="Y146" s="3241"/>
      <c r="Z146" s="3242">
        <f t="shared" si="6"/>
        <v>136</v>
      </c>
      <c r="AA146" s="3243">
        <f t="shared" si="17"/>
        <v>0</v>
      </c>
      <c r="AB146" s="3242">
        <f t="shared" si="19"/>
        <v>0</v>
      </c>
      <c r="AC146" s="3241"/>
      <c r="AD146" s="3241"/>
      <c r="AE146" s="3242">
        <f t="shared" si="18"/>
        <v>0</v>
      </c>
      <c r="AF146" s="4261"/>
      <c r="AG146" s="3250" t="s">
        <v>124</v>
      </c>
      <c r="AH146" s="3241"/>
      <c r="AI146" s="3250" t="s">
        <v>124</v>
      </c>
      <c r="AJ146" s="3241"/>
      <c r="AK146" s="3250" t="s">
        <v>124</v>
      </c>
      <c r="AL146" s="3241"/>
      <c r="AM146" s="3250" t="s">
        <v>124</v>
      </c>
      <c r="AN146" s="3241"/>
      <c r="AO146" s="3250" t="s">
        <v>124</v>
      </c>
      <c r="AP146" s="3242">
        <f t="shared" si="14"/>
        <v>0</v>
      </c>
      <c r="AQ146" s="3241"/>
      <c r="AR146" s="3241"/>
      <c r="AS146" s="3242">
        <f t="shared" si="9"/>
        <v>136</v>
      </c>
      <c r="AT146" s="3247"/>
      <c r="AU146" s="3248"/>
      <c r="AV146" s="3248"/>
      <c r="AW146" s="3247"/>
      <c r="AX146" s="3248"/>
      <c r="AY146" s="3248"/>
      <c r="AZ146" s="3247"/>
      <c r="BA146" s="3248"/>
      <c r="BB146" s="3248"/>
      <c r="BC146" s="3247"/>
      <c r="BD146" s="3248"/>
      <c r="BE146" s="3248"/>
      <c r="BF146" s="3248"/>
      <c r="BG146" s="3248"/>
      <c r="BH146" s="3249"/>
      <c r="BI146" s="3249"/>
    </row>
    <row r="147" spans="1:64" ht="13.2" x14ac:dyDescent="0.25">
      <c r="A147" s="3270">
        <f t="shared" si="16"/>
        <v>137</v>
      </c>
      <c r="B147" s="3272" t="s">
        <v>2486</v>
      </c>
      <c r="C147" s="3271"/>
      <c r="D147" s="3240"/>
      <c r="E147" s="3241"/>
      <c r="F147" s="3241"/>
      <c r="G147" s="3240"/>
      <c r="H147" s="3241"/>
      <c r="I147" s="3241"/>
      <c r="J147" s="3241"/>
      <c r="K147" s="3240"/>
      <c r="L147" s="3241"/>
      <c r="M147" s="3241"/>
      <c r="N147" s="3240">
        <f t="shared" si="5"/>
        <v>137</v>
      </c>
      <c r="O147" s="3239"/>
      <c r="P147" s="3240"/>
      <c r="Q147" s="3241"/>
      <c r="R147" s="3241"/>
      <c r="S147" s="3240"/>
      <c r="T147" s="3241"/>
      <c r="U147" s="3241"/>
      <c r="V147" s="3241"/>
      <c r="W147" s="3240"/>
      <c r="X147" s="3241"/>
      <c r="Y147" s="3241"/>
      <c r="Z147" s="3242">
        <f t="shared" si="6"/>
        <v>137</v>
      </c>
      <c r="AA147" s="3243">
        <f>AB147+AC147+AD147</f>
        <v>20833.333333333336</v>
      </c>
      <c r="AB147" s="3242">
        <f>AE147+AP147</f>
        <v>8605.072463768116</v>
      </c>
      <c r="AC147" s="3241">
        <f>Профпослуги2!K15</f>
        <v>5887.6811594202909</v>
      </c>
      <c r="AD147" s="3241">
        <f>Профпослуги2!L15</f>
        <v>6340.579710144928</v>
      </c>
      <c r="AE147" s="3242">
        <f>AF147+AH147+AJ147+AL147+AN147</f>
        <v>5887.68115942029</v>
      </c>
      <c r="AF147" s="4261">
        <f>Профпослуги2!D15</f>
        <v>1811.594202898551</v>
      </c>
      <c r="AG147" s="3250" t="s">
        <v>124</v>
      </c>
      <c r="AH147" s="3241">
        <f>Профпослуги2!E15+Профпослуги2!F15</f>
        <v>3170.289855072464</v>
      </c>
      <c r="AI147" s="3250" t="s">
        <v>124</v>
      </c>
      <c r="AJ147" s="3241"/>
      <c r="AK147" s="3250" t="s">
        <v>124</v>
      </c>
      <c r="AL147" s="3241"/>
      <c r="AM147" s="3250" t="s">
        <v>124</v>
      </c>
      <c r="AN147" s="3241">
        <f>Профпослуги2!G15</f>
        <v>905.79710144927549</v>
      </c>
      <c r="AO147" s="3250" t="s">
        <v>124</v>
      </c>
      <c r="AP147" s="3242">
        <f t="shared" si="14"/>
        <v>2717.3913043478265</v>
      </c>
      <c r="AQ147" s="3241">
        <f>Профпослуги2!I15+Профпослуги2!J15</f>
        <v>2717.3913043478265</v>
      </c>
      <c r="AR147" s="3241"/>
      <c r="AS147" s="3242">
        <f t="shared" si="9"/>
        <v>137</v>
      </c>
      <c r="AT147" s="3247"/>
      <c r="AU147" s="3248"/>
      <c r="AV147" s="3248"/>
      <c r="AW147" s="3247"/>
      <c r="AX147" s="3248"/>
      <c r="AY147" s="3248"/>
      <c r="AZ147" s="3247"/>
      <c r="BA147" s="3248"/>
      <c r="BB147" s="3248"/>
      <c r="BC147" s="3247"/>
      <c r="BD147" s="3248"/>
      <c r="BE147" s="3248"/>
      <c r="BF147" s="3248"/>
      <c r="BG147" s="3248"/>
      <c r="BH147" s="3249"/>
      <c r="BI147" s="3249"/>
      <c r="BL147" s="4270">
        <f>Профпослуги2!C15-'Прямі витрати'!AA147</f>
        <v>0</v>
      </c>
    </row>
    <row r="148" spans="1:64" ht="13.2" x14ac:dyDescent="0.25">
      <c r="A148" s="3270">
        <f t="shared" si="16"/>
        <v>138</v>
      </c>
      <c r="B148" s="3272" t="s">
        <v>58</v>
      </c>
      <c r="C148" s="3271"/>
      <c r="D148" s="3240"/>
      <c r="E148" s="3241"/>
      <c r="F148" s="3241"/>
      <c r="G148" s="3240"/>
      <c r="H148" s="3241"/>
      <c r="I148" s="3241"/>
      <c r="J148" s="3241"/>
      <c r="K148" s="3240"/>
      <c r="L148" s="3241"/>
      <c r="M148" s="3241"/>
      <c r="N148" s="3240">
        <f t="shared" si="5"/>
        <v>138</v>
      </c>
      <c r="O148" s="3239"/>
      <c r="P148" s="3240"/>
      <c r="Q148" s="3241"/>
      <c r="R148" s="3241"/>
      <c r="S148" s="3240"/>
      <c r="T148" s="3241"/>
      <c r="U148" s="3241"/>
      <c r="V148" s="3241"/>
      <c r="W148" s="3240"/>
      <c r="X148" s="3241"/>
      <c r="Y148" s="3241"/>
      <c r="Z148" s="3242">
        <f t="shared" si="6"/>
        <v>138</v>
      </c>
      <c r="AA148" s="3243">
        <f t="shared" si="17"/>
        <v>0</v>
      </c>
      <c r="AB148" s="3242">
        <f t="shared" si="19"/>
        <v>0</v>
      </c>
      <c r="AC148" s="3241"/>
      <c r="AD148" s="3241"/>
      <c r="AE148" s="3242">
        <f t="shared" si="18"/>
        <v>0</v>
      </c>
      <c r="AF148" s="4261"/>
      <c r="AG148" s="3250"/>
      <c r="AH148" s="3241"/>
      <c r="AI148" s="3250"/>
      <c r="AJ148" s="3241"/>
      <c r="AK148" s="3250"/>
      <c r="AL148" s="3241"/>
      <c r="AM148" s="3250"/>
      <c r="AN148" s="3241"/>
      <c r="AO148" s="3250"/>
      <c r="AP148" s="3242">
        <f t="shared" si="14"/>
        <v>0</v>
      </c>
      <c r="AQ148" s="3241"/>
      <c r="AR148" s="3241"/>
      <c r="AS148" s="3242">
        <f t="shared" si="9"/>
        <v>138</v>
      </c>
      <c r="AT148" s="3247"/>
      <c r="AU148" s="3248"/>
      <c r="AV148" s="3248"/>
      <c r="AW148" s="3247"/>
      <c r="AX148" s="3248"/>
      <c r="AY148" s="3248"/>
      <c r="AZ148" s="3247"/>
      <c r="BA148" s="3248"/>
      <c r="BB148" s="3248"/>
      <c r="BC148" s="3247"/>
      <c r="BD148" s="3248"/>
      <c r="BE148" s="3248"/>
      <c r="BF148" s="3248"/>
      <c r="BG148" s="3248"/>
      <c r="BH148" s="3249"/>
      <c r="BI148" s="3249"/>
    </row>
    <row r="149" spans="1:64" ht="13.2" x14ac:dyDescent="0.3">
      <c r="A149" s="3270"/>
      <c r="B149" s="3275"/>
      <c r="C149" s="3271"/>
      <c r="D149" s="3240"/>
      <c r="E149" s="3241"/>
      <c r="F149" s="3241"/>
      <c r="G149" s="3240"/>
      <c r="H149" s="3241"/>
      <c r="I149" s="3241"/>
      <c r="J149" s="3241"/>
      <c r="K149" s="3240"/>
      <c r="L149" s="3241"/>
      <c r="M149" s="3241"/>
      <c r="N149" s="3240">
        <f t="shared" si="5"/>
        <v>0</v>
      </c>
      <c r="O149" s="3239"/>
      <c r="P149" s="3240"/>
      <c r="Q149" s="3241"/>
      <c r="R149" s="3241"/>
      <c r="S149" s="3240"/>
      <c r="T149" s="3241"/>
      <c r="U149" s="3241"/>
      <c r="V149" s="3241"/>
      <c r="W149" s="3240"/>
      <c r="X149" s="3241"/>
      <c r="Y149" s="3241"/>
      <c r="Z149" s="3242">
        <f t="shared" si="6"/>
        <v>0</v>
      </c>
      <c r="AA149" s="3243">
        <f t="shared" si="17"/>
        <v>0</v>
      </c>
      <c r="AB149" s="3242">
        <f t="shared" si="19"/>
        <v>0</v>
      </c>
      <c r="AC149" s="3241"/>
      <c r="AD149" s="3241"/>
      <c r="AE149" s="3242">
        <f t="shared" si="18"/>
        <v>0</v>
      </c>
      <c r="AF149" s="4261"/>
      <c r="AG149" s="3250"/>
      <c r="AH149" s="3241"/>
      <c r="AI149" s="3250"/>
      <c r="AJ149" s="3241"/>
      <c r="AK149" s="3250"/>
      <c r="AL149" s="3241"/>
      <c r="AM149" s="3250"/>
      <c r="AN149" s="3241"/>
      <c r="AO149" s="3250"/>
      <c r="AP149" s="3240">
        <f t="shared" ref="AP149:AP177" si="20">AQ149+AR149</f>
        <v>0</v>
      </c>
      <c r="AQ149" s="3241"/>
      <c r="AR149" s="3241"/>
      <c r="AS149" s="3242">
        <f t="shared" si="9"/>
        <v>0</v>
      </c>
      <c r="AT149" s="3247"/>
      <c r="AU149" s="3248"/>
      <c r="AV149" s="3248"/>
      <c r="AW149" s="3247"/>
      <c r="AX149" s="3248"/>
      <c r="AY149" s="3248"/>
      <c r="AZ149" s="3247"/>
      <c r="BA149" s="3248"/>
      <c r="BB149" s="3248"/>
      <c r="BC149" s="3247"/>
      <c r="BD149" s="3248"/>
      <c r="BE149" s="3248"/>
      <c r="BF149" s="3248"/>
      <c r="BG149" s="3248"/>
      <c r="BH149" s="3249"/>
      <c r="BI149" s="3249"/>
    </row>
    <row r="150" spans="1:64" ht="13.2" x14ac:dyDescent="0.3">
      <c r="A150" s="3270"/>
      <c r="B150" s="3275"/>
      <c r="C150" s="3271"/>
      <c r="D150" s="3240"/>
      <c r="E150" s="3241"/>
      <c r="F150" s="3241"/>
      <c r="G150" s="3240"/>
      <c r="H150" s="3241"/>
      <c r="I150" s="3241"/>
      <c r="J150" s="3241"/>
      <c r="K150" s="3240"/>
      <c r="L150" s="3241"/>
      <c r="M150" s="3241"/>
      <c r="N150" s="3240">
        <f t="shared" si="5"/>
        <v>0</v>
      </c>
      <c r="O150" s="3239"/>
      <c r="P150" s="3240"/>
      <c r="Q150" s="3241"/>
      <c r="R150" s="3241"/>
      <c r="S150" s="3240"/>
      <c r="T150" s="3241"/>
      <c r="U150" s="3241"/>
      <c r="V150" s="3241"/>
      <c r="W150" s="3240"/>
      <c r="X150" s="3241"/>
      <c r="Y150" s="3241"/>
      <c r="Z150" s="3242">
        <f t="shared" si="6"/>
        <v>0</v>
      </c>
      <c r="AA150" s="3243">
        <f t="shared" si="17"/>
        <v>0</v>
      </c>
      <c r="AB150" s="3242">
        <f t="shared" si="19"/>
        <v>0</v>
      </c>
      <c r="AC150" s="3241"/>
      <c r="AD150" s="3241"/>
      <c r="AE150" s="3242">
        <f t="shared" si="18"/>
        <v>0</v>
      </c>
      <c r="AF150" s="4261"/>
      <c r="AG150" s="3250"/>
      <c r="AH150" s="3241"/>
      <c r="AI150" s="3250"/>
      <c r="AJ150" s="3241"/>
      <c r="AK150" s="3250"/>
      <c r="AL150" s="3241"/>
      <c r="AM150" s="3250"/>
      <c r="AN150" s="3241"/>
      <c r="AO150" s="3250"/>
      <c r="AP150" s="3240">
        <f t="shared" si="20"/>
        <v>0</v>
      </c>
      <c r="AQ150" s="3241"/>
      <c r="AR150" s="3241"/>
      <c r="AS150" s="3242">
        <f t="shared" si="9"/>
        <v>0</v>
      </c>
      <c r="AT150" s="3247"/>
      <c r="AU150" s="3248"/>
      <c r="AV150" s="3248"/>
      <c r="AW150" s="3247"/>
      <c r="AX150" s="3248"/>
      <c r="AY150" s="3248"/>
      <c r="AZ150" s="3247"/>
      <c r="BA150" s="3248"/>
      <c r="BB150" s="3248"/>
      <c r="BC150" s="3247"/>
      <c r="BD150" s="3248"/>
      <c r="BE150" s="3248"/>
      <c r="BF150" s="3248"/>
      <c r="BG150" s="3248"/>
      <c r="BH150" s="3249"/>
      <c r="BI150" s="3249"/>
    </row>
    <row r="151" spans="1:64" ht="13.2" x14ac:dyDescent="0.3">
      <c r="A151" s="3270"/>
      <c r="B151" s="3275"/>
      <c r="C151" s="3271"/>
      <c r="D151" s="3240"/>
      <c r="E151" s="3241"/>
      <c r="F151" s="3241"/>
      <c r="G151" s="3240"/>
      <c r="H151" s="3241"/>
      <c r="I151" s="3241"/>
      <c r="J151" s="3241"/>
      <c r="K151" s="3240"/>
      <c r="L151" s="3241"/>
      <c r="M151" s="3241"/>
      <c r="N151" s="3240">
        <f t="shared" si="5"/>
        <v>0</v>
      </c>
      <c r="O151" s="3239"/>
      <c r="P151" s="3240"/>
      <c r="Q151" s="3241"/>
      <c r="R151" s="3241"/>
      <c r="S151" s="3240"/>
      <c r="T151" s="3241"/>
      <c r="U151" s="3241"/>
      <c r="V151" s="3241"/>
      <c r="W151" s="3240"/>
      <c r="X151" s="3241"/>
      <c r="Y151" s="3241"/>
      <c r="Z151" s="3242">
        <f t="shared" si="6"/>
        <v>0</v>
      </c>
      <c r="AA151" s="3243">
        <f t="shared" si="17"/>
        <v>0</v>
      </c>
      <c r="AB151" s="3242">
        <f t="shared" si="19"/>
        <v>0</v>
      </c>
      <c r="AC151" s="3241"/>
      <c r="AD151" s="3241"/>
      <c r="AE151" s="3242">
        <f t="shared" si="18"/>
        <v>0</v>
      </c>
      <c r="AF151" s="4261"/>
      <c r="AG151" s="3250"/>
      <c r="AH151" s="3241"/>
      <c r="AI151" s="3250"/>
      <c r="AJ151" s="3241"/>
      <c r="AK151" s="3250"/>
      <c r="AL151" s="3241"/>
      <c r="AM151" s="3250"/>
      <c r="AN151" s="3241"/>
      <c r="AO151" s="3250"/>
      <c r="AP151" s="3240">
        <f t="shared" si="20"/>
        <v>0</v>
      </c>
      <c r="AQ151" s="3241"/>
      <c r="AR151" s="3241"/>
      <c r="AS151" s="3242">
        <f t="shared" si="9"/>
        <v>0</v>
      </c>
      <c r="AT151" s="3247"/>
      <c r="AU151" s="3248"/>
      <c r="AV151" s="3248"/>
      <c r="AW151" s="3247"/>
      <c r="AX151" s="3248"/>
      <c r="AY151" s="3248"/>
      <c r="AZ151" s="3247"/>
      <c r="BA151" s="3248"/>
      <c r="BB151" s="3248"/>
      <c r="BC151" s="3247"/>
      <c r="BD151" s="3248"/>
      <c r="BE151" s="3248"/>
      <c r="BF151" s="3248"/>
      <c r="BG151" s="3248"/>
      <c r="BH151" s="3249"/>
      <c r="BI151" s="3249"/>
    </row>
    <row r="152" spans="1:64" ht="13.2" x14ac:dyDescent="0.3">
      <c r="A152" s="3270"/>
      <c r="B152" s="3275"/>
      <c r="C152" s="3271"/>
      <c r="D152" s="3240"/>
      <c r="E152" s="3241"/>
      <c r="F152" s="3241"/>
      <c r="G152" s="3240"/>
      <c r="H152" s="3241"/>
      <c r="I152" s="3241"/>
      <c r="J152" s="3241"/>
      <c r="K152" s="3240"/>
      <c r="L152" s="3241"/>
      <c r="M152" s="3241"/>
      <c r="N152" s="3240">
        <f t="shared" si="5"/>
        <v>0</v>
      </c>
      <c r="O152" s="3239"/>
      <c r="P152" s="3240"/>
      <c r="Q152" s="3241"/>
      <c r="R152" s="3241"/>
      <c r="S152" s="3240"/>
      <c r="T152" s="3241"/>
      <c r="U152" s="3241"/>
      <c r="V152" s="3241"/>
      <c r="W152" s="3240"/>
      <c r="X152" s="3241"/>
      <c r="Y152" s="3241"/>
      <c r="Z152" s="3242">
        <f t="shared" si="6"/>
        <v>0</v>
      </c>
      <c r="AA152" s="3243">
        <f t="shared" si="17"/>
        <v>0</v>
      </c>
      <c r="AB152" s="3242">
        <f t="shared" si="19"/>
        <v>0</v>
      </c>
      <c r="AC152" s="3241"/>
      <c r="AD152" s="3241"/>
      <c r="AE152" s="3242">
        <f t="shared" si="18"/>
        <v>0</v>
      </c>
      <c r="AF152" s="3241"/>
      <c r="AG152" s="3250"/>
      <c r="AH152" s="3241"/>
      <c r="AI152" s="3250"/>
      <c r="AJ152" s="3241"/>
      <c r="AK152" s="3250"/>
      <c r="AL152" s="3241"/>
      <c r="AM152" s="3250"/>
      <c r="AN152" s="3241"/>
      <c r="AO152" s="3250"/>
      <c r="AP152" s="3240">
        <f t="shared" si="20"/>
        <v>0</v>
      </c>
      <c r="AQ152" s="3241"/>
      <c r="AR152" s="3241"/>
      <c r="AS152" s="3242">
        <f t="shared" si="9"/>
        <v>0</v>
      </c>
      <c r="AT152" s="3247"/>
      <c r="AU152" s="3248"/>
      <c r="AV152" s="3248"/>
      <c r="AW152" s="3247"/>
      <c r="AX152" s="3248"/>
      <c r="AY152" s="3248"/>
      <c r="AZ152" s="3247"/>
      <c r="BA152" s="3248"/>
      <c r="BB152" s="3248"/>
      <c r="BC152" s="3247"/>
      <c r="BD152" s="3248"/>
      <c r="BE152" s="3248"/>
      <c r="BF152" s="3248"/>
      <c r="BG152" s="3248"/>
      <c r="BH152" s="3249"/>
      <c r="BI152" s="3249"/>
    </row>
    <row r="153" spans="1:64" ht="13.2" x14ac:dyDescent="0.3">
      <c r="A153" s="3270"/>
      <c r="B153" s="3275"/>
      <c r="C153" s="3271"/>
      <c r="D153" s="3240"/>
      <c r="E153" s="3241"/>
      <c r="F153" s="3241"/>
      <c r="G153" s="3240"/>
      <c r="H153" s="3241"/>
      <c r="I153" s="3241"/>
      <c r="J153" s="3241"/>
      <c r="K153" s="3240"/>
      <c r="L153" s="3241"/>
      <c r="M153" s="3241"/>
      <c r="N153" s="3240">
        <f t="shared" si="5"/>
        <v>0</v>
      </c>
      <c r="O153" s="3239"/>
      <c r="P153" s="3240"/>
      <c r="Q153" s="3241"/>
      <c r="R153" s="3241"/>
      <c r="S153" s="3240"/>
      <c r="T153" s="3241"/>
      <c r="U153" s="3241"/>
      <c r="V153" s="3241"/>
      <c r="W153" s="3240"/>
      <c r="X153" s="3241"/>
      <c r="Y153" s="3241"/>
      <c r="Z153" s="3242">
        <f t="shared" si="6"/>
        <v>0</v>
      </c>
      <c r="AA153" s="3243">
        <f t="shared" si="17"/>
        <v>0</v>
      </c>
      <c r="AB153" s="3242">
        <f t="shared" si="19"/>
        <v>0</v>
      </c>
      <c r="AC153" s="3241"/>
      <c r="AD153" s="3241"/>
      <c r="AE153" s="3242">
        <f t="shared" si="18"/>
        <v>0</v>
      </c>
      <c r="AF153" s="3241"/>
      <c r="AG153" s="3250"/>
      <c r="AH153" s="3241"/>
      <c r="AI153" s="3250"/>
      <c r="AJ153" s="3241"/>
      <c r="AK153" s="3250"/>
      <c r="AL153" s="3241"/>
      <c r="AM153" s="3250"/>
      <c r="AN153" s="3241"/>
      <c r="AO153" s="3250"/>
      <c r="AP153" s="3240">
        <f t="shared" si="20"/>
        <v>0</v>
      </c>
      <c r="AQ153" s="3241"/>
      <c r="AR153" s="3241"/>
      <c r="AS153" s="3242">
        <f t="shared" si="9"/>
        <v>0</v>
      </c>
      <c r="AT153" s="3247"/>
      <c r="AU153" s="3248"/>
      <c r="AV153" s="3248"/>
      <c r="AW153" s="3247"/>
      <c r="AX153" s="3248"/>
      <c r="AY153" s="3248"/>
      <c r="AZ153" s="3247"/>
      <c r="BA153" s="3248"/>
      <c r="BB153" s="3248"/>
      <c r="BC153" s="3247"/>
      <c r="BD153" s="3248"/>
      <c r="BE153" s="3248"/>
      <c r="BF153" s="3248"/>
      <c r="BG153" s="3248"/>
      <c r="BH153" s="3249"/>
      <c r="BI153" s="3249"/>
    </row>
    <row r="154" spans="1:64" ht="13.2" x14ac:dyDescent="0.3">
      <c r="A154" s="3270"/>
      <c r="B154" s="3275"/>
      <c r="C154" s="3271"/>
      <c r="D154" s="3240"/>
      <c r="E154" s="3241"/>
      <c r="F154" s="3241"/>
      <c r="G154" s="3240"/>
      <c r="H154" s="3241"/>
      <c r="I154" s="3241"/>
      <c r="J154" s="3241"/>
      <c r="K154" s="3240"/>
      <c r="L154" s="3241"/>
      <c r="M154" s="3241"/>
      <c r="N154" s="3240">
        <f t="shared" si="5"/>
        <v>0</v>
      </c>
      <c r="O154" s="3239"/>
      <c r="P154" s="3240"/>
      <c r="Q154" s="3241"/>
      <c r="R154" s="3241"/>
      <c r="S154" s="3240"/>
      <c r="T154" s="3241"/>
      <c r="U154" s="3241"/>
      <c r="V154" s="3241"/>
      <c r="W154" s="3240"/>
      <c r="X154" s="3241"/>
      <c r="Y154" s="3241"/>
      <c r="Z154" s="3242">
        <f t="shared" si="6"/>
        <v>0</v>
      </c>
      <c r="AA154" s="3243">
        <f t="shared" si="17"/>
        <v>0</v>
      </c>
      <c r="AB154" s="3242">
        <f t="shared" si="19"/>
        <v>0</v>
      </c>
      <c r="AC154" s="3241"/>
      <c r="AD154" s="3241"/>
      <c r="AE154" s="3242">
        <f t="shared" si="18"/>
        <v>0</v>
      </c>
      <c r="AF154" s="3241"/>
      <c r="AG154" s="3250"/>
      <c r="AH154" s="3241"/>
      <c r="AI154" s="3250"/>
      <c r="AJ154" s="3258"/>
      <c r="AK154" s="3250"/>
      <c r="AL154" s="3241"/>
      <c r="AM154" s="3250"/>
      <c r="AN154" s="3241"/>
      <c r="AO154" s="3250"/>
      <c r="AP154" s="3240">
        <f t="shared" si="20"/>
        <v>0</v>
      </c>
      <c r="AQ154" s="3241"/>
      <c r="AR154" s="3241"/>
      <c r="AS154" s="3242">
        <f t="shared" si="9"/>
        <v>0</v>
      </c>
      <c r="AT154" s="3247"/>
      <c r="AU154" s="3248"/>
      <c r="AV154" s="3248"/>
      <c r="AW154" s="3247"/>
      <c r="AX154" s="3248"/>
      <c r="AY154" s="3248"/>
      <c r="AZ154" s="3247"/>
      <c r="BA154" s="3248"/>
      <c r="BB154" s="3248"/>
      <c r="BC154" s="3247"/>
      <c r="BD154" s="3248"/>
      <c r="BE154" s="3248"/>
      <c r="BF154" s="3248"/>
      <c r="BG154" s="3248"/>
      <c r="BH154" s="3249"/>
      <c r="BI154" s="3249"/>
    </row>
    <row r="155" spans="1:64" ht="13.2" x14ac:dyDescent="0.3">
      <c r="A155" s="3270"/>
      <c r="B155" s="3275"/>
      <c r="C155" s="3271"/>
      <c r="D155" s="3240"/>
      <c r="E155" s="3241"/>
      <c r="F155" s="3241"/>
      <c r="G155" s="3240"/>
      <c r="H155" s="3241"/>
      <c r="I155" s="3241"/>
      <c r="J155" s="3241"/>
      <c r="K155" s="3240"/>
      <c r="L155" s="3241"/>
      <c r="M155" s="3241"/>
      <c r="N155" s="3240">
        <f t="shared" si="5"/>
        <v>0</v>
      </c>
      <c r="O155" s="3239"/>
      <c r="P155" s="3240"/>
      <c r="Q155" s="3241"/>
      <c r="R155" s="3241"/>
      <c r="S155" s="3240"/>
      <c r="T155" s="3241"/>
      <c r="U155" s="3241"/>
      <c r="V155" s="3241"/>
      <c r="W155" s="3240"/>
      <c r="X155" s="3241"/>
      <c r="Y155" s="3241"/>
      <c r="Z155" s="3242">
        <f t="shared" si="6"/>
        <v>0</v>
      </c>
      <c r="AA155" s="3243">
        <f t="shared" si="17"/>
        <v>0</v>
      </c>
      <c r="AB155" s="3242">
        <f t="shared" si="19"/>
        <v>0</v>
      </c>
      <c r="AC155" s="3241"/>
      <c r="AD155" s="3241"/>
      <c r="AE155" s="3242">
        <f t="shared" si="18"/>
        <v>0</v>
      </c>
      <c r="AF155" s="3241"/>
      <c r="AG155" s="3250"/>
      <c r="AH155" s="3241"/>
      <c r="AI155" s="3250"/>
      <c r="AJ155" s="3258"/>
      <c r="AK155" s="3250"/>
      <c r="AL155" s="3241"/>
      <c r="AM155" s="3250"/>
      <c r="AN155" s="3241"/>
      <c r="AO155" s="3250"/>
      <c r="AP155" s="3240">
        <f t="shared" si="20"/>
        <v>0</v>
      </c>
      <c r="AQ155" s="3241"/>
      <c r="AR155" s="3241"/>
      <c r="AS155" s="3242">
        <f t="shared" si="9"/>
        <v>0</v>
      </c>
      <c r="AT155" s="3247"/>
      <c r="AU155" s="3248"/>
      <c r="AV155" s="3248"/>
      <c r="AW155" s="3247"/>
      <c r="AX155" s="3248"/>
      <c r="AY155" s="3248"/>
      <c r="AZ155" s="3247"/>
      <c r="BA155" s="3248"/>
      <c r="BB155" s="3248"/>
      <c r="BC155" s="3247"/>
      <c r="BD155" s="3248"/>
      <c r="BE155" s="3248"/>
      <c r="BF155" s="3248"/>
      <c r="BG155" s="3248"/>
      <c r="BH155" s="3249"/>
      <c r="BI155" s="3249"/>
    </row>
    <row r="156" spans="1:64" ht="13.2" x14ac:dyDescent="0.3">
      <c r="A156" s="3270"/>
      <c r="B156" s="3275"/>
      <c r="C156" s="3271"/>
      <c r="D156" s="3240"/>
      <c r="E156" s="3241"/>
      <c r="F156" s="3241"/>
      <c r="G156" s="3240"/>
      <c r="H156" s="3241"/>
      <c r="I156" s="3241"/>
      <c r="J156" s="3241"/>
      <c r="K156" s="3240"/>
      <c r="L156" s="3241"/>
      <c r="M156" s="3241"/>
      <c r="N156" s="3240">
        <f t="shared" si="5"/>
        <v>0</v>
      </c>
      <c r="O156" s="3239"/>
      <c r="P156" s="3240"/>
      <c r="Q156" s="3241"/>
      <c r="R156" s="3241"/>
      <c r="S156" s="3240"/>
      <c r="T156" s="3241"/>
      <c r="U156" s="3241"/>
      <c r="V156" s="3241"/>
      <c r="W156" s="3240"/>
      <c r="X156" s="3241"/>
      <c r="Y156" s="3241"/>
      <c r="Z156" s="3242">
        <f t="shared" si="6"/>
        <v>0</v>
      </c>
      <c r="AA156" s="3243">
        <f t="shared" si="17"/>
        <v>0</v>
      </c>
      <c r="AB156" s="3242">
        <f t="shared" si="19"/>
        <v>0</v>
      </c>
      <c r="AC156" s="3241"/>
      <c r="AD156" s="3241"/>
      <c r="AE156" s="3242">
        <f t="shared" si="18"/>
        <v>0</v>
      </c>
      <c r="AF156" s="3241"/>
      <c r="AG156" s="3250"/>
      <c r="AH156" s="3241"/>
      <c r="AI156" s="3250"/>
      <c r="AJ156" s="3258"/>
      <c r="AK156" s="3250"/>
      <c r="AL156" s="3241"/>
      <c r="AM156" s="3250"/>
      <c r="AN156" s="3241"/>
      <c r="AO156" s="3250"/>
      <c r="AP156" s="3240">
        <f t="shared" si="20"/>
        <v>0</v>
      </c>
      <c r="AQ156" s="3241"/>
      <c r="AR156" s="3241"/>
      <c r="AS156" s="3242">
        <f t="shared" si="9"/>
        <v>0</v>
      </c>
      <c r="AT156" s="3247"/>
      <c r="AU156" s="3248"/>
      <c r="AV156" s="3248"/>
      <c r="AW156" s="3247"/>
      <c r="AX156" s="3248"/>
      <c r="AY156" s="3248"/>
      <c r="AZ156" s="3247"/>
      <c r="BA156" s="3248"/>
      <c r="BB156" s="3248"/>
      <c r="BC156" s="3247"/>
      <c r="BD156" s="3248"/>
      <c r="BE156" s="3248"/>
      <c r="BF156" s="3248"/>
      <c r="BG156" s="3248"/>
      <c r="BH156" s="3249"/>
      <c r="BI156" s="3249"/>
    </row>
    <row r="157" spans="1:64" ht="13.2" x14ac:dyDescent="0.3">
      <c r="A157" s="3270"/>
      <c r="B157" s="3276"/>
      <c r="C157" s="3271"/>
      <c r="D157" s="3240"/>
      <c r="E157" s="3241"/>
      <c r="F157" s="3241"/>
      <c r="G157" s="3240"/>
      <c r="H157" s="3241"/>
      <c r="I157" s="3241"/>
      <c r="J157" s="3241"/>
      <c r="K157" s="3240"/>
      <c r="L157" s="3241"/>
      <c r="M157" s="3241"/>
      <c r="N157" s="3240">
        <f t="shared" si="5"/>
        <v>0</v>
      </c>
      <c r="O157" s="3239"/>
      <c r="P157" s="3240"/>
      <c r="Q157" s="3241"/>
      <c r="R157" s="3241"/>
      <c r="S157" s="3240"/>
      <c r="T157" s="3241"/>
      <c r="U157" s="3241"/>
      <c r="V157" s="3241"/>
      <c r="W157" s="3240"/>
      <c r="X157" s="3241"/>
      <c r="Y157" s="3241"/>
      <c r="Z157" s="3242">
        <f t="shared" si="6"/>
        <v>0</v>
      </c>
      <c r="AA157" s="3243">
        <f t="shared" si="17"/>
        <v>0</v>
      </c>
      <c r="AB157" s="3242">
        <f t="shared" si="19"/>
        <v>0</v>
      </c>
      <c r="AC157" s="3241"/>
      <c r="AD157" s="3241"/>
      <c r="AE157" s="3242">
        <f t="shared" si="18"/>
        <v>0</v>
      </c>
      <c r="AF157" s="3241"/>
      <c r="AG157" s="3250"/>
      <c r="AH157" s="3241"/>
      <c r="AI157" s="3250"/>
      <c r="AJ157" s="3258"/>
      <c r="AK157" s="3250"/>
      <c r="AL157" s="3241"/>
      <c r="AM157" s="3250"/>
      <c r="AN157" s="3241"/>
      <c r="AO157" s="3250"/>
      <c r="AP157" s="3240">
        <f t="shared" si="20"/>
        <v>0</v>
      </c>
      <c r="AQ157" s="3241"/>
      <c r="AR157" s="3241"/>
      <c r="AS157" s="3242">
        <f t="shared" si="9"/>
        <v>0</v>
      </c>
      <c r="AT157" s="3247"/>
      <c r="AU157" s="3248"/>
      <c r="AV157" s="3248"/>
      <c r="AW157" s="3247"/>
      <c r="AX157" s="3248"/>
      <c r="AY157" s="3248"/>
      <c r="AZ157" s="3247"/>
      <c r="BA157" s="3248"/>
      <c r="BB157" s="3248"/>
      <c r="BC157" s="3247"/>
      <c r="BD157" s="3248"/>
      <c r="BE157" s="3248"/>
      <c r="BF157" s="3248"/>
      <c r="BG157" s="3248"/>
      <c r="BH157" s="3249"/>
      <c r="BI157" s="3249"/>
    </row>
    <row r="158" spans="1:64" ht="13.2" customHeight="1" x14ac:dyDescent="0.3">
      <c r="A158" s="3270"/>
      <c r="B158" s="3276"/>
      <c r="C158" s="3271"/>
      <c r="D158" s="3240"/>
      <c r="E158" s="3241"/>
      <c r="F158" s="3241"/>
      <c r="G158" s="3240"/>
      <c r="H158" s="3241"/>
      <c r="I158" s="3241"/>
      <c r="J158" s="3241"/>
      <c r="K158" s="3240"/>
      <c r="L158" s="3241"/>
      <c r="M158" s="3241"/>
      <c r="N158" s="3240">
        <f t="shared" si="5"/>
        <v>0</v>
      </c>
      <c r="O158" s="3239"/>
      <c r="P158" s="3240"/>
      <c r="Q158" s="3241"/>
      <c r="R158" s="3241"/>
      <c r="S158" s="3240"/>
      <c r="T158" s="3241"/>
      <c r="U158" s="3241"/>
      <c r="V158" s="3241"/>
      <c r="W158" s="3240"/>
      <c r="X158" s="3241"/>
      <c r="Y158" s="3241"/>
      <c r="Z158" s="3242">
        <f t="shared" si="6"/>
        <v>0</v>
      </c>
      <c r="AA158" s="3243">
        <f t="shared" si="17"/>
        <v>0</v>
      </c>
      <c r="AB158" s="3242">
        <f t="shared" ref="AB158:AB184" si="21">AE158+AP158</f>
        <v>0</v>
      </c>
      <c r="AC158" s="3241"/>
      <c r="AD158" s="3241"/>
      <c r="AE158" s="3242">
        <f t="shared" si="18"/>
        <v>0</v>
      </c>
      <c r="AF158" s="3241"/>
      <c r="AG158" s="3250"/>
      <c r="AH158" s="3241"/>
      <c r="AI158" s="3250"/>
      <c r="AJ158" s="3258"/>
      <c r="AK158" s="3250"/>
      <c r="AL158" s="3241"/>
      <c r="AM158" s="3250"/>
      <c r="AN158" s="3241"/>
      <c r="AO158" s="3250"/>
      <c r="AP158" s="3240">
        <f t="shared" si="20"/>
        <v>0</v>
      </c>
      <c r="AQ158" s="3241"/>
      <c r="AR158" s="3241"/>
      <c r="AS158" s="3242">
        <f t="shared" si="9"/>
        <v>0</v>
      </c>
      <c r="AT158" s="3247"/>
      <c r="AU158" s="3248"/>
      <c r="AV158" s="3248"/>
      <c r="AW158" s="3247"/>
      <c r="AX158" s="3248"/>
      <c r="AY158" s="3248"/>
      <c r="AZ158" s="3247"/>
      <c r="BA158" s="3248"/>
      <c r="BB158" s="3248"/>
      <c r="BC158" s="3247"/>
      <c r="BD158" s="3248"/>
      <c r="BE158" s="3248"/>
      <c r="BF158" s="3248"/>
      <c r="BG158" s="3248"/>
      <c r="BH158" s="3249"/>
      <c r="BI158" s="3249"/>
    </row>
    <row r="159" spans="1:64" ht="13.2" x14ac:dyDescent="0.3">
      <c r="A159" s="3270"/>
      <c r="B159" s="3276"/>
      <c r="C159" s="3271"/>
      <c r="D159" s="3240"/>
      <c r="E159" s="3241"/>
      <c r="F159" s="3241"/>
      <c r="G159" s="3240"/>
      <c r="H159" s="3241"/>
      <c r="I159" s="3241"/>
      <c r="J159" s="3241"/>
      <c r="K159" s="3240"/>
      <c r="L159" s="3241"/>
      <c r="M159" s="3241"/>
      <c r="N159" s="3240">
        <f t="shared" si="5"/>
        <v>0</v>
      </c>
      <c r="O159" s="3239"/>
      <c r="P159" s="3240"/>
      <c r="Q159" s="3241"/>
      <c r="R159" s="3241"/>
      <c r="S159" s="3240"/>
      <c r="T159" s="3241"/>
      <c r="U159" s="3241"/>
      <c r="V159" s="3241"/>
      <c r="W159" s="3240"/>
      <c r="X159" s="3241"/>
      <c r="Y159" s="3241"/>
      <c r="Z159" s="3242">
        <f t="shared" si="6"/>
        <v>0</v>
      </c>
      <c r="AA159" s="3243">
        <f t="shared" si="17"/>
        <v>0</v>
      </c>
      <c r="AB159" s="3242">
        <f t="shared" si="21"/>
        <v>0</v>
      </c>
      <c r="AC159" s="3241"/>
      <c r="AD159" s="3241"/>
      <c r="AE159" s="3242">
        <f t="shared" si="18"/>
        <v>0</v>
      </c>
      <c r="AF159" s="3241"/>
      <c r="AG159" s="3250"/>
      <c r="AH159" s="3241"/>
      <c r="AI159" s="3250"/>
      <c r="AJ159" s="3258"/>
      <c r="AK159" s="3250"/>
      <c r="AL159" s="3241"/>
      <c r="AM159" s="3250"/>
      <c r="AN159" s="3241"/>
      <c r="AO159" s="3250"/>
      <c r="AP159" s="3240">
        <f t="shared" si="20"/>
        <v>0</v>
      </c>
      <c r="AQ159" s="3241"/>
      <c r="AR159" s="3241"/>
      <c r="AS159" s="3242">
        <f t="shared" si="9"/>
        <v>0</v>
      </c>
      <c r="AT159" s="3247"/>
      <c r="AU159" s="3248"/>
      <c r="AV159" s="3248"/>
      <c r="AW159" s="3247"/>
      <c r="AX159" s="3248"/>
      <c r="AY159" s="3248"/>
      <c r="AZ159" s="3247"/>
      <c r="BA159" s="3248"/>
      <c r="BB159" s="3248"/>
      <c r="BC159" s="3247"/>
      <c r="BD159" s="3248"/>
      <c r="BE159" s="3248"/>
      <c r="BF159" s="3248"/>
      <c r="BG159" s="3248"/>
      <c r="BH159" s="3249"/>
      <c r="BI159" s="3249"/>
    </row>
    <row r="160" spans="1:64" ht="14.4" customHeight="1" x14ac:dyDescent="0.3">
      <c r="A160" s="3270"/>
      <c r="B160" s="3276"/>
      <c r="C160" s="3271"/>
      <c r="D160" s="3240"/>
      <c r="E160" s="3241"/>
      <c r="F160" s="3241"/>
      <c r="G160" s="3240"/>
      <c r="H160" s="3241"/>
      <c r="I160" s="3241"/>
      <c r="J160" s="3241"/>
      <c r="K160" s="3240"/>
      <c r="L160" s="3241"/>
      <c r="M160" s="3241"/>
      <c r="N160" s="3240">
        <f t="shared" si="5"/>
        <v>0</v>
      </c>
      <c r="O160" s="3239"/>
      <c r="P160" s="3240"/>
      <c r="Q160" s="3241"/>
      <c r="R160" s="3241"/>
      <c r="S160" s="3240"/>
      <c r="T160" s="3241"/>
      <c r="U160" s="3241"/>
      <c r="V160" s="3241"/>
      <c r="W160" s="3240"/>
      <c r="X160" s="3241"/>
      <c r="Y160" s="3241"/>
      <c r="Z160" s="3242">
        <f t="shared" si="6"/>
        <v>0</v>
      </c>
      <c r="AA160" s="3243">
        <f t="shared" si="17"/>
        <v>0</v>
      </c>
      <c r="AB160" s="3242">
        <f t="shared" si="21"/>
        <v>0</v>
      </c>
      <c r="AC160" s="3241"/>
      <c r="AD160" s="3241"/>
      <c r="AE160" s="3242">
        <f t="shared" si="18"/>
        <v>0</v>
      </c>
      <c r="AF160" s="3241"/>
      <c r="AG160" s="3250"/>
      <c r="AH160" s="3241"/>
      <c r="AI160" s="3250"/>
      <c r="AJ160" s="3258"/>
      <c r="AK160" s="3250"/>
      <c r="AL160" s="3241"/>
      <c r="AM160" s="3250"/>
      <c r="AN160" s="3241"/>
      <c r="AO160" s="3250"/>
      <c r="AP160" s="3240">
        <f t="shared" si="20"/>
        <v>0</v>
      </c>
      <c r="AQ160" s="3241"/>
      <c r="AR160" s="3241"/>
      <c r="AS160" s="3242">
        <f t="shared" si="9"/>
        <v>0</v>
      </c>
      <c r="AT160" s="3247"/>
      <c r="AU160" s="3248"/>
      <c r="AV160" s="3248"/>
      <c r="AW160" s="3247"/>
      <c r="AX160" s="3248"/>
      <c r="AY160" s="3248"/>
      <c r="AZ160" s="3247"/>
      <c r="BA160" s="3248"/>
      <c r="BB160" s="3248"/>
      <c r="BC160" s="3247"/>
      <c r="BD160" s="3248"/>
      <c r="BE160" s="3248"/>
      <c r="BF160" s="3248"/>
      <c r="BG160" s="3248"/>
      <c r="BH160" s="3249"/>
      <c r="BI160" s="3249"/>
    </row>
    <row r="161" spans="1:61" ht="13.2" x14ac:dyDescent="0.3">
      <c r="A161" s="3270"/>
      <c r="B161" s="3276"/>
      <c r="C161" s="3271"/>
      <c r="D161" s="3240"/>
      <c r="E161" s="3241"/>
      <c r="F161" s="3241"/>
      <c r="G161" s="3240"/>
      <c r="H161" s="3241"/>
      <c r="I161" s="3241"/>
      <c r="J161" s="3241"/>
      <c r="K161" s="3240"/>
      <c r="L161" s="3241"/>
      <c r="M161" s="3241"/>
      <c r="N161" s="3240">
        <f t="shared" si="5"/>
        <v>0</v>
      </c>
      <c r="O161" s="3239"/>
      <c r="P161" s="3240"/>
      <c r="Q161" s="3241"/>
      <c r="R161" s="3241"/>
      <c r="S161" s="3240"/>
      <c r="T161" s="3241"/>
      <c r="U161" s="3241"/>
      <c r="V161" s="3241"/>
      <c r="W161" s="3240"/>
      <c r="X161" s="3241"/>
      <c r="Y161" s="3241"/>
      <c r="Z161" s="3242">
        <f t="shared" si="6"/>
        <v>0</v>
      </c>
      <c r="AA161" s="3243">
        <f t="shared" si="17"/>
        <v>0</v>
      </c>
      <c r="AB161" s="3242">
        <f t="shared" si="21"/>
        <v>0</v>
      </c>
      <c r="AC161" s="3241"/>
      <c r="AD161" s="3241"/>
      <c r="AE161" s="3242">
        <f t="shared" si="18"/>
        <v>0</v>
      </c>
      <c r="AF161" s="3241"/>
      <c r="AG161" s="3250"/>
      <c r="AH161" s="3241"/>
      <c r="AI161" s="3250"/>
      <c r="AJ161" s="3258"/>
      <c r="AK161" s="3250"/>
      <c r="AL161" s="3241"/>
      <c r="AM161" s="3250"/>
      <c r="AN161" s="3241"/>
      <c r="AO161" s="3250"/>
      <c r="AP161" s="3240">
        <f t="shared" si="20"/>
        <v>0</v>
      </c>
      <c r="AQ161" s="3241"/>
      <c r="AR161" s="3241"/>
      <c r="AS161" s="3242">
        <f t="shared" si="9"/>
        <v>0</v>
      </c>
      <c r="AT161" s="3247"/>
      <c r="AU161" s="3248"/>
      <c r="AV161" s="3248"/>
      <c r="AW161" s="3247"/>
      <c r="AX161" s="3248"/>
      <c r="AY161" s="3248"/>
      <c r="AZ161" s="3247"/>
      <c r="BA161" s="3248"/>
      <c r="BB161" s="3248"/>
      <c r="BC161" s="3247"/>
      <c r="BD161" s="3248"/>
      <c r="BE161" s="3248"/>
      <c r="BF161" s="3248"/>
      <c r="BG161" s="3248"/>
      <c r="BH161" s="3249"/>
      <c r="BI161" s="3249"/>
    </row>
    <row r="162" spans="1:61" ht="13.2" x14ac:dyDescent="0.3">
      <c r="A162" s="3270"/>
      <c r="B162" s="3276"/>
      <c r="C162" s="3271"/>
      <c r="D162" s="3240"/>
      <c r="E162" s="3241"/>
      <c r="F162" s="3241"/>
      <c r="G162" s="3240"/>
      <c r="H162" s="3241"/>
      <c r="I162" s="3241"/>
      <c r="J162" s="3241"/>
      <c r="K162" s="3240"/>
      <c r="L162" s="3241"/>
      <c r="M162" s="3241"/>
      <c r="N162" s="3240">
        <f t="shared" si="5"/>
        <v>0</v>
      </c>
      <c r="O162" s="3239"/>
      <c r="P162" s="3240"/>
      <c r="Q162" s="3241"/>
      <c r="R162" s="3241"/>
      <c r="S162" s="3240"/>
      <c r="T162" s="3241"/>
      <c r="U162" s="3241"/>
      <c r="V162" s="3241"/>
      <c r="W162" s="3240"/>
      <c r="X162" s="3241"/>
      <c r="Y162" s="3241"/>
      <c r="Z162" s="3242">
        <f t="shared" si="6"/>
        <v>0</v>
      </c>
      <c r="AA162" s="3243">
        <f t="shared" si="17"/>
        <v>0</v>
      </c>
      <c r="AB162" s="3242">
        <f t="shared" si="21"/>
        <v>0</v>
      </c>
      <c r="AC162" s="3241"/>
      <c r="AD162" s="3241"/>
      <c r="AE162" s="3242">
        <f t="shared" si="18"/>
        <v>0</v>
      </c>
      <c r="AF162" s="3241"/>
      <c r="AG162" s="3250"/>
      <c r="AH162" s="3241"/>
      <c r="AI162" s="3250"/>
      <c r="AJ162" s="3258"/>
      <c r="AK162" s="3250"/>
      <c r="AL162" s="3241"/>
      <c r="AM162" s="3250"/>
      <c r="AN162" s="3241"/>
      <c r="AO162" s="3250"/>
      <c r="AP162" s="3240">
        <f t="shared" si="20"/>
        <v>0</v>
      </c>
      <c r="AQ162" s="3241"/>
      <c r="AR162" s="3241"/>
      <c r="AS162" s="3242">
        <f t="shared" si="9"/>
        <v>0</v>
      </c>
      <c r="AT162" s="3247"/>
      <c r="AU162" s="3248"/>
      <c r="AV162" s="3248"/>
      <c r="AW162" s="3247"/>
      <c r="AX162" s="3248"/>
      <c r="AY162" s="3248"/>
      <c r="AZ162" s="3247"/>
      <c r="BA162" s="3248"/>
      <c r="BB162" s="3248"/>
      <c r="BC162" s="3247"/>
      <c r="BD162" s="3248"/>
      <c r="BE162" s="3248"/>
      <c r="BF162" s="3248"/>
      <c r="BG162" s="3248"/>
      <c r="BH162" s="3249"/>
      <c r="BI162" s="3249"/>
    </row>
    <row r="163" spans="1:61" ht="13.2" x14ac:dyDescent="0.3">
      <c r="A163" s="3270"/>
      <c r="B163" s="3276"/>
      <c r="C163" s="3271"/>
      <c r="D163" s="3240"/>
      <c r="E163" s="3241"/>
      <c r="F163" s="3241"/>
      <c r="G163" s="3240"/>
      <c r="H163" s="3241"/>
      <c r="I163" s="3241"/>
      <c r="J163" s="3241"/>
      <c r="K163" s="3240"/>
      <c r="L163" s="3241"/>
      <c r="M163" s="3241"/>
      <c r="N163" s="3240">
        <f t="shared" si="5"/>
        <v>0</v>
      </c>
      <c r="O163" s="3239"/>
      <c r="P163" s="3240"/>
      <c r="Q163" s="3241"/>
      <c r="R163" s="3241"/>
      <c r="S163" s="3240"/>
      <c r="T163" s="3241"/>
      <c r="U163" s="3241"/>
      <c r="V163" s="3241"/>
      <c r="W163" s="3240"/>
      <c r="X163" s="3241"/>
      <c r="Y163" s="3241"/>
      <c r="Z163" s="3242">
        <f t="shared" si="6"/>
        <v>0</v>
      </c>
      <c r="AA163" s="3243">
        <f t="shared" si="17"/>
        <v>0</v>
      </c>
      <c r="AB163" s="3242">
        <f t="shared" si="21"/>
        <v>0</v>
      </c>
      <c r="AC163" s="3241"/>
      <c r="AD163" s="3241"/>
      <c r="AE163" s="3242">
        <f t="shared" si="18"/>
        <v>0</v>
      </c>
      <c r="AF163" s="3241"/>
      <c r="AG163" s="3250"/>
      <c r="AH163" s="3241"/>
      <c r="AI163" s="3250"/>
      <c r="AJ163" s="3258"/>
      <c r="AK163" s="3250"/>
      <c r="AL163" s="3241"/>
      <c r="AM163" s="3250"/>
      <c r="AN163" s="3241"/>
      <c r="AO163" s="3250"/>
      <c r="AP163" s="3240">
        <f t="shared" si="20"/>
        <v>0</v>
      </c>
      <c r="AQ163" s="3241"/>
      <c r="AR163" s="3241"/>
      <c r="AS163" s="3242">
        <f t="shared" si="9"/>
        <v>0</v>
      </c>
      <c r="AT163" s="3247"/>
      <c r="AU163" s="3248"/>
      <c r="AV163" s="3248"/>
      <c r="AW163" s="3247"/>
      <c r="AX163" s="3248"/>
      <c r="AY163" s="3248"/>
      <c r="AZ163" s="3247"/>
      <c r="BA163" s="3248"/>
      <c r="BB163" s="3248"/>
      <c r="BC163" s="3247"/>
      <c r="BD163" s="3248"/>
      <c r="BE163" s="3248"/>
      <c r="BF163" s="3248"/>
      <c r="BG163" s="3248"/>
      <c r="BH163" s="3249"/>
      <c r="BI163" s="3249"/>
    </row>
    <row r="164" spans="1:61" ht="13.2" x14ac:dyDescent="0.3">
      <c r="A164" s="3270"/>
      <c r="B164" s="3276"/>
      <c r="C164" s="3271"/>
      <c r="D164" s="3240"/>
      <c r="E164" s="3241"/>
      <c r="F164" s="3241"/>
      <c r="G164" s="3240"/>
      <c r="H164" s="3241"/>
      <c r="I164" s="3241"/>
      <c r="J164" s="3241"/>
      <c r="K164" s="3240"/>
      <c r="L164" s="3241"/>
      <c r="M164" s="3241"/>
      <c r="N164" s="3240">
        <f t="shared" si="5"/>
        <v>0</v>
      </c>
      <c r="O164" s="3239"/>
      <c r="P164" s="3240"/>
      <c r="Q164" s="3241"/>
      <c r="R164" s="3241"/>
      <c r="S164" s="3240"/>
      <c r="T164" s="3241"/>
      <c r="U164" s="3241"/>
      <c r="V164" s="3241"/>
      <c r="W164" s="3240"/>
      <c r="X164" s="3241"/>
      <c r="Y164" s="3241"/>
      <c r="Z164" s="3242">
        <f t="shared" si="6"/>
        <v>0</v>
      </c>
      <c r="AA164" s="3243">
        <f t="shared" si="17"/>
        <v>0</v>
      </c>
      <c r="AB164" s="3242">
        <f t="shared" si="21"/>
        <v>0</v>
      </c>
      <c r="AC164" s="3241"/>
      <c r="AD164" s="3241"/>
      <c r="AE164" s="3242">
        <f t="shared" si="18"/>
        <v>0</v>
      </c>
      <c r="AF164" s="3241"/>
      <c r="AG164" s="3250"/>
      <c r="AH164" s="3241"/>
      <c r="AI164" s="3250"/>
      <c r="AJ164" s="3258"/>
      <c r="AK164" s="3250"/>
      <c r="AL164" s="3241"/>
      <c r="AM164" s="3250"/>
      <c r="AN164" s="3241"/>
      <c r="AO164" s="3250"/>
      <c r="AP164" s="3240">
        <f t="shared" si="20"/>
        <v>0</v>
      </c>
      <c r="AQ164" s="3241"/>
      <c r="AR164" s="3241"/>
      <c r="AS164" s="3242">
        <f t="shared" si="9"/>
        <v>0</v>
      </c>
      <c r="AT164" s="3247"/>
      <c r="AU164" s="3248"/>
      <c r="AV164" s="3248"/>
      <c r="AW164" s="3247"/>
      <c r="AX164" s="3248"/>
      <c r="AY164" s="3248"/>
      <c r="AZ164" s="3247"/>
      <c r="BA164" s="3248"/>
      <c r="BB164" s="3248"/>
      <c r="BC164" s="3247"/>
      <c r="BD164" s="3248"/>
      <c r="BE164" s="3248"/>
      <c r="BF164" s="3248"/>
      <c r="BG164" s="3248"/>
      <c r="BH164" s="3249"/>
      <c r="BI164" s="3249"/>
    </row>
    <row r="165" spans="1:61" ht="13.2" x14ac:dyDescent="0.3">
      <c r="A165" s="3270"/>
      <c r="B165" s="3276"/>
      <c r="C165" s="3271"/>
      <c r="D165" s="3240"/>
      <c r="E165" s="3241"/>
      <c r="F165" s="3241"/>
      <c r="G165" s="3240"/>
      <c r="H165" s="3241"/>
      <c r="I165" s="3241"/>
      <c r="J165" s="3241"/>
      <c r="K165" s="3240"/>
      <c r="L165" s="3241"/>
      <c r="M165" s="3241"/>
      <c r="N165" s="3240">
        <f t="shared" si="5"/>
        <v>0</v>
      </c>
      <c r="O165" s="3239"/>
      <c r="P165" s="3240"/>
      <c r="Q165" s="3241"/>
      <c r="R165" s="3241"/>
      <c r="S165" s="3240"/>
      <c r="T165" s="3241"/>
      <c r="U165" s="3241"/>
      <c r="V165" s="3241"/>
      <c r="W165" s="3240"/>
      <c r="X165" s="3241"/>
      <c r="Y165" s="3241"/>
      <c r="Z165" s="3242">
        <f t="shared" si="6"/>
        <v>0</v>
      </c>
      <c r="AA165" s="3243">
        <f t="shared" si="17"/>
        <v>0</v>
      </c>
      <c r="AB165" s="3242">
        <f t="shared" si="21"/>
        <v>0</v>
      </c>
      <c r="AC165" s="3241"/>
      <c r="AD165" s="3241"/>
      <c r="AE165" s="3242">
        <f t="shared" ref="AE165:AE187" si="22">AF165+AH165+AJ165+AL165+AN165</f>
        <v>0</v>
      </c>
      <c r="AF165" s="3241"/>
      <c r="AG165" s="3250"/>
      <c r="AH165" s="3241"/>
      <c r="AI165" s="3250"/>
      <c r="AJ165" s="3258"/>
      <c r="AK165" s="3250"/>
      <c r="AL165" s="3241"/>
      <c r="AM165" s="3250"/>
      <c r="AN165" s="3241"/>
      <c r="AO165" s="3250"/>
      <c r="AP165" s="3240">
        <f t="shared" si="20"/>
        <v>0</v>
      </c>
      <c r="AQ165" s="3241"/>
      <c r="AR165" s="3241"/>
      <c r="AS165" s="3242">
        <f t="shared" si="9"/>
        <v>0</v>
      </c>
      <c r="AT165" s="3247"/>
      <c r="AU165" s="3248"/>
      <c r="AV165" s="3248"/>
      <c r="AW165" s="3247"/>
      <c r="AX165" s="3248"/>
      <c r="AY165" s="3248"/>
      <c r="AZ165" s="3247"/>
      <c r="BA165" s="3248"/>
      <c r="BB165" s="3248"/>
      <c r="BC165" s="3247"/>
      <c r="BD165" s="3248"/>
      <c r="BE165" s="3248"/>
      <c r="BF165" s="3248"/>
      <c r="BG165" s="3248"/>
      <c r="BH165" s="3249"/>
      <c r="BI165" s="3249"/>
    </row>
    <row r="166" spans="1:61" ht="13.2" x14ac:dyDescent="0.3">
      <c r="A166" s="3270"/>
      <c r="B166" s="3276"/>
      <c r="C166" s="3271"/>
      <c r="D166" s="3240"/>
      <c r="E166" s="3241"/>
      <c r="F166" s="3241"/>
      <c r="G166" s="3240"/>
      <c r="H166" s="3241"/>
      <c r="I166" s="3241"/>
      <c r="J166" s="3241"/>
      <c r="K166" s="3240"/>
      <c r="L166" s="3241"/>
      <c r="M166" s="3241"/>
      <c r="N166" s="3240">
        <f t="shared" si="5"/>
        <v>0</v>
      </c>
      <c r="O166" s="3239"/>
      <c r="P166" s="3240"/>
      <c r="Q166" s="3241"/>
      <c r="R166" s="3241"/>
      <c r="S166" s="3240"/>
      <c r="T166" s="3241"/>
      <c r="U166" s="3241"/>
      <c r="V166" s="3241"/>
      <c r="W166" s="3240"/>
      <c r="X166" s="3241"/>
      <c r="Y166" s="3241"/>
      <c r="Z166" s="3242">
        <f t="shared" si="6"/>
        <v>0</v>
      </c>
      <c r="AA166" s="3243">
        <f t="shared" si="17"/>
        <v>0</v>
      </c>
      <c r="AB166" s="3242">
        <f t="shared" si="21"/>
        <v>0</v>
      </c>
      <c r="AC166" s="3241"/>
      <c r="AD166" s="3241"/>
      <c r="AE166" s="3242">
        <f t="shared" si="22"/>
        <v>0</v>
      </c>
      <c r="AF166" s="3241"/>
      <c r="AG166" s="3250"/>
      <c r="AH166" s="3241"/>
      <c r="AI166" s="3250"/>
      <c r="AJ166" s="3258"/>
      <c r="AK166" s="3250"/>
      <c r="AL166" s="3241"/>
      <c r="AM166" s="3250"/>
      <c r="AN166" s="3241"/>
      <c r="AO166" s="3250"/>
      <c r="AP166" s="3240">
        <f t="shared" si="20"/>
        <v>0</v>
      </c>
      <c r="AQ166" s="3241"/>
      <c r="AR166" s="3241"/>
      <c r="AS166" s="3242">
        <f t="shared" si="9"/>
        <v>0</v>
      </c>
      <c r="AT166" s="3247"/>
      <c r="AU166" s="3248"/>
      <c r="AV166" s="3248"/>
      <c r="AW166" s="3247"/>
      <c r="AX166" s="3248"/>
      <c r="AY166" s="3248"/>
      <c r="AZ166" s="3247"/>
      <c r="BA166" s="3248"/>
      <c r="BB166" s="3248"/>
      <c r="BC166" s="3247"/>
      <c r="BD166" s="3248"/>
      <c r="BE166" s="3248"/>
      <c r="BF166" s="3248"/>
      <c r="BG166" s="3248"/>
      <c r="BH166" s="3249"/>
      <c r="BI166" s="3249"/>
    </row>
    <row r="167" spans="1:61" ht="13.2" x14ac:dyDescent="0.3">
      <c r="A167" s="3270"/>
      <c r="B167" s="3276"/>
      <c r="C167" s="3271"/>
      <c r="D167" s="3240"/>
      <c r="E167" s="3241"/>
      <c r="F167" s="3241"/>
      <c r="G167" s="3240"/>
      <c r="H167" s="3241"/>
      <c r="I167" s="3241"/>
      <c r="J167" s="3241"/>
      <c r="K167" s="3240"/>
      <c r="L167" s="3241"/>
      <c r="M167" s="3241"/>
      <c r="N167" s="3240">
        <f t="shared" si="5"/>
        <v>0</v>
      </c>
      <c r="O167" s="3239"/>
      <c r="P167" s="3240"/>
      <c r="Q167" s="3241"/>
      <c r="R167" s="3241"/>
      <c r="S167" s="3240"/>
      <c r="T167" s="3241"/>
      <c r="U167" s="3241"/>
      <c r="V167" s="3241"/>
      <c r="W167" s="3240"/>
      <c r="X167" s="3241"/>
      <c r="Y167" s="3241"/>
      <c r="Z167" s="3242">
        <f t="shared" si="6"/>
        <v>0</v>
      </c>
      <c r="AA167" s="3243">
        <f t="shared" si="17"/>
        <v>0</v>
      </c>
      <c r="AB167" s="3242">
        <f t="shared" si="21"/>
        <v>0</v>
      </c>
      <c r="AC167" s="3241"/>
      <c r="AD167" s="3241"/>
      <c r="AE167" s="3242">
        <f t="shared" si="22"/>
        <v>0</v>
      </c>
      <c r="AF167" s="3241"/>
      <c r="AG167" s="3250"/>
      <c r="AH167" s="3241"/>
      <c r="AI167" s="3250"/>
      <c r="AJ167" s="3258"/>
      <c r="AK167" s="3250"/>
      <c r="AL167" s="3241"/>
      <c r="AM167" s="3250"/>
      <c r="AN167" s="3241"/>
      <c r="AO167" s="3250"/>
      <c r="AP167" s="3240">
        <f t="shared" si="20"/>
        <v>0</v>
      </c>
      <c r="AQ167" s="3241"/>
      <c r="AR167" s="3241"/>
      <c r="AS167" s="3242">
        <f t="shared" si="9"/>
        <v>0</v>
      </c>
      <c r="AT167" s="3247"/>
      <c r="AU167" s="3248"/>
      <c r="AV167" s="3248"/>
      <c r="AW167" s="3247"/>
      <c r="AX167" s="3248"/>
      <c r="AY167" s="3248"/>
      <c r="AZ167" s="3247"/>
      <c r="BA167" s="3248"/>
      <c r="BB167" s="3248"/>
      <c r="BC167" s="3247"/>
      <c r="BD167" s="3248"/>
      <c r="BE167" s="3248"/>
      <c r="BF167" s="3248"/>
      <c r="BG167" s="3248"/>
      <c r="BH167" s="3249"/>
      <c r="BI167" s="3249"/>
    </row>
    <row r="168" spans="1:61" ht="13.2" x14ac:dyDescent="0.3">
      <c r="A168" s="3270"/>
      <c r="B168" s="3276"/>
      <c r="C168" s="3271"/>
      <c r="D168" s="3240"/>
      <c r="E168" s="3241"/>
      <c r="F168" s="3241"/>
      <c r="G168" s="3240"/>
      <c r="H168" s="3241"/>
      <c r="I168" s="3241"/>
      <c r="J168" s="3241"/>
      <c r="K168" s="3240"/>
      <c r="L168" s="3241"/>
      <c r="M168" s="3241"/>
      <c r="N168" s="3240">
        <f t="shared" si="5"/>
        <v>0</v>
      </c>
      <c r="O168" s="3239"/>
      <c r="P168" s="3240"/>
      <c r="Q168" s="3241"/>
      <c r="R168" s="3241"/>
      <c r="S168" s="3240"/>
      <c r="T168" s="3241"/>
      <c r="U168" s="3241"/>
      <c r="V168" s="3241"/>
      <c r="W168" s="3240"/>
      <c r="X168" s="3241"/>
      <c r="Y168" s="3241"/>
      <c r="Z168" s="3242">
        <f t="shared" si="6"/>
        <v>0</v>
      </c>
      <c r="AA168" s="3243">
        <f t="shared" si="17"/>
        <v>0</v>
      </c>
      <c r="AB168" s="3242">
        <f t="shared" si="21"/>
        <v>0</v>
      </c>
      <c r="AC168" s="3241"/>
      <c r="AD168" s="3241"/>
      <c r="AE168" s="3242">
        <f t="shared" si="22"/>
        <v>0</v>
      </c>
      <c r="AF168" s="3241"/>
      <c r="AG168" s="3250"/>
      <c r="AH168" s="3241"/>
      <c r="AI168" s="3250"/>
      <c r="AJ168" s="3258"/>
      <c r="AK168" s="3250"/>
      <c r="AL168" s="3241"/>
      <c r="AM168" s="3250"/>
      <c r="AN168" s="3241"/>
      <c r="AO168" s="3250"/>
      <c r="AP168" s="3240">
        <f t="shared" si="20"/>
        <v>0</v>
      </c>
      <c r="AQ168" s="3241"/>
      <c r="AR168" s="3241"/>
      <c r="AS168" s="3242">
        <f t="shared" si="9"/>
        <v>0</v>
      </c>
      <c r="AT168" s="3247"/>
      <c r="AU168" s="3248"/>
      <c r="AV168" s="3248"/>
      <c r="AW168" s="3247"/>
      <c r="AX168" s="3248"/>
      <c r="AY168" s="3248"/>
      <c r="AZ168" s="3247"/>
      <c r="BA168" s="3248"/>
      <c r="BB168" s="3248"/>
      <c r="BC168" s="3247"/>
      <c r="BD168" s="3248"/>
      <c r="BE168" s="3248"/>
      <c r="BF168" s="3248"/>
      <c r="BG168" s="3248"/>
      <c r="BH168" s="3249"/>
      <c r="BI168" s="3249"/>
    </row>
    <row r="169" spans="1:61" ht="13.2" x14ac:dyDescent="0.3">
      <c r="A169" s="3270"/>
      <c r="B169" s="3276"/>
      <c r="C169" s="3271"/>
      <c r="D169" s="3240"/>
      <c r="E169" s="3241"/>
      <c r="F169" s="3241"/>
      <c r="G169" s="3240"/>
      <c r="H169" s="3241"/>
      <c r="I169" s="3241"/>
      <c r="J169" s="3241"/>
      <c r="K169" s="3240"/>
      <c r="L169" s="3241"/>
      <c r="M169" s="3241"/>
      <c r="N169" s="3240">
        <f t="shared" si="5"/>
        <v>0</v>
      </c>
      <c r="O169" s="3239"/>
      <c r="P169" s="3240"/>
      <c r="Q169" s="3241"/>
      <c r="R169" s="3241"/>
      <c r="S169" s="3240"/>
      <c r="T169" s="3241"/>
      <c r="U169" s="3241"/>
      <c r="V169" s="3241"/>
      <c r="W169" s="3240"/>
      <c r="X169" s="3241"/>
      <c r="Y169" s="3241"/>
      <c r="Z169" s="3242">
        <f t="shared" si="6"/>
        <v>0</v>
      </c>
      <c r="AA169" s="3243">
        <f t="shared" si="17"/>
        <v>0</v>
      </c>
      <c r="AB169" s="3242">
        <f t="shared" si="21"/>
        <v>0</v>
      </c>
      <c r="AC169" s="3241"/>
      <c r="AD169" s="3241"/>
      <c r="AE169" s="3242">
        <f t="shared" si="22"/>
        <v>0</v>
      </c>
      <c r="AF169" s="3241"/>
      <c r="AG169" s="3250"/>
      <c r="AH169" s="3241"/>
      <c r="AI169" s="3250"/>
      <c r="AJ169" s="3258"/>
      <c r="AK169" s="3250"/>
      <c r="AL169" s="3241"/>
      <c r="AM169" s="3250"/>
      <c r="AN169" s="3241"/>
      <c r="AO169" s="3250"/>
      <c r="AP169" s="3240">
        <f t="shared" si="20"/>
        <v>0</v>
      </c>
      <c r="AQ169" s="3241"/>
      <c r="AR169" s="3241"/>
      <c r="AS169" s="3242">
        <f t="shared" si="9"/>
        <v>0</v>
      </c>
      <c r="AT169" s="3247"/>
      <c r="AU169" s="3248"/>
      <c r="AV169" s="3248"/>
      <c r="AW169" s="3247"/>
      <c r="AX169" s="3248"/>
      <c r="AY169" s="3248"/>
      <c r="AZ169" s="3247"/>
      <c r="BA169" s="3248"/>
      <c r="BB169" s="3248"/>
      <c r="BC169" s="3247"/>
      <c r="BD169" s="3248"/>
      <c r="BE169" s="3248"/>
      <c r="BF169" s="3248"/>
      <c r="BG169" s="3248"/>
      <c r="BH169" s="3249"/>
      <c r="BI169" s="3249"/>
    </row>
    <row r="170" spans="1:61" ht="13.2" x14ac:dyDescent="0.3">
      <c r="A170" s="3270"/>
      <c r="B170" s="3276"/>
      <c r="C170" s="3271"/>
      <c r="D170" s="3240"/>
      <c r="E170" s="3241"/>
      <c r="F170" s="3241"/>
      <c r="G170" s="3240"/>
      <c r="H170" s="3241"/>
      <c r="I170" s="3241"/>
      <c r="J170" s="3241"/>
      <c r="K170" s="3240"/>
      <c r="L170" s="3241"/>
      <c r="M170" s="3241"/>
      <c r="N170" s="3240">
        <f t="shared" si="5"/>
        <v>0</v>
      </c>
      <c r="O170" s="3239"/>
      <c r="P170" s="3240"/>
      <c r="Q170" s="3241"/>
      <c r="R170" s="3241"/>
      <c r="S170" s="3240"/>
      <c r="T170" s="3241"/>
      <c r="U170" s="3241"/>
      <c r="V170" s="3241"/>
      <c r="W170" s="3240"/>
      <c r="X170" s="3241"/>
      <c r="Y170" s="3241"/>
      <c r="Z170" s="3242">
        <f t="shared" si="6"/>
        <v>0</v>
      </c>
      <c r="AA170" s="3243">
        <f t="shared" si="17"/>
        <v>0</v>
      </c>
      <c r="AB170" s="3242">
        <f t="shared" si="21"/>
        <v>0</v>
      </c>
      <c r="AC170" s="3241"/>
      <c r="AD170" s="3241"/>
      <c r="AE170" s="3242">
        <f t="shared" si="22"/>
        <v>0</v>
      </c>
      <c r="AF170" s="3241"/>
      <c r="AG170" s="3250"/>
      <c r="AH170" s="3241"/>
      <c r="AI170" s="3250"/>
      <c r="AJ170" s="3258"/>
      <c r="AK170" s="3250"/>
      <c r="AL170" s="3241"/>
      <c r="AM170" s="3250"/>
      <c r="AN170" s="3241"/>
      <c r="AO170" s="3250"/>
      <c r="AP170" s="3240">
        <f t="shared" si="20"/>
        <v>0</v>
      </c>
      <c r="AQ170" s="3241"/>
      <c r="AR170" s="3241"/>
      <c r="AS170" s="3242">
        <f t="shared" si="9"/>
        <v>0</v>
      </c>
      <c r="AT170" s="3247"/>
      <c r="AU170" s="3248"/>
      <c r="AV170" s="3248"/>
      <c r="AW170" s="3247"/>
      <c r="AX170" s="3248"/>
      <c r="AY170" s="3248"/>
      <c r="AZ170" s="3247"/>
      <c r="BA170" s="3248"/>
      <c r="BB170" s="3248"/>
      <c r="BC170" s="3247"/>
      <c r="BD170" s="3248"/>
      <c r="BE170" s="3248"/>
      <c r="BF170" s="3248"/>
      <c r="BG170" s="3248"/>
      <c r="BH170" s="3249"/>
      <c r="BI170" s="3249"/>
    </row>
    <row r="171" spans="1:61" ht="13.2" x14ac:dyDescent="0.3">
      <c r="A171" s="3270"/>
      <c r="B171" s="3276"/>
      <c r="C171" s="3271"/>
      <c r="D171" s="3240"/>
      <c r="E171" s="3241"/>
      <c r="F171" s="3241"/>
      <c r="G171" s="3240"/>
      <c r="H171" s="3241"/>
      <c r="I171" s="3241"/>
      <c r="J171" s="3241"/>
      <c r="K171" s="3240"/>
      <c r="L171" s="3241"/>
      <c r="M171" s="3241"/>
      <c r="N171" s="3240">
        <f t="shared" si="5"/>
        <v>0</v>
      </c>
      <c r="O171" s="3239"/>
      <c r="P171" s="3240"/>
      <c r="Q171" s="3241"/>
      <c r="R171" s="3241"/>
      <c r="S171" s="3240"/>
      <c r="T171" s="3241"/>
      <c r="U171" s="3241"/>
      <c r="V171" s="3241"/>
      <c r="W171" s="3240"/>
      <c r="X171" s="3241"/>
      <c r="Y171" s="3241"/>
      <c r="Z171" s="3242">
        <f t="shared" si="6"/>
        <v>0</v>
      </c>
      <c r="AA171" s="3243">
        <f t="shared" si="17"/>
        <v>0</v>
      </c>
      <c r="AB171" s="3242">
        <f t="shared" si="21"/>
        <v>0</v>
      </c>
      <c r="AC171" s="3241"/>
      <c r="AD171" s="3241"/>
      <c r="AE171" s="3242">
        <f t="shared" si="22"/>
        <v>0</v>
      </c>
      <c r="AF171" s="3241"/>
      <c r="AG171" s="3250"/>
      <c r="AH171" s="3241"/>
      <c r="AI171" s="3250"/>
      <c r="AJ171" s="3258"/>
      <c r="AK171" s="3250"/>
      <c r="AL171" s="3241"/>
      <c r="AM171" s="3250"/>
      <c r="AN171" s="3241"/>
      <c r="AO171" s="3250"/>
      <c r="AP171" s="3240">
        <f t="shared" si="20"/>
        <v>0</v>
      </c>
      <c r="AQ171" s="3241"/>
      <c r="AR171" s="3241"/>
      <c r="AS171" s="3242">
        <f t="shared" si="9"/>
        <v>0</v>
      </c>
      <c r="AT171" s="3247"/>
      <c r="AU171" s="3248"/>
      <c r="AV171" s="3248"/>
      <c r="AW171" s="3247"/>
      <c r="AX171" s="3248"/>
      <c r="AY171" s="3248"/>
      <c r="AZ171" s="3247"/>
      <c r="BA171" s="3248"/>
      <c r="BB171" s="3248"/>
      <c r="BC171" s="3247"/>
      <c r="BD171" s="3248"/>
      <c r="BE171" s="3248"/>
      <c r="BF171" s="3248"/>
      <c r="BG171" s="3248"/>
      <c r="BH171" s="3249"/>
      <c r="BI171" s="3249"/>
    </row>
    <row r="172" spans="1:61" ht="13.2" x14ac:dyDescent="0.3">
      <c r="A172" s="3270"/>
      <c r="B172" s="3276"/>
      <c r="C172" s="3271"/>
      <c r="D172" s="3240"/>
      <c r="E172" s="3241"/>
      <c r="F172" s="3241"/>
      <c r="G172" s="3240"/>
      <c r="H172" s="3241"/>
      <c r="I172" s="3241"/>
      <c r="J172" s="3241"/>
      <c r="K172" s="3240"/>
      <c r="L172" s="3241"/>
      <c r="M172" s="3241"/>
      <c r="N172" s="3240">
        <f t="shared" si="5"/>
        <v>0</v>
      </c>
      <c r="O172" s="3239"/>
      <c r="P172" s="3240"/>
      <c r="Q172" s="3241"/>
      <c r="R172" s="3241"/>
      <c r="S172" s="3240"/>
      <c r="T172" s="3241"/>
      <c r="U172" s="3241"/>
      <c r="V172" s="3241"/>
      <c r="W172" s="3240"/>
      <c r="X172" s="3241"/>
      <c r="Y172" s="3241"/>
      <c r="Z172" s="3242">
        <f t="shared" si="6"/>
        <v>0</v>
      </c>
      <c r="AA172" s="3243">
        <f t="shared" si="17"/>
        <v>0</v>
      </c>
      <c r="AB172" s="3242">
        <f t="shared" si="21"/>
        <v>0</v>
      </c>
      <c r="AC172" s="3241"/>
      <c r="AD172" s="3241"/>
      <c r="AE172" s="3242">
        <f t="shared" si="22"/>
        <v>0</v>
      </c>
      <c r="AF172" s="3241"/>
      <c r="AG172" s="3250"/>
      <c r="AH172" s="3241"/>
      <c r="AI172" s="3250"/>
      <c r="AJ172" s="3258"/>
      <c r="AK172" s="3250"/>
      <c r="AL172" s="3241"/>
      <c r="AM172" s="3250"/>
      <c r="AN172" s="3241"/>
      <c r="AO172" s="3250"/>
      <c r="AP172" s="3240">
        <f t="shared" si="20"/>
        <v>0</v>
      </c>
      <c r="AQ172" s="3241"/>
      <c r="AR172" s="3241"/>
      <c r="AS172" s="3242">
        <f t="shared" si="9"/>
        <v>0</v>
      </c>
      <c r="AT172" s="3247"/>
      <c r="AU172" s="3248"/>
      <c r="AV172" s="3248"/>
      <c r="AW172" s="3247"/>
      <c r="AX172" s="3248"/>
      <c r="AY172" s="3248"/>
      <c r="AZ172" s="3247"/>
      <c r="BA172" s="3248"/>
      <c r="BB172" s="3248"/>
      <c r="BC172" s="3247"/>
      <c r="BD172" s="3248"/>
      <c r="BE172" s="3248"/>
      <c r="BF172" s="3248"/>
      <c r="BG172" s="3248"/>
      <c r="BH172" s="3249"/>
      <c r="BI172" s="3249"/>
    </row>
    <row r="173" spans="1:61" ht="13.2" x14ac:dyDescent="0.3">
      <c r="A173" s="3270"/>
      <c r="B173" s="3276"/>
      <c r="C173" s="3271"/>
      <c r="D173" s="3240"/>
      <c r="E173" s="3241"/>
      <c r="F173" s="3241"/>
      <c r="G173" s="3240"/>
      <c r="H173" s="3241"/>
      <c r="I173" s="3241"/>
      <c r="J173" s="3241"/>
      <c r="K173" s="3240"/>
      <c r="L173" s="3241"/>
      <c r="M173" s="3241"/>
      <c r="N173" s="3240">
        <f t="shared" si="5"/>
        <v>0</v>
      </c>
      <c r="O173" s="3239"/>
      <c r="P173" s="3240"/>
      <c r="Q173" s="3241"/>
      <c r="R173" s="3241"/>
      <c r="S173" s="3240"/>
      <c r="T173" s="3241"/>
      <c r="U173" s="3241"/>
      <c r="V173" s="3241"/>
      <c r="W173" s="3240"/>
      <c r="X173" s="3241"/>
      <c r="Y173" s="3241"/>
      <c r="Z173" s="3242">
        <f t="shared" si="6"/>
        <v>0</v>
      </c>
      <c r="AA173" s="3243">
        <f t="shared" si="17"/>
        <v>0</v>
      </c>
      <c r="AB173" s="3242">
        <f t="shared" si="21"/>
        <v>0</v>
      </c>
      <c r="AC173" s="3241"/>
      <c r="AD173" s="3241"/>
      <c r="AE173" s="3242">
        <f t="shared" si="22"/>
        <v>0</v>
      </c>
      <c r="AF173" s="3241"/>
      <c r="AG173" s="3250"/>
      <c r="AH173" s="3241"/>
      <c r="AI173" s="3250"/>
      <c r="AJ173" s="3258"/>
      <c r="AK173" s="3250"/>
      <c r="AL173" s="3241"/>
      <c r="AM173" s="3250"/>
      <c r="AN173" s="3241"/>
      <c r="AO173" s="3250"/>
      <c r="AP173" s="3240">
        <f t="shared" si="20"/>
        <v>0</v>
      </c>
      <c r="AQ173" s="3241"/>
      <c r="AR173" s="3241"/>
      <c r="AS173" s="3242">
        <f t="shared" si="9"/>
        <v>0</v>
      </c>
      <c r="AT173" s="3247"/>
      <c r="AU173" s="3248"/>
      <c r="AV173" s="3248"/>
      <c r="AW173" s="3247"/>
      <c r="AX173" s="3248"/>
      <c r="AY173" s="3248"/>
      <c r="AZ173" s="3247"/>
      <c r="BA173" s="3248"/>
      <c r="BB173" s="3248"/>
      <c r="BC173" s="3247"/>
      <c r="BD173" s="3248"/>
      <c r="BE173" s="3248"/>
      <c r="BF173" s="3248"/>
      <c r="BG173" s="3248"/>
      <c r="BH173" s="3249"/>
      <c r="BI173" s="3249"/>
    </row>
    <row r="174" spans="1:61" ht="13.2" x14ac:dyDescent="0.3">
      <c r="A174" s="3270"/>
      <c r="B174" s="3276"/>
      <c r="C174" s="3271"/>
      <c r="D174" s="3240"/>
      <c r="E174" s="3241"/>
      <c r="F174" s="3241"/>
      <c r="G174" s="3240"/>
      <c r="H174" s="3241"/>
      <c r="I174" s="3241"/>
      <c r="J174" s="3241"/>
      <c r="K174" s="3240"/>
      <c r="L174" s="3241"/>
      <c r="M174" s="3241"/>
      <c r="N174" s="3240">
        <f t="shared" si="5"/>
        <v>0</v>
      </c>
      <c r="O174" s="3239"/>
      <c r="P174" s="3240"/>
      <c r="Q174" s="3241"/>
      <c r="R174" s="3241"/>
      <c r="S174" s="3240"/>
      <c r="T174" s="3241"/>
      <c r="U174" s="3241"/>
      <c r="V174" s="3241"/>
      <c r="W174" s="3240"/>
      <c r="X174" s="3241"/>
      <c r="Y174" s="3241"/>
      <c r="Z174" s="3242">
        <f t="shared" si="6"/>
        <v>0</v>
      </c>
      <c r="AA174" s="3243">
        <f t="shared" si="17"/>
        <v>0</v>
      </c>
      <c r="AB174" s="3242">
        <f t="shared" si="21"/>
        <v>0</v>
      </c>
      <c r="AC174" s="3241"/>
      <c r="AD174" s="3241"/>
      <c r="AE174" s="3242">
        <f t="shared" si="22"/>
        <v>0</v>
      </c>
      <c r="AF174" s="3241"/>
      <c r="AG174" s="3250"/>
      <c r="AH174" s="3241"/>
      <c r="AI174" s="3250"/>
      <c r="AJ174" s="3258"/>
      <c r="AK174" s="3250"/>
      <c r="AL174" s="3241"/>
      <c r="AM174" s="3250"/>
      <c r="AN174" s="3241"/>
      <c r="AO174" s="3250"/>
      <c r="AP174" s="3240">
        <f t="shared" si="20"/>
        <v>0</v>
      </c>
      <c r="AQ174" s="3241"/>
      <c r="AR174" s="3241"/>
      <c r="AS174" s="3242">
        <f t="shared" si="9"/>
        <v>0</v>
      </c>
      <c r="AT174" s="3247"/>
      <c r="AU174" s="3248"/>
      <c r="AV174" s="3248"/>
      <c r="AW174" s="3247"/>
      <c r="AX174" s="3248"/>
      <c r="AY174" s="3248"/>
      <c r="AZ174" s="3247"/>
      <c r="BA174" s="3248"/>
      <c r="BB174" s="3248"/>
      <c r="BC174" s="3247"/>
      <c r="BD174" s="3248"/>
      <c r="BE174" s="3248"/>
      <c r="BF174" s="3248"/>
      <c r="BG174" s="3248"/>
      <c r="BH174" s="3249"/>
      <c r="BI174" s="3249"/>
    </row>
    <row r="175" spans="1:61" ht="13.2" x14ac:dyDescent="0.3">
      <c r="A175" s="3270"/>
      <c r="B175" s="3276"/>
      <c r="C175" s="3271"/>
      <c r="D175" s="3240"/>
      <c r="E175" s="3241"/>
      <c r="F175" s="3241"/>
      <c r="G175" s="3240"/>
      <c r="H175" s="3241"/>
      <c r="I175" s="3241"/>
      <c r="J175" s="3241"/>
      <c r="K175" s="3240"/>
      <c r="L175" s="3241"/>
      <c r="M175" s="3241"/>
      <c r="N175" s="3240">
        <f t="shared" si="5"/>
        <v>0</v>
      </c>
      <c r="O175" s="3239"/>
      <c r="P175" s="3240"/>
      <c r="Q175" s="3241"/>
      <c r="R175" s="3241"/>
      <c r="S175" s="3240"/>
      <c r="T175" s="3241"/>
      <c r="U175" s="3241"/>
      <c r="V175" s="3241"/>
      <c r="W175" s="3240"/>
      <c r="X175" s="3241"/>
      <c r="Y175" s="3241"/>
      <c r="Z175" s="3242">
        <f t="shared" si="6"/>
        <v>0</v>
      </c>
      <c r="AA175" s="3243">
        <f t="shared" si="17"/>
        <v>0</v>
      </c>
      <c r="AB175" s="3242">
        <f t="shared" si="21"/>
        <v>0</v>
      </c>
      <c r="AC175" s="3241"/>
      <c r="AD175" s="3241"/>
      <c r="AE175" s="3242">
        <f t="shared" si="22"/>
        <v>0</v>
      </c>
      <c r="AF175" s="3241"/>
      <c r="AG175" s="3250"/>
      <c r="AH175" s="3241"/>
      <c r="AI175" s="3250"/>
      <c r="AJ175" s="3258"/>
      <c r="AK175" s="3250"/>
      <c r="AL175" s="3241"/>
      <c r="AM175" s="3250"/>
      <c r="AN175" s="3241"/>
      <c r="AO175" s="3250"/>
      <c r="AP175" s="3240">
        <f t="shared" si="20"/>
        <v>0</v>
      </c>
      <c r="AQ175" s="3241"/>
      <c r="AR175" s="3241"/>
      <c r="AS175" s="3242">
        <f t="shared" si="9"/>
        <v>0</v>
      </c>
      <c r="AT175" s="3247"/>
      <c r="AU175" s="3248"/>
      <c r="AV175" s="3248"/>
      <c r="AW175" s="3247"/>
      <c r="AX175" s="3248"/>
      <c r="AY175" s="3248"/>
      <c r="AZ175" s="3247"/>
      <c r="BA175" s="3248"/>
      <c r="BB175" s="3248"/>
      <c r="BC175" s="3247"/>
      <c r="BD175" s="3248"/>
      <c r="BE175" s="3248"/>
      <c r="BF175" s="3248"/>
      <c r="BG175" s="3248"/>
      <c r="BH175" s="3249"/>
      <c r="BI175" s="3249"/>
    </row>
    <row r="176" spans="1:61" ht="13.2" x14ac:dyDescent="0.3">
      <c r="A176" s="3270"/>
      <c r="B176" s="3276"/>
      <c r="C176" s="3271"/>
      <c r="D176" s="3240"/>
      <c r="E176" s="3241"/>
      <c r="F176" s="3241"/>
      <c r="G176" s="3240"/>
      <c r="H176" s="3241"/>
      <c r="I176" s="3241"/>
      <c r="J176" s="3241"/>
      <c r="K176" s="3240"/>
      <c r="L176" s="3241"/>
      <c r="M176" s="3241"/>
      <c r="N176" s="3240">
        <f t="shared" si="5"/>
        <v>0</v>
      </c>
      <c r="O176" s="3239"/>
      <c r="P176" s="3240"/>
      <c r="Q176" s="3241"/>
      <c r="R176" s="3241"/>
      <c r="S176" s="3240"/>
      <c r="T176" s="3241"/>
      <c r="U176" s="3241"/>
      <c r="V176" s="3241"/>
      <c r="W176" s="3240"/>
      <c r="X176" s="3241"/>
      <c r="Y176" s="3241"/>
      <c r="Z176" s="3242">
        <f t="shared" si="6"/>
        <v>0</v>
      </c>
      <c r="AA176" s="3243">
        <f t="shared" si="17"/>
        <v>0</v>
      </c>
      <c r="AB176" s="3242">
        <f t="shared" si="21"/>
        <v>0</v>
      </c>
      <c r="AC176" s="3241"/>
      <c r="AD176" s="3241"/>
      <c r="AE176" s="3242">
        <f t="shared" si="22"/>
        <v>0</v>
      </c>
      <c r="AF176" s="3241"/>
      <c r="AG176" s="3250"/>
      <c r="AH176" s="3241"/>
      <c r="AI176" s="3250"/>
      <c r="AJ176" s="3258"/>
      <c r="AK176" s="3250"/>
      <c r="AL176" s="3241"/>
      <c r="AM176" s="3250"/>
      <c r="AN176" s="3241"/>
      <c r="AO176" s="3250"/>
      <c r="AP176" s="3240">
        <f t="shared" si="20"/>
        <v>0</v>
      </c>
      <c r="AQ176" s="3241"/>
      <c r="AR176" s="3241"/>
      <c r="AS176" s="3242">
        <f t="shared" si="9"/>
        <v>0</v>
      </c>
      <c r="AT176" s="3247"/>
      <c r="AU176" s="3248"/>
      <c r="AV176" s="3248"/>
      <c r="AW176" s="3247"/>
      <c r="AX176" s="3248"/>
      <c r="AY176" s="3248"/>
      <c r="AZ176" s="3247"/>
      <c r="BA176" s="3248"/>
      <c r="BB176" s="3248"/>
      <c r="BC176" s="3247"/>
      <c r="BD176" s="3248"/>
      <c r="BE176" s="3248"/>
      <c r="BF176" s="3248"/>
      <c r="BG176" s="3248"/>
      <c r="BH176" s="3249"/>
      <c r="BI176" s="3249"/>
    </row>
    <row r="177" spans="1:61" ht="13.2" x14ac:dyDescent="0.3">
      <c r="A177" s="3270"/>
      <c r="B177" s="3276"/>
      <c r="C177" s="3271"/>
      <c r="D177" s="3240"/>
      <c r="E177" s="3241"/>
      <c r="F177" s="3241"/>
      <c r="G177" s="3240"/>
      <c r="H177" s="3241"/>
      <c r="I177" s="3241"/>
      <c r="J177" s="3241"/>
      <c r="K177" s="3240"/>
      <c r="L177" s="3241"/>
      <c r="M177" s="3241"/>
      <c r="N177" s="3240">
        <f t="shared" si="5"/>
        <v>0</v>
      </c>
      <c r="O177" s="3239"/>
      <c r="P177" s="3240"/>
      <c r="Q177" s="3241"/>
      <c r="R177" s="3241"/>
      <c r="S177" s="3240"/>
      <c r="T177" s="3241"/>
      <c r="U177" s="3241"/>
      <c r="V177" s="3241"/>
      <c r="W177" s="3240"/>
      <c r="X177" s="3241"/>
      <c r="Y177" s="3241"/>
      <c r="Z177" s="3242">
        <f t="shared" si="6"/>
        <v>0</v>
      </c>
      <c r="AA177" s="3243">
        <f t="shared" si="17"/>
        <v>0</v>
      </c>
      <c r="AB177" s="3242">
        <f t="shared" si="21"/>
        <v>0</v>
      </c>
      <c r="AC177" s="3241"/>
      <c r="AD177" s="3241"/>
      <c r="AE177" s="3242">
        <f t="shared" si="22"/>
        <v>0</v>
      </c>
      <c r="AF177" s="3241"/>
      <c r="AG177" s="3250"/>
      <c r="AH177" s="3241"/>
      <c r="AI177" s="3250"/>
      <c r="AJ177" s="3258"/>
      <c r="AK177" s="3250"/>
      <c r="AL177" s="3241"/>
      <c r="AM177" s="3250"/>
      <c r="AN177" s="3241"/>
      <c r="AO177" s="3250"/>
      <c r="AP177" s="3240">
        <f t="shared" si="20"/>
        <v>0</v>
      </c>
      <c r="AQ177" s="3241"/>
      <c r="AR177" s="3241"/>
      <c r="AS177" s="3242">
        <f t="shared" si="9"/>
        <v>0</v>
      </c>
      <c r="AT177" s="3247"/>
      <c r="AU177" s="3248"/>
      <c r="AV177" s="3248"/>
      <c r="AW177" s="3247"/>
      <c r="AX177" s="3248"/>
      <c r="AY177" s="3248"/>
      <c r="AZ177" s="3247"/>
      <c r="BA177" s="3248"/>
      <c r="BB177" s="3248"/>
      <c r="BC177" s="3247"/>
      <c r="BD177" s="3248"/>
      <c r="BE177" s="3248"/>
      <c r="BF177" s="3248"/>
      <c r="BG177" s="3248"/>
      <c r="BH177" s="3249"/>
      <c r="BI177" s="3249"/>
    </row>
    <row r="178" spans="1:61" ht="13.2" x14ac:dyDescent="0.3">
      <c r="A178" s="3270"/>
      <c r="B178" s="3276"/>
      <c r="C178" s="3271"/>
      <c r="D178" s="3240"/>
      <c r="E178" s="3241"/>
      <c r="F178" s="3241"/>
      <c r="G178" s="3240"/>
      <c r="H178" s="3241"/>
      <c r="I178" s="3241"/>
      <c r="J178" s="3241"/>
      <c r="K178" s="3240"/>
      <c r="L178" s="3241"/>
      <c r="M178" s="3241"/>
      <c r="N178" s="3240">
        <f t="shared" si="5"/>
        <v>0</v>
      </c>
      <c r="O178" s="3239"/>
      <c r="P178" s="3240"/>
      <c r="Q178" s="3241"/>
      <c r="R178" s="3241"/>
      <c r="S178" s="3240"/>
      <c r="T178" s="3241"/>
      <c r="U178" s="3241"/>
      <c r="V178" s="3241"/>
      <c r="W178" s="3240"/>
      <c r="X178" s="3241"/>
      <c r="Y178" s="3241"/>
      <c r="Z178" s="3242">
        <f t="shared" si="6"/>
        <v>0</v>
      </c>
      <c r="AA178" s="3243">
        <f t="shared" si="17"/>
        <v>0</v>
      </c>
      <c r="AB178" s="3242">
        <f t="shared" si="21"/>
        <v>0</v>
      </c>
      <c r="AC178" s="3241"/>
      <c r="AD178" s="3241"/>
      <c r="AE178" s="3242">
        <f t="shared" si="22"/>
        <v>0</v>
      </c>
      <c r="AF178" s="3241"/>
      <c r="AG178" s="3250"/>
      <c r="AH178" s="3241"/>
      <c r="AI178" s="3250"/>
      <c r="AJ178" s="3258"/>
      <c r="AK178" s="3250"/>
      <c r="AL178" s="3241"/>
      <c r="AM178" s="3250"/>
      <c r="AN178" s="3241"/>
      <c r="AO178" s="3250"/>
      <c r="AP178" s="3240">
        <f t="shared" ref="AP178:AP238" si="23">AQ178+AR178</f>
        <v>0</v>
      </c>
      <c r="AQ178" s="3241"/>
      <c r="AR178" s="3241"/>
      <c r="AS178" s="3242">
        <f t="shared" si="9"/>
        <v>0</v>
      </c>
      <c r="AT178" s="3247"/>
      <c r="AU178" s="3248"/>
      <c r="AV178" s="3248"/>
      <c r="AW178" s="3247"/>
      <c r="AX178" s="3248"/>
      <c r="AY178" s="3248"/>
      <c r="AZ178" s="3247"/>
      <c r="BA178" s="3248"/>
      <c r="BB178" s="3248"/>
      <c r="BC178" s="3247"/>
      <c r="BD178" s="3248"/>
      <c r="BE178" s="3248"/>
      <c r="BF178" s="3248"/>
      <c r="BG178" s="3248"/>
      <c r="BH178" s="3249"/>
      <c r="BI178" s="3249"/>
    </row>
    <row r="179" spans="1:61" ht="13.2" x14ac:dyDescent="0.3">
      <c r="A179" s="3270"/>
      <c r="B179" s="3276"/>
      <c r="C179" s="3271"/>
      <c r="D179" s="3240"/>
      <c r="E179" s="3241"/>
      <c r="F179" s="3241"/>
      <c r="G179" s="3240"/>
      <c r="H179" s="3241"/>
      <c r="I179" s="3241"/>
      <c r="J179" s="3241"/>
      <c r="K179" s="3240"/>
      <c r="L179" s="3241"/>
      <c r="M179" s="3241"/>
      <c r="N179" s="3240">
        <f t="shared" si="5"/>
        <v>0</v>
      </c>
      <c r="O179" s="3239"/>
      <c r="P179" s="3240"/>
      <c r="Q179" s="3241"/>
      <c r="R179" s="3241"/>
      <c r="S179" s="3240"/>
      <c r="T179" s="3241"/>
      <c r="U179" s="3241"/>
      <c r="V179" s="3241"/>
      <c r="W179" s="3240"/>
      <c r="X179" s="3241"/>
      <c r="Y179" s="3241"/>
      <c r="Z179" s="3242">
        <f t="shared" si="6"/>
        <v>0</v>
      </c>
      <c r="AA179" s="3243">
        <f t="shared" si="17"/>
        <v>0</v>
      </c>
      <c r="AB179" s="3242">
        <f t="shared" si="21"/>
        <v>0</v>
      </c>
      <c r="AC179" s="3241"/>
      <c r="AD179" s="3241"/>
      <c r="AE179" s="3242">
        <f t="shared" si="22"/>
        <v>0</v>
      </c>
      <c r="AF179" s="3241"/>
      <c r="AG179" s="3250"/>
      <c r="AH179" s="3241"/>
      <c r="AI179" s="3250"/>
      <c r="AJ179" s="3258"/>
      <c r="AK179" s="3250"/>
      <c r="AL179" s="3241"/>
      <c r="AM179" s="3250"/>
      <c r="AN179" s="3241"/>
      <c r="AO179" s="3250"/>
      <c r="AP179" s="3240">
        <f t="shared" si="23"/>
        <v>0</v>
      </c>
      <c r="AQ179" s="3241"/>
      <c r="AR179" s="3241"/>
      <c r="AS179" s="3242">
        <f t="shared" si="9"/>
        <v>0</v>
      </c>
      <c r="AT179" s="3247"/>
      <c r="AU179" s="3248"/>
      <c r="AV179" s="3248"/>
      <c r="AW179" s="3247"/>
      <c r="AX179" s="3248"/>
      <c r="AY179" s="3248"/>
      <c r="AZ179" s="3247"/>
      <c r="BA179" s="3248"/>
      <c r="BB179" s="3248"/>
      <c r="BC179" s="3247"/>
      <c r="BD179" s="3248"/>
      <c r="BE179" s="3248"/>
      <c r="BF179" s="3248"/>
      <c r="BG179" s="3248"/>
      <c r="BH179" s="3249"/>
      <c r="BI179" s="3249"/>
    </row>
    <row r="180" spans="1:61" ht="13.2" x14ac:dyDescent="0.3">
      <c r="A180" s="3270"/>
      <c r="B180" s="3276"/>
      <c r="C180" s="3271"/>
      <c r="D180" s="3240"/>
      <c r="E180" s="3241"/>
      <c r="F180" s="3241"/>
      <c r="G180" s="3240"/>
      <c r="H180" s="3241"/>
      <c r="I180" s="3241"/>
      <c r="J180" s="3241"/>
      <c r="K180" s="3240"/>
      <c r="L180" s="3241"/>
      <c r="M180" s="3241"/>
      <c r="N180" s="3240">
        <f t="shared" si="5"/>
        <v>0</v>
      </c>
      <c r="O180" s="3239"/>
      <c r="P180" s="3240"/>
      <c r="Q180" s="3241"/>
      <c r="R180" s="3241"/>
      <c r="S180" s="3240"/>
      <c r="T180" s="3241"/>
      <c r="U180" s="3241"/>
      <c r="V180" s="3241"/>
      <c r="W180" s="3240"/>
      <c r="X180" s="3241"/>
      <c r="Y180" s="3241"/>
      <c r="Z180" s="3242">
        <f t="shared" si="6"/>
        <v>0</v>
      </c>
      <c r="AA180" s="3243">
        <f t="shared" si="17"/>
        <v>0</v>
      </c>
      <c r="AB180" s="3242">
        <f t="shared" si="21"/>
        <v>0</v>
      </c>
      <c r="AC180" s="3241"/>
      <c r="AD180" s="3241"/>
      <c r="AE180" s="3242">
        <f t="shared" si="22"/>
        <v>0</v>
      </c>
      <c r="AF180" s="3241"/>
      <c r="AG180" s="3250"/>
      <c r="AH180" s="3241"/>
      <c r="AI180" s="3250"/>
      <c r="AJ180" s="3258"/>
      <c r="AK180" s="3250"/>
      <c r="AL180" s="3241"/>
      <c r="AM180" s="3250"/>
      <c r="AN180" s="3241"/>
      <c r="AO180" s="3250"/>
      <c r="AP180" s="3240">
        <f t="shared" si="23"/>
        <v>0</v>
      </c>
      <c r="AQ180" s="3241"/>
      <c r="AR180" s="3241"/>
      <c r="AS180" s="3242">
        <f t="shared" si="9"/>
        <v>0</v>
      </c>
      <c r="AT180" s="3247"/>
      <c r="AU180" s="3248"/>
      <c r="AV180" s="3248"/>
      <c r="AW180" s="3247"/>
      <c r="AX180" s="3248"/>
      <c r="AY180" s="3248"/>
      <c r="AZ180" s="3247"/>
      <c r="BA180" s="3248"/>
      <c r="BB180" s="3248"/>
      <c r="BC180" s="3247"/>
      <c r="BD180" s="3248"/>
      <c r="BE180" s="3248"/>
      <c r="BF180" s="3248"/>
      <c r="BG180" s="3248"/>
      <c r="BH180" s="3249"/>
      <c r="BI180" s="3249"/>
    </row>
    <row r="181" spans="1:61" ht="13.2" x14ac:dyDescent="0.3">
      <c r="A181" s="3270"/>
      <c r="B181" s="3276"/>
      <c r="C181" s="3271"/>
      <c r="D181" s="3240"/>
      <c r="E181" s="3241"/>
      <c r="F181" s="3241"/>
      <c r="G181" s="3240"/>
      <c r="H181" s="3241"/>
      <c r="I181" s="3241"/>
      <c r="J181" s="3241"/>
      <c r="K181" s="3240"/>
      <c r="L181" s="3241"/>
      <c r="M181" s="3241"/>
      <c r="N181" s="3240">
        <f t="shared" si="5"/>
        <v>0</v>
      </c>
      <c r="O181" s="3239"/>
      <c r="P181" s="3240"/>
      <c r="Q181" s="3241"/>
      <c r="R181" s="3241"/>
      <c r="S181" s="3240"/>
      <c r="T181" s="3241"/>
      <c r="U181" s="3241"/>
      <c r="V181" s="3241"/>
      <c r="W181" s="3240"/>
      <c r="X181" s="3241"/>
      <c r="Y181" s="3241"/>
      <c r="Z181" s="3242">
        <f t="shared" si="6"/>
        <v>0</v>
      </c>
      <c r="AA181" s="3243">
        <f t="shared" si="17"/>
        <v>0</v>
      </c>
      <c r="AB181" s="3242">
        <f t="shared" si="21"/>
        <v>0</v>
      </c>
      <c r="AC181" s="3241"/>
      <c r="AD181" s="3241"/>
      <c r="AE181" s="3242">
        <f t="shared" si="22"/>
        <v>0</v>
      </c>
      <c r="AF181" s="3241"/>
      <c r="AG181" s="3250"/>
      <c r="AH181" s="3241"/>
      <c r="AI181" s="3250"/>
      <c r="AJ181" s="3258"/>
      <c r="AK181" s="3250"/>
      <c r="AL181" s="3241"/>
      <c r="AM181" s="3250"/>
      <c r="AN181" s="3241"/>
      <c r="AO181" s="3250"/>
      <c r="AP181" s="3240">
        <f t="shared" si="23"/>
        <v>0</v>
      </c>
      <c r="AQ181" s="3241"/>
      <c r="AR181" s="3241"/>
      <c r="AS181" s="3242">
        <f t="shared" si="9"/>
        <v>0</v>
      </c>
      <c r="AT181" s="3247"/>
      <c r="AU181" s="3248"/>
      <c r="AV181" s="3248"/>
      <c r="AW181" s="3247"/>
      <c r="AX181" s="3248"/>
      <c r="AY181" s="3248"/>
      <c r="AZ181" s="3247"/>
      <c r="BA181" s="3248"/>
      <c r="BB181" s="3248"/>
      <c r="BC181" s="3247"/>
      <c r="BD181" s="3248"/>
      <c r="BE181" s="3248"/>
      <c r="BF181" s="3248"/>
      <c r="BG181" s="3248"/>
      <c r="BH181" s="3249"/>
      <c r="BI181" s="3249"/>
    </row>
    <row r="182" spans="1:61" ht="13.2" x14ac:dyDescent="0.3">
      <c r="A182" s="3270"/>
      <c r="B182" s="3276"/>
      <c r="C182" s="3271"/>
      <c r="D182" s="3240"/>
      <c r="E182" s="3241"/>
      <c r="F182" s="3241"/>
      <c r="G182" s="3240"/>
      <c r="H182" s="3241"/>
      <c r="I182" s="3241"/>
      <c r="J182" s="3241"/>
      <c r="K182" s="3240"/>
      <c r="L182" s="3241"/>
      <c r="M182" s="3241"/>
      <c r="N182" s="3240">
        <f t="shared" si="5"/>
        <v>0</v>
      </c>
      <c r="O182" s="3239"/>
      <c r="P182" s="3240"/>
      <c r="Q182" s="3241"/>
      <c r="R182" s="3241"/>
      <c r="S182" s="3240"/>
      <c r="T182" s="3241"/>
      <c r="U182" s="3241"/>
      <c r="V182" s="3241"/>
      <c r="W182" s="3240"/>
      <c r="X182" s="3241"/>
      <c r="Y182" s="3241"/>
      <c r="Z182" s="3242">
        <f t="shared" si="6"/>
        <v>0</v>
      </c>
      <c r="AA182" s="3243">
        <f t="shared" si="17"/>
        <v>0</v>
      </c>
      <c r="AB182" s="3242">
        <f t="shared" si="21"/>
        <v>0</v>
      </c>
      <c r="AC182" s="3241"/>
      <c r="AD182" s="3241"/>
      <c r="AE182" s="3242">
        <f t="shared" si="22"/>
        <v>0</v>
      </c>
      <c r="AF182" s="3241"/>
      <c r="AG182" s="3250"/>
      <c r="AH182" s="3241"/>
      <c r="AI182" s="3250"/>
      <c r="AJ182" s="3258"/>
      <c r="AK182" s="3250"/>
      <c r="AL182" s="3241"/>
      <c r="AM182" s="3250"/>
      <c r="AN182" s="3241"/>
      <c r="AO182" s="3250"/>
      <c r="AP182" s="3240">
        <f t="shared" si="23"/>
        <v>0</v>
      </c>
      <c r="AQ182" s="3241"/>
      <c r="AR182" s="3241"/>
      <c r="AS182" s="3242">
        <f t="shared" si="9"/>
        <v>0</v>
      </c>
      <c r="AT182" s="3247"/>
      <c r="AU182" s="3248"/>
      <c r="AV182" s="3248"/>
      <c r="AW182" s="3247"/>
      <c r="AX182" s="3248"/>
      <c r="AY182" s="3248"/>
      <c r="AZ182" s="3247"/>
      <c r="BA182" s="3248"/>
      <c r="BB182" s="3248"/>
      <c r="BC182" s="3247"/>
      <c r="BD182" s="3248"/>
      <c r="BE182" s="3248"/>
      <c r="BF182" s="3248"/>
      <c r="BG182" s="3248"/>
      <c r="BH182" s="3249"/>
      <c r="BI182" s="3249"/>
    </row>
    <row r="183" spans="1:61" ht="13.2" x14ac:dyDescent="0.3">
      <c r="A183" s="3270"/>
      <c r="B183" s="3276"/>
      <c r="C183" s="3271"/>
      <c r="D183" s="3240"/>
      <c r="E183" s="3241"/>
      <c r="F183" s="3241"/>
      <c r="G183" s="3240"/>
      <c r="H183" s="3241"/>
      <c r="I183" s="3241"/>
      <c r="J183" s="3241"/>
      <c r="K183" s="3240"/>
      <c r="L183" s="3241"/>
      <c r="M183" s="3241"/>
      <c r="N183" s="3240">
        <f t="shared" si="5"/>
        <v>0</v>
      </c>
      <c r="O183" s="3239"/>
      <c r="P183" s="3240"/>
      <c r="Q183" s="3241"/>
      <c r="R183" s="3241"/>
      <c r="S183" s="3240"/>
      <c r="T183" s="3241"/>
      <c r="U183" s="3241"/>
      <c r="V183" s="3241"/>
      <c r="W183" s="3240"/>
      <c r="X183" s="3241"/>
      <c r="Y183" s="3241"/>
      <c r="Z183" s="3242">
        <f t="shared" si="6"/>
        <v>0</v>
      </c>
      <c r="AA183" s="3243">
        <f t="shared" si="17"/>
        <v>0</v>
      </c>
      <c r="AB183" s="3242">
        <f t="shared" si="21"/>
        <v>0</v>
      </c>
      <c r="AC183" s="3241"/>
      <c r="AD183" s="3241"/>
      <c r="AE183" s="3242">
        <f t="shared" si="22"/>
        <v>0</v>
      </c>
      <c r="AF183" s="3241"/>
      <c r="AG183" s="3250"/>
      <c r="AH183" s="3241"/>
      <c r="AI183" s="3250"/>
      <c r="AJ183" s="3258"/>
      <c r="AK183" s="3250"/>
      <c r="AL183" s="3241"/>
      <c r="AM183" s="3250"/>
      <c r="AN183" s="3241"/>
      <c r="AO183" s="3250"/>
      <c r="AP183" s="3240">
        <f t="shared" si="23"/>
        <v>0</v>
      </c>
      <c r="AQ183" s="3241"/>
      <c r="AR183" s="3241"/>
      <c r="AS183" s="3242">
        <f t="shared" si="9"/>
        <v>0</v>
      </c>
      <c r="AT183" s="3247"/>
      <c r="AU183" s="3248"/>
      <c r="AV183" s="3248"/>
      <c r="AW183" s="3247"/>
      <c r="AX183" s="3248"/>
      <c r="AY183" s="3248"/>
      <c r="AZ183" s="3247"/>
      <c r="BA183" s="3248"/>
      <c r="BB183" s="3248"/>
      <c r="BC183" s="3247"/>
      <c r="BD183" s="3248"/>
      <c r="BE183" s="3248"/>
      <c r="BF183" s="3248"/>
      <c r="BG183" s="3248"/>
      <c r="BH183" s="3249"/>
      <c r="BI183" s="3249"/>
    </row>
    <row r="184" spans="1:61" ht="13.2" x14ac:dyDescent="0.3">
      <c r="A184" s="3270"/>
      <c r="B184" s="3276"/>
      <c r="C184" s="3271"/>
      <c r="D184" s="3240"/>
      <c r="E184" s="3241"/>
      <c r="F184" s="3241"/>
      <c r="G184" s="3240"/>
      <c r="H184" s="3241"/>
      <c r="I184" s="3241"/>
      <c r="J184" s="3241"/>
      <c r="K184" s="3240"/>
      <c r="L184" s="3241"/>
      <c r="M184" s="3241"/>
      <c r="N184" s="3240">
        <f t="shared" si="5"/>
        <v>0</v>
      </c>
      <c r="O184" s="3239"/>
      <c r="P184" s="3240"/>
      <c r="Q184" s="3241"/>
      <c r="R184" s="3241"/>
      <c r="S184" s="3240"/>
      <c r="T184" s="3241"/>
      <c r="U184" s="3241"/>
      <c r="V184" s="3241"/>
      <c r="W184" s="3240"/>
      <c r="X184" s="3241"/>
      <c r="Y184" s="3241"/>
      <c r="Z184" s="3242">
        <f t="shared" si="6"/>
        <v>0</v>
      </c>
      <c r="AA184" s="3243">
        <f t="shared" si="17"/>
        <v>0</v>
      </c>
      <c r="AB184" s="3242">
        <f t="shared" si="21"/>
        <v>0</v>
      </c>
      <c r="AC184" s="3241"/>
      <c r="AD184" s="3241"/>
      <c r="AE184" s="3242">
        <f t="shared" si="22"/>
        <v>0</v>
      </c>
      <c r="AF184" s="3241"/>
      <c r="AG184" s="3250"/>
      <c r="AH184" s="3241"/>
      <c r="AI184" s="3250"/>
      <c r="AJ184" s="3258"/>
      <c r="AK184" s="3250"/>
      <c r="AL184" s="3241"/>
      <c r="AM184" s="3250"/>
      <c r="AN184" s="3241"/>
      <c r="AO184" s="3250"/>
      <c r="AP184" s="3240">
        <f t="shared" si="23"/>
        <v>0</v>
      </c>
      <c r="AQ184" s="3241"/>
      <c r="AR184" s="3241"/>
      <c r="AS184" s="3242">
        <f t="shared" si="9"/>
        <v>0</v>
      </c>
      <c r="AT184" s="3247"/>
      <c r="AU184" s="3248"/>
      <c r="AV184" s="3248"/>
      <c r="AW184" s="3247"/>
      <c r="AX184" s="3248"/>
      <c r="AY184" s="3248"/>
      <c r="AZ184" s="3247"/>
      <c r="BA184" s="3248"/>
      <c r="BB184" s="3248"/>
      <c r="BC184" s="3247"/>
      <c r="BD184" s="3248"/>
      <c r="BE184" s="3248"/>
      <c r="BF184" s="3248"/>
      <c r="BG184" s="3248"/>
      <c r="BH184" s="3249"/>
      <c r="BI184" s="3249"/>
    </row>
    <row r="185" spans="1:61" ht="13.2" x14ac:dyDescent="0.3">
      <c r="A185" s="3270"/>
      <c r="B185" s="3276"/>
      <c r="C185" s="3271"/>
      <c r="D185" s="3240"/>
      <c r="E185" s="3241"/>
      <c r="F185" s="3241"/>
      <c r="G185" s="3240"/>
      <c r="H185" s="3241"/>
      <c r="I185" s="3241"/>
      <c r="J185" s="3241"/>
      <c r="K185" s="3240"/>
      <c r="L185" s="3241"/>
      <c r="M185" s="3241"/>
      <c r="N185" s="3240">
        <f t="shared" si="5"/>
        <v>0</v>
      </c>
      <c r="O185" s="3239"/>
      <c r="P185" s="3240"/>
      <c r="Q185" s="3241"/>
      <c r="R185" s="3241"/>
      <c r="S185" s="3240"/>
      <c r="T185" s="3241"/>
      <c r="U185" s="3241"/>
      <c r="V185" s="3241"/>
      <c r="W185" s="3240"/>
      <c r="X185" s="3241"/>
      <c r="Y185" s="3241"/>
      <c r="Z185" s="3242">
        <f t="shared" si="6"/>
        <v>0</v>
      </c>
      <c r="AA185" s="3243">
        <f t="shared" ref="AA185:AA234" si="24">AB185+AC185+AD185</f>
        <v>0</v>
      </c>
      <c r="AB185" s="3242">
        <f t="shared" ref="AB185:AB248" si="25">AE185+AP185</f>
        <v>0</v>
      </c>
      <c r="AC185" s="3241"/>
      <c r="AD185" s="3241"/>
      <c r="AE185" s="3242">
        <f t="shared" si="22"/>
        <v>0</v>
      </c>
      <c r="AF185" s="3241"/>
      <c r="AG185" s="3250"/>
      <c r="AH185" s="3241"/>
      <c r="AI185" s="3250"/>
      <c r="AJ185" s="3258"/>
      <c r="AK185" s="3250"/>
      <c r="AL185" s="3241"/>
      <c r="AM185" s="3250"/>
      <c r="AN185" s="3241"/>
      <c r="AO185" s="3250"/>
      <c r="AP185" s="3240">
        <f t="shared" si="23"/>
        <v>0</v>
      </c>
      <c r="AQ185" s="3241"/>
      <c r="AR185" s="3241"/>
      <c r="AS185" s="3242">
        <f t="shared" si="9"/>
        <v>0</v>
      </c>
      <c r="AT185" s="3247"/>
      <c r="AU185" s="3248"/>
      <c r="AV185" s="3248"/>
      <c r="AW185" s="3247"/>
      <c r="AX185" s="3248"/>
      <c r="AY185" s="3248"/>
      <c r="AZ185" s="3247"/>
      <c r="BA185" s="3248"/>
      <c r="BB185" s="3248"/>
      <c r="BC185" s="3247"/>
      <c r="BD185" s="3248"/>
      <c r="BE185" s="3248"/>
      <c r="BF185" s="3248"/>
      <c r="BG185" s="3248"/>
      <c r="BH185" s="3249"/>
      <c r="BI185" s="3249"/>
    </row>
    <row r="186" spans="1:61" ht="13.2" x14ac:dyDescent="0.3">
      <c r="A186" s="3270"/>
      <c r="B186" s="3276"/>
      <c r="C186" s="3271"/>
      <c r="D186" s="3240"/>
      <c r="E186" s="3241"/>
      <c r="F186" s="3241"/>
      <c r="G186" s="3240"/>
      <c r="H186" s="3241"/>
      <c r="I186" s="3241"/>
      <c r="J186" s="3241"/>
      <c r="K186" s="3240"/>
      <c r="L186" s="3241"/>
      <c r="M186" s="3241"/>
      <c r="N186" s="3240">
        <f t="shared" si="5"/>
        <v>0</v>
      </c>
      <c r="O186" s="3239"/>
      <c r="P186" s="3240"/>
      <c r="Q186" s="3241"/>
      <c r="R186" s="3241"/>
      <c r="S186" s="3240"/>
      <c r="T186" s="3241"/>
      <c r="U186" s="3241"/>
      <c r="V186" s="3241"/>
      <c r="W186" s="3240"/>
      <c r="X186" s="3241"/>
      <c r="Y186" s="3241"/>
      <c r="Z186" s="3242">
        <f t="shared" si="6"/>
        <v>0</v>
      </c>
      <c r="AA186" s="3243">
        <f t="shared" si="24"/>
        <v>0</v>
      </c>
      <c r="AB186" s="3242">
        <f t="shared" si="25"/>
        <v>0</v>
      </c>
      <c r="AC186" s="3241"/>
      <c r="AD186" s="3241"/>
      <c r="AE186" s="3242">
        <f t="shared" si="22"/>
        <v>0</v>
      </c>
      <c r="AF186" s="3241"/>
      <c r="AG186" s="3250"/>
      <c r="AH186" s="3241"/>
      <c r="AI186" s="3250"/>
      <c r="AJ186" s="3258"/>
      <c r="AK186" s="3250"/>
      <c r="AL186" s="3241"/>
      <c r="AM186" s="3250"/>
      <c r="AN186" s="3241"/>
      <c r="AO186" s="3250"/>
      <c r="AP186" s="3240">
        <f t="shared" si="23"/>
        <v>0</v>
      </c>
      <c r="AQ186" s="3241"/>
      <c r="AR186" s="3241"/>
      <c r="AS186" s="3242">
        <f t="shared" si="9"/>
        <v>0</v>
      </c>
      <c r="AT186" s="3247"/>
      <c r="AU186" s="3248"/>
      <c r="AV186" s="3248"/>
      <c r="AW186" s="3247"/>
      <c r="AX186" s="3248"/>
      <c r="AY186" s="3248"/>
      <c r="AZ186" s="3247"/>
      <c r="BA186" s="3248"/>
      <c r="BB186" s="3248"/>
      <c r="BC186" s="3247"/>
      <c r="BD186" s="3248"/>
      <c r="BE186" s="3248"/>
      <c r="BF186" s="3248"/>
      <c r="BG186" s="3248"/>
      <c r="BH186" s="3249"/>
      <c r="BI186" s="3249"/>
    </row>
    <row r="187" spans="1:61" ht="16.2" customHeight="1" x14ac:dyDescent="0.3">
      <c r="A187" s="3270"/>
      <c r="B187" s="3276"/>
      <c r="C187" s="3271"/>
      <c r="D187" s="3240"/>
      <c r="E187" s="3241"/>
      <c r="F187" s="3241"/>
      <c r="G187" s="3240"/>
      <c r="H187" s="3241"/>
      <c r="I187" s="3241"/>
      <c r="J187" s="3241"/>
      <c r="K187" s="3240"/>
      <c r="L187" s="3241"/>
      <c r="M187" s="3241"/>
      <c r="N187" s="3240">
        <f t="shared" si="5"/>
        <v>0</v>
      </c>
      <c r="O187" s="3239"/>
      <c r="P187" s="3240"/>
      <c r="Q187" s="3241"/>
      <c r="R187" s="3241"/>
      <c r="S187" s="3240"/>
      <c r="T187" s="3241"/>
      <c r="U187" s="3241"/>
      <c r="V187" s="3241"/>
      <c r="W187" s="3240"/>
      <c r="X187" s="3241"/>
      <c r="Y187" s="3241"/>
      <c r="Z187" s="3242">
        <f t="shared" si="6"/>
        <v>0</v>
      </c>
      <c r="AA187" s="3243">
        <f t="shared" si="24"/>
        <v>0</v>
      </c>
      <c r="AB187" s="3242">
        <f t="shared" si="25"/>
        <v>0</v>
      </c>
      <c r="AC187" s="3241"/>
      <c r="AD187" s="3241"/>
      <c r="AE187" s="3242">
        <f t="shared" si="22"/>
        <v>0</v>
      </c>
      <c r="AF187" s="3241"/>
      <c r="AG187" s="3250"/>
      <c r="AH187" s="3241"/>
      <c r="AI187" s="3250"/>
      <c r="AJ187" s="3258"/>
      <c r="AK187" s="3250"/>
      <c r="AL187" s="3241"/>
      <c r="AM187" s="3250"/>
      <c r="AN187" s="3241"/>
      <c r="AO187" s="3250"/>
      <c r="AP187" s="3240">
        <f t="shared" si="23"/>
        <v>0</v>
      </c>
      <c r="AQ187" s="3241"/>
      <c r="AR187" s="3241"/>
      <c r="AS187" s="3242">
        <f t="shared" si="9"/>
        <v>0</v>
      </c>
      <c r="AT187" s="3247"/>
      <c r="AU187" s="3248"/>
      <c r="AV187" s="3248"/>
      <c r="AW187" s="3247"/>
      <c r="AX187" s="3248"/>
      <c r="AY187" s="3248"/>
      <c r="AZ187" s="3247"/>
      <c r="BA187" s="3248"/>
      <c r="BB187" s="3248"/>
      <c r="BC187" s="3247"/>
      <c r="BD187" s="3248"/>
      <c r="BE187" s="3248"/>
      <c r="BF187" s="3248"/>
      <c r="BG187" s="3248"/>
      <c r="BH187" s="3249"/>
      <c r="BI187" s="3249"/>
    </row>
    <row r="188" spans="1:61" ht="13.2" x14ac:dyDescent="0.3">
      <c r="A188" s="3270"/>
      <c r="B188" s="3276"/>
      <c r="C188" s="3271"/>
      <c r="D188" s="3240"/>
      <c r="E188" s="3241"/>
      <c r="F188" s="3241"/>
      <c r="G188" s="3240"/>
      <c r="H188" s="3241"/>
      <c r="I188" s="3241"/>
      <c r="J188" s="3241"/>
      <c r="K188" s="3240"/>
      <c r="L188" s="3241"/>
      <c r="M188" s="3241"/>
      <c r="N188" s="3240">
        <f t="shared" si="5"/>
        <v>0</v>
      </c>
      <c r="O188" s="3239"/>
      <c r="P188" s="3240"/>
      <c r="Q188" s="3241"/>
      <c r="R188" s="3241"/>
      <c r="S188" s="3240"/>
      <c r="T188" s="3241"/>
      <c r="U188" s="3241"/>
      <c r="V188" s="3241"/>
      <c r="W188" s="3240"/>
      <c r="X188" s="3241"/>
      <c r="Y188" s="3241"/>
      <c r="Z188" s="3242">
        <f t="shared" si="6"/>
        <v>0</v>
      </c>
      <c r="AA188" s="3243">
        <f t="shared" si="24"/>
        <v>0</v>
      </c>
      <c r="AB188" s="3242">
        <f t="shared" si="25"/>
        <v>0</v>
      </c>
      <c r="AC188" s="3241"/>
      <c r="AD188" s="3241"/>
      <c r="AE188" s="3242">
        <f t="shared" ref="AE188:AE251" si="26">AF188+AH188+AJ188+AL188+AN188</f>
        <v>0</v>
      </c>
      <c r="AF188" s="3241"/>
      <c r="AG188" s="3250"/>
      <c r="AH188" s="3241"/>
      <c r="AI188" s="3250"/>
      <c r="AJ188" s="3258"/>
      <c r="AK188" s="3250"/>
      <c r="AL188" s="3241"/>
      <c r="AM188" s="3250"/>
      <c r="AN188" s="3241"/>
      <c r="AO188" s="3250"/>
      <c r="AP188" s="3240">
        <f t="shared" si="23"/>
        <v>0</v>
      </c>
      <c r="AQ188" s="3241"/>
      <c r="AR188" s="3241"/>
      <c r="AS188" s="3242">
        <f t="shared" si="9"/>
        <v>0</v>
      </c>
      <c r="AT188" s="3247"/>
      <c r="AU188" s="3248"/>
      <c r="AV188" s="3248"/>
      <c r="AW188" s="3247"/>
      <c r="AX188" s="3248"/>
      <c r="AY188" s="3248"/>
      <c r="AZ188" s="3247"/>
      <c r="BA188" s="3248"/>
      <c r="BB188" s="3248"/>
      <c r="BC188" s="3247"/>
      <c r="BD188" s="3248"/>
      <c r="BE188" s="3248"/>
      <c r="BF188" s="3248"/>
      <c r="BG188" s="3248"/>
      <c r="BH188" s="3249"/>
      <c r="BI188" s="3249"/>
    </row>
    <row r="189" spans="1:61" ht="13.2" x14ac:dyDescent="0.3">
      <c r="A189" s="3270"/>
      <c r="B189" s="3276"/>
      <c r="C189" s="3271"/>
      <c r="D189" s="3240"/>
      <c r="E189" s="3241"/>
      <c r="F189" s="3241"/>
      <c r="G189" s="3240"/>
      <c r="H189" s="3241"/>
      <c r="I189" s="3241"/>
      <c r="J189" s="3241"/>
      <c r="K189" s="3240"/>
      <c r="L189" s="3241"/>
      <c r="M189" s="3241"/>
      <c r="N189" s="3240">
        <f t="shared" si="5"/>
        <v>0</v>
      </c>
      <c r="O189" s="3239"/>
      <c r="P189" s="3240"/>
      <c r="Q189" s="3241"/>
      <c r="R189" s="3241"/>
      <c r="S189" s="3240"/>
      <c r="T189" s="3241"/>
      <c r="U189" s="3241"/>
      <c r="V189" s="3241"/>
      <c r="W189" s="3240"/>
      <c r="X189" s="3241"/>
      <c r="Y189" s="3241"/>
      <c r="Z189" s="3242">
        <f t="shared" si="6"/>
        <v>0</v>
      </c>
      <c r="AA189" s="3243">
        <f t="shared" si="24"/>
        <v>0</v>
      </c>
      <c r="AB189" s="3242">
        <f t="shared" si="25"/>
        <v>0</v>
      </c>
      <c r="AC189" s="3241"/>
      <c r="AD189" s="3241"/>
      <c r="AE189" s="3242">
        <f t="shared" si="26"/>
        <v>0</v>
      </c>
      <c r="AF189" s="3241"/>
      <c r="AG189" s="3250"/>
      <c r="AH189" s="3241"/>
      <c r="AI189" s="3250"/>
      <c r="AJ189" s="3258"/>
      <c r="AK189" s="3250"/>
      <c r="AL189" s="3241"/>
      <c r="AM189" s="3250"/>
      <c r="AN189" s="3241"/>
      <c r="AO189" s="3250"/>
      <c r="AP189" s="3240">
        <f t="shared" si="23"/>
        <v>0</v>
      </c>
      <c r="AQ189" s="3241"/>
      <c r="AR189" s="3241"/>
      <c r="AS189" s="3242">
        <f t="shared" si="9"/>
        <v>0</v>
      </c>
      <c r="AT189" s="3247"/>
      <c r="AU189" s="3248"/>
      <c r="AV189" s="3248"/>
      <c r="AW189" s="3247"/>
      <c r="AX189" s="3248"/>
      <c r="AY189" s="3248"/>
      <c r="AZ189" s="3247"/>
      <c r="BA189" s="3248"/>
      <c r="BB189" s="3248"/>
      <c r="BC189" s="3247"/>
      <c r="BD189" s="3248"/>
      <c r="BE189" s="3248"/>
      <c r="BF189" s="3248"/>
      <c r="BG189" s="3248"/>
      <c r="BH189" s="3249"/>
      <c r="BI189" s="3249"/>
    </row>
    <row r="190" spans="1:61" ht="13.2" x14ac:dyDescent="0.3">
      <c r="A190" s="3270"/>
      <c r="B190" s="3276"/>
      <c r="C190" s="3271"/>
      <c r="D190" s="3240"/>
      <c r="E190" s="3241"/>
      <c r="F190" s="3241"/>
      <c r="G190" s="3240"/>
      <c r="H190" s="3241"/>
      <c r="I190" s="3241"/>
      <c r="J190" s="3241"/>
      <c r="K190" s="3240"/>
      <c r="L190" s="3241"/>
      <c r="M190" s="3241"/>
      <c r="N190" s="3240">
        <f t="shared" si="5"/>
        <v>0</v>
      </c>
      <c r="O190" s="3239"/>
      <c r="P190" s="3240"/>
      <c r="Q190" s="3241"/>
      <c r="R190" s="3241"/>
      <c r="S190" s="3240"/>
      <c r="T190" s="3241"/>
      <c r="U190" s="3241"/>
      <c r="V190" s="3241"/>
      <c r="W190" s="3240"/>
      <c r="X190" s="3241"/>
      <c r="Y190" s="3241"/>
      <c r="Z190" s="3242">
        <f t="shared" si="6"/>
        <v>0</v>
      </c>
      <c r="AA190" s="3243">
        <f t="shared" si="24"/>
        <v>0</v>
      </c>
      <c r="AB190" s="3242">
        <f t="shared" si="25"/>
        <v>0</v>
      </c>
      <c r="AC190" s="3241"/>
      <c r="AD190" s="3241"/>
      <c r="AE190" s="3242">
        <f t="shared" si="26"/>
        <v>0</v>
      </c>
      <c r="AF190" s="3241"/>
      <c r="AG190" s="3250"/>
      <c r="AH190" s="3241"/>
      <c r="AI190" s="3250"/>
      <c r="AJ190" s="3258"/>
      <c r="AK190" s="3250"/>
      <c r="AL190" s="3241"/>
      <c r="AM190" s="3250"/>
      <c r="AN190" s="3241"/>
      <c r="AO190" s="3250"/>
      <c r="AP190" s="3240">
        <f t="shared" si="23"/>
        <v>0</v>
      </c>
      <c r="AQ190" s="3241"/>
      <c r="AR190" s="3241"/>
      <c r="AS190" s="3242">
        <f t="shared" si="9"/>
        <v>0</v>
      </c>
      <c r="AT190" s="3247"/>
      <c r="AU190" s="3248"/>
      <c r="AV190" s="3248"/>
      <c r="AW190" s="3247"/>
      <c r="AX190" s="3248"/>
      <c r="AY190" s="3248"/>
      <c r="AZ190" s="3247"/>
      <c r="BA190" s="3248"/>
      <c r="BB190" s="3248"/>
      <c r="BC190" s="3247"/>
      <c r="BD190" s="3248"/>
      <c r="BE190" s="3248"/>
      <c r="BF190" s="3248"/>
      <c r="BG190" s="3248"/>
      <c r="BH190" s="3249"/>
      <c r="BI190" s="3249"/>
    </row>
    <row r="191" spans="1:61" ht="13.2" x14ac:dyDescent="0.3">
      <c r="A191" s="3270"/>
      <c r="B191" s="3276"/>
      <c r="C191" s="3271"/>
      <c r="D191" s="3240"/>
      <c r="E191" s="3241"/>
      <c r="F191" s="3241"/>
      <c r="G191" s="3240"/>
      <c r="H191" s="3241"/>
      <c r="I191" s="3241"/>
      <c r="J191" s="3241"/>
      <c r="K191" s="3240"/>
      <c r="L191" s="3241"/>
      <c r="M191" s="3241"/>
      <c r="N191" s="3240">
        <f t="shared" si="5"/>
        <v>0</v>
      </c>
      <c r="O191" s="3239"/>
      <c r="P191" s="3240"/>
      <c r="Q191" s="3241"/>
      <c r="R191" s="3241"/>
      <c r="S191" s="3240"/>
      <c r="T191" s="3241"/>
      <c r="U191" s="3241"/>
      <c r="V191" s="3241"/>
      <c r="W191" s="3240"/>
      <c r="X191" s="3241"/>
      <c r="Y191" s="3241"/>
      <c r="Z191" s="3242">
        <f t="shared" si="6"/>
        <v>0</v>
      </c>
      <c r="AA191" s="3243">
        <f t="shared" si="24"/>
        <v>0</v>
      </c>
      <c r="AB191" s="3242">
        <f t="shared" si="25"/>
        <v>0</v>
      </c>
      <c r="AC191" s="3241"/>
      <c r="AD191" s="3241"/>
      <c r="AE191" s="3242">
        <f t="shared" si="26"/>
        <v>0</v>
      </c>
      <c r="AF191" s="3241"/>
      <c r="AG191" s="3250"/>
      <c r="AH191" s="3241"/>
      <c r="AI191" s="3250"/>
      <c r="AJ191" s="3258"/>
      <c r="AK191" s="3250"/>
      <c r="AL191" s="3241"/>
      <c r="AM191" s="3250"/>
      <c r="AN191" s="3241"/>
      <c r="AO191" s="3250"/>
      <c r="AP191" s="3240">
        <f t="shared" si="23"/>
        <v>0</v>
      </c>
      <c r="AQ191" s="3241"/>
      <c r="AR191" s="3241"/>
      <c r="AS191" s="3242">
        <f t="shared" si="9"/>
        <v>0</v>
      </c>
      <c r="AT191" s="3247"/>
      <c r="AU191" s="3248"/>
      <c r="AV191" s="3248"/>
      <c r="AW191" s="3247"/>
      <c r="AX191" s="3248"/>
      <c r="AY191" s="3248"/>
      <c r="AZ191" s="3247"/>
      <c r="BA191" s="3248"/>
      <c r="BB191" s="3248"/>
      <c r="BC191" s="3247"/>
      <c r="BD191" s="3248"/>
      <c r="BE191" s="3248"/>
      <c r="BF191" s="3248"/>
      <c r="BG191" s="3248"/>
      <c r="BH191" s="3249"/>
      <c r="BI191" s="3249"/>
    </row>
    <row r="192" spans="1:61" ht="13.2" x14ac:dyDescent="0.3">
      <c r="A192" s="3270"/>
      <c r="B192" s="3276"/>
      <c r="C192" s="3271"/>
      <c r="D192" s="3240"/>
      <c r="E192" s="3241"/>
      <c r="F192" s="3241"/>
      <c r="G192" s="3240"/>
      <c r="H192" s="3241"/>
      <c r="I192" s="3241"/>
      <c r="J192" s="3241"/>
      <c r="K192" s="3240"/>
      <c r="L192" s="3241"/>
      <c r="M192" s="3241"/>
      <c r="N192" s="3240">
        <f t="shared" si="5"/>
        <v>0</v>
      </c>
      <c r="O192" s="3239"/>
      <c r="P192" s="3240"/>
      <c r="Q192" s="3241"/>
      <c r="R192" s="3241"/>
      <c r="S192" s="3240"/>
      <c r="T192" s="3241"/>
      <c r="U192" s="3241"/>
      <c r="V192" s="3241"/>
      <c r="W192" s="3240"/>
      <c r="X192" s="3241"/>
      <c r="Y192" s="3241"/>
      <c r="Z192" s="3242">
        <f t="shared" si="6"/>
        <v>0</v>
      </c>
      <c r="AA192" s="3243">
        <f t="shared" si="24"/>
        <v>0</v>
      </c>
      <c r="AB192" s="3242">
        <f t="shared" si="25"/>
        <v>0</v>
      </c>
      <c r="AC192" s="3241"/>
      <c r="AD192" s="3241"/>
      <c r="AE192" s="3242">
        <f t="shared" si="26"/>
        <v>0</v>
      </c>
      <c r="AF192" s="3241"/>
      <c r="AG192" s="3250"/>
      <c r="AH192" s="3241"/>
      <c r="AI192" s="3250"/>
      <c r="AJ192" s="3258"/>
      <c r="AK192" s="3250"/>
      <c r="AL192" s="3241"/>
      <c r="AM192" s="3250"/>
      <c r="AN192" s="3241"/>
      <c r="AO192" s="3250"/>
      <c r="AP192" s="3240">
        <f t="shared" si="23"/>
        <v>0</v>
      </c>
      <c r="AQ192" s="3241"/>
      <c r="AR192" s="3241"/>
      <c r="AS192" s="3242">
        <f t="shared" si="9"/>
        <v>0</v>
      </c>
      <c r="AT192" s="3247"/>
      <c r="AU192" s="3248"/>
      <c r="AV192" s="3248"/>
      <c r="AW192" s="3247"/>
      <c r="AX192" s="3248"/>
      <c r="AY192" s="3248"/>
      <c r="AZ192" s="3247"/>
      <c r="BA192" s="3248"/>
      <c r="BB192" s="3248"/>
      <c r="BC192" s="3247"/>
      <c r="BD192" s="3248"/>
      <c r="BE192" s="3248"/>
      <c r="BF192" s="3248"/>
      <c r="BG192" s="3248"/>
      <c r="BH192" s="3249"/>
      <c r="BI192" s="3249"/>
    </row>
    <row r="193" spans="1:61" ht="13.2" x14ac:dyDescent="0.3">
      <c r="A193" s="3270"/>
      <c r="B193" s="3276"/>
      <c r="C193" s="3271"/>
      <c r="D193" s="3240"/>
      <c r="E193" s="3241"/>
      <c r="F193" s="3241"/>
      <c r="G193" s="3240"/>
      <c r="H193" s="3241"/>
      <c r="I193" s="3241"/>
      <c r="J193" s="3241"/>
      <c r="K193" s="3240"/>
      <c r="L193" s="3241"/>
      <c r="M193" s="3241"/>
      <c r="N193" s="3240">
        <f t="shared" si="5"/>
        <v>0</v>
      </c>
      <c r="O193" s="3239"/>
      <c r="P193" s="3240"/>
      <c r="Q193" s="3241"/>
      <c r="R193" s="3241"/>
      <c r="S193" s="3240"/>
      <c r="T193" s="3241"/>
      <c r="U193" s="3241"/>
      <c r="V193" s="3241"/>
      <c r="W193" s="3240"/>
      <c r="X193" s="3241"/>
      <c r="Y193" s="3241"/>
      <c r="Z193" s="3242">
        <f t="shared" si="6"/>
        <v>0</v>
      </c>
      <c r="AA193" s="3243">
        <f t="shared" si="24"/>
        <v>0</v>
      </c>
      <c r="AB193" s="3242">
        <f t="shared" si="25"/>
        <v>0</v>
      </c>
      <c r="AC193" s="3241"/>
      <c r="AD193" s="3241"/>
      <c r="AE193" s="3242">
        <f t="shared" si="26"/>
        <v>0</v>
      </c>
      <c r="AF193" s="3241"/>
      <c r="AG193" s="3250"/>
      <c r="AH193" s="3241"/>
      <c r="AI193" s="3250"/>
      <c r="AJ193" s="3258"/>
      <c r="AK193" s="3250"/>
      <c r="AL193" s="3241"/>
      <c r="AM193" s="3250"/>
      <c r="AN193" s="3241"/>
      <c r="AO193" s="3250"/>
      <c r="AP193" s="3240">
        <f t="shared" si="23"/>
        <v>0</v>
      </c>
      <c r="AQ193" s="3241"/>
      <c r="AR193" s="3241"/>
      <c r="AS193" s="3242">
        <f t="shared" si="9"/>
        <v>0</v>
      </c>
      <c r="AT193" s="3247"/>
      <c r="AU193" s="3248"/>
      <c r="AV193" s="3248"/>
      <c r="AW193" s="3247"/>
      <c r="AX193" s="3248"/>
      <c r="AY193" s="3248"/>
      <c r="AZ193" s="3247"/>
      <c r="BA193" s="3248"/>
      <c r="BB193" s="3248"/>
      <c r="BC193" s="3247"/>
      <c r="BD193" s="3248"/>
      <c r="BE193" s="3248"/>
      <c r="BF193" s="3248"/>
      <c r="BG193" s="3248"/>
      <c r="BH193" s="3249"/>
      <c r="BI193" s="3249"/>
    </row>
    <row r="194" spans="1:61" ht="13.2" x14ac:dyDescent="0.3">
      <c r="A194" s="3270"/>
      <c r="B194" s="3276"/>
      <c r="C194" s="3271"/>
      <c r="D194" s="3240"/>
      <c r="E194" s="3241"/>
      <c r="F194" s="3241"/>
      <c r="G194" s="3240"/>
      <c r="H194" s="3241"/>
      <c r="I194" s="3241"/>
      <c r="J194" s="3241"/>
      <c r="K194" s="3240"/>
      <c r="L194" s="3241"/>
      <c r="M194" s="3241"/>
      <c r="N194" s="3240">
        <f t="shared" si="5"/>
        <v>0</v>
      </c>
      <c r="O194" s="3239"/>
      <c r="P194" s="3240"/>
      <c r="Q194" s="3241"/>
      <c r="R194" s="3241"/>
      <c r="S194" s="3240"/>
      <c r="T194" s="3241"/>
      <c r="U194" s="3241"/>
      <c r="V194" s="3241"/>
      <c r="W194" s="3240"/>
      <c r="X194" s="3241"/>
      <c r="Y194" s="3241"/>
      <c r="Z194" s="3242">
        <f t="shared" si="6"/>
        <v>0</v>
      </c>
      <c r="AA194" s="3243">
        <f t="shared" si="24"/>
        <v>0</v>
      </c>
      <c r="AB194" s="3242">
        <f t="shared" si="25"/>
        <v>0</v>
      </c>
      <c r="AC194" s="3241"/>
      <c r="AD194" s="3241"/>
      <c r="AE194" s="3242">
        <f t="shared" si="26"/>
        <v>0</v>
      </c>
      <c r="AF194" s="3241"/>
      <c r="AG194" s="3250"/>
      <c r="AH194" s="3241"/>
      <c r="AI194" s="3250"/>
      <c r="AJ194" s="3258"/>
      <c r="AK194" s="3250"/>
      <c r="AL194" s="3241"/>
      <c r="AM194" s="3250"/>
      <c r="AN194" s="3241"/>
      <c r="AO194" s="3250"/>
      <c r="AP194" s="3240">
        <f t="shared" si="23"/>
        <v>0</v>
      </c>
      <c r="AQ194" s="3241"/>
      <c r="AR194" s="3241"/>
      <c r="AS194" s="3242">
        <f t="shared" si="9"/>
        <v>0</v>
      </c>
      <c r="AT194" s="3247"/>
      <c r="AU194" s="3248"/>
      <c r="AV194" s="3248"/>
      <c r="AW194" s="3247"/>
      <c r="AX194" s="3248"/>
      <c r="AY194" s="3248"/>
      <c r="AZ194" s="3247"/>
      <c r="BA194" s="3248"/>
      <c r="BB194" s="3248"/>
      <c r="BC194" s="3247"/>
      <c r="BD194" s="3248"/>
      <c r="BE194" s="3248"/>
      <c r="BF194" s="3248"/>
      <c r="BG194" s="3248"/>
      <c r="BH194" s="3249"/>
      <c r="BI194" s="3249"/>
    </row>
    <row r="195" spans="1:61" ht="13.2" x14ac:dyDescent="0.3">
      <c r="A195" s="3270"/>
      <c r="B195" s="3276"/>
      <c r="C195" s="3271"/>
      <c r="D195" s="3240"/>
      <c r="E195" s="3241"/>
      <c r="F195" s="3241"/>
      <c r="G195" s="3240"/>
      <c r="H195" s="3241"/>
      <c r="I195" s="3241"/>
      <c r="J195" s="3241"/>
      <c r="K195" s="3240"/>
      <c r="L195" s="3241"/>
      <c r="M195" s="3241"/>
      <c r="N195" s="3240">
        <f t="shared" si="5"/>
        <v>0</v>
      </c>
      <c r="O195" s="3239"/>
      <c r="P195" s="3240"/>
      <c r="Q195" s="3241"/>
      <c r="R195" s="3241"/>
      <c r="S195" s="3240"/>
      <c r="T195" s="3241"/>
      <c r="U195" s="3241"/>
      <c r="V195" s="3241"/>
      <c r="W195" s="3240"/>
      <c r="X195" s="3241"/>
      <c r="Y195" s="3241"/>
      <c r="Z195" s="3242">
        <f t="shared" si="6"/>
        <v>0</v>
      </c>
      <c r="AA195" s="3243">
        <f t="shared" si="24"/>
        <v>0</v>
      </c>
      <c r="AB195" s="3242">
        <f t="shared" si="25"/>
        <v>0</v>
      </c>
      <c r="AC195" s="3241"/>
      <c r="AD195" s="3241"/>
      <c r="AE195" s="3242">
        <f t="shared" si="26"/>
        <v>0</v>
      </c>
      <c r="AF195" s="3241"/>
      <c r="AG195" s="3250"/>
      <c r="AH195" s="3241"/>
      <c r="AI195" s="3250"/>
      <c r="AJ195" s="3258"/>
      <c r="AK195" s="3250"/>
      <c r="AL195" s="3241"/>
      <c r="AM195" s="3250"/>
      <c r="AN195" s="3241"/>
      <c r="AO195" s="3250"/>
      <c r="AP195" s="3240">
        <f t="shared" si="23"/>
        <v>0</v>
      </c>
      <c r="AQ195" s="3241"/>
      <c r="AR195" s="3241"/>
      <c r="AS195" s="3242">
        <f t="shared" si="9"/>
        <v>0</v>
      </c>
      <c r="AT195" s="3247"/>
      <c r="AU195" s="3248"/>
      <c r="AV195" s="3248"/>
      <c r="AW195" s="3247"/>
      <c r="AX195" s="3248"/>
      <c r="AY195" s="3248"/>
      <c r="AZ195" s="3247"/>
      <c r="BA195" s="3248"/>
      <c r="BB195" s="3248"/>
      <c r="BC195" s="3247"/>
      <c r="BD195" s="3248"/>
      <c r="BE195" s="3248"/>
      <c r="BF195" s="3248"/>
      <c r="BG195" s="3248"/>
      <c r="BH195" s="3249"/>
      <c r="BI195" s="3249"/>
    </row>
    <row r="196" spans="1:61" ht="13.2" x14ac:dyDescent="0.3">
      <c r="A196" s="3270"/>
      <c r="B196" s="3276"/>
      <c r="C196" s="3271"/>
      <c r="D196" s="3240"/>
      <c r="E196" s="3241"/>
      <c r="F196" s="3241"/>
      <c r="G196" s="3240"/>
      <c r="H196" s="3241"/>
      <c r="I196" s="3241"/>
      <c r="J196" s="3241"/>
      <c r="K196" s="3240"/>
      <c r="L196" s="3241"/>
      <c r="M196" s="3241"/>
      <c r="N196" s="3240">
        <f t="shared" si="5"/>
        <v>0</v>
      </c>
      <c r="O196" s="3239"/>
      <c r="P196" s="3240"/>
      <c r="Q196" s="3241"/>
      <c r="R196" s="3241"/>
      <c r="S196" s="3240"/>
      <c r="T196" s="3241"/>
      <c r="U196" s="3241"/>
      <c r="V196" s="3241"/>
      <c r="W196" s="3240"/>
      <c r="X196" s="3241"/>
      <c r="Y196" s="3241"/>
      <c r="Z196" s="3242">
        <f t="shared" si="6"/>
        <v>0</v>
      </c>
      <c r="AA196" s="3243">
        <f t="shared" si="24"/>
        <v>0</v>
      </c>
      <c r="AB196" s="3242">
        <f t="shared" si="25"/>
        <v>0</v>
      </c>
      <c r="AC196" s="3241"/>
      <c r="AD196" s="3241"/>
      <c r="AE196" s="3242">
        <f t="shared" si="26"/>
        <v>0</v>
      </c>
      <c r="AF196" s="3241"/>
      <c r="AG196" s="3250"/>
      <c r="AH196" s="3241"/>
      <c r="AI196" s="3250"/>
      <c r="AJ196" s="3258"/>
      <c r="AK196" s="3250"/>
      <c r="AL196" s="3241"/>
      <c r="AM196" s="3250"/>
      <c r="AN196" s="3241"/>
      <c r="AO196" s="3250"/>
      <c r="AP196" s="3240">
        <f t="shared" si="23"/>
        <v>0</v>
      </c>
      <c r="AQ196" s="3241"/>
      <c r="AR196" s="3241"/>
      <c r="AS196" s="3242">
        <f t="shared" si="9"/>
        <v>0</v>
      </c>
      <c r="AT196" s="3247"/>
      <c r="AU196" s="3248"/>
      <c r="AV196" s="3248"/>
      <c r="AW196" s="3247"/>
      <c r="AX196" s="3248"/>
      <c r="AY196" s="3248"/>
      <c r="AZ196" s="3247"/>
      <c r="BA196" s="3248"/>
      <c r="BB196" s="3248"/>
      <c r="BC196" s="3247"/>
      <c r="BD196" s="3248"/>
      <c r="BE196" s="3248"/>
      <c r="BF196" s="3248"/>
      <c r="BG196" s="3248"/>
      <c r="BH196" s="3249"/>
      <c r="BI196" s="3249"/>
    </row>
    <row r="197" spans="1:61" ht="13.2" x14ac:dyDescent="0.3">
      <c r="A197" s="3270"/>
      <c r="B197" s="3275"/>
      <c r="C197" s="3271"/>
      <c r="D197" s="3240"/>
      <c r="E197" s="3241"/>
      <c r="F197" s="3241"/>
      <c r="G197" s="3240"/>
      <c r="H197" s="3241"/>
      <c r="I197" s="3241"/>
      <c r="J197" s="3241"/>
      <c r="K197" s="3240"/>
      <c r="L197" s="3241"/>
      <c r="M197" s="3241"/>
      <c r="N197" s="3240">
        <f t="shared" si="5"/>
        <v>0</v>
      </c>
      <c r="O197" s="3239"/>
      <c r="P197" s="3240"/>
      <c r="Q197" s="3241"/>
      <c r="R197" s="3241"/>
      <c r="S197" s="3240"/>
      <c r="T197" s="3241"/>
      <c r="U197" s="3241"/>
      <c r="V197" s="3241"/>
      <c r="W197" s="3240"/>
      <c r="X197" s="3241"/>
      <c r="Y197" s="3241"/>
      <c r="Z197" s="3242">
        <f t="shared" si="6"/>
        <v>0</v>
      </c>
      <c r="AA197" s="3243">
        <f t="shared" si="24"/>
        <v>0</v>
      </c>
      <c r="AB197" s="3242">
        <f t="shared" si="25"/>
        <v>0</v>
      </c>
      <c r="AC197" s="3241"/>
      <c r="AD197" s="3241"/>
      <c r="AE197" s="3242">
        <f t="shared" si="26"/>
        <v>0</v>
      </c>
      <c r="AF197" s="3241"/>
      <c r="AG197" s="3250"/>
      <c r="AH197" s="3241"/>
      <c r="AI197" s="3250"/>
      <c r="AJ197" s="3258"/>
      <c r="AK197" s="3250"/>
      <c r="AL197" s="3241"/>
      <c r="AM197" s="3250"/>
      <c r="AN197" s="3241"/>
      <c r="AO197" s="3250"/>
      <c r="AP197" s="3240">
        <f t="shared" si="23"/>
        <v>0</v>
      </c>
      <c r="AQ197" s="3241"/>
      <c r="AR197" s="3241"/>
      <c r="AS197" s="3242">
        <f t="shared" si="9"/>
        <v>0</v>
      </c>
      <c r="AT197" s="3247"/>
      <c r="AU197" s="3248"/>
      <c r="AV197" s="3248"/>
      <c r="AW197" s="3247"/>
      <c r="AX197" s="3248"/>
      <c r="AY197" s="3248"/>
      <c r="AZ197" s="3247"/>
      <c r="BA197" s="3248"/>
      <c r="BB197" s="3248"/>
      <c r="BC197" s="3247"/>
      <c r="BD197" s="3248"/>
      <c r="BE197" s="3248"/>
      <c r="BF197" s="3248"/>
      <c r="BG197" s="3248"/>
      <c r="BH197" s="3249"/>
      <c r="BI197" s="3249"/>
    </row>
    <row r="198" spans="1:61" ht="13.2" x14ac:dyDescent="0.25">
      <c r="A198" s="3270"/>
      <c r="B198" s="3272"/>
      <c r="C198" s="3271"/>
      <c r="D198" s="3240"/>
      <c r="E198" s="3241"/>
      <c r="F198" s="3241"/>
      <c r="G198" s="3240"/>
      <c r="H198" s="3241"/>
      <c r="I198" s="3241"/>
      <c r="J198" s="3241"/>
      <c r="K198" s="3240"/>
      <c r="L198" s="3241"/>
      <c r="M198" s="3241"/>
      <c r="N198" s="3240">
        <f t="shared" si="5"/>
        <v>0</v>
      </c>
      <c r="O198" s="3239"/>
      <c r="P198" s="3240"/>
      <c r="Q198" s="3241"/>
      <c r="R198" s="3241"/>
      <c r="S198" s="3240"/>
      <c r="T198" s="3241"/>
      <c r="U198" s="3241"/>
      <c r="V198" s="3241"/>
      <c r="W198" s="3240"/>
      <c r="X198" s="3241"/>
      <c r="Y198" s="3241"/>
      <c r="Z198" s="3242">
        <f t="shared" si="6"/>
        <v>0</v>
      </c>
      <c r="AA198" s="3243">
        <f t="shared" si="24"/>
        <v>0</v>
      </c>
      <c r="AB198" s="3242">
        <f t="shared" si="25"/>
        <v>0</v>
      </c>
      <c r="AC198" s="3241"/>
      <c r="AD198" s="3241"/>
      <c r="AE198" s="3242">
        <f t="shared" si="26"/>
        <v>0</v>
      </c>
      <c r="AF198" s="3241"/>
      <c r="AG198" s="3250"/>
      <c r="AH198" s="3241"/>
      <c r="AI198" s="3250"/>
      <c r="AJ198" s="3258"/>
      <c r="AK198" s="3250"/>
      <c r="AL198" s="3241"/>
      <c r="AM198" s="3250"/>
      <c r="AN198" s="3241"/>
      <c r="AO198" s="3250"/>
      <c r="AP198" s="3240">
        <f t="shared" si="23"/>
        <v>0</v>
      </c>
      <c r="AQ198" s="3241"/>
      <c r="AR198" s="3241"/>
      <c r="AS198" s="3242">
        <f t="shared" si="9"/>
        <v>0</v>
      </c>
      <c r="AT198" s="3247"/>
      <c r="AU198" s="3248"/>
      <c r="AV198" s="3248"/>
      <c r="AW198" s="3247"/>
      <c r="AX198" s="3248"/>
      <c r="AY198" s="3248"/>
      <c r="AZ198" s="3247"/>
      <c r="BA198" s="3248"/>
      <c r="BB198" s="3248"/>
      <c r="BC198" s="3247"/>
      <c r="BD198" s="3248"/>
      <c r="BE198" s="3248"/>
      <c r="BF198" s="3248"/>
      <c r="BG198" s="3248"/>
      <c r="BH198" s="3249"/>
      <c r="BI198" s="3249"/>
    </row>
    <row r="199" spans="1:61" ht="12.6" customHeight="1" x14ac:dyDescent="0.25">
      <c r="A199" s="3270"/>
      <c r="B199" s="3279"/>
      <c r="C199" s="3271"/>
      <c r="D199" s="3240"/>
      <c r="E199" s="3241"/>
      <c r="F199" s="3241"/>
      <c r="G199" s="3240"/>
      <c r="H199" s="3241"/>
      <c r="I199" s="3241"/>
      <c r="J199" s="3241"/>
      <c r="K199" s="3240"/>
      <c r="L199" s="3241"/>
      <c r="M199" s="3241"/>
      <c r="N199" s="3240">
        <f t="shared" si="5"/>
        <v>0</v>
      </c>
      <c r="O199" s="3239"/>
      <c r="P199" s="3240"/>
      <c r="Q199" s="3241"/>
      <c r="R199" s="3241"/>
      <c r="S199" s="3240"/>
      <c r="T199" s="3241"/>
      <c r="U199" s="3241"/>
      <c r="V199" s="3241"/>
      <c r="W199" s="3240"/>
      <c r="X199" s="3241"/>
      <c r="Y199" s="3241"/>
      <c r="Z199" s="3242">
        <f t="shared" si="6"/>
        <v>0</v>
      </c>
      <c r="AA199" s="3243">
        <f t="shared" si="24"/>
        <v>0</v>
      </c>
      <c r="AB199" s="3242">
        <f t="shared" si="25"/>
        <v>0</v>
      </c>
      <c r="AC199" s="3241"/>
      <c r="AD199" s="3241"/>
      <c r="AE199" s="3242">
        <f t="shared" si="26"/>
        <v>0</v>
      </c>
      <c r="AF199" s="3241"/>
      <c r="AG199" s="3250"/>
      <c r="AH199" s="3241"/>
      <c r="AI199" s="3250"/>
      <c r="AJ199" s="3258"/>
      <c r="AK199" s="3250"/>
      <c r="AL199" s="3241"/>
      <c r="AM199" s="3250"/>
      <c r="AN199" s="3241"/>
      <c r="AO199" s="3250"/>
      <c r="AP199" s="3240">
        <f t="shared" si="23"/>
        <v>0</v>
      </c>
      <c r="AQ199" s="3241"/>
      <c r="AR199" s="3241"/>
      <c r="AS199" s="3242">
        <f t="shared" si="9"/>
        <v>0</v>
      </c>
      <c r="AT199" s="3247"/>
      <c r="AU199" s="3248"/>
      <c r="AV199" s="3248"/>
      <c r="AW199" s="3247"/>
      <c r="AX199" s="3248"/>
      <c r="AY199" s="3248"/>
      <c r="AZ199" s="3247"/>
      <c r="BA199" s="3248"/>
      <c r="BB199" s="3248"/>
      <c r="BC199" s="3247"/>
      <c r="BD199" s="3248"/>
      <c r="BE199" s="3248"/>
      <c r="BF199" s="3248"/>
      <c r="BG199" s="3248"/>
      <c r="BH199" s="3249"/>
      <c r="BI199" s="3249"/>
    </row>
    <row r="200" spans="1:61" ht="13.2" x14ac:dyDescent="0.25">
      <c r="A200" s="3270"/>
      <c r="B200" s="3273"/>
      <c r="C200" s="3271"/>
      <c r="D200" s="3240"/>
      <c r="E200" s="3241"/>
      <c r="F200" s="3241"/>
      <c r="G200" s="3240"/>
      <c r="H200" s="3241"/>
      <c r="I200" s="3241"/>
      <c r="J200" s="3241"/>
      <c r="K200" s="3240"/>
      <c r="L200" s="3241"/>
      <c r="M200" s="3241"/>
      <c r="N200" s="3240">
        <f t="shared" si="5"/>
        <v>0</v>
      </c>
      <c r="O200" s="3239"/>
      <c r="P200" s="3240"/>
      <c r="Q200" s="3241"/>
      <c r="R200" s="3241"/>
      <c r="S200" s="3240"/>
      <c r="T200" s="3241"/>
      <c r="U200" s="3241"/>
      <c r="V200" s="3241"/>
      <c r="W200" s="3240"/>
      <c r="X200" s="3241"/>
      <c r="Y200" s="3241"/>
      <c r="Z200" s="3242">
        <f t="shared" si="6"/>
        <v>0</v>
      </c>
      <c r="AA200" s="3243">
        <f t="shared" si="24"/>
        <v>0</v>
      </c>
      <c r="AB200" s="3242">
        <f t="shared" si="25"/>
        <v>0</v>
      </c>
      <c r="AC200" s="3241"/>
      <c r="AD200" s="3241"/>
      <c r="AE200" s="3242">
        <f t="shared" si="26"/>
        <v>0</v>
      </c>
      <c r="AF200" s="3241"/>
      <c r="AG200" s="3250"/>
      <c r="AH200" s="3241"/>
      <c r="AI200" s="3250"/>
      <c r="AJ200" s="3258"/>
      <c r="AK200" s="3250"/>
      <c r="AL200" s="3241"/>
      <c r="AM200" s="3250"/>
      <c r="AN200" s="3241"/>
      <c r="AO200" s="3250"/>
      <c r="AP200" s="3240">
        <f t="shared" si="23"/>
        <v>0</v>
      </c>
      <c r="AQ200" s="3241"/>
      <c r="AR200" s="3241"/>
      <c r="AS200" s="3242">
        <f t="shared" si="9"/>
        <v>0</v>
      </c>
      <c r="AT200" s="3247"/>
      <c r="AU200" s="3248"/>
      <c r="AV200" s="3248"/>
      <c r="AW200" s="3247"/>
      <c r="AX200" s="3248"/>
      <c r="AY200" s="3248"/>
      <c r="AZ200" s="3247"/>
      <c r="BA200" s="3248"/>
      <c r="BB200" s="3248"/>
      <c r="BC200" s="3247"/>
      <c r="BD200" s="3248"/>
      <c r="BE200" s="3248"/>
      <c r="BF200" s="3248"/>
      <c r="BG200" s="3248"/>
      <c r="BH200" s="3249"/>
      <c r="BI200" s="3249"/>
    </row>
    <row r="201" spans="1:61" ht="13.2" x14ac:dyDescent="0.25">
      <c r="A201" s="3270"/>
      <c r="B201" s="3273"/>
      <c r="C201" s="3271"/>
      <c r="D201" s="3240"/>
      <c r="E201" s="3241"/>
      <c r="F201" s="3241"/>
      <c r="G201" s="3240"/>
      <c r="H201" s="3241"/>
      <c r="I201" s="3241"/>
      <c r="J201" s="3241"/>
      <c r="K201" s="3240"/>
      <c r="L201" s="3241"/>
      <c r="M201" s="3241"/>
      <c r="N201" s="3240">
        <f t="shared" si="5"/>
        <v>0</v>
      </c>
      <c r="O201" s="3239"/>
      <c r="P201" s="3240"/>
      <c r="Q201" s="3241"/>
      <c r="R201" s="3241"/>
      <c r="S201" s="3240"/>
      <c r="T201" s="3241"/>
      <c r="U201" s="3241"/>
      <c r="V201" s="3241"/>
      <c r="W201" s="3240"/>
      <c r="X201" s="3241"/>
      <c r="Y201" s="3241"/>
      <c r="Z201" s="3242">
        <f t="shared" si="6"/>
        <v>0</v>
      </c>
      <c r="AA201" s="3243">
        <f t="shared" si="24"/>
        <v>0</v>
      </c>
      <c r="AB201" s="3242">
        <f t="shared" si="25"/>
        <v>0</v>
      </c>
      <c r="AC201" s="3241"/>
      <c r="AD201" s="3241"/>
      <c r="AE201" s="3242">
        <f t="shared" si="26"/>
        <v>0</v>
      </c>
      <c r="AF201" s="3241"/>
      <c r="AG201" s="3250"/>
      <c r="AH201" s="3241"/>
      <c r="AI201" s="3250"/>
      <c r="AJ201" s="3258"/>
      <c r="AK201" s="3250"/>
      <c r="AL201" s="3241"/>
      <c r="AM201" s="3250"/>
      <c r="AN201" s="3241"/>
      <c r="AO201" s="3250"/>
      <c r="AP201" s="3240">
        <f t="shared" si="23"/>
        <v>0</v>
      </c>
      <c r="AQ201" s="3241"/>
      <c r="AR201" s="3241"/>
      <c r="AS201" s="3242">
        <f t="shared" si="9"/>
        <v>0</v>
      </c>
      <c r="AT201" s="3247"/>
      <c r="AU201" s="3248"/>
      <c r="AV201" s="3248"/>
      <c r="AW201" s="3247"/>
      <c r="AX201" s="3248"/>
      <c r="AY201" s="3248"/>
      <c r="AZ201" s="3247"/>
      <c r="BA201" s="3248"/>
      <c r="BB201" s="3248"/>
      <c r="BC201" s="3247"/>
      <c r="BD201" s="3248"/>
      <c r="BE201" s="3248"/>
      <c r="BF201" s="3248"/>
      <c r="BG201" s="3248"/>
      <c r="BH201" s="3249"/>
      <c r="BI201" s="3249"/>
    </row>
    <row r="202" spans="1:61" ht="13.2" x14ac:dyDescent="0.3">
      <c r="A202" s="3270"/>
      <c r="B202" s="3277"/>
      <c r="C202" s="3271"/>
      <c r="D202" s="3240"/>
      <c r="E202" s="3241"/>
      <c r="F202" s="3241"/>
      <c r="G202" s="3240"/>
      <c r="H202" s="3241"/>
      <c r="I202" s="3241"/>
      <c r="J202" s="3241"/>
      <c r="K202" s="3240"/>
      <c r="L202" s="3241"/>
      <c r="M202" s="3241"/>
      <c r="N202" s="3240">
        <f t="shared" si="5"/>
        <v>0</v>
      </c>
      <c r="O202" s="3239"/>
      <c r="P202" s="3240"/>
      <c r="Q202" s="3241"/>
      <c r="R202" s="3241"/>
      <c r="S202" s="3240"/>
      <c r="T202" s="3241"/>
      <c r="U202" s="3241"/>
      <c r="V202" s="3241"/>
      <c r="W202" s="3240"/>
      <c r="X202" s="3241"/>
      <c r="Y202" s="3241"/>
      <c r="Z202" s="3242">
        <f t="shared" si="6"/>
        <v>0</v>
      </c>
      <c r="AA202" s="3243">
        <f t="shared" si="24"/>
        <v>0</v>
      </c>
      <c r="AB202" s="3242">
        <f t="shared" si="25"/>
        <v>0</v>
      </c>
      <c r="AC202" s="3241"/>
      <c r="AD202" s="3241"/>
      <c r="AE202" s="3242">
        <f t="shared" si="26"/>
        <v>0</v>
      </c>
      <c r="AF202" s="3241"/>
      <c r="AG202" s="3250"/>
      <c r="AH202" s="3241"/>
      <c r="AI202" s="3250"/>
      <c r="AJ202" s="3258"/>
      <c r="AK202" s="3250"/>
      <c r="AL202" s="3241"/>
      <c r="AM202" s="3250"/>
      <c r="AN202" s="3241"/>
      <c r="AO202" s="3250"/>
      <c r="AP202" s="3240">
        <f t="shared" si="23"/>
        <v>0</v>
      </c>
      <c r="AQ202" s="3241"/>
      <c r="AR202" s="3241"/>
      <c r="AS202" s="3242">
        <f t="shared" si="9"/>
        <v>0</v>
      </c>
      <c r="AT202" s="3247"/>
      <c r="AU202" s="3248"/>
      <c r="AV202" s="3248"/>
      <c r="AW202" s="3247"/>
      <c r="AX202" s="3248"/>
      <c r="AY202" s="3248"/>
      <c r="AZ202" s="3247"/>
      <c r="BA202" s="3248"/>
      <c r="BB202" s="3248"/>
      <c r="BC202" s="3247"/>
      <c r="BD202" s="3248"/>
      <c r="BE202" s="3248"/>
      <c r="BF202" s="3248"/>
      <c r="BG202" s="3248"/>
      <c r="BH202" s="3249"/>
      <c r="BI202" s="3249"/>
    </row>
    <row r="203" spans="1:61" ht="13.2" x14ac:dyDescent="0.3">
      <c r="A203" s="3270"/>
      <c r="B203" s="3275"/>
      <c r="C203" s="3271"/>
      <c r="D203" s="3240"/>
      <c r="E203" s="3241"/>
      <c r="F203" s="3241"/>
      <c r="G203" s="3240"/>
      <c r="H203" s="3241"/>
      <c r="I203" s="3241"/>
      <c r="J203" s="3241"/>
      <c r="K203" s="3240"/>
      <c r="L203" s="3241"/>
      <c r="M203" s="3241"/>
      <c r="N203" s="3240">
        <f t="shared" si="5"/>
        <v>0</v>
      </c>
      <c r="O203" s="3239"/>
      <c r="P203" s="3240"/>
      <c r="Q203" s="3241"/>
      <c r="R203" s="3241"/>
      <c r="S203" s="3240"/>
      <c r="T203" s="3241"/>
      <c r="U203" s="3241"/>
      <c r="V203" s="3241"/>
      <c r="W203" s="3240"/>
      <c r="X203" s="3241"/>
      <c r="Y203" s="3241"/>
      <c r="Z203" s="3242">
        <f t="shared" si="6"/>
        <v>0</v>
      </c>
      <c r="AA203" s="3243">
        <f t="shared" si="24"/>
        <v>0</v>
      </c>
      <c r="AB203" s="3242">
        <f t="shared" si="25"/>
        <v>0</v>
      </c>
      <c r="AC203" s="3241"/>
      <c r="AD203" s="3241"/>
      <c r="AE203" s="3242">
        <f t="shared" si="26"/>
        <v>0</v>
      </c>
      <c r="AF203" s="3241"/>
      <c r="AG203" s="3250"/>
      <c r="AH203" s="3241"/>
      <c r="AI203" s="3250"/>
      <c r="AJ203" s="3258"/>
      <c r="AK203" s="3250"/>
      <c r="AL203" s="3241"/>
      <c r="AM203" s="3250"/>
      <c r="AN203" s="3241"/>
      <c r="AO203" s="3250"/>
      <c r="AP203" s="3240">
        <f t="shared" si="23"/>
        <v>0</v>
      </c>
      <c r="AQ203" s="3241"/>
      <c r="AR203" s="3241"/>
      <c r="AS203" s="3242">
        <f t="shared" si="9"/>
        <v>0</v>
      </c>
      <c r="AT203" s="3247"/>
      <c r="AU203" s="3248"/>
      <c r="AV203" s="3248"/>
      <c r="AW203" s="3247"/>
      <c r="AX203" s="3248"/>
      <c r="AY203" s="3248"/>
      <c r="AZ203" s="3247"/>
      <c r="BA203" s="3248"/>
      <c r="BB203" s="3248"/>
      <c r="BC203" s="3247"/>
      <c r="BD203" s="3248"/>
      <c r="BE203" s="3248"/>
      <c r="BF203" s="3248"/>
      <c r="BG203" s="3248"/>
      <c r="BH203" s="3249"/>
      <c r="BI203" s="3249"/>
    </row>
    <row r="204" spans="1:61" ht="13.2" x14ac:dyDescent="0.3">
      <c r="A204" s="3270"/>
      <c r="B204" s="3280"/>
      <c r="C204" s="3271"/>
      <c r="D204" s="3240"/>
      <c r="E204" s="3241"/>
      <c r="F204" s="3241"/>
      <c r="G204" s="3240"/>
      <c r="H204" s="3241"/>
      <c r="I204" s="3241"/>
      <c r="J204" s="3241"/>
      <c r="K204" s="3240"/>
      <c r="L204" s="3241"/>
      <c r="M204" s="3241"/>
      <c r="N204" s="3240">
        <f t="shared" si="5"/>
        <v>0</v>
      </c>
      <c r="O204" s="3239"/>
      <c r="P204" s="3240"/>
      <c r="Q204" s="3241"/>
      <c r="R204" s="3241"/>
      <c r="S204" s="3240"/>
      <c r="T204" s="3241"/>
      <c r="U204" s="3241"/>
      <c r="V204" s="3241"/>
      <c r="W204" s="3240"/>
      <c r="X204" s="3241"/>
      <c r="Y204" s="3241"/>
      <c r="Z204" s="3242">
        <f t="shared" si="6"/>
        <v>0</v>
      </c>
      <c r="AA204" s="3243">
        <f t="shared" si="24"/>
        <v>0</v>
      </c>
      <c r="AB204" s="3242">
        <f t="shared" si="25"/>
        <v>0</v>
      </c>
      <c r="AC204" s="3241"/>
      <c r="AD204" s="3241"/>
      <c r="AE204" s="3242">
        <f t="shared" si="26"/>
        <v>0</v>
      </c>
      <c r="AF204" s="3241"/>
      <c r="AG204" s="3250"/>
      <c r="AH204" s="3241"/>
      <c r="AI204" s="3250"/>
      <c r="AJ204" s="3258"/>
      <c r="AK204" s="3250"/>
      <c r="AL204" s="3241"/>
      <c r="AM204" s="3250"/>
      <c r="AN204" s="3241"/>
      <c r="AO204" s="3250"/>
      <c r="AP204" s="3240">
        <f t="shared" si="23"/>
        <v>0</v>
      </c>
      <c r="AQ204" s="3241"/>
      <c r="AR204" s="3241"/>
      <c r="AS204" s="3242">
        <f t="shared" si="9"/>
        <v>0</v>
      </c>
      <c r="AT204" s="3247"/>
      <c r="AU204" s="3248"/>
      <c r="AV204" s="3248"/>
      <c r="AW204" s="3247"/>
      <c r="AX204" s="3248"/>
      <c r="AY204" s="3248"/>
      <c r="AZ204" s="3247"/>
      <c r="BA204" s="3248"/>
      <c r="BB204" s="3248"/>
      <c r="BC204" s="3247"/>
      <c r="BD204" s="3248"/>
      <c r="BE204" s="3248"/>
      <c r="BF204" s="3248"/>
      <c r="BG204" s="3248"/>
      <c r="BH204" s="3249"/>
      <c r="BI204" s="3249"/>
    </row>
    <row r="205" spans="1:61" ht="13.2" x14ac:dyDescent="0.25">
      <c r="A205" s="3270"/>
      <c r="B205" s="3272"/>
      <c r="C205" s="3271"/>
      <c r="D205" s="3240"/>
      <c r="E205" s="3241"/>
      <c r="F205" s="3241"/>
      <c r="G205" s="3240"/>
      <c r="H205" s="3241"/>
      <c r="I205" s="3241"/>
      <c r="J205" s="3241"/>
      <c r="K205" s="3240"/>
      <c r="L205" s="3241"/>
      <c r="M205" s="3241"/>
      <c r="N205" s="3240">
        <f t="shared" si="5"/>
        <v>0</v>
      </c>
      <c r="O205" s="3239"/>
      <c r="P205" s="3240"/>
      <c r="Q205" s="3241"/>
      <c r="R205" s="3241"/>
      <c r="S205" s="3240"/>
      <c r="T205" s="3241"/>
      <c r="U205" s="3241"/>
      <c r="V205" s="3241"/>
      <c r="W205" s="3240"/>
      <c r="X205" s="3241"/>
      <c r="Y205" s="3241"/>
      <c r="Z205" s="3242">
        <f t="shared" si="6"/>
        <v>0</v>
      </c>
      <c r="AA205" s="3243">
        <f t="shared" si="24"/>
        <v>0</v>
      </c>
      <c r="AB205" s="3242">
        <f t="shared" si="25"/>
        <v>0</v>
      </c>
      <c r="AC205" s="3241"/>
      <c r="AD205" s="3241"/>
      <c r="AE205" s="3242">
        <f t="shared" si="26"/>
        <v>0</v>
      </c>
      <c r="AF205" s="3241"/>
      <c r="AG205" s="3250"/>
      <c r="AH205" s="3241"/>
      <c r="AI205" s="3250"/>
      <c r="AJ205" s="3258"/>
      <c r="AK205" s="3250"/>
      <c r="AL205" s="3241"/>
      <c r="AM205" s="3250"/>
      <c r="AN205" s="3241"/>
      <c r="AO205" s="3250"/>
      <c r="AP205" s="3240">
        <f t="shared" si="23"/>
        <v>0</v>
      </c>
      <c r="AQ205" s="3241"/>
      <c r="AR205" s="3241"/>
      <c r="AS205" s="3242">
        <f t="shared" si="9"/>
        <v>0</v>
      </c>
      <c r="AT205" s="3247"/>
      <c r="AU205" s="3248"/>
      <c r="AV205" s="3248"/>
      <c r="AW205" s="3247"/>
      <c r="AX205" s="3248"/>
      <c r="AY205" s="3248"/>
      <c r="AZ205" s="3247"/>
      <c r="BA205" s="3248"/>
      <c r="BB205" s="3248"/>
      <c r="BC205" s="3247"/>
      <c r="BD205" s="3248"/>
      <c r="BE205" s="3248"/>
      <c r="BF205" s="3248"/>
      <c r="BG205" s="3248"/>
      <c r="BH205" s="3249"/>
      <c r="BI205" s="3249"/>
    </row>
    <row r="206" spans="1:61" ht="13.2" x14ac:dyDescent="0.25">
      <c r="A206" s="3270"/>
      <c r="B206" s="3272"/>
      <c r="C206" s="3271"/>
      <c r="D206" s="3240"/>
      <c r="E206" s="3241"/>
      <c r="F206" s="3241"/>
      <c r="G206" s="3240"/>
      <c r="H206" s="3241"/>
      <c r="I206" s="3241"/>
      <c r="J206" s="3241"/>
      <c r="K206" s="3240"/>
      <c r="L206" s="3241"/>
      <c r="M206" s="3241"/>
      <c r="N206" s="3240">
        <f t="shared" si="5"/>
        <v>0</v>
      </c>
      <c r="O206" s="3239"/>
      <c r="P206" s="3240"/>
      <c r="Q206" s="3241"/>
      <c r="R206" s="3241"/>
      <c r="S206" s="3240"/>
      <c r="T206" s="3241"/>
      <c r="U206" s="3241"/>
      <c r="V206" s="3241"/>
      <c r="W206" s="3240"/>
      <c r="X206" s="3241"/>
      <c r="Y206" s="3241"/>
      <c r="Z206" s="3242">
        <f t="shared" si="6"/>
        <v>0</v>
      </c>
      <c r="AA206" s="3243">
        <f t="shared" si="24"/>
        <v>0</v>
      </c>
      <c r="AB206" s="3242">
        <f t="shared" si="25"/>
        <v>0</v>
      </c>
      <c r="AC206" s="3241"/>
      <c r="AD206" s="3241"/>
      <c r="AE206" s="3242">
        <f t="shared" si="26"/>
        <v>0</v>
      </c>
      <c r="AF206" s="3241"/>
      <c r="AG206" s="3250"/>
      <c r="AH206" s="3241"/>
      <c r="AI206" s="3250"/>
      <c r="AJ206" s="3258"/>
      <c r="AK206" s="3250"/>
      <c r="AL206" s="3241"/>
      <c r="AM206" s="3250"/>
      <c r="AN206" s="3241"/>
      <c r="AO206" s="3250"/>
      <c r="AP206" s="3240">
        <f t="shared" si="23"/>
        <v>0</v>
      </c>
      <c r="AQ206" s="3241"/>
      <c r="AR206" s="3241"/>
      <c r="AS206" s="3242">
        <f t="shared" si="9"/>
        <v>0</v>
      </c>
      <c r="AT206" s="3247"/>
      <c r="AU206" s="3248"/>
      <c r="AV206" s="3248"/>
      <c r="AW206" s="3247"/>
      <c r="AX206" s="3248"/>
      <c r="AY206" s="3248"/>
      <c r="AZ206" s="3247"/>
      <c r="BA206" s="3248"/>
      <c r="BB206" s="3248"/>
      <c r="BC206" s="3247"/>
      <c r="BD206" s="3248"/>
      <c r="BE206" s="3248"/>
      <c r="BF206" s="3248"/>
      <c r="BG206" s="3248"/>
      <c r="BH206" s="3249"/>
      <c r="BI206" s="3249"/>
    </row>
    <row r="207" spans="1:61" ht="13.2" x14ac:dyDescent="0.3">
      <c r="A207" s="3270"/>
      <c r="B207" s="3275"/>
      <c r="C207" s="3271"/>
      <c r="D207" s="3240"/>
      <c r="E207" s="3241"/>
      <c r="F207" s="3241"/>
      <c r="G207" s="3240"/>
      <c r="H207" s="3241"/>
      <c r="I207" s="3241"/>
      <c r="J207" s="3241"/>
      <c r="K207" s="3240"/>
      <c r="L207" s="3241"/>
      <c r="M207" s="3241"/>
      <c r="N207" s="3240">
        <f t="shared" si="5"/>
        <v>0</v>
      </c>
      <c r="O207" s="3239"/>
      <c r="P207" s="3240"/>
      <c r="Q207" s="3241"/>
      <c r="R207" s="3241"/>
      <c r="S207" s="3240"/>
      <c r="T207" s="3241"/>
      <c r="U207" s="3241"/>
      <c r="V207" s="3241"/>
      <c r="W207" s="3240"/>
      <c r="X207" s="3241"/>
      <c r="Y207" s="3241"/>
      <c r="Z207" s="3242">
        <f t="shared" si="6"/>
        <v>0</v>
      </c>
      <c r="AA207" s="3243">
        <f t="shared" si="24"/>
        <v>0</v>
      </c>
      <c r="AB207" s="3242">
        <f t="shared" si="25"/>
        <v>0</v>
      </c>
      <c r="AC207" s="3241"/>
      <c r="AD207" s="3241"/>
      <c r="AE207" s="3242">
        <f t="shared" si="26"/>
        <v>0</v>
      </c>
      <c r="AF207" s="3241"/>
      <c r="AG207" s="3250"/>
      <c r="AH207" s="3241"/>
      <c r="AI207" s="3250"/>
      <c r="AJ207" s="3258"/>
      <c r="AK207" s="3250"/>
      <c r="AL207" s="3241"/>
      <c r="AM207" s="3250"/>
      <c r="AN207" s="3241"/>
      <c r="AO207" s="3250"/>
      <c r="AP207" s="3240">
        <f t="shared" si="23"/>
        <v>0</v>
      </c>
      <c r="AQ207" s="3241"/>
      <c r="AR207" s="3241"/>
      <c r="AS207" s="3242">
        <f t="shared" si="9"/>
        <v>0</v>
      </c>
      <c r="AT207" s="3247"/>
      <c r="AU207" s="3248"/>
      <c r="AV207" s="3248"/>
      <c r="AW207" s="3247"/>
      <c r="AX207" s="3248"/>
      <c r="AY207" s="3248"/>
      <c r="AZ207" s="3247"/>
      <c r="BA207" s="3248"/>
      <c r="BB207" s="3248"/>
      <c r="BC207" s="3247"/>
      <c r="BD207" s="3248"/>
      <c r="BE207" s="3248"/>
      <c r="BF207" s="3248"/>
      <c r="BG207" s="3248"/>
      <c r="BH207" s="3249"/>
      <c r="BI207" s="3249"/>
    </row>
    <row r="208" spans="1:61" ht="13.2" x14ac:dyDescent="0.3">
      <c r="A208" s="3270"/>
      <c r="B208" s="3275"/>
      <c r="C208" s="3271"/>
      <c r="D208" s="3240"/>
      <c r="E208" s="3241"/>
      <c r="F208" s="3241"/>
      <c r="G208" s="3240"/>
      <c r="H208" s="3241"/>
      <c r="I208" s="3241"/>
      <c r="J208" s="3241"/>
      <c r="K208" s="3240"/>
      <c r="L208" s="3241"/>
      <c r="M208" s="3241"/>
      <c r="N208" s="3240">
        <f t="shared" si="5"/>
        <v>0</v>
      </c>
      <c r="O208" s="3239"/>
      <c r="P208" s="3240"/>
      <c r="Q208" s="3241"/>
      <c r="R208" s="3241"/>
      <c r="S208" s="3240"/>
      <c r="T208" s="3241"/>
      <c r="U208" s="3241"/>
      <c r="V208" s="3241"/>
      <c r="W208" s="3240"/>
      <c r="X208" s="3241"/>
      <c r="Y208" s="3241"/>
      <c r="Z208" s="3242">
        <f t="shared" si="6"/>
        <v>0</v>
      </c>
      <c r="AA208" s="3243">
        <f t="shared" si="24"/>
        <v>0</v>
      </c>
      <c r="AB208" s="3242">
        <f t="shared" si="25"/>
        <v>0</v>
      </c>
      <c r="AC208" s="3241"/>
      <c r="AD208" s="3241"/>
      <c r="AE208" s="3242">
        <f t="shared" si="26"/>
        <v>0</v>
      </c>
      <c r="AF208" s="3241"/>
      <c r="AG208" s="3250"/>
      <c r="AH208" s="3241"/>
      <c r="AI208" s="3250"/>
      <c r="AJ208" s="3258"/>
      <c r="AK208" s="3250"/>
      <c r="AL208" s="3241"/>
      <c r="AM208" s="3250"/>
      <c r="AN208" s="3241"/>
      <c r="AO208" s="3250"/>
      <c r="AP208" s="3240">
        <f t="shared" si="23"/>
        <v>0</v>
      </c>
      <c r="AQ208" s="3241"/>
      <c r="AR208" s="3241"/>
      <c r="AS208" s="3242">
        <f t="shared" si="9"/>
        <v>0</v>
      </c>
      <c r="AT208" s="3247"/>
      <c r="AU208" s="3248"/>
      <c r="AV208" s="3248"/>
      <c r="AW208" s="3247"/>
      <c r="AX208" s="3248"/>
      <c r="AY208" s="3248"/>
      <c r="AZ208" s="3247"/>
      <c r="BA208" s="3248"/>
      <c r="BB208" s="3248"/>
      <c r="BC208" s="3247"/>
      <c r="BD208" s="3248"/>
      <c r="BE208" s="3248"/>
      <c r="BF208" s="3248"/>
      <c r="BG208" s="3248"/>
      <c r="BH208" s="3249"/>
      <c r="BI208" s="3249"/>
    </row>
    <row r="209" spans="1:61" ht="13.2" x14ac:dyDescent="0.3">
      <c r="A209" s="3270"/>
      <c r="B209" s="3275"/>
      <c r="C209" s="3271"/>
      <c r="D209" s="3240"/>
      <c r="E209" s="3241"/>
      <c r="F209" s="3241"/>
      <c r="G209" s="3240"/>
      <c r="H209" s="3241"/>
      <c r="I209" s="3241"/>
      <c r="J209" s="3241"/>
      <c r="K209" s="3240"/>
      <c r="L209" s="3241"/>
      <c r="M209" s="3241"/>
      <c r="N209" s="3240">
        <f t="shared" si="5"/>
        <v>0</v>
      </c>
      <c r="O209" s="3239"/>
      <c r="P209" s="3240"/>
      <c r="Q209" s="3241"/>
      <c r="R209" s="3241"/>
      <c r="S209" s="3240"/>
      <c r="T209" s="3241"/>
      <c r="U209" s="3241"/>
      <c r="V209" s="3241"/>
      <c r="W209" s="3240"/>
      <c r="X209" s="3241"/>
      <c r="Y209" s="3241"/>
      <c r="Z209" s="3242">
        <f t="shared" si="6"/>
        <v>0</v>
      </c>
      <c r="AA209" s="3243">
        <f t="shared" si="24"/>
        <v>0</v>
      </c>
      <c r="AB209" s="3242">
        <f t="shared" si="25"/>
        <v>0</v>
      </c>
      <c r="AC209" s="3241"/>
      <c r="AD209" s="3241"/>
      <c r="AE209" s="3242">
        <f t="shared" si="26"/>
        <v>0</v>
      </c>
      <c r="AF209" s="3241"/>
      <c r="AG209" s="3250"/>
      <c r="AH209" s="3241"/>
      <c r="AI209" s="3250"/>
      <c r="AJ209" s="3258"/>
      <c r="AK209" s="3250"/>
      <c r="AL209" s="3241"/>
      <c r="AM209" s="3250"/>
      <c r="AN209" s="3241"/>
      <c r="AO209" s="3250"/>
      <c r="AP209" s="3240">
        <f t="shared" si="23"/>
        <v>0</v>
      </c>
      <c r="AQ209" s="3241"/>
      <c r="AR209" s="3241"/>
      <c r="AS209" s="3242">
        <f t="shared" si="9"/>
        <v>0</v>
      </c>
      <c r="AT209" s="3247"/>
      <c r="AU209" s="3248"/>
      <c r="AV209" s="3248"/>
      <c r="AW209" s="3247"/>
      <c r="AX209" s="3248"/>
      <c r="AY209" s="3248"/>
      <c r="AZ209" s="3247"/>
      <c r="BA209" s="3248"/>
      <c r="BB209" s="3248"/>
      <c r="BC209" s="3247"/>
      <c r="BD209" s="3248"/>
      <c r="BE209" s="3248"/>
      <c r="BF209" s="3248"/>
      <c r="BG209" s="3248"/>
      <c r="BH209" s="3249"/>
      <c r="BI209" s="3249"/>
    </row>
    <row r="210" spans="1:61" ht="13.2" x14ac:dyDescent="0.3">
      <c r="A210" s="3270"/>
      <c r="B210" s="3275"/>
      <c r="C210" s="3271"/>
      <c r="D210" s="3240"/>
      <c r="E210" s="3241"/>
      <c r="F210" s="3241"/>
      <c r="G210" s="3240"/>
      <c r="H210" s="3241"/>
      <c r="I210" s="3241"/>
      <c r="J210" s="3241"/>
      <c r="K210" s="3240"/>
      <c r="L210" s="3241"/>
      <c r="M210" s="3241"/>
      <c r="N210" s="3240">
        <f t="shared" ref="N210:N247" si="27">A210</f>
        <v>0</v>
      </c>
      <c r="O210" s="3239"/>
      <c r="P210" s="3240"/>
      <c r="Q210" s="3241"/>
      <c r="R210" s="3241"/>
      <c r="S210" s="3240"/>
      <c r="T210" s="3241"/>
      <c r="U210" s="3241"/>
      <c r="V210" s="3241"/>
      <c r="W210" s="3240"/>
      <c r="X210" s="3241"/>
      <c r="Y210" s="3241"/>
      <c r="Z210" s="3242">
        <f t="shared" ref="Z210:Z239" si="28">N210</f>
        <v>0</v>
      </c>
      <c r="AA210" s="3243">
        <f t="shared" si="24"/>
        <v>0</v>
      </c>
      <c r="AB210" s="3242">
        <f t="shared" si="25"/>
        <v>0</v>
      </c>
      <c r="AC210" s="3241"/>
      <c r="AD210" s="3241"/>
      <c r="AE210" s="3242">
        <f t="shared" si="26"/>
        <v>0</v>
      </c>
      <c r="AF210" s="3241"/>
      <c r="AG210" s="3250"/>
      <c r="AH210" s="3241"/>
      <c r="AI210" s="3250"/>
      <c r="AJ210" s="3258"/>
      <c r="AK210" s="3250"/>
      <c r="AL210" s="3241"/>
      <c r="AM210" s="3250"/>
      <c r="AN210" s="3241"/>
      <c r="AO210" s="3250"/>
      <c r="AP210" s="3240">
        <f t="shared" si="23"/>
        <v>0</v>
      </c>
      <c r="AQ210" s="3241"/>
      <c r="AR210" s="3241"/>
      <c r="AS210" s="3242">
        <f t="shared" ref="AS210:AS248" si="29">Z210</f>
        <v>0</v>
      </c>
      <c r="AT210" s="3247"/>
      <c r="AU210" s="3248"/>
      <c r="AV210" s="3248"/>
      <c r="AW210" s="3247"/>
      <c r="AX210" s="3248"/>
      <c r="AY210" s="3248"/>
      <c r="AZ210" s="3247"/>
      <c r="BA210" s="3248"/>
      <c r="BB210" s="3248"/>
      <c r="BC210" s="3247"/>
      <c r="BD210" s="3248"/>
      <c r="BE210" s="3248"/>
      <c r="BF210" s="3248"/>
      <c r="BG210" s="3248"/>
      <c r="BH210" s="3249"/>
      <c r="BI210" s="3249"/>
    </row>
    <row r="211" spans="1:61" ht="13.95" customHeight="1" x14ac:dyDescent="0.3">
      <c r="A211" s="3270"/>
      <c r="B211" s="3278"/>
      <c r="C211" s="3271"/>
      <c r="D211" s="3240"/>
      <c r="E211" s="3241"/>
      <c r="F211" s="3241"/>
      <c r="G211" s="3240"/>
      <c r="H211" s="3241"/>
      <c r="I211" s="3241"/>
      <c r="J211" s="3241"/>
      <c r="K211" s="3240"/>
      <c r="L211" s="3241"/>
      <c r="M211" s="3241"/>
      <c r="N211" s="3240">
        <f t="shared" si="27"/>
        <v>0</v>
      </c>
      <c r="O211" s="3239"/>
      <c r="P211" s="3240"/>
      <c r="Q211" s="3241"/>
      <c r="R211" s="3241"/>
      <c r="S211" s="3240"/>
      <c r="T211" s="3241"/>
      <c r="U211" s="3241"/>
      <c r="V211" s="3241"/>
      <c r="W211" s="3240"/>
      <c r="X211" s="3241"/>
      <c r="Y211" s="3241"/>
      <c r="Z211" s="3242">
        <f t="shared" si="28"/>
        <v>0</v>
      </c>
      <c r="AA211" s="3243">
        <f t="shared" si="24"/>
        <v>0</v>
      </c>
      <c r="AB211" s="3242">
        <f t="shared" si="25"/>
        <v>0</v>
      </c>
      <c r="AC211" s="3241"/>
      <c r="AD211" s="3241"/>
      <c r="AE211" s="3242">
        <f t="shared" si="26"/>
        <v>0</v>
      </c>
      <c r="AF211" s="3241"/>
      <c r="AG211" s="3250"/>
      <c r="AH211" s="3241"/>
      <c r="AI211" s="3250"/>
      <c r="AJ211" s="3258"/>
      <c r="AK211" s="3250"/>
      <c r="AL211" s="3241"/>
      <c r="AM211" s="3250"/>
      <c r="AN211" s="3241"/>
      <c r="AO211" s="3250"/>
      <c r="AP211" s="3240">
        <f t="shared" si="23"/>
        <v>0</v>
      </c>
      <c r="AQ211" s="3241"/>
      <c r="AR211" s="3241"/>
      <c r="AS211" s="3242">
        <f t="shared" si="29"/>
        <v>0</v>
      </c>
      <c r="AT211" s="3247"/>
      <c r="AU211" s="3248"/>
      <c r="AV211" s="3248"/>
      <c r="AW211" s="3247"/>
      <c r="AX211" s="3248"/>
      <c r="AY211" s="3248"/>
      <c r="AZ211" s="3247"/>
      <c r="BA211" s="3248"/>
      <c r="BB211" s="3248"/>
      <c r="BC211" s="3247"/>
      <c r="BD211" s="3248"/>
      <c r="BE211" s="3248"/>
      <c r="BF211" s="3248"/>
      <c r="BG211" s="3248"/>
      <c r="BH211" s="3249"/>
      <c r="BI211" s="3249"/>
    </row>
    <row r="212" spans="1:61" ht="13.2" x14ac:dyDescent="0.3">
      <c r="A212" s="3270"/>
      <c r="B212" s="3275"/>
      <c r="C212" s="3271"/>
      <c r="D212" s="3240"/>
      <c r="E212" s="3241"/>
      <c r="F212" s="3241"/>
      <c r="G212" s="3240"/>
      <c r="H212" s="3241"/>
      <c r="I212" s="3241"/>
      <c r="J212" s="3241"/>
      <c r="K212" s="3240"/>
      <c r="L212" s="3241"/>
      <c r="M212" s="3241"/>
      <c r="N212" s="3240">
        <f t="shared" si="27"/>
        <v>0</v>
      </c>
      <c r="O212" s="3239"/>
      <c r="P212" s="3240"/>
      <c r="Q212" s="3241"/>
      <c r="R212" s="3241"/>
      <c r="S212" s="3240"/>
      <c r="T212" s="3241"/>
      <c r="U212" s="3241"/>
      <c r="V212" s="3241"/>
      <c r="W212" s="3240"/>
      <c r="X212" s="3241"/>
      <c r="Y212" s="3241"/>
      <c r="Z212" s="3242">
        <f t="shared" si="28"/>
        <v>0</v>
      </c>
      <c r="AA212" s="3243">
        <f t="shared" si="24"/>
        <v>0</v>
      </c>
      <c r="AB212" s="3242">
        <f t="shared" si="25"/>
        <v>0</v>
      </c>
      <c r="AC212" s="3241"/>
      <c r="AD212" s="3241"/>
      <c r="AE212" s="3242">
        <f t="shared" si="26"/>
        <v>0</v>
      </c>
      <c r="AF212" s="3241"/>
      <c r="AG212" s="3258"/>
      <c r="AH212" s="3241"/>
      <c r="AI212" s="3258"/>
      <c r="AJ212" s="3258"/>
      <c r="AK212" s="3258"/>
      <c r="AL212" s="3241"/>
      <c r="AM212" s="3258"/>
      <c r="AN212" s="3241"/>
      <c r="AO212" s="3258"/>
      <c r="AP212" s="3240">
        <f t="shared" si="23"/>
        <v>0</v>
      </c>
      <c r="AQ212" s="3241"/>
      <c r="AR212" s="3241"/>
      <c r="AS212" s="3242">
        <f t="shared" si="29"/>
        <v>0</v>
      </c>
      <c r="AT212" s="3247"/>
      <c r="AU212" s="3248"/>
      <c r="AV212" s="3248"/>
      <c r="AW212" s="3247"/>
      <c r="AX212" s="3248"/>
      <c r="AY212" s="3248"/>
      <c r="AZ212" s="3247"/>
      <c r="BA212" s="3248"/>
      <c r="BB212" s="3248"/>
      <c r="BC212" s="3247"/>
      <c r="BD212" s="3248"/>
      <c r="BE212" s="3248"/>
      <c r="BF212" s="3248"/>
      <c r="BG212" s="3248"/>
      <c r="BH212" s="3249"/>
      <c r="BI212" s="3249"/>
    </row>
    <row r="213" spans="1:61" ht="15" customHeight="1" x14ac:dyDescent="0.3">
      <c r="A213" s="3270"/>
      <c r="B213" s="3275"/>
      <c r="C213" s="3271"/>
      <c r="D213" s="3240"/>
      <c r="E213" s="3241"/>
      <c r="F213" s="3241"/>
      <c r="G213" s="3240"/>
      <c r="H213" s="3241"/>
      <c r="I213" s="3241"/>
      <c r="J213" s="3241"/>
      <c r="K213" s="3240"/>
      <c r="L213" s="3241"/>
      <c r="M213" s="3241"/>
      <c r="N213" s="3240">
        <f t="shared" si="27"/>
        <v>0</v>
      </c>
      <c r="O213" s="3239"/>
      <c r="P213" s="3240"/>
      <c r="Q213" s="3241"/>
      <c r="R213" s="3241"/>
      <c r="S213" s="3240"/>
      <c r="T213" s="3241"/>
      <c r="U213" s="3241"/>
      <c r="V213" s="3241"/>
      <c r="W213" s="3240"/>
      <c r="X213" s="3241"/>
      <c r="Y213" s="3241"/>
      <c r="Z213" s="3242">
        <f t="shared" si="28"/>
        <v>0</v>
      </c>
      <c r="AA213" s="3243">
        <f t="shared" si="24"/>
        <v>0</v>
      </c>
      <c r="AB213" s="3242">
        <f t="shared" si="25"/>
        <v>0</v>
      </c>
      <c r="AC213" s="3241"/>
      <c r="AD213" s="3241"/>
      <c r="AE213" s="3242">
        <f t="shared" si="26"/>
        <v>0</v>
      </c>
      <c r="AF213" s="3241"/>
      <c r="AG213" s="3258"/>
      <c r="AH213" s="3241"/>
      <c r="AI213" s="3258"/>
      <c r="AJ213" s="3258"/>
      <c r="AK213" s="3258"/>
      <c r="AL213" s="3241"/>
      <c r="AM213" s="3258"/>
      <c r="AN213" s="3241"/>
      <c r="AO213" s="3258"/>
      <c r="AP213" s="3240">
        <f t="shared" si="23"/>
        <v>0</v>
      </c>
      <c r="AQ213" s="3241"/>
      <c r="AR213" s="3241"/>
      <c r="AS213" s="3242">
        <f t="shared" si="29"/>
        <v>0</v>
      </c>
      <c r="AT213" s="3247"/>
      <c r="AU213" s="3248"/>
      <c r="AV213" s="3248"/>
      <c r="AW213" s="3247"/>
      <c r="AX213" s="3248"/>
      <c r="AY213" s="3248"/>
      <c r="AZ213" s="3247"/>
      <c r="BA213" s="3248"/>
      <c r="BB213" s="3248"/>
      <c r="BC213" s="3247"/>
      <c r="BD213" s="3248"/>
      <c r="BE213" s="3248"/>
      <c r="BF213" s="3248"/>
      <c r="BG213" s="3248"/>
      <c r="BH213" s="3249"/>
      <c r="BI213" s="3249"/>
    </row>
    <row r="214" spans="1:61" ht="13.2" x14ac:dyDescent="0.25">
      <c r="A214" s="3270"/>
      <c r="B214" s="3272"/>
      <c r="C214" s="3271"/>
      <c r="D214" s="3240"/>
      <c r="E214" s="3241"/>
      <c r="F214" s="3241"/>
      <c r="G214" s="3240"/>
      <c r="H214" s="3241"/>
      <c r="I214" s="3241"/>
      <c r="J214" s="3241"/>
      <c r="K214" s="3240"/>
      <c r="L214" s="3241"/>
      <c r="M214" s="3241"/>
      <c r="N214" s="3240">
        <f t="shared" si="27"/>
        <v>0</v>
      </c>
      <c r="O214" s="3239"/>
      <c r="P214" s="3240"/>
      <c r="Q214" s="3241"/>
      <c r="R214" s="3241"/>
      <c r="S214" s="3240"/>
      <c r="T214" s="3241"/>
      <c r="U214" s="3241"/>
      <c r="V214" s="3241"/>
      <c r="W214" s="3240"/>
      <c r="X214" s="3241"/>
      <c r="Y214" s="3241"/>
      <c r="Z214" s="3242">
        <f t="shared" si="28"/>
        <v>0</v>
      </c>
      <c r="AA214" s="3243">
        <f t="shared" si="24"/>
        <v>0</v>
      </c>
      <c r="AB214" s="3242">
        <f t="shared" si="25"/>
        <v>0</v>
      </c>
      <c r="AC214" s="3241"/>
      <c r="AD214" s="3241"/>
      <c r="AE214" s="3242">
        <f t="shared" si="26"/>
        <v>0</v>
      </c>
      <c r="AF214" s="3241"/>
      <c r="AG214" s="3258"/>
      <c r="AH214" s="3241"/>
      <c r="AI214" s="3258"/>
      <c r="AJ214" s="3258"/>
      <c r="AK214" s="3258"/>
      <c r="AL214" s="3241"/>
      <c r="AM214" s="3258"/>
      <c r="AN214" s="3241"/>
      <c r="AO214" s="3258"/>
      <c r="AP214" s="3240">
        <f t="shared" si="23"/>
        <v>0</v>
      </c>
      <c r="AQ214" s="3241"/>
      <c r="AR214" s="3241"/>
      <c r="AS214" s="3242">
        <f t="shared" si="29"/>
        <v>0</v>
      </c>
      <c r="AT214" s="3247"/>
      <c r="AU214" s="3248"/>
      <c r="AV214" s="3248"/>
      <c r="AW214" s="3247"/>
      <c r="AX214" s="3248"/>
      <c r="AY214" s="3248"/>
      <c r="AZ214" s="3247"/>
      <c r="BA214" s="3248"/>
      <c r="BB214" s="3248"/>
      <c r="BC214" s="3247"/>
      <c r="BD214" s="3248"/>
      <c r="BE214" s="3248"/>
      <c r="BF214" s="3248"/>
      <c r="BG214" s="3248"/>
      <c r="BH214" s="3249"/>
      <c r="BI214" s="3249"/>
    </row>
    <row r="215" spans="1:61" ht="13.2" x14ac:dyDescent="0.25">
      <c r="A215" s="3270"/>
      <c r="B215" s="3272"/>
      <c r="C215" s="3271"/>
      <c r="D215" s="3240"/>
      <c r="E215" s="3241"/>
      <c r="F215" s="3241"/>
      <c r="G215" s="3240"/>
      <c r="H215" s="3241"/>
      <c r="I215" s="3241"/>
      <c r="J215" s="3241"/>
      <c r="K215" s="3240"/>
      <c r="L215" s="3241"/>
      <c r="M215" s="3241"/>
      <c r="N215" s="3240">
        <f t="shared" si="27"/>
        <v>0</v>
      </c>
      <c r="O215" s="3239"/>
      <c r="P215" s="3240"/>
      <c r="Q215" s="3241"/>
      <c r="R215" s="3241"/>
      <c r="S215" s="3240"/>
      <c r="T215" s="3241"/>
      <c r="U215" s="3241"/>
      <c r="V215" s="3241"/>
      <c r="W215" s="3240"/>
      <c r="X215" s="3241"/>
      <c r="Y215" s="3241"/>
      <c r="Z215" s="3242">
        <f t="shared" si="28"/>
        <v>0</v>
      </c>
      <c r="AA215" s="3243">
        <f t="shared" si="24"/>
        <v>0</v>
      </c>
      <c r="AB215" s="3242">
        <f t="shared" si="25"/>
        <v>0</v>
      </c>
      <c r="AC215" s="3241"/>
      <c r="AD215" s="3241"/>
      <c r="AE215" s="3242">
        <f t="shared" si="26"/>
        <v>0</v>
      </c>
      <c r="AF215" s="3241"/>
      <c r="AG215" s="3258"/>
      <c r="AH215" s="3241"/>
      <c r="AI215" s="3258"/>
      <c r="AJ215" s="3258"/>
      <c r="AK215" s="3258"/>
      <c r="AL215" s="3241"/>
      <c r="AM215" s="3258"/>
      <c r="AN215" s="3241"/>
      <c r="AO215" s="3258"/>
      <c r="AP215" s="3240">
        <f t="shared" si="23"/>
        <v>0</v>
      </c>
      <c r="AQ215" s="3241"/>
      <c r="AR215" s="3241"/>
      <c r="AS215" s="3242">
        <f t="shared" si="29"/>
        <v>0</v>
      </c>
      <c r="AT215" s="3247"/>
      <c r="AU215" s="3248"/>
      <c r="AV215" s="3248"/>
      <c r="AW215" s="3247"/>
      <c r="AX215" s="3248"/>
      <c r="AY215" s="3248"/>
      <c r="AZ215" s="3247"/>
      <c r="BA215" s="3248"/>
      <c r="BB215" s="3248"/>
      <c r="BC215" s="3247"/>
      <c r="BD215" s="3248"/>
      <c r="BE215" s="3248"/>
      <c r="BF215" s="3248"/>
      <c r="BG215" s="3248"/>
      <c r="BH215" s="3249"/>
      <c r="BI215" s="3249"/>
    </row>
    <row r="216" spans="1:61" ht="13.2" x14ac:dyDescent="0.25">
      <c r="A216" s="3270"/>
      <c r="B216" s="3272"/>
      <c r="C216" s="3271"/>
      <c r="D216" s="3240"/>
      <c r="E216" s="3241"/>
      <c r="F216" s="3241"/>
      <c r="G216" s="3240"/>
      <c r="H216" s="3241"/>
      <c r="I216" s="3241"/>
      <c r="J216" s="3241"/>
      <c r="K216" s="3240"/>
      <c r="L216" s="3241"/>
      <c r="M216" s="3241"/>
      <c r="N216" s="3240">
        <f t="shared" si="27"/>
        <v>0</v>
      </c>
      <c r="O216" s="3239"/>
      <c r="P216" s="3240"/>
      <c r="Q216" s="3241"/>
      <c r="R216" s="3241"/>
      <c r="S216" s="3240"/>
      <c r="T216" s="3241"/>
      <c r="U216" s="3241"/>
      <c r="V216" s="3241"/>
      <c r="W216" s="3240"/>
      <c r="X216" s="3241"/>
      <c r="Y216" s="3241"/>
      <c r="Z216" s="3242">
        <f t="shared" si="28"/>
        <v>0</v>
      </c>
      <c r="AA216" s="3243">
        <f t="shared" si="24"/>
        <v>0</v>
      </c>
      <c r="AB216" s="3242">
        <f t="shared" si="25"/>
        <v>0</v>
      </c>
      <c r="AC216" s="3241"/>
      <c r="AD216" s="3241"/>
      <c r="AE216" s="3242">
        <f t="shared" si="26"/>
        <v>0</v>
      </c>
      <c r="AF216" s="3241"/>
      <c r="AG216" s="3258"/>
      <c r="AH216" s="3241"/>
      <c r="AI216" s="3258"/>
      <c r="AJ216" s="3258"/>
      <c r="AK216" s="3258"/>
      <c r="AL216" s="3241"/>
      <c r="AM216" s="3258"/>
      <c r="AN216" s="3241"/>
      <c r="AO216" s="3258"/>
      <c r="AP216" s="3240">
        <f t="shared" si="23"/>
        <v>0</v>
      </c>
      <c r="AQ216" s="3241"/>
      <c r="AR216" s="3241"/>
      <c r="AS216" s="3242">
        <f t="shared" si="29"/>
        <v>0</v>
      </c>
      <c r="AT216" s="3247"/>
      <c r="AU216" s="3248"/>
      <c r="AV216" s="3248"/>
      <c r="AW216" s="3247"/>
      <c r="AX216" s="3248"/>
      <c r="AY216" s="3248"/>
      <c r="AZ216" s="3247"/>
      <c r="BA216" s="3248"/>
      <c r="BB216" s="3248"/>
      <c r="BC216" s="3247"/>
      <c r="BD216" s="3248"/>
      <c r="BE216" s="3248"/>
      <c r="BF216" s="3248"/>
      <c r="BG216" s="3248"/>
      <c r="BH216" s="3249"/>
      <c r="BI216" s="3249"/>
    </row>
    <row r="217" spans="1:61" ht="13.2" x14ac:dyDescent="0.25">
      <c r="A217" s="3270"/>
      <c r="B217" s="3272"/>
      <c r="C217" s="3271"/>
      <c r="D217" s="3240"/>
      <c r="E217" s="3241"/>
      <c r="F217" s="3241"/>
      <c r="G217" s="3240"/>
      <c r="H217" s="3241"/>
      <c r="I217" s="3241"/>
      <c r="J217" s="3241"/>
      <c r="K217" s="3240"/>
      <c r="L217" s="3241"/>
      <c r="M217" s="3241"/>
      <c r="N217" s="3240">
        <f t="shared" si="27"/>
        <v>0</v>
      </c>
      <c r="O217" s="3239"/>
      <c r="P217" s="3240"/>
      <c r="Q217" s="3241"/>
      <c r="R217" s="3241"/>
      <c r="S217" s="3240"/>
      <c r="T217" s="3241"/>
      <c r="U217" s="3241"/>
      <c r="V217" s="3241"/>
      <c r="W217" s="3240"/>
      <c r="X217" s="3241"/>
      <c r="Y217" s="3241"/>
      <c r="Z217" s="3242">
        <f t="shared" si="28"/>
        <v>0</v>
      </c>
      <c r="AA217" s="3243">
        <f t="shared" si="24"/>
        <v>0</v>
      </c>
      <c r="AB217" s="3242">
        <f t="shared" si="25"/>
        <v>0</v>
      </c>
      <c r="AC217" s="3241"/>
      <c r="AD217" s="3241"/>
      <c r="AE217" s="3242">
        <f t="shared" si="26"/>
        <v>0</v>
      </c>
      <c r="AF217" s="3241"/>
      <c r="AG217" s="3258"/>
      <c r="AH217" s="3241"/>
      <c r="AI217" s="3258"/>
      <c r="AJ217" s="3258"/>
      <c r="AK217" s="3258"/>
      <c r="AL217" s="3241"/>
      <c r="AM217" s="3258"/>
      <c r="AN217" s="3241"/>
      <c r="AO217" s="3258"/>
      <c r="AP217" s="3240">
        <f t="shared" si="23"/>
        <v>0</v>
      </c>
      <c r="AQ217" s="3241"/>
      <c r="AR217" s="3241"/>
      <c r="AS217" s="3242">
        <f t="shared" si="29"/>
        <v>0</v>
      </c>
      <c r="AT217" s="3247"/>
      <c r="AU217" s="3248"/>
      <c r="AV217" s="3248"/>
      <c r="AW217" s="3247"/>
      <c r="AX217" s="3248"/>
      <c r="AY217" s="3248"/>
      <c r="AZ217" s="3247"/>
      <c r="BA217" s="3248"/>
      <c r="BB217" s="3248"/>
      <c r="BC217" s="3247"/>
      <c r="BD217" s="3248"/>
      <c r="BE217" s="3248"/>
      <c r="BF217" s="3248"/>
      <c r="BG217" s="3248"/>
      <c r="BH217" s="3249"/>
      <c r="BI217" s="3249"/>
    </row>
    <row r="218" spans="1:61" ht="13.2" x14ac:dyDescent="0.25">
      <c r="A218" s="3270"/>
      <c r="B218" s="3272"/>
      <c r="C218" s="3271"/>
      <c r="D218" s="3240"/>
      <c r="E218" s="3241"/>
      <c r="F218" s="3241"/>
      <c r="G218" s="3240"/>
      <c r="H218" s="3241"/>
      <c r="I218" s="3241"/>
      <c r="J218" s="3241"/>
      <c r="K218" s="3240"/>
      <c r="L218" s="3241"/>
      <c r="M218" s="3241"/>
      <c r="N218" s="3240">
        <f t="shared" si="27"/>
        <v>0</v>
      </c>
      <c r="O218" s="3239"/>
      <c r="P218" s="3240"/>
      <c r="Q218" s="3241"/>
      <c r="R218" s="3241"/>
      <c r="S218" s="3240"/>
      <c r="T218" s="3241"/>
      <c r="U218" s="3241"/>
      <c r="V218" s="3241"/>
      <c r="W218" s="3240"/>
      <c r="X218" s="3241"/>
      <c r="Y218" s="3241"/>
      <c r="Z218" s="3242">
        <f t="shared" si="28"/>
        <v>0</v>
      </c>
      <c r="AA218" s="3243">
        <f t="shared" si="24"/>
        <v>0</v>
      </c>
      <c r="AB218" s="3242">
        <f t="shared" si="25"/>
        <v>0</v>
      </c>
      <c r="AC218" s="3241"/>
      <c r="AD218" s="3241"/>
      <c r="AE218" s="3242">
        <f t="shared" si="26"/>
        <v>0</v>
      </c>
      <c r="AF218" s="3241"/>
      <c r="AG218" s="3258"/>
      <c r="AH218" s="3241"/>
      <c r="AI218" s="3258"/>
      <c r="AJ218" s="3258"/>
      <c r="AK218" s="3258"/>
      <c r="AL218" s="3241"/>
      <c r="AM218" s="3258"/>
      <c r="AN218" s="3241"/>
      <c r="AO218" s="3258"/>
      <c r="AP218" s="3240">
        <f t="shared" si="23"/>
        <v>0</v>
      </c>
      <c r="AQ218" s="3241"/>
      <c r="AR218" s="3241"/>
      <c r="AS218" s="3242">
        <f t="shared" si="29"/>
        <v>0</v>
      </c>
      <c r="AT218" s="3247"/>
      <c r="AU218" s="3248"/>
      <c r="AV218" s="3248"/>
      <c r="AW218" s="3247"/>
      <c r="AX218" s="3248"/>
      <c r="AY218" s="3248"/>
      <c r="AZ218" s="3247"/>
      <c r="BA218" s="3248"/>
      <c r="BB218" s="3248"/>
      <c r="BC218" s="3247"/>
      <c r="BD218" s="3248"/>
      <c r="BE218" s="3248"/>
      <c r="BF218" s="3248"/>
      <c r="BG218" s="3248"/>
      <c r="BH218" s="3249"/>
      <c r="BI218" s="3249"/>
    </row>
    <row r="219" spans="1:61" x14ac:dyDescent="0.3">
      <c r="A219" s="3270"/>
      <c r="B219" s="3257"/>
      <c r="C219" s="3271"/>
      <c r="D219" s="3240"/>
      <c r="E219" s="3241"/>
      <c r="F219" s="3241"/>
      <c r="G219" s="3240"/>
      <c r="H219" s="3241"/>
      <c r="I219" s="3241"/>
      <c r="J219" s="3241"/>
      <c r="K219" s="3240"/>
      <c r="L219" s="3241"/>
      <c r="M219" s="3241"/>
      <c r="N219" s="3240">
        <f t="shared" si="27"/>
        <v>0</v>
      </c>
      <c r="O219" s="3239"/>
      <c r="P219" s="3240"/>
      <c r="Q219" s="3241"/>
      <c r="R219" s="3241"/>
      <c r="S219" s="3240"/>
      <c r="T219" s="3241"/>
      <c r="U219" s="3241"/>
      <c r="V219" s="3241"/>
      <c r="W219" s="3240"/>
      <c r="X219" s="3241"/>
      <c r="Y219" s="3241"/>
      <c r="Z219" s="3242">
        <f t="shared" si="28"/>
        <v>0</v>
      </c>
      <c r="AA219" s="3243">
        <f t="shared" si="24"/>
        <v>0</v>
      </c>
      <c r="AB219" s="3242">
        <f t="shared" si="25"/>
        <v>0</v>
      </c>
      <c r="AC219" s="3241"/>
      <c r="AD219" s="3241"/>
      <c r="AE219" s="3242">
        <f t="shared" si="26"/>
        <v>0</v>
      </c>
      <c r="AF219" s="3241"/>
      <c r="AG219" s="3258"/>
      <c r="AH219" s="3241"/>
      <c r="AI219" s="3258"/>
      <c r="AJ219" s="3258"/>
      <c r="AK219" s="3258"/>
      <c r="AL219" s="3241"/>
      <c r="AM219" s="3258"/>
      <c r="AN219" s="3241"/>
      <c r="AO219" s="3258"/>
      <c r="AP219" s="3240">
        <f t="shared" si="23"/>
        <v>0</v>
      </c>
      <c r="AQ219" s="3241"/>
      <c r="AR219" s="3241"/>
      <c r="AS219" s="3242">
        <f t="shared" si="29"/>
        <v>0</v>
      </c>
      <c r="AT219" s="3247"/>
      <c r="AU219" s="3248"/>
      <c r="AV219" s="3248"/>
      <c r="AW219" s="3247"/>
      <c r="AX219" s="3248"/>
      <c r="AY219" s="3248"/>
      <c r="AZ219" s="3247"/>
      <c r="BA219" s="3248"/>
      <c r="BB219" s="3248"/>
      <c r="BC219" s="3247"/>
      <c r="BD219" s="3248"/>
      <c r="BE219" s="3248"/>
      <c r="BF219" s="3248"/>
      <c r="BG219" s="3248"/>
      <c r="BH219" s="3249"/>
      <c r="BI219" s="3249"/>
    </row>
    <row r="220" spans="1:61" x14ac:dyDescent="0.3">
      <c r="A220" s="3270"/>
      <c r="B220" s="3257"/>
      <c r="C220" s="3271"/>
      <c r="D220" s="3240"/>
      <c r="E220" s="3241"/>
      <c r="F220" s="3241"/>
      <c r="G220" s="3240"/>
      <c r="H220" s="3241"/>
      <c r="I220" s="3241"/>
      <c r="J220" s="3241"/>
      <c r="K220" s="3240"/>
      <c r="L220" s="3241"/>
      <c r="M220" s="3241"/>
      <c r="N220" s="3240">
        <f t="shared" si="27"/>
        <v>0</v>
      </c>
      <c r="O220" s="3239"/>
      <c r="P220" s="3240"/>
      <c r="Q220" s="3241"/>
      <c r="R220" s="3241"/>
      <c r="S220" s="3240"/>
      <c r="T220" s="3241"/>
      <c r="U220" s="3241"/>
      <c r="V220" s="3241"/>
      <c r="W220" s="3240"/>
      <c r="X220" s="3241"/>
      <c r="Y220" s="3241"/>
      <c r="Z220" s="3242">
        <f t="shared" si="28"/>
        <v>0</v>
      </c>
      <c r="AA220" s="3243">
        <f t="shared" si="24"/>
        <v>0</v>
      </c>
      <c r="AB220" s="3242">
        <f t="shared" si="25"/>
        <v>0</v>
      </c>
      <c r="AC220" s="3241"/>
      <c r="AD220" s="3241"/>
      <c r="AE220" s="3242">
        <f t="shared" si="26"/>
        <v>0</v>
      </c>
      <c r="AF220" s="3241"/>
      <c r="AG220" s="3258"/>
      <c r="AH220" s="3241"/>
      <c r="AI220" s="3258"/>
      <c r="AJ220" s="3258"/>
      <c r="AK220" s="3258"/>
      <c r="AL220" s="3241"/>
      <c r="AM220" s="3258"/>
      <c r="AN220" s="3241"/>
      <c r="AO220" s="3258"/>
      <c r="AP220" s="3240">
        <f t="shared" si="23"/>
        <v>0</v>
      </c>
      <c r="AQ220" s="3241"/>
      <c r="AR220" s="3241"/>
      <c r="AS220" s="3242">
        <f t="shared" si="29"/>
        <v>0</v>
      </c>
      <c r="AT220" s="3247"/>
      <c r="AU220" s="3248"/>
      <c r="AV220" s="3248"/>
      <c r="AW220" s="3247"/>
      <c r="AX220" s="3248"/>
      <c r="AY220" s="3248"/>
      <c r="AZ220" s="3247"/>
      <c r="BA220" s="3248"/>
      <c r="BB220" s="3248"/>
      <c r="BC220" s="3247"/>
      <c r="BD220" s="3248"/>
      <c r="BE220" s="3248"/>
      <c r="BF220" s="3248"/>
      <c r="BG220" s="3248"/>
      <c r="BH220" s="3249"/>
      <c r="BI220" s="3249"/>
    </row>
    <row r="221" spans="1:61" x14ac:dyDescent="0.3">
      <c r="A221" s="3270"/>
      <c r="B221" s="3257"/>
      <c r="C221" s="3271"/>
      <c r="D221" s="3240"/>
      <c r="E221" s="3241"/>
      <c r="F221" s="3241"/>
      <c r="G221" s="3240"/>
      <c r="H221" s="3241"/>
      <c r="I221" s="3241"/>
      <c r="J221" s="3241"/>
      <c r="K221" s="3240"/>
      <c r="L221" s="3241"/>
      <c r="M221" s="3241"/>
      <c r="N221" s="3240">
        <f t="shared" si="27"/>
        <v>0</v>
      </c>
      <c r="O221" s="3239"/>
      <c r="P221" s="3240"/>
      <c r="Q221" s="3241"/>
      <c r="R221" s="3241"/>
      <c r="S221" s="3240"/>
      <c r="T221" s="3241"/>
      <c r="U221" s="3241"/>
      <c r="V221" s="3241"/>
      <c r="W221" s="3240"/>
      <c r="X221" s="3241"/>
      <c r="Y221" s="3241"/>
      <c r="Z221" s="3242">
        <f t="shared" si="28"/>
        <v>0</v>
      </c>
      <c r="AA221" s="3243">
        <f t="shared" si="24"/>
        <v>0</v>
      </c>
      <c r="AB221" s="3242">
        <f t="shared" si="25"/>
        <v>0</v>
      </c>
      <c r="AC221" s="3241"/>
      <c r="AD221" s="3241"/>
      <c r="AE221" s="3242">
        <f t="shared" si="26"/>
        <v>0</v>
      </c>
      <c r="AF221" s="3241"/>
      <c r="AG221" s="3258"/>
      <c r="AH221" s="3241"/>
      <c r="AI221" s="3258"/>
      <c r="AJ221" s="3258"/>
      <c r="AK221" s="3258"/>
      <c r="AL221" s="3241"/>
      <c r="AM221" s="3258"/>
      <c r="AN221" s="3241"/>
      <c r="AO221" s="3258"/>
      <c r="AP221" s="3240">
        <f t="shared" si="23"/>
        <v>0</v>
      </c>
      <c r="AQ221" s="3241"/>
      <c r="AR221" s="3241"/>
      <c r="AS221" s="3242">
        <f t="shared" si="29"/>
        <v>0</v>
      </c>
      <c r="AT221" s="3247"/>
      <c r="AU221" s="3248"/>
      <c r="AV221" s="3248"/>
      <c r="AW221" s="3247"/>
      <c r="AX221" s="3248"/>
      <c r="AY221" s="3248"/>
      <c r="AZ221" s="3247"/>
      <c r="BA221" s="3248"/>
      <c r="BB221" s="3248"/>
      <c r="BC221" s="3247"/>
      <c r="BD221" s="3248"/>
      <c r="BE221" s="3248"/>
      <c r="BF221" s="3248"/>
      <c r="BG221" s="3248"/>
      <c r="BH221" s="3249"/>
      <c r="BI221" s="3249"/>
    </row>
    <row r="222" spans="1:61" x14ac:dyDescent="0.3">
      <c r="A222" s="3270"/>
      <c r="B222" s="3257"/>
      <c r="C222" s="3271"/>
      <c r="D222" s="3240"/>
      <c r="E222" s="3241"/>
      <c r="F222" s="3241"/>
      <c r="G222" s="3240"/>
      <c r="H222" s="3241"/>
      <c r="I222" s="3241"/>
      <c r="J222" s="3241"/>
      <c r="K222" s="3240"/>
      <c r="L222" s="3241"/>
      <c r="M222" s="3241"/>
      <c r="N222" s="3240">
        <f t="shared" si="27"/>
        <v>0</v>
      </c>
      <c r="O222" s="3239"/>
      <c r="P222" s="3240"/>
      <c r="Q222" s="3241"/>
      <c r="R222" s="3241"/>
      <c r="S222" s="3240"/>
      <c r="T222" s="3241"/>
      <c r="U222" s="3241"/>
      <c r="V222" s="3241"/>
      <c r="W222" s="3240"/>
      <c r="X222" s="3241"/>
      <c r="Y222" s="3241"/>
      <c r="Z222" s="3242">
        <f t="shared" si="28"/>
        <v>0</v>
      </c>
      <c r="AA222" s="3243">
        <f t="shared" si="24"/>
        <v>0</v>
      </c>
      <c r="AB222" s="3242">
        <f t="shared" si="25"/>
        <v>0</v>
      </c>
      <c r="AC222" s="3241"/>
      <c r="AD222" s="3241"/>
      <c r="AE222" s="3242">
        <f t="shared" si="26"/>
        <v>0</v>
      </c>
      <c r="AF222" s="3241"/>
      <c r="AG222" s="3258"/>
      <c r="AH222" s="3241"/>
      <c r="AI222" s="3258"/>
      <c r="AJ222" s="3258"/>
      <c r="AK222" s="3258"/>
      <c r="AL222" s="3241"/>
      <c r="AM222" s="3258"/>
      <c r="AN222" s="3241"/>
      <c r="AO222" s="3258"/>
      <c r="AP222" s="3240">
        <f t="shared" si="23"/>
        <v>0</v>
      </c>
      <c r="AQ222" s="3241"/>
      <c r="AR222" s="3241"/>
      <c r="AS222" s="3242">
        <f t="shared" si="29"/>
        <v>0</v>
      </c>
      <c r="AT222" s="3247"/>
      <c r="AU222" s="3248"/>
      <c r="AV222" s="3248"/>
      <c r="AW222" s="3247"/>
      <c r="AX222" s="3248"/>
      <c r="AY222" s="3248"/>
      <c r="AZ222" s="3247"/>
      <c r="BA222" s="3248"/>
      <c r="BB222" s="3248"/>
      <c r="BC222" s="3247"/>
      <c r="BD222" s="3248"/>
      <c r="BE222" s="3248"/>
      <c r="BF222" s="3248"/>
      <c r="BG222" s="3248"/>
      <c r="BH222" s="3249"/>
      <c r="BI222" s="3249"/>
    </row>
    <row r="223" spans="1:61" x14ac:dyDescent="0.3">
      <c r="A223" s="3270"/>
      <c r="B223" s="3257"/>
      <c r="C223" s="3271"/>
      <c r="D223" s="3240"/>
      <c r="E223" s="3241"/>
      <c r="F223" s="3241"/>
      <c r="G223" s="3240"/>
      <c r="H223" s="3241"/>
      <c r="I223" s="3241"/>
      <c r="J223" s="3241"/>
      <c r="K223" s="3240"/>
      <c r="L223" s="3241"/>
      <c r="M223" s="3241"/>
      <c r="N223" s="3240">
        <f t="shared" si="27"/>
        <v>0</v>
      </c>
      <c r="O223" s="3239"/>
      <c r="P223" s="3240"/>
      <c r="Q223" s="3241"/>
      <c r="R223" s="3241"/>
      <c r="S223" s="3240"/>
      <c r="T223" s="3241"/>
      <c r="U223" s="3241"/>
      <c r="V223" s="3241"/>
      <c r="W223" s="3240"/>
      <c r="X223" s="3241"/>
      <c r="Y223" s="3241"/>
      <c r="Z223" s="3242">
        <f t="shared" si="28"/>
        <v>0</v>
      </c>
      <c r="AA223" s="3243">
        <f t="shared" si="24"/>
        <v>0</v>
      </c>
      <c r="AB223" s="3242">
        <f t="shared" si="25"/>
        <v>0</v>
      </c>
      <c r="AC223" s="3241"/>
      <c r="AD223" s="3241"/>
      <c r="AE223" s="3242">
        <f t="shared" si="26"/>
        <v>0</v>
      </c>
      <c r="AF223" s="3241"/>
      <c r="AG223" s="3258"/>
      <c r="AH223" s="3241"/>
      <c r="AI223" s="3258"/>
      <c r="AJ223" s="3258"/>
      <c r="AK223" s="3258"/>
      <c r="AL223" s="3241"/>
      <c r="AM223" s="3258"/>
      <c r="AN223" s="3241"/>
      <c r="AO223" s="3258"/>
      <c r="AP223" s="3240">
        <f t="shared" si="23"/>
        <v>0</v>
      </c>
      <c r="AQ223" s="3241"/>
      <c r="AR223" s="3241"/>
      <c r="AS223" s="3242">
        <f t="shared" si="29"/>
        <v>0</v>
      </c>
      <c r="AT223" s="3247"/>
      <c r="AU223" s="3248"/>
      <c r="AV223" s="3248"/>
      <c r="AW223" s="3247"/>
      <c r="AX223" s="3248"/>
      <c r="AY223" s="3248"/>
      <c r="AZ223" s="3247"/>
      <c r="BA223" s="3248"/>
      <c r="BB223" s="3248"/>
      <c r="BC223" s="3247"/>
      <c r="BD223" s="3248"/>
      <c r="BE223" s="3248"/>
      <c r="BF223" s="3248"/>
      <c r="BG223" s="3248"/>
      <c r="BH223" s="3249"/>
      <c r="BI223" s="3249"/>
    </row>
    <row r="224" spans="1:61" x14ac:dyDescent="0.3">
      <c r="A224" s="3270"/>
      <c r="B224" s="3257"/>
      <c r="C224" s="3271"/>
      <c r="D224" s="3240"/>
      <c r="E224" s="3241"/>
      <c r="F224" s="3241"/>
      <c r="G224" s="3240"/>
      <c r="H224" s="3241"/>
      <c r="I224" s="3241"/>
      <c r="J224" s="3241"/>
      <c r="K224" s="3240"/>
      <c r="L224" s="3241"/>
      <c r="M224" s="3241"/>
      <c r="N224" s="3240">
        <f t="shared" si="27"/>
        <v>0</v>
      </c>
      <c r="O224" s="3239"/>
      <c r="P224" s="3240"/>
      <c r="Q224" s="3241"/>
      <c r="R224" s="3241"/>
      <c r="S224" s="3240"/>
      <c r="T224" s="3241"/>
      <c r="U224" s="3241"/>
      <c r="V224" s="3241"/>
      <c r="W224" s="3240"/>
      <c r="X224" s="3241"/>
      <c r="Y224" s="3241"/>
      <c r="Z224" s="3242">
        <f t="shared" si="28"/>
        <v>0</v>
      </c>
      <c r="AA224" s="3243">
        <f t="shared" si="24"/>
        <v>0</v>
      </c>
      <c r="AB224" s="3242">
        <f t="shared" si="25"/>
        <v>0</v>
      </c>
      <c r="AC224" s="3241"/>
      <c r="AD224" s="3241"/>
      <c r="AE224" s="3242">
        <f t="shared" si="26"/>
        <v>0</v>
      </c>
      <c r="AF224" s="3241"/>
      <c r="AG224" s="3258"/>
      <c r="AH224" s="3241"/>
      <c r="AI224" s="3258"/>
      <c r="AJ224" s="3258"/>
      <c r="AK224" s="3258"/>
      <c r="AL224" s="3241"/>
      <c r="AM224" s="3258"/>
      <c r="AN224" s="3241"/>
      <c r="AO224" s="3258"/>
      <c r="AP224" s="3240">
        <f t="shared" si="23"/>
        <v>0</v>
      </c>
      <c r="AQ224" s="3241"/>
      <c r="AR224" s="3241"/>
      <c r="AS224" s="3242">
        <f t="shared" si="29"/>
        <v>0</v>
      </c>
      <c r="AT224" s="3247"/>
      <c r="AU224" s="3248"/>
      <c r="AV224" s="3248"/>
      <c r="AW224" s="3247"/>
      <c r="AX224" s="3248"/>
      <c r="AY224" s="3248"/>
      <c r="AZ224" s="3247"/>
      <c r="BA224" s="3248"/>
      <c r="BB224" s="3248"/>
      <c r="BC224" s="3247"/>
      <c r="BD224" s="3248"/>
      <c r="BE224" s="3248"/>
      <c r="BF224" s="3248"/>
      <c r="BG224" s="3248"/>
      <c r="BH224" s="3249"/>
      <c r="BI224" s="3249"/>
    </row>
    <row r="225" spans="1:61" x14ac:dyDescent="0.3">
      <c r="A225" s="3270"/>
      <c r="B225" s="3257"/>
      <c r="C225" s="3271"/>
      <c r="D225" s="3240"/>
      <c r="E225" s="3241"/>
      <c r="F225" s="3241"/>
      <c r="G225" s="3240"/>
      <c r="H225" s="3241"/>
      <c r="I225" s="3241"/>
      <c r="J225" s="3241"/>
      <c r="K225" s="3240"/>
      <c r="L225" s="3241"/>
      <c r="M225" s="3241"/>
      <c r="N225" s="3240">
        <f t="shared" si="27"/>
        <v>0</v>
      </c>
      <c r="O225" s="3239"/>
      <c r="P225" s="3240"/>
      <c r="Q225" s="3241"/>
      <c r="R225" s="3241"/>
      <c r="S225" s="3240"/>
      <c r="T225" s="3241"/>
      <c r="U225" s="3241"/>
      <c r="V225" s="3241"/>
      <c r="W225" s="3240"/>
      <c r="X225" s="3241"/>
      <c r="Y225" s="3241"/>
      <c r="Z225" s="3242">
        <f t="shared" si="28"/>
        <v>0</v>
      </c>
      <c r="AA225" s="3243">
        <f t="shared" si="24"/>
        <v>0</v>
      </c>
      <c r="AB225" s="3242">
        <f t="shared" si="25"/>
        <v>0</v>
      </c>
      <c r="AC225" s="3241"/>
      <c r="AD225" s="3241"/>
      <c r="AE225" s="3242">
        <f t="shared" si="26"/>
        <v>0</v>
      </c>
      <c r="AF225" s="3241"/>
      <c r="AG225" s="3258"/>
      <c r="AH225" s="3241"/>
      <c r="AI225" s="3258"/>
      <c r="AJ225" s="3258"/>
      <c r="AK225" s="3258"/>
      <c r="AL225" s="3241"/>
      <c r="AM225" s="3258"/>
      <c r="AN225" s="3241"/>
      <c r="AO225" s="3258"/>
      <c r="AP225" s="3240">
        <f t="shared" si="23"/>
        <v>0</v>
      </c>
      <c r="AQ225" s="3241"/>
      <c r="AR225" s="3241"/>
      <c r="AS225" s="3242">
        <f t="shared" si="29"/>
        <v>0</v>
      </c>
      <c r="AT225" s="3247"/>
      <c r="AU225" s="3248"/>
      <c r="AV225" s="3248"/>
      <c r="AW225" s="3247"/>
      <c r="AX225" s="3248"/>
      <c r="AY225" s="3248"/>
      <c r="AZ225" s="3247"/>
      <c r="BA225" s="3248"/>
      <c r="BB225" s="3248"/>
      <c r="BC225" s="3247"/>
      <c r="BD225" s="3248"/>
      <c r="BE225" s="3248"/>
      <c r="BF225" s="3248"/>
      <c r="BG225" s="3248"/>
      <c r="BH225" s="3249"/>
      <c r="BI225" s="3249"/>
    </row>
    <row r="226" spans="1:61" x14ac:dyDescent="0.3">
      <c r="A226" s="3270"/>
      <c r="B226" s="3257"/>
      <c r="C226" s="3271"/>
      <c r="D226" s="3240"/>
      <c r="E226" s="3241"/>
      <c r="F226" s="3241"/>
      <c r="G226" s="3240"/>
      <c r="H226" s="3241"/>
      <c r="I226" s="3241"/>
      <c r="J226" s="3241"/>
      <c r="K226" s="3240"/>
      <c r="L226" s="3241"/>
      <c r="M226" s="3241"/>
      <c r="N226" s="3240">
        <f t="shared" si="27"/>
        <v>0</v>
      </c>
      <c r="O226" s="3239">
        <v>0</v>
      </c>
      <c r="P226" s="3240">
        <v>0</v>
      </c>
      <c r="Q226" s="3241"/>
      <c r="R226" s="3241"/>
      <c r="S226" s="3240">
        <v>0</v>
      </c>
      <c r="T226" s="3241"/>
      <c r="U226" s="3241"/>
      <c r="V226" s="3241"/>
      <c r="W226" s="3240">
        <v>0</v>
      </c>
      <c r="X226" s="3241"/>
      <c r="Y226" s="3241"/>
      <c r="Z226" s="3242">
        <f t="shared" si="28"/>
        <v>0</v>
      </c>
      <c r="AA226" s="3243">
        <f t="shared" si="24"/>
        <v>0</v>
      </c>
      <c r="AB226" s="3242">
        <f t="shared" si="25"/>
        <v>0</v>
      </c>
      <c r="AC226" s="3244"/>
      <c r="AD226" s="3244"/>
      <c r="AE226" s="3242">
        <f t="shared" si="26"/>
        <v>0</v>
      </c>
      <c r="AF226" s="3244"/>
      <c r="AG226" s="3266"/>
      <c r="AH226" s="3241"/>
      <c r="AI226" s="3266"/>
      <c r="AJ226" s="3266"/>
      <c r="AK226" s="3266"/>
      <c r="AL226" s="3244"/>
      <c r="AM226" s="3266"/>
      <c r="AN226" s="3244"/>
      <c r="AO226" s="3266"/>
      <c r="AP226" s="3240">
        <f t="shared" si="23"/>
        <v>0</v>
      </c>
      <c r="AQ226" s="3244"/>
      <c r="AR226" s="3244"/>
      <c r="AS226" s="3242">
        <f t="shared" si="29"/>
        <v>0</v>
      </c>
      <c r="AT226" s="3247"/>
      <c r="AU226" s="3248"/>
      <c r="AV226" s="3248"/>
      <c r="AW226" s="3247"/>
      <c r="AX226" s="3248"/>
      <c r="AY226" s="3248"/>
      <c r="AZ226" s="3247"/>
      <c r="BA226" s="3248"/>
      <c r="BB226" s="3248"/>
      <c r="BC226" s="3247"/>
      <c r="BD226" s="3248"/>
      <c r="BE226" s="3248"/>
      <c r="BF226" s="3248"/>
      <c r="BG226" s="3248"/>
      <c r="BH226" s="3249"/>
      <c r="BI226" s="3249"/>
    </row>
    <row r="227" spans="1:61" x14ac:dyDescent="0.3">
      <c r="A227" s="3270"/>
      <c r="B227" s="3257"/>
      <c r="C227" s="3271"/>
      <c r="D227" s="3240"/>
      <c r="E227" s="3241"/>
      <c r="F227" s="3241"/>
      <c r="G227" s="3240"/>
      <c r="H227" s="3241"/>
      <c r="I227" s="3241"/>
      <c r="J227" s="3241"/>
      <c r="K227" s="3240"/>
      <c r="L227" s="3241"/>
      <c r="M227" s="3241"/>
      <c r="N227" s="3240">
        <f t="shared" si="27"/>
        <v>0</v>
      </c>
      <c r="O227" s="3239">
        <v>0</v>
      </c>
      <c r="P227" s="3240">
        <v>0</v>
      </c>
      <c r="Q227" s="3241"/>
      <c r="R227" s="3241"/>
      <c r="S227" s="3240">
        <v>0</v>
      </c>
      <c r="T227" s="3241"/>
      <c r="U227" s="3241"/>
      <c r="V227" s="3241"/>
      <c r="W227" s="3240">
        <v>0</v>
      </c>
      <c r="X227" s="3241"/>
      <c r="Y227" s="3241"/>
      <c r="Z227" s="3242">
        <f t="shared" si="28"/>
        <v>0</v>
      </c>
      <c r="AA227" s="3243">
        <f t="shared" si="24"/>
        <v>0</v>
      </c>
      <c r="AB227" s="3242">
        <f t="shared" si="25"/>
        <v>0</v>
      </c>
      <c r="AC227" s="3244"/>
      <c r="AD227" s="3244"/>
      <c r="AE227" s="3242">
        <f t="shared" si="26"/>
        <v>0</v>
      </c>
      <c r="AF227" s="3259"/>
      <c r="AG227" s="3260"/>
      <c r="AH227" s="3241"/>
      <c r="AI227" s="3260"/>
      <c r="AJ227" s="3260"/>
      <c r="AK227" s="3260"/>
      <c r="AL227" s="3259"/>
      <c r="AM227" s="3260"/>
      <c r="AN227" s="3259"/>
      <c r="AO227" s="3260"/>
      <c r="AP227" s="3240">
        <f t="shared" si="23"/>
        <v>0</v>
      </c>
      <c r="AQ227" s="3244"/>
      <c r="AR227" s="3244"/>
      <c r="AS227" s="3242">
        <f t="shared" si="29"/>
        <v>0</v>
      </c>
      <c r="AT227" s="3247"/>
      <c r="AU227" s="3248"/>
      <c r="AV227" s="3248"/>
      <c r="AW227" s="3247"/>
      <c r="AX227" s="3248"/>
      <c r="AY227" s="3248"/>
      <c r="AZ227" s="3247"/>
      <c r="BA227" s="3248"/>
      <c r="BB227" s="3248"/>
      <c r="BC227" s="3247"/>
      <c r="BD227" s="3248"/>
      <c r="BE227" s="3248"/>
      <c r="BF227" s="3248"/>
      <c r="BG227" s="3248"/>
      <c r="BH227" s="3249"/>
      <c r="BI227" s="3249"/>
    </row>
    <row r="228" spans="1:61" x14ac:dyDescent="0.3">
      <c r="A228" s="3270"/>
      <c r="B228" s="3257"/>
      <c r="C228" s="3271"/>
      <c r="D228" s="3240"/>
      <c r="E228" s="3241"/>
      <c r="F228" s="3241"/>
      <c r="G228" s="3240"/>
      <c r="H228" s="3241"/>
      <c r="I228" s="3241"/>
      <c r="J228" s="3241"/>
      <c r="K228" s="3240"/>
      <c r="L228" s="3241"/>
      <c r="M228" s="3241"/>
      <c r="N228" s="3240">
        <f t="shared" si="27"/>
        <v>0</v>
      </c>
      <c r="O228" s="3239">
        <v>0</v>
      </c>
      <c r="P228" s="3240"/>
      <c r="Q228" s="3241"/>
      <c r="R228" s="3241"/>
      <c r="S228" s="3240">
        <v>0</v>
      </c>
      <c r="T228" s="3241"/>
      <c r="U228" s="3241"/>
      <c r="V228" s="3241"/>
      <c r="W228" s="3240">
        <v>0</v>
      </c>
      <c r="X228" s="3241"/>
      <c r="Y228" s="3241"/>
      <c r="Z228" s="3242">
        <f t="shared" si="28"/>
        <v>0</v>
      </c>
      <c r="AA228" s="3243">
        <f t="shared" si="24"/>
        <v>0</v>
      </c>
      <c r="AB228" s="3242">
        <f t="shared" si="25"/>
        <v>0</v>
      </c>
      <c r="AC228" s="3244"/>
      <c r="AD228" s="3244"/>
      <c r="AE228" s="3242">
        <f t="shared" si="26"/>
        <v>0</v>
      </c>
      <c r="AF228" s="3259"/>
      <c r="AG228" s="3260"/>
      <c r="AH228" s="3241"/>
      <c r="AI228" s="3260"/>
      <c r="AJ228" s="3260"/>
      <c r="AK228" s="3260"/>
      <c r="AL228" s="3259"/>
      <c r="AM228" s="3260"/>
      <c r="AN228" s="3259"/>
      <c r="AO228" s="3260"/>
      <c r="AP228" s="3240">
        <f t="shared" si="23"/>
        <v>0</v>
      </c>
      <c r="AQ228" s="3244"/>
      <c r="AR228" s="3244"/>
      <c r="AS228" s="3242">
        <f t="shared" si="29"/>
        <v>0</v>
      </c>
      <c r="AT228" s="3247"/>
      <c r="AU228" s="3248"/>
      <c r="AV228" s="3248"/>
      <c r="AW228" s="3247"/>
      <c r="AX228" s="3248"/>
      <c r="AY228" s="3248"/>
      <c r="AZ228" s="3247"/>
      <c r="BA228" s="3248"/>
      <c r="BB228" s="3248"/>
      <c r="BC228" s="3247"/>
      <c r="BD228" s="3248"/>
      <c r="BE228" s="3248"/>
      <c r="BF228" s="3248"/>
      <c r="BG228" s="3248"/>
      <c r="BH228" s="3249"/>
      <c r="BI228" s="3249"/>
    </row>
    <row r="229" spans="1:61" x14ac:dyDescent="0.3">
      <c r="A229" s="3270"/>
      <c r="B229" s="3257"/>
      <c r="C229" s="3271"/>
      <c r="D229" s="3240"/>
      <c r="E229" s="3241"/>
      <c r="F229" s="3241"/>
      <c r="G229" s="3240"/>
      <c r="H229" s="3241"/>
      <c r="I229" s="3241"/>
      <c r="J229" s="3241"/>
      <c r="K229" s="3240"/>
      <c r="L229" s="3241"/>
      <c r="M229" s="3241"/>
      <c r="N229" s="3240">
        <f t="shared" si="27"/>
        <v>0</v>
      </c>
      <c r="O229" s="3239">
        <v>0</v>
      </c>
      <c r="P229" s="3240"/>
      <c r="Q229" s="3241"/>
      <c r="R229" s="3241"/>
      <c r="S229" s="3240">
        <v>0</v>
      </c>
      <c r="T229" s="3241"/>
      <c r="U229" s="3241"/>
      <c r="V229" s="3241"/>
      <c r="W229" s="3240">
        <v>0</v>
      </c>
      <c r="X229" s="3241"/>
      <c r="Y229" s="3241"/>
      <c r="Z229" s="3242">
        <f t="shared" si="28"/>
        <v>0</v>
      </c>
      <c r="AA229" s="3243">
        <f t="shared" si="24"/>
        <v>0</v>
      </c>
      <c r="AB229" s="3242">
        <f t="shared" si="25"/>
        <v>0</v>
      </c>
      <c r="AC229" s="3244"/>
      <c r="AD229" s="3244"/>
      <c r="AE229" s="3242">
        <f t="shared" si="26"/>
        <v>0</v>
      </c>
      <c r="AF229" s="3259"/>
      <c r="AG229" s="3260"/>
      <c r="AH229" s="3241"/>
      <c r="AI229" s="3260"/>
      <c r="AJ229" s="3260"/>
      <c r="AK229" s="3260"/>
      <c r="AL229" s="3259"/>
      <c r="AM229" s="3260"/>
      <c r="AN229" s="3259"/>
      <c r="AO229" s="3260"/>
      <c r="AP229" s="3240">
        <f t="shared" si="23"/>
        <v>0</v>
      </c>
      <c r="AQ229" s="3244"/>
      <c r="AR229" s="3244"/>
      <c r="AS229" s="3242">
        <f t="shared" si="29"/>
        <v>0</v>
      </c>
      <c r="AT229" s="3247"/>
      <c r="AU229" s="3248"/>
      <c r="AV229" s="3248"/>
      <c r="AW229" s="3247"/>
      <c r="AX229" s="3248"/>
      <c r="AY229" s="3248"/>
      <c r="AZ229" s="3247"/>
      <c r="BA229" s="3248"/>
      <c r="BB229" s="3248"/>
      <c r="BC229" s="3247"/>
      <c r="BD229" s="3248"/>
      <c r="BE229" s="3248"/>
      <c r="BF229" s="3248"/>
      <c r="BG229" s="3248"/>
      <c r="BH229" s="3249"/>
      <c r="BI229" s="3249"/>
    </row>
    <row r="230" spans="1:61" x14ac:dyDescent="0.3">
      <c r="A230" s="3270"/>
      <c r="B230" s="3257"/>
      <c r="C230" s="3271"/>
      <c r="D230" s="3240"/>
      <c r="E230" s="3241"/>
      <c r="F230" s="3241"/>
      <c r="G230" s="3240"/>
      <c r="H230" s="3241"/>
      <c r="I230" s="3241"/>
      <c r="J230" s="3241"/>
      <c r="K230" s="3240"/>
      <c r="L230" s="3241"/>
      <c r="M230" s="3241"/>
      <c r="N230" s="3240">
        <f t="shared" si="27"/>
        <v>0</v>
      </c>
      <c r="O230" s="3239">
        <v>0</v>
      </c>
      <c r="P230" s="3240"/>
      <c r="Q230" s="3241"/>
      <c r="R230" s="3241"/>
      <c r="S230" s="3240">
        <v>0</v>
      </c>
      <c r="T230" s="3241"/>
      <c r="U230" s="3241"/>
      <c r="V230" s="3241"/>
      <c r="W230" s="3240">
        <v>0</v>
      </c>
      <c r="X230" s="3241"/>
      <c r="Y230" s="3241"/>
      <c r="Z230" s="3242">
        <f t="shared" si="28"/>
        <v>0</v>
      </c>
      <c r="AA230" s="3243">
        <f t="shared" si="24"/>
        <v>0</v>
      </c>
      <c r="AB230" s="3242">
        <f t="shared" si="25"/>
        <v>0</v>
      </c>
      <c r="AC230" s="3244"/>
      <c r="AD230" s="3244"/>
      <c r="AE230" s="3242">
        <f t="shared" si="26"/>
        <v>0</v>
      </c>
      <c r="AF230" s="3259"/>
      <c r="AG230" s="3260"/>
      <c r="AH230" s="3241"/>
      <c r="AI230" s="3260"/>
      <c r="AJ230" s="3260"/>
      <c r="AK230" s="3260"/>
      <c r="AL230" s="3259"/>
      <c r="AM230" s="3260"/>
      <c r="AN230" s="3259"/>
      <c r="AO230" s="3260"/>
      <c r="AP230" s="3240">
        <f t="shared" si="23"/>
        <v>0</v>
      </c>
      <c r="AQ230" s="3244"/>
      <c r="AR230" s="3244"/>
      <c r="AS230" s="3242">
        <f t="shared" si="29"/>
        <v>0</v>
      </c>
      <c r="AT230" s="3247"/>
      <c r="AU230" s="3248"/>
      <c r="AV230" s="3248"/>
      <c r="AW230" s="3247"/>
      <c r="AX230" s="3248"/>
      <c r="AY230" s="3248"/>
      <c r="AZ230" s="3247"/>
      <c r="BA230" s="3248"/>
      <c r="BB230" s="3248"/>
      <c r="BC230" s="3247"/>
      <c r="BD230" s="3248"/>
      <c r="BE230" s="3248"/>
      <c r="BF230" s="3248"/>
      <c r="BG230" s="3248"/>
      <c r="BH230" s="3249"/>
      <c r="BI230" s="3249"/>
    </row>
    <row r="231" spans="1:61" x14ac:dyDescent="0.3">
      <c r="A231" s="3270"/>
      <c r="B231" s="3257"/>
      <c r="C231" s="3271"/>
      <c r="D231" s="3240"/>
      <c r="E231" s="3241"/>
      <c r="F231" s="3241"/>
      <c r="G231" s="3240"/>
      <c r="H231" s="3241"/>
      <c r="I231" s="3241"/>
      <c r="J231" s="3241"/>
      <c r="K231" s="3240"/>
      <c r="L231" s="3241"/>
      <c r="M231" s="3241"/>
      <c r="N231" s="3240">
        <f t="shared" si="27"/>
        <v>0</v>
      </c>
      <c r="O231" s="3239">
        <v>0</v>
      </c>
      <c r="P231" s="3240"/>
      <c r="Q231" s="3241"/>
      <c r="R231" s="3241"/>
      <c r="S231" s="3240">
        <v>0</v>
      </c>
      <c r="T231" s="3241"/>
      <c r="U231" s="3241"/>
      <c r="V231" s="3241"/>
      <c r="W231" s="3240">
        <v>0</v>
      </c>
      <c r="X231" s="3241"/>
      <c r="Y231" s="3241"/>
      <c r="Z231" s="3242">
        <f t="shared" si="28"/>
        <v>0</v>
      </c>
      <c r="AA231" s="3243">
        <f t="shared" si="24"/>
        <v>0</v>
      </c>
      <c r="AB231" s="3242">
        <f t="shared" si="25"/>
        <v>0</v>
      </c>
      <c r="AC231" s="3244"/>
      <c r="AD231" s="3244"/>
      <c r="AE231" s="3242">
        <f t="shared" si="26"/>
        <v>0</v>
      </c>
      <c r="AF231" s="3259"/>
      <c r="AG231" s="3260"/>
      <c r="AH231" s="3241"/>
      <c r="AI231" s="3260"/>
      <c r="AJ231" s="3260"/>
      <c r="AK231" s="3260"/>
      <c r="AL231" s="3259"/>
      <c r="AM231" s="3260"/>
      <c r="AN231" s="3259"/>
      <c r="AO231" s="3260"/>
      <c r="AP231" s="3240">
        <f t="shared" si="23"/>
        <v>0</v>
      </c>
      <c r="AQ231" s="3244"/>
      <c r="AR231" s="3244"/>
      <c r="AS231" s="3242">
        <f t="shared" si="29"/>
        <v>0</v>
      </c>
      <c r="AT231" s="3247"/>
      <c r="AU231" s="3248"/>
      <c r="AV231" s="3248"/>
      <c r="AW231" s="3247"/>
      <c r="AX231" s="3248"/>
      <c r="AY231" s="3248"/>
      <c r="AZ231" s="3247"/>
      <c r="BA231" s="3248"/>
      <c r="BB231" s="3248"/>
      <c r="BC231" s="3247"/>
      <c r="BD231" s="3248"/>
      <c r="BE231" s="3248"/>
      <c r="BF231" s="3248"/>
      <c r="BG231" s="3248"/>
      <c r="BH231" s="3249"/>
      <c r="BI231" s="3249"/>
    </row>
    <row r="232" spans="1:61" x14ac:dyDescent="0.3">
      <c r="A232" s="3270"/>
      <c r="B232" s="3257"/>
      <c r="C232" s="3271"/>
      <c r="D232" s="3240"/>
      <c r="E232" s="3241"/>
      <c r="F232" s="3241"/>
      <c r="G232" s="3240"/>
      <c r="H232" s="3241"/>
      <c r="I232" s="3241"/>
      <c r="J232" s="3241"/>
      <c r="K232" s="3240"/>
      <c r="L232" s="3241"/>
      <c r="M232" s="3241"/>
      <c r="N232" s="3240">
        <f t="shared" si="27"/>
        <v>0</v>
      </c>
      <c r="O232" s="3239">
        <v>0</v>
      </c>
      <c r="P232" s="3240"/>
      <c r="Q232" s="3241"/>
      <c r="R232" s="3241"/>
      <c r="S232" s="3240">
        <v>0</v>
      </c>
      <c r="T232" s="3241"/>
      <c r="U232" s="3241"/>
      <c r="V232" s="3241"/>
      <c r="W232" s="3240">
        <v>0</v>
      </c>
      <c r="X232" s="3241"/>
      <c r="Y232" s="3241"/>
      <c r="Z232" s="3242">
        <f t="shared" si="28"/>
        <v>0</v>
      </c>
      <c r="AA232" s="3243">
        <f t="shared" si="24"/>
        <v>0</v>
      </c>
      <c r="AB232" s="3242">
        <f t="shared" si="25"/>
        <v>0</v>
      </c>
      <c r="AC232" s="3244"/>
      <c r="AD232" s="3244"/>
      <c r="AE232" s="3242">
        <f t="shared" si="26"/>
        <v>0</v>
      </c>
      <c r="AF232" s="3259"/>
      <c r="AG232" s="3260"/>
      <c r="AH232" s="3250"/>
      <c r="AI232" s="3260"/>
      <c r="AJ232" s="3260"/>
      <c r="AK232" s="3260"/>
      <c r="AL232" s="3259"/>
      <c r="AM232" s="3260"/>
      <c r="AN232" s="3259"/>
      <c r="AO232" s="3260"/>
      <c r="AP232" s="3240">
        <f t="shared" si="23"/>
        <v>0</v>
      </c>
      <c r="AQ232" s="3244"/>
      <c r="AR232" s="3244"/>
      <c r="AS232" s="3242">
        <f t="shared" si="29"/>
        <v>0</v>
      </c>
      <c r="AT232" s="3247"/>
      <c r="AU232" s="3248"/>
      <c r="AV232" s="3248"/>
      <c r="AW232" s="3247"/>
      <c r="AX232" s="3248"/>
      <c r="AY232" s="3248"/>
      <c r="AZ232" s="3247"/>
      <c r="BA232" s="3248"/>
      <c r="BB232" s="3248"/>
      <c r="BC232" s="3247"/>
      <c r="BD232" s="3248"/>
      <c r="BE232" s="3248"/>
      <c r="BF232" s="3248"/>
      <c r="BG232" s="3248"/>
      <c r="BH232" s="3249"/>
      <c r="BI232" s="3249"/>
    </row>
    <row r="233" spans="1:61" x14ac:dyDescent="0.3">
      <c r="A233" s="3238"/>
      <c r="B233" s="3257"/>
      <c r="C233" s="3239"/>
      <c r="D233" s="3240"/>
      <c r="E233" s="3241"/>
      <c r="F233" s="3241"/>
      <c r="G233" s="3240"/>
      <c r="H233" s="3241"/>
      <c r="I233" s="3241"/>
      <c r="J233" s="3241"/>
      <c r="K233" s="3240"/>
      <c r="L233" s="3241"/>
      <c r="M233" s="3241"/>
      <c r="N233" s="3240">
        <f t="shared" si="27"/>
        <v>0</v>
      </c>
      <c r="O233" s="3239">
        <v>0</v>
      </c>
      <c r="P233" s="3240"/>
      <c r="Q233" s="3241"/>
      <c r="R233" s="3241"/>
      <c r="S233" s="3240">
        <v>0</v>
      </c>
      <c r="T233" s="3241"/>
      <c r="U233" s="3241"/>
      <c r="V233" s="3241"/>
      <c r="W233" s="3240">
        <v>0</v>
      </c>
      <c r="X233" s="3241"/>
      <c r="Y233" s="3241"/>
      <c r="Z233" s="3242">
        <f t="shared" si="28"/>
        <v>0</v>
      </c>
      <c r="AA233" s="3243">
        <f t="shared" si="24"/>
        <v>0</v>
      </c>
      <c r="AB233" s="3242">
        <f t="shared" si="25"/>
        <v>0</v>
      </c>
      <c r="AC233" s="3244"/>
      <c r="AD233" s="3244"/>
      <c r="AE233" s="3242">
        <f t="shared" si="26"/>
        <v>0</v>
      </c>
      <c r="AF233" s="3259"/>
      <c r="AG233" s="3260"/>
      <c r="AH233" s="3250"/>
      <c r="AI233" s="3260"/>
      <c r="AJ233" s="3260"/>
      <c r="AK233" s="3260"/>
      <c r="AL233" s="3259"/>
      <c r="AM233" s="3260"/>
      <c r="AN233" s="3259"/>
      <c r="AO233" s="3260"/>
      <c r="AP233" s="3240">
        <f t="shared" si="23"/>
        <v>0</v>
      </c>
      <c r="AQ233" s="3244"/>
      <c r="AR233" s="3244"/>
      <c r="AS233" s="3242">
        <f t="shared" si="29"/>
        <v>0</v>
      </c>
      <c r="AT233" s="3247"/>
      <c r="AU233" s="3248"/>
      <c r="AV233" s="3248"/>
      <c r="AW233" s="3247"/>
      <c r="AX233" s="3248"/>
      <c r="AY233" s="3248"/>
      <c r="AZ233" s="3247"/>
      <c r="BA233" s="3248"/>
      <c r="BB233" s="3248"/>
      <c r="BC233" s="3247"/>
      <c r="BD233" s="3248"/>
      <c r="BE233" s="3248"/>
      <c r="BF233" s="3248"/>
      <c r="BG233" s="3248"/>
      <c r="BH233" s="3249"/>
      <c r="BI233" s="3249"/>
    </row>
    <row r="234" spans="1:61" x14ac:dyDescent="0.3">
      <c r="A234" s="3238"/>
      <c r="B234" s="3257"/>
      <c r="C234" s="3239"/>
      <c r="D234" s="3240"/>
      <c r="E234" s="3241"/>
      <c r="F234" s="3241"/>
      <c r="G234" s="3240"/>
      <c r="H234" s="3241"/>
      <c r="I234" s="3241"/>
      <c r="J234" s="3241"/>
      <c r="K234" s="3240"/>
      <c r="L234" s="3241"/>
      <c r="M234" s="3241"/>
      <c r="N234" s="3240">
        <f t="shared" si="27"/>
        <v>0</v>
      </c>
      <c r="O234" s="3239">
        <v>0</v>
      </c>
      <c r="P234" s="3240"/>
      <c r="Q234" s="3241"/>
      <c r="R234" s="3241"/>
      <c r="S234" s="3240">
        <v>0</v>
      </c>
      <c r="T234" s="3241"/>
      <c r="U234" s="3241"/>
      <c r="V234" s="3241"/>
      <c r="W234" s="3240">
        <v>0</v>
      </c>
      <c r="X234" s="3241"/>
      <c r="Y234" s="3241"/>
      <c r="Z234" s="3242">
        <f t="shared" si="28"/>
        <v>0</v>
      </c>
      <c r="AA234" s="3243">
        <f t="shared" si="24"/>
        <v>0</v>
      </c>
      <c r="AB234" s="3242">
        <f t="shared" si="25"/>
        <v>0</v>
      </c>
      <c r="AC234" s="3244"/>
      <c r="AD234" s="3244"/>
      <c r="AE234" s="3242">
        <f t="shared" si="26"/>
        <v>0</v>
      </c>
      <c r="AF234" s="3259"/>
      <c r="AG234" s="3260"/>
      <c r="AH234" s="3250"/>
      <c r="AI234" s="3260"/>
      <c r="AJ234" s="3260"/>
      <c r="AK234" s="3260"/>
      <c r="AL234" s="3259"/>
      <c r="AM234" s="3260"/>
      <c r="AN234" s="3259"/>
      <c r="AO234" s="3260"/>
      <c r="AP234" s="3240">
        <f t="shared" si="23"/>
        <v>0</v>
      </c>
      <c r="AQ234" s="3244"/>
      <c r="AR234" s="3244"/>
      <c r="AS234" s="3242">
        <f t="shared" si="29"/>
        <v>0</v>
      </c>
      <c r="AT234" s="3247"/>
      <c r="AU234" s="3248"/>
      <c r="AV234" s="3248"/>
      <c r="AW234" s="3247"/>
      <c r="AX234" s="3248"/>
      <c r="AY234" s="3248"/>
      <c r="AZ234" s="3247"/>
      <c r="BA234" s="3248"/>
      <c r="BB234" s="3248"/>
      <c r="BC234" s="3247"/>
      <c r="BD234" s="3248"/>
      <c r="BE234" s="3248"/>
      <c r="BF234" s="3248"/>
      <c r="BG234" s="3248"/>
      <c r="BH234" s="3249"/>
      <c r="BI234" s="3249"/>
    </row>
    <row r="235" spans="1:61" x14ac:dyDescent="0.3">
      <c r="A235" s="3238"/>
      <c r="B235" s="3257"/>
      <c r="C235" s="3239"/>
      <c r="D235" s="3240"/>
      <c r="E235" s="3241"/>
      <c r="F235" s="3241"/>
      <c r="G235" s="3240"/>
      <c r="H235" s="3241"/>
      <c r="I235" s="3241"/>
      <c r="J235" s="3241"/>
      <c r="K235" s="3240"/>
      <c r="L235" s="3241"/>
      <c r="M235" s="3241"/>
      <c r="N235" s="3240">
        <f t="shared" si="27"/>
        <v>0</v>
      </c>
      <c r="O235" s="3239">
        <v>0</v>
      </c>
      <c r="P235" s="3240"/>
      <c r="Q235" s="3241"/>
      <c r="R235" s="3241"/>
      <c r="S235" s="3240">
        <v>0</v>
      </c>
      <c r="T235" s="3241"/>
      <c r="U235" s="3241"/>
      <c r="V235" s="3241"/>
      <c r="W235" s="3240">
        <v>0</v>
      </c>
      <c r="X235" s="3241"/>
      <c r="Y235" s="3241"/>
      <c r="Z235" s="3242">
        <f t="shared" si="28"/>
        <v>0</v>
      </c>
      <c r="AA235" s="3243">
        <f t="shared" ref="AA235:AA248" si="30">AB235+AC235+AD235</f>
        <v>0</v>
      </c>
      <c r="AB235" s="3242">
        <f t="shared" si="25"/>
        <v>0</v>
      </c>
      <c r="AC235" s="3244"/>
      <c r="AD235" s="3244"/>
      <c r="AE235" s="3242">
        <f t="shared" si="26"/>
        <v>0</v>
      </c>
      <c r="AF235" s="3259"/>
      <c r="AG235" s="3260"/>
      <c r="AH235" s="3250"/>
      <c r="AI235" s="3260"/>
      <c r="AJ235" s="3260"/>
      <c r="AK235" s="3260"/>
      <c r="AL235" s="3259"/>
      <c r="AM235" s="3260"/>
      <c r="AN235" s="3259"/>
      <c r="AO235" s="3260"/>
      <c r="AP235" s="3240">
        <f t="shared" si="23"/>
        <v>0</v>
      </c>
      <c r="AQ235" s="3244"/>
      <c r="AR235" s="3244"/>
      <c r="AS235" s="3242">
        <f t="shared" si="29"/>
        <v>0</v>
      </c>
      <c r="AT235" s="3247"/>
      <c r="AU235" s="3248"/>
      <c r="AV235" s="3248"/>
      <c r="AW235" s="3247"/>
      <c r="AX235" s="3248"/>
      <c r="AY235" s="3248"/>
      <c r="AZ235" s="3247"/>
      <c r="BA235" s="3248"/>
      <c r="BB235" s="3248"/>
      <c r="BC235" s="3247"/>
      <c r="BD235" s="3248"/>
      <c r="BE235" s="3248"/>
      <c r="BF235" s="3248"/>
      <c r="BG235" s="3248"/>
      <c r="BH235" s="3249"/>
      <c r="BI235" s="3249"/>
    </row>
    <row r="236" spans="1:61" x14ac:dyDescent="0.3">
      <c r="A236" s="3238"/>
      <c r="B236" s="3257"/>
      <c r="C236" s="3239"/>
      <c r="D236" s="3240"/>
      <c r="E236" s="3241"/>
      <c r="F236" s="3241"/>
      <c r="G236" s="3240"/>
      <c r="H236" s="3241"/>
      <c r="I236" s="3241"/>
      <c r="J236" s="3241"/>
      <c r="K236" s="3240"/>
      <c r="L236" s="3241"/>
      <c r="M236" s="3241"/>
      <c r="N236" s="3240">
        <f t="shared" si="27"/>
        <v>0</v>
      </c>
      <c r="O236" s="3239">
        <v>0</v>
      </c>
      <c r="P236" s="3240"/>
      <c r="Q236" s="3241"/>
      <c r="R236" s="3241"/>
      <c r="S236" s="3240">
        <v>0</v>
      </c>
      <c r="T236" s="3241"/>
      <c r="U236" s="3241"/>
      <c r="V236" s="3241"/>
      <c r="W236" s="3240">
        <v>0</v>
      </c>
      <c r="X236" s="3241"/>
      <c r="Y236" s="3241"/>
      <c r="Z236" s="3242">
        <f t="shared" si="28"/>
        <v>0</v>
      </c>
      <c r="AA236" s="3243">
        <f t="shared" si="30"/>
        <v>0</v>
      </c>
      <c r="AB236" s="3242">
        <f t="shared" si="25"/>
        <v>0</v>
      </c>
      <c r="AC236" s="3244"/>
      <c r="AD236" s="3244"/>
      <c r="AE236" s="3242">
        <f t="shared" si="26"/>
        <v>0</v>
      </c>
      <c r="AF236" s="3259"/>
      <c r="AG236" s="3260"/>
      <c r="AH236" s="3250"/>
      <c r="AI236" s="3260"/>
      <c r="AJ236" s="3260"/>
      <c r="AK236" s="3260"/>
      <c r="AL236" s="3259"/>
      <c r="AM236" s="3260"/>
      <c r="AN236" s="3259"/>
      <c r="AO236" s="3260"/>
      <c r="AP236" s="3240">
        <f t="shared" si="23"/>
        <v>0</v>
      </c>
      <c r="AQ236" s="3244"/>
      <c r="AR236" s="3244"/>
      <c r="AS236" s="3242">
        <f t="shared" si="29"/>
        <v>0</v>
      </c>
      <c r="AT236" s="3247"/>
      <c r="AU236" s="3248"/>
      <c r="AV236" s="3248"/>
      <c r="AW236" s="3247"/>
      <c r="AX236" s="3248"/>
      <c r="AY236" s="3248"/>
      <c r="AZ236" s="3247"/>
      <c r="BA236" s="3248"/>
      <c r="BB236" s="3248"/>
      <c r="BC236" s="3247"/>
      <c r="BD236" s="3248"/>
      <c r="BE236" s="3248"/>
      <c r="BF236" s="3248"/>
      <c r="BG236" s="3248"/>
      <c r="BH236" s="3249"/>
      <c r="BI236" s="3249"/>
    </row>
    <row r="237" spans="1:61" x14ac:dyDescent="0.3">
      <c r="A237" s="3238"/>
      <c r="B237" s="3257"/>
      <c r="C237" s="3239"/>
      <c r="D237" s="3240"/>
      <c r="E237" s="3241"/>
      <c r="F237" s="3241"/>
      <c r="G237" s="3240"/>
      <c r="H237" s="3241"/>
      <c r="I237" s="3241"/>
      <c r="J237" s="3241"/>
      <c r="K237" s="3240"/>
      <c r="L237" s="3241"/>
      <c r="M237" s="3241"/>
      <c r="N237" s="3240">
        <f t="shared" si="27"/>
        <v>0</v>
      </c>
      <c r="O237" s="3239">
        <v>0</v>
      </c>
      <c r="P237" s="3240"/>
      <c r="Q237" s="3241"/>
      <c r="R237" s="3241"/>
      <c r="S237" s="3240">
        <v>0</v>
      </c>
      <c r="T237" s="3241"/>
      <c r="U237" s="3241"/>
      <c r="V237" s="3241"/>
      <c r="W237" s="3240">
        <v>0</v>
      </c>
      <c r="X237" s="3241"/>
      <c r="Y237" s="3241"/>
      <c r="Z237" s="3242">
        <f t="shared" si="28"/>
        <v>0</v>
      </c>
      <c r="AA237" s="3243">
        <f t="shared" si="30"/>
        <v>0</v>
      </c>
      <c r="AB237" s="3242">
        <f t="shared" si="25"/>
        <v>0</v>
      </c>
      <c r="AC237" s="3244"/>
      <c r="AD237" s="3244"/>
      <c r="AE237" s="3242">
        <f t="shared" si="26"/>
        <v>0</v>
      </c>
      <c r="AF237" s="3259"/>
      <c r="AG237" s="3260"/>
      <c r="AH237" s="3250"/>
      <c r="AI237" s="3260"/>
      <c r="AJ237" s="3260"/>
      <c r="AK237" s="3260"/>
      <c r="AL237" s="3259"/>
      <c r="AM237" s="3260"/>
      <c r="AN237" s="3259"/>
      <c r="AO237" s="3260"/>
      <c r="AP237" s="3240">
        <f t="shared" si="23"/>
        <v>0</v>
      </c>
      <c r="AQ237" s="3244"/>
      <c r="AR237" s="3244"/>
      <c r="AS237" s="3242">
        <f t="shared" si="29"/>
        <v>0</v>
      </c>
      <c r="AT237" s="3247"/>
      <c r="AU237" s="3248"/>
      <c r="AV237" s="3248"/>
      <c r="AW237" s="3247"/>
      <c r="AX237" s="3248"/>
      <c r="AY237" s="3248"/>
      <c r="AZ237" s="3247"/>
      <c r="BA237" s="3248"/>
      <c r="BB237" s="3248"/>
      <c r="BC237" s="3247"/>
      <c r="BD237" s="3248"/>
      <c r="BE237" s="3248"/>
      <c r="BF237" s="3248"/>
      <c r="BG237" s="3248"/>
      <c r="BH237" s="3249"/>
      <c r="BI237" s="3249"/>
    </row>
    <row r="238" spans="1:61" x14ac:dyDescent="0.3">
      <c r="A238" s="3238"/>
      <c r="B238" s="3257"/>
      <c r="C238" s="3239"/>
      <c r="D238" s="3240"/>
      <c r="E238" s="3241"/>
      <c r="F238" s="3241"/>
      <c r="G238" s="3240"/>
      <c r="H238" s="3241"/>
      <c r="I238" s="3241"/>
      <c r="J238" s="3241"/>
      <c r="K238" s="3240"/>
      <c r="L238" s="3241"/>
      <c r="M238" s="3241"/>
      <c r="N238" s="3240">
        <f t="shared" si="27"/>
        <v>0</v>
      </c>
      <c r="O238" s="3239">
        <v>0</v>
      </c>
      <c r="P238" s="3240"/>
      <c r="Q238" s="3241"/>
      <c r="R238" s="3241"/>
      <c r="S238" s="3240">
        <v>0</v>
      </c>
      <c r="T238" s="3241"/>
      <c r="U238" s="3241"/>
      <c r="V238" s="3241"/>
      <c r="W238" s="3240">
        <v>0</v>
      </c>
      <c r="X238" s="3241"/>
      <c r="Y238" s="3241"/>
      <c r="Z238" s="3242">
        <f t="shared" si="28"/>
        <v>0</v>
      </c>
      <c r="AA238" s="3243">
        <f t="shared" si="30"/>
        <v>0</v>
      </c>
      <c r="AB238" s="3242">
        <f t="shared" si="25"/>
        <v>0</v>
      </c>
      <c r="AC238" s="3244"/>
      <c r="AD238" s="3244"/>
      <c r="AE238" s="3242">
        <f t="shared" si="26"/>
        <v>0</v>
      </c>
      <c r="AF238" s="3259"/>
      <c r="AG238" s="3260"/>
      <c r="AH238" s="3250"/>
      <c r="AI238" s="3260"/>
      <c r="AJ238" s="3260"/>
      <c r="AK238" s="3260"/>
      <c r="AL238" s="3259"/>
      <c r="AM238" s="3260"/>
      <c r="AN238" s="3259"/>
      <c r="AO238" s="3260"/>
      <c r="AP238" s="3240">
        <f t="shared" si="23"/>
        <v>0</v>
      </c>
      <c r="AQ238" s="3244"/>
      <c r="AR238" s="3244"/>
      <c r="AS238" s="3242">
        <f t="shared" si="29"/>
        <v>0</v>
      </c>
      <c r="AT238" s="3247"/>
      <c r="AU238" s="3248"/>
      <c r="AV238" s="3248"/>
      <c r="AW238" s="3247"/>
      <c r="AX238" s="3248"/>
      <c r="AY238" s="3248"/>
      <c r="AZ238" s="3247"/>
      <c r="BA238" s="3248"/>
      <c r="BB238" s="3248"/>
      <c r="BC238" s="3247"/>
      <c r="BD238" s="3248"/>
      <c r="BE238" s="3248"/>
      <c r="BF238" s="3248"/>
      <c r="BG238" s="3248"/>
      <c r="BH238" s="3249"/>
      <c r="BI238" s="3249"/>
    </row>
    <row r="239" spans="1:61" x14ac:dyDescent="0.3">
      <c r="A239" s="3238"/>
      <c r="B239" s="3257"/>
      <c r="C239" s="3239"/>
      <c r="D239" s="3240"/>
      <c r="E239" s="3241"/>
      <c r="F239" s="3241"/>
      <c r="G239" s="3240"/>
      <c r="H239" s="3241"/>
      <c r="I239" s="3241"/>
      <c r="J239" s="3241"/>
      <c r="K239" s="3240"/>
      <c r="L239" s="3241"/>
      <c r="M239" s="3241"/>
      <c r="N239" s="3240">
        <f t="shared" si="27"/>
        <v>0</v>
      </c>
      <c r="O239" s="3239">
        <v>0</v>
      </c>
      <c r="P239" s="3240"/>
      <c r="Q239" s="3241"/>
      <c r="R239" s="3241"/>
      <c r="S239" s="3240">
        <v>0</v>
      </c>
      <c r="T239" s="3241"/>
      <c r="U239" s="3241"/>
      <c r="V239" s="3241"/>
      <c r="W239" s="3240">
        <v>0</v>
      </c>
      <c r="X239" s="3241"/>
      <c r="Y239" s="3241"/>
      <c r="Z239" s="3242">
        <f t="shared" si="28"/>
        <v>0</v>
      </c>
      <c r="AA239" s="3243">
        <f t="shared" si="30"/>
        <v>0</v>
      </c>
      <c r="AB239" s="3242">
        <f t="shared" si="25"/>
        <v>0</v>
      </c>
      <c r="AC239" s="3244"/>
      <c r="AD239" s="3244"/>
      <c r="AE239" s="3242">
        <f t="shared" si="26"/>
        <v>0</v>
      </c>
      <c r="AF239" s="3259"/>
      <c r="AG239" s="3260"/>
      <c r="AH239" s="3250"/>
      <c r="AI239" s="3260"/>
      <c r="AJ239" s="3260"/>
      <c r="AK239" s="3260"/>
      <c r="AL239" s="3259"/>
      <c r="AM239" s="3260"/>
      <c r="AN239" s="3259"/>
      <c r="AO239" s="3260"/>
      <c r="AP239" s="3242">
        <v>0</v>
      </c>
      <c r="AQ239" s="3244"/>
      <c r="AR239" s="3244"/>
      <c r="AS239" s="3242">
        <f t="shared" si="29"/>
        <v>0</v>
      </c>
      <c r="AT239" s="3247"/>
      <c r="AU239" s="3248"/>
      <c r="AV239" s="3248"/>
      <c r="AW239" s="3247"/>
      <c r="AX239" s="3248"/>
      <c r="AY239" s="3248"/>
      <c r="AZ239" s="3247"/>
      <c r="BA239" s="3248"/>
      <c r="BB239" s="3248"/>
      <c r="BC239" s="3247"/>
      <c r="BD239" s="3248"/>
      <c r="BE239" s="3248"/>
      <c r="BF239" s="3248"/>
      <c r="BG239" s="3248"/>
      <c r="BH239" s="3249"/>
      <c r="BI239" s="3249"/>
    </row>
    <row r="240" spans="1:61" x14ac:dyDescent="0.3">
      <c r="A240" s="3238"/>
      <c r="B240" s="3257"/>
      <c r="C240" s="3239"/>
      <c r="D240" s="3240"/>
      <c r="E240" s="3241"/>
      <c r="F240" s="3241"/>
      <c r="G240" s="3240"/>
      <c r="H240" s="3241"/>
      <c r="I240" s="3241"/>
      <c r="J240" s="3241"/>
      <c r="K240" s="3240"/>
      <c r="L240" s="3241"/>
      <c r="M240" s="3241"/>
      <c r="N240" s="3240">
        <f t="shared" si="27"/>
        <v>0</v>
      </c>
      <c r="O240" s="3239">
        <v>0</v>
      </c>
      <c r="P240" s="3240"/>
      <c r="Q240" s="3241"/>
      <c r="R240" s="3241"/>
      <c r="S240" s="3240">
        <v>0</v>
      </c>
      <c r="T240" s="3241"/>
      <c r="U240" s="3241"/>
      <c r="V240" s="3241"/>
      <c r="W240" s="3240">
        <v>0</v>
      </c>
      <c r="X240" s="3241"/>
      <c r="Y240" s="3241"/>
      <c r="Z240" s="3242">
        <f t="shared" ref="Z240:Z247" si="31">N240</f>
        <v>0</v>
      </c>
      <c r="AA240" s="3243">
        <f t="shared" si="30"/>
        <v>0</v>
      </c>
      <c r="AB240" s="3242">
        <f t="shared" si="25"/>
        <v>0</v>
      </c>
      <c r="AC240" s="3244"/>
      <c r="AD240" s="3244"/>
      <c r="AE240" s="3242">
        <f t="shared" si="26"/>
        <v>0</v>
      </c>
      <c r="AF240" s="3259"/>
      <c r="AG240" s="3260"/>
      <c r="AH240" s="3250"/>
      <c r="AI240" s="3260"/>
      <c r="AJ240" s="3260"/>
      <c r="AK240" s="3260"/>
      <c r="AL240" s="3259"/>
      <c r="AM240" s="3260"/>
      <c r="AN240" s="3259"/>
      <c r="AO240" s="3260"/>
      <c r="AP240" s="3242">
        <v>0</v>
      </c>
      <c r="AQ240" s="3244"/>
      <c r="AR240" s="3244"/>
      <c r="AS240" s="3242">
        <f t="shared" si="29"/>
        <v>0</v>
      </c>
      <c r="AT240" s="3247"/>
      <c r="AU240" s="3248"/>
      <c r="AV240" s="3248"/>
      <c r="AW240" s="3247"/>
      <c r="AX240" s="3248"/>
      <c r="AY240" s="3248"/>
      <c r="AZ240" s="3247"/>
      <c r="BA240" s="3248"/>
      <c r="BB240" s="3248"/>
      <c r="BC240" s="3247"/>
      <c r="BD240" s="3248"/>
      <c r="BE240" s="3248"/>
      <c r="BF240" s="3248"/>
      <c r="BG240" s="3248"/>
      <c r="BH240" s="3249"/>
      <c r="BI240" s="3249"/>
    </row>
    <row r="241" spans="1:61" x14ac:dyDescent="0.3">
      <c r="A241" s="3238"/>
      <c r="B241" s="3257"/>
      <c r="C241" s="3239"/>
      <c r="D241" s="3240"/>
      <c r="E241" s="3241"/>
      <c r="F241" s="3241"/>
      <c r="G241" s="3240"/>
      <c r="H241" s="3241"/>
      <c r="I241" s="3241"/>
      <c r="J241" s="3241"/>
      <c r="K241" s="3240"/>
      <c r="L241" s="3241"/>
      <c r="M241" s="3241"/>
      <c r="N241" s="3240">
        <f t="shared" si="27"/>
        <v>0</v>
      </c>
      <c r="O241" s="3239">
        <v>0</v>
      </c>
      <c r="P241" s="3240"/>
      <c r="Q241" s="3241"/>
      <c r="R241" s="3241"/>
      <c r="S241" s="3240">
        <v>0</v>
      </c>
      <c r="T241" s="3241"/>
      <c r="U241" s="3241"/>
      <c r="V241" s="3241"/>
      <c r="W241" s="3240">
        <v>0</v>
      </c>
      <c r="X241" s="3241"/>
      <c r="Y241" s="3241"/>
      <c r="Z241" s="3242">
        <f t="shared" si="31"/>
        <v>0</v>
      </c>
      <c r="AA241" s="3243">
        <f t="shared" si="30"/>
        <v>0</v>
      </c>
      <c r="AB241" s="3242">
        <f t="shared" si="25"/>
        <v>0</v>
      </c>
      <c r="AC241" s="3244"/>
      <c r="AD241" s="3244"/>
      <c r="AE241" s="3242">
        <f t="shared" si="26"/>
        <v>0</v>
      </c>
      <c r="AF241" s="3259"/>
      <c r="AG241" s="3260"/>
      <c r="AH241" s="3250"/>
      <c r="AI241" s="3260"/>
      <c r="AJ241" s="3260"/>
      <c r="AK241" s="3260"/>
      <c r="AL241" s="3259"/>
      <c r="AM241" s="3260"/>
      <c r="AN241" s="3259"/>
      <c r="AO241" s="3260"/>
      <c r="AP241" s="3242">
        <v>0</v>
      </c>
      <c r="AQ241" s="3244"/>
      <c r="AR241" s="3244"/>
      <c r="AS241" s="3242">
        <f t="shared" si="29"/>
        <v>0</v>
      </c>
      <c r="AT241" s="3247"/>
      <c r="AU241" s="3248"/>
      <c r="AV241" s="3248"/>
      <c r="AW241" s="3247"/>
      <c r="AX241" s="3248"/>
      <c r="AY241" s="3248"/>
      <c r="AZ241" s="3247"/>
      <c r="BA241" s="3248"/>
      <c r="BB241" s="3248"/>
      <c r="BC241" s="3247"/>
      <c r="BD241" s="3248"/>
      <c r="BE241" s="3248"/>
      <c r="BF241" s="3248"/>
      <c r="BG241" s="3248"/>
      <c r="BH241" s="3249"/>
      <c r="BI241" s="3249"/>
    </row>
    <row r="242" spans="1:61" x14ac:dyDescent="0.3">
      <c r="A242" s="3238"/>
      <c r="B242" s="3257"/>
      <c r="C242" s="3239"/>
      <c r="D242" s="3240"/>
      <c r="E242" s="3241"/>
      <c r="F242" s="3241"/>
      <c r="G242" s="3240"/>
      <c r="H242" s="3241"/>
      <c r="I242" s="3241"/>
      <c r="J242" s="3241"/>
      <c r="K242" s="3240"/>
      <c r="L242" s="3241"/>
      <c r="M242" s="3241"/>
      <c r="N242" s="3240">
        <f t="shared" si="27"/>
        <v>0</v>
      </c>
      <c r="O242" s="3239">
        <v>0</v>
      </c>
      <c r="P242" s="3240"/>
      <c r="Q242" s="3241"/>
      <c r="R242" s="3241"/>
      <c r="S242" s="3240">
        <v>0</v>
      </c>
      <c r="T242" s="3241"/>
      <c r="U242" s="3241"/>
      <c r="V242" s="3241"/>
      <c r="W242" s="3240">
        <v>0</v>
      </c>
      <c r="X242" s="3241"/>
      <c r="Y242" s="3241"/>
      <c r="Z242" s="3242">
        <f t="shared" si="31"/>
        <v>0</v>
      </c>
      <c r="AA242" s="3243">
        <f t="shared" si="30"/>
        <v>0</v>
      </c>
      <c r="AB242" s="3242">
        <f t="shared" si="25"/>
        <v>0</v>
      </c>
      <c r="AC242" s="3244"/>
      <c r="AD242" s="3244"/>
      <c r="AE242" s="3242">
        <f t="shared" si="26"/>
        <v>0</v>
      </c>
      <c r="AF242" s="3259"/>
      <c r="AG242" s="3260"/>
      <c r="AH242" s="3250"/>
      <c r="AI242" s="3260"/>
      <c r="AJ242" s="3260"/>
      <c r="AK242" s="3260"/>
      <c r="AL242" s="3259"/>
      <c r="AM242" s="3260"/>
      <c r="AN242" s="3259"/>
      <c r="AO242" s="3260"/>
      <c r="AP242" s="3242">
        <v>0</v>
      </c>
      <c r="AQ242" s="3244"/>
      <c r="AR242" s="3244"/>
      <c r="AS242" s="3242">
        <f t="shared" si="29"/>
        <v>0</v>
      </c>
      <c r="AT242" s="3247"/>
      <c r="AU242" s="3248"/>
      <c r="AV242" s="3248"/>
      <c r="AW242" s="3247"/>
      <c r="AX242" s="3248"/>
      <c r="AY242" s="3248"/>
      <c r="AZ242" s="3247"/>
      <c r="BA242" s="3248"/>
      <c r="BB242" s="3248"/>
      <c r="BC242" s="3247"/>
      <c r="BD242" s="3248"/>
      <c r="BE242" s="3248"/>
      <c r="BF242" s="3248"/>
      <c r="BG242" s="3248"/>
      <c r="BH242" s="3249"/>
      <c r="BI242" s="3249"/>
    </row>
    <row r="243" spans="1:61" x14ac:dyDescent="0.3">
      <c r="A243" s="3238"/>
      <c r="B243" s="3257"/>
      <c r="C243" s="3239"/>
      <c r="D243" s="3240"/>
      <c r="E243" s="3241"/>
      <c r="F243" s="3241"/>
      <c r="G243" s="3240"/>
      <c r="H243" s="3241"/>
      <c r="I243" s="3241"/>
      <c r="J243" s="3241"/>
      <c r="K243" s="3240"/>
      <c r="L243" s="3241"/>
      <c r="M243" s="3241"/>
      <c r="N243" s="3240">
        <f t="shared" si="27"/>
        <v>0</v>
      </c>
      <c r="O243" s="3239">
        <v>0</v>
      </c>
      <c r="P243" s="3240"/>
      <c r="Q243" s="3241"/>
      <c r="R243" s="3241"/>
      <c r="S243" s="3240">
        <v>0</v>
      </c>
      <c r="T243" s="3241"/>
      <c r="U243" s="3241"/>
      <c r="V243" s="3241"/>
      <c r="W243" s="3240">
        <v>0</v>
      </c>
      <c r="X243" s="3241"/>
      <c r="Y243" s="3241"/>
      <c r="Z243" s="3242">
        <f t="shared" si="31"/>
        <v>0</v>
      </c>
      <c r="AA243" s="3243">
        <f t="shared" si="30"/>
        <v>0</v>
      </c>
      <c r="AB243" s="3242">
        <f t="shared" si="25"/>
        <v>0</v>
      </c>
      <c r="AC243" s="3244"/>
      <c r="AD243" s="3244"/>
      <c r="AE243" s="3242">
        <f t="shared" si="26"/>
        <v>0</v>
      </c>
      <c r="AF243" s="3259"/>
      <c r="AG243" s="3260"/>
      <c r="AH243" s="3250"/>
      <c r="AI243" s="3260"/>
      <c r="AJ243" s="3260"/>
      <c r="AK243" s="3260"/>
      <c r="AL243" s="3259"/>
      <c r="AM243" s="3260"/>
      <c r="AN243" s="3259"/>
      <c r="AO243" s="3260"/>
      <c r="AP243" s="3242">
        <v>0</v>
      </c>
      <c r="AQ243" s="3244"/>
      <c r="AR243" s="3244"/>
      <c r="AS243" s="3242">
        <f t="shared" si="29"/>
        <v>0</v>
      </c>
      <c r="AT243" s="3247"/>
      <c r="AU243" s="3248"/>
      <c r="AV243" s="3248"/>
      <c r="AW243" s="3247"/>
      <c r="AX243" s="3248"/>
      <c r="AY243" s="3248"/>
      <c r="AZ243" s="3247"/>
      <c r="BA243" s="3248"/>
      <c r="BB243" s="3248"/>
      <c r="BC243" s="3247"/>
      <c r="BD243" s="3248"/>
      <c r="BE243" s="3248"/>
      <c r="BF243" s="3248"/>
      <c r="BG243" s="3248"/>
      <c r="BH243" s="3249"/>
      <c r="BI243" s="3249"/>
    </row>
    <row r="244" spans="1:61" x14ac:dyDescent="0.3">
      <c r="A244" s="3238"/>
      <c r="B244" s="3257"/>
      <c r="C244" s="3239"/>
      <c r="D244" s="3240"/>
      <c r="E244" s="3241"/>
      <c r="F244" s="3241"/>
      <c r="G244" s="3240"/>
      <c r="H244" s="3241"/>
      <c r="I244" s="3241"/>
      <c r="J244" s="3241"/>
      <c r="K244" s="3240"/>
      <c r="L244" s="3241"/>
      <c r="M244" s="3241"/>
      <c r="N244" s="3240">
        <f t="shared" si="27"/>
        <v>0</v>
      </c>
      <c r="O244" s="3239">
        <v>0</v>
      </c>
      <c r="P244" s="3240"/>
      <c r="Q244" s="3241"/>
      <c r="R244" s="3241"/>
      <c r="S244" s="3240">
        <v>0</v>
      </c>
      <c r="T244" s="3241"/>
      <c r="U244" s="3241"/>
      <c r="V244" s="3241"/>
      <c r="W244" s="3240">
        <v>0</v>
      </c>
      <c r="X244" s="3241"/>
      <c r="Y244" s="3241"/>
      <c r="Z244" s="3242">
        <f t="shared" si="31"/>
        <v>0</v>
      </c>
      <c r="AA244" s="3243">
        <f t="shared" si="30"/>
        <v>0</v>
      </c>
      <c r="AB244" s="3242">
        <f t="shared" si="25"/>
        <v>0</v>
      </c>
      <c r="AC244" s="3244"/>
      <c r="AD244" s="3244"/>
      <c r="AE244" s="3242">
        <f t="shared" si="26"/>
        <v>0</v>
      </c>
      <c r="AF244" s="3259"/>
      <c r="AG244" s="3260"/>
      <c r="AH244" s="3250"/>
      <c r="AI244" s="3260"/>
      <c r="AJ244" s="3260"/>
      <c r="AK244" s="3260"/>
      <c r="AL244" s="3259"/>
      <c r="AM244" s="3260"/>
      <c r="AN244" s="3259"/>
      <c r="AO244" s="3260"/>
      <c r="AP244" s="3242">
        <v>0</v>
      </c>
      <c r="AQ244" s="3244"/>
      <c r="AR244" s="3244"/>
      <c r="AS244" s="3242">
        <f t="shared" si="29"/>
        <v>0</v>
      </c>
      <c r="AT244" s="3247"/>
      <c r="AU244" s="3248"/>
      <c r="AV244" s="3248"/>
      <c r="AW244" s="3247"/>
      <c r="AX244" s="3248"/>
      <c r="AY244" s="3248"/>
      <c r="AZ244" s="3247"/>
      <c r="BA244" s="3248"/>
      <c r="BB244" s="3248"/>
      <c r="BC244" s="3247"/>
      <c r="BD244" s="3248"/>
      <c r="BE244" s="3248"/>
      <c r="BF244" s="3248"/>
      <c r="BG244" s="3248"/>
      <c r="BH244" s="3249"/>
      <c r="BI244" s="3249"/>
    </row>
    <row r="245" spans="1:61" x14ac:dyDescent="0.3">
      <c r="A245" s="3238"/>
      <c r="B245" s="3257"/>
      <c r="C245" s="3239"/>
      <c r="D245" s="3240"/>
      <c r="E245" s="3241"/>
      <c r="F245" s="3241"/>
      <c r="G245" s="3240"/>
      <c r="H245" s="3241"/>
      <c r="I245" s="3241"/>
      <c r="J245" s="3241"/>
      <c r="K245" s="3240"/>
      <c r="L245" s="3241"/>
      <c r="M245" s="3241"/>
      <c r="N245" s="3240">
        <f t="shared" si="27"/>
        <v>0</v>
      </c>
      <c r="O245" s="3239">
        <v>0</v>
      </c>
      <c r="P245" s="3240"/>
      <c r="Q245" s="3241"/>
      <c r="R245" s="3241"/>
      <c r="S245" s="3240">
        <v>0</v>
      </c>
      <c r="T245" s="3241"/>
      <c r="U245" s="3241"/>
      <c r="V245" s="3241"/>
      <c r="W245" s="3240">
        <v>0</v>
      </c>
      <c r="X245" s="3241"/>
      <c r="Y245" s="3241"/>
      <c r="Z245" s="3242">
        <f t="shared" si="31"/>
        <v>0</v>
      </c>
      <c r="AA245" s="3243">
        <f t="shared" si="30"/>
        <v>0</v>
      </c>
      <c r="AB245" s="3242">
        <f t="shared" si="25"/>
        <v>0</v>
      </c>
      <c r="AC245" s="3244"/>
      <c r="AD245" s="3244"/>
      <c r="AE245" s="3242">
        <f t="shared" si="26"/>
        <v>0</v>
      </c>
      <c r="AF245" s="3259"/>
      <c r="AG245" s="3260"/>
      <c r="AH245" s="3250"/>
      <c r="AI245" s="3260"/>
      <c r="AJ245" s="3260"/>
      <c r="AK245" s="3260"/>
      <c r="AL245" s="3259"/>
      <c r="AM245" s="3260"/>
      <c r="AN245" s="3259"/>
      <c r="AO245" s="3260"/>
      <c r="AP245" s="3242">
        <v>0</v>
      </c>
      <c r="AQ245" s="3244"/>
      <c r="AR245" s="3244"/>
      <c r="AS245" s="3242">
        <f t="shared" si="29"/>
        <v>0</v>
      </c>
      <c r="AT245" s="3247">
        <f t="shared" ref="AT245:AT271" si="32">IFERROR(AE245+(SUM(AC245:AD245)/100*($AE$14/$AB$14*100)),0)</f>
        <v>0</v>
      </c>
      <c r="AU245" s="3248">
        <f t="shared" ref="AU245:AU274" si="33">AX245+BA245+BD245</f>
        <v>0</v>
      </c>
      <c r="AV245" s="3248">
        <v>0</v>
      </c>
      <c r="AW245" s="3247">
        <v>0</v>
      </c>
      <c r="AX245" s="3248">
        <v>0</v>
      </c>
      <c r="AY245" s="3248">
        <v>0</v>
      </c>
      <c r="AZ245" s="3247">
        <v>0</v>
      </c>
      <c r="BA245" s="3248">
        <v>0</v>
      </c>
      <c r="BB245" s="3248">
        <v>0</v>
      </c>
      <c r="BC245" s="3247">
        <v>0</v>
      </c>
      <c r="BD245" s="3248">
        <v>0</v>
      </c>
      <c r="BE245" s="3248">
        <v>0</v>
      </c>
      <c r="BF245" s="3248">
        <f t="shared" ref="BF245:BF274" si="34">IFERROR(ROUND(AE245/S245*100,2),0)</f>
        <v>0</v>
      </c>
      <c r="BG245" s="3248">
        <f t="shared" ref="BG245:BG274" si="35">IFERROR(ROUND(AA245/O245*100,2),0)</f>
        <v>0</v>
      </c>
      <c r="BH245" s="3249"/>
      <c r="BI245" s="3249"/>
    </row>
    <row r="246" spans="1:61" x14ac:dyDescent="0.3">
      <c r="A246" s="3238"/>
      <c r="B246" s="3257"/>
      <c r="C246" s="3239"/>
      <c r="D246" s="3240"/>
      <c r="E246" s="3241"/>
      <c r="F246" s="3241"/>
      <c r="G246" s="3240"/>
      <c r="H246" s="3241"/>
      <c r="I246" s="3241"/>
      <c r="J246" s="3241"/>
      <c r="K246" s="3240"/>
      <c r="L246" s="3241"/>
      <c r="M246" s="3241"/>
      <c r="N246" s="3240">
        <f t="shared" si="27"/>
        <v>0</v>
      </c>
      <c r="O246" s="3239">
        <v>0</v>
      </c>
      <c r="P246" s="3240"/>
      <c r="Q246" s="3241"/>
      <c r="R246" s="3241"/>
      <c r="S246" s="3240"/>
      <c r="T246" s="3241"/>
      <c r="U246" s="3241"/>
      <c r="V246" s="3241"/>
      <c r="W246" s="3240">
        <v>0</v>
      </c>
      <c r="X246" s="3241"/>
      <c r="Y246" s="3241"/>
      <c r="Z246" s="3242">
        <f t="shared" si="31"/>
        <v>0</v>
      </c>
      <c r="AA246" s="3243">
        <f t="shared" si="30"/>
        <v>0</v>
      </c>
      <c r="AB246" s="3242">
        <f t="shared" si="25"/>
        <v>0</v>
      </c>
      <c r="AC246" s="3244"/>
      <c r="AD246" s="3244"/>
      <c r="AE246" s="3242">
        <f t="shared" si="26"/>
        <v>0</v>
      </c>
      <c r="AF246" s="3259"/>
      <c r="AG246" s="3260"/>
      <c r="AH246" s="3250"/>
      <c r="AI246" s="3260"/>
      <c r="AJ246" s="3260"/>
      <c r="AK246" s="3260"/>
      <c r="AL246" s="3259"/>
      <c r="AM246" s="3260"/>
      <c r="AN246" s="3259"/>
      <c r="AO246" s="3260"/>
      <c r="AP246" s="3242">
        <v>0</v>
      </c>
      <c r="AQ246" s="3244"/>
      <c r="AR246" s="3244"/>
      <c r="AS246" s="3242">
        <f t="shared" si="29"/>
        <v>0</v>
      </c>
      <c r="AT246" s="3247">
        <f t="shared" si="32"/>
        <v>0</v>
      </c>
      <c r="AU246" s="3248">
        <f t="shared" si="33"/>
        <v>0</v>
      </c>
      <c r="AV246" s="3248">
        <v>0</v>
      </c>
      <c r="AW246" s="3247">
        <v>0</v>
      </c>
      <c r="AX246" s="3248">
        <v>0</v>
      </c>
      <c r="AY246" s="3248">
        <v>0</v>
      </c>
      <c r="AZ246" s="3247">
        <v>0</v>
      </c>
      <c r="BA246" s="3248">
        <v>0</v>
      </c>
      <c r="BB246" s="3248">
        <v>0</v>
      </c>
      <c r="BC246" s="3247">
        <v>0</v>
      </c>
      <c r="BD246" s="3248">
        <v>0</v>
      </c>
      <c r="BE246" s="3248">
        <v>0</v>
      </c>
      <c r="BF246" s="3248">
        <f t="shared" si="34"/>
        <v>0</v>
      </c>
      <c r="BG246" s="3248">
        <f t="shared" si="35"/>
        <v>0</v>
      </c>
      <c r="BH246" s="3249"/>
      <c r="BI246" s="3249"/>
    </row>
    <row r="247" spans="1:61" x14ac:dyDescent="0.3">
      <c r="A247" s="3238"/>
      <c r="B247" s="3257"/>
      <c r="C247" s="3239"/>
      <c r="D247" s="3240"/>
      <c r="E247" s="3241"/>
      <c r="F247" s="3241"/>
      <c r="G247" s="3240"/>
      <c r="H247" s="3241"/>
      <c r="I247" s="3241"/>
      <c r="J247" s="3241"/>
      <c r="K247" s="3240"/>
      <c r="L247" s="3241"/>
      <c r="M247" s="3241"/>
      <c r="N247" s="3240">
        <f t="shared" si="27"/>
        <v>0</v>
      </c>
      <c r="O247" s="3239">
        <v>0</v>
      </c>
      <c r="P247" s="3240"/>
      <c r="Q247" s="3241"/>
      <c r="R247" s="3241"/>
      <c r="S247" s="3240"/>
      <c r="T247" s="3241"/>
      <c r="U247" s="3241"/>
      <c r="V247" s="3241"/>
      <c r="W247" s="3240">
        <v>0</v>
      </c>
      <c r="X247" s="3241"/>
      <c r="Y247" s="3241"/>
      <c r="Z247" s="3242">
        <f t="shared" si="31"/>
        <v>0</v>
      </c>
      <c r="AA247" s="3243">
        <f t="shared" si="30"/>
        <v>0</v>
      </c>
      <c r="AB247" s="3242">
        <f t="shared" si="25"/>
        <v>0</v>
      </c>
      <c r="AC247" s="3244"/>
      <c r="AD247" s="3244"/>
      <c r="AE247" s="3242">
        <f t="shared" si="26"/>
        <v>0</v>
      </c>
      <c r="AF247" s="3259"/>
      <c r="AG247" s="3260"/>
      <c r="AH247" s="3250"/>
      <c r="AI247" s="3260"/>
      <c r="AJ247" s="3260"/>
      <c r="AK247" s="3260"/>
      <c r="AL247" s="3259"/>
      <c r="AM247" s="3260"/>
      <c r="AN247" s="3259"/>
      <c r="AO247" s="3260"/>
      <c r="AP247" s="3242">
        <v>0</v>
      </c>
      <c r="AQ247" s="3244"/>
      <c r="AR247" s="3244"/>
      <c r="AS247" s="3242">
        <f t="shared" si="29"/>
        <v>0</v>
      </c>
      <c r="AT247" s="3247">
        <f t="shared" si="32"/>
        <v>0</v>
      </c>
      <c r="AU247" s="3248">
        <f t="shared" si="33"/>
        <v>0</v>
      </c>
      <c r="AV247" s="3248">
        <v>0</v>
      </c>
      <c r="AW247" s="3247">
        <v>0</v>
      </c>
      <c r="AX247" s="3248">
        <v>0</v>
      </c>
      <c r="AY247" s="3248">
        <v>0</v>
      </c>
      <c r="AZ247" s="3247">
        <v>0</v>
      </c>
      <c r="BA247" s="3248">
        <v>0</v>
      </c>
      <c r="BB247" s="3248">
        <v>0</v>
      </c>
      <c r="BC247" s="3247">
        <v>0</v>
      </c>
      <c r="BD247" s="3248">
        <v>0</v>
      </c>
      <c r="BE247" s="3248">
        <v>0</v>
      </c>
      <c r="BF247" s="3248">
        <f t="shared" si="34"/>
        <v>0</v>
      </c>
      <c r="BG247" s="3248">
        <f t="shared" si="35"/>
        <v>0</v>
      </c>
      <c r="BH247" s="3249"/>
      <c r="BI247" s="3249"/>
    </row>
    <row r="248" spans="1:61" x14ac:dyDescent="0.3">
      <c r="A248" s="3238" t="s">
        <v>3384</v>
      </c>
      <c r="B248" s="3257"/>
      <c r="C248" s="3239"/>
      <c r="D248" s="3240"/>
      <c r="E248" s="3241"/>
      <c r="F248" s="3241"/>
      <c r="G248" s="3240"/>
      <c r="H248" s="3241"/>
      <c r="I248" s="3241"/>
      <c r="J248" s="3241"/>
      <c r="K248" s="3240"/>
      <c r="L248" s="3241"/>
      <c r="M248" s="3241"/>
      <c r="N248" s="3240"/>
      <c r="O248" s="3239">
        <v>0</v>
      </c>
      <c r="P248" s="3240"/>
      <c r="Q248" s="3241"/>
      <c r="R248" s="3241"/>
      <c r="S248" s="3240"/>
      <c r="T248" s="3241"/>
      <c r="U248" s="3241"/>
      <c r="V248" s="3241"/>
      <c r="W248" s="3240">
        <v>0</v>
      </c>
      <c r="X248" s="3241"/>
      <c r="Y248" s="3241"/>
      <c r="Z248" s="3242" t="s">
        <v>3384</v>
      </c>
      <c r="AA248" s="3243">
        <f t="shared" si="30"/>
        <v>0</v>
      </c>
      <c r="AB248" s="3242">
        <f t="shared" si="25"/>
        <v>0</v>
      </c>
      <c r="AC248" s="3244"/>
      <c r="AD248" s="3244"/>
      <c r="AE248" s="3242">
        <f t="shared" si="26"/>
        <v>0</v>
      </c>
      <c r="AF248" s="3259"/>
      <c r="AG248" s="3260"/>
      <c r="AH248" s="3250"/>
      <c r="AI248" s="3260"/>
      <c r="AJ248" s="3260"/>
      <c r="AK248" s="3260"/>
      <c r="AL248" s="3259"/>
      <c r="AM248" s="3260"/>
      <c r="AN248" s="3259"/>
      <c r="AO248" s="3260"/>
      <c r="AP248" s="3242">
        <v>0</v>
      </c>
      <c r="AQ248" s="3244"/>
      <c r="AR248" s="3244"/>
      <c r="AS248" s="3242" t="str">
        <f t="shared" si="29"/>
        <v/>
      </c>
      <c r="AT248" s="3247">
        <f t="shared" si="32"/>
        <v>0</v>
      </c>
      <c r="AU248" s="3248">
        <f t="shared" si="33"/>
        <v>0</v>
      </c>
      <c r="AV248" s="3248">
        <v>0</v>
      </c>
      <c r="AW248" s="3247">
        <v>0</v>
      </c>
      <c r="AX248" s="3248">
        <v>0</v>
      </c>
      <c r="AY248" s="3248">
        <v>0</v>
      </c>
      <c r="AZ248" s="3247">
        <v>0</v>
      </c>
      <c r="BA248" s="3248">
        <v>0</v>
      </c>
      <c r="BB248" s="3248">
        <v>0</v>
      </c>
      <c r="BC248" s="3247">
        <v>0</v>
      </c>
      <c r="BD248" s="3248">
        <v>0</v>
      </c>
      <c r="BE248" s="3248">
        <v>0</v>
      </c>
      <c r="BF248" s="3248">
        <f t="shared" si="34"/>
        <v>0</v>
      </c>
      <c r="BG248" s="3248">
        <f t="shared" si="35"/>
        <v>0</v>
      </c>
      <c r="BH248" s="3249"/>
      <c r="BI248" s="3249"/>
    </row>
    <row r="249" spans="1:61" x14ac:dyDescent="0.3">
      <c r="A249" s="3238" t="s">
        <v>3384</v>
      </c>
      <c r="B249" s="3257"/>
      <c r="C249" s="3239"/>
      <c r="D249" s="3240"/>
      <c r="E249" s="3241"/>
      <c r="F249" s="3241"/>
      <c r="G249" s="3240"/>
      <c r="H249" s="3241"/>
      <c r="I249" s="3241"/>
      <c r="J249" s="3241"/>
      <c r="K249" s="3240"/>
      <c r="L249" s="3241"/>
      <c r="M249" s="3241"/>
      <c r="N249" s="3240"/>
      <c r="O249" s="3239">
        <v>0</v>
      </c>
      <c r="P249" s="3240"/>
      <c r="Q249" s="3241"/>
      <c r="R249" s="3241"/>
      <c r="S249" s="3240"/>
      <c r="T249" s="3241"/>
      <c r="U249" s="3241"/>
      <c r="V249" s="3241"/>
      <c r="W249" s="3240">
        <v>0</v>
      </c>
      <c r="X249" s="3241"/>
      <c r="Y249" s="3241"/>
      <c r="Z249" s="3242" t="s">
        <v>3384</v>
      </c>
      <c r="AA249" s="3243">
        <f t="shared" ref="AA249:AA305" si="36">AB249+AC249+AD249</f>
        <v>0</v>
      </c>
      <c r="AB249" s="3242">
        <f t="shared" ref="AB249:AB263" si="37">AE249+AP249</f>
        <v>0</v>
      </c>
      <c r="AC249" s="3244"/>
      <c r="AD249" s="3244"/>
      <c r="AE249" s="3242">
        <f t="shared" si="26"/>
        <v>0</v>
      </c>
      <c r="AF249" s="3259"/>
      <c r="AG249" s="3260"/>
      <c r="AH249" s="3250"/>
      <c r="AI249" s="3260"/>
      <c r="AJ249" s="3260"/>
      <c r="AK249" s="3260"/>
      <c r="AL249" s="3259"/>
      <c r="AM249" s="3260"/>
      <c r="AN249" s="3259"/>
      <c r="AO249" s="3260"/>
      <c r="AP249" s="3242">
        <v>0</v>
      </c>
      <c r="AQ249" s="3244"/>
      <c r="AR249" s="3244"/>
      <c r="AS249" s="3242" t="s">
        <v>3384</v>
      </c>
      <c r="AT249" s="3247">
        <f t="shared" si="32"/>
        <v>0</v>
      </c>
      <c r="AU249" s="3248">
        <f t="shared" si="33"/>
        <v>0</v>
      </c>
      <c r="AV249" s="3248">
        <v>0</v>
      </c>
      <c r="AW249" s="3247">
        <v>0</v>
      </c>
      <c r="AX249" s="3248">
        <v>0</v>
      </c>
      <c r="AY249" s="3248">
        <v>0</v>
      </c>
      <c r="AZ249" s="3247">
        <v>0</v>
      </c>
      <c r="BA249" s="3248">
        <v>0</v>
      </c>
      <c r="BB249" s="3248">
        <v>0</v>
      </c>
      <c r="BC249" s="3247">
        <v>0</v>
      </c>
      <c r="BD249" s="3248">
        <v>0</v>
      </c>
      <c r="BE249" s="3248">
        <v>0</v>
      </c>
      <c r="BF249" s="3248">
        <f t="shared" si="34"/>
        <v>0</v>
      </c>
      <c r="BG249" s="3248">
        <f t="shared" si="35"/>
        <v>0</v>
      </c>
      <c r="BH249" s="3249"/>
      <c r="BI249" s="3249"/>
    </row>
    <row r="250" spans="1:61" x14ac:dyDescent="0.3">
      <c r="A250" s="3238" t="s">
        <v>3384</v>
      </c>
      <c r="B250" s="3257"/>
      <c r="C250" s="3239"/>
      <c r="D250" s="3240"/>
      <c r="E250" s="3241"/>
      <c r="F250" s="3241"/>
      <c r="G250" s="3240"/>
      <c r="H250" s="3241"/>
      <c r="I250" s="3241"/>
      <c r="J250" s="3241"/>
      <c r="K250" s="3240"/>
      <c r="L250" s="3241"/>
      <c r="M250" s="3241"/>
      <c r="N250" s="3240"/>
      <c r="O250" s="3239">
        <v>0</v>
      </c>
      <c r="P250" s="3240"/>
      <c r="Q250" s="3241"/>
      <c r="R250" s="3241"/>
      <c r="S250" s="3240"/>
      <c r="T250" s="3241"/>
      <c r="U250" s="3241"/>
      <c r="V250" s="3241"/>
      <c r="W250" s="3240">
        <v>0</v>
      </c>
      <c r="X250" s="3241"/>
      <c r="Y250" s="3241"/>
      <c r="Z250" s="3242" t="s">
        <v>3384</v>
      </c>
      <c r="AA250" s="3243">
        <f t="shared" si="36"/>
        <v>0</v>
      </c>
      <c r="AB250" s="3242">
        <f t="shared" si="37"/>
        <v>0</v>
      </c>
      <c r="AC250" s="3244"/>
      <c r="AD250" s="3244"/>
      <c r="AE250" s="3242">
        <f t="shared" si="26"/>
        <v>0</v>
      </c>
      <c r="AF250" s="3259"/>
      <c r="AG250" s="3260"/>
      <c r="AH250" s="3250"/>
      <c r="AI250" s="3260"/>
      <c r="AJ250" s="3260"/>
      <c r="AK250" s="3260"/>
      <c r="AL250" s="3259"/>
      <c r="AM250" s="3260"/>
      <c r="AN250" s="3259"/>
      <c r="AO250" s="3260"/>
      <c r="AP250" s="3242">
        <v>0</v>
      </c>
      <c r="AQ250" s="3244"/>
      <c r="AR250" s="3244"/>
      <c r="AS250" s="3242" t="s">
        <v>3384</v>
      </c>
      <c r="AT250" s="3247">
        <f t="shared" si="32"/>
        <v>0</v>
      </c>
      <c r="AU250" s="3248">
        <f t="shared" si="33"/>
        <v>0</v>
      </c>
      <c r="AV250" s="3248">
        <v>0</v>
      </c>
      <c r="AW250" s="3247">
        <v>0</v>
      </c>
      <c r="AX250" s="3248">
        <v>0</v>
      </c>
      <c r="AY250" s="3248">
        <v>0</v>
      </c>
      <c r="AZ250" s="3247">
        <v>0</v>
      </c>
      <c r="BA250" s="3248">
        <v>0</v>
      </c>
      <c r="BB250" s="3248">
        <v>0</v>
      </c>
      <c r="BC250" s="3247">
        <v>0</v>
      </c>
      <c r="BD250" s="3248">
        <v>0</v>
      </c>
      <c r="BE250" s="3248">
        <v>0</v>
      </c>
      <c r="BF250" s="3248">
        <f t="shared" si="34"/>
        <v>0</v>
      </c>
      <c r="BG250" s="3248">
        <f t="shared" si="35"/>
        <v>0</v>
      </c>
      <c r="BH250" s="3249"/>
      <c r="BI250" s="3249"/>
    </row>
    <row r="251" spans="1:61" x14ac:dyDescent="0.3">
      <c r="A251" s="3238" t="s">
        <v>3384</v>
      </c>
      <c r="B251" s="3257"/>
      <c r="C251" s="3239"/>
      <c r="D251" s="3240"/>
      <c r="E251" s="3241"/>
      <c r="F251" s="3241"/>
      <c r="G251" s="3240"/>
      <c r="H251" s="3241"/>
      <c r="I251" s="3241"/>
      <c r="J251" s="3241"/>
      <c r="K251" s="3240"/>
      <c r="L251" s="3241"/>
      <c r="M251" s="3241"/>
      <c r="N251" s="3240"/>
      <c r="O251" s="3239">
        <v>0</v>
      </c>
      <c r="P251" s="3240"/>
      <c r="Q251" s="3241"/>
      <c r="R251" s="3241"/>
      <c r="S251" s="3240"/>
      <c r="T251" s="3241"/>
      <c r="U251" s="3241"/>
      <c r="V251" s="3241"/>
      <c r="W251" s="3240">
        <v>0</v>
      </c>
      <c r="X251" s="3241"/>
      <c r="Y251" s="3241"/>
      <c r="Z251" s="3242" t="s">
        <v>3384</v>
      </c>
      <c r="AA251" s="3243">
        <f t="shared" si="36"/>
        <v>0</v>
      </c>
      <c r="AB251" s="3242">
        <f t="shared" si="37"/>
        <v>0</v>
      </c>
      <c r="AC251" s="3244"/>
      <c r="AD251" s="3244"/>
      <c r="AE251" s="3242">
        <f t="shared" si="26"/>
        <v>0</v>
      </c>
      <c r="AF251" s="3259"/>
      <c r="AG251" s="3260"/>
      <c r="AH251" s="3250"/>
      <c r="AI251" s="3260"/>
      <c r="AJ251" s="3260"/>
      <c r="AK251" s="3260"/>
      <c r="AL251" s="3259"/>
      <c r="AM251" s="3260"/>
      <c r="AN251" s="3259"/>
      <c r="AO251" s="3260"/>
      <c r="AP251" s="3242">
        <v>0</v>
      </c>
      <c r="AQ251" s="3244"/>
      <c r="AR251" s="3244"/>
      <c r="AS251" s="3242" t="s">
        <v>3384</v>
      </c>
      <c r="AT251" s="3247">
        <f t="shared" si="32"/>
        <v>0</v>
      </c>
      <c r="AU251" s="3248">
        <f t="shared" si="33"/>
        <v>0</v>
      </c>
      <c r="AV251" s="3248">
        <v>0</v>
      </c>
      <c r="AW251" s="3247">
        <v>0</v>
      </c>
      <c r="AX251" s="3248">
        <v>0</v>
      </c>
      <c r="AY251" s="3248">
        <v>0</v>
      </c>
      <c r="AZ251" s="3247">
        <v>0</v>
      </c>
      <c r="BA251" s="3248">
        <v>0</v>
      </c>
      <c r="BB251" s="3248">
        <v>0</v>
      </c>
      <c r="BC251" s="3247">
        <v>0</v>
      </c>
      <c r="BD251" s="3248">
        <v>0</v>
      </c>
      <c r="BE251" s="3248">
        <v>0</v>
      </c>
      <c r="BF251" s="3248">
        <f t="shared" si="34"/>
        <v>0</v>
      </c>
      <c r="BG251" s="3248">
        <f t="shared" si="35"/>
        <v>0</v>
      </c>
      <c r="BH251" s="3249"/>
      <c r="BI251" s="3249"/>
    </row>
    <row r="252" spans="1:61" x14ac:dyDescent="0.3">
      <c r="A252" s="4197" t="s">
        <v>3384</v>
      </c>
      <c r="B252" s="3261"/>
      <c r="C252" s="3243">
        <v>0</v>
      </c>
      <c r="D252" s="3242">
        <v>0</v>
      </c>
      <c r="E252" s="3244"/>
      <c r="F252" s="3244"/>
      <c r="G252" s="3242">
        <v>0</v>
      </c>
      <c r="H252" s="3244"/>
      <c r="I252" s="3244"/>
      <c r="J252" s="3244"/>
      <c r="K252" s="3242">
        <v>0</v>
      </c>
      <c r="L252" s="3244"/>
      <c r="M252" s="3244"/>
      <c r="N252" s="3242" t="s">
        <v>3384</v>
      </c>
      <c r="O252" s="3239">
        <v>0</v>
      </c>
      <c r="P252" s="3242">
        <v>0</v>
      </c>
      <c r="Q252" s="3244"/>
      <c r="R252" s="3244"/>
      <c r="S252" s="3242">
        <v>0</v>
      </c>
      <c r="T252" s="3244"/>
      <c r="U252" s="3244"/>
      <c r="V252" s="3244"/>
      <c r="W252" s="3240">
        <v>0</v>
      </c>
      <c r="X252" s="3244"/>
      <c r="Y252" s="3244"/>
      <c r="Z252" s="3242" t="s">
        <v>3384</v>
      </c>
      <c r="AA252" s="3243">
        <f t="shared" si="36"/>
        <v>0</v>
      </c>
      <c r="AB252" s="3242">
        <f t="shared" si="37"/>
        <v>0</v>
      </c>
      <c r="AC252" s="3244"/>
      <c r="AD252" s="3244"/>
      <c r="AE252" s="3242">
        <f t="shared" ref="AE252:AE255" si="38">AF252+AH252+AJ252+AL252+AN252</f>
        <v>0</v>
      </c>
      <c r="AF252" s="3259"/>
      <c r="AG252" s="3260"/>
      <c r="AH252" s="3250"/>
      <c r="AI252" s="3260"/>
      <c r="AJ252" s="3260"/>
      <c r="AK252" s="3260"/>
      <c r="AL252" s="3259"/>
      <c r="AM252" s="3260"/>
      <c r="AN252" s="3259"/>
      <c r="AO252" s="3260"/>
      <c r="AP252" s="3242">
        <v>0</v>
      </c>
      <c r="AQ252" s="3244"/>
      <c r="AR252" s="3244"/>
      <c r="AS252" s="3242" t="s">
        <v>3384</v>
      </c>
      <c r="AT252" s="3247">
        <f t="shared" si="32"/>
        <v>0</v>
      </c>
      <c r="AU252" s="3248">
        <f t="shared" si="33"/>
        <v>0</v>
      </c>
      <c r="AV252" s="3248">
        <v>0</v>
      </c>
      <c r="AW252" s="3247">
        <v>0</v>
      </c>
      <c r="AX252" s="3248">
        <v>0</v>
      </c>
      <c r="AY252" s="3248">
        <v>0</v>
      </c>
      <c r="AZ252" s="3247">
        <v>0</v>
      </c>
      <c r="BA252" s="3248">
        <v>0</v>
      </c>
      <c r="BB252" s="3248">
        <v>0</v>
      </c>
      <c r="BC252" s="3247">
        <v>0</v>
      </c>
      <c r="BD252" s="3248">
        <v>0</v>
      </c>
      <c r="BE252" s="3248">
        <v>0</v>
      </c>
      <c r="BF252" s="3248">
        <f t="shared" si="34"/>
        <v>0</v>
      </c>
      <c r="BG252" s="3248">
        <f t="shared" si="35"/>
        <v>0</v>
      </c>
      <c r="BH252" s="3249"/>
      <c r="BI252" s="3249"/>
    </row>
    <row r="253" spans="1:61" x14ac:dyDescent="0.3">
      <c r="A253" s="4197" t="s">
        <v>3384</v>
      </c>
      <c r="B253" s="3261"/>
      <c r="C253" s="3243">
        <v>0</v>
      </c>
      <c r="D253" s="3242">
        <v>0</v>
      </c>
      <c r="E253" s="3244"/>
      <c r="F253" s="3244"/>
      <c r="G253" s="3242">
        <v>0</v>
      </c>
      <c r="H253" s="3244"/>
      <c r="I253" s="3244"/>
      <c r="J253" s="3244"/>
      <c r="K253" s="3242">
        <v>0</v>
      </c>
      <c r="L253" s="3244"/>
      <c r="M253" s="3244"/>
      <c r="N253" s="3242" t="s">
        <v>3384</v>
      </c>
      <c r="O253" s="3239">
        <v>0</v>
      </c>
      <c r="P253" s="3242">
        <v>0</v>
      </c>
      <c r="Q253" s="3244"/>
      <c r="R253" s="3244"/>
      <c r="S253" s="3242">
        <v>0</v>
      </c>
      <c r="T253" s="3244"/>
      <c r="U253" s="3244"/>
      <c r="V253" s="3244"/>
      <c r="W253" s="3240">
        <v>0</v>
      </c>
      <c r="X253" s="3244"/>
      <c r="Y253" s="3244"/>
      <c r="Z253" s="3242" t="s">
        <v>3384</v>
      </c>
      <c r="AA253" s="3243">
        <f t="shared" si="36"/>
        <v>0</v>
      </c>
      <c r="AB253" s="3242">
        <f t="shared" si="37"/>
        <v>0</v>
      </c>
      <c r="AC253" s="3244"/>
      <c r="AD253" s="3244"/>
      <c r="AE253" s="3242">
        <f t="shared" si="38"/>
        <v>0</v>
      </c>
      <c r="AF253" s="3259"/>
      <c r="AG253" s="3260"/>
      <c r="AH253" s="3250"/>
      <c r="AI253" s="3260"/>
      <c r="AJ253" s="3260"/>
      <c r="AK253" s="3260"/>
      <c r="AL253" s="3259"/>
      <c r="AM253" s="3260"/>
      <c r="AN253" s="3259"/>
      <c r="AO253" s="3260"/>
      <c r="AP253" s="3242">
        <v>0</v>
      </c>
      <c r="AQ253" s="3244"/>
      <c r="AR253" s="3244"/>
      <c r="AS253" s="3242" t="s">
        <v>3384</v>
      </c>
      <c r="AT253" s="3247">
        <f t="shared" si="32"/>
        <v>0</v>
      </c>
      <c r="AU253" s="3248">
        <f t="shared" si="33"/>
        <v>0</v>
      </c>
      <c r="AV253" s="3248">
        <v>0</v>
      </c>
      <c r="AW253" s="3247">
        <v>0</v>
      </c>
      <c r="AX253" s="3248">
        <v>0</v>
      </c>
      <c r="AY253" s="3248">
        <v>0</v>
      </c>
      <c r="AZ253" s="3247">
        <v>0</v>
      </c>
      <c r="BA253" s="3248">
        <v>0</v>
      </c>
      <c r="BB253" s="3248">
        <v>0</v>
      </c>
      <c r="BC253" s="3247">
        <v>0</v>
      </c>
      <c r="BD253" s="3248">
        <v>0</v>
      </c>
      <c r="BE253" s="3248">
        <v>0</v>
      </c>
      <c r="BF253" s="3248">
        <f t="shared" si="34"/>
        <v>0</v>
      </c>
      <c r="BG253" s="3248">
        <f t="shared" si="35"/>
        <v>0</v>
      </c>
      <c r="BH253" s="3249"/>
      <c r="BI253" s="3249"/>
    </row>
    <row r="254" spans="1:61" x14ac:dyDescent="0.3">
      <c r="A254" s="4197" t="s">
        <v>3384</v>
      </c>
      <c r="B254" s="3261"/>
      <c r="C254" s="3243">
        <v>0</v>
      </c>
      <c r="D254" s="3242">
        <v>0</v>
      </c>
      <c r="E254" s="3244"/>
      <c r="F254" s="3244"/>
      <c r="G254" s="3242">
        <v>0</v>
      </c>
      <c r="H254" s="3244"/>
      <c r="I254" s="3244"/>
      <c r="J254" s="3244"/>
      <c r="K254" s="3242">
        <v>0</v>
      </c>
      <c r="L254" s="3244"/>
      <c r="M254" s="3244"/>
      <c r="N254" s="3242" t="s">
        <v>3384</v>
      </c>
      <c r="O254" s="3239">
        <v>0</v>
      </c>
      <c r="P254" s="3242">
        <v>0</v>
      </c>
      <c r="Q254" s="3244"/>
      <c r="R254" s="3244"/>
      <c r="S254" s="3242">
        <v>0</v>
      </c>
      <c r="T254" s="3244"/>
      <c r="U254" s="3244"/>
      <c r="V254" s="3244"/>
      <c r="W254" s="3240">
        <v>0</v>
      </c>
      <c r="X254" s="3244"/>
      <c r="Y254" s="3244"/>
      <c r="Z254" s="3242" t="s">
        <v>3384</v>
      </c>
      <c r="AA254" s="3243">
        <f t="shared" si="36"/>
        <v>0</v>
      </c>
      <c r="AB254" s="3242">
        <f t="shared" si="37"/>
        <v>0</v>
      </c>
      <c r="AC254" s="3244"/>
      <c r="AD254" s="3244"/>
      <c r="AE254" s="3242">
        <f t="shared" si="38"/>
        <v>0</v>
      </c>
      <c r="AF254" s="3259"/>
      <c r="AG254" s="3260"/>
      <c r="AH254" s="3250"/>
      <c r="AI254" s="3260"/>
      <c r="AJ254" s="3260"/>
      <c r="AK254" s="3260"/>
      <c r="AL254" s="3259"/>
      <c r="AM254" s="3260"/>
      <c r="AN254" s="3259"/>
      <c r="AO254" s="3260"/>
      <c r="AP254" s="3242">
        <v>0</v>
      </c>
      <c r="AQ254" s="3244"/>
      <c r="AR254" s="3244"/>
      <c r="AS254" s="3242" t="s">
        <v>3384</v>
      </c>
      <c r="AT254" s="3247">
        <f t="shared" si="32"/>
        <v>0</v>
      </c>
      <c r="AU254" s="3248">
        <f t="shared" si="33"/>
        <v>0</v>
      </c>
      <c r="AV254" s="3248">
        <v>0</v>
      </c>
      <c r="AW254" s="3247">
        <v>0</v>
      </c>
      <c r="AX254" s="3248">
        <v>0</v>
      </c>
      <c r="AY254" s="3248">
        <v>0</v>
      </c>
      <c r="AZ254" s="3247">
        <v>0</v>
      </c>
      <c r="BA254" s="3248">
        <v>0</v>
      </c>
      <c r="BB254" s="3248">
        <v>0</v>
      </c>
      <c r="BC254" s="3247">
        <v>0</v>
      </c>
      <c r="BD254" s="3248">
        <v>0</v>
      </c>
      <c r="BE254" s="3248">
        <v>0</v>
      </c>
      <c r="BF254" s="3248">
        <f t="shared" si="34"/>
        <v>0</v>
      </c>
      <c r="BG254" s="3248">
        <f t="shared" si="35"/>
        <v>0</v>
      </c>
      <c r="BH254" s="3249"/>
      <c r="BI254" s="3249"/>
    </row>
    <row r="255" spans="1:61" x14ac:dyDescent="0.3">
      <c r="A255" s="4197" t="s">
        <v>3384</v>
      </c>
      <c r="B255" s="3261"/>
      <c r="C255" s="3243">
        <v>0</v>
      </c>
      <c r="D255" s="3242">
        <v>0</v>
      </c>
      <c r="E255" s="3244"/>
      <c r="F255" s="3244"/>
      <c r="G255" s="3242">
        <v>0</v>
      </c>
      <c r="H255" s="3244"/>
      <c r="I255" s="3244"/>
      <c r="J255" s="3244"/>
      <c r="K255" s="3242">
        <v>0</v>
      </c>
      <c r="L255" s="3244"/>
      <c r="M255" s="3244"/>
      <c r="N255" s="3242" t="s">
        <v>3384</v>
      </c>
      <c r="O255" s="3239">
        <v>0</v>
      </c>
      <c r="P255" s="3242">
        <v>0</v>
      </c>
      <c r="Q255" s="3244"/>
      <c r="R255" s="3244"/>
      <c r="S255" s="3242">
        <v>0</v>
      </c>
      <c r="T255" s="3244"/>
      <c r="U255" s="3244"/>
      <c r="V255" s="3244"/>
      <c r="W255" s="3240">
        <v>0</v>
      </c>
      <c r="X255" s="3244"/>
      <c r="Y255" s="3244"/>
      <c r="Z255" s="3242" t="s">
        <v>3384</v>
      </c>
      <c r="AA255" s="3243">
        <f t="shared" si="36"/>
        <v>0</v>
      </c>
      <c r="AB255" s="3242">
        <f t="shared" si="37"/>
        <v>0</v>
      </c>
      <c r="AC255" s="3244"/>
      <c r="AD255" s="3244"/>
      <c r="AE255" s="3242">
        <f t="shared" si="38"/>
        <v>0</v>
      </c>
      <c r="AF255" s="3259"/>
      <c r="AG255" s="3260"/>
      <c r="AH255" s="3250"/>
      <c r="AI255" s="3260"/>
      <c r="AJ255" s="3260"/>
      <c r="AK255" s="3260"/>
      <c r="AL255" s="3259"/>
      <c r="AM255" s="3260"/>
      <c r="AN255" s="3259"/>
      <c r="AO255" s="3260"/>
      <c r="AP255" s="3242">
        <v>0</v>
      </c>
      <c r="AQ255" s="3244"/>
      <c r="AR255" s="3244"/>
      <c r="AS255" s="3242" t="s">
        <v>3384</v>
      </c>
      <c r="AT255" s="3247">
        <f t="shared" si="32"/>
        <v>0</v>
      </c>
      <c r="AU255" s="3248">
        <f t="shared" si="33"/>
        <v>0</v>
      </c>
      <c r="AV255" s="3248">
        <v>0</v>
      </c>
      <c r="AW255" s="3247">
        <v>0</v>
      </c>
      <c r="AX255" s="3248">
        <v>0</v>
      </c>
      <c r="AY255" s="3248">
        <v>0</v>
      </c>
      <c r="AZ255" s="3247">
        <v>0</v>
      </c>
      <c r="BA255" s="3248">
        <v>0</v>
      </c>
      <c r="BB255" s="3248">
        <v>0</v>
      </c>
      <c r="BC255" s="3247">
        <v>0</v>
      </c>
      <c r="BD255" s="3248">
        <v>0</v>
      </c>
      <c r="BE255" s="3248">
        <v>0</v>
      </c>
      <c r="BF255" s="3248">
        <f t="shared" si="34"/>
        <v>0</v>
      </c>
      <c r="BG255" s="3248">
        <f t="shared" si="35"/>
        <v>0</v>
      </c>
      <c r="BH255" s="3249"/>
      <c r="BI255" s="3249"/>
    </row>
    <row r="256" spans="1:61" x14ac:dyDescent="0.3">
      <c r="A256" s="4197" t="s">
        <v>3384</v>
      </c>
      <c r="B256" s="3261"/>
      <c r="C256" s="3243">
        <v>0</v>
      </c>
      <c r="D256" s="3242">
        <v>0</v>
      </c>
      <c r="E256" s="3244"/>
      <c r="F256" s="3244"/>
      <c r="G256" s="3242">
        <v>0</v>
      </c>
      <c r="H256" s="3244"/>
      <c r="I256" s="3244"/>
      <c r="J256" s="3244"/>
      <c r="K256" s="3242">
        <v>0</v>
      </c>
      <c r="L256" s="3244"/>
      <c r="M256" s="3244"/>
      <c r="N256" s="3242" t="s">
        <v>3384</v>
      </c>
      <c r="O256" s="3239">
        <v>0</v>
      </c>
      <c r="P256" s="3242">
        <v>0</v>
      </c>
      <c r="Q256" s="3244"/>
      <c r="R256" s="3244"/>
      <c r="S256" s="3242">
        <v>0</v>
      </c>
      <c r="T256" s="3244"/>
      <c r="U256" s="3244"/>
      <c r="V256" s="3244"/>
      <c r="W256" s="3240">
        <v>0</v>
      </c>
      <c r="X256" s="3244"/>
      <c r="Y256" s="3244"/>
      <c r="Z256" s="3242" t="s">
        <v>3384</v>
      </c>
      <c r="AA256" s="3243">
        <f t="shared" si="36"/>
        <v>0</v>
      </c>
      <c r="AB256" s="3242">
        <f t="shared" si="37"/>
        <v>0</v>
      </c>
      <c r="AC256" s="3244"/>
      <c r="AD256" s="3244"/>
      <c r="AE256" s="3242">
        <v>0</v>
      </c>
      <c r="AF256" s="3259"/>
      <c r="AG256" s="3260"/>
      <c r="AH256" s="3250"/>
      <c r="AI256" s="3260"/>
      <c r="AJ256" s="3260"/>
      <c r="AK256" s="3260"/>
      <c r="AL256" s="3259"/>
      <c r="AM256" s="3260"/>
      <c r="AN256" s="3259"/>
      <c r="AO256" s="3260"/>
      <c r="AP256" s="3242">
        <v>0</v>
      </c>
      <c r="AQ256" s="3244"/>
      <c r="AR256" s="3244"/>
      <c r="AS256" s="3242" t="s">
        <v>3384</v>
      </c>
      <c r="AT256" s="3247">
        <f t="shared" si="32"/>
        <v>0</v>
      </c>
      <c r="AU256" s="3248">
        <f t="shared" si="33"/>
        <v>0</v>
      </c>
      <c r="AV256" s="3248">
        <v>0</v>
      </c>
      <c r="AW256" s="3247">
        <v>0</v>
      </c>
      <c r="AX256" s="3248">
        <v>0</v>
      </c>
      <c r="AY256" s="3248">
        <v>0</v>
      </c>
      <c r="AZ256" s="3247">
        <v>0</v>
      </c>
      <c r="BA256" s="3248">
        <v>0</v>
      </c>
      <c r="BB256" s="3248">
        <v>0</v>
      </c>
      <c r="BC256" s="3247">
        <v>0</v>
      </c>
      <c r="BD256" s="3248">
        <v>0</v>
      </c>
      <c r="BE256" s="3248">
        <v>0</v>
      </c>
      <c r="BF256" s="3248">
        <f t="shared" si="34"/>
        <v>0</v>
      </c>
      <c r="BG256" s="3248">
        <f t="shared" si="35"/>
        <v>0</v>
      </c>
      <c r="BH256" s="3249"/>
      <c r="BI256" s="3249"/>
    </row>
    <row r="257" spans="1:61" x14ac:dyDescent="0.3">
      <c r="A257" s="4197" t="s">
        <v>3384</v>
      </c>
      <c r="B257" s="3261"/>
      <c r="C257" s="3243">
        <v>0</v>
      </c>
      <c r="D257" s="3242">
        <v>0</v>
      </c>
      <c r="E257" s="3244"/>
      <c r="F257" s="3244"/>
      <c r="G257" s="3242">
        <v>0</v>
      </c>
      <c r="H257" s="3244"/>
      <c r="I257" s="3244"/>
      <c r="J257" s="3244"/>
      <c r="K257" s="3242">
        <v>0</v>
      </c>
      <c r="L257" s="3244"/>
      <c r="M257" s="3244"/>
      <c r="N257" s="3242" t="s">
        <v>3384</v>
      </c>
      <c r="O257" s="3239">
        <v>0</v>
      </c>
      <c r="P257" s="3242">
        <v>0</v>
      </c>
      <c r="Q257" s="3244"/>
      <c r="R257" s="3244"/>
      <c r="S257" s="3242">
        <v>0</v>
      </c>
      <c r="T257" s="3244"/>
      <c r="U257" s="3244"/>
      <c r="V257" s="3244"/>
      <c r="W257" s="3240">
        <v>0</v>
      </c>
      <c r="X257" s="3244"/>
      <c r="Y257" s="3244"/>
      <c r="Z257" s="3242" t="s">
        <v>3384</v>
      </c>
      <c r="AA257" s="3243">
        <f t="shared" si="36"/>
        <v>0</v>
      </c>
      <c r="AB257" s="3242">
        <f t="shared" si="37"/>
        <v>0</v>
      </c>
      <c r="AC257" s="3244"/>
      <c r="AD257" s="3244"/>
      <c r="AE257" s="3242">
        <v>0</v>
      </c>
      <c r="AF257" s="3259"/>
      <c r="AG257" s="3260"/>
      <c r="AH257" s="3250"/>
      <c r="AI257" s="3260"/>
      <c r="AJ257" s="3260"/>
      <c r="AK257" s="3260"/>
      <c r="AL257" s="3259"/>
      <c r="AM257" s="3260"/>
      <c r="AN257" s="3259"/>
      <c r="AO257" s="3260"/>
      <c r="AP257" s="3242">
        <v>0</v>
      </c>
      <c r="AQ257" s="3244"/>
      <c r="AR257" s="3244"/>
      <c r="AS257" s="3242" t="s">
        <v>3384</v>
      </c>
      <c r="AT257" s="3247">
        <f t="shared" si="32"/>
        <v>0</v>
      </c>
      <c r="AU257" s="3248">
        <f t="shared" si="33"/>
        <v>0</v>
      </c>
      <c r="AV257" s="3248">
        <v>0</v>
      </c>
      <c r="AW257" s="3247">
        <v>0</v>
      </c>
      <c r="AX257" s="3248">
        <v>0</v>
      </c>
      <c r="AY257" s="3248">
        <v>0</v>
      </c>
      <c r="AZ257" s="3247">
        <v>0</v>
      </c>
      <c r="BA257" s="3248">
        <v>0</v>
      </c>
      <c r="BB257" s="3248">
        <v>0</v>
      </c>
      <c r="BC257" s="3247">
        <v>0</v>
      </c>
      <c r="BD257" s="3248">
        <v>0</v>
      </c>
      <c r="BE257" s="3248">
        <v>0</v>
      </c>
      <c r="BF257" s="3248">
        <f t="shared" si="34"/>
        <v>0</v>
      </c>
      <c r="BG257" s="3248">
        <f t="shared" si="35"/>
        <v>0</v>
      </c>
      <c r="BH257" s="3249"/>
      <c r="BI257" s="3249"/>
    </row>
    <row r="258" spans="1:61" x14ac:dyDescent="0.3">
      <c r="A258" s="4197" t="s">
        <v>3384</v>
      </c>
      <c r="B258" s="3261"/>
      <c r="C258" s="3243">
        <v>0</v>
      </c>
      <c r="D258" s="3242">
        <v>0</v>
      </c>
      <c r="E258" s="3244"/>
      <c r="F258" s="3244"/>
      <c r="G258" s="3242">
        <v>0</v>
      </c>
      <c r="H258" s="3244"/>
      <c r="I258" s="3244"/>
      <c r="J258" s="3244"/>
      <c r="K258" s="3242">
        <v>0</v>
      </c>
      <c r="L258" s="3244"/>
      <c r="M258" s="3244"/>
      <c r="N258" s="3242" t="s">
        <v>3384</v>
      </c>
      <c r="O258" s="3239">
        <v>0</v>
      </c>
      <c r="P258" s="3242">
        <v>0</v>
      </c>
      <c r="Q258" s="3244"/>
      <c r="R258" s="3244"/>
      <c r="S258" s="3242">
        <v>0</v>
      </c>
      <c r="T258" s="3244"/>
      <c r="U258" s="3244"/>
      <c r="V258" s="3244"/>
      <c r="W258" s="3240">
        <v>0</v>
      </c>
      <c r="X258" s="3244"/>
      <c r="Y258" s="3244"/>
      <c r="Z258" s="3242" t="s">
        <v>3384</v>
      </c>
      <c r="AA258" s="3243">
        <f t="shared" si="36"/>
        <v>0</v>
      </c>
      <c r="AB258" s="3242">
        <f t="shared" si="37"/>
        <v>0</v>
      </c>
      <c r="AC258" s="3244"/>
      <c r="AD258" s="3244"/>
      <c r="AE258" s="3242">
        <v>0</v>
      </c>
      <c r="AF258" s="3259"/>
      <c r="AG258" s="3260"/>
      <c r="AH258" s="3250"/>
      <c r="AI258" s="3260"/>
      <c r="AJ258" s="3260"/>
      <c r="AK258" s="3260"/>
      <c r="AL258" s="3259"/>
      <c r="AM258" s="3260"/>
      <c r="AN258" s="3259"/>
      <c r="AO258" s="3260"/>
      <c r="AP258" s="3242">
        <v>0</v>
      </c>
      <c r="AQ258" s="3244"/>
      <c r="AR258" s="3244"/>
      <c r="AS258" s="3242" t="s">
        <v>3384</v>
      </c>
      <c r="AT258" s="3247">
        <f t="shared" si="32"/>
        <v>0</v>
      </c>
      <c r="AU258" s="3248">
        <f t="shared" si="33"/>
        <v>0</v>
      </c>
      <c r="AV258" s="3248">
        <v>0</v>
      </c>
      <c r="AW258" s="3247">
        <v>0</v>
      </c>
      <c r="AX258" s="3248">
        <v>0</v>
      </c>
      <c r="AY258" s="3248">
        <v>0</v>
      </c>
      <c r="AZ258" s="3247">
        <v>0</v>
      </c>
      <c r="BA258" s="3248">
        <v>0</v>
      </c>
      <c r="BB258" s="3248">
        <v>0</v>
      </c>
      <c r="BC258" s="3247">
        <v>0</v>
      </c>
      <c r="BD258" s="3248">
        <v>0</v>
      </c>
      <c r="BE258" s="3248">
        <v>0</v>
      </c>
      <c r="BF258" s="3248">
        <f t="shared" si="34"/>
        <v>0</v>
      </c>
      <c r="BG258" s="3248">
        <f t="shared" si="35"/>
        <v>0</v>
      </c>
      <c r="BH258" s="3249"/>
      <c r="BI258" s="3249"/>
    </row>
    <row r="259" spans="1:61" x14ac:dyDescent="0.3">
      <c r="A259" s="4197" t="s">
        <v>3384</v>
      </c>
      <c r="B259" s="3261"/>
      <c r="C259" s="3243">
        <v>0</v>
      </c>
      <c r="D259" s="3242">
        <v>0</v>
      </c>
      <c r="E259" s="3244"/>
      <c r="F259" s="3244"/>
      <c r="G259" s="3242">
        <v>0</v>
      </c>
      <c r="H259" s="3244"/>
      <c r="I259" s="3244"/>
      <c r="J259" s="3244"/>
      <c r="K259" s="3242">
        <v>0</v>
      </c>
      <c r="L259" s="3244"/>
      <c r="M259" s="3244"/>
      <c r="N259" s="3242" t="s">
        <v>3384</v>
      </c>
      <c r="O259" s="3239">
        <v>0</v>
      </c>
      <c r="P259" s="3242">
        <v>0</v>
      </c>
      <c r="Q259" s="3244"/>
      <c r="R259" s="3244"/>
      <c r="S259" s="3242">
        <v>0</v>
      </c>
      <c r="T259" s="3244"/>
      <c r="U259" s="3244"/>
      <c r="V259" s="3244"/>
      <c r="W259" s="3240">
        <v>0</v>
      </c>
      <c r="X259" s="3244"/>
      <c r="Y259" s="3244"/>
      <c r="Z259" s="3242" t="s">
        <v>3384</v>
      </c>
      <c r="AA259" s="3243">
        <f t="shared" si="36"/>
        <v>0</v>
      </c>
      <c r="AB259" s="3242">
        <f t="shared" si="37"/>
        <v>0</v>
      </c>
      <c r="AC259" s="3244"/>
      <c r="AD259" s="3244"/>
      <c r="AE259" s="3242">
        <v>0</v>
      </c>
      <c r="AF259" s="3259"/>
      <c r="AG259" s="3260"/>
      <c r="AH259" s="3250"/>
      <c r="AI259" s="3260"/>
      <c r="AJ259" s="3260"/>
      <c r="AK259" s="3260"/>
      <c r="AL259" s="3259"/>
      <c r="AM259" s="3260"/>
      <c r="AN259" s="3259"/>
      <c r="AO259" s="3260"/>
      <c r="AP259" s="3242">
        <v>0</v>
      </c>
      <c r="AQ259" s="3244"/>
      <c r="AR259" s="3244"/>
      <c r="AS259" s="3242" t="s">
        <v>3384</v>
      </c>
      <c r="AT259" s="3247">
        <f t="shared" si="32"/>
        <v>0</v>
      </c>
      <c r="AU259" s="3248">
        <f t="shared" si="33"/>
        <v>0</v>
      </c>
      <c r="AV259" s="3248">
        <v>0</v>
      </c>
      <c r="AW259" s="3247">
        <v>0</v>
      </c>
      <c r="AX259" s="3248">
        <v>0</v>
      </c>
      <c r="AY259" s="3248">
        <v>0</v>
      </c>
      <c r="AZ259" s="3247">
        <v>0</v>
      </c>
      <c r="BA259" s="3248">
        <v>0</v>
      </c>
      <c r="BB259" s="3248">
        <v>0</v>
      </c>
      <c r="BC259" s="3247">
        <v>0</v>
      </c>
      <c r="BD259" s="3248">
        <v>0</v>
      </c>
      <c r="BE259" s="3248">
        <v>0</v>
      </c>
      <c r="BF259" s="3248">
        <f t="shared" si="34"/>
        <v>0</v>
      </c>
      <c r="BG259" s="3248">
        <f t="shared" si="35"/>
        <v>0</v>
      </c>
      <c r="BH259" s="3249"/>
      <c r="BI259" s="3249"/>
    </row>
    <row r="260" spans="1:61" x14ac:dyDescent="0.3">
      <c r="A260" s="4197" t="s">
        <v>3384</v>
      </c>
      <c r="B260" s="3261"/>
      <c r="C260" s="3243">
        <v>0</v>
      </c>
      <c r="D260" s="3242">
        <v>0</v>
      </c>
      <c r="E260" s="3244"/>
      <c r="F260" s="3244"/>
      <c r="G260" s="3242">
        <v>0</v>
      </c>
      <c r="H260" s="3244"/>
      <c r="I260" s="3244"/>
      <c r="J260" s="3244"/>
      <c r="K260" s="3242">
        <v>0</v>
      </c>
      <c r="L260" s="3244"/>
      <c r="M260" s="3244"/>
      <c r="N260" s="3242" t="s">
        <v>3384</v>
      </c>
      <c r="O260" s="3239">
        <v>0</v>
      </c>
      <c r="P260" s="3242">
        <v>0</v>
      </c>
      <c r="Q260" s="3244"/>
      <c r="R260" s="3244"/>
      <c r="S260" s="3242">
        <v>0</v>
      </c>
      <c r="T260" s="3244"/>
      <c r="U260" s="3244"/>
      <c r="V260" s="3244"/>
      <c r="W260" s="3240">
        <v>0</v>
      </c>
      <c r="X260" s="3244"/>
      <c r="Y260" s="3244"/>
      <c r="Z260" s="3242" t="s">
        <v>3384</v>
      </c>
      <c r="AA260" s="3243">
        <f t="shared" si="36"/>
        <v>0</v>
      </c>
      <c r="AB260" s="3242">
        <f t="shared" si="37"/>
        <v>0</v>
      </c>
      <c r="AC260" s="3244"/>
      <c r="AD260" s="3244"/>
      <c r="AE260" s="3242">
        <v>0</v>
      </c>
      <c r="AF260" s="3259"/>
      <c r="AG260" s="3260"/>
      <c r="AH260" s="3250"/>
      <c r="AI260" s="3260"/>
      <c r="AJ260" s="3260"/>
      <c r="AK260" s="3260"/>
      <c r="AL260" s="3259"/>
      <c r="AM260" s="3260"/>
      <c r="AN260" s="3259"/>
      <c r="AO260" s="3260"/>
      <c r="AP260" s="3242">
        <v>0</v>
      </c>
      <c r="AQ260" s="3244"/>
      <c r="AR260" s="3244"/>
      <c r="AS260" s="3242" t="s">
        <v>3384</v>
      </c>
      <c r="AT260" s="3247">
        <f t="shared" si="32"/>
        <v>0</v>
      </c>
      <c r="AU260" s="3248">
        <f t="shared" si="33"/>
        <v>0</v>
      </c>
      <c r="AV260" s="3248">
        <v>0</v>
      </c>
      <c r="AW260" s="3247">
        <v>0</v>
      </c>
      <c r="AX260" s="3248">
        <v>0</v>
      </c>
      <c r="AY260" s="3248">
        <v>0</v>
      </c>
      <c r="AZ260" s="3247">
        <v>0</v>
      </c>
      <c r="BA260" s="3248">
        <v>0</v>
      </c>
      <c r="BB260" s="3248">
        <v>0</v>
      </c>
      <c r="BC260" s="3247">
        <v>0</v>
      </c>
      <c r="BD260" s="3248">
        <v>0</v>
      </c>
      <c r="BE260" s="3248">
        <v>0</v>
      </c>
      <c r="BF260" s="3248">
        <f t="shared" si="34"/>
        <v>0</v>
      </c>
      <c r="BG260" s="3248">
        <f t="shared" si="35"/>
        <v>0</v>
      </c>
      <c r="BH260" s="3249"/>
      <c r="BI260" s="3249"/>
    </row>
    <row r="261" spans="1:61" x14ac:dyDescent="0.3">
      <c r="A261" s="4197" t="s">
        <v>3384</v>
      </c>
      <c r="B261" s="3261"/>
      <c r="C261" s="3243">
        <v>0</v>
      </c>
      <c r="D261" s="3242">
        <v>0</v>
      </c>
      <c r="E261" s="3244"/>
      <c r="F261" s="3244"/>
      <c r="G261" s="3242">
        <v>0</v>
      </c>
      <c r="H261" s="3244"/>
      <c r="I261" s="3244"/>
      <c r="J261" s="3244"/>
      <c r="K261" s="3242">
        <v>0</v>
      </c>
      <c r="L261" s="3244"/>
      <c r="M261" s="3244"/>
      <c r="N261" s="3242" t="s">
        <v>3384</v>
      </c>
      <c r="O261" s="3239">
        <v>0</v>
      </c>
      <c r="P261" s="3242">
        <v>0</v>
      </c>
      <c r="Q261" s="3244"/>
      <c r="R261" s="3244"/>
      <c r="S261" s="3242">
        <v>0</v>
      </c>
      <c r="T261" s="3244"/>
      <c r="U261" s="3244"/>
      <c r="V261" s="3244"/>
      <c r="W261" s="3240">
        <v>0</v>
      </c>
      <c r="X261" s="3244"/>
      <c r="Y261" s="3244"/>
      <c r="Z261" s="3242" t="s">
        <v>3384</v>
      </c>
      <c r="AA261" s="3243">
        <f t="shared" si="36"/>
        <v>0</v>
      </c>
      <c r="AB261" s="3242">
        <f t="shared" si="37"/>
        <v>0</v>
      </c>
      <c r="AC261" s="3244"/>
      <c r="AD261" s="3244"/>
      <c r="AE261" s="3242">
        <v>0</v>
      </c>
      <c r="AF261" s="3259"/>
      <c r="AG261" s="3260"/>
      <c r="AH261" s="3250"/>
      <c r="AI261" s="3260"/>
      <c r="AJ261" s="3260"/>
      <c r="AK261" s="3260"/>
      <c r="AL261" s="3259"/>
      <c r="AM261" s="3260"/>
      <c r="AN261" s="3259"/>
      <c r="AO261" s="3260"/>
      <c r="AP261" s="3242">
        <v>0</v>
      </c>
      <c r="AQ261" s="3244"/>
      <c r="AR261" s="3244"/>
      <c r="AS261" s="3242" t="s">
        <v>3384</v>
      </c>
      <c r="AT261" s="3247">
        <f t="shared" si="32"/>
        <v>0</v>
      </c>
      <c r="AU261" s="3248">
        <f t="shared" si="33"/>
        <v>0</v>
      </c>
      <c r="AV261" s="3248">
        <v>0</v>
      </c>
      <c r="AW261" s="3247">
        <v>0</v>
      </c>
      <c r="AX261" s="3248">
        <v>0</v>
      </c>
      <c r="AY261" s="3248">
        <v>0</v>
      </c>
      <c r="AZ261" s="3247">
        <v>0</v>
      </c>
      <c r="BA261" s="3248">
        <v>0</v>
      </c>
      <c r="BB261" s="3248">
        <v>0</v>
      </c>
      <c r="BC261" s="3247">
        <v>0</v>
      </c>
      <c r="BD261" s="3248">
        <v>0</v>
      </c>
      <c r="BE261" s="3248">
        <v>0</v>
      </c>
      <c r="BF261" s="3248">
        <f t="shared" si="34"/>
        <v>0</v>
      </c>
      <c r="BG261" s="3248">
        <f t="shared" si="35"/>
        <v>0</v>
      </c>
      <c r="BH261" s="3249"/>
      <c r="BI261" s="3249"/>
    </row>
    <row r="262" spans="1:61" x14ac:dyDescent="0.3">
      <c r="A262" s="4197" t="s">
        <v>3384</v>
      </c>
      <c r="B262" s="3261"/>
      <c r="C262" s="3243">
        <v>0</v>
      </c>
      <c r="D262" s="3242">
        <v>0</v>
      </c>
      <c r="E262" s="3244"/>
      <c r="F262" s="3244"/>
      <c r="G262" s="3242">
        <v>0</v>
      </c>
      <c r="H262" s="3244"/>
      <c r="I262" s="3244"/>
      <c r="J262" s="3244"/>
      <c r="K262" s="3242">
        <v>0</v>
      </c>
      <c r="L262" s="3244"/>
      <c r="M262" s="3244"/>
      <c r="N262" s="3242" t="s">
        <v>3384</v>
      </c>
      <c r="O262" s="3239">
        <v>0</v>
      </c>
      <c r="P262" s="3242">
        <v>0</v>
      </c>
      <c r="Q262" s="3244"/>
      <c r="R262" s="3244"/>
      <c r="S262" s="3242">
        <v>0</v>
      </c>
      <c r="T262" s="3244"/>
      <c r="U262" s="3244"/>
      <c r="V262" s="3244"/>
      <c r="W262" s="3240">
        <v>0</v>
      </c>
      <c r="X262" s="3244"/>
      <c r="Y262" s="3244"/>
      <c r="Z262" s="3242" t="s">
        <v>3384</v>
      </c>
      <c r="AA262" s="3243">
        <f t="shared" si="36"/>
        <v>0</v>
      </c>
      <c r="AB262" s="3242">
        <f t="shared" si="37"/>
        <v>0</v>
      </c>
      <c r="AC262" s="3244"/>
      <c r="AD262" s="3244"/>
      <c r="AE262" s="3242">
        <v>0</v>
      </c>
      <c r="AF262" s="3259"/>
      <c r="AG262" s="3260"/>
      <c r="AH262" s="3250"/>
      <c r="AI262" s="3260"/>
      <c r="AJ262" s="3260"/>
      <c r="AK262" s="3260"/>
      <c r="AL262" s="3259"/>
      <c r="AM262" s="3260"/>
      <c r="AN262" s="3259"/>
      <c r="AO262" s="3260"/>
      <c r="AP262" s="3242">
        <v>0</v>
      </c>
      <c r="AQ262" s="3244"/>
      <c r="AR262" s="3244"/>
      <c r="AS262" s="3242" t="s">
        <v>3384</v>
      </c>
      <c r="AT262" s="3247">
        <f t="shared" si="32"/>
        <v>0</v>
      </c>
      <c r="AU262" s="3248">
        <f t="shared" si="33"/>
        <v>0</v>
      </c>
      <c r="AV262" s="3248">
        <v>0</v>
      </c>
      <c r="AW262" s="3247">
        <v>0</v>
      </c>
      <c r="AX262" s="3248">
        <v>0</v>
      </c>
      <c r="AY262" s="3248">
        <v>0</v>
      </c>
      <c r="AZ262" s="3247">
        <v>0</v>
      </c>
      <c r="BA262" s="3248">
        <v>0</v>
      </c>
      <c r="BB262" s="3248">
        <v>0</v>
      </c>
      <c r="BC262" s="3247">
        <v>0</v>
      </c>
      <c r="BD262" s="3248">
        <v>0</v>
      </c>
      <c r="BE262" s="3248">
        <v>0</v>
      </c>
      <c r="BF262" s="3248">
        <f t="shared" si="34"/>
        <v>0</v>
      </c>
      <c r="BG262" s="3248">
        <f t="shared" si="35"/>
        <v>0</v>
      </c>
      <c r="BH262" s="3249"/>
      <c r="BI262" s="3249"/>
    </row>
    <row r="263" spans="1:61" x14ac:dyDescent="0.3">
      <c r="A263" s="4197" t="s">
        <v>3384</v>
      </c>
      <c r="B263" s="3261"/>
      <c r="C263" s="3243">
        <v>0</v>
      </c>
      <c r="D263" s="3242">
        <v>0</v>
      </c>
      <c r="E263" s="3244"/>
      <c r="F263" s="3244"/>
      <c r="G263" s="3242">
        <v>0</v>
      </c>
      <c r="H263" s="3244"/>
      <c r="I263" s="3244"/>
      <c r="J263" s="3244"/>
      <c r="K263" s="3242">
        <v>0</v>
      </c>
      <c r="L263" s="3244"/>
      <c r="M263" s="3244"/>
      <c r="N263" s="3242" t="s">
        <v>3384</v>
      </c>
      <c r="O263" s="3239">
        <v>0</v>
      </c>
      <c r="P263" s="3242">
        <v>0</v>
      </c>
      <c r="Q263" s="3244"/>
      <c r="R263" s="3244"/>
      <c r="S263" s="3242">
        <v>0</v>
      </c>
      <c r="T263" s="3244"/>
      <c r="U263" s="3244"/>
      <c r="V263" s="3244"/>
      <c r="W263" s="3240">
        <v>0</v>
      </c>
      <c r="X263" s="3244"/>
      <c r="Y263" s="3244"/>
      <c r="Z263" s="3242" t="s">
        <v>3384</v>
      </c>
      <c r="AA263" s="3243">
        <f t="shared" si="36"/>
        <v>0</v>
      </c>
      <c r="AB263" s="3242">
        <f t="shared" si="37"/>
        <v>0</v>
      </c>
      <c r="AC263" s="3244"/>
      <c r="AD263" s="3244"/>
      <c r="AE263" s="3242">
        <v>0</v>
      </c>
      <c r="AF263" s="3259"/>
      <c r="AG263" s="3260"/>
      <c r="AH263" s="3250"/>
      <c r="AI263" s="3260"/>
      <c r="AJ263" s="3260"/>
      <c r="AK263" s="3260"/>
      <c r="AL263" s="3259"/>
      <c r="AM263" s="3260"/>
      <c r="AN263" s="3259"/>
      <c r="AO263" s="3260"/>
      <c r="AP263" s="3242">
        <v>0</v>
      </c>
      <c r="AQ263" s="3244"/>
      <c r="AR263" s="3244"/>
      <c r="AS263" s="3242" t="s">
        <v>3384</v>
      </c>
      <c r="AT263" s="3247">
        <f t="shared" si="32"/>
        <v>0</v>
      </c>
      <c r="AU263" s="3248">
        <f t="shared" si="33"/>
        <v>0</v>
      </c>
      <c r="AV263" s="3248">
        <v>0</v>
      </c>
      <c r="AW263" s="3247">
        <v>0</v>
      </c>
      <c r="AX263" s="3248">
        <v>0</v>
      </c>
      <c r="AY263" s="3248">
        <v>0</v>
      </c>
      <c r="AZ263" s="3247">
        <v>0</v>
      </c>
      <c r="BA263" s="3248">
        <v>0</v>
      </c>
      <c r="BB263" s="3248">
        <v>0</v>
      </c>
      <c r="BC263" s="3247">
        <v>0</v>
      </c>
      <c r="BD263" s="3248">
        <v>0</v>
      </c>
      <c r="BE263" s="3248">
        <v>0</v>
      </c>
      <c r="BF263" s="3248">
        <f t="shared" si="34"/>
        <v>0</v>
      </c>
      <c r="BG263" s="3248">
        <f t="shared" si="35"/>
        <v>0</v>
      </c>
      <c r="BH263" s="3249"/>
      <c r="BI263" s="3249"/>
    </row>
    <row r="264" spans="1:61" x14ac:dyDescent="0.3">
      <c r="A264" s="4197" t="s">
        <v>3384</v>
      </c>
      <c r="B264" s="3261"/>
      <c r="C264" s="3243">
        <v>0</v>
      </c>
      <c r="D264" s="3242">
        <v>0</v>
      </c>
      <c r="E264" s="3244"/>
      <c r="F264" s="3244"/>
      <c r="G264" s="3242">
        <v>0</v>
      </c>
      <c r="H264" s="3244"/>
      <c r="I264" s="3244"/>
      <c r="J264" s="3244"/>
      <c r="K264" s="3242">
        <v>0</v>
      </c>
      <c r="L264" s="3244"/>
      <c r="M264" s="3244"/>
      <c r="N264" s="3242" t="s">
        <v>3384</v>
      </c>
      <c r="O264" s="3239">
        <v>0</v>
      </c>
      <c r="P264" s="3242">
        <v>0</v>
      </c>
      <c r="Q264" s="3244"/>
      <c r="R264" s="3244"/>
      <c r="S264" s="3242">
        <v>0</v>
      </c>
      <c r="T264" s="3244"/>
      <c r="U264" s="3244"/>
      <c r="V264" s="3244"/>
      <c r="W264" s="3240">
        <v>0</v>
      </c>
      <c r="X264" s="3244"/>
      <c r="Y264" s="3244"/>
      <c r="Z264" s="3242" t="s">
        <v>3384</v>
      </c>
      <c r="AA264" s="3243">
        <f t="shared" si="36"/>
        <v>0</v>
      </c>
      <c r="AB264" s="3242">
        <v>0</v>
      </c>
      <c r="AC264" s="3244"/>
      <c r="AD264" s="3244"/>
      <c r="AE264" s="3242">
        <v>0</v>
      </c>
      <c r="AF264" s="3259"/>
      <c r="AG264" s="3260"/>
      <c r="AH264" s="3250"/>
      <c r="AI264" s="3260"/>
      <c r="AJ264" s="3260"/>
      <c r="AK264" s="3260"/>
      <c r="AL264" s="3259"/>
      <c r="AM264" s="3260"/>
      <c r="AN264" s="3259"/>
      <c r="AO264" s="3260"/>
      <c r="AP264" s="3242">
        <v>0</v>
      </c>
      <c r="AQ264" s="3244"/>
      <c r="AR264" s="3244"/>
      <c r="AS264" s="3242" t="s">
        <v>3384</v>
      </c>
      <c r="AT264" s="3247">
        <f t="shared" si="32"/>
        <v>0</v>
      </c>
      <c r="AU264" s="3248">
        <f t="shared" si="33"/>
        <v>0</v>
      </c>
      <c r="AV264" s="3248">
        <v>0</v>
      </c>
      <c r="AW264" s="3247">
        <v>0</v>
      </c>
      <c r="AX264" s="3248">
        <v>0</v>
      </c>
      <c r="AY264" s="3248">
        <v>0</v>
      </c>
      <c r="AZ264" s="3247">
        <v>0</v>
      </c>
      <c r="BA264" s="3248">
        <v>0</v>
      </c>
      <c r="BB264" s="3248">
        <v>0</v>
      </c>
      <c r="BC264" s="3247">
        <v>0</v>
      </c>
      <c r="BD264" s="3248">
        <v>0</v>
      </c>
      <c r="BE264" s="3248">
        <v>0</v>
      </c>
      <c r="BF264" s="3248">
        <f t="shared" si="34"/>
        <v>0</v>
      </c>
      <c r="BG264" s="3248">
        <f t="shared" si="35"/>
        <v>0</v>
      </c>
      <c r="BH264" s="3249"/>
      <c r="BI264" s="3249"/>
    </row>
    <row r="265" spans="1:61" x14ac:dyDescent="0.3">
      <c r="A265" s="4197" t="s">
        <v>3384</v>
      </c>
      <c r="B265" s="3261"/>
      <c r="C265" s="3243">
        <v>0</v>
      </c>
      <c r="D265" s="3242">
        <v>0</v>
      </c>
      <c r="E265" s="3244"/>
      <c r="F265" s="3244"/>
      <c r="G265" s="3242">
        <v>0</v>
      </c>
      <c r="H265" s="3244"/>
      <c r="I265" s="3244"/>
      <c r="J265" s="3244"/>
      <c r="K265" s="3242">
        <v>0</v>
      </c>
      <c r="L265" s="3244"/>
      <c r="M265" s="3244"/>
      <c r="N265" s="3242" t="s">
        <v>3384</v>
      </c>
      <c r="O265" s="3239">
        <v>0</v>
      </c>
      <c r="P265" s="3242">
        <v>0</v>
      </c>
      <c r="Q265" s="3244"/>
      <c r="R265" s="3244"/>
      <c r="S265" s="3242">
        <v>0</v>
      </c>
      <c r="T265" s="3244"/>
      <c r="U265" s="3244"/>
      <c r="V265" s="3244"/>
      <c r="W265" s="3240">
        <v>0</v>
      </c>
      <c r="X265" s="3244"/>
      <c r="Y265" s="3244"/>
      <c r="Z265" s="3242" t="s">
        <v>3384</v>
      </c>
      <c r="AA265" s="3243">
        <f t="shared" si="36"/>
        <v>0</v>
      </c>
      <c r="AB265" s="3242">
        <v>0</v>
      </c>
      <c r="AC265" s="3244"/>
      <c r="AD265" s="3244"/>
      <c r="AE265" s="3242">
        <v>0</v>
      </c>
      <c r="AF265" s="3259"/>
      <c r="AG265" s="3260"/>
      <c r="AH265" s="3250"/>
      <c r="AI265" s="3260"/>
      <c r="AJ265" s="3260"/>
      <c r="AK265" s="3260"/>
      <c r="AL265" s="3259"/>
      <c r="AM265" s="3260"/>
      <c r="AN265" s="3259"/>
      <c r="AO265" s="3260"/>
      <c r="AP265" s="3242">
        <v>0</v>
      </c>
      <c r="AQ265" s="3244"/>
      <c r="AR265" s="3244"/>
      <c r="AS265" s="3242" t="s">
        <v>3384</v>
      </c>
      <c r="AT265" s="3247">
        <f t="shared" si="32"/>
        <v>0</v>
      </c>
      <c r="AU265" s="3248">
        <f t="shared" si="33"/>
        <v>0</v>
      </c>
      <c r="AV265" s="3248">
        <v>0</v>
      </c>
      <c r="AW265" s="3247">
        <v>0</v>
      </c>
      <c r="AX265" s="3248">
        <v>0</v>
      </c>
      <c r="AY265" s="3248">
        <v>0</v>
      </c>
      <c r="AZ265" s="3247">
        <v>0</v>
      </c>
      <c r="BA265" s="3248">
        <v>0</v>
      </c>
      <c r="BB265" s="3248">
        <v>0</v>
      </c>
      <c r="BC265" s="3247">
        <v>0</v>
      </c>
      <c r="BD265" s="3248">
        <v>0</v>
      </c>
      <c r="BE265" s="3248">
        <v>0</v>
      </c>
      <c r="BF265" s="3248">
        <f t="shared" si="34"/>
        <v>0</v>
      </c>
      <c r="BG265" s="3248">
        <f t="shared" si="35"/>
        <v>0</v>
      </c>
      <c r="BH265" s="3249"/>
      <c r="BI265" s="3249"/>
    </row>
    <row r="266" spans="1:61" x14ac:dyDescent="0.3">
      <c r="A266" s="4197" t="s">
        <v>3384</v>
      </c>
      <c r="B266" s="3261"/>
      <c r="C266" s="3243">
        <v>0</v>
      </c>
      <c r="D266" s="3242">
        <v>0</v>
      </c>
      <c r="E266" s="3244"/>
      <c r="F266" s="3244"/>
      <c r="G266" s="3242">
        <v>0</v>
      </c>
      <c r="H266" s="3244"/>
      <c r="I266" s="3244"/>
      <c r="J266" s="3244"/>
      <c r="K266" s="3242">
        <v>0</v>
      </c>
      <c r="L266" s="3244"/>
      <c r="M266" s="3244"/>
      <c r="N266" s="3242" t="s">
        <v>3384</v>
      </c>
      <c r="O266" s="3239">
        <v>0</v>
      </c>
      <c r="P266" s="3242">
        <v>0</v>
      </c>
      <c r="Q266" s="3244"/>
      <c r="R266" s="3244"/>
      <c r="S266" s="3242">
        <v>0</v>
      </c>
      <c r="T266" s="3244"/>
      <c r="U266" s="3244"/>
      <c r="V266" s="3244"/>
      <c r="W266" s="3240">
        <v>0</v>
      </c>
      <c r="X266" s="3244"/>
      <c r="Y266" s="3244"/>
      <c r="Z266" s="3242" t="s">
        <v>3384</v>
      </c>
      <c r="AA266" s="3243">
        <f t="shared" si="36"/>
        <v>0</v>
      </c>
      <c r="AB266" s="3242">
        <v>0</v>
      </c>
      <c r="AC266" s="3244"/>
      <c r="AD266" s="3244"/>
      <c r="AE266" s="3242">
        <v>0</v>
      </c>
      <c r="AF266" s="3259"/>
      <c r="AG266" s="3260"/>
      <c r="AH266" s="3250"/>
      <c r="AI266" s="3260"/>
      <c r="AJ266" s="3260"/>
      <c r="AK266" s="3260"/>
      <c r="AL266" s="3259"/>
      <c r="AM266" s="3260"/>
      <c r="AN266" s="3259"/>
      <c r="AO266" s="3260"/>
      <c r="AP266" s="3242">
        <v>0</v>
      </c>
      <c r="AQ266" s="3244"/>
      <c r="AR266" s="3244"/>
      <c r="AS266" s="3242" t="s">
        <v>3384</v>
      </c>
      <c r="AT266" s="3247">
        <f t="shared" si="32"/>
        <v>0</v>
      </c>
      <c r="AU266" s="3248">
        <f t="shared" si="33"/>
        <v>0</v>
      </c>
      <c r="AV266" s="3248">
        <v>0</v>
      </c>
      <c r="AW266" s="3247">
        <v>0</v>
      </c>
      <c r="AX266" s="3248">
        <v>0</v>
      </c>
      <c r="AY266" s="3248">
        <v>0</v>
      </c>
      <c r="AZ266" s="3247">
        <v>0</v>
      </c>
      <c r="BA266" s="3248">
        <v>0</v>
      </c>
      <c r="BB266" s="3248">
        <v>0</v>
      </c>
      <c r="BC266" s="3247">
        <v>0</v>
      </c>
      <c r="BD266" s="3248">
        <v>0</v>
      </c>
      <c r="BE266" s="3248">
        <v>0</v>
      </c>
      <c r="BF266" s="3248">
        <f t="shared" si="34"/>
        <v>0</v>
      </c>
      <c r="BG266" s="3248">
        <f t="shared" si="35"/>
        <v>0</v>
      </c>
      <c r="BH266" s="3249"/>
      <c r="BI266" s="3249"/>
    </row>
    <row r="267" spans="1:61" x14ac:dyDescent="0.3">
      <c r="A267" s="4197" t="s">
        <v>3384</v>
      </c>
      <c r="B267" s="3261"/>
      <c r="C267" s="3243">
        <v>0</v>
      </c>
      <c r="D267" s="3242">
        <v>0</v>
      </c>
      <c r="E267" s="3244"/>
      <c r="F267" s="3244"/>
      <c r="G267" s="3242">
        <v>0</v>
      </c>
      <c r="H267" s="3244"/>
      <c r="I267" s="3244"/>
      <c r="J267" s="3244"/>
      <c r="K267" s="3242">
        <v>0</v>
      </c>
      <c r="L267" s="3244"/>
      <c r="M267" s="3244"/>
      <c r="N267" s="3242" t="s">
        <v>3384</v>
      </c>
      <c r="O267" s="3239">
        <v>0</v>
      </c>
      <c r="P267" s="3242">
        <v>0</v>
      </c>
      <c r="Q267" s="3244"/>
      <c r="R267" s="3244"/>
      <c r="S267" s="3242">
        <v>0</v>
      </c>
      <c r="T267" s="3244"/>
      <c r="U267" s="3244"/>
      <c r="V267" s="3244"/>
      <c r="W267" s="3240">
        <v>0</v>
      </c>
      <c r="X267" s="3244"/>
      <c r="Y267" s="3244"/>
      <c r="Z267" s="3242" t="s">
        <v>3384</v>
      </c>
      <c r="AA267" s="3243">
        <f t="shared" si="36"/>
        <v>0</v>
      </c>
      <c r="AB267" s="3242">
        <v>0</v>
      </c>
      <c r="AC267" s="3244"/>
      <c r="AD267" s="3244"/>
      <c r="AE267" s="3242">
        <v>0</v>
      </c>
      <c r="AF267" s="3259"/>
      <c r="AG267" s="3260"/>
      <c r="AH267" s="3250"/>
      <c r="AI267" s="3260"/>
      <c r="AJ267" s="3260"/>
      <c r="AK267" s="3260"/>
      <c r="AL267" s="3259"/>
      <c r="AM267" s="3260"/>
      <c r="AN267" s="3259"/>
      <c r="AO267" s="3260"/>
      <c r="AP267" s="3242">
        <v>0</v>
      </c>
      <c r="AQ267" s="3244"/>
      <c r="AR267" s="3244"/>
      <c r="AS267" s="3242" t="s">
        <v>3384</v>
      </c>
      <c r="AT267" s="3247">
        <f t="shared" si="32"/>
        <v>0</v>
      </c>
      <c r="AU267" s="3248">
        <f t="shared" si="33"/>
        <v>0</v>
      </c>
      <c r="AV267" s="3248">
        <v>0</v>
      </c>
      <c r="AW267" s="3247">
        <v>0</v>
      </c>
      <c r="AX267" s="3248">
        <v>0</v>
      </c>
      <c r="AY267" s="3248">
        <v>0</v>
      </c>
      <c r="AZ267" s="3247">
        <v>0</v>
      </c>
      <c r="BA267" s="3248">
        <v>0</v>
      </c>
      <c r="BB267" s="3248">
        <v>0</v>
      </c>
      <c r="BC267" s="3247">
        <v>0</v>
      </c>
      <c r="BD267" s="3248">
        <v>0</v>
      </c>
      <c r="BE267" s="3248">
        <v>0</v>
      </c>
      <c r="BF267" s="3248">
        <f t="shared" si="34"/>
        <v>0</v>
      </c>
      <c r="BG267" s="3248">
        <f t="shared" si="35"/>
        <v>0</v>
      </c>
      <c r="BH267" s="3249"/>
      <c r="BI267" s="3249"/>
    </row>
    <row r="268" spans="1:61" x14ac:dyDescent="0.3">
      <c r="A268" s="4197" t="s">
        <v>3384</v>
      </c>
      <c r="B268" s="3261"/>
      <c r="C268" s="3243">
        <v>0</v>
      </c>
      <c r="D268" s="3242">
        <v>0</v>
      </c>
      <c r="E268" s="3244"/>
      <c r="F268" s="3244"/>
      <c r="G268" s="3242">
        <v>0</v>
      </c>
      <c r="H268" s="3244"/>
      <c r="I268" s="3244"/>
      <c r="J268" s="3244"/>
      <c r="K268" s="3242">
        <v>0</v>
      </c>
      <c r="L268" s="3244"/>
      <c r="M268" s="3244"/>
      <c r="N268" s="3242" t="s">
        <v>3384</v>
      </c>
      <c r="O268" s="3239">
        <v>0</v>
      </c>
      <c r="P268" s="3242">
        <v>0</v>
      </c>
      <c r="Q268" s="3244"/>
      <c r="R268" s="3244"/>
      <c r="S268" s="3242">
        <v>0</v>
      </c>
      <c r="T268" s="3244"/>
      <c r="U268" s="3244"/>
      <c r="V268" s="3244"/>
      <c r="W268" s="3240">
        <v>0</v>
      </c>
      <c r="X268" s="3244"/>
      <c r="Y268" s="3244"/>
      <c r="Z268" s="3242" t="s">
        <v>3384</v>
      </c>
      <c r="AA268" s="3243">
        <f t="shared" si="36"/>
        <v>0</v>
      </c>
      <c r="AB268" s="3242">
        <v>0</v>
      </c>
      <c r="AC268" s="3244"/>
      <c r="AD268" s="3244"/>
      <c r="AE268" s="3242">
        <v>0</v>
      </c>
      <c r="AF268" s="3259"/>
      <c r="AG268" s="3260"/>
      <c r="AH268" s="3250"/>
      <c r="AI268" s="3260"/>
      <c r="AJ268" s="3260"/>
      <c r="AK268" s="3260"/>
      <c r="AL268" s="3259"/>
      <c r="AM268" s="3260"/>
      <c r="AN268" s="3259"/>
      <c r="AO268" s="3260"/>
      <c r="AP268" s="3242">
        <v>0</v>
      </c>
      <c r="AQ268" s="3244"/>
      <c r="AR268" s="3244"/>
      <c r="AS268" s="3242" t="s">
        <v>3384</v>
      </c>
      <c r="AT268" s="3247">
        <f t="shared" si="32"/>
        <v>0</v>
      </c>
      <c r="AU268" s="3248">
        <f t="shared" si="33"/>
        <v>0</v>
      </c>
      <c r="AV268" s="3248">
        <v>0</v>
      </c>
      <c r="AW268" s="3247">
        <v>0</v>
      </c>
      <c r="AX268" s="3248">
        <v>0</v>
      </c>
      <c r="AY268" s="3248">
        <v>0</v>
      </c>
      <c r="AZ268" s="3247">
        <v>0</v>
      </c>
      <c r="BA268" s="3248">
        <v>0</v>
      </c>
      <c r="BB268" s="3248">
        <v>0</v>
      </c>
      <c r="BC268" s="3247">
        <v>0</v>
      </c>
      <c r="BD268" s="3248">
        <v>0</v>
      </c>
      <c r="BE268" s="3248">
        <v>0</v>
      </c>
      <c r="BF268" s="3248">
        <f t="shared" si="34"/>
        <v>0</v>
      </c>
      <c r="BG268" s="3248">
        <f t="shared" si="35"/>
        <v>0</v>
      </c>
      <c r="BH268" s="3249"/>
      <c r="BI268" s="3249"/>
    </row>
    <row r="269" spans="1:61" x14ac:dyDescent="0.3">
      <c r="A269" s="4197" t="s">
        <v>3384</v>
      </c>
      <c r="B269" s="3261"/>
      <c r="C269" s="3243">
        <v>0</v>
      </c>
      <c r="D269" s="3242">
        <v>0</v>
      </c>
      <c r="E269" s="3244"/>
      <c r="F269" s="3244"/>
      <c r="G269" s="3242">
        <v>0</v>
      </c>
      <c r="H269" s="3244"/>
      <c r="I269" s="3244"/>
      <c r="J269" s="3244"/>
      <c r="K269" s="3242">
        <v>0</v>
      </c>
      <c r="L269" s="3244"/>
      <c r="M269" s="3244"/>
      <c r="N269" s="3242" t="s">
        <v>3384</v>
      </c>
      <c r="O269" s="3239">
        <v>0</v>
      </c>
      <c r="P269" s="3242">
        <v>0</v>
      </c>
      <c r="Q269" s="3244"/>
      <c r="R269" s="3244"/>
      <c r="S269" s="3242">
        <v>0</v>
      </c>
      <c r="T269" s="3244"/>
      <c r="U269" s="3244"/>
      <c r="V269" s="3244"/>
      <c r="W269" s="3240">
        <v>0</v>
      </c>
      <c r="X269" s="3244"/>
      <c r="Y269" s="3244"/>
      <c r="Z269" s="3242" t="s">
        <v>3384</v>
      </c>
      <c r="AA269" s="3243">
        <f t="shared" si="36"/>
        <v>0</v>
      </c>
      <c r="AB269" s="3242">
        <v>0</v>
      </c>
      <c r="AC269" s="3244"/>
      <c r="AD269" s="3244"/>
      <c r="AE269" s="3242">
        <v>0</v>
      </c>
      <c r="AF269" s="3259"/>
      <c r="AG269" s="3260"/>
      <c r="AH269" s="3250"/>
      <c r="AI269" s="3260"/>
      <c r="AJ269" s="3260"/>
      <c r="AK269" s="3260"/>
      <c r="AL269" s="3259"/>
      <c r="AM269" s="3260"/>
      <c r="AN269" s="3259"/>
      <c r="AO269" s="3260"/>
      <c r="AP269" s="3242">
        <v>0</v>
      </c>
      <c r="AQ269" s="3244"/>
      <c r="AR269" s="3244"/>
      <c r="AS269" s="3242" t="s">
        <v>3384</v>
      </c>
      <c r="AT269" s="3247">
        <f t="shared" si="32"/>
        <v>0</v>
      </c>
      <c r="AU269" s="3248">
        <f t="shared" si="33"/>
        <v>0</v>
      </c>
      <c r="AV269" s="3248">
        <v>0</v>
      </c>
      <c r="AW269" s="3247">
        <v>0</v>
      </c>
      <c r="AX269" s="3248">
        <v>0</v>
      </c>
      <c r="AY269" s="3248">
        <v>0</v>
      </c>
      <c r="AZ269" s="3247">
        <v>0</v>
      </c>
      <c r="BA269" s="3248">
        <v>0</v>
      </c>
      <c r="BB269" s="3248">
        <v>0</v>
      </c>
      <c r="BC269" s="3247">
        <v>0</v>
      </c>
      <c r="BD269" s="3248">
        <v>0</v>
      </c>
      <c r="BE269" s="3248">
        <v>0</v>
      </c>
      <c r="BF269" s="3248">
        <f t="shared" si="34"/>
        <v>0</v>
      </c>
      <c r="BG269" s="3248">
        <f t="shared" si="35"/>
        <v>0</v>
      </c>
      <c r="BH269" s="3249"/>
      <c r="BI269" s="3249"/>
    </row>
    <row r="270" spans="1:61" x14ac:dyDescent="0.3">
      <c r="A270" s="4197" t="s">
        <v>3384</v>
      </c>
      <c r="B270" s="3261"/>
      <c r="C270" s="3243">
        <v>0</v>
      </c>
      <c r="D270" s="3242">
        <v>0</v>
      </c>
      <c r="E270" s="3244"/>
      <c r="F270" s="3244"/>
      <c r="G270" s="3242">
        <v>0</v>
      </c>
      <c r="H270" s="3244"/>
      <c r="I270" s="3244"/>
      <c r="J270" s="3244"/>
      <c r="K270" s="3242">
        <v>0</v>
      </c>
      <c r="L270" s="3244"/>
      <c r="M270" s="3244"/>
      <c r="N270" s="3242" t="s">
        <v>3384</v>
      </c>
      <c r="O270" s="3239">
        <v>0</v>
      </c>
      <c r="P270" s="3242">
        <v>0</v>
      </c>
      <c r="Q270" s="3244"/>
      <c r="R270" s="3244"/>
      <c r="S270" s="3242">
        <v>0</v>
      </c>
      <c r="T270" s="3244"/>
      <c r="U270" s="3244"/>
      <c r="V270" s="3244"/>
      <c r="W270" s="3240">
        <v>0</v>
      </c>
      <c r="X270" s="3244"/>
      <c r="Y270" s="3244"/>
      <c r="Z270" s="3242" t="s">
        <v>3384</v>
      </c>
      <c r="AA270" s="3243">
        <f t="shared" si="36"/>
        <v>0</v>
      </c>
      <c r="AB270" s="3242">
        <v>0</v>
      </c>
      <c r="AC270" s="3244"/>
      <c r="AD270" s="3244"/>
      <c r="AE270" s="3242">
        <v>0</v>
      </c>
      <c r="AF270" s="3259"/>
      <c r="AG270" s="3260"/>
      <c r="AH270" s="3250"/>
      <c r="AI270" s="3260"/>
      <c r="AJ270" s="3260"/>
      <c r="AK270" s="3260"/>
      <c r="AL270" s="3259"/>
      <c r="AM270" s="3260"/>
      <c r="AN270" s="3259"/>
      <c r="AO270" s="3260"/>
      <c r="AP270" s="3242">
        <v>0</v>
      </c>
      <c r="AQ270" s="3244"/>
      <c r="AR270" s="3244"/>
      <c r="AS270" s="3242" t="s">
        <v>3384</v>
      </c>
      <c r="AT270" s="3247">
        <f t="shared" si="32"/>
        <v>0</v>
      </c>
      <c r="AU270" s="3248">
        <f t="shared" si="33"/>
        <v>0</v>
      </c>
      <c r="AV270" s="3248">
        <v>0</v>
      </c>
      <c r="AW270" s="3247">
        <v>0</v>
      </c>
      <c r="AX270" s="3248">
        <v>0</v>
      </c>
      <c r="AY270" s="3248">
        <v>0</v>
      </c>
      <c r="AZ270" s="3247">
        <v>0</v>
      </c>
      <c r="BA270" s="3248">
        <v>0</v>
      </c>
      <c r="BB270" s="3248">
        <v>0</v>
      </c>
      <c r="BC270" s="3247">
        <v>0</v>
      </c>
      <c r="BD270" s="3248">
        <v>0</v>
      </c>
      <c r="BE270" s="3248">
        <v>0</v>
      </c>
      <c r="BF270" s="3248">
        <f t="shared" si="34"/>
        <v>0</v>
      </c>
      <c r="BG270" s="3248">
        <f t="shared" si="35"/>
        <v>0</v>
      </c>
      <c r="BH270" s="3249"/>
      <c r="BI270" s="3249"/>
    </row>
    <row r="271" spans="1:61" x14ac:dyDescent="0.3">
      <c r="A271" s="4197" t="s">
        <v>3384</v>
      </c>
      <c r="B271" s="3261"/>
      <c r="C271" s="3243">
        <v>0</v>
      </c>
      <c r="D271" s="3242">
        <v>0</v>
      </c>
      <c r="E271" s="3244"/>
      <c r="F271" s="3244"/>
      <c r="G271" s="3242">
        <v>0</v>
      </c>
      <c r="H271" s="3244"/>
      <c r="I271" s="3244"/>
      <c r="J271" s="3244"/>
      <c r="K271" s="3242">
        <v>0</v>
      </c>
      <c r="L271" s="3244"/>
      <c r="M271" s="3244"/>
      <c r="N271" s="3242" t="s">
        <v>3384</v>
      </c>
      <c r="O271" s="3239">
        <v>0</v>
      </c>
      <c r="P271" s="3242">
        <v>0</v>
      </c>
      <c r="Q271" s="3244"/>
      <c r="R271" s="3244"/>
      <c r="S271" s="3242">
        <v>0</v>
      </c>
      <c r="T271" s="3244"/>
      <c r="U271" s="3244"/>
      <c r="V271" s="3244"/>
      <c r="W271" s="3240">
        <v>0</v>
      </c>
      <c r="X271" s="3244"/>
      <c r="Y271" s="3244"/>
      <c r="Z271" s="3242" t="s">
        <v>3384</v>
      </c>
      <c r="AA271" s="3243">
        <f t="shared" si="36"/>
        <v>0</v>
      </c>
      <c r="AB271" s="3242">
        <v>0</v>
      </c>
      <c r="AC271" s="3244"/>
      <c r="AD271" s="3244"/>
      <c r="AE271" s="3242">
        <v>0</v>
      </c>
      <c r="AF271" s="3259"/>
      <c r="AG271" s="3260"/>
      <c r="AH271" s="3250"/>
      <c r="AI271" s="3260"/>
      <c r="AJ271" s="3260"/>
      <c r="AK271" s="3260"/>
      <c r="AL271" s="3259"/>
      <c r="AM271" s="3260"/>
      <c r="AN271" s="3259"/>
      <c r="AO271" s="3260"/>
      <c r="AP271" s="3242">
        <v>0</v>
      </c>
      <c r="AQ271" s="3244"/>
      <c r="AR271" s="3244"/>
      <c r="AS271" s="3242" t="s">
        <v>3384</v>
      </c>
      <c r="AT271" s="3247">
        <f t="shared" si="32"/>
        <v>0</v>
      </c>
      <c r="AU271" s="3248">
        <f t="shared" si="33"/>
        <v>0</v>
      </c>
      <c r="AV271" s="3248">
        <v>0</v>
      </c>
      <c r="AW271" s="3247">
        <v>0</v>
      </c>
      <c r="AX271" s="3248">
        <v>0</v>
      </c>
      <c r="AY271" s="3248">
        <v>0</v>
      </c>
      <c r="AZ271" s="3247">
        <v>0</v>
      </c>
      <c r="BA271" s="3248">
        <v>0</v>
      </c>
      <c r="BB271" s="3248">
        <v>0</v>
      </c>
      <c r="BC271" s="3247">
        <v>0</v>
      </c>
      <c r="BD271" s="3248">
        <v>0</v>
      </c>
      <c r="BE271" s="3248">
        <v>0</v>
      </c>
      <c r="BF271" s="3248">
        <f t="shared" si="34"/>
        <v>0</v>
      </c>
      <c r="BG271" s="3248">
        <f t="shared" si="35"/>
        <v>0</v>
      </c>
      <c r="BH271" s="3249"/>
      <c r="BI271" s="3249"/>
    </row>
    <row r="272" spans="1:61" x14ac:dyDescent="0.3">
      <c r="A272" s="4197" t="s">
        <v>3384</v>
      </c>
      <c r="B272" s="3261"/>
      <c r="C272" s="3243">
        <v>0</v>
      </c>
      <c r="D272" s="3242">
        <v>0</v>
      </c>
      <c r="E272" s="3244"/>
      <c r="F272" s="3244"/>
      <c r="G272" s="3242">
        <v>0</v>
      </c>
      <c r="H272" s="3244"/>
      <c r="I272" s="3244"/>
      <c r="J272" s="3244"/>
      <c r="K272" s="3242">
        <v>0</v>
      </c>
      <c r="L272" s="3244"/>
      <c r="M272" s="3244"/>
      <c r="N272" s="3242" t="s">
        <v>3384</v>
      </c>
      <c r="O272" s="3239">
        <v>0</v>
      </c>
      <c r="P272" s="3242">
        <v>0</v>
      </c>
      <c r="Q272" s="3244"/>
      <c r="R272" s="3244"/>
      <c r="S272" s="3242">
        <v>0</v>
      </c>
      <c r="T272" s="3244"/>
      <c r="U272" s="3244"/>
      <c r="V272" s="3244"/>
      <c r="W272" s="3240">
        <v>0</v>
      </c>
      <c r="X272" s="3244"/>
      <c r="Y272" s="3244"/>
      <c r="Z272" s="3242" t="s">
        <v>3384</v>
      </c>
      <c r="AA272" s="3243">
        <f t="shared" si="36"/>
        <v>0</v>
      </c>
      <c r="AB272" s="3242">
        <v>0</v>
      </c>
      <c r="AC272" s="3244"/>
      <c r="AD272" s="3244"/>
      <c r="AE272" s="3242">
        <v>0</v>
      </c>
      <c r="AF272" s="3259"/>
      <c r="AG272" s="3260"/>
      <c r="AH272" s="3250"/>
      <c r="AI272" s="3260"/>
      <c r="AJ272" s="3260"/>
      <c r="AK272" s="3260"/>
      <c r="AL272" s="3259"/>
      <c r="AM272" s="3260"/>
      <c r="AN272" s="3259"/>
      <c r="AO272" s="3260"/>
      <c r="AP272" s="3242">
        <v>0</v>
      </c>
      <c r="AQ272" s="3244"/>
      <c r="AR272" s="3244"/>
      <c r="AS272" s="3242" t="s">
        <v>3384</v>
      </c>
      <c r="AT272" s="3247">
        <f t="shared" ref="AT272:AT335" si="39">IFERROR(AE272+(SUM(AC272:AD272)/100*($AE$14/$AB$14*100)),0)</f>
        <v>0</v>
      </c>
      <c r="AU272" s="3248">
        <f t="shared" si="33"/>
        <v>0</v>
      </c>
      <c r="AV272" s="3248">
        <v>0</v>
      </c>
      <c r="AW272" s="3247">
        <v>0</v>
      </c>
      <c r="AX272" s="3248">
        <v>0</v>
      </c>
      <c r="AY272" s="3248">
        <v>0</v>
      </c>
      <c r="AZ272" s="3247">
        <v>0</v>
      </c>
      <c r="BA272" s="3248">
        <v>0</v>
      </c>
      <c r="BB272" s="3248">
        <v>0</v>
      </c>
      <c r="BC272" s="3247">
        <v>0</v>
      </c>
      <c r="BD272" s="3248">
        <v>0</v>
      </c>
      <c r="BE272" s="3248">
        <v>0</v>
      </c>
      <c r="BF272" s="3248">
        <f t="shared" si="34"/>
        <v>0</v>
      </c>
      <c r="BG272" s="3248">
        <f t="shared" si="35"/>
        <v>0</v>
      </c>
      <c r="BH272" s="3249"/>
      <c r="BI272" s="3249"/>
    </row>
    <row r="273" spans="1:61" x14ac:dyDescent="0.3">
      <c r="A273" s="4197" t="s">
        <v>3384</v>
      </c>
      <c r="B273" s="3261"/>
      <c r="C273" s="3243">
        <v>0</v>
      </c>
      <c r="D273" s="3242">
        <v>0</v>
      </c>
      <c r="E273" s="3244"/>
      <c r="F273" s="3244"/>
      <c r="G273" s="3242">
        <v>0</v>
      </c>
      <c r="H273" s="3244"/>
      <c r="I273" s="3244"/>
      <c r="J273" s="3244"/>
      <c r="K273" s="3242">
        <v>0</v>
      </c>
      <c r="L273" s="3244"/>
      <c r="M273" s="3244"/>
      <c r="N273" s="3242" t="s">
        <v>3384</v>
      </c>
      <c r="O273" s="3239">
        <v>0</v>
      </c>
      <c r="P273" s="3242">
        <v>0</v>
      </c>
      <c r="Q273" s="3244"/>
      <c r="R273" s="3244"/>
      <c r="S273" s="3242">
        <v>0</v>
      </c>
      <c r="T273" s="3244"/>
      <c r="U273" s="3244"/>
      <c r="V273" s="3244"/>
      <c r="W273" s="3240">
        <v>0</v>
      </c>
      <c r="X273" s="3244"/>
      <c r="Y273" s="3244"/>
      <c r="Z273" s="3242" t="s">
        <v>3384</v>
      </c>
      <c r="AA273" s="3243">
        <f t="shared" si="36"/>
        <v>0</v>
      </c>
      <c r="AB273" s="3242">
        <v>0</v>
      </c>
      <c r="AC273" s="3244"/>
      <c r="AD273" s="3244"/>
      <c r="AE273" s="3242">
        <v>0</v>
      </c>
      <c r="AF273" s="3259"/>
      <c r="AG273" s="3260"/>
      <c r="AH273" s="3250"/>
      <c r="AI273" s="3260"/>
      <c r="AJ273" s="3260"/>
      <c r="AK273" s="3260"/>
      <c r="AL273" s="3259"/>
      <c r="AM273" s="3260"/>
      <c r="AN273" s="3259"/>
      <c r="AO273" s="3260"/>
      <c r="AP273" s="3242">
        <v>0</v>
      </c>
      <c r="AQ273" s="3244"/>
      <c r="AR273" s="3244"/>
      <c r="AS273" s="3242" t="s">
        <v>3384</v>
      </c>
      <c r="AT273" s="3247">
        <f t="shared" si="39"/>
        <v>0</v>
      </c>
      <c r="AU273" s="3248">
        <f t="shared" si="33"/>
        <v>0</v>
      </c>
      <c r="AV273" s="3248">
        <v>0</v>
      </c>
      <c r="AW273" s="3247">
        <v>0</v>
      </c>
      <c r="AX273" s="3248">
        <v>0</v>
      </c>
      <c r="AY273" s="3248">
        <v>0</v>
      </c>
      <c r="AZ273" s="3247">
        <v>0</v>
      </c>
      <c r="BA273" s="3248">
        <v>0</v>
      </c>
      <c r="BB273" s="3248">
        <v>0</v>
      </c>
      <c r="BC273" s="3247">
        <v>0</v>
      </c>
      <c r="BD273" s="3248">
        <v>0</v>
      </c>
      <c r="BE273" s="3248">
        <v>0</v>
      </c>
      <c r="BF273" s="3248">
        <f t="shared" si="34"/>
        <v>0</v>
      </c>
      <c r="BG273" s="3248">
        <f t="shared" si="35"/>
        <v>0</v>
      </c>
      <c r="BH273" s="3249"/>
      <c r="BI273" s="3249"/>
    </row>
    <row r="274" spans="1:61" x14ac:dyDescent="0.3">
      <c r="A274" s="4197" t="s">
        <v>3384</v>
      </c>
      <c r="B274" s="3261"/>
      <c r="C274" s="3243">
        <v>0</v>
      </c>
      <c r="D274" s="3242">
        <v>0</v>
      </c>
      <c r="E274" s="3244"/>
      <c r="F274" s="3244"/>
      <c r="G274" s="3242">
        <v>0</v>
      </c>
      <c r="H274" s="3244"/>
      <c r="I274" s="3244"/>
      <c r="J274" s="3244"/>
      <c r="K274" s="3242">
        <v>0</v>
      </c>
      <c r="L274" s="3244"/>
      <c r="M274" s="3244"/>
      <c r="N274" s="3242" t="s">
        <v>3384</v>
      </c>
      <c r="O274" s="3239">
        <v>0</v>
      </c>
      <c r="P274" s="3242">
        <v>0</v>
      </c>
      <c r="Q274" s="3244"/>
      <c r="R274" s="3244"/>
      <c r="S274" s="3242">
        <v>0</v>
      </c>
      <c r="T274" s="3244"/>
      <c r="U274" s="3244"/>
      <c r="V274" s="3244"/>
      <c r="W274" s="3240">
        <v>0</v>
      </c>
      <c r="X274" s="3244"/>
      <c r="Y274" s="3244"/>
      <c r="Z274" s="3242" t="s">
        <v>3384</v>
      </c>
      <c r="AA274" s="3243">
        <f t="shared" si="36"/>
        <v>0</v>
      </c>
      <c r="AB274" s="3242">
        <v>0</v>
      </c>
      <c r="AC274" s="3244"/>
      <c r="AD274" s="3244"/>
      <c r="AE274" s="3242">
        <v>0</v>
      </c>
      <c r="AF274" s="3259"/>
      <c r="AG274" s="3260"/>
      <c r="AH274" s="3250"/>
      <c r="AI274" s="3260"/>
      <c r="AJ274" s="3260"/>
      <c r="AK274" s="3260"/>
      <c r="AL274" s="3259"/>
      <c r="AM274" s="3260"/>
      <c r="AN274" s="3259"/>
      <c r="AO274" s="3260"/>
      <c r="AP274" s="3242">
        <v>0</v>
      </c>
      <c r="AQ274" s="3244"/>
      <c r="AR274" s="3244"/>
      <c r="AS274" s="3242" t="s">
        <v>3384</v>
      </c>
      <c r="AT274" s="3247">
        <f t="shared" si="39"/>
        <v>0</v>
      </c>
      <c r="AU274" s="3248">
        <f t="shared" si="33"/>
        <v>0</v>
      </c>
      <c r="AV274" s="3248">
        <v>0</v>
      </c>
      <c r="AW274" s="3247">
        <v>0</v>
      </c>
      <c r="AX274" s="3248">
        <v>0</v>
      </c>
      <c r="AY274" s="3248">
        <v>0</v>
      </c>
      <c r="AZ274" s="3247">
        <v>0</v>
      </c>
      <c r="BA274" s="3248">
        <v>0</v>
      </c>
      <c r="BB274" s="3248">
        <v>0</v>
      </c>
      <c r="BC274" s="3247">
        <v>0</v>
      </c>
      <c r="BD274" s="3248">
        <v>0</v>
      </c>
      <c r="BE274" s="3248">
        <v>0</v>
      </c>
      <c r="BF274" s="3248">
        <f t="shared" si="34"/>
        <v>0</v>
      </c>
      <c r="BG274" s="3248">
        <f t="shared" si="35"/>
        <v>0</v>
      </c>
      <c r="BH274" s="3249"/>
      <c r="BI274" s="3249"/>
    </row>
    <row r="275" spans="1:61" x14ac:dyDescent="0.3">
      <c r="A275" s="4197" t="s">
        <v>3384</v>
      </c>
      <c r="B275" s="3261"/>
      <c r="C275" s="3243">
        <v>0</v>
      </c>
      <c r="D275" s="3242">
        <v>0</v>
      </c>
      <c r="E275" s="3244"/>
      <c r="F275" s="3244"/>
      <c r="G275" s="3242">
        <v>0</v>
      </c>
      <c r="H275" s="3244"/>
      <c r="I275" s="3244"/>
      <c r="J275" s="3244"/>
      <c r="K275" s="3242">
        <v>0</v>
      </c>
      <c r="L275" s="3244"/>
      <c r="M275" s="3244"/>
      <c r="N275" s="3242" t="s">
        <v>3384</v>
      </c>
      <c r="O275" s="3239">
        <v>0</v>
      </c>
      <c r="P275" s="3242">
        <v>0</v>
      </c>
      <c r="Q275" s="3244"/>
      <c r="R275" s="3244"/>
      <c r="S275" s="3242">
        <v>0</v>
      </c>
      <c r="T275" s="3244"/>
      <c r="U275" s="3244"/>
      <c r="V275" s="3244"/>
      <c r="W275" s="3240">
        <v>0</v>
      </c>
      <c r="X275" s="3244"/>
      <c r="Y275" s="3244"/>
      <c r="Z275" s="3242" t="s">
        <v>3384</v>
      </c>
      <c r="AA275" s="3243">
        <f t="shared" si="36"/>
        <v>0</v>
      </c>
      <c r="AB275" s="3242">
        <v>0</v>
      </c>
      <c r="AC275" s="3244"/>
      <c r="AD275" s="3244"/>
      <c r="AE275" s="3242">
        <v>0</v>
      </c>
      <c r="AF275" s="3259"/>
      <c r="AG275" s="3260"/>
      <c r="AH275" s="3250"/>
      <c r="AI275" s="3260"/>
      <c r="AJ275" s="3260"/>
      <c r="AK275" s="3260"/>
      <c r="AL275" s="3259"/>
      <c r="AM275" s="3260"/>
      <c r="AN275" s="3259"/>
      <c r="AO275" s="3260"/>
      <c r="AP275" s="3242">
        <v>0</v>
      </c>
      <c r="AQ275" s="3244"/>
      <c r="AR275" s="3244"/>
      <c r="AS275" s="3242" t="s">
        <v>3384</v>
      </c>
      <c r="AT275" s="3247">
        <f t="shared" si="39"/>
        <v>0</v>
      </c>
      <c r="AU275" s="3248">
        <f t="shared" ref="AU275:AU338" si="40">AX275+BA275+BD275</f>
        <v>0</v>
      </c>
      <c r="AV275" s="3248">
        <v>0</v>
      </c>
      <c r="AW275" s="3247">
        <v>0</v>
      </c>
      <c r="AX275" s="3248">
        <v>0</v>
      </c>
      <c r="AY275" s="3248">
        <v>0</v>
      </c>
      <c r="AZ275" s="3247">
        <v>0</v>
      </c>
      <c r="BA275" s="3248">
        <v>0</v>
      </c>
      <c r="BB275" s="3248">
        <v>0</v>
      </c>
      <c r="BC275" s="3247">
        <v>0</v>
      </c>
      <c r="BD275" s="3248">
        <v>0</v>
      </c>
      <c r="BE275" s="3248">
        <v>0</v>
      </c>
      <c r="BF275" s="3248">
        <f t="shared" ref="BF275:BF338" si="41">IFERROR(ROUND(AE275/S275*100,2),0)</f>
        <v>0</v>
      </c>
      <c r="BG275" s="3248">
        <f t="shared" ref="BG275:BG338" si="42">IFERROR(ROUND(AA275/O275*100,2),0)</f>
        <v>0</v>
      </c>
      <c r="BH275" s="3249"/>
      <c r="BI275" s="3249"/>
    </row>
    <row r="276" spans="1:61" x14ac:dyDescent="0.3">
      <c r="A276" s="4197" t="s">
        <v>3384</v>
      </c>
      <c r="B276" s="3261"/>
      <c r="C276" s="3243">
        <v>0</v>
      </c>
      <c r="D276" s="3242">
        <v>0</v>
      </c>
      <c r="E276" s="3244"/>
      <c r="F276" s="3244"/>
      <c r="G276" s="3242">
        <v>0</v>
      </c>
      <c r="H276" s="3244"/>
      <c r="I276" s="3244"/>
      <c r="J276" s="3244"/>
      <c r="K276" s="3242">
        <v>0</v>
      </c>
      <c r="L276" s="3244"/>
      <c r="M276" s="3244"/>
      <c r="N276" s="3242" t="s">
        <v>3384</v>
      </c>
      <c r="O276" s="3239">
        <v>0</v>
      </c>
      <c r="P276" s="3242">
        <v>0</v>
      </c>
      <c r="Q276" s="3244"/>
      <c r="R276" s="3244"/>
      <c r="S276" s="3242">
        <v>0</v>
      </c>
      <c r="T276" s="3244"/>
      <c r="U276" s="3244"/>
      <c r="V276" s="3244"/>
      <c r="W276" s="3240">
        <v>0</v>
      </c>
      <c r="X276" s="3244"/>
      <c r="Y276" s="3244"/>
      <c r="Z276" s="3242" t="s">
        <v>3384</v>
      </c>
      <c r="AA276" s="3243">
        <f t="shared" si="36"/>
        <v>0</v>
      </c>
      <c r="AB276" s="3242">
        <v>0</v>
      </c>
      <c r="AC276" s="3244"/>
      <c r="AD276" s="3244"/>
      <c r="AE276" s="3242">
        <v>0</v>
      </c>
      <c r="AF276" s="3259"/>
      <c r="AG276" s="3260"/>
      <c r="AH276" s="3250"/>
      <c r="AI276" s="3260"/>
      <c r="AJ276" s="3260"/>
      <c r="AK276" s="3260"/>
      <c r="AL276" s="3259"/>
      <c r="AM276" s="3260"/>
      <c r="AN276" s="3259"/>
      <c r="AO276" s="3260"/>
      <c r="AP276" s="3242">
        <v>0</v>
      </c>
      <c r="AQ276" s="3244"/>
      <c r="AR276" s="3244"/>
      <c r="AS276" s="3242" t="s">
        <v>3384</v>
      </c>
      <c r="AT276" s="3247">
        <f t="shared" si="39"/>
        <v>0</v>
      </c>
      <c r="AU276" s="3248">
        <f t="shared" si="40"/>
        <v>0</v>
      </c>
      <c r="AV276" s="3248">
        <v>0</v>
      </c>
      <c r="AW276" s="3247">
        <v>0</v>
      </c>
      <c r="AX276" s="3248">
        <v>0</v>
      </c>
      <c r="AY276" s="3248">
        <v>0</v>
      </c>
      <c r="AZ276" s="3247">
        <v>0</v>
      </c>
      <c r="BA276" s="3248">
        <v>0</v>
      </c>
      <c r="BB276" s="3248">
        <v>0</v>
      </c>
      <c r="BC276" s="3247">
        <v>0</v>
      </c>
      <c r="BD276" s="3248">
        <v>0</v>
      </c>
      <c r="BE276" s="3248">
        <v>0</v>
      </c>
      <c r="BF276" s="3248">
        <f t="shared" si="41"/>
        <v>0</v>
      </c>
      <c r="BG276" s="3248">
        <f t="shared" si="42"/>
        <v>0</v>
      </c>
      <c r="BH276" s="3249"/>
      <c r="BI276" s="3249"/>
    </row>
    <row r="277" spans="1:61" x14ac:dyDescent="0.3">
      <c r="A277" s="4197" t="s">
        <v>3384</v>
      </c>
      <c r="B277" s="3261"/>
      <c r="C277" s="3243">
        <v>0</v>
      </c>
      <c r="D277" s="3242">
        <v>0</v>
      </c>
      <c r="E277" s="3244"/>
      <c r="F277" s="3244"/>
      <c r="G277" s="3242">
        <v>0</v>
      </c>
      <c r="H277" s="3244"/>
      <c r="I277" s="3244"/>
      <c r="J277" s="3244"/>
      <c r="K277" s="3242">
        <v>0</v>
      </c>
      <c r="L277" s="3244"/>
      <c r="M277" s="3244"/>
      <c r="N277" s="3242" t="s">
        <v>3384</v>
      </c>
      <c r="O277" s="3239">
        <v>0</v>
      </c>
      <c r="P277" s="3242">
        <v>0</v>
      </c>
      <c r="Q277" s="3244"/>
      <c r="R277" s="3244"/>
      <c r="S277" s="3242">
        <v>0</v>
      </c>
      <c r="T277" s="3244"/>
      <c r="U277" s="3244"/>
      <c r="V277" s="3244"/>
      <c r="W277" s="3240">
        <v>0</v>
      </c>
      <c r="X277" s="3244"/>
      <c r="Y277" s="3244"/>
      <c r="Z277" s="3242" t="s">
        <v>3384</v>
      </c>
      <c r="AA277" s="3243">
        <f t="shared" si="36"/>
        <v>0</v>
      </c>
      <c r="AB277" s="3242">
        <v>0</v>
      </c>
      <c r="AC277" s="3244"/>
      <c r="AD277" s="3244"/>
      <c r="AE277" s="3242">
        <v>0</v>
      </c>
      <c r="AF277" s="3259"/>
      <c r="AG277" s="3260"/>
      <c r="AH277" s="3250"/>
      <c r="AI277" s="3260"/>
      <c r="AJ277" s="3260"/>
      <c r="AK277" s="3260"/>
      <c r="AL277" s="3259"/>
      <c r="AM277" s="3260"/>
      <c r="AN277" s="3259"/>
      <c r="AO277" s="3260"/>
      <c r="AP277" s="3242">
        <v>0</v>
      </c>
      <c r="AQ277" s="3244"/>
      <c r="AR277" s="3244"/>
      <c r="AS277" s="3242" t="s">
        <v>3384</v>
      </c>
      <c r="AT277" s="3247">
        <f t="shared" si="39"/>
        <v>0</v>
      </c>
      <c r="AU277" s="3248">
        <f t="shared" si="40"/>
        <v>0</v>
      </c>
      <c r="AV277" s="3248">
        <v>0</v>
      </c>
      <c r="AW277" s="3247">
        <v>0</v>
      </c>
      <c r="AX277" s="3248">
        <v>0</v>
      </c>
      <c r="AY277" s="3248">
        <v>0</v>
      </c>
      <c r="AZ277" s="3247">
        <v>0</v>
      </c>
      <c r="BA277" s="3248">
        <v>0</v>
      </c>
      <c r="BB277" s="3248">
        <v>0</v>
      </c>
      <c r="BC277" s="3247">
        <v>0</v>
      </c>
      <c r="BD277" s="3248">
        <v>0</v>
      </c>
      <c r="BE277" s="3248">
        <v>0</v>
      </c>
      <c r="BF277" s="3248">
        <f t="shared" si="41"/>
        <v>0</v>
      </c>
      <c r="BG277" s="3248">
        <f t="shared" si="42"/>
        <v>0</v>
      </c>
      <c r="BH277" s="3249"/>
      <c r="BI277" s="3249"/>
    </row>
    <row r="278" spans="1:61" x14ac:dyDescent="0.3">
      <c r="A278" s="4197" t="s">
        <v>3384</v>
      </c>
      <c r="B278" s="3261"/>
      <c r="C278" s="3243">
        <v>0</v>
      </c>
      <c r="D278" s="3242">
        <v>0</v>
      </c>
      <c r="E278" s="3244"/>
      <c r="F278" s="3244"/>
      <c r="G278" s="3242">
        <v>0</v>
      </c>
      <c r="H278" s="3244"/>
      <c r="I278" s="3244"/>
      <c r="J278" s="3244"/>
      <c r="K278" s="3242">
        <v>0</v>
      </c>
      <c r="L278" s="3244"/>
      <c r="M278" s="3244"/>
      <c r="N278" s="3242" t="s">
        <v>3384</v>
      </c>
      <c r="O278" s="3239">
        <v>0</v>
      </c>
      <c r="P278" s="3242">
        <v>0</v>
      </c>
      <c r="Q278" s="3244"/>
      <c r="R278" s="3244"/>
      <c r="S278" s="3242">
        <v>0</v>
      </c>
      <c r="T278" s="3244"/>
      <c r="U278" s="3244"/>
      <c r="V278" s="3244"/>
      <c r="W278" s="3240">
        <v>0</v>
      </c>
      <c r="X278" s="3244"/>
      <c r="Y278" s="3244"/>
      <c r="Z278" s="3242" t="s">
        <v>3384</v>
      </c>
      <c r="AA278" s="3243">
        <f t="shared" si="36"/>
        <v>0</v>
      </c>
      <c r="AB278" s="3242">
        <v>0</v>
      </c>
      <c r="AC278" s="3244"/>
      <c r="AD278" s="3244"/>
      <c r="AE278" s="3242">
        <v>0</v>
      </c>
      <c r="AF278" s="3259"/>
      <c r="AG278" s="3260"/>
      <c r="AH278" s="3250"/>
      <c r="AI278" s="3260"/>
      <c r="AJ278" s="3260"/>
      <c r="AK278" s="3260"/>
      <c r="AL278" s="3259"/>
      <c r="AM278" s="3260"/>
      <c r="AN278" s="3259"/>
      <c r="AO278" s="3260"/>
      <c r="AP278" s="3242">
        <v>0</v>
      </c>
      <c r="AQ278" s="3244"/>
      <c r="AR278" s="3244"/>
      <c r="AS278" s="3242" t="s">
        <v>3384</v>
      </c>
      <c r="AT278" s="3247">
        <f t="shared" si="39"/>
        <v>0</v>
      </c>
      <c r="AU278" s="3248">
        <f t="shared" si="40"/>
        <v>0</v>
      </c>
      <c r="AV278" s="3248">
        <v>0</v>
      </c>
      <c r="AW278" s="3247">
        <v>0</v>
      </c>
      <c r="AX278" s="3248">
        <v>0</v>
      </c>
      <c r="AY278" s="3248">
        <v>0</v>
      </c>
      <c r="AZ278" s="3247">
        <v>0</v>
      </c>
      <c r="BA278" s="3248">
        <v>0</v>
      </c>
      <c r="BB278" s="3248">
        <v>0</v>
      </c>
      <c r="BC278" s="3247">
        <v>0</v>
      </c>
      <c r="BD278" s="3248">
        <v>0</v>
      </c>
      <c r="BE278" s="3248">
        <v>0</v>
      </c>
      <c r="BF278" s="3248">
        <f t="shared" si="41"/>
        <v>0</v>
      </c>
      <c r="BG278" s="3248">
        <f t="shared" si="42"/>
        <v>0</v>
      </c>
      <c r="BH278" s="3249"/>
      <c r="BI278" s="3249"/>
    </row>
    <row r="279" spans="1:61" x14ac:dyDescent="0.3">
      <c r="A279" s="4197" t="s">
        <v>3384</v>
      </c>
      <c r="B279" s="3261"/>
      <c r="C279" s="3243">
        <v>0</v>
      </c>
      <c r="D279" s="3242">
        <v>0</v>
      </c>
      <c r="E279" s="3244"/>
      <c r="F279" s="3244"/>
      <c r="G279" s="3242">
        <v>0</v>
      </c>
      <c r="H279" s="3244"/>
      <c r="I279" s="3244"/>
      <c r="J279" s="3244"/>
      <c r="K279" s="3242">
        <v>0</v>
      </c>
      <c r="L279" s="3244"/>
      <c r="M279" s="3244"/>
      <c r="N279" s="3242" t="s">
        <v>3384</v>
      </c>
      <c r="O279" s="3239">
        <v>0</v>
      </c>
      <c r="P279" s="3242">
        <v>0</v>
      </c>
      <c r="Q279" s="3244"/>
      <c r="R279" s="3244"/>
      <c r="S279" s="3242">
        <v>0</v>
      </c>
      <c r="T279" s="3244"/>
      <c r="U279" s="3244"/>
      <c r="V279" s="3244"/>
      <c r="W279" s="3240">
        <v>0</v>
      </c>
      <c r="X279" s="3244"/>
      <c r="Y279" s="3244"/>
      <c r="Z279" s="3242" t="s">
        <v>3384</v>
      </c>
      <c r="AA279" s="3243">
        <f t="shared" si="36"/>
        <v>0</v>
      </c>
      <c r="AB279" s="3242">
        <v>0</v>
      </c>
      <c r="AC279" s="3244"/>
      <c r="AD279" s="3244"/>
      <c r="AE279" s="3242">
        <v>0</v>
      </c>
      <c r="AF279" s="3259"/>
      <c r="AG279" s="3260"/>
      <c r="AH279" s="3250"/>
      <c r="AI279" s="3260"/>
      <c r="AJ279" s="3260"/>
      <c r="AK279" s="3260"/>
      <c r="AL279" s="3259"/>
      <c r="AM279" s="3260"/>
      <c r="AN279" s="3259"/>
      <c r="AO279" s="3260"/>
      <c r="AP279" s="3242">
        <v>0</v>
      </c>
      <c r="AQ279" s="3244"/>
      <c r="AR279" s="3244"/>
      <c r="AS279" s="3242" t="s">
        <v>3384</v>
      </c>
      <c r="AT279" s="3247">
        <f t="shared" si="39"/>
        <v>0</v>
      </c>
      <c r="AU279" s="3248">
        <f t="shared" si="40"/>
        <v>0</v>
      </c>
      <c r="AV279" s="3248">
        <v>0</v>
      </c>
      <c r="AW279" s="3247">
        <v>0</v>
      </c>
      <c r="AX279" s="3248">
        <v>0</v>
      </c>
      <c r="AY279" s="3248">
        <v>0</v>
      </c>
      <c r="AZ279" s="3247">
        <v>0</v>
      </c>
      <c r="BA279" s="3248">
        <v>0</v>
      </c>
      <c r="BB279" s="3248">
        <v>0</v>
      </c>
      <c r="BC279" s="3247">
        <v>0</v>
      </c>
      <c r="BD279" s="3248">
        <v>0</v>
      </c>
      <c r="BE279" s="3248">
        <v>0</v>
      </c>
      <c r="BF279" s="3248">
        <f t="shared" si="41"/>
        <v>0</v>
      </c>
      <c r="BG279" s="3248">
        <f t="shared" si="42"/>
        <v>0</v>
      </c>
      <c r="BH279" s="3249"/>
      <c r="BI279" s="3249"/>
    </row>
    <row r="280" spans="1:61" x14ac:dyDescent="0.3">
      <c r="A280" s="4197" t="s">
        <v>3384</v>
      </c>
      <c r="B280" s="3261"/>
      <c r="C280" s="3243">
        <v>0</v>
      </c>
      <c r="D280" s="3242">
        <v>0</v>
      </c>
      <c r="E280" s="3244"/>
      <c r="F280" s="3244"/>
      <c r="G280" s="3242">
        <v>0</v>
      </c>
      <c r="H280" s="3244"/>
      <c r="I280" s="3244"/>
      <c r="J280" s="3244"/>
      <c r="K280" s="3242">
        <v>0</v>
      </c>
      <c r="L280" s="3244"/>
      <c r="M280" s="3244"/>
      <c r="N280" s="3242" t="s">
        <v>3384</v>
      </c>
      <c r="O280" s="3239">
        <v>0</v>
      </c>
      <c r="P280" s="3242">
        <v>0</v>
      </c>
      <c r="Q280" s="3244"/>
      <c r="R280" s="3244"/>
      <c r="S280" s="3242">
        <v>0</v>
      </c>
      <c r="T280" s="3244"/>
      <c r="U280" s="3244"/>
      <c r="V280" s="3244"/>
      <c r="W280" s="3240">
        <v>0</v>
      </c>
      <c r="X280" s="3244"/>
      <c r="Y280" s="3244"/>
      <c r="Z280" s="3242" t="s">
        <v>3384</v>
      </c>
      <c r="AA280" s="3243">
        <f t="shared" si="36"/>
        <v>0</v>
      </c>
      <c r="AB280" s="3242">
        <v>0</v>
      </c>
      <c r="AC280" s="3244"/>
      <c r="AD280" s="3244"/>
      <c r="AE280" s="3242">
        <v>0</v>
      </c>
      <c r="AF280" s="3259"/>
      <c r="AG280" s="3260"/>
      <c r="AH280" s="3250"/>
      <c r="AI280" s="3260"/>
      <c r="AJ280" s="3260"/>
      <c r="AK280" s="3260"/>
      <c r="AL280" s="3259"/>
      <c r="AM280" s="3260"/>
      <c r="AN280" s="3259"/>
      <c r="AO280" s="3260"/>
      <c r="AP280" s="3242">
        <v>0</v>
      </c>
      <c r="AQ280" s="3244"/>
      <c r="AR280" s="3244"/>
      <c r="AS280" s="3242" t="s">
        <v>3384</v>
      </c>
      <c r="AT280" s="3247">
        <f t="shared" si="39"/>
        <v>0</v>
      </c>
      <c r="AU280" s="3248">
        <f t="shared" si="40"/>
        <v>0</v>
      </c>
      <c r="AV280" s="3248">
        <v>0</v>
      </c>
      <c r="AW280" s="3247">
        <v>0</v>
      </c>
      <c r="AX280" s="3248">
        <v>0</v>
      </c>
      <c r="AY280" s="3248">
        <v>0</v>
      </c>
      <c r="AZ280" s="3247">
        <v>0</v>
      </c>
      <c r="BA280" s="3248">
        <v>0</v>
      </c>
      <c r="BB280" s="3248">
        <v>0</v>
      </c>
      <c r="BC280" s="3247">
        <v>0</v>
      </c>
      <c r="BD280" s="3248">
        <v>0</v>
      </c>
      <c r="BE280" s="3248">
        <v>0</v>
      </c>
      <c r="BF280" s="3248">
        <f t="shared" si="41"/>
        <v>0</v>
      </c>
      <c r="BG280" s="3248">
        <f t="shared" si="42"/>
        <v>0</v>
      </c>
      <c r="BH280" s="3249"/>
      <c r="BI280" s="3249"/>
    </row>
    <row r="281" spans="1:61" x14ac:dyDescent="0.3">
      <c r="A281" s="4197" t="s">
        <v>3384</v>
      </c>
      <c r="B281" s="3261"/>
      <c r="C281" s="3243">
        <v>0</v>
      </c>
      <c r="D281" s="3242">
        <v>0</v>
      </c>
      <c r="E281" s="3244"/>
      <c r="F281" s="3244"/>
      <c r="G281" s="3242">
        <v>0</v>
      </c>
      <c r="H281" s="3244"/>
      <c r="I281" s="3244"/>
      <c r="J281" s="3244"/>
      <c r="K281" s="3242">
        <v>0</v>
      </c>
      <c r="L281" s="3244"/>
      <c r="M281" s="3244"/>
      <c r="N281" s="3242" t="s">
        <v>3384</v>
      </c>
      <c r="O281" s="3239">
        <v>0</v>
      </c>
      <c r="P281" s="3242">
        <v>0</v>
      </c>
      <c r="Q281" s="3244"/>
      <c r="R281" s="3244"/>
      <c r="S281" s="3242">
        <v>0</v>
      </c>
      <c r="T281" s="3244"/>
      <c r="U281" s="3244"/>
      <c r="V281" s="3244"/>
      <c r="W281" s="3240">
        <v>0</v>
      </c>
      <c r="X281" s="3244"/>
      <c r="Y281" s="3244"/>
      <c r="Z281" s="3242" t="s">
        <v>3384</v>
      </c>
      <c r="AA281" s="3243">
        <f t="shared" si="36"/>
        <v>0</v>
      </c>
      <c r="AB281" s="3242">
        <v>0</v>
      </c>
      <c r="AC281" s="3244"/>
      <c r="AD281" s="3244"/>
      <c r="AE281" s="3242">
        <v>0</v>
      </c>
      <c r="AF281" s="3259"/>
      <c r="AG281" s="3260"/>
      <c r="AH281" s="3250"/>
      <c r="AI281" s="3260"/>
      <c r="AJ281" s="3260"/>
      <c r="AK281" s="3260"/>
      <c r="AL281" s="3259"/>
      <c r="AM281" s="3260"/>
      <c r="AN281" s="3259"/>
      <c r="AO281" s="3260"/>
      <c r="AP281" s="3242">
        <v>0</v>
      </c>
      <c r="AQ281" s="3244"/>
      <c r="AR281" s="3244"/>
      <c r="AS281" s="3242" t="s">
        <v>3384</v>
      </c>
      <c r="AT281" s="3247">
        <f t="shared" si="39"/>
        <v>0</v>
      </c>
      <c r="AU281" s="3248">
        <f t="shared" si="40"/>
        <v>0</v>
      </c>
      <c r="AV281" s="3248">
        <v>0</v>
      </c>
      <c r="AW281" s="3247">
        <v>0</v>
      </c>
      <c r="AX281" s="3248">
        <v>0</v>
      </c>
      <c r="AY281" s="3248">
        <v>0</v>
      </c>
      <c r="AZ281" s="3247">
        <v>0</v>
      </c>
      <c r="BA281" s="3248">
        <v>0</v>
      </c>
      <c r="BB281" s="3248">
        <v>0</v>
      </c>
      <c r="BC281" s="3247">
        <v>0</v>
      </c>
      <c r="BD281" s="3248">
        <v>0</v>
      </c>
      <c r="BE281" s="3248">
        <v>0</v>
      </c>
      <c r="BF281" s="3248">
        <f t="shared" si="41"/>
        <v>0</v>
      </c>
      <c r="BG281" s="3248">
        <f t="shared" si="42"/>
        <v>0</v>
      </c>
      <c r="BH281" s="3249"/>
      <c r="BI281" s="3249"/>
    </row>
    <row r="282" spans="1:61" x14ac:dyDescent="0.3">
      <c r="A282" s="4197" t="s">
        <v>3384</v>
      </c>
      <c r="B282" s="3261"/>
      <c r="C282" s="3243">
        <v>0</v>
      </c>
      <c r="D282" s="3242">
        <v>0</v>
      </c>
      <c r="E282" s="3244"/>
      <c r="F282" s="3244"/>
      <c r="G282" s="3242">
        <v>0</v>
      </c>
      <c r="H282" s="3244"/>
      <c r="I282" s="3244"/>
      <c r="J282" s="3244"/>
      <c r="K282" s="3242">
        <v>0</v>
      </c>
      <c r="L282" s="3244"/>
      <c r="M282" s="3244"/>
      <c r="N282" s="3242" t="s">
        <v>3384</v>
      </c>
      <c r="O282" s="3239">
        <v>0</v>
      </c>
      <c r="P282" s="3242">
        <v>0</v>
      </c>
      <c r="Q282" s="3244"/>
      <c r="R282" s="3244"/>
      <c r="S282" s="3242">
        <v>0</v>
      </c>
      <c r="T282" s="3244"/>
      <c r="U282" s="3244"/>
      <c r="V282" s="3244"/>
      <c r="W282" s="3240">
        <v>0</v>
      </c>
      <c r="X282" s="3244"/>
      <c r="Y282" s="3244"/>
      <c r="Z282" s="3242" t="s">
        <v>3384</v>
      </c>
      <c r="AA282" s="3243">
        <f t="shared" si="36"/>
        <v>0</v>
      </c>
      <c r="AB282" s="3242">
        <v>0</v>
      </c>
      <c r="AC282" s="3244"/>
      <c r="AD282" s="3244"/>
      <c r="AE282" s="3242">
        <v>0</v>
      </c>
      <c r="AF282" s="3259"/>
      <c r="AG282" s="3260"/>
      <c r="AH282" s="3250"/>
      <c r="AI282" s="3260"/>
      <c r="AJ282" s="3260"/>
      <c r="AK282" s="3260"/>
      <c r="AL282" s="3259"/>
      <c r="AM282" s="3260"/>
      <c r="AN282" s="3259"/>
      <c r="AO282" s="3260"/>
      <c r="AP282" s="3242">
        <v>0</v>
      </c>
      <c r="AQ282" s="3244"/>
      <c r="AR282" s="3244"/>
      <c r="AS282" s="3242" t="s">
        <v>3384</v>
      </c>
      <c r="AT282" s="3247">
        <f t="shared" si="39"/>
        <v>0</v>
      </c>
      <c r="AU282" s="3248">
        <f t="shared" si="40"/>
        <v>0</v>
      </c>
      <c r="AV282" s="3248">
        <v>0</v>
      </c>
      <c r="AW282" s="3247">
        <v>0</v>
      </c>
      <c r="AX282" s="3248">
        <v>0</v>
      </c>
      <c r="AY282" s="3248">
        <v>0</v>
      </c>
      <c r="AZ282" s="3247">
        <v>0</v>
      </c>
      <c r="BA282" s="3248">
        <v>0</v>
      </c>
      <c r="BB282" s="3248">
        <v>0</v>
      </c>
      <c r="BC282" s="3247">
        <v>0</v>
      </c>
      <c r="BD282" s="3248">
        <v>0</v>
      </c>
      <c r="BE282" s="3248">
        <v>0</v>
      </c>
      <c r="BF282" s="3248">
        <f t="shared" si="41"/>
        <v>0</v>
      </c>
      <c r="BG282" s="3248">
        <f t="shared" si="42"/>
        <v>0</v>
      </c>
      <c r="BH282" s="3249"/>
      <c r="BI282" s="3249"/>
    </row>
    <row r="283" spans="1:61" x14ac:dyDescent="0.3">
      <c r="A283" s="4197" t="s">
        <v>3384</v>
      </c>
      <c r="B283" s="3261"/>
      <c r="C283" s="3243">
        <v>0</v>
      </c>
      <c r="D283" s="3242">
        <v>0</v>
      </c>
      <c r="E283" s="3244"/>
      <c r="F283" s="3244"/>
      <c r="G283" s="3242">
        <v>0</v>
      </c>
      <c r="H283" s="3244"/>
      <c r="I283" s="3244"/>
      <c r="J283" s="3244"/>
      <c r="K283" s="3242">
        <v>0</v>
      </c>
      <c r="L283" s="3244"/>
      <c r="M283" s="3244"/>
      <c r="N283" s="3242" t="s">
        <v>3384</v>
      </c>
      <c r="O283" s="3239">
        <v>0</v>
      </c>
      <c r="P283" s="3242">
        <v>0</v>
      </c>
      <c r="Q283" s="3244"/>
      <c r="R283" s="3244"/>
      <c r="S283" s="3242">
        <v>0</v>
      </c>
      <c r="T283" s="3244"/>
      <c r="U283" s="3244"/>
      <c r="V283" s="3244"/>
      <c r="W283" s="3240">
        <v>0</v>
      </c>
      <c r="X283" s="3244"/>
      <c r="Y283" s="3244"/>
      <c r="Z283" s="3242" t="s">
        <v>3384</v>
      </c>
      <c r="AA283" s="3243">
        <f t="shared" si="36"/>
        <v>0</v>
      </c>
      <c r="AB283" s="3242">
        <v>0</v>
      </c>
      <c r="AC283" s="3244"/>
      <c r="AD283" s="3244"/>
      <c r="AE283" s="3242">
        <v>0</v>
      </c>
      <c r="AF283" s="3259"/>
      <c r="AG283" s="3260"/>
      <c r="AH283" s="3250"/>
      <c r="AI283" s="3260"/>
      <c r="AJ283" s="3260"/>
      <c r="AK283" s="3260"/>
      <c r="AL283" s="3259"/>
      <c r="AM283" s="3260"/>
      <c r="AN283" s="3259"/>
      <c r="AO283" s="3260"/>
      <c r="AP283" s="3242">
        <v>0</v>
      </c>
      <c r="AQ283" s="3244"/>
      <c r="AR283" s="3244"/>
      <c r="AS283" s="3242" t="s">
        <v>3384</v>
      </c>
      <c r="AT283" s="3247">
        <f t="shared" si="39"/>
        <v>0</v>
      </c>
      <c r="AU283" s="3248">
        <f t="shared" si="40"/>
        <v>0</v>
      </c>
      <c r="AV283" s="3248">
        <v>0</v>
      </c>
      <c r="AW283" s="3247">
        <v>0</v>
      </c>
      <c r="AX283" s="3248">
        <v>0</v>
      </c>
      <c r="AY283" s="3248">
        <v>0</v>
      </c>
      <c r="AZ283" s="3247">
        <v>0</v>
      </c>
      <c r="BA283" s="3248">
        <v>0</v>
      </c>
      <c r="BB283" s="3248">
        <v>0</v>
      </c>
      <c r="BC283" s="3247">
        <v>0</v>
      </c>
      <c r="BD283" s="3248">
        <v>0</v>
      </c>
      <c r="BE283" s="3248">
        <v>0</v>
      </c>
      <c r="BF283" s="3248">
        <f t="shared" si="41"/>
        <v>0</v>
      </c>
      <c r="BG283" s="3248">
        <f t="shared" si="42"/>
        <v>0</v>
      </c>
      <c r="BH283" s="3249"/>
      <c r="BI283" s="3249"/>
    </row>
    <row r="284" spans="1:61" x14ac:dyDescent="0.3">
      <c r="A284" s="4197" t="s">
        <v>3384</v>
      </c>
      <c r="B284" s="3261"/>
      <c r="C284" s="3243">
        <v>0</v>
      </c>
      <c r="D284" s="3242">
        <v>0</v>
      </c>
      <c r="E284" s="3244"/>
      <c r="F284" s="3244"/>
      <c r="G284" s="3242">
        <v>0</v>
      </c>
      <c r="H284" s="3244"/>
      <c r="I284" s="3244"/>
      <c r="J284" s="3244"/>
      <c r="K284" s="3242">
        <v>0</v>
      </c>
      <c r="L284" s="3244"/>
      <c r="M284" s="3244"/>
      <c r="N284" s="3242" t="s">
        <v>3384</v>
      </c>
      <c r="O284" s="3239">
        <v>0</v>
      </c>
      <c r="P284" s="3242">
        <v>0</v>
      </c>
      <c r="Q284" s="3244"/>
      <c r="R284" s="3244"/>
      <c r="S284" s="3242">
        <v>0</v>
      </c>
      <c r="T284" s="3244"/>
      <c r="U284" s="3244"/>
      <c r="V284" s="3244"/>
      <c r="W284" s="3240">
        <v>0</v>
      </c>
      <c r="X284" s="3244"/>
      <c r="Y284" s="3244"/>
      <c r="Z284" s="3242" t="s">
        <v>3384</v>
      </c>
      <c r="AA284" s="3243">
        <f t="shared" si="36"/>
        <v>0</v>
      </c>
      <c r="AB284" s="3242">
        <v>0</v>
      </c>
      <c r="AC284" s="3244"/>
      <c r="AD284" s="3244"/>
      <c r="AE284" s="3242">
        <v>0</v>
      </c>
      <c r="AF284" s="3259"/>
      <c r="AG284" s="3260"/>
      <c r="AH284" s="3250"/>
      <c r="AI284" s="3260"/>
      <c r="AJ284" s="3260"/>
      <c r="AK284" s="3260"/>
      <c r="AL284" s="3259"/>
      <c r="AM284" s="3260"/>
      <c r="AN284" s="3259"/>
      <c r="AO284" s="3260"/>
      <c r="AP284" s="3242">
        <v>0</v>
      </c>
      <c r="AQ284" s="3244"/>
      <c r="AR284" s="3244"/>
      <c r="AS284" s="3242" t="s">
        <v>3384</v>
      </c>
      <c r="AT284" s="3247">
        <f t="shared" si="39"/>
        <v>0</v>
      </c>
      <c r="AU284" s="3248">
        <f t="shared" si="40"/>
        <v>0</v>
      </c>
      <c r="AV284" s="3248">
        <v>0</v>
      </c>
      <c r="AW284" s="3247">
        <v>0</v>
      </c>
      <c r="AX284" s="3248">
        <v>0</v>
      </c>
      <c r="AY284" s="3248">
        <v>0</v>
      </c>
      <c r="AZ284" s="3247">
        <v>0</v>
      </c>
      <c r="BA284" s="3248">
        <v>0</v>
      </c>
      <c r="BB284" s="3248">
        <v>0</v>
      </c>
      <c r="BC284" s="3247">
        <v>0</v>
      </c>
      <c r="BD284" s="3248">
        <v>0</v>
      </c>
      <c r="BE284" s="3248">
        <v>0</v>
      </c>
      <c r="BF284" s="3248">
        <f t="shared" si="41"/>
        <v>0</v>
      </c>
      <c r="BG284" s="3248">
        <f t="shared" si="42"/>
        <v>0</v>
      </c>
      <c r="BH284" s="3249"/>
      <c r="BI284" s="3249"/>
    </row>
    <row r="285" spans="1:61" x14ac:dyDescent="0.3">
      <c r="A285" s="4197" t="s">
        <v>3384</v>
      </c>
      <c r="B285" s="3261"/>
      <c r="C285" s="3243">
        <v>0</v>
      </c>
      <c r="D285" s="3242">
        <v>0</v>
      </c>
      <c r="E285" s="3244"/>
      <c r="F285" s="3244"/>
      <c r="G285" s="3242">
        <v>0</v>
      </c>
      <c r="H285" s="3244"/>
      <c r="I285" s="3244"/>
      <c r="J285" s="3244"/>
      <c r="K285" s="3242">
        <v>0</v>
      </c>
      <c r="L285" s="3244"/>
      <c r="M285" s="3244"/>
      <c r="N285" s="3242" t="s">
        <v>3384</v>
      </c>
      <c r="O285" s="3239">
        <v>0</v>
      </c>
      <c r="P285" s="3242">
        <v>0</v>
      </c>
      <c r="Q285" s="3244"/>
      <c r="R285" s="3244"/>
      <c r="S285" s="3242">
        <v>0</v>
      </c>
      <c r="T285" s="3244"/>
      <c r="U285" s="3244"/>
      <c r="V285" s="3244"/>
      <c r="W285" s="3240">
        <v>0</v>
      </c>
      <c r="X285" s="3244"/>
      <c r="Y285" s="3244"/>
      <c r="Z285" s="3242" t="s">
        <v>3384</v>
      </c>
      <c r="AA285" s="3243">
        <f t="shared" si="36"/>
        <v>0</v>
      </c>
      <c r="AB285" s="3242">
        <v>0</v>
      </c>
      <c r="AC285" s="3244"/>
      <c r="AD285" s="3244"/>
      <c r="AE285" s="3242">
        <v>0</v>
      </c>
      <c r="AF285" s="3259"/>
      <c r="AG285" s="3260"/>
      <c r="AH285" s="3250"/>
      <c r="AI285" s="3260"/>
      <c r="AJ285" s="3260"/>
      <c r="AK285" s="3260"/>
      <c r="AL285" s="3259"/>
      <c r="AM285" s="3260"/>
      <c r="AN285" s="3259"/>
      <c r="AO285" s="3260"/>
      <c r="AP285" s="3242">
        <v>0</v>
      </c>
      <c r="AQ285" s="3244"/>
      <c r="AR285" s="3244"/>
      <c r="AS285" s="3242" t="s">
        <v>3384</v>
      </c>
      <c r="AT285" s="3247">
        <f t="shared" si="39"/>
        <v>0</v>
      </c>
      <c r="AU285" s="3248">
        <f t="shared" si="40"/>
        <v>0</v>
      </c>
      <c r="AV285" s="3248">
        <v>0</v>
      </c>
      <c r="AW285" s="3247">
        <v>0</v>
      </c>
      <c r="AX285" s="3248">
        <v>0</v>
      </c>
      <c r="AY285" s="3248">
        <v>0</v>
      </c>
      <c r="AZ285" s="3247">
        <v>0</v>
      </c>
      <c r="BA285" s="3248">
        <v>0</v>
      </c>
      <c r="BB285" s="3248">
        <v>0</v>
      </c>
      <c r="BC285" s="3247">
        <v>0</v>
      </c>
      <c r="BD285" s="3248">
        <v>0</v>
      </c>
      <c r="BE285" s="3248">
        <v>0</v>
      </c>
      <c r="BF285" s="3248">
        <f t="shared" si="41"/>
        <v>0</v>
      </c>
      <c r="BG285" s="3248">
        <f t="shared" si="42"/>
        <v>0</v>
      </c>
      <c r="BH285" s="3249"/>
      <c r="BI285" s="3249"/>
    </row>
    <row r="286" spans="1:61" x14ac:dyDescent="0.3">
      <c r="A286" s="4197" t="s">
        <v>3384</v>
      </c>
      <c r="B286" s="3261"/>
      <c r="C286" s="3243">
        <v>0</v>
      </c>
      <c r="D286" s="3242">
        <v>0</v>
      </c>
      <c r="E286" s="3244"/>
      <c r="F286" s="3244"/>
      <c r="G286" s="3242">
        <v>0</v>
      </c>
      <c r="H286" s="3244"/>
      <c r="I286" s="3244"/>
      <c r="J286" s="3244"/>
      <c r="K286" s="3242">
        <v>0</v>
      </c>
      <c r="L286" s="3244"/>
      <c r="M286" s="3244"/>
      <c r="N286" s="3242" t="s">
        <v>3384</v>
      </c>
      <c r="O286" s="3239">
        <v>0</v>
      </c>
      <c r="P286" s="3242">
        <v>0</v>
      </c>
      <c r="Q286" s="3244"/>
      <c r="R286" s="3244"/>
      <c r="S286" s="3242">
        <v>0</v>
      </c>
      <c r="T286" s="3244"/>
      <c r="U286" s="3244"/>
      <c r="V286" s="3244"/>
      <c r="W286" s="3240">
        <v>0</v>
      </c>
      <c r="X286" s="3244"/>
      <c r="Y286" s="3244"/>
      <c r="Z286" s="3242" t="s">
        <v>3384</v>
      </c>
      <c r="AA286" s="3243">
        <f t="shared" si="36"/>
        <v>0</v>
      </c>
      <c r="AB286" s="3242">
        <v>0</v>
      </c>
      <c r="AC286" s="3244"/>
      <c r="AD286" s="3244"/>
      <c r="AE286" s="3242">
        <v>0</v>
      </c>
      <c r="AF286" s="3259"/>
      <c r="AG286" s="3260"/>
      <c r="AH286" s="3250"/>
      <c r="AI286" s="3260"/>
      <c r="AJ286" s="3260"/>
      <c r="AK286" s="3260"/>
      <c r="AL286" s="3259"/>
      <c r="AM286" s="3260"/>
      <c r="AN286" s="3259"/>
      <c r="AO286" s="3260"/>
      <c r="AP286" s="3242">
        <v>0</v>
      </c>
      <c r="AQ286" s="3244"/>
      <c r="AR286" s="3244"/>
      <c r="AS286" s="3242" t="s">
        <v>3384</v>
      </c>
      <c r="AT286" s="3247">
        <f t="shared" si="39"/>
        <v>0</v>
      </c>
      <c r="AU286" s="3248">
        <f t="shared" si="40"/>
        <v>0</v>
      </c>
      <c r="AV286" s="3248">
        <v>0</v>
      </c>
      <c r="AW286" s="3247">
        <v>0</v>
      </c>
      <c r="AX286" s="3248">
        <v>0</v>
      </c>
      <c r="AY286" s="3248">
        <v>0</v>
      </c>
      <c r="AZ286" s="3247">
        <v>0</v>
      </c>
      <c r="BA286" s="3248">
        <v>0</v>
      </c>
      <c r="BB286" s="3248">
        <v>0</v>
      </c>
      <c r="BC286" s="3247">
        <v>0</v>
      </c>
      <c r="BD286" s="3248">
        <v>0</v>
      </c>
      <c r="BE286" s="3248">
        <v>0</v>
      </c>
      <c r="BF286" s="3248">
        <f t="shared" si="41"/>
        <v>0</v>
      </c>
      <c r="BG286" s="3248">
        <f t="shared" si="42"/>
        <v>0</v>
      </c>
      <c r="BH286" s="3249"/>
      <c r="BI286" s="3249"/>
    </row>
    <row r="287" spans="1:61" x14ac:dyDescent="0.3">
      <c r="A287" s="4197" t="s">
        <v>3384</v>
      </c>
      <c r="B287" s="3261"/>
      <c r="C287" s="3243">
        <v>0</v>
      </c>
      <c r="D287" s="3242">
        <v>0</v>
      </c>
      <c r="E287" s="3244"/>
      <c r="F287" s="3244"/>
      <c r="G287" s="3242">
        <v>0</v>
      </c>
      <c r="H287" s="3244"/>
      <c r="I287" s="3244"/>
      <c r="J287" s="3244"/>
      <c r="K287" s="3242">
        <v>0</v>
      </c>
      <c r="L287" s="3244"/>
      <c r="M287" s="3244"/>
      <c r="N287" s="3242" t="s">
        <v>3384</v>
      </c>
      <c r="O287" s="3239">
        <v>0</v>
      </c>
      <c r="P287" s="3242">
        <v>0</v>
      </c>
      <c r="Q287" s="3244"/>
      <c r="R287" s="3244"/>
      <c r="S287" s="3242">
        <v>0</v>
      </c>
      <c r="T287" s="3244"/>
      <c r="U287" s="3244"/>
      <c r="V287" s="3244"/>
      <c r="W287" s="3240">
        <v>0</v>
      </c>
      <c r="X287" s="3244"/>
      <c r="Y287" s="3244"/>
      <c r="Z287" s="3242" t="s">
        <v>3384</v>
      </c>
      <c r="AA287" s="3243">
        <f t="shared" si="36"/>
        <v>0</v>
      </c>
      <c r="AB287" s="3242">
        <v>0</v>
      </c>
      <c r="AC287" s="3244"/>
      <c r="AD287" s="3244"/>
      <c r="AE287" s="3242">
        <v>0</v>
      </c>
      <c r="AF287" s="3259"/>
      <c r="AG287" s="3260"/>
      <c r="AH287" s="3250"/>
      <c r="AI287" s="3260"/>
      <c r="AJ287" s="3260"/>
      <c r="AK287" s="3260"/>
      <c r="AL287" s="3259"/>
      <c r="AM287" s="3260"/>
      <c r="AN287" s="3259"/>
      <c r="AO287" s="3260"/>
      <c r="AP287" s="3242">
        <v>0</v>
      </c>
      <c r="AQ287" s="3244"/>
      <c r="AR287" s="3244"/>
      <c r="AS287" s="3242" t="s">
        <v>3384</v>
      </c>
      <c r="AT287" s="3247">
        <f t="shared" si="39"/>
        <v>0</v>
      </c>
      <c r="AU287" s="3248">
        <f t="shared" si="40"/>
        <v>0</v>
      </c>
      <c r="AV287" s="3248">
        <v>0</v>
      </c>
      <c r="AW287" s="3247">
        <v>0</v>
      </c>
      <c r="AX287" s="3248">
        <v>0</v>
      </c>
      <c r="AY287" s="3248">
        <v>0</v>
      </c>
      <c r="AZ287" s="3247">
        <v>0</v>
      </c>
      <c r="BA287" s="3248">
        <v>0</v>
      </c>
      <c r="BB287" s="3248">
        <v>0</v>
      </c>
      <c r="BC287" s="3247">
        <v>0</v>
      </c>
      <c r="BD287" s="3248">
        <v>0</v>
      </c>
      <c r="BE287" s="3248">
        <v>0</v>
      </c>
      <c r="BF287" s="3248">
        <f t="shared" si="41"/>
        <v>0</v>
      </c>
      <c r="BG287" s="3248">
        <f t="shared" si="42"/>
        <v>0</v>
      </c>
      <c r="BH287" s="3249"/>
      <c r="BI287" s="3249"/>
    </row>
    <row r="288" spans="1:61" x14ac:dyDescent="0.3">
      <c r="A288" s="4197" t="s">
        <v>3384</v>
      </c>
      <c r="B288" s="3261"/>
      <c r="C288" s="3243">
        <v>0</v>
      </c>
      <c r="D288" s="3242">
        <v>0</v>
      </c>
      <c r="E288" s="3244"/>
      <c r="F288" s="3244"/>
      <c r="G288" s="3242">
        <v>0</v>
      </c>
      <c r="H288" s="3244"/>
      <c r="I288" s="3244"/>
      <c r="J288" s="3244"/>
      <c r="K288" s="3242">
        <v>0</v>
      </c>
      <c r="L288" s="3244"/>
      <c r="M288" s="3244"/>
      <c r="N288" s="3242" t="s">
        <v>3384</v>
      </c>
      <c r="O288" s="3239">
        <v>0</v>
      </c>
      <c r="P288" s="3242">
        <v>0</v>
      </c>
      <c r="Q288" s="3244"/>
      <c r="R288" s="3244"/>
      <c r="S288" s="3242">
        <v>0</v>
      </c>
      <c r="T288" s="3244"/>
      <c r="U288" s="3244"/>
      <c r="V288" s="3244"/>
      <c r="W288" s="3240">
        <v>0</v>
      </c>
      <c r="X288" s="3244"/>
      <c r="Y288" s="3244"/>
      <c r="Z288" s="3242" t="s">
        <v>3384</v>
      </c>
      <c r="AA288" s="3243">
        <f t="shared" si="36"/>
        <v>0</v>
      </c>
      <c r="AB288" s="3242">
        <v>0</v>
      </c>
      <c r="AC288" s="3244"/>
      <c r="AD288" s="3244"/>
      <c r="AE288" s="3242">
        <v>0</v>
      </c>
      <c r="AF288" s="3259"/>
      <c r="AG288" s="3260"/>
      <c r="AH288" s="3250"/>
      <c r="AI288" s="3260"/>
      <c r="AJ288" s="3260"/>
      <c r="AK288" s="3260"/>
      <c r="AL288" s="3259"/>
      <c r="AM288" s="3260"/>
      <c r="AN288" s="3259"/>
      <c r="AO288" s="3260"/>
      <c r="AP288" s="3242">
        <v>0</v>
      </c>
      <c r="AQ288" s="3244"/>
      <c r="AR288" s="3244"/>
      <c r="AS288" s="3242" t="s">
        <v>3384</v>
      </c>
      <c r="AT288" s="3247">
        <f t="shared" si="39"/>
        <v>0</v>
      </c>
      <c r="AU288" s="3248">
        <f t="shared" si="40"/>
        <v>0</v>
      </c>
      <c r="AV288" s="3248">
        <v>0</v>
      </c>
      <c r="AW288" s="3247">
        <v>0</v>
      </c>
      <c r="AX288" s="3248">
        <v>0</v>
      </c>
      <c r="AY288" s="3248">
        <v>0</v>
      </c>
      <c r="AZ288" s="3247">
        <v>0</v>
      </c>
      <c r="BA288" s="3248">
        <v>0</v>
      </c>
      <c r="BB288" s="3248">
        <v>0</v>
      </c>
      <c r="BC288" s="3247">
        <v>0</v>
      </c>
      <c r="BD288" s="3248">
        <v>0</v>
      </c>
      <c r="BE288" s="3248">
        <v>0</v>
      </c>
      <c r="BF288" s="3248">
        <f t="shared" si="41"/>
        <v>0</v>
      </c>
      <c r="BG288" s="3248">
        <f t="shared" si="42"/>
        <v>0</v>
      </c>
      <c r="BH288" s="3249"/>
      <c r="BI288" s="3249"/>
    </row>
    <row r="289" spans="1:61" x14ac:dyDescent="0.3">
      <c r="A289" s="4197" t="s">
        <v>3384</v>
      </c>
      <c r="B289" s="3261"/>
      <c r="C289" s="3243">
        <v>0</v>
      </c>
      <c r="D289" s="3242">
        <v>0</v>
      </c>
      <c r="E289" s="3244"/>
      <c r="F289" s="3244"/>
      <c r="G289" s="3242">
        <v>0</v>
      </c>
      <c r="H289" s="3244"/>
      <c r="I289" s="3244"/>
      <c r="J289" s="3244"/>
      <c r="K289" s="3242">
        <v>0</v>
      </c>
      <c r="L289" s="3244"/>
      <c r="M289" s="3244"/>
      <c r="N289" s="3242" t="s">
        <v>3384</v>
      </c>
      <c r="O289" s="3239">
        <v>0</v>
      </c>
      <c r="P289" s="3242">
        <v>0</v>
      </c>
      <c r="Q289" s="3244"/>
      <c r="R289" s="3244"/>
      <c r="S289" s="3242">
        <v>0</v>
      </c>
      <c r="T289" s="3244"/>
      <c r="U289" s="3244"/>
      <c r="V289" s="3244"/>
      <c r="W289" s="3240">
        <v>0</v>
      </c>
      <c r="X289" s="3244"/>
      <c r="Y289" s="3244"/>
      <c r="Z289" s="3242" t="s">
        <v>3384</v>
      </c>
      <c r="AA289" s="3243">
        <f t="shared" si="36"/>
        <v>0</v>
      </c>
      <c r="AB289" s="3242">
        <v>0</v>
      </c>
      <c r="AC289" s="3244"/>
      <c r="AD289" s="3244"/>
      <c r="AE289" s="3242">
        <v>0</v>
      </c>
      <c r="AF289" s="3259"/>
      <c r="AG289" s="3260"/>
      <c r="AH289" s="3250"/>
      <c r="AI289" s="3260"/>
      <c r="AJ289" s="3260"/>
      <c r="AK289" s="3260"/>
      <c r="AL289" s="3259"/>
      <c r="AM289" s="3260"/>
      <c r="AN289" s="3259"/>
      <c r="AO289" s="3260"/>
      <c r="AP289" s="3242">
        <v>0</v>
      </c>
      <c r="AQ289" s="3244"/>
      <c r="AR289" s="3244"/>
      <c r="AS289" s="3242" t="s">
        <v>3384</v>
      </c>
      <c r="AT289" s="3247">
        <f t="shared" si="39"/>
        <v>0</v>
      </c>
      <c r="AU289" s="3248">
        <f t="shared" si="40"/>
        <v>0</v>
      </c>
      <c r="AV289" s="3248">
        <v>0</v>
      </c>
      <c r="AW289" s="3247">
        <v>0</v>
      </c>
      <c r="AX289" s="3248">
        <v>0</v>
      </c>
      <c r="AY289" s="3248">
        <v>0</v>
      </c>
      <c r="AZ289" s="3247">
        <v>0</v>
      </c>
      <c r="BA289" s="3248">
        <v>0</v>
      </c>
      <c r="BB289" s="3248">
        <v>0</v>
      </c>
      <c r="BC289" s="3247">
        <v>0</v>
      </c>
      <c r="BD289" s="3248">
        <v>0</v>
      </c>
      <c r="BE289" s="3248">
        <v>0</v>
      </c>
      <c r="BF289" s="3248">
        <f t="shared" si="41"/>
        <v>0</v>
      </c>
      <c r="BG289" s="3248">
        <f t="shared" si="42"/>
        <v>0</v>
      </c>
      <c r="BH289" s="3249"/>
      <c r="BI289" s="3249"/>
    </row>
    <row r="290" spans="1:61" x14ac:dyDescent="0.3">
      <c r="A290" s="4197" t="s">
        <v>3384</v>
      </c>
      <c r="B290" s="3261"/>
      <c r="C290" s="3243">
        <v>0</v>
      </c>
      <c r="D290" s="3242">
        <v>0</v>
      </c>
      <c r="E290" s="3244"/>
      <c r="F290" s="3244"/>
      <c r="G290" s="3242">
        <v>0</v>
      </c>
      <c r="H290" s="3244"/>
      <c r="I290" s="3244"/>
      <c r="J290" s="3244"/>
      <c r="K290" s="3242">
        <v>0</v>
      </c>
      <c r="L290" s="3244"/>
      <c r="M290" s="3244"/>
      <c r="N290" s="3242" t="s">
        <v>3384</v>
      </c>
      <c r="O290" s="3239">
        <v>0</v>
      </c>
      <c r="P290" s="3242">
        <v>0</v>
      </c>
      <c r="Q290" s="3244"/>
      <c r="R290" s="3244"/>
      <c r="S290" s="3242">
        <v>0</v>
      </c>
      <c r="T290" s="3244"/>
      <c r="U290" s="3244"/>
      <c r="V290" s="3244"/>
      <c r="W290" s="3240">
        <v>0</v>
      </c>
      <c r="X290" s="3244"/>
      <c r="Y290" s="3244"/>
      <c r="Z290" s="3242" t="s">
        <v>3384</v>
      </c>
      <c r="AA290" s="3243">
        <f t="shared" si="36"/>
        <v>0</v>
      </c>
      <c r="AB290" s="3242">
        <v>0</v>
      </c>
      <c r="AC290" s="3244"/>
      <c r="AD290" s="3244"/>
      <c r="AE290" s="3242">
        <v>0</v>
      </c>
      <c r="AF290" s="3259"/>
      <c r="AG290" s="3260"/>
      <c r="AH290" s="3250"/>
      <c r="AI290" s="3260"/>
      <c r="AJ290" s="3260"/>
      <c r="AK290" s="3260"/>
      <c r="AL290" s="3259"/>
      <c r="AM290" s="3260"/>
      <c r="AN290" s="3259"/>
      <c r="AO290" s="3260"/>
      <c r="AP290" s="3242">
        <v>0</v>
      </c>
      <c r="AQ290" s="3244"/>
      <c r="AR290" s="3244"/>
      <c r="AS290" s="3242" t="s">
        <v>3384</v>
      </c>
      <c r="AT290" s="3247">
        <f t="shared" si="39"/>
        <v>0</v>
      </c>
      <c r="AU290" s="3248">
        <f t="shared" si="40"/>
        <v>0</v>
      </c>
      <c r="AV290" s="3248">
        <v>0</v>
      </c>
      <c r="AW290" s="3247">
        <v>0</v>
      </c>
      <c r="AX290" s="3248">
        <v>0</v>
      </c>
      <c r="AY290" s="3248">
        <v>0</v>
      </c>
      <c r="AZ290" s="3247">
        <v>0</v>
      </c>
      <c r="BA290" s="3248">
        <v>0</v>
      </c>
      <c r="BB290" s="3248">
        <v>0</v>
      </c>
      <c r="BC290" s="3247">
        <v>0</v>
      </c>
      <c r="BD290" s="3248">
        <v>0</v>
      </c>
      <c r="BE290" s="3248">
        <v>0</v>
      </c>
      <c r="BF290" s="3248">
        <f t="shared" si="41"/>
        <v>0</v>
      </c>
      <c r="BG290" s="3248">
        <f t="shared" si="42"/>
        <v>0</v>
      </c>
      <c r="BH290" s="3249"/>
      <c r="BI290" s="3249"/>
    </row>
    <row r="291" spans="1:61" x14ac:dyDescent="0.3">
      <c r="A291" s="4197" t="s">
        <v>3384</v>
      </c>
      <c r="B291" s="3261"/>
      <c r="C291" s="3243">
        <v>0</v>
      </c>
      <c r="D291" s="3242">
        <v>0</v>
      </c>
      <c r="E291" s="3244"/>
      <c r="F291" s="3244"/>
      <c r="G291" s="3242">
        <v>0</v>
      </c>
      <c r="H291" s="3244"/>
      <c r="I291" s="3244"/>
      <c r="J291" s="3244"/>
      <c r="K291" s="3242">
        <v>0</v>
      </c>
      <c r="L291" s="3244"/>
      <c r="M291" s="3244"/>
      <c r="N291" s="3242" t="s">
        <v>3384</v>
      </c>
      <c r="O291" s="3239">
        <v>0</v>
      </c>
      <c r="P291" s="3242">
        <v>0</v>
      </c>
      <c r="Q291" s="3244"/>
      <c r="R291" s="3244"/>
      <c r="S291" s="3242">
        <v>0</v>
      </c>
      <c r="T291" s="3244"/>
      <c r="U291" s="3244"/>
      <c r="V291" s="3244"/>
      <c r="W291" s="3240">
        <v>0</v>
      </c>
      <c r="X291" s="3244"/>
      <c r="Y291" s="3244"/>
      <c r="Z291" s="3242" t="s">
        <v>3384</v>
      </c>
      <c r="AA291" s="3243">
        <f t="shared" si="36"/>
        <v>0</v>
      </c>
      <c r="AB291" s="3242">
        <v>0</v>
      </c>
      <c r="AC291" s="3244"/>
      <c r="AD291" s="3244"/>
      <c r="AE291" s="3242">
        <v>0</v>
      </c>
      <c r="AF291" s="3259"/>
      <c r="AG291" s="3260"/>
      <c r="AH291" s="3250"/>
      <c r="AI291" s="3260"/>
      <c r="AJ291" s="3260"/>
      <c r="AK291" s="3260"/>
      <c r="AL291" s="3259"/>
      <c r="AM291" s="3260"/>
      <c r="AN291" s="3259"/>
      <c r="AO291" s="3260"/>
      <c r="AP291" s="3242">
        <v>0</v>
      </c>
      <c r="AQ291" s="3244"/>
      <c r="AR291" s="3244"/>
      <c r="AS291" s="3242" t="s">
        <v>3384</v>
      </c>
      <c r="AT291" s="3247">
        <f t="shared" si="39"/>
        <v>0</v>
      </c>
      <c r="AU291" s="3248">
        <f t="shared" si="40"/>
        <v>0</v>
      </c>
      <c r="AV291" s="3248">
        <v>0</v>
      </c>
      <c r="AW291" s="3247">
        <v>0</v>
      </c>
      <c r="AX291" s="3248">
        <v>0</v>
      </c>
      <c r="AY291" s="3248">
        <v>0</v>
      </c>
      <c r="AZ291" s="3247">
        <v>0</v>
      </c>
      <c r="BA291" s="3248">
        <v>0</v>
      </c>
      <c r="BB291" s="3248">
        <v>0</v>
      </c>
      <c r="BC291" s="3247">
        <v>0</v>
      </c>
      <c r="BD291" s="3248">
        <v>0</v>
      </c>
      <c r="BE291" s="3248">
        <v>0</v>
      </c>
      <c r="BF291" s="3248">
        <f t="shared" si="41"/>
        <v>0</v>
      </c>
      <c r="BG291" s="3248">
        <f t="shared" si="42"/>
        <v>0</v>
      </c>
      <c r="BH291" s="3249"/>
      <c r="BI291" s="3249"/>
    </row>
    <row r="292" spans="1:61" x14ac:dyDescent="0.3">
      <c r="A292" s="4197" t="s">
        <v>3384</v>
      </c>
      <c r="B292" s="3261"/>
      <c r="C292" s="3243">
        <v>0</v>
      </c>
      <c r="D292" s="3242">
        <v>0</v>
      </c>
      <c r="E292" s="3244"/>
      <c r="F292" s="3244"/>
      <c r="G292" s="3242">
        <v>0</v>
      </c>
      <c r="H292" s="3244"/>
      <c r="I292" s="3244"/>
      <c r="J292" s="3244"/>
      <c r="K292" s="3242">
        <v>0</v>
      </c>
      <c r="L292" s="3244"/>
      <c r="M292" s="3244"/>
      <c r="N292" s="3242" t="s">
        <v>3384</v>
      </c>
      <c r="O292" s="3239">
        <v>0</v>
      </c>
      <c r="P292" s="3242">
        <v>0</v>
      </c>
      <c r="Q292" s="3244"/>
      <c r="R292" s="3244"/>
      <c r="S292" s="3242">
        <v>0</v>
      </c>
      <c r="T292" s="3244"/>
      <c r="U292" s="3244"/>
      <c r="V292" s="3244"/>
      <c r="W292" s="3240">
        <v>0</v>
      </c>
      <c r="X292" s="3244"/>
      <c r="Y292" s="3244"/>
      <c r="Z292" s="3242" t="s">
        <v>3384</v>
      </c>
      <c r="AA292" s="3243">
        <f t="shared" si="36"/>
        <v>0</v>
      </c>
      <c r="AB292" s="3242">
        <v>0</v>
      </c>
      <c r="AC292" s="3244"/>
      <c r="AD292" s="3244"/>
      <c r="AE292" s="3242">
        <v>0</v>
      </c>
      <c r="AF292" s="3259"/>
      <c r="AG292" s="3260"/>
      <c r="AH292" s="3250"/>
      <c r="AI292" s="3260"/>
      <c r="AJ292" s="3260"/>
      <c r="AK292" s="3260"/>
      <c r="AL292" s="3259"/>
      <c r="AM292" s="3260"/>
      <c r="AN292" s="3259"/>
      <c r="AO292" s="3260"/>
      <c r="AP292" s="3242">
        <v>0</v>
      </c>
      <c r="AQ292" s="3244"/>
      <c r="AR292" s="3244"/>
      <c r="AS292" s="3242" t="s">
        <v>3384</v>
      </c>
      <c r="AT292" s="3247">
        <f t="shared" si="39"/>
        <v>0</v>
      </c>
      <c r="AU292" s="3248">
        <f t="shared" si="40"/>
        <v>0</v>
      </c>
      <c r="AV292" s="3248">
        <v>0</v>
      </c>
      <c r="AW292" s="3247">
        <v>0</v>
      </c>
      <c r="AX292" s="3248">
        <v>0</v>
      </c>
      <c r="AY292" s="3248">
        <v>0</v>
      </c>
      <c r="AZ292" s="3247">
        <v>0</v>
      </c>
      <c r="BA292" s="3248">
        <v>0</v>
      </c>
      <c r="BB292" s="3248">
        <v>0</v>
      </c>
      <c r="BC292" s="3247">
        <v>0</v>
      </c>
      <c r="BD292" s="3248">
        <v>0</v>
      </c>
      <c r="BE292" s="3248">
        <v>0</v>
      </c>
      <c r="BF292" s="3248">
        <f t="shared" si="41"/>
        <v>0</v>
      </c>
      <c r="BG292" s="3248">
        <f t="shared" si="42"/>
        <v>0</v>
      </c>
      <c r="BH292" s="3249"/>
      <c r="BI292" s="3249"/>
    </row>
    <row r="293" spans="1:61" x14ac:dyDescent="0.3">
      <c r="A293" s="4197" t="s">
        <v>3384</v>
      </c>
      <c r="B293" s="3261"/>
      <c r="C293" s="3243">
        <v>0</v>
      </c>
      <c r="D293" s="3242">
        <v>0</v>
      </c>
      <c r="E293" s="3244"/>
      <c r="F293" s="3244"/>
      <c r="G293" s="3242">
        <v>0</v>
      </c>
      <c r="H293" s="3244"/>
      <c r="I293" s="3244"/>
      <c r="J293" s="3244"/>
      <c r="K293" s="3242">
        <v>0</v>
      </c>
      <c r="L293" s="3244"/>
      <c r="M293" s="3244"/>
      <c r="N293" s="3242" t="s">
        <v>3384</v>
      </c>
      <c r="O293" s="3239">
        <v>0</v>
      </c>
      <c r="P293" s="3242">
        <v>0</v>
      </c>
      <c r="Q293" s="3244"/>
      <c r="R293" s="3244"/>
      <c r="S293" s="3242">
        <v>0</v>
      </c>
      <c r="T293" s="3244"/>
      <c r="U293" s="3244"/>
      <c r="V293" s="3244"/>
      <c r="W293" s="3240">
        <v>0</v>
      </c>
      <c r="X293" s="3244"/>
      <c r="Y293" s="3244"/>
      <c r="Z293" s="3242" t="s">
        <v>3384</v>
      </c>
      <c r="AA293" s="3243">
        <f t="shared" si="36"/>
        <v>0</v>
      </c>
      <c r="AB293" s="3242">
        <v>0</v>
      </c>
      <c r="AC293" s="3244"/>
      <c r="AD293" s="3244"/>
      <c r="AE293" s="3242">
        <v>0</v>
      </c>
      <c r="AF293" s="3259"/>
      <c r="AG293" s="3260"/>
      <c r="AH293" s="3250"/>
      <c r="AI293" s="3260"/>
      <c r="AJ293" s="3260"/>
      <c r="AK293" s="3260"/>
      <c r="AL293" s="3259"/>
      <c r="AM293" s="3260"/>
      <c r="AN293" s="3259"/>
      <c r="AO293" s="3260"/>
      <c r="AP293" s="3242">
        <v>0</v>
      </c>
      <c r="AQ293" s="3244"/>
      <c r="AR293" s="3244"/>
      <c r="AS293" s="3242" t="s">
        <v>3384</v>
      </c>
      <c r="AT293" s="3247">
        <f t="shared" si="39"/>
        <v>0</v>
      </c>
      <c r="AU293" s="3248">
        <f t="shared" si="40"/>
        <v>0</v>
      </c>
      <c r="AV293" s="3248">
        <v>0</v>
      </c>
      <c r="AW293" s="3247">
        <v>0</v>
      </c>
      <c r="AX293" s="3248">
        <v>0</v>
      </c>
      <c r="AY293" s="3248">
        <v>0</v>
      </c>
      <c r="AZ293" s="3247">
        <v>0</v>
      </c>
      <c r="BA293" s="3248">
        <v>0</v>
      </c>
      <c r="BB293" s="3248">
        <v>0</v>
      </c>
      <c r="BC293" s="3247">
        <v>0</v>
      </c>
      <c r="BD293" s="3248">
        <v>0</v>
      </c>
      <c r="BE293" s="3248">
        <v>0</v>
      </c>
      <c r="BF293" s="3248">
        <f t="shared" si="41"/>
        <v>0</v>
      </c>
      <c r="BG293" s="3248">
        <f t="shared" si="42"/>
        <v>0</v>
      </c>
      <c r="BH293" s="3249"/>
      <c r="BI293" s="3249"/>
    </row>
    <row r="294" spans="1:61" x14ac:dyDescent="0.3">
      <c r="A294" s="4197" t="s">
        <v>3384</v>
      </c>
      <c r="B294" s="3261"/>
      <c r="C294" s="3243">
        <v>0</v>
      </c>
      <c r="D294" s="3242">
        <v>0</v>
      </c>
      <c r="E294" s="3244"/>
      <c r="F294" s="3244"/>
      <c r="G294" s="3242">
        <v>0</v>
      </c>
      <c r="H294" s="3244"/>
      <c r="I294" s="3244"/>
      <c r="J294" s="3244"/>
      <c r="K294" s="3242">
        <v>0</v>
      </c>
      <c r="L294" s="3244"/>
      <c r="M294" s="3244"/>
      <c r="N294" s="3242" t="s">
        <v>3384</v>
      </c>
      <c r="O294" s="3239">
        <v>0</v>
      </c>
      <c r="P294" s="3242">
        <v>0</v>
      </c>
      <c r="Q294" s="3244"/>
      <c r="R294" s="3244"/>
      <c r="S294" s="3242">
        <v>0</v>
      </c>
      <c r="T294" s="3244"/>
      <c r="U294" s="3244"/>
      <c r="V294" s="3244"/>
      <c r="W294" s="3240">
        <v>0</v>
      </c>
      <c r="X294" s="3244"/>
      <c r="Y294" s="3244"/>
      <c r="Z294" s="3242" t="s">
        <v>3384</v>
      </c>
      <c r="AA294" s="3243">
        <f t="shared" si="36"/>
        <v>0</v>
      </c>
      <c r="AB294" s="3242">
        <v>0</v>
      </c>
      <c r="AC294" s="3244"/>
      <c r="AD294" s="3244"/>
      <c r="AE294" s="3242">
        <v>0</v>
      </c>
      <c r="AF294" s="3259"/>
      <c r="AG294" s="3260"/>
      <c r="AH294" s="3250"/>
      <c r="AI294" s="3260"/>
      <c r="AJ294" s="3260"/>
      <c r="AK294" s="3260"/>
      <c r="AL294" s="3259"/>
      <c r="AM294" s="3260"/>
      <c r="AN294" s="3259"/>
      <c r="AO294" s="3260"/>
      <c r="AP294" s="3242">
        <v>0</v>
      </c>
      <c r="AQ294" s="3244"/>
      <c r="AR294" s="3244"/>
      <c r="AS294" s="3242" t="s">
        <v>3384</v>
      </c>
      <c r="AT294" s="3247">
        <f t="shared" si="39"/>
        <v>0</v>
      </c>
      <c r="AU294" s="3248">
        <f t="shared" si="40"/>
        <v>0</v>
      </c>
      <c r="AV294" s="3248">
        <v>0</v>
      </c>
      <c r="AW294" s="3247">
        <v>0</v>
      </c>
      <c r="AX294" s="3248">
        <v>0</v>
      </c>
      <c r="AY294" s="3248">
        <v>0</v>
      </c>
      <c r="AZ294" s="3247">
        <v>0</v>
      </c>
      <c r="BA294" s="3248">
        <v>0</v>
      </c>
      <c r="BB294" s="3248">
        <v>0</v>
      </c>
      <c r="BC294" s="3247">
        <v>0</v>
      </c>
      <c r="BD294" s="3248">
        <v>0</v>
      </c>
      <c r="BE294" s="3248">
        <v>0</v>
      </c>
      <c r="BF294" s="3248">
        <f t="shared" si="41"/>
        <v>0</v>
      </c>
      <c r="BG294" s="3248">
        <f t="shared" si="42"/>
        <v>0</v>
      </c>
      <c r="BH294" s="3249"/>
      <c r="BI294" s="3249"/>
    </row>
    <row r="295" spans="1:61" x14ac:dyDescent="0.3">
      <c r="A295" s="4197" t="s">
        <v>3384</v>
      </c>
      <c r="B295" s="3261"/>
      <c r="C295" s="3243">
        <v>0</v>
      </c>
      <c r="D295" s="3242">
        <v>0</v>
      </c>
      <c r="E295" s="3244"/>
      <c r="F295" s="3244"/>
      <c r="G295" s="3242">
        <v>0</v>
      </c>
      <c r="H295" s="3244"/>
      <c r="I295" s="3244"/>
      <c r="J295" s="3244"/>
      <c r="K295" s="3242">
        <v>0</v>
      </c>
      <c r="L295" s="3244"/>
      <c r="M295" s="3244"/>
      <c r="N295" s="3242" t="s">
        <v>3384</v>
      </c>
      <c r="O295" s="3239">
        <v>0</v>
      </c>
      <c r="P295" s="3242">
        <v>0</v>
      </c>
      <c r="Q295" s="3244"/>
      <c r="R295" s="3244"/>
      <c r="S295" s="3242">
        <v>0</v>
      </c>
      <c r="T295" s="3244"/>
      <c r="U295" s="3244"/>
      <c r="V295" s="3244"/>
      <c r="W295" s="3240">
        <v>0</v>
      </c>
      <c r="X295" s="3244"/>
      <c r="Y295" s="3244"/>
      <c r="Z295" s="3242" t="s">
        <v>3384</v>
      </c>
      <c r="AA295" s="3243">
        <f t="shared" si="36"/>
        <v>0</v>
      </c>
      <c r="AB295" s="3242">
        <v>0</v>
      </c>
      <c r="AC295" s="3244"/>
      <c r="AD295" s="3244"/>
      <c r="AE295" s="3242">
        <v>0</v>
      </c>
      <c r="AF295" s="3259"/>
      <c r="AG295" s="3260"/>
      <c r="AH295" s="3250"/>
      <c r="AI295" s="3260"/>
      <c r="AJ295" s="3260"/>
      <c r="AK295" s="3260"/>
      <c r="AL295" s="3259"/>
      <c r="AM295" s="3260"/>
      <c r="AN295" s="3259"/>
      <c r="AO295" s="3260"/>
      <c r="AP295" s="3242">
        <v>0</v>
      </c>
      <c r="AQ295" s="3244"/>
      <c r="AR295" s="3244"/>
      <c r="AS295" s="3242" t="s">
        <v>3384</v>
      </c>
      <c r="AT295" s="3247">
        <f t="shared" si="39"/>
        <v>0</v>
      </c>
      <c r="AU295" s="3248">
        <f t="shared" si="40"/>
        <v>0</v>
      </c>
      <c r="AV295" s="3248">
        <v>0</v>
      </c>
      <c r="AW295" s="3247">
        <v>0</v>
      </c>
      <c r="AX295" s="3248">
        <v>0</v>
      </c>
      <c r="AY295" s="3248">
        <v>0</v>
      </c>
      <c r="AZ295" s="3247">
        <v>0</v>
      </c>
      <c r="BA295" s="3248">
        <v>0</v>
      </c>
      <c r="BB295" s="3248">
        <v>0</v>
      </c>
      <c r="BC295" s="3247">
        <v>0</v>
      </c>
      <c r="BD295" s="3248">
        <v>0</v>
      </c>
      <c r="BE295" s="3248">
        <v>0</v>
      </c>
      <c r="BF295" s="3248">
        <f t="shared" si="41"/>
        <v>0</v>
      </c>
      <c r="BG295" s="3248">
        <f t="shared" si="42"/>
        <v>0</v>
      </c>
      <c r="BH295" s="3249"/>
      <c r="BI295" s="3249"/>
    </row>
    <row r="296" spans="1:61" x14ac:dyDescent="0.3">
      <c r="A296" s="4197" t="s">
        <v>3384</v>
      </c>
      <c r="B296" s="3261"/>
      <c r="C296" s="3243">
        <v>0</v>
      </c>
      <c r="D296" s="3242">
        <v>0</v>
      </c>
      <c r="E296" s="3244"/>
      <c r="F296" s="3244"/>
      <c r="G296" s="3242">
        <v>0</v>
      </c>
      <c r="H296" s="3244"/>
      <c r="I296" s="3244"/>
      <c r="J296" s="3244"/>
      <c r="K296" s="3242">
        <v>0</v>
      </c>
      <c r="L296" s="3244"/>
      <c r="M296" s="3244"/>
      <c r="N296" s="3242" t="s">
        <v>3384</v>
      </c>
      <c r="O296" s="3239">
        <v>0</v>
      </c>
      <c r="P296" s="3242">
        <v>0</v>
      </c>
      <c r="Q296" s="3244"/>
      <c r="R296" s="3244"/>
      <c r="S296" s="3242">
        <v>0</v>
      </c>
      <c r="T296" s="3244"/>
      <c r="U296" s="3244"/>
      <c r="V296" s="3244"/>
      <c r="W296" s="3240">
        <v>0</v>
      </c>
      <c r="X296" s="3244"/>
      <c r="Y296" s="3244"/>
      <c r="Z296" s="3242" t="s">
        <v>3384</v>
      </c>
      <c r="AA296" s="3243">
        <f t="shared" si="36"/>
        <v>0</v>
      </c>
      <c r="AB296" s="3242">
        <v>0</v>
      </c>
      <c r="AC296" s="3244"/>
      <c r="AD296" s="3244"/>
      <c r="AE296" s="3242">
        <v>0</v>
      </c>
      <c r="AF296" s="3259"/>
      <c r="AG296" s="3260"/>
      <c r="AH296" s="3250"/>
      <c r="AI296" s="3260"/>
      <c r="AJ296" s="3260"/>
      <c r="AK296" s="3260"/>
      <c r="AL296" s="3259"/>
      <c r="AM296" s="3260"/>
      <c r="AN296" s="3259"/>
      <c r="AO296" s="3260"/>
      <c r="AP296" s="3242">
        <v>0</v>
      </c>
      <c r="AQ296" s="3244"/>
      <c r="AR296" s="3244"/>
      <c r="AS296" s="3242" t="s">
        <v>3384</v>
      </c>
      <c r="AT296" s="3247">
        <f t="shared" si="39"/>
        <v>0</v>
      </c>
      <c r="AU296" s="3248">
        <f t="shared" si="40"/>
        <v>0</v>
      </c>
      <c r="AV296" s="3248">
        <v>0</v>
      </c>
      <c r="AW296" s="3247">
        <v>0</v>
      </c>
      <c r="AX296" s="3248">
        <v>0</v>
      </c>
      <c r="AY296" s="3248">
        <v>0</v>
      </c>
      <c r="AZ296" s="3247">
        <v>0</v>
      </c>
      <c r="BA296" s="3248">
        <v>0</v>
      </c>
      <c r="BB296" s="3248">
        <v>0</v>
      </c>
      <c r="BC296" s="3247">
        <v>0</v>
      </c>
      <c r="BD296" s="3248">
        <v>0</v>
      </c>
      <c r="BE296" s="3248">
        <v>0</v>
      </c>
      <c r="BF296" s="3248">
        <f t="shared" si="41"/>
        <v>0</v>
      </c>
      <c r="BG296" s="3248">
        <f t="shared" si="42"/>
        <v>0</v>
      </c>
      <c r="BH296" s="3249"/>
      <c r="BI296" s="3249"/>
    </row>
    <row r="297" spans="1:61" x14ac:dyDescent="0.3">
      <c r="A297" s="4197" t="s">
        <v>3384</v>
      </c>
      <c r="B297" s="3261"/>
      <c r="C297" s="3243">
        <v>0</v>
      </c>
      <c r="D297" s="3242">
        <v>0</v>
      </c>
      <c r="E297" s="3244"/>
      <c r="F297" s="3244"/>
      <c r="G297" s="3242">
        <v>0</v>
      </c>
      <c r="H297" s="3244"/>
      <c r="I297" s="3244"/>
      <c r="J297" s="3244"/>
      <c r="K297" s="3242">
        <v>0</v>
      </c>
      <c r="L297" s="3244"/>
      <c r="M297" s="3244"/>
      <c r="N297" s="3242" t="s">
        <v>3384</v>
      </c>
      <c r="O297" s="3239">
        <v>0</v>
      </c>
      <c r="P297" s="3242">
        <v>0</v>
      </c>
      <c r="Q297" s="3244"/>
      <c r="R297" s="3244"/>
      <c r="S297" s="3242">
        <v>0</v>
      </c>
      <c r="T297" s="3244"/>
      <c r="U297" s="3244"/>
      <c r="V297" s="3244"/>
      <c r="W297" s="3240">
        <v>0</v>
      </c>
      <c r="X297" s="3244"/>
      <c r="Y297" s="3244"/>
      <c r="Z297" s="3242" t="s">
        <v>3384</v>
      </c>
      <c r="AA297" s="3243">
        <f t="shared" si="36"/>
        <v>0</v>
      </c>
      <c r="AB297" s="3242">
        <v>0</v>
      </c>
      <c r="AC297" s="3244"/>
      <c r="AD297" s="3244"/>
      <c r="AE297" s="3242">
        <v>0</v>
      </c>
      <c r="AF297" s="3259"/>
      <c r="AG297" s="3260"/>
      <c r="AH297" s="3250"/>
      <c r="AI297" s="3260"/>
      <c r="AJ297" s="3260"/>
      <c r="AK297" s="3260"/>
      <c r="AL297" s="3259"/>
      <c r="AM297" s="3260"/>
      <c r="AN297" s="3259"/>
      <c r="AO297" s="3260"/>
      <c r="AP297" s="3242">
        <v>0</v>
      </c>
      <c r="AQ297" s="3244"/>
      <c r="AR297" s="3244"/>
      <c r="AS297" s="3242" t="s">
        <v>3384</v>
      </c>
      <c r="AT297" s="3247">
        <f t="shared" si="39"/>
        <v>0</v>
      </c>
      <c r="AU297" s="3248">
        <f t="shared" si="40"/>
        <v>0</v>
      </c>
      <c r="AV297" s="3248">
        <v>0</v>
      </c>
      <c r="AW297" s="3247">
        <v>0</v>
      </c>
      <c r="AX297" s="3248">
        <v>0</v>
      </c>
      <c r="AY297" s="3248">
        <v>0</v>
      </c>
      <c r="AZ297" s="3247">
        <v>0</v>
      </c>
      <c r="BA297" s="3248">
        <v>0</v>
      </c>
      <c r="BB297" s="3248">
        <v>0</v>
      </c>
      <c r="BC297" s="3247">
        <v>0</v>
      </c>
      <c r="BD297" s="3248">
        <v>0</v>
      </c>
      <c r="BE297" s="3248">
        <v>0</v>
      </c>
      <c r="BF297" s="3248">
        <f t="shared" si="41"/>
        <v>0</v>
      </c>
      <c r="BG297" s="3248">
        <f t="shared" si="42"/>
        <v>0</v>
      </c>
      <c r="BH297" s="3249"/>
      <c r="BI297" s="3249"/>
    </row>
    <row r="298" spans="1:61" x14ac:dyDescent="0.3">
      <c r="A298" s="4197" t="s">
        <v>3384</v>
      </c>
      <c r="B298" s="3261"/>
      <c r="C298" s="3243">
        <v>0</v>
      </c>
      <c r="D298" s="3242">
        <v>0</v>
      </c>
      <c r="E298" s="3244"/>
      <c r="F298" s="3244"/>
      <c r="G298" s="3242">
        <v>0</v>
      </c>
      <c r="H298" s="3244"/>
      <c r="I298" s="3244"/>
      <c r="J298" s="3244"/>
      <c r="K298" s="3242">
        <v>0</v>
      </c>
      <c r="L298" s="3244"/>
      <c r="M298" s="3244"/>
      <c r="N298" s="3242" t="s">
        <v>3384</v>
      </c>
      <c r="O298" s="3239">
        <v>0</v>
      </c>
      <c r="P298" s="3242">
        <v>0</v>
      </c>
      <c r="Q298" s="3244"/>
      <c r="R298" s="3244"/>
      <c r="S298" s="3242">
        <v>0</v>
      </c>
      <c r="T298" s="3244"/>
      <c r="U298" s="3244"/>
      <c r="V298" s="3244"/>
      <c r="W298" s="3240">
        <v>0</v>
      </c>
      <c r="X298" s="3244"/>
      <c r="Y298" s="3244"/>
      <c r="Z298" s="3242" t="s">
        <v>3384</v>
      </c>
      <c r="AA298" s="3243">
        <f t="shared" si="36"/>
        <v>0</v>
      </c>
      <c r="AB298" s="3242">
        <v>0</v>
      </c>
      <c r="AC298" s="3244"/>
      <c r="AD298" s="3244"/>
      <c r="AE298" s="3242">
        <v>0</v>
      </c>
      <c r="AF298" s="3259"/>
      <c r="AG298" s="3260"/>
      <c r="AH298" s="3250"/>
      <c r="AI298" s="3260"/>
      <c r="AJ298" s="3260"/>
      <c r="AK298" s="3260"/>
      <c r="AL298" s="3259"/>
      <c r="AM298" s="3260"/>
      <c r="AN298" s="3259"/>
      <c r="AO298" s="3260"/>
      <c r="AP298" s="3242">
        <v>0</v>
      </c>
      <c r="AQ298" s="3244"/>
      <c r="AR298" s="3244"/>
      <c r="AS298" s="3242" t="s">
        <v>3384</v>
      </c>
      <c r="AT298" s="3247">
        <f t="shared" si="39"/>
        <v>0</v>
      </c>
      <c r="AU298" s="3248">
        <f t="shared" si="40"/>
        <v>0</v>
      </c>
      <c r="AV298" s="3248">
        <v>0</v>
      </c>
      <c r="AW298" s="3247">
        <v>0</v>
      </c>
      <c r="AX298" s="3248">
        <v>0</v>
      </c>
      <c r="AY298" s="3248">
        <v>0</v>
      </c>
      <c r="AZ298" s="3247">
        <v>0</v>
      </c>
      <c r="BA298" s="3248">
        <v>0</v>
      </c>
      <c r="BB298" s="3248">
        <v>0</v>
      </c>
      <c r="BC298" s="3247">
        <v>0</v>
      </c>
      <c r="BD298" s="3248">
        <v>0</v>
      </c>
      <c r="BE298" s="3248">
        <v>0</v>
      </c>
      <c r="BF298" s="3248">
        <f t="shared" si="41"/>
        <v>0</v>
      </c>
      <c r="BG298" s="3248">
        <f t="shared" si="42"/>
        <v>0</v>
      </c>
      <c r="BH298" s="3249"/>
      <c r="BI298" s="3249"/>
    </row>
    <row r="299" spans="1:61" x14ac:dyDescent="0.3">
      <c r="A299" s="4197" t="s">
        <v>3384</v>
      </c>
      <c r="B299" s="3261"/>
      <c r="C299" s="3243">
        <v>0</v>
      </c>
      <c r="D299" s="3242">
        <v>0</v>
      </c>
      <c r="E299" s="3244"/>
      <c r="F299" s="3244"/>
      <c r="G299" s="3242">
        <v>0</v>
      </c>
      <c r="H299" s="3244"/>
      <c r="I299" s="3244"/>
      <c r="J299" s="3244"/>
      <c r="K299" s="3242">
        <v>0</v>
      </c>
      <c r="L299" s="3244"/>
      <c r="M299" s="3244"/>
      <c r="N299" s="3242" t="s">
        <v>3384</v>
      </c>
      <c r="O299" s="3239">
        <v>0</v>
      </c>
      <c r="P299" s="3242">
        <v>0</v>
      </c>
      <c r="Q299" s="3244"/>
      <c r="R299" s="3244"/>
      <c r="S299" s="3242">
        <v>0</v>
      </c>
      <c r="T299" s="3244"/>
      <c r="U299" s="3244"/>
      <c r="V299" s="3244"/>
      <c r="W299" s="3240">
        <v>0</v>
      </c>
      <c r="X299" s="3244"/>
      <c r="Y299" s="3244"/>
      <c r="Z299" s="3242" t="s">
        <v>3384</v>
      </c>
      <c r="AA299" s="3243">
        <f t="shared" si="36"/>
        <v>0</v>
      </c>
      <c r="AB299" s="3242">
        <v>0</v>
      </c>
      <c r="AC299" s="3244"/>
      <c r="AD299" s="3244"/>
      <c r="AE299" s="3242">
        <v>0</v>
      </c>
      <c r="AF299" s="3259"/>
      <c r="AG299" s="3260"/>
      <c r="AH299" s="3250"/>
      <c r="AI299" s="3260"/>
      <c r="AJ299" s="3260"/>
      <c r="AK299" s="3260"/>
      <c r="AL299" s="3259"/>
      <c r="AM299" s="3260"/>
      <c r="AN299" s="3259"/>
      <c r="AO299" s="3260"/>
      <c r="AP299" s="3242">
        <v>0</v>
      </c>
      <c r="AQ299" s="3244"/>
      <c r="AR299" s="3244"/>
      <c r="AS299" s="3242" t="s">
        <v>3384</v>
      </c>
      <c r="AT299" s="3247">
        <f t="shared" si="39"/>
        <v>0</v>
      </c>
      <c r="AU299" s="3248">
        <f t="shared" si="40"/>
        <v>0</v>
      </c>
      <c r="AV299" s="3248">
        <v>0</v>
      </c>
      <c r="AW299" s="3247">
        <v>0</v>
      </c>
      <c r="AX299" s="3248">
        <v>0</v>
      </c>
      <c r="AY299" s="3248">
        <v>0</v>
      </c>
      <c r="AZ299" s="3247">
        <v>0</v>
      </c>
      <c r="BA299" s="3248">
        <v>0</v>
      </c>
      <c r="BB299" s="3248">
        <v>0</v>
      </c>
      <c r="BC299" s="3247">
        <v>0</v>
      </c>
      <c r="BD299" s="3248">
        <v>0</v>
      </c>
      <c r="BE299" s="3248">
        <v>0</v>
      </c>
      <c r="BF299" s="3248">
        <f t="shared" si="41"/>
        <v>0</v>
      </c>
      <c r="BG299" s="3248">
        <f t="shared" si="42"/>
        <v>0</v>
      </c>
      <c r="BH299" s="3249"/>
      <c r="BI299" s="3249"/>
    </row>
    <row r="300" spans="1:61" x14ac:dyDescent="0.3">
      <c r="A300" s="4197" t="s">
        <v>3384</v>
      </c>
      <c r="B300" s="3261"/>
      <c r="C300" s="3243">
        <v>0</v>
      </c>
      <c r="D300" s="3242">
        <v>0</v>
      </c>
      <c r="E300" s="3244"/>
      <c r="F300" s="3244"/>
      <c r="G300" s="3242">
        <v>0</v>
      </c>
      <c r="H300" s="3244"/>
      <c r="I300" s="3244"/>
      <c r="J300" s="3244"/>
      <c r="K300" s="3242">
        <v>0</v>
      </c>
      <c r="L300" s="3244"/>
      <c r="M300" s="3244"/>
      <c r="N300" s="3242" t="s">
        <v>3384</v>
      </c>
      <c r="O300" s="3239">
        <v>0</v>
      </c>
      <c r="P300" s="3242">
        <v>0</v>
      </c>
      <c r="Q300" s="3244"/>
      <c r="R300" s="3244"/>
      <c r="S300" s="3242">
        <v>0</v>
      </c>
      <c r="T300" s="3244"/>
      <c r="U300" s="3244"/>
      <c r="V300" s="3244"/>
      <c r="W300" s="3240">
        <v>0</v>
      </c>
      <c r="X300" s="3244"/>
      <c r="Y300" s="3244"/>
      <c r="Z300" s="3242" t="s">
        <v>3384</v>
      </c>
      <c r="AA300" s="3243">
        <f t="shared" si="36"/>
        <v>0</v>
      </c>
      <c r="AB300" s="3242">
        <v>0</v>
      </c>
      <c r="AC300" s="3244"/>
      <c r="AD300" s="3244"/>
      <c r="AE300" s="3242">
        <v>0</v>
      </c>
      <c r="AF300" s="3259"/>
      <c r="AG300" s="3260"/>
      <c r="AH300" s="3250"/>
      <c r="AI300" s="3260"/>
      <c r="AJ300" s="3260"/>
      <c r="AK300" s="3260"/>
      <c r="AL300" s="3259"/>
      <c r="AM300" s="3260"/>
      <c r="AN300" s="3259"/>
      <c r="AO300" s="3260"/>
      <c r="AP300" s="3242">
        <v>0</v>
      </c>
      <c r="AQ300" s="3244"/>
      <c r="AR300" s="3244"/>
      <c r="AS300" s="3242" t="s">
        <v>3384</v>
      </c>
      <c r="AT300" s="3247">
        <f t="shared" si="39"/>
        <v>0</v>
      </c>
      <c r="AU300" s="3248">
        <f t="shared" si="40"/>
        <v>0</v>
      </c>
      <c r="AV300" s="3248">
        <v>0</v>
      </c>
      <c r="AW300" s="3247">
        <v>0</v>
      </c>
      <c r="AX300" s="3248">
        <v>0</v>
      </c>
      <c r="AY300" s="3248">
        <v>0</v>
      </c>
      <c r="AZ300" s="3247">
        <v>0</v>
      </c>
      <c r="BA300" s="3248">
        <v>0</v>
      </c>
      <c r="BB300" s="3248">
        <v>0</v>
      </c>
      <c r="BC300" s="3247">
        <v>0</v>
      </c>
      <c r="BD300" s="3248">
        <v>0</v>
      </c>
      <c r="BE300" s="3248">
        <v>0</v>
      </c>
      <c r="BF300" s="3248">
        <f t="shared" si="41"/>
        <v>0</v>
      </c>
      <c r="BG300" s="3248">
        <f t="shared" si="42"/>
        <v>0</v>
      </c>
      <c r="BH300" s="3249"/>
      <c r="BI300" s="3249"/>
    </row>
    <row r="301" spans="1:61" x14ac:dyDescent="0.3">
      <c r="A301" s="4197" t="s">
        <v>3384</v>
      </c>
      <c r="B301" s="3261"/>
      <c r="C301" s="3243">
        <v>0</v>
      </c>
      <c r="D301" s="3242">
        <v>0</v>
      </c>
      <c r="E301" s="3244"/>
      <c r="F301" s="3244"/>
      <c r="G301" s="3242">
        <v>0</v>
      </c>
      <c r="H301" s="3244"/>
      <c r="I301" s="3244"/>
      <c r="J301" s="3244"/>
      <c r="K301" s="3242">
        <v>0</v>
      </c>
      <c r="L301" s="3244"/>
      <c r="M301" s="3244"/>
      <c r="N301" s="3242" t="s">
        <v>3384</v>
      </c>
      <c r="O301" s="3239">
        <v>0</v>
      </c>
      <c r="P301" s="3242">
        <v>0</v>
      </c>
      <c r="Q301" s="3244"/>
      <c r="R301" s="3244"/>
      <c r="S301" s="3242">
        <v>0</v>
      </c>
      <c r="T301" s="3244"/>
      <c r="U301" s="3244"/>
      <c r="V301" s="3244"/>
      <c r="W301" s="3240">
        <v>0</v>
      </c>
      <c r="X301" s="3244"/>
      <c r="Y301" s="3244"/>
      <c r="Z301" s="3242" t="s">
        <v>3384</v>
      </c>
      <c r="AA301" s="3243">
        <f t="shared" si="36"/>
        <v>0</v>
      </c>
      <c r="AB301" s="3242">
        <v>0</v>
      </c>
      <c r="AC301" s="3244"/>
      <c r="AD301" s="3244"/>
      <c r="AE301" s="3242">
        <v>0</v>
      </c>
      <c r="AF301" s="3259"/>
      <c r="AG301" s="3260"/>
      <c r="AH301" s="3250"/>
      <c r="AI301" s="3260"/>
      <c r="AJ301" s="3260"/>
      <c r="AK301" s="3260"/>
      <c r="AL301" s="3259"/>
      <c r="AM301" s="3260"/>
      <c r="AN301" s="3259"/>
      <c r="AO301" s="3260"/>
      <c r="AP301" s="3242">
        <v>0</v>
      </c>
      <c r="AQ301" s="3244"/>
      <c r="AR301" s="3244"/>
      <c r="AS301" s="3242" t="s">
        <v>3384</v>
      </c>
      <c r="AT301" s="3247">
        <f t="shared" si="39"/>
        <v>0</v>
      </c>
      <c r="AU301" s="3248">
        <f t="shared" si="40"/>
        <v>0</v>
      </c>
      <c r="AV301" s="3248">
        <v>0</v>
      </c>
      <c r="AW301" s="3247">
        <v>0</v>
      </c>
      <c r="AX301" s="3248">
        <v>0</v>
      </c>
      <c r="AY301" s="3248">
        <v>0</v>
      </c>
      <c r="AZ301" s="3247">
        <v>0</v>
      </c>
      <c r="BA301" s="3248">
        <v>0</v>
      </c>
      <c r="BB301" s="3248">
        <v>0</v>
      </c>
      <c r="BC301" s="3247">
        <v>0</v>
      </c>
      <c r="BD301" s="3248">
        <v>0</v>
      </c>
      <c r="BE301" s="3248">
        <v>0</v>
      </c>
      <c r="BF301" s="3248">
        <f t="shared" si="41"/>
        <v>0</v>
      </c>
      <c r="BG301" s="3248">
        <f t="shared" si="42"/>
        <v>0</v>
      </c>
      <c r="BH301" s="3249"/>
      <c r="BI301" s="3249"/>
    </row>
    <row r="302" spans="1:61" x14ac:dyDescent="0.3">
      <c r="A302" s="4197" t="s">
        <v>3384</v>
      </c>
      <c r="B302" s="3261"/>
      <c r="C302" s="3243">
        <v>0</v>
      </c>
      <c r="D302" s="3242">
        <v>0</v>
      </c>
      <c r="E302" s="3244"/>
      <c r="F302" s="3244"/>
      <c r="G302" s="3242">
        <v>0</v>
      </c>
      <c r="H302" s="3244"/>
      <c r="I302" s="3244"/>
      <c r="J302" s="3244"/>
      <c r="K302" s="3242">
        <v>0</v>
      </c>
      <c r="L302" s="3244"/>
      <c r="M302" s="3244"/>
      <c r="N302" s="3242" t="s">
        <v>3384</v>
      </c>
      <c r="O302" s="3239">
        <v>0</v>
      </c>
      <c r="P302" s="3242">
        <v>0</v>
      </c>
      <c r="Q302" s="3244"/>
      <c r="R302" s="3244"/>
      <c r="S302" s="3242">
        <v>0</v>
      </c>
      <c r="T302" s="3244"/>
      <c r="U302" s="3244"/>
      <c r="V302" s="3244"/>
      <c r="W302" s="3240">
        <v>0</v>
      </c>
      <c r="X302" s="3244"/>
      <c r="Y302" s="3244"/>
      <c r="Z302" s="3242" t="s">
        <v>3384</v>
      </c>
      <c r="AA302" s="3243">
        <f t="shared" si="36"/>
        <v>0</v>
      </c>
      <c r="AB302" s="3242">
        <v>0</v>
      </c>
      <c r="AC302" s="3244"/>
      <c r="AD302" s="3244"/>
      <c r="AE302" s="3242">
        <v>0</v>
      </c>
      <c r="AF302" s="3259"/>
      <c r="AG302" s="3260"/>
      <c r="AH302" s="3250"/>
      <c r="AI302" s="3260"/>
      <c r="AJ302" s="3260"/>
      <c r="AK302" s="3260"/>
      <c r="AL302" s="3259"/>
      <c r="AM302" s="3260"/>
      <c r="AN302" s="3259"/>
      <c r="AO302" s="3260"/>
      <c r="AP302" s="3242">
        <v>0</v>
      </c>
      <c r="AQ302" s="3244"/>
      <c r="AR302" s="3244"/>
      <c r="AS302" s="3242" t="s">
        <v>3384</v>
      </c>
      <c r="AT302" s="3247">
        <f t="shared" si="39"/>
        <v>0</v>
      </c>
      <c r="AU302" s="3248">
        <f t="shared" si="40"/>
        <v>0</v>
      </c>
      <c r="AV302" s="3248">
        <v>0</v>
      </c>
      <c r="AW302" s="3247">
        <v>0</v>
      </c>
      <c r="AX302" s="3248">
        <v>0</v>
      </c>
      <c r="AY302" s="3248">
        <v>0</v>
      </c>
      <c r="AZ302" s="3247">
        <v>0</v>
      </c>
      <c r="BA302" s="3248">
        <v>0</v>
      </c>
      <c r="BB302" s="3248">
        <v>0</v>
      </c>
      <c r="BC302" s="3247">
        <v>0</v>
      </c>
      <c r="BD302" s="3248">
        <v>0</v>
      </c>
      <c r="BE302" s="3248">
        <v>0</v>
      </c>
      <c r="BF302" s="3248">
        <f t="shared" si="41"/>
        <v>0</v>
      </c>
      <c r="BG302" s="3248">
        <f t="shared" si="42"/>
        <v>0</v>
      </c>
      <c r="BH302" s="3249"/>
      <c r="BI302" s="3249"/>
    </row>
    <row r="303" spans="1:61" x14ac:dyDescent="0.3">
      <c r="A303" s="4197" t="s">
        <v>3384</v>
      </c>
      <c r="B303" s="3261"/>
      <c r="C303" s="3243">
        <v>0</v>
      </c>
      <c r="D303" s="3242">
        <v>0</v>
      </c>
      <c r="E303" s="3244"/>
      <c r="F303" s="3244"/>
      <c r="G303" s="3242">
        <v>0</v>
      </c>
      <c r="H303" s="3244"/>
      <c r="I303" s="3244"/>
      <c r="J303" s="3244"/>
      <c r="K303" s="3242">
        <v>0</v>
      </c>
      <c r="L303" s="3244"/>
      <c r="M303" s="3244"/>
      <c r="N303" s="3242" t="s">
        <v>3384</v>
      </c>
      <c r="O303" s="3239">
        <v>0</v>
      </c>
      <c r="P303" s="3242">
        <v>0</v>
      </c>
      <c r="Q303" s="3244"/>
      <c r="R303" s="3244"/>
      <c r="S303" s="3242">
        <v>0</v>
      </c>
      <c r="T303" s="3244"/>
      <c r="U303" s="3244"/>
      <c r="V303" s="3244"/>
      <c r="W303" s="3240">
        <v>0</v>
      </c>
      <c r="X303" s="3244"/>
      <c r="Y303" s="3244"/>
      <c r="Z303" s="3242" t="s">
        <v>3384</v>
      </c>
      <c r="AA303" s="3243">
        <f t="shared" si="36"/>
        <v>0</v>
      </c>
      <c r="AB303" s="3242">
        <v>0</v>
      </c>
      <c r="AC303" s="3244"/>
      <c r="AD303" s="3244"/>
      <c r="AE303" s="3242">
        <v>0</v>
      </c>
      <c r="AF303" s="3259"/>
      <c r="AG303" s="3260"/>
      <c r="AH303" s="3250"/>
      <c r="AI303" s="3260"/>
      <c r="AJ303" s="3260"/>
      <c r="AK303" s="3260"/>
      <c r="AL303" s="3259"/>
      <c r="AM303" s="3260"/>
      <c r="AN303" s="3259"/>
      <c r="AO303" s="3260"/>
      <c r="AP303" s="3242">
        <v>0</v>
      </c>
      <c r="AQ303" s="3244"/>
      <c r="AR303" s="3244"/>
      <c r="AS303" s="3242" t="s">
        <v>3384</v>
      </c>
      <c r="AT303" s="3247">
        <f t="shared" si="39"/>
        <v>0</v>
      </c>
      <c r="AU303" s="3248">
        <f t="shared" si="40"/>
        <v>0</v>
      </c>
      <c r="AV303" s="3248">
        <v>0</v>
      </c>
      <c r="AW303" s="3247">
        <v>0</v>
      </c>
      <c r="AX303" s="3248">
        <v>0</v>
      </c>
      <c r="AY303" s="3248">
        <v>0</v>
      </c>
      <c r="AZ303" s="3247">
        <v>0</v>
      </c>
      <c r="BA303" s="3248">
        <v>0</v>
      </c>
      <c r="BB303" s="3248">
        <v>0</v>
      </c>
      <c r="BC303" s="3247">
        <v>0</v>
      </c>
      <c r="BD303" s="3248">
        <v>0</v>
      </c>
      <c r="BE303" s="3248">
        <v>0</v>
      </c>
      <c r="BF303" s="3248">
        <f t="shared" si="41"/>
        <v>0</v>
      </c>
      <c r="BG303" s="3248">
        <f t="shared" si="42"/>
        <v>0</v>
      </c>
      <c r="BH303" s="3249"/>
      <c r="BI303" s="3249"/>
    </row>
    <row r="304" spans="1:61" x14ac:dyDescent="0.3">
      <c r="A304" s="4197" t="s">
        <v>3384</v>
      </c>
      <c r="B304" s="3261"/>
      <c r="C304" s="3243">
        <v>0</v>
      </c>
      <c r="D304" s="3242">
        <v>0</v>
      </c>
      <c r="E304" s="3244"/>
      <c r="F304" s="3244"/>
      <c r="G304" s="3242">
        <v>0</v>
      </c>
      <c r="H304" s="3244"/>
      <c r="I304" s="3244"/>
      <c r="J304" s="3244"/>
      <c r="K304" s="3242">
        <v>0</v>
      </c>
      <c r="L304" s="3244"/>
      <c r="M304" s="3244"/>
      <c r="N304" s="3242" t="s">
        <v>3384</v>
      </c>
      <c r="O304" s="3239">
        <v>0</v>
      </c>
      <c r="P304" s="3242">
        <v>0</v>
      </c>
      <c r="Q304" s="3244"/>
      <c r="R304" s="3244"/>
      <c r="S304" s="3242">
        <v>0</v>
      </c>
      <c r="T304" s="3244"/>
      <c r="U304" s="3244"/>
      <c r="V304" s="3244"/>
      <c r="W304" s="3240">
        <v>0</v>
      </c>
      <c r="X304" s="3244"/>
      <c r="Y304" s="3244"/>
      <c r="Z304" s="3242" t="s">
        <v>3384</v>
      </c>
      <c r="AA304" s="3243">
        <f t="shared" si="36"/>
        <v>0</v>
      </c>
      <c r="AB304" s="3242">
        <v>0</v>
      </c>
      <c r="AC304" s="3244"/>
      <c r="AD304" s="3244"/>
      <c r="AE304" s="3242">
        <v>0</v>
      </c>
      <c r="AF304" s="3259"/>
      <c r="AG304" s="3260"/>
      <c r="AH304" s="3250"/>
      <c r="AI304" s="3260"/>
      <c r="AJ304" s="3260"/>
      <c r="AK304" s="3260"/>
      <c r="AL304" s="3259"/>
      <c r="AM304" s="3260"/>
      <c r="AN304" s="3259"/>
      <c r="AO304" s="3260"/>
      <c r="AP304" s="3242">
        <v>0</v>
      </c>
      <c r="AQ304" s="3244"/>
      <c r="AR304" s="3244"/>
      <c r="AS304" s="3242" t="s">
        <v>3384</v>
      </c>
      <c r="AT304" s="3247">
        <f t="shared" si="39"/>
        <v>0</v>
      </c>
      <c r="AU304" s="3248">
        <f t="shared" si="40"/>
        <v>0</v>
      </c>
      <c r="AV304" s="3248">
        <v>0</v>
      </c>
      <c r="AW304" s="3247">
        <v>0</v>
      </c>
      <c r="AX304" s="3248">
        <v>0</v>
      </c>
      <c r="AY304" s="3248">
        <v>0</v>
      </c>
      <c r="AZ304" s="3247">
        <v>0</v>
      </c>
      <c r="BA304" s="3248">
        <v>0</v>
      </c>
      <c r="BB304" s="3248">
        <v>0</v>
      </c>
      <c r="BC304" s="3247">
        <v>0</v>
      </c>
      <c r="BD304" s="3248">
        <v>0</v>
      </c>
      <c r="BE304" s="3248">
        <v>0</v>
      </c>
      <c r="BF304" s="3248">
        <f t="shared" si="41"/>
        <v>0</v>
      </c>
      <c r="BG304" s="3248">
        <f t="shared" si="42"/>
        <v>0</v>
      </c>
      <c r="BH304" s="3249"/>
      <c r="BI304" s="3249"/>
    </row>
    <row r="305" spans="1:61" x14ac:dyDescent="0.3">
      <c r="A305" s="4197" t="s">
        <v>3384</v>
      </c>
      <c r="B305" s="3261"/>
      <c r="C305" s="3243">
        <v>0</v>
      </c>
      <c r="D305" s="3242">
        <v>0</v>
      </c>
      <c r="E305" s="3244"/>
      <c r="F305" s="3244"/>
      <c r="G305" s="3242">
        <v>0</v>
      </c>
      <c r="H305" s="3244"/>
      <c r="I305" s="3244"/>
      <c r="J305" s="3244"/>
      <c r="K305" s="3242">
        <v>0</v>
      </c>
      <c r="L305" s="3244"/>
      <c r="M305" s="3244"/>
      <c r="N305" s="3242" t="s">
        <v>3384</v>
      </c>
      <c r="O305" s="3239">
        <v>0</v>
      </c>
      <c r="P305" s="3242">
        <v>0</v>
      </c>
      <c r="Q305" s="3244"/>
      <c r="R305" s="3244"/>
      <c r="S305" s="3242">
        <v>0</v>
      </c>
      <c r="T305" s="3244"/>
      <c r="U305" s="3244"/>
      <c r="V305" s="3244"/>
      <c r="W305" s="3240">
        <v>0</v>
      </c>
      <c r="X305" s="3244"/>
      <c r="Y305" s="3244"/>
      <c r="Z305" s="3242" t="s">
        <v>3384</v>
      </c>
      <c r="AA305" s="3243">
        <f t="shared" si="36"/>
        <v>0</v>
      </c>
      <c r="AB305" s="3242">
        <v>0</v>
      </c>
      <c r="AC305" s="3244"/>
      <c r="AD305" s="3244"/>
      <c r="AE305" s="3242">
        <v>0</v>
      </c>
      <c r="AF305" s="3259"/>
      <c r="AG305" s="3260"/>
      <c r="AH305" s="3250"/>
      <c r="AI305" s="3260"/>
      <c r="AJ305" s="3260"/>
      <c r="AK305" s="3260"/>
      <c r="AL305" s="3259"/>
      <c r="AM305" s="3260"/>
      <c r="AN305" s="3259"/>
      <c r="AO305" s="3260"/>
      <c r="AP305" s="3242">
        <v>0</v>
      </c>
      <c r="AQ305" s="3244"/>
      <c r="AR305" s="3244"/>
      <c r="AS305" s="3242" t="s">
        <v>3384</v>
      </c>
      <c r="AT305" s="3247">
        <f t="shared" si="39"/>
        <v>0</v>
      </c>
      <c r="AU305" s="3248">
        <f t="shared" si="40"/>
        <v>0</v>
      </c>
      <c r="AV305" s="3248">
        <v>0</v>
      </c>
      <c r="AW305" s="3247">
        <v>0</v>
      </c>
      <c r="AX305" s="3248">
        <v>0</v>
      </c>
      <c r="AY305" s="3248">
        <v>0</v>
      </c>
      <c r="AZ305" s="3247">
        <v>0</v>
      </c>
      <c r="BA305" s="3248">
        <v>0</v>
      </c>
      <c r="BB305" s="3248">
        <v>0</v>
      </c>
      <c r="BC305" s="3247">
        <v>0</v>
      </c>
      <c r="BD305" s="3248">
        <v>0</v>
      </c>
      <c r="BE305" s="3248">
        <v>0</v>
      </c>
      <c r="BF305" s="3248">
        <f t="shared" si="41"/>
        <v>0</v>
      </c>
      <c r="BG305" s="3248">
        <f t="shared" si="42"/>
        <v>0</v>
      </c>
      <c r="BH305" s="3249"/>
      <c r="BI305" s="3249"/>
    </row>
    <row r="306" spans="1:61" x14ac:dyDescent="0.3">
      <c r="A306" s="4197" t="s">
        <v>3384</v>
      </c>
      <c r="B306" s="3261"/>
      <c r="C306" s="3243">
        <v>0</v>
      </c>
      <c r="D306" s="3242">
        <v>0</v>
      </c>
      <c r="E306" s="3244"/>
      <c r="F306" s="3244"/>
      <c r="G306" s="3242">
        <v>0</v>
      </c>
      <c r="H306" s="3244"/>
      <c r="I306" s="3244"/>
      <c r="J306" s="3244"/>
      <c r="K306" s="3242">
        <v>0</v>
      </c>
      <c r="L306" s="3244"/>
      <c r="M306" s="3244"/>
      <c r="N306" s="3242" t="s">
        <v>3384</v>
      </c>
      <c r="O306" s="3239">
        <v>0</v>
      </c>
      <c r="P306" s="3242">
        <v>0</v>
      </c>
      <c r="Q306" s="3244"/>
      <c r="R306" s="3244"/>
      <c r="S306" s="3242">
        <v>0</v>
      </c>
      <c r="T306" s="3244"/>
      <c r="U306" s="3244"/>
      <c r="V306" s="3244"/>
      <c r="W306" s="3240">
        <v>0</v>
      </c>
      <c r="X306" s="3244"/>
      <c r="Y306" s="3244"/>
      <c r="Z306" s="3242" t="s">
        <v>3384</v>
      </c>
      <c r="AA306" s="3243">
        <v>0</v>
      </c>
      <c r="AB306" s="3242">
        <v>0</v>
      </c>
      <c r="AC306" s="3244"/>
      <c r="AD306" s="3244"/>
      <c r="AE306" s="3242">
        <v>0</v>
      </c>
      <c r="AF306" s="3259"/>
      <c r="AG306" s="3260"/>
      <c r="AH306" s="3250"/>
      <c r="AI306" s="3260"/>
      <c r="AJ306" s="3260"/>
      <c r="AK306" s="3260"/>
      <c r="AL306" s="3259"/>
      <c r="AM306" s="3260"/>
      <c r="AN306" s="3259"/>
      <c r="AO306" s="3260"/>
      <c r="AP306" s="3242">
        <v>0</v>
      </c>
      <c r="AQ306" s="3244"/>
      <c r="AR306" s="3244"/>
      <c r="AS306" s="3242" t="s">
        <v>3384</v>
      </c>
      <c r="AT306" s="3247">
        <f t="shared" si="39"/>
        <v>0</v>
      </c>
      <c r="AU306" s="3248">
        <f t="shared" si="40"/>
        <v>0</v>
      </c>
      <c r="AV306" s="3248">
        <v>0</v>
      </c>
      <c r="AW306" s="3247">
        <v>0</v>
      </c>
      <c r="AX306" s="3248">
        <v>0</v>
      </c>
      <c r="AY306" s="3248">
        <v>0</v>
      </c>
      <c r="AZ306" s="3247">
        <v>0</v>
      </c>
      <c r="BA306" s="3248">
        <v>0</v>
      </c>
      <c r="BB306" s="3248">
        <v>0</v>
      </c>
      <c r="BC306" s="3247">
        <v>0</v>
      </c>
      <c r="BD306" s="3248">
        <v>0</v>
      </c>
      <c r="BE306" s="3248">
        <v>0</v>
      </c>
      <c r="BF306" s="3248">
        <f t="shared" si="41"/>
        <v>0</v>
      </c>
      <c r="BG306" s="3248">
        <f t="shared" si="42"/>
        <v>0</v>
      </c>
      <c r="BH306" s="3249"/>
      <c r="BI306" s="3249"/>
    </row>
    <row r="307" spans="1:61" x14ac:dyDescent="0.3">
      <c r="A307" s="4197" t="s">
        <v>3384</v>
      </c>
      <c r="B307" s="3261"/>
      <c r="C307" s="3243">
        <v>0</v>
      </c>
      <c r="D307" s="3242">
        <v>0</v>
      </c>
      <c r="E307" s="3244"/>
      <c r="F307" s="3244"/>
      <c r="G307" s="3242">
        <v>0</v>
      </c>
      <c r="H307" s="3244"/>
      <c r="I307" s="3244"/>
      <c r="J307" s="3244"/>
      <c r="K307" s="3242">
        <v>0</v>
      </c>
      <c r="L307" s="3244"/>
      <c r="M307" s="3244"/>
      <c r="N307" s="3242" t="s">
        <v>3384</v>
      </c>
      <c r="O307" s="3239">
        <v>0</v>
      </c>
      <c r="P307" s="3242">
        <v>0</v>
      </c>
      <c r="Q307" s="3244"/>
      <c r="R307" s="3244"/>
      <c r="S307" s="3242">
        <v>0</v>
      </c>
      <c r="T307" s="3244"/>
      <c r="U307" s="3244"/>
      <c r="V307" s="3244"/>
      <c r="W307" s="3240">
        <v>0</v>
      </c>
      <c r="X307" s="3244"/>
      <c r="Y307" s="3244"/>
      <c r="Z307" s="3242" t="s">
        <v>3384</v>
      </c>
      <c r="AA307" s="3243">
        <v>0</v>
      </c>
      <c r="AB307" s="3242">
        <v>0</v>
      </c>
      <c r="AC307" s="3244"/>
      <c r="AD307" s="3244"/>
      <c r="AE307" s="3242">
        <v>0</v>
      </c>
      <c r="AF307" s="3259"/>
      <c r="AG307" s="3260"/>
      <c r="AH307" s="3250"/>
      <c r="AI307" s="3260"/>
      <c r="AJ307" s="3260"/>
      <c r="AK307" s="3260"/>
      <c r="AL307" s="3259"/>
      <c r="AM307" s="3260"/>
      <c r="AN307" s="3259"/>
      <c r="AO307" s="3260"/>
      <c r="AP307" s="3242">
        <v>0</v>
      </c>
      <c r="AQ307" s="3244"/>
      <c r="AR307" s="3244"/>
      <c r="AS307" s="3242" t="s">
        <v>3384</v>
      </c>
      <c r="AT307" s="3247">
        <f t="shared" si="39"/>
        <v>0</v>
      </c>
      <c r="AU307" s="3248">
        <f t="shared" si="40"/>
        <v>0</v>
      </c>
      <c r="AV307" s="3248">
        <v>0</v>
      </c>
      <c r="AW307" s="3247">
        <v>0</v>
      </c>
      <c r="AX307" s="3248">
        <v>0</v>
      </c>
      <c r="AY307" s="3248">
        <v>0</v>
      </c>
      <c r="AZ307" s="3247">
        <v>0</v>
      </c>
      <c r="BA307" s="3248">
        <v>0</v>
      </c>
      <c r="BB307" s="3248">
        <v>0</v>
      </c>
      <c r="BC307" s="3247">
        <v>0</v>
      </c>
      <c r="BD307" s="3248">
        <v>0</v>
      </c>
      <c r="BE307" s="3248">
        <v>0</v>
      </c>
      <c r="BF307" s="3248">
        <f t="shared" si="41"/>
        <v>0</v>
      </c>
      <c r="BG307" s="3248">
        <f t="shared" si="42"/>
        <v>0</v>
      </c>
      <c r="BH307" s="3249"/>
      <c r="BI307" s="3249"/>
    </row>
    <row r="308" spans="1:61" x14ac:dyDescent="0.3">
      <c r="A308" s="4197" t="s">
        <v>3384</v>
      </c>
      <c r="B308" s="3261"/>
      <c r="C308" s="3243">
        <v>0</v>
      </c>
      <c r="D308" s="3242">
        <v>0</v>
      </c>
      <c r="E308" s="3244"/>
      <c r="F308" s="3244"/>
      <c r="G308" s="3242">
        <v>0</v>
      </c>
      <c r="H308" s="3244"/>
      <c r="I308" s="3244"/>
      <c r="J308" s="3244"/>
      <c r="K308" s="3242">
        <v>0</v>
      </c>
      <c r="L308" s="3244"/>
      <c r="M308" s="3244"/>
      <c r="N308" s="3242" t="s">
        <v>3384</v>
      </c>
      <c r="O308" s="3239">
        <v>0</v>
      </c>
      <c r="P308" s="3242">
        <v>0</v>
      </c>
      <c r="Q308" s="3244"/>
      <c r="R308" s="3244"/>
      <c r="S308" s="3242">
        <v>0</v>
      </c>
      <c r="T308" s="3244"/>
      <c r="U308" s="3244"/>
      <c r="V308" s="3244"/>
      <c r="W308" s="3240">
        <v>0</v>
      </c>
      <c r="X308" s="3244"/>
      <c r="Y308" s="3244"/>
      <c r="Z308" s="3242" t="s">
        <v>3384</v>
      </c>
      <c r="AA308" s="3243">
        <v>0</v>
      </c>
      <c r="AB308" s="3242">
        <v>0</v>
      </c>
      <c r="AC308" s="3244"/>
      <c r="AD308" s="3244"/>
      <c r="AE308" s="3242">
        <v>0</v>
      </c>
      <c r="AF308" s="3259"/>
      <c r="AG308" s="3260"/>
      <c r="AH308" s="3250"/>
      <c r="AI308" s="3260"/>
      <c r="AJ308" s="3260"/>
      <c r="AK308" s="3260"/>
      <c r="AL308" s="3259"/>
      <c r="AM308" s="3260"/>
      <c r="AN308" s="3259"/>
      <c r="AO308" s="3260"/>
      <c r="AP308" s="3242">
        <v>0</v>
      </c>
      <c r="AQ308" s="3244"/>
      <c r="AR308" s="3244"/>
      <c r="AS308" s="3242" t="s">
        <v>3384</v>
      </c>
      <c r="AT308" s="3247">
        <f t="shared" si="39"/>
        <v>0</v>
      </c>
      <c r="AU308" s="3248">
        <f t="shared" si="40"/>
        <v>0</v>
      </c>
      <c r="AV308" s="3248">
        <v>0</v>
      </c>
      <c r="AW308" s="3247">
        <v>0</v>
      </c>
      <c r="AX308" s="3248">
        <v>0</v>
      </c>
      <c r="AY308" s="3248">
        <v>0</v>
      </c>
      <c r="AZ308" s="3247">
        <v>0</v>
      </c>
      <c r="BA308" s="3248">
        <v>0</v>
      </c>
      <c r="BB308" s="3248">
        <v>0</v>
      </c>
      <c r="BC308" s="3247">
        <v>0</v>
      </c>
      <c r="BD308" s="3248">
        <v>0</v>
      </c>
      <c r="BE308" s="3248">
        <v>0</v>
      </c>
      <c r="BF308" s="3248">
        <f t="shared" si="41"/>
        <v>0</v>
      </c>
      <c r="BG308" s="3248">
        <f t="shared" si="42"/>
        <v>0</v>
      </c>
      <c r="BH308" s="3249"/>
      <c r="BI308" s="3249"/>
    </row>
    <row r="309" spans="1:61" x14ac:dyDescent="0.3">
      <c r="A309" s="4197" t="s">
        <v>3384</v>
      </c>
      <c r="B309" s="3261"/>
      <c r="C309" s="3243">
        <v>0</v>
      </c>
      <c r="D309" s="3242">
        <v>0</v>
      </c>
      <c r="E309" s="3244"/>
      <c r="F309" s="3244"/>
      <c r="G309" s="3242">
        <v>0</v>
      </c>
      <c r="H309" s="3244"/>
      <c r="I309" s="3244"/>
      <c r="J309" s="3244"/>
      <c r="K309" s="3242">
        <v>0</v>
      </c>
      <c r="L309" s="3244"/>
      <c r="M309" s="3244"/>
      <c r="N309" s="3242" t="s">
        <v>3384</v>
      </c>
      <c r="O309" s="3239">
        <v>0</v>
      </c>
      <c r="P309" s="3242">
        <v>0</v>
      </c>
      <c r="Q309" s="3244"/>
      <c r="R309" s="3244"/>
      <c r="S309" s="3242">
        <v>0</v>
      </c>
      <c r="T309" s="3244"/>
      <c r="U309" s="3244"/>
      <c r="V309" s="3244"/>
      <c r="W309" s="3240">
        <v>0</v>
      </c>
      <c r="X309" s="3244"/>
      <c r="Y309" s="3244"/>
      <c r="Z309" s="3242" t="s">
        <v>3384</v>
      </c>
      <c r="AA309" s="3243">
        <v>0</v>
      </c>
      <c r="AB309" s="3242">
        <v>0</v>
      </c>
      <c r="AC309" s="3244"/>
      <c r="AD309" s="3244"/>
      <c r="AE309" s="3242">
        <v>0</v>
      </c>
      <c r="AF309" s="3259"/>
      <c r="AG309" s="3260"/>
      <c r="AH309" s="3250"/>
      <c r="AI309" s="3260"/>
      <c r="AJ309" s="3260"/>
      <c r="AK309" s="3260"/>
      <c r="AL309" s="3259"/>
      <c r="AM309" s="3260"/>
      <c r="AN309" s="3259"/>
      <c r="AO309" s="3260"/>
      <c r="AP309" s="3242">
        <v>0</v>
      </c>
      <c r="AQ309" s="3244"/>
      <c r="AR309" s="3244"/>
      <c r="AS309" s="3242" t="s">
        <v>3384</v>
      </c>
      <c r="AT309" s="3247">
        <f t="shared" si="39"/>
        <v>0</v>
      </c>
      <c r="AU309" s="3248">
        <f t="shared" si="40"/>
        <v>0</v>
      </c>
      <c r="AV309" s="3248">
        <v>0</v>
      </c>
      <c r="AW309" s="3247">
        <v>0</v>
      </c>
      <c r="AX309" s="3248">
        <v>0</v>
      </c>
      <c r="AY309" s="3248">
        <v>0</v>
      </c>
      <c r="AZ309" s="3247">
        <v>0</v>
      </c>
      <c r="BA309" s="3248">
        <v>0</v>
      </c>
      <c r="BB309" s="3248">
        <v>0</v>
      </c>
      <c r="BC309" s="3247">
        <v>0</v>
      </c>
      <c r="BD309" s="3248">
        <v>0</v>
      </c>
      <c r="BE309" s="3248">
        <v>0</v>
      </c>
      <c r="BF309" s="3248">
        <f t="shared" si="41"/>
        <v>0</v>
      </c>
      <c r="BG309" s="3248">
        <f t="shared" si="42"/>
        <v>0</v>
      </c>
      <c r="BH309" s="3249"/>
      <c r="BI309" s="3249"/>
    </row>
    <row r="310" spans="1:61" x14ac:dyDescent="0.3">
      <c r="A310" s="4197" t="s">
        <v>3384</v>
      </c>
      <c r="B310" s="3261"/>
      <c r="C310" s="3243">
        <v>0</v>
      </c>
      <c r="D310" s="3242">
        <v>0</v>
      </c>
      <c r="E310" s="3244"/>
      <c r="F310" s="3244"/>
      <c r="G310" s="3242">
        <v>0</v>
      </c>
      <c r="H310" s="3244"/>
      <c r="I310" s="3244"/>
      <c r="J310" s="3244"/>
      <c r="K310" s="3242">
        <v>0</v>
      </c>
      <c r="L310" s="3244"/>
      <c r="M310" s="3244"/>
      <c r="N310" s="3242" t="s">
        <v>3384</v>
      </c>
      <c r="O310" s="3239">
        <v>0</v>
      </c>
      <c r="P310" s="3242">
        <v>0</v>
      </c>
      <c r="Q310" s="3244"/>
      <c r="R310" s="3244"/>
      <c r="S310" s="3242">
        <v>0</v>
      </c>
      <c r="T310" s="3244"/>
      <c r="U310" s="3244"/>
      <c r="V310" s="3244"/>
      <c r="W310" s="3240">
        <v>0</v>
      </c>
      <c r="X310" s="3244"/>
      <c r="Y310" s="3244"/>
      <c r="Z310" s="3242" t="s">
        <v>3384</v>
      </c>
      <c r="AA310" s="3243">
        <v>0</v>
      </c>
      <c r="AB310" s="3242">
        <v>0</v>
      </c>
      <c r="AC310" s="3244"/>
      <c r="AD310" s="3244"/>
      <c r="AE310" s="3242">
        <v>0</v>
      </c>
      <c r="AF310" s="3259"/>
      <c r="AG310" s="3260"/>
      <c r="AH310" s="3250"/>
      <c r="AI310" s="3260"/>
      <c r="AJ310" s="3260"/>
      <c r="AK310" s="3260"/>
      <c r="AL310" s="3259"/>
      <c r="AM310" s="3260"/>
      <c r="AN310" s="3259"/>
      <c r="AO310" s="3260"/>
      <c r="AP310" s="3242">
        <v>0</v>
      </c>
      <c r="AQ310" s="3244"/>
      <c r="AR310" s="3244"/>
      <c r="AS310" s="3242" t="s">
        <v>3384</v>
      </c>
      <c r="AT310" s="3247">
        <f t="shared" si="39"/>
        <v>0</v>
      </c>
      <c r="AU310" s="3248">
        <f t="shared" si="40"/>
        <v>0</v>
      </c>
      <c r="AV310" s="3248">
        <v>0</v>
      </c>
      <c r="AW310" s="3247">
        <v>0</v>
      </c>
      <c r="AX310" s="3248">
        <v>0</v>
      </c>
      <c r="AY310" s="3248">
        <v>0</v>
      </c>
      <c r="AZ310" s="3247">
        <v>0</v>
      </c>
      <c r="BA310" s="3248">
        <v>0</v>
      </c>
      <c r="BB310" s="3248">
        <v>0</v>
      </c>
      <c r="BC310" s="3247">
        <v>0</v>
      </c>
      <c r="BD310" s="3248">
        <v>0</v>
      </c>
      <c r="BE310" s="3248">
        <v>0</v>
      </c>
      <c r="BF310" s="3248">
        <f t="shared" si="41"/>
        <v>0</v>
      </c>
      <c r="BG310" s="3248">
        <f t="shared" si="42"/>
        <v>0</v>
      </c>
      <c r="BH310" s="3249"/>
      <c r="BI310" s="3249"/>
    </row>
    <row r="311" spans="1:61" x14ac:dyDescent="0.3">
      <c r="A311" s="4197" t="s">
        <v>3384</v>
      </c>
      <c r="B311" s="3261"/>
      <c r="C311" s="3243">
        <v>0</v>
      </c>
      <c r="D311" s="3242">
        <v>0</v>
      </c>
      <c r="E311" s="3244"/>
      <c r="F311" s="3244"/>
      <c r="G311" s="3242">
        <v>0</v>
      </c>
      <c r="H311" s="3244"/>
      <c r="I311" s="3244"/>
      <c r="J311" s="3244"/>
      <c r="K311" s="3242">
        <v>0</v>
      </c>
      <c r="L311" s="3244"/>
      <c r="M311" s="3244"/>
      <c r="N311" s="3242" t="s">
        <v>3384</v>
      </c>
      <c r="O311" s="3239">
        <v>0</v>
      </c>
      <c r="P311" s="3242">
        <v>0</v>
      </c>
      <c r="Q311" s="3244"/>
      <c r="R311" s="3244"/>
      <c r="S311" s="3242">
        <v>0</v>
      </c>
      <c r="T311" s="3244"/>
      <c r="U311" s="3244"/>
      <c r="V311" s="3244"/>
      <c r="W311" s="3240">
        <v>0</v>
      </c>
      <c r="X311" s="3244"/>
      <c r="Y311" s="3244"/>
      <c r="Z311" s="3242" t="s">
        <v>3384</v>
      </c>
      <c r="AA311" s="3243">
        <v>0</v>
      </c>
      <c r="AB311" s="3242">
        <v>0</v>
      </c>
      <c r="AC311" s="3244"/>
      <c r="AD311" s="3244"/>
      <c r="AE311" s="3242">
        <v>0</v>
      </c>
      <c r="AF311" s="3259"/>
      <c r="AG311" s="3260"/>
      <c r="AH311" s="3250"/>
      <c r="AI311" s="3260"/>
      <c r="AJ311" s="3260"/>
      <c r="AK311" s="3260"/>
      <c r="AL311" s="3259"/>
      <c r="AM311" s="3260"/>
      <c r="AN311" s="3259"/>
      <c r="AO311" s="3260"/>
      <c r="AP311" s="3242">
        <v>0</v>
      </c>
      <c r="AQ311" s="3244"/>
      <c r="AR311" s="3244"/>
      <c r="AS311" s="3242" t="s">
        <v>3384</v>
      </c>
      <c r="AT311" s="3247">
        <f t="shared" si="39"/>
        <v>0</v>
      </c>
      <c r="AU311" s="3248">
        <f t="shared" si="40"/>
        <v>0</v>
      </c>
      <c r="AV311" s="3248">
        <v>0</v>
      </c>
      <c r="AW311" s="3247">
        <v>0</v>
      </c>
      <c r="AX311" s="3248">
        <v>0</v>
      </c>
      <c r="AY311" s="3248">
        <v>0</v>
      </c>
      <c r="AZ311" s="3247">
        <v>0</v>
      </c>
      <c r="BA311" s="3248">
        <v>0</v>
      </c>
      <c r="BB311" s="3248">
        <v>0</v>
      </c>
      <c r="BC311" s="3247">
        <v>0</v>
      </c>
      <c r="BD311" s="3248">
        <v>0</v>
      </c>
      <c r="BE311" s="3248">
        <v>0</v>
      </c>
      <c r="BF311" s="3248">
        <f t="shared" si="41"/>
        <v>0</v>
      </c>
      <c r="BG311" s="3248">
        <f t="shared" si="42"/>
        <v>0</v>
      </c>
      <c r="BH311" s="3249"/>
      <c r="BI311" s="3249"/>
    </row>
    <row r="312" spans="1:61" x14ac:dyDescent="0.3">
      <c r="A312" s="4197" t="s">
        <v>3384</v>
      </c>
      <c r="B312" s="3261"/>
      <c r="C312" s="3243">
        <v>0</v>
      </c>
      <c r="D312" s="3242">
        <v>0</v>
      </c>
      <c r="E312" s="3244"/>
      <c r="F312" s="3244"/>
      <c r="G312" s="3242">
        <v>0</v>
      </c>
      <c r="H312" s="3244"/>
      <c r="I312" s="3244"/>
      <c r="J312" s="3244"/>
      <c r="K312" s="3242">
        <v>0</v>
      </c>
      <c r="L312" s="3244"/>
      <c r="M312" s="3244"/>
      <c r="N312" s="3242" t="s">
        <v>3384</v>
      </c>
      <c r="O312" s="3239">
        <v>0</v>
      </c>
      <c r="P312" s="3242">
        <v>0</v>
      </c>
      <c r="Q312" s="3244"/>
      <c r="R312" s="3244"/>
      <c r="S312" s="3242">
        <v>0</v>
      </c>
      <c r="T312" s="3244"/>
      <c r="U312" s="3244"/>
      <c r="V312" s="3244"/>
      <c r="W312" s="3240">
        <v>0</v>
      </c>
      <c r="X312" s="3244"/>
      <c r="Y312" s="3244"/>
      <c r="Z312" s="3242" t="s">
        <v>3384</v>
      </c>
      <c r="AA312" s="3243">
        <v>0</v>
      </c>
      <c r="AB312" s="3242">
        <v>0</v>
      </c>
      <c r="AC312" s="3244"/>
      <c r="AD312" s="3244"/>
      <c r="AE312" s="3242">
        <v>0</v>
      </c>
      <c r="AF312" s="3259"/>
      <c r="AG312" s="3260"/>
      <c r="AH312" s="3250"/>
      <c r="AI312" s="3260"/>
      <c r="AJ312" s="3260"/>
      <c r="AK312" s="3260"/>
      <c r="AL312" s="3259"/>
      <c r="AM312" s="3260"/>
      <c r="AN312" s="3259"/>
      <c r="AO312" s="3260"/>
      <c r="AP312" s="3242">
        <v>0</v>
      </c>
      <c r="AQ312" s="3244"/>
      <c r="AR312" s="3244"/>
      <c r="AS312" s="3242" t="s">
        <v>3384</v>
      </c>
      <c r="AT312" s="3247">
        <f t="shared" si="39"/>
        <v>0</v>
      </c>
      <c r="AU312" s="3248">
        <f t="shared" si="40"/>
        <v>0</v>
      </c>
      <c r="AV312" s="3248">
        <v>0</v>
      </c>
      <c r="AW312" s="3247">
        <v>0</v>
      </c>
      <c r="AX312" s="3248">
        <v>0</v>
      </c>
      <c r="AY312" s="3248">
        <v>0</v>
      </c>
      <c r="AZ312" s="3247">
        <v>0</v>
      </c>
      <c r="BA312" s="3248">
        <v>0</v>
      </c>
      <c r="BB312" s="3248">
        <v>0</v>
      </c>
      <c r="BC312" s="3247">
        <v>0</v>
      </c>
      <c r="BD312" s="3248">
        <v>0</v>
      </c>
      <c r="BE312" s="3248">
        <v>0</v>
      </c>
      <c r="BF312" s="3248">
        <f t="shared" si="41"/>
        <v>0</v>
      </c>
      <c r="BG312" s="3248">
        <f t="shared" si="42"/>
        <v>0</v>
      </c>
      <c r="BH312" s="3249"/>
      <c r="BI312" s="3249"/>
    </row>
    <row r="313" spans="1:61" x14ac:dyDescent="0.3">
      <c r="A313" s="4197" t="s">
        <v>3384</v>
      </c>
      <c r="B313" s="3261"/>
      <c r="C313" s="3243">
        <v>0</v>
      </c>
      <c r="D313" s="3242">
        <v>0</v>
      </c>
      <c r="E313" s="3244"/>
      <c r="F313" s="3244"/>
      <c r="G313" s="3242">
        <v>0</v>
      </c>
      <c r="H313" s="3244"/>
      <c r="I313" s="3244"/>
      <c r="J313" s="3244"/>
      <c r="K313" s="3242">
        <v>0</v>
      </c>
      <c r="L313" s="3244"/>
      <c r="M313" s="3244"/>
      <c r="N313" s="3242" t="s">
        <v>3384</v>
      </c>
      <c r="O313" s="3239">
        <v>0</v>
      </c>
      <c r="P313" s="3242">
        <v>0</v>
      </c>
      <c r="Q313" s="3244"/>
      <c r="R313" s="3244"/>
      <c r="S313" s="3242">
        <v>0</v>
      </c>
      <c r="T313" s="3244"/>
      <c r="U313" s="3244"/>
      <c r="V313" s="3244"/>
      <c r="W313" s="3240">
        <v>0</v>
      </c>
      <c r="X313" s="3244"/>
      <c r="Y313" s="3244"/>
      <c r="Z313" s="3242" t="s">
        <v>3384</v>
      </c>
      <c r="AA313" s="3243">
        <v>0</v>
      </c>
      <c r="AB313" s="3242">
        <v>0</v>
      </c>
      <c r="AC313" s="3244"/>
      <c r="AD313" s="3244"/>
      <c r="AE313" s="3242">
        <v>0</v>
      </c>
      <c r="AF313" s="3259"/>
      <c r="AG313" s="3260"/>
      <c r="AH313" s="3250"/>
      <c r="AI313" s="3260"/>
      <c r="AJ313" s="3260"/>
      <c r="AK313" s="3260"/>
      <c r="AL313" s="3259"/>
      <c r="AM313" s="3260"/>
      <c r="AN313" s="3259"/>
      <c r="AO313" s="3260"/>
      <c r="AP313" s="3242">
        <v>0</v>
      </c>
      <c r="AQ313" s="3244"/>
      <c r="AR313" s="3244"/>
      <c r="AS313" s="3242" t="s">
        <v>3384</v>
      </c>
      <c r="AT313" s="3247">
        <f t="shared" si="39"/>
        <v>0</v>
      </c>
      <c r="AU313" s="3248">
        <f t="shared" si="40"/>
        <v>0</v>
      </c>
      <c r="AV313" s="3248">
        <v>0</v>
      </c>
      <c r="AW313" s="3247">
        <v>0</v>
      </c>
      <c r="AX313" s="3248">
        <v>0</v>
      </c>
      <c r="AY313" s="3248">
        <v>0</v>
      </c>
      <c r="AZ313" s="3247">
        <v>0</v>
      </c>
      <c r="BA313" s="3248">
        <v>0</v>
      </c>
      <c r="BB313" s="3248">
        <v>0</v>
      </c>
      <c r="BC313" s="3247">
        <v>0</v>
      </c>
      <c r="BD313" s="3248">
        <v>0</v>
      </c>
      <c r="BE313" s="3248">
        <v>0</v>
      </c>
      <c r="BF313" s="3248">
        <f t="shared" si="41"/>
        <v>0</v>
      </c>
      <c r="BG313" s="3248">
        <f t="shared" si="42"/>
        <v>0</v>
      </c>
      <c r="BH313" s="3249"/>
      <c r="BI313" s="3249"/>
    </row>
    <row r="314" spans="1:61" x14ac:dyDescent="0.3">
      <c r="A314" s="4197" t="s">
        <v>3384</v>
      </c>
      <c r="B314" s="3261"/>
      <c r="C314" s="3243">
        <v>0</v>
      </c>
      <c r="D314" s="3242">
        <v>0</v>
      </c>
      <c r="E314" s="3244"/>
      <c r="F314" s="3244"/>
      <c r="G314" s="3242">
        <v>0</v>
      </c>
      <c r="H314" s="3244"/>
      <c r="I314" s="3244"/>
      <c r="J314" s="3244"/>
      <c r="K314" s="3242">
        <v>0</v>
      </c>
      <c r="L314" s="3244"/>
      <c r="M314" s="3244"/>
      <c r="N314" s="3242" t="s">
        <v>3384</v>
      </c>
      <c r="O314" s="3239">
        <v>0</v>
      </c>
      <c r="P314" s="3242">
        <v>0</v>
      </c>
      <c r="Q314" s="3244"/>
      <c r="R314" s="3244"/>
      <c r="S314" s="3242">
        <v>0</v>
      </c>
      <c r="T314" s="3244"/>
      <c r="U314" s="3244"/>
      <c r="V314" s="3244"/>
      <c r="W314" s="3240">
        <v>0</v>
      </c>
      <c r="X314" s="3244"/>
      <c r="Y314" s="3244"/>
      <c r="Z314" s="3242" t="s">
        <v>3384</v>
      </c>
      <c r="AA314" s="3243">
        <v>0</v>
      </c>
      <c r="AB314" s="3242">
        <v>0</v>
      </c>
      <c r="AC314" s="3244"/>
      <c r="AD314" s="3244"/>
      <c r="AE314" s="3242">
        <v>0</v>
      </c>
      <c r="AF314" s="3259"/>
      <c r="AG314" s="3260"/>
      <c r="AH314" s="3250"/>
      <c r="AI314" s="3260"/>
      <c r="AJ314" s="3260"/>
      <c r="AK314" s="3260"/>
      <c r="AL314" s="3259"/>
      <c r="AM314" s="3260"/>
      <c r="AN314" s="3259"/>
      <c r="AO314" s="3260"/>
      <c r="AP314" s="3242">
        <v>0</v>
      </c>
      <c r="AQ314" s="3244"/>
      <c r="AR314" s="3244"/>
      <c r="AS314" s="3242" t="s">
        <v>3384</v>
      </c>
      <c r="AT314" s="3247">
        <f t="shared" si="39"/>
        <v>0</v>
      </c>
      <c r="AU314" s="3248">
        <f t="shared" si="40"/>
        <v>0</v>
      </c>
      <c r="AV314" s="3248">
        <v>0</v>
      </c>
      <c r="AW314" s="3247">
        <v>0</v>
      </c>
      <c r="AX314" s="3248">
        <v>0</v>
      </c>
      <c r="AY314" s="3248">
        <v>0</v>
      </c>
      <c r="AZ314" s="3247">
        <v>0</v>
      </c>
      <c r="BA314" s="3248">
        <v>0</v>
      </c>
      <c r="BB314" s="3248">
        <v>0</v>
      </c>
      <c r="BC314" s="3247">
        <v>0</v>
      </c>
      <c r="BD314" s="3248">
        <v>0</v>
      </c>
      <c r="BE314" s="3248">
        <v>0</v>
      </c>
      <c r="BF314" s="3248">
        <f t="shared" si="41"/>
        <v>0</v>
      </c>
      <c r="BG314" s="3248">
        <f t="shared" si="42"/>
        <v>0</v>
      </c>
      <c r="BH314" s="3249"/>
      <c r="BI314" s="3249"/>
    </row>
    <row r="315" spans="1:61" x14ac:dyDescent="0.3">
      <c r="A315" s="4197" t="s">
        <v>3384</v>
      </c>
      <c r="B315" s="3261"/>
      <c r="C315" s="3243">
        <v>0</v>
      </c>
      <c r="D315" s="3242">
        <v>0</v>
      </c>
      <c r="E315" s="3244"/>
      <c r="F315" s="3244"/>
      <c r="G315" s="3242">
        <v>0</v>
      </c>
      <c r="H315" s="3244"/>
      <c r="I315" s="3244"/>
      <c r="J315" s="3244"/>
      <c r="K315" s="3242">
        <v>0</v>
      </c>
      <c r="L315" s="3244"/>
      <c r="M315" s="3244"/>
      <c r="N315" s="3242" t="s">
        <v>3384</v>
      </c>
      <c r="O315" s="3239">
        <v>0</v>
      </c>
      <c r="P315" s="3242">
        <v>0</v>
      </c>
      <c r="Q315" s="3244"/>
      <c r="R315" s="3244"/>
      <c r="S315" s="3242">
        <v>0</v>
      </c>
      <c r="T315" s="3244"/>
      <c r="U315" s="3244"/>
      <c r="V315" s="3244"/>
      <c r="W315" s="3240">
        <v>0</v>
      </c>
      <c r="X315" s="3244"/>
      <c r="Y315" s="3244"/>
      <c r="Z315" s="3242" t="s">
        <v>3384</v>
      </c>
      <c r="AA315" s="3243">
        <v>0</v>
      </c>
      <c r="AB315" s="3242">
        <v>0</v>
      </c>
      <c r="AC315" s="3244"/>
      <c r="AD315" s="3244"/>
      <c r="AE315" s="3242">
        <v>0</v>
      </c>
      <c r="AF315" s="3259"/>
      <c r="AG315" s="3260"/>
      <c r="AH315" s="3250"/>
      <c r="AI315" s="3260"/>
      <c r="AJ315" s="3260"/>
      <c r="AK315" s="3260"/>
      <c r="AL315" s="3259"/>
      <c r="AM315" s="3260"/>
      <c r="AN315" s="3259"/>
      <c r="AO315" s="3260"/>
      <c r="AP315" s="3242">
        <v>0</v>
      </c>
      <c r="AQ315" s="3244"/>
      <c r="AR315" s="3244"/>
      <c r="AS315" s="3242" t="s">
        <v>3384</v>
      </c>
      <c r="AT315" s="3247">
        <f t="shared" si="39"/>
        <v>0</v>
      </c>
      <c r="AU315" s="3248">
        <f t="shared" si="40"/>
        <v>0</v>
      </c>
      <c r="AV315" s="3248">
        <v>0</v>
      </c>
      <c r="AW315" s="3247">
        <v>0</v>
      </c>
      <c r="AX315" s="3248">
        <v>0</v>
      </c>
      <c r="AY315" s="3248">
        <v>0</v>
      </c>
      <c r="AZ315" s="3247">
        <v>0</v>
      </c>
      <c r="BA315" s="3248">
        <v>0</v>
      </c>
      <c r="BB315" s="3248">
        <v>0</v>
      </c>
      <c r="BC315" s="3247">
        <v>0</v>
      </c>
      <c r="BD315" s="3248">
        <v>0</v>
      </c>
      <c r="BE315" s="3248">
        <v>0</v>
      </c>
      <c r="BF315" s="3248">
        <f t="shared" si="41"/>
        <v>0</v>
      </c>
      <c r="BG315" s="3248">
        <f t="shared" si="42"/>
        <v>0</v>
      </c>
      <c r="BH315" s="3249"/>
      <c r="BI315" s="3249"/>
    </row>
    <row r="316" spans="1:61" x14ac:dyDescent="0.3">
      <c r="A316" s="4197" t="s">
        <v>3384</v>
      </c>
      <c r="B316" s="3261"/>
      <c r="C316" s="3243">
        <v>0</v>
      </c>
      <c r="D316" s="3242">
        <v>0</v>
      </c>
      <c r="E316" s="3244"/>
      <c r="F316" s="3244"/>
      <c r="G316" s="3242">
        <v>0</v>
      </c>
      <c r="H316" s="3244"/>
      <c r="I316" s="3244"/>
      <c r="J316" s="3244"/>
      <c r="K316" s="3242">
        <v>0</v>
      </c>
      <c r="L316" s="3244"/>
      <c r="M316" s="3244"/>
      <c r="N316" s="3242" t="s">
        <v>3384</v>
      </c>
      <c r="O316" s="3239">
        <v>0</v>
      </c>
      <c r="P316" s="3242">
        <v>0</v>
      </c>
      <c r="Q316" s="3244"/>
      <c r="R316" s="3244"/>
      <c r="S316" s="3242">
        <v>0</v>
      </c>
      <c r="T316" s="3244"/>
      <c r="U316" s="3244"/>
      <c r="V316" s="3244"/>
      <c r="W316" s="3240">
        <v>0</v>
      </c>
      <c r="X316" s="3244"/>
      <c r="Y316" s="3244"/>
      <c r="Z316" s="3242" t="s">
        <v>3384</v>
      </c>
      <c r="AA316" s="3243">
        <v>0</v>
      </c>
      <c r="AB316" s="3242">
        <v>0</v>
      </c>
      <c r="AC316" s="3244"/>
      <c r="AD316" s="3244"/>
      <c r="AE316" s="3242">
        <v>0</v>
      </c>
      <c r="AF316" s="3259"/>
      <c r="AG316" s="3260"/>
      <c r="AH316" s="3250"/>
      <c r="AI316" s="3260"/>
      <c r="AJ316" s="3260"/>
      <c r="AK316" s="3260"/>
      <c r="AL316" s="3259"/>
      <c r="AM316" s="3260"/>
      <c r="AN316" s="3259"/>
      <c r="AO316" s="3260"/>
      <c r="AP316" s="3242">
        <v>0</v>
      </c>
      <c r="AQ316" s="3244"/>
      <c r="AR316" s="3244"/>
      <c r="AS316" s="3242" t="s">
        <v>3384</v>
      </c>
      <c r="AT316" s="3247">
        <f t="shared" si="39"/>
        <v>0</v>
      </c>
      <c r="AU316" s="3248">
        <f t="shared" si="40"/>
        <v>0</v>
      </c>
      <c r="AV316" s="3248">
        <v>0</v>
      </c>
      <c r="AW316" s="3247">
        <v>0</v>
      </c>
      <c r="AX316" s="3248">
        <v>0</v>
      </c>
      <c r="AY316" s="3248">
        <v>0</v>
      </c>
      <c r="AZ316" s="3247">
        <v>0</v>
      </c>
      <c r="BA316" s="3248">
        <v>0</v>
      </c>
      <c r="BB316" s="3248">
        <v>0</v>
      </c>
      <c r="BC316" s="3247">
        <v>0</v>
      </c>
      <c r="BD316" s="3248">
        <v>0</v>
      </c>
      <c r="BE316" s="3248">
        <v>0</v>
      </c>
      <c r="BF316" s="3248">
        <f t="shared" si="41"/>
        <v>0</v>
      </c>
      <c r="BG316" s="3248">
        <f t="shared" si="42"/>
        <v>0</v>
      </c>
      <c r="BH316" s="3249"/>
      <c r="BI316" s="3249"/>
    </row>
    <row r="317" spans="1:61" x14ac:dyDescent="0.3">
      <c r="A317" s="4197" t="s">
        <v>3384</v>
      </c>
      <c r="B317" s="3261"/>
      <c r="C317" s="3243">
        <v>0</v>
      </c>
      <c r="D317" s="3242">
        <v>0</v>
      </c>
      <c r="E317" s="3244"/>
      <c r="F317" s="3244"/>
      <c r="G317" s="3242">
        <v>0</v>
      </c>
      <c r="H317" s="3244"/>
      <c r="I317" s="3244"/>
      <c r="J317" s="3244"/>
      <c r="K317" s="3242">
        <v>0</v>
      </c>
      <c r="L317" s="3244"/>
      <c r="M317" s="3244"/>
      <c r="N317" s="3242" t="s">
        <v>3384</v>
      </c>
      <c r="O317" s="3239">
        <v>0</v>
      </c>
      <c r="P317" s="3242">
        <v>0</v>
      </c>
      <c r="Q317" s="3244"/>
      <c r="R317" s="3244"/>
      <c r="S317" s="3242">
        <v>0</v>
      </c>
      <c r="T317" s="3244"/>
      <c r="U317" s="3244"/>
      <c r="V317" s="3244"/>
      <c r="W317" s="3240">
        <v>0</v>
      </c>
      <c r="X317" s="3244"/>
      <c r="Y317" s="3244"/>
      <c r="Z317" s="3242" t="s">
        <v>3384</v>
      </c>
      <c r="AA317" s="3243">
        <v>0</v>
      </c>
      <c r="AB317" s="3242">
        <v>0</v>
      </c>
      <c r="AC317" s="3244"/>
      <c r="AD317" s="3244"/>
      <c r="AE317" s="3242">
        <v>0</v>
      </c>
      <c r="AF317" s="3259"/>
      <c r="AG317" s="3260"/>
      <c r="AH317" s="3250"/>
      <c r="AI317" s="3260"/>
      <c r="AJ317" s="3260"/>
      <c r="AK317" s="3260"/>
      <c r="AL317" s="3259"/>
      <c r="AM317" s="3260"/>
      <c r="AN317" s="3259"/>
      <c r="AO317" s="3260"/>
      <c r="AP317" s="3242">
        <v>0</v>
      </c>
      <c r="AQ317" s="3244"/>
      <c r="AR317" s="3244"/>
      <c r="AS317" s="3242" t="s">
        <v>3384</v>
      </c>
      <c r="AT317" s="3247">
        <f t="shared" si="39"/>
        <v>0</v>
      </c>
      <c r="AU317" s="3248">
        <f t="shared" si="40"/>
        <v>0</v>
      </c>
      <c r="AV317" s="3248">
        <v>0</v>
      </c>
      <c r="AW317" s="3247">
        <v>0</v>
      </c>
      <c r="AX317" s="3248">
        <v>0</v>
      </c>
      <c r="AY317" s="3248">
        <v>0</v>
      </c>
      <c r="AZ317" s="3247">
        <v>0</v>
      </c>
      <c r="BA317" s="3248">
        <v>0</v>
      </c>
      <c r="BB317" s="3248">
        <v>0</v>
      </c>
      <c r="BC317" s="3247">
        <v>0</v>
      </c>
      <c r="BD317" s="3248">
        <v>0</v>
      </c>
      <c r="BE317" s="3248">
        <v>0</v>
      </c>
      <c r="BF317" s="3248">
        <f t="shared" si="41"/>
        <v>0</v>
      </c>
      <c r="BG317" s="3248">
        <f t="shared" si="42"/>
        <v>0</v>
      </c>
      <c r="BH317" s="3249"/>
      <c r="BI317" s="3249"/>
    </row>
    <row r="318" spans="1:61" x14ac:dyDescent="0.3">
      <c r="A318" s="4197" t="s">
        <v>3384</v>
      </c>
      <c r="B318" s="3261"/>
      <c r="C318" s="3243">
        <v>0</v>
      </c>
      <c r="D318" s="3242">
        <v>0</v>
      </c>
      <c r="E318" s="3244"/>
      <c r="F318" s="3244"/>
      <c r="G318" s="3242">
        <v>0</v>
      </c>
      <c r="H318" s="3244"/>
      <c r="I318" s="3244"/>
      <c r="J318" s="3244"/>
      <c r="K318" s="3242">
        <v>0</v>
      </c>
      <c r="L318" s="3244"/>
      <c r="M318" s="3244"/>
      <c r="N318" s="3242" t="s">
        <v>3384</v>
      </c>
      <c r="O318" s="3239">
        <v>0</v>
      </c>
      <c r="P318" s="3242">
        <v>0</v>
      </c>
      <c r="Q318" s="3244"/>
      <c r="R318" s="3244"/>
      <c r="S318" s="3242">
        <v>0</v>
      </c>
      <c r="T318" s="3244"/>
      <c r="U318" s="3244"/>
      <c r="V318" s="3244"/>
      <c r="W318" s="3240">
        <v>0</v>
      </c>
      <c r="X318" s="3244"/>
      <c r="Y318" s="3244"/>
      <c r="Z318" s="3242" t="s">
        <v>3384</v>
      </c>
      <c r="AA318" s="3243">
        <v>0</v>
      </c>
      <c r="AB318" s="3242">
        <v>0</v>
      </c>
      <c r="AC318" s="3244"/>
      <c r="AD318" s="3244"/>
      <c r="AE318" s="3242">
        <v>0</v>
      </c>
      <c r="AF318" s="3259"/>
      <c r="AG318" s="3260"/>
      <c r="AH318" s="3250"/>
      <c r="AI318" s="3260"/>
      <c r="AJ318" s="3260"/>
      <c r="AK318" s="3260"/>
      <c r="AL318" s="3259"/>
      <c r="AM318" s="3260"/>
      <c r="AN318" s="3259"/>
      <c r="AO318" s="3260"/>
      <c r="AP318" s="3242">
        <v>0</v>
      </c>
      <c r="AQ318" s="3244"/>
      <c r="AR318" s="3244"/>
      <c r="AS318" s="3242" t="s">
        <v>3384</v>
      </c>
      <c r="AT318" s="3247">
        <f t="shared" si="39"/>
        <v>0</v>
      </c>
      <c r="AU318" s="3248">
        <f t="shared" si="40"/>
        <v>0</v>
      </c>
      <c r="AV318" s="3248">
        <v>0</v>
      </c>
      <c r="AW318" s="3247">
        <v>0</v>
      </c>
      <c r="AX318" s="3248">
        <v>0</v>
      </c>
      <c r="AY318" s="3248">
        <v>0</v>
      </c>
      <c r="AZ318" s="3247">
        <v>0</v>
      </c>
      <c r="BA318" s="3248">
        <v>0</v>
      </c>
      <c r="BB318" s="3248">
        <v>0</v>
      </c>
      <c r="BC318" s="3247">
        <v>0</v>
      </c>
      <c r="BD318" s="3248">
        <v>0</v>
      </c>
      <c r="BE318" s="3248">
        <v>0</v>
      </c>
      <c r="BF318" s="3248">
        <f t="shared" si="41"/>
        <v>0</v>
      </c>
      <c r="BG318" s="3248">
        <f t="shared" si="42"/>
        <v>0</v>
      </c>
      <c r="BH318" s="3249"/>
      <c r="BI318" s="3249"/>
    </row>
    <row r="319" spans="1:61" x14ac:dyDescent="0.3">
      <c r="A319" s="4197" t="s">
        <v>3384</v>
      </c>
      <c r="B319" s="3261"/>
      <c r="C319" s="3243">
        <v>0</v>
      </c>
      <c r="D319" s="3242">
        <v>0</v>
      </c>
      <c r="E319" s="3244"/>
      <c r="F319" s="3244"/>
      <c r="G319" s="3242">
        <v>0</v>
      </c>
      <c r="H319" s="3244"/>
      <c r="I319" s="3244"/>
      <c r="J319" s="3244"/>
      <c r="K319" s="3242">
        <v>0</v>
      </c>
      <c r="L319" s="3244"/>
      <c r="M319" s="3244"/>
      <c r="N319" s="3242" t="s">
        <v>3384</v>
      </c>
      <c r="O319" s="3239">
        <v>0</v>
      </c>
      <c r="P319" s="3242">
        <v>0</v>
      </c>
      <c r="Q319" s="3244"/>
      <c r="R319" s="3244"/>
      <c r="S319" s="3242">
        <v>0</v>
      </c>
      <c r="T319" s="3244"/>
      <c r="U319" s="3244"/>
      <c r="V319" s="3244"/>
      <c r="W319" s="3240">
        <v>0</v>
      </c>
      <c r="X319" s="3244"/>
      <c r="Y319" s="3244"/>
      <c r="Z319" s="3242" t="s">
        <v>3384</v>
      </c>
      <c r="AA319" s="3243">
        <v>0</v>
      </c>
      <c r="AB319" s="3242">
        <v>0</v>
      </c>
      <c r="AC319" s="3244"/>
      <c r="AD319" s="3244"/>
      <c r="AE319" s="3242">
        <v>0</v>
      </c>
      <c r="AF319" s="3259"/>
      <c r="AG319" s="3260"/>
      <c r="AH319" s="3250"/>
      <c r="AI319" s="3260"/>
      <c r="AJ319" s="3260"/>
      <c r="AK319" s="3260"/>
      <c r="AL319" s="3259"/>
      <c r="AM319" s="3260"/>
      <c r="AN319" s="3259"/>
      <c r="AO319" s="3260"/>
      <c r="AP319" s="3242">
        <v>0</v>
      </c>
      <c r="AQ319" s="3244"/>
      <c r="AR319" s="3244"/>
      <c r="AS319" s="3242" t="s">
        <v>3384</v>
      </c>
      <c r="AT319" s="3247">
        <f t="shared" si="39"/>
        <v>0</v>
      </c>
      <c r="AU319" s="3248">
        <f t="shared" si="40"/>
        <v>0</v>
      </c>
      <c r="AV319" s="3248">
        <v>0</v>
      </c>
      <c r="AW319" s="3247">
        <v>0</v>
      </c>
      <c r="AX319" s="3248">
        <v>0</v>
      </c>
      <c r="AY319" s="3248">
        <v>0</v>
      </c>
      <c r="AZ319" s="3247">
        <v>0</v>
      </c>
      <c r="BA319" s="3248">
        <v>0</v>
      </c>
      <c r="BB319" s="3248">
        <v>0</v>
      </c>
      <c r="BC319" s="3247">
        <v>0</v>
      </c>
      <c r="BD319" s="3248">
        <v>0</v>
      </c>
      <c r="BE319" s="3248">
        <v>0</v>
      </c>
      <c r="BF319" s="3248">
        <f t="shared" si="41"/>
        <v>0</v>
      </c>
      <c r="BG319" s="3248">
        <f t="shared" si="42"/>
        <v>0</v>
      </c>
      <c r="BH319" s="3249"/>
      <c r="BI319" s="3249"/>
    </row>
    <row r="320" spans="1:61" x14ac:dyDescent="0.3">
      <c r="A320" s="4197" t="s">
        <v>3384</v>
      </c>
      <c r="B320" s="3261"/>
      <c r="C320" s="3243">
        <v>0</v>
      </c>
      <c r="D320" s="3242">
        <v>0</v>
      </c>
      <c r="E320" s="3244"/>
      <c r="F320" s="3244"/>
      <c r="G320" s="3242">
        <v>0</v>
      </c>
      <c r="H320" s="3244"/>
      <c r="I320" s="3244"/>
      <c r="J320" s="3244"/>
      <c r="K320" s="3242">
        <v>0</v>
      </c>
      <c r="L320" s="3244"/>
      <c r="M320" s="3244"/>
      <c r="N320" s="3242" t="s">
        <v>3384</v>
      </c>
      <c r="O320" s="3239">
        <v>0</v>
      </c>
      <c r="P320" s="3242">
        <v>0</v>
      </c>
      <c r="Q320" s="3244"/>
      <c r="R320" s="3244"/>
      <c r="S320" s="3242">
        <v>0</v>
      </c>
      <c r="T320" s="3244"/>
      <c r="U320" s="3244"/>
      <c r="V320" s="3244"/>
      <c r="W320" s="3240">
        <v>0</v>
      </c>
      <c r="X320" s="3244"/>
      <c r="Y320" s="3244"/>
      <c r="Z320" s="3242" t="s">
        <v>3384</v>
      </c>
      <c r="AA320" s="3243">
        <v>0</v>
      </c>
      <c r="AB320" s="3242">
        <v>0</v>
      </c>
      <c r="AC320" s="3244"/>
      <c r="AD320" s="3244"/>
      <c r="AE320" s="3242">
        <v>0</v>
      </c>
      <c r="AF320" s="3259"/>
      <c r="AG320" s="3260"/>
      <c r="AH320" s="3250"/>
      <c r="AI320" s="3260"/>
      <c r="AJ320" s="3260"/>
      <c r="AK320" s="3260"/>
      <c r="AL320" s="3259"/>
      <c r="AM320" s="3260"/>
      <c r="AN320" s="3259"/>
      <c r="AO320" s="3260"/>
      <c r="AP320" s="3242">
        <v>0</v>
      </c>
      <c r="AQ320" s="3244"/>
      <c r="AR320" s="3244"/>
      <c r="AS320" s="3242" t="s">
        <v>3384</v>
      </c>
      <c r="AT320" s="3247">
        <f t="shared" si="39"/>
        <v>0</v>
      </c>
      <c r="AU320" s="3248">
        <f t="shared" si="40"/>
        <v>0</v>
      </c>
      <c r="AV320" s="3248">
        <v>0</v>
      </c>
      <c r="AW320" s="3247">
        <v>0</v>
      </c>
      <c r="AX320" s="3248">
        <v>0</v>
      </c>
      <c r="AY320" s="3248">
        <v>0</v>
      </c>
      <c r="AZ320" s="3247">
        <v>0</v>
      </c>
      <c r="BA320" s="3248">
        <v>0</v>
      </c>
      <c r="BB320" s="3248">
        <v>0</v>
      </c>
      <c r="BC320" s="3247">
        <v>0</v>
      </c>
      <c r="BD320" s="3248">
        <v>0</v>
      </c>
      <c r="BE320" s="3248">
        <v>0</v>
      </c>
      <c r="BF320" s="3248">
        <f t="shared" si="41"/>
        <v>0</v>
      </c>
      <c r="BG320" s="3248">
        <f t="shared" si="42"/>
        <v>0</v>
      </c>
      <c r="BH320" s="3249"/>
      <c r="BI320" s="3249"/>
    </row>
    <row r="321" spans="1:61" x14ac:dyDescent="0.3">
      <c r="A321" s="4197" t="s">
        <v>3384</v>
      </c>
      <c r="B321" s="3261"/>
      <c r="C321" s="3243">
        <v>0</v>
      </c>
      <c r="D321" s="3242">
        <v>0</v>
      </c>
      <c r="E321" s="3244"/>
      <c r="F321" s="3244"/>
      <c r="G321" s="3242">
        <v>0</v>
      </c>
      <c r="H321" s="3244"/>
      <c r="I321" s="3244"/>
      <c r="J321" s="3244"/>
      <c r="K321" s="3242">
        <v>0</v>
      </c>
      <c r="L321" s="3244"/>
      <c r="M321" s="3244"/>
      <c r="N321" s="3242" t="s">
        <v>3384</v>
      </c>
      <c r="O321" s="3239">
        <v>0</v>
      </c>
      <c r="P321" s="3242">
        <v>0</v>
      </c>
      <c r="Q321" s="3244"/>
      <c r="R321" s="3244"/>
      <c r="S321" s="3242">
        <v>0</v>
      </c>
      <c r="T321" s="3244"/>
      <c r="U321" s="3244"/>
      <c r="V321" s="3244"/>
      <c r="W321" s="3240">
        <v>0</v>
      </c>
      <c r="X321" s="3244"/>
      <c r="Y321" s="3244"/>
      <c r="Z321" s="3242" t="s">
        <v>3384</v>
      </c>
      <c r="AA321" s="3243">
        <v>0</v>
      </c>
      <c r="AB321" s="3242">
        <v>0</v>
      </c>
      <c r="AC321" s="3244"/>
      <c r="AD321" s="3244"/>
      <c r="AE321" s="3242">
        <v>0</v>
      </c>
      <c r="AF321" s="3259"/>
      <c r="AG321" s="3260"/>
      <c r="AH321" s="3250"/>
      <c r="AI321" s="3260"/>
      <c r="AJ321" s="3260"/>
      <c r="AK321" s="3260"/>
      <c r="AL321" s="3259"/>
      <c r="AM321" s="3260"/>
      <c r="AN321" s="3259"/>
      <c r="AO321" s="3260"/>
      <c r="AP321" s="3242">
        <v>0</v>
      </c>
      <c r="AQ321" s="3244"/>
      <c r="AR321" s="3244"/>
      <c r="AS321" s="3242" t="s">
        <v>3384</v>
      </c>
      <c r="AT321" s="3247">
        <f t="shared" si="39"/>
        <v>0</v>
      </c>
      <c r="AU321" s="3248">
        <f t="shared" si="40"/>
        <v>0</v>
      </c>
      <c r="AV321" s="3248">
        <v>0</v>
      </c>
      <c r="AW321" s="3247">
        <v>0</v>
      </c>
      <c r="AX321" s="3248">
        <v>0</v>
      </c>
      <c r="AY321" s="3248">
        <v>0</v>
      </c>
      <c r="AZ321" s="3247">
        <v>0</v>
      </c>
      <c r="BA321" s="3248">
        <v>0</v>
      </c>
      <c r="BB321" s="3248">
        <v>0</v>
      </c>
      <c r="BC321" s="3247">
        <v>0</v>
      </c>
      <c r="BD321" s="3248">
        <v>0</v>
      </c>
      <c r="BE321" s="3248">
        <v>0</v>
      </c>
      <c r="BF321" s="3248">
        <f t="shared" si="41"/>
        <v>0</v>
      </c>
      <c r="BG321" s="3248">
        <f t="shared" si="42"/>
        <v>0</v>
      </c>
      <c r="BH321" s="3249"/>
      <c r="BI321" s="3249"/>
    </row>
    <row r="322" spans="1:61" x14ac:dyDescent="0.3">
      <c r="A322" s="4197" t="s">
        <v>3384</v>
      </c>
      <c r="B322" s="3261"/>
      <c r="C322" s="3243">
        <v>0</v>
      </c>
      <c r="D322" s="3242">
        <v>0</v>
      </c>
      <c r="E322" s="3244"/>
      <c r="F322" s="3244"/>
      <c r="G322" s="3242">
        <v>0</v>
      </c>
      <c r="H322" s="3244"/>
      <c r="I322" s="3244"/>
      <c r="J322" s="3244"/>
      <c r="K322" s="3242">
        <v>0</v>
      </c>
      <c r="L322" s="3244"/>
      <c r="M322" s="3244"/>
      <c r="N322" s="3242" t="s">
        <v>3384</v>
      </c>
      <c r="O322" s="3239">
        <v>0</v>
      </c>
      <c r="P322" s="3242">
        <v>0</v>
      </c>
      <c r="Q322" s="3244"/>
      <c r="R322" s="3244"/>
      <c r="S322" s="3242">
        <v>0</v>
      </c>
      <c r="T322" s="3244"/>
      <c r="U322" s="3244"/>
      <c r="V322" s="3244"/>
      <c r="W322" s="3240">
        <v>0</v>
      </c>
      <c r="X322" s="3244"/>
      <c r="Y322" s="3244"/>
      <c r="Z322" s="3242" t="s">
        <v>3384</v>
      </c>
      <c r="AA322" s="3243">
        <v>0</v>
      </c>
      <c r="AB322" s="3242">
        <v>0</v>
      </c>
      <c r="AC322" s="3244"/>
      <c r="AD322" s="3244"/>
      <c r="AE322" s="3242">
        <v>0</v>
      </c>
      <c r="AF322" s="3259"/>
      <c r="AG322" s="3260"/>
      <c r="AH322" s="3250"/>
      <c r="AI322" s="3260"/>
      <c r="AJ322" s="3260"/>
      <c r="AK322" s="3260"/>
      <c r="AL322" s="3259"/>
      <c r="AM322" s="3260"/>
      <c r="AN322" s="3259"/>
      <c r="AO322" s="3260"/>
      <c r="AP322" s="3242">
        <v>0</v>
      </c>
      <c r="AQ322" s="3244"/>
      <c r="AR322" s="3244"/>
      <c r="AS322" s="3242" t="s">
        <v>3384</v>
      </c>
      <c r="AT322" s="3247">
        <f t="shared" si="39"/>
        <v>0</v>
      </c>
      <c r="AU322" s="3248">
        <f t="shared" si="40"/>
        <v>0</v>
      </c>
      <c r="AV322" s="3248">
        <v>0</v>
      </c>
      <c r="AW322" s="3247">
        <v>0</v>
      </c>
      <c r="AX322" s="3248">
        <v>0</v>
      </c>
      <c r="AY322" s="3248">
        <v>0</v>
      </c>
      <c r="AZ322" s="3247">
        <v>0</v>
      </c>
      <c r="BA322" s="3248">
        <v>0</v>
      </c>
      <c r="BB322" s="3248">
        <v>0</v>
      </c>
      <c r="BC322" s="3247">
        <v>0</v>
      </c>
      <c r="BD322" s="3248">
        <v>0</v>
      </c>
      <c r="BE322" s="3248">
        <v>0</v>
      </c>
      <c r="BF322" s="3248">
        <f t="shared" si="41"/>
        <v>0</v>
      </c>
      <c r="BG322" s="3248">
        <f t="shared" si="42"/>
        <v>0</v>
      </c>
      <c r="BH322" s="3249"/>
      <c r="BI322" s="3249"/>
    </row>
    <row r="323" spans="1:61" x14ac:dyDescent="0.3">
      <c r="A323" s="4197" t="s">
        <v>3384</v>
      </c>
      <c r="B323" s="3261"/>
      <c r="C323" s="3243">
        <v>0</v>
      </c>
      <c r="D323" s="3242">
        <v>0</v>
      </c>
      <c r="E323" s="3244"/>
      <c r="F323" s="3244"/>
      <c r="G323" s="3242">
        <v>0</v>
      </c>
      <c r="H323" s="3244"/>
      <c r="I323" s="3244"/>
      <c r="J323" s="3244"/>
      <c r="K323" s="3242">
        <v>0</v>
      </c>
      <c r="L323" s="3244"/>
      <c r="M323" s="3244"/>
      <c r="N323" s="3242" t="s">
        <v>3384</v>
      </c>
      <c r="O323" s="3239">
        <v>0</v>
      </c>
      <c r="P323" s="3242">
        <v>0</v>
      </c>
      <c r="Q323" s="3244"/>
      <c r="R323" s="3244"/>
      <c r="S323" s="3242">
        <v>0</v>
      </c>
      <c r="T323" s="3244"/>
      <c r="U323" s="3244"/>
      <c r="V323" s="3244"/>
      <c r="W323" s="3240">
        <v>0</v>
      </c>
      <c r="X323" s="3244"/>
      <c r="Y323" s="3244"/>
      <c r="Z323" s="3242" t="s">
        <v>3384</v>
      </c>
      <c r="AA323" s="3243">
        <v>0</v>
      </c>
      <c r="AB323" s="3242">
        <v>0</v>
      </c>
      <c r="AC323" s="3244"/>
      <c r="AD323" s="3244"/>
      <c r="AE323" s="3242">
        <v>0</v>
      </c>
      <c r="AF323" s="3259"/>
      <c r="AG323" s="3260"/>
      <c r="AH323" s="3250"/>
      <c r="AI323" s="3260"/>
      <c r="AJ323" s="3260"/>
      <c r="AK323" s="3260"/>
      <c r="AL323" s="3259"/>
      <c r="AM323" s="3260"/>
      <c r="AN323" s="3259"/>
      <c r="AO323" s="3260"/>
      <c r="AP323" s="3242">
        <v>0</v>
      </c>
      <c r="AQ323" s="3244"/>
      <c r="AR323" s="3244"/>
      <c r="AS323" s="3242" t="s">
        <v>3384</v>
      </c>
      <c r="AT323" s="3247">
        <f t="shared" si="39"/>
        <v>0</v>
      </c>
      <c r="AU323" s="3248">
        <f t="shared" si="40"/>
        <v>0</v>
      </c>
      <c r="AV323" s="3248">
        <v>0</v>
      </c>
      <c r="AW323" s="3247">
        <v>0</v>
      </c>
      <c r="AX323" s="3248">
        <v>0</v>
      </c>
      <c r="AY323" s="3248">
        <v>0</v>
      </c>
      <c r="AZ323" s="3247">
        <v>0</v>
      </c>
      <c r="BA323" s="3248">
        <v>0</v>
      </c>
      <c r="BB323" s="3248">
        <v>0</v>
      </c>
      <c r="BC323" s="3247">
        <v>0</v>
      </c>
      <c r="BD323" s="3248">
        <v>0</v>
      </c>
      <c r="BE323" s="3248">
        <v>0</v>
      </c>
      <c r="BF323" s="3248">
        <f t="shared" si="41"/>
        <v>0</v>
      </c>
      <c r="BG323" s="3248">
        <f t="shared" si="42"/>
        <v>0</v>
      </c>
      <c r="BH323" s="3249"/>
      <c r="BI323" s="3249"/>
    </row>
    <row r="324" spans="1:61" x14ac:dyDescent="0.3">
      <c r="A324" s="4197" t="s">
        <v>3384</v>
      </c>
      <c r="B324" s="3261"/>
      <c r="C324" s="3243">
        <v>0</v>
      </c>
      <c r="D324" s="3242">
        <v>0</v>
      </c>
      <c r="E324" s="3244"/>
      <c r="F324" s="3244"/>
      <c r="G324" s="3242">
        <v>0</v>
      </c>
      <c r="H324" s="3244"/>
      <c r="I324" s="3244"/>
      <c r="J324" s="3244"/>
      <c r="K324" s="3242">
        <v>0</v>
      </c>
      <c r="L324" s="3244"/>
      <c r="M324" s="3244"/>
      <c r="N324" s="3242" t="s">
        <v>3384</v>
      </c>
      <c r="O324" s="3239">
        <v>0</v>
      </c>
      <c r="P324" s="3242">
        <v>0</v>
      </c>
      <c r="Q324" s="3244"/>
      <c r="R324" s="3244"/>
      <c r="S324" s="3242">
        <v>0</v>
      </c>
      <c r="T324" s="3244"/>
      <c r="U324" s="3244"/>
      <c r="V324" s="3244"/>
      <c r="W324" s="3240">
        <v>0</v>
      </c>
      <c r="X324" s="3244"/>
      <c r="Y324" s="3244"/>
      <c r="Z324" s="3242" t="s">
        <v>3384</v>
      </c>
      <c r="AA324" s="3243">
        <v>0</v>
      </c>
      <c r="AB324" s="3242">
        <v>0</v>
      </c>
      <c r="AC324" s="3244"/>
      <c r="AD324" s="3244"/>
      <c r="AE324" s="3242">
        <v>0</v>
      </c>
      <c r="AF324" s="3259"/>
      <c r="AG324" s="3260"/>
      <c r="AH324" s="3250"/>
      <c r="AI324" s="3260"/>
      <c r="AJ324" s="3260"/>
      <c r="AK324" s="3260"/>
      <c r="AL324" s="3259"/>
      <c r="AM324" s="3260"/>
      <c r="AN324" s="3259"/>
      <c r="AO324" s="3260"/>
      <c r="AP324" s="3242">
        <v>0</v>
      </c>
      <c r="AQ324" s="3244"/>
      <c r="AR324" s="3244"/>
      <c r="AS324" s="3242" t="s">
        <v>3384</v>
      </c>
      <c r="AT324" s="3247">
        <f t="shared" si="39"/>
        <v>0</v>
      </c>
      <c r="AU324" s="3248">
        <f t="shared" si="40"/>
        <v>0</v>
      </c>
      <c r="AV324" s="3248">
        <v>0</v>
      </c>
      <c r="AW324" s="3247">
        <v>0</v>
      </c>
      <c r="AX324" s="3248">
        <v>0</v>
      </c>
      <c r="AY324" s="3248">
        <v>0</v>
      </c>
      <c r="AZ324" s="3247">
        <v>0</v>
      </c>
      <c r="BA324" s="3248">
        <v>0</v>
      </c>
      <c r="BB324" s="3248">
        <v>0</v>
      </c>
      <c r="BC324" s="3247">
        <v>0</v>
      </c>
      <c r="BD324" s="3248">
        <v>0</v>
      </c>
      <c r="BE324" s="3248">
        <v>0</v>
      </c>
      <c r="BF324" s="3248">
        <f t="shared" si="41"/>
        <v>0</v>
      </c>
      <c r="BG324" s="3248">
        <f t="shared" si="42"/>
        <v>0</v>
      </c>
      <c r="BH324" s="3249"/>
      <c r="BI324" s="3249"/>
    </row>
    <row r="325" spans="1:61" x14ac:dyDescent="0.3">
      <c r="A325" s="4197" t="s">
        <v>3384</v>
      </c>
      <c r="B325" s="3261"/>
      <c r="C325" s="3243">
        <v>0</v>
      </c>
      <c r="D325" s="3242">
        <v>0</v>
      </c>
      <c r="E325" s="3244"/>
      <c r="F325" s="3244"/>
      <c r="G325" s="3242">
        <v>0</v>
      </c>
      <c r="H325" s="3244"/>
      <c r="I325" s="3244"/>
      <c r="J325" s="3244"/>
      <c r="K325" s="3242">
        <v>0</v>
      </c>
      <c r="L325" s="3244"/>
      <c r="M325" s="3244"/>
      <c r="N325" s="3242" t="s">
        <v>3384</v>
      </c>
      <c r="O325" s="3239">
        <v>0</v>
      </c>
      <c r="P325" s="3242">
        <v>0</v>
      </c>
      <c r="Q325" s="3244"/>
      <c r="R325" s="3244"/>
      <c r="S325" s="3242">
        <v>0</v>
      </c>
      <c r="T325" s="3244"/>
      <c r="U325" s="3244"/>
      <c r="V325" s="3244"/>
      <c r="W325" s="3240">
        <v>0</v>
      </c>
      <c r="X325" s="3244"/>
      <c r="Y325" s="3244"/>
      <c r="Z325" s="3242" t="s">
        <v>3384</v>
      </c>
      <c r="AA325" s="3243">
        <v>0</v>
      </c>
      <c r="AB325" s="3242">
        <v>0</v>
      </c>
      <c r="AC325" s="3244"/>
      <c r="AD325" s="3244"/>
      <c r="AE325" s="3242">
        <v>0</v>
      </c>
      <c r="AF325" s="3259"/>
      <c r="AG325" s="3260"/>
      <c r="AH325" s="3250"/>
      <c r="AI325" s="3260"/>
      <c r="AJ325" s="3260"/>
      <c r="AK325" s="3260"/>
      <c r="AL325" s="3259"/>
      <c r="AM325" s="3260"/>
      <c r="AN325" s="3259"/>
      <c r="AO325" s="3260"/>
      <c r="AP325" s="3242">
        <v>0</v>
      </c>
      <c r="AQ325" s="3244"/>
      <c r="AR325" s="3244"/>
      <c r="AS325" s="3242" t="s">
        <v>3384</v>
      </c>
      <c r="AT325" s="3247">
        <f t="shared" si="39"/>
        <v>0</v>
      </c>
      <c r="AU325" s="3248">
        <f t="shared" si="40"/>
        <v>0</v>
      </c>
      <c r="AV325" s="3248">
        <v>0</v>
      </c>
      <c r="AW325" s="3247">
        <v>0</v>
      </c>
      <c r="AX325" s="3248">
        <v>0</v>
      </c>
      <c r="AY325" s="3248">
        <v>0</v>
      </c>
      <c r="AZ325" s="3247">
        <v>0</v>
      </c>
      <c r="BA325" s="3248">
        <v>0</v>
      </c>
      <c r="BB325" s="3248">
        <v>0</v>
      </c>
      <c r="BC325" s="3247">
        <v>0</v>
      </c>
      <c r="BD325" s="3248">
        <v>0</v>
      </c>
      <c r="BE325" s="3248">
        <v>0</v>
      </c>
      <c r="BF325" s="3248">
        <f t="shared" si="41"/>
        <v>0</v>
      </c>
      <c r="BG325" s="3248">
        <f t="shared" si="42"/>
        <v>0</v>
      </c>
      <c r="BH325" s="3249"/>
      <c r="BI325" s="3249"/>
    </row>
    <row r="326" spans="1:61" x14ac:dyDescent="0.3">
      <c r="A326" s="4197" t="s">
        <v>3384</v>
      </c>
      <c r="B326" s="3261"/>
      <c r="C326" s="3243">
        <v>0</v>
      </c>
      <c r="D326" s="3242">
        <v>0</v>
      </c>
      <c r="E326" s="3244"/>
      <c r="F326" s="3244"/>
      <c r="G326" s="3242">
        <v>0</v>
      </c>
      <c r="H326" s="3244"/>
      <c r="I326" s="3244"/>
      <c r="J326" s="3244"/>
      <c r="K326" s="3242">
        <v>0</v>
      </c>
      <c r="L326" s="3244"/>
      <c r="M326" s="3244"/>
      <c r="N326" s="3242" t="s">
        <v>3384</v>
      </c>
      <c r="O326" s="3239">
        <v>0</v>
      </c>
      <c r="P326" s="3242">
        <v>0</v>
      </c>
      <c r="Q326" s="3244"/>
      <c r="R326" s="3244"/>
      <c r="S326" s="3242">
        <v>0</v>
      </c>
      <c r="T326" s="3244"/>
      <c r="U326" s="3244"/>
      <c r="V326" s="3244"/>
      <c r="W326" s="3240">
        <v>0</v>
      </c>
      <c r="X326" s="3244"/>
      <c r="Y326" s="3244"/>
      <c r="Z326" s="3242" t="s">
        <v>3384</v>
      </c>
      <c r="AA326" s="3243">
        <v>0</v>
      </c>
      <c r="AB326" s="3242">
        <v>0</v>
      </c>
      <c r="AC326" s="3244"/>
      <c r="AD326" s="3244"/>
      <c r="AE326" s="3242">
        <v>0</v>
      </c>
      <c r="AF326" s="3259"/>
      <c r="AG326" s="3260"/>
      <c r="AH326" s="3250"/>
      <c r="AI326" s="3260"/>
      <c r="AJ326" s="3260"/>
      <c r="AK326" s="3260"/>
      <c r="AL326" s="3259"/>
      <c r="AM326" s="3260"/>
      <c r="AN326" s="3259"/>
      <c r="AO326" s="3260"/>
      <c r="AP326" s="3242">
        <v>0</v>
      </c>
      <c r="AQ326" s="3244"/>
      <c r="AR326" s="3244"/>
      <c r="AS326" s="3242" t="s">
        <v>3384</v>
      </c>
      <c r="AT326" s="3247">
        <f t="shared" si="39"/>
        <v>0</v>
      </c>
      <c r="AU326" s="3248">
        <f t="shared" si="40"/>
        <v>0</v>
      </c>
      <c r="AV326" s="3248">
        <v>0</v>
      </c>
      <c r="AW326" s="3247">
        <v>0</v>
      </c>
      <c r="AX326" s="3248">
        <v>0</v>
      </c>
      <c r="AY326" s="3248">
        <v>0</v>
      </c>
      <c r="AZ326" s="3247">
        <v>0</v>
      </c>
      <c r="BA326" s="3248">
        <v>0</v>
      </c>
      <c r="BB326" s="3248">
        <v>0</v>
      </c>
      <c r="BC326" s="3247">
        <v>0</v>
      </c>
      <c r="BD326" s="3248">
        <v>0</v>
      </c>
      <c r="BE326" s="3248">
        <v>0</v>
      </c>
      <c r="BF326" s="3248">
        <f t="shared" si="41"/>
        <v>0</v>
      </c>
      <c r="BG326" s="3248">
        <f t="shared" si="42"/>
        <v>0</v>
      </c>
      <c r="BH326" s="3249"/>
      <c r="BI326" s="3249"/>
    </row>
    <row r="327" spans="1:61" x14ac:dyDescent="0.3">
      <c r="A327" s="4197" t="s">
        <v>3384</v>
      </c>
      <c r="B327" s="3261"/>
      <c r="C327" s="3243">
        <v>0</v>
      </c>
      <c r="D327" s="3242">
        <v>0</v>
      </c>
      <c r="E327" s="3244"/>
      <c r="F327" s="3244"/>
      <c r="G327" s="3242">
        <v>0</v>
      </c>
      <c r="H327" s="3244"/>
      <c r="I327" s="3244"/>
      <c r="J327" s="3244"/>
      <c r="K327" s="3242">
        <v>0</v>
      </c>
      <c r="L327" s="3244"/>
      <c r="M327" s="3244"/>
      <c r="N327" s="3242" t="s">
        <v>3384</v>
      </c>
      <c r="O327" s="3239">
        <v>0</v>
      </c>
      <c r="P327" s="3242">
        <v>0</v>
      </c>
      <c r="Q327" s="3244"/>
      <c r="R327" s="3244"/>
      <c r="S327" s="3242">
        <v>0</v>
      </c>
      <c r="T327" s="3244"/>
      <c r="U327" s="3244"/>
      <c r="V327" s="3244"/>
      <c r="W327" s="3240">
        <v>0</v>
      </c>
      <c r="X327" s="3244"/>
      <c r="Y327" s="3244"/>
      <c r="Z327" s="3242" t="s">
        <v>3384</v>
      </c>
      <c r="AA327" s="3243">
        <v>0</v>
      </c>
      <c r="AB327" s="3242">
        <v>0</v>
      </c>
      <c r="AC327" s="3244"/>
      <c r="AD327" s="3244"/>
      <c r="AE327" s="3242">
        <v>0</v>
      </c>
      <c r="AF327" s="3259"/>
      <c r="AG327" s="3260"/>
      <c r="AH327" s="3250"/>
      <c r="AI327" s="3260"/>
      <c r="AJ327" s="3260"/>
      <c r="AK327" s="3260"/>
      <c r="AL327" s="3259"/>
      <c r="AM327" s="3260"/>
      <c r="AN327" s="3259"/>
      <c r="AO327" s="3260"/>
      <c r="AP327" s="3242">
        <v>0</v>
      </c>
      <c r="AQ327" s="3244"/>
      <c r="AR327" s="3244"/>
      <c r="AS327" s="3242" t="s">
        <v>3384</v>
      </c>
      <c r="AT327" s="3247">
        <f t="shared" si="39"/>
        <v>0</v>
      </c>
      <c r="AU327" s="3248">
        <f t="shared" si="40"/>
        <v>0</v>
      </c>
      <c r="AV327" s="3248">
        <v>0</v>
      </c>
      <c r="AW327" s="3247">
        <v>0</v>
      </c>
      <c r="AX327" s="3248">
        <v>0</v>
      </c>
      <c r="AY327" s="3248">
        <v>0</v>
      </c>
      <c r="AZ327" s="3247">
        <v>0</v>
      </c>
      <c r="BA327" s="3248">
        <v>0</v>
      </c>
      <c r="BB327" s="3248">
        <v>0</v>
      </c>
      <c r="BC327" s="3247">
        <v>0</v>
      </c>
      <c r="BD327" s="3248">
        <v>0</v>
      </c>
      <c r="BE327" s="3248">
        <v>0</v>
      </c>
      <c r="BF327" s="3248">
        <f t="shared" si="41"/>
        <v>0</v>
      </c>
      <c r="BG327" s="3248">
        <f t="shared" si="42"/>
        <v>0</v>
      </c>
      <c r="BH327" s="3249"/>
      <c r="BI327" s="3249"/>
    </row>
    <row r="328" spans="1:61" x14ac:dyDescent="0.3">
      <c r="A328" s="4197" t="s">
        <v>3384</v>
      </c>
      <c r="B328" s="3261"/>
      <c r="C328" s="3243">
        <v>0</v>
      </c>
      <c r="D328" s="3242">
        <v>0</v>
      </c>
      <c r="E328" s="3244"/>
      <c r="F328" s="3244"/>
      <c r="G328" s="3242">
        <v>0</v>
      </c>
      <c r="H328" s="3244"/>
      <c r="I328" s="3244"/>
      <c r="J328" s="3244"/>
      <c r="K328" s="3242">
        <v>0</v>
      </c>
      <c r="L328" s="3244"/>
      <c r="M328" s="3244"/>
      <c r="N328" s="3242" t="s">
        <v>3384</v>
      </c>
      <c r="O328" s="3239">
        <v>0</v>
      </c>
      <c r="P328" s="3242">
        <v>0</v>
      </c>
      <c r="Q328" s="3244"/>
      <c r="R328" s="3244"/>
      <c r="S328" s="3242">
        <v>0</v>
      </c>
      <c r="T328" s="3244"/>
      <c r="U328" s="3244"/>
      <c r="V328" s="3244"/>
      <c r="W328" s="3240">
        <v>0</v>
      </c>
      <c r="X328" s="3244"/>
      <c r="Y328" s="3244"/>
      <c r="Z328" s="3242" t="s">
        <v>3384</v>
      </c>
      <c r="AA328" s="3243">
        <v>0</v>
      </c>
      <c r="AB328" s="3242">
        <v>0</v>
      </c>
      <c r="AC328" s="3244"/>
      <c r="AD328" s="3244"/>
      <c r="AE328" s="3242">
        <v>0</v>
      </c>
      <c r="AF328" s="3259"/>
      <c r="AG328" s="3260"/>
      <c r="AH328" s="3250"/>
      <c r="AI328" s="3260"/>
      <c r="AJ328" s="3260"/>
      <c r="AK328" s="3260"/>
      <c r="AL328" s="3259"/>
      <c r="AM328" s="3260"/>
      <c r="AN328" s="3259"/>
      <c r="AO328" s="3260"/>
      <c r="AP328" s="3242">
        <v>0</v>
      </c>
      <c r="AQ328" s="3244"/>
      <c r="AR328" s="3244"/>
      <c r="AS328" s="3242" t="s">
        <v>3384</v>
      </c>
      <c r="AT328" s="3247">
        <f t="shared" si="39"/>
        <v>0</v>
      </c>
      <c r="AU328" s="3248">
        <f t="shared" si="40"/>
        <v>0</v>
      </c>
      <c r="AV328" s="3248">
        <v>0</v>
      </c>
      <c r="AW328" s="3247">
        <v>0</v>
      </c>
      <c r="AX328" s="3248">
        <v>0</v>
      </c>
      <c r="AY328" s="3248">
        <v>0</v>
      </c>
      <c r="AZ328" s="3247">
        <v>0</v>
      </c>
      <c r="BA328" s="3248">
        <v>0</v>
      </c>
      <c r="BB328" s="3248">
        <v>0</v>
      </c>
      <c r="BC328" s="3247">
        <v>0</v>
      </c>
      <c r="BD328" s="3248">
        <v>0</v>
      </c>
      <c r="BE328" s="3248">
        <v>0</v>
      </c>
      <c r="BF328" s="3248">
        <f t="shared" si="41"/>
        <v>0</v>
      </c>
      <c r="BG328" s="3248">
        <f t="shared" si="42"/>
        <v>0</v>
      </c>
      <c r="BH328" s="3249"/>
      <c r="BI328" s="3249"/>
    </row>
    <row r="329" spans="1:61" x14ac:dyDescent="0.3">
      <c r="A329" s="4197" t="s">
        <v>3384</v>
      </c>
      <c r="B329" s="3261"/>
      <c r="C329" s="3243">
        <v>0</v>
      </c>
      <c r="D329" s="3242">
        <v>0</v>
      </c>
      <c r="E329" s="3244"/>
      <c r="F329" s="3244"/>
      <c r="G329" s="3242">
        <v>0</v>
      </c>
      <c r="H329" s="3244"/>
      <c r="I329" s="3244"/>
      <c r="J329" s="3244"/>
      <c r="K329" s="3242">
        <v>0</v>
      </c>
      <c r="L329" s="3244"/>
      <c r="M329" s="3244"/>
      <c r="N329" s="3242" t="s">
        <v>3384</v>
      </c>
      <c r="O329" s="3239">
        <v>0</v>
      </c>
      <c r="P329" s="3242">
        <v>0</v>
      </c>
      <c r="Q329" s="3244"/>
      <c r="R329" s="3244"/>
      <c r="S329" s="3242">
        <v>0</v>
      </c>
      <c r="T329" s="3244"/>
      <c r="U329" s="3244"/>
      <c r="V329" s="3244"/>
      <c r="W329" s="3240">
        <v>0</v>
      </c>
      <c r="X329" s="3244"/>
      <c r="Y329" s="3244"/>
      <c r="Z329" s="3242" t="s">
        <v>3384</v>
      </c>
      <c r="AA329" s="3243">
        <v>0</v>
      </c>
      <c r="AB329" s="3242">
        <v>0</v>
      </c>
      <c r="AC329" s="3244"/>
      <c r="AD329" s="3244"/>
      <c r="AE329" s="3242">
        <v>0</v>
      </c>
      <c r="AF329" s="3259"/>
      <c r="AG329" s="3260"/>
      <c r="AH329" s="3250"/>
      <c r="AI329" s="3260"/>
      <c r="AJ329" s="3260"/>
      <c r="AK329" s="3260"/>
      <c r="AL329" s="3259"/>
      <c r="AM329" s="3260"/>
      <c r="AN329" s="3259"/>
      <c r="AO329" s="3260"/>
      <c r="AP329" s="3242">
        <v>0</v>
      </c>
      <c r="AQ329" s="3244"/>
      <c r="AR329" s="3244"/>
      <c r="AS329" s="3242" t="s">
        <v>3384</v>
      </c>
      <c r="AT329" s="3247">
        <f t="shared" si="39"/>
        <v>0</v>
      </c>
      <c r="AU329" s="3248">
        <f t="shared" si="40"/>
        <v>0</v>
      </c>
      <c r="AV329" s="3248">
        <v>0</v>
      </c>
      <c r="AW329" s="3247">
        <v>0</v>
      </c>
      <c r="AX329" s="3248">
        <v>0</v>
      </c>
      <c r="AY329" s="3248">
        <v>0</v>
      </c>
      <c r="AZ329" s="3247">
        <v>0</v>
      </c>
      <c r="BA329" s="3248">
        <v>0</v>
      </c>
      <c r="BB329" s="3248">
        <v>0</v>
      </c>
      <c r="BC329" s="3247">
        <v>0</v>
      </c>
      <c r="BD329" s="3248">
        <v>0</v>
      </c>
      <c r="BE329" s="3248">
        <v>0</v>
      </c>
      <c r="BF329" s="3248">
        <f t="shared" si="41"/>
        <v>0</v>
      </c>
      <c r="BG329" s="3248">
        <f t="shared" si="42"/>
        <v>0</v>
      </c>
      <c r="BH329" s="3249"/>
      <c r="BI329" s="3249"/>
    </row>
    <row r="330" spans="1:61" x14ac:dyDescent="0.3">
      <c r="A330" s="4197" t="s">
        <v>3384</v>
      </c>
      <c r="B330" s="3261"/>
      <c r="C330" s="3243">
        <v>0</v>
      </c>
      <c r="D330" s="3242">
        <v>0</v>
      </c>
      <c r="E330" s="3244"/>
      <c r="F330" s="3244"/>
      <c r="G330" s="3242">
        <v>0</v>
      </c>
      <c r="H330" s="3244"/>
      <c r="I330" s="3244"/>
      <c r="J330" s="3244"/>
      <c r="K330" s="3242">
        <v>0</v>
      </c>
      <c r="L330" s="3244"/>
      <c r="M330" s="3244"/>
      <c r="N330" s="3242" t="s">
        <v>3384</v>
      </c>
      <c r="O330" s="3239">
        <v>0</v>
      </c>
      <c r="P330" s="3242">
        <v>0</v>
      </c>
      <c r="Q330" s="3244"/>
      <c r="R330" s="3244"/>
      <c r="S330" s="3242">
        <v>0</v>
      </c>
      <c r="T330" s="3244"/>
      <c r="U330" s="3244"/>
      <c r="V330" s="3244"/>
      <c r="W330" s="3240">
        <v>0</v>
      </c>
      <c r="X330" s="3244"/>
      <c r="Y330" s="3244"/>
      <c r="Z330" s="3242" t="s">
        <v>3384</v>
      </c>
      <c r="AA330" s="3243">
        <v>0</v>
      </c>
      <c r="AB330" s="3242">
        <v>0</v>
      </c>
      <c r="AC330" s="3244"/>
      <c r="AD330" s="3244"/>
      <c r="AE330" s="3242">
        <v>0</v>
      </c>
      <c r="AF330" s="3259"/>
      <c r="AG330" s="3260"/>
      <c r="AH330" s="3250"/>
      <c r="AI330" s="3260"/>
      <c r="AJ330" s="3260"/>
      <c r="AK330" s="3260"/>
      <c r="AL330" s="3259"/>
      <c r="AM330" s="3260"/>
      <c r="AN330" s="3259"/>
      <c r="AO330" s="3260"/>
      <c r="AP330" s="3242">
        <v>0</v>
      </c>
      <c r="AQ330" s="3244"/>
      <c r="AR330" s="3244"/>
      <c r="AS330" s="3242" t="s">
        <v>3384</v>
      </c>
      <c r="AT330" s="3247">
        <f t="shared" si="39"/>
        <v>0</v>
      </c>
      <c r="AU330" s="3248">
        <f t="shared" si="40"/>
        <v>0</v>
      </c>
      <c r="AV330" s="3248">
        <v>0</v>
      </c>
      <c r="AW330" s="3247">
        <v>0</v>
      </c>
      <c r="AX330" s="3248">
        <v>0</v>
      </c>
      <c r="AY330" s="3248">
        <v>0</v>
      </c>
      <c r="AZ330" s="3247">
        <v>0</v>
      </c>
      <c r="BA330" s="3248">
        <v>0</v>
      </c>
      <c r="BB330" s="3248">
        <v>0</v>
      </c>
      <c r="BC330" s="3247">
        <v>0</v>
      </c>
      <c r="BD330" s="3248">
        <v>0</v>
      </c>
      <c r="BE330" s="3248">
        <v>0</v>
      </c>
      <c r="BF330" s="3248">
        <f t="shared" si="41"/>
        <v>0</v>
      </c>
      <c r="BG330" s="3248">
        <f t="shared" si="42"/>
        <v>0</v>
      </c>
      <c r="BH330" s="3249"/>
      <c r="BI330" s="3249"/>
    </row>
    <row r="331" spans="1:61" x14ac:dyDescent="0.3">
      <c r="A331" s="4197" t="s">
        <v>3384</v>
      </c>
      <c r="B331" s="3261"/>
      <c r="C331" s="3243">
        <v>0</v>
      </c>
      <c r="D331" s="3242">
        <v>0</v>
      </c>
      <c r="E331" s="3244"/>
      <c r="F331" s="3244"/>
      <c r="G331" s="3242">
        <v>0</v>
      </c>
      <c r="H331" s="3244"/>
      <c r="I331" s="3244"/>
      <c r="J331" s="3244"/>
      <c r="K331" s="3242">
        <v>0</v>
      </c>
      <c r="L331" s="3244"/>
      <c r="M331" s="3244"/>
      <c r="N331" s="3242" t="s">
        <v>3384</v>
      </c>
      <c r="O331" s="3239">
        <v>0</v>
      </c>
      <c r="P331" s="3242">
        <v>0</v>
      </c>
      <c r="Q331" s="3244"/>
      <c r="R331" s="3244"/>
      <c r="S331" s="3242">
        <v>0</v>
      </c>
      <c r="T331" s="3244"/>
      <c r="U331" s="3244"/>
      <c r="V331" s="3244"/>
      <c r="W331" s="3240">
        <v>0</v>
      </c>
      <c r="X331" s="3244"/>
      <c r="Y331" s="3244"/>
      <c r="Z331" s="3242" t="s">
        <v>3384</v>
      </c>
      <c r="AA331" s="3243">
        <v>0</v>
      </c>
      <c r="AB331" s="3242">
        <v>0</v>
      </c>
      <c r="AC331" s="3244"/>
      <c r="AD331" s="3244"/>
      <c r="AE331" s="3242">
        <v>0</v>
      </c>
      <c r="AF331" s="3259"/>
      <c r="AG331" s="3260"/>
      <c r="AH331" s="3250"/>
      <c r="AI331" s="3260"/>
      <c r="AJ331" s="3260"/>
      <c r="AK331" s="3260"/>
      <c r="AL331" s="3259"/>
      <c r="AM331" s="3260"/>
      <c r="AN331" s="3259"/>
      <c r="AO331" s="3260"/>
      <c r="AP331" s="3242">
        <v>0</v>
      </c>
      <c r="AQ331" s="3244"/>
      <c r="AR331" s="3244"/>
      <c r="AS331" s="3242" t="s">
        <v>3384</v>
      </c>
      <c r="AT331" s="3247">
        <f t="shared" si="39"/>
        <v>0</v>
      </c>
      <c r="AU331" s="3248">
        <f t="shared" si="40"/>
        <v>0</v>
      </c>
      <c r="AV331" s="3248">
        <v>0</v>
      </c>
      <c r="AW331" s="3247">
        <v>0</v>
      </c>
      <c r="AX331" s="3248">
        <v>0</v>
      </c>
      <c r="AY331" s="3248">
        <v>0</v>
      </c>
      <c r="AZ331" s="3247">
        <v>0</v>
      </c>
      <c r="BA331" s="3248">
        <v>0</v>
      </c>
      <c r="BB331" s="3248">
        <v>0</v>
      </c>
      <c r="BC331" s="3247">
        <v>0</v>
      </c>
      <c r="BD331" s="3248">
        <v>0</v>
      </c>
      <c r="BE331" s="3248">
        <v>0</v>
      </c>
      <c r="BF331" s="3248">
        <f t="shared" si="41"/>
        <v>0</v>
      </c>
      <c r="BG331" s="3248">
        <f t="shared" si="42"/>
        <v>0</v>
      </c>
      <c r="BH331" s="3249"/>
      <c r="BI331" s="3249"/>
    </row>
    <row r="332" spans="1:61" x14ac:dyDescent="0.3">
      <c r="A332" s="4197" t="s">
        <v>3384</v>
      </c>
      <c r="B332" s="3261"/>
      <c r="C332" s="3243">
        <v>0</v>
      </c>
      <c r="D332" s="3242">
        <v>0</v>
      </c>
      <c r="E332" s="3244"/>
      <c r="F332" s="3244"/>
      <c r="G332" s="3242">
        <v>0</v>
      </c>
      <c r="H332" s="3244"/>
      <c r="I332" s="3244"/>
      <c r="J332" s="3244"/>
      <c r="K332" s="3242">
        <v>0</v>
      </c>
      <c r="L332" s="3244"/>
      <c r="M332" s="3244"/>
      <c r="N332" s="3242" t="s">
        <v>3384</v>
      </c>
      <c r="O332" s="3239">
        <v>0</v>
      </c>
      <c r="P332" s="3242">
        <v>0</v>
      </c>
      <c r="Q332" s="3244"/>
      <c r="R332" s="3244"/>
      <c r="S332" s="3242">
        <v>0</v>
      </c>
      <c r="T332" s="3244"/>
      <c r="U332" s="3244"/>
      <c r="V332" s="3244"/>
      <c r="W332" s="3240">
        <v>0</v>
      </c>
      <c r="X332" s="3244"/>
      <c r="Y332" s="3244"/>
      <c r="Z332" s="3242" t="s">
        <v>3384</v>
      </c>
      <c r="AA332" s="3243">
        <v>0</v>
      </c>
      <c r="AB332" s="3242">
        <v>0</v>
      </c>
      <c r="AC332" s="3244"/>
      <c r="AD332" s="3244"/>
      <c r="AE332" s="3242">
        <v>0</v>
      </c>
      <c r="AF332" s="3259"/>
      <c r="AG332" s="3260"/>
      <c r="AH332" s="3250"/>
      <c r="AI332" s="3260"/>
      <c r="AJ332" s="3260"/>
      <c r="AK332" s="3260"/>
      <c r="AL332" s="3259"/>
      <c r="AM332" s="3260"/>
      <c r="AN332" s="3259"/>
      <c r="AO332" s="3260"/>
      <c r="AP332" s="3242">
        <v>0</v>
      </c>
      <c r="AQ332" s="3244"/>
      <c r="AR332" s="3244"/>
      <c r="AS332" s="3242" t="s">
        <v>3384</v>
      </c>
      <c r="AT332" s="3247">
        <f t="shared" si="39"/>
        <v>0</v>
      </c>
      <c r="AU332" s="3248">
        <f t="shared" si="40"/>
        <v>0</v>
      </c>
      <c r="AV332" s="3248">
        <v>0</v>
      </c>
      <c r="AW332" s="3247">
        <v>0</v>
      </c>
      <c r="AX332" s="3248">
        <v>0</v>
      </c>
      <c r="AY332" s="3248">
        <v>0</v>
      </c>
      <c r="AZ332" s="3247">
        <v>0</v>
      </c>
      <c r="BA332" s="3248">
        <v>0</v>
      </c>
      <c r="BB332" s="3248">
        <v>0</v>
      </c>
      <c r="BC332" s="3247">
        <v>0</v>
      </c>
      <c r="BD332" s="3248">
        <v>0</v>
      </c>
      <c r="BE332" s="3248">
        <v>0</v>
      </c>
      <c r="BF332" s="3248">
        <f t="shared" si="41"/>
        <v>0</v>
      </c>
      <c r="BG332" s="3248">
        <f t="shared" si="42"/>
        <v>0</v>
      </c>
      <c r="BH332" s="3249"/>
      <c r="BI332" s="3249"/>
    </row>
    <row r="333" spans="1:61" x14ac:dyDescent="0.3">
      <c r="A333" s="4197" t="s">
        <v>3384</v>
      </c>
      <c r="B333" s="3261"/>
      <c r="C333" s="3243">
        <v>0</v>
      </c>
      <c r="D333" s="3242">
        <v>0</v>
      </c>
      <c r="E333" s="3244"/>
      <c r="F333" s="3244"/>
      <c r="G333" s="3242">
        <v>0</v>
      </c>
      <c r="H333" s="3244"/>
      <c r="I333" s="3244"/>
      <c r="J333" s="3244"/>
      <c r="K333" s="3242">
        <v>0</v>
      </c>
      <c r="L333" s="3244"/>
      <c r="M333" s="3244"/>
      <c r="N333" s="3242" t="s">
        <v>3384</v>
      </c>
      <c r="O333" s="3239">
        <v>0</v>
      </c>
      <c r="P333" s="3242">
        <v>0</v>
      </c>
      <c r="Q333" s="3244"/>
      <c r="R333" s="3244"/>
      <c r="S333" s="3242">
        <v>0</v>
      </c>
      <c r="T333" s="3244"/>
      <c r="U333" s="3244"/>
      <c r="V333" s="3244"/>
      <c r="W333" s="3240">
        <v>0</v>
      </c>
      <c r="X333" s="3244"/>
      <c r="Y333" s="3244"/>
      <c r="Z333" s="3242" t="s">
        <v>3384</v>
      </c>
      <c r="AA333" s="3243">
        <v>0</v>
      </c>
      <c r="AB333" s="3242">
        <v>0</v>
      </c>
      <c r="AC333" s="3244"/>
      <c r="AD333" s="3244"/>
      <c r="AE333" s="3242">
        <v>0</v>
      </c>
      <c r="AF333" s="3259"/>
      <c r="AG333" s="3260"/>
      <c r="AH333" s="3250"/>
      <c r="AI333" s="3260"/>
      <c r="AJ333" s="3260"/>
      <c r="AK333" s="3260"/>
      <c r="AL333" s="3259"/>
      <c r="AM333" s="3260"/>
      <c r="AN333" s="3259"/>
      <c r="AO333" s="3260"/>
      <c r="AP333" s="3242">
        <v>0</v>
      </c>
      <c r="AQ333" s="3244"/>
      <c r="AR333" s="3244"/>
      <c r="AS333" s="3242" t="s">
        <v>3384</v>
      </c>
      <c r="AT333" s="3247">
        <f t="shared" si="39"/>
        <v>0</v>
      </c>
      <c r="AU333" s="3248">
        <f t="shared" si="40"/>
        <v>0</v>
      </c>
      <c r="AV333" s="3248">
        <v>0</v>
      </c>
      <c r="AW333" s="3247">
        <v>0</v>
      </c>
      <c r="AX333" s="3248">
        <v>0</v>
      </c>
      <c r="AY333" s="3248">
        <v>0</v>
      </c>
      <c r="AZ333" s="3247">
        <v>0</v>
      </c>
      <c r="BA333" s="3248">
        <v>0</v>
      </c>
      <c r="BB333" s="3248">
        <v>0</v>
      </c>
      <c r="BC333" s="3247">
        <v>0</v>
      </c>
      <c r="BD333" s="3248">
        <v>0</v>
      </c>
      <c r="BE333" s="3248">
        <v>0</v>
      </c>
      <c r="BF333" s="3248">
        <f t="shared" si="41"/>
        <v>0</v>
      </c>
      <c r="BG333" s="3248">
        <f t="shared" si="42"/>
        <v>0</v>
      </c>
      <c r="BH333" s="3249"/>
      <c r="BI333" s="3249"/>
    </row>
    <row r="334" spans="1:61" x14ac:dyDescent="0.3">
      <c r="A334" s="4197" t="s">
        <v>3384</v>
      </c>
      <c r="B334" s="3261"/>
      <c r="C334" s="3243">
        <v>0</v>
      </c>
      <c r="D334" s="3242">
        <v>0</v>
      </c>
      <c r="E334" s="3244"/>
      <c r="F334" s="3244"/>
      <c r="G334" s="3242">
        <v>0</v>
      </c>
      <c r="H334" s="3244"/>
      <c r="I334" s="3244"/>
      <c r="J334" s="3244"/>
      <c r="K334" s="3242">
        <v>0</v>
      </c>
      <c r="L334" s="3244"/>
      <c r="M334" s="3244"/>
      <c r="N334" s="3242" t="s">
        <v>3384</v>
      </c>
      <c r="O334" s="3239">
        <v>0</v>
      </c>
      <c r="P334" s="3242">
        <v>0</v>
      </c>
      <c r="Q334" s="3244"/>
      <c r="R334" s="3244"/>
      <c r="S334" s="3242">
        <v>0</v>
      </c>
      <c r="T334" s="3244"/>
      <c r="U334" s="3244"/>
      <c r="V334" s="3244"/>
      <c r="W334" s="3240">
        <v>0</v>
      </c>
      <c r="X334" s="3244"/>
      <c r="Y334" s="3244"/>
      <c r="Z334" s="3242" t="s">
        <v>3384</v>
      </c>
      <c r="AA334" s="3243">
        <v>0</v>
      </c>
      <c r="AB334" s="3242">
        <v>0</v>
      </c>
      <c r="AC334" s="3244"/>
      <c r="AD334" s="3244"/>
      <c r="AE334" s="3242">
        <v>0</v>
      </c>
      <c r="AF334" s="3259"/>
      <c r="AG334" s="3260"/>
      <c r="AH334" s="3250"/>
      <c r="AI334" s="3260"/>
      <c r="AJ334" s="3260"/>
      <c r="AK334" s="3260"/>
      <c r="AL334" s="3259"/>
      <c r="AM334" s="3260"/>
      <c r="AN334" s="3259"/>
      <c r="AO334" s="3260"/>
      <c r="AP334" s="3242">
        <v>0</v>
      </c>
      <c r="AQ334" s="3244"/>
      <c r="AR334" s="3244"/>
      <c r="AS334" s="3242" t="s">
        <v>3384</v>
      </c>
      <c r="AT334" s="3247">
        <f t="shared" si="39"/>
        <v>0</v>
      </c>
      <c r="AU334" s="3248">
        <f t="shared" si="40"/>
        <v>0</v>
      </c>
      <c r="AV334" s="3248">
        <v>0</v>
      </c>
      <c r="AW334" s="3247">
        <v>0</v>
      </c>
      <c r="AX334" s="3248">
        <v>0</v>
      </c>
      <c r="AY334" s="3248">
        <v>0</v>
      </c>
      <c r="AZ334" s="3247">
        <v>0</v>
      </c>
      <c r="BA334" s="3248">
        <v>0</v>
      </c>
      <c r="BB334" s="3248">
        <v>0</v>
      </c>
      <c r="BC334" s="3247">
        <v>0</v>
      </c>
      <c r="BD334" s="3248">
        <v>0</v>
      </c>
      <c r="BE334" s="3248">
        <v>0</v>
      </c>
      <c r="BF334" s="3248">
        <f t="shared" si="41"/>
        <v>0</v>
      </c>
      <c r="BG334" s="3248">
        <f t="shared" si="42"/>
        <v>0</v>
      </c>
      <c r="BH334" s="3249"/>
      <c r="BI334" s="3249"/>
    </row>
    <row r="335" spans="1:61" x14ac:dyDescent="0.3">
      <c r="A335" s="4197" t="s">
        <v>3384</v>
      </c>
      <c r="B335" s="3261"/>
      <c r="C335" s="3243">
        <v>0</v>
      </c>
      <c r="D335" s="3242">
        <v>0</v>
      </c>
      <c r="E335" s="3244"/>
      <c r="F335" s="3244"/>
      <c r="G335" s="3242">
        <v>0</v>
      </c>
      <c r="H335" s="3244"/>
      <c r="I335" s="3244"/>
      <c r="J335" s="3244"/>
      <c r="K335" s="3242">
        <v>0</v>
      </c>
      <c r="L335" s="3244"/>
      <c r="M335" s="3244"/>
      <c r="N335" s="3242" t="s">
        <v>3384</v>
      </c>
      <c r="O335" s="3239">
        <v>0</v>
      </c>
      <c r="P335" s="3242">
        <v>0</v>
      </c>
      <c r="Q335" s="3244"/>
      <c r="R335" s="3244"/>
      <c r="S335" s="3242">
        <v>0</v>
      </c>
      <c r="T335" s="3244"/>
      <c r="U335" s="3244"/>
      <c r="V335" s="3244"/>
      <c r="W335" s="3240">
        <v>0</v>
      </c>
      <c r="X335" s="3244"/>
      <c r="Y335" s="3244"/>
      <c r="Z335" s="3242" t="s">
        <v>3384</v>
      </c>
      <c r="AA335" s="3243">
        <v>0</v>
      </c>
      <c r="AB335" s="3242">
        <v>0</v>
      </c>
      <c r="AC335" s="3244"/>
      <c r="AD335" s="3244"/>
      <c r="AE335" s="3242">
        <v>0</v>
      </c>
      <c r="AF335" s="3259"/>
      <c r="AG335" s="3260"/>
      <c r="AH335" s="3250"/>
      <c r="AI335" s="3260"/>
      <c r="AJ335" s="3260"/>
      <c r="AK335" s="3260"/>
      <c r="AL335" s="3259"/>
      <c r="AM335" s="3260"/>
      <c r="AN335" s="3259"/>
      <c r="AO335" s="3260"/>
      <c r="AP335" s="3242">
        <v>0</v>
      </c>
      <c r="AQ335" s="3244"/>
      <c r="AR335" s="3244"/>
      <c r="AS335" s="3242" t="s">
        <v>3384</v>
      </c>
      <c r="AT335" s="3247">
        <f t="shared" si="39"/>
        <v>0</v>
      </c>
      <c r="AU335" s="3248">
        <f t="shared" si="40"/>
        <v>0</v>
      </c>
      <c r="AV335" s="3248">
        <v>0</v>
      </c>
      <c r="AW335" s="3247">
        <v>0</v>
      </c>
      <c r="AX335" s="3248">
        <v>0</v>
      </c>
      <c r="AY335" s="3248">
        <v>0</v>
      </c>
      <c r="AZ335" s="3247">
        <v>0</v>
      </c>
      <c r="BA335" s="3248">
        <v>0</v>
      </c>
      <c r="BB335" s="3248">
        <v>0</v>
      </c>
      <c r="BC335" s="3247">
        <v>0</v>
      </c>
      <c r="BD335" s="3248">
        <v>0</v>
      </c>
      <c r="BE335" s="3248">
        <v>0</v>
      </c>
      <c r="BF335" s="3248">
        <f t="shared" si="41"/>
        <v>0</v>
      </c>
      <c r="BG335" s="3248">
        <f t="shared" si="42"/>
        <v>0</v>
      </c>
      <c r="BH335" s="3249"/>
      <c r="BI335" s="3249"/>
    </row>
    <row r="336" spans="1:61" x14ac:dyDescent="0.3">
      <c r="A336" s="4197" t="s">
        <v>3384</v>
      </c>
      <c r="B336" s="3261"/>
      <c r="C336" s="3243">
        <v>0</v>
      </c>
      <c r="D336" s="3242">
        <v>0</v>
      </c>
      <c r="E336" s="3244"/>
      <c r="F336" s="3244"/>
      <c r="G336" s="3242">
        <v>0</v>
      </c>
      <c r="H336" s="3244"/>
      <c r="I336" s="3244"/>
      <c r="J336" s="3244"/>
      <c r="K336" s="3242">
        <v>0</v>
      </c>
      <c r="L336" s="3244"/>
      <c r="M336" s="3244"/>
      <c r="N336" s="3242" t="s">
        <v>3384</v>
      </c>
      <c r="O336" s="3239">
        <v>0</v>
      </c>
      <c r="P336" s="3242">
        <v>0</v>
      </c>
      <c r="Q336" s="3244"/>
      <c r="R336" s="3244"/>
      <c r="S336" s="3242">
        <v>0</v>
      </c>
      <c r="T336" s="3244"/>
      <c r="U336" s="3244"/>
      <c r="V336" s="3244"/>
      <c r="W336" s="3240">
        <v>0</v>
      </c>
      <c r="X336" s="3244"/>
      <c r="Y336" s="3244"/>
      <c r="Z336" s="3242" t="s">
        <v>3384</v>
      </c>
      <c r="AA336" s="3243">
        <v>0</v>
      </c>
      <c r="AB336" s="3242">
        <v>0</v>
      </c>
      <c r="AC336" s="3244"/>
      <c r="AD336" s="3244"/>
      <c r="AE336" s="3242">
        <v>0</v>
      </c>
      <c r="AF336" s="3259"/>
      <c r="AG336" s="3260"/>
      <c r="AH336" s="3250"/>
      <c r="AI336" s="3260"/>
      <c r="AJ336" s="3260"/>
      <c r="AK336" s="3260"/>
      <c r="AL336" s="3259"/>
      <c r="AM336" s="3260"/>
      <c r="AN336" s="3259"/>
      <c r="AO336" s="3260"/>
      <c r="AP336" s="3242">
        <v>0</v>
      </c>
      <c r="AQ336" s="3244"/>
      <c r="AR336" s="3244"/>
      <c r="AS336" s="3242" t="s">
        <v>3384</v>
      </c>
      <c r="AT336" s="3247">
        <f t="shared" ref="AT336:AT399" si="43">IFERROR(AE336+(SUM(AC336:AD336)/100*($AE$14/$AB$14*100)),0)</f>
        <v>0</v>
      </c>
      <c r="AU336" s="3248">
        <f t="shared" si="40"/>
        <v>0</v>
      </c>
      <c r="AV336" s="3248">
        <v>0</v>
      </c>
      <c r="AW336" s="3247">
        <v>0</v>
      </c>
      <c r="AX336" s="3248">
        <v>0</v>
      </c>
      <c r="AY336" s="3248">
        <v>0</v>
      </c>
      <c r="AZ336" s="3247">
        <v>0</v>
      </c>
      <c r="BA336" s="3248">
        <v>0</v>
      </c>
      <c r="BB336" s="3248">
        <v>0</v>
      </c>
      <c r="BC336" s="3247">
        <v>0</v>
      </c>
      <c r="BD336" s="3248">
        <v>0</v>
      </c>
      <c r="BE336" s="3248">
        <v>0</v>
      </c>
      <c r="BF336" s="3248">
        <f t="shared" si="41"/>
        <v>0</v>
      </c>
      <c r="BG336" s="3248">
        <f t="shared" si="42"/>
        <v>0</v>
      </c>
      <c r="BH336" s="3249"/>
      <c r="BI336" s="3249"/>
    </row>
    <row r="337" spans="1:61" x14ac:dyDescent="0.3">
      <c r="A337" s="4197" t="s">
        <v>3384</v>
      </c>
      <c r="B337" s="3261"/>
      <c r="C337" s="3243">
        <v>0</v>
      </c>
      <c r="D337" s="3242">
        <v>0</v>
      </c>
      <c r="E337" s="3244"/>
      <c r="F337" s="3244"/>
      <c r="G337" s="3242">
        <v>0</v>
      </c>
      <c r="H337" s="3244"/>
      <c r="I337" s="3244"/>
      <c r="J337" s="3244"/>
      <c r="K337" s="3242">
        <v>0</v>
      </c>
      <c r="L337" s="3244"/>
      <c r="M337" s="3244"/>
      <c r="N337" s="3242" t="s">
        <v>3384</v>
      </c>
      <c r="O337" s="3239">
        <v>0</v>
      </c>
      <c r="P337" s="3242">
        <v>0</v>
      </c>
      <c r="Q337" s="3244"/>
      <c r="R337" s="3244"/>
      <c r="S337" s="3242">
        <v>0</v>
      </c>
      <c r="T337" s="3244"/>
      <c r="U337" s="3244"/>
      <c r="V337" s="3244"/>
      <c r="W337" s="3240">
        <v>0</v>
      </c>
      <c r="X337" s="3244"/>
      <c r="Y337" s="3244"/>
      <c r="Z337" s="3242" t="s">
        <v>3384</v>
      </c>
      <c r="AA337" s="3243">
        <v>0</v>
      </c>
      <c r="AB337" s="3242">
        <v>0</v>
      </c>
      <c r="AC337" s="3244"/>
      <c r="AD337" s="3244"/>
      <c r="AE337" s="3242">
        <v>0</v>
      </c>
      <c r="AF337" s="3259"/>
      <c r="AG337" s="3260"/>
      <c r="AH337" s="3250"/>
      <c r="AI337" s="3260"/>
      <c r="AJ337" s="3260"/>
      <c r="AK337" s="3260"/>
      <c r="AL337" s="3259"/>
      <c r="AM337" s="3260"/>
      <c r="AN337" s="3259"/>
      <c r="AO337" s="3260"/>
      <c r="AP337" s="3242">
        <v>0</v>
      </c>
      <c r="AQ337" s="3244"/>
      <c r="AR337" s="3244"/>
      <c r="AS337" s="3242" t="s">
        <v>3384</v>
      </c>
      <c r="AT337" s="3247">
        <f t="shared" si="43"/>
        <v>0</v>
      </c>
      <c r="AU337" s="3248">
        <f t="shared" si="40"/>
        <v>0</v>
      </c>
      <c r="AV337" s="3248">
        <v>0</v>
      </c>
      <c r="AW337" s="3247">
        <v>0</v>
      </c>
      <c r="AX337" s="3248">
        <v>0</v>
      </c>
      <c r="AY337" s="3248">
        <v>0</v>
      </c>
      <c r="AZ337" s="3247">
        <v>0</v>
      </c>
      <c r="BA337" s="3248">
        <v>0</v>
      </c>
      <c r="BB337" s="3248">
        <v>0</v>
      </c>
      <c r="BC337" s="3247">
        <v>0</v>
      </c>
      <c r="BD337" s="3248">
        <v>0</v>
      </c>
      <c r="BE337" s="3248">
        <v>0</v>
      </c>
      <c r="BF337" s="3248">
        <f t="shared" si="41"/>
        <v>0</v>
      </c>
      <c r="BG337" s="3248">
        <f t="shared" si="42"/>
        <v>0</v>
      </c>
      <c r="BH337" s="3249"/>
      <c r="BI337" s="3249"/>
    </row>
    <row r="338" spans="1:61" x14ac:dyDescent="0.3">
      <c r="A338" s="4197" t="s">
        <v>3384</v>
      </c>
      <c r="B338" s="3261"/>
      <c r="C338" s="3243">
        <v>0</v>
      </c>
      <c r="D338" s="3242">
        <v>0</v>
      </c>
      <c r="E338" s="3244"/>
      <c r="F338" s="3244"/>
      <c r="G338" s="3242">
        <v>0</v>
      </c>
      <c r="H338" s="3244"/>
      <c r="I338" s="3244"/>
      <c r="J338" s="3244"/>
      <c r="K338" s="3242">
        <v>0</v>
      </c>
      <c r="L338" s="3244"/>
      <c r="M338" s="3244"/>
      <c r="N338" s="3242" t="s">
        <v>3384</v>
      </c>
      <c r="O338" s="3239">
        <v>0</v>
      </c>
      <c r="P338" s="3242">
        <v>0</v>
      </c>
      <c r="Q338" s="3244"/>
      <c r="R338" s="3244"/>
      <c r="S338" s="3242">
        <v>0</v>
      </c>
      <c r="T338" s="3244"/>
      <c r="U338" s="3244"/>
      <c r="V338" s="3244"/>
      <c r="W338" s="3240">
        <v>0</v>
      </c>
      <c r="X338" s="3244"/>
      <c r="Y338" s="3244"/>
      <c r="Z338" s="3242" t="s">
        <v>3384</v>
      </c>
      <c r="AA338" s="3243">
        <v>0</v>
      </c>
      <c r="AB338" s="3242">
        <v>0</v>
      </c>
      <c r="AC338" s="3244"/>
      <c r="AD338" s="3244"/>
      <c r="AE338" s="3242">
        <v>0</v>
      </c>
      <c r="AF338" s="3259"/>
      <c r="AG338" s="3260"/>
      <c r="AH338" s="3250"/>
      <c r="AI338" s="3260"/>
      <c r="AJ338" s="3260"/>
      <c r="AK338" s="3260"/>
      <c r="AL338" s="3259"/>
      <c r="AM338" s="3260"/>
      <c r="AN338" s="3259"/>
      <c r="AO338" s="3260"/>
      <c r="AP338" s="3242">
        <v>0</v>
      </c>
      <c r="AQ338" s="3244"/>
      <c r="AR338" s="3244"/>
      <c r="AS338" s="3242" t="s">
        <v>3384</v>
      </c>
      <c r="AT338" s="3247">
        <f t="shared" si="43"/>
        <v>0</v>
      </c>
      <c r="AU338" s="3248">
        <f t="shared" si="40"/>
        <v>0</v>
      </c>
      <c r="AV338" s="3248">
        <v>0</v>
      </c>
      <c r="AW338" s="3247">
        <v>0</v>
      </c>
      <c r="AX338" s="3248">
        <v>0</v>
      </c>
      <c r="AY338" s="3248">
        <v>0</v>
      </c>
      <c r="AZ338" s="3247">
        <v>0</v>
      </c>
      <c r="BA338" s="3248">
        <v>0</v>
      </c>
      <c r="BB338" s="3248">
        <v>0</v>
      </c>
      <c r="BC338" s="3247">
        <v>0</v>
      </c>
      <c r="BD338" s="3248">
        <v>0</v>
      </c>
      <c r="BE338" s="3248">
        <v>0</v>
      </c>
      <c r="BF338" s="3248">
        <f t="shared" si="41"/>
        <v>0</v>
      </c>
      <c r="BG338" s="3248">
        <f t="shared" si="42"/>
        <v>0</v>
      </c>
      <c r="BH338" s="3249"/>
      <c r="BI338" s="3249"/>
    </row>
    <row r="339" spans="1:61" x14ac:dyDescent="0.3">
      <c r="A339" s="4197" t="s">
        <v>3384</v>
      </c>
      <c r="B339" s="3261"/>
      <c r="C339" s="3243">
        <v>0</v>
      </c>
      <c r="D339" s="3242">
        <v>0</v>
      </c>
      <c r="E339" s="3244"/>
      <c r="F339" s="3244"/>
      <c r="G339" s="3242">
        <v>0</v>
      </c>
      <c r="H339" s="3244"/>
      <c r="I339" s="3244"/>
      <c r="J339" s="3244"/>
      <c r="K339" s="3242">
        <v>0</v>
      </c>
      <c r="L339" s="3244"/>
      <c r="M339" s="3244"/>
      <c r="N339" s="3242" t="s">
        <v>3384</v>
      </c>
      <c r="O339" s="3239">
        <v>0</v>
      </c>
      <c r="P339" s="3242">
        <v>0</v>
      </c>
      <c r="Q339" s="3244"/>
      <c r="R339" s="3244"/>
      <c r="S339" s="3242">
        <v>0</v>
      </c>
      <c r="T339" s="3244"/>
      <c r="U339" s="3244"/>
      <c r="V339" s="3244"/>
      <c r="W339" s="3240">
        <v>0</v>
      </c>
      <c r="X339" s="3244"/>
      <c r="Y339" s="3244"/>
      <c r="Z339" s="3242" t="s">
        <v>3384</v>
      </c>
      <c r="AA339" s="3243">
        <v>0</v>
      </c>
      <c r="AB339" s="3242">
        <v>0</v>
      </c>
      <c r="AC339" s="3244"/>
      <c r="AD339" s="3244"/>
      <c r="AE339" s="3242">
        <v>0</v>
      </c>
      <c r="AF339" s="3259"/>
      <c r="AG339" s="3260"/>
      <c r="AH339" s="3250"/>
      <c r="AI339" s="3260"/>
      <c r="AJ339" s="3260"/>
      <c r="AK339" s="3260"/>
      <c r="AL339" s="3259"/>
      <c r="AM339" s="3260"/>
      <c r="AN339" s="3259"/>
      <c r="AO339" s="3260"/>
      <c r="AP339" s="3242">
        <v>0</v>
      </c>
      <c r="AQ339" s="3244"/>
      <c r="AR339" s="3244"/>
      <c r="AS339" s="3242" t="s">
        <v>3384</v>
      </c>
      <c r="AT339" s="3247">
        <f t="shared" si="43"/>
        <v>0</v>
      </c>
      <c r="AU339" s="3248">
        <f t="shared" ref="AU339:AU402" si="44">AX339+BA339+BD339</f>
        <v>0</v>
      </c>
      <c r="AV339" s="3248">
        <v>0</v>
      </c>
      <c r="AW339" s="3247">
        <v>0</v>
      </c>
      <c r="AX339" s="3248">
        <v>0</v>
      </c>
      <c r="AY339" s="3248">
        <v>0</v>
      </c>
      <c r="AZ339" s="3247">
        <v>0</v>
      </c>
      <c r="BA339" s="3248">
        <v>0</v>
      </c>
      <c r="BB339" s="3248">
        <v>0</v>
      </c>
      <c r="BC339" s="3247">
        <v>0</v>
      </c>
      <c r="BD339" s="3248">
        <v>0</v>
      </c>
      <c r="BE339" s="3248">
        <v>0</v>
      </c>
      <c r="BF339" s="3248">
        <f t="shared" ref="BF339:BF402" si="45">IFERROR(ROUND(AE339/S339*100,2),0)</f>
        <v>0</v>
      </c>
      <c r="BG339" s="3248">
        <f t="shared" ref="BG339:BG402" si="46">IFERROR(ROUND(AA339/O339*100,2),0)</f>
        <v>0</v>
      </c>
      <c r="BH339" s="3249"/>
      <c r="BI339" s="3249"/>
    </row>
    <row r="340" spans="1:61" x14ac:dyDescent="0.3">
      <c r="A340" s="4197" t="s">
        <v>3384</v>
      </c>
      <c r="B340" s="3261"/>
      <c r="C340" s="3243">
        <v>0</v>
      </c>
      <c r="D340" s="3242">
        <v>0</v>
      </c>
      <c r="E340" s="3244"/>
      <c r="F340" s="3244"/>
      <c r="G340" s="3242">
        <v>0</v>
      </c>
      <c r="H340" s="3244"/>
      <c r="I340" s="3244"/>
      <c r="J340" s="3244"/>
      <c r="K340" s="3242">
        <v>0</v>
      </c>
      <c r="L340" s="3244"/>
      <c r="M340" s="3244"/>
      <c r="N340" s="3242" t="s">
        <v>3384</v>
      </c>
      <c r="O340" s="3239">
        <v>0</v>
      </c>
      <c r="P340" s="3242">
        <v>0</v>
      </c>
      <c r="Q340" s="3244"/>
      <c r="R340" s="3244"/>
      <c r="S340" s="3242">
        <v>0</v>
      </c>
      <c r="T340" s="3244"/>
      <c r="U340" s="3244"/>
      <c r="V340" s="3244"/>
      <c r="W340" s="3240">
        <v>0</v>
      </c>
      <c r="X340" s="3244"/>
      <c r="Y340" s="3244"/>
      <c r="Z340" s="3242" t="s">
        <v>3384</v>
      </c>
      <c r="AA340" s="3243">
        <v>0</v>
      </c>
      <c r="AB340" s="3242">
        <v>0</v>
      </c>
      <c r="AC340" s="3244"/>
      <c r="AD340" s="3244"/>
      <c r="AE340" s="3242">
        <v>0</v>
      </c>
      <c r="AF340" s="3259"/>
      <c r="AG340" s="3260"/>
      <c r="AH340" s="3250"/>
      <c r="AI340" s="3260"/>
      <c r="AJ340" s="3260"/>
      <c r="AK340" s="3260"/>
      <c r="AL340" s="3259"/>
      <c r="AM340" s="3260"/>
      <c r="AN340" s="3259"/>
      <c r="AO340" s="3260"/>
      <c r="AP340" s="3242">
        <v>0</v>
      </c>
      <c r="AQ340" s="3244"/>
      <c r="AR340" s="3244"/>
      <c r="AS340" s="3242" t="s">
        <v>3384</v>
      </c>
      <c r="AT340" s="3247">
        <f t="shared" si="43"/>
        <v>0</v>
      </c>
      <c r="AU340" s="3248">
        <f t="shared" si="44"/>
        <v>0</v>
      </c>
      <c r="AV340" s="3248">
        <v>0</v>
      </c>
      <c r="AW340" s="3247">
        <v>0</v>
      </c>
      <c r="AX340" s="3248">
        <v>0</v>
      </c>
      <c r="AY340" s="3248">
        <v>0</v>
      </c>
      <c r="AZ340" s="3247">
        <v>0</v>
      </c>
      <c r="BA340" s="3248">
        <v>0</v>
      </c>
      <c r="BB340" s="3248">
        <v>0</v>
      </c>
      <c r="BC340" s="3247">
        <v>0</v>
      </c>
      <c r="BD340" s="3248">
        <v>0</v>
      </c>
      <c r="BE340" s="3248">
        <v>0</v>
      </c>
      <c r="BF340" s="3248">
        <f t="shared" si="45"/>
        <v>0</v>
      </c>
      <c r="BG340" s="3248">
        <f t="shared" si="46"/>
        <v>0</v>
      </c>
      <c r="BH340" s="3249"/>
      <c r="BI340" s="3249"/>
    </row>
    <row r="341" spans="1:61" x14ac:dyDescent="0.3">
      <c r="A341" s="4197" t="s">
        <v>3384</v>
      </c>
      <c r="B341" s="3261"/>
      <c r="C341" s="3243">
        <v>0</v>
      </c>
      <c r="D341" s="3242">
        <v>0</v>
      </c>
      <c r="E341" s="3244"/>
      <c r="F341" s="3244"/>
      <c r="G341" s="3242">
        <v>0</v>
      </c>
      <c r="H341" s="3244"/>
      <c r="I341" s="3244"/>
      <c r="J341" s="3244"/>
      <c r="K341" s="3242">
        <v>0</v>
      </c>
      <c r="L341" s="3244"/>
      <c r="M341" s="3244"/>
      <c r="N341" s="3242" t="s">
        <v>3384</v>
      </c>
      <c r="O341" s="3239">
        <v>0</v>
      </c>
      <c r="P341" s="3242">
        <v>0</v>
      </c>
      <c r="Q341" s="3244"/>
      <c r="R341" s="3244"/>
      <c r="S341" s="3242">
        <v>0</v>
      </c>
      <c r="T341" s="3244"/>
      <c r="U341" s="3244"/>
      <c r="V341" s="3244"/>
      <c r="W341" s="3240">
        <v>0</v>
      </c>
      <c r="X341" s="3244"/>
      <c r="Y341" s="3244"/>
      <c r="Z341" s="3242" t="s">
        <v>3384</v>
      </c>
      <c r="AA341" s="3243">
        <v>0</v>
      </c>
      <c r="AB341" s="3242">
        <v>0</v>
      </c>
      <c r="AC341" s="3244"/>
      <c r="AD341" s="3244"/>
      <c r="AE341" s="3242">
        <v>0</v>
      </c>
      <c r="AF341" s="3259"/>
      <c r="AG341" s="3260"/>
      <c r="AH341" s="3250"/>
      <c r="AI341" s="3260"/>
      <c r="AJ341" s="3260"/>
      <c r="AK341" s="3260"/>
      <c r="AL341" s="3259"/>
      <c r="AM341" s="3260"/>
      <c r="AN341" s="3259"/>
      <c r="AO341" s="3260"/>
      <c r="AP341" s="3242">
        <v>0</v>
      </c>
      <c r="AQ341" s="3244"/>
      <c r="AR341" s="3244"/>
      <c r="AS341" s="3242" t="s">
        <v>3384</v>
      </c>
      <c r="AT341" s="3247">
        <f t="shared" si="43"/>
        <v>0</v>
      </c>
      <c r="AU341" s="3248">
        <f t="shared" si="44"/>
        <v>0</v>
      </c>
      <c r="AV341" s="3248">
        <v>0</v>
      </c>
      <c r="AW341" s="3247">
        <v>0</v>
      </c>
      <c r="AX341" s="3248">
        <v>0</v>
      </c>
      <c r="AY341" s="3248">
        <v>0</v>
      </c>
      <c r="AZ341" s="3247">
        <v>0</v>
      </c>
      <c r="BA341" s="3248">
        <v>0</v>
      </c>
      <c r="BB341" s="3248">
        <v>0</v>
      </c>
      <c r="BC341" s="3247">
        <v>0</v>
      </c>
      <c r="BD341" s="3248">
        <v>0</v>
      </c>
      <c r="BE341" s="3248">
        <v>0</v>
      </c>
      <c r="BF341" s="3248">
        <f t="shared" si="45"/>
        <v>0</v>
      </c>
      <c r="BG341" s="3248">
        <f t="shared" si="46"/>
        <v>0</v>
      </c>
      <c r="BH341" s="3249"/>
      <c r="BI341" s="3249"/>
    </row>
    <row r="342" spans="1:61" x14ac:dyDescent="0.3">
      <c r="A342" s="4197" t="s">
        <v>3384</v>
      </c>
      <c r="B342" s="3261"/>
      <c r="C342" s="3243">
        <v>0</v>
      </c>
      <c r="D342" s="3242">
        <v>0</v>
      </c>
      <c r="E342" s="3244"/>
      <c r="F342" s="3244"/>
      <c r="G342" s="3242">
        <v>0</v>
      </c>
      <c r="H342" s="3244"/>
      <c r="I342" s="3244"/>
      <c r="J342" s="3244"/>
      <c r="K342" s="3242">
        <v>0</v>
      </c>
      <c r="L342" s="3244"/>
      <c r="M342" s="3244"/>
      <c r="N342" s="3242" t="s">
        <v>3384</v>
      </c>
      <c r="O342" s="3239">
        <v>0</v>
      </c>
      <c r="P342" s="3242">
        <v>0</v>
      </c>
      <c r="Q342" s="3244"/>
      <c r="R342" s="3244"/>
      <c r="S342" s="3242">
        <v>0</v>
      </c>
      <c r="T342" s="3244"/>
      <c r="U342" s="3244"/>
      <c r="V342" s="3244"/>
      <c r="W342" s="3240">
        <v>0</v>
      </c>
      <c r="X342" s="3244"/>
      <c r="Y342" s="3244"/>
      <c r="Z342" s="3242" t="s">
        <v>3384</v>
      </c>
      <c r="AA342" s="3243">
        <v>0</v>
      </c>
      <c r="AB342" s="3242">
        <v>0</v>
      </c>
      <c r="AC342" s="3244"/>
      <c r="AD342" s="3244"/>
      <c r="AE342" s="3242">
        <v>0</v>
      </c>
      <c r="AF342" s="3259"/>
      <c r="AG342" s="3260"/>
      <c r="AH342" s="3250"/>
      <c r="AI342" s="3260"/>
      <c r="AJ342" s="3260"/>
      <c r="AK342" s="3260"/>
      <c r="AL342" s="3259"/>
      <c r="AM342" s="3260"/>
      <c r="AN342" s="3259"/>
      <c r="AO342" s="3260"/>
      <c r="AP342" s="3242">
        <v>0</v>
      </c>
      <c r="AQ342" s="3244"/>
      <c r="AR342" s="3244"/>
      <c r="AS342" s="3242" t="s">
        <v>3384</v>
      </c>
      <c r="AT342" s="3247">
        <f t="shared" si="43"/>
        <v>0</v>
      </c>
      <c r="AU342" s="3248">
        <f t="shared" si="44"/>
        <v>0</v>
      </c>
      <c r="AV342" s="3248">
        <v>0</v>
      </c>
      <c r="AW342" s="3247">
        <v>0</v>
      </c>
      <c r="AX342" s="3248">
        <v>0</v>
      </c>
      <c r="AY342" s="3248">
        <v>0</v>
      </c>
      <c r="AZ342" s="3247">
        <v>0</v>
      </c>
      <c r="BA342" s="3248">
        <v>0</v>
      </c>
      <c r="BB342" s="3248">
        <v>0</v>
      </c>
      <c r="BC342" s="3247">
        <v>0</v>
      </c>
      <c r="BD342" s="3248">
        <v>0</v>
      </c>
      <c r="BE342" s="3248">
        <v>0</v>
      </c>
      <c r="BF342" s="3248">
        <f t="shared" si="45"/>
        <v>0</v>
      </c>
      <c r="BG342" s="3248">
        <f t="shared" si="46"/>
        <v>0</v>
      </c>
      <c r="BH342" s="3249"/>
      <c r="BI342" s="3249"/>
    </row>
    <row r="343" spans="1:61" x14ac:dyDescent="0.3">
      <c r="A343" s="4197" t="s">
        <v>3384</v>
      </c>
      <c r="B343" s="3261"/>
      <c r="C343" s="3243">
        <v>0</v>
      </c>
      <c r="D343" s="3242">
        <v>0</v>
      </c>
      <c r="E343" s="3244"/>
      <c r="F343" s="3244"/>
      <c r="G343" s="3242">
        <v>0</v>
      </c>
      <c r="H343" s="3244"/>
      <c r="I343" s="3244"/>
      <c r="J343" s="3244"/>
      <c r="K343" s="3242">
        <v>0</v>
      </c>
      <c r="L343" s="3244"/>
      <c r="M343" s="3244"/>
      <c r="N343" s="3242" t="s">
        <v>3384</v>
      </c>
      <c r="O343" s="3239">
        <v>0</v>
      </c>
      <c r="P343" s="3242">
        <v>0</v>
      </c>
      <c r="Q343" s="3244"/>
      <c r="R343" s="3244"/>
      <c r="S343" s="3242">
        <v>0</v>
      </c>
      <c r="T343" s="3244"/>
      <c r="U343" s="3244"/>
      <c r="V343" s="3244"/>
      <c r="W343" s="3240">
        <v>0</v>
      </c>
      <c r="X343" s="3244"/>
      <c r="Y343" s="3244"/>
      <c r="Z343" s="3242" t="s">
        <v>3384</v>
      </c>
      <c r="AA343" s="3243">
        <v>0</v>
      </c>
      <c r="AB343" s="3242">
        <v>0</v>
      </c>
      <c r="AC343" s="3244"/>
      <c r="AD343" s="3244"/>
      <c r="AE343" s="3242">
        <v>0</v>
      </c>
      <c r="AF343" s="3259"/>
      <c r="AG343" s="3260"/>
      <c r="AH343" s="3250"/>
      <c r="AI343" s="3260"/>
      <c r="AJ343" s="3260"/>
      <c r="AK343" s="3260"/>
      <c r="AL343" s="3259"/>
      <c r="AM343" s="3260"/>
      <c r="AN343" s="3259"/>
      <c r="AO343" s="3260"/>
      <c r="AP343" s="3242">
        <v>0</v>
      </c>
      <c r="AQ343" s="3244"/>
      <c r="AR343" s="3244"/>
      <c r="AS343" s="3242" t="s">
        <v>3384</v>
      </c>
      <c r="AT343" s="3247">
        <f t="shared" si="43"/>
        <v>0</v>
      </c>
      <c r="AU343" s="3248">
        <f t="shared" si="44"/>
        <v>0</v>
      </c>
      <c r="AV343" s="3248">
        <v>0</v>
      </c>
      <c r="AW343" s="3247">
        <v>0</v>
      </c>
      <c r="AX343" s="3248">
        <v>0</v>
      </c>
      <c r="AY343" s="3248">
        <v>0</v>
      </c>
      <c r="AZ343" s="3247">
        <v>0</v>
      </c>
      <c r="BA343" s="3248">
        <v>0</v>
      </c>
      <c r="BB343" s="3248">
        <v>0</v>
      </c>
      <c r="BC343" s="3247">
        <v>0</v>
      </c>
      <c r="BD343" s="3248">
        <v>0</v>
      </c>
      <c r="BE343" s="3248">
        <v>0</v>
      </c>
      <c r="BF343" s="3248">
        <f t="shared" si="45"/>
        <v>0</v>
      </c>
      <c r="BG343" s="3248">
        <f t="shared" si="46"/>
        <v>0</v>
      </c>
      <c r="BH343" s="3249"/>
      <c r="BI343" s="3249"/>
    </row>
    <row r="344" spans="1:61" x14ac:dyDescent="0.3">
      <c r="A344" s="4197" t="s">
        <v>3384</v>
      </c>
      <c r="B344" s="3261"/>
      <c r="C344" s="3243">
        <v>0</v>
      </c>
      <c r="D344" s="3242">
        <v>0</v>
      </c>
      <c r="E344" s="3244"/>
      <c r="F344" s="3244"/>
      <c r="G344" s="3242">
        <v>0</v>
      </c>
      <c r="H344" s="3244"/>
      <c r="I344" s="3244"/>
      <c r="J344" s="3244"/>
      <c r="K344" s="3242">
        <v>0</v>
      </c>
      <c r="L344" s="3244"/>
      <c r="M344" s="3244"/>
      <c r="N344" s="3242" t="s">
        <v>3384</v>
      </c>
      <c r="O344" s="3239">
        <v>0</v>
      </c>
      <c r="P344" s="3242">
        <v>0</v>
      </c>
      <c r="Q344" s="3244"/>
      <c r="R344" s="3244"/>
      <c r="S344" s="3242">
        <v>0</v>
      </c>
      <c r="T344" s="3244"/>
      <c r="U344" s="3244"/>
      <c r="V344" s="3244"/>
      <c r="W344" s="3240">
        <v>0</v>
      </c>
      <c r="X344" s="3244"/>
      <c r="Y344" s="3244"/>
      <c r="Z344" s="3242" t="s">
        <v>3384</v>
      </c>
      <c r="AA344" s="3243">
        <v>0</v>
      </c>
      <c r="AB344" s="3242">
        <v>0</v>
      </c>
      <c r="AC344" s="3244"/>
      <c r="AD344" s="3244"/>
      <c r="AE344" s="3242">
        <v>0</v>
      </c>
      <c r="AF344" s="3259"/>
      <c r="AG344" s="3260"/>
      <c r="AH344" s="3250"/>
      <c r="AI344" s="3260"/>
      <c r="AJ344" s="3260"/>
      <c r="AK344" s="3260"/>
      <c r="AL344" s="3259"/>
      <c r="AM344" s="3260"/>
      <c r="AN344" s="3259"/>
      <c r="AO344" s="3260"/>
      <c r="AP344" s="3242">
        <v>0</v>
      </c>
      <c r="AQ344" s="3244"/>
      <c r="AR344" s="3244"/>
      <c r="AS344" s="3242" t="s">
        <v>3384</v>
      </c>
      <c r="AT344" s="3247">
        <f t="shared" si="43"/>
        <v>0</v>
      </c>
      <c r="AU344" s="3248">
        <f t="shared" si="44"/>
        <v>0</v>
      </c>
      <c r="AV344" s="3248">
        <v>0</v>
      </c>
      <c r="AW344" s="3247">
        <v>0</v>
      </c>
      <c r="AX344" s="3248">
        <v>0</v>
      </c>
      <c r="AY344" s="3248">
        <v>0</v>
      </c>
      <c r="AZ344" s="3247">
        <v>0</v>
      </c>
      <c r="BA344" s="3248">
        <v>0</v>
      </c>
      <c r="BB344" s="3248">
        <v>0</v>
      </c>
      <c r="BC344" s="3247">
        <v>0</v>
      </c>
      <c r="BD344" s="3248">
        <v>0</v>
      </c>
      <c r="BE344" s="3248">
        <v>0</v>
      </c>
      <c r="BF344" s="3248">
        <f t="shared" si="45"/>
        <v>0</v>
      </c>
      <c r="BG344" s="3248">
        <f t="shared" si="46"/>
        <v>0</v>
      </c>
      <c r="BH344" s="3249"/>
      <c r="BI344" s="3249"/>
    </row>
    <row r="345" spans="1:61" x14ac:dyDescent="0.3">
      <c r="A345" s="4197" t="s">
        <v>3384</v>
      </c>
      <c r="B345" s="3261"/>
      <c r="C345" s="3243">
        <v>0</v>
      </c>
      <c r="D345" s="3242">
        <v>0</v>
      </c>
      <c r="E345" s="3244"/>
      <c r="F345" s="3244"/>
      <c r="G345" s="3242">
        <v>0</v>
      </c>
      <c r="H345" s="3244"/>
      <c r="I345" s="3244"/>
      <c r="J345" s="3244"/>
      <c r="K345" s="3242">
        <v>0</v>
      </c>
      <c r="L345" s="3244"/>
      <c r="M345" s="3244"/>
      <c r="N345" s="3242" t="s">
        <v>3384</v>
      </c>
      <c r="O345" s="3239">
        <v>0</v>
      </c>
      <c r="P345" s="3242">
        <v>0</v>
      </c>
      <c r="Q345" s="3244"/>
      <c r="R345" s="3244"/>
      <c r="S345" s="3242">
        <v>0</v>
      </c>
      <c r="T345" s="3244"/>
      <c r="U345" s="3244"/>
      <c r="V345" s="3244"/>
      <c r="W345" s="3240">
        <v>0</v>
      </c>
      <c r="X345" s="3244"/>
      <c r="Y345" s="3244"/>
      <c r="Z345" s="3242" t="s">
        <v>3384</v>
      </c>
      <c r="AA345" s="3243">
        <v>0</v>
      </c>
      <c r="AB345" s="3242">
        <v>0</v>
      </c>
      <c r="AC345" s="3244"/>
      <c r="AD345" s="3244"/>
      <c r="AE345" s="3242">
        <v>0</v>
      </c>
      <c r="AF345" s="3259"/>
      <c r="AG345" s="3260"/>
      <c r="AH345" s="3250"/>
      <c r="AI345" s="3260"/>
      <c r="AJ345" s="3260"/>
      <c r="AK345" s="3260"/>
      <c r="AL345" s="3259"/>
      <c r="AM345" s="3260"/>
      <c r="AN345" s="3259"/>
      <c r="AO345" s="3260"/>
      <c r="AP345" s="3242">
        <v>0</v>
      </c>
      <c r="AQ345" s="3244"/>
      <c r="AR345" s="3244"/>
      <c r="AS345" s="3242" t="s">
        <v>3384</v>
      </c>
      <c r="AT345" s="3247">
        <f t="shared" si="43"/>
        <v>0</v>
      </c>
      <c r="AU345" s="3248">
        <f t="shared" si="44"/>
        <v>0</v>
      </c>
      <c r="AV345" s="3248">
        <v>0</v>
      </c>
      <c r="AW345" s="3247">
        <v>0</v>
      </c>
      <c r="AX345" s="3248">
        <v>0</v>
      </c>
      <c r="AY345" s="3248">
        <v>0</v>
      </c>
      <c r="AZ345" s="3247">
        <v>0</v>
      </c>
      <c r="BA345" s="3248">
        <v>0</v>
      </c>
      <c r="BB345" s="3248">
        <v>0</v>
      </c>
      <c r="BC345" s="3247">
        <v>0</v>
      </c>
      <c r="BD345" s="3248">
        <v>0</v>
      </c>
      <c r="BE345" s="3248">
        <v>0</v>
      </c>
      <c r="BF345" s="3248">
        <f t="shared" si="45"/>
        <v>0</v>
      </c>
      <c r="BG345" s="3248">
        <f t="shared" si="46"/>
        <v>0</v>
      </c>
      <c r="BH345" s="3249"/>
      <c r="BI345" s="3249"/>
    </row>
    <row r="346" spans="1:61" x14ac:dyDescent="0.3">
      <c r="A346" s="4197" t="s">
        <v>3384</v>
      </c>
      <c r="B346" s="3261"/>
      <c r="C346" s="3243">
        <v>0</v>
      </c>
      <c r="D346" s="3242">
        <v>0</v>
      </c>
      <c r="E346" s="3244"/>
      <c r="F346" s="3244"/>
      <c r="G346" s="3242">
        <v>0</v>
      </c>
      <c r="H346" s="3244"/>
      <c r="I346" s="3244"/>
      <c r="J346" s="3244"/>
      <c r="K346" s="3242">
        <v>0</v>
      </c>
      <c r="L346" s="3244"/>
      <c r="M346" s="3244"/>
      <c r="N346" s="3242" t="s">
        <v>3384</v>
      </c>
      <c r="O346" s="3239">
        <v>0</v>
      </c>
      <c r="P346" s="3242">
        <v>0</v>
      </c>
      <c r="Q346" s="3244"/>
      <c r="R346" s="3244"/>
      <c r="S346" s="3242">
        <v>0</v>
      </c>
      <c r="T346" s="3244"/>
      <c r="U346" s="3244"/>
      <c r="V346" s="3244"/>
      <c r="W346" s="3240">
        <v>0</v>
      </c>
      <c r="X346" s="3244"/>
      <c r="Y346" s="3244"/>
      <c r="Z346" s="3242" t="s">
        <v>3384</v>
      </c>
      <c r="AA346" s="3243">
        <v>0</v>
      </c>
      <c r="AB346" s="3242">
        <v>0</v>
      </c>
      <c r="AC346" s="3244"/>
      <c r="AD346" s="3244"/>
      <c r="AE346" s="3242">
        <v>0</v>
      </c>
      <c r="AF346" s="3259"/>
      <c r="AG346" s="3260"/>
      <c r="AH346" s="3250"/>
      <c r="AI346" s="3260"/>
      <c r="AJ346" s="3260"/>
      <c r="AK346" s="3260"/>
      <c r="AL346" s="3259"/>
      <c r="AM346" s="3260"/>
      <c r="AN346" s="3259"/>
      <c r="AO346" s="3260"/>
      <c r="AP346" s="3242">
        <v>0</v>
      </c>
      <c r="AQ346" s="3244"/>
      <c r="AR346" s="3244"/>
      <c r="AS346" s="3242" t="s">
        <v>3384</v>
      </c>
      <c r="AT346" s="3247">
        <f t="shared" si="43"/>
        <v>0</v>
      </c>
      <c r="AU346" s="3248">
        <f t="shared" si="44"/>
        <v>0</v>
      </c>
      <c r="AV346" s="3248">
        <v>0</v>
      </c>
      <c r="AW346" s="3247">
        <v>0</v>
      </c>
      <c r="AX346" s="3248">
        <v>0</v>
      </c>
      <c r="AY346" s="3248">
        <v>0</v>
      </c>
      <c r="AZ346" s="3247">
        <v>0</v>
      </c>
      <c r="BA346" s="3248">
        <v>0</v>
      </c>
      <c r="BB346" s="3248">
        <v>0</v>
      </c>
      <c r="BC346" s="3247">
        <v>0</v>
      </c>
      <c r="BD346" s="3248">
        <v>0</v>
      </c>
      <c r="BE346" s="3248">
        <v>0</v>
      </c>
      <c r="BF346" s="3248">
        <f t="shared" si="45"/>
        <v>0</v>
      </c>
      <c r="BG346" s="3248">
        <f t="shared" si="46"/>
        <v>0</v>
      </c>
      <c r="BH346" s="3249"/>
      <c r="BI346" s="3249"/>
    </row>
    <row r="347" spans="1:61" x14ac:dyDescent="0.3">
      <c r="A347" s="4197" t="s">
        <v>3384</v>
      </c>
      <c r="B347" s="3261"/>
      <c r="C347" s="3243">
        <v>0</v>
      </c>
      <c r="D347" s="3242">
        <v>0</v>
      </c>
      <c r="E347" s="3244"/>
      <c r="F347" s="3244"/>
      <c r="G347" s="3242">
        <v>0</v>
      </c>
      <c r="H347" s="3244"/>
      <c r="I347" s="3244"/>
      <c r="J347" s="3244"/>
      <c r="K347" s="3242">
        <v>0</v>
      </c>
      <c r="L347" s="3244"/>
      <c r="M347" s="3244"/>
      <c r="N347" s="3242" t="s">
        <v>3384</v>
      </c>
      <c r="O347" s="3239">
        <v>0</v>
      </c>
      <c r="P347" s="3242">
        <v>0</v>
      </c>
      <c r="Q347" s="3244"/>
      <c r="R347" s="3244"/>
      <c r="S347" s="3242">
        <v>0</v>
      </c>
      <c r="T347" s="3244"/>
      <c r="U347" s="3244"/>
      <c r="V347" s="3244"/>
      <c r="W347" s="3240">
        <v>0</v>
      </c>
      <c r="X347" s="3244"/>
      <c r="Y347" s="3244"/>
      <c r="Z347" s="3242" t="s">
        <v>3384</v>
      </c>
      <c r="AA347" s="3243">
        <v>0</v>
      </c>
      <c r="AB347" s="3242">
        <v>0</v>
      </c>
      <c r="AC347" s="3244"/>
      <c r="AD347" s="3244"/>
      <c r="AE347" s="3242">
        <v>0</v>
      </c>
      <c r="AF347" s="3259"/>
      <c r="AG347" s="3260"/>
      <c r="AH347" s="3250"/>
      <c r="AI347" s="3260"/>
      <c r="AJ347" s="3260"/>
      <c r="AK347" s="3260"/>
      <c r="AL347" s="3259"/>
      <c r="AM347" s="3260"/>
      <c r="AN347" s="3259"/>
      <c r="AO347" s="3260"/>
      <c r="AP347" s="3242">
        <v>0</v>
      </c>
      <c r="AQ347" s="3244"/>
      <c r="AR347" s="3244"/>
      <c r="AS347" s="3242" t="s">
        <v>3384</v>
      </c>
      <c r="AT347" s="3247">
        <f t="shared" si="43"/>
        <v>0</v>
      </c>
      <c r="AU347" s="3248">
        <f t="shared" si="44"/>
        <v>0</v>
      </c>
      <c r="AV347" s="3248">
        <v>0</v>
      </c>
      <c r="AW347" s="3247">
        <v>0</v>
      </c>
      <c r="AX347" s="3248">
        <v>0</v>
      </c>
      <c r="AY347" s="3248">
        <v>0</v>
      </c>
      <c r="AZ347" s="3247">
        <v>0</v>
      </c>
      <c r="BA347" s="3248">
        <v>0</v>
      </c>
      <c r="BB347" s="3248">
        <v>0</v>
      </c>
      <c r="BC347" s="3247">
        <v>0</v>
      </c>
      <c r="BD347" s="3248">
        <v>0</v>
      </c>
      <c r="BE347" s="3248">
        <v>0</v>
      </c>
      <c r="BF347" s="3248">
        <f t="shared" si="45"/>
        <v>0</v>
      </c>
      <c r="BG347" s="3248">
        <f t="shared" si="46"/>
        <v>0</v>
      </c>
      <c r="BH347" s="3249"/>
      <c r="BI347" s="3249"/>
    </row>
    <row r="348" spans="1:61" x14ac:dyDescent="0.3">
      <c r="A348" s="4197" t="s">
        <v>3384</v>
      </c>
      <c r="B348" s="3261"/>
      <c r="C348" s="3243">
        <v>0</v>
      </c>
      <c r="D348" s="3242">
        <v>0</v>
      </c>
      <c r="E348" s="3244"/>
      <c r="F348" s="3244"/>
      <c r="G348" s="3242">
        <v>0</v>
      </c>
      <c r="H348" s="3244"/>
      <c r="I348" s="3244"/>
      <c r="J348" s="3244"/>
      <c r="K348" s="3242">
        <v>0</v>
      </c>
      <c r="L348" s="3244"/>
      <c r="M348" s="3244"/>
      <c r="N348" s="3242" t="s">
        <v>3384</v>
      </c>
      <c r="O348" s="3239">
        <v>0</v>
      </c>
      <c r="P348" s="3242">
        <v>0</v>
      </c>
      <c r="Q348" s="3244"/>
      <c r="R348" s="3244"/>
      <c r="S348" s="3242">
        <v>0</v>
      </c>
      <c r="T348" s="3244"/>
      <c r="U348" s="3244"/>
      <c r="V348" s="3244"/>
      <c r="W348" s="3240">
        <v>0</v>
      </c>
      <c r="X348" s="3244"/>
      <c r="Y348" s="3244"/>
      <c r="Z348" s="3242" t="s">
        <v>3384</v>
      </c>
      <c r="AA348" s="3243">
        <v>0</v>
      </c>
      <c r="AB348" s="3242">
        <v>0</v>
      </c>
      <c r="AC348" s="3244"/>
      <c r="AD348" s="3244"/>
      <c r="AE348" s="3242">
        <v>0</v>
      </c>
      <c r="AF348" s="3259"/>
      <c r="AG348" s="3260"/>
      <c r="AH348" s="3250"/>
      <c r="AI348" s="3260"/>
      <c r="AJ348" s="3260"/>
      <c r="AK348" s="3260"/>
      <c r="AL348" s="3259"/>
      <c r="AM348" s="3260"/>
      <c r="AN348" s="3259"/>
      <c r="AO348" s="3260"/>
      <c r="AP348" s="3242">
        <v>0</v>
      </c>
      <c r="AQ348" s="3244"/>
      <c r="AR348" s="3244"/>
      <c r="AS348" s="3242" t="s">
        <v>3384</v>
      </c>
      <c r="AT348" s="3247">
        <f t="shared" si="43"/>
        <v>0</v>
      </c>
      <c r="AU348" s="3248">
        <f t="shared" si="44"/>
        <v>0</v>
      </c>
      <c r="AV348" s="3248">
        <v>0</v>
      </c>
      <c r="AW348" s="3247">
        <v>0</v>
      </c>
      <c r="AX348" s="3248">
        <v>0</v>
      </c>
      <c r="AY348" s="3248">
        <v>0</v>
      </c>
      <c r="AZ348" s="3247">
        <v>0</v>
      </c>
      <c r="BA348" s="3248">
        <v>0</v>
      </c>
      <c r="BB348" s="3248">
        <v>0</v>
      </c>
      <c r="BC348" s="3247">
        <v>0</v>
      </c>
      <c r="BD348" s="3248">
        <v>0</v>
      </c>
      <c r="BE348" s="3248">
        <v>0</v>
      </c>
      <c r="BF348" s="3248">
        <f t="shared" si="45"/>
        <v>0</v>
      </c>
      <c r="BG348" s="3248">
        <f t="shared" si="46"/>
        <v>0</v>
      </c>
      <c r="BH348" s="3249"/>
      <c r="BI348" s="3249"/>
    </row>
    <row r="349" spans="1:61" x14ac:dyDescent="0.3">
      <c r="A349" s="4197" t="s">
        <v>3384</v>
      </c>
      <c r="B349" s="3261"/>
      <c r="C349" s="3243">
        <v>0</v>
      </c>
      <c r="D349" s="3242">
        <v>0</v>
      </c>
      <c r="E349" s="3244"/>
      <c r="F349" s="3244"/>
      <c r="G349" s="3242">
        <v>0</v>
      </c>
      <c r="H349" s="3244"/>
      <c r="I349" s="3244"/>
      <c r="J349" s="3244"/>
      <c r="K349" s="3242">
        <v>0</v>
      </c>
      <c r="L349" s="3244"/>
      <c r="M349" s="3244"/>
      <c r="N349" s="3242" t="s">
        <v>3384</v>
      </c>
      <c r="O349" s="3239">
        <v>0</v>
      </c>
      <c r="P349" s="3242">
        <v>0</v>
      </c>
      <c r="Q349" s="3244"/>
      <c r="R349" s="3244"/>
      <c r="S349" s="3242">
        <v>0</v>
      </c>
      <c r="T349" s="3244"/>
      <c r="U349" s="3244"/>
      <c r="V349" s="3244"/>
      <c r="W349" s="3240">
        <v>0</v>
      </c>
      <c r="X349" s="3244"/>
      <c r="Y349" s="3244"/>
      <c r="Z349" s="3242" t="s">
        <v>3384</v>
      </c>
      <c r="AA349" s="3243">
        <v>0</v>
      </c>
      <c r="AB349" s="3242">
        <v>0</v>
      </c>
      <c r="AC349" s="3244"/>
      <c r="AD349" s="3244"/>
      <c r="AE349" s="3242">
        <v>0</v>
      </c>
      <c r="AF349" s="3259"/>
      <c r="AG349" s="3260"/>
      <c r="AH349" s="3250"/>
      <c r="AI349" s="3260"/>
      <c r="AJ349" s="3260"/>
      <c r="AK349" s="3260"/>
      <c r="AL349" s="3259"/>
      <c r="AM349" s="3260"/>
      <c r="AN349" s="3259"/>
      <c r="AO349" s="3260"/>
      <c r="AP349" s="3242">
        <v>0</v>
      </c>
      <c r="AQ349" s="3244"/>
      <c r="AR349" s="3244"/>
      <c r="AS349" s="3242" t="s">
        <v>3384</v>
      </c>
      <c r="AT349" s="3247">
        <f t="shared" si="43"/>
        <v>0</v>
      </c>
      <c r="AU349" s="3248">
        <f t="shared" si="44"/>
        <v>0</v>
      </c>
      <c r="AV349" s="3248">
        <v>0</v>
      </c>
      <c r="AW349" s="3247">
        <v>0</v>
      </c>
      <c r="AX349" s="3248">
        <v>0</v>
      </c>
      <c r="AY349" s="3248">
        <v>0</v>
      </c>
      <c r="AZ349" s="3247">
        <v>0</v>
      </c>
      <c r="BA349" s="3248">
        <v>0</v>
      </c>
      <c r="BB349" s="3248">
        <v>0</v>
      </c>
      <c r="BC349" s="3247">
        <v>0</v>
      </c>
      <c r="BD349" s="3248">
        <v>0</v>
      </c>
      <c r="BE349" s="3248">
        <v>0</v>
      </c>
      <c r="BF349" s="3248">
        <f t="shared" si="45"/>
        <v>0</v>
      </c>
      <c r="BG349" s="3248">
        <f t="shared" si="46"/>
        <v>0</v>
      </c>
      <c r="BH349" s="3249"/>
      <c r="BI349" s="3249"/>
    </row>
    <row r="350" spans="1:61" x14ac:dyDescent="0.3">
      <c r="A350" s="4197" t="s">
        <v>3384</v>
      </c>
      <c r="B350" s="3261"/>
      <c r="C350" s="3243">
        <v>0</v>
      </c>
      <c r="D350" s="3242">
        <v>0</v>
      </c>
      <c r="E350" s="3244"/>
      <c r="F350" s="3244"/>
      <c r="G350" s="3242">
        <v>0</v>
      </c>
      <c r="H350" s="3244"/>
      <c r="I350" s="3244"/>
      <c r="J350" s="3244"/>
      <c r="K350" s="3242">
        <v>0</v>
      </c>
      <c r="L350" s="3244"/>
      <c r="M350" s="3244"/>
      <c r="N350" s="3242" t="s">
        <v>3384</v>
      </c>
      <c r="O350" s="3239">
        <v>0</v>
      </c>
      <c r="P350" s="3242">
        <v>0</v>
      </c>
      <c r="Q350" s="3244"/>
      <c r="R350" s="3244"/>
      <c r="S350" s="3242">
        <v>0</v>
      </c>
      <c r="T350" s="3244"/>
      <c r="U350" s="3244"/>
      <c r="V350" s="3244"/>
      <c r="W350" s="3240">
        <v>0</v>
      </c>
      <c r="X350" s="3244"/>
      <c r="Y350" s="3244"/>
      <c r="Z350" s="3242" t="s">
        <v>3384</v>
      </c>
      <c r="AA350" s="3243">
        <v>0</v>
      </c>
      <c r="AB350" s="3242">
        <v>0</v>
      </c>
      <c r="AC350" s="3244"/>
      <c r="AD350" s="3244"/>
      <c r="AE350" s="3242">
        <v>0</v>
      </c>
      <c r="AF350" s="3259"/>
      <c r="AG350" s="3260"/>
      <c r="AH350" s="3250"/>
      <c r="AI350" s="3260"/>
      <c r="AJ350" s="3260"/>
      <c r="AK350" s="3260"/>
      <c r="AL350" s="3259"/>
      <c r="AM350" s="3260"/>
      <c r="AN350" s="3259"/>
      <c r="AO350" s="3260"/>
      <c r="AP350" s="3242">
        <v>0</v>
      </c>
      <c r="AQ350" s="3244"/>
      <c r="AR350" s="3244"/>
      <c r="AS350" s="3242" t="s">
        <v>3384</v>
      </c>
      <c r="AT350" s="3247">
        <f t="shared" si="43"/>
        <v>0</v>
      </c>
      <c r="AU350" s="3248">
        <f t="shared" si="44"/>
        <v>0</v>
      </c>
      <c r="AV350" s="3248">
        <v>0</v>
      </c>
      <c r="AW350" s="3247">
        <v>0</v>
      </c>
      <c r="AX350" s="3248">
        <v>0</v>
      </c>
      <c r="AY350" s="3248">
        <v>0</v>
      </c>
      <c r="AZ350" s="3247">
        <v>0</v>
      </c>
      <c r="BA350" s="3248">
        <v>0</v>
      </c>
      <c r="BB350" s="3248">
        <v>0</v>
      </c>
      <c r="BC350" s="3247">
        <v>0</v>
      </c>
      <c r="BD350" s="3248">
        <v>0</v>
      </c>
      <c r="BE350" s="3248">
        <v>0</v>
      </c>
      <c r="BF350" s="3248">
        <f t="shared" si="45"/>
        <v>0</v>
      </c>
      <c r="BG350" s="3248">
        <f t="shared" si="46"/>
        <v>0</v>
      </c>
      <c r="BH350" s="3249"/>
      <c r="BI350" s="3249"/>
    </row>
    <row r="351" spans="1:61" x14ac:dyDescent="0.3">
      <c r="A351" s="4197" t="s">
        <v>3384</v>
      </c>
      <c r="B351" s="3261"/>
      <c r="C351" s="3243">
        <v>0</v>
      </c>
      <c r="D351" s="3242">
        <v>0</v>
      </c>
      <c r="E351" s="3244"/>
      <c r="F351" s="3244"/>
      <c r="G351" s="3242">
        <v>0</v>
      </c>
      <c r="H351" s="3244"/>
      <c r="I351" s="3244"/>
      <c r="J351" s="3244"/>
      <c r="K351" s="3242">
        <v>0</v>
      </c>
      <c r="L351" s="3244"/>
      <c r="M351" s="3244"/>
      <c r="N351" s="3242" t="s">
        <v>3384</v>
      </c>
      <c r="O351" s="3239">
        <v>0</v>
      </c>
      <c r="P351" s="3242">
        <v>0</v>
      </c>
      <c r="Q351" s="3244"/>
      <c r="R351" s="3244"/>
      <c r="S351" s="3242">
        <v>0</v>
      </c>
      <c r="T351" s="3244"/>
      <c r="U351" s="3244"/>
      <c r="V351" s="3244"/>
      <c r="W351" s="3240">
        <v>0</v>
      </c>
      <c r="X351" s="3244"/>
      <c r="Y351" s="3244"/>
      <c r="Z351" s="3242" t="s">
        <v>3384</v>
      </c>
      <c r="AA351" s="3243">
        <v>0</v>
      </c>
      <c r="AB351" s="3242">
        <v>0</v>
      </c>
      <c r="AC351" s="3244"/>
      <c r="AD351" s="3244"/>
      <c r="AE351" s="3242">
        <v>0</v>
      </c>
      <c r="AF351" s="3259"/>
      <c r="AG351" s="3260"/>
      <c r="AH351" s="3250"/>
      <c r="AI351" s="3260"/>
      <c r="AJ351" s="3260"/>
      <c r="AK351" s="3260"/>
      <c r="AL351" s="3259"/>
      <c r="AM351" s="3260"/>
      <c r="AN351" s="3259"/>
      <c r="AO351" s="3260"/>
      <c r="AP351" s="3242">
        <v>0</v>
      </c>
      <c r="AQ351" s="3244"/>
      <c r="AR351" s="3244"/>
      <c r="AS351" s="3242" t="s">
        <v>3384</v>
      </c>
      <c r="AT351" s="3247">
        <f t="shared" si="43"/>
        <v>0</v>
      </c>
      <c r="AU351" s="3248">
        <f t="shared" si="44"/>
        <v>0</v>
      </c>
      <c r="AV351" s="3248">
        <v>0</v>
      </c>
      <c r="AW351" s="3247">
        <v>0</v>
      </c>
      <c r="AX351" s="3248">
        <v>0</v>
      </c>
      <c r="AY351" s="3248">
        <v>0</v>
      </c>
      <c r="AZ351" s="3247">
        <v>0</v>
      </c>
      <c r="BA351" s="3248">
        <v>0</v>
      </c>
      <c r="BB351" s="3248">
        <v>0</v>
      </c>
      <c r="BC351" s="3247">
        <v>0</v>
      </c>
      <c r="BD351" s="3248">
        <v>0</v>
      </c>
      <c r="BE351" s="3248">
        <v>0</v>
      </c>
      <c r="BF351" s="3248">
        <f t="shared" si="45"/>
        <v>0</v>
      </c>
      <c r="BG351" s="3248">
        <f t="shared" si="46"/>
        <v>0</v>
      </c>
      <c r="BH351" s="3249"/>
      <c r="BI351" s="3249"/>
    </row>
    <row r="352" spans="1:61" x14ac:dyDescent="0.3">
      <c r="A352" s="4197" t="s">
        <v>3384</v>
      </c>
      <c r="B352" s="3261"/>
      <c r="C352" s="3243">
        <v>0</v>
      </c>
      <c r="D352" s="3242">
        <v>0</v>
      </c>
      <c r="E352" s="3244"/>
      <c r="F352" s="3244"/>
      <c r="G352" s="3242">
        <v>0</v>
      </c>
      <c r="H352" s="3244"/>
      <c r="I352" s="3244"/>
      <c r="J352" s="3244"/>
      <c r="K352" s="3242">
        <v>0</v>
      </c>
      <c r="L352" s="3244"/>
      <c r="M352" s="3244"/>
      <c r="N352" s="3242" t="s">
        <v>3384</v>
      </c>
      <c r="O352" s="3239">
        <v>0</v>
      </c>
      <c r="P352" s="3242">
        <v>0</v>
      </c>
      <c r="Q352" s="3244"/>
      <c r="R352" s="3244"/>
      <c r="S352" s="3242">
        <v>0</v>
      </c>
      <c r="T352" s="3244"/>
      <c r="U352" s="3244"/>
      <c r="V352" s="3244"/>
      <c r="W352" s="3240">
        <v>0</v>
      </c>
      <c r="X352" s="3244"/>
      <c r="Y352" s="3244"/>
      <c r="Z352" s="3242" t="s">
        <v>3384</v>
      </c>
      <c r="AA352" s="3243">
        <v>0</v>
      </c>
      <c r="AB352" s="3242">
        <v>0</v>
      </c>
      <c r="AC352" s="3244"/>
      <c r="AD352" s="3244"/>
      <c r="AE352" s="3242">
        <v>0</v>
      </c>
      <c r="AF352" s="3259"/>
      <c r="AG352" s="3260"/>
      <c r="AH352" s="3250"/>
      <c r="AI352" s="3260"/>
      <c r="AJ352" s="3260"/>
      <c r="AK352" s="3260"/>
      <c r="AL352" s="3259"/>
      <c r="AM352" s="3260"/>
      <c r="AN352" s="3259"/>
      <c r="AO352" s="3260"/>
      <c r="AP352" s="3242">
        <v>0</v>
      </c>
      <c r="AQ352" s="3244"/>
      <c r="AR352" s="3244"/>
      <c r="AS352" s="3242" t="s">
        <v>3384</v>
      </c>
      <c r="AT352" s="3247">
        <f t="shared" si="43"/>
        <v>0</v>
      </c>
      <c r="AU352" s="3248">
        <f t="shared" si="44"/>
        <v>0</v>
      </c>
      <c r="AV352" s="3248">
        <v>0</v>
      </c>
      <c r="AW352" s="3247">
        <v>0</v>
      </c>
      <c r="AX352" s="3248">
        <v>0</v>
      </c>
      <c r="AY352" s="3248">
        <v>0</v>
      </c>
      <c r="AZ352" s="3247">
        <v>0</v>
      </c>
      <c r="BA352" s="3248">
        <v>0</v>
      </c>
      <c r="BB352" s="3248">
        <v>0</v>
      </c>
      <c r="BC352" s="3247">
        <v>0</v>
      </c>
      <c r="BD352" s="3248">
        <v>0</v>
      </c>
      <c r="BE352" s="3248">
        <v>0</v>
      </c>
      <c r="BF352" s="3248">
        <f t="shared" si="45"/>
        <v>0</v>
      </c>
      <c r="BG352" s="3248">
        <f t="shared" si="46"/>
        <v>0</v>
      </c>
      <c r="BH352" s="3249"/>
      <c r="BI352" s="3249"/>
    </row>
    <row r="353" spans="1:61" x14ac:dyDescent="0.3">
      <c r="A353" s="4197" t="s">
        <v>3384</v>
      </c>
      <c r="B353" s="3261"/>
      <c r="C353" s="3243">
        <v>0</v>
      </c>
      <c r="D353" s="3242">
        <v>0</v>
      </c>
      <c r="E353" s="3244"/>
      <c r="F353" s="3244"/>
      <c r="G353" s="3242">
        <v>0</v>
      </c>
      <c r="H353" s="3244"/>
      <c r="I353" s="3244"/>
      <c r="J353" s="3244"/>
      <c r="K353" s="3242">
        <v>0</v>
      </c>
      <c r="L353" s="3244"/>
      <c r="M353" s="3244"/>
      <c r="N353" s="3242" t="s">
        <v>3384</v>
      </c>
      <c r="O353" s="3239">
        <v>0</v>
      </c>
      <c r="P353" s="3242">
        <v>0</v>
      </c>
      <c r="Q353" s="3244"/>
      <c r="R353" s="3244"/>
      <c r="S353" s="3242">
        <v>0</v>
      </c>
      <c r="T353" s="3244"/>
      <c r="U353" s="3244"/>
      <c r="V353" s="3244"/>
      <c r="W353" s="3240">
        <v>0</v>
      </c>
      <c r="X353" s="3244"/>
      <c r="Y353" s="3244"/>
      <c r="Z353" s="3242" t="s">
        <v>3384</v>
      </c>
      <c r="AA353" s="3243">
        <v>0</v>
      </c>
      <c r="AB353" s="3242">
        <v>0</v>
      </c>
      <c r="AC353" s="3244"/>
      <c r="AD353" s="3244"/>
      <c r="AE353" s="3242">
        <v>0</v>
      </c>
      <c r="AF353" s="3259"/>
      <c r="AG353" s="3260"/>
      <c r="AH353" s="3250"/>
      <c r="AI353" s="3260"/>
      <c r="AJ353" s="3260"/>
      <c r="AK353" s="3260"/>
      <c r="AL353" s="3259"/>
      <c r="AM353" s="3260"/>
      <c r="AN353" s="3259"/>
      <c r="AO353" s="3260"/>
      <c r="AP353" s="3242">
        <v>0</v>
      </c>
      <c r="AQ353" s="3244"/>
      <c r="AR353" s="3244"/>
      <c r="AS353" s="3242" t="s">
        <v>3384</v>
      </c>
      <c r="AT353" s="3247">
        <f t="shared" si="43"/>
        <v>0</v>
      </c>
      <c r="AU353" s="3248">
        <f t="shared" si="44"/>
        <v>0</v>
      </c>
      <c r="AV353" s="3248">
        <v>0</v>
      </c>
      <c r="AW353" s="3247">
        <v>0</v>
      </c>
      <c r="AX353" s="3248">
        <v>0</v>
      </c>
      <c r="AY353" s="3248">
        <v>0</v>
      </c>
      <c r="AZ353" s="3247">
        <v>0</v>
      </c>
      <c r="BA353" s="3248">
        <v>0</v>
      </c>
      <c r="BB353" s="3248">
        <v>0</v>
      </c>
      <c r="BC353" s="3247">
        <v>0</v>
      </c>
      <c r="BD353" s="3248">
        <v>0</v>
      </c>
      <c r="BE353" s="3248">
        <v>0</v>
      </c>
      <c r="BF353" s="3248">
        <f t="shared" si="45"/>
        <v>0</v>
      </c>
      <c r="BG353" s="3248">
        <f t="shared" si="46"/>
        <v>0</v>
      </c>
      <c r="BH353" s="3249"/>
      <c r="BI353" s="3249"/>
    </row>
    <row r="354" spans="1:61" x14ac:dyDescent="0.3">
      <c r="A354" s="4197" t="s">
        <v>3384</v>
      </c>
      <c r="B354" s="3261"/>
      <c r="C354" s="3243">
        <v>0</v>
      </c>
      <c r="D354" s="3242">
        <v>0</v>
      </c>
      <c r="E354" s="3244"/>
      <c r="F354" s="3244"/>
      <c r="G354" s="3242">
        <v>0</v>
      </c>
      <c r="H354" s="3244"/>
      <c r="I354" s="3244"/>
      <c r="J354" s="3244"/>
      <c r="K354" s="3242">
        <v>0</v>
      </c>
      <c r="L354" s="3244"/>
      <c r="M354" s="3244"/>
      <c r="N354" s="3242" t="s">
        <v>3384</v>
      </c>
      <c r="O354" s="3239">
        <v>0</v>
      </c>
      <c r="P354" s="3242">
        <v>0</v>
      </c>
      <c r="Q354" s="3244"/>
      <c r="R354" s="3244"/>
      <c r="S354" s="3242">
        <v>0</v>
      </c>
      <c r="T354" s="3244"/>
      <c r="U354" s="3244"/>
      <c r="V354" s="3244"/>
      <c r="W354" s="3240">
        <v>0</v>
      </c>
      <c r="X354" s="3244"/>
      <c r="Y354" s="3244"/>
      <c r="Z354" s="3242" t="s">
        <v>3384</v>
      </c>
      <c r="AA354" s="3243">
        <v>0</v>
      </c>
      <c r="AB354" s="3242">
        <v>0</v>
      </c>
      <c r="AC354" s="3244"/>
      <c r="AD354" s="3244"/>
      <c r="AE354" s="3242">
        <v>0</v>
      </c>
      <c r="AF354" s="3259"/>
      <c r="AG354" s="3260"/>
      <c r="AH354" s="3250"/>
      <c r="AI354" s="3260"/>
      <c r="AJ354" s="3260"/>
      <c r="AK354" s="3260"/>
      <c r="AL354" s="3259"/>
      <c r="AM354" s="3260"/>
      <c r="AN354" s="3259"/>
      <c r="AO354" s="3260"/>
      <c r="AP354" s="3242">
        <v>0</v>
      </c>
      <c r="AQ354" s="3244"/>
      <c r="AR354" s="3244"/>
      <c r="AS354" s="3242" t="s">
        <v>3384</v>
      </c>
      <c r="AT354" s="3247">
        <f t="shared" si="43"/>
        <v>0</v>
      </c>
      <c r="AU354" s="3248">
        <f t="shared" si="44"/>
        <v>0</v>
      </c>
      <c r="AV354" s="3248">
        <v>0</v>
      </c>
      <c r="AW354" s="3247">
        <v>0</v>
      </c>
      <c r="AX354" s="3248">
        <v>0</v>
      </c>
      <c r="AY354" s="3248">
        <v>0</v>
      </c>
      <c r="AZ354" s="3247">
        <v>0</v>
      </c>
      <c r="BA354" s="3248">
        <v>0</v>
      </c>
      <c r="BB354" s="3248">
        <v>0</v>
      </c>
      <c r="BC354" s="3247">
        <v>0</v>
      </c>
      <c r="BD354" s="3248">
        <v>0</v>
      </c>
      <c r="BE354" s="3248">
        <v>0</v>
      </c>
      <c r="BF354" s="3248">
        <f t="shared" si="45"/>
        <v>0</v>
      </c>
      <c r="BG354" s="3248">
        <f t="shared" si="46"/>
        <v>0</v>
      </c>
      <c r="BH354" s="3249"/>
      <c r="BI354" s="3249"/>
    </row>
    <row r="355" spans="1:61" x14ac:dyDescent="0.3">
      <c r="A355" s="4197" t="s">
        <v>3384</v>
      </c>
      <c r="B355" s="3261"/>
      <c r="C355" s="3243">
        <v>0</v>
      </c>
      <c r="D355" s="3242">
        <v>0</v>
      </c>
      <c r="E355" s="3244"/>
      <c r="F355" s="3244"/>
      <c r="G355" s="3242">
        <v>0</v>
      </c>
      <c r="H355" s="3244"/>
      <c r="I355" s="3244"/>
      <c r="J355" s="3244"/>
      <c r="K355" s="3242">
        <v>0</v>
      </c>
      <c r="L355" s="3244"/>
      <c r="M355" s="3244"/>
      <c r="N355" s="3242" t="s">
        <v>3384</v>
      </c>
      <c r="O355" s="3239">
        <v>0</v>
      </c>
      <c r="P355" s="3242">
        <v>0</v>
      </c>
      <c r="Q355" s="3244"/>
      <c r="R355" s="3244"/>
      <c r="S355" s="3242">
        <v>0</v>
      </c>
      <c r="T355" s="3244"/>
      <c r="U355" s="3244"/>
      <c r="V355" s="3244"/>
      <c r="W355" s="3240">
        <v>0</v>
      </c>
      <c r="X355" s="3244"/>
      <c r="Y355" s="3244"/>
      <c r="Z355" s="3242" t="s">
        <v>3384</v>
      </c>
      <c r="AA355" s="3243">
        <v>0</v>
      </c>
      <c r="AB355" s="3242">
        <v>0</v>
      </c>
      <c r="AC355" s="3244"/>
      <c r="AD355" s="3244"/>
      <c r="AE355" s="3242">
        <v>0</v>
      </c>
      <c r="AF355" s="3259"/>
      <c r="AG355" s="3260"/>
      <c r="AH355" s="3250"/>
      <c r="AI355" s="3260"/>
      <c r="AJ355" s="3260"/>
      <c r="AK355" s="3260"/>
      <c r="AL355" s="3259"/>
      <c r="AM355" s="3260"/>
      <c r="AN355" s="3259"/>
      <c r="AO355" s="3260"/>
      <c r="AP355" s="3242">
        <v>0</v>
      </c>
      <c r="AQ355" s="3244"/>
      <c r="AR355" s="3244"/>
      <c r="AS355" s="3242" t="s">
        <v>3384</v>
      </c>
      <c r="AT355" s="3247">
        <f t="shared" si="43"/>
        <v>0</v>
      </c>
      <c r="AU355" s="3248">
        <f t="shared" si="44"/>
        <v>0</v>
      </c>
      <c r="AV355" s="3248">
        <v>0</v>
      </c>
      <c r="AW355" s="3247">
        <v>0</v>
      </c>
      <c r="AX355" s="3248">
        <v>0</v>
      </c>
      <c r="AY355" s="3248">
        <v>0</v>
      </c>
      <c r="AZ355" s="3247">
        <v>0</v>
      </c>
      <c r="BA355" s="3248">
        <v>0</v>
      </c>
      <c r="BB355" s="3248">
        <v>0</v>
      </c>
      <c r="BC355" s="3247">
        <v>0</v>
      </c>
      <c r="BD355" s="3248">
        <v>0</v>
      </c>
      <c r="BE355" s="3248">
        <v>0</v>
      </c>
      <c r="BF355" s="3248">
        <f t="shared" si="45"/>
        <v>0</v>
      </c>
      <c r="BG355" s="3248">
        <f t="shared" si="46"/>
        <v>0</v>
      </c>
      <c r="BH355" s="3249"/>
      <c r="BI355" s="3249"/>
    </row>
    <row r="356" spans="1:61" x14ac:dyDescent="0.3">
      <c r="A356" s="4197" t="s">
        <v>3384</v>
      </c>
      <c r="B356" s="3261"/>
      <c r="C356" s="3243">
        <v>0</v>
      </c>
      <c r="D356" s="3242">
        <v>0</v>
      </c>
      <c r="E356" s="3244"/>
      <c r="F356" s="3244"/>
      <c r="G356" s="3242">
        <v>0</v>
      </c>
      <c r="H356" s="3244"/>
      <c r="I356" s="3244"/>
      <c r="J356" s="3244"/>
      <c r="K356" s="3242">
        <v>0</v>
      </c>
      <c r="L356" s="3244"/>
      <c r="M356" s="3244"/>
      <c r="N356" s="3242" t="s">
        <v>3384</v>
      </c>
      <c r="O356" s="3239">
        <v>0</v>
      </c>
      <c r="P356" s="3242">
        <v>0</v>
      </c>
      <c r="Q356" s="3244"/>
      <c r="R356" s="3244"/>
      <c r="S356" s="3242">
        <v>0</v>
      </c>
      <c r="T356" s="3244"/>
      <c r="U356" s="3244"/>
      <c r="V356" s="3244"/>
      <c r="W356" s="3240">
        <v>0</v>
      </c>
      <c r="X356" s="3244"/>
      <c r="Y356" s="3244"/>
      <c r="Z356" s="3242" t="s">
        <v>3384</v>
      </c>
      <c r="AA356" s="3243">
        <v>0</v>
      </c>
      <c r="AB356" s="3242">
        <v>0</v>
      </c>
      <c r="AC356" s="3244"/>
      <c r="AD356" s="3244"/>
      <c r="AE356" s="3242">
        <v>0</v>
      </c>
      <c r="AF356" s="3259"/>
      <c r="AG356" s="3260"/>
      <c r="AH356" s="3250"/>
      <c r="AI356" s="3260"/>
      <c r="AJ356" s="3260"/>
      <c r="AK356" s="3260"/>
      <c r="AL356" s="3259"/>
      <c r="AM356" s="3260"/>
      <c r="AN356" s="3259"/>
      <c r="AO356" s="3260"/>
      <c r="AP356" s="3242">
        <v>0</v>
      </c>
      <c r="AQ356" s="3244"/>
      <c r="AR356" s="3244"/>
      <c r="AS356" s="3242" t="s">
        <v>3384</v>
      </c>
      <c r="AT356" s="3247">
        <f t="shared" si="43"/>
        <v>0</v>
      </c>
      <c r="AU356" s="3248">
        <f t="shared" si="44"/>
        <v>0</v>
      </c>
      <c r="AV356" s="3248">
        <v>0</v>
      </c>
      <c r="AW356" s="3247">
        <v>0</v>
      </c>
      <c r="AX356" s="3248">
        <v>0</v>
      </c>
      <c r="AY356" s="3248">
        <v>0</v>
      </c>
      <c r="AZ356" s="3247">
        <v>0</v>
      </c>
      <c r="BA356" s="3248">
        <v>0</v>
      </c>
      <c r="BB356" s="3248">
        <v>0</v>
      </c>
      <c r="BC356" s="3247">
        <v>0</v>
      </c>
      <c r="BD356" s="3248">
        <v>0</v>
      </c>
      <c r="BE356" s="3248">
        <v>0</v>
      </c>
      <c r="BF356" s="3248">
        <f t="shared" si="45"/>
        <v>0</v>
      </c>
      <c r="BG356" s="3248">
        <f t="shared" si="46"/>
        <v>0</v>
      </c>
      <c r="BH356" s="3249"/>
      <c r="BI356" s="3249"/>
    </row>
    <row r="357" spans="1:61" x14ac:dyDescent="0.3">
      <c r="A357" s="4197" t="s">
        <v>3384</v>
      </c>
      <c r="B357" s="3261"/>
      <c r="C357" s="3243">
        <v>0</v>
      </c>
      <c r="D357" s="3242">
        <v>0</v>
      </c>
      <c r="E357" s="3244"/>
      <c r="F357" s="3244"/>
      <c r="G357" s="3242">
        <v>0</v>
      </c>
      <c r="H357" s="3244"/>
      <c r="I357" s="3244"/>
      <c r="J357" s="3244"/>
      <c r="K357" s="3242">
        <v>0</v>
      </c>
      <c r="L357" s="3244"/>
      <c r="M357" s="3244"/>
      <c r="N357" s="3242" t="s">
        <v>3384</v>
      </c>
      <c r="O357" s="3239">
        <v>0</v>
      </c>
      <c r="P357" s="3242">
        <v>0</v>
      </c>
      <c r="Q357" s="3244"/>
      <c r="R357" s="3244"/>
      <c r="S357" s="3242">
        <v>0</v>
      </c>
      <c r="T357" s="3244"/>
      <c r="U357" s="3244"/>
      <c r="V357" s="3244"/>
      <c r="W357" s="3240">
        <v>0</v>
      </c>
      <c r="X357" s="3244"/>
      <c r="Y357" s="3244"/>
      <c r="Z357" s="3242" t="s">
        <v>3384</v>
      </c>
      <c r="AA357" s="3243">
        <v>0</v>
      </c>
      <c r="AB357" s="3242">
        <v>0</v>
      </c>
      <c r="AC357" s="3244"/>
      <c r="AD357" s="3244"/>
      <c r="AE357" s="3242">
        <v>0</v>
      </c>
      <c r="AF357" s="3259"/>
      <c r="AG357" s="3260"/>
      <c r="AH357" s="3250"/>
      <c r="AI357" s="3260"/>
      <c r="AJ357" s="3260"/>
      <c r="AK357" s="3260"/>
      <c r="AL357" s="3259"/>
      <c r="AM357" s="3260"/>
      <c r="AN357" s="3259"/>
      <c r="AO357" s="3260"/>
      <c r="AP357" s="3242">
        <v>0</v>
      </c>
      <c r="AQ357" s="3244"/>
      <c r="AR357" s="3244"/>
      <c r="AS357" s="3242" t="s">
        <v>3384</v>
      </c>
      <c r="AT357" s="3247">
        <f t="shared" si="43"/>
        <v>0</v>
      </c>
      <c r="AU357" s="3248">
        <f t="shared" si="44"/>
        <v>0</v>
      </c>
      <c r="AV357" s="3248">
        <v>0</v>
      </c>
      <c r="AW357" s="3247">
        <v>0</v>
      </c>
      <c r="AX357" s="3248">
        <v>0</v>
      </c>
      <c r="AY357" s="3248">
        <v>0</v>
      </c>
      <c r="AZ357" s="3247">
        <v>0</v>
      </c>
      <c r="BA357" s="3248">
        <v>0</v>
      </c>
      <c r="BB357" s="3248">
        <v>0</v>
      </c>
      <c r="BC357" s="3247">
        <v>0</v>
      </c>
      <c r="BD357" s="3248">
        <v>0</v>
      </c>
      <c r="BE357" s="3248">
        <v>0</v>
      </c>
      <c r="BF357" s="3248">
        <f t="shared" si="45"/>
        <v>0</v>
      </c>
      <c r="BG357" s="3248">
        <f t="shared" si="46"/>
        <v>0</v>
      </c>
      <c r="BH357" s="3249"/>
      <c r="BI357" s="3249"/>
    </row>
    <row r="358" spans="1:61" x14ac:dyDescent="0.3">
      <c r="A358" s="4197" t="s">
        <v>3384</v>
      </c>
      <c r="B358" s="3261"/>
      <c r="C358" s="3243">
        <v>0</v>
      </c>
      <c r="D358" s="3242">
        <v>0</v>
      </c>
      <c r="E358" s="3244"/>
      <c r="F358" s="3244"/>
      <c r="G358" s="3242">
        <v>0</v>
      </c>
      <c r="H358" s="3244"/>
      <c r="I358" s="3244"/>
      <c r="J358" s="3244"/>
      <c r="K358" s="3242">
        <v>0</v>
      </c>
      <c r="L358" s="3244"/>
      <c r="M358" s="3244"/>
      <c r="N358" s="3242" t="s">
        <v>3384</v>
      </c>
      <c r="O358" s="3239">
        <v>0</v>
      </c>
      <c r="P358" s="3242">
        <v>0</v>
      </c>
      <c r="Q358" s="3244"/>
      <c r="R358" s="3244"/>
      <c r="S358" s="3242">
        <v>0</v>
      </c>
      <c r="T358" s="3244"/>
      <c r="U358" s="3244"/>
      <c r="V358" s="3244"/>
      <c r="W358" s="3240">
        <v>0</v>
      </c>
      <c r="X358" s="3244"/>
      <c r="Y358" s="3244"/>
      <c r="Z358" s="3242" t="s">
        <v>3384</v>
      </c>
      <c r="AA358" s="3243">
        <v>0</v>
      </c>
      <c r="AB358" s="3242">
        <v>0</v>
      </c>
      <c r="AC358" s="3244"/>
      <c r="AD358" s="3244"/>
      <c r="AE358" s="3242">
        <v>0</v>
      </c>
      <c r="AF358" s="3259"/>
      <c r="AG358" s="3260"/>
      <c r="AH358" s="3250"/>
      <c r="AI358" s="3260"/>
      <c r="AJ358" s="3260"/>
      <c r="AK358" s="3260"/>
      <c r="AL358" s="3259"/>
      <c r="AM358" s="3260"/>
      <c r="AN358" s="3259"/>
      <c r="AO358" s="3260"/>
      <c r="AP358" s="3242">
        <v>0</v>
      </c>
      <c r="AQ358" s="3244"/>
      <c r="AR358" s="3244"/>
      <c r="AS358" s="3242" t="s">
        <v>3384</v>
      </c>
      <c r="AT358" s="3247">
        <f t="shared" si="43"/>
        <v>0</v>
      </c>
      <c r="AU358" s="3248">
        <f t="shared" si="44"/>
        <v>0</v>
      </c>
      <c r="AV358" s="3248">
        <v>0</v>
      </c>
      <c r="AW358" s="3247">
        <v>0</v>
      </c>
      <c r="AX358" s="3248">
        <v>0</v>
      </c>
      <c r="AY358" s="3248">
        <v>0</v>
      </c>
      <c r="AZ358" s="3247">
        <v>0</v>
      </c>
      <c r="BA358" s="3248">
        <v>0</v>
      </c>
      <c r="BB358" s="3248">
        <v>0</v>
      </c>
      <c r="BC358" s="3247">
        <v>0</v>
      </c>
      <c r="BD358" s="3248">
        <v>0</v>
      </c>
      <c r="BE358" s="3248">
        <v>0</v>
      </c>
      <c r="BF358" s="3248">
        <f t="shared" si="45"/>
        <v>0</v>
      </c>
      <c r="BG358" s="3248">
        <f t="shared" si="46"/>
        <v>0</v>
      </c>
      <c r="BH358" s="3249"/>
      <c r="BI358" s="3249"/>
    </row>
    <row r="359" spans="1:61" x14ac:dyDescent="0.3">
      <c r="A359" s="4197" t="s">
        <v>3384</v>
      </c>
      <c r="B359" s="3261"/>
      <c r="C359" s="3243">
        <v>0</v>
      </c>
      <c r="D359" s="3242">
        <v>0</v>
      </c>
      <c r="E359" s="3244"/>
      <c r="F359" s="3244"/>
      <c r="G359" s="3242">
        <v>0</v>
      </c>
      <c r="H359" s="3244"/>
      <c r="I359" s="3244"/>
      <c r="J359" s="3244"/>
      <c r="K359" s="3242">
        <v>0</v>
      </c>
      <c r="L359" s="3244"/>
      <c r="M359" s="3244"/>
      <c r="N359" s="3242" t="s">
        <v>3384</v>
      </c>
      <c r="O359" s="3239">
        <v>0</v>
      </c>
      <c r="P359" s="3242">
        <v>0</v>
      </c>
      <c r="Q359" s="3244"/>
      <c r="R359" s="3244"/>
      <c r="S359" s="3242">
        <v>0</v>
      </c>
      <c r="T359" s="3244"/>
      <c r="U359" s="3244"/>
      <c r="V359" s="3244"/>
      <c r="W359" s="3240">
        <v>0</v>
      </c>
      <c r="X359" s="3244"/>
      <c r="Y359" s="3244"/>
      <c r="Z359" s="3242" t="s">
        <v>3384</v>
      </c>
      <c r="AA359" s="3243">
        <v>0</v>
      </c>
      <c r="AB359" s="3242">
        <v>0</v>
      </c>
      <c r="AC359" s="3244"/>
      <c r="AD359" s="3244"/>
      <c r="AE359" s="3242">
        <v>0</v>
      </c>
      <c r="AF359" s="3259"/>
      <c r="AG359" s="3260"/>
      <c r="AH359" s="3250"/>
      <c r="AI359" s="3260"/>
      <c r="AJ359" s="3260"/>
      <c r="AK359" s="3260"/>
      <c r="AL359" s="3259"/>
      <c r="AM359" s="3260"/>
      <c r="AN359" s="3259"/>
      <c r="AO359" s="3260"/>
      <c r="AP359" s="3242">
        <v>0</v>
      </c>
      <c r="AQ359" s="3244"/>
      <c r="AR359" s="3244"/>
      <c r="AS359" s="3242" t="s">
        <v>3384</v>
      </c>
      <c r="AT359" s="3247">
        <f t="shared" si="43"/>
        <v>0</v>
      </c>
      <c r="AU359" s="3248">
        <f t="shared" si="44"/>
        <v>0</v>
      </c>
      <c r="AV359" s="3248">
        <v>0</v>
      </c>
      <c r="AW359" s="3247">
        <v>0</v>
      </c>
      <c r="AX359" s="3248">
        <v>0</v>
      </c>
      <c r="AY359" s="3248">
        <v>0</v>
      </c>
      <c r="AZ359" s="3247">
        <v>0</v>
      </c>
      <c r="BA359" s="3248">
        <v>0</v>
      </c>
      <c r="BB359" s="3248">
        <v>0</v>
      </c>
      <c r="BC359" s="3247">
        <v>0</v>
      </c>
      <c r="BD359" s="3248">
        <v>0</v>
      </c>
      <c r="BE359" s="3248">
        <v>0</v>
      </c>
      <c r="BF359" s="3248">
        <f t="shared" si="45"/>
        <v>0</v>
      </c>
      <c r="BG359" s="3248">
        <f t="shared" si="46"/>
        <v>0</v>
      </c>
      <c r="BH359" s="3249"/>
      <c r="BI359" s="3249"/>
    </row>
    <row r="360" spans="1:61" x14ac:dyDescent="0.3">
      <c r="A360" s="4197" t="s">
        <v>3384</v>
      </c>
      <c r="B360" s="3261"/>
      <c r="C360" s="3243">
        <v>0</v>
      </c>
      <c r="D360" s="3242">
        <v>0</v>
      </c>
      <c r="E360" s="3244"/>
      <c r="F360" s="3244"/>
      <c r="G360" s="3242">
        <v>0</v>
      </c>
      <c r="H360" s="3244"/>
      <c r="I360" s="3244"/>
      <c r="J360" s="3244"/>
      <c r="K360" s="3242">
        <v>0</v>
      </c>
      <c r="L360" s="3244"/>
      <c r="M360" s="3244"/>
      <c r="N360" s="3242" t="s">
        <v>3384</v>
      </c>
      <c r="O360" s="3239">
        <v>0</v>
      </c>
      <c r="P360" s="3242">
        <v>0</v>
      </c>
      <c r="Q360" s="3244"/>
      <c r="R360" s="3244"/>
      <c r="S360" s="3242">
        <v>0</v>
      </c>
      <c r="T360" s="3244"/>
      <c r="U360" s="3244"/>
      <c r="V360" s="3244"/>
      <c r="W360" s="3240">
        <v>0</v>
      </c>
      <c r="X360" s="3244"/>
      <c r="Y360" s="3244"/>
      <c r="Z360" s="3242" t="s">
        <v>3384</v>
      </c>
      <c r="AA360" s="3243">
        <v>0</v>
      </c>
      <c r="AB360" s="3242">
        <v>0</v>
      </c>
      <c r="AC360" s="3244"/>
      <c r="AD360" s="3244"/>
      <c r="AE360" s="3242">
        <v>0</v>
      </c>
      <c r="AF360" s="3259"/>
      <c r="AG360" s="3260"/>
      <c r="AH360" s="3250"/>
      <c r="AI360" s="3260"/>
      <c r="AJ360" s="3260"/>
      <c r="AK360" s="3260"/>
      <c r="AL360" s="3259"/>
      <c r="AM360" s="3260"/>
      <c r="AN360" s="3259"/>
      <c r="AO360" s="3260"/>
      <c r="AP360" s="3242">
        <v>0</v>
      </c>
      <c r="AQ360" s="3244"/>
      <c r="AR360" s="3244"/>
      <c r="AS360" s="3242" t="s">
        <v>3384</v>
      </c>
      <c r="AT360" s="3247">
        <f t="shared" si="43"/>
        <v>0</v>
      </c>
      <c r="AU360" s="3248">
        <f t="shared" si="44"/>
        <v>0</v>
      </c>
      <c r="AV360" s="3248">
        <v>0</v>
      </c>
      <c r="AW360" s="3247">
        <v>0</v>
      </c>
      <c r="AX360" s="3248">
        <v>0</v>
      </c>
      <c r="AY360" s="3248">
        <v>0</v>
      </c>
      <c r="AZ360" s="3247">
        <v>0</v>
      </c>
      <c r="BA360" s="3248">
        <v>0</v>
      </c>
      <c r="BB360" s="3248">
        <v>0</v>
      </c>
      <c r="BC360" s="3247">
        <v>0</v>
      </c>
      <c r="BD360" s="3248">
        <v>0</v>
      </c>
      <c r="BE360" s="3248">
        <v>0</v>
      </c>
      <c r="BF360" s="3248">
        <f t="shared" si="45"/>
        <v>0</v>
      </c>
      <c r="BG360" s="3248">
        <f t="shared" si="46"/>
        <v>0</v>
      </c>
      <c r="BH360" s="3249"/>
      <c r="BI360" s="3249"/>
    </row>
    <row r="361" spans="1:61" x14ac:dyDescent="0.3">
      <c r="A361" s="4197" t="s">
        <v>3384</v>
      </c>
      <c r="B361" s="3261"/>
      <c r="C361" s="3243">
        <v>0</v>
      </c>
      <c r="D361" s="3242">
        <v>0</v>
      </c>
      <c r="E361" s="3244"/>
      <c r="F361" s="3244"/>
      <c r="G361" s="3242">
        <v>0</v>
      </c>
      <c r="H361" s="3244"/>
      <c r="I361" s="3244"/>
      <c r="J361" s="3244"/>
      <c r="K361" s="3242">
        <v>0</v>
      </c>
      <c r="L361" s="3244"/>
      <c r="M361" s="3244"/>
      <c r="N361" s="3242" t="s">
        <v>3384</v>
      </c>
      <c r="O361" s="3239">
        <v>0</v>
      </c>
      <c r="P361" s="3242">
        <v>0</v>
      </c>
      <c r="Q361" s="3244"/>
      <c r="R361" s="3244"/>
      <c r="S361" s="3242">
        <v>0</v>
      </c>
      <c r="T361" s="3244"/>
      <c r="U361" s="3244"/>
      <c r="V361" s="3244"/>
      <c r="W361" s="3240">
        <v>0</v>
      </c>
      <c r="X361" s="3244"/>
      <c r="Y361" s="3244"/>
      <c r="Z361" s="3242" t="s">
        <v>3384</v>
      </c>
      <c r="AA361" s="3243">
        <v>0</v>
      </c>
      <c r="AB361" s="3242">
        <v>0</v>
      </c>
      <c r="AC361" s="3244"/>
      <c r="AD361" s="3244"/>
      <c r="AE361" s="3242">
        <v>0</v>
      </c>
      <c r="AF361" s="3259"/>
      <c r="AG361" s="3260"/>
      <c r="AH361" s="3250"/>
      <c r="AI361" s="3260"/>
      <c r="AJ361" s="3260"/>
      <c r="AK361" s="3260"/>
      <c r="AL361" s="3259"/>
      <c r="AM361" s="3260"/>
      <c r="AN361" s="3259"/>
      <c r="AO361" s="3260"/>
      <c r="AP361" s="3242">
        <v>0</v>
      </c>
      <c r="AQ361" s="3244"/>
      <c r="AR361" s="3244"/>
      <c r="AS361" s="3242" t="s">
        <v>3384</v>
      </c>
      <c r="AT361" s="3247">
        <f t="shared" si="43"/>
        <v>0</v>
      </c>
      <c r="AU361" s="3248">
        <f t="shared" si="44"/>
        <v>0</v>
      </c>
      <c r="AV361" s="3248">
        <v>0</v>
      </c>
      <c r="AW361" s="3247">
        <v>0</v>
      </c>
      <c r="AX361" s="3248">
        <v>0</v>
      </c>
      <c r="AY361" s="3248">
        <v>0</v>
      </c>
      <c r="AZ361" s="3247">
        <v>0</v>
      </c>
      <c r="BA361" s="3248">
        <v>0</v>
      </c>
      <c r="BB361" s="3248">
        <v>0</v>
      </c>
      <c r="BC361" s="3247">
        <v>0</v>
      </c>
      <c r="BD361" s="3248">
        <v>0</v>
      </c>
      <c r="BE361" s="3248">
        <v>0</v>
      </c>
      <c r="BF361" s="3248">
        <f t="shared" si="45"/>
        <v>0</v>
      </c>
      <c r="BG361" s="3248">
        <f t="shared" si="46"/>
        <v>0</v>
      </c>
      <c r="BH361" s="3249"/>
      <c r="BI361" s="3249"/>
    </row>
    <row r="362" spans="1:61" x14ac:dyDescent="0.3">
      <c r="A362" s="4197" t="s">
        <v>3384</v>
      </c>
      <c r="B362" s="3261"/>
      <c r="C362" s="3243">
        <v>0</v>
      </c>
      <c r="D362" s="3242">
        <v>0</v>
      </c>
      <c r="E362" s="3244"/>
      <c r="F362" s="3244"/>
      <c r="G362" s="3242">
        <v>0</v>
      </c>
      <c r="H362" s="3244"/>
      <c r="I362" s="3244"/>
      <c r="J362" s="3244"/>
      <c r="K362" s="3242">
        <v>0</v>
      </c>
      <c r="L362" s="3244"/>
      <c r="M362" s="3244"/>
      <c r="N362" s="3242" t="s">
        <v>3384</v>
      </c>
      <c r="O362" s="3239">
        <v>0</v>
      </c>
      <c r="P362" s="3242">
        <v>0</v>
      </c>
      <c r="Q362" s="3244"/>
      <c r="R362" s="3244"/>
      <c r="S362" s="3242">
        <v>0</v>
      </c>
      <c r="T362" s="3244"/>
      <c r="U362" s="3244"/>
      <c r="V362" s="3244"/>
      <c r="W362" s="3240">
        <v>0</v>
      </c>
      <c r="X362" s="3244"/>
      <c r="Y362" s="3244"/>
      <c r="Z362" s="3242" t="s">
        <v>3384</v>
      </c>
      <c r="AA362" s="3243">
        <v>0</v>
      </c>
      <c r="AB362" s="3242">
        <v>0</v>
      </c>
      <c r="AC362" s="3244"/>
      <c r="AD362" s="3244"/>
      <c r="AE362" s="3242">
        <v>0</v>
      </c>
      <c r="AF362" s="3259"/>
      <c r="AG362" s="3260"/>
      <c r="AH362" s="3250"/>
      <c r="AI362" s="3260"/>
      <c r="AJ362" s="3260"/>
      <c r="AK362" s="3260"/>
      <c r="AL362" s="3259"/>
      <c r="AM362" s="3260"/>
      <c r="AN362" s="3259"/>
      <c r="AO362" s="3260"/>
      <c r="AP362" s="3242">
        <v>0</v>
      </c>
      <c r="AQ362" s="3244"/>
      <c r="AR362" s="3244"/>
      <c r="AS362" s="3242" t="s">
        <v>3384</v>
      </c>
      <c r="AT362" s="3247">
        <f t="shared" si="43"/>
        <v>0</v>
      </c>
      <c r="AU362" s="3248">
        <f t="shared" si="44"/>
        <v>0</v>
      </c>
      <c r="AV362" s="3248">
        <v>0</v>
      </c>
      <c r="AW362" s="3247">
        <v>0</v>
      </c>
      <c r="AX362" s="3248">
        <v>0</v>
      </c>
      <c r="AY362" s="3248">
        <v>0</v>
      </c>
      <c r="AZ362" s="3247">
        <v>0</v>
      </c>
      <c r="BA362" s="3248">
        <v>0</v>
      </c>
      <c r="BB362" s="3248">
        <v>0</v>
      </c>
      <c r="BC362" s="3247">
        <v>0</v>
      </c>
      <c r="BD362" s="3248">
        <v>0</v>
      </c>
      <c r="BE362" s="3248">
        <v>0</v>
      </c>
      <c r="BF362" s="3248">
        <f t="shared" si="45"/>
        <v>0</v>
      </c>
      <c r="BG362" s="3248">
        <f t="shared" si="46"/>
        <v>0</v>
      </c>
      <c r="BH362" s="3249"/>
      <c r="BI362" s="3249"/>
    </row>
    <row r="363" spans="1:61" x14ac:dyDescent="0.3">
      <c r="A363" s="4197" t="s">
        <v>3384</v>
      </c>
      <c r="B363" s="3261"/>
      <c r="C363" s="3243">
        <v>0</v>
      </c>
      <c r="D363" s="3242">
        <v>0</v>
      </c>
      <c r="E363" s="3244"/>
      <c r="F363" s="3244"/>
      <c r="G363" s="3242">
        <v>0</v>
      </c>
      <c r="H363" s="3244"/>
      <c r="I363" s="3244"/>
      <c r="J363" s="3244"/>
      <c r="K363" s="3242">
        <v>0</v>
      </c>
      <c r="L363" s="3244"/>
      <c r="M363" s="3244"/>
      <c r="N363" s="3242" t="s">
        <v>3384</v>
      </c>
      <c r="O363" s="3239">
        <v>0</v>
      </c>
      <c r="P363" s="3242">
        <v>0</v>
      </c>
      <c r="Q363" s="3244"/>
      <c r="R363" s="3244"/>
      <c r="S363" s="3242">
        <v>0</v>
      </c>
      <c r="T363" s="3244"/>
      <c r="U363" s="3244"/>
      <c r="V363" s="3244"/>
      <c r="W363" s="3240">
        <v>0</v>
      </c>
      <c r="X363" s="3244"/>
      <c r="Y363" s="3244"/>
      <c r="Z363" s="3242" t="s">
        <v>3384</v>
      </c>
      <c r="AA363" s="3243">
        <v>0</v>
      </c>
      <c r="AB363" s="3242">
        <v>0</v>
      </c>
      <c r="AC363" s="3244"/>
      <c r="AD363" s="3244"/>
      <c r="AE363" s="3242">
        <v>0</v>
      </c>
      <c r="AF363" s="3259"/>
      <c r="AG363" s="3260"/>
      <c r="AH363" s="3250"/>
      <c r="AI363" s="3260"/>
      <c r="AJ363" s="3260"/>
      <c r="AK363" s="3260"/>
      <c r="AL363" s="3259"/>
      <c r="AM363" s="3260"/>
      <c r="AN363" s="3259"/>
      <c r="AO363" s="3260"/>
      <c r="AP363" s="3242">
        <v>0</v>
      </c>
      <c r="AQ363" s="3244"/>
      <c r="AR363" s="3244"/>
      <c r="AS363" s="3242" t="s">
        <v>3384</v>
      </c>
      <c r="AT363" s="3247">
        <f t="shared" si="43"/>
        <v>0</v>
      </c>
      <c r="AU363" s="3248">
        <f t="shared" si="44"/>
        <v>0</v>
      </c>
      <c r="AV363" s="3248">
        <v>0</v>
      </c>
      <c r="AW363" s="3247">
        <v>0</v>
      </c>
      <c r="AX363" s="3248">
        <v>0</v>
      </c>
      <c r="AY363" s="3248">
        <v>0</v>
      </c>
      <c r="AZ363" s="3247">
        <v>0</v>
      </c>
      <c r="BA363" s="3248">
        <v>0</v>
      </c>
      <c r="BB363" s="3248">
        <v>0</v>
      </c>
      <c r="BC363" s="3247">
        <v>0</v>
      </c>
      <c r="BD363" s="3248">
        <v>0</v>
      </c>
      <c r="BE363" s="3248">
        <v>0</v>
      </c>
      <c r="BF363" s="3248">
        <f t="shared" si="45"/>
        <v>0</v>
      </c>
      <c r="BG363" s="3248">
        <f t="shared" si="46"/>
        <v>0</v>
      </c>
      <c r="BH363" s="3249"/>
      <c r="BI363" s="3249"/>
    </row>
    <row r="364" spans="1:61" x14ac:dyDescent="0.3">
      <c r="A364" s="4197" t="s">
        <v>3384</v>
      </c>
      <c r="B364" s="3261"/>
      <c r="C364" s="3243">
        <v>0</v>
      </c>
      <c r="D364" s="3242">
        <v>0</v>
      </c>
      <c r="E364" s="3244"/>
      <c r="F364" s="3244"/>
      <c r="G364" s="3242">
        <v>0</v>
      </c>
      <c r="H364" s="3244"/>
      <c r="I364" s="3244"/>
      <c r="J364" s="3244"/>
      <c r="K364" s="3242">
        <v>0</v>
      </c>
      <c r="L364" s="3244"/>
      <c r="M364" s="3244"/>
      <c r="N364" s="3242" t="s">
        <v>3384</v>
      </c>
      <c r="O364" s="3239">
        <v>0</v>
      </c>
      <c r="P364" s="3242">
        <v>0</v>
      </c>
      <c r="Q364" s="3244"/>
      <c r="R364" s="3244"/>
      <c r="S364" s="3242">
        <v>0</v>
      </c>
      <c r="T364" s="3244"/>
      <c r="U364" s="3244"/>
      <c r="V364" s="3244"/>
      <c r="W364" s="3240">
        <v>0</v>
      </c>
      <c r="X364" s="3244"/>
      <c r="Y364" s="3244"/>
      <c r="Z364" s="3242" t="s">
        <v>3384</v>
      </c>
      <c r="AA364" s="3243">
        <v>0</v>
      </c>
      <c r="AB364" s="3242">
        <v>0</v>
      </c>
      <c r="AC364" s="3244"/>
      <c r="AD364" s="3244"/>
      <c r="AE364" s="3242">
        <v>0</v>
      </c>
      <c r="AF364" s="3259"/>
      <c r="AG364" s="3260"/>
      <c r="AH364" s="3250"/>
      <c r="AI364" s="3260"/>
      <c r="AJ364" s="3260"/>
      <c r="AK364" s="3260"/>
      <c r="AL364" s="3259"/>
      <c r="AM364" s="3260"/>
      <c r="AN364" s="3259"/>
      <c r="AO364" s="3260"/>
      <c r="AP364" s="3242">
        <v>0</v>
      </c>
      <c r="AQ364" s="3244"/>
      <c r="AR364" s="3244"/>
      <c r="AS364" s="3242" t="s">
        <v>3384</v>
      </c>
      <c r="AT364" s="3247">
        <f t="shared" si="43"/>
        <v>0</v>
      </c>
      <c r="AU364" s="3248">
        <f t="shared" si="44"/>
        <v>0</v>
      </c>
      <c r="AV364" s="3248">
        <v>0</v>
      </c>
      <c r="AW364" s="3247">
        <v>0</v>
      </c>
      <c r="AX364" s="3248">
        <v>0</v>
      </c>
      <c r="AY364" s="3248">
        <v>0</v>
      </c>
      <c r="AZ364" s="3247">
        <v>0</v>
      </c>
      <c r="BA364" s="3248">
        <v>0</v>
      </c>
      <c r="BB364" s="3248">
        <v>0</v>
      </c>
      <c r="BC364" s="3247">
        <v>0</v>
      </c>
      <c r="BD364" s="3248">
        <v>0</v>
      </c>
      <c r="BE364" s="3248">
        <v>0</v>
      </c>
      <c r="BF364" s="3248">
        <f t="shared" si="45"/>
        <v>0</v>
      </c>
      <c r="BG364" s="3248">
        <f t="shared" si="46"/>
        <v>0</v>
      </c>
      <c r="BH364" s="3249"/>
      <c r="BI364" s="3249"/>
    </row>
    <row r="365" spans="1:61" x14ac:dyDescent="0.3">
      <c r="A365" s="4197" t="s">
        <v>3384</v>
      </c>
      <c r="B365" s="3261"/>
      <c r="C365" s="3243">
        <v>0</v>
      </c>
      <c r="D365" s="3242">
        <v>0</v>
      </c>
      <c r="E365" s="3244"/>
      <c r="F365" s="3244"/>
      <c r="G365" s="3242">
        <v>0</v>
      </c>
      <c r="H365" s="3244"/>
      <c r="I365" s="3244"/>
      <c r="J365" s="3244"/>
      <c r="K365" s="3242">
        <v>0</v>
      </c>
      <c r="L365" s="3244"/>
      <c r="M365" s="3244"/>
      <c r="N365" s="3242" t="s">
        <v>3384</v>
      </c>
      <c r="O365" s="3239">
        <v>0</v>
      </c>
      <c r="P365" s="3242">
        <v>0</v>
      </c>
      <c r="Q365" s="3244"/>
      <c r="R365" s="3244"/>
      <c r="S365" s="3242">
        <v>0</v>
      </c>
      <c r="T365" s="3244"/>
      <c r="U365" s="3244"/>
      <c r="V365" s="3244"/>
      <c r="W365" s="3240">
        <v>0</v>
      </c>
      <c r="X365" s="3244"/>
      <c r="Y365" s="3244"/>
      <c r="Z365" s="3242" t="s">
        <v>3384</v>
      </c>
      <c r="AA365" s="3243">
        <v>0</v>
      </c>
      <c r="AB365" s="3242">
        <v>0</v>
      </c>
      <c r="AC365" s="3244"/>
      <c r="AD365" s="3244"/>
      <c r="AE365" s="3242">
        <v>0</v>
      </c>
      <c r="AF365" s="3259"/>
      <c r="AG365" s="3260"/>
      <c r="AH365" s="3250"/>
      <c r="AI365" s="3260"/>
      <c r="AJ365" s="3260"/>
      <c r="AK365" s="3260"/>
      <c r="AL365" s="3259"/>
      <c r="AM365" s="3260"/>
      <c r="AN365" s="3259"/>
      <c r="AO365" s="3260"/>
      <c r="AP365" s="3242">
        <v>0</v>
      </c>
      <c r="AQ365" s="3244"/>
      <c r="AR365" s="3244"/>
      <c r="AS365" s="3242" t="s">
        <v>3384</v>
      </c>
      <c r="AT365" s="3247">
        <f t="shared" si="43"/>
        <v>0</v>
      </c>
      <c r="AU365" s="3248">
        <f t="shared" si="44"/>
        <v>0</v>
      </c>
      <c r="AV365" s="3248">
        <v>0</v>
      </c>
      <c r="AW365" s="3247">
        <v>0</v>
      </c>
      <c r="AX365" s="3248">
        <v>0</v>
      </c>
      <c r="AY365" s="3248">
        <v>0</v>
      </c>
      <c r="AZ365" s="3247">
        <v>0</v>
      </c>
      <c r="BA365" s="3248">
        <v>0</v>
      </c>
      <c r="BB365" s="3248">
        <v>0</v>
      </c>
      <c r="BC365" s="3247">
        <v>0</v>
      </c>
      <c r="BD365" s="3248">
        <v>0</v>
      </c>
      <c r="BE365" s="3248">
        <v>0</v>
      </c>
      <c r="BF365" s="3248">
        <f t="shared" si="45"/>
        <v>0</v>
      </c>
      <c r="BG365" s="3248">
        <f t="shared" si="46"/>
        <v>0</v>
      </c>
      <c r="BH365" s="3249"/>
      <c r="BI365" s="3249"/>
    </row>
    <row r="366" spans="1:61" x14ac:dyDescent="0.3">
      <c r="A366" s="4197" t="s">
        <v>3384</v>
      </c>
      <c r="B366" s="3261"/>
      <c r="C366" s="3243">
        <v>0</v>
      </c>
      <c r="D366" s="3242">
        <v>0</v>
      </c>
      <c r="E366" s="3244"/>
      <c r="F366" s="3244"/>
      <c r="G366" s="3242">
        <v>0</v>
      </c>
      <c r="H366" s="3244"/>
      <c r="I366" s="3244"/>
      <c r="J366" s="3244"/>
      <c r="K366" s="3242">
        <v>0</v>
      </c>
      <c r="L366" s="3244"/>
      <c r="M366" s="3244"/>
      <c r="N366" s="3242" t="s">
        <v>3384</v>
      </c>
      <c r="O366" s="3239">
        <v>0</v>
      </c>
      <c r="P366" s="3242">
        <v>0</v>
      </c>
      <c r="Q366" s="3244"/>
      <c r="R366" s="3244"/>
      <c r="S366" s="3242">
        <v>0</v>
      </c>
      <c r="T366" s="3244"/>
      <c r="U366" s="3244"/>
      <c r="V366" s="3244"/>
      <c r="W366" s="3240">
        <v>0</v>
      </c>
      <c r="X366" s="3244"/>
      <c r="Y366" s="3244"/>
      <c r="Z366" s="3242" t="s">
        <v>3384</v>
      </c>
      <c r="AA366" s="3243">
        <v>0</v>
      </c>
      <c r="AB366" s="3242">
        <v>0</v>
      </c>
      <c r="AC366" s="3244"/>
      <c r="AD366" s="3244"/>
      <c r="AE366" s="3242">
        <v>0</v>
      </c>
      <c r="AF366" s="3259"/>
      <c r="AG366" s="3260"/>
      <c r="AH366" s="3250"/>
      <c r="AI366" s="3260"/>
      <c r="AJ366" s="3260"/>
      <c r="AK366" s="3260"/>
      <c r="AL366" s="3259"/>
      <c r="AM366" s="3260"/>
      <c r="AN366" s="3259"/>
      <c r="AO366" s="3260"/>
      <c r="AP366" s="3242">
        <v>0</v>
      </c>
      <c r="AQ366" s="3244"/>
      <c r="AR366" s="3244"/>
      <c r="AS366" s="3242" t="s">
        <v>3384</v>
      </c>
      <c r="AT366" s="3247">
        <f t="shared" si="43"/>
        <v>0</v>
      </c>
      <c r="AU366" s="3248">
        <f t="shared" si="44"/>
        <v>0</v>
      </c>
      <c r="AV366" s="3248">
        <v>0</v>
      </c>
      <c r="AW366" s="3247">
        <v>0</v>
      </c>
      <c r="AX366" s="3248">
        <v>0</v>
      </c>
      <c r="AY366" s="3248">
        <v>0</v>
      </c>
      <c r="AZ366" s="3247">
        <v>0</v>
      </c>
      <c r="BA366" s="3248">
        <v>0</v>
      </c>
      <c r="BB366" s="3248">
        <v>0</v>
      </c>
      <c r="BC366" s="3247">
        <v>0</v>
      </c>
      <c r="BD366" s="3248">
        <v>0</v>
      </c>
      <c r="BE366" s="3248">
        <v>0</v>
      </c>
      <c r="BF366" s="3248">
        <f t="shared" si="45"/>
        <v>0</v>
      </c>
      <c r="BG366" s="3248">
        <f t="shared" si="46"/>
        <v>0</v>
      </c>
      <c r="BH366" s="3249"/>
      <c r="BI366" s="3249"/>
    </row>
    <row r="367" spans="1:61" x14ac:dyDescent="0.3">
      <c r="A367" s="4197" t="s">
        <v>3384</v>
      </c>
      <c r="B367" s="3261"/>
      <c r="C367" s="3243">
        <v>0</v>
      </c>
      <c r="D367" s="3242">
        <v>0</v>
      </c>
      <c r="E367" s="3244"/>
      <c r="F367" s="3244"/>
      <c r="G367" s="3242">
        <v>0</v>
      </c>
      <c r="H367" s="3244"/>
      <c r="I367" s="3244"/>
      <c r="J367" s="3244"/>
      <c r="K367" s="3242">
        <v>0</v>
      </c>
      <c r="L367" s="3244"/>
      <c r="M367" s="3244"/>
      <c r="N367" s="3242" t="s">
        <v>3384</v>
      </c>
      <c r="O367" s="3239">
        <v>0</v>
      </c>
      <c r="P367" s="3242">
        <v>0</v>
      </c>
      <c r="Q367" s="3244"/>
      <c r="R367" s="3244"/>
      <c r="S367" s="3242">
        <v>0</v>
      </c>
      <c r="T367" s="3244"/>
      <c r="U367" s="3244"/>
      <c r="V367" s="3244"/>
      <c r="W367" s="3240">
        <v>0</v>
      </c>
      <c r="X367" s="3244"/>
      <c r="Y367" s="3244"/>
      <c r="Z367" s="3242" t="s">
        <v>3384</v>
      </c>
      <c r="AA367" s="3243">
        <v>0</v>
      </c>
      <c r="AB367" s="3242">
        <v>0</v>
      </c>
      <c r="AC367" s="3244"/>
      <c r="AD367" s="3244"/>
      <c r="AE367" s="3242">
        <v>0</v>
      </c>
      <c r="AF367" s="3259"/>
      <c r="AG367" s="3260"/>
      <c r="AH367" s="3250"/>
      <c r="AI367" s="3260"/>
      <c r="AJ367" s="3260"/>
      <c r="AK367" s="3260"/>
      <c r="AL367" s="3259"/>
      <c r="AM367" s="3260"/>
      <c r="AN367" s="3259"/>
      <c r="AO367" s="3260"/>
      <c r="AP367" s="3242">
        <v>0</v>
      </c>
      <c r="AQ367" s="3244"/>
      <c r="AR367" s="3244"/>
      <c r="AS367" s="3242" t="s">
        <v>3384</v>
      </c>
      <c r="AT367" s="3247">
        <f t="shared" si="43"/>
        <v>0</v>
      </c>
      <c r="AU367" s="3248">
        <f t="shared" si="44"/>
        <v>0</v>
      </c>
      <c r="AV367" s="3248">
        <v>0</v>
      </c>
      <c r="AW367" s="3247">
        <v>0</v>
      </c>
      <c r="AX367" s="3248">
        <v>0</v>
      </c>
      <c r="AY367" s="3248">
        <v>0</v>
      </c>
      <c r="AZ367" s="3247">
        <v>0</v>
      </c>
      <c r="BA367" s="3248">
        <v>0</v>
      </c>
      <c r="BB367" s="3248">
        <v>0</v>
      </c>
      <c r="BC367" s="3247">
        <v>0</v>
      </c>
      <c r="BD367" s="3248">
        <v>0</v>
      </c>
      <c r="BE367" s="3248">
        <v>0</v>
      </c>
      <c r="BF367" s="3248">
        <f t="shared" si="45"/>
        <v>0</v>
      </c>
      <c r="BG367" s="3248">
        <f t="shared" si="46"/>
        <v>0</v>
      </c>
      <c r="BH367" s="3249"/>
      <c r="BI367" s="3249"/>
    </row>
    <row r="368" spans="1:61" x14ac:dyDescent="0.3">
      <c r="A368" s="4197" t="s">
        <v>3384</v>
      </c>
      <c r="B368" s="3261"/>
      <c r="C368" s="3243">
        <v>0</v>
      </c>
      <c r="D368" s="3242">
        <v>0</v>
      </c>
      <c r="E368" s="3244"/>
      <c r="F368" s="3244"/>
      <c r="G368" s="3242">
        <v>0</v>
      </c>
      <c r="H368" s="3244"/>
      <c r="I368" s="3244"/>
      <c r="J368" s="3244"/>
      <c r="K368" s="3242">
        <v>0</v>
      </c>
      <c r="L368" s="3244"/>
      <c r="M368" s="3244"/>
      <c r="N368" s="3242" t="s">
        <v>3384</v>
      </c>
      <c r="O368" s="3239">
        <v>0</v>
      </c>
      <c r="P368" s="3242">
        <v>0</v>
      </c>
      <c r="Q368" s="3244"/>
      <c r="R368" s="3244"/>
      <c r="S368" s="3242">
        <v>0</v>
      </c>
      <c r="T368" s="3244"/>
      <c r="U368" s="3244"/>
      <c r="V368" s="3244"/>
      <c r="W368" s="3240">
        <v>0</v>
      </c>
      <c r="X368" s="3244"/>
      <c r="Y368" s="3244"/>
      <c r="Z368" s="3242" t="s">
        <v>3384</v>
      </c>
      <c r="AA368" s="3243">
        <v>0</v>
      </c>
      <c r="AB368" s="3242">
        <v>0</v>
      </c>
      <c r="AC368" s="3244"/>
      <c r="AD368" s="3244"/>
      <c r="AE368" s="3242">
        <v>0</v>
      </c>
      <c r="AF368" s="3259"/>
      <c r="AG368" s="3260"/>
      <c r="AH368" s="3250"/>
      <c r="AI368" s="3260"/>
      <c r="AJ368" s="3260"/>
      <c r="AK368" s="3260"/>
      <c r="AL368" s="3259"/>
      <c r="AM368" s="3260"/>
      <c r="AN368" s="3259"/>
      <c r="AO368" s="3260"/>
      <c r="AP368" s="3242">
        <v>0</v>
      </c>
      <c r="AQ368" s="3244"/>
      <c r="AR368" s="3244"/>
      <c r="AS368" s="3242" t="s">
        <v>3384</v>
      </c>
      <c r="AT368" s="3247">
        <f t="shared" si="43"/>
        <v>0</v>
      </c>
      <c r="AU368" s="3248">
        <f t="shared" si="44"/>
        <v>0</v>
      </c>
      <c r="AV368" s="3248">
        <v>0</v>
      </c>
      <c r="AW368" s="3247">
        <v>0</v>
      </c>
      <c r="AX368" s="3248">
        <v>0</v>
      </c>
      <c r="AY368" s="3248">
        <v>0</v>
      </c>
      <c r="AZ368" s="3247">
        <v>0</v>
      </c>
      <c r="BA368" s="3248">
        <v>0</v>
      </c>
      <c r="BB368" s="3248">
        <v>0</v>
      </c>
      <c r="BC368" s="3247">
        <v>0</v>
      </c>
      <c r="BD368" s="3248">
        <v>0</v>
      </c>
      <c r="BE368" s="3248">
        <v>0</v>
      </c>
      <c r="BF368" s="3248">
        <f t="shared" si="45"/>
        <v>0</v>
      </c>
      <c r="BG368" s="3248">
        <f t="shared" si="46"/>
        <v>0</v>
      </c>
      <c r="BH368" s="3249"/>
      <c r="BI368" s="3249"/>
    </row>
    <row r="369" spans="1:61" x14ac:dyDescent="0.3">
      <c r="A369" s="4197" t="s">
        <v>3384</v>
      </c>
      <c r="B369" s="3261"/>
      <c r="C369" s="3243">
        <v>0</v>
      </c>
      <c r="D369" s="3242">
        <v>0</v>
      </c>
      <c r="E369" s="3244"/>
      <c r="F369" s="3244"/>
      <c r="G369" s="3242">
        <v>0</v>
      </c>
      <c r="H369" s="3244"/>
      <c r="I369" s="3244"/>
      <c r="J369" s="3244"/>
      <c r="K369" s="3242">
        <v>0</v>
      </c>
      <c r="L369" s="3244"/>
      <c r="M369" s="3244"/>
      <c r="N369" s="3242" t="s">
        <v>3384</v>
      </c>
      <c r="O369" s="3239">
        <v>0</v>
      </c>
      <c r="P369" s="3242">
        <v>0</v>
      </c>
      <c r="Q369" s="3244"/>
      <c r="R369" s="3244"/>
      <c r="S369" s="3242">
        <v>0</v>
      </c>
      <c r="T369" s="3244"/>
      <c r="U369" s="3244"/>
      <c r="V369" s="3244"/>
      <c r="W369" s="3240">
        <v>0</v>
      </c>
      <c r="X369" s="3244"/>
      <c r="Y369" s="3244"/>
      <c r="Z369" s="3242" t="s">
        <v>3384</v>
      </c>
      <c r="AA369" s="3243">
        <v>0</v>
      </c>
      <c r="AB369" s="3242">
        <v>0</v>
      </c>
      <c r="AC369" s="3244"/>
      <c r="AD369" s="3244"/>
      <c r="AE369" s="3242">
        <v>0</v>
      </c>
      <c r="AF369" s="3259"/>
      <c r="AG369" s="3260"/>
      <c r="AH369" s="3250"/>
      <c r="AI369" s="3260"/>
      <c r="AJ369" s="3260"/>
      <c r="AK369" s="3260"/>
      <c r="AL369" s="3259"/>
      <c r="AM369" s="3260"/>
      <c r="AN369" s="3259"/>
      <c r="AO369" s="3260"/>
      <c r="AP369" s="3242">
        <v>0</v>
      </c>
      <c r="AQ369" s="3244"/>
      <c r="AR369" s="3244"/>
      <c r="AS369" s="3242" t="s">
        <v>3384</v>
      </c>
      <c r="AT369" s="3247">
        <f t="shared" si="43"/>
        <v>0</v>
      </c>
      <c r="AU369" s="3248">
        <f t="shared" si="44"/>
        <v>0</v>
      </c>
      <c r="AV369" s="3248">
        <v>0</v>
      </c>
      <c r="AW369" s="3247">
        <v>0</v>
      </c>
      <c r="AX369" s="3248">
        <v>0</v>
      </c>
      <c r="AY369" s="3248">
        <v>0</v>
      </c>
      <c r="AZ369" s="3247">
        <v>0</v>
      </c>
      <c r="BA369" s="3248">
        <v>0</v>
      </c>
      <c r="BB369" s="3248">
        <v>0</v>
      </c>
      <c r="BC369" s="3247">
        <v>0</v>
      </c>
      <c r="BD369" s="3248">
        <v>0</v>
      </c>
      <c r="BE369" s="3248">
        <v>0</v>
      </c>
      <c r="BF369" s="3248">
        <f t="shared" si="45"/>
        <v>0</v>
      </c>
      <c r="BG369" s="3248">
        <f t="shared" si="46"/>
        <v>0</v>
      </c>
      <c r="BH369" s="3249"/>
      <c r="BI369" s="3249"/>
    </row>
    <row r="370" spans="1:61" x14ac:dyDescent="0.3">
      <c r="A370" s="4197" t="s">
        <v>3384</v>
      </c>
      <c r="B370" s="3261"/>
      <c r="C370" s="3243">
        <v>0</v>
      </c>
      <c r="D370" s="3242">
        <v>0</v>
      </c>
      <c r="E370" s="3244"/>
      <c r="F370" s="3244"/>
      <c r="G370" s="3242">
        <v>0</v>
      </c>
      <c r="H370" s="3244"/>
      <c r="I370" s="3244"/>
      <c r="J370" s="3244"/>
      <c r="K370" s="3242">
        <v>0</v>
      </c>
      <c r="L370" s="3244"/>
      <c r="M370" s="3244"/>
      <c r="N370" s="3242" t="s">
        <v>3384</v>
      </c>
      <c r="O370" s="3239">
        <v>0</v>
      </c>
      <c r="P370" s="3242">
        <v>0</v>
      </c>
      <c r="Q370" s="3244"/>
      <c r="R370" s="3244"/>
      <c r="S370" s="3242">
        <v>0</v>
      </c>
      <c r="T370" s="3244"/>
      <c r="U370" s="3244"/>
      <c r="V370" s="3244"/>
      <c r="W370" s="3240">
        <v>0</v>
      </c>
      <c r="X370" s="3244"/>
      <c r="Y370" s="3244"/>
      <c r="Z370" s="3242" t="s">
        <v>3384</v>
      </c>
      <c r="AA370" s="3243">
        <v>0</v>
      </c>
      <c r="AB370" s="3242">
        <v>0</v>
      </c>
      <c r="AC370" s="3244"/>
      <c r="AD370" s="3244"/>
      <c r="AE370" s="3242">
        <v>0</v>
      </c>
      <c r="AF370" s="3259"/>
      <c r="AG370" s="3260"/>
      <c r="AH370" s="3250"/>
      <c r="AI370" s="3260"/>
      <c r="AJ370" s="3260"/>
      <c r="AK370" s="3260"/>
      <c r="AL370" s="3259"/>
      <c r="AM370" s="3260"/>
      <c r="AN370" s="3259"/>
      <c r="AO370" s="3260"/>
      <c r="AP370" s="3242">
        <v>0</v>
      </c>
      <c r="AQ370" s="3244"/>
      <c r="AR370" s="3244"/>
      <c r="AS370" s="3242" t="s">
        <v>3384</v>
      </c>
      <c r="AT370" s="3247">
        <f t="shared" si="43"/>
        <v>0</v>
      </c>
      <c r="AU370" s="3248">
        <f t="shared" si="44"/>
        <v>0</v>
      </c>
      <c r="AV370" s="3248">
        <v>0</v>
      </c>
      <c r="AW370" s="3247">
        <v>0</v>
      </c>
      <c r="AX370" s="3248">
        <v>0</v>
      </c>
      <c r="AY370" s="3248">
        <v>0</v>
      </c>
      <c r="AZ370" s="3247">
        <v>0</v>
      </c>
      <c r="BA370" s="3248">
        <v>0</v>
      </c>
      <c r="BB370" s="3248">
        <v>0</v>
      </c>
      <c r="BC370" s="3247">
        <v>0</v>
      </c>
      <c r="BD370" s="3248">
        <v>0</v>
      </c>
      <c r="BE370" s="3248">
        <v>0</v>
      </c>
      <c r="BF370" s="3248">
        <f t="shared" si="45"/>
        <v>0</v>
      </c>
      <c r="BG370" s="3248">
        <f t="shared" si="46"/>
        <v>0</v>
      </c>
      <c r="BH370" s="3249"/>
      <c r="BI370" s="3249"/>
    </row>
    <row r="371" spans="1:61" x14ac:dyDescent="0.3">
      <c r="A371" s="4197" t="s">
        <v>3384</v>
      </c>
      <c r="B371" s="3261"/>
      <c r="C371" s="3243">
        <v>0</v>
      </c>
      <c r="D371" s="3242">
        <v>0</v>
      </c>
      <c r="E371" s="3244"/>
      <c r="F371" s="3244"/>
      <c r="G371" s="3242">
        <v>0</v>
      </c>
      <c r="H371" s="3244"/>
      <c r="I371" s="3244"/>
      <c r="J371" s="3244"/>
      <c r="K371" s="3242">
        <v>0</v>
      </c>
      <c r="L371" s="3244"/>
      <c r="M371" s="3244"/>
      <c r="N371" s="3242" t="s">
        <v>3384</v>
      </c>
      <c r="O371" s="3239">
        <v>0</v>
      </c>
      <c r="P371" s="3242">
        <v>0</v>
      </c>
      <c r="Q371" s="3244"/>
      <c r="R371" s="3244"/>
      <c r="S371" s="3242">
        <v>0</v>
      </c>
      <c r="T371" s="3244"/>
      <c r="U371" s="3244"/>
      <c r="V371" s="3244"/>
      <c r="W371" s="3240">
        <v>0</v>
      </c>
      <c r="X371" s="3244"/>
      <c r="Y371" s="3244"/>
      <c r="Z371" s="3242" t="s">
        <v>3384</v>
      </c>
      <c r="AA371" s="3243">
        <v>0</v>
      </c>
      <c r="AB371" s="3242">
        <v>0</v>
      </c>
      <c r="AC371" s="3244"/>
      <c r="AD371" s="3244"/>
      <c r="AE371" s="3242">
        <v>0</v>
      </c>
      <c r="AF371" s="3259"/>
      <c r="AG371" s="3260"/>
      <c r="AH371" s="3250"/>
      <c r="AI371" s="3260"/>
      <c r="AJ371" s="3260"/>
      <c r="AK371" s="3260"/>
      <c r="AL371" s="3259"/>
      <c r="AM371" s="3260"/>
      <c r="AN371" s="3259"/>
      <c r="AO371" s="3260"/>
      <c r="AP371" s="3242">
        <v>0</v>
      </c>
      <c r="AQ371" s="3244"/>
      <c r="AR371" s="3244"/>
      <c r="AS371" s="3242" t="s">
        <v>3384</v>
      </c>
      <c r="AT371" s="3247">
        <f t="shared" si="43"/>
        <v>0</v>
      </c>
      <c r="AU371" s="3248">
        <f t="shared" si="44"/>
        <v>0</v>
      </c>
      <c r="AV371" s="3248">
        <v>0</v>
      </c>
      <c r="AW371" s="3247">
        <v>0</v>
      </c>
      <c r="AX371" s="3248">
        <v>0</v>
      </c>
      <c r="AY371" s="3248">
        <v>0</v>
      </c>
      <c r="AZ371" s="3247">
        <v>0</v>
      </c>
      <c r="BA371" s="3248">
        <v>0</v>
      </c>
      <c r="BB371" s="3248">
        <v>0</v>
      </c>
      <c r="BC371" s="3247">
        <v>0</v>
      </c>
      <c r="BD371" s="3248">
        <v>0</v>
      </c>
      <c r="BE371" s="3248">
        <v>0</v>
      </c>
      <c r="BF371" s="3248">
        <f t="shared" si="45"/>
        <v>0</v>
      </c>
      <c r="BG371" s="3248">
        <f t="shared" si="46"/>
        <v>0</v>
      </c>
      <c r="BH371" s="3249"/>
      <c r="BI371" s="3249"/>
    </row>
    <row r="372" spans="1:61" x14ac:dyDescent="0.3">
      <c r="A372" s="4197" t="s">
        <v>3384</v>
      </c>
      <c r="B372" s="3261"/>
      <c r="C372" s="3243">
        <v>0</v>
      </c>
      <c r="D372" s="3242">
        <v>0</v>
      </c>
      <c r="E372" s="3244"/>
      <c r="F372" s="3244"/>
      <c r="G372" s="3242">
        <v>0</v>
      </c>
      <c r="H372" s="3244"/>
      <c r="I372" s="3244"/>
      <c r="J372" s="3244"/>
      <c r="K372" s="3242">
        <v>0</v>
      </c>
      <c r="L372" s="3244"/>
      <c r="M372" s="3244"/>
      <c r="N372" s="3242" t="s">
        <v>3384</v>
      </c>
      <c r="O372" s="3239">
        <v>0</v>
      </c>
      <c r="P372" s="3242">
        <v>0</v>
      </c>
      <c r="Q372" s="3244"/>
      <c r="R372" s="3244"/>
      <c r="S372" s="3242">
        <v>0</v>
      </c>
      <c r="T372" s="3244"/>
      <c r="U372" s="3244"/>
      <c r="V372" s="3244"/>
      <c r="W372" s="3240">
        <v>0</v>
      </c>
      <c r="X372" s="3244"/>
      <c r="Y372" s="3244"/>
      <c r="Z372" s="3242" t="s">
        <v>3384</v>
      </c>
      <c r="AA372" s="3243">
        <v>0</v>
      </c>
      <c r="AB372" s="3242">
        <v>0</v>
      </c>
      <c r="AC372" s="3244"/>
      <c r="AD372" s="3244"/>
      <c r="AE372" s="3242">
        <v>0</v>
      </c>
      <c r="AF372" s="3259"/>
      <c r="AG372" s="3260"/>
      <c r="AH372" s="3250"/>
      <c r="AI372" s="3260"/>
      <c r="AJ372" s="3260"/>
      <c r="AK372" s="3260"/>
      <c r="AL372" s="3259"/>
      <c r="AM372" s="3260"/>
      <c r="AN372" s="3259"/>
      <c r="AO372" s="3260"/>
      <c r="AP372" s="3242">
        <v>0</v>
      </c>
      <c r="AQ372" s="3244"/>
      <c r="AR372" s="3244"/>
      <c r="AS372" s="3242" t="s">
        <v>3384</v>
      </c>
      <c r="AT372" s="3247">
        <f t="shared" si="43"/>
        <v>0</v>
      </c>
      <c r="AU372" s="3248">
        <f t="shared" si="44"/>
        <v>0</v>
      </c>
      <c r="AV372" s="3248">
        <v>0</v>
      </c>
      <c r="AW372" s="3247">
        <v>0</v>
      </c>
      <c r="AX372" s="3248">
        <v>0</v>
      </c>
      <c r="AY372" s="3248">
        <v>0</v>
      </c>
      <c r="AZ372" s="3247">
        <v>0</v>
      </c>
      <c r="BA372" s="3248">
        <v>0</v>
      </c>
      <c r="BB372" s="3248">
        <v>0</v>
      </c>
      <c r="BC372" s="3247">
        <v>0</v>
      </c>
      <c r="BD372" s="3248">
        <v>0</v>
      </c>
      <c r="BE372" s="3248">
        <v>0</v>
      </c>
      <c r="BF372" s="3248">
        <f t="shared" si="45"/>
        <v>0</v>
      </c>
      <c r="BG372" s="3248">
        <f t="shared" si="46"/>
        <v>0</v>
      </c>
      <c r="BH372" s="3249"/>
      <c r="BI372" s="3249"/>
    </row>
    <row r="373" spans="1:61" x14ac:dyDescent="0.3">
      <c r="A373" s="4197" t="s">
        <v>3384</v>
      </c>
      <c r="B373" s="3261"/>
      <c r="C373" s="3243">
        <v>0</v>
      </c>
      <c r="D373" s="3242">
        <v>0</v>
      </c>
      <c r="E373" s="3244"/>
      <c r="F373" s="3244"/>
      <c r="G373" s="3242">
        <v>0</v>
      </c>
      <c r="H373" s="3244"/>
      <c r="I373" s="3244"/>
      <c r="J373" s="3244"/>
      <c r="K373" s="3242">
        <v>0</v>
      </c>
      <c r="L373" s="3244"/>
      <c r="M373" s="3244"/>
      <c r="N373" s="3242" t="s">
        <v>3384</v>
      </c>
      <c r="O373" s="3239">
        <v>0</v>
      </c>
      <c r="P373" s="3242">
        <v>0</v>
      </c>
      <c r="Q373" s="3244"/>
      <c r="R373" s="3244"/>
      <c r="S373" s="3242">
        <v>0</v>
      </c>
      <c r="T373" s="3244"/>
      <c r="U373" s="3244"/>
      <c r="V373" s="3244"/>
      <c r="W373" s="3240">
        <v>0</v>
      </c>
      <c r="X373" s="3244"/>
      <c r="Y373" s="3244"/>
      <c r="Z373" s="3242" t="s">
        <v>3384</v>
      </c>
      <c r="AA373" s="3243">
        <v>0</v>
      </c>
      <c r="AB373" s="3242">
        <v>0</v>
      </c>
      <c r="AC373" s="3244"/>
      <c r="AD373" s="3244"/>
      <c r="AE373" s="3242">
        <v>0</v>
      </c>
      <c r="AF373" s="3259"/>
      <c r="AG373" s="3260"/>
      <c r="AH373" s="3250"/>
      <c r="AI373" s="3260"/>
      <c r="AJ373" s="3260"/>
      <c r="AK373" s="3260"/>
      <c r="AL373" s="3259"/>
      <c r="AM373" s="3260"/>
      <c r="AN373" s="3259"/>
      <c r="AO373" s="3260"/>
      <c r="AP373" s="3242">
        <v>0</v>
      </c>
      <c r="AQ373" s="3244"/>
      <c r="AR373" s="3244"/>
      <c r="AS373" s="3242" t="s">
        <v>3384</v>
      </c>
      <c r="AT373" s="3247">
        <f t="shared" si="43"/>
        <v>0</v>
      </c>
      <c r="AU373" s="3248">
        <f t="shared" si="44"/>
        <v>0</v>
      </c>
      <c r="AV373" s="3248">
        <v>0</v>
      </c>
      <c r="AW373" s="3247">
        <v>0</v>
      </c>
      <c r="AX373" s="3248">
        <v>0</v>
      </c>
      <c r="AY373" s="3248">
        <v>0</v>
      </c>
      <c r="AZ373" s="3247">
        <v>0</v>
      </c>
      <c r="BA373" s="3248">
        <v>0</v>
      </c>
      <c r="BB373" s="3248">
        <v>0</v>
      </c>
      <c r="BC373" s="3247">
        <v>0</v>
      </c>
      <c r="BD373" s="3248">
        <v>0</v>
      </c>
      <c r="BE373" s="3248">
        <v>0</v>
      </c>
      <c r="BF373" s="3248">
        <f t="shared" si="45"/>
        <v>0</v>
      </c>
      <c r="BG373" s="3248">
        <f t="shared" si="46"/>
        <v>0</v>
      </c>
      <c r="BH373" s="3249"/>
      <c r="BI373" s="3249"/>
    </row>
    <row r="374" spans="1:61" x14ac:dyDescent="0.3">
      <c r="A374" s="4197" t="s">
        <v>3384</v>
      </c>
      <c r="B374" s="3261"/>
      <c r="C374" s="3243">
        <v>0</v>
      </c>
      <c r="D374" s="3242">
        <v>0</v>
      </c>
      <c r="E374" s="3244"/>
      <c r="F374" s="3244"/>
      <c r="G374" s="3242">
        <v>0</v>
      </c>
      <c r="H374" s="3244"/>
      <c r="I374" s="3244"/>
      <c r="J374" s="3244"/>
      <c r="K374" s="3242">
        <v>0</v>
      </c>
      <c r="L374" s="3244"/>
      <c r="M374" s="3244"/>
      <c r="N374" s="3242" t="s">
        <v>3384</v>
      </c>
      <c r="O374" s="3239">
        <v>0</v>
      </c>
      <c r="P374" s="3242">
        <v>0</v>
      </c>
      <c r="Q374" s="3244"/>
      <c r="R374" s="3244"/>
      <c r="S374" s="3242">
        <v>0</v>
      </c>
      <c r="T374" s="3244"/>
      <c r="U374" s="3244"/>
      <c r="V374" s="3244"/>
      <c r="W374" s="3240">
        <v>0</v>
      </c>
      <c r="X374" s="3244"/>
      <c r="Y374" s="3244"/>
      <c r="Z374" s="3242" t="s">
        <v>3384</v>
      </c>
      <c r="AA374" s="3243">
        <v>0</v>
      </c>
      <c r="AB374" s="3242">
        <v>0</v>
      </c>
      <c r="AC374" s="3244"/>
      <c r="AD374" s="3244"/>
      <c r="AE374" s="3242">
        <v>0</v>
      </c>
      <c r="AF374" s="3259"/>
      <c r="AG374" s="3260"/>
      <c r="AH374" s="3250"/>
      <c r="AI374" s="3260"/>
      <c r="AJ374" s="3260"/>
      <c r="AK374" s="3260"/>
      <c r="AL374" s="3259"/>
      <c r="AM374" s="3260"/>
      <c r="AN374" s="3259"/>
      <c r="AO374" s="3260"/>
      <c r="AP374" s="3242">
        <v>0</v>
      </c>
      <c r="AQ374" s="3244"/>
      <c r="AR374" s="3244"/>
      <c r="AS374" s="3242" t="s">
        <v>3384</v>
      </c>
      <c r="AT374" s="3247">
        <f t="shared" si="43"/>
        <v>0</v>
      </c>
      <c r="AU374" s="3248">
        <f t="shared" si="44"/>
        <v>0</v>
      </c>
      <c r="AV374" s="3248">
        <v>0</v>
      </c>
      <c r="AW374" s="3247">
        <v>0</v>
      </c>
      <c r="AX374" s="3248">
        <v>0</v>
      </c>
      <c r="AY374" s="3248">
        <v>0</v>
      </c>
      <c r="AZ374" s="3247">
        <v>0</v>
      </c>
      <c r="BA374" s="3248">
        <v>0</v>
      </c>
      <c r="BB374" s="3248">
        <v>0</v>
      </c>
      <c r="BC374" s="3247">
        <v>0</v>
      </c>
      <c r="BD374" s="3248">
        <v>0</v>
      </c>
      <c r="BE374" s="3248">
        <v>0</v>
      </c>
      <c r="BF374" s="3248">
        <f t="shared" si="45"/>
        <v>0</v>
      </c>
      <c r="BG374" s="3248">
        <f t="shared" si="46"/>
        <v>0</v>
      </c>
      <c r="BH374" s="3249"/>
      <c r="BI374" s="3249"/>
    </row>
    <row r="375" spans="1:61" x14ac:dyDescent="0.3">
      <c r="A375" s="4197" t="s">
        <v>3384</v>
      </c>
      <c r="B375" s="3261"/>
      <c r="C375" s="3243">
        <v>0</v>
      </c>
      <c r="D375" s="3242">
        <v>0</v>
      </c>
      <c r="E375" s="3244"/>
      <c r="F375" s="3244"/>
      <c r="G375" s="3242">
        <v>0</v>
      </c>
      <c r="H375" s="3244"/>
      <c r="I375" s="3244"/>
      <c r="J375" s="3244"/>
      <c r="K375" s="3242">
        <v>0</v>
      </c>
      <c r="L375" s="3244"/>
      <c r="M375" s="3244"/>
      <c r="N375" s="3242" t="s">
        <v>3384</v>
      </c>
      <c r="O375" s="3239">
        <v>0</v>
      </c>
      <c r="P375" s="3242">
        <v>0</v>
      </c>
      <c r="Q375" s="3244"/>
      <c r="R375" s="3244"/>
      <c r="S375" s="3242">
        <v>0</v>
      </c>
      <c r="T375" s="3244"/>
      <c r="U375" s="3244"/>
      <c r="V375" s="3244"/>
      <c r="W375" s="3240">
        <v>0</v>
      </c>
      <c r="X375" s="3244"/>
      <c r="Y375" s="3244"/>
      <c r="Z375" s="3242" t="s">
        <v>3384</v>
      </c>
      <c r="AA375" s="3243">
        <v>0</v>
      </c>
      <c r="AB375" s="3242">
        <v>0</v>
      </c>
      <c r="AC375" s="3244"/>
      <c r="AD375" s="3244"/>
      <c r="AE375" s="3242">
        <v>0</v>
      </c>
      <c r="AF375" s="3259"/>
      <c r="AG375" s="3260"/>
      <c r="AH375" s="3250"/>
      <c r="AI375" s="3260"/>
      <c r="AJ375" s="3260"/>
      <c r="AK375" s="3260"/>
      <c r="AL375" s="3259"/>
      <c r="AM375" s="3260"/>
      <c r="AN375" s="3259"/>
      <c r="AO375" s="3260"/>
      <c r="AP375" s="3242">
        <v>0</v>
      </c>
      <c r="AQ375" s="3244"/>
      <c r="AR375" s="3244"/>
      <c r="AS375" s="3242" t="s">
        <v>3384</v>
      </c>
      <c r="AT375" s="3247">
        <f t="shared" si="43"/>
        <v>0</v>
      </c>
      <c r="AU375" s="3248">
        <f t="shared" si="44"/>
        <v>0</v>
      </c>
      <c r="AV375" s="3248">
        <v>0</v>
      </c>
      <c r="AW375" s="3247">
        <v>0</v>
      </c>
      <c r="AX375" s="3248">
        <v>0</v>
      </c>
      <c r="AY375" s="3248">
        <v>0</v>
      </c>
      <c r="AZ375" s="3247">
        <v>0</v>
      </c>
      <c r="BA375" s="3248">
        <v>0</v>
      </c>
      <c r="BB375" s="3248">
        <v>0</v>
      </c>
      <c r="BC375" s="3247">
        <v>0</v>
      </c>
      <c r="BD375" s="3248">
        <v>0</v>
      </c>
      <c r="BE375" s="3248">
        <v>0</v>
      </c>
      <c r="BF375" s="3248">
        <f t="shared" si="45"/>
        <v>0</v>
      </c>
      <c r="BG375" s="3248">
        <f t="shared" si="46"/>
        <v>0</v>
      </c>
      <c r="BH375" s="3249"/>
      <c r="BI375" s="3249"/>
    </row>
    <row r="376" spans="1:61" x14ac:dyDescent="0.3">
      <c r="A376" s="4197" t="s">
        <v>3384</v>
      </c>
      <c r="B376" s="3261"/>
      <c r="C376" s="3243">
        <v>0</v>
      </c>
      <c r="D376" s="3242">
        <v>0</v>
      </c>
      <c r="E376" s="3244"/>
      <c r="F376" s="3244"/>
      <c r="G376" s="3242">
        <v>0</v>
      </c>
      <c r="H376" s="3244"/>
      <c r="I376" s="3244"/>
      <c r="J376" s="3244"/>
      <c r="K376" s="3242">
        <v>0</v>
      </c>
      <c r="L376" s="3244"/>
      <c r="M376" s="3244"/>
      <c r="N376" s="3242" t="s">
        <v>3384</v>
      </c>
      <c r="O376" s="3239">
        <v>0</v>
      </c>
      <c r="P376" s="3242">
        <v>0</v>
      </c>
      <c r="Q376" s="3244"/>
      <c r="R376" s="3244"/>
      <c r="S376" s="3242">
        <v>0</v>
      </c>
      <c r="T376" s="3244"/>
      <c r="U376" s="3244"/>
      <c r="V376" s="3244"/>
      <c r="W376" s="3240">
        <v>0</v>
      </c>
      <c r="X376" s="3244"/>
      <c r="Y376" s="3244"/>
      <c r="Z376" s="3242" t="s">
        <v>3384</v>
      </c>
      <c r="AA376" s="3243">
        <v>0</v>
      </c>
      <c r="AB376" s="3242">
        <v>0</v>
      </c>
      <c r="AC376" s="3244"/>
      <c r="AD376" s="3244"/>
      <c r="AE376" s="3242">
        <v>0</v>
      </c>
      <c r="AF376" s="3259"/>
      <c r="AG376" s="3260"/>
      <c r="AH376" s="3250"/>
      <c r="AI376" s="3260"/>
      <c r="AJ376" s="3260"/>
      <c r="AK376" s="3260"/>
      <c r="AL376" s="3259"/>
      <c r="AM376" s="3260"/>
      <c r="AN376" s="3259"/>
      <c r="AO376" s="3260"/>
      <c r="AP376" s="3242">
        <v>0</v>
      </c>
      <c r="AQ376" s="3244"/>
      <c r="AR376" s="3244"/>
      <c r="AS376" s="3242" t="s">
        <v>3384</v>
      </c>
      <c r="AT376" s="3247">
        <f t="shared" si="43"/>
        <v>0</v>
      </c>
      <c r="AU376" s="3248">
        <f t="shared" si="44"/>
        <v>0</v>
      </c>
      <c r="AV376" s="3248">
        <v>0</v>
      </c>
      <c r="AW376" s="3247">
        <v>0</v>
      </c>
      <c r="AX376" s="3248">
        <v>0</v>
      </c>
      <c r="AY376" s="3248">
        <v>0</v>
      </c>
      <c r="AZ376" s="3247">
        <v>0</v>
      </c>
      <c r="BA376" s="3248">
        <v>0</v>
      </c>
      <c r="BB376" s="3248">
        <v>0</v>
      </c>
      <c r="BC376" s="3247">
        <v>0</v>
      </c>
      <c r="BD376" s="3248">
        <v>0</v>
      </c>
      <c r="BE376" s="3248">
        <v>0</v>
      </c>
      <c r="BF376" s="3248">
        <f t="shared" si="45"/>
        <v>0</v>
      </c>
      <c r="BG376" s="3248">
        <f t="shared" si="46"/>
        <v>0</v>
      </c>
      <c r="BH376" s="3249"/>
      <c r="BI376" s="3249"/>
    </row>
    <row r="377" spans="1:61" x14ac:dyDescent="0.3">
      <c r="A377" s="4197" t="s">
        <v>3384</v>
      </c>
      <c r="B377" s="3261"/>
      <c r="C377" s="3243">
        <v>0</v>
      </c>
      <c r="D377" s="3242">
        <v>0</v>
      </c>
      <c r="E377" s="3244"/>
      <c r="F377" s="3244"/>
      <c r="G377" s="3242">
        <v>0</v>
      </c>
      <c r="H377" s="3244"/>
      <c r="I377" s="3244"/>
      <c r="J377" s="3244"/>
      <c r="K377" s="3242">
        <v>0</v>
      </c>
      <c r="L377" s="3244"/>
      <c r="M377" s="3244"/>
      <c r="N377" s="3242" t="s">
        <v>3384</v>
      </c>
      <c r="O377" s="3239">
        <v>0</v>
      </c>
      <c r="P377" s="3242">
        <v>0</v>
      </c>
      <c r="Q377" s="3244"/>
      <c r="R377" s="3244"/>
      <c r="S377" s="3242">
        <v>0</v>
      </c>
      <c r="T377" s="3244"/>
      <c r="U377" s="3244"/>
      <c r="V377" s="3244"/>
      <c r="W377" s="3240">
        <v>0</v>
      </c>
      <c r="X377" s="3244"/>
      <c r="Y377" s="3244"/>
      <c r="Z377" s="3242" t="s">
        <v>3384</v>
      </c>
      <c r="AA377" s="3243">
        <v>0</v>
      </c>
      <c r="AB377" s="3242">
        <v>0</v>
      </c>
      <c r="AC377" s="3244"/>
      <c r="AD377" s="3244"/>
      <c r="AE377" s="3242">
        <v>0</v>
      </c>
      <c r="AF377" s="3259"/>
      <c r="AG377" s="3260"/>
      <c r="AH377" s="3250"/>
      <c r="AI377" s="3260"/>
      <c r="AJ377" s="3260"/>
      <c r="AK377" s="3260"/>
      <c r="AL377" s="3259"/>
      <c r="AM377" s="3260"/>
      <c r="AN377" s="3259"/>
      <c r="AO377" s="3260"/>
      <c r="AP377" s="3242">
        <v>0</v>
      </c>
      <c r="AQ377" s="3244"/>
      <c r="AR377" s="3244"/>
      <c r="AS377" s="3242" t="s">
        <v>3384</v>
      </c>
      <c r="AT377" s="3247">
        <f t="shared" si="43"/>
        <v>0</v>
      </c>
      <c r="AU377" s="3248">
        <f t="shared" si="44"/>
        <v>0</v>
      </c>
      <c r="AV377" s="3248">
        <v>0</v>
      </c>
      <c r="AW377" s="3247">
        <v>0</v>
      </c>
      <c r="AX377" s="3248">
        <v>0</v>
      </c>
      <c r="AY377" s="3248">
        <v>0</v>
      </c>
      <c r="AZ377" s="3247">
        <v>0</v>
      </c>
      <c r="BA377" s="3248">
        <v>0</v>
      </c>
      <c r="BB377" s="3248">
        <v>0</v>
      </c>
      <c r="BC377" s="3247">
        <v>0</v>
      </c>
      <c r="BD377" s="3248">
        <v>0</v>
      </c>
      <c r="BE377" s="3248">
        <v>0</v>
      </c>
      <c r="BF377" s="3248">
        <f t="shared" si="45"/>
        <v>0</v>
      </c>
      <c r="BG377" s="3248">
        <f t="shared" si="46"/>
        <v>0</v>
      </c>
      <c r="BH377" s="3249"/>
      <c r="BI377" s="3249"/>
    </row>
    <row r="378" spans="1:61" x14ac:dyDescent="0.3">
      <c r="A378" s="4197" t="s">
        <v>3384</v>
      </c>
      <c r="B378" s="3261"/>
      <c r="C378" s="3243">
        <v>0</v>
      </c>
      <c r="D378" s="3242">
        <v>0</v>
      </c>
      <c r="E378" s="3244"/>
      <c r="F378" s="3244"/>
      <c r="G378" s="3242">
        <v>0</v>
      </c>
      <c r="H378" s="3244"/>
      <c r="I378" s="3244"/>
      <c r="J378" s="3244"/>
      <c r="K378" s="3242">
        <v>0</v>
      </c>
      <c r="L378" s="3244"/>
      <c r="M378" s="3244"/>
      <c r="N378" s="3242" t="s">
        <v>3384</v>
      </c>
      <c r="O378" s="3239">
        <v>0</v>
      </c>
      <c r="P378" s="3242">
        <v>0</v>
      </c>
      <c r="Q378" s="3244"/>
      <c r="R378" s="3244"/>
      <c r="S378" s="3242">
        <v>0</v>
      </c>
      <c r="T378" s="3244"/>
      <c r="U378" s="3244"/>
      <c r="V378" s="3244"/>
      <c r="W378" s="3240">
        <v>0</v>
      </c>
      <c r="X378" s="3244"/>
      <c r="Y378" s="3244"/>
      <c r="Z378" s="3242" t="s">
        <v>3384</v>
      </c>
      <c r="AA378" s="3243">
        <v>0</v>
      </c>
      <c r="AB378" s="3242">
        <v>0</v>
      </c>
      <c r="AC378" s="3244"/>
      <c r="AD378" s="3244"/>
      <c r="AE378" s="3242">
        <v>0</v>
      </c>
      <c r="AF378" s="3259"/>
      <c r="AG378" s="3260"/>
      <c r="AH378" s="3250"/>
      <c r="AI378" s="3260"/>
      <c r="AJ378" s="3260"/>
      <c r="AK378" s="3260"/>
      <c r="AL378" s="3259"/>
      <c r="AM378" s="3260"/>
      <c r="AN378" s="3259"/>
      <c r="AO378" s="3260"/>
      <c r="AP378" s="3242">
        <v>0</v>
      </c>
      <c r="AQ378" s="3244"/>
      <c r="AR378" s="3244"/>
      <c r="AS378" s="3242" t="s">
        <v>3384</v>
      </c>
      <c r="AT378" s="3247">
        <f t="shared" si="43"/>
        <v>0</v>
      </c>
      <c r="AU378" s="3248">
        <f t="shared" si="44"/>
        <v>0</v>
      </c>
      <c r="AV378" s="3248">
        <v>0</v>
      </c>
      <c r="AW378" s="3247">
        <v>0</v>
      </c>
      <c r="AX378" s="3248">
        <v>0</v>
      </c>
      <c r="AY378" s="3248">
        <v>0</v>
      </c>
      <c r="AZ378" s="3247">
        <v>0</v>
      </c>
      <c r="BA378" s="3248">
        <v>0</v>
      </c>
      <c r="BB378" s="3248">
        <v>0</v>
      </c>
      <c r="BC378" s="3247">
        <v>0</v>
      </c>
      <c r="BD378" s="3248">
        <v>0</v>
      </c>
      <c r="BE378" s="3248">
        <v>0</v>
      </c>
      <c r="BF378" s="3248">
        <f t="shared" si="45"/>
        <v>0</v>
      </c>
      <c r="BG378" s="3248">
        <f t="shared" si="46"/>
        <v>0</v>
      </c>
      <c r="BH378" s="3249"/>
      <c r="BI378" s="3249"/>
    </row>
    <row r="379" spans="1:61" x14ac:dyDescent="0.3">
      <c r="A379" s="4197" t="s">
        <v>3384</v>
      </c>
      <c r="B379" s="3261"/>
      <c r="C379" s="3243">
        <v>0</v>
      </c>
      <c r="D379" s="3242">
        <v>0</v>
      </c>
      <c r="E379" s="3244"/>
      <c r="F379" s="3244"/>
      <c r="G379" s="3242">
        <v>0</v>
      </c>
      <c r="H379" s="3244"/>
      <c r="I379" s="3244"/>
      <c r="J379" s="3244"/>
      <c r="K379" s="3242">
        <v>0</v>
      </c>
      <c r="L379" s="3244"/>
      <c r="M379" s="3244"/>
      <c r="N379" s="3242" t="s">
        <v>3384</v>
      </c>
      <c r="O379" s="3239">
        <v>0</v>
      </c>
      <c r="P379" s="3242">
        <v>0</v>
      </c>
      <c r="Q379" s="3244"/>
      <c r="R379" s="3244"/>
      <c r="S379" s="3242">
        <v>0</v>
      </c>
      <c r="T379" s="3244"/>
      <c r="U379" s="3244"/>
      <c r="V379" s="3244"/>
      <c r="W379" s="3240">
        <v>0</v>
      </c>
      <c r="X379" s="3244"/>
      <c r="Y379" s="3244"/>
      <c r="Z379" s="3242" t="s">
        <v>3384</v>
      </c>
      <c r="AA379" s="3243">
        <v>0</v>
      </c>
      <c r="AB379" s="3242">
        <v>0</v>
      </c>
      <c r="AC379" s="3244"/>
      <c r="AD379" s="3244"/>
      <c r="AE379" s="3242">
        <v>0</v>
      </c>
      <c r="AF379" s="3259"/>
      <c r="AG379" s="3260"/>
      <c r="AH379" s="3250"/>
      <c r="AI379" s="3260"/>
      <c r="AJ379" s="3260"/>
      <c r="AK379" s="3260"/>
      <c r="AL379" s="3259"/>
      <c r="AM379" s="3260"/>
      <c r="AN379" s="3259"/>
      <c r="AO379" s="3260"/>
      <c r="AP379" s="3242">
        <v>0</v>
      </c>
      <c r="AQ379" s="3244"/>
      <c r="AR379" s="3244"/>
      <c r="AS379" s="3242" t="s">
        <v>3384</v>
      </c>
      <c r="AT379" s="3247">
        <f t="shared" si="43"/>
        <v>0</v>
      </c>
      <c r="AU379" s="3248">
        <f t="shared" si="44"/>
        <v>0</v>
      </c>
      <c r="AV379" s="3248">
        <v>0</v>
      </c>
      <c r="AW379" s="3247">
        <v>0</v>
      </c>
      <c r="AX379" s="3248">
        <v>0</v>
      </c>
      <c r="AY379" s="3248">
        <v>0</v>
      </c>
      <c r="AZ379" s="3247">
        <v>0</v>
      </c>
      <c r="BA379" s="3248">
        <v>0</v>
      </c>
      <c r="BB379" s="3248">
        <v>0</v>
      </c>
      <c r="BC379" s="3247">
        <v>0</v>
      </c>
      <c r="BD379" s="3248">
        <v>0</v>
      </c>
      <c r="BE379" s="3248">
        <v>0</v>
      </c>
      <c r="BF379" s="3248">
        <f t="shared" si="45"/>
        <v>0</v>
      </c>
      <c r="BG379" s="3248">
        <f t="shared" si="46"/>
        <v>0</v>
      </c>
      <c r="BH379" s="3249"/>
      <c r="BI379" s="3249"/>
    </row>
    <row r="380" spans="1:61" x14ac:dyDescent="0.3">
      <c r="A380" s="4197" t="s">
        <v>3384</v>
      </c>
      <c r="B380" s="3261"/>
      <c r="C380" s="3243">
        <v>0</v>
      </c>
      <c r="D380" s="3242">
        <v>0</v>
      </c>
      <c r="E380" s="3244"/>
      <c r="F380" s="3244"/>
      <c r="G380" s="3242">
        <v>0</v>
      </c>
      <c r="H380" s="3244"/>
      <c r="I380" s="3244"/>
      <c r="J380" s="3244"/>
      <c r="K380" s="3242">
        <v>0</v>
      </c>
      <c r="L380" s="3244"/>
      <c r="M380" s="3244"/>
      <c r="N380" s="3242" t="s">
        <v>3384</v>
      </c>
      <c r="O380" s="3239">
        <v>0</v>
      </c>
      <c r="P380" s="3242">
        <v>0</v>
      </c>
      <c r="Q380" s="3244"/>
      <c r="R380" s="3244"/>
      <c r="S380" s="3242">
        <v>0</v>
      </c>
      <c r="T380" s="3244"/>
      <c r="U380" s="3244"/>
      <c r="V380" s="3244"/>
      <c r="W380" s="3240">
        <v>0</v>
      </c>
      <c r="X380" s="3244"/>
      <c r="Y380" s="3244"/>
      <c r="Z380" s="3242" t="s">
        <v>3384</v>
      </c>
      <c r="AA380" s="3243">
        <v>0</v>
      </c>
      <c r="AB380" s="3242">
        <v>0</v>
      </c>
      <c r="AC380" s="3244"/>
      <c r="AD380" s="3244"/>
      <c r="AE380" s="3242">
        <v>0</v>
      </c>
      <c r="AF380" s="3259"/>
      <c r="AG380" s="3260"/>
      <c r="AH380" s="3250"/>
      <c r="AI380" s="3260"/>
      <c r="AJ380" s="3260"/>
      <c r="AK380" s="3260"/>
      <c r="AL380" s="3259"/>
      <c r="AM380" s="3260"/>
      <c r="AN380" s="3259"/>
      <c r="AO380" s="3260"/>
      <c r="AP380" s="3242">
        <v>0</v>
      </c>
      <c r="AQ380" s="3244"/>
      <c r="AR380" s="3244"/>
      <c r="AS380" s="3242" t="s">
        <v>3384</v>
      </c>
      <c r="AT380" s="3247">
        <f t="shared" si="43"/>
        <v>0</v>
      </c>
      <c r="AU380" s="3248">
        <f t="shared" si="44"/>
        <v>0</v>
      </c>
      <c r="AV380" s="3248">
        <v>0</v>
      </c>
      <c r="AW380" s="3247">
        <v>0</v>
      </c>
      <c r="AX380" s="3248">
        <v>0</v>
      </c>
      <c r="AY380" s="3248">
        <v>0</v>
      </c>
      <c r="AZ380" s="3247">
        <v>0</v>
      </c>
      <c r="BA380" s="3248">
        <v>0</v>
      </c>
      <c r="BB380" s="3248">
        <v>0</v>
      </c>
      <c r="BC380" s="3247">
        <v>0</v>
      </c>
      <c r="BD380" s="3248">
        <v>0</v>
      </c>
      <c r="BE380" s="3248">
        <v>0</v>
      </c>
      <c r="BF380" s="3248">
        <f t="shared" si="45"/>
        <v>0</v>
      </c>
      <c r="BG380" s="3248">
        <f t="shared" si="46"/>
        <v>0</v>
      </c>
      <c r="BH380" s="3249"/>
      <c r="BI380" s="3249"/>
    </row>
    <row r="381" spans="1:61" x14ac:dyDescent="0.3">
      <c r="A381" s="4197" t="s">
        <v>3384</v>
      </c>
      <c r="B381" s="3261"/>
      <c r="C381" s="3243">
        <v>0</v>
      </c>
      <c r="D381" s="3242">
        <v>0</v>
      </c>
      <c r="E381" s="3244"/>
      <c r="F381" s="3244"/>
      <c r="G381" s="3242">
        <v>0</v>
      </c>
      <c r="H381" s="3244"/>
      <c r="I381" s="3244"/>
      <c r="J381" s="3244"/>
      <c r="K381" s="3242">
        <v>0</v>
      </c>
      <c r="L381" s="3244"/>
      <c r="M381" s="3244"/>
      <c r="N381" s="3242" t="s">
        <v>3384</v>
      </c>
      <c r="O381" s="3239">
        <v>0</v>
      </c>
      <c r="P381" s="3242">
        <v>0</v>
      </c>
      <c r="Q381" s="3244"/>
      <c r="R381" s="3244"/>
      <c r="S381" s="3242">
        <v>0</v>
      </c>
      <c r="T381" s="3244"/>
      <c r="U381" s="3244"/>
      <c r="V381" s="3244"/>
      <c r="W381" s="3240">
        <v>0</v>
      </c>
      <c r="X381" s="3244"/>
      <c r="Y381" s="3244"/>
      <c r="Z381" s="3242" t="s">
        <v>3384</v>
      </c>
      <c r="AA381" s="3243">
        <v>0</v>
      </c>
      <c r="AB381" s="3242">
        <v>0</v>
      </c>
      <c r="AC381" s="3244"/>
      <c r="AD381" s="3244"/>
      <c r="AE381" s="3242">
        <v>0</v>
      </c>
      <c r="AF381" s="3259"/>
      <c r="AG381" s="3260"/>
      <c r="AH381" s="3250"/>
      <c r="AI381" s="3260"/>
      <c r="AJ381" s="3260"/>
      <c r="AK381" s="3260"/>
      <c r="AL381" s="3259"/>
      <c r="AM381" s="3260"/>
      <c r="AN381" s="3259"/>
      <c r="AO381" s="3260"/>
      <c r="AP381" s="3242">
        <v>0</v>
      </c>
      <c r="AQ381" s="3244"/>
      <c r="AR381" s="3244"/>
      <c r="AS381" s="3242" t="s">
        <v>3384</v>
      </c>
      <c r="AT381" s="3247">
        <f t="shared" si="43"/>
        <v>0</v>
      </c>
      <c r="AU381" s="3248">
        <f t="shared" si="44"/>
        <v>0</v>
      </c>
      <c r="AV381" s="3248">
        <v>0</v>
      </c>
      <c r="AW381" s="3247">
        <v>0</v>
      </c>
      <c r="AX381" s="3248">
        <v>0</v>
      </c>
      <c r="AY381" s="3248">
        <v>0</v>
      </c>
      <c r="AZ381" s="3247">
        <v>0</v>
      </c>
      <c r="BA381" s="3248">
        <v>0</v>
      </c>
      <c r="BB381" s="3248">
        <v>0</v>
      </c>
      <c r="BC381" s="3247">
        <v>0</v>
      </c>
      <c r="BD381" s="3248">
        <v>0</v>
      </c>
      <c r="BE381" s="3248">
        <v>0</v>
      </c>
      <c r="BF381" s="3248">
        <f t="shared" si="45"/>
        <v>0</v>
      </c>
      <c r="BG381" s="3248">
        <f t="shared" si="46"/>
        <v>0</v>
      </c>
      <c r="BH381" s="3249"/>
      <c r="BI381" s="3249"/>
    </row>
    <row r="382" spans="1:61" x14ac:dyDescent="0.3">
      <c r="A382" s="4197" t="s">
        <v>3384</v>
      </c>
      <c r="B382" s="3261"/>
      <c r="C382" s="3243">
        <v>0</v>
      </c>
      <c r="D382" s="3242">
        <v>0</v>
      </c>
      <c r="E382" s="3244"/>
      <c r="F382" s="3244"/>
      <c r="G382" s="3242">
        <v>0</v>
      </c>
      <c r="H382" s="3244"/>
      <c r="I382" s="3244"/>
      <c r="J382" s="3244"/>
      <c r="K382" s="3242">
        <v>0</v>
      </c>
      <c r="L382" s="3244"/>
      <c r="M382" s="3244"/>
      <c r="N382" s="3242" t="s">
        <v>3384</v>
      </c>
      <c r="O382" s="3239">
        <v>0</v>
      </c>
      <c r="P382" s="3242">
        <v>0</v>
      </c>
      <c r="Q382" s="3244"/>
      <c r="R382" s="3244"/>
      <c r="S382" s="3242">
        <v>0</v>
      </c>
      <c r="T382" s="3244"/>
      <c r="U382" s="3244"/>
      <c r="V382" s="3244"/>
      <c r="W382" s="3240">
        <v>0</v>
      </c>
      <c r="X382" s="3244"/>
      <c r="Y382" s="3244"/>
      <c r="Z382" s="3242" t="s">
        <v>3384</v>
      </c>
      <c r="AA382" s="3243">
        <v>0</v>
      </c>
      <c r="AB382" s="3242">
        <v>0</v>
      </c>
      <c r="AC382" s="3244"/>
      <c r="AD382" s="3244"/>
      <c r="AE382" s="3242">
        <v>0</v>
      </c>
      <c r="AF382" s="3259"/>
      <c r="AG382" s="3260"/>
      <c r="AH382" s="3250"/>
      <c r="AI382" s="3260"/>
      <c r="AJ382" s="3260"/>
      <c r="AK382" s="3260"/>
      <c r="AL382" s="3259"/>
      <c r="AM382" s="3260"/>
      <c r="AN382" s="3259"/>
      <c r="AO382" s="3260"/>
      <c r="AP382" s="3242">
        <v>0</v>
      </c>
      <c r="AQ382" s="3244"/>
      <c r="AR382" s="3244"/>
      <c r="AS382" s="3242" t="s">
        <v>3384</v>
      </c>
      <c r="AT382" s="3247">
        <f t="shared" si="43"/>
        <v>0</v>
      </c>
      <c r="AU382" s="3248">
        <f t="shared" si="44"/>
        <v>0</v>
      </c>
      <c r="AV382" s="3248">
        <v>0</v>
      </c>
      <c r="AW382" s="3247">
        <v>0</v>
      </c>
      <c r="AX382" s="3248">
        <v>0</v>
      </c>
      <c r="AY382" s="3248">
        <v>0</v>
      </c>
      <c r="AZ382" s="3247">
        <v>0</v>
      </c>
      <c r="BA382" s="3248">
        <v>0</v>
      </c>
      <c r="BB382" s="3248">
        <v>0</v>
      </c>
      <c r="BC382" s="3247">
        <v>0</v>
      </c>
      <c r="BD382" s="3248">
        <v>0</v>
      </c>
      <c r="BE382" s="3248">
        <v>0</v>
      </c>
      <c r="BF382" s="3248">
        <f t="shared" si="45"/>
        <v>0</v>
      </c>
      <c r="BG382" s="3248">
        <f t="shared" si="46"/>
        <v>0</v>
      </c>
      <c r="BH382" s="3249"/>
      <c r="BI382" s="3249"/>
    </row>
    <row r="383" spans="1:61" x14ac:dyDescent="0.3">
      <c r="A383" s="4197" t="s">
        <v>3384</v>
      </c>
      <c r="B383" s="3261"/>
      <c r="C383" s="3243">
        <v>0</v>
      </c>
      <c r="D383" s="3242">
        <v>0</v>
      </c>
      <c r="E383" s="3244"/>
      <c r="F383" s="3244"/>
      <c r="G383" s="3242">
        <v>0</v>
      </c>
      <c r="H383" s="3244"/>
      <c r="I383" s="3244"/>
      <c r="J383" s="3244"/>
      <c r="K383" s="3242">
        <v>0</v>
      </c>
      <c r="L383" s="3244"/>
      <c r="M383" s="3244"/>
      <c r="N383" s="3242" t="s">
        <v>3384</v>
      </c>
      <c r="O383" s="3239">
        <v>0</v>
      </c>
      <c r="P383" s="3242">
        <v>0</v>
      </c>
      <c r="Q383" s="3244"/>
      <c r="R383" s="3244"/>
      <c r="S383" s="3242">
        <v>0</v>
      </c>
      <c r="T383" s="3244"/>
      <c r="U383" s="3244"/>
      <c r="V383" s="3244"/>
      <c r="W383" s="3240">
        <v>0</v>
      </c>
      <c r="X383" s="3244"/>
      <c r="Y383" s="3244"/>
      <c r="Z383" s="3242" t="s">
        <v>3384</v>
      </c>
      <c r="AA383" s="3243">
        <v>0</v>
      </c>
      <c r="AB383" s="3242">
        <v>0</v>
      </c>
      <c r="AC383" s="3244"/>
      <c r="AD383" s="3244"/>
      <c r="AE383" s="3242">
        <v>0</v>
      </c>
      <c r="AF383" s="3259"/>
      <c r="AG383" s="3260"/>
      <c r="AH383" s="3250"/>
      <c r="AI383" s="3260"/>
      <c r="AJ383" s="3260"/>
      <c r="AK383" s="3260"/>
      <c r="AL383" s="3259"/>
      <c r="AM383" s="3260"/>
      <c r="AN383" s="3259"/>
      <c r="AO383" s="3260"/>
      <c r="AP383" s="3242">
        <v>0</v>
      </c>
      <c r="AQ383" s="3244"/>
      <c r="AR383" s="3244"/>
      <c r="AS383" s="3242" t="s">
        <v>3384</v>
      </c>
      <c r="AT383" s="3247">
        <f t="shared" si="43"/>
        <v>0</v>
      </c>
      <c r="AU383" s="3248">
        <f t="shared" si="44"/>
        <v>0</v>
      </c>
      <c r="AV383" s="3248">
        <v>0</v>
      </c>
      <c r="AW383" s="3247">
        <v>0</v>
      </c>
      <c r="AX383" s="3248">
        <v>0</v>
      </c>
      <c r="AY383" s="3248">
        <v>0</v>
      </c>
      <c r="AZ383" s="3247">
        <v>0</v>
      </c>
      <c r="BA383" s="3248">
        <v>0</v>
      </c>
      <c r="BB383" s="3248">
        <v>0</v>
      </c>
      <c r="BC383" s="3247">
        <v>0</v>
      </c>
      <c r="BD383" s="3248">
        <v>0</v>
      </c>
      <c r="BE383" s="3248">
        <v>0</v>
      </c>
      <c r="BF383" s="3248">
        <f t="shared" si="45"/>
        <v>0</v>
      </c>
      <c r="BG383" s="3248">
        <f t="shared" si="46"/>
        <v>0</v>
      </c>
      <c r="BH383" s="3249"/>
      <c r="BI383" s="3249"/>
    </row>
    <row r="384" spans="1:61" x14ac:dyDescent="0.3">
      <c r="A384" s="4197" t="s">
        <v>3384</v>
      </c>
      <c r="B384" s="3261"/>
      <c r="C384" s="3243">
        <v>0</v>
      </c>
      <c r="D384" s="3242">
        <v>0</v>
      </c>
      <c r="E384" s="3244"/>
      <c r="F384" s="3244"/>
      <c r="G384" s="3242">
        <v>0</v>
      </c>
      <c r="H384" s="3244"/>
      <c r="I384" s="3244"/>
      <c r="J384" s="3244"/>
      <c r="K384" s="3242">
        <v>0</v>
      </c>
      <c r="L384" s="3244"/>
      <c r="M384" s="3244"/>
      <c r="N384" s="3242" t="s">
        <v>3384</v>
      </c>
      <c r="O384" s="3239">
        <v>0</v>
      </c>
      <c r="P384" s="3242">
        <v>0</v>
      </c>
      <c r="Q384" s="3244"/>
      <c r="R384" s="3244"/>
      <c r="S384" s="3242">
        <v>0</v>
      </c>
      <c r="T384" s="3244"/>
      <c r="U384" s="3244"/>
      <c r="V384" s="3244"/>
      <c r="W384" s="3240">
        <v>0</v>
      </c>
      <c r="X384" s="3244"/>
      <c r="Y384" s="3244"/>
      <c r="Z384" s="3242" t="s">
        <v>3384</v>
      </c>
      <c r="AA384" s="3243">
        <v>0</v>
      </c>
      <c r="AB384" s="3242">
        <v>0</v>
      </c>
      <c r="AC384" s="3244"/>
      <c r="AD384" s="3244"/>
      <c r="AE384" s="3242">
        <v>0</v>
      </c>
      <c r="AF384" s="3259"/>
      <c r="AG384" s="3260"/>
      <c r="AH384" s="3250"/>
      <c r="AI384" s="3260"/>
      <c r="AJ384" s="3260"/>
      <c r="AK384" s="3260"/>
      <c r="AL384" s="3259"/>
      <c r="AM384" s="3260"/>
      <c r="AN384" s="3259"/>
      <c r="AO384" s="3260"/>
      <c r="AP384" s="3242">
        <v>0</v>
      </c>
      <c r="AQ384" s="3244"/>
      <c r="AR384" s="3244"/>
      <c r="AS384" s="3242" t="s">
        <v>3384</v>
      </c>
      <c r="AT384" s="3247">
        <f t="shared" si="43"/>
        <v>0</v>
      </c>
      <c r="AU384" s="3248">
        <f t="shared" si="44"/>
        <v>0</v>
      </c>
      <c r="AV384" s="3248">
        <v>0</v>
      </c>
      <c r="AW384" s="3247">
        <v>0</v>
      </c>
      <c r="AX384" s="3248">
        <v>0</v>
      </c>
      <c r="AY384" s="3248">
        <v>0</v>
      </c>
      <c r="AZ384" s="3247">
        <v>0</v>
      </c>
      <c r="BA384" s="3248">
        <v>0</v>
      </c>
      <c r="BB384" s="3248">
        <v>0</v>
      </c>
      <c r="BC384" s="3247">
        <v>0</v>
      </c>
      <c r="BD384" s="3248">
        <v>0</v>
      </c>
      <c r="BE384" s="3248">
        <v>0</v>
      </c>
      <c r="BF384" s="3248">
        <f t="shared" si="45"/>
        <v>0</v>
      </c>
      <c r="BG384" s="3248">
        <f t="shared" si="46"/>
        <v>0</v>
      </c>
      <c r="BH384" s="3249"/>
      <c r="BI384" s="3249"/>
    </row>
    <row r="385" spans="1:61" x14ac:dyDescent="0.3">
      <c r="A385" s="4197" t="s">
        <v>3384</v>
      </c>
      <c r="B385" s="3261"/>
      <c r="C385" s="3243">
        <v>0</v>
      </c>
      <c r="D385" s="3242">
        <v>0</v>
      </c>
      <c r="E385" s="3244"/>
      <c r="F385" s="3244"/>
      <c r="G385" s="3242">
        <v>0</v>
      </c>
      <c r="H385" s="3244"/>
      <c r="I385" s="3244"/>
      <c r="J385" s="3244"/>
      <c r="K385" s="3242">
        <v>0</v>
      </c>
      <c r="L385" s="3244"/>
      <c r="M385" s="3244"/>
      <c r="N385" s="3242" t="s">
        <v>3384</v>
      </c>
      <c r="O385" s="3239">
        <v>0</v>
      </c>
      <c r="P385" s="3242">
        <v>0</v>
      </c>
      <c r="Q385" s="3244"/>
      <c r="R385" s="3244"/>
      <c r="S385" s="3242">
        <v>0</v>
      </c>
      <c r="T385" s="3244"/>
      <c r="U385" s="3244"/>
      <c r="V385" s="3244"/>
      <c r="W385" s="3240">
        <v>0</v>
      </c>
      <c r="X385" s="3244"/>
      <c r="Y385" s="3244"/>
      <c r="Z385" s="3242" t="s">
        <v>3384</v>
      </c>
      <c r="AA385" s="3243">
        <v>0</v>
      </c>
      <c r="AB385" s="3242">
        <v>0</v>
      </c>
      <c r="AC385" s="3244"/>
      <c r="AD385" s="3244"/>
      <c r="AE385" s="3242">
        <v>0</v>
      </c>
      <c r="AF385" s="3259"/>
      <c r="AG385" s="3260"/>
      <c r="AH385" s="3250"/>
      <c r="AI385" s="3260"/>
      <c r="AJ385" s="3260"/>
      <c r="AK385" s="3260"/>
      <c r="AL385" s="3259"/>
      <c r="AM385" s="3260"/>
      <c r="AN385" s="3259"/>
      <c r="AO385" s="3260"/>
      <c r="AP385" s="3242">
        <v>0</v>
      </c>
      <c r="AQ385" s="3244"/>
      <c r="AR385" s="3244"/>
      <c r="AS385" s="3242" t="s">
        <v>3384</v>
      </c>
      <c r="AT385" s="3247">
        <f t="shared" si="43"/>
        <v>0</v>
      </c>
      <c r="AU385" s="3248">
        <f t="shared" si="44"/>
        <v>0</v>
      </c>
      <c r="AV385" s="3248">
        <v>0</v>
      </c>
      <c r="AW385" s="3247">
        <v>0</v>
      </c>
      <c r="AX385" s="3248">
        <v>0</v>
      </c>
      <c r="AY385" s="3248">
        <v>0</v>
      </c>
      <c r="AZ385" s="3247">
        <v>0</v>
      </c>
      <c r="BA385" s="3248">
        <v>0</v>
      </c>
      <c r="BB385" s="3248">
        <v>0</v>
      </c>
      <c r="BC385" s="3247">
        <v>0</v>
      </c>
      <c r="BD385" s="3248">
        <v>0</v>
      </c>
      <c r="BE385" s="3248">
        <v>0</v>
      </c>
      <c r="BF385" s="3248">
        <f t="shared" si="45"/>
        <v>0</v>
      </c>
      <c r="BG385" s="3248">
        <f t="shared" si="46"/>
        <v>0</v>
      </c>
      <c r="BH385" s="3249"/>
      <c r="BI385" s="3249"/>
    </row>
    <row r="386" spans="1:61" x14ac:dyDescent="0.3">
      <c r="A386" s="4197" t="s">
        <v>3384</v>
      </c>
      <c r="B386" s="3261"/>
      <c r="C386" s="3243">
        <v>0</v>
      </c>
      <c r="D386" s="3242">
        <v>0</v>
      </c>
      <c r="E386" s="3244"/>
      <c r="F386" s="3244"/>
      <c r="G386" s="3242">
        <v>0</v>
      </c>
      <c r="H386" s="3244"/>
      <c r="I386" s="3244"/>
      <c r="J386" s="3244"/>
      <c r="K386" s="3242">
        <v>0</v>
      </c>
      <c r="L386" s="3244"/>
      <c r="M386" s="3244"/>
      <c r="N386" s="3242" t="s">
        <v>3384</v>
      </c>
      <c r="O386" s="3239">
        <v>0</v>
      </c>
      <c r="P386" s="3242">
        <v>0</v>
      </c>
      <c r="Q386" s="3244"/>
      <c r="R386" s="3244"/>
      <c r="S386" s="3242">
        <v>0</v>
      </c>
      <c r="T386" s="3244"/>
      <c r="U386" s="3244"/>
      <c r="V386" s="3244"/>
      <c r="W386" s="3240">
        <v>0</v>
      </c>
      <c r="X386" s="3244"/>
      <c r="Y386" s="3244"/>
      <c r="Z386" s="3242" t="s">
        <v>3384</v>
      </c>
      <c r="AA386" s="3243">
        <v>0</v>
      </c>
      <c r="AB386" s="3242">
        <v>0</v>
      </c>
      <c r="AC386" s="3244"/>
      <c r="AD386" s="3244"/>
      <c r="AE386" s="3242">
        <v>0</v>
      </c>
      <c r="AF386" s="3259"/>
      <c r="AG386" s="3260"/>
      <c r="AH386" s="3250"/>
      <c r="AI386" s="3260"/>
      <c r="AJ386" s="3260"/>
      <c r="AK386" s="3260"/>
      <c r="AL386" s="3259"/>
      <c r="AM386" s="3260"/>
      <c r="AN386" s="3259"/>
      <c r="AO386" s="3260"/>
      <c r="AP386" s="3242">
        <v>0</v>
      </c>
      <c r="AQ386" s="3244"/>
      <c r="AR386" s="3244"/>
      <c r="AS386" s="3242" t="s">
        <v>3384</v>
      </c>
      <c r="AT386" s="3247">
        <f t="shared" si="43"/>
        <v>0</v>
      </c>
      <c r="AU386" s="3248">
        <f t="shared" si="44"/>
        <v>0</v>
      </c>
      <c r="AV386" s="3248">
        <v>0</v>
      </c>
      <c r="AW386" s="3247">
        <v>0</v>
      </c>
      <c r="AX386" s="3248">
        <v>0</v>
      </c>
      <c r="AY386" s="3248">
        <v>0</v>
      </c>
      <c r="AZ386" s="3247">
        <v>0</v>
      </c>
      <c r="BA386" s="3248">
        <v>0</v>
      </c>
      <c r="BB386" s="3248">
        <v>0</v>
      </c>
      <c r="BC386" s="3247">
        <v>0</v>
      </c>
      <c r="BD386" s="3248">
        <v>0</v>
      </c>
      <c r="BE386" s="3248">
        <v>0</v>
      </c>
      <c r="BF386" s="3248">
        <f t="shared" si="45"/>
        <v>0</v>
      </c>
      <c r="BG386" s="3248">
        <f t="shared" si="46"/>
        <v>0</v>
      </c>
      <c r="BH386" s="3249"/>
      <c r="BI386" s="3249"/>
    </row>
    <row r="387" spans="1:61" x14ac:dyDescent="0.3">
      <c r="A387" s="4197" t="s">
        <v>3384</v>
      </c>
      <c r="B387" s="3261"/>
      <c r="C387" s="3243">
        <v>0</v>
      </c>
      <c r="D387" s="3242">
        <v>0</v>
      </c>
      <c r="E387" s="3244"/>
      <c r="F387" s="3244"/>
      <c r="G387" s="3242">
        <v>0</v>
      </c>
      <c r="H387" s="3244"/>
      <c r="I387" s="3244"/>
      <c r="J387" s="3244"/>
      <c r="K387" s="3242">
        <v>0</v>
      </c>
      <c r="L387" s="3244"/>
      <c r="M387" s="3244"/>
      <c r="N387" s="3242" t="s">
        <v>3384</v>
      </c>
      <c r="O387" s="3239">
        <v>0</v>
      </c>
      <c r="P387" s="3242">
        <v>0</v>
      </c>
      <c r="Q387" s="3244"/>
      <c r="R387" s="3244"/>
      <c r="S387" s="3242">
        <v>0</v>
      </c>
      <c r="T387" s="3244"/>
      <c r="U387" s="3244"/>
      <c r="V387" s="3244"/>
      <c r="W387" s="3240">
        <v>0</v>
      </c>
      <c r="X387" s="3244"/>
      <c r="Y387" s="3244"/>
      <c r="Z387" s="3242" t="s">
        <v>3384</v>
      </c>
      <c r="AA387" s="3243">
        <v>0</v>
      </c>
      <c r="AB387" s="3242">
        <v>0</v>
      </c>
      <c r="AC387" s="3244"/>
      <c r="AD387" s="3244"/>
      <c r="AE387" s="3242">
        <v>0</v>
      </c>
      <c r="AF387" s="3259"/>
      <c r="AG387" s="3260"/>
      <c r="AH387" s="3250"/>
      <c r="AI387" s="3260"/>
      <c r="AJ387" s="3260"/>
      <c r="AK387" s="3260"/>
      <c r="AL387" s="3259"/>
      <c r="AM387" s="3260"/>
      <c r="AN387" s="3259"/>
      <c r="AO387" s="3260"/>
      <c r="AP387" s="3242">
        <v>0</v>
      </c>
      <c r="AQ387" s="3244"/>
      <c r="AR387" s="3244"/>
      <c r="AS387" s="3242" t="s">
        <v>3384</v>
      </c>
      <c r="AT387" s="3247">
        <f t="shared" si="43"/>
        <v>0</v>
      </c>
      <c r="AU387" s="3248">
        <f t="shared" si="44"/>
        <v>0</v>
      </c>
      <c r="AV387" s="3248">
        <v>0</v>
      </c>
      <c r="AW387" s="3247">
        <v>0</v>
      </c>
      <c r="AX387" s="3248">
        <v>0</v>
      </c>
      <c r="AY387" s="3248">
        <v>0</v>
      </c>
      <c r="AZ387" s="3247">
        <v>0</v>
      </c>
      <c r="BA387" s="3248">
        <v>0</v>
      </c>
      <c r="BB387" s="3248">
        <v>0</v>
      </c>
      <c r="BC387" s="3247">
        <v>0</v>
      </c>
      <c r="BD387" s="3248">
        <v>0</v>
      </c>
      <c r="BE387" s="3248">
        <v>0</v>
      </c>
      <c r="BF387" s="3248">
        <f t="shared" si="45"/>
        <v>0</v>
      </c>
      <c r="BG387" s="3248">
        <f t="shared" si="46"/>
        <v>0</v>
      </c>
      <c r="BH387" s="3249"/>
      <c r="BI387" s="3249"/>
    </row>
    <row r="388" spans="1:61" x14ac:dyDescent="0.3">
      <c r="A388" s="4197" t="s">
        <v>3384</v>
      </c>
      <c r="B388" s="3261"/>
      <c r="C388" s="3243">
        <v>0</v>
      </c>
      <c r="D388" s="3242">
        <v>0</v>
      </c>
      <c r="E388" s="3244"/>
      <c r="F388" s="3244"/>
      <c r="G388" s="3242">
        <v>0</v>
      </c>
      <c r="H388" s="3244"/>
      <c r="I388" s="3244"/>
      <c r="J388" s="3244"/>
      <c r="K388" s="3242">
        <v>0</v>
      </c>
      <c r="L388" s="3244"/>
      <c r="M388" s="3244"/>
      <c r="N388" s="3242" t="s">
        <v>3384</v>
      </c>
      <c r="O388" s="3239">
        <v>0</v>
      </c>
      <c r="P388" s="3242">
        <v>0</v>
      </c>
      <c r="Q388" s="3244"/>
      <c r="R388" s="3244"/>
      <c r="S388" s="3242">
        <v>0</v>
      </c>
      <c r="T388" s="3244"/>
      <c r="U388" s="3244"/>
      <c r="V388" s="3244"/>
      <c r="W388" s="3240">
        <v>0</v>
      </c>
      <c r="X388" s="3244"/>
      <c r="Y388" s="3244"/>
      <c r="Z388" s="3242" t="s">
        <v>3384</v>
      </c>
      <c r="AA388" s="3243">
        <v>0</v>
      </c>
      <c r="AB388" s="3242">
        <v>0</v>
      </c>
      <c r="AC388" s="3244"/>
      <c r="AD388" s="3244"/>
      <c r="AE388" s="3242">
        <v>0</v>
      </c>
      <c r="AF388" s="3259"/>
      <c r="AG388" s="3260"/>
      <c r="AH388" s="3250"/>
      <c r="AI388" s="3260"/>
      <c r="AJ388" s="3260"/>
      <c r="AK388" s="3260"/>
      <c r="AL388" s="3259"/>
      <c r="AM388" s="3260"/>
      <c r="AN388" s="3259"/>
      <c r="AO388" s="3260"/>
      <c r="AP388" s="3242">
        <v>0</v>
      </c>
      <c r="AQ388" s="3244"/>
      <c r="AR388" s="3244"/>
      <c r="AS388" s="3242" t="s">
        <v>3384</v>
      </c>
      <c r="AT388" s="3247">
        <f t="shared" si="43"/>
        <v>0</v>
      </c>
      <c r="AU388" s="3248">
        <f t="shared" si="44"/>
        <v>0</v>
      </c>
      <c r="AV388" s="3248">
        <v>0</v>
      </c>
      <c r="AW388" s="3247">
        <v>0</v>
      </c>
      <c r="AX388" s="3248">
        <v>0</v>
      </c>
      <c r="AY388" s="3248">
        <v>0</v>
      </c>
      <c r="AZ388" s="3247">
        <v>0</v>
      </c>
      <c r="BA388" s="3248">
        <v>0</v>
      </c>
      <c r="BB388" s="3248">
        <v>0</v>
      </c>
      <c r="BC388" s="3247">
        <v>0</v>
      </c>
      <c r="BD388" s="3248">
        <v>0</v>
      </c>
      <c r="BE388" s="3248">
        <v>0</v>
      </c>
      <c r="BF388" s="3248">
        <f t="shared" si="45"/>
        <v>0</v>
      </c>
      <c r="BG388" s="3248">
        <f t="shared" si="46"/>
        <v>0</v>
      </c>
      <c r="BH388" s="3249"/>
      <c r="BI388" s="3249"/>
    </row>
    <row r="389" spans="1:61" x14ac:dyDescent="0.3">
      <c r="A389" s="4197" t="s">
        <v>3384</v>
      </c>
      <c r="B389" s="3261"/>
      <c r="C389" s="3243">
        <v>0</v>
      </c>
      <c r="D389" s="3242">
        <v>0</v>
      </c>
      <c r="E389" s="3244"/>
      <c r="F389" s="3244"/>
      <c r="G389" s="3242">
        <v>0</v>
      </c>
      <c r="H389" s="3244"/>
      <c r="I389" s="3244"/>
      <c r="J389" s="3244"/>
      <c r="K389" s="3242">
        <v>0</v>
      </c>
      <c r="L389" s="3244"/>
      <c r="M389" s="3244"/>
      <c r="N389" s="3242" t="s">
        <v>3384</v>
      </c>
      <c r="O389" s="3239">
        <v>0</v>
      </c>
      <c r="P389" s="3242">
        <v>0</v>
      </c>
      <c r="Q389" s="3244"/>
      <c r="R389" s="3244"/>
      <c r="S389" s="3242">
        <v>0</v>
      </c>
      <c r="T389" s="3244"/>
      <c r="U389" s="3244"/>
      <c r="V389" s="3244"/>
      <c r="W389" s="3240">
        <v>0</v>
      </c>
      <c r="X389" s="3244"/>
      <c r="Y389" s="3244"/>
      <c r="Z389" s="3242" t="s">
        <v>3384</v>
      </c>
      <c r="AA389" s="3243">
        <v>0</v>
      </c>
      <c r="AB389" s="3242">
        <v>0</v>
      </c>
      <c r="AC389" s="3244"/>
      <c r="AD389" s="3244"/>
      <c r="AE389" s="3242">
        <v>0</v>
      </c>
      <c r="AF389" s="3259"/>
      <c r="AG389" s="3260"/>
      <c r="AH389" s="3250"/>
      <c r="AI389" s="3260"/>
      <c r="AJ389" s="3260"/>
      <c r="AK389" s="3260"/>
      <c r="AL389" s="3259"/>
      <c r="AM389" s="3260"/>
      <c r="AN389" s="3259"/>
      <c r="AO389" s="3260"/>
      <c r="AP389" s="3242">
        <v>0</v>
      </c>
      <c r="AQ389" s="3244"/>
      <c r="AR389" s="3244"/>
      <c r="AS389" s="3242" t="s">
        <v>3384</v>
      </c>
      <c r="AT389" s="3247">
        <f t="shared" si="43"/>
        <v>0</v>
      </c>
      <c r="AU389" s="3248">
        <f t="shared" si="44"/>
        <v>0</v>
      </c>
      <c r="AV389" s="3248">
        <v>0</v>
      </c>
      <c r="AW389" s="3247">
        <v>0</v>
      </c>
      <c r="AX389" s="3248">
        <v>0</v>
      </c>
      <c r="AY389" s="3248">
        <v>0</v>
      </c>
      <c r="AZ389" s="3247">
        <v>0</v>
      </c>
      <c r="BA389" s="3248">
        <v>0</v>
      </c>
      <c r="BB389" s="3248">
        <v>0</v>
      </c>
      <c r="BC389" s="3247">
        <v>0</v>
      </c>
      <c r="BD389" s="3248">
        <v>0</v>
      </c>
      <c r="BE389" s="3248">
        <v>0</v>
      </c>
      <c r="BF389" s="3248">
        <f t="shared" si="45"/>
        <v>0</v>
      </c>
      <c r="BG389" s="3248">
        <f t="shared" si="46"/>
        <v>0</v>
      </c>
      <c r="BH389" s="3249"/>
      <c r="BI389" s="3249"/>
    </row>
    <row r="390" spans="1:61" x14ac:dyDescent="0.3">
      <c r="A390" s="4197" t="s">
        <v>3384</v>
      </c>
      <c r="B390" s="3261"/>
      <c r="C390" s="3243">
        <v>0</v>
      </c>
      <c r="D390" s="3242">
        <v>0</v>
      </c>
      <c r="E390" s="3244"/>
      <c r="F390" s="3244"/>
      <c r="G390" s="3242">
        <v>0</v>
      </c>
      <c r="H390" s="3244"/>
      <c r="I390" s="3244"/>
      <c r="J390" s="3244"/>
      <c r="K390" s="3242">
        <v>0</v>
      </c>
      <c r="L390" s="3244"/>
      <c r="M390" s="3244"/>
      <c r="N390" s="3242" t="s">
        <v>3384</v>
      </c>
      <c r="O390" s="3239">
        <v>0</v>
      </c>
      <c r="P390" s="3242">
        <v>0</v>
      </c>
      <c r="Q390" s="3244"/>
      <c r="R390" s="3244"/>
      <c r="S390" s="3242">
        <v>0</v>
      </c>
      <c r="T390" s="3244"/>
      <c r="U390" s="3244"/>
      <c r="V390" s="3244"/>
      <c r="W390" s="3240">
        <v>0</v>
      </c>
      <c r="X390" s="3244"/>
      <c r="Y390" s="3244"/>
      <c r="Z390" s="3242" t="s">
        <v>3384</v>
      </c>
      <c r="AA390" s="3243">
        <v>0</v>
      </c>
      <c r="AB390" s="3242">
        <v>0</v>
      </c>
      <c r="AC390" s="3244"/>
      <c r="AD390" s="3244"/>
      <c r="AE390" s="3242">
        <v>0</v>
      </c>
      <c r="AF390" s="3259"/>
      <c r="AG390" s="3260"/>
      <c r="AH390" s="3250"/>
      <c r="AI390" s="3260"/>
      <c r="AJ390" s="3260"/>
      <c r="AK390" s="3260"/>
      <c r="AL390" s="3259"/>
      <c r="AM390" s="3260"/>
      <c r="AN390" s="3259"/>
      <c r="AO390" s="3260"/>
      <c r="AP390" s="3242">
        <v>0</v>
      </c>
      <c r="AQ390" s="3244"/>
      <c r="AR390" s="3244"/>
      <c r="AS390" s="3242" t="s">
        <v>3384</v>
      </c>
      <c r="AT390" s="3247">
        <f t="shared" si="43"/>
        <v>0</v>
      </c>
      <c r="AU390" s="3248">
        <f t="shared" si="44"/>
        <v>0</v>
      </c>
      <c r="AV390" s="3248">
        <v>0</v>
      </c>
      <c r="AW390" s="3247">
        <v>0</v>
      </c>
      <c r="AX390" s="3248">
        <v>0</v>
      </c>
      <c r="AY390" s="3248">
        <v>0</v>
      </c>
      <c r="AZ390" s="3247">
        <v>0</v>
      </c>
      <c r="BA390" s="3248">
        <v>0</v>
      </c>
      <c r="BB390" s="3248">
        <v>0</v>
      </c>
      <c r="BC390" s="3247">
        <v>0</v>
      </c>
      <c r="BD390" s="3248">
        <v>0</v>
      </c>
      <c r="BE390" s="3248">
        <v>0</v>
      </c>
      <c r="BF390" s="3248">
        <f t="shared" si="45"/>
        <v>0</v>
      </c>
      <c r="BG390" s="3248">
        <f t="shared" si="46"/>
        <v>0</v>
      </c>
      <c r="BH390" s="3249"/>
      <c r="BI390" s="3249"/>
    </row>
    <row r="391" spans="1:61" x14ac:dyDescent="0.3">
      <c r="A391" s="4197" t="s">
        <v>3384</v>
      </c>
      <c r="B391" s="3261"/>
      <c r="C391" s="3243">
        <v>0</v>
      </c>
      <c r="D391" s="3242">
        <v>0</v>
      </c>
      <c r="E391" s="3244"/>
      <c r="F391" s="3244"/>
      <c r="G391" s="3242">
        <v>0</v>
      </c>
      <c r="H391" s="3244"/>
      <c r="I391" s="3244"/>
      <c r="J391" s="3244"/>
      <c r="K391" s="3242">
        <v>0</v>
      </c>
      <c r="L391" s="3244"/>
      <c r="M391" s="3244"/>
      <c r="N391" s="3242" t="s">
        <v>3384</v>
      </c>
      <c r="O391" s="3239">
        <v>0</v>
      </c>
      <c r="P391" s="3242">
        <v>0</v>
      </c>
      <c r="Q391" s="3244"/>
      <c r="R391" s="3244"/>
      <c r="S391" s="3242">
        <v>0</v>
      </c>
      <c r="T391" s="3244"/>
      <c r="U391" s="3244"/>
      <c r="V391" s="3244"/>
      <c r="W391" s="3240">
        <v>0</v>
      </c>
      <c r="X391" s="3244"/>
      <c r="Y391" s="3244"/>
      <c r="Z391" s="3242" t="s">
        <v>3384</v>
      </c>
      <c r="AA391" s="3243">
        <v>0</v>
      </c>
      <c r="AB391" s="3242">
        <v>0</v>
      </c>
      <c r="AC391" s="3244"/>
      <c r="AD391" s="3244"/>
      <c r="AE391" s="3242">
        <v>0</v>
      </c>
      <c r="AF391" s="3259"/>
      <c r="AG391" s="3260"/>
      <c r="AH391" s="3250"/>
      <c r="AI391" s="3260"/>
      <c r="AJ391" s="3260"/>
      <c r="AK391" s="3260"/>
      <c r="AL391" s="3259"/>
      <c r="AM391" s="3260"/>
      <c r="AN391" s="3259"/>
      <c r="AO391" s="3260"/>
      <c r="AP391" s="3242">
        <v>0</v>
      </c>
      <c r="AQ391" s="3244"/>
      <c r="AR391" s="3244"/>
      <c r="AS391" s="3242" t="s">
        <v>3384</v>
      </c>
      <c r="AT391" s="3247">
        <f t="shared" si="43"/>
        <v>0</v>
      </c>
      <c r="AU391" s="3248">
        <f t="shared" si="44"/>
        <v>0</v>
      </c>
      <c r="AV391" s="3248">
        <v>0</v>
      </c>
      <c r="AW391" s="3247">
        <v>0</v>
      </c>
      <c r="AX391" s="3248">
        <v>0</v>
      </c>
      <c r="AY391" s="3248">
        <v>0</v>
      </c>
      <c r="AZ391" s="3247">
        <v>0</v>
      </c>
      <c r="BA391" s="3248">
        <v>0</v>
      </c>
      <c r="BB391" s="3248">
        <v>0</v>
      </c>
      <c r="BC391" s="3247">
        <v>0</v>
      </c>
      <c r="BD391" s="3248">
        <v>0</v>
      </c>
      <c r="BE391" s="3248">
        <v>0</v>
      </c>
      <c r="BF391" s="3248">
        <f t="shared" si="45"/>
        <v>0</v>
      </c>
      <c r="BG391" s="3248">
        <f t="shared" si="46"/>
        <v>0</v>
      </c>
      <c r="BH391" s="3249"/>
      <c r="BI391" s="3249"/>
    </row>
    <row r="392" spans="1:61" x14ac:dyDescent="0.3">
      <c r="A392" s="4197" t="s">
        <v>3384</v>
      </c>
      <c r="B392" s="3261"/>
      <c r="C392" s="3243">
        <v>0</v>
      </c>
      <c r="D392" s="3242">
        <v>0</v>
      </c>
      <c r="E392" s="3244"/>
      <c r="F392" s="3244"/>
      <c r="G392" s="3242">
        <v>0</v>
      </c>
      <c r="H392" s="3244"/>
      <c r="I392" s="3244"/>
      <c r="J392" s="3244"/>
      <c r="K392" s="3242">
        <v>0</v>
      </c>
      <c r="L392" s="3244"/>
      <c r="M392" s="3244"/>
      <c r="N392" s="3242" t="s">
        <v>3384</v>
      </c>
      <c r="O392" s="3239">
        <v>0</v>
      </c>
      <c r="P392" s="3242">
        <v>0</v>
      </c>
      <c r="Q392" s="3244"/>
      <c r="R392" s="3244"/>
      <c r="S392" s="3242">
        <v>0</v>
      </c>
      <c r="T392" s="3244"/>
      <c r="U392" s="3244"/>
      <c r="V392" s="3244"/>
      <c r="W392" s="3240">
        <v>0</v>
      </c>
      <c r="X392" s="3244"/>
      <c r="Y392" s="3244"/>
      <c r="Z392" s="3242" t="s">
        <v>3384</v>
      </c>
      <c r="AA392" s="3243">
        <v>0</v>
      </c>
      <c r="AB392" s="3242">
        <v>0</v>
      </c>
      <c r="AC392" s="3244"/>
      <c r="AD392" s="3244"/>
      <c r="AE392" s="3242">
        <v>0</v>
      </c>
      <c r="AF392" s="3259"/>
      <c r="AG392" s="3260"/>
      <c r="AH392" s="3250"/>
      <c r="AI392" s="3260"/>
      <c r="AJ392" s="3260"/>
      <c r="AK392" s="3260"/>
      <c r="AL392" s="3259"/>
      <c r="AM392" s="3260"/>
      <c r="AN392" s="3259"/>
      <c r="AO392" s="3260"/>
      <c r="AP392" s="3242">
        <v>0</v>
      </c>
      <c r="AQ392" s="3244"/>
      <c r="AR392" s="3244"/>
      <c r="AS392" s="3242" t="s">
        <v>3384</v>
      </c>
      <c r="AT392" s="3247">
        <f t="shared" si="43"/>
        <v>0</v>
      </c>
      <c r="AU392" s="3248">
        <f t="shared" si="44"/>
        <v>0</v>
      </c>
      <c r="AV392" s="3248">
        <v>0</v>
      </c>
      <c r="AW392" s="3247">
        <v>0</v>
      </c>
      <c r="AX392" s="3248">
        <v>0</v>
      </c>
      <c r="AY392" s="3248">
        <v>0</v>
      </c>
      <c r="AZ392" s="3247">
        <v>0</v>
      </c>
      <c r="BA392" s="3248">
        <v>0</v>
      </c>
      <c r="BB392" s="3248">
        <v>0</v>
      </c>
      <c r="BC392" s="3247">
        <v>0</v>
      </c>
      <c r="BD392" s="3248">
        <v>0</v>
      </c>
      <c r="BE392" s="3248">
        <v>0</v>
      </c>
      <c r="BF392" s="3248">
        <f t="shared" si="45"/>
        <v>0</v>
      </c>
      <c r="BG392" s="3248">
        <f t="shared" si="46"/>
        <v>0</v>
      </c>
      <c r="BH392" s="3249"/>
      <c r="BI392" s="3249"/>
    </row>
    <row r="393" spans="1:61" x14ac:dyDescent="0.3">
      <c r="A393" s="4197" t="s">
        <v>3384</v>
      </c>
      <c r="B393" s="3261"/>
      <c r="C393" s="3243">
        <v>0</v>
      </c>
      <c r="D393" s="3242">
        <v>0</v>
      </c>
      <c r="E393" s="3244"/>
      <c r="F393" s="3244"/>
      <c r="G393" s="3242">
        <v>0</v>
      </c>
      <c r="H393" s="3244"/>
      <c r="I393" s="3244"/>
      <c r="J393" s="3244"/>
      <c r="K393" s="3242">
        <v>0</v>
      </c>
      <c r="L393" s="3244"/>
      <c r="M393" s="3244"/>
      <c r="N393" s="3242" t="s">
        <v>3384</v>
      </c>
      <c r="O393" s="3239">
        <v>0</v>
      </c>
      <c r="P393" s="3242">
        <v>0</v>
      </c>
      <c r="Q393" s="3244"/>
      <c r="R393" s="3244"/>
      <c r="S393" s="3242">
        <v>0</v>
      </c>
      <c r="T393" s="3244"/>
      <c r="U393" s="3244"/>
      <c r="V393" s="3244"/>
      <c r="W393" s="3240">
        <v>0</v>
      </c>
      <c r="X393" s="3244"/>
      <c r="Y393" s="3244"/>
      <c r="Z393" s="3242" t="s">
        <v>3384</v>
      </c>
      <c r="AA393" s="3243">
        <v>0</v>
      </c>
      <c r="AB393" s="3242">
        <v>0</v>
      </c>
      <c r="AC393" s="3244"/>
      <c r="AD393" s="3244"/>
      <c r="AE393" s="3242">
        <v>0</v>
      </c>
      <c r="AF393" s="3259"/>
      <c r="AG393" s="3260"/>
      <c r="AH393" s="3250"/>
      <c r="AI393" s="3260"/>
      <c r="AJ393" s="3260"/>
      <c r="AK393" s="3260"/>
      <c r="AL393" s="3259"/>
      <c r="AM393" s="3260"/>
      <c r="AN393" s="3259"/>
      <c r="AO393" s="3260"/>
      <c r="AP393" s="3242">
        <v>0</v>
      </c>
      <c r="AQ393" s="3244"/>
      <c r="AR393" s="3244"/>
      <c r="AS393" s="3242" t="s">
        <v>3384</v>
      </c>
      <c r="AT393" s="3247">
        <f t="shared" si="43"/>
        <v>0</v>
      </c>
      <c r="AU393" s="3248">
        <f t="shared" si="44"/>
        <v>0</v>
      </c>
      <c r="AV393" s="3248">
        <v>0</v>
      </c>
      <c r="AW393" s="3247">
        <v>0</v>
      </c>
      <c r="AX393" s="3248">
        <v>0</v>
      </c>
      <c r="AY393" s="3248">
        <v>0</v>
      </c>
      <c r="AZ393" s="3247">
        <v>0</v>
      </c>
      <c r="BA393" s="3248">
        <v>0</v>
      </c>
      <c r="BB393" s="3248">
        <v>0</v>
      </c>
      <c r="BC393" s="3247">
        <v>0</v>
      </c>
      <c r="BD393" s="3248">
        <v>0</v>
      </c>
      <c r="BE393" s="3248">
        <v>0</v>
      </c>
      <c r="BF393" s="3248">
        <f t="shared" si="45"/>
        <v>0</v>
      </c>
      <c r="BG393" s="3248">
        <f t="shared" si="46"/>
        <v>0</v>
      </c>
      <c r="BH393" s="3249"/>
      <c r="BI393" s="3249"/>
    </row>
    <row r="394" spans="1:61" x14ac:dyDescent="0.3">
      <c r="A394" s="4197" t="s">
        <v>3384</v>
      </c>
      <c r="B394" s="3261"/>
      <c r="C394" s="3243">
        <v>0</v>
      </c>
      <c r="D394" s="3242">
        <v>0</v>
      </c>
      <c r="E394" s="3244"/>
      <c r="F394" s="3244"/>
      <c r="G394" s="3242">
        <v>0</v>
      </c>
      <c r="H394" s="3244"/>
      <c r="I394" s="3244"/>
      <c r="J394" s="3244"/>
      <c r="K394" s="3242">
        <v>0</v>
      </c>
      <c r="L394" s="3244"/>
      <c r="M394" s="3244"/>
      <c r="N394" s="3242" t="s">
        <v>3384</v>
      </c>
      <c r="O394" s="3239">
        <v>0</v>
      </c>
      <c r="P394" s="3242">
        <v>0</v>
      </c>
      <c r="Q394" s="3244"/>
      <c r="R394" s="3244"/>
      <c r="S394" s="3242">
        <v>0</v>
      </c>
      <c r="T394" s="3244"/>
      <c r="U394" s="3244"/>
      <c r="V394" s="3244"/>
      <c r="W394" s="3240">
        <v>0</v>
      </c>
      <c r="X394" s="3244"/>
      <c r="Y394" s="3244"/>
      <c r="Z394" s="3242" t="s">
        <v>3384</v>
      </c>
      <c r="AA394" s="3243">
        <v>0</v>
      </c>
      <c r="AB394" s="3242">
        <v>0</v>
      </c>
      <c r="AC394" s="3244"/>
      <c r="AD394" s="3244"/>
      <c r="AE394" s="3242">
        <v>0</v>
      </c>
      <c r="AF394" s="3259"/>
      <c r="AG394" s="3260"/>
      <c r="AH394" s="3250"/>
      <c r="AI394" s="3260"/>
      <c r="AJ394" s="3260"/>
      <c r="AK394" s="3260"/>
      <c r="AL394" s="3259"/>
      <c r="AM394" s="3260"/>
      <c r="AN394" s="3259"/>
      <c r="AO394" s="3260"/>
      <c r="AP394" s="3242">
        <v>0</v>
      </c>
      <c r="AQ394" s="3244"/>
      <c r="AR394" s="3244"/>
      <c r="AS394" s="3242" t="s">
        <v>3384</v>
      </c>
      <c r="AT394" s="3247">
        <f t="shared" si="43"/>
        <v>0</v>
      </c>
      <c r="AU394" s="3248">
        <f t="shared" si="44"/>
        <v>0</v>
      </c>
      <c r="AV394" s="3248">
        <v>0</v>
      </c>
      <c r="AW394" s="3247">
        <v>0</v>
      </c>
      <c r="AX394" s="3248">
        <v>0</v>
      </c>
      <c r="AY394" s="3248">
        <v>0</v>
      </c>
      <c r="AZ394" s="3247">
        <v>0</v>
      </c>
      <c r="BA394" s="3248">
        <v>0</v>
      </c>
      <c r="BB394" s="3248">
        <v>0</v>
      </c>
      <c r="BC394" s="3247">
        <v>0</v>
      </c>
      <c r="BD394" s="3248">
        <v>0</v>
      </c>
      <c r="BE394" s="3248">
        <v>0</v>
      </c>
      <c r="BF394" s="3248">
        <f t="shared" si="45"/>
        <v>0</v>
      </c>
      <c r="BG394" s="3248">
        <f t="shared" si="46"/>
        <v>0</v>
      </c>
      <c r="BH394" s="3249"/>
      <c r="BI394" s="3249"/>
    </row>
    <row r="395" spans="1:61" x14ac:dyDescent="0.3">
      <c r="A395" s="4197" t="s">
        <v>3384</v>
      </c>
      <c r="B395" s="3261"/>
      <c r="C395" s="3243">
        <v>0</v>
      </c>
      <c r="D395" s="3242">
        <v>0</v>
      </c>
      <c r="E395" s="3244"/>
      <c r="F395" s="3244"/>
      <c r="G395" s="3242">
        <v>0</v>
      </c>
      <c r="H395" s="3244"/>
      <c r="I395" s="3244"/>
      <c r="J395" s="3244"/>
      <c r="K395" s="3242">
        <v>0</v>
      </c>
      <c r="L395" s="3244"/>
      <c r="M395" s="3244"/>
      <c r="N395" s="3242" t="s">
        <v>3384</v>
      </c>
      <c r="O395" s="3239">
        <v>0</v>
      </c>
      <c r="P395" s="3242">
        <v>0</v>
      </c>
      <c r="Q395" s="3244"/>
      <c r="R395" s="3244"/>
      <c r="S395" s="3242">
        <v>0</v>
      </c>
      <c r="T395" s="3244"/>
      <c r="U395" s="3244"/>
      <c r="V395" s="3244"/>
      <c r="W395" s="3240">
        <v>0</v>
      </c>
      <c r="X395" s="3244"/>
      <c r="Y395" s="3244"/>
      <c r="Z395" s="3242" t="s">
        <v>3384</v>
      </c>
      <c r="AA395" s="3243">
        <v>0</v>
      </c>
      <c r="AB395" s="3242">
        <v>0</v>
      </c>
      <c r="AC395" s="3244"/>
      <c r="AD395" s="3244"/>
      <c r="AE395" s="3242">
        <v>0</v>
      </c>
      <c r="AF395" s="3259"/>
      <c r="AG395" s="3260"/>
      <c r="AH395" s="3250"/>
      <c r="AI395" s="3260"/>
      <c r="AJ395" s="3260"/>
      <c r="AK395" s="3260"/>
      <c r="AL395" s="3259"/>
      <c r="AM395" s="3260"/>
      <c r="AN395" s="3259"/>
      <c r="AO395" s="3260"/>
      <c r="AP395" s="3242">
        <v>0</v>
      </c>
      <c r="AQ395" s="3244"/>
      <c r="AR395" s="3244"/>
      <c r="AS395" s="3242" t="s">
        <v>3384</v>
      </c>
      <c r="AT395" s="3247">
        <f t="shared" si="43"/>
        <v>0</v>
      </c>
      <c r="AU395" s="3248">
        <f t="shared" si="44"/>
        <v>0</v>
      </c>
      <c r="AV395" s="3248">
        <v>0</v>
      </c>
      <c r="AW395" s="3247">
        <v>0</v>
      </c>
      <c r="AX395" s="3248">
        <v>0</v>
      </c>
      <c r="AY395" s="3248">
        <v>0</v>
      </c>
      <c r="AZ395" s="3247">
        <v>0</v>
      </c>
      <c r="BA395" s="3248">
        <v>0</v>
      </c>
      <c r="BB395" s="3248">
        <v>0</v>
      </c>
      <c r="BC395" s="3247">
        <v>0</v>
      </c>
      <c r="BD395" s="3248">
        <v>0</v>
      </c>
      <c r="BE395" s="3248">
        <v>0</v>
      </c>
      <c r="BF395" s="3248">
        <f t="shared" si="45"/>
        <v>0</v>
      </c>
      <c r="BG395" s="3248">
        <f t="shared" si="46"/>
        <v>0</v>
      </c>
      <c r="BH395" s="3249"/>
      <c r="BI395" s="3249"/>
    </row>
    <row r="396" spans="1:61" x14ac:dyDescent="0.3">
      <c r="A396" s="4197" t="s">
        <v>3384</v>
      </c>
      <c r="B396" s="3261"/>
      <c r="C396" s="3243">
        <v>0</v>
      </c>
      <c r="D396" s="3242">
        <v>0</v>
      </c>
      <c r="E396" s="3244"/>
      <c r="F396" s="3244"/>
      <c r="G396" s="3242">
        <v>0</v>
      </c>
      <c r="H396" s="3244"/>
      <c r="I396" s="3244"/>
      <c r="J396" s="3244"/>
      <c r="K396" s="3242">
        <v>0</v>
      </c>
      <c r="L396" s="3244"/>
      <c r="M396" s="3244"/>
      <c r="N396" s="3242" t="s">
        <v>3384</v>
      </c>
      <c r="O396" s="3239">
        <v>0</v>
      </c>
      <c r="P396" s="3242">
        <v>0</v>
      </c>
      <c r="Q396" s="3244"/>
      <c r="R396" s="3244"/>
      <c r="S396" s="3242">
        <v>0</v>
      </c>
      <c r="T396" s="3244"/>
      <c r="U396" s="3244"/>
      <c r="V396" s="3244"/>
      <c r="W396" s="3240">
        <v>0</v>
      </c>
      <c r="X396" s="3244"/>
      <c r="Y396" s="3244"/>
      <c r="Z396" s="3242" t="s">
        <v>3384</v>
      </c>
      <c r="AA396" s="3243">
        <v>0</v>
      </c>
      <c r="AB396" s="3242">
        <v>0</v>
      </c>
      <c r="AC396" s="3244"/>
      <c r="AD396" s="3244"/>
      <c r="AE396" s="3242">
        <v>0</v>
      </c>
      <c r="AF396" s="3259"/>
      <c r="AG396" s="3260"/>
      <c r="AH396" s="3250"/>
      <c r="AI396" s="3260"/>
      <c r="AJ396" s="3260"/>
      <c r="AK396" s="3260"/>
      <c r="AL396" s="3259"/>
      <c r="AM396" s="3260"/>
      <c r="AN396" s="3259"/>
      <c r="AO396" s="3260"/>
      <c r="AP396" s="3242">
        <v>0</v>
      </c>
      <c r="AQ396" s="3244"/>
      <c r="AR396" s="3244"/>
      <c r="AS396" s="3242" t="s">
        <v>3384</v>
      </c>
      <c r="AT396" s="3247">
        <f t="shared" si="43"/>
        <v>0</v>
      </c>
      <c r="AU396" s="3248">
        <f t="shared" si="44"/>
        <v>0</v>
      </c>
      <c r="AV396" s="3248">
        <v>0</v>
      </c>
      <c r="AW396" s="3247">
        <v>0</v>
      </c>
      <c r="AX396" s="3248">
        <v>0</v>
      </c>
      <c r="AY396" s="3248">
        <v>0</v>
      </c>
      <c r="AZ396" s="3247">
        <v>0</v>
      </c>
      <c r="BA396" s="3248">
        <v>0</v>
      </c>
      <c r="BB396" s="3248">
        <v>0</v>
      </c>
      <c r="BC396" s="3247">
        <v>0</v>
      </c>
      <c r="BD396" s="3248">
        <v>0</v>
      </c>
      <c r="BE396" s="3248">
        <v>0</v>
      </c>
      <c r="BF396" s="3248">
        <f t="shared" si="45"/>
        <v>0</v>
      </c>
      <c r="BG396" s="3248">
        <f t="shared" si="46"/>
        <v>0</v>
      </c>
      <c r="BH396" s="3249"/>
      <c r="BI396" s="3249"/>
    </row>
    <row r="397" spans="1:61" x14ac:dyDescent="0.3">
      <c r="A397" s="4197" t="s">
        <v>3384</v>
      </c>
      <c r="B397" s="3261"/>
      <c r="C397" s="3243">
        <v>0</v>
      </c>
      <c r="D397" s="3242">
        <v>0</v>
      </c>
      <c r="E397" s="3244"/>
      <c r="F397" s="3244"/>
      <c r="G397" s="3242">
        <v>0</v>
      </c>
      <c r="H397" s="3244"/>
      <c r="I397" s="3244"/>
      <c r="J397" s="3244"/>
      <c r="K397" s="3242">
        <v>0</v>
      </c>
      <c r="L397" s="3244"/>
      <c r="M397" s="3244"/>
      <c r="N397" s="3242" t="s">
        <v>3384</v>
      </c>
      <c r="O397" s="3239">
        <v>0</v>
      </c>
      <c r="P397" s="3242">
        <v>0</v>
      </c>
      <c r="Q397" s="3244"/>
      <c r="R397" s="3244"/>
      <c r="S397" s="3242">
        <v>0</v>
      </c>
      <c r="T397" s="3244"/>
      <c r="U397" s="3244"/>
      <c r="V397" s="3244"/>
      <c r="W397" s="3240">
        <v>0</v>
      </c>
      <c r="X397" s="3244"/>
      <c r="Y397" s="3244"/>
      <c r="Z397" s="3242" t="s">
        <v>3384</v>
      </c>
      <c r="AA397" s="3243">
        <v>0</v>
      </c>
      <c r="AB397" s="3242">
        <v>0</v>
      </c>
      <c r="AC397" s="3244"/>
      <c r="AD397" s="3244"/>
      <c r="AE397" s="3242">
        <v>0</v>
      </c>
      <c r="AF397" s="3259"/>
      <c r="AG397" s="3260"/>
      <c r="AH397" s="3250"/>
      <c r="AI397" s="3260"/>
      <c r="AJ397" s="3260"/>
      <c r="AK397" s="3260"/>
      <c r="AL397" s="3259"/>
      <c r="AM397" s="3260"/>
      <c r="AN397" s="3259"/>
      <c r="AO397" s="3260"/>
      <c r="AP397" s="3242">
        <v>0</v>
      </c>
      <c r="AQ397" s="3244"/>
      <c r="AR397" s="3244"/>
      <c r="AS397" s="3242" t="s">
        <v>3384</v>
      </c>
      <c r="AT397" s="3247">
        <f t="shared" si="43"/>
        <v>0</v>
      </c>
      <c r="AU397" s="3248">
        <f t="shared" si="44"/>
        <v>0</v>
      </c>
      <c r="AV397" s="3248">
        <v>0</v>
      </c>
      <c r="AW397" s="3247">
        <v>0</v>
      </c>
      <c r="AX397" s="3248">
        <v>0</v>
      </c>
      <c r="AY397" s="3248">
        <v>0</v>
      </c>
      <c r="AZ397" s="3247">
        <v>0</v>
      </c>
      <c r="BA397" s="3248">
        <v>0</v>
      </c>
      <c r="BB397" s="3248">
        <v>0</v>
      </c>
      <c r="BC397" s="3247">
        <v>0</v>
      </c>
      <c r="BD397" s="3248">
        <v>0</v>
      </c>
      <c r="BE397" s="3248">
        <v>0</v>
      </c>
      <c r="BF397" s="3248">
        <f t="shared" si="45"/>
        <v>0</v>
      </c>
      <c r="BG397" s="3248">
        <f t="shared" si="46"/>
        <v>0</v>
      </c>
      <c r="BH397" s="3249"/>
      <c r="BI397" s="3249"/>
    </row>
    <row r="398" spans="1:61" x14ac:dyDescent="0.3">
      <c r="A398" s="4197" t="s">
        <v>3384</v>
      </c>
      <c r="B398" s="3261"/>
      <c r="C398" s="3243">
        <v>0</v>
      </c>
      <c r="D398" s="3242">
        <v>0</v>
      </c>
      <c r="E398" s="3244"/>
      <c r="F398" s="3244"/>
      <c r="G398" s="3242">
        <v>0</v>
      </c>
      <c r="H398" s="3244"/>
      <c r="I398" s="3244"/>
      <c r="J398" s="3244"/>
      <c r="K398" s="3242">
        <v>0</v>
      </c>
      <c r="L398" s="3244"/>
      <c r="M398" s="3244"/>
      <c r="N398" s="3242" t="s">
        <v>3384</v>
      </c>
      <c r="O398" s="3239">
        <v>0</v>
      </c>
      <c r="P398" s="3242">
        <v>0</v>
      </c>
      <c r="Q398" s="3244"/>
      <c r="R398" s="3244"/>
      <c r="S398" s="3242">
        <v>0</v>
      </c>
      <c r="T398" s="3244"/>
      <c r="U398" s="3244"/>
      <c r="V398" s="3244"/>
      <c r="W398" s="3240">
        <v>0</v>
      </c>
      <c r="X398" s="3244"/>
      <c r="Y398" s="3244"/>
      <c r="Z398" s="3242" t="s">
        <v>3384</v>
      </c>
      <c r="AA398" s="3243">
        <v>0</v>
      </c>
      <c r="AB398" s="3242">
        <v>0</v>
      </c>
      <c r="AC398" s="3244"/>
      <c r="AD398" s="3244"/>
      <c r="AE398" s="3242">
        <v>0</v>
      </c>
      <c r="AF398" s="3259"/>
      <c r="AG398" s="3260"/>
      <c r="AH398" s="3250"/>
      <c r="AI398" s="3260"/>
      <c r="AJ398" s="3260"/>
      <c r="AK398" s="3260"/>
      <c r="AL398" s="3259"/>
      <c r="AM398" s="3260"/>
      <c r="AN398" s="3259"/>
      <c r="AO398" s="3260"/>
      <c r="AP398" s="3242">
        <v>0</v>
      </c>
      <c r="AQ398" s="3244"/>
      <c r="AR398" s="3244"/>
      <c r="AS398" s="3242" t="s">
        <v>3384</v>
      </c>
      <c r="AT398" s="3247">
        <f t="shared" si="43"/>
        <v>0</v>
      </c>
      <c r="AU398" s="3248">
        <f t="shared" si="44"/>
        <v>0</v>
      </c>
      <c r="AV398" s="3248">
        <v>0</v>
      </c>
      <c r="AW398" s="3247">
        <v>0</v>
      </c>
      <c r="AX398" s="3248">
        <v>0</v>
      </c>
      <c r="AY398" s="3248">
        <v>0</v>
      </c>
      <c r="AZ398" s="3247">
        <v>0</v>
      </c>
      <c r="BA398" s="3248">
        <v>0</v>
      </c>
      <c r="BB398" s="3248">
        <v>0</v>
      </c>
      <c r="BC398" s="3247">
        <v>0</v>
      </c>
      <c r="BD398" s="3248">
        <v>0</v>
      </c>
      <c r="BE398" s="3248">
        <v>0</v>
      </c>
      <c r="BF398" s="3248">
        <f t="shared" si="45"/>
        <v>0</v>
      </c>
      <c r="BG398" s="3248">
        <f t="shared" si="46"/>
        <v>0</v>
      </c>
      <c r="BH398" s="3249"/>
      <c r="BI398" s="3249"/>
    </row>
    <row r="399" spans="1:61" x14ac:dyDescent="0.3">
      <c r="A399" s="4197" t="s">
        <v>3384</v>
      </c>
      <c r="B399" s="3261"/>
      <c r="C399" s="3243">
        <v>0</v>
      </c>
      <c r="D399" s="3242">
        <v>0</v>
      </c>
      <c r="E399" s="3244"/>
      <c r="F399" s="3244"/>
      <c r="G399" s="3242">
        <v>0</v>
      </c>
      <c r="H399" s="3244"/>
      <c r="I399" s="3244"/>
      <c r="J399" s="3244"/>
      <c r="K399" s="3242">
        <v>0</v>
      </c>
      <c r="L399" s="3244"/>
      <c r="M399" s="3244"/>
      <c r="N399" s="3242" t="s">
        <v>3384</v>
      </c>
      <c r="O399" s="3239">
        <v>0</v>
      </c>
      <c r="P399" s="3242">
        <v>0</v>
      </c>
      <c r="Q399" s="3244"/>
      <c r="R399" s="3244"/>
      <c r="S399" s="3242">
        <v>0</v>
      </c>
      <c r="T399" s="3244"/>
      <c r="U399" s="3244"/>
      <c r="V399" s="3244"/>
      <c r="W399" s="3240">
        <v>0</v>
      </c>
      <c r="X399" s="3244"/>
      <c r="Y399" s="3244"/>
      <c r="Z399" s="3242" t="s">
        <v>3384</v>
      </c>
      <c r="AA399" s="3243">
        <v>0</v>
      </c>
      <c r="AB399" s="3242">
        <v>0</v>
      </c>
      <c r="AC399" s="3244"/>
      <c r="AD399" s="3244"/>
      <c r="AE399" s="3242">
        <v>0</v>
      </c>
      <c r="AF399" s="3259"/>
      <c r="AG399" s="3260"/>
      <c r="AH399" s="3250"/>
      <c r="AI399" s="3260"/>
      <c r="AJ399" s="3260"/>
      <c r="AK399" s="3260"/>
      <c r="AL399" s="3259"/>
      <c r="AM399" s="3260"/>
      <c r="AN399" s="3259"/>
      <c r="AO399" s="3260"/>
      <c r="AP399" s="3242">
        <v>0</v>
      </c>
      <c r="AQ399" s="3244"/>
      <c r="AR399" s="3244"/>
      <c r="AS399" s="3242" t="s">
        <v>3384</v>
      </c>
      <c r="AT399" s="3247">
        <f t="shared" si="43"/>
        <v>0</v>
      </c>
      <c r="AU399" s="3248">
        <f t="shared" si="44"/>
        <v>0</v>
      </c>
      <c r="AV399" s="3248">
        <v>0</v>
      </c>
      <c r="AW399" s="3247">
        <v>0</v>
      </c>
      <c r="AX399" s="3248">
        <v>0</v>
      </c>
      <c r="AY399" s="3248">
        <v>0</v>
      </c>
      <c r="AZ399" s="3247">
        <v>0</v>
      </c>
      <c r="BA399" s="3248">
        <v>0</v>
      </c>
      <c r="BB399" s="3248">
        <v>0</v>
      </c>
      <c r="BC399" s="3247">
        <v>0</v>
      </c>
      <c r="BD399" s="3248">
        <v>0</v>
      </c>
      <c r="BE399" s="3248">
        <v>0</v>
      </c>
      <c r="BF399" s="3248">
        <f t="shared" si="45"/>
        <v>0</v>
      </c>
      <c r="BG399" s="3248">
        <f t="shared" si="46"/>
        <v>0</v>
      </c>
      <c r="BH399" s="3249"/>
      <c r="BI399" s="3249"/>
    </row>
    <row r="400" spans="1:61" x14ac:dyDescent="0.3">
      <c r="A400" s="4197" t="s">
        <v>3384</v>
      </c>
      <c r="B400" s="3261"/>
      <c r="C400" s="3243">
        <v>0</v>
      </c>
      <c r="D400" s="3242">
        <v>0</v>
      </c>
      <c r="E400" s="3244"/>
      <c r="F400" s="3244"/>
      <c r="G400" s="3242">
        <v>0</v>
      </c>
      <c r="H400" s="3244"/>
      <c r="I400" s="3244"/>
      <c r="J400" s="3244"/>
      <c r="K400" s="3242">
        <v>0</v>
      </c>
      <c r="L400" s="3244"/>
      <c r="M400" s="3244"/>
      <c r="N400" s="3242" t="s">
        <v>3384</v>
      </c>
      <c r="O400" s="3239">
        <v>0</v>
      </c>
      <c r="P400" s="3242">
        <v>0</v>
      </c>
      <c r="Q400" s="3244"/>
      <c r="R400" s="3244"/>
      <c r="S400" s="3242">
        <v>0</v>
      </c>
      <c r="T400" s="3244"/>
      <c r="U400" s="3244"/>
      <c r="V400" s="3244"/>
      <c r="W400" s="3240">
        <v>0</v>
      </c>
      <c r="X400" s="3244"/>
      <c r="Y400" s="3244"/>
      <c r="Z400" s="3242" t="s">
        <v>3384</v>
      </c>
      <c r="AA400" s="3243">
        <v>0</v>
      </c>
      <c r="AB400" s="3242">
        <v>0</v>
      </c>
      <c r="AC400" s="3244"/>
      <c r="AD400" s="3244"/>
      <c r="AE400" s="3242">
        <v>0</v>
      </c>
      <c r="AF400" s="3259"/>
      <c r="AG400" s="3260"/>
      <c r="AH400" s="3250"/>
      <c r="AI400" s="3260"/>
      <c r="AJ400" s="3260"/>
      <c r="AK400" s="3260"/>
      <c r="AL400" s="3259"/>
      <c r="AM400" s="3260"/>
      <c r="AN400" s="3259"/>
      <c r="AO400" s="3260"/>
      <c r="AP400" s="3242">
        <v>0</v>
      </c>
      <c r="AQ400" s="3244"/>
      <c r="AR400" s="3244"/>
      <c r="AS400" s="3242" t="s">
        <v>3384</v>
      </c>
      <c r="AT400" s="3247">
        <f t="shared" ref="AT400:AT463" si="47">IFERROR(AE400+(SUM(AC400:AD400)/100*($AE$14/$AB$14*100)),0)</f>
        <v>0</v>
      </c>
      <c r="AU400" s="3248">
        <f t="shared" si="44"/>
        <v>0</v>
      </c>
      <c r="AV400" s="3248">
        <v>0</v>
      </c>
      <c r="AW400" s="3247">
        <v>0</v>
      </c>
      <c r="AX400" s="3248">
        <v>0</v>
      </c>
      <c r="AY400" s="3248">
        <v>0</v>
      </c>
      <c r="AZ400" s="3247">
        <v>0</v>
      </c>
      <c r="BA400" s="3248">
        <v>0</v>
      </c>
      <c r="BB400" s="3248">
        <v>0</v>
      </c>
      <c r="BC400" s="3247">
        <v>0</v>
      </c>
      <c r="BD400" s="3248">
        <v>0</v>
      </c>
      <c r="BE400" s="3248">
        <v>0</v>
      </c>
      <c r="BF400" s="3248">
        <f t="shared" si="45"/>
        <v>0</v>
      </c>
      <c r="BG400" s="3248">
        <f t="shared" si="46"/>
        <v>0</v>
      </c>
      <c r="BH400" s="3249"/>
      <c r="BI400" s="3249"/>
    </row>
    <row r="401" spans="1:61" x14ac:dyDescent="0.3">
      <c r="A401" s="4197" t="s">
        <v>3384</v>
      </c>
      <c r="B401" s="3261"/>
      <c r="C401" s="3243">
        <v>0</v>
      </c>
      <c r="D401" s="3242">
        <v>0</v>
      </c>
      <c r="E401" s="3244"/>
      <c r="F401" s="3244"/>
      <c r="G401" s="3242">
        <v>0</v>
      </c>
      <c r="H401" s="3244"/>
      <c r="I401" s="3244"/>
      <c r="J401" s="3244"/>
      <c r="K401" s="3242">
        <v>0</v>
      </c>
      <c r="L401" s="3244"/>
      <c r="M401" s="3244"/>
      <c r="N401" s="3242" t="s">
        <v>3384</v>
      </c>
      <c r="O401" s="3239">
        <v>0</v>
      </c>
      <c r="P401" s="3242">
        <v>0</v>
      </c>
      <c r="Q401" s="3244"/>
      <c r="R401" s="3244"/>
      <c r="S401" s="3242">
        <v>0</v>
      </c>
      <c r="T401" s="3244"/>
      <c r="U401" s="3244"/>
      <c r="V401" s="3244"/>
      <c r="W401" s="3240">
        <v>0</v>
      </c>
      <c r="X401" s="3244"/>
      <c r="Y401" s="3244"/>
      <c r="Z401" s="3242" t="s">
        <v>3384</v>
      </c>
      <c r="AA401" s="3243">
        <v>0</v>
      </c>
      <c r="AB401" s="3242">
        <v>0</v>
      </c>
      <c r="AC401" s="3244"/>
      <c r="AD401" s="3244"/>
      <c r="AE401" s="3242">
        <v>0</v>
      </c>
      <c r="AF401" s="3259"/>
      <c r="AG401" s="3260"/>
      <c r="AH401" s="3250"/>
      <c r="AI401" s="3260"/>
      <c r="AJ401" s="3260"/>
      <c r="AK401" s="3260"/>
      <c r="AL401" s="3259"/>
      <c r="AM401" s="3260"/>
      <c r="AN401" s="3259"/>
      <c r="AO401" s="3260"/>
      <c r="AP401" s="3242">
        <v>0</v>
      </c>
      <c r="AQ401" s="3244"/>
      <c r="AR401" s="3244"/>
      <c r="AS401" s="3242" t="s">
        <v>3384</v>
      </c>
      <c r="AT401" s="3247">
        <f t="shared" si="47"/>
        <v>0</v>
      </c>
      <c r="AU401" s="3248">
        <f t="shared" si="44"/>
        <v>0</v>
      </c>
      <c r="AV401" s="3248">
        <v>0</v>
      </c>
      <c r="AW401" s="3247">
        <v>0</v>
      </c>
      <c r="AX401" s="3248">
        <v>0</v>
      </c>
      <c r="AY401" s="3248">
        <v>0</v>
      </c>
      <c r="AZ401" s="3247">
        <v>0</v>
      </c>
      <c r="BA401" s="3248">
        <v>0</v>
      </c>
      <c r="BB401" s="3248">
        <v>0</v>
      </c>
      <c r="BC401" s="3247">
        <v>0</v>
      </c>
      <c r="BD401" s="3248">
        <v>0</v>
      </c>
      <c r="BE401" s="3248">
        <v>0</v>
      </c>
      <c r="BF401" s="3248">
        <f t="shared" si="45"/>
        <v>0</v>
      </c>
      <c r="BG401" s="3248">
        <f t="shared" si="46"/>
        <v>0</v>
      </c>
      <c r="BH401" s="3249"/>
      <c r="BI401" s="3249"/>
    </row>
    <row r="402" spans="1:61" x14ac:dyDescent="0.3">
      <c r="A402" s="4197" t="s">
        <v>3384</v>
      </c>
      <c r="B402" s="3261"/>
      <c r="C402" s="3243">
        <v>0</v>
      </c>
      <c r="D402" s="3242">
        <v>0</v>
      </c>
      <c r="E402" s="3244"/>
      <c r="F402" s="3244"/>
      <c r="G402" s="3242">
        <v>0</v>
      </c>
      <c r="H402" s="3244"/>
      <c r="I402" s="3244"/>
      <c r="J402" s="3244"/>
      <c r="K402" s="3242">
        <v>0</v>
      </c>
      <c r="L402" s="3244"/>
      <c r="M402" s="3244"/>
      <c r="N402" s="3242" t="s">
        <v>3384</v>
      </c>
      <c r="O402" s="3239">
        <v>0</v>
      </c>
      <c r="P402" s="3242">
        <v>0</v>
      </c>
      <c r="Q402" s="3244"/>
      <c r="R402" s="3244"/>
      <c r="S402" s="3242">
        <v>0</v>
      </c>
      <c r="T402" s="3244"/>
      <c r="U402" s="3244"/>
      <c r="V402" s="3244"/>
      <c r="W402" s="3240">
        <v>0</v>
      </c>
      <c r="X402" s="3244"/>
      <c r="Y402" s="3244"/>
      <c r="Z402" s="3242" t="s">
        <v>3384</v>
      </c>
      <c r="AA402" s="3243">
        <v>0</v>
      </c>
      <c r="AB402" s="3242">
        <v>0</v>
      </c>
      <c r="AC402" s="3244"/>
      <c r="AD402" s="3244"/>
      <c r="AE402" s="3242">
        <v>0</v>
      </c>
      <c r="AF402" s="3259"/>
      <c r="AG402" s="3260"/>
      <c r="AH402" s="3250"/>
      <c r="AI402" s="3260"/>
      <c r="AJ402" s="3260"/>
      <c r="AK402" s="3260"/>
      <c r="AL402" s="3259"/>
      <c r="AM402" s="3260"/>
      <c r="AN402" s="3259"/>
      <c r="AO402" s="3260"/>
      <c r="AP402" s="3242">
        <v>0</v>
      </c>
      <c r="AQ402" s="3244"/>
      <c r="AR402" s="3244"/>
      <c r="AS402" s="3242" t="s">
        <v>3384</v>
      </c>
      <c r="AT402" s="3247">
        <f t="shared" si="47"/>
        <v>0</v>
      </c>
      <c r="AU402" s="3248">
        <f t="shared" si="44"/>
        <v>0</v>
      </c>
      <c r="AV402" s="3248">
        <v>0</v>
      </c>
      <c r="AW402" s="3247">
        <v>0</v>
      </c>
      <c r="AX402" s="3248">
        <v>0</v>
      </c>
      <c r="AY402" s="3248">
        <v>0</v>
      </c>
      <c r="AZ402" s="3247">
        <v>0</v>
      </c>
      <c r="BA402" s="3248">
        <v>0</v>
      </c>
      <c r="BB402" s="3248">
        <v>0</v>
      </c>
      <c r="BC402" s="3247">
        <v>0</v>
      </c>
      <c r="BD402" s="3248">
        <v>0</v>
      </c>
      <c r="BE402" s="3248">
        <v>0</v>
      </c>
      <c r="BF402" s="3248">
        <f t="shared" si="45"/>
        <v>0</v>
      </c>
      <c r="BG402" s="3248">
        <f t="shared" si="46"/>
        <v>0</v>
      </c>
      <c r="BH402" s="3249"/>
      <c r="BI402" s="3249"/>
    </row>
    <row r="403" spans="1:61" x14ac:dyDescent="0.3">
      <c r="A403" s="4197" t="s">
        <v>3384</v>
      </c>
      <c r="B403" s="3261"/>
      <c r="C403" s="3243">
        <v>0</v>
      </c>
      <c r="D403" s="3242">
        <v>0</v>
      </c>
      <c r="E403" s="3244"/>
      <c r="F403" s="3244"/>
      <c r="G403" s="3242">
        <v>0</v>
      </c>
      <c r="H403" s="3244"/>
      <c r="I403" s="3244"/>
      <c r="J403" s="3244"/>
      <c r="K403" s="3242">
        <v>0</v>
      </c>
      <c r="L403" s="3244"/>
      <c r="M403" s="3244"/>
      <c r="N403" s="3242" t="s">
        <v>3384</v>
      </c>
      <c r="O403" s="3239">
        <v>0</v>
      </c>
      <c r="P403" s="3242">
        <v>0</v>
      </c>
      <c r="Q403" s="3244"/>
      <c r="R403" s="3244"/>
      <c r="S403" s="3242">
        <v>0</v>
      </c>
      <c r="T403" s="3244"/>
      <c r="U403" s="3244"/>
      <c r="V403" s="3244"/>
      <c r="W403" s="3240">
        <v>0</v>
      </c>
      <c r="X403" s="3244"/>
      <c r="Y403" s="3244"/>
      <c r="Z403" s="3242" t="s">
        <v>3384</v>
      </c>
      <c r="AA403" s="3243">
        <v>0</v>
      </c>
      <c r="AB403" s="3242">
        <v>0</v>
      </c>
      <c r="AC403" s="3244"/>
      <c r="AD403" s="3244"/>
      <c r="AE403" s="3242">
        <v>0</v>
      </c>
      <c r="AF403" s="3259"/>
      <c r="AG403" s="3260"/>
      <c r="AH403" s="3250"/>
      <c r="AI403" s="3260"/>
      <c r="AJ403" s="3260"/>
      <c r="AK403" s="3260"/>
      <c r="AL403" s="3259"/>
      <c r="AM403" s="3260"/>
      <c r="AN403" s="3259"/>
      <c r="AO403" s="3260"/>
      <c r="AP403" s="3242">
        <v>0</v>
      </c>
      <c r="AQ403" s="3244"/>
      <c r="AR403" s="3244"/>
      <c r="AS403" s="3242" t="s">
        <v>3384</v>
      </c>
      <c r="AT403" s="3247">
        <f t="shared" si="47"/>
        <v>0</v>
      </c>
      <c r="AU403" s="3248">
        <f t="shared" ref="AU403:AU466" si="48">AX403+BA403+BD403</f>
        <v>0</v>
      </c>
      <c r="AV403" s="3248">
        <v>0</v>
      </c>
      <c r="AW403" s="3247">
        <v>0</v>
      </c>
      <c r="AX403" s="3248">
        <v>0</v>
      </c>
      <c r="AY403" s="3248">
        <v>0</v>
      </c>
      <c r="AZ403" s="3247">
        <v>0</v>
      </c>
      <c r="BA403" s="3248">
        <v>0</v>
      </c>
      <c r="BB403" s="3248">
        <v>0</v>
      </c>
      <c r="BC403" s="3247">
        <v>0</v>
      </c>
      <c r="BD403" s="3248">
        <v>0</v>
      </c>
      <c r="BE403" s="3248">
        <v>0</v>
      </c>
      <c r="BF403" s="3248">
        <f t="shared" ref="BF403:BF466" si="49">IFERROR(ROUND(AE403/S403*100,2),0)</f>
        <v>0</v>
      </c>
      <c r="BG403" s="3248">
        <f t="shared" ref="BG403:BG466" si="50">IFERROR(ROUND(AA403/O403*100,2),0)</f>
        <v>0</v>
      </c>
      <c r="BH403" s="3249"/>
      <c r="BI403" s="3249"/>
    </row>
    <row r="404" spans="1:61" x14ac:dyDescent="0.3">
      <c r="A404" s="4197" t="s">
        <v>3384</v>
      </c>
      <c r="B404" s="3261"/>
      <c r="C404" s="3243">
        <v>0</v>
      </c>
      <c r="D404" s="3242">
        <v>0</v>
      </c>
      <c r="E404" s="3244"/>
      <c r="F404" s="3244"/>
      <c r="G404" s="3242">
        <v>0</v>
      </c>
      <c r="H404" s="3244"/>
      <c r="I404" s="3244"/>
      <c r="J404" s="3244"/>
      <c r="K404" s="3242">
        <v>0</v>
      </c>
      <c r="L404" s="3244"/>
      <c r="M404" s="3244"/>
      <c r="N404" s="3242" t="s">
        <v>3384</v>
      </c>
      <c r="O404" s="3239">
        <v>0</v>
      </c>
      <c r="P404" s="3242">
        <v>0</v>
      </c>
      <c r="Q404" s="3244"/>
      <c r="R404" s="3244"/>
      <c r="S404" s="3242">
        <v>0</v>
      </c>
      <c r="T404" s="3244"/>
      <c r="U404" s="3244"/>
      <c r="V404" s="3244"/>
      <c r="W404" s="3240">
        <v>0</v>
      </c>
      <c r="X404" s="3244"/>
      <c r="Y404" s="3244"/>
      <c r="Z404" s="3242" t="s">
        <v>3384</v>
      </c>
      <c r="AA404" s="3243">
        <v>0</v>
      </c>
      <c r="AB404" s="3242">
        <v>0</v>
      </c>
      <c r="AC404" s="3244"/>
      <c r="AD404" s="3244"/>
      <c r="AE404" s="3242">
        <v>0</v>
      </c>
      <c r="AF404" s="3259"/>
      <c r="AG404" s="3260"/>
      <c r="AH404" s="3250"/>
      <c r="AI404" s="3260"/>
      <c r="AJ404" s="3260"/>
      <c r="AK404" s="3260"/>
      <c r="AL404" s="3259"/>
      <c r="AM404" s="3260"/>
      <c r="AN404" s="3259"/>
      <c r="AO404" s="3260"/>
      <c r="AP404" s="3242">
        <v>0</v>
      </c>
      <c r="AQ404" s="3244"/>
      <c r="AR404" s="3244"/>
      <c r="AS404" s="3242" t="s">
        <v>3384</v>
      </c>
      <c r="AT404" s="3247">
        <f t="shared" si="47"/>
        <v>0</v>
      </c>
      <c r="AU404" s="3248">
        <f t="shared" si="48"/>
        <v>0</v>
      </c>
      <c r="AV404" s="3248">
        <v>0</v>
      </c>
      <c r="AW404" s="3247">
        <v>0</v>
      </c>
      <c r="AX404" s="3248">
        <v>0</v>
      </c>
      <c r="AY404" s="3248">
        <v>0</v>
      </c>
      <c r="AZ404" s="3247">
        <v>0</v>
      </c>
      <c r="BA404" s="3248">
        <v>0</v>
      </c>
      <c r="BB404" s="3248">
        <v>0</v>
      </c>
      <c r="BC404" s="3247">
        <v>0</v>
      </c>
      <c r="BD404" s="3248">
        <v>0</v>
      </c>
      <c r="BE404" s="3248">
        <v>0</v>
      </c>
      <c r="BF404" s="3248">
        <f t="shared" si="49"/>
        <v>0</v>
      </c>
      <c r="BG404" s="3248">
        <f t="shared" si="50"/>
        <v>0</v>
      </c>
      <c r="BH404" s="3249"/>
      <c r="BI404" s="3249"/>
    </row>
    <row r="405" spans="1:61" x14ac:dyDescent="0.3">
      <c r="A405" s="4197" t="s">
        <v>3384</v>
      </c>
      <c r="B405" s="3261"/>
      <c r="C405" s="3243">
        <v>0</v>
      </c>
      <c r="D405" s="3242">
        <v>0</v>
      </c>
      <c r="E405" s="3244"/>
      <c r="F405" s="3244"/>
      <c r="G405" s="3242">
        <v>0</v>
      </c>
      <c r="H405" s="3244"/>
      <c r="I405" s="3244"/>
      <c r="J405" s="3244"/>
      <c r="K405" s="3242">
        <v>0</v>
      </c>
      <c r="L405" s="3244"/>
      <c r="M405" s="3244"/>
      <c r="N405" s="3242" t="s">
        <v>3384</v>
      </c>
      <c r="O405" s="3239">
        <v>0</v>
      </c>
      <c r="P405" s="3242">
        <v>0</v>
      </c>
      <c r="Q405" s="3244"/>
      <c r="R405" s="3244"/>
      <c r="S405" s="3242">
        <v>0</v>
      </c>
      <c r="T405" s="3244"/>
      <c r="U405" s="3244"/>
      <c r="V405" s="3244"/>
      <c r="W405" s="3240">
        <v>0</v>
      </c>
      <c r="X405" s="3244"/>
      <c r="Y405" s="3244"/>
      <c r="Z405" s="3242" t="s">
        <v>3384</v>
      </c>
      <c r="AA405" s="3243">
        <v>0</v>
      </c>
      <c r="AB405" s="3242">
        <v>0</v>
      </c>
      <c r="AC405" s="3244"/>
      <c r="AD405" s="3244"/>
      <c r="AE405" s="3242">
        <v>0</v>
      </c>
      <c r="AF405" s="3259"/>
      <c r="AG405" s="3260"/>
      <c r="AH405" s="3250"/>
      <c r="AI405" s="3260"/>
      <c r="AJ405" s="3260"/>
      <c r="AK405" s="3260"/>
      <c r="AL405" s="3259"/>
      <c r="AM405" s="3260"/>
      <c r="AN405" s="3259"/>
      <c r="AO405" s="3260"/>
      <c r="AP405" s="3242">
        <v>0</v>
      </c>
      <c r="AQ405" s="3244"/>
      <c r="AR405" s="3244"/>
      <c r="AS405" s="3242" t="s">
        <v>3384</v>
      </c>
      <c r="AT405" s="3247">
        <f t="shared" si="47"/>
        <v>0</v>
      </c>
      <c r="AU405" s="3248">
        <f t="shared" si="48"/>
        <v>0</v>
      </c>
      <c r="AV405" s="3248">
        <v>0</v>
      </c>
      <c r="AW405" s="3247">
        <v>0</v>
      </c>
      <c r="AX405" s="3248">
        <v>0</v>
      </c>
      <c r="AY405" s="3248">
        <v>0</v>
      </c>
      <c r="AZ405" s="3247">
        <v>0</v>
      </c>
      <c r="BA405" s="3248">
        <v>0</v>
      </c>
      <c r="BB405" s="3248">
        <v>0</v>
      </c>
      <c r="BC405" s="3247">
        <v>0</v>
      </c>
      <c r="BD405" s="3248">
        <v>0</v>
      </c>
      <c r="BE405" s="3248">
        <v>0</v>
      </c>
      <c r="BF405" s="3248">
        <f t="shared" si="49"/>
        <v>0</v>
      </c>
      <c r="BG405" s="3248">
        <f t="shared" si="50"/>
        <v>0</v>
      </c>
      <c r="BH405" s="3249"/>
      <c r="BI405" s="3249"/>
    </row>
    <row r="406" spans="1:61" x14ac:dyDescent="0.3">
      <c r="A406" s="4197" t="s">
        <v>3384</v>
      </c>
      <c r="B406" s="3261"/>
      <c r="C406" s="3243">
        <v>0</v>
      </c>
      <c r="D406" s="3242">
        <v>0</v>
      </c>
      <c r="E406" s="3244"/>
      <c r="F406" s="3244"/>
      <c r="G406" s="3242">
        <v>0</v>
      </c>
      <c r="H406" s="3244"/>
      <c r="I406" s="3244"/>
      <c r="J406" s="3244"/>
      <c r="K406" s="3242">
        <v>0</v>
      </c>
      <c r="L406" s="3244"/>
      <c r="M406" s="3244"/>
      <c r="N406" s="3242" t="s">
        <v>3384</v>
      </c>
      <c r="O406" s="3239">
        <v>0</v>
      </c>
      <c r="P406" s="3242">
        <v>0</v>
      </c>
      <c r="Q406" s="3244"/>
      <c r="R406" s="3244"/>
      <c r="S406" s="3242">
        <v>0</v>
      </c>
      <c r="T406" s="3244"/>
      <c r="U406" s="3244"/>
      <c r="V406" s="3244"/>
      <c r="W406" s="3240">
        <v>0</v>
      </c>
      <c r="X406" s="3244"/>
      <c r="Y406" s="3244"/>
      <c r="Z406" s="3242" t="s">
        <v>3384</v>
      </c>
      <c r="AA406" s="3243">
        <v>0</v>
      </c>
      <c r="AB406" s="3242">
        <v>0</v>
      </c>
      <c r="AC406" s="3244"/>
      <c r="AD406" s="3244"/>
      <c r="AE406" s="3242">
        <v>0</v>
      </c>
      <c r="AF406" s="3259"/>
      <c r="AG406" s="3260"/>
      <c r="AH406" s="3250"/>
      <c r="AI406" s="3260"/>
      <c r="AJ406" s="3260"/>
      <c r="AK406" s="3260"/>
      <c r="AL406" s="3259"/>
      <c r="AM406" s="3260"/>
      <c r="AN406" s="3259"/>
      <c r="AO406" s="3260"/>
      <c r="AP406" s="3242">
        <v>0</v>
      </c>
      <c r="AQ406" s="3244"/>
      <c r="AR406" s="3244"/>
      <c r="AS406" s="3242" t="s">
        <v>3384</v>
      </c>
      <c r="AT406" s="3247">
        <f t="shared" si="47"/>
        <v>0</v>
      </c>
      <c r="AU406" s="3248">
        <f t="shared" si="48"/>
        <v>0</v>
      </c>
      <c r="AV406" s="3248">
        <v>0</v>
      </c>
      <c r="AW406" s="3247">
        <v>0</v>
      </c>
      <c r="AX406" s="3248">
        <v>0</v>
      </c>
      <c r="AY406" s="3248">
        <v>0</v>
      </c>
      <c r="AZ406" s="3247">
        <v>0</v>
      </c>
      <c r="BA406" s="3248">
        <v>0</v>
      </c>
      <c r="BB406" s="3248">
        <v>0</v>
      </c>
      <c r="BC406" s="3247">
        <v>0</v>
      </c>
      <c r="BD406" s="3248">
        <v>0</v>
      </c>
      <c r="BE406" s="3248">
        <v>0</v>
      </c>
      <c r="BF406" s="3248">
        <f t="shared" si="49"/>
        <v>0</v>
      </c>
      <c r="BG406" s="3248">
        <f t="shared" si="50"/>
        <v>0</v>
      </c>
      <c r="BH406" s="3249"/>
      <c r="BI406" s="3249"/>
    </row>
    <row r="407" spans="1:61" x14ac:dyDescent="0.3">
      <c r="A407" s="4197" t="s">
        <v>3384</v>
      </c>
      <c r="B407" s="3261"/>
      <c r="C407" s="3243">
        <v>0</v>
      </c>
      <c r="D407" s="3242">
        <v>0</v>
      </c>
      <c r="E407" s="3244"/>
      <c r="F407" s="3244"/>
      <c r="G407" s="3242">
        <v>0</v>
      </c>
      <c r="H407" s="3244"/>
      <c r="I407" s="3244"/>
      <c r="J407" s="3244"/>
      <c r="K407" s="3242">
        <v>0</v>
      </c>
      <c r="L407" s="3244"/>
      <c r="M407" s="3244"/>
      <c r="N407" s="3242" t="s">
        <v>3384</v>
      </c>
      <c r="O407" s="3239">
        <v>0</v>
      </c>
      <c r="P407" s="3242">
        <v>0</v>
      </c>
      <c r="Q407" s="3244"/>
      <c r="R407" s="3244"/>
      <c r="S407" s="3242">
        <v>0</v>
      </c>
      <c r="T407" s="3244"/>
      <c r="U407" s="3244"/>
      <c r="V407" s="3244"/>
      <c r="W407" s="3240">
        <v>0</v>
      </c>
      <c r="X407" s="3244"/>
      <c r="Y407" s="3244"/>
      <c r="Z407" s="3242" t="s">
        <v>3384</v>
      </c>
      <c r="AA407" s="3243">
        <v>0</v>
      </c>
      <c r="AB407" s="3242">
        <v>0</v>
      </c>
      <c r="AC407" s="3244"/>
      <c r="AD407" s="3244"/>
      <c r="AE407" s="3242">
        <v>0</v>
      </c>
      <c r="AF407" s="3259"/>
      <c r="AG407" s="3260"/>
      <c r="AH407" s="3250"/>
      <c r="AI407" s="3260"/>
      <c r="AJ407" s="3260"/>
      <c r="AK407" s="3260"/>
      <c r="AL407" s="3259"/>
      <c r="AM407" s="3260"/>
      <c r="AN407" s="3259"/>
      <c r="AO407" s="3260"/>
      <c r="AP407" s="3242">
        <v>0</v>
      </c>
      <c r="AQ407" s="3244"/>
      <c r="AR407" s="3244"/>
      <c r="AS407" s="3242" t="s">
        <v>3384</v>
      </c>
      <c r="AT407" s="3247">
        <f t="shared" si="47"/>
        <v>0</v>
      </c>
      <c r="AU407" s="3248">
        <f t="shared" si="48"/>
        <v>0</v>
      </c>
      <c r="AV407" s="3248">
        <v>0</v>
      </c>
      <c r="AW407" s="3247">
        <v>0</v>
      </c>
      <c r="AX407" s="3248">
        <v>0</v>
      </c>
      <c r="AY407" s="3248">
        <v>0</v>
      </c>
      <c r="AZ407" s="3247">
        <v>0</v>
      </c>
      <c r="BA407" s="3248">
        <v>0</v>
      </c>
      <c r="BB407" s="3248">
        <v>0</v>
      </c>
      <c r="BC407" s="3247">
        <v>0</v>
      </c>
      <c r="BD407" s="3248">
        <v>0</v>
      </c>
      <c r="BE407" s="3248">
        <v>0</v>
      </c>
      <c r="BF407" s="3248">
        <f t="shared" si="49"/>
        <v>0</v>
      </c>
      <c r="BG407" s="3248">
        <f t="shared" si="50"/>
        <v>0</v>
      </c>
      <c r="BH407" s="3249"/>
      <c r="BI407" s="3249"/>
    </row>
    <row r="408" spans="1:61" x14ac:dyDescent="0.3">
      <c r="A408" s="4197" t="s">
        <v>3384</v>
      </c>
      <c r="B408" s="3261"/>
      <c r="C408" s="3243">
        <v>0</v>
      </c>
      <c r="D408" s="3242">
        <v>0</v>
      </c>
      <c r="E408" s="3244"/>
      <c r="F408" s="3244"/>
      <c r="G408" s="3242">
        <v>0</v>
      </c>
      <c r="H408" s="3244"/>
      <c r="I408" s="3244"/>
      <c r="J408" s="3244"/>
      <c r="K408" s="3242">
        <v>0</v>
      </c>
      <c r="L408" s="3244"/>
      <c r="M408" s="3244"/>
      <c r="N408" s="3242" t="s">
        <v>3384</v>
      </c>
      <c r="O408" s="3239">
        <v>0</v>
      </c>
      <c r="P408" s="3242">
        <v>0</v>
      </c>
      <c r="Q408" s="3244"/>
      <c r="R408" s="3244"/>
      <c r="S408" s="3242">
        <v>0</v>
      </c>
      <c r="T408" s="3244"/>
      <c r="U408" s="3244"/>
      <c r="V408" s="3244"/>
      <c r="W408" s="3240">
        <v>0</v>
      </c>
      <c r="X408" s="3244"/>
      <c r="Y408" s="3244"/>
      <c r="Z408" s="3242" t="s">
        <v>3384</v>
      </c>
      <c r="AA408" s="3243">
        <v>0</v>
      </c>
      <c r="AB408" s="3242">
        <v>0</v>
      </c>
      <c r="AC408" s="3244"/>
      <c r="AD408" s="3244"/>
      <c r="AE408" s="3242">
        <v>0</v>
      </c>
      <c r="AF408" s="3259"/>
      <c r="AG408" s="3260"/>
      <c r="AH408" s="3250"/>
      <c r="AI408" s="3260"/>
      <c r="AJ408" s="3260"/>
      <c r="AK408" s="3260"/>
      <c r="AL408" s="3259"/>
      <c r="AM408" s="3260"/>
      <c r="AN408" s="3259"/>
      <c r="AO408" s="3260"/>
      <c r="AP408" s="3242">
        <v>0</v>
      </c>
      <c r="AQ408" s="3244"/>
      <c r="AR408" s="3244"/>
      <c r="AS408" s="3242" t="s">
        <v>3384</v>
      </c>
      <c r="AT408" s="3247">
        <f t="shared" si="47"/>
        <v>0</v>
      </c>
      <c r="AU408" s="3248">
        <f t="shared" si="48"/>
        <v>0</v>
      </c>
      <c r="AV408" s="3248">
        <v>0</v>
      </c>
      <c r="AW408" s="3247">
        <v>0</v>
      </c>
      <c r="AX408" s="3248">
        <v>0</v>
      </c>
      <c r="AY408" s="3248">
        <v>0</v>
      </c>
      <c r="AZ408" s="3247">
        <v>0</v>
      </c>
      <c r="BA408" s="3248">
        <v>0</v>
      </c>
      <c r="BB408" s="3248">
        <v>0</v>
      </c>
      <c r="BC408" s="3247">
        <v>0</v>
      </c>
      <c r="BD408" s="3248">
        <v>0</v>
      </c>
      <c r="BE408" s="3248">
        <v>0</v>
      </c>
      <c r="BF408" s="3248">
        <f t="shared" si="49"/>
        <v>0</v>
      </c>
      <c r="BG408" s="3248">
        <f t="shared" si="50"/>
        <v>0</v>
      </c>
      <c r="BH408" s="3249"/>
      <c r="BI408" s="3249"/>
    </row>
    <row r="409" spans="1:61" x14ac:dyDescent="0.3">
      <c r="A409" s="4197" t="s">
        <v>3384</v>
      </c>
      <c r="B409" s="3261"/>
      <c r="C409" s="3243">
        <v>0</v>
      </c>
      <c r="D409" s="3242">
        <v>0</v>
      </c>
      <c r="E409" s="3244"/>
      <c r="F409" s="3244"/>
      <c r="G409" s="3242">
        <v>0</v>
      </c>
      <c r="H409" s="3244"/>
      <c r="I409" s="3244"/>
      <c r="J409" s="3244"/>
      <c r="K409" s="3242">
        <v>0</v>
      </c>
      <c r="L409" s="3244"/>
      <c r="M409" s="3244"/>
      <c r="N409" s="3242" t="s">
        <v>3384</v>
      </c>
      <c r="O409" s="3239">
        <v>0</v>
      </c>
      <c r="P409" s="3242">
        <v>0</v>
      </c>
      <c r="Q409" s="3244"/>
      <c r="R409" s="3244"/>
      <c r="S409" s="3242">
        <v>0</v>
      </c>
      <c r="T409" s="3244"/>
      <c r="U409" s="3244"/>
      <c r="V409" s="3244"/>
      <c r="W409" s="3240">
        <v>0</v>
      </c>
      <c r="X409" s="3244"/>
      <c r="Y409" s="3244"/>
      <c r="Z409" s="3242" t="s">
        <v>3384</v>
      </c>
      <c r="AA409" s="3243">
        <v>0</v>
      </c>
      <c r="AB409" s="3242">
        <v>0</v>
      </c>
      <c r="AC409" s="3244"/>
      <c r="AD409" s="3244"/>
      <c r="AE409" s="3242">
        <v>0</v>
      </c>
      <c r="AF409" s="3259"/>
      <c r="AG409" s="3260"/>
      <c r="AH409" s="3250"/>
      <c r="AI409" s="3260"/>
      <c r="AJ409" s="3260"/>
      <c r="AK409" s="3260"/>
      <c r="AL409" s="3259"/>
      <c r="AM409" s="3260"/>
      <c r="AN409" s="3259"/>
      <c r="AO409" s="3260"/>
      <c r="AP409" s="3242">
        <v>0</v>
      </c>
      <c r="AQ409" s="3244"/>
      <c r="AR409" s="3244"/>
      <c r="AS409" s="3242" t="s">
        <v>3384</v>
      </c>
      <c r="AT409" s="3247">
        <f t="shared" si="47"/>
        <v>0</v>
      </c>
      <c r="AU409" s="3248">
        <f t="shared" si="48"/>
        <v>0</v>
      </c>
      <c r="AV409" s="3248">
        <v>0</v>
      </c>
      <c r="AW409" s="3247">
        <v>0</v>
      </c>
      <c r="AX409" s="3248">
        <v>0</v>
      </c>
      <c r="AY409" s="3248">
        <v>0</v>
      </c>
      <c r="AZ409" s="3247">
        <v>0</v>
      </c>
      <c r="BA409" s="3248">
        <v>0</v>
      </c>
      <c r="BB409" s="3248">
        <v>0</v>
      </c>
      <c r="BC409" s="3247">
        <v>0</v>
      </c>
      <c r="BD409" s="3248">
        <v>0</v>
      </c>
      <c r="BE409" s="3248">
        <v>0</v>
      </c>
      <c r="BF409" s="3248">
        <f t="shared" si="49"/>
        <v>0</v>
      </c>
      <c r="BG409" s="3248">
        <f t="shared" si="50"/>
        <v>0</v>
      </c>
      <c r="BH409" s="3249"/>
      <c r="BI409" s="3249"/>
    </row>
    <row r="410" spans="1:61" x14ac:dyDescent="0.3">
      <c r="A410" s="4197" t="s">
        <v>3384</v>
      </c>
      <c r="B410" s="3261"/>
      <c r="C410" s="3243">
        <v>0</v>
      </c>
      <c r="D410" s="3242">
        <v>0</v>
      </c>
      <c r="E410" s="3244"/>
      <c r="F410" s="3244"/>
      <c r="G410" s="3242">
        <v>0</v>
      </c>
      <c r="H410" s="3244"/>
      <c r="I410" s="3244"/>
      <c r="J410" s="3244"/>
      <c r="K410" s="3242">
        <v>0</v>
      </c>
      <c r="L410" s="3244"/>
      <c r="M410" s="3244"/>
      <c r="N410" s="3242" t="s">
        <v>3384</v>
      </c>
      <c r="O410" s="3239">
        <v>0</v>
      </c>
      <c r="P410" s="3242">
        <v>0</v>
      </c>
      <c r="Q410" s="3244"/>
      <c r="R410" s="3244"/>
      <c r="S410" s="3242">
        <v>0</v>
      </c>
      <c r="T410" s="3244"/>
      <c r="U410" s="3244"/>
      <c r="V410" s="3244"/>
      <c r="W410" s="3240">
        <v>0</v>
      </c>
      <c r="X410" s="3244"/>
      <c r="Y410" s="3244"/>
      <c r="Z410" s="3242" t="s">
        <v>3384</v>
      </c>
      <c r="AA410" s="3243">
        <v>0</v>
      </c>
      <c r="AB410" s="3242">
        <v>0</v>
      </c>
      <c r="AC410" s="3244"/>
      <c r="AD410" s="3244"/>
      <c r="AE410" s="3242">
        <v>0</v>
      </c>
      <c r="AF410" s="3259"/>
      <c r="AG410" s="3260"/>
      <c r="AH410" s="3250"/>
      <c r="AI410" s="3260"/>
      <c r="AJ410" s="3260"/>
      <c r="AK410" s="3260"/>
      <c r="AL410" s="3259"/>
      <c r="AM410" s="3260"/>
      <c r="AN410" s="3259"/>
      <c r="AO410" s="3260"/>
      <c r="AP410" s="3242">
        <v>0</v>
      </c>
      <c r="AQ410" s="3244"/>
      <c r="AR410" s="3244"/>
      <c r="AS410" s="3242" t="s">
        <v>3384</v>
      </c>
      <c r="AT410" s="3247">
        <f t="shared" si="47"/>
        <v>0</v>
      </c>
      <c r="AU410" s="3248">
        <f t="shared" si="48"/>
        <v>0</v>
      </c>
      <c r="AV410" s="3248">
        <v>0</v>
      </c>
      <c r="AW410" s="3247">
        <v>0</v>
      </c>
      <c r="AX410" s="3248">
        <v>0</v>
      </c>
      <c r="AY410" s="3248">
        <v>0</v>
      </c>
      <c r="AZ410" s="3247">
        <v>0</v>
      </c>
      <c r="BA410" s="3248">
        <v>0</v>
      </c>
      <c r="BB410" s="3248">
        <v>0</v>
      </c>
      <c r="BC410" s="3247">
        <v>0</v>
      </c>
      <c r="BD410" s="3248">
        <v>0</v>
      </c>
      <c r="BE410" s="3248">
        <v>0</v>
      </c>
      <c r="BF410" s="3248">
        <f t="shared" si="49"/>
        <v>0</v>
      </c>
      <c r="BG410" s="3248">
        <f t="shared" si="50"/>
        <v>0</v>
      </c>
      <c r="BH410" s="3249"/>
      <c r="BI410" s="3249"/>
    </row>
    <row r="411" spans="1:61" x14ac:dyDescent="0.3">
      <c r="A411" s="4197" t="s">
        <v>3384</v>
      </c>
      <c r="B411" s="3261"/>
      <c r="C411" s="3243">
        <v>0</v>
      </c>
      <c r="D411" s="3242">
        <v>0</v>
      </c>
      <c r="E411" s="3244"/>
      <c r="F411" s="3244"/>
      <c r="G411" s="3242">
        <v>0</v>
      </c>
      <c r="H411" s="3244"/>
      <c r="I411" s="3244"/>
      <c r="J411" s="3244"/>
      <c r="K411" s="3242">
        <v>0</v>
      </c>
      <c r="L411" s="3244"/>
      <c r="M411" s="3244"/>
      <c r="N411" s="3242" t="s">
        <v>3384</v>
      </c>
      <c r="O411" s="3239">
        <v>0</v>
      </c>
      <c r="P411" s="3242">
        <v>0</v>
      </c>
      <c r="Q411" s="3244"/>
      <c r="R411" s="3244"/>
      <c r="S411" s="3242">
        <v>0</v>
      </c>
      <c r="T411" s="3244"/>
      <c r="U411" s="3244"/>
      <c r="V411" s="3244"/>
      <c r="W411" s="3240">
        <v>0</v>
      </c>
      <c r="X411" s="3244"/>
      <c r="Y411" s="3244"/>
      <c r="Z411" s="3242" t="s">
        <v>3384</v>
      </c>
      <c r="AA411" s="3243">
        <v>0</v>
      </c>
      <c r="AB411" s="3242">
        <v>0</v>
      </c>
      <c r="AC411" s="3244"/>
      <c r="AD411" s="3244"/>
      <c r="AE411" s="3242">
        <v>0</v>
      </c>
      <c r="AF411" s="3259"/>
      <c r="AG411" s="3260"/>
      <c r="AH411" s="3250"/>
      <c r="AI411" s="3260"/>
      <c r="AJ411" s="3260"/>
      <c r="AK411" s="3260"/>
      <c r="AL411" s="3259"/>
      <c r="AM411" s="3260"/>
      <c r="AN411" s="3259"/>
      <c r="AO411" s="3260"/>
      <c r="AP411" s="3242">
        <v>0</v>
      </c>
      <c r="AQ411" s="3244"/>
      <c r="AR411" s="3244"/>
      <c r="AS411" s="3242" t="s">
        <v>3384</v>
      </c>
      <c r="AT411" s="3247">
        <f t="shared" si="47"/>
        <v>0</v>
      </c>
      <c r="AU411" s="3248">
        <f t="shared" si="48"/>
        <v>0</v>
      </c>
      <c r="AV411" s="3248">
        <v>0</v>
      </c>
      <c r="AW411" s="3247">
        <v>0</v>
      </c>
      <c r="AX411" s="3248">
        <v>0</v>
      </c>
      <c r="AY411" s="3248">
        <v>0</v>
      </c>
      <c r="AZ411" s="3247">
        <v>0</v>
      </c>
      <c r="BA411" s="3248">
        <v>0</v>
      </c>
      <c r="BB411" s="3248">
        <v>0</v>
      </c>
      <c r="BC411" s="3247">
        <v>0</v>
      </c>
      <c r="BD411" s="3248">
        <v>0</v>
      </c>
      <c r="BE411" s="3248">
        <v>0</v>
      </c>
      <c r="BF411" s="3248">
        <f t="shared" si="49"/>
        <v>0</v>
      </c>
      <c r="BG411" s="3248">
        <f t="shared" si="50"/>
        <v>0</v>
      </c>
      <c r="BH411" s="3249"/>
      <c r="BI411" s="3249"/>
    </row>
    <row r="412" spans="1:61" x14ac:dyDescent="0.3">
      <c r="A412" s="4197" t="s">
        <v>3384</v>
      </c>
      <c r="B412" s="3261"/>
      <c r="C412" s="3243">
        <v>0</v>
      </c>
      <c r="D412" s="3242">
        <v>0</v>
      </c>
      <c r="E412" s="3244"/>
      <c r="F412" s="3244"/>
      <c r="G412" s="3242">
        <v>0</v>
      </c>
      <c r="H412" s="3244"/>
      <c r="I412" s="3244"/>
      <c r="J412" s="3244"/>
      <c r="K412" s="3242">
        <v>0</v>
      </c>
      <c r="L412" s="3244"/>
      <c r="M412" s="3244"/>
      <c r="N412" s="3242" t="s">
        <v>3384</v>
      </c>
      <c r="O412" s="3239">
        <v>0</v>
      </c>
      <c r="P412" s="3242">
        <v>0</v>
      </c>
      <c r="Q412" s="3244"/>
      <c r="R412" s="3244"/>
      <c r="S412" s="3242">
        <v>0</v>
      </c>
      <c r="T412" s="3244"/>
      <c r="U412" s="3244"/>
      <c r="V412" s="3244"/>
      <c r="W412" s="3240">
        <v>0</v>
      </c>
      <c r="X412" s="3244"/>
      <c r="Y412" s="3244"/>
      <c r="Z412" s="3242" t="s">
        <v>3384</v>
      </c>
      <c r="AA412" s="3243">
        <v>0</v>
      </c>
      <c r="AB412" s="3242">
        <v>0</v>
      </c>
      <c r="AC412" s="3244"/>
      <c r="AD412" s="3244"/>
      <c r="AE412" s="3242">
        <v>0</v>
      </c>
      <c r="AF412" s="3259"/>
      <c r="AG412" s="3260"/>
      <c r="AH412" s="3250"/>
      <c r="AI412" s="3260"/>
      <c r="AJ412" s="3260"/>
      <c r="AK412" s="3260"/>
      <c r="AL412" s="3259"/>
      <c r="AM412" s="3260"/>
      <c r="AN412" s="3259"/>
      <c r="AO412" s="3260"/>
      <c r="AP412" s="3242">
        <v>0</v>
      </c>
      <c r="AQ412" s="3244"/>
      <c r="AR412" s="3244"/>
      <c r="AS412" s="3242" t="s">
        <v>3384</v>
      </c>
      <c r="AT412" s="3247">
        <f t="shared" si="47"/>
        <v>0</v>
      </c>
      <c r="AU412" s="3248">
        <f t="shared" si="48"/>
        <v>0</v>
      </c>
      <c r="AV412" s="3248">
        <v>0</v>
      </c>
      <c r="AW412" s="3247">
        <v>0</v>
      </c>
      <c r="AX412" s="3248">
        <v>0</v>
      </c>
      <c r="AY412" s="3248">
        <v>0</v>
      </c>
      <c r="AZ412" s="3247">
        <v>0</v>
      </c>
      <c r="BA412" s="3248">
        <v>0</v>
      </c>
      <c r="BB412" s="3248">
        <v>0</v>
      </c>
      <c r="BC412" s="3247">
        <v>0</v>
      </c>
      <c r="BD412" s="3248">
        <v>0</v>
      </c>
      <c r="BE412" s="3248">
        <v>0</v>
      </c>
      <c r="BF412" s="3248">
        <f t="shared" si="49"/>
        <v>0</v>
      </c>
      <c r="BG412" s="3248">
        <f t="shared" si="50"/>
        <v>0</v>
      </c>
      <c r="BH412" s="3249"/>
      <c r="BI412" s="3249"/>
    </row>
    <row r="413" spans="1:61" x14ac:dyDescent="0.3">
      <c r="A413" s="4197" t="s">
        <v>3384</v>
      </c>
      <c r="B413" s="3261"/>
      <c r="C413" s="3243">
        <v>0</v>
      </c>
      <c r="D413" s="3242">
        <v>0</v>
      </c>
      <c r="E413" s="3244"/>
      <c r="F413" s="3244"/>
      <c r="G413" s="3242">
        <v>0</v>
      </c>
      <c r="H413" s="3244"/>
      <c r="I413" s="3244"/>
      <c r="J413" s="3244"/>
      <c r="K413" s="3242">
        <v>0</v>
      </c>
      <c r="L413" s="3244"/>
      <c r="M413" s="3244"/>
      <c r="N413" s="3242" t="s">
        <v>3384</v>
      </c>
      <c r="O413" s="3239">
        <v>0</v>
      </c>
      <c r="P413" s="3242">
        <v>0</v>
      </c>
      <c r="Q413" s="3244"/>
      <c r="R413" s="3244"/>
      <c r="S413" s="3242">
        <v>0</v>
      </c>
      <c r="T413" s="3244"/>
      <c r="U413" s="3244"/>
      <c r="V413" s="3244"/>
      <c r="W413" s="3240">
        <v>0</v>
      </c>
      <c r="X413" s="3244"/>
      <c r="Y413" s="3244"/>
      <c r="Z413" s="3242" t="s">
        <v>3384</v>
      </c>
      <c r="AA413" s="3243">
        <v>0</v>
      </c>
      <c r="AB413" s="3242">
        <v>0</v>
      </c>
      <c r="AC413" s="3244"/>
      <c r="AD413" s="3244"/>
      <c r="AE413" s="3242">
        <v>0</v>
      </c>
      <c r="AF413" s="3259"/>
      <c r="AG413" s="3260"/>
      <c r="AH413" s="3250"/>
      <c r="AI413" s="3260"/>
      <c r="AJ413" s="3260"/>
      <c r="AK413" s="3260"/>
      <c r="AL413" s="3259"/>
      <c r="AM413" s="3260"/>
      <c r="AN413" s="3259"/>
      <c r="AO413" s="3260"/>
      <c r="AP413" s="3242">
        <v>0</v>
      </c>
      <c r="AQ413" s="3244"/>
      <c r="AR413" s="3244"/>
      <c r="AS413" s="3242" t="s">
        <v>3384</v>
      </c>
      <c r="AT413" s="3247">
        <f t="shared" si="47"/>
        <v>0</v>
      </c>
      <c r="AU413" s="3248">
        <f t="shared" si="48"/>
        <v>0</v>
      </c>
      <c r="AV413" s="3248">
        <v>0</v>
      </c>
      <c r="AW413" s="3247">
        <v>0</v>
      </c>
      <c r="AX413" s="3248">
        <v>0</v>
      </c>
      <c r="AY413" s="3248">
        <v>0</v>
      </c>
      <c r="AZ413" s="3247">
        <v>0</v>
      </c>
      <c r="BA413" s="3248">
        <v>0</v>
      </c>
      <c r="BB413" s="3248">
        <v>0</v>
      </c>
      <c r="BC413" s="3247">
        <v>0</v>
      </c>
      <c r="BD413" s="3248">
        <v>0</v>
      </c>
      <c r="BE413" s="3248">
        <v>0</v>
      </c>
      <c r="BF413" s="3248">
        <f t="shared" si="49"/>
        <v>0</v>
      </c>
      <c r="BG413" s="3248">
        <f t="shared" si="50"/>
        <v>0</v>
      </c>
      <c r="BH413" s="3249"/>
      <c r="BI413" s="3249"/>
    </row>
    <row r="414" spans="1:61" x14ac:dyDescent="0.3">
      <c r="A414" s="4197" t="s">
        <v>3384</v>
      </c>
      <c r="B414" s="3261"/>
      <c r="C414" s="3243">
        <v>0</v>
      </c>
      <c r="D414" s="3242">
        <v>0</v>
      </c>
      <c r="E414" s="3244"/>
      <c r="F414" s="3244"/>
      <c r="G414" s="3242">
        <v>0</v>
      </c>
      <c r="H414" s="3244"/>
      <c r="I414" s="3244"/>
      <c r="J414" s="3244"/>
      <c r="K414" s="3242">
        <v>0</v>
      </c>
      <c r="L414" s="3244"/>
      <c r="M414" s="3244"/>
      <c r="N414" s="3242" t="s">
        <v>3384</v>
      </c>
      <c r="O414" s="3239">
        <v>0</v>
      </c>
      <c r="P414" s="3242">
        <v>0</v>
      </c>
      <c r="Q414" s="3244"/>
      <c r="R414" s="3244"/>
      <c r="S414" s="3242">
        <v>0</v>
      </c>
      <c r="T414" s="3244"/>
      <c r="U414" s="3244"/>
      <c r="V414" s="3244"/>
      <c r="W414" s="3240">
        <v>0</v>
      </c>
      <c r="X414" s="3244"/>
      <c r="Y414" s="3244"/>
      <c r="Z414" s="3242" t="s">
        <v>3384</v>
      </c>
      <c r="AA414" s="3243">
        <v>0</v>
      </c>
      <c r="AB414" s="3242">
        <v>0</v>
      </c>
      <c r="AC414" s="3244"/>
      <c r="AD414" s="3244"/>
      <c r="AE414" s="3242">
        <v>0</v>
      </c>
      <c r="AF414" s="3259"/>
      <c r="AG414" s="3260"/>
      <c r="AH414" s="3250"/>
      <c r="AI414" s="3260"/>
      <c r="AJ414" s="3260"/>
      <c r="AK414" s="3260"/>
      <c r="AL414" s="3259"/>
      <c r="AM414" s="3260"/>
      <c r="AN414" s="3259"/>
      <c r="AO414" s="3260"/>
      <c r="AP414" s="3242">
        <v>0</v>
      </c>
      <c r="AQ414" s="3244"/>
      <c r="AR414" s="3244"/>
      <c r="AS414" s="3242" t="s">
        <v>3384</v>
      </c>
      <c r="AT414" s="3247">
        <f t="shared" si="47"/>
        <v>0</v>
      </c>
      <c r="AU414" s="3248">
        <f t="shared" si="48"/>
        <v>0</v>
      </c>
      <c r="AV414" s="3248">
        <v>0</v>
      </c>
      <c r="AW414" s="3247">
        <v>0</v>
      </c>
      <c r="AX414" s="3248">
        <v>0</v>
      </c>
      <c r="AY414" s="3248">
        <v>0</v>
      </c>
      <c r="AZ414" s="3247">
        <v>0</v>
      </c>
      <c r="BA414" s="3248">
        <v>0</v>
      </c>
      <c r="BB414" s="3248">
        <v>0</v>
      </c>
      <c r="BC414" s="3247">
        <v>0</v>
      </c>
      <c r="BD414" s="3248">
        <v>0</v>
      </c>
      <c r="BE414" s="3248">
        <v>0</v>
      </c>
      <c r="BF414" s="3248">
        <f t="shared" si="49"/>
        <v>0</v>
      </c>
      <c r="BG414" s="3248">
        <f t="shared" si="50"/>
        <v>0</v>
      </c>
      <c r="BH414" s="3249"/>
      <c r="BI414" s="3249"/>
    </row>
    <row r="415" spans="1:61" x14ac:dyDescent="0.3">
      <c r="A415" s="4197" t="s">
        <v>3384</v>
      </c>
      <c r="B415" s="3261"/>
      <c r="C415" s="3243">
        <v>0</v>
      </c>
      <c r="D415" s="3242">
        <v>0</v>
      </c>
      <c r="E415" s="3244"/>
      <c r="F415" s="3244"/>
      <c r="G415" s="3242">
        <v>0</v>
      </c>
      <c r="H415" s="3244"/>
      <c r="I415" s="3244"/>
      <c r="J415" s="3244"/>
      <c r="K415" s="3242">
        <v>0</v>
      </c>
      <c r="L415" s="3244"/>
      <c r="M415" s="3244"/>
      <c r="N415" s="3242" t="s">
        <v>3384</v>
      </c>
      <c r="O415" s="3239">
        <v>0</v>
      </c>
      <c r="P415" s="3242">
        <v>0</v>
      </c>
      <c r="Q415" s="3244"/>
      <c r="R415" s="3244"/>
      <c r="S415" s="3242">
        <v>0</v>
      </c>
      <c r="T415" s="3244"/>
      <c r="U415" s="3244"/>
      <c r="V415" s="3244"/>
      <c r="W415" s="3240">
        <v>0</v>
      </c>
      <c r="X415" s="3244"/>
      <c r="Y415" s="3244"/>
      <c r="Z415" s="3242" t="s">
        <v>3384</v>
      </c>
      <c r="AA415" s="3243">
        <v>0</v>
      </c>
      <c r="AB415" s="3242">
        <v>0</v>
      </c>
      <c r="AC415" s="3244"/>
      <c r="AD415" s="3244"/>
      <c r="AE415" s="3242">
        <v>0</v>
      </c>
      <c r="AF415" s="3259"/>
      <c r="AG415" s="3260"/>
      <c r="AH415" s="3250"/>
      <c r="AI415" s="3260"/>
      <c r="AJ415" s="3260"/>
      <c r="AK415" s="3260"/>
      <c r="AL415" s="3259"/>
      <c r="AM415" s="3260"/>
      <c r="AN415" s="3259"/>
      <c r="AO415" s="3260"/>
      <c r="AP415" s="3242">
        <v>0</v>
      </c>
      <c r="AQ415" s="3244"/>
      <c r="AR415" s="3244"/>
      <c r="AS415" s="3242" t="s">
        <v>3384</v>
      </c>
      <c r="AT415" s="3247">
        <f t="shared" si="47"/>
        <v>0</v>
      </c>
      <c r="AU415" s="3248">
        <f t="shared" si="48"/>
        <v>0</v>
      </c>
      <c r="AV415" s="3248">
        <v>0</v>
      </c>
      <c r="AW415" s="3247">
        <v>0</v>
      </c>
      <c r="AX415" s="3248">
        <v>0</v>
      </c>
      <c r="AY415" s="3248">
        <v>0</v>
      </c>
      <c r="AZ415" s="3247">
        <v>0</v>
      </c>
      <c r="BA415" s="3248">
        <v>0</v>
      </c>
      <c r="BB415" s="3248">
        <v>0</v>
      </c>
      <c r="BC415" s="3247">
        <v>0</v>
      </c>
      <c r="BD415" s="3248">
        <v>0</v>
      </c>
      <c r="BE415" s="3248">
        <v>0</v>
      </c>
      <c r="BF415" s="3248">
        <f t="shared" si="49"/>
        <v>0</v>
      </c>
      <c r="BG415" s="3248">
        <f t="shared" si="50"/>
        <v>0</v>
      </c>
      <c r="BH415" s="3249"/>
      <c r="BI415" s="3249"/>
    </row>
    <row r="416" spans="1:61" x14ac:dyDescent="0.3">
      <c r="A416" s="4197" t="s">
        <v>3384</v>
      </c>
      <c r="B416" s="3261"/>
      <c r="C416" s="3243">
        <v>0</v>
      </c>
      <c r="D416" s="3242">
        <v>0</v>
      </c>
      <c r="E416" s="3244"/>
      <c r="F416" s="3244"/>
      <c r="G416" s="3242">
        <v>0</v>
      </c>
      <c r="H416" s="3244"/>
      <c r="I416" s="3244"/>
      <c r="J416" s="3244"/>
      <c r="K416" s="3242">
        <v>0</v>
      </c>
      <c r="L416" s="3244"/>
      <c r="M416" s="3244"/>
      <c r="N416" s="3242" t="s">
        <v>3384</v>
      </c>
      <c r="O416" s="3239">
        <v>0</v>
      </c>
      <c r="P416" s="3242">
        <v>0</v>
      </c>
      <c r="Q416" s="3244"/>
      <c r="R416" s="3244"/>
      <c r="S416" s="3242">
        <v>0</v>
      </c>
      <c r="T416" s="3244"/>
      <c r="U416" s="3244"/>
      <c r="V416" s="3244"/>
      <c r="W416" s="3240">
        <v>0</v>
      </c>
      <c r="X416" s="3244"/>
      <c r="Y416" s="3244"/>
      <c r="Z416" s="3242" t="s">
        <v>3384</v>
      </c>
      <c r="AA416" s="3243">
        <v>0</v>
      </c>
      <c r="AB416" s="3242">
        <v>0</v>
      </c>
      <c r="AC416" s="3244"/>
      <c r="AD416" s="3244"/>
      <c r="AE416" s="3242">
        <v>0</v>
      </c>
      <c r="AF416" s="3259"/>
      <c r="AG416" s="3260"/>
      <c r="AH416" s="3250"/>
      <c r="AI416" s="3260"/>
      <c r="AJ416" s="3260"/>
      <c r="AK416" s="3260"/>
      <c r="AL416" s="3259"/>
      <c r="AM416" s="3260"/>
      <c r="AN416" s="3259"/>
      <c r="AO416" s="3260"/>
      <c r="AP416" s="3242">
        <v>0</v>
      </c>
      <c r="AQ416" s="3244"/>
      <c r="AR416" s="3244"/>
      <c r="AS416" s="3242" t="s">
        <v>3384</v>
      </c>
      <c r="AT416" s="3247">
        <f t="shared" si="47"/>
        <v>0</v>
      </c>
      <c r="AU416" s="3248">
        <f t="shared" si="48"/>
        <v>0</v>
      </c>
      <c r="AV416" s="3248">
        <v>0</v>
      </c>
      <c r="AW416" s="3247">
        <v>0</v>
      </c>
      <c r="AX416" s="3248">
        <v>0</v>
      </c>
      <c r="AY416" s="3248">
        <v>0</v>
      </c>
      <c r="AZ416" s="3247">
        <v>0</v>
      </c>
      <c r="BA416" s="3248">
        <v>0</v>
      </c>
      <c r="BB416" s="3248">
        <v>0</v>
      </c>
      <c r="BC416" s="3247">
        <v>0</v>
      </c>
      <c r="BD416" s="3248">
        <v>0</v>
      </c>
      <c r="BE416" s="3248">
        <v>0</v>
      </c>
      <c r="BF416" s="3248">
        <f t="shared" si="49"/>
        <v>0</v>
      </c>
      <c r="BG416" s="3248">
        <f t="shared" si="50"/>
        <v>0</v>
      </c>
      <c r="BH416" s="3249"/>
      <c r="BI416" s="3249"/>
    </row>
    <row r="417" spans="1:61" x14ac:dyDescent="0.3">
      <c r="A417" s="4197" t="s">
        <v>3384</v>
      </c>
      <c r="B417" s="3261"/>
      <c r="C417" s="3243">
        <v>0</v>
      </c>
      <c r="D417" s="3242">
        <v>0</v>
      </c>
      <c r="E417" s="3244"/>
      <c r="F417" s="3244"/>
      <c r="G417" s="3242">
        <v>0</v>
      </c>
      <c r="H417" s="3244"/>
      <c r="I417" s="3244"/>
      <c r="J417" s="3244"/>
      <c r="K417" s="3242">
        <v>0</v>
      </c>
      <c r="L417" s="3244"/>
      <c r="M417" s="3244"/>
      <c r="N417" s="3242" t="s">
        <v>3384</v>
      </c>
      <c r="O417" s="3239">
        <v>0</v>
      </c>
      <c r="P417" s="3242">
        <v>0</v>
      </c>
      <c r="Q417" s="3244"/>
      <c r="R417" s="3244"/>
      <c r="S417" s="3242">
        <v>0</v>
      </c>
      <c r="T417" s="3244"/>
      <c r="U417" s="3244"/>
      <c r="V417" s="3244"/>
      <c r="W417" s="3240">
        <v>0</v>
      </c>
      <c r="X417" s="3244"/>
      <c r="Y417" s="3244"/>
      <c r="Z417" s="3242" t="s">
        <v>3384</v>
      </c>
      <c r="AA417" s="3243">
        <v>0</v>
      </c>
      <c r="AB417" s="3242">
        <v>0</v>
      </c>
      <c r="AC417" s="3244"/>
      <c r="AD417" s="3244"/>
      <c r="AE417" s="3242">
        <v>0</v>
      </c>
      <c r="AF417" s="3259"/>
      <c r="AG417" s="3260"/>
      <c r="AH417" s="3250"/>
      <c r="AI417" s="3260"/>
      <c r="AJ417" s="3260"/>
      <c r="AK417" s="3260"/>
      <c r="AL417" s="3259"/>
      <c r="AM417" s="3260"/>
      <c r="AN417" s="3259"/>
      <c r="AO417" s="3260"/>
      <c r="AP417" s="3242">
        <v>0</v>
      </c>
      <c r="AQ417" s="3244"/>
      <c r="AR417" s="3244"/>
      <c r="AS417" s="3242" t="s">
        <v>3384</v>
      </c>
      <c r="AT417" s="3247">
        <f t="shared" si="47"/>
        <v>0</v>
      </c>
      <c r="AU417" s="3248">
        <f t="shared" si="48"/>
        <v>0</v>
      </c>
      <c r="AV417" s="3248">
        <v>0</v>
      </c>
      <c r="AW417" s="3247">
        <v>0</v>
      </c>
      <c r="AX417" s="3248">
        <v>0</v>
      </c>
      <c r="AY417" s="3248">
        <v>0</v>
      </c>
      <c r="AZ417" s="3247">
        <v>0</v>
      </c>
      <c r="BA417" s="3248">
        <v>0</v>
      </c>
      <c r="BB417" s="3248">
        <v>0</v>
      </c>
      <c r="BC417" s="3247">
        <v>0</v>
      </c>
      <c r="BD417" s="3248">
        <v>0</v>
      </c>
      <c r="BE417" s="3248">
        <v>0</v>
      </c>
      <c r="BF417" s="3248">
        <f t="shared" si="49"/>
        <v>0</v>
      </c>
      <c r="BG417" s="3248">
        <f t="shared" si="50"/>
        <v>0</v>
      </c>
      <c r="BH417" s="3249"/>
      <c r="BI417" s="3249"/>
    </row>
    <row r="418" spans="1:61" x14ac:dyDescent="0.3">
      <c r="A418" s="4197" t="s">
        <v>3384</v>
      </c>
      <c r="B418" s="3261"/>
      <c r="C418" s="3243">
        <v>0</v>
      </c>
      <c r="D418" s="3242">
        <v>0</v>
      </c>
      <c r="E418" s="3244"/>
      <c r="F418" s="3244"/>
      <c r="G418" s="3242">
        <v>0</v>
      </c>
      <c r="H418" s="3244"/>
      <c r="I418" s="3244"/>
      <c r="J418" s="3244"/>
      <c r="K418" s="3242">
        <v>0</v>
      </c>
      <c r="L418" s="3244"/>
      <c r="M418" s="3244"/>
      <c r="N418" s="3242" t="s">
        <v>3384</v>
      </c>
      <c r="O418" s="3239">
        <v>0</v>
      </c>
      <c r="P418" s="3242">
        <v>0</v>
      </c>
      <c r="Q418" s="3244"/>
      <c r="R418" s="3244"/>
      <c r="S418" s="3242">
        <v>0</v>
      </c>
      <c r="T418" s="3244"/>
      <c r="U418" s="3244"/>
      <c r="V418" s="3244"/>
      <c r="W418" s="3240">
        <v>0</v>
      </c>
      <c r="X418" s="3244"/>
      <c r="Y418" s="3244"/>
      <c r="Z418" s="3242" t="s">
        <v>3384</v>
      </c>
      <c r="AA418" s="3243">
        <v>0</v>
      </c>
      <c r="AB418" s="3242">
        <v>0</v>
      </c>
      <c r="AC418" s="3244"/>
      <c r="AD418" s="3244"/>
      <c r="AE418" s="3242">
        <v>0</v>
      </c>
      <c r="AF418" s="3259"/>
      <c r="AG418" s="3260"/>
      <c r="AH418" s="3250"/>
      <c r="AI418" s="3260"/>
      <c r="AJ418" s="3260"/>
      <c r="AK418" s="3260"/>
      <c r="AL418" s="3259"/>
      <c r="AM418" s="3260"/>
      <c r="AN418" s="3259"/>
      <c r="AO418" s="3260"/>
      <c r="AP418" s="3242">
        <v>0</v>
      </c>
      <c r="AQ418" s="3244"/>
      <c r="AR418" s="3244"/>
      <c r="AS418" s="3242" t="s">
        <v>3384</v>
      </c>
      <c r="AT418" s="3247">
        <f t="shared" si="47"/>
        <v>0</v>
      </c>
      <c r="AU418" s="3248">
        <f t="shared" si="48"/>
        <v>0</v>
      </c>
      <c r="AV418" s="3248">
        <v>0</v>
      </c>
      <c r="AW418" s="3247">
        <v>0</v>
      </c>
      <c r="AX418" s="3248">
        <v>0</v>
      </c>
      <c r="AY418" s="3248">
        <v>0</v>
      </c>
      <c r="AZ418" s="3247">
        <v>0</v>
      </c>
      <c r="BA418" s="3248">
        <v>0</v>
      </c>
      <c r="BB418" s="3248">
        <v>0</v>
      </c>
      <c r="BC418" s="3247">
        <v>0</v>
      </c>
      <c r="BD418" s="3248">
        <v>0</v>
      </c>
      <c r="BE418" s="3248">
        <v>0</v>
      </c>
      <c r="BF418" s="3248">
        <f t="shared" si="49"/>
        <v>0</v>
      </c>
      <c r="BG418" s="3248">
        <f t="shared" si="50"/>
        <v>0</v>
      </c>
      <c r="BH418" s="3249"/>
      <c r="BI418" s="3249"/>
    </row>
    <row r="419" spans="1:61" x14ac:dyDescent="0.3">
      <c r="A419" s="4197" t="s">
        <v>3384</v>
      </c>
      <c r="B419" s="3261"/>
      <c r="C419" s="3243">
        <v>0</v>
      </c>
      <c r="D419" s="3242">
        <v>0</v>
      </c>
      <c r="E419" s="3244"/>
      <c r="F419" s="3244"/>
      <c r="G419" s="3242">
        <v>0</v>
      </c>
      <c r="H419" s="3244"/>
      <c r="I419" s="3244"/>
      <c r="J419" s="3244"/>
      <c r="K419" s="3242">
        <v>0</v>
      </c>
      <c r="L419" s="3244"/>
      <c r="M419" s="3244"/>
      <c r="N419" s="3242" t="s">
        <v>3384</v>
      </c>
      <c r="O419" s="3239">
        <v>0</v>
      </c>
      <c r="P419" s="3242">
        <v>0</v>
      </c>
      <c r="Q419" s="3244"/>
      <c r="R419" s="3244"/>
      <c r="S419" s="3242">
        <v>0</v>
      </c>
      <c r="T419" s="3244"/>
      <c r="U419" s="3244"/>
      <c r="V419" s="3244"/>
      <c r="W419" s="3240">
        <v>0</v>
      </c>
      <c r="X419" s="3244"/>
      <c r="Y419" s="3244"/>
      <c r="Z419" s="3242" t="s">
        <v>3384</v>
      </c>
      <c r="AA419" s="3243">
        <v>0</v>
      </c>
      <c r="AB419" s="3242">
        <v>0</v>
      </c>
      <c r="AC419" s="3244"/>
      <c r="AD419" s="3244"/>
      <c r="AE419" s="3242">
        <v>0</v>
      </c>
      <c r="AF419" s="3259"/>
      <c r="AG419" s="3260"/>
      <c r="AH419" s="3250"/>
      <c r="AI419" s="3260"/>
      <c r="AJ419" s="3260"/>
      <c r="AK419" s="3260"/>
      <c r="AL419" s="3259"/>
      <c r="AM419" s="3260"/>
      <c r="AN419" s="3259"/>
      <c r="AO419" s="3260"/>
      <c r="AP419" s="3242">
        <v>0</v>
      </c>
      <c r="AQ419" s="3244"/>
      <c r="AR419" s="3244"/>
      <c r="AS419" s="3242" t="s">
        <v>3384</v>
      </c>
      <c r="AT419" s="3247">
        <f t="shared" si="47"/>
        <v>0</v>
      </c>
      <c r="AU419" s="3248">
        <f t="shared" si="48"/>
        <v>0</v>
      </c>
      <c r="AV419" s="3248">
        <v>0</v>
      </c>
      <c r="AW419" s="3247">
        <v>0</v>
      </c>
      <c r="AX419" s="3248">
        <v>0</v>
      </c>
      <c r="AY419" s="3248">
        <v>0</v>
      </c>
      <c r="AZ419" s="3247">
        <v>0</v>
      </c>
      <c r="BA419" s="3248">
        <v>0</v>
      </c>
      <c r="BB419" s="3248">
        <v>0</v>
      </c>
      <c r="BC419" s="3247">
        <v>0</v>
      </c>
      <c r="BD419" s="3248">
        <v>0</v>
      </c>
      <c r="BE419" s="3248">
        <v>0</v>
      </c>
      <c r="BF419" s="3248">
        <f t="shared" si="49"/>
        <v>0</v>
      </c>
      <c r="BG419" s="3248">
        <f t="shared" si="50"/>
        <v>0</v>
      </c>
      <c r="BH419" s="3249"/>
      <c r="BI419" s="3249"/>
    </row>
    <row r="420" spans="1:61" x14ac:dyDescent="0.3">
      <c r="A420" s="4197" t="s">
        <v>3384</v>
      </c>
      <c r="B420" s="3261"/>
      <c r="C420" s="3243">
        <v>0</v>
      </c>
      <c r="D420" s="3242">
        <v>0</v>
      </c>
      <c r="E420" s="3244"/>
      <c r="F420" s="3244"/>
      <c r="G420" s="3242">
        <v>0</v>
      </c>
      <c r="H420" s="3244"/>
      <c r="I420" s="3244"/>
      <c r="J420" s="3244"/>
      <c r="K420" s="3242">
        <v>0</v>
      </c>
      <c r="L420" s="3244"/>
      <c r="M420" s="3244"/>
      <c r="N420" s="3242" t="s">
        <v>3384</v>
      </c>
      <c r="O420" s="3239">
        <v>0</v>
      </c>
      <c r="P420" s="3242">
        <v>0</v>
      </c>
      <c r="Q420" s="3244"/>
      <c r="R420" s="3244"/>
      <c r="S420" s="3242">
        <v>0</v>
      </c>
      <c r="T420" s="3244"/>
      <c r="U420" s="3244"/>
      <c r="V420" s="3244"/>
      <c r="W420" s="3240">
        <v>0</v>
      </c>
      <c r="X420" s="3244"/>
      <c r="Y420" s="3244"/>
      <c r="Z420" s="3242" t="s">
        <v>3384</v>
      </c>
      <c r="AA420" s="3243">
        <v>0</v>
      </c>
      <c r="AB420" s="3242">
        <v>0</v>
      </c>
      <c r="AC420" s="3244"/>
      <c r="AD420" s="3244"/>
      <c r="AE420" s="3242">
        <v>0</v>
      </c>
      <c r="AF420" s="3259"/>
      <c r="AG420" s="3260"/>
      <c r="AH420" s="3250"/>
      <c r="AI420" s="3260"/>
      <c r="AJ420" s="3260"/>
      <c r="AK420" s="3260"/>
      <c r="AL420" s="3259"/>
      <c r="AM420" s="3260"/>
      <c r="AN420" s="3259"/>
      <c r="AO420" s="3260"/>
      <c r="AP420" s="3242">
        <v>0</v>
      </c>
      <c r="AQ420" s="3244"/>
      <c r="AR420" s="3244"/>
      <c r="AS420" s="3242" t="s">
        <v>3384</v>
      </c>
      <c r="AT420" s="3247">
        <f t="shared" si="47"/>
        <v>0</v>
      </c>
      <c r="AU420" s="3248">
        <f t="shared" si="48"/>
        <v>0</v>
      </c>
      <c r="AV420" s="3248">
        <v>0</v>
      </c>
      <c r="AW420" s="3247">
        <v>0</v>
      </c>
      <c r="AX420" s="3248">
        <v>0</v>
      </c>
      <c r="AY420" s="3248">
        <v>0</v>
      </c>
      <c r="AZ420" s="3247">
        <v>0</v>
      </c>
      <c r="BA420" s="3248">
        <v>0</v>
      </c>
      <c r="BB420" s="3248">
        <v>0</v>
      </c>
      <c r="BC420" s="3247">
        <v>0</v>
      </c>
      <c r="BD420" s="3248">
        <v>0</v>
      </c>
      <c r="BE420" s="3248">
        <v>0</v>
      </c>
      <c r="BF420" s="3248">
        <f t="shared" si="49"/>
        <v>0</v>
      </c>
      <c r="BG420" s="3248">
        <f t="shared" si="50"/>
        <v>0</v>
      </c>
      <c r="BH420" s="3249"/>
      <c r="BI420" s="3249"/>
    </row>
    <row r="421" spans="1:61" x14ac:dyDescent="0.3">
      <c r="A421" s="4197" t="s">
        <v>3384</v>
      </c>
      <c r="B421" s="3261"/>
      <c r="C421" s="3243">
        <v>0</v>
      </c>
      <c r="D421" s="3242">
        <v>0</v>
      </c>
      <c r="E421" s="3244"/>
      <c r="F421" s="3244"/>
      <c r="G421" s="3242">
        <v>0</v>
      </c>
      <c r="H421" s="3244"/>
      <c r="I421" s="3244"/>
      <c r="J421" s="3244"/>
      <c r="K421" s="3242">
        <v>0</v>
      </c>
      <c r="L421" s="3244"/>
      <c r="M421" s="3244"/>
      <c r="N421" s="3242" t="s">
        <v>3384</v>
      </c>
      <c r="O421" s="3239">
        <v>0</v>
      </c>
      <c r="P421" s="3242">
        <v>0</v>
      </c>
      <c r="Q421" s="3244"/>
      <c r="R421" s="3244"/>
      <c r="S421" s="3242">
        <v>0</v>
      </c>
      <c r="T421" s="3244"/>
      <c r="U421" s="3244"/>
      <c r="V421" s="3244"/>
      <c r="W421" s="3240">
        <v>0</v>
      </c>
      <c r="X421" s="3244"/>
      <c r="Y421" s="3244"/>
      <c r="Z421" s="3242" t="s">
        <v>3384</v>
      </c>
      <c r="AA421" s="3243">
        <v>0</v>
      </c>
      <c r="AB421" s="3242">
        <v>0</v>
      </c>
      <c r="AC421" s="3244"/>
      <c r="AD421" s="3244"/>
      <c r="AE421" s="3242">
        <v>0</v>
      </c>
      <c r="AF421" s="3259"/>
      <c r="AG421" s="3260"/>
      <c r="AH421" s="3250"/>
      <c r="AI421" s="3260"/>
      <c r="AJ421" s="3260"/>
      <c r="AK421" s="3260"/>
      <c r="AL421" s="3259"/>
      <c r="AM421" s="3260"/>
      <c r="AN421" s="3259"/>
      <c r="AO421" s="3260"/>
      <c r="AP421" s="3242">
        <v>0</v>
      </c>
      <c r="AQ421" s="3244"/>
      <c r="AR421" s="3244"/>
      <c r="AS421" s="3242" t="s">
        <v>3384</v>
      </c>
      <c r="AT421" s="3247">
        <f t="shared" si="47"/>
        <v>0</v>
      </c>
      <c r="AU421" s="3248">
        <f t="shared" si="48"/>
        <v>0</v>
      </c>
      <c r="AV421" s="3248">
        <v>0</v>
      </c>
      <c r="AW421" s="3247">
        <v>0</v>
      </c>
      <c r="AX421" s="3248">
        <v>0</v>
      </c>
      <c r="AY421" s="3248">
        <v>0</v>
      </c>
      <c r="AZ421" s="3247">
        <v>0</v>
      </c>
      <c r="BA421" s="3248">
        <v>0</v>
      </c>
      <c r="BB421" s="3248">
        <v>0</v>
      </c>
      <c r="BC421" s="3247">
        <v>0</v>
      </c>
      <c r="BD421" s="3248">
        <v>0</v>
      </c>
      <c r="BE421" s="3248">
        <v>0</v>
      </c>
      <c r="BF421" s="3248">
        <f t="shared" si="49"/>
        <v>0</v>
      </c>
      <c r="BG421" s="3248">
        <f t="shared" si="50"/>
        <v>0</v>
      </c>
      <c r="BH421" s="3249"/>
      <c r="BI421" s="3249"/>
    </row>
    <row r="422" spans="1:61" x14ac:dyDescent="0.3">
      <c r="A422" s="4197" t="s">
        <v>3384</v>
      </c>
      <c r="B422" s="3261"/>
      <c r="C422" s="3243">
        <v>0</v>
      </c>
      <c r="D422" s="3242">
        <v>0</v>
      </c>
      <c r="E422" s="3244"/>
      <c r="F422" s="3244"/>
      <c r="G422" s="3242">
        <v>0</v>
      </c>
      <c r="H422" s="3244"/>
      <c r="I422" s="3244"/>
      <c r="J422" s="3244"/>
      <c r="K422" s="3242">
        <v>0</v>
      </c>
      <c r="L422" s="3244"/>
      <c r="M422" s="3244"/>
      <c r="N422" s="3242" t="s">
        <v>3384</v>
      </c>
      <c r="O422" s="3239">
        <v>0</v>
      </c>
      <c r="P422" s="3242">
        <v>0</v>
      </c>
      <c r="Q422" s="3244"/>
      <c r="R422" s="3244"/>
      <c r="S422" s="3242">
        <v>0</v>
      </c>
      <c r="T422" s="3244"/>
      <c r="U422" s="3244"/>
      <c r="V422" s="3244"/>
      <c r="W422" s="3240">
        <v>0</v>
      </c>
      <c r="X422" s="3244"/>
      <c r="Y422" s="3244"/>
      <c r="Z422" s="3242" t="s">
        <v>3384</v>
      </c>
      <c r="AA422" s="3243">
        <v>0</v>
      </c>
      <c r="AB422" s="3242">
        <v>0</v>
      </c>
      <c r="AC422" s="3244"/>
      <c r="AD422" s="3244"/>
      <c r="AE422" s="3242">
        <v>0</v>
      </c>
      <c r="AF422" s="3259"/>
      <c r="AG422" s="3260"/>
      <c r="AH422" s="3250"/>
      <c r="AI422" s="3260"/>
      <c r="AJ422" s="3260"/>
      <c r="AK422" s="3260"/>
      <c r="AL422" s="3259"/>
      <c r="AM422" s="3260"/>
      <c r="AN422" s="3259"/>
      <c r="AO422" s="3260"/>
      <c r="AP422" s="3242">
        <v>0</v>
      </c>
      <c r="AQ422" s="3244"/>
      <c r="AR422" s="3244"/>
      <c r="AS422" s="3242" t="s">
        <v>3384</v>
      </c>
      <c r="AT422" s="3247">
        <f t="shared" si="47"/>
        <v>0</v>
      </c>
      <c r="AU422" s="3248">
        <f t="shared" si="48"/>
        <v>0</v>
      </c>
      <c r="AV422" s="3248">
        <v>0</v>
      </c>
      <c r="AW422" s="3247">
        <v>0</v>
      </c>
      <c r="AX422" s="3248">
        <v>0</v>
      </c>
      <c r="AY422" s="3248">
        <v>0</v>
      </c>
      <c r="AZ422" s="3247">
        <v>0</v>
      </c>
      <c r="BA422" s="3248">
        <v>0</v>
      </c>
      <c r="BB422" s="3248">
        <v>0</v>
      </c>
      <c r="BC422" s="3247">
        <v>0</v>
      </c>
      <c r="BD422" s="3248">
        <v>0</v>
      </c>
      <c r="BE422" s="3248">
        <v>0</v>
      </c>
      <c r="BF422" s="3248">
        <f t="shared" si="49"/>
        <v>0</v>
      </c>
      <c r="BG422" s="3248">
        <f t="shared" si="50"/>
        <v>0</v>
      </c>
      <c r="BH422" s="3249"/>
      <c r="BI422" s="3249"/>
    </row>
    <row r="423" spans="1:61" x14ac:dyDescent="0.3">
      <c r="A423" s="4197" t="s">
        <v>3384</v>
      </c>
      <c r="B423" s="3261"/>
      <c r="C423" s="3243">
        <v>0</v>
      </c>
      <c r="D423" s="3242">
        <v>0</v>
      </c>
      <c r="E423" s="3244"/>
      <c r="F423" s="3244"/>
      <c r="G423" s="3242">
        <v>0</v>
      </c>
      <c r="H423" s="3244"/>
      <c r="I423" s="3244"/>
      <c r="J423" s="3244"/>
      <c r="K423" s="3242">
        <v>0</v>
      </c>
      <c r="L423" s="3244"/>
      <c r="M423" s="3244"/>
      <c r="N423" s="3242" t="s">
        <v>3384</v>
      </c>
      <c r="O423" s="3239">
        <v>0</v>
      </c>
      <c r="P423" s="3242">
        <v>0</v>
      </c>
      <c r="Q423" s="3244"/>
      <c r="R423" s="3244"/>
      <c r="S423" s="3242">
        <v>0</v>
      </c>
      <c r="T423" s="3244"/>
      <c r="U423" s="3244"/>
      <c r="V423" s="3244"/>
      <c r="W423" s="3240">
        <v>0</v>
      </c>
      <c r="X423" s="3244"/>
      <c r="Y423" s="3244"/>
      <c r="Z423" s="3242" t="s">
        <v>3384</v>
      </c>
      <c r="AA423" s="3243">
        <v>0</v>
      </c>
      <c r="AB423" s="3242">
        <v>0</v>
      </c>
      <c r="AC423" s="3244"/>
      <c r="AD423" s="3244"/>
      <c r="AE423" s="3242">
        <v>0</v>
      </c>
      <c r="AF423" s="3259"/>
      <c r="AG423" s="3260"/>
      <c r="AH423" s="3250"/>
      <c r="AI423" s="3260"/>
      <c r="AJ423" s="3260"/>
      <c r="AK423" s="3260"/>
      <c r="AL423" s="3259"/>
      <c r="AM423" s="3260"/>
      <c r="AN423" s="3259"/>
      <c r="AO423" s="3260"/>
      <c r="AP423" s="3242">
        <v>0</v>
      </c>
      <c r="AQ423" s="3244"/>
      <c r="AR423" s="3244"/>
      <c r="AS423" s="3242" t="s">
        <v>3384</v>
      </c>
      <c r="AT423" s="3247">
        <f t="shared" si="47"/>
        <v>0</v>
      </c>
      <c r="AU423" s="3248">
        <f t="shared" si="48"/>
        <v>0</v>
      </c>
      <c r="AV423" s="3248">
        <v>0</v>
      </c>
      <c r="AW423" s="3247">
        <v>0</v>
      </c>
      <c r="AX423" s="3248">
        <v>0</v>
      </c>
      <c r="AY423" s="3248">
        <v>0</v>
      </c>
      <c r="AZ423" s="3247">
        <v>0</v>
      </c>
      <c r="BA423" s="3248">
        <v>0</v>
      </c>
      <c r="BB423" s="3248">
        <v>0</v>
      </c>
      <c r="BC423" s="3247">
        <v>0</v>
      </c>
      <c r="BD423" s="3248">
        <v>0</v>
      </c>
      <c r="BE423" s="3248">
        <v>0</v>
      </c>
      <c r="BF423" s="3248">
        <f t="shared" si="49"/>
        <v>0</v>
      </c>
      <c r="BG423" s="3248">
        <f t="shared" si="50"/>
        <v>0</v>
      </c>
      <c r="BH423" s="3249"/>
      <c r="BI423" s="3249"/>
    </row>
    <row r="424" spans="1:61" x14ac:dyDescent="0.3">
      <c r="A424" s="4197" t="s">
        <v>3384</v>
      </c>
      <c r="B424" s="3261"/>
      <c r="C424" s="3243">
        <v>0</v>
      </c>
      <c r="D424" s="3242">
        <v>0</v>
      </c>
      <c r="E424" s="3244"/>
      <c r="F424" s="3244"/>
      <c r="G424" s="3242">
        <v>0</v>
      </c>
      <c r="H424" s="3244"/>
      <c r="I424" s="3244"/>
      <c r="J424" s="3244"/>
      <c r="K424" s="3242">
        <v>0</v>
      </c>
      <c r="L424" s="3244"/>
      <c r="M424" s="3244"/>
      <c r="N424" s="3242" t="s">
        <v>3384</v>
      </c>
      <c r="O424" s="3239">
        <v>0</v>
      </c>
      <c r="P424" s="3242">
        <v>0</v>
      </c>
      <c r="Q424" s="3244"/>
      <c r="R424" s="3244"/>
      <c r="S424" s="3242">
        <v>0</v>
      </c>
      <c r="T424" s="3244"/>
      <c r="U424" s="3244"/>
      <c r="V424" s="3244"/>
      <c r="W424" s="3240">
        <v>0</v>
      </c>
      <c r="X424" s="3244"/>
      <c r="Y424" s="3244"/>
      <c r="Z424" s="3242" t="s">
        <v>3384</v>
      </c>
      <c r="AA424" s="3243">
        <v>0</v>
      </c>
      <c r="AB424" s="3242">
        <v>0</v>
      </c>
      <c r="AC424" s="3244"/>
      <c r="AD424" s="3244"/>
      <c r="AE424" s="3242">
        <v>0</v>
      </c>
      <c r="AF424" s="3259"/>
      <c r="AG424" s="3260"/>
      <c r="AH424" s="3250"/>
      <c r="AI424" s="3260"/>
      <c r="AJ424" s="3260"/>
      <c r="AK424" s="3260"/>
      <c r="AL424" s="3259"/>
      <c r="AM424" s="3260"/>
      <c r="AN424" s="3259"/>
      <c r="AO424" s="3260"/>
      <c r="AP424" s="3242">
        <v>0</v>
      </c>
      <c r="AQ424" s="3244"/>
      <c r="AR424" s="3244"/>
      <c r="AS424" s="3242" t="s">
        <v>3384</v>
      </c>
      <c r="AT424" s="3247">
        <f t="shared" si="47"/>
        <v>0</v>
      </c>
      <c r="AU424" s="3248">
        <f t="shared" si="48"/>
        <v>0</v>
      </c>
      <c r="AV424" s="3248">
        <v>0</v>
      </c>
      <c r="AW424" s="3247">
        <v>0</v>
      </c>
      <c r="AX424" s="3248">
        <v>0</v>
      </c>
      <c r="AY424" s="3248">
        <v>0</v>
      </c>
      <c r="AZ424" s="3247">
        <v>0</v>
      </c>
      <c r="BA424" s="3248">
        <v>0</v>
      </c>
      <c r="BB424" s="3248">
        <v>0</v>
      </c>
      <c r="BC424" s="3247">
        <v>0</v>
      </c>
      <c r="BD424" s="3248">
        <v>0</v>
      </c>
      <c r="BE424" s="3248">
        <v>0</v>
      </c>
      <c r="BF424" s="3248">
        <f t="shared" si="49"/>
        <v>0</v>
      </c>
      <c r="BG424" s="3248">
        <f t="shared" si="50"/>
        <v>0</v>
      </c>
      <c r="BH424" s="3249"/>
      <c r="BI424" s="3249"/>
    </row>
    <row r="425" spans="1:61" x14ac:dyDescent="0.3">
      <c r="A425" s="4197" t="s">
        <v>3384</v>
      </c>
      <c r="B425" s="3261"/>
      <c r="C425" s="3243">
        <v>0</v>
      </c>
      <c r="D425" s="3242">
        <v>0</v>
      </c>
      <c r="E425" s="3244"/>
      <c r="F425" s="3244"/>
      <c r="G425" s="3242">
        <v>0</v>
      </c>
      <c r="H425" s="3244"/>
      <c r="I425" s="3244"/>
      <c r="J425" s="3244"/>
      <c r="K425" s="3242">
        <v>0</v>
      </c>
      <c r="L425" s="3244"/>
      <c r="M425" s="3244"/>
      <c r="N425" s="3242" t="s">
        <v>3384</v>
      </c>
      <c r="O425" s="3239">
        <v>0</v>
      </c>
      <c r="P425" s="3242">
        <v>0</v>
      </c>
      <c r="Q425" s="3244"/>
      <c r="R425" s="3244"/>
      <c r="S425" s="3242">
        <v>0</v>
      </c>
      <c r="T425" s="3244"/>
      <c r="U425" s="3244"/>
      <c r="V425" s="3244"/>
      <c r="W425" s="3240">
        <v>0</v>
      </c>
      <c r="X425" s="3244"/>
      <c r="Y425" s="3244"/>
      <c r="Z425" s="3242" t="s">
        <v>3384</v>
      </c>
      <c r="AA425" s="3243">
        <v>0</v>
      </c>
      <c r="AB425" s="3242">
        <v>0</v>
      </c>
      <c r="AC425" s="3244"/>
      <c r="AD425" s="3244"/>
      <c r="AE425" s="3242">
        <v>0</v>
      </c>
      <c r="AF425" s="3259"/>
      <c r="AG425" s="3260"/>
      <c r="AH425" s="3250"/>
      <c r="AI425" s="3260"/>
      <c r="AJ425" s="3260"/>
      <c r="AK425" s="3260"/>
      <c r="AL425" s="3259"/>
      <c r="AM425" s="3260"/>
      <c r="AN425" s="3259"/>
      <c r="AO425" s="3260"/>
      <c r="AP425" s="3242">
        <v>0</v>
      </c>
      <c r="AQ425" s="3244"/>
      <c r="AR425" s="3244"/>
      <c r="AS425" s="3242" t="s">
        <v>3384</v>
      </c>
      <c r="AT425" s="3247">
        <f t="shared" si="47"/>
        <v>0</v>
      </c>
      <c r="AU425" s="3248">
        <f t="shared" si="48"/>
        <v>0</v>
      </c>
      <c r="AV425" s="3248">
        <v>0</v>
      </c>
      <c r="AW425" s="3247">
        <v>0</v>
      </c>
      <c r="AX425" s="3248">
        <v>0</v>
      </c>
      <c r="AY425" s="3248">
        <v>0</v>
      </c>
      <c r="AZ425" s="3247">
        <v>0</v>
      </c>
      <c r="BA425" s="3248">
        <v>0</v>
      </c>
      <c r="BB425" s="3248">
        <v>0</v>
      </c>
      <c r="BC425" s="3247">
        <v>0</v>
      </c>
      <c r="BD425" s="3248">
        <v>0</v>
      </c>
      <c r="BE425" s="3248">
        <v>0</v>
      </c>
      <c r="BF425" s="3248">
        <f t="shared" si="49"/>
        <v>0</v>
      </c>
      <c r="BG425" s="3248">
        <f t="shared" si="50"/>
        <v>0</v>
      </c>
      <c r="BH425" s="3249"/>
      <c r="BI425" s="3249"/>
    </row>
    <row r="426" spans="1:61" x14ac:dyDescent="0.3">
      <c r="A426" s="4197" t="s">
        <v>3384</v>
      </c>
      <c r="B426" s="3261"/>
      <c r="C426" s="3243">
        <v>0</v>
      </c>
      <c r="D426" s="3242">
        <v>0</v>
      </c>
      <c r="E426" s="3244"/>
      <c r="F426" s="3244"/>
      <c r="G426" s="3242">
        <v>0</v>
      </c>
      <c r="H426" s="3244"/>
      <c r="I426" s="3244"/>
      <c r="J426" s="3244"/>
      <c r="K426" s="3242">
        <v>0</v>
      </c>
      <c r="L426" s="3244"/>
      <c r="M426" s="3244"/>
      <c r="N426" s="3242" t="s">
        <v>3384</v>
      </c>
      <c r="O426" s="3239">
        <v>0</v>
      </c>
      <c r="P426" s="3242">
        <v>0</v>
      </c>
      <c r="Q426" s="3244"/>
      <c r="R426" s="3244"/>
      <c r="S426" s="3242">
        <v>0</v>
      </c>
      <c r="T426" s="3244"/>
      <c r="U426" s="3244"/>
      <c r="V426" s="3244"/>
      <c r="W426" s="3240">
        <v>0</v>
      </c>
      <c r="X426" s="3244"/>
      <c r="Y426" s="3244"/>
      <c r="Z426" s="3242" t="s">
        <v>3384</v>
      </c>
      <c r="AA426" s="3243">
        <v>0</v>
      </c>
      <c r="AB426" s="3242">
        <v>0</v>
      </c>
      <c r="AC426" s="3244"/>
      <c r="AD426" s="3244"/>
      <c r="AE426" s="3242">
        <v>0</v>
      </c>
      <c r="AF426" s="3259"/>
      <c r="AG426" s="3260"/>
      <c r="AH426" s="3250"/>
      <c r="AI426" s="3260"/>
      <c r="AJ426" s="3260"/>
      <c r="AK426" s="3260"/>
      <c r="AL426" s="3259"/>
      <c r="AM426" s="3260"/>
      <c r="AN426" s="3259"/>
      <c r="AO426" s="3260"/>
      <c r="AP426" s="3242">
        <v>0</v>
      </c>
      <c r="AQ426" s="3244"/>
      <c r="AR426" s="3244"/>
      <c r="AS426" s="3242" t="s">
        <v>3384</v>
      </c>
      <c r="AT426" s="3247">
        <f t="shared" si="47"/>
        <v>0</v>
      </c>
      <c r="AU426" s="3248">
        <f t="shared" si="48"/>
        <v>0</v>
      </c>
      <c r="AV426" s="3248">
        <v>0</v>
      </c>
      <c r="AW426" s="3247">
        <v>0</v>
      </c>
      <c r="AX426" s="3248">
        <v>0</v>
      </c>
      <c r="AY426" s="3248">
        <v>0</v>
      </c>
      <c r="AZ426" s="3247">
        <v>0</v>
      </c>
      <c r="BA426" s="3248">
        <v>0</v>
      </c>
      <c r="BB426" s="3248">
        <v>0</v>
      </c>
      <c r="BC426" s="3247">
        <v>0</v>
      </c>
      <c r="BD426" s="3248">
        <v>0</v>
      </c>
      <c r="BE426" s="3248">
        <v>0</v>
      </c>
      <c r="BF426" s="3248">
        <f t="shared" si="49"/>
        <v>0</v>
      </c>
      <c r="BG426" s="3248">
        <f t="shared" si="50"/>
        <v>0</v>
      </c>
      <c r="BH426" s="3249"/>
      <c r="BI426" s="3249"/>
    </row>
    <row r="427" spans="1:61" x14ac:dyDescent="0.3">
      <c r="A427" s="4197" t="s">
        <v>3384</v>
      </c>
      <c r="B427" s="3261"/>
      <c r="C427" s="3243">
        <v>0</v>
      </c>
      <c r="D427" s="3242">
        <v>0</v>
      </c>
      <c r="E427" s="3244"/>
      <c r="F427" s="3244"/>
      <c r="G427" s="3242">
        <v>0</v>
      </c>
      <c r="H427" s="3244"/>
      <c r="I427" s="3244"/>
      <c r="J427" s="3244"/>
      <c r="K427" s="3242">
        <v>0</v>
      </c>
      <c r="L427" s="3244"/>
      <c r="M427" s="3244"/>
      <c r="N427" s="3242" t="s">
        <v>3384</v>
      </c>
      <c r="O427" s="3239">
        <v>0</v>
      </c>
      <c r="P427" s="3242">
        <v>0</v>
      </c>
      <c r="Q427" s="3244"/>
      <c r="R427" s="3244"/>
      <c r="S427" s="3242">
        <v>0</v>
      </c>
      <c r="T427" s="3244"/>
      <c r="U427" s="3244"/>
      <c r="V427" s="3244"/>
      <c r="W427" s="3240">
        <v>0</v>
      </c>
      <c r="X427" s="3244"/>
      <c r="Y427" s="3244"/>
      <c r="Z427" s="3242" t="s">
        <v>3384</v>
      </c>
      <c r="AA427" s="3243">
        <v>0</v>
      </c>
      <c r="AB427" s="3242">
        <v>0</v>
      </c>
      <c r="AC427" s="3244"/>
      <c r="AD427" s="3244"/>
      <c r="AE427" s="3242">
        <v>0</v>
      </c>
      <c r="AF427" s="3259"/>
      <c r="AG427" s="3260"/>
      <c r="AH427" s="3250"/>
      <c r="AI427" s="3260"/>
      <c r="AJ427" s="3260"/>
      <c r="AK427" s="3260"/>
      <c r="AL427" s="3259"/>
      <c r="AM427" s="3260"/>
      <c r="AN427" s="3259"/>
      <c r="AO427" s="3260"/>
      <c r="AP427" s="3242">
        <v>0</v>
      </c>
      <c r="AQ427" s="3244"/>
      <c r="AR427" s="3244"/>
      <c r="AS427" s="3242" t="s">
        <v>3384</v>
      </c>
      <c r="AT427" s="3247">
        <f t="shared" si="47"/>
        <v>0</v>
      </c>
      <c r="AU427" s="3248">
        <f t="shared" si="48"/>
        <v>0</v>
      </c>
      <c r="AV427" s="3248">
        <v>0</v>
      </c>
      <c r="AW427" s="3247">
        <v>0</v>
      </c>
      <c r="AX427" s="3248">
        <v>0</v>
      </c>
      <c r="AY427" s="3248">
        <v>0</v>
      </c>
      <c r="AZ427" s="3247">
        <v>0</v>
      </c>
      <c r="BA427" s="3248">
        <v>0</v>
      </c>
      <c r="BB427" s="3248">
        <v>0</v>
      </c>
      <c r="BC427" s="3247">
        <v>0</v>
      </c>
      <c r="BD427" s="3248">
        <v>0</v>
      </c>
      <c r="BE427" s="3248">
        <v>0</v>
      </c>
      <c r="BF427" s="3248">
        <f t="shared" si="49"/>
        <v>0</v>
      </c>
      <c r="BG427" s="3248">
        <f t="shared" si="50"/>
        <v>0</v>
      </c>
      <c r="BH427" s="3249"/>
      <c r="BI427" s="3249"/>
    </row>
    <row r="428" spans="1:61" x14ac:dyDescent="0.3">
      <c r="A428" s="4197" t="s">
        <v>3384</v>
      </c>
      <c r="B428" s="3261"/>
      <c r="C428" s="3243">
        <v>0</v>
      </c>
      <c r="D428" s="3242">
        <v>0</v>
      </c>
      <c r="E428" s="3244"/>
      <c r="F428" s="3244"/>
      <c r="G428" s="3242">
        <v>0</v>
      </c>
      <c r="H428" s="3244"/>
      <c r="I428" s="3244"/>
      <c r="J428" s="3244"/>
      <c r="K428" s="3242">
        <v>0</v>
      </c>
      <c r="L428" s="3244"/>
      <c r="M428" s="3244"/>
      <c r="N428" s="3242" t="s">
        <v>3384</v>
      </c>
      <c r="O428" s="3239">
        <v>0</v>
      </c>
      <c r="P428" s="3242">
        <v>0</v>
      </c>
      <c r="Q428" s="3244"/>
      <c r="R428" s="3244"/>
      <c r="S428" s="3242">
        <v>0</v>
      </c>
      <c r="T428" s="3244"/>
      <c r="U428" s="3244"/>
      <c r="V428" s="3244"/>
      <c r="W428" s="3240">
        <v>0</v>
      </c>
      <c r="X428" s="3244"/>
      <c r="Y428" s="3244"/>
      <c r="Z428" s="3242" t="s">
        <v>3384</v>
      </c>
      <c r="AA428" s="3243">
        <v>0</v>
      </c>
      <c r="AB428" s="3242">
        <v>0</v>
      </c>
      <c r="AC428" s="3244"/>
      <c r="AD428" s="3244"/>
      <c r="AE428" s="3242">
        <v>0</v>
      </c>
      <c r="AF428" s="3259"/>
      <c r="AG428" s="3260"/>
      <c r="AH428" s="3250"/>
      <c r="AI428" s="3260"/>
      <c r="AJ428" s="3260"/>
      <c r="AK428" s="3260"/>
      <c r="AL428" s="3259"/>
      <c r="AM428" s="3260"/>
      <c r="AN428" s="3259"/>
      <c r="AO428" s="3260"/>
      <c r="AP428" s="3242">
        <v>0</v>
      </c>
      <c r="AQ428" s="3244"/>
      <c r="AR428" s="3244"/>
      <c r="AS428" s="3242" t="s">
        <v>3384</v>
      </c>
      <c r="AT428" s="3247">
        <f t="shared" si="47"/>
        <v>0</v>
      </c>
      <c r="AU428" s="3248">
        <f t="shared" si="48"/>
        <v>0</v>
      </c>
      <c r="AV428" s="3248">
        <v>0</v>
      </c>
      <c r="AW428" s="3247">
        <v>0</v>
      </c>
      <c r="AX428" s="3248">
        <v>0</v>
      </c>
      <c r="AY428" s="3248">
        <v>0</v>
      </c>
      <c r="AZ428" s="3247">
        <v>0</v>
      </c>
      <c r="BA428" s="3248">
        <v>0</v>
      </c>
      <c r="BB428" s="3248">
        <v>0</v>
      </c>
      <c r="BC428" s="3247">
        <v>0</v>
      </c>
      <c r="BD428" s="3248">
        <v>0</v>
      </c>
      <c r="BE428" s="3248">
        <v>0</v>
      </c>
      <c r="BF428" s="3248">
        <f t="shared" si="49"/>
        <v>0</v>
      </c>
      <c r="BG428" s="3248">
        <f t="shared" si="50"/>
        <v>0</v>
      </c>
      <c r="BH428" s="3249"/>
      <c r="BI428" s="3249"/>
    </row>
    <row r="429" spans="1:61" x14ac:dyDescent="0.3">
      <c r="A429" s="4197" t="s">
        <v>3384</v>
      </c>
      <c r="B429" s="3261"/>
      <c r="C429" s="3243">
        <v>0</v>
      </c>
      <c r="D429" s="3242">
        <v>0</v>
      </c>
      <c r="E429" s="3244"/>
      <c r="F429" s="3244"/>
      <c r="G429" s="3242">
        <v>0</v>
      </c>
      <c r="H429" s="3244"/>
      <c r="I429" s="3244"/>
      <c r="J429" s="3244"/>
      <c r="K429" s="3242">
        <v>0</v>
      </c>
      <c r="L429" s="3244"/>
      <c r="M429" s="3244"/>
      <c r="N429" s="3242" t="s">
        <v>3384</v>
      </c>
      <c r="O429" s="3239">
        <v>0</v>
      </c>
      <c r="P429" s="3242">
        <v>0</v>
      </c>
      <c r="Q429" s="3244"/>
      <c r="R429" s="3244"/>
      <c r="S429" s="3242">
        <v>0</v>
      </c>
      <c r="T429" s="3244"/>
      <c r="U429" s="3244"/>
      <c r="V429" s="3244"/>
      <c r="W429" s="3240">
        <v>0</v>
      </c>
      <c r="X429" s="3244"/>
      <c r="Y429" s="3244"/>
      <c r="Z429" s="3242" t="s">
        <v>3384</v>
      </c>
      <c r="AA429" s="3243">
        <v>0</v>
      </c>
      <c r="AB429" s="3242">
        <v>0</v>
      </c>
      <c r="AC429" s="3244"/>
      <c r="AD429" s="3244"/>
      <c r="AE429" s="3242">
        <v>0</v>
      </c>
      <c r="AF429" s="3259"/>
      <c r="AG429" s="3260"/>
      <c r="AH429" s="3250"/>
      <c r="AI429" s="3260"/>
      <c r="AJ429" s="3260"/>
      <c r="AK429" s="3260"/>
      <c r="AL429" s="3259"/>
      <c r="AM429" s="3260"/>
      <c r="AN429" s="3259"/>
      <c r="AO429" s="3260"/>
      <c r="AP429" s="3242">
        <v>0</v>
      </c>
      <c r="AQ429" s="3244"/>
      <c r="AR429" s="3244"/>
      <c r="AS429" s="3242" t="s">
        <v>3384</v>
      </c>
      <c r="AT429" s="3247">
        <f t="shared" si="47"/>
        <v>0</v>
      </c>
      <c r="AU429" s="3248">
        <f t="shared" si="48"/>
        <v>0</v>
      </c>
      <c r="AV429" s="3248">
        <v>0</v>
      </c>
      <c r="AW429" s="3247">
        <v>0</v>
      </c>
      <c r="AX429" s="3248">
        <v>0</v>
      </c>
      <c r="AY429" s="3248">
        <v>0</v>
      </c>
      <c r="AZ429" s="3247">
        <v>0</v>
      </c>
      <c r="BA429" s="3248">
        <v>0</v>
      </c>
      <c r="BB429" s="3248">
        <v>0</v>
      </c>
      <c r="BC429" s="3247">
        <v>0</v>
      </c>
      <c r="BD429" s="3248">
        <v>0</v>
      </c>
      <c r="BE429" s="3248">
        <v>0</v>
      </c>
      <c r="BF429" s="3248">
        <f t="shared" si="49"/>
        <v>0</v>
      </c>
      <c r="BG429" s="3248">
        <f t="shared" si="50"/>
        <v>0</v>
      </c>
      <c r="BH429" s="3249"/>
      <c r="BI429" s="3249"/>
    </row>
    <row r="430" spans="1:61" x14ac:dyDescent="0.3">
      <c r="A430" s="4197" t="s">
        <v>3384</v>
      </c>
      <c r="B430" s="3261"/>
      <c r="C430" s="3243">
        <v>0</v>
      </c>
      <c r="D430" s="3242">
        <v>0</v>
      </c>
      <c r="E430" s="3244"/>
      <c r="F430" s="3244"/>
      <c r="G430" s="3242">
        <v>0</v>
      </c>
      <c r="H430" s="3244"/>
      <c r="I430" s="3244"/>
      <c r="J430" s="3244"/>
      <c r="K430" s="3242">
        <v>0</v>
      </c>
      <c r="L430" s="3244"/>
      <c r="M430" s="3244"/>
      <c r="N430" s="3242" t="s">
        <v>3384</v>
      </c>
      <c r="O430" s="3239">
        <v>0</v>
      </c>
      <c r="P430" s="3242">
        <v>0</v>
      </c>
      <c r="Q430" s="3244"/>
      <c r="R430" s="3244"/>
      <c r="S430" s="3242">
        <v>0</v>
      </c>
      <c r="T430" s="3244"/>
      <c r="U430" s="3244"/>
      <c r="V430" s="3244"/>
      <c r="W430" s="3240">
        <v>0</v>
      </c>
      <c r="X430" s="3244"/>
      <c r="Y430" s="3244"/>
      <c r="Z430" s="3242" t="s">
        <v>3384</v>
      </c>
      <c r="AA430" s="3243">
        <v>0</v>
      </c>
      <c r="AB430" s="3242">
        <v>0</v>
      </c>
      <c r="AC430" s="3244"/>
      <c r="AD430" s="3244"/>
      <c r="AE430" s="3242">
        <v>0</v>
      </c>
      <c r="AF430" s="3259"/>
      <c r="AG430" s="3260"/>
      <c r="AH430" s="3250"/>
      <c r="AI430" s="3260"/>
      <c r="AJ430" s="3260"/>
      <c r="AK430" s="3260"/>
      <c r="AL430" s="3259"/>
      <c r="AM430" s="3260"/>
      <c r="AN430" s="3259"/>
      <c r="AO430" s="3260"/>
      <c r="AP430" s="3242">
        <v>0</v>
      </c>
      <c r="AQ430" s="3244"/>
      <c r="AR430" s="3244"/>
      <c r="AS430" s="3242" t="s">
        <v>3384</v>
      </c>
      <c r="AT430" s="3247">
        <f t="shared" si="47"/>
        <v>0</v>
      </c>
      <c r="AU430" s="3248">
        <f t="shared" si="48"/>
        <v>0</v>
      </c>
      <c r="AV430" s="3248">
        <v>0</v>
      </c>
      <c r="AW430" s="3247">
        <v>0</v>
      </c>
      <c r="AX430" s="3248">
        <v>0</v>
      </c>
      <c r="AY430" s="3248">
        <v>0</v>
      </c>
      <c r="AZ430" s="3247">
        <v>0</v>
      </c>
      <c r="BA430" s="3248">
        <v>0</v>
      </c>
      <c r="BB430" s="3248">
        <v>0</v>
      </c>
      <c r="BC430" s="3247">
        <v>0</v>
      </c>
      <c r="BD430" s="3248">
        <v>0</v>
      </c>
      <c r="BE430" s="3248">
        <v>0</v>
      </c>
      <c r="BF430" s="3248">
        <f t="shared" si="49"/>
        <v>0</v>
      </c>
      <c r="BG430" s="3248">
        <f t="shared" si="50"/>
        <v>0</v>
      </c>
      <c r="BH430" s="3249"/>
      <c r="BI430" s="3249"/>
    </row>
    <row r="431" spans="1:61" x14ac:dyDescent="0.3">
      <c r="A431" s="4197" t="s">
        <v>3384</v>
      </c>
      <c r="B431" s="3261"/>
      <c r="C431" s="3243">
        <v>0</v>
      </c>
      <c r="D431" s="3242">
        <v>0</v>
      </c>
      <c r="E431" s="3244"/>
      <c r="F431" s="3244"/>
      <c r="G431" s="3242">
        <v>0</v>
      </c>
      <c r="H431" s="3244"/>
      <c r="I431" s="3244"/>
      <c r="J431" s="3244"/>
      <c r="K431" s="3242">
        <v>0</v>
      </c>
      <c r="L431" s="3244"/>
      <c r="M431" s="3244"/>
      <c r="N431" s="3242" t="s">
        <v>3384</v>
      </c>
      <c r="O431" s="3239">
        <v>0</v>
      </c>
      <c r="P431" s="3242">
        <v>0</v>
      </c>
      <c r="Q431" s="3244"/>
      <c r="R431" s="3244"/>
      <c r="S431" s="3242">
        <v>0</v>
      </c>
      <c r="T431" s="3244"/>
      <c r="U431" s="3244"/>
      <c r="V431" s="3244"/>
      <c r="W431" s="3240">
        <v>0</v>
      </c>
      <c r="X431" s="3244"/>
      <c r="Y431" s="3244"/>
      <c r="Z431" s="3242" t="s">
        <v>3384</v>
      </c>
      <c r="AA431" s="3243">
        <v>0</v>
      </c>
      <c r="AB431" s="3242">
        <v>0</v>
      </c>
      <c r="AC431" s="3244"/>
      <c r="AD431" s="3244"/>
      <c r="AE431" s="3242">
        <v>0</v>
      </c>
      <c r="AF431" s="3259"/>
      <c r="AG431" s="3260"/>
      <c r="AH431" s="3250"/>
      <c r="AI431" s="3260"/>
      <c r="AJ431" s="3260"/>
      <c r="AK431" s="3260"/>
      <c r="AL431" s="3259"/>
      <c r="AM431" s="3260"/>
      <c r="AN431" s="3259"/>
      <c r="AO431" s="3260"/>
      <c r="AP431" s="3242">
        <v>0</v>
      </c>
      <c r="AQ431" s="3244"/>
      <c r="AR431" s="3244"/>
      <c r="AS431" s="3242" t="s">
        <v>3384</v>
      </c>
      <c r="AT431" s="3247">
        <f t="shared" si="47"/>
        <v>0</v>
      </c>
      <c r="AU431" s="3248">
        <f t="shared" si="48"/>
        <v>0</v>
      </c>
      <c r="AV431" s="3248">
        <v>0</v>
      </c>
      <c r="AW431" s="3247">
        <v>0</v>
      </c>
      <c r="AX431" s="3248">
        <v>0</v>
      </c>
      <c r="AY431" s="3248">
        <v>0</v>
      </c>
      <c r="AZ431" s="3247">
        <v>0</v>
      </c>
      <c r="BA431" s="3248">
        <v>0</v>
      </c>
      <c r="BB431" s="3248">
        <v>0</v>
      </c>
      <c r="BC431" s="3247">
        <v>0</v>
      </c>
      <c r="BD431" s="3248">
        <v>0</v>
      </c>
      <c r="BE431" s="3248">
        <v>0</v>
      </c>
      <c r="BF431" s="3248">
        <f t="shared" si="49"/>
        <v>0</v>
      </c>
      <c r="BG431" s="3248">
        <f t="shared" si="50"/>
        <v>0</v>
      </c>
      <c r="BH431" s="3249"/>
      <c r="BI431" s="3249"/>
    </row>
    <row r="432" spans="1:61" x14ac:dyDescent="0.3">
      <c r="A432" s="4197" t="s">
        <v>3384</v>
      </c>
      <c r="B432" s="3261"/>
      <c r="C432" s="3243">
        <v>0</v>
      </c>
      <c r="D432" s="3242">
        <v>0</v>
      </c>
      <c r="E432" s="3244"/>
      <c r="F432" s="3244"/>
      <c r="G432" s="3242">
        <v>0</v>
      </c>
      <c r="H432" s="3244"/>
      <c r="I432" s="3244"/>
      <c r="J432" s="3244"/>
      <c r="K432" s="3242">
        <v>0</v>
      </c>
      <c r="L432" s="3244"/>
      <c r="M432" s="3244"/>
      <c r="N432" s="3242" t="s">
        <v>3384</v>
      </c>
      <c r="O432" s="3239">
        <v>0</v>
      </c>
      <c r="P432" s="3242">
        <v>0</v>
      </c>
      <c r="Q432" s="3244"/>
      <c r="R432" s="3244"/>
      <c r="S432" s="3242">
        <v>0</v>
      </c>
      <c r="T432" s="3244"/>
      <c r="U432" s="3244"/>
      <c r="V432" s="3244"/>
      <c r="W432" s="3240">
        <v>0</v>
      </c>
      <c r="X432" s="3244"/>
      <c r="Y432" s="3244"/>
      <c r="Z432" s="3242" t="s">
        <v>3384</v>
      </c>
      <c r="AA432" s="3243">
        <v>0</v>
      </c>
      <c r="AB432" s="3242">
        <v>0</v>
      </c>
      <c r="AC432" s="3244"/>
      <c r="AD432" s="3244"/>
      <c r="AE432" s="3242">
        <v>0</v>
      </c>
      <c r="AF432" s="3259"/>
      <c r="AG432" s="3260"/>
      <c r="AH432" s="3250"/>
      <c r="AI432" s="3260"/>
      <c r="AJ432" s="3260"/>
      <c r="AK432" s="3260"/>
      <c r="AL432" s="3259"/>
      <c r="AM432" s="3260"/>
      <c r="AN432" s="3259"/>
      <c r="AO432" s="3260"/>
      <c r="AP432" s="3242">
        <v>0</v>
      </c>
      <c r="AQ432" s="3244"/>
      <c r="AR432" s="3244"/>
      <c r="AS432" s="3242" t="s">
        <v>3384</v>
      </c>
      <c r="AT432" s="3247">
        <f t="shared" si="47"/>
        <v>0</v>
      </c>
      <c r="AU432" s="3248">
        <f t="shared" si="48"/>
        <v>0</v>
      </c>
      <c r="AV432" s="3248">
        <v>0</v>
      </c>
      <c r="AW432" s="3247">
        <v>0</v>
      </c>
      <c r="AX432" s="3248">
        <v>0</v>
      </c>
      <c r="AY432" s="3248">
        <v>0</v>
      </c>
      <c r="AZ432" s="3247">
        <v>0</v>
      </c>
      <c r="BA432" s="3248">
        <v>0</v>
      </c>
      <c r="BB432" s="3248">
        <v>0</v>
      </c>
      <c r="BC432" s="3247">
        <v>0</v>
      </c>
      <c r="BD432" s="3248">
        <v>0</v>
      </c>
      <c r="BE432" s="3248">
        <v>0</v>
      </c>
      <c r="BF432" s="3248">
        <f t="shared" si="49"/>
        <v>0</v>
      </c>
      <c r="BG432" s="3248">
        <f t="shared" si="50"/>
        <v>0</v>
      </c>
      <c r="BH432" s="3249"/>
      <c r="BI432" s="3249"/>
    </row>
    <row r="433" spans="1:61" x14ac:dyDescent="0.3">
      <c r="A433" s="4197" t="s">
        <v>3384</v>
      </c>
      <c r="B433" s="3261"/>
      <c r="C433" s="3243">
        <v>0</v>
      </c>
      <c r="D433" s="3242">
        <v>0</v>
      </c>
      <c r="E433" s="3244"/>
      <c r="F433" s="3244"/>
      <c r="G433" s="3242">
        <v>0</v>
      </c>
      <c r="H433" s="3244"/>
      <c r="I433" s="3244"/>
      <c r="J433" s="3244"/>
      <c r="K433" s="3242">
        <v>0</v>
      </c>
      <c r="L433" s="3244"/>
      <c r="M433" s="3244"/>
      <c r="N433" s="3242" t="s">
        <v>3384</v>
      </c>
      <c r="O433" s="3239">
        <v>0</v>
      </c>
      <c r="P433" s="3242">
        <v>0</v>
      </c>
      <c r="Q433" s="3244"/>
      <c r="R433" s="3244"/>
      <c r="S433" s="3242">
        <v>0</v>
      </c>
      <c r="T433" s="3244"/>
      <c r="U433" s="3244"/>
      <c r="V433" s="3244"/>
      <c r="W433" s="3240">
        <v>0</v>
      </c>
      <c r="X433" s="3244"/>
      <c r="Y433" s="3244"/>
      <c r="Z433" s="3242" t="s">
        <v>3384</v>
      </c>
      <c r="AA433" s="3243">
        <v>0</v>
      </c>
      <c r="AB433" s="3242">
        <v>0</v>
      </c>
      <c r="AC433" s="3244"/>
      <c r="AD433" s="3244"/>
      <c r="AE433" s="3242">
        <v>0</v>
      </c>
      <c r="AF433" s="3259"/>
      <c r="AG433" s="3260"/>
      <c r="AH433" s="3250"/>
      <c r="AI433" s="3260"/>
      <c r="AJ433" s="3260"/>
      <c r="AK433" s="3260"/>
      <c r="AL433" s="3259"/>
      <c r="AM433" s="3260"/>
      <c r="AN433" s="3259"/>
      <c r="AO433" s="3260"/>
      <c r="AP433" s="3242">
        <v>0</v>
      </c>
      <c r="AQ433" s="3244"/>
      <c r="AR433" s="3244"/>
      <c r="AS433" s="3242" t="s">
        <v>3384</v>
      </c>
      <c r="AT433" s="3247">
        <f t="shared" si="47"/>
        <v>0</v>
      </c>
      <c r="AU433" s="3248">
        <f t="shared" si="48"/>
        <v>0</v>
      </c>
      <c r="AV433" s="3248">
        <v>0</v>
      </c>
      <c r="AW433" s="3247">
        <v>0</v>
      </c>
      <c r="AX433" s="3248">
        <v>0</v>
      </c>
      <c r="AY433" s="3248">
        <v>0</v>
      </c>
      <c r="AZ433" s="3247">
        <v>0</v>
      </c>
      <c r="BA433" s="3248">
        <v>0</v>
      </c>
      <c r="BB433" s="3248">
        <v>0</v>
      </c>
      <c r="BC433" s="3247">
        <v>0</v>
      </c>
      <c r="BD433" s="3248">
        <v>0</v>
      </c>
      <c r="BE433" s="3248">
        <v>0</v>
      </c>
      <c r="BF433" s="3248">
        <f t="shared" si="49"/>
        <v>0</v>
      </c>
      <c r="BG433" s="3248">
        <f t="shared" si="50"/>
        <v>0</v>
      </c>
      <c r="BH433" s="3249"/>
      <c r="BI433" s="3249"/>
    </row>
    <row r="434" spans="1:61" x14ac:dyDescent="0.3">
      <c r="A434" s="4197" t="s">
        <v>3384</v>
      </c>
      <c r="B434" s="3261"/>
      <c r="C434" s="3243">
        <v>0</v>
      </c>
      <c r="D434" s="3242">
        <v>0</v>
      </c>
      <c r="E434" s="3244"/>
      <c r="F434" s="3244"/>
      <c r="G434" s="3242">
        <v>0</v>
      </c>
      <c r="H434" s="3244"/>
      <c r="I434" s="3244"/>
      <c r="J434" s="3244"/>
      <c r="K434" s="3242">
        <v>0</v>
      </c>
      <c r="L434" s="3244"/>
      <c r="M434" s="3244"/>
      <c r="N434" s="3242" t="s">
        <v>3384</v>
      </c>
      <c r="O434" s="3239">
        <v>0</v>
      </c>
      <c r="P434" s="3242">
        <v>0</v>
      </c>
      <c r="Q434" s="3244"/>
      <c r="R434" s="3244"/>
      <c r="S434" s="3242">
        <v>0</v>
      </c>
      <c r="T434" s="3244"/>
      <c r="U434" s="3244"/>
      <c r="V434" s="3244"/>
      <c r="W434" s="3240">
        <v>0</v>
      </c>
      <c r="X434" s="3244"/>
      <c r="Y434" s="3244"/>
      <c r="Z434" s="3242" t="s">
        <v>3384</v>
      </c>
      <c r="AA434" s="3243">
        <v>0</v>
      </c>
      <c r="AB434" s="3242">
        <v>0</v>
      </c>
      <c r="AC434" s="3244"/>
      <c r="AD434" s="3244"/>
      <c r="AE434" s="3242">
        <v>0</v>
      </c>
      <c r="AF434" s="3259"/>
      <c r="AG434" s="3260"/>
      <c r="AH434" s="3250"/>
      <c r="AI434" s="3260"/>
      <c r="AJ434" s="3260"/>
      <c r="AK434" s="3260"/>
      <c r="AL434" s="3259"/>
      <c r="AM434" s="3260"/>
      <c r="AN434" s="3259"/>
      <c r="AO434" s="3260"/>
      <c r="AP434" s="3242">
        <v>0</v>
      </c>
      <c r="AQ434" s="3244"/>
      <c r="AR434" s="3244"/>
      <c r="AS434" s="3242" t="s">
        <v>3384</v>
      </c>
      <c r="AT434" s="3247">
        <f t="shared" si="47"/>
        <v>0</v>
      </c>
      <c r="AU434" s="3248">
        <f t="shared" si="48"/>
        <v>0</v>
      </c>
      <c r="AV434" s="3248">
        <v>0</v>
      </c>
      <c r="AW434" s="3247">
        <v>0</v>
      </c>
      <c r="AX434" s="3248">
        <v>0</v>
      </c>
      <c r="AY434" s="3248">
        <v>0</v>
      </c>
      <c r="AZ434" s="3247">
        <v>0</v>
      </c>
      <c r="BA434" s="3248">
        <v>0</v>
      </c>
      <c r="BB434" s="3248">
        <v>0</v>
      </c>
      <c r="BC434" s="3247">
        <v>0</v>
      </c>
      <c r="BD434" s="3248">
        <v>0</v>
      </c>
      <c r="BE434" s="3248">
        <v>0</v>
      </c>
      <c r="BF434" s="3248">
        <f t="shared" si="49"/>
        <v>0</v>
      </c>
      <c r="BG434" s="3248">
        <f t="shared" si="50"/>
        <v>0</v>
      </c>
      <c r="BH434" s="3249"/>
      <c r="BI434" s="3249"/>
    </row>
    <row r="435" spans="1:61" x14ac:dyDescent="0.3">
      <c r="A435" s="4197" t="s">
        <v>3384</v>
      </c>
      <c r="B435" s="3261"/>
      <c r="C435" s="3243">
        <v>0</v>
      </c>
      <c r="D435" s="3242">
        <v>0</v>
      </c>
      <c r="E435" s="3244"/>
      <c r="F435" s="3244"/>
      <c r="G435" s="3242">
        <v>0</v>
      </c>
      <c r="H435" s="3244"/>
      <c r="I435" s="3244"/>
      <c r="J435" s="3244"/>
      <c r="K435" s="3242">
        <v>0</v>
      </c>
      <c r="L435" s="3244"/>
      <c r="M435" s="3244"/>
      <c r="N435" s="3242" t="s">
        <v>3384</v>
      </c>
      <c r="O435" s="3239">
        <v>0</v>
      </c>
      <c r="P435" s="3242">
        <v>0</v>
      </c>
      <c r="Q435" s="3244"/>
      <c r="R435" s="3244"/>
      <c r="S435" s="3242">
        <v>0</v>
      </c>
      <c r="T435" s="3244"/>
      <c r="U435" s="3244"/>
      <c r="V435" s="3244"/>
      <c r="W435" s="3240">
        <v>0</v>
      </c>
      <c r="X435" s="3244"/>
      <c r="Y435" s="3244"/>
      <c r="Z435" s="3242" t="s">
        <v>3384</v>
      </c>
      <c r="AA435" s="3243">
        <v>0</v>
      </c>
      <c r="AB435" s="3242">
        <v>0</v>
      </c>
      <c r="AC435" s="3244"/>
      <c r="AD435" s="3244"/>
      <c r="AE435" s="3242">
        <v>0</v>
      </c>
      <c r="AF435" s="3259"/>
      <c r="AG435" s="3260"/>
      <c r="AH435" s="3250"/>
      <c r="AI435" s="3260"/>
      <c r="AJ435" s="3260"/>
      <c r="AK435" s="3260"/>
      <c r="AL435" s="3259"/>
      <c r="AM435" s="3260"/>
      <c r="AN435" s="3259"/>
      <c r="AO435" s="3260"/>
      <c r="AP435" s="3242">
        <v>0</v>
      </c>
      <c r="AQ435" s="3244"/>
      <c r="AR435" s="3244"/>
      <c r="AS435" s="3242" t="s">
        <v>3384</v>
      </c>
      <c r="AT435" s="3247">
        <f t="shared" si="47"/>
        <v>0</v>
      </c>
      <c r="AU435" s="3248">
        <f t="shared" si="48"/>
        <v>0</v>
      </c>
      <c r="AV435" s="3248">
        <v>0</v>
      </c>
      <c r="AW435" s="3247">
        <v>0</v>
      </c>
      <c r="AX435" s="3248">
        <v>0</v>
      </c>
      <c r="AY435" s="3248">
        <v>0</v>
      </c>
      <c r="AZ435" s="3247">
        <v>0</v>
      </c>
      <c r="BA435" s="3248">
        <v>0</v>
      </c>
      <c r="BB435" s="3248">
        <v>0</v>
      </c>
      <c r="BC435" s="3247">
        <v>0</v>
      </c>
      <c r="BD435" s="3248">
        <v>0</v>
      </c>
      <c r="BE435" s="3248">
        <v>0</v>
      </c>
      <c r="BF435" s="3248">
        <f t="shared" si="49"/>
        <v>0</v>
      </c>
      <c r="BG435" s="3248">
        <f t="shared" si="50"/>
        <v>0</v>
      </c>
      <c r="BH435" s="3249"/>
      <c r="BI435" s="3249"/>
    </row>
    <row r="436" spans="1:61" x14ac:dyDescent="0.3">
      <c r="A436" s="4197" t="s">
        <v>3384</v>
      </c>
      <c r="B436" s="3261"/>
      <c r="C436" s="3243">
        <v>0</v>
      </c>
      <c r="D436" s="3242">
        <v>0</v>
      </c>
      <c r="E436" s="3244"/>
      <c r="F436" s="3244"/>
      <c r="G436" s="3242">
        <v>0</v>
      </c>
      <c r="H436" s="3244"/>
      <c r="I436" s="3244"/>
      <c r="J436" s="3244"/>
      <c r="K436" s="3242">
        <v>0</v>
      </c>
      <c r="L436" s="3244"/>
      <c r="M436" s="3244"/>
      <c r="N436" s="3242" t="s">
        <v>3384</v>
      </c>
      <c r="O436" s="3239">
        <v>0</v>
      </c>
      <c r="P436" s="3242">
        <v>0</v>
      </c>
      <c r="Q436" s="3244"/>
      <c r="R436" s="3244"/>
      <c r="S436" s="3242">
        <v>0</v>
      </c>
      <c r="T436" s="3244"/>
      <c r="U436" s="3244"/>
      <c r="V436" s="3244"/>
      <c r="W436" s="3240">
        <v>0</v>
      </c>
      <c r="X436" s="3244"/>
      <c r="Y436" s="3244"/>
      <c r="Z436" s="3242" t="s">
        <v>3384</v>
      </c>
      <c r="AA436" s="3243">
        <v>0</v>
      </c>
      <c r="AB436" s="3242">
        <v>0</v>
      </c>
      <c r="AC436" s="3244"/>
      <c r="AD436" s="3244"/>
      <c r="AE436" s="3242">
        <v>0</v>
      </c>
      <c r="AF436" s="3259"/>
      <c r="AG436" s="3260"/>
      <c r="AH436" s="3250"/>
      <c r="AI436" s="3260"/>
      <c r="AJ436" s="3260"/>
      <c r="AK436" s="3260"/>
      <c r="AL436" s="3259"/>
      <c r="AM436" s="3260"/>
      <c r="AN436" s="3259"/>
      <c r="AO436" s="3260"/>
      <c r="AP436" s="3242">
        <v>0</v>
      </c>
      <c r="AQ436" s="3244"/>
      <c r="AR436" s="3244"/>
      <c r="AS436" s="3242" t="s">
        <v>3384</v>
      </c>
      <c r="AT436" s="3247">
        <f t="shared" si="47"/>
        <v>0</v>
      </c>
      <c r="AU436" s="3248">
        <f t="shared" si="48"/>
        <v>0</v>
      </c>
      <c r="AV436" s="3248">
        <v>0</v>
      </c>
      <c r="AW436" s="3247">
        <v>0</v>
      </c>
      <c r="AX436" s="3248">
        <v>0</v>
      </c>
      <c r="AY436" s="3248">
        <v>0</v>
      </c>
      <c r="AZ436" s="3247">
        <v>0</v>
      </c>
      <c r="BA436" s="3248">
        <v>0</v>
      </c>
      <c r="BB436" s="3248">
        <v>0</v>
      </c>
      <c r="BC436" s="3247">
        <v>0</v>
      </c>
      <c r="BD436" s="3248">
        <v>0</v>
      </c>
      <c r="BE436" s="3248">
        <v>0</v>
      </c>
      <c r="BF436" s="3248">
        <f t="shared" si="49"/>
        <v>0</v>
      </c>
      <c r="BG436" s="3248">
        <f t="shared" si="50"/>
        <v>0</v>
      </c>
      <c r="BH436" s="3249"/>
      <c r="BI436" s="3249"/>
    </row>
    <row r="437" spans="1:61" x14ac:dyDescent="0.3">
      <c r="A437" s="4197" t="s">
        <v>3384</v>
      </c>
      <c r="B437" s="3261"/>
      <c r="C437" s="3243">
        <v>0</v>
      </c>
      <c r="D437" s="3242">
        <v>0</v>
      </c>
      <c r="E437" s="3244"/>
      <c r="F437" s="3244"/>
      <c r="G437" s="3242">
        <v>0</v>
      </c>
      <c r="H437" s="3244"/>
      <c r="I437" s="3244"/>
      <c r="J437" s="3244"/>
      <c r="K437" s="3242">
        <v>0</v>
      </c>
      <c r="L437" s="3244"/>
      <c r="M437" s="3244"/>
      <c r="N437" s="3242" t="s">
        <v>3384</v>
      </c>
      <c r="O437" s="3239">
        <v>0</v>
      </c>
      <c r="P437" s="3242">
        <v>0</v>
      </c>
      <c r="Q437" s="3244"/>
      <c r="R437" s="3244"/>
      <c r="S437" s="3242">
        <v>0</v>
      </c>
      <c r="T437" s="3244"/>
      <c r="U437" s="3244"/>
      <c r="V437" s="3244"/>
      <c r="W437" s="3240">
        <v>0</v>
      </c>
      <c r="X437" s="3244"/>
      <c r="Y437" s="3244"/>
      <c r="Z437" s="3242" t="s">
        <v>3384</v>
      </c>
      <c r="AA437" s="3243">
        <v>0</v>
      </c>
      <c r="AB437" s="3242">
        <v>0</v>
      </c>
      <c r="AC437" s="3244"/>
      <c r="AD437" s="3244"/>
      <c r="AE437" s="3242">
        <v>0</v>
      </c>
      <c r="AF437" s="3259"/>
      <c r="AG437" s="3260"/>
      <c r="AH437" s="3250"/>
      <c r="AI437" s="3260"/>
      <c r="AJ437" s="3260"/>
      <c r="AK437" s="3260"/>
      <c r="AL437" s="3259"/>
      <c r="AM437" s="3260"/>
      <c r="AN437" s="3259"/>
      <c r="AO437" s="3260"/>
      <c r="AP437" s="3242">
        <v>0</v>
      </c>
      <c r="AQ437" s="3244"/>
      <c r="AR437" s="3244"/>
      <c r="AS437" s="3242" t="s">
        <v>3384</v>
      </c>
      <c r="AT437" s="3247">
        <f t="shared" si="47"/>
        <v>0</v>
      </c>
      <c r="AU437" s="3248">
        <f t="shared" si="48"/>
        <v>0</v>
      </c>
      <c r="AV437" s="3248">
        <v>0</v>
      </c>
      <c r="AW437" s="3247">
        <v>0</v>
      </c>
      <c r="AX437" s="3248">
        <v>0</v>
      </c>
      <c r="AY437" s="3248">
        <v>0</v>
      </c>
      <c r="AZ437" s="3247">
        <v>0</v>
      </c>
      <c r="BA437" s="3248">
        <v>0</v>
      </c>
      <c r="BB437" s="3248">
        <v>0</v>
      </c>
      <c r="BC437" s="3247">
        <v>0</v>
      </c>
      <c r="BD437" s="3248">
        <v>0</v>
      </c>
      <c r="BE437" s="3248">
        <v>0</v>
      </c>
      <c r="BF437" s="3248">
        <f t="shared" si="49"/>
        <v>0</v>
      </c>
      <c r="BG437" s="3248">
        <f t="shared" si="50"/>
        <v>0</v>
      </c>
      <c r="BH437" s="3249"/>
      <c r="BI437" s="3249"/>
    </row>
    <row r="438" spans="1:61" x14ac:dyDescent="0.3">
      <c r="A438" s="4197" t="s">
        <v>3384</v>
      </c>
      <c r="B438" s="3261"/>
      <c r="C438" s="3243">
        <v>0</v>
      </c>
      <c r="D438" s="3242">
        <v>0</v>
      </c>
      <c r="E438" s="3244"/>
      <c r="F438" s="3244"/>
      <c r="G438" s="3242">
        <v>0</v>
      </c>
      <c r="H438" s="3244"/>
      <c r="I438" s="3244"/>
      <c r="J438" s="3244"/>
      <c r="K438" s="3242">
        <v>0</v>
      </c>
      <c r="L438" s="3244"/>
      <c r="M438" s="3244"/>
      <c r="N438" s="3242" t="s">
        <v>3384</v>
      </c>
      <c r="O438" s="3239">
        <v>0</v>
      </c>
      <c r="P438" s="3242">
        <v>0</v>
      </c>
      <c r="Q438" s="3244"/>
      <c r="R438" s="3244"/>
      <c r="S438" s="3242">
        <v>0</v>
      </c>
      <c r="T438" s="3244"/>
      <c r="U438" s="3244"/>
      <c r="V438" s="3244"/>
      <c r="W438" s="3240">
        <v>0</v>
      </c>
      <c r="X438" s="3244"/>
      <c r="Y438" s="3244"/>
      <c r="Z438" s="3242" t="s">
        <v>3384</v>
      </c>
      <c r="AA438" s="3243">
        <v>0</v>
      </c>
      <c r="AB438" s="3242">
        <v>0</v>
      </c>
      <c r="AC438" s="3244"/>
      <c r="AD438" s="3244"/>
      <c r="AE438" s="3242">
        <v>0</v>
      </c>
      <c r="AF438" s="3259"/>
      <c r="AG438" s="3260"/>
      <c r="AH438" s="3250"/>
      <c r="AI438" s="3260"/>
      <c r="AJ438" s="3260"/>
      <c r="AK438" s="3260"/>
      <c r="AL438" s="3259"/>
      <c r="AM438" s="3260"/>
      <c r="AN438" s="3259"/>
      <c r="AO438" s="3260"/>
      <c r="AP438" s="3242">
        <v>0</v>
      </c>
      <c r="AQ438" s="3244"/>
      <c r="AR438" s="3244"/>
      <c r="AS438" s="3242" t="s">
        <v>3384</v>
      </c>
      <c r="AT438" s="3247">
        <f t="shared" si="47"/>
        <v>0</v>
      </c>
      <c r="AU438" s="3248">
        <f t="shared" si="48"/>
        <v>0</v>
      </c>
      <c r="AV438" s="3248">
        <v>0</v>
      </c>
      <c r="AW438" s="3247">
        <v>0</v>
      </c>
      <c r="AX438" s="3248">
        <v>0</v>
      </c>
      <c r="AY438" s="3248">
        <v>0</v>
      </c>
      <c r="AZ438" s="3247">
        <v>0</v>
      </c>
      <c r="BA438" s="3248">
        <v>0</v>
      </c>
      <c r="BB438" s="3248">
        <v>0</v>
      </c>
      <c r="BC438" s="3247">
        <v>0</v>
      </c>
      <c r="BD438" s="3248">
        <v>0</v>
      </c>
      <c r="BE438" s="3248">
        <v>0</v>
      </c>
      <c r="BF438" s="3248">
        <f t="shared" si="49"/>
        <v>0</v>
      </c>
      <c r="BG438" s="3248">
        <f t="shared" si="50"/>
        <v>0</v>
      </c>
      <c r="BH438" s="3249"/>
      <c r="BI438" s="3249"/>
    </row>
    <row r="439" spans="1:61" x14ac:dyDescent="0.3">
      <c r="A439" s="4197" t="s">
        <v>3384</v>
      </c>
      <c r="B439" s="3261"/>
      <c r="C439" s="3243">
        <v>0</v>
      </c>
      <c r="D439" s="3242">
        <v>0</v>
      </c>
      <c r="E439" s="3244"/>
      <c r="F439" s="3244"/>
      <c r="G439" s="3242">
        <v>0</v>
      </c>
      <c r="H439" s="3244"/>
      <c r="I439" s="3244"/>
      <c r="J439" s="3244"/>
      <c r="K439" s="3242">
        <v>0</v>
      </c>
      <c r="L439" s="3244"/>
      <c r="M439" s="3244"/>
      <c r="N439" s="3242" t="s">
        <v>3384</v>
      </c>
      <c r="O439" s="3239">
        <v>0</v>
      </c>
      <c r="P439" s="3242">
        <v>0</v>
      </c>
      <c r="Q439" s="3244"/>
      <c r="R439" s="3244"/>
      <c r="S439" s="3242">
        <v>0</v>
      </c>
      <c r="T439" s="3244"/>
      <c r="U439" s="3244"/>
      <c r="V439" s="3244"/>
      <c r="W439" s="3240">
        <v>0</v>
      </c>
      <c r="X439" s="3244"/>
      <c r="Y439" s="3244"/>
      <c r="Z439" s="3242" t="s">
        <v>3384</v>
      </c>
      <c r="AA439" s="3243">
        <v>0</v>
      </c>
      <c r="AB439" s="3242">
        <v>0</v>
      </c>
      <c r="AC439" s="3244"/>
      <c r="AD439" s="3244"/>
      <c r="AE439" s="3242">
        <v>0</v>
      </c>
      <c r="AF439" s="3259"/>
      <c r="AG439" s="3260"/>
      <c r="AH439" s="3250"/>
      <c r="AI439" s="3260"/>
      <c r="AJ439" s="3260"/>
      <c r="AK439" s="3260"/>
      <c r="AL439" s="3259"/>
      <c r="AM439" s="3260"/>
      <c r="AN439" s="3259"/>
      <c r="AO439" s="3260"/>
      <c r="AP439" s="3242">
        <v>0</v>
      </c>
      <c r="AQ439" s="3244"/>
      <c r="AR439" s="3244"/>
      <c r="AS439" s="3242" t="s">
        <v>3384</v>
      </c>
      <c r="AT439" s="3247">
        <f t="shared" si="47"/>
        <v>0</v>
      </c>
      <c r="AU439" s="3248">
        <f t="shared" si="48"/>
        <v>0</v>
      </c>
      <c r="AV439" s="3248">
        <v>0</v>
      </c>
      <c r="AW439" s="3247">
        <v>0</v>
      </c>
      <c r="AX439" s="3248">
        <v>0</v>
      </c>
      <c r="AY439" s="3248">
        <v>0</v>
      </c>
      <c r="AZ439" s="3247">
        <v>0</v>
      </c>
      <c r="BA439" s="3248">
        <v>0</v>
      </c>
      <c r="BB439" s="3248">
        <v>0</v>
      </c>
      <c r="BC439" s="3247">
        <v>0</v>
      </c>
      <c r="BD439" s="3248">
        <v>0</v>
      </c>
      <c r="BE439" s="3248">
        <v>0</v>
      </c>
      <c r="BF439" s="3248">
        <f t="shared" si="49"/>
        <v>0</v>
      </c>
      <c r="BG439" s="3248">
        <f t="shared" si="50"/>
        <v>0</v>
      </c>
      <c r="BH439" s="3249"/>
      <c r="BI439" s="3249"/>
    </row>
    <row r="440" spans="1:61" x14ac:dyDescent="0.3">
      <c r="A440" s="4197" t="s">
        <v>3384</v>
      </c>
      <c r="B440" s="3261"/>
      <c r="C440" s="3243">
        <v>0</v>
      </c>
      <c r="D440" s="3242">
        <v>0</v>
      </c>
      <c r="E440" s="3244"/>
      <c r="F440" s="3244"/>
      <c r="G440" s="3242">
        <v>0</v>
      </c>
      <c r="H440" s="3244"/>
      <c r="I440" s="3244"/>
      <c r="J440" s="3244"/>
      <c r="K440" s="3242">
        <v>0</v>
      </c>
      <c r="L440" s="3244"/>
      <c r="M440" s="3244"/>
      <c r="N440" s="3242" t="s">
        <v>3384</v>
      </c>
      <c r="O440" s="3239">
        <v>0</v>
      </c>
      <c r="P440" s="3242">
        <v>0</v>
      </c>
      <c r="Q440" s="3244"/>
      <c r="R440" s="3244"/>
      <c r="S440" s="3242">
        <v>0</v>
      </c>
      <c r="T440" s="3244"/>
      <c r="U440" s="3244"/>
      <c r="V440" s="3244"/>
      <c r="W440" s="3240">
        <v>0</v>
      </c>
      <c r="X440" s="3244"/>
      <c r="Y440" s="3244"/>
      <c r="Z440" s="3242" t="s">
        <v>3384</v>
      </c>
      <c r="AA440" s="3243">
        <v>0</v>
      </c>
      <c r="AB440" s="3242">
        <v>0</v>
      </c>
      <c r="AC440" s="3244"/>
      <c r="AD440" s="3244"/>
      <c r="AE440" s="3242">
        <v>0</v>
      </c>
      <c r="AF440" s="3259"/>
      <c r="AG440" s="3260"/>
      <c r="AH440" s="3250"/>
      <c r="AI440" s="3260"/>
      <c r="AJ440" s="3260"/>
      <c r="AK440" s="3260"/>
      <c r="AL440" s="3259"/>
      <c r="AM440" s="3260"/>
      <c r="AN440" s="3259"/>
      <c r="AO440" s="3260"/>
      <c r="AP440" s="3242">
        <v>0</v>
      </c>
      <c r="AQ440" s="3244"/>
      <c r="AR440" s="3244"/>
      <c r="AS440" s="3242" t="s">
        <v>3384</v>
      </c>
      <c r="AT440" s="3247">
        <f t="shared" si="47"/>
        <v>0</v>
      </c>
      <c r="AU440" s="3248">
        <f t="shared" si="48"/>
        <v>0</v>
      </c>
      <c r="AV440" s="3248">
        <v>0</v>
      </c>
      <c r="AW440" s="3247">
        <v>0</v>
      </c>
      <c r="AX440" s="3248">
        <v>0</v>
      </c>
      <c r="AY440" s="3248">
        <v>0</v>
      </c>
      <c r="AZ440" s="3247">
        <v>0</v>
      </c>
      <c r="BA440" s="3248">
        <v>0</v>
      </c>
      <c r="BB440" s="3248">
        <v>0</v>
      </c>
      <c r="BC440" s="3247">
        <v>0</v>
      </c>
      <c r="BD440" s="3248">
        <v>0</v>
      </c>
      <c r="BE440" s="3248">
        <v>0</v>
      </c>
      <c r="BF440" s="3248">
        <f t="shared" si="49"/>
        <v>0</v>
      </c>
      <c r="BG440" s="3248">
        <f t="shared" si="50"/>
        <v>0</v>
      </c>
      <c r="BH440" s="3249"/>
      <c r="BI440" s="3249"/>
    </row>
    <row r="441" spans="1:61" x14ac:dyDescent="0.3">
      <c r="A441" s="4197" t="s">
        <v>3384</v>
      </c>
      <c r="B441" s="3261"/>
      <c r="C441" s="3243">
        <v>0</v>
      </c>
      <c r="D441" s="3242">
        <v>0</v>
      </c>
      <c r="E441" s="3244"/>
      <c r="F441" s="3244"/>
      <c r="G441" s="3242">
        <v>0</v>
      </c>
      <c r="H441" s="3244"/>
      <c r="I441" s="3244"/>
      <c r="J441" s="3244"/>
      <c r="K441" s="3242">
        <v>0</v>
      </c>
      <c r="L441" s="3244"/>
      <c r="M441" s="3244"/>
      <c r="N441" s="3242" t="s">
        <v>3384</v>
      </c>
      <c r="O441" s="3239">
        <v>0</v>
      </c>
      <c r="P441" s="3242">
        <v>0</v>
      </c>
      <c r="Q441" s="3244"/>
      <c r="R441" s="3244"/>
      <c r="S441" s="3242">
        <v>0</v>
      </c>
      <c r="T441" s="3244"/>
      <c r="U441" s="3244"/>
      <c r="V441" s="3244"/>
      <c r="W441" s="3240">
        <v>0</v>
      </c>
      <c r="X441" s="3244"/>
      <c r="Y441" s="3244"/>
      <c r="Z441" s="3242" t="s">
        <v>3384</v>
      </c>
      <c r="AA441" s="3243">
        <v>0</v>
      </c>
      <c r="AB441" s="3242">
        <v>0</v>
      </c>
      <c r="AC441" s="3244"/>
      <c r="AD441" s="3244"/>
      <c r="AE441" s="3242">
        <v>0</v>
      </c>
      <c r="AF441" s="3259"/>
      <c r="AG441" s="3260"/>
      <c r="AH441" s="3250"/>
      <c r="AI441" s="3260"/>
      <c r="AJ441" s="3260"/>
      <c r="AK441" s="3260"/>
      <c r="AL441" s="3259"/>
      <c r="AM441" s="3260"/>
      <c r="AN441" s="3259"/>
      <c r="AO441" s="3260"/>
      <c r="AP441" s="3242">
        <v>0</v>
      </c>
      <c r="AQ441" s="3244"/>
      <c r="AR441" s="3244"/>
      <c r="AS441" s="3242" t="s">
        <v>3384</v>
      </c>
      <c r="AT441" s="3247">
        <f t="shared" si="47"/>
        <v>0</v>
      </c>
      <c r="AU441" s="3248">
        <f t="shared" si="48"/>
        <v>0</v>
      </c>
      <c r="AV441" s="3248">
        <v>0</v>
      </c>
      <c r="AW441" s="3247">
        <v>0</v>
      </c>
      <c r="AX441" s="3248">
        <v>0</v>
      </c>
      <c r="AY441" s="3248">
        <v>0</v>
      </c>
      <c r="AZ441" s="3247">
        <v>0</v>
      </c>
      <c r="BA441" s="3248">
        <v>0</v>
      </c>
      <c r="BB441" s="3248">
        <v>0</v>
      </c>
      <c r="BC441" s="3247">
        <v>0</v>
      </c>
      <c r="BD441" s="3248">
        <v>0</v>
      </c>
      <c r="BE441" s="3248">
        <v>0</v>
      </c>
      <c r="BF441" s="3248">
        <f t="shared" si="49"/>
        <v>0</v>
      </c>
      <c r="BG441" s="3248">
        <f t="shared" si="50"/>
        <v>0</v>
      </c>
      <c r="BH441" s="3249"/>
      <c r="BI441" s="3249"/>
    </row>
    <row r="442" spans="1:61" x14ac:dyDescent="0.3">
      <c r="A442" s="4197" t="s">
        <v>3384</v>
      </c>
      <c r="B442" s="3261"/>
      <c r="C442" s="3243">
        <v>0</v>
      </c>
      <c r="D442" s="3242">
        <v>0</v>
      </c>
      <c r="E442" s="3244"/>
      <c r="F442" s="3244"/>
      <c r="G442" s="3242">
        <v>0</v>
      </c>
      <c r="H442" s="3244"/>
      <c r="I442" s="3244"/>
      <c r="J442" s="3244"/>
      <c r="K442" s="3242">
        <v>0</v>
      </c>
      <c r="L442" s="3244"/>
      <c r="M442" s="3244"/>
      <c r="N442" s="3242" t="s">
        <v>3384</v>
      </c>
      <c r="O442" s="3239">
        <v>0</v>
      </c>
      <c r="P442" s="3242">
        <v>0</v>
      </c>
      <c r="Q442" s="3244"/>
      <c r="R442" s="3244"/>
      <c r="S442" s="3242">
        <v>0</v>
      </c>
      <c r="T442" s="3244"/>
      <c r="U442" s="3244"/>
      <c r="V442" s="3244"/>
      <c r="W442" s="3240">
        <v>0</v>
      </c>
      <c r="X442" s="3244"/>
      <c r="Y442" s="3244"/>
      <c r="Z442" s="3242" t="s">
        <v>3384</v>
      </c>
      <c r="AA442" s="3243">
        <v>0</v>
      </c>
      <c r="AB442" s="3242">
        <v>0</v>
      </c>
      <c r="AC442" s="3244"/>
      <c r="AD442" s="3244"/>
      <c r="AE442" s="3242">
        <v>0</v>
      </c>
      <c r="AF442" s="3259"/>
      <c r="AG442" s="3260"/>
      <c r="AH442" s="3250"/>
      <c r="AI442" s="3260"/>
      <c r="AJ442" s="3260"/>
      <c r="AK442" s="3260"/>
      <c r="AL442" s="3259"/>
      <c r="AM442" s="3260"/>
      <c r="AN442" s="3259"/>
      <c r="AO442" s="3260"/>
      <c r="AP442" s="3242">
        <v>0</v>
      </c>
      <c r="AQ442" s="3244"/>
      <c r="AR442" s="3244"/>
      <c r="AS442" s="3242" t="s">
        <v>3384</v>
      </c>
      <c r="AT442" s="3247">
        <f t="shared" si="47"/>
        <v>0</v>
      </c>
      <c r="AU442" s="3248">
        <f t="shared" si="48"/>
        <v>0</v>
      </c>
      <c r="AV442" s="3248">
        <v>0</v>
      </c>
      <c r="AW442" s="3247">
        <v>0</v>
      </c>
      <c r="AX442" s="3248">
        <v>0</v>
      </c>
      <c r="AY442" s="3248">
        <v>0</v>
      </c>
      <c r="AZ442" s="3247">
        <v>0</v>
      </c>
      <c r="BA442" s="3248">
        <v>0</v>
      </c>
      <c r="BB442" s="3248">
        <v>0</v>
      </c>
      <c r="BC442" s="3247">
        <v>0</v>
      </c>
      <c r="BD442" s="3248">
        <v>0</v>
      </c>
      <c r="BE442" s="3248">
        <v>0</v>
      </c>
      <c r="BF442" s="3248">
        <f t="shared" si="49"/>
        <v>0</v>
      </c>
      <c r="BG442" s="3248">
        <f t="shared" si="50"/>
        <v>0</v>
      </c>
      <c r="BH442" s="3249"/>
      <c r="BI442" s="3249"/>
    </row>
    <row r="443" spans="1:61" x14ac:dyDescent="0.3">
      <c r="A443" s="4197" t="s">
        <v>3384</v>
      </c>
      <c r="B443" s="3261"/>
      <c r="C443" s="3243">
        <v>0</v>
      </c>
      <c r="D443" s="3242">
        <v>0</v>
      </c>
      <c r="E443" s="3244"/>
      <c r="F443" s="3244"/>
      <c r="G443" s="3242">
        <v>0</v>
      </c>
      <c r="H443" s="3244"/>
      <c r="I443" s="3244"/>
      <c r="J443" s="3244"/>
      <c r="K443" s="3242">
        <v>0</v>
      </c>
      <c r="L443" s="3244"/>
      <c r="M443" s="3244"/>
      <c r="N443" s="3242" t="s">
        <v>3384</v>
      </c>
      <c r="O443" s="3239">
        <v>0</v>
      </c>
      <c r="P443" s="3242">
        <v>0</v>
      </c>
      <c r="Q443" s="3244"/>
      <c r="R443" s="3244"/>
      <c r="S443" s="3242">
        <v>0</v>
      </c>
      <c r="T443" s="3244"/>
      <c r="U443" s="3244"/>
      <c r="V443" s="3244"/>
      <c r="W443" s="3240">
        <v>0</v>
      </c>
      <c r="X443" s="3244"/>
      <c r="Y443" s="3244"/>
      <c r="Z443" s="3242" t="s">
        <v>3384</v>
      </c>
      <c r="AA443" s="3243">
        <v>0</v>
      </c>
      <c r="AB443" s="3242">
        <v>0</v>
      </c>
      <c r="AC443" s="3244"/>
      <c r="AD443" s="3244"/>
      <c r="AE443" s="3242">
        <v>0</v>
      </c>
      <c r="AF443" s="3259"/>
      <c r="AG443" s="3260"/>
      <c r="AH443" s="3250"/>
      <c r="AI443" s="3260"/>
      <c r="AJ443" s="3260"/>
      <c r="AK443" s="3260"/>
      <c r="AL443" s="3259"/>
      <c r="AM443" s="3260"/>
      <c r="AN443" s="3259"/>
      <c r="AO443" s="3260"/>
      <c r="AP443" s="3242">
        <v>0</v>
      </c>
      <c r="AQ443" s="3244"/>
      <c r="AR443" s="3244"/>
      <c r="AS443" s="3242" t="s">
        <v>3384</v>
      </c>
      <c r="AT443" s="3247">
        <f t="shared" si="47"/>
        <v>0</v>
      </c>
      <c r="AU443" s="3248">
        <f t="shared" si="48"/>
        <v>0</v>
      </c>
      <c r="AV443" s="3248">
        <v>0</v>
      </c>
      <c r="AW443" s="3247">
        <v>0</v>
      </c>
      <c r="AX443" s="3248">
        <v>0</v>
      </c>
      <c r="AY443" s="3248">
        <v>0</v>
      </c>
      <c r="AZ443" s="3247">
        <v>0</v>
      </c>
      <c r="BA443" s="3248">
        <v>0</v>
      </c>
      <c r="BB443" s="3248">
        <v>0</v>
      </c>
      <c r="BC443" s="3247">
        <v>0</v>
      </c>
      <c r="BD443" s="3248">
        <v>0</v>
      </c>
      <c r="BE443" s="3248">
        <v>0</v>
      </c>
      <c r="BF443" s="3248">
        <f t="shared" si="49"/>
        <v>0</v>
      </c>
      <c r="BG443" s="3248">
        <f t="shared" si="50"/>
        <v>0</v>
      </c>
      <c r="BH443" s="3249"/>
      <c r="BI443" s="3249"/>
    </row>
    <row r="444" spans="1:61" x14ac:dyDescent="0.3">
      <c r="A444" s="4197" t="s">
        <v>3384</v>
      </c>
      <c r="B444" s="3261"/>
      <c r="C444" s="3243">
        <v>0</v>
      </c>
      <c r="D444" s="3242">
        <v>0</v>
      </c>
      <c r="E444" s="3244"/>
      <c r="F444" s="3244"/>
      <c r="G444" s="3242">
        <v>0</v>
      </c>
      <c r="H444" s="3244"/>
      <c r="I444" s="3244"/>
      <c r="J444" s="3244"/>
      <c r="K444" s="3242">
        <v>0</v>
      </c>
      <c r="L444" s="3244"/>
      <c r="M444" s="3244"/>
      <c r="N444" s="3242" t="s">
        <v>3384</v>
      </c>
      <c r="O444" s="3239">
        <v>0</v>
      </c>
      <c r="P444" s="3242">
        <v>0</v>
      </c>
      <c r="Q444" s="3244"/>
      <c r="R444" s="3244"/>
      <c r="S444" s="3242">
        <v>0</v>
      </c>
      <c r="T444" s="3244"/>
      <c r="U444" s="3244"/>
      <c r="V444" s="3244"/>
      <c r="W444" s="3240">
        <v>0</v>
      </c>
      <c r="X444" s="3244"/>
      <c r="Y444" s="3244"/>
      <c r="Z444" s="3242" t="s">
        <v>3384</v>
      </c>
      <c r="AA444" s="3243">
        <v>0</v>
      </c>
      <c r="AB444" s="3242">
        <v>0</v>
      </c>
      <c r="AC444" s="3244"/>
      <c r="AD444" s="3244"/>
      <c r="AE444" s="3242">
        <v>0</v>
      </c>
      <c r="AF444" s="3259"/>
      <c r="AG444" s="3260"/>
      <c r="AH444" s="3250"/>
      <c r="AI444" s="3260"/>
      <c r="AJ444" s="3260"/>
      <c r="AK444" s="3260"/>
      <c r="AL444" s="3259"/>
      <c r="AM444" s="3260"/>
      <c r="AN444" s="3259"/>
      <c r="AO444" s="3260"/>
      <c r="AP444" s="3242">
        <v>0</v>
      </c>
      <c r="AQ444" s="3244"/>
      <c r="AR444" s="3244"/>
      <c r="AS444" s="3242" t="s">
        <v>3384</v>
      </c>
      <c r="AT444" s="3247">
        <f t="shared" si="47"/>
        <v>0</v>
      </c>
      <c r="AU444" s="3248">
        <f t="shared" si="48"/>
        <v>0</v>
      </c>
      <c r="AV444" s="3248">
        <v>0</v>
      </c>
      <c r="AW444" s="3247">
        <v>0</v>
      </c>
      <c r="AX444" s="3248">
        <v>0</v>
      </c>
      <c r="AY444" s="3248">
        <v>0</v>
      </c>
      <c r="AZ444" s="3247">
        <v>0</v>
      </c>
      <c r="BA444" s="3248">
        <v>0</v>
      </c>
      <c r="BB444" s="3248">
        <v>0</v>
      </c>
      <c r="BC444" s="3247">
        <v>0</v>
      </c>
      <c r="BD444" s="3248">
        <v>0</v>
      </c>
      <c r="BE444" s="3248">
        <v>0</v>
      </c>
      <c r="BF444" s="3248">
        <f t="shared" si="49"/>
        <v>0</v>
      </c>
      <c r="BG444" s="3248">
        <f t="shared" si="50"/>
        <v>0</v>
      </c>
      <c r="BH444" s="3249"/>
      <c r="BI444" s="3249"/>
    </row>
    <row r="445" spans="1:61" x14ac:dyDescent="0.3">
      <c r="A445" s="4197" t="s">
        <v>3384</v>
      </c>
      <c r="B445" s="3261"/>
      <c r="C445" s="3243">
        <v>0</v>
      </c>
      <c r="D445" s="3242">
        <v>0</v>
      </c>
      <c r="E445" s="3244"/>
      <c r="F445" s="3244"/>
      <c r="G445" s="3242">
        <v>0</v>
      </c>
      <c r="H445" s="3244"/>
      <c r="I445" s="3244"/>
      <c r="J445" s="3244"/>
      <c r="K445" s="3242">
        <v>0</v>
      </c>
      <c r="L445" s="3244"/>
      <c r="M445" s="3244"/>
      <c r="N445" s="3242" t="s">
        <v>3384</v>
      </c>
      <c r="O445" s="3239">
        <v>0</v>
      </c>
      <c r="P445" s="3242">
        <v>0</v>
      </c>
      <c r="Q445" s="3244"/>
      <c r="R445" s="3244"/>
      <c r="S445" s="3242">
        <v>0</v>
      </c>
      <c r="T445" s="3244"/>
      <c r="U445" s="3244"/>
      <c r="V445" s="3244"/>
      <c r="W445" s="3240">
        <v>0</v>
      </c>
      <c r="X445" s="3244"/>
      <c r="Y445" s="3244"/>
      <c r="Z445" s="3242" t="s">
        <v>3384</v>
      </c>
      <c r="AA445" s="3243">
        <v>0</v>
      </c>
      <c r="AB445" s="3242">
        <v>0</v>
      </c>
      <c r="AC445" s="3244"/>
      <c r="AD445" s="3244"/>
      <c r="AE445" s="3242">
        <v>0</v>
      </c>
      <c r="AF445" s="3259"/>
      <c r="AG445" s="3260"/>
      <c r="AH445" s="3250"/>
      <c r="AI445" s="3260"/>
      <c r="AJ445" s="3260"/>
      <c r="AK445" s="3260"/>
      <c r="AL445" s="3259"/>
      <c r="AM445" s="3260"/>
      <c r="AN445" s="3259"/>
      <c r="AO445" s="3260"/>
      <c r="AP445" s="3242">
        <v>0</v>
      </c>
      <c r="AQ445" s="3244"/>
      <c r="AR445" s="3244"/>
      <c r="AS445" s="3242" t="s">
        <v>3384</v>
      </c>
      <c r="AT445" s="3247">
        <f t="shared" si="47"/>
        <v>0</v>
      </c>
      <c r="AU445" s="3248">
        <f t="shared" si="48"/>
        <v>0</v>
      </c>
      <c r="AV445" s="3248">
        <v>0</v>
      </c>
      <c r="AW445" s="3247">
        <v>0</v>
      </c>
      <c r="AX445" s="3248">
        <v>0</v>
      </c>
      <c r="AY445" s="3248">
        <v>0</v>
      </c>
      <c r="AZ445" s="3247">
        <v>0</v>
      </c>
      <c r="BA445" s="3248">
        <v>0</v>
      </c>
      <c r="BB445" s="3248">
        <v>0</v>
      </c>
      <c r="BC445" s="3247">
        <v>0</v>
      </c>
      <c r="BD445" s="3248">
        <v>0</v>
      </c>
      <c r="BE445" s="3248">
        <v>0</v>
      </c>
      <c r="BF445" s="3248">
        <f t="shared" si="49"/>
        <v>0</v>
      </c>
      <c r="BG445" s="3248">
        <f t="shared" si="50"/>
        <v>0</v>
      </c>
      <c r="BH445" s="3249"/>
      <c r="BI445" s="3249"/>
    </row>
    <row r="446" spans="1:61" x14ac:dyDescent="0.3">
      <c r="A446" s="4197" t="s">
        <v>3384</v>
      </c>
      <c r="B446" s="3261"/>
      <c r="C446" s="3243">
        <v>0</v>
      </c>
      <c r="D446" s="3242">
        <v>0</v>
      </c>
      <c r="E446" s="3244"/>
      <c r="F446" s="3244"/>
      <c r="G446" s="3242">
        <v>0</v>
      </c>
      <c r="H446" s="3244"/>
      <c r="I446" s="3244"/>
      <c r="J446" s="3244"/>
      <c r="K446" s="3242">
        <v>0</v>
      </c>
      <c r="L446" s="3244"/>
      <c r="M446" s="3244"/>
      <c r="N446" s="3242" t="s">
        <v>3384</v>
      </c>
      <c r="O446" s="3239">
        <v>0</v>
      </c>
      <c r="P446" s="3242">
        <v>0</v>
      </c>
      <c r="Q446" s="3244"/>
      <c r="R446" s="3244"/>
      <c r="S446" s="3242">
        <v>0</v>
      </c>
      <c r="T446" s="3244"/>
      <c r="U446" s="3244"/>
      <c r="V446" s="3244"/>
      <c r="W446" s="3240">
        <v>0</v>
      </c>
      <c r="X446" s="3244"/>
      <c r="Y446" s="3244"/>
      <c r="Z446" s="3242" t="s">
        <v>3384</v>
      </c>
      <c r="AA446" s="3243">
        <v>0</v>
      </c>
      <c r="AB446" s="3242">
        <v>0</v>
      </c>
      <c r="AC446" s="3244"/>
      <c r="AD446" s="3244"/>
      <c r="AE446" s="3242">
        <v>0</v>
      </c>
      <c r="AF446" s="3259"/>
      <c r="AG446" s="3260"/>
      <c r="AH446" s="3250"/>
      <c r="AI446" s="3260"/>
      <c r="AJ446" s="3260"/>
      <c r="AK446" s="3260"/>
      <c r="AL446" s="3259"/>
      <c r="AM446" s="3260"/>
      <c r="AN446" s="3259"/>
      <c r="AO446" s="3260"/>
      <c r="AP446" s="3242">
        <v>0</v>
      </c>
      <c r="AQ446" s="3244"/>
      <c r="AR446" s="3244"/>
      <c r="AS446" s="3242" t="s">
        <v>3384</v>
      </c>
      <c r="AT446" s="3247">
        <f t="shared" si="47"/>
        <v>0</v>
      </c>
      <c r="AU446" s="3248">
        <f t="shared" si="48"/>
        <v>0</v>
      </c>
      <c r="AV446" s="3248">
        <v>0</v>
      </c>
      <c r="AW446" s="3247">
        <v>0</v>
      </c>
      <c r="AX446" s="3248">
        <v>0</v>
      </c>
      <c r="AY446" s="3248">
        <v>0</v>
      </c>
      <c r="AZ446" s="3247">
        <v>0</v>
      </c>
      <c r="BA446" s="3248">
        <v>0</v>
      </c>
      <c r="BB446" s="3248">
        <v>0</v>
      </c>
      <c r="BC446" s="3247">
        <v>0</v>
      </c>
      <c r="BD446" s="3248">
        <v>0</v>
      </c>
      <c r="BE446" s="3248">
        <v>0</v>
      </c>
      <c r="BF446" s="3248">
        <f t="shared" si="49"/>
        <v>0</v>
      </c>
      <c r="BG446" s="3248">
        <f t="shared" si="50"/>
        <v>0</v>
      </c>
      <c r="BH446" s="3249"/>
      <c r="BI446" s="3249"/>
    </row>
    <row r="447" spans="1:61" x14ac:dyDescent="0.3">
      <c r="A447" s="4197" t="s">
        <v>3384</v>
      </c>
      <c r="B447" s="3261"/>
      <c r="C447" s="3243">
        <v>0</v>
      </c>
      <c r="D447" s="3242">
        <v>0</v>
      </c>
      <c r="E447" s="3244"/>
      <c r="F447" s="3244"/>
      <c r="G447" s="3242">
        <v>0</v>
      </c>
      <c r="H447" s="3244"/>
      <c r="I447" s="3244"/>
      <c r="J447" s="3244"/>
      <c r="K447" s="3242">
        <v>0</v>
      </c>
      <c r="L447" s="3244"/>
      <c r="M447" s="3244"/>
      <c r="N447" s="3242" t="s">
        <v>3384</v>
      </c>
      <c r="O447" s="3239">
        <v>0</v>
      </c>
      <c r="P447" s="3242">
        <v>0</v>
      </c>
      <c r="Q447" s="3244"/>
      <c r="R447" s="3244"/>
      <c r="S447" s="3242">
        <v>0</v>
      </c>
      <c r="T447" s="3244"/>
      <c r="U447" s="3244"/>
      <c r="V447" s="3244"/>
      <c r="W447" s="3240">
        <v>0</v>
      </c>
      <c r="X447" s="3244"/>
      <c r="Y447" s="3244"/>
      <c r="Z447" s="3242" t="s">
        <v>3384</v>
      </c>
      <c r="AA447" s="3243">
        <v>0</v>
      </c>
      <c r="AB447" s="3242">
        <v>0</v>
      </c>
      <c r="AC447" s="3244"/>
      <c r="AD447" s="3244"/>
      <c r="AE447" s="3242">
        <v>0</v>
      </c>
      <c r="AF447" s="3259"/>
      <c r="AG447" s="3260"/>
      <c r="AH447" s="3250"/>
      <c r="AI447" s="3260"/>
      <c r="AJ447" s="3260"/>
      <c r="AK447" s="3260"/>
      <c r="AL447" s="3259"/>
      <c r="AM447" s="3260"/>
      <c r="AN447" s="3259"/>
      <c r="AO447" s="3260"/>
      <c r="AP447" s="3242">
        <v>0</v>
      </c>
      <c r="AQ447" s="3244"/>
      <c r="AR447" s="3244"/>
      <c r="AS447" s="3242" t="s">
        <v>3384</v>
      </c>
      <c r="AT447" s="3247">
        <f t="shared" si="47"/>
        <v>0</v>
      </c>
      <c r="AU447" s="3248">
        <f t="shared" si="48"/>
        <v>0</v>
      </c>
      <c r="AV447" s="3248">
        <v>0</v>
      </c>
      <c r="AW447" s="3247">
        <v>0</v>
      </c>
      <c r="AX447" s="3248">
        <v>0</v>
      </c>
      <c r="AY447" s="3248">
        <v>0</v>
      </c>
      <c r="AZ447" s="3247">
        <v>0</v>
      </c>
      <c r="BA447" s="3248">
        <v>0</v>
      </c>
      <c r="BB447" s="3248">
        <v>0</v>
      </c>
      <c r="BC447" s="3247">
        <v>0</v>
      </c>
      <c r="BD447" s="3248">
        <v>0</v>
      </c>
      <c r="BE447" s="3248">
        <v>0</v>
      </c>
      <c r="BF447" s="3248">
        <f t="shared" si="49"/>
        <v>0</v>
      </c>
      <c r="BG447" s="3248">
        <f t="shared" si="50"/>
        <v>0</v>
      </c>
      <c r="BH447" s="3249"/>
      <c r="BI447" s="3249"/>
    </row>
    <row r="448" spans="1:61" x14ac:dyDescent="0.3">
      <c r="A448" s="4197" t="s">
        <v>3384</v>
      </c>
      <c r="B448" s="3261"/>
      <c r="C448" s="3243">
        <v>0</v>
      </c>
      <c r="D448" s="3242">
        <v>0</v>
      </c>
      <c r="E448" s="3244"/>
      <c r="F448" s="3244"/>
      <c r="G448" s="3242">
        <v>0</v>
      </c>
      <c r="H448" s="3244"/>
      <c r="I448" s="3244"/>
      <c r="J448" s="3244"/>
      <c r="K448" s="3242">
        <v>0</v>
      </c>
      <c r="L448" s="3244"/>
      <c r="M448" s="3244"/>
      <c r="N448" s="3242" t="s">
        <v>3384</v>
      </c>
      <c r="O448" s="3239">
        <v>0</v>
      </c>
      <c r="P448" s="3242">
        <v>0</v>
      </c>
      <c r="Q448" s="3244"/>
      <c r="R448" s="3244"/>
      <c r="S448" s="3242">
        <v>0</v>
      </c>
      <c r="T448" s="3244"/>
      <c r="U448" s="3244"/>
      <c r="V448" s="3244"/>
      <c r="W448" s="3240">
        <v>0</v>
      </c>
      <c r="X448" s="3244"/>
      <c r="Y448" s="3244"/>
      <c r="Z448" s="3242" t="s">
        <v>3384</v>
      </c>
      <c r="AA448" s="3243">
        <v>0</v>
      </c>
      <c r="AB448" s="3242">
        <v>0</v>
      </c>
      <c r="AC448" s="3244"/>
      <c r="AD448" s="3244"/>
      <c r="AE448" s="3242">
        <v>0</v>
      </c>
      <c r="AF448" s="3259"/>
      <c r="AG448" s="3260"/>
      <c r="AH448" s="3250"/>
      <c r="AI448" s="3260"/>
      <c r="AJ448" s="3260"/>
      <c r="AK448" s="3260"/>
      <c r="AL448" s="3259"/>
      <c r="AM448" s="3260"/>
      <c r="AN448" s="3259"/>
      <c r="AO448" s="3260"/>
      <c r="AP448" s="3242">
        <v>0</v>
      </c>
      <c r="AQ448" s="3244"/>
      <c r="AR448" s="3244"/>
      <c r="AS448" s="3242" t="s">
        <v>3384</v>
      </c>
      <c r="AT448" s="3247">
        <f t="shared" si="47"/>
        <v>0</v>
      </c>
      <c r="AU448" s="3248">
        <f t="shared" si="48"/>
        <v>0</v>
      </c>
      <c r="AV448" s="3248">
        <v>0</v>
      </c>
      <c r="AW448" s="3247">
        <v>0</v>
      </c>
      <c r="AX448" s="3248">
        <v>0</v>
      </c>
      <c r="AY448" s="3248">
        <v>0</v>
      </c>
      <c r="AZ448" s="3247">
        <v>0</v>
      </c>
      <c r="BA448" s="3248">
        <v>0</v>
      </c>
      <c r="BB448" s="3248">
        <v>0</v>
      </c>
      <c r="BC448" s="3247">
        <v>0</v>
      </c>
      <c r="BD448" s="3248">
        <v>0</v>
      </c>
      <c r="BE448" s="3248">
        <v>0</v>
      </c>
      <c r="BF448" s="3248">
        <f t="shared" si="49"/>
        <v>0</v>
      </c>
      <c r="BG448" s="3248">
        <f t="shared" si="50"/>
        <v>0</v>
      </c>
      <c r="BH448" s="3249"/>
      <c r="BI448" s="3249"/>
    </row>
    <row r="449" spans="1:61" x14ac:dyDescent="0.3">
      <c r="A449" s="4197" t="s">
        <v>3384</v>
      </c>
      <c r="B449" s="3261"/>
      <c r="C449" s="3243">
        <v>0</v>
      </c>
      <c r="D449" s="3242">
        <v>0</v>
      </c>
      <c r="E449" s="3244"/>
      <c r="F449" s="3244"/>
      <c r="G449" s="3242">
        <v>0</v>
      </c>
      <c r="H449" s="3244"/>
      <c r="I449" s="3244"/>
      <c r="J449" s="3244"/>
      <c r="K449" s="3242">
        <v>0</v>
      </c>
      <c r="L449" s="3244"/>
      <c r="M449" s="3244"/>
      <c r="N449" s="3242" t="s">
        <v>3384</v>
      </c>
      <c r="O449" s="3239">
        <v>0</v>
      </c>
      <c r="P449" s="3242">
        <v>0</v>
      </c>
      <c r="Q449" s="3244"/>
      <c r="R449" s="3244"/>
      <c r="S449" s="3242">
        <v>0</v>
      </c>
      <c r="T449" s="3244"/>
      <c r="U449" s="3244"/>
      <c r="V449" s="3244"/>
      <c r="W449" s="3240">
        <v>0</v>
      </c>
      <c r="X449" s="3244"/>
      <c r="Y449" s="3244"/>
      <c r="Z449" s="3242" t="s">
        <v>3384</v>
      </c>
      <c r="AA449" s="3243">
        <v>0</v>
      </c>
      <c r="AB449" s="3242">
        <v>0</v>
      </c>
      <c r="AC449" s="3244"/>
      <c r="AD449" s="3244"/>
      <c r="AE449" s="3242">
        <v>0</v>
      </c>
      <c r="AF449" s="3259"/>
      <c r="AG449" s="3260"/>
      <c r="AH449" s="3250"/>
      <c r="AI449" s="3260"/>
      <c r="AJ449" s="3260"/>
      <c r="AK449" s="3260"/>
      <c r="AL449" s="3259"/>
      <c r="AM449" s="3260"/>
      <c r="AN449" s="3259"/>
      <c r="AO449" s="3260"/>
      <c r="AP449" s="3242">
        <v>0</v>
      </c>
      <c r="AQ449" s="3244"/>
      <c r="AR449" s="3244"/>
      <c r="AS449" s="3242" t="s">
        <v>3384</v>
      </c>
      <c r="AT449" s="3247">
        <f t="shared" si="47"/>
        <v>0</v>
      </c>
      <c r="AU449" s="3248">
        <f t="shared" si="48"/>
        <v>0</v>
      </c>
      <c r="AV449" s="3248">
        <v>0</v>
      </c>
      <c r="AW449" s="3247">
        <v>0</v>
      </c>
      <c r="AX449" s="3248">
        <v>0</v>
      </c>
      <c r="AY449" s="3248">
        <v>0</v>
      </c>
      <c r="AZ449" s="3247">
        <v>0</v>
      </c>
      <c r="BA449" s="3248">
        <v>0</v>
      </c>
      <c r="BB449" s="3248">
        <v>0</v>
      </c>
      <c r="BC449" s="3247">
        <v>0</v>
      </c>
      <c r="BD449" s="3248">
        <v>0</v>
      </c>
      <c r="BE449" s="3248">
        <v>0</v>
      </c>
      <c r="BF449" s="3248">
        <f t="shared" si="49"/>
        <v>0</v>
      </c>
      <c r="BG449" s="3248">
        <f t="shared" si="50"/>
        <v>0</v>
      </c>
      <c r="BH449" s="3249"/>
      <c r="BI449" s="3249"/>
    </row>
    <row r="450" spans="1:61" x14ac:dyDescent="0.3">
      <c r="A450" s="4197" t="s">
        <v>3384</v>
      </c>
      <c r="B450" s="3261"/>
      <c r="C450" s="3243">
        <v>0</v>
      </c>
      <c r="D450" s="3242">
        <v>0</v>
      </c>
      <c r="E450" s="3244"/>
      <c r="F450" s="3244"/>
      <c r="G450" s="3242">
        <v>0</v>
      </c>
      <c r="H450" s="3244"/>
      <c r="I450" s="3244"/>
      <c r="J450" s="3244"/>
      <c r="K450" s="3242">
        <v>0</v>
      </c>
      <c r="L450" s="3244"/>
      <c r="M450" s="3244"/>
      <c r="N450" s="3242" t="s">
        <v>3384</v>
      </c>
      <c r="O450" s="3239">
        <v>0</v>
      </c>
      <c r="P450" s="3242">
        <v>0</v>
      </c>
      <c r="Q450" s="3244"/>
      <c r="R450" s="3244"/>
      <c r="S450" s="3242">
        <v>0</v>
      </c>
      <c r="T450" s="3244"/>
      <c r="U450" s="3244"/>
      <c r="V450" s="3244"/>
      <c r="W450" s="3240">
        <v>0</v>
      </c>
      <c r="X450" s="3244"/>
      <c r="Y450" s="3244"/>
      <c r="Z450" s="3242" t="s">
        <v>3384</v>
      </c>
      <c r="AA450" s="3243">
        <v>0</v>
      </c>
      <c r="AB450" s="3242">
        <v>0</v>
      </c>
      <c r="AC450" s="3244"/>
      <c r="AD450" s="3244"/>
      <c r="AE450" s="3242">
        <v>0</v>
      </c>
      <c r="AF450" s="3259"/>
      <c r="AG450" s="3260"/>
      <c r="AH450" s="3250"/>
      <c r="AI450" s="3260"/>
      <c r="AJ450" s="3260"/>
      <c r="AK450" s="3260"/>
      <c r="AL450" s="3259"/>
      <c r="AM450" s="3260"/>
      <c r="AN450" s="3259"/>
      <c r="AO450" s="3260"/>
      <c r="AP450" s="3242">
        <v>0</v>
      </c>
      <c r="AQ450" s="3244"/>
      <c r="AR450" s="3244"/>
      <c r="AS450" s="3242" t="s">
        <v>3384</v>
      </c>
      <c r="AT450" s="3247">
        <f t="shared" si="47"/>
        <v>0</v>
      </c>
      <c r="AU450" s="3248">
        <f t="shared" si="48"/>
        <v>0</v>
      </c>
      <c r="AV450" s="3248">
        <v>0</v>
      </c>
      <c r="AW450" s="3247">
        <v>0</v>
      </c>
      <c r="AX450" s="3248">
        <v>0</v>
      </c>
      <c r="AY450" s="3248">
        <v>0</v>
      </c>
      <c r="AZ450" s="3247">
        <v>0</v>
      </c>
      <c r="BA450" s="3248">
        <v>0</v>
      </c>
      <c r="BB450" s="3248">
        <v>0</v>
      </c>
      <c r="BC450" s="3247">
        <v>0</v>
      </c>
      <c r="BD450" s="3248">
        <v>0</v>
      </c>
      <c r="BE450" s="3248">
        <v>0</v>
      </c>
      <c r="BF450" s="3248">
        <f t="shared" si="49"/>
        <v>0</v>
      </c>
      <c r="BG450" s="3248">
        <f t="shared" si="50"/>
        <v>0</v>
      </c>
      <c r="BH450" s="3249"/>
      <c r="BI450" s="3249"/>
    </row>
    <row r="451" spans="1:61" x14ac:dyDescent="0.3">
      <c r="A451" s="4197" t="s">
        <v>3384</v>
      </c>
      <c r="B451" s="3261"/>
      <c r="C451" s="3243">
        <v>0</v>
      </c>
      <c r="D451" s="3242">
        <v>0</v>
      </c>
      <c r="E451" s="3244"/>
      <c r="F451" s="3244"/>
      <c r="G451" s="3242">
        <v>0</v>
      </c>
      <c r="H451" s="3244"/>
      <c r="I451" s="3244"/>
      <c r="J451" s="3244"/>
      <c r="K451" s="3242">
        <v>0</v>
      </c>
      <c r="L451" s="3244"/>
      <c r="M451" s="3244"/>
      <c r="N451" s="3242" t="s">
        <v>3384</v>
      </c>
      <c r="O451" s="3239">
        <v>0</v>
      </c>
      <c r="P451" s="3242">
        <v>0</v>
      </c>
      <c r="Q451" s="3244"/>
      <c r="R451" s="3244"/>
      <c r="S451" s="3242">
        <v>0</v>
      </c>
      <c r="T451" s="3244"/>
      <c r="U451" s="3244"/>
      <c r="V451" s="3244"/>
      <c r="W451" s="3240">
        <v>0</v>
      </c>
      <c r="X451" s="3244"/>
      <c r="Y451" s="3244"/>
      <c r="Z451" s="3242" t="s">
        <v>3384</v>
      </c>
      <c r="AA451" s="3243">
        <v>0</v>
      </c>
      <c r="AB451" s="3242">
        <v>0</v>
      </c>
      <c r="AC451" s="3244"/>
      <c r="AD451" s="3244"/>
      <c r="AE451" s="3242">
        <v>0</v>
      </c>
      <c r="AF451" s="3259"/>
      <c r="AG451" s="3260"/>
      <c r="AH451" s="3250"/>
      <c r="AI451" s="3260"/>
      <c r="AJ451" s="3260"/>
      <c r="AK451" s="3260"/>
      <c r="AL451" s="3259"/>
      <c r="AM451" s="3260"/>
      <c r="AN451" s="3259"/>
      <c r="AO451" s="3260"/>
      <c r="AP451" s="3242">
        <v>0</v>
      </c>
      <c r="AQ451" s="3244"/>
      <c r="AR451" s="3244"/>
      <c r="AS451" s="3242" t="s">
        <v>3384</v>
      </c>
      <c r="AT451" s="3247">
        <f t="shared" si="47"/>
        <v>0</v>
      </c>
      <c r="AU451" s="3248">
        <f t="shared" si="48"/>
        <v>0</v>
      </c>
      <c r="AV451" s="3248">
        <v>0</v>
      </c>
      <c r="AW451" s="3247">
        <v>0</v>
      </c>
      <c r="AX451" s="3248">
        <v>0</v>
      </c>
      <c r="AY451" s="3248">
        <v>0</v>
      </c>
      <c r="AZ451" s="3247">
        <v>0</v>
      </c>
      <c r="BA451" s="3248">
        <v>0</v>
      </c>
      <c r="BB451" s="3248">
        <v>0</v>
      </c>
      <c r="BC451" s="3247">
        <v>0</v>
      </c>
      <c r="BD451" s="3248">
        <v>0</v>
      </c>
      <c r="BE451" s="3248">
        <v>0</v>
      </c>
      <c r="BF451" s="3248">
        <f t="shared" si="49"/>
        <v>0</v>
      </c>
      <c r="BG451" s="3248">
        <f t="shared" si="50"/>
        <v>0</v>
      </c>
      <c r="BH451" s="3249"/>
      <c r="BI451" s="3249"/>
    </row>
    <row r="452" spans="1:61" x14ac:dyDescent="0.3">
      <c r="A452" s="4197" t="s">
        <v>3384</v>
      </c>
      <c r="B452" s="3261"/>
      <c r="C452" s="3243">
        <v>0</v>
      </c>
      <c r="D452" s="3242">
        <v>0</v>
      </c>
      <c r="E452" s="3244"/>
      <c r="F452" s="3244"/>
      <c r="G452" s="3242">
        <v>0</v>
      </c>
      <c r="H452" s="3244"/>
      <c r="I452" s="3244"/>
      <c r="J452" s="3244"/>
      <c r="K452" s="3242">
        <v>0</v>
      </c>
      <c r="L452" s="3244"/>
      <c r="M452" s="3244"/>
      <c r="N452" s="3242" t="s">
        <v>3384</v>
      </c>
      <c r="O452" s="3239">
        <v>0</v>
      </c>
      <c r="P452" s="3242">
        <v>0</v>
      </c>
      <c r="Q452" s="3244"/>
      <c r="R452" s="3244"/>
      <c r="S452" s="3242">
        <v>0</v>
      </c>
      <c r="T452" s="3244"/>
      <c r="U452" s="3244"/>
      <c r="V452" s="3244"/>
      <c r="W452" s="3240">
        <v>0</v>
      </c>
      <c r="X452" s="3244"/>
      <c r="Y452" s="3244"/>
      <c r="Z452" s="3242" t="s">
        <v>3384</v>
      </c>
      <c r="AA452" s="3243">
        <v>0</v>
      </c>
      <c r="AB452" s="3242">
        <v>0</v>
      </c>
      <c r="AC452" s="3244"/>
      <c r="AD452" s="3244"/>
      <c r="AE452" s="3242">
        <v>0</v>
      </c>
      <c r="AF452" s="3259"/>
      <c r="AG452" s="3260"/>
      <c r="AH452" s="3250"/>
      <c r="AI452" s="3260"/>
      <c r="AJ452" s="3260"/>
      <c r="AK452" s="3260"/>
      <c r="AL452" s="3259"/>
      <c r="AM452" s="3260"/>
      <c r="AN452" s="3259"/>
      <c r="AO452" s="3260"/>
      <c r="AP452" s="3242">
        <v>0</v>
      </c>
      <c r="AQ452" s="3244"/>
      <c r="AR452" s="3244"/>
      <c r="AS452" s="3242" t="s">
        <v>3384</v>
      </c>
      <c r="AT452" s="3247">
        <f t="shared" si="47"/>
        <v>0</v>
      </c>
      <c r="AU452" s="3248">
        <f t="shared" si="48"/>
        <v>0</v>
      </c>
      <c r="AV452" s="3248">
        <v>0</v>
      </c>
      <c r="AW452" s="3247">
        <v>0</v>
      </c>
      <c r="AX452" s="3248">
        <v>0</v>
      </c>
      <c r="AY452" s="3248">
        <v>0</v>
      </c>
      <c r="AZ452" s="3247">
        <v>0</v>
      </c>
      <c r="BA452" s="3248">
        <v>0</v>
      </c>
      <c r="BB452" s="3248">
        <v>0</v>
      </c>
      <c r="BC452" s="3247">
        <v>0</v>
      </c>
      <c r="BD452" s="3248">
        <v>0</v>
      </c>
      <c r="BE452" s="3248">
        <v>0</v>
      </c>
      <c r="BF452" s="3248">
        <f t="shared" si="49"/>
        <v>0</v>
      </c>
      <c r="BG452" s="3248">
        <f t="shared" si="50"/>
        <v>0</v>
      </c>
      <c r="BH452" s="3249"/>
      <c r="BI452" s="3249"/>
    </row>
    <row r="453" spans="1:61" x14ac:dyDescent="0.3">
      <c r="A453" s="4197" t="s">
        <v>3384</v>
      </c>
      <c r="B453" s="3261"/>
      <c r="C453" s="3243">
        <v>0</v>
      </c>
      <c r="D453" s="3242">
        <v>0</v>
      </c>
      <c r="E453" s="3244"/>
      <c r="F453" s="3244"/>
      <c r="G453" s="3242">
        <v>0</v>
      </c>
      <c r="H453" s="3244"/>
      <c r="I453" s="3244"/>
      <c r="J453" s="3244"/>
      <c r="K453" s="3242">
        <v>0</v>
      </c>
      <c r="L453" s="3244"/>
      <c r="M453" s="3244"/>
      <c r="N453" s="3242" t="s">
        <v>3384</v>
      </c>
      <c r="O453" s="3239">
        <v>0</v>
      </c>
      <c r="P453" s="3242">
        <v>0</v>
      </c>
      <c r="Q453" s="3244"/>
      <c r="R453" s="3244"/>
      <c r="S453" s="3242">
        <v>0</v>
      </c>
      <c r="T453" s="3244"/>
      <c r="U453" s="3244"/>
      <c r="V453" s="3244"/>
      <c r="W453" s="3240">
        <v>0</v>
      </c>
      <c r="X453" s="3244"/>
      <c r="Y453" s="3244"/>
      <c r="Z453" s="3242" t="s">
        <v>3384</v>
      </c>
      <c r="AA453" s="3243">
        <v>0</v>
      </c>
      <c r="AB453" s="3242">
        <v>0</v>
      </c>
      <c r="AC453" s="3244"/>
      <c r="AD453" s="3244"/>
      <c r="AE453" s="3242">
        <v>0</v>
      </c>
      <c r="AF453" s="3259"/>
      <c r="AG453" s="3260"/>
      <c r="AH453" s="3250"/>
      <c r="AI453" s="3260"/>
      <c r="AJ453" s="3260"/>
      <c r="AK453" s="3260"/>
      <c r="AL453" s="3259"/>
      <c r="AM453" s="3260"/>
      <c r="AN453" s="3259"/>
      <c r="AO453" s="3260"/>
      <c r="AP453" s="3242">
        <v>0</v>
      </c>
      <c r="AQ453" s="3244"/>
      <c r="AR453" s="3244"/>
      <c r="AS453" s="3242" t="s">
        <v>3384</v>
      </c>
      <c r="AT453" s="3247">
        <f t="shared" si="47"/>
        <v>0</v>
      </c>
      <c r="AU453" s="3248">
        <f t="shared" si="48"/>
        <v>0</v>
      </c>
      <c r="AV453" s="3248">
        <v>0</v>
      </c>
      <c r="AW453" s="3247">
        <v>0</v>
      </c>
      <c r="AX453" s="3248">
        <v>0</v>
      </c>
      <c r="AY453" s="3248">
        <v>0</v>
      </c>
      <c r="AZ453" s="3247">
        <v>0</v>
      </c>
      <c r="BA453" s="3248">
        <v>0</v>
      </c>
      <c r="BB453" s="3248">
        <v>0</v>
      </c>
      <c r="BC453" s="3247">
        <v>0</v>
      </c>
      <c r="BD453" s="3248">
        <v>0</v>
      </c>
      <c r="BE453" s="3248">
        <v>0</v>
      </c>
      <c r="BF453" s="3248">
        <f t="shared" si="49"/>
        <v>0</v>
      </c>
      <c r="BG453" s="3248">
        <f t="shared" si="50"/>
        <v>0</v>
      </c>
      <c r="BH453" s="3249"/>
      <c r="BI453" s="3249"/>
    </row>
    <row r="454" spans="1:61" x14ac:dyDescent="0.3">
      <c r="A454" s="4197" t="s">
        <v>3384</v>
      </c>
      <c r="B454" s="3261"/>
      <c r="C454" s="3243">
        <v>0</v>
      </c>
      <c r="D454" s="3242">
        <v>0</v>
      </c>
      <c r="E454" s="3244"/>
      <c r="F454" s="3244"/>
      <c r="G454" s="3242">
        <v>0</v>
      </c>
      <c r="H454" s="3244"/>
      <c r="I454" s="3244"/>
      <c r="J454" s="3244"/>
      <c r="K454" s="3242">
        <v>0</v>
      </c>
      <c r="L454" s="3244"/>
      <c r="M454" s="3244"/>
      <c r="N454" s="3242" t="s">
        <v>3384</v>
      </c>
      <c r="O454" s="3239">
        <v>0</v>
      </c>
      <c r="P454" s="3242">
        <v>0</v>
      </c>
      <c r="Q454" s="3244"/>
      <c r="R454" s="3244"/>
      <c r="S454" s="3242">
        <v>0</v>
      </c>
      <c r="T454" s="3244"/>
      <c r="U454" s="3244"/>
      <c r="V454" s="3244"/>
      <c r="W454" s="3240">
        <v>0</v>
      </c>
      <c r="X454" s="3244"/>
      <c r="Y454" s="3244"/>
      <c r="Z454" s="3242" t="s">
        <v>3384</v>
      </c>
      <c r="AA454" s="3243">
        <v>0</v>
      </c>
      <c r="AB454" s="3242">
        <v>0</v>
      </c>
      <c r="AC454" s="3244"/>
      <c r="AD454" s="3244"/>
      <c r="AE454" s="3242">
        <v>0</v>
      </c>
      <c r="AF454" s="3259"/>
      <c r="AG454" s="3260"/>
      <c r="AH454" s="3250"/>
      <c r="AI454" s="3260"/>
      <c r="AJ454" s="3260"/>
      <c r="AK454" s="3260"/>
      <c r="AL454" s="3259"/>
      <c r="AM454" s="3260"/>
      <c r="AN454" s="3259"/>
      <c r="AO454" s="3260"/>
      <c r="AP454" s="3242">
        <v>0</v>
      </c>
      <c r="AQ454" s="3244"/>
      <c r="AR454" s="3244"/>
      <c r="AS454" s="3242" t="s">
        <v>3384</v>
      </c>
      <c r="AT454" s="3247">
        <f t="shared" si="47"/>
        <v>0</v>
      </c>
      <c r="AU454" s="3248">
        <f t="shared" si="48"/>
        <v>0</v>
      </c>
      <c r="AV454" s="3248">
        <v>0</v>
      </c>
      <c r="AW454" s="3247">
        <v>0</v>
      </c>
      <c r="AX454" s="3248">
        <v>0</v>
      </c>
      <c r="AY454" s="3248">
        <v>0</v>
      </c>
      <c r="AZ454" s="3247">
        <v>0</v>
      </c>
      <c r="BA454" s="3248">
        <v>0</v>
      </c>
      <c r="BB454" s="3248">
        <v>0</v>
      </c>
      <c r="BC454" s="3247">
        <v>0</v>
      </c>
      <c r="BD454" s="3248">
        <v>0</v>
      </c>
      <c r="BE454" s="3248">
        <v>0</v>
      </c>
      <c r="BF454" s="3248">
        <f t="shared" si="49"/>
        <v>0</v>
      </c>
      <c r="BG454" s="3248">
        <f t="shared" si="50"/>
        <v>0</v>
      </c>
      <c r="BH454" s="3249"/>
      <c r="BI454" s="3249"/>
    </row>
    <row r="455" spans="1:61" x14ac:dyDescent="0.3">
      <c r="A455" s="4197" t="s">
        <v>3384</v>
      </c>
      <c r="B455" s="3261"/>
      <c r="C455" s="3243">
        <v>0</v>
      </c>
      <c r="D455" s="3242">
        <v>0</v>
      </c>
      <c r="E455" s="3244"/>
      <c r="F455" s="3244"/>
      <c r="G455" s="3242">
        <v>0</v>
      </c>
      <c r="H455" s="3244"/>
      <c r="I455" s="3244"/>
      <c r="J455" s="3244"/>
      <c r="K455" s="3242">
        <v>0</v>
      </c>
      <c r="L455" s="3244"/>
      <c r="M455" s="3244"/>
      <c r="N455" s="3242" t="s">
        <v>3384</v>
      </c>
      <c r="O455" s="3239">
        <v>0</v>
      </c>
      <c r="P455" s="3242">
        <v>0</v>
      </c>
      <c r="Q455" s="3244"/>
      <c r="R455" s="3244"/>
      <c r="S455" s="3242">
        <v>0</v>
      </c>
      <c r="T455" s="3244"/>
      <c r="U455" s="3244"/>
      <c r="V455" s="3244"/>
      <c r="W455" s="3240">
        <v>0</v>
      </c>
      <c r="X455" s="3244"/>
      <c r="Y455" s="3244"/>
      <c r="Z455" s="3242" t="s">
        <v>3384</v>
      </c>
      <c r="AA455" s="3243">
        <v>0</v>
      </c>
      <c r="AB455" s="3242">
        <v>0</v>
      </c>
      <c r="AC455" s="3244"/>
      <c r="AD455" s="3244"/>
      <c r="AE455" s="3242">
        <v>0</v>
      </c>
      <c r="AF455" s="3259"/>
      <c r="AG455" s="3260"/>
      <c r="AH455" s="3250"/>
      <c r="AI455" s="3260"/>
      <c r="AJ455" s="3260"/>
      <c r="AK455" s="3260"/>
      <c r="AL455" s="3259"/>
      <c r="AM455" s="3260"/>
      <c r="AN455" s="3259"/>
      <c r="AO455" s="3260"/>
      <c r="AP455" s="3242">
        <v>0</v>
      </c>
      <c r="AQ455" s="3244"/>
      <c r="AR455" s="3244"/>
      <c r="AS455" s="3242" t="s">
        <v>3384</v>
      </c>
      <c r="AT455" s="3247">
        <f t="shared" si="47"/>
        <v>0</v>
      </c>
      <c r="AU455" s="3248">
        <f t="shared" si="48"/>
        <v>0</v>
      </c>
      <c r="AV455" s="3248">
        <v>0</v>
      </c>
      <c r="AW455" s="3247">
        <v>0</v>
      </c>
      <c r="AX455" s="3248">
        <v>0</v>
      </c>
      <c r="AY455" s="3248">
        <v>0</v>
      </c>
      <c r="AZ455" s="3247">
        <v>0</v>
      </c>
      <c r="BA455" s="3248">
        <v>0</v>
      </c>
      <c r="BB455" s="3248">
        <v>0</v>
      </c>
      <c r="BC455" s="3247">
        <v>0</v>
      </c>
      <c r="BD455" s="3248">
        <v>0</v>
      </c>
      <c r="BE455" s="3248">
        <v>0</v>
      </c>
      <c r="BF455" s="3248">
        <f t="shared" si="49"/>
        <v>0</v>
      </c>
      <c r="BG455" s="3248">
        <f t="shared" si="50"/>
        <v>0</v>
      </c>
      <c r="BH455" s="3249"/>
      <c r="BI455" s="3249"/>
    </row>
    <row r="456" spans="1:61" x14ac:dyDescent="0.3">
      <c r="A456" s="4197" t="s">
        <v>3384</v>
      </c>
      <c r="B456" s="3261"/>
      <c r="C456" s="3243">
        <v>0</v>
      </c>
      <c r="D456" s="3242">
        <v>0</v>
      </c>
      <c r="E456" s="3244"/>
      <c r="F456" s="3244"/>
      <c r="G456" s="3242">
        <v>0</v>
      </c>
      <c r="H456" s="3244"/>
      <c r="I456" s="3244"/>
      <c r="J456" s="3244"/>
      <c r="K456" s="3242">
        <v>0</v>
      </c>
      <c r="L456" s="3244"/>
      <c r="M456" s="3244"/>
      <c r="N456" s="3242" t="s">
        <v>3384</v>
      </c>
      <c r="O456" s="3239">
        <v>0</v>
      </c>
      <c r="P456" s="3242">
        <v>0</v>
      </c>
      <c r="Q456" s="3244"/>
      <c r="R456" s="3244"/>
      <c r="S456" s="3242">
        <v>0</v>
      </c>
      <c r="T456" s="3244"/>
      <c r="U456" s="3244"/>
      <c r="V456" s="3244"/>
      <c r="W456" s="3240">
        <v>0</v>
      </c>
      <c r="X456" s="3244"/>
      <c r="Y456" s="3244"/>
      <c r="Z456" s="3242" t="s">
        <v>3384</v>
      </c>
      <c r="AA456" s="3243">
        <v>0</v>
      </c>
      <c r="AB456" s="3242">
        <v>0</v>
      </c>
      <c r="AC456" s="3244"/>
      <c r="AD456" s="3244"/>
      <c r="AE456" s="3242">
        <v>0</v>
      </c>
      <c r="AF456" s="3259"/>
      <c r="AG456" s="3260"/>
      <c r="AH456" s="3250"/>
      <c r="AI456" s="3260"/>
      <c r="AJ456" s="3260"/>
      <c r="AK456" s="3260"/>
      <c r="AL456" s="3259"/>
      <c r="AM456" s="3260"/>
      <c r="AN456" s="3259"/>
      <c r="AO456" s="3260"/>
      <c r="AP456" s="3242">
        <v>0</v>
      </c>
      <c r="AQ456" s="3244"/>
      <c r="AR456" s="3244"/>
      <c r="AS456" s="3242" t="s">
        <v>3384</v>
      </c>
      <c r="AT456" s="3247">
        <f t="shared" si="47"/>
        <v>0</v>
      </c>
      <c r="AU456" s="3248">
        <f t="shared" si="48"/>
        <v>0</v>
      </c>
      <c r="AV456" s="3248">
        <v>0</v>
      </c>
      <c r="AW456" s="3247">
        <v>0</v>
      </c>
      <c r="AX456" s="3248">
        <v>0</v>
      </c>
      <c r="AY456" s="3248">
        <v>0</v>
      </c>
      <c r="AZ456" s="3247">
        <v>0</v>
      </c>
      <c r="BA456" s="3248">
        <v>0</v>
      </c>
      <c r="BB456" s="3248">
        <v>0</v>
      </c>
      <c r="BC456" s="3247">
        <v>0</v>
      </c>
      <c r="BD456" s="3248">
        <v>0</v>
      </c>
      <c r="BE456" s="3248">
        <v>0</v>
      </c>
      <c r="BF456" s="3248">
        <f t="shared" si="49"/>
        <v>0</v>
      </c>
      <c r="BG456" s="3248">
        <f t="shared" si="50"/>
        <v>0</v>
      </c>
      <c r="BH456" s="3249"/>
      <c r="BI456" s="3249"/>
    </row>
    <row r="457" spans="1:61" x14ac:dyDescent="0.3">
      <c r="A457" s="4197" t="s">
        <v>3384</v>
      </c>
      <c r="B457" s="3261"/>
      <c r="C457" s="3243">
        <v>0</v>
      </c>
      <c r="D457" s="3242">
        <v>0</v>
      </c>
      <c r="E457" s="3244"/>
      <c r="F457" s="3244"/>
      <c r="G457" s="3242">
        <v>0</v>
      </c>
      <c r="H457" s="3244"/>
      <c r="I457" s="3244"/>
      <c r="J457" s="3244"/>
      <c r="K457" s="3242">
        <v>0</v>
      </c>
      <c r="L457" s="3244"/>
      <c r="M457" s="3244"/>
      <c r="N457" s="3242" t="s">
        <v>3384</v>
      </c>
      <c r="O457" s="3239">
        <v>0</v>
      </c>
      <c r="P457" s="3242">
        <v>0</v>
      </c>
      <c r="Q457" s="3244"/>
      <c r="R457" s="3244"/>
      <c r="S457" s="3242">
        <v>0</v>
      </c>
      <c r="T457" s="3244"/>
      <c r="U457" s="3244"/>
      <c r="V457" s="3244"/>
      <c r="W457" s="3240">
        <v>0</v>
      </c>
      <c r="X457" s="3244"/>
      <c r="Y457" s="3244"/>
      <c r="Z457" s="3242" t="s">
        <v>3384</v>
      </c>
      <c r="AA457" s="3243">
        <v>0</v>
      </c>
      <c r="AB457" s="3242">
        <v>0</v>
      </c>
      <c r="AC457" s="3244"/>
      <c r="AD457" s="3244"/>
      <c r="AE457" s="3242">
        <v>0</v>
      </c>
      <c r="AF457" s="3259"/>
      <c r="AG457" s="3260"/>
      <c r="AH457" s="3250"/>
      <c r="AI457" s="3260"/>
      <c r="AJ457" s="3260"/>
      <c r="AK457" s="3260"/>
      <c r="AL457" s="3259"/>
      <c r="AM457" s="3260"/>
      <c r="AN457" s="3259"/>
      <c r="AO457" s="3260"/>
      <c r="AP457" s="3242">
        <v>0</v>
      </c>
      <c r="AQ457" s="3244"/>
      <c r="AR457" s="3244"/>
      <c r="AS457" s="3242" t="s">
        <v>3384</v>
      </c>
      <c r="AT457" s="3247">
        <f t="shared" si="47"/>
        <v>0</v>
      </c>
      <c r="AU457" s="3248">
        <f t="shared" si="48"/>
        <v>0</v>
      </c>
      <c r="AV457" s="3248">
        <v>0</v>
      </c>
      <c r="AW457" s="3247">
        <v>0</v>
      </c>
      <c r="AX457" s="3248">
        <v>0</v>
      </c>
      <c r="AY457" s="3248">
        <v>0</v>
      </c>
      <c r="AZ457" s="3247">
        <v>0</v>
      </c>
      <c r="BA457" s="3248">
        <v>0</v>
      </c>
      <c r="BB457" s="3248">
        <v>0</v>
      </c>
      <c r="BC457" s="3247">
        <v>0</v>
      </c>
      <c r="BD457" s="3248">
        <v>0</v>
      </c>
      <c r="BE457" s="3248">
        <v>0</v>
      </c>
      <c r="BF457" s="3248">
        <f t="shared" si="49"/>
        <v>0</v>
      </c>
      <c r="BG457" s="3248">
        <f t="shared" si="50"/>
        <v>0</v>
      </c>
      <c r="BH457" s="3249"/>
      <c r="BI457" s="3249"/>
    </row>
    <row r="458" spans="1:61" x14ac:dyDescent="0.3">
      <c r="A458" s="4197" t="s">
        <v>3384</v>
      </c>
      <c r="B458" s="3261"/>
      <c r="C458" s="3243">
        <v>0</v>
      </c>
      <c r="D458" s="3242">
        <v>0</v>
      </c>
      <c r="E458" s="3244"/>
      <c r="F458" s="3244"/>
      <c r="G458" s="3242">
        <v>0</v>
      </c>
      <c r="H458" s="3244"/>
      <c r="I458" s="3244"/>
      <c r="J458" s="3244"/>
      <c r="K458" s="3242">
        <v>0</v>
      </c>
      <c r="L458" s="3244"/>
      <c r="M458" s="3244"/>
      <c r="N458" s="3242" t="s">
        <v>3384</v>
      </c>
      <c r="O458" s="3239">
        <v>0</v>
      </c>
      <c r="P458" s="3242">
        <v>0</v>
      </c>
      <c r="Q458" s="3244"/>
      <c r="R458" s="3244"/>
      <c r="S458" s="3242">
        <v>0</v>
      </c>
      <c r="T458" s="3244"/>
      <c r="U458" s="3244"/>
      <c r="V458" s="3244"/>
      <c r="W458" s="3240">
        <v>0</v>
      </c>
      <c r="X458" s="3244"/>
      <c r="Y458" s="3244"/>
      <c r="Z458" s="3242" t="s">
        <v>3384</v>
      </c>
      <c r="AA458" s="3243">
        <v>0</v>
      </c>
      <c r="AB458" s="3242">
        <v>0</v>
      </c>
      <c r="AC458" s="3244"/>
      <c r="AD458" s="3244"/>
      <c r="AE458" s="3242">
        <v>0</v>
      </c>
      <c r="AF458" s="3259"/>
      <c r="AG458" s="3260"/>
      <c r="AH458" s="3250"/>
      <c r="AI458" s="3260"/>
      <c r="AJ458" s="3260"/>
      <c r="AK458" s="3260"/>
      <c r="AL458" s="3259"/>
      <c r="AM458" s="3260"/>
      <c r="AN458" s="3259"/>
      <c r="AO458" s="3260"/>
      <c r="AP458" s="3242">
        <v>0</v>
      </c>
      <c r="AQ458" s="3244"/>
      <c r="AR458" s="3244"/>
      <c r="AS458" s="3242" t="s">
        <v>3384</v>
      </c>
      <c r="AT458" s="3247">
        <f t="shared" si="47"/>
        <v>0</v>
      </c>
      <c r="AU458" s="3248">
        <f t="shared" si="48"/>
        <v>0</v>
      </c>
      <c r="AV458" s="3248">
        <v>0</v>
      </c>
      <c r="AW458" s="3247">
        <v>0</v>
      </c>
      <c r="AX458" s="3248">
        <v>0</v>
      </c>
      <c r="AY458" s="3248">
        <v>0</v>
      </c>
      <c r="AZ458" s="3247">
        <v>0</v>
      </c>
      <c r="BA458" s="3248">
        <v>0</v>
      </c>
      <c r="BB458" s="3248">
        <v>0</v>
      </c>
      <c r="BC458" s="3247">
        <v>0</v>
      </c>
      <c r="BD458" s="3248">
        <v>0</v>
      </c>
      <c r="BE458" s="3248">
        <v>0</v>
      </c>
      <c r="BF458" s="3248">
        <f t="shared" si="49"/>
        <v>0</v>
      </c>
      <c r="BG458" s="3248">
        <f t="shared" si="50"/>
        <v>0</v>
      </c>
      <c r="BH458" s="3249"/>
      <c r="BI458" s="3249"/>
    </row>
    <row r="459" spans="1:61" x14ac:dyDescent="0.3">
      <c r="A459" s="4197" t="s">
        <v>3384</v>
      </c>
      <c r="B459" s="3261"/>
      <c r="C459" s="3243">
        <v>0</v>
      </c>
      <c r="D459" s="3242">
        <v>0</v>
      </c>
      <c r="E459" s="3244"/>
      <c r="F459" s="3244"/>
      <c r="G459" s="3242">
        <v>0</v>
      </c>
      <c r="H459" s="3244"/>
      <c r="I459" s="3244"/>
      <c r="J459" s="3244"/>
      <c r="K459" s="3242">
        <v>0</v>
      </c>
      <c r="L459" s="3244"/>
      <c r="M459" s="3244"/>
      <c r="N459" s="3242" t="s">
        <v>3384</v>
      </c>
      <c r="O459" s="3239">
        <v>0</v>
      </c>
      <c r="P459" s="3242">
        <v>0</v>
      </c>
      <c r="Q459" s="3244"/>
      <c r="R459" s="3244"/>
      <c r="S459" s="3242">
        <v>0</v>
      </c>
      <c r="T459" s="3244"/>
      <c r="U459" s="3244"/>
      <c r="V459" s="3244"/>
      <c r="W459" s="3240">
        <v>0</v>
      </c>
      <c r="X459" s="3244"/>
      <c r="Y459" s="3244"/>
      <c r="Z459" s="3242" t="s">
        <v>3384</v>
      </c>
      <c r="AA459" s="3243">
        <v>0</v>
      </c>
      <c r="AB459" s="3242">
        <v>0</v>
      </c>
      <c r="AC459" s="3244"/>
      <c r="AD459" s="3244"/>
      <c r="AE459" s="3242">
        <v>0</v>
      </c>
      <c r="AF459" s="3259"/>
      <c r="AG459" s="3260"/>
      <c r="AH459" s="3250"/>
      <c r="AI459" s="3260"/>
      <c r="AJ459" s="3260"/>
      <c r="AK459" s="3260"/>
      <c r="AL459" s="3259"/>
      <c r="AM459" s="3260"/>
      <c r="AN459" s="3259"/>
      <c r="AO459" s="3260"/>
      <c r="AP459" s="3242">
        <v>0</v>
      </c>
      <c r="AQ459" s="3244"/>
      <c r="AR459" s="3244"/>
      <c r="AS459" s="3242" t="s">
        <v>3384</v>
      </c>
      <c r="AT459" s="3247">
        <f t="shared" si="47"/>
        <v>0</v>
      </c>
      <c r="AU459" s="3248">
        <f t="shared" si="48"/>
        <v>0</v>
      </c>
      <c r="AV459" s="3248">
        <v>0</v>
      </c>
      <c r="AW459" s="3247">
        <v>0</v>
      </c>
      <c r="AX459" s="3248">
        <v>0</v>
      </c>
      <c r="AY459" s="3248">
        <v>0</v>
      </c>
      <c r="AZ459" s="3247">
        <v>0</v>
      </c>
      <c r="BA459" s="3248">
        <v>0</v>
      </c>
      <c r="BB459" s="3248">
        <v>0</v>
      </c>
      <c r="BC459" s="3247">
        <v>0</v>
      </c>
      <c r="BD459" s="3248">
        <v>0</v>
      </c>
      <c r="BE459" s="3248">
        <v>0</v>
      </c>
      <c r="BF459" s="3248">
        <f t="shared" si="49"/>
        <v>0</v>
      </c>
      <c r="BG459" s="3248">
        <f t="shared" si="50"/>
        <v>0</v>
      </c>
      <c r="BH459" s="3249"/>
      <c r="BI459" s="3249"/>
    </row>
    <row r="460" spans="1:61" x14ac:dyDescent="0.3">
      <c r="A460" s="4197" t="s">
        <v>3384</v>
      </c>
      <c r="B460" s="3261"/>
      <c r="C460" s="3243">
        <v>0</v>
      </c>
      <c r="D460" s="3242">
        <v>0</v>
      </c>
      <c r="E460" s="3244"/>
      <c r="F460" s="3244"/>
      <c r="G460" s="3242">
        <v>0</v>
      </c>
      <c r="H460" s="3244"/>
      <c r="I460" s="3244"/>
      <c r="J460" s="3244"/>
      <c r="K460" s="3242">
        <v>0</v>
      </c>
      <c r="L460" s="3244"/>
      <c r="M460" s="3244"/>
      <c r="N460" s="3242" t="s">
        <v>3384</v>
      </c>
      <c r="O460" s="3239">
        <v>0</v>
      </c>
      <c r="P460" s="3242">
        <v>0</v>
      </c>
      <c r="Q460" s="3244"/>
      <c r="R460" s="3244"/>
      <c r="S460" s="3242">
        <v>0</v>
      </c>
      <c r="T460" s="3244"/>
      <c r="U460" s="3244"/>
      <c r="V460" s="3244"/>
      <c r="W460" s="3240">
        <v>0</v>
      </c>
      <c r="X460" s="3244"/>
      <c r="Y460" s="3244"/>
      <c r="Z460" s="3242" t="s">
        <v>3384</v>
      </c>
      <c r="AA460" s="3243">
        <v>0</v>
      </c>
      <c r="AB460" s="3242">
        <v>0</v>
      </c>
      <c r="AC460" s="3244"/>
      <c r="AD460" s="3244"/>
      <c r="AE460" s="3242">
        <v>0</v>
      </c>
      <c r="AF460" s="3259"/>
      <c r="AG460" s="3260"/>
      <c r="AH460" s="3250"/>
      <c r="AI460" s="3260"/>
      <c r="AJ460" s="3260"/>
      <c r="AK460" s="3260"/>
      <c r="AL460" s="3259"/>
      <c r="AM460" s="3260"/>
      <c r="AN460" s="3259"/>
      <c r="AO460" s="3260"/>
      <c r="AP460" s="3242">
        <v>0</v>
      </c>
      <c r="AQ460" s="3244"/>
      <c r="AR460" s="3244"/>
      <c r="AS460" s="3242" t="s">
        <v>3384</v>
      </c>
      <c r="AT460" s="3247">
        <f t="shared" si="47"/>
        <v>0</v>
      </c>
      <c r="AU460" s="3248">
        <f t="shared" si="48"/>
        <v>0</v>
      </c>
      <c r="AV460" s="3248">
        <v>0</v>
      </c>
      <c r="AW460" s="3247">
        <v>0</v>
      </c>
      <c r="AX460" s="3248">
        <v>0</v>
      </c>
      <c r="AY460" s="3248">
        <v>0</v>
      </c>
      <c r="AZ460" s="3247">
        <v>0</v>
      </c>
      <c r="BA460" s="3248">
        <v>0</v>
      </c>
      <c r="BB460" s="3248">
        <v>0</v>
      </c>
      <c r="BC460" s="3247">
        <v>0</v>
      </c>
      <c r="BD460" s="3248">
        <v>0</v>
      </c>
      <c r="BE460" s="3248">
        <v>0</v>
      </c>
      <c r="BF460" s="3248">
        <f t="shared" si="49"/>
        <v>0</v>
      </c>
      <c r="BG460" s="3248">
        <f t="shared" si="50"/>
        <v>0</v>
      </c>
      <c r="BH460" s="3249"/>
      <c r="BI460" s="3249"/>
    </row>
    <row r="461" spans="1:61" x14ac:dyDescent="0.3">
      <c r="A461" s="4197" t="s">
        <v>3384</v>
      </c>
      <c r="B461" s="3261"/>
      <c r="C461" s="3243">
        <v>0</v>
      </c>
      <c r="D461" s="3242">
        <v>0</v>
      </c>
      <c r="E461" s="3244"/>
      <c r="F461" s="3244"/>
      <c r="G461" s="3242">
        <v>0</v>
      </c>
      <c r="H461" s="3244"/>
      <c r="I461" s="3244"/>
      <c r="J461" s="3244"/>
      <c r="K461" s="3242">
        <v>0</v>
      </c>
      <c r="L461" s="3244"/>
      <c r="M461" s="3244"/>
      <c r="N461" s="3242" t="s">
        <v>3384</v>
      </c>
      <c r="O461" s="3239">
        <v>0</v>
      </c>
      <c r="P461" s="3242">
        <v>0</v>
      </c>
      <c r="Q461" s="3244"/>
      <c r="R461" s="3244"/>
      <c r="S461" s="3242">
        <v>0</v>
      </c>
      <c r="T461" s="3244"/>
      <c r="U461" s="3244"/>
      <c r="V461" s="3244"/>
      <c r="W461" s="3240">
        <v>0</v>
      </c>
      <c r="X461" s="3244"/>
      <c r="Y461" s="3244"/>
      <c r="Z461" s="3242" t="s">
        <v>3384</v>
      </c>
      <c r="AA461" s="3243">
        <v>0</v>
      </c>
      <c r="AB461" s="3242">
        <v>0</v>
      </c>
      <c r="AC461" s="3244"/>
      <c r="AD461" s="3244"/>
      <c r="AE461" s="3242">
        <v>0</v>
      </c>
      <c r="AF461" s="3259"/>
      <c r="AG461" s="3260"/>
      <c r="AH461" s="3250"/>
      <c r="AI461" s="3260"/>
      <c r="AJ461" s="3260"/>
      <c r="AK461" s="3260"/>
      <c r="AL461" s="3259"/>
      <c r="AM461" s="3260"/>
      <c r="AN461" s="3259"/>
      <c r="AO461" s="3260"/>
      <c r="AP461" s="3242">
        <v>0</v>
      </c>
      <c r="AQ461" s="3244"/>
      <c r="AR461" s="3244"/>
      <c r="AS461" s="3242" t="s">
        <v>3384</v>
      </c>
      <c r="AT461" s="3247">
        <f t="shared" si="47"/>
        <v>0</v>
      </c>
      <c r="AU461" s="3248">
        <f t="shared" si="48"/>
        <v>0</v>
      </c>
      <c r="AV461" s="3248">
        <v>0</v>
      </c>
      <c r="AW461" s="3247">
        <v>0</v>
      </c>
      <c r="AX461" s="3248">
        <v>0</v>
      </c>
      <c r="AY461" s="3248">
        <v>0</v>
      </c>
      <c r="AZ461" s="3247">
        <v>0</v>
      </c>
      <c r="BA461" s="3248">
        <v>0</v>
      </c>
      <c r="BB461" s="3248">
        <v>0</v>
      </c>
      <c r="BC461" s="3247">
        <v>0</v>
      </c>
      <c r="BD461" s="3248">
        <v>0</v>
      </c>
      <c r="BE461" s="3248">
        <v>0</v>
      </c>
      <c r="BF461" s="3248">
        <f t="shared" si="49"/>
        <v>0</v>
      </c>
      <c r="BG461" s="3248">
        <f t="shared" si="50"/>
        <v>0</v>
      </c>
      <c r="BH461" s="3249"/>
      <c r="BI461" s="3249"/>
    </row>
    <row r="462" spans="1:61" x14ac:dyDescent="0.3">
      <c r="A462" s="4197" t="s">
        <v>3384</v>
      </c>
      <c r="B462" s="3261"/>
      <c r="C462" s="3243">
        <v>0</v>
      </c>
      <c r="D462" s="3242">
        <v>0</v>
      </c>
      <c r="E462" s="3244"/>
      <c r="F462" s="3244"/>
      <c r="G462" s="3242">
        <v>0</v>
      </c>
      <c r="H462" s="3244"/>
      <c r="I462" s="3244"/>
      <c r="J462" s="3244"/>
      <c r="K462" s="3242">
        <v>0</v>
      </c>
      <c r="L462" s="3244"/>
      <c r="M462" s="3244"/>
      <c r="N462" s="3242" t="s">
        <v>3384</v>
      </c>
      <c r="O462" s="3239">
        <v>0</v>
      </c>
      <c r="P462" s="3242">
        <v>0</v>
      </c>
      <c r="Q462" s="3244"/>
      <c r="R462" s="3244"/>
      <c r="S462" s="3242">
        <v>0</v>
      </c>
      <c r="T462" s="3244"/>
      <c r="U462" s="3244"/>
      <c r="V462" s="3244"/>
      <c r="W462" s="3240">
        <v>0</v>
      </c>
      <c r="X462" s="3244"/>
      <c r="Y462" s="3244"/>
      <c r="Z462" s="3242" t="s">
        <v>3384</v>
      </c>
      <c r="AA462" s="3243">
        <v>0</v>
      </c>
      <c r="AB462" s="3242">
        <v>0</v>
      </c>
      <c r="AC462" s="3244"/>
      <c r="AD462" s="3244"/>
      <c r="AE462" s="3242">
        <v>0</v>
      </c>
      <c r="AF462" s="3259"/>
      <c r="AG462" s="3260"/>
      <c r="AH462" s="3250"/>
      <c r="AI462" s="3260"/>
      <c r="AJ462" s="3260"/>
      <c r="AK462" s="3260"/>
      <c r="AL462" s="3259"/>
      <c r="AM462" s="3260"/>
      <c r="AN462" s="3259"/>
      <c r="AO462" s="3260"/>
      <c r="AP462" s="3242">
        <v>0</v>
      </c>
      <c r="AQ462" s="3244"/>
      <c r="AR462" s="3244"/>
      <c r="AS462" s="3242" t="s">
        <v>3384</v>
      </c>
      <c r="AT462" s="3247">
        <f t="shared" si="47"/>
        <v>0</v>
      </c>
      <c r="AU462" s="3248">
        <f t="shared" si="48"/>
        <v>0</v>
      </c>
      <c r="AV462" s="3248">
        <v>0</v>
      </c>
      <c r="AW462" s="3247">
        <v>0</v>
      </c>
      <c r="AX462" s="3248">
        <v>0</v>
      </c>
      <c r="AY462" s="3248">
        <v>0</v>
      </c>
      <c r="AZ462" s="3247">
        <v>0</v>
      </c>
      <c r="BA462" s="3248">
        <v>0</v>
      </c>
      <c r="BB462" s="3248">
        <v>0</v>
      </c>
      <c r="BC462" s="3247">
        <v>0</v>
      </c>
      <c r="BD462" s="3248">
        <v>0</v>
      </c>
      <c r="BE462" s="3248">
        <v>0</v>
      </c>
      <c r="BF462" s="3248">
        <f t="shared" si="49"/>
        <v>0</v>
      </c>
      <c r="BG462" s="3248">
        <f t="shared" si="50"/>
        <v>0</v>
      </c>
      <c r="BH462" s="3249"/>
      <c r="BI462" s="3249"/>
    </row>
    <row r="463" spans="1:61" x14ac:dyDescent="0.3">
      <c r="A463" s="4197" t="s">
        <v>3384</v>
      </c>
      <c r="B463" s="3261"/>
      <c r="C463" s="3243">
        <v>0</v>
      </c>
      <c r="D463" s="3242">
        <v>0</v>
      </c>
      <c r="E463" s="3244"/>
      <c r="F463" s="3244"/>
      <c r="G463" s="3242">
        <v>0</v>
      </c>
      <c r="H463" s="3244"/>
      <c r="I463" s="3244"/>
      <c r="J463" s="3244"/>
      <c r="K463" s="3242">
        <v>0</v>
      </c>
      <c r="L463" s="3244"/>
      <c r="M463" s="3244"/>
      <c r="N463" s="3242" t="s">
        <v>3384</v>
      </c>
      <c r="O463" s="3239">
        <v>0</v>
      </c>
      <c r="P463" s="3242">
        <v>0</v>
      </c>
      <c r="Q463" s="3244"/>
      <c r="R463" s="3244"/>
      <c r="S463" s="3242">
        <v>0</v>
      </c>
      <c r="T463" s="3244"/>
      <c r="U463" s="3244"/>
      <c r="V463" s="3244"/>
      <c r="W463" s="3240">
        <v>0</v>
      </c>
      <c r="X463" s="3244"/>
      <c r="Y463" s="3244"/>
      <c r="Z463" s="3242" t="s">
        <v>3384</v>
      </c>
      <c r="AA463" s="3243">
        <v>0</v>
      </c>
      <c r="AB463" s="3242">
        <v>0</v>
      </c>
      <c r="AC463" s="3244"/>
      <c r="AD463" s="3244"/>
      <c r="AE463" s="3242">
        <v>0</v>
      </c>
      <c r="AF463" s="3259"/>
      <c r="AG463" s="3260"/>
      <c r="AH463" s="3250"/>
      <c r="AI463" s="3260"/>
      <c r="AJ463" s="3260"/>
      <c r="AK463" s="3260"/>
      <c r="AL463" s="3259"/>
      <c r="AM463" s="3260"/>
      <c r="AN463" s="3259"/>
      <c r="AO463" s="3260"/>
      <c r="AP463" s="3242">
        <v>0</v>
      </c>
      <c r="AQ463" s="3244"/>
      <c r="AR463" s="3244"/>
      <c r="AS463" s="3242" t="s">
        <v>3384</v>
      </c>
      <c r="AT463" s="3247">
        <f t="shared" si="47"/>
        <v>0</v>
      </c>
      <c r="AU463" s="3248">
        <f t="shared" si="48"/>
        <v>0</v>
      </c>
      <c r="AV463" s="3248">
        <v>0</v>
      </c>
      <c r="AW463" s="3247">
        <v>0</v>
      </c>
      <c r="AX463" s="3248">
        <v>0</v>
      </c>
      <c r="AY463" s="3248">
        <v>0</v>
      </c>
      <c r="AZ463" s="3247">
        <v>0</v>
      </c>
      <c r="BA463" s="3248">
        <v>0</v>
      </c>
      <c r="BB463" s="3248">
        <v>0</v>
      </c>
      <c r="BC463" s="3247">
        <v>0</v>
      </c>
      <c r="BD463" s="3248">
        <v>0</v>
      </c>
      <c r="BE463" s="3248">
        <v>0</v>
      </c>
      <c r="BF463" s="3248">
        <f t="shared" si="49"/>
        <v>0</v>
      </c>
      <c r="BG463" s="3248">
        <f t="shared" si="50"/>
        <v>0</v>
      </c>
      <c r="BH463" s="3249"/>
      <c r="BI463" s="3249"/>
    </row>
    <row r="464" spans="1:61" x14ac:dyDescent="0.3">
      <c r="A464" s="4197" t="s">
        <v>3384</v>
      </c>
      <c r="B464" s="3261"/>
      <c r="C464" s="3243">
        <v>0</v>
      </c>
      <c r="D464" s="3242">
        <v>0</v>
      </c>
      <c r="E464" s="3244"/>
      <c r="F464" s="3244"/>
      <c r="G464" s="3242">
        <v>0</v>
      </c>
      <c r="H464" s="3244"/>
      <c r="I464" s="3244"/>
      <c r="J464" s="3244"/>
      <c r="K464" s="3242">
        <v>0</v>
      </c>
      <c r="L464" s="3244"/>
      <c r="M464" s="3244"/>
      <c r="N464" s="3242" t="s">
        <v>3384</v>
      </c>
      <c r="O464" s="3239">
        <v>0</v>
      </c>
      <c r="P464" s="3242">
        <v>0</v>
      </c>
      <c r="Q464" s="3244"/>
      <c r="R464" s="3244"/>
      <c r="S464" s="3242">
        <v>0</v>
      </c>
      <c r="T464" s="3244"/>
      <c r="U464" s="3244"/>
      <c r="V464" s="3244"/>
      <c r="W464" s="3240">
        <v>0</v>
      </c>
      <c r="X464" s="3244"/>
      <c r="Y464" s="3244"/>
      <c r="Z464" s="3242" t="s">
        <v>3384</v>
      </c>
      <c r="AA464" s="3243">
        <v>0</v>
      </c>
      <c r="AB464" s="3242">
        <v>0</v>
      </c>
      <c r="AC464" s="3244"/>
      <c r="AD464" s="3244"/>
      <c r="AE464" s="3242">
        <v>0</v>
      </c>
      <c r="AF464" s="3259"/>
      <c r="AG464" s="3260"/>
      <c r="AH464" s="3250"/>
      <c r="AI464" s="3260"/>
      <c r="AJ464" s="3260"/>
      <c r="AK464" s="3260"/>
      <c r="AL464" s="3259"/>
      <c r="AM464" s="3260"/>
      <c r="AN464" s="3259"/>
      <c r="AO464" s="3260"/>
      <c r="AP464" s="3242">
        <v>0</v>
      </c>
      <c r="AQ464" s="3244"/>
      <c r="AR464" s="3244"/>
      <c r="AS464" s="3242" t="s">
        <v>3384</v>
      </c>
      <c r="AT464" s="3247">
        <f t="shared" ref="AT464:AT527" si="51">IFERROR(AE464+(SUM(AC464:AD464)/100*($AE$14/$AB$14*100)),0)</f>
        <v>0</v>
      </c>
      <c r="AU464" s="3248">
        <f t="shared" si="48"/>
        <v>0</v>
      </c>
      <c r="AV464" s="3248">
        <v>0</v>
      </c>
      <c r="AW464" s="3247">
        <v>0</v>
      </c>
      <c r="AX464" s="3248">
        <v>0</v>
      </c>
      <c r="AY464" s="3248">
        <v>0</v>
      </c>
      <c r="AZ464" s="3247">
        <v>0</v>
      </c>
      <c r="BA464" s="3248">
        <v>0</v>
      </c>
      <c r="BB464" s="3248">
        <v>0</v>
      </c>
      <c r="BC464" s="3247">
        <v>0</v>
      </c>
      <c r="BD464" s="3248">
        <v>0</v>
      </c>
      <c r="BE464" s="3248">
        <v>0</v>
      </c>
      <c r="BF464" s="3248">
        <f t="shared" si="49"/>
        <v>0</v>
      </c>
      <c r="BG464" s="3248">
        <f t="shared" si="50"/>
        <v>0</v>
      </c>
      <c r="BH464" s="3249"/>
      <c r="BI464" s="3249"/>
    </row>
    <row r="465" spans="1:61" x14ac:dyDescent="0.3">
      <c r="A465" s="4197" t="s">
        <v>3384</v>
      </c>
      <c r="B465" s="3261"/>
      <c r="C465" s="3243">
        <v>0</v>
      </c>
      <c r="D465" s="3242">
        <v>0</v>
      </c>
      <c r="E465" s="3244"/>
      <c r="F465" s="3244"/>
      <c r="G465" s="3242">
        <v>0</v>
      </c>
      <c r="H465" s="3244"/>
      <c r="I465" s="3244"/>
      <c r="J465" s="3244"/>
      <c r="K465" s="3242">
        <v>0</v>
      </c>
      <c r="L465" s="3244"/>
      <c r="M465" s="3244"/>
      <c r="N465" s="3242" t="s">
        <v>3384</v>
      </c>
      <c r="O465" s="3239">
        <v>0</v>
      </c>
      <c r="P465" s="3242">
        <v>0</v>
      </c>
      <c r="Q465" s="3244"/>
      <c r="R465" s="3244"/>
      <c r="S465" s="3242">
        <v>0</v>
      </c>
      <c r="T465" s="3244"/>
      <c r="U465" s="3244"/>
      <c r="V465" s="3244"/>
      <c r="W465" s="3240">
        <v>0</v>
      </c>
      <c r="X465" s="3244"/>
      <c r="Y465" s="3244"/>
      <c r="Z465" s="3242" t="s">
        <v>3384</v>
      </c>
      <c r="AA465" s="3243">
        <v>0</v>
      </c>
      <c r="AB465" s="3242">
        <v>0</v>
      </c>
      <c r="AC465" s="3244"/>
      <c r="AD465" s="3244"/>
      <c r="AE465" s="3242">
        <v>0</v>
      </c>
      <c r="AF465" s="3259"/>
      <c r="AG465" s="3260"/>
      <c r="AH465" s="3250"/>
      <c r="AI465" s="3260"/>
      <c r="AJ465" s="3260"/>
      <c r="AK465" s="3260"/>
      <c r="AL465" s="3259"/>
      <c r="AM465" s="3260"/>
      <c r="AN465" s="3259"/>
      <c r="AO465" s="3260"/>
      <c r="AP465" s="3242">
        <v>0</v>
      </c>
      <c r="AQ465" s="3244"/>
      <c r="AR465" s="3244"/>
      <c r="AS465" s="3242" t="s">
        <v>3384</v>
      </c>
      <c r="AT465" s="3247">
        <f t="shared" si="51"/>
        <v>0</v>
      </c>
      <c r="AU465" s="3248">
        <f t="shared" si="48"/>
        <v>0</v>
      </c>
      <c r="AV465" s="3248">
        <v>0</v>
      </c>
      <c r="AW465" s="3247">
        <v>0</v>
      </c>
      <c r="AX465" s="3248">
        <v>0</v>
      </c>
      <c r="AY465" s="3248">
        <v>0</v>
      </c>
      <c r="AZ465" s="3247">
        <v>0</v>
      </c>
      <c r="BA465" s="3248">
        <v>0</v>
      </c>
      <c r="BB465" s="3248">
        <v>0</v>
      </c>
      <c r="BC465" s="3247">
        <v>0</v>
      </c>
      <c r="BD465" s="3248">
        <v>0</v>
      </c>
      <c r="BE465" s="3248">
        <v>0</v>
      </c>
      <c r="BF465" s="3248">
        <f t="shared" si="49"/>
        <v>0</v>
      </c>
      <c r="BG465" s="3248">
        <f t="shared" si="50"/>
        <v>0</v>
      </c>
      <c r="BH465" s="3249"/>
      <c r="BI465" s="3249"/>
    </row>
    <row r="466" spans="1:61" x14ac:dyDescent="0.3">
      <c r="A466" s="4197" t="s">
        <v>3384</v>
      </c>
      <c r="B466" s="3261"/>
      <c r="C466" s="3243">
        <v>0</v>
      </c>
      <c r="D466" s="3242">
        <v>0</v>
      </c>
      <c r="E466" s="3244"/>
      <c r="F466" s="3244"/>
      <c r="G466" s="3242">
        <v>0</v>
      </c>
      <c r="H466" s="3244"/>
      <c r="I466" s="3244"/>
      <c r="J466" s="3244"/>
      <c r="K466" s="3242">
        <v>0</v>
      </c>
      <c r="L466" s="3244"/>
      <c r="M466" s="3244"/>
      <c r="N466" s="3242" t="s">
        <v>3384</v>
      </c>
      <c r="O466" s="3239">
        <v>0</v>
      </c>
      <c r="P466" s="3242">
        <v>0</v>
      </c>
      <c r="Q466" s="3244"/>
      <c r="R466" s="3244"/>
      <c r="S466" s="3242">
        <v>0</v>
      </c>
      <c r="T466" s="3244"/>
      <c r="U466" s="3244"/>
      <c r="V466" s="3244"/>
      <c r="W466" s="3240">
        <v>0</v>
      </c>
      <c r="X466" s="3244"/>
      <c r="Y466" s="3244"/>
      <c r="Z466" s="3242" t="s">
        <v>3384</v>
      </c>
      <c r="AA466" s="3243">
        <v>0</v>
      </c>
      <c r="AB466" s="3242">
        <v>0</v>
      </c>
      <c r="AC466" s="3244"/>
      <c r="AD466" s="3244"/>
      <c r="AE466" s="3242">
        <v>0</v>
      </c>
      <c r="AF466" s="3259"/>
      <c r="AG466" s="3260"/>
      <c r="AH466" s="3250"/>
      <c r="AI466" s="3260"/>
      <c r="AJ466" s="3260"/>
      <c r="AK466" s="3260"/>
      <c r="AL466" s="3259"/>
      <c r="AM466" s="3260"/>
      <c r="AN466" s="3259"/>
      <c r="AO466" s="3260"/>
      <c r="AP466" s="3242">
        <v>0</v>
      </c>
      <c r="AQ466" s="3244"/>
      <c r="AR466" s="3244"/>
      <c r="AS466" s="3242" t="s">
        <v>3384</v>
      </c>
      <c r="AT466" s="3247">
        <f t="shared" si="51"/>
        <v>0</v>
      </c>
      <c r="AU466" s="3248">
        <f t="shared" si="48"/>
        <v>0</v>
      </c>
      <c r="AV466" s="3248">
        <v>0</v>
      </c>
      <c r="AW466" s="3247">
        <v>0</v>
      </c>
      <c r="AX466" s="3248">
        <v>0</v>
      </c>
      <c r="AY466" s="3248">
        <v>0</v>
      </c>
      <c r="AZ466" s="3247">
        <v>0</v>
      </c>
      <c r="BA466" s="3248">
        <v>0</v>
      </c>
      <c r="BB466" s="3248">
        <v>0</v>
      </c>
      <c r="BC466" s="3247">
        <v>0</v>
      </c>
      <c r="BD466" s="3248">
        <v>0</v>
      </c>
      <c r="BE466" s="3248">
        <v>0</v>
      </c>
      <c r="BF466" s="3248">
        <f t="shared" si="49"/>
        <v>0</v>
      </c>
      <c r="BG466" s="3248">
        <f t="shared" si="50"/>
        <v>0</v>
      </c>
      <c r="BH466" s="3249"/>
      <c r="BI466" s="3249"/>
    </row>
    <row r="467" spans="1:61" x14ac:dyDescent="0.3">
      <c r="A467" s="4197" t="s">
        <v>3384</v>
      </c>
      <c r="B467" s="3261"/>
      <c r="C467" s="3243">
        <v>0</v>
      </c>
      <c r="D467" s="3242">
        <v>0</v>
      </c>
      <c r="E467" s="3244"/>
      <c r="F467" s="3244"/>
      <c r="G467" s="3242">
        <v>0</v>
      </c>
      <c r="H467" s="3244"/>
      <c r="I467" s="3244"/>
      <c r="J467" s="3244"/>
      <c r="K467" s="3242">
        <v>0</v>
      </c>
      <c r="L467" s="3244"/>
      <c r="M467" s="3244"/>
      <c r="N467" s="3242" t="s">
        <v>3384</v>
      </c>
      <c r="O467" s="3239">
        <v>0</v>
      </c>
      <c r="P467" s="3242">
        <v>0</v>
      </c>
      <c r="Q467" s="3244"/>
      <c r="R467" s="3244"/>
      <c r="S467" s="3242">
        <v>0</v>
      </c>
      <c r="T467" s="3244"/>
      <c r="U467" s="3244"/>
      <c r="V467" s="3244"/>
      <c r="W467" s="3240">
        <v>0</v>
      </c>
      <c r="X467" s="3244"/>
      <c r="Y467" s="3244"/>
      <c r="Z467" s="3242" t="s">
        <v>3384</v>
      </c>
      <c r="AA467" s="3243">
        <v>0</v>
      </c>
      <c r="AB467" s="3242">
        <v>0</v>
      </c>
      <c r="AC467" s="3244"/>
      <c r="AD467" s="3244"/>
      <c r="AE467" s="3242">
        <v>0</v>
      </c>
      <c r="AF467" s="3259"/>
      <c r="AG467" s="3260"/>
      <c r="AH467" s="3250"/>
      <c r="AI467" s="3260"/>
      <c r="AJ467" s="3260"/>
      <c r="AK467" s="3260"/>
      <c r="AL467" s="3259"/>
      <c r="AM467" s="3260"/>
      <c r="AN467" s="3259"/>
      <c r="AO467" s="3260"/>
      <c r="AP467" s="3242">
        <v>0</v>
      </c>
      <c r="AQ467" s="3244"/>
      <c r="AR467" s="3244"/>
      <c r="AS467" s="3242" t="s">
        <v>3384</v>
      </c>
      <c r="AT467" s="3247">
        <f t="shared" si="51"/>
        <v>0</v>
      </c>
      <c r="AU467" s="3248">
        <f t="shared" ref="AU467:AU530" si="52">AX467+BA467+BD467</f>
        <v>0</v>
      </c>
      <c r="AV467" s="3248">
        <v>0</v>
      </c>
      <c r="AW467" s="3247">
        <v>0</v>
      </c>
      <c r="AX467" s="3248">
        <v>0</v>
      </c>
      <c r="AY467" s="3248">
        <v>0</v>
      </c>
      <c r="AZ467" s="3247">
        <v>0</v>
      </c>
      <c r="BA467" s="3248">
        <v>0</v>
      </c>
      <c r="BB467" s="3248">
        <v>0</v>
      </c>
      <c r="BC467" s="3247">
        <v>0</v>
      </c>
      <c r="BD467" s="3248">
        <v>0</v>
      </c>
      <c r="BE467" s="3248">
        <v>0</v>
      </c>
      <c r="BF467" s="3248">
        <f t="shared" ref="BF467:BF530" si="53">IFERROR(ROUND(AE467/S467*100,2),0)</f>
        <v>0</v>
      </c>
      <c r="BG467" s="3248">
        <f t="shared" ref="BG467:BG530" si="54">IFERROR(ROUND(AA467/O467*100,2),0)</f>
        <v>0</v>
      </c>
      <c r="BH467" s="3249"/>
      <c r="BI467" s="3249"/>
    </row>
    <row r="468" spans="1:61" x14ac:dyDescent="0.3">
      <c r="A468" s="4197" t="s">
        <v>3384</v>
      </c>
      <c r="B468" s="3261"/>
      <c r="C468" s="3243">
        <v>0</v>
      </c>
      <c r="D468" s="3242">
        <v>0</v>
      </c>
      <c r="E468" s="3244"/>
      <c r="F468" s="3244"/>
      <c r="G468" s="3242">
        <v>0</v>
      </c>
      <c r="H468" s="3244"/>
      <c r="I468" s="3244"/>
      <c r="J468" s="3244"/>
      <c r="K468" s="3242">
        <v>0</v>
      </c>
      <c r="L468" s="3244"/>
      <c r="M468" s="3244"/>
      <c r="N468" s="3242" t="s">
        <v>3384</v>
      </c>
      <c r="O468" s="3239">
        <v>0</v>
      </c>
      <c r="P468" s="3242">
        <v>0</v>
      </c>
      <c r="Q468" s="3244"/>
      <c r="R468" s="3244"/>
      <c r="S468" s="3242">
        <v>0</v>
      </c>
      <c r="T468" s="3244"/>
      <c r="U468" s="3244"/>
      <c r="V468" s="3244"/>
      <c r="W468" s="3240">
        <v>0</v>
      </c>
      <c r="X468" s="3244"/>
      <c r="Y468" s="3244"/>
      <c r="Z468" s="3242" t="s">
        <v>3384</v>
      </c>
      <c r="AA468" s="3243">
        <v>0</v>
      </c>
      <c r="AB468" s="3242">
        <v>0</v>
      </c>
      <c r="AC468" s="3244"/>
      <c r="AD468" s="3244"/>
      <c r="AE468" s="3242">
        <v>0</v>
      </c>
      <c r="AF468" s="3259"/>
      <c r="AG468" s="3260"/>
      <c r="AH468" s="3250"/>
      <c r="AI468" s="3260"/>
      <c r="AJ468" s="3260"/>
      <c r="AK468" s="3260"/>
      <c r="AL468" s="3259"/>
      <c r="AM468" s="3260"/>
      <c r="AN468" s="3259"/>
      <c r="AO468" s="3260"/>
      <c r="AP468" s="3242">
        <v>0</v>
      </c>
      <c r="AQ468" s="3244"/>
      <c r="AR468" s="3244"/>
      <c r="AS468" s="3242" t="s">
        <v>3384</v>
      </c>
      <c r="AT468" s="3247">
        <f t="shared" si="51"/>
        <v>0</v>
      </c>
      <c r="AU468" s="3248">
        <f t="shared" si="52"/>
        <v>0</v>
      </c>
      <c r="AV468" s="3248">
        <v>0</v>
      </c>
      <c r="AW468" s="3247">
        <v>0</v>
      </c>
      <c r="AX468" s="3248">
        <v>0</v>
      </c>
      <c r="AY468" s="3248">
        <v>0</v>
      </c>
      <c r="AZ468" s="3247">
        <v>0</v>
      </c>
      <c r="BA468" s="3248">
        <v>0</v>
      </c>
      <c r="BB468" s="3248">
        <v>0</v>
      </c>
      <c r="BC468" s="3247">
        <v>0</v>
      </c>
      <c r="BD468" s="3248">
        <v>0</v>
      </c>
      <c r="BE468" s="3248">
        <v>0</v>
      </c>
      <c r="BF468" s="3248">
        <f t="shared" si="53"/>
        <v>0</v>
      </c>
      <c r="BG468" s="3248">
        <f t="shared" si="54"/>
        <v>0</v>
      </c>
      <c r="BH468" s="3249"/>
      <c r="BI468" s="3249"/>
    </row>
    <row r="469" spans="1:61" x14ac:dyDescent="0.3">
      <c r="A469" s="4197" t="s">
        <v>3384</v>
      </c>
      <c r="B469" s="3261"/>
      <c r="C469" s="3243">
        <v>0</v>
      </c>
      <c r="D469" s="3242">
        <v>0</v>
      </c>
      <c r="E469" s="3244"/>
      <c r="F469" s="3244"/>
      <c r="G469" s="3242">
        <v>0</v>
      </c>
      <c r="H469" s="3244"/>
      <c r="I469" s="3244"/>
      <c r="J469" s="3244"/>
      <c r="K469" s="3242">
        <v>0</v>
      </c>
      <c r="L469" s="3244"/>
      <c r="M469" s="3244"/>
      <c r="N469" s="3242" t="s">
        <v>3384</v>
      </c>
      <c r="O469" s="3239">
        <v>0</v>
      </c>
      <c r="P469" s="3242">
        <v>0</v>
      </c>
      <c r="Q469" s="3244"/>
      <c r="R469" s="3244"/>
      <c r="S469" s="3242">
        <v>0</v>
      </c>
      <c r="T469" s="3244"/>
      <c r="U469" s="3244"/>
      <c r="V469" s="3244"/>
      <c r="W469" s="3240">
        <v>0</v>
      </c>
      <c r="X469" s="3244"/>
      <c r="Y469" s="3244"/>
      <c r="Z469" s="3242" t="s">
        <v>3384</v>
      </c>
      <c r="AA469" s="3243">
        <v>0</v>
      </c>
      <c r="AB469" s="3242">
        <v>0</v>
      </c>
      <c r="AC469" s="3244"/>
      <c r="AD469" s="3244"/>
      <c r="AE469" s="3242">
        <v>0</v>
      </c>
      <c r="AF469" s="3259"/>
      <c r="AG469" s="3260"/>
      <c r="AH469" s="3250"/>
      <c r="AI469" s="3260"/>
      <c r="AJ469" s="3260"/>
      <c r="AK469" s="3260"/>
      <c r="AL469" s="3259"/>
      <c r="AM469" s="3260"/>
      <c r="AN469" s="3259"/>
      <c r="AO469" s="3260"/>
      <c r="AP469" s="3242">
        <v>0</v>
      </c>
      <c r="AQ469" s="3244"/>
      <c r="AR469" s="3244"/>
      <c r="AS469" s="3242" t="s">
        <v>3384</v>
      </c>
      <c r="AT469" s="3247">
        <f t="shared" si="51"/>
        <v>0</v>
      </c>
      <c r="AU469" s="3248">
        <f t="shared" si="52"/>
        <v>0</v>
      </c>
      <c r="AV469" s="3248">
        <v>0</v>
      </c>
      <c r="AW469" s="3247">
        <v>0</v>
      </c>
      <c r="AX469" s="3248">
        <v>0</v>
      </c>
      <c r="AY469" s="3248">
        <v>0</v>
      </c>
      <c r="AZ469" s="3247">
        <v>0</v>
      </c>
      <c r="BA469" s="3248">
        <v>0</v>
      </c>
      <c r="BB469" s="3248">
        <v>0</v>
      </c>
      <c r="BC469" s="3247">
        <v>0</v>
      </c>
      <c r="BD469" s="3248">
        <v>0</v>
      </c>
      <c r="BE469" s="3248">
        <v>0</v>
      </c>
      <c r="BF469" s="3248">
        <f t="shared" si="53"/>
        <v>0</v>
      </c>
      <c r="BG469" s="3248">
        <f t="shared" si="54"/>
        <v>0</v>
      </c>
      <c r="BH469" s="3249"/>
      <c r="BI469" s="3249"/>
    </row>
    <row r="470" spans="1:61" x14ac:dyDescent="0.3">
      <c r="A470" s="4197" t="s">
        <v>3384</v>
      </c>
      <c r="B470" s="3261"/>
      <c r="C470" s="3243">
        <v>0</v>
      </c>
      <c r="D470" s="3242">
        <v>0</v>
      </c>
      <c r="E470" s="3244"/>
      <c r="F470" s="3244"/>
      <c r="G470" s="3242">
        <v>0</v>
      </c>
      <c r="H470" s="3244"/>
      <c r="I470" s="3244"/>
      <c r="J470" s="3244"/>
      <c r="K470" s="3242">
        <v>0</v>
      </c>
      <c r="L470" s="3244"/>
      <c r="M470" s="3244"/>
      <c r="N470" s="3242" t="s">
        <v>3384</v>
      </c>
      <c r="O470" s="3239">
        <v>0</v>
      </c>
      <c r="P470" s="3242">
        <v>0</v>
      </c>
      <c r="Q470" s="3244"/>
      <c r="R470" s="3244"/>
      <c r="S470" s="3242">
        <v>0</v>
      </c>
      <c r="T470" s="3244"/>
      <c r="U470" s="3244"/>
      <c r="V470" s="3244"/>
      <c r="W470" s="3240">
        <v>0</v>
      </c>
      <c r="X470" s="3244"/>
      <c r="Y470" s="3244"/>
      <c r="Z470" s="3242" t="s">
        <v>3384</v>
      </c>
      <c r="AA470" s="3243">
        <v>0</v>
      </c>
      <c r="AB470" s="3242">
        <v>0</v>
      </c>
      <c r="AC470" s="3244"/>
      <c r="AD470" s="3244"/>
      <c r="AE470" s="3242">
        <v>0</v>
      </c>
      <c r="AF470" s="3259"/>
      <c r="AG470" s="3260"/>
      <c r="AH470" s="3250"/>
      <c r="AI470" s="3260"/>
      <c r="AJ470" s="3260"/>
      <c r="AK470" s="3260"/>
      <c r="AL470" s="3259"/>
      <c r="AM470" s="3260"/>
      <c r="AN470" s="3259"/>
      <c r="AO470" s="3260"/>
      <c r="AP470" s="3242">
        <v>0</v>
      </c>
      <c r="AQ470" s="3244"/>
      <c r="AR470" s="3244"/>
      <c r="AS470" s="3242" t="s">
        <v>3384</v>
      </c>
      <c r="AT470" s="3247">
        <f t="shared" si="51"/>
        <v>0</v>
      </c>
      <c r="AU470" s="3248">
        <f t="shared" si="52"/>
        <v>0</v>
      </c>
      <c r="AV470" s="3248">
        <v>0</v>
      </c>
      <c r="AW470" s="3247">
        <v>0</v>
      </c>
      <c r="AX470" s="3248">
        <v>0</v>
      </c>
      <c r="AY470" s="3248">
        <v>0</v>
      </c>
      <c r="AZ470" s="3247">
        <v>0</v>
      </c>
      <c r="BA470" s="3248">
        <v>0</v>
      </c>
      <c r="BB470" s="3248">
        <v>0</v>
      </c>
      <c r="BC470" s="3247">
        <v>0</v>
      </c>
      <c r="BD470" s="3248">
        <v>0</v>
      </c>
      <c r="BE470" s="3248">
        <v>0</v>
      </c>
      <c r="BF470" s="3248">
        <f t="shared" si="53"/>
        <v>0</v>
      </c>
      <c r="BG470" s="3248">
        <f t="shared" si="54"/>
        <v>0</v>
      </c>
      <c r="BH470" s="3249"/>
      <c r="BI470" s="3249"/>
    </row>
    <row r="471" spans="1:61" x14ac:dyDescent="0.3">
      <c r="A471" s="4197" t="s">
        <v>3384</v>
      </c>
      <c r="B471" s="3261"/>
      <c r="C471" s="3243">
        <v>0</v>
      </c>
      <c r="D471" s="3242">
        <v>0</v>
      </c>
      <c r="E471" s="3244"/>
      <c r="F471" s="3244"/>
      <c r="G471" s="3242">
        <v>0</v>
      </c>
      <c r="H471" s="3244"/>
      <c r="I471" s="3244"/>
      <c r="J471" s="3244"/>
      <c r="K471" s="3242">
        <v>0</v>
      </c>
      <c r="L471" s="3244"/>
      <c r="M471" s="3244"/>
      <c r="N471" s="3242" t="s">
        <v>3384</v>
      </c>
      <c r="O471" s="3239">
        <v>0</v>
      </c>
      <c r="P471" s="3242">
        <v>0</v>
      </c>
      <c r="Q471" s="3244"/>
      <c r="R471" s="3244"/>
      <c r="S471" s="3242">
        <v>0</v>
      </c>
      <c r="T471" s="3244"/>
      <c r="U471" s="3244"/>
      <c r="V471" s="3244"/>
      <c r="W471" s="3240">
        <v>0</v>
      </c>
      <c r="X471" s="3244"/>
      <c r="Y471" s="3244"/>
      <c r="Z471" s="3242" t="s">
        <v>3384</v>
      </c>
      <c r="AA471" s="3243">
        <v>0</v>
      </c>
      <c r="AB471" s="3242">
        <v>0</v>
      </c>
      <c r="AC471" s="3244"/>
      <c r="AD471" s="3244"/>
      <c r="AE471" s="3242">
        <v>0</v>
      </c>
      <c r="AF471" s="3259"/>
      <c r="AG471" s="3260"/>
      <c r="AH471" s="3250"/>
      <c r="AI471" s="3260"/>
      <c r="AJ471" s="3260"/>
      <c r="AK471" s="3260"/>
      <c r="AL471" s="3259"/>
      <c r="AM471" s="3260"/>
      <c r="AN471" s="3259"/>
      <c r="AO471" s="3260"/>
      <c r="AP471" s="3242">
        <v>0</v>
      </c>
      <c r="AQ471" s="3244"/>
      <c r="AR471" s="3244"/>
      <c r="AS471" s="3242" t="s">
        <v>3384</v>
      </c>
      <c r="AT471" s="3247">
        <f t="shared" si="51"/>
        <v>0</v>
      </c>
      <c r="AU471" s="3248">
        <f t="shared" si="52"/>
        <v>0</v>
      </c>
      <c r="AV471" s="3248">
        <v>0</v>
      </c>
      <c r="AW471" s="3247">
        <v>0</v>
      </c>
      <c r="AX471" s="3248">
        <v>0</v>
      </c>
      <c r="AY471" s="3248">
        <v>0</v>
      </c>
      <c r="AZ471" s="3247">
        <v>0</v>
      </c>
      <c r="BA471" s="3248">
        <v>0</v>
      </c>
      <c r="BB471" s="3248">
        <v>0</v>
      </c>
      <c r="BC471" s="3247">
        <v>0</v>
      </c>
      <c r="BD471" s="3248">
        <v>0</v>
      </c>
      <c r="BE471" s="3248">
        <v>0</v>
      </c>
      <c r="BF471" s="3248">
        <f t="shared" si="53"/>
        <v>0</v>
      </c>
      <c r="BG471" s="3248">
        <f t="shared" si="54"/>
        <v>0</v>
      </c>
      <c r="BH471" s="3249"/>
      <c r="BI471" s="3249"/>
    </row>
    <row r="472" spans="1:61" x14ac:dyDescent="0.3">
      <c r="A472" s="4197" t="s">
        <v>3384</v>
      </c>
      <c r="B472" s="3261"/>
      <c r="C472" s="3243">
        <v>0</v>
      </c>
      <c r="D472" s="3242">
        <v>0</v>
      </c>
      <c r="E472" s="3244"/>
      <c r="F472" s="3244"/>
      <c r="G472" s="3242">
        <v>0</v>
      </c>
      <c r="H472" s="3244"/>
      <c r="I472" s="3244"/>
      <c r="J472" s="3244"/>
      <c r="K472" s="3242">
        <v>0</v>
      </c>
      <c r="L472" s="3244"/>
      <c r="M472" s="3244"/>
      <c r="N472" s="3242" t="s">
        <v>3384</v>
      </c>
      <c r="O472" s="3239">
        <v>0</v>
      </c>
      <c r="P472" s="3242">
        <v>0</v>
      </c>
      <c r="Q472" s="3244"/>
      <c r="R472" s="3244"/>
      <c r="S472" s="3242">
        <v>0</v>
      </c>
      <c r="T472" s="3244"/>
      <c r="U472" s="3244"/>
      <c r="V472" s="3244"/>
      <c r="W472" s="3240">
        <v>0</v>
      </c>
      <c r="X472" s="3244"/>
      <c r="Y472" s="3244"/>
      <c r="Z472" s="3242" t="s">
        <v>3384</v>
      </c>
      <c r="AA472" s="3243">
        <v>0</v>
      </c>
      <c r="AB472" s="3242">
        <v>0</v>
      </c>
      <c r="AC472" s="3244"/>
      <c r="AD472" s="3244"/>
      <c r="AE472" s="3242">
        <v>0</v>
      </c>
      <c r="AF472" s="3259"/>
      <c r="AG472" s="3260"/>
      <c r="AH472" s="3250"/>
      <c r="AI472" s="3260"/>
      <c r="AJ472" s="3260"/>
      <c r="AK472" s="3260"/>
      <c r="AL472" s="3259"/>
      <c r="AM472" s="3260"/>
      <c r="AN472" s="3259"/>
      <c r="AO472" s="3260"/>
      <c r="AP472" s="3242">
        <v>0</v>
      </c>
      <c r="AQ472" s="3244"/>
      <c r="AR472" s="3244"/>
      <c r="AS472" s="3242" t="s">
        <v>3384</v>
      </c>
      <c r="AT472" s="3247">
        <f t="shared" si="51"/>
        <v>0</v>
      </c>
      <c r="AU472" s="3248">
        <f t="shared" si="52"/>
        <v>0</v>
      </c>
      <c r="AV472" s="3248">
        <v>0</v>
      </c>
      <c r="AW472" s="3247">
        <v>0</v>
      </c>
      <c r="AX472" s="3248">
        <v>0</v>
      </c>
      <c r="AY472" s="3248">
        <v>0</v>
      </c>
      <c r="AZ472" s="3247">
        <v>0</v>
      </c>
      <c r="BA472" s="3248">
        <v>0</v>
      </c>
      <c r="BB472" s="3248">
        <v>0</v>
      </c>
      <c r="BC472" s="3247">
        <v>0</v>
      </c>
      <c r="BD472" s="3248">
        <v>0</v>
      </c>
      <c r="BE472" s="3248">
        <v>0</v>
      </c>
      <c r="BF472" s="3248">
        <f t="shared" si="53"/>
        <v>0</v>
      </c>
      <c r="BG472" s="3248">
        <f t="shared" si="54"/>
        <v>0</v>
      </c>
      <c r="BH472" s="3249"/>
      <c r="BI472" s="3249"/>
    </row>
    <row r="473" spans="1:61" x14ac:dyDescent="0.3">
      <c r="A473" s="4197" t="s">
        <v>3384</v>
      </c>
      <c r="B473" s="3261"/>
      <c r="C473" s="3243">
        <v>0</v>
      </c>
      <c r="D473" s="3242">
        <v>0</v>
      </c>
      <c r="E473" s="3244"/>
      <c r="F473" s="3244"/>
      <c r="G473" s="3242">
        <v>0</v>
      </c>
      <c r="H473" s="3244"/>
      <c r="I473" s="3244"/>
      <c r="J473" s="3244"/>
      <c r="K473" s="3242">
        <v>0</v>
      </c>
      <c r="L473" s="3244"/>
      <c r="M473" s="3244"/>
      <c r="N473" s="3242" t="s">
        <v>3384</v>
      </c>
      <c r="O473" s="3239">
        <v>0</v>
      </c>
      <c r="P473" s="3242">
        <v>0</v>
      </c>
      <c r="Q473" s="3244"/>
      <c r="R473" s="3244"/>
      <c r="S473" s="3242">
        <v>0</v>
      </c>
      <c r="T473" s="3244"/>
      <c r="U473" s="3244"/>
      <c r="V473" s="3244"/>
      <c r="W473" s="3240">
        <v>0</v>
      </c>
      <c r="X473" s="3244"/>
      <c r="Y473" s="3244"/>
      <c r="Z473" s="3242" t="s">
        <v>3384</v>
      </c>
      <c r="AA473" s="3243">
        <v>0</v>
      </c>
      <c r="AB473" s="3242">
        <v>0</v>
      </c>
      <c r="AC473" s="3244"/>
      <c r="AD473" s="3244"/>
      <c r="AE473" s="3242">
        <v>0</v>
      </c>
      <c r="AF473" s="3259"/>
      <c r="AG473" s="3260"/>
      <c r="AH473" s="3250"/>
      <c r="AI473" s="3260"/>
      <c r="AJ473" s="3260"/>
      <c r="AK473" s="3260"/>
      <c r="AL473" s="3259"/>
      <c r="AM473" s="3260"/>
      <c r="AN473" s="3259"/>
      <c r="AO473" s="3260"/>
      <c r="AP473" s="3242">
        <v>0</v>
      </c>
      <c r="AQ473" s="3244"/>
      <c r="AR473" s="3244"/>
      <c r="AS473" s="3242" t="s">
        <v>3384</v>
      </c>
      <c r="AT473" s="3247">
        <f t="shared" si="51"/>
        <v>0</v>
      </c>
      <c r="AU473" s="3248">
        <f t="shared" si="52"/>
        <v>0</v>
      </c>
      <c r="AV473" s="3248">
        <v>0</v>
      </c>
      <c r="AW473" s="3247">
        <v>0</v>
      </c>
      <c r="AX473" s="3248">
        <v>0</v>
      </c>
      <c r="AY473" s="3248">
        <v>0</v>
      </c>
      <c r="AZ473" s="3247">
        <v>0</v>
      </c>
      <c r="BA473" s="3248">
        <v>0</v>
      </c>
      <c r="BB473" s="3248">
        <v>0</v>
      </c>
      <c r="BC473" s="3247">
        <v>0</v>
      </c>
      <c r="BD473" s="3248">
        <v>0</v>
      </c>
      <c r="BE473" s="3248">
        <v>0</v>
      </c>
      <c r="BF473" s="3248">
        <f t="shared" si="53"/>
        <v>0</v>
      </c>
      <c r="BG473" s="3248">
        <f t="shared" si="54"/>
        <v>0</v>
      </c>
      <c r="BH473" s="3249"/>
      <c r="BI473" s="3249"/>
    </row>
    <row r="474" spans="1:61" x14ac:dyDescent="0.3">
      <c r="A474" s="4197" t="s">
        <v>3384</v>
      </c>
      <c r="B474" s="3261"/>
      <c r="C474" s="3243">
        <v>0</v>
      </c>
      <c r="D474" s="3242">
        <v>0</v>
      </c>
      <c r="E474" s="3244"/>
      <c r="F474" s="3244"/>
      <c r="G474" s="3242">
        <v>0</v>
      </c>
      <c r="H474" s="3244"/>
      <c r="I474" s="3244"/>
      <c r="J474" s="3244"/>
      <c r="K474" s="3242">
        <v>0</v>
      </c>
      <c r="L474" s="3244"/>
      <c r="M474" s="3244"/>
      <c r="N474" s="3242" t="s">
        <v>3384</v>
      </c>
      <c r="O474" s="3239">
        <v>0</v>
      </c>
      <c r="P474" s="3242">
        <v>0</v>
      </c>
      <c r="Q474" s="3244"/>
      <c r="R474" s="3244"/>
      <c r="S474" s="3242">
        <v>0</v>
      </c>
      <c r="T474" s="3244"/>
      <c r="U474" s="3244"/>
      <c r="V474" s="3244"/>
      <c r="W474" s="3240">
        <v>0</v>
      </c>
      <c r="X474" s="3244"/>
      <c r="Y474" s="3244"/>
      <c r="Z474" s="3242" t="s">
        <v>3384</v>
      </c>
      <c r="AA474" s="3243">
        <v>0</v>
      </c>
      <c r="AB474" s="3242">
        <v>0</v>
      </c>
      <c r="AC474" s="3244"/>
      <c r="AD474" s="3244"/>
      <c r="AE474" s="3242">
        <v>0</v>
      </c>
      <c r="AF474" s="3259"/>
      <c r="AG474" s="3260"/>
      <c r="AH474" s="3250"/>
      <c r="AI474" s="3260"/>
      <c r="AJ474" s="3260"/>
      <c r="AK474" s="3260"/>
      <c r="AL474" s="3259"/>
      <c r="AM474" s="3260"/>
      <c r="AN474" s="3259"/>
      <c r="AO474" s="3260"/>
      <c r="AP474" s="3242">
        <v>0</v>
      </c>
      <c r="AQ474" s="3244"/>
      <c r="AR474" s="3244"/>
      <c r="AS474" s="3242" t="s">
        <v>3384</v>
      </c>
      <c r="AT474" s="3247">
        <f t="shared" si="51"/>
        <v>0</v>
      </c>
      <c r="AU474" s="3248">
        <f t="shared" si="52"/>
        <v>0</v>
      </c>
      <c r="AV474" s="3248">
        <v>0</v>
      </c>
      <c r="AW474" s="3247">
        <v>0</v>
      </c>
      <c r="AX474" s="3248">
        <v>0</v>
      </c>
      <c r="AY474" s="3248">
        <v>0</v>
      </c>
      <c r="AZ474" s="3247">
        <v>0</v>
      </c>
      <c r="BA474" s="3248">
        <v>0</v>
      </c>
      <c r="BB474" s="3248">
        <v>0</v>
      </c>
      <c r="BC474" s="3247">
        <v>0</v>
      </c>
      <c r="BD474" s="3248">
        <v>0</v>
      </c>
      <c r="BE474" s="3248">
        <v>0</v>
      </c>
      <c r="BF474" s="3248">
        <f t="shared" si="53"/>
        <v>0</v>
      </c>
      <c r="BG474" s="3248">
        <f t="shared" si="54"/>
        <v>0</v>
      </c>
      <c r="BH474" s="3249"/>
      <c r="BI474" s="3249"/>
    </row>
    <row r="475" spans="1:61" x14ac:dyDescent="0.3">
      <c r="A475" s="4197" t="s">
        <v>3384</v>
      </c>
      <c r="B475" s="3261"/>
      <c r="C475" s="3243">
        <v>0</v>
      </c>
      <c r="D475" s="3242">
        <v>0</v>
      </c>
      <c r="E475" s="3244"/>
      <c r="F475" s="3244"/>
      <c r="G475" s="3242">
        <v>0</v>
      </c>
      <c r="H475" s="3244"/>
      <c r="I475" s="3244"/>
      <c r="J475" s="3244"/>
      <c r="K475" s="3242">
        <v>0</v>
      </c>
      <c r="L475" s="3244"/>
      <c r="M475" s="3244"/>
      <c r="N475" s="3242" t="s">
        <v>3384</v>
      </c>
      <c r="O475" s="3239">
        <v>0</v>
      </c>
      <c r="P475" s="3242">
        <v>0</v>
      </c>
      <c r="Q475" s="3244"/>
      <c r="R475" s="3244"/>
      <c r="S475" s="3242">
        <v>0</v>
      </c>
      <c r="T475" s="3244"/>
      <c r="U475" s="3244"/>
      <c r="V475" s="3244"/>
      <c r="W475" s="3240">
        <v>0</v>
      </c>
      <c r="X475" s="3244"/>
      <c r="Y475" s="3244"/>
      <c r="Z475" s="3242" t="s">
        <v>3384</v>
      </c>
      <c r="AA475" s="3243">
        <v>0</v>
      </c>
      <c r="AB475" s="3242">
        <v>0</v>
      </c>
      <c r="AC475" s="3244"/>
      <c r="AD475" s="3244"/>
      <c r="AE475" s="3242">
        <v>0</v>
      </c>
      <c r="AF475" s="3259"/>
      <c r="AG475" s="3260"/>
      <c r="AH475" s="3250"/>
      <c r="AI475" s="3260"/>
      <c r="AJ475" s="3260"/>
      <c r="AK475" s="3260"/>
      <c r="AL475" s="3259"/>
      <c r="AM475" s="3260"/>
      <c r="AN475" s="3259"/>
      <c r="AO475" s="3260"/>
      <c r="AP475" s="3242">
        <v>0</v>
      </c>
      <c r="AQ475" s="3244"/>
      <c r="AR475" s="3244"/>
      <c r="AS475" s="3242" t="s">
        <v>3384</v>
      </c>
      <c r="AT475" s="3247">
        <f t="shared" si="51"/>
        <v>0</v>
      </c>
      <c r="AU475" s="3248">
        <f t="shared" si="52"/>
        <v>0</v>
      </c>
      <c r="AV475" s="3248">
        <v>0</v>
      </c>
      <c r="AW475" s="3247">
        <v>0</v>
      </c>
      <c r="AX475" s="3248">
        <v>0</v>
      </c>
      <c r="AY475" s="3248">
        <v>0</v>
      </c>
      <c r="AZ475" s="3247">
        <v>0</v>
      </c>
      <c r="BA475" s="3248">
        <v>0</v>
      </c>
      <c r="BB475" s="3248">
        <v>0</v>
      </c>
      <c r="BC475" s="3247">
        <v>0</v>
      </c>
      <c r="BD475" s="3248">
        <v>0</v>
      </c>
      <c r="BE475" s="3248">
        <v>0</v>
      </c>
      <c r="BF475" s="3248">
        <f t="shared" si="53"/>
        <v>0</v>
      </c>
      <c r="BG475" s="3248">
        <f t="shared" si="54"/>
        <v>0</v>
      </c>
      <c r="BH475" s="3249"/>
      <c r="BI475" s="3249"/>
    </row>
    <row r="476" spans="1:61" x14ac:dyDescent="0.3">
      <c r="A476" s="4197" t="s">
        <v>3384</v>
      </c>
      <c r="B476" s="3261"/>
      <c r="C476" s="3243">
        <v>0</v>
      </c>
      <c r="D476" s="3242">
        <v>0</v>
      </c>
      <c r="E476" s="3244"/>
      <c r="F476" s="3244"/>
      <c r="G476" s="3242">
        <v>0</v>
      </c>
      <c r="H476" s="3244"/>
      <c r="I476" s="3244"/>
      <c r="J476" s="3244"/>
      <c r="K476" s="3242">
        <v>0</v>
      </c>
      <c r="L476" s="3244"/>
      <c r="M476" s="3244"/>
      <c r="N476" s="3242" t="s">
        <v>3384</v>
      </c>
      <c r="O476" s="3239">
        <v>0</v>
      </c>
      <c r="P476" s="3242">
        <v>0</v>
      </c>
      <c r="Q476" s="3244"/>
      <c r="R476" s="3244"/>
      <c r="S476" s="3242">
        <v>0</v>
      </c>
      <c r="T476" s="3244"/>
      <c r="U476" s="3244"/>
      <c r="V476" s="3244"/>
      <c r="W476" s="3240">
        <v>0</v>
      </c>
      <c r="X476" s="3244"/>
      <c r="Y476" s="3244"/>
      <c r="Z476" s="3242" t="s">
        <v>3384</v>
      </c>
      <c r="AA476" s="3243">
        <v>0</v>
      </c>
      <c r="AB476" s="3242">
        <v>0</v>
      </c>
      <c r="AC476" s="3244"/>
      <c r="AD476" s="3244"/>
      <c r="AE476" s="3242">
        <v>0</v>
      </c>
      <c r="AF476" s="3259"/>
      <c r="AG476" s="3260"/>
      <c r="AH476" s="3250"/>
      <c r="AI476" s="3260"/>
      <c r="AJ476" s="3260"/>
      <c r="AK476" s="3260"/>
      <c r="AL476" s="3259"/>
      <c r="AM476" s="3260"/>
      <c r="AN476" s="3259"/>
      <c r="AO476" s="3260"/>
      <c r="AP476" s="3242">
        <v>0</v>
      </c>
      <c r="AQ476" s="3244"/>
      <c r="AR476" s="3244"/>
      <c r="AS476" s="3242" t="s">
        <v>3384</v>
      </c>
      <c r="AT476" s="3247">
        <f t="shared" si="51"/>
        <v>0</v>
      </c>
      <c r="AU476" s="3248">
        <f t="shared" si="52"/>
        <v>0</v>
      </c>
      <c r="AV476" s="3248">
        <v>0</v>
      </c>
      <c r="AW476" s="3247">
        <v>0</v>
      </c>
      <c r="AX476" s="3248">
        <v>0</v>
      </c>
      <c r="AY476" s="3248">
        <v>0</v>
      </c>
      <c r="AZ476" s="3247">
        <v>0</v>
      </c>
      <c r="BA476" s="3248">
        <v>0</v>
      </c>
      <c r="BB476" s="3248">
        <v>0</v>
      </c>
      <c r="BC476" s="3247">
        <v>0</v>
      </c>
      <c r="BD476" s="3248">
        <v>0</v>
      </c>
      <c r="BE476" s="3248">
        <v>0</v>
      </c>
      <c r="BF476" s="3248">
        <f t="shared" si="53"/>
        <v>0</v>
      </c>
      <c r="BG476" s="3248">
        <f t="shared" si="54"/>
        <v>0</v>
      </c>
      <c r="BH476" s="3249"/>
      <c r="BI476" s="3249"/>
    </row>
    <row r="477" spans="1:61" x14ac:dyDescent="0.3">
      <c r="A477" s="4197" t="s">
        <v>3384</v>
      </c>
      <c r="B477" s="3261"/>
      <c r="C477" s="3243">
        <v>0</v>
      </c>
      <c r="D477" s="3242">
        <v>0</v>
      </c>
      <c r="E477" s="3244"/>
      <c r="F477" s="3244"/>
      <c r="G477" s="3242">
        <v>0</v>
      </c>
      <c r="H477" s="3244"/>
      <c r="I477" s="3244"/>
      <c r="J477" s="3244"/>
      <c r="K477" s="3242">
        <v>0</v>
      </c>
      <c r="L477" s="3244"/>
      <c r="M477" s="3244"/>
      <c r="N477" s="3242" t="s">
        <v>3384</v>
      </c>
      <c r="O477" s="3239">
        <v>0</v>
      </c>
      <c r="P477" s="3242">
        <v>0</v>
      </c>
      <c r="Q477" s="3244"/>
      <c r="R477" s="3244"/>
      <c r="S477" s="3242">
        <v>0</v>
      </c>
      <c r="T477" s="3244"/>
      <c r="U477" s="3244"/>
      <c r="V477" s="3244"/>
      <c r="W477" s="3240">
        <v>0</v>
      </c>
      <c r="X477" s="3244"/>
      <c r="Y477" s="3244"/>
      <c r="Z477" s="3242" t="s">
        <v>3384</v>
      </c>
      <c r="AA477" s="3243">
        <v>0</v>
      </c>
      <c r="AB477" s="3242">
        <v>0</v>
      </c>
      <c r="AC477" s="3244"/>
      <c r="AD477" s="3244"/>
      <c r="AE477" s="3242">
        <v>0</v>
      </c>
      <c r="AF477" s="3259"/>
      <c r="AG477" s="3260"/>
      <c r="AH477" s="3250"/>
      <c r="AI477" s="3260"/>
      <c r="AJ477" s="3260"/>
      <c r="AK477" s="3260"/>
      <c r="AL477" s="3259"/>
      <c r="AM477" s="3260"/>
      <c r="AN477" s="3259"/>
      <c r="AO477" s="3260"/>
      <c r="AP477" s="3242">
        <v>0</v>
      </c>
      <c r="AQ477" s="3244"/>
      <c r="AR477" s="3244"/>
      <c r="AS477" s="3242" t="s">
        <v>3384</v>
      </c>
      <c r="AT477" s="3247">
        <f t="shared" si="51"/>
        <v>0</v>
      </c>
      <c r="AU477" s="3248">
        <f t="shared" si="52"/>
        <v>0</v>
      </c>
      <c r="AV477" s="3248">
        <v>0</v>
      </c>
      <c r="AW477" s="3247">
        <v>0</v>
      </c>
      <c r="AX477" s="3248">
        <v>0</v>
      </c>
      <c r="AY477" s="3248">
        <v>0</v>
      </c>
      <c r="AZ477" s="3247">
        <v>0</v>
      </c>
      <c r="BA477" s="3248">
        <v>0</v>
      </c>
      <c r="BB477" s="3248">
        <v>0</v>
      </c>
      <c r="BC477" s="3247">
        <v>0</v>
      </c>
      <c r="BD477" s="3248">
        <v>0</v>
      </c>
      <c r="BE477" s="3248">
        <v>0</v>
      </c>
      <c r="BF477" s="3248">
        <f t="shared" si="53"/>
        <v>0</v>
      </c>
      <c r="BG477" s="3248">
        <f t="shared" si="54"/>
        <v>0</v>
      </c>
      <c r="BH477" s="3249"/>
      <c r="BI477" s="3249"/>
    </row>
    <row r="478" spans="1:61" x14ac:dyDescent="0.3">
      <c r="A478" s="4197" t="s">
        <v>3384</v>
      </c>
      <c r="B478" s="3261"/>
      <c r="C478" s="3243">
        <v>0</v>
      </c>
      <c r="D478" s="3242">
        <v>0</v>
      </c>
      <c r="E478" s="3244"/>
      <c r="F478" s="3244"/>
      <c r="G478" s="3242">
        <v>0</v>
      </c>
      <c r="H478" s="3244"/>
      <c r="I478" s="3244"/>
      <c r="J478" s="3244"/>
      <c r="K478" s="3242">
        <v>0</v>
      </c>
      <c r="L478" s="3244"/>
      <c r="M478" s="3244"/>
      <c r="N478" s="3242" t="s">
        <v>3384</v>
      </c>
      <c r="O478" s="3239">
        <v>0</v>
      </c>
      <c r="P478" s="3242">
        <v>0</v>
      </c>
      <c r="Q478" s="3244"/>
      <c r="R478" s="3244"/>
      <c r="S478" s="3242">
        <v>0</v>
      </c>
      <c r="T478" s="3244"/>
      <c r="U478" s="3244"/>
      <c r="V478" s="3244"/>
      <c r="W478" s="3240">
        <v>0</v>
      </c>
      <c r="X478" s="3244"/>
      <c r="Y478" s="3244"/>
      <c r="Z478" s="3242" t="s">
        <v>3384</v>
      </c>
      <c r="AA478" s="3243">
        <v>0</v>
      </c>
      <c r="AB478" s="3242">
        <v>0</v>
      </c>
      <c r="AC478" s="3244"/>
      <c r="AD478" s="3244"/>
      <c r="AE478" s="3242">
        <v>0</v>
      </c>
      <c r="AF478" s="3259"/>
      <c r="AG478" s="3260"/>
      <c r="AH478" s="3250"/>
      <c r="AI478" s="3260"/>
      <c r="AJ478" s="3260"/>
      <c r="AK478" s="3260"/>
      <c r="AL478" s="3259"/>
      <c r="AM478" s="3260"/>
      <c r="AN478" s="3259"/>
      <c r="AO478" s="3260"/>
      <c r="AP478" s="3242">
        <v>0</v>
      </c>
      <c r="AQ478" s="3244"/>
      <c r="AR478" s="3244"/>
      <c r="AS478" s="3242" t="s">
        <v>3384</v>
      </c>
      <c r="AT478" s="3247">
        <f t="shared" si="51"/>
        <v>0</v>
      </c>
      <c r="AU478" s="3248">
        <f t="shared" si="52"/>
        <v>0</v>
      </c>
      <c r="AV478" s="3248">
        <v>0</v>
      </c>
      <c r="AW478" s="3247">
        <v>0</v>
      </c>
      <c r="AX478" s="3248">
        <v>0</v>
      </c>
      <c r="AY478" s="3248">
        <v>0</v>
      </c>
      <c r="AZ478" s="3247">
        <v>0</v>
      </c>
      <c r="BA478" s="3248">
        <v>0</v>
      </c>
      <c r="BB478" s="3248">
        <v>0</v>
      </c>
      <c r="BC478" s="3247">
        <v>0</v>
      </c>
      <c r="BD478" s="3248">
        <v>0</v>
      </c>
      <c r="BE478" s="3248">
        <v>0</v>
      </c>
      <c r="BF478" s="3248">
        <f t="shared" si="53"/>
        <v>0</v>
      </c>
      <c r="BG478" s="3248">
        <f t="shared" si="54"/>
        <v>0</v>
      </c>
      <c r="BH478" s="3249"/>
      <c r="BI478" s="3249"/>
    </row>
    <row r="479" spans="1:61" x14ac:dyDescent="0.3">
      <c r="A479" s="4197" t="s">
        <v>3384</v>
      </c>
      <c r="B479" s="3261"/>
      <c r="C479" s="3243">
        <v>0</v>
      </c>
      <c r="D479" s="3242">
        <v>0</v>
      </c>
      <c r="E479" s="3244"/>
      <c r="F479" s="3244"/>
      <c r="G479" s="3242">
        <v>0</v>
      </c>
      <c r="H479" s="3244"/>
      <c r="I479" s="3244"/>
      <c r="J479" s="3244"/>
      <c r="K479" s="3242">
        <v>0</v>
      </c>
      <c r="L479" s="3244"/>
      <c r="M479" s="3244"/>
      <c r="N479" s="3242" t="s">
        <v>3384</v>
      </c>
      <c r="O479" s="3239">
        <v>0</v>
      </c>
      <c r="P479" s="3242">
        <v>0</v>
      </c>
      <c r="Q479" s="3244"/>
      <c r="R479" s="3244"/>
      <c r="S479" s="3242">
        <v>0</v>
      </c>
      <c r="T479" s="3244"/>
      <c r="U479" s="3244"/>
      <c r="V479" s="3244"/>
      <c r="W479" s="3240">
        <v>0</v>
      </c>
      <c r="X479" s="3244"/>
      <c r="Y479" s="3244"/>
      <c r="Z479" s="3242" t="s">
        <v>3384</v>
      </c>
      <c r="AA479" s="3243">
        <v>0</v>
      </c>
      <c r="AB479" s="3242">
        <v>0</v>
      </c>
      <c r="AC479" s="3244"/>
      <c r="AD479" s="3244"/>
      <c r="AE479" s="3242">
        <v>0</v>
      </c>
      <c r="AF479" s="3259"/>
      <c r="AG479" s="3260"/>
      <c r="AH479" s="3250"/>
      <c r="AI479" s="3260"/>
      <c r="AJ479" s="3260"/>
      <c r="AK479" s="3260"/>
      <c r="AL479" s="3259"/>
      <c r="AM479" s="3260"/>
      <c r="AN479" s="3259"/>
      <c r="AO479" s="3260"/>
      <c r="AP479" s="3242">
        <v>0</v>
      </c>
      <c r="AQ479" s="3244"/>
      <c r="AR479" s="3244"/>
      <c r="AS479" s="3242" t="s">
        <v>3384</v>
      </c>
      <c r="AT479" s="3247">
        <f t="shared" si="51"/>
        <v>0</v>
      </c>
      <c r="AU479" s="3248">
        <f t="shared" si="52"/>
        <v>0</v>
      </c>
      <c r="AV479" s="3248">
        <v>0</v>
      </c>
      <c r="AW479" s="3247">
        <v>0</v>
      </c>
      <c r="AX479" s="3248">
        <v>0</v>
      </c>
      <c r="AY479" s="3248">
        <v>0</v>
      </c>
      <c r="AZ479" s="3247">
        <v>0</v>
      </c>
      <c r="BA479" s="3248">
        <v>0</v>
      </c>
      <c r="BB479" s="3248">
        <v>0</v>
      </c>
      <c r="BC479" s="3247">
        <v>0</v>
      </c>
      <c r="BD479" s="3248">
        <v>0</v>
      </c>
      <c r="BE479" s="3248">
        <v>0</v>
      </c>
      <c r="BF479" s="3248">
        <f t="shared" si="53"/>
        <v>0</v>
      </c>
      <c r="BG479" s="3248">
        <f t="shared" si="54"/>
        <v>0</v>
      </c>
      <c r="BH479" s="3249"/>
      <c r="BI479" s="3249"/>
    </row>
    <row r="480" spans="1:61" x14ac:dyDescent="0.3">
      <c r="A480" s="4197" t="s">
        <v>3384</v>
      </c>
      <c r="B480" s="3261"/>
      <c r="C480" s="3243">
        <v>0</v>
      </c>
      <c r="D480" s="3242">
        <v>0</v>
      </c>
      <c r="E480" s="3244"/>
      <c r="F480" s="3244"/>
      <c r="G480" s="3242">
        <v>0</v>
      </c>
      <c r="H480" s="3244"/>
      <c r="I480" s="3244"/>
      <c r="J480" s="3244"/>
      <c r="K480" s="3242">
        <v>0</v>
      </c>
      <c r="L480" s="3244"/>
      <c r="M480" s="3244"/>
      <c r="N480" s="3242" t="s">
        <v>3384</v>
      </c>
      <c r="O480" s="3239">
        <v>0</v>
      </c>
      <c r="P480" s="3242">
        <v>0</v>
      </c>
      <c r="Q480" s="3244"/>
      <c r="R480" s="3244"/>
      <c r="S480" s="3242">
        <v>0</v>
      </c>
      <c r="T480" s="3244"/>
      <c r="U480" s="3244"/>
      <c r="V480" s="3244"/>
      <c r="W480" s="3240">
        <v>0</v>
      </c>
      <c r="X480" s="3244"/>
      <c r="Y480" s="3244"/>
      <c r="Z480" s="3242" t="s">
        <v>3384</v>
      </c>
      <c r="AA480" s="3243">
        <v>0</v>
      </c>
      <c r="AB480" s="3242">
        <v>0</v>
      </c>
      <c r="AC480" s="3244"/>
      <c r="AD480" s="3244"/>
      <c r="AE480" s="3242">
        <v>0</v>
      </c>
      <c r="AF480" s="3259"/>
      <c r="AG480" s="3260"/>
      <c r="AH480" s="3250"/>
      <c r="AI480" s="3260"/>
      <c r="AJ480" s="3260"/>
      <c r="AK480" s="3260"/>
      <c r="AL480" s="3259"/>
      <c r="AM480" s="3260"/>
      <c r="AN480" s="3259"/>
      <c r="AO480" s="3260"/>
      <c r="AP480" s="3242">
        <v>0</v>
      </c>
      <c r="AQ480" s="3244"/>
      <c r="AR480" s="3244"/>
      <c r="AS480" s="3242" t="s">
        <v>3384</v>
      </c>
      <c r="AT480" s="3247">
        <f t="shared" si="51"/>
        <v>0</v>
      </c>
      <c r="AU480" s="3248">
        <f t="shared" si="52"/>
        <v>0</v>
      </c>
      <c r="AV480" s="3248">
        <v>0</v>
      </c>
      <c r="AW480" s="3247">
        <v>0</v>
      </c>
      <c r="AX480" s="3248">
        <v>0</v>
      </c>
      <c r="AY480" s="3248">
        <v>0</v>
      </c>
      <c r="AZ480" s="3247">
        <v>0</v>
      </c>
      <c r="BA480" s="3248">
        <v>0</v>
      </c>
      <c r="BB480" s="3248">
        <v>0</v>
      </c>
      <c r="BC480" s="3247">
        <v>0</v>
      </c>
      <c r="BD480" s="3248">
        <v>0</v>
      </c>
      <c r="BE480" s="3248">
        <v>0</v>
      </c>
      <c r="BF480" s="3248">
        <f t="shared" si="53"/>
        <v>0</v>
      </c>
      <c r="BG480" s="3248">
        <f t="shared" si="54"/>
        <v>0</v>
      </c>
      <c r="BH480" s="3249"/>
      <c r="BI480" s="3249"/>
    </row>
    <row r="481" spans="1:61" x14ac:dyDescent="0.3">
      <c r="A481" s="4197" t="s">
        <v>3384</v>
      </c>
      <c r="B481" s="3261"/>
      <c r="C481" s="3243">
        <v>0</v>
      </c>
      <c r="D481" s="3242">
        <v>0</v>
      </c>
      <c r="E481" s="3244"/>
      <c r="F481" s="3244"/>
      <c r="G481" s="3242">
        <v>0</v>
      </c>
      <c r="H481" s="3244"/>
      <c r="I481" s="3244"/>
      <c r="J481" s="3244"/>
      <c r="K481" s="3242">
        <v>0</v>
      </c>
      <c r="L481" s="3244"/>
      <c r="M481" s="3244"/>
      <c r="N481" s="3242" t="s">
        <v>3384</v>
      </c>
      <c r="O481" s="3239">
        <v>0</v>
      </c>
      <c r="P481" s="3242">
        <v>0</v>
      </c>
      <c r="Q481" s="3244"/>
      <c r="R481" s="3244"/>
      <c r="S481" s="3242">
        <v>0</v>
      </c>
      <c r="T481" s="3244"/>
      <c r="U481" s="3244"/>
      <c r="V481" s="3244"/>
      <c r="W481" s="3240">
        <v>0</v>
      </c>
      <c r="X481" s="3244"/>
      <c r="Y481" s="3244"/>
      <c r="Z481" s="3242" t="s">
        <v>3384</v>
      </c>
      <c r="AA481" s="3243">
        <v>0</v>
      </c>
      <c r="AB481" s="3242">
        <v>0</v>
      </c>
      <c r="AC481" s="3244"/>
      <c r="AD481" s="3244"/>
      <c r="AE481" s="3242">
        <v>0</v>
      </c>
      <c r="AF481" s="3259"/>
      <c r="AG481" s="3260"/>
      <c r="AH481" s="3250"/>
      <c r="AI481" s="3260"/>
      <c r="AJ481" s="3260"/>
      <c r="AK481" s="3260"/>
      <c r="AL481" s="3259"/>
      <c r="AM481" s="3260"/>
      <c r="AN481" s="3259"/>
      <c r="AO481" s="3260"/>
      <c r="AP481" s="3242">
        <v>0</v>
      </c>
      <c r="AQ481" s="3244"/>
      <c r="AR481" s="3244"/>
      <c r="AS481" s="3242" t="s">
        <v>3384</v>
      </c>
      <c r="AT481" s="3247">
        <f t="shared" si="51"/>
        <v>0</v>
      </c>
      <c r="AU481" s="3248">
        <f t="shared" si="52"/>
        <v>0</v>
      </c>
      <c r="AV481" s="3248">
        <v>0</v>
      </c>
      <c r="AW481" s="3247">
        <v>0</v>
      </c>
      <c r="AX481" s="3248">
        <v>0</v>
      </c>
      <c r="AY481" s="3248">
        <v>0</v>
      </c>
      <c r="AZ481" s="3247">
        <v>0</v>
      </c>
      <c r="BA481" s="3248">
        <v>0</v>
      </c>
      <c r="BB481" s="3248">
        <v>0</v>
      </c>
      <c r="BC481" s="3247">
        <v>0</v>
      </c>
      <c r="BD481" s="3248">
        <v>0</v>
      </c>
      <c r="BE481" s="3248">
        <v>0</v>
      </c>
      <c r="BF481" s="3248">
        <f t="shared" si="53"/>
        <v>0</v>
      </c>
      <c r="BG481" s="3248">
        <f t="shared" si="54"/>
        <v>0</v>
      </c>
      <c r="BH481" s="3249"/>
      <c r="BI481" s="3249"/>
    </row>
    <row r="482" spans="1:61" x14ac:dyDescent="0.3">
      <c r="A482" s="4197" t="s">
        <v>3384</v>
      </c>
      <c r="B482" s="3261"/>
      <c r="C482" s="3243">
        <v>0</v>
      </c>
      <c r="D482" s="3242">
        <v>0</v>
      </c>
      <c r="E482" s="3244"/>
      <c r="F482" s="3244"/>
      <c r="G482" s="3242">
        <v>0</v>
      </c>
      <c r="H482" s="3244"/>
      <c r="I482" s="3244"/>
      <c r="J482" s="3244"/>
      <c r="K482" s="3242">
        <v>0</v>
      </c>
      <c r="L482" s="3244"/>
      <c r="M482" s="3244"/>
      <c r="N482" s="3242" t="s">
        <v>3384</v>
      </c>
      <c r="O482" s="3239">
        <v>0</v>
      </c>
      <c r="P482" s="3242">
        <v>0</v>
      </c>
      <c r="Q482" s="3244"/>
      <c r="R482" s="3244"/>
      <c r="S482" s="3242">
        <v>0</v>
      </c>
      <c r="T482" s="3244"/>
      <c r="U482" s="3244"/>
      <c r="V482" s="3244"/>
      <c r="W482" s="3240">
        <v>0</v>
      </c>
      <c r="X482" s="3244"/>
      <c r="Y482" s="3244"/>
      <c r="Z482" s="3242" t="s">
        <v>3384</v>
      </c>
      <c r="AA482" s="3243">
        <v>0</v>
      </c>
      <c r="AB482" s="3242">
        <v>0</v>
      </c>
      <c r="AC482" s="3244"/>
      <c r="AD482" s="3244"/>
      <c r="AE482" s="3242">
        <v>0</v>
      </c>
      <c r="AF482" s="3259"/>
      <c r="AG482" s="3260"/>
      <c r="AH482" s="3250"/>
      <c r="AI482" s="3260"/>
      <c r="AJ482" s="3260"/>
      <c r="AK482" s="3260"/>
      <c r="AL482" s="3259"/>
      <c r="AM482" s="3260"/>
      <c r="AN482" s="3259"/>
      <c r="AO482" s="3260"/>
      <c r="AP482" s="3242">
        <v>0</v>
      </c>
      <c r="AQ482" s="3244"/>
      <c r="AR482" s="3244"/>
      <c r="AS482" s="3242" t="s">
        <v>3384</v>
      </c>
      <c r="AT482" s="3247">
        <f t="shared" si="51"/>
        <v>0</v>
      </c>
      <c r="AU482" s="3248">
        <f t="shared" si="52"/>
        <v>0</v>
      </c>
      <c r="AV482" s="3248">
        <v>0</v>
      </c>
      <c r="AW482" s="3247">
        <v>0</v>
      </c>
      <c r="AX482" s="3248">
        <v>0</v>
      </c>
      <c r="AY482" s="3248">
        <v>0</v>
      </c>
      <c r="AZ482" s="3247">
        <v>0</v>
      </c>
      <c r="BA482" s="3248">
        <v>0</v>
      </c>
      <c r="BB482" s="3248">
        <v>0</v>
      </c>
      <c r="BC482" s="3247">
        <v>0</v>
      </c>
      <c r="BD482" s="3248">
        <v>0</v>
      </c>
      <c r="BE482" s="3248">
        <v>0</v>
      </c>
      <c r="BF482" s="3248">
        <f t="shared" si="53"/>
        <v>0</v>
      </c>
      <c r="BG482" s="3248">
        <f t="shared" si="54"/>
        <v>0</v>
      </c>
      <c r="BH482" s="3249"/>
      <c r="BI482" s="3249"/>
    </row>
    <row r="483" spans="1:61" x14ac:dyDescent="0.3">
      <c r="A483" s="4197" t="s">
        <v>3384</v>
      </c>
      <c r="B483" s="3261"/>
      <c r="C483" s="3243">
        <v>0</v>
      </c>
      <c r="D483" s="3242">
        <v>0</v>
      </c>
      <c r="E483" s="3244"/>
      <c r="F483" s="3244"/>
      <c r="G483" s="3242">
        <v>0</v>
      </c>
      <c r="H483" s="3244"/>
      <c r="I483" s="3244"/>
      <c r="J483" s="3244"/>
      <c r="K483" s="3242">
        <v>0</v>
      </c>
      <c r="L483" s="3244"/>
      <c r="M483" s="3244"/>
      <c r="N483" s="3242" t="s">
        <v>3384</v>
      </c>
      <c r="O483" s="3239">
        <v>0</v>
      </c>
      <c r="P483" s="3242">
        <v>0</v>
      </c>
      <c r="Q483" s="3244"/>
      <c r="R483" s="3244"/>
      <c r="S483" s="3242">
        <v>0</v>
      </c>
      <c r="T483" s="3244"/>
      <c r="U483" s="3244"/>
      <c r="V483" s="3244"/>
      <c r="W483" s="3240">
        <v>0</v>
      </c>
      <c r="X483" s="3244"/>
      <c r="Y483" s="3244"/>
      <c r="Z483" s="3242" t="s">
        <v>3384</v>
      </c>
      <c r="AA483" s="3243">
        <v>0</v>
      </c>
      <c r="AB483" s="3242">
        <v>0</v>
      </c>
      <c r="AC483" s="3244"/>
      <c r="AD483" s="3244"/>
      <c r="AE483" s="3242">
        <v>0</v>
      </c>
      <c r="AF483" s="3259"/>
      <c r="AG483" s="3260"/>
      <c r="AH483" s="3250"/>
      <c r="AI483" s="3260"/>
      <c r="AJ483" s="3260"/>
      <c r="AK483" s="3260"/>
      <c r="AL483" s="3259"/>
      <c r="AM483" s="3260"/>
      <c r="AN483" s="3259"/>
      <c r="AO483" s="3260"/>
      <c r="AP483" s="3242">
        <v>0</v>
      </c>
      <c r="AQ483" s="3244"/>
      <c r="AR483" s="3244"/>
      <c r="AS483" s="3242" t="s">
        <v>3384</v>
      </c>
      <c r="AT483" s="3247">
        <f t="shared" si="51"/>
        <v>0</v>
      </c>
      <c r="AU483" s="3248">
        <f t="shared" si="52"/>
        <v>0</v>
      </c>
      <c r="AV483" s="3248">
        <v>0</v>
      </c>
      <c r="AW483" s="3247">
        <v>0</v>
      </c>
      <c r="AX483" s="3248">
        <v>0</v>
      </c>
      <c r="AY483" s="3248">
        <v>0</v>
      </c>
      <c r="AZ483" s="3247">
        <v>0</v>
      </c>
      <c r="BA483" s="3248">
        <v>0</v>
      </c>
      <c r="BB483" s="3248">
        <v>0</v>
      </c>
      <c r="BC483" s="3247">
        <v>0</v>
      </c>
      <c r="BD483" s="3248">
        <v>0</v>
      </c>
      <c r="BE483" s="3248">
        <v>0</v>
      </c>
      <c r="BF483" s="3248">
        <f t="shared" si="53"/>
        <v>0</v>
      </c>
      <c r="BG483" s="3248">
        <f t="shared" si="54"/>
        <v>0</v>
      </c>
      <c r="BH483" s="3249"/>
      <c r="BI483" s="3249"/>
    </row>
    <row r="484" spans="1:61" x14ac:dyDescent="0.3">
      <c r="A484" s="4197" t="s">
        <v>3384</v>
      </c>
      <c r="B484" s="3261"/>
      <c r="C484" s="3243">
        <v>0</v>
      </c>
      <c r="D484" s="3242">
        <v>0</v>
      </c>
      <c r="E484" s="3244"/>
      <c r="F484" s="3244"/>
      <c r="G484" s="3242">
        <v>0</v>
      </c>
      <c r="H484" s="3244"/>
      <c r="I484" s="3244"/>
      <c r="J484" s="3244"/>
      <c r="K484" s="3242">
        <v>0</v>
      </c>
      <c r="L484" s="3244"/>
      <c r="M484" s="3244"/>
      <c r="N484" s="3242" t="s">
        <v>3384</v>
      </c>
      <c r="O484" s="3239">
        <v>0</v>
      </c>
      <c r="P484" s="3242">
        <v>0</v>
      </c>
      <c r="Q484" s="3244"/>
      <c r="R484" s="3244"/>
      <c r="S484" s="3242">
        <v>0</v>
      </c>
      <c r="T484" s="3244"/>
      <c r="U484" s="3244"/>
      <c r="V484" s="3244"/>
      <c r="W484" s="3240">
        <v>0</v>
      </c>
      <c r="X484" s="3244"/>
      <c r="Y484" s="3244"/>
      <c r="Z484" s="3242" t="s">
        <v>3384</v>
      </c>
      <c r="AA484" s="3243">
        <v>0</v>
      </c>
      <c r="AB484" s="3242">
        <v>0</v>
      </c>
      <c r="AC484" s="3244"/>
      <c r="AD484" s="3244"/>
      <c r="AE484" s="3242">
        <v>0</v>
      </c>
      <c r="AF484" s="3259"/>
      <c r="AG484" s="3260"/>
      <c r="AH484" s="3250"/>
      <c r="AI484" s="3260"/>
      <c r="AJ484" s="3260"/>
      <c r="AK484" s="3260"/>
      <c r="AL484" s="3259"/>
      <c r="AM484" s="3260"/>
      <c r="AN484" s="3259"/>
      <c r="AO484" s="3260"/>
      <c r="AP484" s="3242">
        <v>0</v>
      </c>
      <c r="AQ484" s="3244"/>
      <c r="AR484" s="3244"/>
      <c r="AS484" s="3242" t="s">
        <v>3384</v>
      </c>
      <c r="AT484" s="3247">
        <f t="shared" si="51"/>
        <v>0</v>
      </c>
      <c r="AU484" s="3248">
        <f t="shared" si="52"/>
        <v>0</v>
      </c>
      <c r="AV484" s="3248">
        <v>0</v>
      </c>
      <c r="AW484" s="3247">
        <v>0</v>
      </c>
      <c r="AX484" s="3248">
        <v>0</v>
      </c>
      <c r="AY484" s="3248">
        <v>0</v>
      </c>
      <c r="AZ484" s="3247">
        <v>0</v>
      </c>
      <c r="BA484" s="3248">
        <v>0</v>
      </c>
      <c r="BB484" s="3248">
        <v>0</v>
      </c>
      <c r="BC484" s="3247">
        <v>0</v>
      </c>
      <c r="BD484" s="3248">
        <v>0</v>
      </c>
      <c r="BE484" s="3248">
        <v>0</v>
      </c>
      <c r="BF484" s="3248">
        <f t="shared" si="53"/>
        <v>0</v>
      </c>
      <c r="BG484" s="3248">
        <f t="shared" si="54"/>
        <v>0</v>
      </c>
      <c r="BH484" s="3249"/>
      <c r="BI484" s="3249"/>
    </row>
    <row r="485" spans="1:61" x14ac:dyDescent="0.3">
      <c r="A485" s="4197" t="s">
        <v>3384</v>
      </c>
      <c r="B485" s="3261"/>
      <c r="C485" s="3243">
        <v>0</v>
      </c>
      <c r="D485" s="3242">
        <v>0</v>
      </c>
      <c r="E485" s="3244"/>
      <c r="F485" s="3244"/>
      <c r="G485" s="3242">
        <v>0</v>
      </c>
      <c r="H485" s="3244"/>
      <c r="I485" s="3244"/>
      <c r="J485" s="3244"/>
      <c r="K485" s="3242">
        <v>0</v>
      </c>
      <c r="L485" s="3244"/>
      <c r="M485" s="3244"/>
      <c r="N485" s="3242" t="s">
        <v>3384</v>
      </c>
      <c r="O485" s="3239">
        <v>0</v>
      </c>
      <c r="P485" s="3242">
        <v>0</v>
      </c>
      <c r="Q485" s="3244"/>
      <c r="R485" s="3244"/>
      <c r="S485" s="3242">
        <v>0</v>
      </c>
      <c r="T485" s="3244"/>
      <c r="U485" s="3244"/>
      <c r="V485" s="3244"/>
      <c r="W485" s="3240">
        <v>0</v>
      </c>
      <c r="X485" s="3244"/>
      <c r="Y485" s="3244"/>
      <c r="Z485" s="3242" t="s">
        <v>3384</v>
      </c>
      <c r="AA485" s="3243">
        <v>0</v>
      </c>
      <c r="AB485" s="3242">
        <v>0</v>
      </c>
      <c r="AC485" s="3244"/>
      <c r="AD485" s="3244"/>
      <c r="AE485" s="3242">
        <v>0</v>
      </c>
      <c r="AF485" s="3259"/>
      <c r="AG485" s="3260"/>
      <c r="AH485" s="3250"/>
      <c r="AI485" s="3260"/>
      <c r="AJ485" s="3260"/>
      <c r="AK485" s="3260"/>
      <c r="AL485" s="3259"/>
      <c r="AM485" s="3260"/>
      <c r="AN485" s="3259"/>
      <c r="AO485" s="3260"/>
      <c r="AP485" s="3242">
        <v>0</v>
      </c>
      <c r="AQ485" s="3244"/>
      <c r="AR485" s="3244"/>
      <c r="AS485" s="3242" t="s">
        <v>3384</v>
      </c>
      <c r="AT485" s="3247">
        <f t="shared" si="51"/>
        <v>0</v>
      </c>
      <c r="AU485" s="3248">
        <f t="shared" si="52"/>
        <v>0</v>
      </c>
      <c r="AV485" s="3248">
        <v>0</v>
      </c>
      <c r="AW485" s="3247">
        <v>0</v>
      </c>
      <c r="AX485" s="3248">
        <v>0</v>
      </c>
      <c r="AY485" s="3248">
        <v>0</v>
      </c>
      <c r="AZ485" s="3247">
        <v>0</v>
      </c>
      <c r="BA485" s="3248">
        <v>0</v>
      </c>
      <c r="BB485" s="3248">
        <v>0</v>
      </c>
      <c r="BC485" s="3247">
        <v>0</v>
      </c>
      <c r="BD485" s="3248">
        <v>0</v>
      </c>
      <c r="BE485" s="3248">
        <v>0</v>
      </c>
      <c r="BF485" s="3248">
        <f t="shared" si="53"/>
        <v>0</v>
      </c>
      <c r="BG485" s="3248">
        <f t="shared" si="54"/>
        <v>0</v>
      </c>
      <c r="BH485" s="3249"/>
      <c r="BI485" s="3249"/>
    </row>
    <row r="486" spans="1:61" x14ac:dyDescent="0.3">
      <c r="A486" s="4197" t="s">
        <v>3384</v>
      </c>
      <c r="B486" s="3261"/>
      <c r="C486" s="3243">
        <v>0</v>
      </c>
      <c r="D486" s="3242">
        <v>0</v>
      </c>
      <c r="E486" s="3244"/>
      <c r="F486" s="3244"/>
      <c r="G486" s="3242">
        <v>0</v>
      </c>
      <c r="H486" s="3244"/>
      <c r="I486" s="3244"/>
      <c r="J486" s="3244"/>
      <c r="K486" s="3242">
        <v>0</v>
      </c>
      <c r="L486" s="3244"/>
      <c r="M486" s="3244"/>
      <c r="N486" s="3242" t="s">
        <v>3384</v>
      </c>
      <c r="O486" s="3239">
        <v>0</v>
      </c>
      <c r="P486" s="3242">
        <v>0</v>
      </c>
      <c r="Q486" s="3244"/>
      <c r="R486" s="3244"/>
      <c r="S486" s="3242">
        <v>0</v>
      </c>
      <c r="T486" s="3244"/>
      <c r="U486" s="3244"/>
      <c r="V486" s="3244"/>
      <c r="W486" s="3240">
        <v>0</v>
      </c>
      <c r="X486" s="3244"/>
      <c r="Y486" s="3244"/>
      <c r="Z486" s="3242" t="s">
        <v>3384</v>
      </c>
      <c r="AA486" s="3243">
        <v>0</v>
      </c>
      <c r="AB486" s="3242">
        <v>0</v>
      </c>
      <c r="AC486" s="3244"/>
      <c r="AD486" s="3244"/>
      <c r="AE486" s="3242">
        <v>0</v>
      </c>
      <c r="AF486" s="3259"/>
      <c r="AG486" s="3260"/>
      <c r="AH486" s="3250"/>
      <c r="AI486" s="3260"/>
      <c r="AJ486" s="3260"/>
      <c r="AK486" s="3260"/>
      <c r="AL486" s="3259"/>
      <c r="AM486" s="3260"/>
      <c r="AN486" s="3259"/>
      <c r="AO486" s="3260"/>
      <c r="AP486" s="3242">
        <v>0</v>
      </c>
      <c r="AQ486" s="3244"/>
      <c r="AR486" s="3244"/>
      <c r="AS486" s="3242" t="s">
        <v>3384</v>
      </c>
      <c r="AT486" s="3247">
        <f t="shared" si="51"/>
        <v>0</v>
      </c>
      <c r="AU486" s="3248">
        <f t="shared" si="52"/>
        <v>0</v>
      </c>
      <c r="AV486" s="3248">
        <v>0</v>
      </c>
      <c r="AW486" s="3247">
        <v>0</v>
      </c>
      <c r="AX486" s="3248">
        <v>0</v>
      </c>
      <c r="AY486" s="3248">
        <v>0</v>
      </c>
      <c r="AZ486" s="3247">
        <v>0</v>
      </c>
      <c r="BA486" s="3248">
        <v>0</v>
      </c>
      <c r="BB486" s="3248">
        <v>0</v>
      </c>
      <c r="BC486" s="3247">
        <v>0</v>
      </c>
      <c r="BD486" s="3248">
        <v>0</v>
      </c>
      <c r="BE486" s="3248">
        <v>0</v>
      </c>
      <c r="BF486" s="3248">
        <f t="shared" si="53"/>
        <v>0</v>
      </c>
      <c r="BG486" s="3248">
        <f t="shared" si="54"/>
        <v>0</v>
      </c>
      <c r="BH486" s="3249"/>
      <c r="BI486" s="3249"/>
    </row>
    <row r="487" spans="1:61" x14ac:dyDescent="0.3">
      <c r="A487" s="4197" t="s">
        <v>3384</v>
      </c>
      <c r="B487" s="3261"/>
      <c r="C487" s="3243">
        <v>0</v>
      </c>
      <c r="D487" s="3242">
        <v>0</v>
      </c>
      <c r="E487" s="3244"/>
      <c r="F487" s="3244"/>
      <c r="G487" s="3242">
        <v>0</v>
      </c>
      <c r="H487" s="3244"/>
      <c r="I487" s="3244"/>
      <c r="J487" s="3244"/>
      <c r="K487" s="3242">
        <v>0</v>
      </c>
      <c r="L487" s="3244"/>
      <c r="M487" s="3244"/>
      <c r="N487" s="3242" t="s">
        <v>3384</v>
      </c>
      <c r="O487" s="3239">
        <v>0</v>
      </c>
      <c r="P487" s="3242">
        <v>0</v>
      </c>
      <c r="Q487" s="3244"/>
      <c r="R487" s="3244"/>
      <c r="S487" s="3242">
        <v>0</v>
      </c>
      <c r="T487" s="3244"/>
      <c r="U487" s="3244"/>
      <c r="V487" s="3244"/>
      <c r="W487" s="3240">
        <v>0</v>
      </c>
      <c r="X487" s="3244"/>
      <c r="Y487" s="3244"/>
      <c r="Z487" s="3242" t="s">
        <v>3384</v>
      </c>
      <c r="AA487" s="3243">
        <v>0</v>
      </c>
      <c r="AB487" s="3242">
        <v>0</v>
      </c>
      <c r="AC487" s="3244"/>
      <c r="AD487" s="3244"/>
      <c r="AE487" s="3242">
        <v>0</v>
      </c>
      <c r="AF487" s="3259"/>
      <c r="AG487" s="3260"/>
      <c r="AH487" s="3250"/>
      <c r="AI487" s="3260"/>
      <c r="AJ487" s="3260"/>
      <c r="AK487" s="3260"/>
      <c r="AL487" s="3259"/>
      <c r="AM487" s="3260"/>
      <c r="AN487" s="3259"/>
      <c r="AO487" s="3260"/>
      <c r="AP487" s="3242">
        <v>0</v>
      </c>
      <c r="AQ487" s="3244"/>
      <c r="AR487" s="3244"/>
      <c r="AS487" s="3242" t="s">
        <v>3384</v>
      </c>
      <c r="AT487" s="3247">
        <f t="shared" si="51"/>
        <v>0</v>
      </c>
      <c r="AU487" s="3248">
        <f t="shared" si="52"/>
        <v>0</v>
      </c>
      <c r="AV487" s="3248">
        <v>0</v>
      </c>
      <c r="AW487" s="3247">
        <v>0</v>
      </c>
      <c r="AX487" s="3248">
        <v>0</v>
      </c>
      <c r="AY487" s="3248">
        <v>0</v>
      </c>
      <c r="AZ487" s="3247">
        <v>0</v>
      </c>
      <c r="BA487" s="3248">
        <v>0</v>
      </c>
      <c r="BB487" s="3248">
        <v>0</v>
      </c>
      <c r="BC487" s="3247">
        <v>0</v>
      </c>
      <c r="BD487" s="3248">
        <v>0</v>
      </c>
      <c r="BE487" s="3248">
        <v>0</v>
      </c>
      <c r="BF487" s="3248">
        <f t="shared" si="53"/>
        <v>0</v>
      </c>
      <c r="BG487" s="3248">
        <f t="shared" si="54"/>
        <v>0</v>
      </c>
      <c r="BH487" s="3249"/>
      <c r="BI487" s="3249"/>
    </row>
    <row r="488" spans="1:61" x14ac:dyDescent="0.3">
      <c r="A488" s="4197" t="s">
        <v>3384</v>
      </c>
      <c r="B488" s="3261"/>
      <c r="C488" s="3243">
        <v>0</v>
      </c>
      <c r="D488" s="3242">
        <v>0</v>
      </c>
      <c r="E488" s="3244"/>
      <c r="F488" s="3244"/>
      <c r="G488" s="3242">
        <v>0</v>
      </c>
      <c r="H488" s="3244"/>
      <c r="I488" s="3244"/>
      <c r="J488" s="3244"/>
      <c r="K488" s="3242">
        <v>0</v>
      </c>
      <c r="L488" s="3244"/>
      <c r="M488" s="3244"/>
      <c r="N488" s="3242" t="s">
        <v>3384</v>
      </c>
      <c r="O488" s="3239">
        <v>0</v>
      </c>
      <c r="P488" s="3242">
        <v>0</v>
      </c>
      <c r="Q488" s="3244"/>
      <c r="R488" s="3244"/>
      <c r="S488" s="3242">
        <v>0</v>
      </c>
      <c r="T488" s="3244"/>
      <c r="U488" s="3244"/>
      <c r="V488" s="3244"/>
      <c r="W488" s="3240">
        <v>0</v>
      </c>
      <c r="X488" s="3244"/>
      <c r="Y488" s="3244"/>
      <c r="Z488" s="3242" t="s">
        <v>3384</v>
      </c>
      <c r="AA488" s="3243">
        <v>0</v>
      </c>
      <c r="AB488" s="3242">
        <v>0</v>
      </c>
      <c r="AC488" s="3244"/>
      <c r="AD488" s="3244"/>
      <c r="AE488" s="3242">
        <v>0</v>
      </c>
      <c r="AF488" s="3259"/>
      <c r="AG488" s="3260"/>
      <c r="AH488" s="3250"/>
      <c r="AI488" s="3260"/>
      <c r="AJ488" s="3260"/>
      <c r="AK488" s="3260"/>
      <c r="AL488" s="3259"/>
      <c r="AM488" s="3260"/>
      <c r="AN488" s="3259"/>
      <c r="AO488" s="3260"/>
      <c r="AP488" s="3242">
        <v>0</v>
      </c>
      <c r="AQ488" s="3244"/>
      <c r="AR488" s="3244"/>
      <c r="AS488" s="3242" t="s">
        <v>3384</v>
      </c>
      <c r="AT488" s="3247">
        <f t="shared" si="51"/>
        <v>0</v>
      </c>
      <c r="AU488" s="3248">
        <f t="shared" si="52"/>
        <v>0</v>
      </c>
      <c r="AV488" s="3248">
        <v>0</v>
      </c>
      <c r="AW488" s="3247">
        <v>0</v>
      </c>
      <c r="AX488" s="3248">
        <v>0</v>
      </c>
      <c r="AY488" s="3248">
        <v>0</v>
      </c>
      <c r="AZ488" s="3247">
        <v>0</v>
      </c>
      <c r="BA488" s="3248">
        <v>0</v>
      </c>
      <c r="BB488" s="3248">
        <v>0</v>
      </c>
      <c r="BC488" s="3247">
        <v>0</v>
      </c>
      <c r="BD488" s="3248">
        <v>0</v>
      </c>
      <c r="BE488" s="3248">
        <v>0</v>
      </c>
      <c r="BF488" s="3248">
        <f t="shared" si="53"/>
        <v>0</v>
      </c>
      <c r="BG488" s="3248">
        <f t="shared" si="54"/>
        <v>0</v>
      </c>
      <c r="BH488" s="3249"/>
      <c r="BI488" s="3249"/>
    </row>
    <row r="489" spans="1:61" x14ac:dyDescent="0.3">
      <c r="A489" s="4197" t="s">
        <v>3384</v>
      </c>
      <c r="B489" s="3261"/>
      <c r="C489" s="3243">
        <v>0</v>
      </c>
      <c r="D489" s="3242">
        <v>0</v>
      </c>
      <c r="E489" s="3244"/>
      <c r="F489" s="3244"/>
      <c r="G489" s="3242">
        <v>0</v>
      </c>
      <c r="H489" s="3244"/>
      <c r="I489" s="3244"/>
      <c r="J489" s="3244"/>
      <c r="K489" s="3242">
        <v>0</v>
      </c>
      <c r="L489" s="3244"/>
      <c r="M489" s="3244"/>
      <c r="N489" s="3242" t="s">
        <v>3384</v>
      </c>
      <c r="O489" s="3239">
        <v>0</v>
      </c>
      <c r="P489" s="3242">
        <v>0</v>
      </c>
      <c r="Q489" s="3244"/>
      <c r="R489" s="3244"/>
      <c r="S489" s="3242">
        <v>0</v>
      </c>
      <c r="T489" s="3244"/>
      <c r="U489" s="3244"/>
      <c r="V489" s="3244"/>
      <c r="W489" s="3240">
        <v>0</v>
      </c>
      <c r="X489" s="3244"/>
      <c r="Y489" s="3244"/>
      <c r="Z489" s="3242" t="s">
        <v>3384</v>
      </c>
      <c r="AA489" s="3243">
        <v>0</v>
      </c>
      <c r="AB489" s="3242">
        <v>0</v>
      </c>
      <c r="AC489" s="3244"/>
      <c r="AD489" s="3244"/>
      <c r="AE489" s="3242">
        <v>0</v>
      </c>
      <c r="AF489" s="3259"/>
      <c r="AG489" s="3260"/>
      <c r="AH489" s="3250"/>
      <c r="AI489" s="3260"/>
      <c r="AJ489" s="3260"/>
      <c r="AK489" s="3260"/>
      <c r="AL489" s="3259"/>
      <c r="AM489" s="3260"/>
      <c r="AN489" s="3259"/>
      <c r="AO489" s="3260"/>
      <c r="AP489" s="3242">
        <v>0</v>
      </c>
      <c r="AQ489" s="3244"/>
      <c r="AR489" s="3244"/>
      <c r="AS489" s="3242" t="s">
        <v>3384</v>
      </c>
      <c r="AT489" s="3247">
        <f t="shared" si="51"/>
        <v>0</v>
      </c>
      <c r="AU489" s="3248">
        <f t="shared" si="52"/>
        <v>0</v>
      </c>
      <c r="AV489" s="3248">
        <v>0</v>
      </c>
      <c r="AW489" s="3247">
        <v>0</v>
      </c>
      <c r="AX489" s="3248">
        <v>0</v>
      </c>
      <c r="AY489" s="3248">
        <v>0</v>
      </c>
      <c r="AZ489" s="3247">
        <v>0</v>
      </c>
      <c r="BA489" s="3248">
        <v>0</v>
      </c>
      <c r="BB489" s="3248">
        <v>0</v>
      </c>
      <c r="BC489" s="3247">
        <v>0</v>
      </c>
      <c r="BD489" s="3248">
        <v>0</v>
      </c>
      <c r="BE489" s="3248">
        <v>0</v>
      </c>
      <c r="BF489" s="3248">
        <f t="shared" si="53"/>
        <v>0</v>
      </c>
      <c r="BG489" s="3248">
        <f t="shared" si="54"/>
        <v>0</v>
      </c>
      <c r="BH489" s="3249"/>
      <c r="BI489" s="3249"/>
    </row>
    <row r="490" spans="1:61" x14ac:dyDescent="0.3">
      <c r="A490" s="4197" t="s">
        <v>3384</v>
      </c>
      <c r="B490" s="3261"/>
      <c r="C490" s="3243">
        <v>0</v>
      </c>
      <c r="D490" s="3242">
        <v>0</v>
      </c>
      <c r="E490" s="3244"/>
      <c r="F490" s="3244"/>
      <c r="G490" s="3242">
        <v>0</v>
      </c>
      <c r="H490" s="3244"/>
      <c r="I490" s="3244"/>
      <c r="J490" s="3244"/>
      <c r="K490" s="3242">
        <v>0</v>
      </c>
      <c r="L490" s="3244"/>
      <c r="M490" s="3244"/>
      <c r="N490" s="3242" t="s">
        <v>3384</v>
      </c>
      <c r="O490" s="3239">
        <v>0</v>
      </c>
      <c r="P490" s="3242">
        <v>0</v>
      </c>
      <c r="Q490" s="3244"/>
      <c r="R490" s="3244"/>
      <c r="S490" s="3242">
        <v>0</v>
      </c>
      <c r="T490" s="3244"/>
      <c r="U490" s="3244"/>
      <c r="V490" s="3244"/>
      <c r="W490" s="3240">
        <v>0</v>
      </c>
      <c r="X490" s="3244"/>
      <c r="Y490" s="3244"/>
      <c r="Z490" s="3242" t="s">
        <v>3384</v>
      </c>
      <c r="AA490" s="3243">
        <v>0</v>
      </c>
      <c r="AB490" s="3242">
        <v>0</v>
      </c>
      <c r="AC490" s="3244"/>
      <c r="AD490" s="3244"/>
      <c r="AE490" s="3242">
        <v>0</v>
      </c>
      <c r="AF490" s="3259"/>
      <c r="AG490" s="3260"/>
      <c r="AH490" s="3250"/>
      <c r="AI490" s="3260"/>
      <c r="AJ490" s="3260"/>
      <c r="AK490" s="3260"/>
      <c r="AL490" s="3259"/>
      <c r="AM490" s="3260"/>
      <c r="AN490" s="3259"/>
      <c r="AO490" s="3260"/>
      <c r="AP490" s="3242">
        <v>0</v>
      </c>
      <c r="AQ490" s="3244"/>
      <c r="AR490" s="3244"/>
      <c r="AS490" s="3242" t="s">
        <v>3384</v>
      </c>
      <c r="AT490" s="3247">
        <f t="shared" si="51"/>
        <v>0</v>
      </c>
      <c r="AU490" s="3248">
        <f t="shared" si="52"/>
        <v>0</v>
      </c>
      <c r="AV490" s="3248">
        <v>0</v>
      </c>
      <c r="AW490" s="3247">
        <v>0</v>
      </c>
      <c r="AX490" s="3248">
        <v>0</v>
      </c>
      <c r="AY490" s="3248">
        <v>0</v>
      </c>
      <c r="AZ490" s="3247">
        <v>0</v>
      </c>
      <c r="BA490" s="3248">
        <v>0</v>
      </c>
      <c r="BB490" s="3248">
        <v>0</v>
      </c>
      <c r="BC490" s="3247">
        <v>0</v>
      </c>
      <c r="BD490" s="3248">
        <v>0</v>
      </c>
      <c r="BE490" s="3248">
        <v>0</v>
      </c>
      <c r="BF490" s="3248">
        <f t="shared" si="53"/>
        <v>0</v>
      </c>
      <c r="BG490" s="3248">
        <f t="shared" si="54"/>
        <v>0</v>
      </c>
      <c r="BH490" s="3249"/>
      <c r="BI490" s="3249"/>
    </row>
    <row r="491" spans="1:61" x14ac:dyDescent="0.3">
      <c r="A491" s="4197" t="s">
        <v>3384</v>
      </c>
      <c r="B491" s="3261"/>
      <c r="C491" s="3243">
        <v>0</v>
      </c>
      <c r="D491" s="3242">
        <v>0</v>
      </c>
      <c r="E491" s="3244"/>
      <c r="F491" s="3244"/>
      <c r="G491" s="3242">
        <v>0</v>
      </c>
      <c r="H491" s="3244"/>
      <c r="I491" s="3244"/>
      <c r="J491" s="3244"/>
      <c r="K491" s="3242">
        <v>0</v>
      </c>
      <c r="L491" s="3244"/>
      <c r="M491" s="3244"/>
      <c r="N491" s="3242" t="s">
        <v>3384</v>
      </c>
      <c r="O491" s="3239">
        <v>0</v>
      </c>
      <c r="P491" s="3242">
        <v>0</v>
      </c>
      <c r="Q491" s="3244"/>
      <c r="R491" s="3244"/>
      <c r="S491" s="3242">
        <v>0</v>
      </c>
      <c r="T491" s="3244"/>
      <c r="U491" s="3244"/>
      <c r="V491" s="3244"/>
      <c r="W491" s="3240">
        <v>0</v>
      </c>
      <c r="X491" s="3244"/>
      <c r="Y491" s="3244"/>
      <c r="Z491" s="3242" t="s">
        <v>3384</v>
      </c>
      <c r="AA491" s="3243">
        <v>0</v>
      </c>
      <c r="AB491" s="3242">
        <v>0</v>
      </c>
      <c r="AC491" s="3244"/>
      <c r="AD491" s="3244"/>
      <c r="AE491" s="3242">
        <v>0</v>
      </c>
      <c r="AF491" s="3259"/>
      <c r="AG491" s="3260"/>
      <c r="AH491" s="3250"/>
      <c r="AI491" s="3260"/>
      <c r="AJ491" s="3260"/>
      <c r="AK491" s="3260"/>
      <c r="AL491" s="3259"/>
      <c r="AM491" s="3260"/>
      <c r="AN491" s="3259"/>
      <c r="AO491" s="3260"/>
      <c r="AP491" s="3242">
        <v>0</v>
      </c>
      <c r="AQ491" s="3244"/>
      <c r="AR491" s="3244"/>
      <c r="AS491" s="3242" t="s">
        <v>3384</v>
      </c>
      <c r="AT491" s="3247">
        <f t="shared" si="51"/>
        <v>0</v>
      </c>
      <c r="AU491" s="3248">
        <f t="shared" si="52"/>
        <v>0</v>
      </c>
      <c r="AV491" s="3248">
        <v>0</v>
      </c>
      <c r="AW491" s="3247">
        <v>0</v>
      </c>
      <c r="AX491" s="3248">
        <v>0</v>
      </c>
      <c r="AY491" s="3248">
        <v>0</v>
      </c>
      <c r="AZ491" s="3247">
        <v>0</v>
      </c>
      <c r="BA491" s="3248">
        <v>0</v>
      </c>
      <c r="BB491" s="3248">
        <v>0</v>
      </c>
      <c r="BC491" s="3247">
        <v>0</v>
      </c>
      <c r="BD491" s="3248">
        <v>0</v>
      </c>
      <c r="BE491" s="3248">
        <v>0</v>
      </c>
      <c r="BF491" s="3248">
        <f t="shared" si="53"/>
        <v>0</v>
      </c>
      <c r="BG491" s="3248">
        <f t="shared" si="54"/>
        <v>0</v>
      </c>
      <c r="BH491" s="3249"/>
      <c r="BI491" s="3249"/>
    </row>
    <row r="492" spans="1:61" x14ac:dyDescent="0.3">
      <c r="A492" s="4197" t="s">
        <v>3384</v>
      </c>
      <c r="B492" s="3261"/>
      <c r="C492" s="3243">
        <v>0</v>
      </c>
      <c r="D492" s="3242">
        <v>0</v>
      </c>
      <c r="E492" s="3244"/>
      <c r="F492" s="3244"/>
      <c r="G492" s="3242">
        <v>0</v>
      </c>
      <c r="H492" s="3244"/>
      <c r="I492" s="3244"/>
      <c r="J492" s="3244"/>
      <c r="K492" s="3242">
        <v>0</v>
      </c>
      <c r="L492" s="3244"/>
      <c r="M492" s="3244"/>
      <c r="N492" s="3242" t="s">
        <v>3384</v>
      </c>
      <c r="O492" s="3239">
        <v>0</v>
      </c>
      <c r="P492" s="3242">
        <v>0</v>
      </c>
      <c r="Q492" s="3244"/>
      <c r="R492" s="3244"/>
      <c r="S492" s="3242">
        <v>0</v>
      </c>
      <c r="T492" s="3244"/>
      <c r="U492" s="3244"/>
      <c r="V492" s="3244"/>
      <c r="W492" s="3240">
        <v>0</v>
      </c>
      <c r="X492" s="3244"/>
      <c r="Y492" s="3244"/>
      <c r="Z492" s="3242" t="s">
        <v>3384</v>
      </c>
      <c r="AA492" s="3243">
        <v>0</v>
      </c>
      <c r="AB492" s="3242">
        <v>0</v>
      </c>
      <c r="AC492" s="3244"/>
      <c r="AD492" s="3244"/>
      <c r="AE492" s="3242">
        <v>0</v>
      </c>
      <c r="AF492" s="3259"/>
      <c r="AG492" s="3260"/>
      <c r="AH492" s="3250"/>
      <c r="AI492" s="3260"/>
      <c r="AJ492" s="3260"/>
      <c r="AK492" s="3260"/>
      <c r="AL492" s="3259"/>
      <c r="AM492" s="3260"/>
      <c r="AN492" s="3259"/>
      <c r="AO492" s="3260"/>
      <c r="AP492" s="3242">
        <v>0</v>
      </c>
      <c r="AQ492" s="3244"/>
      <c r="AR492" s="3244"/>
      <c r="AS492" s="3242" t="s">
        <v>3384</v>
      </c>
      <c r="AT492" s="3247">
        <f t="shared" si="51"/>
        <v>0</v>
      </c>
      <c r="AU492" s="3248">
        <f t="shared" si="52"/>
        <v>0</v>
      </c>
      <c r="AV492" s="3248">
        <v>0</v>
      </c>
      <c r="AW492" s="3247">
        <v>0</v>
      </c>
      <c r="AX492" s="3248">
        <v>0</v>
      </c>
      <c r="AY492" s="3248">
        <v>0</v>
      </c>
      <c r="AZ492" s="3247">
        <v>0</v>
      </c>
      <c r="BA492" s="3248">
        <v>0</v>
      </c>
      <c r="BB492" s="3248">
        <v>0</v>
      </c>
      <c r="BC492" s="3247">
        <v>0</v>
      </c>
      <c r="BD492" s="3248">
        <v>0</v>
      </c>
      <c r="BE492" s="3248">
        <v>0</v>
      </c>
      <c r="BF492" s="3248">
        <f t="shared" si="53"/>
        <v>0</v>
      </c>
      <c r="BG492" s="3248">
        <f t="shared" si="54"/>
        <v>0</v>
      </c>
      <c r="BH492" s="3249"/>
      <c r="BI492" s="3249"/>
    </row>
    <row r="493" spans="1:61" x14ac:dyDescent="0.3">
      <c r="A493" s="4197" t="s">
        <v>3384</v>
      </c>
      <c r="B493" s="3261"/>
      <c r="C493" s="3243">
        <v>0</v>
      </c>
      <c r="D493" s="3242">
        <v>0</v>
      </c>
      <c r="E493" s="3244"/>
      <c r="F493" s="3244"/>
      <c r="G493" s="3242">
        <v>0</v>
      </c>
      <c r="H493" s="3244"/>
      <c r="I493" s="3244"/>
      <c r="J493" s="3244"/>
      <c r="K493" s="3242">
        <v>0</v>
      </c>
      <c r="L493" s="3244"/>
      <c r="M493" s="3244"/>
      <c r="N493" s="3242" t="s">
        <v>3384</v>
      </c>
      <c r="O493" s="3239">
        <v>0</v>
      </c>
      <c r="P493" s="3242">
        <v>0</v>
      </c>
      <c r="Q493" s="3244"/>
      <c r="R493" s="3244"/>
      <c r="S493" s="3242">
        <v>0</v>
      </c>
      <c r="T493" s="3244"/>
      <c r="U493" s="3244"/>
      <c r="V493" s="3244"/>
      <c r="W493" s="3240">
        <v>0</v>
      </c>
      <c r="X493" s="3244"/>
      <c r="Y493" s="3244"/>
      <c r="Z493" s="3242" t="s">
        <v>3384</v>
      </c>
      <c r="AA493" s="3243">
        <v>0</v>
      </c>
      <c r="AB493" s="3242">
        <v>0</v>
      </c>
      <c r="AC493" s="3244"/>
      <c r="AD493" s="3244"/>
      <c r="AE493" s="3242">
        <v>0</v>
      </c>
      <c r="AF493" s="3259"/>
      <c r="AG493" s="3260"/>
      <c r="AH493" s="3250"/>
      <c r="AI493" s="3260"/>
      <c r="AJ493" s="3260"/>
      <c r="AK493" s="3260"/>
      <c r="AL493" s="3259"/>
      <c r="AM493" s="3260"/>
      <c r="AN493" s="3259"/>
      <c r="AO493" s="3260"/>
      <c r="AP493" s="3242">
        <v>0</v>
      </c>
      <c r="AQ493" s="3244"/>
      <c r="AR493" s="3244"/>
      <c r="AS493" s="3242" t="s">
        <v>3384</v>
      </c>
      <c r="AT493" s="3247">
        <f t="shared" si="51"/>
        <v>0</v>
      </c>
      <c r="AU493" s="3248">
        <f t="shared" si="52"/>
        <v>0</v>
      </c>
      <c r="AV493" s="3248">
        <v>0</v>
      </c>
      <c r="AW493" s="3247">
        <v>0</v>
      </c>
      <c r="AX493" s="3248">
        <v>0</v>
      </c>
      <c r="AY493" s="3248">
        <v>0</v>
      </c>
      <c r="AZ493" s="3247">
        <v>0</v>
      </c>
      <c r="BA493" s="3248">
        <v>0</v>
      </c>
      <c r="BB493" s="3248">
        <v>0</v>
      </c>
      <c r="BC493" s="3247">
        <v>0</v>
      </c>
      <c r="BD493" s="3248">
        <v>0</v>
      </c>
      <c r="BE493" s="3248">
        <v>0</v>
      </c>
      <c r="BF493" s="3248">
        <f t="shared" si="53"/>
        <v>0</v>
      </c>
      <c r="BG493" s="3248">
        <f t="shared" si="54"/>
        <v>0</v>
      </c>
      <c r="BH493" s="3249"/>
      <c r="BI493" s="3249"/>
    </row>
    <row r="494" spans="1:61" x14ac:dyDescent="0.3">
      <c r="A494" s="4197" t="s">
        <v>3384</v>
      </c>
      <c r="B494" s="3261"/>
      <c r="C494" s="3243">
        <v>0</v>
      </c>
      <c r="D494" s="3242">
        <v>0</v>
      </c>
      <c r="E494" s="3244"/>
      <c r="F494" s="3244"/>
      <c r="G494" s="3242">
        <v>0</v>
      </c>
      <c r="H494" s="3244"/>
      <c r="I494" s="3244"/>
      <c r="J494" s="3244"/>
      <c r="K494" s="3242">
        <v>0</v>
      </c>
      <c r="L494" s="3244"/>
      <c r="M494" s="3244"/>
      <c r="N494" s="3242" t="s">
        <v>3384</v>
      </c>
      <c r="O494" s="3239">
        <v>0</v>
      </c>
      <c r="P494" s="3242">
        <v>0</v>
      </c>
      <c r="Q494" s="3244"/>
      <c r="R494" s="3244"/>
      <c r="S494" s="3242">
        <v>0</v>
      </c>
      <c r="T494" s="3244"/>
      <c r="U494" s="3244"/>
      <c r="V494" s="3244"/>
      <c r="W494" s="3240">
        <v>0</v>
      </c>
      <c r="X494" s="3244"/>
      <c r="Y494" s="3244"/>
      <c r="Z494" s="3242" t="s">
        <v>3384</v>
      </c>
      <c r="AA494" s="3243">
        <v>0</v>
      </c>
      <c r="AB494" s="3242">
        <v>0</v>
      </c>
      <c r="AC494" s="3244"/>
      <c r="AD494" s="3244"/>
      <c r="AE494" s="3242">
        <v>0</v>
      </c>
      <c r="AF494" s="3259"/>
      <c r="AG494" s="3260"/>
      <c r="AH494" s="3250"/>
      <c r="AI494" s="3260"/>
      <c r="AJ494" s="3260"/>
      <c r="AK494" s="3260"/>
      <c r="AL494" s="3259"/>
      <c r="AM494" s="3260"/>
      <c r="AN494" s="3259"/>
      <c r="AO494" s="3260"/>
      <c r="AP494" s="3242">
        <v>0</v>
      </c>
      <c r="AQ494" s="3244"/>
      <c r="AR494" s="3244"/>
      <c r="AS494" s="3242" t="s">
        <v>3384</v>
      </c>
      <c r="AT494" s="3247">
        <f t="shared" si="51"/>
        <v>0</v>
      </c>
      <c r="AU494" s="3248">
        <f t="shared" si="52"/>
        <v>0</v>
      </c>
      <c r="AV494" s="3248">
        <v>0</v>
      </c>
      <c r="AW494" s="3247">
        <v>0</v>
      </c>
      <c r="AX494" s="3248">
        <v>0</v>
      </c>
      <c r="AY494" s="3248">
        <v>0</v>
      </c>
      <c r="AZ494" s="3247">
        <v>0</v>
      </c>
      <c r="BA494" s="3248">
        <v>0</v>
      </c>
      <c r="BB494" s="3248">
        <v>0</v>
      </c>
      <c r="BC494" s="3247">
        <v>0</v>
      </c>
      <c r="BD494" s="3248">
        <v>0</v>
      </c>
      <c r="BE494" s="3248">
        <v>0</v>
      </c>
      <c r="BF494" s="3248">
        <f t="shared" si="53"/>
        <v>0</v>
      </c>
      <c r="BG494" s="3248">
        <f t="shared" si="54"/>
        <v>0</v>
      </c>
      <c r="BH494" s="3249"/>
      <c r="BI494" s="3249"/>
    </row>
    <row r="495" spans="1:61" x14ac:dyDescent="0.3">
      <c r="A495" s="4197" t="s">
        <v>3384</v>
      </c>
      <c r="B495" s="3261"/>
      <c r="C495" s="3243">
        <v>0</v>
      </c>
      <c r="D495" s="3242">
        <v>0</v>
      </c>
      <c r="E495" s="3244"/>
      <c r="F495" s="3244"/>
      <c r="G495" s="3242">
        <v>0</v>
      </c>
      <c r="H495" s="3244"/>
      <c r="I495" s="3244"/>
      <c r="J495" s="3244"/>
      <c r="K495" s="3242">
        <v>0</v>
      </c>
      <c r="L495" s="3244"/>
      <c r="M495" s="3244"/>
      <c r="N495" s="3242" t="s">
        <v>3384</v>
      </c>
      <c r="O495" s="3239">
        <v>0</v>
      </c>
      <c r="P495" s="3242">
        <v>0</v>
      </c>
      <c r="Q495" s="3244"/>
      <c r="R495" s="3244"/>
      <c r="S495" s="3242">
        <v>0</v>
      </c>
      <c r="T495" s="3244"/>
      <c r="U495" s="3244"/>
      <c r="V495" s="3244"/>
      <c r="W495" s="3240">
        <v>0</v>
      </c>
      <c r="X495" s="3244"/>
      <c r="Y495" s="3244"/>
      <c r="Z495" s="3242" t="s">
        <v>3384</v>
      </c>
      <c r="AA495" s="3243">
        <v>0</v>
      </c>
      <c r="AB495" s="3242">
        <v>0</v>
      </c>
      <c r="AC495" s="3244"/>
      <c r="AD495" s="3244"/>
      <c r="AE495" s="3242">
        <v>0</v>
      </c>
      <c r="AF495" s="3259"/>
      <c r="AG495" s="3260"/>
      <c r="AH495" s="3250"/>
      <c r="AI495" s="3260"/>
      <c r="AJ495" s="3260"/>
      <c r="AK495" s="3260"/>
      <c r="AL495" s="3259"/>
      <c r="AM495" s="3260"/>
      <c r="AN495" s="3259"/>
      <c r="AO495" s="3260"/>
      <c r="AP495" s="3242">
        <v>0</v>
      </c>
      <c r="AQ495" s="3244"/>
      <c r="AR495" s="3244"/>
      <c r="AS495" s="3242" t="s">
        <v>3384</v>
      </c>
      <c r="AT495" s="3247">
        <f t="shared" si="51"/>
        <v>0</v>
      </c>
      <c r="AU495" s="3248">
        <f t="shared" si="52"/>
        <v>0</v>
      </c>
      <c r="AV495" s="3248">
        <v>0</v>
      </c>
      <c r="AW495" s="3247">
        <v>0</v>
      </c>
      <c r="AX495" s="3248">
        <v>0</v>
      </c>
      <c r="AY495" s="3248">
        <v>0</v>
      </c>
      <c r="AZ495" s="3247">
        <v>0</v>
      </c>
      <c r="BA495" s="3248">
        <v>0</v>
      </c>
      <c r="BB495" s="3248">
        <v>0</v>
      </c>
      <c r="BC495" s="3247">
        <v>0</v>
      </c>
      <c r="BD495" s="3248">
        <v>0</v>
      </c>
      <c r="BE495" s="3248">
        <v>0</v>
      </c>
      <c r="BF495" s="3248">
        <f t="shared" si="53"/>
        <v>0</v>
      </c>
      <c r="BG495" s="3248">
        <f t="shared" si="54"/>
        <v>0</v>
      </c>
      <c r="BH495" s="3249"/>
      <c r="BI495" s="3249"/>
    </row>
    <row r="496" spans="1:61" x14ac:dyDescent="0.3">
      <c r="A496" s="4197" t="s">
        <v>3384</v>
      </c>
      <c r="B496" s="3261"/>
      <c r="C496" s="3243">
        <v>0</v>
      </c>
      <c r="D496" s="3242">
        <v>0</v>
      </c>
      <c r="E496" s="3244"/>
      <c r="F496" s="3244"/>
      <c r="G496" s="3242">
        <v>0</v>
      </c>
      <c r="H496" s="3244"/>
      <c r="I496" s="3244"/>
      <c r="J496" s="3244"/>
      <c r="K496" s="3242">
        <v>0</v>
      </c>
      <c r="L496" s="3244"/>
      <c r="M496" s="3244"/>
      <c r="N496" s="3242" t="s">
        <v>3384</v>
      </c>
      <c r="O496" s="3239">
        <v>0</v>
      </c>
      <c r="P496" s="3242">
        <v>0</v>
      </c>
      <c r="Q496" s="3244"/>
      <c r="R496" s="3244"/>
      <c r="S496" s="3242">
        <v>0</v>
      </c>
      <c r="T496" s="3244"/>
      <c r="U496" s="3244"/>
      <c r="V496" s="3244"/>
      <c r="W496" s="3240">
        <v>0</v>
      </c>
      <c r="X496" s="3244"/>
      <c r="Y496" s="3244"/>
      <c r="Z496" s="3242" t="s">
        <v>3384</v>
      </c>
      <c r="AA496" s="3243">
        <v>0</v>
      </c>
      <c r="AB496" s="3242">
        <v>0</v>
      </c>
      <c r="AC496" s="3244"/>
      <c r="AD496" s="3244"/>
      <c r="AE496" s="3242">
        <v>0</v>
      </c>
      <c r="AF496" s="3259"/>
      <c r="AG496" s="3260"/>
      <c r="AH496" s="3250"/>
      <c r="AI496" s="3260"/>
      <c r="AJ496" s="3260"/>
      <c r="AK496" s="3260"/>
      <c r="AL496" s="3259"/>
      <c r="AM496" s="3260"/>
      <c r="AN496" s="3259"/>
      <c r="AO496" s="3260"/>
      <c r="AP496" s="3242">
        <v>0</v>
      </c>
      <c r="AQ496" s="3244"/>
      <c r="AR496" s="3244"/>
      <c r="AS496" s="3242" t="s">
        <v>3384</v>
      </c>
      <c r="AT496" s="3247">
        <f t="shared" si="51"/>
        <v>0</v>
      </c>
      <c r="AU496" s="3248">
        <f t="shared" si="52"/>
        <v>0</v>
      </c>
      <c r="AV496" s="3248">
        <v>0</v>
      </c>
      <c r="AW496" s="3247">
        <v>0</v>
      </c>
      <c r="AX496" s="3248">
        <v>0</v>
      </c>
      <c r="AY496" s="3248">
        <v>0</v>
      </c>
      <c r="AZ496" s="3247">
        <v>0</v>
      </c>
      <c r="BA496" s="3248">
        <v>0</v>
      </c>
      <c r="BB496" s="3248">
        <v>0</v>
      </c>
      <c r="BC496" s="3247">
        <v>0</v>
      </c>
      <c r="BD496" s="3248">
        <v>0</v>
      </c>
      <c r="BE496" s="3248">
        <v>0</v>
      </c>
      <c r="BF496" s="3248">
        <f t="shared" si="53"/>
        <v>0</v>
      </c>
      <c r="BG496" s="3248">
        <f t="shared" si="54"/>
        <v>0</v>
      </c>
      <c r="BH496" s="3249"/>
      <c r="BI496" s="3249"/>
    </row>
    <row r="497" spans="1:61" x14ac:dyDescent="0.3">
      <c r="A497" s="4197" t="s">
        <v>3384</v>
      </c>
      <c r="B497" s="3261"/>
      <c r="C497" s="3243">
        <v>0</v>
      </c>
      <c r="D497" s="3242">
        <v>0</v>
      </c>
      <c r="E497" s="3244"/>
      <c r="F497" s="3244"/>
      <c r="G497" s="3242">
        <v>0</v>
      </c>
      <c r="H497" s="3244"/>
      <c r="I497" s="3244"/>
      <c r="J497" s="3244"/>
      <c r="K497" s="3242">
        <v>0</v>
      </c>
      <c r="L497" s="3244"/>
      <c r="M497" s="3244"/>
      <c r="N497" s="3242" t="s">
        <v>3384</v>
      </c>
      <c r="O497" s="3239">
        <v>0</v>
      </c>
      <c r="P497" s="3242">
        <v>0</v>
      </c>
      <c r="Q497" s="3244"/>
      <c r="R497" s="3244"/>
      <c r="S497" s="3242">
        <v>0</v>
      </c>
      <c r="T497" s="3244"/>
      <c r="U497" s="3244"/>
      <c r="V497" s="3244"/>
      <c r="W497" s="3240">
        <v>0</v>
      </c>
      <c r="X497" s="3244"/>
      <c r="Y497" s="3244"/>
      <c r="Z497" s="3242" t="s">
        <v>3384</v>
      </c>
      <c r="AA497" s="3243">
        <v>0</v>
      </c>
      <c r="AB497" s="3242">
        <v>0</v>
      </c>
      <c r="AC497" s="3244"/>
      <c r="AD497" s="3244"/>
      <c r="AE497" s="3242">
        <v>0</v>
      </c>
      <c r="AF497" s="3259"/>
      <c r="AG497" s="3260"/>
      <c r="AH497" s="3250"/>
      <c r="AI497" s="3260"/>
      <c r="AJ497" s="3260"/>
      <c r="AK497" s="3260"/>
      <c r="AL497" s="3259"/>
      <c r="AM497" s="3260"/>
      <c r="AN497" s="3259"/>
      <c r="AO497" s="3260"/>
      <c r="AP497" s="3242">
        <v>0</v>
      </c>
      <c r="AQ497" s="3244"/>
      <c r="AR497" s="3244"/>
      <c r="AS497" s="3242" t="s">
        <v>3384</v>
      </c>
      <c r="AT497" s="3247">
        <f t="shared" si="51"/>
        <v>0</v>
      </c>
      <c r="AU497" s="3248">
        <f t="shared" si="52"/>
        <v>0</v>
      </c>
      <c r="AV497" s="3248">
        <v>0</v>
      </c>
      <c r="AW497" s="3247">
        <v>0</v>
      </c>
      <c r="AX497" s="3248">
        <v>0</v>
      </c>
      <c r="AY497" s="3248">
        <v>0</v>
      </c>
      <c r="AZ497" s="3247">
        <v>0</v>
      </c>
      <c r="BA497" s="3248">
        <v>0</v>
      </c>
      <c r="BB497" s="3248">
        <v>0</v>
      </c>
      <c r="BC497" s="3247">
        <v>0</v>
      </c>
      <c r="BD497" s="3248">
        <v>0</v>
      </c>
      <c r="BE497" s="3248">
        <v>0</v>
      </c>
      <c r="BF497" s="3248">
        <f t="shared" si="53"/>
        <v>0</v>
      </c>
      <c r="BG497" s="3248">
        <f t="shared" si="54"/>
        <v>0</v>
      </c>
      <c r="BH497" s="3249"/>
      <c r="BI497" s="3249"/>
    </row>
    <row r="498" spans="1:61" x14ac:dyDescent="0.3">
      <c r="A498" s="4197" t="s">
        <v>3384</v>
      </c>
      <c r="B498" s="3261"/>
      <c r="C498" s="3243">
        <v>0</v>
      </c>
      <c r="D498" s="3242">
        <v>0</v>
      </c>
      <c r="E498" s="3244"/>
      <c r="F498" s="3244"/>
      <c r="G498" s="3242">
        <v>0</v>
      </c>
      <c r="H498" s="3244"/>
      <c r="I498" s="3244"/>
      <c r="J498" s="3244"/>
      <c r="K498" s="3242">
        <v>0</v>
      </c>
      <c r="L498" s="3244"/>
      <c r="M498" s="3244"/>
      <c r="N498" s="3242" t="s">
        <v>3384</v>
      </c>
      <c r="O498" s="3239">
        <v>0</v>
      </c>
      <c r="P498" s="3242">
        <v>0</v>
      </c>
      <c r="Q498" s="3244"/>
      <c r="R498" s="3244"/>
      <c r="S498" s="3242">
        <v>0</v>
      </c>
      <c r="T498" s="3244"/>
      <c r="U498" s="3244"/>
      <c r="V498" s="3244"/>
      <c r="W498" s="3240">
        <v>0</v>
      </c>
      <c r="X498" s="3244"/>
      <c r="Y498" s="3244"/>
      <c r="Z498" s="3242" t="s">
        <v>3384</v>
      </c>
      <c r="AA498" s="3243">
        <v>0</v>
      </c>
      <c r="AB498" s="3242">
        <v>0</v>
      </c>
      <c r="AC498" s="3244"/>
      <c r="AD498" s="3244"/>
      <c r="AE498" s="3242">
        <v>0</v>
      </c>
      <c r="AF498" s="3259"/>
      <c r="AG498" s="3260"/>
      <c r="AH498" s="3250"/>
      <c r="AI498" s="3260"/>
      <c r="AJ498" s="3260"/>
      <c r="AK498" s="3260"/>
      <c r="AL498" s="3259"/>
      <c r="AM498" s="3260"/>
      <c r="AN498" s="3259"/>
      <c r="AO498" s="3260"/>
      <c r="AP498" s="3242">
        <v>0</v>
      </c>
      <c r="AQ498" s="3244"/>
      <c r="AR498" s="3244"/>
      <c r="AS498" s="3242" t="s">
        <v>3384</v>
      </c>
      <c r="AT498" s="3247">
        <f t="shared" si="51"/>
        <v>0</v>
      </c>
      <c r="AU498" s="3248">
        <f t="shared" si="52"/>
        <v>0</v>
      </c>
      <c r="AV498" s="3248">
        <v>0</v>
      </c>
      <c r="AW498" s="3247">
        <v>0</v>
      </c>
      <c r="AX498" s="3248">
        <v>0</v>
      </c>
      <c r="AY498" s="3248">
        <v>0</v>
      </c>
      <c r="AZ498" s="3247">
        <v>0</v>
      </c>
      <c r="BA498" s="3248">
        <v>0</v>
      </c>
      <c r="BB498" s="3248">
        <v>0</v>
      </c>
      <c r="BC498" s="3247">
        <v>0</v>
      </c>
      <c r="BD498" s="3248">
        <v>0</v>
      </c>
      <c r="BE498" s="3248">
        <v>0</v>
      </c>
      <c r="BF498" s="3248">
        <f t="shared" si="53"/>
        <v>0</v>
      </c>
      <c r="BG498" s="3248">
        <f t="shared" si="54"/>
        <v>0</v>
      </c>
      <c r="BH498" s="3249"/>
      <c r="BI498" s="3249"/>
    </row>
    <row r="499" spans="1:61" x14ac:dyDescent="0.3">
      <c r="A499" s="4197" t="s">
        <v>3384</v>
      </c>
      <c r="B499" s="3261"/>
      <c r="C499" s="3243">
        <v>0</v>
      </c>
      <c r="D499" s="3242">
        <v>0</v>
      </c>
      <c r="E499" s="3244"/>
      <c r="F499" s="3244"/>
      <c r="G499" s="3242">
        <v>0</v>
      </c>
      <c r="H499" s="3244"/>
      <c r="I499" s="3244"/>
      <c r="J499" s="3244"/>
      <c r="K499" s="3242">
        <v>0</v>
      </c>
      <c r="L499" s="3244"/>
      <c r="M499" s="3244"/>
      <c r="N499" s="3242" t="s">
        <v>3384</v>
      </c>
      <c r="O499" s="3239">
        <v>0</v>
      </c>
      <c r="P499" s="3242">
        <v>0</v>
      </c>
      <c r="Q499" s="3244"/>
      <c r="R499" s="3244"/>
      <c r="S499" s="3242">
        <v>0</v>
      </c>
      <c r="T499" s="3244"/>
      <c r="U499" s="3244"/>
      <c r="V499" s="3244"/>
      <c r="W499" s="3240">
        <v>0</v>
      </c>
      <c r="X499" s="3244"/>
      <c r="Y499" s="3244"/>
      <c r="Z499" s="3242" t="s">
        <v>3384</v>
      </c>
      <c r="AA499" s="3243">
        <v>0</v>
      </c>
      <c r="AB499" s="3242">
        <v>0</v>
      </c>
      <c r="AC499" s="3244"/>
      <c r="AD499" s="3244"/>
      <c r="AE499" s="3242">
        <v>0</v>
      </c>
      <c r="AF499" s="3259"/>
      <c r="AG499" s="3260"/>
      <c r="AH499" s="3250"/>
      <c r="AI499" s="3260"/>
      <c r="AJ499" s="3260"/>
      <c r="AK499" s="3260"/>
      <c r="AL499" s="3259"/>
      <c r="AM499" s="3260"/>
      <c r="AN499" s="3259"/>
      <c r="AO499" s="3260"/>
      <c r="AP499" s="3242">
        <v>0</v>
      </c>
      <c r="AQ499" s="3244"/>
      <c r="AR499" s="3244"/>
      <c r="AS499" s="3242" t="s">
        <v>3384</v>
      </c>
      <c r="AT499" s="3247">
        <f t="shared" si="51"/>
        <v>0</v>
      </c>
      <c r="AU499" s="3248">
        <f t="shared" si="52"/>
        <v>0</v>
      </c>
      <c r="AV499" s="3248">
        <v>0</v>
      </c>
      <c r="AW499" s="3247">
        <v>0</v>
      </c>
      <c r="AX499" s="3248">
        <v>0</v>
      </c>
      <c r="AY499" s="3248">
        <v>0</v>
      </c>
      <c r="AZ499" s="3247">
        <v>0</v>
      </c>
      <c r="BA499" s="3248">
        <v>0</v>
      </c>
      <c r="BB499" s="3248">
        <v>0</v>
      </c>
      <c r="BC499" s="3247">
        <v>0</v>
      </c>
      <c r="BD499" s="3248">
        <v>0</v>
      </c>
      <c r="BE499" s="3248">
        <v>0</v>
      </c>
      <c r="BF499" s="3248">
        <f t="shared" si="53"/>
        <v>0</v>
      </c>
      <c r="BG499" s="3248">
        <f t="shared" si="54"/>
        <v>0</v>
      </c>
      <c r="BH499" s="3249"/>
      <c r="BI499" s="3249"/>
    </row>
    <row r="500" spans="1:61" x14ac:dyDescent="0.3">
      <c r="A500" s="4197" t="s">
        <v>3384</v>
      </c>
      <c r="B500" s="3261"/>
      <c r="C500" s="3243">
        <v>0</v>
      </c>
      <c r="D500" s="3242">
        <v>0</v>
      </c>
      <c r="E500" s="3244"/>
      <c r="F500" s="3244"/>
      <c r="G500" s="3242">
        <v>0</v>
      </c>
      <c r="H500" s="3244"/>
      <c r="I500" s="3244"/>
      <c r="J500" s="3244"/>
      <c r="K500" s="3242">
        <v>0</v>
      </c>
      <c r="L500" s="3244"/>
      <c r="M500" s="3244"/>
      <c r="N500" s="3242" t="s">
        <v>3384</v>
      </c>
      <c r="O500" s="3239">
        <v>0</v>
      </c>
      <c r="P500" s="3242">
        <v>0</v>
      </c>
      <c r="Q500" s="3244"/>
      <c r="R500" s="3244"/>
      <c r="S500" s="3242">
        <v>0</v>
      </c>
      <c r="T500" s="3244"/>
      <c r="U500" s="3244"/>
      <c r="V500" s="3244"/>
      <c r="W500" s="3240">
        <v>0</v>
      </c>
      <c r="X500" s="3244"/>
      <c r="Y500" s="3244"/>
      <c r="Z500" s="3242" t="s">
        <v>3384</v>
      </c>
      <c r="AA500" s="3243">
        <v>0</v>
      </c>
      <c r="AB500" s="3242">
        <v>0</v>
      </c>
      <c r="AC500" s="3244"/>
      <c r="AD500" s="3244"/>
      <c r="AE500" s="3242">
        <v>0</v>
      </c>
      <c r="AF500" s="3259"/>
      <c r="AG500" s="3260"/>
      <c r="AH500" s="3250"/>
      <c r="AI500" s="3260"/>
      <c r="AJ500" s="3260"/>
      <c r="AK500" s="3260"/>
      <c r="AL500" s="3259"/>
      <c r="AM500" s="3260"/>
      <c r="AN500" s="3259"/>
      <c r="AO500" s="3260"/>
      <c r="AP500" s="3242">
        <v>0</v>
      </c>
      <c r="AQ500" s="3244"/>
      <c r="AR500" s="3244"/>
      <c r="AS500" s="3242" t="s">
        <v>3384</v>
      </c>
      <c r="AT500" s="3247">
        <f t="shared" si="51"/>
        <v>0</v>
      </c>
      <c r="AU500" s="3248">
        <f t="shared" si="52"/>
        <v>0</v>
      </c>
      <c r="AV500" s="3248">
        <v>0</v>
      </c>
      <c r="AW500" s="3247">
        <v>0</v>
      </c>
      <c r="AX500" s="3248">
        <v>0</v>
      </c>
      <c r="AY500" s="3248">
        <v>0</v>
      </c>
      <c r="AZ500" s="3247">
        <v>0</v>
      </c>
      <c r="BA500" s="3248">
        <v>0</v>
      </c>
      <c r="BB500" s="3248">
        <v>0</v>
      </c>
      <c r="BC500" s="3247">
        <v>0</v>
      </c>
      <c r="BD500" s="3248">
        <v>0</v>
      </c>
      <c r="BE500" s="3248">
        <v>0</v>
      </c>
      <c r="BF500" s="3248">
        <f t="shared" si="53"/>
        <v>0</v>
      </c>
      <c r="BG500" s="3248">
        <f t="shared" si="54"/>
        <v>0</v>
      </c>
      <c r="BH500" s="3249"/>
      <c r="BI500" s="3249"/>
    </row>
    <row r="501" spans="1:61" x14ac:dyDescent="0.3">
      <c r="A501" s="4197" t="s">
        <v>3384</v>
      </c>
      <c r="B501" s="3261"/>
      <c r="C501" s="3243">
        <v>0</v>
      </c>
      <c r="D501" s="3242">
        <v>0</v>
      </c>
      <c r="E501" s="3244"/>
      <c r="F501" s="3244"/>
      <c r="G501" s="3242">
        <v>0</v>
      </c>
      <c r="H501" s="3244"/>
      <c r="I501" s="3244"/>
      <c r="J501" s="3244"/>
      <c r="K501" s="3242">
        <v>0</v>
      </c>
      <c r="L501" s="3244"/>
      <c r="M501" s="3244"/>
      <c r="N501" s="3242" t="s">
        <v>3384</v>
      </c>
      <c r="O501" s="3239">
        <v>0</v>
      </c>
      <c r="P501" s="3242">
        <v>0</v>
      </c>
      <c r="Q501" s="3244"/>
      <c r="R501" s="3244"/>
      <c r="S501" s="3242">
        <v>0</v>
      </c>
      <c r="T501" s="3244"/>
      <c r="U501" s="3244"/>
      <c r="V501" s="3244"/>
      <c r="W501" s="3240">
        <v>0</v>
      </c>
      <c r="X501" s="3244"/>
      <c r="Y501" s="3244"/>
      <c r="Z501" s="3242" t="s">
        <v>3384</v>
      </c>
      <c r="AA501" s="3243">
        <v>0</v>
      </c>
      <c r="AB501" s="3242">
        <v>0</v>
      </c>
      <c r="AC501" s="3244"/>
      <c r="AD501" s="3244"/>
      <c r="AE501" s="3242">
        <v>0</v>
      </c>
      <c r="AF501" s="3259"/>
      <c r="AG501" s="3260"/>
      <c r="AH501" s="3250"/>
      <c r="AI501" s="4200"/>
      <c r="AJ501" s="3260"/>
      <c r="AK501" s="3260"/>
      <c r="AL501" s="3259"/>
      <c r="AM501" s="3260"/>
      <c r="AN501" s="3259"/>
      <c r="AO501" s="3260"/>
      <c r="AP501" s="3242">
        <v>0</v>
      </c>
      <c r="AQ501" s="3244"/>
      <c r="AR501" s="3244"/>
      <c r="AS501" s="3242" t="s">
        <v>3384</v>
      </c>
      <c r="AT501" s="3247">
        <f t="shared" si="51"/>
        <v>0</v>
      </c>
      <c r="AU501" s="3248">
        <f t="shared" si="52"/>
        <v>0</v>
      </c>
      <c r="AV501" s="3248">
        <v>0</v>
      </c>
      <c r="AW501" s="3247">
        <v>0</v>
      </c>
      <c r="AX501" s="3248">
        <v>0</v>
      </c>
      <c r="AY501" s="3248">
        <v>0</v>
      </c>
      <c r="AZ501" s="3247">
        <v>0</v>
      </c>
      <c r="BA501" s="3248">
        <v>0</v>
      </c>
      <c r="BB501" s="3248">
        <v>0</v>
      </c>
      <c r="BC501" s="3247">
        <v>0</v>
      </c>
      <c r="BD501" s="3248">
        <v>0</v>
      </c>
      <c r="BE501" s="3248">
        <v>0</v>
      </c>
      <c r="BF501" s="3248">
        <f t="shared" si="53"/>
        <v>0</v>
      </c>
      <c r="BG501" s="3248">
        <f t="shared" si="54"/>
        <v>0</v>
      </c>
      <c r="BH501" s="3249"/>
      <c r="BI501" s="3249"/>
    </row>
    <row r="502" spans="1:61" x14ac:dyDescent="0.3">
      <c r="A502" s="4197" t="s">
        <v>3384</v>
      </c>
      <c r="B502" s="3261"/>
      <c r="C502" s="3243">
        <v>0</v>
      </c>
      <c r="D502" s="3242">
        <v>0</v>
      </c>
      <c r="E502" s="3244"/>
      <c r="F502" s="3244"/>
      <c r="G502" s="3242">
        <v>0</v>
      </c>
      <c r="H502" s="3244"/>
      <c r="I502" s="3244"/>
      <c r="J502" s="3244"/>
      <c r="K502" s="3242">
        <v>0</v>
      </c>
      <c r="L502" s="3244"/>
      <c r="M502" s="3244"/>
      <c r="N502" s="3242" t="s">
        <v>3384</v>
      </c>
      <c r="O502" s="3239">
        <v>0</v>
      </c>
      <c r="P502" s="3242">
        <v>0</v>
      </c>
      <c r="Q502" s="3244"/>
      <c r="R502" s="3244"/>
      <c r="S502" s="3242">
        <v>0</v>
      </c>
      <c r="T502" s="3244"/>
      <c r="U502" s="3244"/>
      <c r="V502" s="3244"/>
      <c r="W502" s="3240">
        <v>0</v>
      </c>
      <c r="X502" s="3244"/>
      <c r="Y502" s="3244"/>
      <c r="Z502" s="3242" t="s">
        <v>3384</v>
      </c>
      <c r="AA502" s="3243">
        <v>0</v>
      </c>
      <c r="AB502" s="3242">
        <v>0</v>
      </c>
      <c r="AC502" s="3244"/>
      <c r="AD502" s="3244"/>
      <c r="AE502" s="3242">
        <v>0</v>
      </c>
      <c r="AF502" s="3259"/>
      <c r="AG502" s="3260"/>
      <c r="AH502" s="3250"/>
      <c r="AI502" s="4200"/>
      <c r="AJ502" s="3260"/>
      <c r="AK502" s="3260"/>
      <c r="AL502" s="3259"/>
      <c r="AM502" s="3260"/>
      <c r="AN502" s="3259"/>
      <c r="AO502" s="3260"/>
      <c r="AP502" s="3242">
        <v>0</v>
      </c>
      <c r="AQ502" s="3244"/>
      <c r="AR502" s="3244"/>
      <c r="AS502" s="3242" t="s">
        <v>3384</v>
      </c>
      <c r="AT502" s="3247">
        <f t="shared" si="51"/>
        <v>0</v>
      </c>
      <c r="AU502" s="3248">
        <f t="shared" si="52"/>
        <v>0</v>
      </c>
      <c r="AV502" s="3248">
        <v>0</v>
      </c>
      <c r="AW502" s="3247">
        <v>0</v>
      </c>
      <c r="AX502" s="3248">
        <v>0</v>
      </c>
      <c r="AY502" s="3248">
        <v>0</v>
      </c>
      <c r="AZ502" s="3247">
        <v>0</v>
      </c>
      <c r="BA502" s="3248">
        <v>0</v>
      </c>
      <c r="BB502" s="3248">
        <v>0</v>
      </c>
      <c r="BC502" s="3247">
        <v>0</v>
      </c>
      <c r="BD502" s="3248">
        <v>0</v>
      </c>
      <c r="BE502" s="3248">
        <v>0</v>
      </c>
      <c r="BF502" s="3248">
        <f t="shared" si="53"/>
        <v>0</v>
      </c>
      <c r="BG502" s="3248">
        <f t="shared" si="54"/>
        <v>0</v>
      </c>
      <c r="BH502" s="3249"/>
      <c r="BI502" s="3249"/>
    </row>
    <row r="503" spans="1:61" x14ac:dyDescent="0.3">
      <c r="A503" s="4197" t="s">
        <v>3384</v>
      </c>
      <c r="B503" s="3261"/>
      <c r="C503" s="3243">
        <v>0</v>
      </c>
      <c r="D503" s="3242">
        <v>0</v>
      </c>
      <c r="E503" s="3244"/>
      <c r="F503" s="3244"/>
      <c r="G503" s="3242">
        <v>0</v>
      </c>
      <c r="H503" s="3244"/>
      <c r="I503" s="3244"/>
      <c r="J503" s="3244"/>
      <c r="K503" s="3242">
        <v>0</v>
      </c>
      <c r="L503" s="3244"/>
      <c r="M503" s="3244"/>
      <c r="N503" s="3242" t="s">
        <v>3384</v>
      </c>
      <c r="O503" s="3239">
        <v>0</v>
      </c>
      <c r="P503" s="3242">
        <v>0</v>
      </c>
      <c r="Q503" s="3244"/>
      <c r="R503" s="3244"/>
      <c r="S503" s="3242">
        <v>0</v>
      </c>
      <c r="T503" s="3244"/>
      <c r="U503" s="3244"/>
      <c r="V503" s="3244"/>
      <c r="W503" s="3240">
        <v>0</v>
      </c>
      <c r="X503" s="3244"/>
      <c r="Y503" s="3244"/>
      <c r="Z503" s="3242" t="s">
        <v>3384</v>
      </c>
      <c r="AA503" s="3243">
        <v>0</v>
      </c>
      <c r="AB503" s="3242">
        <v>0</v>
      </c>
      <c r="AC503" s="3244"/>
      <c r="AD503" s="3244"/>
      <c r="AE503" s="3242">
        <v>0</v>
      </c>
      <c r="AF503" s="3259"/>
      <c r="AG503" s="3260"/>
      <c r="AH503" s="3250"/>
      <c r="AI503" s="4200"/>
      <c r="AJ503" s="3260"/>
      <c r="AK503" s="3260"/>
      <c r="AL503" s="3259"/>
      <c r="AM503" s="3260"/>
      <c r="AN503" s="3259"/>
      <c r="AO503" s="3260"/>
      <c r="AP503" s="3242">
        <v>0</v>
      </c>
      <c r="AQ503" s="3244"/>
      <c r="AR503" s="3244"/>
      <c r="AS503" s="3242" t="s">
        <v>3384</v>
      </c>
      <c r="AT503" s="3247">
        <f t="shared" si="51"/>
        <v>0</v>
      </c>
      <c r="AU503" s="3248">
        <f t="shared" si="52"/>
        <v>0</v>
      </c>
      <c r="AV503" s="3248">
        <v>0</v>
      </c>
      <c r="AW503" s="3247">
        <v>0</v>
      </c>
      <c r="AX503" s="3248">
        <v>0</v>
      </c>
      <c r="AY503" s="3248">
        <v>0</v>
      </c>
      <c r="AZ503" s="3247">
        <v>0</v>
      </c>
      <c r="BA503" s="3248">
        <v>0</v>
      </c>
      <c r="BB503" s="3248">
        <v>0</v>
      </c>
      <c r="BC503" s="3247">
        <v>0</v>
      </c>
      <c r="BD503" s="3248">
        <v>0</v>
      </c>
      <c r="BE503" s="3248">
        <v>0</v>
      </c>
      <c r="BF503" s="3248">
        <f t="shared" si="53"/>
        <v>0</v>
      </c>
      <c r="BG503" s="3248">
        <f t="shared" si="54"/>
        <v>0</v>
      </c>
      <c r="BH503" s="3249"/>
      <c r="BI503" s="3249"/>
    </row>
    <row r="504" spans="1:61" x14ac:dyDescent="0.3">
      <c r="A504" s="4197" t="s">
        <v>3384</v>
      </c>
      <c r="B504" s="3261"/>
      <c r="C504" s="3243">
        <v>0</v>
      </c>
      <c r="D504" s="3242">
        <v>0</v>
      </c>
      <c r="E504" s="3244"/>
      <c r="F504" s="3244"/>
      <c r="G504" s="3242">
        <v>0</v>
      </c>
      <c r="H504" s="3244"/>
      <c r="I504" s="3244"/>
      <c r="J504" s="3244"/>
      <c r="K504" s="3242">
        <v>0</v>
      </c>
      <c r="L504" s="3244"/>
      <c r="M504" s="3244"/>
      <c r="N504" s="3242" t="s">
        <v>3384</v>
      </c>
      <c r="O504" s="3239">
        <v>0</v>
      </c>
      <c r="P504" s="3242">
        <v>0</v>
      </c>
      <c r="Q504" s="3244"/>
      <c r="R504" s="3244"/>
      <c r="S504" s="3242">
        <v>0</v>
      </c>
      <c r="T504" s="3244"/>
      <c r="U504" s="3244"/>
      <c r="V504" s="3244"/>
      <c r="W504" s="3240">
        <v>0</v>
      </c>
      <c r="X504" s="3244"/>
      <c r="Y504" s="3244"/>
      <c r="Z504" s="3242" t="s">
        <v>3384</v>
      </c>
      <c r="AA504" s="3243">
        <v>0</v>
      </c>
      <c r="AB504" s="3242">
        <v>0</v>
      </c>
      <c r="AC504" s="3244"/>
      <c r="AD504" s="3244"/>
      <c r="AE504" s="3242">
        <v>0</v>
      </c>
      <c r="AF504" s="3259"/>
      <c r="AG504" s="3260"/>
      <c r="AH504" s="3250"/>
      <c r="AI504" s="4200"/>
      <c r="AJ504" s="3260"/>
      <c r="AK504" s="3260"/>
      <c r="AL504" s="3259"/>
      <c r="AM504" s="3260"/>
      <c r="AN504" s="3259"/>
      <c r="AO504" s="3260"/>
      <c r="AP504" s="3242">
        <v>0</v>
      </c>
      <c r="AQ504" s="3244"/>
      <c r="AR504" s="3244"/>
      <c r="AS504" s="3242" t="s">
        <v>3384</v>
      </c>
      <c r="AT504" s="3247">
        <f t="shared" si="51"/>
        <v>0</v>
      </c>
      <c r="AU504" s="3248">
        <f t="shared" si="52"/>
        <v>0</v>
      </c>
      <c r="AV504" s="3248">
        <v>0</v>
      </c>
      <c r="AW504" s="3247">
        <v>0</v>
      </c>
      <c r="AX504" s="3248">
        <v>0</v>
      </c>
      <c r="AY504" s="3248">
        <v>0</v>
      </c>
      <c r="AZ504" s="3247">
        <v>0</v>
      </c>
      <c r="BA504" s="3248">
        <v>0</v>
      </c>
      <c r="BB504" s="3248">
        <v>0</v>
      </c>
      <c r="BC504" s="3247">
        <v>0</v>
      </c>
      <c r="BD504" s="3248">
        <v>0</v>
      </c>
      <c r="BE504" s="3248">
        <v>0</v>
      </c>
      <c r="BF504" s="3248">
        <f t="shared" si="53"/>
        <v>0</v>
      </c>
      <c r="BG504" s="3248">
        <f t="shared" si="54"/>
        <v>0</v>
      </c>
      <c r="BH504" s="3249"/>
      <c r="BI504" s="3249"/>
    </row>
    <row r="505" spans="1:61" x14ac:dyDescent="0.3">
      <c r="A505" s="4197" t="s">
        <v>3384</v>
      </c>
      <c r="B505" s="3261"/>
      <c r="C505" s="3243">
        <v>0</v>
      </c>
      <c r="D505" s="3242">
        <v>0</v>
      </c>
      <c r="E505" s="3244"/>
      <c r="F505" s="3244"/>
      <c r="G505" s="3242">
        <v>0</v>
      </c>
      <c r="H505" s="3244"/>
      <c r="I505" s="3244"/>
      <c r="J505" s="3244"/>
      <c r="K505" s="3242">
        <v>0</v>
      </c>
      <c r="L505" s="3244"/>
      <c r="M505" s="3244"/>
      <c r="N505" s="3242" t="s">
        <v>3384</v>
      </c>
      <c r="O505" s="3239">
        <v>0</v>
      </c>
      <c r="P505" s="3242">
        <v>0</v>
      </c>
      <c r="Q505" s="3244"/>
      <c r="R505" s="3244"/>
      <c r="S505" s="3242">
        <v>0</v>
      </c>
      <c r="T505" s="3244"/>
      <c r="U505" s="3244"/>
      <c r="V505" s="3244"/>
      <c r="W505" s="3240">
        <v>0</v>
      </c>
      <c r="X505" s="3244"/>
      <c r="Y505" s="3244"/>
      <c r="Z505" s="3242" t="s">
        <v>3384</v>
      </c>
      <c r="AA505" s="3243">
        <v>0</v>
      </c>
      <c r="AB505" s="3242">
        <v>0</v>
      </c>
      <c r="AC505" s="3244"/>
      <c r="AD505" s="3244"/>
      <c r="AE505" s="3242">
        <v>0</v>
      </c>
      <c r="AF505" s="3259"/>
      <c r="AG505" s="3260"/>
      <c r="AH505" s="3250"/>
      <c r="AI505" s="4200"/>
      <c r="AJ505" s="3260"/>
      <c r="AK505" s="3260"/>
      <c r="AL505" s="3259"/>
      <c r="AM505" s="3260"/>
      <c r="AN505" s="3259"/>
      <c r="AO505" s="3260"/>
      <c r="AP505" s="3242">
        <v>0</v>
      </c>
      <c r="AQ505" s="3244"/>
      <c r="AR505" s="3244"/>
      <c r="AS505" s="3242" t="s">
        <v>3384</v>
      </c>
      <c r="AT505" s="3247">
        <f t="shared" si="51"/>
        <v>0</v>
      </c>
      <c r="AU505" s="3248">
        <f t="shared" si="52"/>
        <v>0</v>
      </c>
      <c r="AV505" s="3248">
        <v>0</v>
      </c>
      <c r="AW505" s="3247">
        <v>0</v>
      </c>
      <c r="AX505" s="3248">
        <v>0</v>
      </c>
      <c r="AY505" s="3248">
        <v>0</v>
      </c>
      <c r="AZ505" s="3247">
        <v>0</v>
      </c>
      <c r="BA505" s="3248">
        <v>0</v>
      </c>
      <c r="BB505" s="3248">
        <v>0</v>
      </c>
      <c r="BC505" s="3247">
        <v>0</v>
      </c>
      <c r="BD505" s="3248">
        <v>0</v>
      </c>
      <c r="BE505" s="3248">
        <v>0</v>
      </c>
      <c r="BF505" s="3248">
        <f t="shared" si="53"/>
        <v>0</v>
      </c>
      <c r="BG505" s="3248">
        <f t="shared" si="54"/>
        <v>0</v>
      </c>
      <c r="BH505" s="3249"/>
      <c r="BI505" s="3249"/>
    </row>
    <row r="506" spans="1:61" x14ac:dyDescent="0.3">
      <c r="A506" s="4197" t="s">
        <v>3384</v>
      </c>
      <c r="B506" s="3261"/>
      <c r="C506" s="3243">
        <v>0</v>
      </c>
      <c r="D506" s="3242">
        <v>0</v>
      </c>
      <c r="E506" s="3244"/>
      <c r="F506" s="3244"/>
      <c r="G506" s="3242">
        <v>0</v>
      </c>
      <c r="H506" s="3244"/>
      <c r="I506" s="3244"/>
      <c r="J506" s="3244"/>
      <c r="K506" s="3242">
        <v>0</v>
      </c>
      <c r="L506" s="3244"/>
      <c r="M506" s="3244"/>
      <c r="N506" s="3242" t="s">
        <v>3384</v>
      </c>
      <c r="O506" s="3239">
        <v>0</v>
      </c>
      <c r="P506" s="3242">
        <v>0</v>
      </c>
      <c r="Q506" s="3244"/>
      <c r="R506" s="3244"/>
      <c r="S506" s="3242">
        <v>0</v>
      </c>
      <c r="T506" s="3244"/>
      <c r="U506" s="3244"/>
      <c r="V506" s="3244"/>
      <c r="W506" s="3240">
        <v>0</v>
      </c>
      <c r="X506" s="3244"/>
      <c r="Y506" s="3244"/>
      <c r="Z506" s="3242" t="s">
        <v>3384</v>
      </c>
      <c r="AA506" s="3243">
        <v>0</v>
      </c>
      <c r="AB506" s="3242">
        <v>0</v>
      </c>
      <c r="AC506" s="3244"/>
      <c r="AD506" s="3244"/>
      <c r="AE506" s="3242">
        <v>0</v>
      </c>
      <c r="AF506" s="3259"/>
      <c r="AG506" s="3260"/>
      <c r="AH506" s="3250"/>
      <c r="AI506" s="4200"/>
      <c r="AJ506" s="3260"/>
      <c r="AK506" s="3260"/>
      <c r="AL506" s="3259"/>
      <c r="AM506" s="3260"/>
      <c r="AN506" s="3259"/>
      <c r="AO506" s="3260"/>
      <c r="AP506" s="3242">
        <v>0</v>
      </c>
      <c r="AQ506" s="3244"/>
      <c r="AR506" s="3244"/>
      <c r="AS506" s="3242" t="s">
        <v>3384</v>
      </c>
      <c r="AT506" s="3247">
        <f t="shared" si="51"/>
        <v>0</v>
      </c>
      <c r="AU506" s="3248">
        <f t="shared" si="52"/>
        <v>0</v>
      </c>
      <c r="AV506" s="3248">
        <v>0</v>
      </c>
      <c r="AW506" s="3247">
        <v>0</v>
      </c>
      <c r="AX506" s="3248">
        <v>0</v>
      </c>
      <c r="AY506" s="3248">
        <v>0</v>
      </c>
      <c r="AZ506" s="3247">
        <v>0</v>
      </c>
      <c r="BA506" s="3248">
        <v>0</v>
      </c>
      <c r="BB506" s="3248">
        <v>0</v>
      </c>
      <c r="BC506" s="3247">
        <v>0</v>
      </c>
      <c r="BD506" s="3248">
        <v>0</v>
      </c>
      <c r="BE506" s="3248">
        <v>0</v>
      </c>
      <c r="BF506" s="3248">
        <f t="shared" si="53"/>
        <v>0</v>
      </c>
      <c r="BG506" s="3248">
        <f t="shared" si="54"/>
        <v>0</v>
      </c>
      <c r="BH506" s="3249"/>
      <c r="BI506" s="3249"/>
    </row>
    <row r="507" spans="1:61" x14ac:dyDescent="0.3">
      <c r="A507" s="4197" t="s">
        <v>3384</v>
      </c>
      <c r="B507" s="3261"/>
      <c r="C507" s="3243">
        <v>0</v>
      </c>
      <c r="D507" s="3242">
        <v>0</v>
      </c>
      <c r="E507" s="3244"/>
      <c r="F507" s="3244"/>
      <c r="G507" s="3242">
        <v>0</v>
      </c>
      <c r="H507" s="3244"/>
      <c r="I507" s="3244"/>
      <c r="J507" s="3244"/>
      <c r="K507" s="3242">
        <v>0</v>
      </c>
      <c r="L507" s="3244"/>
      <c r="M507" s="3244"/>
      <c r="N507" s="3242" t="s">
        <v>3384</v>
      </c>
      <c r="O507" s="3239">
        <v>0</v>
      </c>
      <c r="P507" s="3242">
        <v>0</v>
      </c>
      <c r="Q507" s="3244"/>
      <c r="R507" s="3244"/>
      <c r="S507" s="3242">
        <v>0</v>
      </c>
      <c r="T507" s="3244"/>
      <c r="U507" s="3244"/>
      <c r="V507" s="3244"/>
      <c r="W507" s="3240">
        <v>0</v>
      </c>
      <c r="X507" s="3244"/>
      <c r="Y507" s="3244"/>
      <c r="Z507" s="3242" t="s">
        <v>3384</v>
      </c>
      <c r="AA507" s="3243">
        <v>0</v>
      </c>
      <c r="AB507" s="3242">
        <v>0</v>
      </c>
      <c r="AC507" s="3244"/>
      <c r="AD507" s="3244"/>
      <c r="AE507" s="3242">
        <v>0</v>
      </c>
      <c r="AF507" s="3259"/>
      <c r="AG507" s="3260"/>
      <c r="AH507" s="3250"/>
      <c r="AI507" s="4200"/>
      <c r="AJ507" s="3260"/>
      <c r="AK507" s="3260"/>
      <c r="AL507" s="3259"/>
      <c r="AM507" s="3260"/>
      <c r="AN507" s="3259"/>
      <c r="AO507" s="3260"/>
      <c r="AP507" s="3242">
        <v>0</v>
      </c>
      <c r="AQ507" s="3244"/>
      <c r="AR507" s="3244"/>
      <c r="AS507" s="3242" t="s">
        <v>3384</v>
      </c>
      <c r="AT507" s="3247">
        <f t="shared" si="51"/>
        <v>0</v>
      </c>
      <c r="AU507" s="3248">
        <f t="shared" si="52"/>
        <v>0</v>
      </c>
      <c r="AV507" s="3248">
        <v>0</v>
      </c>
      <c r="AW507" s="3247">
        <v>0</v>
      </c>
      <c r="AX507" s="3248">
        <v>0</v>
      </c>
      <c r="AY507" s="3248">
        <v>0</v>
      </c>
      <c r="AZ507" s="3247">
        <v>0</v>
      </c>
      <c r="BA507" s="3248">
        <v>0</v>
      </c>
      <c r="BB507" s="3248">
        <v>0</v>
      </c>
      <c r="BC507" s="3247">
        <v>0</v>
      </c>
      <c r="BD507" s="3248">
        <v>0</v>
      </c>
      <c r="BE507" s="3248">
        <v>0</v>
      </c>
      <c r="BF507" s="3248">
        <f t="shared" si="53"/>
        <v>0</v>
      </c>
      <c r="BG507" s="3248">
        <f t="shared" si="54"/>
        <v>0</v>
      </c>
      <c r="BH507" s="3249"/>
      <c r="BI507" s="3249"/>
    </row>
    <row r="508" spans="1:61" x14ac:dyDescent="0.3">
      <c r="A508" s="4197" t="s">
        <v>3384</v>
      </c>
      <c r="B508" s="3261"/>
      <c r="C508" s="3243">
        <v>0</v>
      </c>
      <c r="D508" s="3242">
        <v>0</v>
      </c>
      <c r="E508" s="3244"/>
      <c r="F508" s="3244"/>
      <c r="G508" s="3242">
        <v>0</v>
      </c>
      <c r="H508" s="3244"/>
      <c r="I508" s="3244"/>
      <c r="J508" s="3244"/>
      <c r="K508" s="3242">
        <v>0</v>
      </c>
      <c r="L508" s="3244"/>
      <c r="M508" s="3244"/>
      <c r="N508" s="3242" t="s">
        <v>3384</v>
      </c>
      <c r="O508" s="3239">
        <v>0</v>
      </c>
      <c r="P508" s="3242">
        <v>0</v>
      </c>
      <c r="Q508" s="3244"/>
      <c r="R508" s="3244"/>
      <c r="S508" s="3242">
        <v>0</v>
      </c>
      <c r="T508" s="3244"/>
      <c r="U508" s="3244"/>
      <c r="V508" s="3244"/>
      <c r="W508" s="3240">
        <v>0</v>
      </c>
      <c r="X508" s="3244"/>
      <c r="Y508" s="3244"/>
      <c r="Z508" s="3242" t="s">
        <v>3384</v>
      </c>
      <c r="AA508" s="3243">
        <v>0</v>
      </c>
      <c r="AB508" s="3242">
        <v>0</v>
      </c>
      <c r="AC508" s="3244"/>
      <c r="AD508" s="3244"/>
      <c r="AE508" s="3242">
        <v>0</v>
      </c>
      <c r="AF508" s="3259"/>
      <c r="AG508" s="3260"/>
      <c r="AH508" s="3250"/>
      <c r="AI508" s="4200"/>
      <c r="AJ508" s="3260"/>
      <c r="AK508" s="3260"/>
      <c r="AL508" s="3259"/>
      <c r="AM508" s="3260"/>
      <c r="AN508" s="3259"/>
      <c r="AO508" s="3260"/>
      <c r="AP508" s="3242">
        <v>0</v>
      </c>
      <c r="AQ508" s="3244"/>
      <c r="AR508" s="3244"/>
      <c r="AS508" s="3242" t="s">
        <v>3384</v>
      </c>
      <c r="AT508" s="3247">
        <f t="shared" si="51"/>
        <v>0</v>
      </c>
      <c r="AU508" s="3248">
        <f t="shared" si="52"/>
        <v>0</v>
      </c>
      <c r="AV508" s="3248">
        <v>0</v>
      </c>
      <c r="AW508" s="3247">
        <v>0</v>
      </c>
      <c r="AX508" s="3248">
        <v>0</v>
      </c>
      <c r="AY508" s="3248">
        <v>0</v>
      </c>
      <c r="AZ508" s="3247">
        <v>0</v>
      </c>
      <c r="BA508" s="3248">
        <v>0</v>
      </c>
      <c r="BB508" s="3248">
        <v>0</v>
      </c>
      <c r="BC508" s="3247">
        <v>0</v>
      </c>
      <c r="BD508" s="3248">
        <v>0</v>
      </c>
      <c r="BE508" s="3248">
        <v>0</v>
      </c>
      <c r="BF508" s="3248">
        <f t="shared" si="53"/>
        <v>0</v>
      </c>
      <c r="BG508" s="3248">
        <f t="shared" si="54"/>
        <v>0</v>
      </c>
      <c r="BH508" s="3249"/>
      <c r="BI508" s="3249"/>
    </row>
    <row r="509" spans="1:61" x14ac:dyDescent="0.3">
      <c r="A509" s="4197" t="s">
        <v>3384</v>
      </c>
      <c r="B509" s="3261"/>
      <c r="C509" s="3243">
        <v>0</v>
      </c>
      <c r="D509" s="3242">
        <v>0</v>
      </c>
      <c r="E509" s="3244"/>
      <c r="F509" s="3244"/>
      <c r="G509" s="3242">
        <v>0</v>
      </c>
      <c r="H509" s="3244"/>
      <c r="I509" s="3244"/>
      <c r="J509" s="3244"/>
      <c r="K509" s="3242">
        <v>0</v>
      </c>
      <c r="L509" s="3244"/>
      <c r="M509" s="3244"/>
      <c r="N509" s="3242" t="s">
        <v>3384</v>
      </c>
      <c r="O509" s="3239">
        <v>0</v>
      </c>
      <c r="P509" s="3242">
        <v>0</v>
      </c>
      <c r="Q509" s="3244"/>
      <c r="R509" s="3244"/>
      <c r="S509" s="3242">
        <v>0</v>
      </c>
      <c r="T509" s="3244"/>
      <c r="U509" s="3244"/>
      <c r="V509" s="3244"/>
      <c r="W509" s="3240">
        <v>0</v>
      </c>
      <c r="X509" s="3244"/>
      <c r="Y509" s="3244"/>
      <c r="Z509" s="3242" t="s">
        <v>3384</v>
      </c>
      <c r="AA509" s="3243">
        <v>0</v>
      </c>
      <c r="AB509" s="3242">
        <v>0</v>
      </c>
      <c r="AC509" s="3244"/>
      <c r="AD509" s="3244"/>
      <c r="AE509" s="3242">
        <v>0</v>
      </c>
      <c r="AF509" s="3259"/>
      <c r="AG509" s="3260"/>
      <c r="AH509" s="3250"/>
      <c r="AI509" s="4200"/>
      <c r="AJ509" s="3260"/>
      <c r="AK509" s="3260"/>
      <c r="AL509" s="3259"/>
      <c r="AM509" s="3260"/>
      <c r="AN509" s="3259"/>
      <c r="AO509" s="3260"/>
      <c r="AP509" s="3242">
        <v>0</v>
      </c>
      <c r="AQ509" s="3244"/>
      <c r="AR509" s="3244"/>
      <c r="AS509" s="3242" t="s">
        <v>3384</v>
      </c>
      <c r="AT509" s="3247">
        <f t="shared" si="51"/>
        <v>0</v>
      </c>
      <c r="AU509" s="3248">
        <f t="shared" si="52"/>
        <v>0</v>
      </c>
      <c r="AV509" s="3248">
        <v>0</v>
      </c>
      <c r="AW509" s="3247">
        <v>0</v>
      </c>
      <c r="AX509" s="3248">
        <v>0</v>
      </c>
      <c r="AY509" s="3248">
        <v>0</v>
      </c>
      <c r="AZ509" s="3247">
        <v>0</v>
      </c>
      <c r="BA509" s="3248">
        <v>0</v>
      </c>
      <c r="BB509" s="3248">
        <v>0</v>
      </c>
      <c r="BC509" s="3247">
        <v>0</v>
      </c>
      <c r="BD509" s="3248">
        <v>0</v>
      </c>
      <c r="BE509" s="3248">
        <v>0</v>
      </c>
      <c r="BF509" s="3248">
        <f t="shared" si="53"/>
        <v>0</v>
      </c>
      <c r="BG509" s="3248">
        <f t="shared" si="54"/>
        <v>0</v>
      </c>
      <c r="BH509" s="3249"/>
      <c r="BI509" s="3249"/>
    </row>
    <row r="510" spans="1:61" x14ac:dyDescent="0.3">
      <c r="A510" s="4197" t="s">
        <v>3384</v>
      </c>
      <c r="B510" s="3261"/>
      <c r="C510" s="3243">
        <v>0</v>
      </c>
      <c r="D510" s="3242">
        <v>0</v>
      </c>
      <c r="E510" s="3244"/>
      <c r="F510" s="3244"/>
      <c r="G510" s="3242">
        <v>0</v>
      </c>
      <c r="H510" s="3244"/>
      <c r="I510" s="3244"/>
      <c r="J510" s="3244"/>
      <c r="K510" s="3242">
        <v>0</v>
      </c>
      <c r="L510" s="3244"/>
      <c r="M510" s="3244"/>
      <c r="N510" s="3242" t="s">
        <v>3384</v>
      </c>
      <c r="O510" s="3239">
        <v>0</v>
      </c>
      <c r="P510" s="3242">
        <v>0</v>
      </c>
      <c r="Q510" s="3244"/>
      <c r="R510" s="3244"/>
      <c r="S510" s="3242">
        <v>0</v>
      </c>
      <c r="T510" s="3244"/>
      <c r="U510" s="3244"/>
      <c r="V510" s="3244"/>
      <c r="W510" s="3240">
        <v>0</v>
      </c>
      <c r="X510" s="3244"/>
      <c r="Y510" s="3244"/>
      <c r="Z510" s="3242" t="s">
        <v>3384</v>
      </c>
      <c r="AA510" s="3243">
        <v>0</v>
      </c>
      <c r="AB510" s="3242">
        <v>0</v>
      </c>
      <c r="AC510" s="3244"/>
      <c r="AD510" s="3244"/>
      <c r="AE510" s="3242">
        <v>0</v>
      </c>
      <c r="AF510" s="3259"/>
      <c r="AG510" s="3260"/>
      <c r="AH510" s="3250"/>
      <c r="AI510" s="4200"/>
      <c r="AJ510" s="3260"/>
      <c r="AK510" s="3260"/>
      <c r="AL510" s="3259"/>
      <c r="AM510" s="3260"/>
      <c r="AN510" s="3259"/>
      <c r="AO510" s="3260"/>
      <c r="AP510" s="3242">
        <v>0</v>
      </c>
      <c r="AQ510" s="3244"/>
      <c r="AR510" s="3244"/>
      <c r="AS510" s="3242" t="s">
        <v>3384</v>
      </c>
      <c r="AT510" s="3247">
        <f t="shared" si="51"/>
        <v>0</v>
      </c>
      <c r="AU510" s="3248">
        <f t="shared" si="52"/>
        <v>0</v>
      </c>
      <c r="AV510" s="3248">
        <v>0</v>
      </c>
      <c r="AW510" s="3247">
        <v>0</v>
      </c>
      <c r="AX510" s="3248">
        <v>0</v>
      </c>
      <c r="AY510" s="3248">
        <v>0</v>
      </c>
      <c r="AZ510" s="3247">
        <v>0</v>
      </c>
      <c r="BA510" s="3248">
        <v>0</v>
      </c>
      <c r="BB510" s="3248">
        <v>0</v>
      </c>
      <c r="BC510" s="3247">
        <v>0</v>
      </c>
      <c r="BD510" s="3248">
        <v>0</v>
      </c>
      <c r="BE510" s="3248">
        <v>0</v>
      </c>
      <c r="BF510" s="3248">
        <f t="shared" si="53"/>
        <v>0</v>
      </c>
      <c r="BG510" s="3248">
        <f t="shared" si="54"/>
        <v>0</v>
      </c>
      <c r="BH510" s="3249"/>
      <c r="BI510" s="3249"/>
    </row>
    <row r="511" spans="1:61" x14ac:dyDescent="0.3">
      <c r="A511" s="4197" t="s">
        <v>3384</v>
      </c>
      <c r="B511" s="3261"/>
      <c r="C511" s="3243">
        <v>0</v>
      </c>
      <c r="D511" s="3242">
        <v>0</v>
      </c>
      <c r="E511" s="3244"/>
      <c r="F511" s="3244"/>
      <c r="G511" s="3242">
        <v>0</v>
      </c>
      <c r="H511" s="3244"/>
      <c r="I511" s="3244"/>
      <c r="J511" s="3244"/>
      <c r="K511" s="3242">
        <v>0</v>
      </c>
      <c r="L511" s="3244"/>
      <c r="M511" s="3244"/>
      <c r="N511" s="3242" t="s">
        <v>3384</v>
      </c>
      <c r="O511" s="3239">
        <v>0</v>
      </c>
      <c r="P511" s="3242">
        <v>0</v>
      </c>
      <c r="Q511" s="3244"/>
      <c r="R511" s="3244"/>
      <c r="S511" s="3242">
        <v>0</v>
      </c>
      <c r="T511" s="3244"/>
      <c r="U511" s="3244"/>
      <c r="V511" s="3244"/>
      <c r="W511" s="3240">
        <v>0</v>
      </c>
      <c r="X511" s="3244"/>
      <c r="Y511" s="3244"/>
      <c r="Z511" s="3242" t="s">
        <v>3384</v>
      </c>
      <c r="AA511" s="3243">
        <v>0</v>
      </c>
      <c r="AB511" s="3242">
        <v>0</v>
      </c>
      <c r="AC511" s="3244"/>
      <c r="AD511" s="3244"/>
      <c r="AE511" s="3242">
        <v>0</v>
      </c>
      <c r="AF511" s="3259"/>
      <c r="AG511" s="3260"/>
      <c r="AH511" s="3250"/>
      <c r="AI511" s="4200"/>
      <c r="AJ511" s="3260"/>
      <c r="AK511" s="3260"/>
      <c r="AL511" s="3259"/>
      <c r="AM511" s="3260"/>
      <c r="AN511" s="3259"/>
      <c r="AO511" s="3260"/>
      <c r="AP511" s="3242">
        <v>0</v>
      </c>
      <c r="AQ511" s="3244"/>
      <c r="AR511" s="3244"/>
      <c r="AS511" s="3242" t="s">
        <v>3384</v>
      </c>
      <c r="AT511" s="3247">
        <f t="shared" si="51"/>
        <v>0</v>
      </c>
      <c r="AU511" s="3248">
        <f t="shared" si="52"/>
        <v>0</v>
      </c>
      <c r="AV511" s="3248">
        <v>0</v>
      </c>
      <c r="AW511" s="3247">
        <v>0</v>
      </c>
      <c r="AX511" s="3248">
        <v>0</v>
      </c>
      <c r="AY511" s="3248">
        <v>0</v>
      </c>
      <c r="AZ511" s="3247">
        <v>0</v>
      </c>
      <c r="BA511" s="3248">
        <v>0</v>
      </c>
      <c r="BB511" s="3248">
        <v>0</v>
      </c>
      <c r="BC511" s="3247">
        <v>0</v>
      </c>
      <c r="BD511" s="3248">
        <v>0</v>
      </c>
      <c r="BE511" s="3248">
        <v>0</v>
      </c>
      <c r="BF511" s="3248">
        <f t="shared" si="53"/>
        <v>0</v>
      </c>
      <c r="BG511" s="3248">
        <f t="shared" si="54"/>
        <v>0</v>
      </c>
      <c r="BH511" s="3249"/>
      <c r="BI511" s="3249"/>
    </row>
    <row r="512" spans="1:61" x14ac:dyDescent="0.3">
      <c r="A512" s="4197" t="s">
        <v>3384</v>
      </c>
      <c r="B512" s="3261"/>
      <c r="C512" s="3243">
        <v>0</v>
      </c>
      <c r="D512" s="3242">
        <v>0</v>
      </c>
      <c r="E512" s="3244"/>
      <c r="F512" s="3244"/>
      <c r="G512" s="3242">
        <v>0</v>
      </c>
      <c r="H512" s="3244"/>
      <c r="I512" s="3244"/>
      <c r="J512" s="3244"/>
      <c r="K512" s="3242">
        <v>0</v>
      </c>
      <c r="L512" s="3244"/>
      <c r="M512" s="3244"/>
      <c r="N512" s="3242" t="s">
        <v>3384</v>
      </c>
      <c r="O512" s="3239">
        <v>0</v>
      </c>
      <c r="P512" s="3242">
        <v>0</v>
      </c>
      <c r="Q512" s="3244"/>
      <c r="R512" s="3244"/>
      <c r="S512" s="3242">
        <v>0</v>
      </c>
      <c r="T512" s="3244"/>
      <c r="U512" s="3244"/>
      <c r="V512" s="3244"/>
      <c r="W512" s="3240">
        <v>0</v>
      </c>
      <c r="X512" s="3244"/>
      <c r="Y512" s="3244"/>
      <c r="Z512" s="3242" t="s">
        <v>3384</v>
      </c>
      <c r="AA512" s="3243">
        <v>0</v>
      </c>
      <c r="AB512" s="3242">
        <v>0</v>
      </c>
      <c r="AC512" s="3244"/>
      <c r="AD512" s="3244"/>
      <c r="AE512" s="3242">
        <v>0</v>
      </c>
      <c r="AF512" s="3259"/>
      <c r="AG512" s="3260"/>
      <c r="AH512" s="3250"/>
      <c r="AI512" s="4200"/>
      <c r="AJ512" s="3260"/>
      <c r="AK512" s="3260"/>
      <c r="AL512" s="3259"/>
      <c r="AM512" s="3260"/>
      <c r="AN512" s="3259"/>
      <c r="AO512" s="3260"/>
      <c r="AP512" s="3242">
        <v>0</v>
      </c>
      <c r="AQ512" s="3244"/>
      <c r="AR512" s="3244"/>
      <c r="AS512" s="3242" t="s">
        <v>3384</v>
      </c>
      <c r="AT512" s="3247">
        <f t="shared" si="51"/>
        <v>0</v>
      </c>
      <c r="AU512" s="3248">
        <f t="shared" si="52"/>
        <v>0</v>
      </c>
      <c r="AV512" s="3248">
        <v>0</v>
      </c>
      <c r="AW512" s="3247">
        <v>0</v>
      </c>
      <c r="AX512" s="3248">
        <v>0</v>
      </c>
      <c r="AY512" s="3248">
        <v>0</v>
      </c>
      <c r="AZ512" s="3247">
        <v>0</v>
      </c>
      <c r="BA512" s="3248">
        <v>0</v>
      </c>
      <c r="BB512" s="3248">
        <v>0</v>
      </c>
      <c r="BC512" s="3247">
        <v>0</v>
      </c>
      <c r="BD512" s="3248">
        <v>0</v>
      </c>
      <c r="BE512" s="3248">
        <v>0</v>
      </c>
      <c r="BF512" s="3248">
        <f t="shared" si="53"/>
        <v>0</v>
      </c>
      <c r="BG512" s="3248">
        <f t="shared" si="54"/>
        <v>0</v>
      </c>
      <c r="BH512" s="3249"/>
      <c r="BI512" s="3249"/>
    </row>
    <row r="513" spans="1:61" x14ac:dyDescent="0.3">
      <c r="A513" s="4197" t="s">
        <v>3384</v>
      </c>
      <c r="B513" s="3261"/>
      <c r="C513" s="3243">
        <v>0</v>
      </c>
      <c r="D513" s="3242">
        <v>0</v>
      </c>
      <c r="E513" s="3244"/>
      <c r="F513" s="3244"/>
      <c r="G513" s="3242">
        <v>0</v>
      </c>
      <c r="H513" s="3244"/>
      <c r="I513" s="3244"/>
      <c r="J513" s="3244"/>
      <c r="K513" s="3242">
        <v>0</v>
      </c>
      <c r="L513" s="3244"/>
      <c r="M513" s="3244"/>
      <c r="N513" s="3242" t="s">
        <v>3384</v>
      </c>
      <c r="O513" s="3239">
        <v>0</v>
      </c>
      <c r="P513" s="3242">
        <v>0</v>
      </c>
      <c r="Q513" s="3244"/>
      <c r="R513" s="3244"/>
      <c r="S513" s="3242">
        <v>0</v>
      </c>
      <c r="T513" s="3244"/>
      <c r="U513" s="3244"/>
      <c r="V513" s="3244"/>
      <c r="W513" s="3240">
        <v>0</v>
      </c>
      <c r="X513" s="3244"/>
      <c r="Y513" s="3244"/>
      <c r="Z513" s="3242" t="s">
        <v>3384</v>
      </c>
      <c r="AA513" s="3243">
        <v>0</v>
      </c>
      <c r="AB513" s="3242">
        <v>0</v>
      </c>
      <c r="AC513" s="3244"/>
      <c r="AD513" s="3244"/>
      <c r="AE513" s="3242">
        <v>0</v>
      </c>
      <c r="AF513" s="3259"/>
      <c r="AG513" s="3260"/>
      <c r="AH513" s="3250"/>
      <c r="AI513" s="4200"/>
      <c r="AJ513" s="3260"/>
      <c r="AK513" s="3260"/>
      <c r="AL513" s="3259"/>
      <c r="AM513" s="3260"/>
      <c r="AN513" s="3259"/>
      <c r="AO513" s="3260"/>
      <c r="AP513" s="3242">
        <v>0</v>
      </c>
      <c r="AQ513" s="3244"/>
      <c r="AR513" s="3244"/>
      <c r="AS513" s="3242" t="s">
        <v>3384</v>
      </c>
      <c r="AT513" s="3247">
        <f t="shared" si="51"/>
        <v>0</v>
      </c>
      <c r="AU513" s="3248">
        <f t="shared" si="52"/>
        <v>0</v>
      </c>
      <c r="AV513" s="3248">
        <v>0</v>
      </c>
      <c r="AW513" s="3247">
        <v>0</v>
      </c>
      <c r="AX513" s="3248">
        <v>0</v>
      </c>
      <c r="AY513" s="3248">
        <v>0</v>
      </c>
      <c r="AZ513" s="3247">
        <v>0</v>
      </c>
      <c r="BA513" s="3248">
        <v>0</v>
      </c>
      <c r="BB513" s="3248">
        <v>0</v>
      </c>
      <c r="BC513" s="3247">
        <v>0</v>
      </c>
      <c r="BD513" s="3248">
        <v>0</v>
      </c>
      <c r="BE513" s="3248">
        <v>0</v>
      </c>
      <c r="BF513" s="3248">
        <f t="shared" si="53"/>
        <v>0</v>
      </c>
      <c r="BG513" s="3248">
        <f t="shared" si="54"/>
        <v>0</v>
      </c>
      <c r="BH513" s="3249"/>
      <c r="BI513" s="3249"/>
    </row>
    <row r="514" spans="1:61" x14ac:dyDescent="0.3">
      <c r="A514" s="4197" t="s">
        <v>3384</v>
      </c>
      <c r="B514" s="3261"/>
      <c r="C514" s="3243">
        <v>0</v>
      </c>
      <c r="D514" s="3242">
        <v>0</v>
      </c>
      <c r="E514" s="3244"/>
      <c r="F514" s="3244"/>
      <c r="G514" s="3242">
        <v>0</v>
      </c>
      <c r="H514" s="3244"/>
      <c r="I514" s="3244"/>
      <c r="J514" s="3244"/>
      <c r="K514" s="3242">
        <v>0</v>
      </c>
      <c r="L514" s="3244"/>
      <c r="M514" s="3244"/>
      <c r="N514" s="3242" t="s">
        <v>3384</v>
      </c>
      <c r="O514" s="3239">
        <v>0</v>
      </c>
      <c r="P514" s="3242">
        <v>0</v>
      </c>
      <c r="Q514" s="3244"/>
      <c r="R514" s="3244"/>
      <c r="S514" s="3242">
        <v>0</v>
      </c>
      <c r="T514" s="3244"/>
      <c r="U514" s="3244"/>
      <c r="V514" s="3244"/>
      <c r="W514" s="3240">
        <v>0</v>
      </c>
      <c r="X514" s="3244"/>
      <c r="Y514" s="3244"/>
      <c r="Z514" s="3242" t="s">
        <v>3384</v>
      </c>
      <c r="AA514" s="3243">
        <v>0</v>
      </c>
      <c r="AB514" s="3242">
        <v>0</v>
      </c>
      <c r="AC514" s="3244"/>
      <c r="AD514" s="3244"/>
      <c r="AE514" s="3242">
        <v>0</v>
      </c>
      <c r="AF514" s="3259"/>
      <c r="AG514" s="3260"/>
      <c r="AH514" s="3250"/>
      <c r="AI514" s="4200"/>
      <c r="AJ514" s="3260"/>
      <c r="AK514" s="3260"/>
      <c r="AL514" s="3259"/>
      <c r="AM514" s="3260"/>
      <c r="AN514" s="3259"/>
      <c r="AO514" s="3260"/>
      <c r="AP514" s="3242">
        <v>0</v>
      </c>
      <c r="AQ514" s="3244"/>
      <c r="AR514" s="3244"/>
      <c r="AS514" s="3242" t="s">
        <v>3384</v>
      </c>
      <c r="AT514" s="3247">
        <f t="shared" si="51"/>
        <v>0</v>
      </c>
      <c r="AU514" s="3248">
        <f t="shared" si="52"/>
        <v>0</v>
      </c>
      <c r="AV514" s="3248">
        <v>0</v>
      </c>
      <c r="AW514" s="3247">
        <v>0</v>
      </c>
      <c r="AX514" s="3248">
        <v>0</v>
      </c>
      <c r="AY514" s="3248">
        <v>0</v>
      </c>
      <c r="AZ514" s="3247">
        <v>0</v>
      </c>
      <c r="BA514" s="3248">
        <v>0</v>
      </c>
      <c r="BB514" s="3248">
        <v>0</v>
      </c>
      <c r="BC514" s="3247">
        <v>0</v>
      </c>
      <c r="BD514" s="3248">
        <v>0</v>
      </c>
      <c r="BE514" s="3248">
        <v>0</v>
      </c>
      <c r="BF514" s="3248">
        <f t="shared" si="53"/>
        <v>0</v>
      </c>
      <c r="BG514" s="3248">
        <f t="shared" si="54"/>
        <v>0</v>
      </c>
      <c r="BH514" s="3249"/>
      <c r="BI514" s="3249"/>
    </row>
    <row r="515" spans="1:61" x14ac:dyDescent="0.3">
      <c r="A515" s="4197" t="s">
        <v>3384</v>
      </c>
      <c r="B515" s="3261"/>
      <c r="C515" s="3243">
        <v>0</v>
      </c>
      <c r="D515" s="3242">
        <v>0</v>
      </c>
      <c r="E515" s="3244"/>
      <c r="F515" s="3244"/>
      <c r="G515" s="3242">
        <v>0</v>
      </c>
      <c r="H515" s="3244"/>
      <c r="I515" s="3244"/>
      <c r="J515" s="3244"/>
      <c r="K515" s="3242">
        <v>0</v>
      </c>
      <c r="L515" s="3244"/>
      <c r="M515" s="3244"/>
      <c r="N515" s="3242" t="s">
        <v>3384</v>
      </c>
      <c r="O515" s="3239">
        <v>0</v>
      </c>
      <c r="P515" s="3242">
        <v>0</v>
      </c>
      <c r="Q515" s="3244"/>
      <c r="R515" s="3244"/>
      <c r="S515" s="3242">
        <v>0</v>
      </c>
      <c r="T515" s="3244"/>
      <c r="U515" s="3244"/>
      <c r="V515" s="3244"/>
      <c r="W515" s="3240">
        <v>0</v>
      </c>
      <c r="X515" s="3244"/>
      <c r="Y515" s="3244"/>
      <c r="Z515" s="3242" t="s">
        <v>3384</v>
      </c>
      <c r="AA515" s="3243">
        <v>0</v>
      </c>
      <c r="AB515" s="3242">
        <v>0</v>
      </c>
      <c r="AC515" s="3244"/>
      <c r="AD515" s="3244"/>
      <c r="AE515" s="3242">
        <v>0</v>
      </c>
      <c r="AF515" s="3259"/>
      <c r="AG515" s="3260"/>
      <c r="AH515" s="3250"/>
      <c r="AI515" s="4200"/>
      <c r="AJ515" s="3260"/>
      <c r="AK515" s="3260"/>
      <c r="AL515" s="3259"/>
      <c r="AM515" s="3260"/>
      <c r="AN515" s="3259"/>
      <c r="AO515" s="3260"/>
      <c r="AP515" s="3242">
        <v>0</v>
      </c>
      <c r="AQ515" s="3244"/>
      <c r="AR515" s="3244"/>
      <c r="AS515" s="3242" t="s">
        <v>3384</v>
      </c>
      <c r="AT515" s="3247">
        <f t="shared" si="51"/>
        <v>0</v>
      </c>
      <c r="AU515" s="3248">
        <f t="shared" si="52"/>
        <v>0</v>
      </c>
      <c r="AV515" s="3248">
        <v>0</v>
      </c>
      <c r="AW515" s="3247">
        <v>0</v>
      </c>
      <c r="AX515" s="3248">
        <v>0</v>
      </c>
      <c r="AY515" s="3248">
        <v>0</v>
      </c>
      <c r="AZ515" s="3247">
        <v>0</v>
      </c>
      <c r="BA515" s="3248">
        <v>0</v>
      </c>
      <c r="BB515" s="3248">
        <v>0</v>
      </c>
      <c r="BC515" s="3247">
        <v>0</v>
      </c>
      <c r="BD515" s="3248">
        <v>0</v>
      </c>
      <c r="BE515" s="3248">
        <v>0</v>
      </c>
      <c r="BF515" s="3248">
        <f t="shared" si="53"/>
        <v>0</v>
      </c>
      <c r="BG515" s="3248">
        <f t="shared" si="54"/>
        <v>0</v>
      </c>
      <c r="BH515" s="3249"/>
      <c r="BI515" s="3249"/>
    </row>
    <row r="516" spans="1:61" x14ac:dyDescent="0.3">
      <c r="A516" s="4197" t="s">
        <v>3384</v>
      </c>
      <c r="B516" s="3261"/>
      <c r="C516" s="3243">
        <v>0</v>
      </c>
      <c r="D516" s="3242">
        <v>0</v>
      </c>
      <c r="E516" s="3244"/>
      <c r="F516" s="3244"/>
      <c r="G516" s="3242">
        <v>0</v>
      </c>
      <c r="H516" s="3244"/>
      <c r="I516" s="3244"/>
      <c r="J516" s="3244"/>
      <c r="K516" s="3242">
        <v>0</v>
      </c>
      <c r="L516" s="3244"/>
      <c r="M516" s="3244"/>
      <c r="N516" s="3242" t="s">
        <v>3384</v>
      </c>
      <c r="O516" s="3239">
        <v>0</v>
      </c>
      <c r="P516" s="3242">
        <v>0</v>
      </c>
      <c r="Q516" s="3244"/>
      <c r="R516" s="3244"/>
      <c r="S516" s="3242">
        <v>0</v>
      </c>
      <c r="T516" s="3244"/>
      <c r="U516" s="3244"/>
      <c r="V516" s="3244"/>
      <c r="W516" s="3240">
        <v>0</v>
      </c>
      <c r="X516" s="3244"/>
      <c r="Y516" s="3244"/>
      <c r="Z516" s="3242" t="s">
        <v>3384</v>
      </c>
      <c r="AA516" s="3243">
        <v>0</v>
      </c>
      <c r="AB516" s="3242">
        <v>0</v>
      </c>
      <c r="AC516" s="3244"/>
      <c r="AD516" s="3244"/>
      <c r="AE516" s="3242">
        <v>0</v>
      </c>
      <c r="AF516" s="3259"/>
      <c r="AG516" s="3260"/>
      <c r="AH516" s="3250"/>
      <c r="AI516" s="4200"/>
      <c r="AJ516" s="3260"/>
      <c r="AK516" s="3260"/>
      <c r="AL516" s="3259"/>
      <c r="AM516" s="3260"/>
      <c r="AN516" s="3259"/>
      <c r="AO516" s="3260"/>
      <c r="AP516" s="3242">
        <v>0</v>
      </c>
      <c r="AQ516" s="3244"/>
      <c r="AR516" s="3244"/>
      <c r="AS516" s="3242" t="s">
        <v>3384</v>
      </c>
      <c r="AT516" s="3247">
        <f t="shared" si="51"/>
        <v>0</v>
      </c>
      <c r="AU516" s="3248">
        <f t="shared" si="52"/>
        <v>0</v>
      </c>
      <c r="AV516" s="3248">
        <v>0</v>
      </c>
      <c r="AW516" s="3247">
        <v>0</v>
      </c>
      <c r="AX516" s="3248">
        <v>0</v>
      </c>
      <c r="AY516" s="3248">
        <v>0</v>
      </c>
      <c r="AZ516" s="3247">
        <v>0</v>
      </c>
      <c r="BA516" s="3248">
        <v>0</v>
      </c>
      <c r="BB516" s="3248">
        <v>0</v>
      </c>
      <c r="BC516" s="3247">
        <v>0</v>
      </c>
      <c r="BD516" s="3248">
        <v>0</v>
      </c>
      <c r="BE516" s="3248">
        <v>0</v>
      </c>
      <c r="BF516" s="3248">
        <f t="shared" si="53"/>
        <v>0</v>
      </c>
      <c r="BG516" s="3248">
        <f t="shared" si="54"/>
        <v>0</v>
      </c>
      <c r="BH516" s="3249"/>
      <c r="BI516" s="3249"/>
    </row>
    <row r="517" spans="1:61" x14ac:dyDescent="0.3">
      <c r="A517" s="4197" t="s">
        <v>3384</v>
      </c>
      <c r="B517" s="3261"/>
      <c r="C517" s="3243">
        <v>0</v>
      </c>
      <c r="D517" s="3242">
        <v>0</v>
      </c>
      <c r="E517" s="3244"/>
      <c r="F517" s="3244"/>
      <c r="G517" s="3242">
        <v>0</v>
      </c>
      <c r="H517" s="3244"/>
      <c r="I517" s="3244"/>
      <c r="J517" s="3244"/>
      <c r="K517" s="3242">
        <v>0</v>
      </c>
      <c r="L517" s="3244"/>
      <c r="M517" s="3244"/>
      <c r="N517" s="3242" t="s">
        <v>3384</v>
      </c>
      <c r="O517" s="3239">
        <v>0</v>
      </c>
      <c r="P517" s="3242">
        <v>0</v>
      </c>
      <c r="Q517" s="3244"/>
      <c r="R517" s="3244"/>
      <c r="S517" s="3242">
        <v>0</v>
      </c>
      <c r="T517" s="3244"/>
      <c r="U517" s="3244"/>
      <c r="V517" s="3244"/>
      <c r="W517" s="3240">
        <v>0</v>
      </c>
      <c r="X517" s="3244"/>
      <c r="Y517" s="3244"/>
      <c r="Z517" s="3242" t="s">
        <v>3384</v>
      </c>
      <c r="AA517" s="3243">
        <v>0</v>
      </c>
      <c r="AB517" s="3242">
        <v>0</v>
      </c>
      <c r="AC517" s="3244"/>
      <c r="AD517" s="3244"/>
      <c r="AE517" s="3242">
        <v>0</v>
      </c>
      <c r="AF517" s="3259"/>
      <c r="AG517" s="3260"/>
      <c r="AH517" s="3250"/>
      <c r="AI517" s="4200"/>
      <c r="AJ517" s="3260"/>
      <c r="AK517" s="3260"/>
      <c r="AL517" s="3259"/>
      <c r="AM517" s="3260"/>
      <c r="AN517" s="3259"/>
      <c r="AO517" s="3260"/>
      <c r="AP517" s="3242">
        <v>0</v>
      </c>
      <c r="AQ517" s="3244"/>
      <c r="AR517" s="3244"/>
      <c r="AS517" s="3242" t="s">
        <v>3384</v>
      </c>
      <c r="AT517" s="3247">
        <f t="shared" si="51"/>
        <v>0</v>
      </c>
      <c r="AU517" s="3248">
        <f t="shared" si="52"/>
        <v>0</v>
      </c>
      <c r="AV517" s="3248">
        <v>0</v>
      </c>
      <c r="AW517" s="3247">
        <v>0</v>
      </c>
      <c r="AX517" s="3248">
        <v>0</v>
      </c>
      <c r="AY517" s="3248">
        <v>0</v>
      </c>
      <c r="AZ517" s="3247">
        <v>0</v>
      </c>
      <c r="BA517" s="3248">
        <v>0</v>
      </c>
      <c r="BB517" s="3248">
        <v>0</v>
      </c>
      <c r="BC517" s="3247">
        <v>0</v>
      </c>
      <c r="BD517" s="3248">
        <v>0</v>
      </c>
      <c r="BE517" s="3248">
        <v>0</v>
      </c>
      <c r="BF517" s="3248">
        <f t="shared" si="53"/>
        <v>0</v>
      </c>
      <c r="BG517" s="3248">
        <f t="shared" si="54"/>
        <v>0</v>
      </c>
      <c r="BH517" s="3249"/>
      <c r="BI517" s="3249"/>
    </row>
    <row r="518" spans="1:61" x14ac:dyDescent="0.3">
      <c r="A518" s="4197" t="s">
        <v>3384</v>
      </c>
      <c r="B518" s="3261"/>
      <c r="C518" s="3243">
        <v>0</v>
      </c>
      <c r="D518" s="3242">
        <v>0</v>
      </c>
      <c r="E518" s="3244"/>
      <c r="F518" s="3244"/>
      <c r="G518" s="3242">
        <v>0</v>
      </c>
      <c r="H518" s="3244"/>
      <c r="I518" s="3244"/>
      <c r="J518" s="3244"/>
      <c r="K518" s="3242">
        <v>0</v>
      </c>
      <c r="L518" s="3244"/>
      <c r="M518" s="3244"/>
      <c r="N518" s="3242" t="s">
        <v>3384</v>
      </c>
      <c r="O518" s="3239">
        <v>0</v>
      </c>
      <c r="P518" s="3242">
        <v>0</v>
      </c>
      <c r="Q518" s="3244"/>
      <c r="R518" s="3244"/>
      <c r="S518" s="3242">
        <v>0</v>
      </c>
      <c r="T518" s="3244"/>
      <c r="U518" s="3244"/>
      <c r="V518" s="3244"/>
      <c r="W518" s="3240">
        <v>0</v>
      </c>
      <c r="X518" s="3244"/>
      <c r="Y518" s="3244"/>
      <c r="Z518" s="3242" t="s">
        <v>3384</v>
      </c>
      <c r="AA518" s="3243">
        <v>0</v>
      </c>
      <c r="AB518" s="3242">
        <v>0</v>
      </c>
      <c r="AC518" s="3244"/>
      <c r="AD518" s="3244"/>
      <c r="AE518" s="3242">
        <v>0</v>
      </c>
      <c r="AF518" s="3259"/>
      <c r="AG518" s="3260"/>
      <c r="AH518" s="3250"/>
      <c r="AI518" s="4200"/>
      <c r="AJ518" s="3260"/>
      <c r="AK518" s="3260"/>
      <c r="AL518" s="3259"/>
      <c r="AM518" s="3260"/>
      <c r="AN518" s="3259"/>
      <c r="AO518" s="3260"/>
      <c r="AP518" s="3242">
        <v>0</v>
      </c>
      <c r="AQ518" s="3244"/>
      <c r="AR518" s="3244"/>
      <c r="AS518" s="3242" t="s">
        <v>3384</v>
      </c>
      <c r="AT518" s="3247">
        <f t="shared" si="51"/>
        <v>0</v>
      </c>
      <c r="AU518" s="3248">
        <f t="shared" si="52"/>
        <v>0</v>
      </c>
      <c r="AV518" s="3248">
        <v>0</v>
      </c>
      <c r="AW518" s="3247">
        <v>0</v>
      </c>
      <c r="AX518" s="3248">
        <v>0</v>
      </c>
      <c r="AY518" s="3248">
        <v>0</v>
      </c>
      <c r="AZ518" s="3247">
        <v>0</v>
      </c>
      <c r="BA518" s="3248">
        <v>0</v>
      </c>
      <c r="BB518" s="3248">
        <v>0</v>
      </c>
      <c r="BC518" s="3247">
        <v>0</v>
      </c>
      <c r="BD518" s="3248">
        <v>0</v>
      </c>
      <c r="BE518" s="3248">
        <v>0</v>
      </c>
      <c r="BF518" s="3248">
        <f t="shared" si="53"/>
        <v>0</v>
      </c>
      <c r="BG518" s="3248">
        <f t="shared" si="54"/>
        <v>0</v>
      </c>
      <c r="BH518" s="3249"/>
      <c r="BI518" s="3249"/>
    </row>
    <row r="519" spans="1:61" x14ac:dyDescent="0.3">
      <c r="A519" s="4197" t="s">
        <v>3384</v>
      </c>
      <c r="B519" s="3261"/>
      <c r="C519" s="3243">
        <v>0</v>
      </c>
      <c r="D519" s="3242">
        <v>0</v>
      </c>
      <c r="E519" s="3244"/>
      <c r="F519" s="3244"/>
      <c r="G519" s="3242">
        <v>0</v>
      </c>
      <c r="H519" s="3244"/>
      <c r="I519" s="3244"/>
      <c r="J519" s="3244"/>
      <c r="K519" s="3242">
        <v>0</v>
      </c>
      <c r="L519" s="3244"/>
      <c r="M519" s="3244"/>
      <c r="N519" s="3242" t="s">
        <v>3384</v>
      </c>
      <c r="O519" s="3239">
        <v>0</v>
      </c>
      <c r="P519" s="3242">
        <v>0</v>
      </c>
      <c r="Q519" s="3244"/>
      <c r="R519" s="3244"/>
      <c r="S519" s="3242">
        <v>0</v>
      </c>
      <c r="T519" s="3244"/>
      <c r="U519" s="3244"/>
      <c r="V519" s="3244"/>
      <c r="W519" s="3240">
        <v>0</v>
      </c>
      <c r="X519" s="3244"/>
      <c r="Y519" s="3244"/>
      <c r="Z519" s="3242" t="s">
        <v>3384</v>
      </c>
      <c r="AA519" s="3243">
        <v>0</v>
      </c>
      <c r="AB519" s="3242">
        <v>0</v>
      </c>
      <c r="AC519" s="3244"/>
      <c r="AD519" s="3244"/>
      <c r="AE519" s="3242">
        <v>0</v>
      </c>
      <c r="AF519" s="3259"/>
      <c r="AG519" s="3260"/>
      <c r="AH519" s="3250"/>
      <c r="AI519" s="4200"/>
      <c r="AJ519" s="3260"/>
      <c r="AK519" s="3260"/>
      <c r="AL519" s="3259"/>
      <c r="AM519" s="3260"/>
      <c r="AN519" s="3259"/>
      <c r="AO519" s="3260"/>
      <c r="AP519" s="3242">
        <v>0</v>
      </c>
      <c r="AQ519" s="3244"/>
      <c r="AR519" s="3244"/>
      <c r="AS519" s="3242" t="s">
        <v>3384</v>
      </c>
      <c r="AT519" s="3247">
        <f t="shared" si="51"/>
        <v>0</v>
      </c>
      <c r="AU519" s="3248">
        <f t="shared" si="52"/>
        <v>0</v>
      </c>
      <c r="AV519" s="3248">
        <v>0</v>
      </c>
      <c r="AW519" s="3247">
        <v>0</v>
      </c>
      <c r="AX519" s="3248">
        <v>0</v>
      </c>
      <c r="AY519" s="3248">
        <v>0</v>
      </c>
      <c r="AZ519" s="3247">
        <v>0</v>
      </c>
      <c r="BA519" s="3248">
        <v>0</v>
      </c>
      <c r="BB519" s="3248">
        <v>0</v>
      </c>
      <c r="BC519" s="3247">
        <v>0</v>
      </c>
      <c r="BD519" s="3248">
        <v>0</v>
      </c>
      <c r="BE519" s="3248">
        <v>0</v>
      </c>
      <c r="BF519" s="3248">
        <f t="shared" si="53"/>
        <v>0</v>
      </c>
      <c r="BG519" s="3248">
        <f t="shared" si="54"/>
        <v>0</v>
      </c>
      <c r="BH519" s="3249"/>
      <c r="BI519" s="3249"/>
    </row>
    <row r="520" spans="1:61" x14ac:dyDescent="0.3">
      <c r="A520" s="4197" t="s">
        <v>3384</v>
      </c>
      <c r="B520" s="3261"/>
      <c r="C520" s="3243">
        <v>0</v>
      </c>
      <c r="D520" s="3242">
        <v>0</v>
      </c>
      <c r="E520" s="3244"/>
      <c r="F520" s="3244"/>
      <c r="G520" s="3242">
        <v>0</v>
      </c>
      <c r="H520" s="3244"/>
      <c r="I520" s="3244"/>
      <c r="J520" s="3244"/>
      <c r="K520" s="3242">
        <v>0</v>
      </c>
      <c r="L520" s="3244"/>
      <c r="M520" s="3244"/>
      <c r="N520" s="3242" t="s">
        <v>3384</v>
      </c>
      <c r="O520" s="3239">
        <v>0</v>
      </c>
      <c r="P520" s="3242">
        <v>0</v>
      </c>
      <c r="Q520" s="3244"/>
      <c r="R520" s="3244"/>
      <c r="S520" s="3242">
        <v>0</v>
      </c>
      <c r="T520" s="3244"/>
      <c r="U520" s="3244"/>
      <c r="V520" s="3244"/>
      <c r="W520" s="3240">
        <v>0</v>
      </c>
      <c r="X520" s="3244"/>
      <c r="Y520" s="3244"/>
      <c r="Z520" s="3242" t="s">
        <v>3384</v>
      </c>
      <c r="AA520" s="3243">
        <v>0</v>
      </c>
      <c r="AB520" s="3242">
        <v>0</v>
      </c>
      <c r="AC520" s="3244"/>
      <c r="AD520" s="3244"/>
      <c r="AE520" s="3242">
        <v>0</v>
      </c>
      <c r="AF520" s="3259"/>
      <c r="AG520" s="3260"/>
      <c r="AH520" s="3250"/>
      <c r="AI520" s="4200"/>
      <c r="AJ520" s="3260"/>
      <c r="AK520" s="3260"/>
      <c r="AL520" s="3259"/>
      <c r="AM520" s="3260"/>
      <c r="AN520" s="3259"/>
      <c r="AO520" s="3260"/>
      <c r="AP520" s="3242">
        <v>0</v>
      </c>
      <c r="AQ520" s="3244"/>
      <c r="AR520" s="3244"/>
      <c r="AS520" s="3242" t="s">
        <v>3384</v>
      </c>
      <c r="AT520" s="3247">
        <f t="shared" si="51"/>
        <v>0</v>
      </c>
      <c r="AU520" s="3248">
        <f t="shared" si="52"/>
        <v>0</v>
      </c>
      <c r="AV520" s="3248">
        <v>0</v>
      </c>
      <c r="AW520" s="3247">
        <v>0</v>
      </c>
      <c r="AX520" s="3248">
        <v>0</v>
      </c>
      <c r="AY520" s="3248">
        <v>0</v>
      </c>
      <c r="AZ520" s="3247">
        <v>0</v>
      </c>
      <c r="BA520" s="3248">
        <v>0</v>
      </c>
      <c r="BB520" s="3248">
        <v>0</v>
      </c>
      <c r="BC520" s="3247">
        <v>0</v>
      </c>
      <c r="BD520" s="3248">
        <v>0</v>
      </c>
      <c r="BE520" s="3248">
        <v>0</v>
      </c>
      <c r="BF520" s="3248">
        <f t="shared" si="53"/>
        <v>0</v>
      </c>
      <c r="BG520" s="3248">
        <f t="shared" si="54"/>
        <v>0</v>
      </c>
      <c r="BH520" s="3249"/>
      <c r="BI520" s="3249"/>
    </row>
    <row r="521" spans="1:61" x14ac:dyDescent="0.3">
      <c r="A521" s="4197" t="s">
        <v>3384</v>
      </c>
      <c r="B521" s="3261"/>
      <c r="C521" s="3243">
        <v>0</v>
      </c>
      <c r="D521" s="3242">
        <v>0</v>
      </c>
      <c r="E521" s="3244"/>
      <c r="F521" s="3244"/>
      <c r="G521" s="3242">
        <v>0</v>
      </c>
      <c r="H521" s="3244"/>
      <c r="I521" s="3244"/>
      <c r="J521" s="3244"/>
      <c r="K521" s="3242">
        <v>0</v>
      </c>
      <c r="L521" s="3244"/>
      <c r="M521" s="3244"/>
      <c r="N521" s="3242" t="s">
        <v>3384</v>
      </c>
      <c r="O521" s="3239">
        <v>0</v>
      </c>
      <c r="P521" s="3242">
        <v>0</v>
      </c>
      <c r="Q521" s="3244"/>
      <c r="R521" s="3244"/>
      <c r="S521" s="3242">
        <v>0</v>
      </c>
      <c r="T521" s="3244"/>
      <c r="U521" s="3244"/>
      <c r="V521" s="3244"/>
      <c r="W521" s="3240">
        <v>0</v>
      </c>
      <c r="X521" s="3244"/>
      <c r="Y521" s="3244"/>
      <c r="Z521" s="3242" t="s">
        <v>3384</v>
      </c>
      <c r="AA521" s="3243">
        <v>0</v>
      </c>
      <c r="AB521" s="3242">
        <v>0</v>
      </c>
      <c r="AC521" s="3244"/>
      <c r="AD521" s="3244"/>
      <c r="AE521" s="3242">
        <v>0</v>
      </c>
      <c r="AF521" s="3259"/>
      <c r="AG521" s="3260"/>
      <c r="AH521" s="3250"/>
      <c r="AI521" s="4200"/>
      <c r="AJ521" s="3260"/>
      <c r="AK521" s="3260"/>
      <c r="AL521" s="3259"/>
      <c r="AM521" s="3260"/>
      <c r="AN521" s="3259"/>
      <c r="AO521" s="3260"/>
      <c r="AP521" s="3242">
        <v>0</v>
      </c>
      <c r="AQ521" s="3244"/>
      <c r="AR521" s="3244"/>
      <c r="AS521" s="3242" t="s">
        <v>3384</v>
      </c>
      <c r="AT521" s="3247">
        <f t="shared" si="51"/>
        <v>0</v>
      </c>
      <c r="AU521" s="3248">
        <f t="shared" si="52"/>
        <v>0</v>
      </c>
      <c r="AV521" s="3248">
        <v>0</v>
      </c>
      <c r="AW521" s="3247">
        <v>0</v>
      </c>
      <c r="AX521" s="3248">
        <v>0</v>
      </c>
      <c r="AY521" s="3248">
        <v>0</v>
      </c>
      <c r="AZ521" s="3247">
        <v>0</v>
      </c>
      <c r="BA521" s="3248">
        <v>0</v>
      </c>
      <c r="BB521" s="3248">
        <v>0</v>
      </c>
      <c r="BC521" s="3247">
        <v>0</v>
      </c>
      <c r="BD521" s="3248">
        <v>0</v>
      </c>
      <c r="BE521" s="3248">
        <v>0</v>
      </c>
      <c r="BF521" s="3248">
        <f t="shared" si="53"/>
        <v>0</v>
      </c>
      <c r="BG521" s="3248">
        <f t="shared" si="54"/>
        <v>0</v>
      </c>
      <c r="BH521" s="3249"/>
      <c r="BI521" s="3249"/>
    </row>
    <row r="522" spans="1:61" x14ac:dyDescent="0.3">
      <c r="A522" s="4197" t="s">
        <v>3384</v>
      </c>
      <c r="B522" s="3261"/>
      <c r="C522" s="3243">
        <v>0</v>
      </c>
      <c r="D522" s="3242">
        <v>0</v>
      </c>
      <c r="E522" s="3244"/>
      <c r="F522" s="3244"/>
      <c r="G522" s="3242">
        <v>0</v>
      </c>
      <c r="H522" s="3244"/>
      <c r="I522" s="3244"/>
      <c r="J522" s="3244"/>
      <c r="K522" s="3242">
        <v>0</v>
      </c>
      <c r="L522" s="3244"/>
      <c r="M522" s="3244"/>
      <c r="N522" s="3242" t="s">
        <v>3384</v>
      </c>
      <c r="O522" s="3239">
        <v>0</v>
      </c>
      <c r="P522" s="3242">
        <v>0</v>
      </c>
      <c r="Q522" s="3244"/>
      <c r="R522" s="3244"/>
      <c r="S522" s="3242">
        <v>0</v>
      </c>
      <c r="T522" s="3244"/>
      <c r="U522" s="3244"/>
      <c r="V522" s="3244"/>
      <c r="W522" s="3240">
        <v>0</v>
      </c>
      <c r="X522" s="3244"/>
      <c r="Y522" s="3244"/>
      <c r="Z522" s="3242" t="s">
        <v>3384</v>
      </c>
      <c r="AA522" s="3243">
        <v>0</v>
      </c>
      <c r="AB522" s="3242">
        <v>0</v>
      </c>
      <c r="AC522" s="3244"/>
      <c r="AD522" s="3244"/>
      <c r="AE522" s="3242">
        <v>0</v>
      </c>
      <c r="AF522" s="3259"/>
      <c r="AG522" s="3260"/>
      <c r="AH522" s="3250"/>
      <c r="AI522" s="4200"/>
      <c r="AJ522" s="3260"/>
      <c r="AK522" s="3260"/>
      <c r="AL522" s="3259"/>
      <c r="AM522" s="3260"/>
      <c r="AN522" s="3259"/>
      <c r="AO522" s="3260"/>
      <c r="AP522" s="3242">
        <v>0</v>
      </c>
      <c r="AQ522" s="3244"/>
      <c r="AR522" s="3244"/>
      <c r="AS522" s="3242" t="s">
        <v>3384</v>
      </c>
      <c r="AT522" s="3247">
        <f t="shared" si="51"/>
        <v>0</v>
      </c>
      <c r="AU522" s="3248">
        <f t="shared" si="52"/>
        <v>0</v>
      </c>
      <c r="AV522" s="3248">
        <v>0</v>
      </c>
      <c r="AW522" s="3247">
        <v>0</v>
      </c>
      <c r="AX522" s="3248">
        <v>0</v>
      </c>
      <c r="AY522" s="3248">
        <v>0</v>
      </c>
      <c r="AZ522" s="3247">
        <v>0</v>
      </c>
      <c r="BA522" s="3248">
        <v>0</v>
      </c>
      <c r="BB522" s="3248">
        <v>0</v>
      </c>
      <c r="BC522" s="3247">
        <v>0</v>
      </c>
      <c r="BD522" s="3248">
        <v>0</v>
      </c>
      <c r="BE522" s="3248">
        <v>0</v>
      </c>
      <c r="BF522" s="3248">
        <f t="shared" si="53"/>
        <v>0</v>
      </c>
      <c r="BG522" s="3248">
        <f t="shared" si="54"/>
        <v>0</v>
      </c>
      <c r="BH522" s="3249"/>
      <c r="BI522" s="3249"/>
    </row>
    <row r="523" spans="1:61" x14ac:dyDescent="0.3">
      <c r="A523" s="4197" t="s">
        <v>3384</v>
      </c>
      <c r="B523" s="3261"/>
      <c r="C523" s="3243">
        <v>0</v>
      </c>
      <c r="D523" s="3242">
        <v>0</v>
      </c>
      <c r="E523" s="3244"/>
      <c r="F523" s="3244"/>
      <c r="G523" s="3242">
        <v>0</v>
      </c>
      <c r="H523" s="3244"/>
      <c r="I523" s="3244"/>
      <c r="J523" s="3244"/>
      <c r="K523" s="3242">
        <v>0</v>
      </c>
      <c r="L523" s="3244"/>
      <c r="M523" s="3244"/>
      <c r="N523" s="3242" t="s">
        <v>3384</v>
      </c>
      <c r="O523" s="3239">
        <v>0</v>
      </c>
      <c r="P523" s="3242">
        <v>0</v>
      </c>
      <c r="Q523" s="3244"/>
      <c r="R523" s="3244"/>
      <c r="S523" s="3242">
        <v>0</v>
      </c>
      <c r="T523" s="3244"/>
      <c r="U523" s="3244"/>
      <c r="V523" s="3244"/>
      <c r="W523" s="3240">
        <v>0</v>
      </c>
      <c r="X523" s="3244"/>
      <c r="Y523" s="3244"/>
      <c r="Z523" s="3242" t="s">
        <v>3384</v>
      </c>
      <c r="AA523" s="3243">
        <v>0</v>
      </c>
      <c r="AB523" s="3242">
        <v>0</v>
      </c>
      <c r="AC523" s="3244"/>
      <c r="AD523" s="3244"/>
      <c r="AE523" s="3242">
        <v>0</v>
      </c>
      <c r="AF523" s="3259"/>
      <c r="AG523" s="3260"/>
      <c r="AH523" s="3250"/>
      <c r="AI523" s="4200"/>
      <c r="AJ523" s="3260"/>
      <c r="AK523" s="3260"/>
      <c r="AL523" s="3259"/>
      <c r="AM523" s="3260"/>
      <c r="AN523" s="3259"/>
      <c r="AO523" s="3260"/>
      <c r="AP523" s="3242">
        <v>0</v>
      </c>
      <c r="AQ523" s="3244"/>
      <c r="AR523" s="3244"/>
      <c r="AS523" s="3242" t="s">
        <v>3384</v>
      </c>
      <c r="AT523" s="3247">
        <f t="shared" si="51"/>
        <v>0</v>
      </c>
      <c r="AU523" s="3248">
        <f t="shared" si="52"/>
        <v>0</v>
      </c>
      <c r="AV523" s="3248">
        <v>0</v>
      </c>
      <c r="AW523" s="3247">
        <v>0</v>
      </c>
      <c r="AX523" s="3248">
        <v>0</v>
      </c>
      <c r="AY523" s="3248">
        <v>0</v>
      </c>
      <c r="AZ523" s="3247">
        <v>0</v>
      </c>
      <c r="BA523" s="3248">
        <v>0</v>
      </c>
      <c r="BB523" s="3248">
        <v>0</v>
      </c>
      <c r="BC523" s="3247">
        <v>0</v>
      </c>
      <c r="BD523" s="3248">
        <v>0</v>
      </c>
      <c r="BE523" s="3248">
        <v>0</v>
      </c>
      <c r="BF523" s="3248">
        <f t="shared" si="53"/>
        <v>0</v>
      </c>
      <c r="BG523" s="3248">
        <f t="shared" si="54"/>
        <v>0</v>
      </c>
      <c r="BH523" s="3249"/>
      <c r="BI523" s="3249"/>
    </row>
    <row r="524" spans="1:61" x14ac:dyDescent="0.3">
      <c r="A524" s="4197" t="s">
        <v>3384</v>
      </c>
      <c r="B524" s="3261"/>
      <c r="C524" s="3243">
        <v>0</v>
      </c>
      <c r="D524" s="3242">
        <v>0</v>
      </c>
      <c r="E524" s="3244"/>
      <c r="F524" s="3244"/>
      <c r="G524" s="3242">
        <v>0</v>
      </c>
      <c r="H524" s="3244"/>
      <c r="I524" s="3244"/>
      <c r="J524" s="3244"/>
      <c r="K524" s="3242">
        <v>0</v>
      </c>
      <c r="L524" s="3244"/>
      <c r="M524" s="3244"/>
      <c r="N524" s="3242" t="s">
        <v>3384</v>
      </c>
      <c r="O524" s="3239">
        <v>0</v>
      </c>
      <c r="P524" s="3242">
        <v>0</v>
      </c>
      <c r="Q524" s="3244"/>
      <c r="R524" s="3244"/>
      <c r="S524" s="3242">
        <v>0</v>
      </c>
      <c r="T524" s="3244"/>
      <c r="U524" s="3244"/>
      <c r="V524" s="3244"/>
      <c r="W524" s="3240">
        <v>0</v>
      </c>
      <c r="X524" s="3244"/>
      <c r="Y524" s="3244"/>
      <c r="Z524" s="3242" t="s">
        <v>3384</v>
      </c>
      <c r="AA524" s="3243">
        <v>0</v>
      </c>
      <c r="AB524" s="3242">
        <v>0</v>
      </c>
      <c r="AC524" s="3244"/>
      <c r="AD524" s="3244"/>
      <c r="AE524" s="3242">
        <v>0</v>
      </c>
      <c r="AF524" s="3259"/>
      <c r="AG524" s="3260"/>
      <c r="AH524" s="3250"/>
      <c r="AI524" s="4200"/>
      <c r="AJ524" s="3260"/>
      <c r="AK524" s="3260"/>
      <c r="AL524" s="3259"/>
      <c r="AM524" s="3260"/>
      <c r="AN524" s="3259"/>
      <c r="AO524" s="3260"/>
      <c r="AP524" s="3242">
        <v>0</v>
      </c>
      <c r="AQ524" s="3244"/>
      <c r="AR524" s="3244"/>
      <c r="AS524" s="3242" t="s">
        <v>3384</v>
      </c>
      <c r="AT524" s="3247">
        <f t="shared" si="51"/>
        <v>0</v>
      </c>
      <c r="AU524" s="3248">
        <f t="shared" si="52"/>
        <v>0</v>
      </c>
      <c r="AV524" s="3248">
        <v>0</v>
      </c>
      <c r="AW524" s="3247">
        <v>0</v>
      </c>
      <c r="AX524" s="3248">
        <v>0</v>
      </c>
      <c r="AY524" s="3248">
        <v>0</v>
      </c>
      <c r="AZ524" s="3247">
        <v>0</v>
      </c>
      <c r="BA524" s="3248">
        <v>0</v>
      </c>
      <c r="BB524" s="3248">
        <v>0</v>
      </c>
      <c r="BC524" s="3247">
        <v>0</v>
      </c>
      <c r="BD524" s="3248">
        <v>0</v>
      </c>
      <c r="BE524" s="3248">
        <v>0</v>
      </c>
      <c r="BF524" s="3248">
        <f t="shared" si="53"/>
        <v>0</v>
      </c>
      <c r="BG524" s="3248">
        <f t="shared" si="54"/>
        <v>0</v>
      </c>
      <c r="BH524" s="3249"/>
      <c r="BI524" s="3249"/>
    </row>
    <row r="525" spans="1:61" x14ac:dyDescent="0.3">
      <c r="A525" s="4197" t="s">
        <v>3384</v>
      </c>
      <c r="B525" s="3261"/>
      <c r="C525" s="3243">
        <v>0</v>
      </c>
      <c r="D525" s="3242">
        <v>0</v>
      </c>
      <c r="E525" s="3244"/>
      <c r="F525" s="3244"/>
      <c r="G525" s="3242">
        <v>0</v>
      </c>
      <c r="H525" s="3244"/>
      <c r="I525" s="3244"/>
      <c r="J525" s="3244"/>
      <c r="K525" s="3242">
        <v>0</v>
      </c>
      <c r="L525" s="3244"/>
      <c r="M525" s="3244"/>
      <c r="N525" s="3242" t="s">
        <v>3384</v>
      </c>
      <c r="O525" s="3239">
        <v>0</v>
      </c>
      <c r="P525" s="3242">
        <v>0</v>
      </c>
      <c r="Q525" s="3244"/>
      <c r="R525" s="3244"/>
      <c r="S525" s="3242">
        <v>0</v>
      </c>
      <c r="T525" s="3244"/>
      <c r="U525" s="3244"/>
      <c r="V525" s="3244"/>
      <c r="W525" s="3240">
        <v>0</v>
      </c>
      <c r="X525" s="3244"/>
      <c r="Y525" s="3244"/>
      <c r="Z525" s="3242" t="s">
        <v>3384</v>
      </c>
      <c r="AA525" s="3243">
        <v>0</v>
      </c>
      <c r="AB525" s="3242">
        <v>0</v>
      </c>
      <c r="AC525" s="3244"/>
      <c r="AD525" s="3244"/>
      <c r="AE525" s="3242">
        <v>0</v>
      </c>
      <c r="AF525" s="3259"/>
      <c r="AG525" s="3260"/>
      <c r="AH525" s="3250"/>
      <c r="AI525" s="4200"/>
      <c r="AJ525" s="3260"/>
      <c r="AK525" s="3260"/>
      <c r="AL525" s="3259"/>
      <c r="AM525" s="3260"/>
      <c r="AN525" s="3259"/>
      <c r="AO525" s="3260"/>
      <c r="AP525" s="3242">
        <v>0</v>
      </c>
      <c r="AQ525" s="3244"/>
      <c r="AR525" s="3244"/>
      <c r="AS525" s="3242" t="s">
        <v>3384</v>
      </c>
      <c r="AT525" s="3247">
        <f t="shared" si="51"/>
        <v>0</v>
      </c>
      <c r="AU525" s="3248">
        <f t="shared" si="52"/>
        <v>0</v>
      </c>
      <c r="AV525" s="3248">
        <v>0</v>
      </c>
      <c r="AW525" s="3247">
        <v>0</v>
      </c>
      <c r="AX525" s="3248">
        <v>0</v>
      </c>
      <c r="AY525" s="3248">
        <v>0</v>
      </c>
      <c r="AZ525" s="3247">
        <v>0</v>
      </c>
      <c r="BA525" s="3248">
        <v>0</v>
      </c>
      <c r="BB525" s="3248">
        <v>0</v>
      </c>
      <c r="BC525" s="3247">
        <v>0</v>
      </c>
      <c r="BD525" s="3248">
        <v>0</v>
      </c>
      <c r="BE525" s="3248">
        <v>0</v>
      </c>
      <c r="BF525" s="3248">
        <f t="shared" si="53"/>
        <v>0</v>
      </c>
      <c r="BG525" s="3248">
        <f t="shared" si="54"/>
        <v>0</v>
      </c>
      <c r="BH525" s="3249"/>
      <c r="BI525" s="3249"/>
    </row>
    <row r="526" spans="1:61" x14ac:dyDescent="0.3">
      <c r="A526" s="4197" t="s">
        <v>3384</v>
      </c>
      <c r="B526" s="3261"/>
      <c r="C526" s="3243">
        <v>0</v>
      </c>
      <c r="D526" s="3242">
        <v>0</v>
      </c>
      <c r="E526" s="3244"/>
      <c r="F526" s="3244"/>
      <c r="G526" s="3242">
        <v>0</v>
      </c>
      <c r="H526" s="3244"/>
      <c r="I526" s="3244"/>
      <c r="J526" s="3244"/>
      <c r="K526" s="3242">
        <v>0</v>
      </c>
      <c r="L526" s="3244"/>
      <c r="M526" s="3244"/>
      <c r="N526" s="3242" t="s">
        <v>3384</v>
      </c>
      <c r="O526" s="3239">
        <v>0</v>
      </c>
      <c r="P526" s="3242">
        <v>0</v>
      </c>
      <c r="Q526" s="3244"/>
      <c r="R526" s="3244"/>
      <c r="S526" s="3242">
        <v>0</v>
      </c>
      <c r="T526" s="3244"/>
      <c r="U526" s="3244"/>
      <c r="V526" s="3244"/>
      <c r="W526" s="3240">
        <v>0</v>
      </c>
      <c r="X526" s="3244"/>
      <c r="Y526" s="3244"/>
      <c r="Z526" s="3242" t="s">
        <v>3384</v>
      </c>
      <c r="AA526" s="3243">
        <v>0</v>
      </c>
      <c r="AB526" s="3242">
        <v>0</v>
      </c>
      <c r="AC526" s="3244"/>
      <c r="AD526" s="3244"/>
      <c r="AE526" s="3242">
        <v>0</v>
      </c>
      <c r="AF526" s="3259"/>
      <c r="AG526" s="3260"/>
      <c r="AH526" s="3250"/>
      <c r="AI526" s="4200"/>
      <c r="AJ526" s="3260"/>
      <c r="AK526" s="3260"/>
      <c r="AL526" s="3259"/>
      <c r="AM526" s="3260"/>
      <c r="AN526" s="3259"/>
      <c r="AO526" s="3260"/>
      <c r="AP526" s="3242">
        <v>0</v>
      </c>
      <c r="AQ526" s="3244"/>
      <c r="AR526" s="3244"/>
      <c r="AS526" s="3242" t="s">
        <v>3384</v>
      </c>
      <c r="AT526" s="3247">
        <f t="shared" si="51"/>
        <v>0</v>
      </c>
      <c r="AU526" s="3248">
        <f t="shared" si="52"/>
        <v>0</v>
      </c>
      <c r="AV526" s="3248">
        <v>0</v>
      </c>
      <c r="AW526" s="3247">
        <v>0</v>
      </c>
      <c r="AX526" s="3248">
        <v>0</v>
      </c>
      <c r="AY526" s="3248">
        <v>0</v>
      </c>
      <c r="AZ526" s="3247">
        <v>0</v>
      </c>
      <c r="BA526" s="3248">
        <v>0</v>
      </c>
      <c r="BB526" s="3248">
        <v>0</v>
      </c>
      <c r="BC526" s="3247">
        <v>0</v>
      </c>
      <c r="BD526" s="3248">
        <v>0</v>
      </c>
      <c r="BE526" s="3248">
        <v>0</v>
      </c>
      <c r="BF526" s="3248">
        <f t="shared" si="53"/>
        <v>0</v>
      </c>
      <c r="BG526" s="3248">
        <f t="shared" si="54"/>
        <v>0</v>
      </c>
      <c r="BH526" s="3249"/>
      <c r="BI526" s="3249"/>
    </row>
    <row r="527" spans="1:61" x14ac:dyDescent="0.3">
      <c r="A527" s="4197" t="s">
        <v>3384</v>
      </c>
      <c r="B527" s="3261"/>
      <c r="C527" s="3243">
        <v>0</v>
      </c>
      <c r="D527" s="3242">
        <v>0</v>
      </c>
      <c r="E527" s="3244"/>
      <c r="F527" s="3244"/>
      <c r="G527" s="3242">
        <v>0</v>
      </c>
      <c r="H527" s="3244"/>
      <c r="I527" s="3244"/>
      <c r="J527" s="3244"/>
      <c r="K527" s="3242">
        <v>0</v>
      </c>
      <c r="L527" s="3244"/>
      <c r="M527" s="3244"/>
      <c r="N527" s="3242" t="s">
        <v>3384</v>
      </c>
      <c r="O527" s="3239">
        <v>0</v>
      </c>
      <c r="P527" s="3242">
        <v>0</v>
      </c>
      <c r="Q527" s="3244"/>
      <c r="R527" s="3244"/>
      <c r="S527" s="3242">
        <v>0</v>
      </c>
      <c r="T527" s="3244"/>
      <c r="U527" s="3244"/>
      <c r="V527" s="3244"/>
      <c r="W527" s="3240">
        <v>0</v>
      </c>
      <c r="X527" s="3244"/>
      <c r="Y527" s="3244"/>
      <c r="Z527" s="3242" t="s">
        <v>3384</v>
      </c>
      <c r="AA527" s="3243">
        <v>0</v>
      </c>
      <c r="AB527" s="3242">
        <v>0</v>
      </c>
      <c r="AC527" s="3244"/>
      <c r="AD527" s="3244"/>
      <c r="AE527" s="3242">
        <v>0</v>
      </c>
      <c r="AF527" s="3259"/>
      <c r="AG527" s="3260"/>
      <c r="AH527" s="3250"/>
      <c r="AI527" s="4200"/>
      <c r="AJ527" s="3260"/>
      <c r="AK527" s="3260"/>
      <c r="AL527" s="3259"/>
      <c r="AM527" s="3260"/>
      <c r="AN527" s="3259"/>
      <c r="AO527" s="3260"/>
      <c r="AP527" s="3242">
        <v>0</v>
      </c>
      <c r="AQ527" s="3244"/>
      <c r="AR527" s="3244"/>
      <c r="AS527" s="3242" t="s">
        <v>3384</v>
      </c>
      <c r="AT527" s="3247">
        <f t="shared" si="51"/>
        <v>0</v>
      </c>
      <c r="AU527" s="3248">
        <f t="shared" si="52"/>
        <v>0</v>
      </c>
      <c r="AV527" s="3248">
        <v>0</v>
      </c>
      <c r="AW527" s="3247">
        <v>0</v>
      </c>
      <c r="AX527" s="3248">
        <v>0</v>
      </c>
      <c r="AY527" s="3248">
        <v>0</v>
      </c>
      <c r="AZ527" s="3247">
        <v>0</v>
      </c>
      <c r="BA527" s="3248">
        <v>0</v>
      </c>
      <c r="BB527" s="3248">
        <v>0</v>
      </c>
      <c r="BC527" s="3247">
        <v>0</v>
      </c>
      <c r="BD527" s="3248">
        <v>0</v>
      </c>
      <c r="BE527" s="3248">
        <v>0</v>
      </c>
      <c r="BF527" s="3248">
        <f t="shared" si="53"/>
        <v>0</v>
      </c>
      <c r="BG527" s="3248">
        <f t="shared" si="54"/>
        <v>0</v>
      </c>
      <c r="BH527" s="3249"/>
      <c r="BI527" s="3249"/>
    </row>
    <row r="528" spans="1:61" x14ac:dyDescent="0.3">
      <c r="A528" s="4197" t="s">
        <v>3384</v>
      </c>
      <c r="B528" s="3261"/>
      <c r="C528" s="3243">
        <v>0</v>
      </c>
      <c r="D528" s="3242">
        <v>0</v>
      </c>
      <c r="E528" s="3244"/>
      <c r="F528" s="3244"/>
      <c r="G528" s="3242">
        <v>0</v>
      </c>
      <c r="H528" s="3244"/>
      <c r="I528" s="3244"/>
      <c r="J528" s="3244"/>
      <c r="K528" s="3242">
        <v>0</v>
      </c>
      <c r="L528" s="3244"/>
      <c r="M528" s="3244"/>
      <c r="N528" s="3242" t="s">
        <v>3384</v>
      </c>
      <c r="O528" s="3239">
        <v>0</v>
      </c>
      <c r="P528" s="3242">
        <v>0</v>
      </c>
      <c r="Q528" s="3244"/>
      <c r="R528" s="3244"/>
      <c r="S528" s="3242">
        <v>0</v>
      </c>
      <c r="T528" s="3244"/>
      <c r="U528" s="3244"/>
      <c r="V528" s="3244"/>
      <c r="W528" s="3240">
        <v>0</v>
      </c>
      <c r="X528" s="3244"/>
      <c r="Y528" s="3244"/>
      <c r="Z528" s="3242" t="s">
        <v>3384</v>
      </c>
      <c r="AA528" s="3243">
        <v>0</v>
      </c>
      <c r="AB528" s="3242">
        <v>0</v>
      </c>
      <c r="AC528" s="3244"/>
      <c r="AD528" s="3244"/>
      <c r="AE528" s="3242">
        <v>0</v>
      </c>
      <c r="AF528" s="3259"/>
      <c r="AG528" s="3260"/>
      <c r="AH528" s="3250"/>
      <c r="AI528" s="4200"/>
      <c r="AJ528" s="3260"/>
      <c r="AK528" s="3260"/>
      <c r="AL528" s="3259"/>
      <c r="AM528" s="3260"/>
      <c r="AN528" s="3259"/>
      <c r="AO528" s="3260"/>
      <c r="AP528" s="3242">
        <v>0</v>
      </c>
      <c r="AQ528" s="3244"/>
      <c r="AR528" s="3244"/>
      <c r="AS528" s="3242" t="s">
        <v>3384</v>
      </c>
      <c r="AT528" s="3247">
        <f t="shared" ref="AT528:AT591" si="55">IFERROR(AE528+(SUM(AC528:AD528)/100*($AE$14/$AB$14*100)),0)</f>
        <v>0</v>
      </c>
      <c r="AU528" s="3248">
        <f t="shared" si="52"/>
        <v>0</v>
      </c>
      <c r="AV528" s="3248">
        <v>0</v>
      </c>
      <c r="AW528" s="3247">
        <v>0</v>
      </c>
      <c r="AX528" s="3248">
        <v>0</v>
      </c>
      <c r="AY528" s="3248">
        <v>0</v>
      </c>
      <c r="AZ528" s="3247">
        <v>0</v>
      </c>
      <c r="BA528" s="3248">
        <v>0</v>
      </c>
      <c r="BB528" s="3248">
        <v>0</v>
      </c>
      <c r="BC528" s="3247">
        <v>0</v>
      </c>
      <c r="BD528" s="3248">
        <v>0</v>
      </c>
      <c r="BE528" s="3248">
        <v>0</v>
      </c>
      <c r="BF528" s="3248">
        <f t="shared" si="53"/>
        <v>0</v>
      </c>
      <c r="BG528" s="3248">
        <f t="shared" si="54"/>
        <v>0</v>
      </c>
      <c r="BH528" s="3249"/>
      <c r="BI528" s="3249"/>
    </row>
    <row r="529" spans="1:61" x14ac:dyDescent="0.3">
      <c r="A529" s="4197" t="s">
        <v>3384</v>
      </c>
      <c r="B529" s="3261"/>
      <c r="C529" s="3243">
        <v>0</v>
      </c>
      <c r="D529" s="3242">
        <v>0</v>
      </c>
      <c r="E529" s="3244"/>
      <c r="F529" s="3244"/>
      <c r="G529" s="3242">
        <v>0</v>
      </c>
      <c r="H529" s="3244"/>
      <c r="I529" s="3244"/>
      <c r="J529" s="3244"/>
      <c r="K529" s="3242">
        <v>0</v>
      </c>
      <c r="L529" s="3244"/>
      <c r="M529" s="3244"/>
      <c r="N529" s="3242" t="s">
        <v>3384</v>
      </c>
      <c r="O529" s="3239">
        <v>0</v>
      </c>
      <c r="P529" s="3242">
        <v>0</v>
      </c>
      <c r="Q529" s="3244"/>
      <c r="R529" s="3244"/>
      <c r="S529" s="3242">
        <v>0</v>
      </c>
      <c r="T529" s="3244"/>
      <c r="U529" s="3244"/>
      <c r="V529" s="3244"/>
      <c r="W529" s="3240">
        <v>0</v>
      </c>
      <c r="X529" s="3244"/>
      <c r="Y529" s="3244"/>
      <c r="Z529" s="3242" t="s">
        <v>3384</v>
      </c>
      <c r="AA529" s="3243">
        <v>0</v>
      </c>
      <c r="AB529" s="3242">
        <v>0</v>
      </c>
      <c r="AC529" s="3244"/>
      <c r="AD529" s="3244"/>
      <c r="AE529" s="3242">
        <v>0</v>
      </c>
      <c r="AF529" s="3259"/>
      <c r="AG529" s="3260"/>
      <c r="AH529" s="3250"/>
      <c r="AI529" s="4200"/>
      <c r="AJ529" s="3260"/>
      <c r="AK529" s="3260"/>
      <c r="AL529" s="3259"/>
      <c r="AM529" s="3260"/>
      <c r="AN529" s="3259"/>
      <c r="AO529" s="3260"/>
      <c r="AP529" s="3242">
        <v>0</v>
      </c>
      <c r="AQ529" s="3244"/>
      <c r="AR529" s="3244"/>
      <c r="AS529" s="3242" t="s">
        <v>3384</v>
      </c>
      <c r="AT529" s="3247">
        <f t="shared" si="55"/>
        <v>0</v>
      </c>
      <c r="AU529" s="3248">
        <f t="shared" si="52"/>
        <v>0</v>
      </c>
      <c r="AV529" s="3248">
        <v>0</v>
      </c>
      <c r="AW529" s="3247">
        <v>0</v>
      </c>
      <c r="AX529" s="3248">
        <v>0</v>
      </c>
      <c r="AY529" s="3248">
        <v>0</v>
      </c>
      <c r="AZ529" s="3247">
        <v>0</v>
      </c>
      <c r="BA529" s="3248">
        <v>0</v>
      </c>
      <c r="BB529" s="3248">
        <v>0</v>
      </c>
      <c r="BC529" s="3247">
        <v>0</v>
      </c>
      <c r="BD529" s="3248">
        <v>0</v>
      </c>
      <c r="BE529" s="3248">
        <v>0</v>
      </c>
      <c r="BF529" s="3248">
        <f t="shared" si="53"/>
        <v>0</v>
      </c>
      <c r="BG529" s="3248">
        <f t="shared" si="54"/>
        <v>0</v>
      </c>
      <c r="BH529" s="3249"/>
      <c r="BI529" s="3249"/>
    </row>
    <row r="530" spans="1:61" x14ac:dyDescent="0.3">
      <c r="A530" s="4197" t="s">
        <v>3384</v>
      </c>
      <c r="B530" s="3261"/>
      <c r="C530" s="3243">
        <v>0</v>
      </c>
      <c r="D530" s="3242">
        <v>0</v>
      </c>
      <c r="E530" s="3244"/>
      <c r="F530" s="3244"/>
      <c r="G530" s="3242">
        <v>0</v>
      </c>
      <c r="H530" s="3244"/>
      <c r="I530" s="3244"/>
      <c r="J530" s="3244"/>
      <c r="K530" s="3242">
        <v>0</v>
      </c>
      <c r="L530" s="3244"/>
      <c r="M530" s="3244"/>
      <c r="N530" s="3242" t="s">
        <v>3384</v>
      </c>
      <c r="O530" s="3239">
        <v>0</v>
      </c>
      <c r="P530" s="3242">
        <v>0</v>
      </c>
      <c r="Q530" s="3244"/>
      <c r="R530" s="3244"/>
      <c r="S530" s="3242">
        <v>0</v>
      </c>
      <c r="T530" s="3244"/>
      <c r="U530" s="3244"/>
      <c r="V530" s="3244"/>
      <c r="W530" s="3240">
        <v>0</v>
      </c>
      <c r="X530" s="3244"/>
      <c r="Y530" s="3244"/>
      <c r="Z530" s="3242" t="s">
        <v>3384</v>
      </c>
      <c r="AA530" s="3243">
        <v>0</v>
      </c>
      <c r="AB530" s="3242">
        <v>0</v>
      </c>
      <c r="AC530" s="3244"/>
      <c r="AD530" s="3244"/>
      <c r="AE530" s="3242">
        <v>0</v>
      </c>
      <c r="AF530" s="3259"/>
      <c r="AG530" s="3260"/>
      <c r="AH530" s="3250"/>
      <c r="AI530" s="4200"/>
      <c r="AJ530" s="3260"/>
      <c r="AK530" s="3260"/>
      <c r="AL530" s="3259"/>
      <c r="AM530" s="3260"/>
      <c r="AN530" s="3259"/>
      <c r="AO530" s="3260"/>
      <c r="AP530" s="3242">
        <v>0</v>
      </c>
      <c r="AQ530" s="3244"/>
      <c r="AR530" s="3244"/>
      <c r="AS530" s="3242" t="s">
        <v>3384</v>
      </c>
      <c r="AT530" s="3247">
        <f t="shared" si="55"/>
        <v>0</v>
      </c>
      <c r="AU530" s="3248">
        <f t="shared" si="52"/>
        <v>0</v>
      </c>
      <c r="AV530" s="3248">
        <v>0</v>
      </c>
      <c r="AW530" s="3247">
        <v>0</v>
      </c>
      <c r="AX530" s="3248">
        <v>0</v>
      </c>
      <c r="AY530" s="3248">
        <v>0</v>
      </c>
      <c r="AZ530" s="3247">
        <v>0</v>
      </c>
      <c r="BA530" s="3248">
        <v>0</v>
      </c>
      <c r="BB530" s="3248">
        <v>0</v>
      </c>
      <c r="BC530" s="3247">
        <v>0</v>
      </c>
      <c r="BD530" s="3248">
        <v>0</v>
      </c>
      <c r="BE530" s="3248">
        <v>0</v>
      </c>
      <c r="BF530" s="3248">
        <f t="shared" si="53"/>
        <v>0</v>
      </c>
      <c r="BG530" s="3248">
        <f t="shared" si="54"/>
        <v>0</v>
      </c>
      <c r="BH530" s="3249"/>
      <c r="BI530" s="3249"/>
    </row>
    <row r="531" spans="1:61" x14ac:dyDescent="0.3">
      <c r="A531" s="4197" t="s">
        <v>3384</v>
      </c>
      <c r="B531" s="3261"/>
      <c r="C531" s="3243">
        <v>0</v>
      </c>
      <c r="D531" s="3242">
        <v>0</v>
      </c>
      <c r="E531" s="3244"/>
      <c r="F531" s="3244"/>
      <c r="G531" s="3242">
        <v>0</v>
      </c>
      <c r="H531" s="3244"/>
      <c r="I531" s="3244"/>
      <c r="J531" s="3244"/>
      <c r="K531" s="3242">
        <v>0</v>
      </c>
      <c r="L531" s="3244"/>
      <c r="M531" s="3244"/>
      <c r="N531" s="3242" t="s">
        <v>3384</v>
      </c>
      <c r="O531" s="3239">
        <v>0</v>
      </c>
      <c r="P531" s="3242">
        <v>0</v>
      </c>
      <c r="Q531" s="3244"/>
      <c r="R531" s="3244"/>
      <c r="S531" s="3242">
        <v>0</v>
      </c>
      <c r="T531" s="3244"/>
      <c r="U531" s="3244"/>
      <c r="V531" s="3244"/>
      <c r="W531" s="3240">
        <v>0</v>
      </c>
      <c r="X531" s="3244"/>
      <c r="Y531" s="3244"/>
      <c r="Z531" s="3242" t="s">
        <v>3384</v>
      </c>
      <c r="AA531" s="3243">
        <v>0</v>
      </c>
      <c r="AB531" s="3242">
        <v>0</v>
      </c>
      <c r="AC531" s="3244"/>
      <c r="AD531" s="3244"/>
      <c r="AE531" s="3242">
        <v>0</v>
      </c>
      <c r="AF531" s="3259"/>
      <c r="AG531" s="3260"/>
      <c r="AH531" s="3250"/>
      <c r="AI531" s="4200"/>
      <c r="AJ531" s="3260"/>
      <c r="AK531" s="3260"/>
      <c r="AL531" s="3259"/>
      <c r="AM531" s="3260"/>
      <c r="AN531" s="3259"/>
      <c r="AO531" s="3260"/>
      <c r="AP531" s="3242">
        <v>0</v>
      </c>
      <c r="AQ531" s="3244"/>
      <c r="AR531" s="3244"/>
      <c r="AS531" s="3242" t="s">
        <v>3384</v>
      </c>
      <c r="AT531" s="3247">
        <f t="shared" si="55"/>
        <v>0</v>
      </c>
      <c r="AU531" s="3248">
        <f t="shared" ref="AU531:AU594" si="56">AX531+BA531+BD531</f>
        <v>0</v>
      </c>
      <c r="AV531" s="3248">
        <v>0</v>
      </c>
      <c r="AW531" s="3247">
        <v>0</v>
      </c>
      <c r="AX531" s="3248">
        <v>0</v>
      </c>
      <c r="AY531" s="3248">
        <v>0</v>
      </c>
      <c r="AZ531" s="3247">
        <v>0</v>
      </c>
      <c r="BA531" s="3248">
        <v>0</v>
      </c>
      <c r="BB531" s="3248">
        <v>0</v>
      </c>
      <c r="BC531" s="3247">
        <v>0</v>
      </c>
      <c r="BD531" s="3248">
        <v>0</v>
      </c>
      <c r="BE531" s="3248">
        <v>0</v>
      </c>
      <c r="BF531" s="3248">
        <f t="shared" ref="BF531:BF594" si="57">IFERROR(ROUND(AE531/S531*100,2),0)</f>
        <v>0</v>
      </c>
      <c r="BG531" s="3248">
        <f t="shared" ref="BG531:BG594" si="58">IFERROR(ROUND(AA531/O531*100,2),0)</f>
        <v>0</v>
      </c>
      <c r="BH531" s="3249"/>
      <c r="BI531" s="3249"/>
    </row>
    <row r="532" spans="1:61" x14ac:dyDescent="0.3">
      <c r="A532" s="4197" t="s">
        <v>3384</v>
      </c>
      <c r="B532" s="3261"/>
      <c r="C532" s="3243">
        <v>0</v>
      </c>
      <c r="D532" s="3242">
        <v>0</v>
      </c>
      <c r="E532" s="3244"/>
      <c r="F532" s="3244"/>
      <c r="G532" s="3242">
        <v>0</v>
      </c>
      <c r="H532" s="3244"/>
      <c r="I532" s="3244"/>
      <c r="J532" s="3244"/>
      <c r="K532" s="3242">
        <v>0</v>
      </c>
      <c r="L532" s="3244"/>
      <c r="M532" s="3244"/>
      <c r="N532" s="3242" t="s">
        <v>3384</v>
      </c>
      <c r="O532" s="3239">
        <v>0</v>
      </c>
      <c r="P532" s="3242">
        <v>0</v>
      </c>
      <c r="Q532" s="3244"/>
      <c r="R532" s="3244"/>
      <c r="S532" s="3242">
        <v>0</v>
      </c>
      <c r="T532" s="3244"/>
      <c r="U532" s="3244"/>
      <c r="V532" s="3244"/>
      <c r="W532" s="3240">
        <v>0</v>
      </c>
      <c r="X532" s="3244"/>
      <c r="Y532" s="3244"/>
      <c r="Z532" s="3242" t="s">
        <v>3384</v>
      </c>
      <c r="AA532" s="3243">
        <v>0</v>
      </c>
      <c r="AB532" s="3242">
        <v>0</v>
      </c>
      <c r="AC532" s="3244"/>
      <c r="AD532" s="3244"/>
      <c r="AE532" s="3242">
        <v>0</v>
      </c>
      <c r="AF532" s="3259"/>
      <c r="AG532" s="3260"/>
      <c r="AH532" s="3250"/>
      <c r="AI532" s="4200"/>
      <c r="AJ532" s="3260"/>
      <c r="AK532" s="3260"/>
      <c r="AL532" s="3259"/>
      <c r="AM532" s="3260"/>
      <c r="AN532" s="3259"/>
      <c r="AO532" s="3260"/>
      <c r="AP532" s="3242">
        <v>0</v>
      </c>
      <c r="AQ532" s="3244"/>
      <c r="AR532" s="3244"/>
      <c r="AS532" s="3242" t="s">
        <v>3384</v>
      </c>
      <c r="AT532" s="3247">
        <f t="shared" si="55"/>
        <v>0</v>
      </c>
      <c r="AU532" s="3248">
        <f t="shared" si="56"/>
        <v>0</v>
      </c>
      <c r="AV532" s="3248">
        <v>0</v>
      </c>
      <c r="AW532" s="3247">
        <v>0</v>
      </c>
      <c r="AX532" s="3248">
        <v>0</v>
      </c>
      <c r="AY532" s="3248">
        <v>0</v>
      </c>
      <c r="AZ532" s="3247">
        <v>0</v>
      </c>
      <c r="BA532" s="3248">
        <v>0</v>
      </c>
      <c r="BB532" s="3248">
        <v>0</v>
      </c>
      <c r="BC532" s="3247">
        <v>0</v>
      </c>
      <c r="BD532" s="3248">
        <v>0</v>
      </c>
      <c r="BE532" s="3248">
        <v>0</v>
      </c>
      <c r="BF532" s="3248">
        <f t="shared" si="57"/>
        <v>0</v>
      </c>
      <c r="BG532" s="3248">
        <f t="shared" si="58"/>
        <v>0</v>
      </c>
      <c r="BH532" s="3249"/>
      <c r="BI532" s="3249"/>
    </row>
    <row r="533" spans="1:61" x14ac:dyDescent="0.3">
      <c r="A533" s="4197" t="s">
        <v>3384</v>
      </c>
      <c r="B533" s="3261"/>
      <c r="C533" s="3243">
        <v>0</v>
      </c>
      <c r="D533" s="3242">
        <v>0</v>
      </c>
      <c r="E533" s="3244"/>
      <c r="F533" s="3244"/>
      <c r="G533" s="3242">
        <v>0</v>
      </c>
      <c r="H533" s="3244"/>
      <c r="I533" s="3244"/>
      <c r="J533" s="3244"/>
      <c r="K533" s="3242">
        <v>0</v>
      </c>
      <c r="L533" s="3244"/>
      <c r="M533" s="3244"/>
      <c r="N533" s="3242" t="s">
        <v>3384</v>
      </c>
      <c r="O533" s="3239">
        <v>0</v>
      </c>
      <c r="P533" s="3242">
        <v>0</v>
      </c>
      <c r="Q533" s="3244"/>
      <c r="R533" s="3244"/>
      <c r="S533" s="3242">
        <v>0</v>
      </c>
      <c r="T533" s="3244"/>
      <c r="U533" s="3244"/>
      <c r="V533" s="3244"/>
      <c r="W533" s="3240">
        <v>0</v>
      </c>
      <c r="X533" s="3244"/>
      <c r="Y533" s="3244"/>
      <c r="Z533" s="3242" t="s">
        <v>3384</v>
      </c>
      <c r="AA533" s="3243">
        <v>0</v>
      </c>
      <c r="AB533" s="3242">
        <v>0</v>
      </c>
      <c r="AC533" s="3244"/>
      <c r="AD533" s="3244"/>
      <c r="AE533" s="3242">
        <v>0</v>
      </c>
      <c r="AF533" s="3259"/>
      <c r="AG533" s="3260"/>
      <c r="AH533" s="3250"/>
      <c r="AI533" s="4200"/>
      <c r="AJ533" s="3260"/>
      <c r="AK533" s="3260"/>
      <c r="AL533" s="3259"/>
      <c r="AM533" s="3260"/>
      <c r="AN533" s="3259"/>
      <c r="AO533" s="3260"/>
      <c r="AP533" s="3242">
        <v>0</v>
      </c>
      <c r="AQ533" s="3244"/>
      <c r="AR533" s="3244"/>
      <c r="AS533" s="3242" t="s">
        <v>3384</v>
      </c>
      <c r="AT533" s="3247">
        <f t="shared" si="55"/>
        <v>0</v>
      </c>
      <c r="AU533" s="3248">
        <f t="shared" si="56"/>
        <v>0</v>
      </c>
      <c r="AV533" s="3248">
        <v>0</v>
      </c>
      <c r="AW533" s="3247">
        <v>0</v>
      </c>
      <c r="AX533" s="3248">
        <v>0</v>
      </c>
      <c r="AY533" s="3248">
        <v>0</v>
      </c>
      <c r="AZ533" s="3247">
        <v>0</v>
      </c>
      <c r="BA533" s="3248">
        <v>0</v>
      </c>
      <c r="BB533" s="3248">
        <v>0</v>
      </c>
      <c r="BC533" s="3247">
        <v>0</v>
      </c>
      <c r="BD533" s="3248">
        <v>0</v>
      </c>
      <c r="BE533" s="3248">
        <v>0</v>
      </c>
      <c r="BF533" s="3248">
        <f t="shared" si="57"/>
        <v>0</v>
      </c>
      <c r="BG533" s="3248">
        <f t="shared" si="58"/>
        <v>0</v>
      </c>
      <c r="BH533" s="3249"/>
      <c r="BI533" s="3249"/>
    </row>
    <row r="534" spans="1:61" x14ac:dyDescent="0.3">
      <c r="A534" s="4197" t="s">
        <v>3384</v>
      </c>
      <c r="B534" s="3261"/>
      <c r="C534" s="3243">
        <v>0</v>
      </c>
      <c r="D534" s="3242">
        <v>0</v>
      </c>
      <c r="E534" s="3244"/>
      <c r="F534" s="3244"/>
      <c r="G534" s="3242">
        <v>0</v>
      </c>
      <c r="H534" s="3244"/>
      <c r="I534" s="3244"/>
      <c r="J534" s="3244"/>
      <c r="K534" s="3242">
        <v>0</v>
      </c>
      <c r="L534" s="3244"/>
      <c r="M534" s="3244"/>
      <c r="N534" s="3242" t="s">
        <v>3384</v>
      </c>
      <c r="O534" s="3239">
        <v>0</v>
      </c>
      <c r="P534" s="3242">
        <v>0</v>
      </c>
      <c r="Q534" s="3244"/>
      <c r="R534" s="3244"/>
      <c r="S534" s="3242">
        <v>0</v>
      </c>
      <c r="T534" s="3244"/>
      <c r="U534" s="3244"/>
      <c r="V534" s="3244"/>
      <c r="W534" s="3240">
        <v>0</v>
      </c>
      <c r="X534" s="3244"/>
      <c r="Y534" s="3244"/>
      <c r="Z534" s="3242" t="s">
        <v>3384</v>
      </c>
      <c r="AA534" s="3243">
        <v>0</v>
      </c>
      <c r="AB534" s="3242">
        <v>0</v>
      </c>
      <c r="AC534" s="3244"/>
      <c r="AD534" s="3244"/>
      <c r="AE534" s="3242">
        <v>0</v>
      </c>
      <c r="AF534" s="3259"/>
      <c r="AG534" s="3260"/>
      <c r="AH534" s="3250"/>
      <c r="AI534" s="4200"/>
      <c r="AJ534" s="3260"/>
      <c r="AK534" s="3260"/>
      <c r="AL534" s="3259"/>
      <c r="AM534" s="3260"/>
      <c r="AN534" s="3259"/>
      <c r="AO534" s="3260"/>
      <c r="AP534" s="3242">
        <v>0</v>
      </c>
      <c r="AQ534" s="3244"/>
      <c r="AR534" s="3244"/>
      <c r="AS534" s="3242" t="s">
        <v>3384</v>
      </c>
      <c r="AT534" s="3247">
        <f t="shared" si="55"/>
        <v>0</v>
      </c>
      <c r="AU534" s="3248">
        <f t="shared" si="56"/>
        <v>0</v>
      </c>
      <c r="AV534" s="3248">
        <v>0</v>
      </c>
      <c r="AW534" s="3247">
        <v>0</v>
      </c>
      <c r="AX534" s="3248">
        <v>0</v>
      </c>
      <c r="AY534" s="3248">
        <v>0</v>
      </c>
      <c r="AZ534" s="3247">
        <v>0</v>
      </c>
      <c r="BA534" s="3248">
        <v>0</v>
      </c>
      <c r="BB534" s="3248">
        <v>0</v>
      </c>
      <c r="BC534" s="3247">
        <v>0</v>
      </c>
      <c r="BD534" s="3248">
        <v>0</v>
      </c>
      <c r="BE534" s="3248">
        <v>0</v>
      </c>
      <c r="BF534" s="3248">
        <f t="shared" si="57"/>
        <v>0</v>
      </c>
      <c r="BG534" s="3248">
        <f t="shared" si="58"/>
        <v>0</v>
      </c>
      <c r="BH534" s="3249"/>
      <c r="BI534" s="3249"/>
    </row>
    <row r="535" spans="1:61" x14ac:dyDescent="0.3">
      <c r="A535" s="4197" t="s">
        <v>3384</v>
      </c>
      <c r="B535" s="3261"/>
      <c r="C535" s="3243">
        <v>0</v>
      </c>
      <c r="D535" s="3242">
        <v>0</v>
      </c>
      <c r="E535" s="3244"/>
      <c r="F535" s="3244"/>
      <c r="G535" s="3242">
        <v>0</v>
      </c>
      <c r="H535" s="3244"/>
      <c r="I535" s="3244"/>
      <c r="J535" s="3244"/>
      <c r="K535" s="3242">
        <v>0</v>
      </c>
      <c r="L535" s="3244"/>
      <c r="M535" s="3244"/>
      <c r="N535" s="3242" t="s">
        <v>3384</v>
      </c>
      <c r="O535" s="3239">
        <v>0</v>
      </c>
      <c r="P535" s="3242">
        <v>0</v>
      </c>
      <c r="Q535" s="3244"/>
      <c r="R535" s="3244"/>
      <c r="S535" s="3242">
        <v>0</v>
      </c>
      <c r="T535" s="3244"/>
      <c r="U535" s="3244"/>
      <c r="V535" s="3244"/>
      <c r="W535" s="3240">
        <v>0</v>
      </c>
      <c r="X535" s="3244"/>
      <c r="Y535" s="3244"/>
      <c r="Z535" s="3242" t="s">
        <v>3384</v>
      </c>
      <c r="AA535" s="3243">
        <v>0</v>
      </c>
      <c r="AB535" s="3242">
        <v>0</v>
      </c>
      <c r="AC535" s="3244"/>
      <c r="AD535" s="3244"/>
      <c r="AE535" s="3242">
        <v>0</v>
      </c>
      <c r="AF535" s="3259"/>
      <c r="AG535" s="3260"/>
      <c r="AH535" s="3250"/>
      <c r="AI535" s="4200"/>
      <c r="AJ535" s="3260"/>
      <c r="AK535" s="3260"/>
      <c r="AL535" s="3259"/>
      <c r="AM535" s="3260"/>
      <c r="AN535" s="3259"/>
      <c r="AO535" s="3260"/>
      <c r="AP535" s="3242">
        <v>0</v>
      </c>
      <c r="AQ535" s="3244"/>
      <c r="AR535" s="3244"/>
      <c r="AS535" s="3242" t="s">
        <v>3384</v>
      </c>
      <c r="AT535" s="3247">
        <f t="shared" si="55"/>
        <v>0</v>
      </c>
      <c r="AU535" s="3248">
        <f t="shared" si="56"/>
        <v>0</v>
      </c>
      <c r="AV535" s="3248">
        <v>0</v>
      </c>
      <c r="AW535" s="3247">
        <v>0</v>
      </c>
      <c r="AX535" s="3248">
        <v>0</v>
      </c>
      <c r="AY535" s="3248">
        <v>0</v>
      </c>
      <c r="AZ535" s="3247">
        <v>0</v>
      </c>
      <c r="BA535" s="3248">
        <v>0</v>
      </c>
      <c r="BB535" s="3248">
        <v>0</v>
      </c>
      <c r="BC535" s="3247">
        <v>0</v>
      </c>
      <c r="BD535" s="3248">
        <v>0</v>
      </c>
      <c r="BE535" s="3248">
        <v>0</v>
      </c>
      <c r="BF535" s="3248">
        <f t="shared" si="57"/>
        <v>0</v>
      </c>
      <c r="BG535" s="3248">
        <f t="shared" si="58"/>
        <v>0</v>
      </c>
      <c r="BH535" s="3249"/>
      <c r="BI535" s="3249"/>
    </row>
    <row r="536" spans="1:61" x14ac:dyDescent="0.3">
      <c r="A536" s="4197" t="s">
        <v>3384</v>
      </c>
      <c r="B536" s="3261"/>
      <c r="C536" s="3243">
        <v>0</v>
      </c>
      <c r="D536" s="3242">
        <v>0</v>
      </c>
      <c r="E536" s="3244"/>
      <c r="F536" s="3244"/>
      <c r="G536" s="3242">
        <v>0</v>
      </c>
      <c r="H536" s="3244"/>
      <c r="I536" s="3244"/>
      <c r="J536" s="3244"/>
      <c r="K536" s="3242">
        <v>0</v>
      </c>
      <c r="L536" s="3244"/>
      <c r="M536" s="3244"/>
      <c r="N536" s="3242" t="s">
        <v>3384</v>
      </c>
      <c r="O536" s="3239">
        <v>0</v>
      </c>
      <c r="P536" s="3242">
        <v>0</v>
      </c>
      <c r="Q536" s="3244"/>
      <c r="R536" s="3244"/>
      <c r="S536" s="3242">
        <v>0</v>
      </c>
      <c r="T536" s="3244"/>
      <c r="U536" s="3244"/>
      <c r="V536" s="3244"/>
      <c r="W536" s="3240">
        <v>0</v>
      </c>
      <c r="X536" s="3244"/>
      <c r="Y536" s="3244"/>
      <c r="Z536" s="3242" t="s">
        <v>3384</v>
      </c>
      <c r="AA536" s="3243">
        <v>0</v>
      </c>
      <c r="AB536" s="3242">
        <v>0</v>
      </c>
      <c r="AC536" s="3244"/>
      <c r="AD536" s="3244"/>
      <c r="AE536" s="3242">
        <v>0</v>
      </c>
      <c r="AF536" s="3259"/>
      <c r="AG536" s="3260"/>
      <c r="AH536" s="3250"/>
      <c r="AI536" s="4200"/>
      <c r="AJ536" s="3260"/>
      <c r="AK536" s="3260"/>
      <c r="AL536" s="3259"/>
      <c r="AM536" s="3260"/>
      <c r="AN536" s="3259"/>
      <c r="AO536" s="3260"/>
      <c r="AP536" s="3242">
        <v>0</v>
      </c>
      <c r="AQ536" s="3244"/>
      <c r="AR536" s="3244"/>
      <c r="AS536" s="3242" t="s">
        <v>3384</v>
      </c>
      <c r="AT536" s="3247">
        <f t="shared" si="55"/>
        <v>0</v>
      </c>
      <c r="AU536" s="3248">
        <f t="shared" si="56"/>
        <v>0</v>
      </c>
      <c r="AV536" s="3248">
        <v>0</v>
      </c>
      <c r="AW536" s="3247">
        <v>0</v>
      </c>
      <c r="AX536" s="3248">
        <v>0</v>
      </c>
      <c r="AY536" s="3248">
        <v>0</v>
      </c>
      <c r="AZ536" s="3247">
        <v>0</v>
      </c>
      <c r="BA536" s="3248">
        <v>0</v>
      </c>
      <c r="BB536" s="3248">
        <v>0</v>
      </c>
      <c r="BC536" s="3247">
        <v>0</v>
      </c>
      <c r="BD536" s="3248">
        <v>0</v>
      </c>
      <c r="BE536" s="3248">
        <v>0</v>
      </c>
      <c r="BF536" s="3248">
        <f t="shared" si="57"/>
        <v>0</v>
      </c>
      <c r="BG536" s="3248">
        <f t="shared" si="58"/>
        <v>0</v>
      </c>
      <c r="BH536" s="3249"/>
      <c r="BI536" s="3249"/>
    </row>
    <row r="537" spans="1:61" x14ac:dyDescent="0.3">
      <c r="A537" s="4197" t="s">
        <v>3384</v>
      </c>
      <c r="B537" s="3261"/>
      <c r="C537" s="3243">
        <v>0</v>
      </c>
      <c r="D537" s="3242">
        <v>0</v>
      </c>
      <c r="E537" s="3244"/>
      <c r="F537" s="3244"/>
      <c r="G537" s="3242">
        <v>0</v>
      </c>
      <c r="H537" s="3244"/>
      <c r="I537" s="3244"/>
      <c r="J537" s="3244"/>
      <c r="K537" s="3242">
        <v>0</v>
      </c>
      <c r="L537" s="3244"/>
      <c r="M537" s="3244"/>
      <c r="N537" s="3242" t="s">
        <v>3384</v>
      </c>
      <c r="O537" s="3239">
        <v>0</v>
      </c>
      <c r="P537" s="3242">
        <v>0</v>
      </c>
      <c r="Q537" s="3244"/>
      <c r="R537" s="3244"/>
      <c r="S537" s="3242">
        <v>0</v>
      </c>
      <c r="T537" s="3244"/>
      <c r="U537" s="3244"/>
      <c r="V537" s="3244"/>
      <c r="W537" s="3240">
        <v>0</v>
      </c>
      <c r="X537" s="3244"/>
      <c r="Y537" s="3244"/>
      <c r="Z537" s="3242" t="s">
        <v>3384</v>
      </c>
      <c r="AA537" s="3243">
        <v>0</v>
      </c>
      <c r="AB537" s="3242">
        <v>0</v>
      </c>
      <c r="AC537" s="3244"/>
      <c r="AD537" s="3244"/>
      <c r="AE537" s="3242">
        <v>0</v>
      </c>
      <c r="AF537" s="3259"/>
      <c r="AG537" s="3260"/>
      <c r="AH537" s="3250"/>
      <c r="AI537" s="4200"/>
      <c r="AJ537" s="3260"/>
      <c r="AK537" s="3260"/>
      <c r="AL537" s="3259"/>
      <c r="AM537" s="3260"/>
      <c r="AN537" s="3259"/>
      <c r="AO537" s="3260"/>
      <c r="AP537" s="3242">
        <v>0</v>
      </c>
      <c r="AQ537" s="3244"/>
      <c r="AR537" s="3244"/>
      <c r="AS537" s="3242" t="s">
        <v>3384</v>
      </c>
      <c r="AT537" s="3247">
        <f t="shared" si="55"/>
        <v>0</v>
      </c>
      <c r="AU537" s="3248">
        <f t="shared" si="56"/>
        <v>0</v>
      </c>
      <c r="AV537" s="3248">
        <v>0</v>
      </c>
      <c r="AW537" s="3247">
        <v>0</v>
      </c>
      <c r="AX537" s="3248">
        <v>0</v>
      </c>
      <c r="AY537" s="3248">
        <v>0</v>
      </c>
      <c r="AZ537" s="3247">
        <v>0</v>
      </c>
      <c r="BA537" s="3248">
        <v>0</v>
      </c>
      <c r="BB537" s="3248">
        <v>0</v>
      </c>
      <c r="BC537" s="3247">
        <v>0</v>
      </c>
      <c r="BD537" s="3248">
        <v>0</v>
      </c>
      <c r="BE537" s="3248">
        <v>0</v>
      </c>
      <c r="BF537" s="3248">
        <f t="shared" si="57"/>
        <v>0</v>
      </c>
      <c r="BG537" s="3248">
        <f t="shared" si="58"/>
        <v>0</v>
      </c>
      <c r="BH537" s="3249"/>
      <c r="BI537" s="3249"/>
    </row>
    <row r="538" spans="1:61" x14ac:dyDescent="0.3">
      <c r="A538" s="4197" t="s">
        <v>3384</v>
      </c>
      <c r="B538" s="3261"/>
      <c r="C538" s="3243">
        <v>0</v>
      </c>
      <c r="D538" s="3242">
        <v>0</v>
      </c>
      <c r="E538" s="3244"/>
      <c r="F538" s="3244"/>
      <c r="G538" s="3242">
        <v>0</v>
      </c>
      <c r="H538" s="3244"/>
      <c r="I538" s="3244"/>
      <c r="J538" s="3244"/>
      <c r="K538" s="3242">
        <v>0</v>
      </c>
      <c r="L538" s="3244"/>
      <c r="M538" s="3244"/>
      <c r="N538" s="3242" t="s">
        <v>3384</v>
      </c>
      <c r="O538" s="3239">
        <v>0</v>
      </c>
      <c r="P538" s="3242">
        <v>0</v>
      </c>
      <c r="Q538" s="3244"/>
      <c r="R538" s="3244"/>
      <c r="S538" s="3242">
        <v>0</v>
      </c>
      <c r="T538" s="3244"/>
      <c r="U538" s="3244"/>
      <c r="V538" s="3244"/>
      <c r="W538" s="3240">
        <v>0</v>
      </c>
      <c r="X538" s="3244"/>
      <c r="Y538" s="3244"/>
      <c r="Z538" s="3242" t="s">
        <v>3384</v>
      </c>
      <c r="AA538" s="3243">
        <v>0</v>
      </c>
      <c r="AB538" s="3242">
        <v>0</v>
      </c>
      <c r="AC538" s="3244"/>
      <c r="AD538" s="3244"/>
      <c r="AE538" s="3242">
        <v>0</v>
      </c>
      <c r="AF538" s="3259"/>
      <c r="AG538" s="3260"/>
      <c r="AH538" s="3250"/>
      <c r="AI538" s="4200"/>
      <c r="AJ538" s="3260"/>
      <c r="AK538" s="3260"/>
      <c r="AL538" s="3259"/>
      <c r="AM538" s="3260"/>
      <c r="AN538" s="3259"/>
      <c r="AO538" s="3260"/>
      <c r="AP538" s="3242">
        <v>0</v>
      </c>
      <c r="AQ538" s="3244"/>
      <c r="AR538" s="3244"/>
      <c r="AS538" s="3242" t="s">
        <v>3384</v>
      </c>
      <c r="AT538" s="3247">
        <f t="shared" si="55"/>
        <v>0</v>
      </c>
      <c r="AU538" s="3248">
        <f t="shared" si="56"/>
        <v>0</v>
      </c>
      <c r="AV538" s="3248">
        <v>0</v>
      </c>
      <c r="AW538" s="3247">
        <v>0</v>
      </c>
      <c r="AX538" s="3248">
        <v>0</v>
      </c>
      <c r="AY538" s="3248">
        <v>0</v>
      </c>
      <c r="AZ538" s="3247">
        <v>0</v>
      </c>
      <c r="BA538" s="3248">
        <v>0</v>
      </c>
      <c r="BB538" s="3248">
        <v>0</v>
      </c>
      <c r="BC538" s="3247">
        <v>0</v>
      </c>
      <c r="BD538" s="3248">
        <v>0</v>
      </c>
      <c r="BE538" s="3248">
        <v>0</v>
      </c>
      <c r="BF538" s="3248">
        <f t="shared" si="57"/>
        <v>0</v>
      </c>
      <c r="BG538" s="3248">
        <f t="shared" si="58"/>
        <v>0</v>
      </c>
      <c r="BH538" s="3249"/>
      <c r="BI538" s="3249"/>
    </row>
    <row r="539" spans="1:61" x14ac:dyDescent="0.3">
      <c r="A539" s="4197" t="s">
        <v>3384</v>
      </c>
      <c r="B539" s="3261"/>
      <c r="C539" s="3243">
        <v>0</v>
      </c>
      <c r="D539" s="3242">
        <v>0</v>
      </c>
      <c r="E539" s="3244"/>
      <c r="F539" s="3244"/>
      <c r="G539" s="3242">
        <v>0</v>
      </c>
      <c r="H539" s="3244"/>
      <c r="I539" s="3244"/>
      <c r="J539" s="3244"/>
      <c r="K539" s="3242">
        <v>0</v>
      </c>
      <c r="L539" s="3244"/>
      <c r="M539" s="3244"/>
      <c r="N539" s="3242" t="s">
        <v>3384</v>
      </c>
      <c r="O539" s="3239">
        <v>0</v>
      </c>
      <c r="P539" s="3242">
        <v>0</v>
      </c>
      <c r="Q539" s="3244"/>
      <c r="R539" s="3244"/>
      <c r="S539" s="3242">
        <v>0</v>
      </c>
      <c r="T539" s="3244"/>
      <c r="U539" s="3244"/>
      <c r="V539" s="3244"/>
      <c r="W539" s="3240">
        <v>0</v>
      </c>
      <c r="X539" s="3244"/>
      <c r="Y539" s="3244"/>
      <c r="Z539" s="3242" t="s">
        <v>3384</v>
      </c>
      <c r="AA539" s="3243">
        <v>0</v>
      </c>
      <c r="AB539" s="3242">
        <v>0</v>
      </c>
      <c r="AC539" s="3244"/>
      <c r="AD539" s="3244"/>
      <c r="AE539" s="3242">
        <v>0</v>
      </c>
      <c r="AF539" s="3259"/>
      <c r="AG539" s="3260"/>
      <c r="AH539" s="3250"/>
      <c r="AI539" s="4200"/>
      <c r="AJ539" s="3260"/>
      <c r="AK539" s="3260"/>
      <c r="AL539" s="3259"/>
      <c r="AM539" s="3260"/>
      <c r="AN539" s="3259"/>
      <c r="AO539" s="3260"/>
      <c r="AP539" s="3242">
        <v>0</v>
      </c>
      <c r="AQ539" s="3244"/>
      <c r="AR539" s="3244"/>
      <c r="AS539" s="3242" t="s">
        <v>3384</v>
      </c>
      <c r="AT539" s="3247">
        <f t="shared" si="55"/>
        <v>0</v>
      </c>
      <c r="AU539" s="3248">
        <f t="shared" si="56"/>
        <v>0</v>
      </c>
      <c r="AV539" s="3248">
        <v>0</v>
      </c>
      <c r="AW539" s="3247">
        <v>0</v>
      </c>
      <c r="AX539" s="3248">
        <v>0</v>
      </c>
      <c r="AY539" s="3248">
        <v>0</v>
      </c>
      <c r="AZ539" s="3247">
        <v>0</v>
      </c>
      <c r="BA539" s="3248">
        <v>0</v>
      </c>
      <c r="BB539" s="3248">
        <v>0</v>
      </c>
      <c r="BC539" s="3247">
        <v>0</v>
      </c>
      <c r="BD539" s="3248">
        <v>0</v>
      </c>
      <c r="BE539" s="3248">
        <v>0</v>
      </c>
      <c r="BF539" s="3248">
        <f t="shared" si="57"/>
        <v>0</v>
      </c>
      <c r="BG539" s="3248">
        <f t="shared" si="58"/>
        <v>0</v>
      </c>
      <c r="BH539" s="3249"/>
      <c r="BI539" s="3249"/>
    </row>
    <row r="540" spans="1:61" x14ac:dyDescent="0.3">
      <c r="A540" s="4197" t="s">
        <v>3384</v>
      </c>
      <c r="B540" s="3261"/>
      <c r="C540" s="3243">
        <v>0</v>
      </c>
      <c r="D540" s="3242">
        <v>0</v>
      </c>
      <c r="E540" s="3244"/>
      <c r="F540" s="3244"/>
      <c r="G540" s="3242">
        <v>0</v>
      </c>
      <c r="H540" s="3244"/>
      <c r="I540" s="3244"/>
      <c r="J540" s="3244"/>
      <c r="K540" s="3242">
        <v>0</v>
      </c>
      <c r="L540" s="3244"/>
      <c r="M540" s="3244"/>
      <c r="N540" s="3242" t="s">
        <v>3384</v>
      </c>
      <c r="O540" s="3239">
        <v>0</v>
      </c>
      <c r="P540" s="3242">
        <v>0</v>
      </c>
      <c r="Q540" s="3244"/>
      <c r="R540" s="3244"/>
      <c r="S540" s="3242">
        <v>0</v>
      </c>
      <c r="T540" s="3244"/>
      <c r="U540" s="3244"/>
      <c r="V540" s="3244"/>
      <c r="W540" s="3240">
        <v>0</v>
      </c>
      <c r="X540" s="3244"/>
      <c r="Y540" s="3244"/>
      <c r="Z540" s="3242" t="s">
        <v>3384</v>
      </c>
      <c r="AA540" s="3243">
        <v>0</v>
      </c>
      <c r="AB540" s="3242">
        <v>0</v>
      </c>
      <c r="AC540" s="3244"/>
      <c r="AD540" s="3244"/>
      <c r="AE540" s="3242">
        <v>0</v>
      </c>
      <c r="AF540" s="3259"/>
      <c r="AG540" s="3260"/>
      <c r="AH540" s="3250"/>
      <c r="AI540" s="4200"/>
      <c r="AJ540" s="3260"/>
      <c r="AK540" s="3260"/>
      <c r="AL540" s="3259"/>
      <c r="AM540" s="3260"/>
      <c r="AN540" s="3259"/>
      <c r="AO540" s="3260"/>
      <c r="AP540" s="3242">
        <v>0</v>
      </c>
      <c r="AQ540" s="3244"/>
      <c r="AR540" s="3244"/>
      <c r="AS540" s="3242" t="s">
        <v>3384</v>
      </c>
      <c r="AT540" s="3247">
        <f t="shared" si="55"/>
        <v>0</v>
      </c>
      <c r="AU540" s="3248">
        <f t="shared" si="56"/>
        <v>0</v>
      </c>
      <c r="AV540" s="3248">
        <v>0</v>
      </c>
      <c r="AW540" s="3247">
        <v>0</v>
      </c>
      <c r="AX540" s="3248">
        <v>0</v>
      </c>
      <c r="AY540" s="3248">
        <v>0</v>
      </c>
      <c r="AZ540" s="3247">
        <v>0</v>
      </c>
      <c r="BA540" s="3248">
        <v>0</v>
      </c>
      <c r="BB540" s="3248">
        <v>0</v>
      </c>
      <c r="BC540" s="3247">
        <v>0</v>
      </c>
      <c r="BD540" s="3248">
        <v>0</v>
      </c>
      <c r="BE540" s="3248">
        <v>0</v>
      </c>
      <c r="BF540" s="3248">
        <f t="shared" si="57"/>
        <v>0</v>
      </c>
      <c r="BG540" s="3248">
        <f t="shared" si="58"/>
        <v>0</v>
      </c>
      <c r="BH540" s="3249"/>
      <c r="BI540" s="3249"/>
    </row>
    <row r="541" spans="1:61" x14ac:dyDescent="0.3">
      <c r="A541" s="4197" t="s">
        <v>3384</v>
      </c>
      <c r="B541" s="3261"/>
      <c r="C541" s="3243">
        <v>0</v>
      </c>
      <c r="D541" s="3242">
        <v>0</v>
      </c>
      <c r="E541" s="3244"/>
      <c r="F541" s="3244"/>
      <c r="G541" s="3242">
        <v>0</v>
      </c>
      <c r="H541" s="3244"/>
      <c r="I541" s="3244"/>
      <c r="J541" s="3244"/>
      <c r="K541" s="3242">
        <v>0</v>
      </c>
      <c r="L541" s="3244"/>
      <c r="M541" s="3244"/>
      <c r="N541" s="3242" t="s">
        <v>3384</v>
      </c>
      <c r="O541" s="3239">
        <v>0</v>
      </c>
      <c r="P541" s="3242">
        <v>0</v>
      </c>
      <c r="Q541" s="3244"/>
      <c r="R541" s="3244"/>
      <c r="S541" s="3242">
        <v>0</v>
      </c>
      <c r="T541" s="3244"/>
      <c r="U541" s="3244"/>
      <c r="V541" s="3244"/>
      <c r="W541" s="3240">
        <v>0</v>
      </c>
      <c r="X541" s="3244"/>
      <c r="Y541" s="3244"/>
      <c r="Z541" s="3242" t="s">
        <v>3384</v>
      </c>
      <c r="AA541" s="3243">
        <v>0</v>
      </c>
      <c r="AB541" s="3242">
        <v>0</v>
      </c>
      <c r="AC541" s="3244"/>
      <c r="AD541" s="3244"/>
      <c r="AE541" s="3242">
        <v>0</v>
      </c>
      <c r="AF541" s="3259"/>
      <c r="AG541" s="3260"/>
      <c r="AH541" s="3250"/>
      <c r="AI541" s="4200"/>
      <c r="AJ541" s="3260"/>
      <c r="AK541" s="3260"/>
      <c r="AL541" s="3259"/>
      <c r="AM541" s="3260"/>
      <c r="AN541" s="3259"/>
      <c r="AO541" s="3260"/>
      <c r="AP541" s="3242">
        <v>0</v>
      </c>
      <c r="AQ541" s="3244"/>
      <c r="AR541" s="3244"/>
      <c r="AS541" s="3242" t="s">
        <v>3384</v>
      </c>
      <c r="AT541" s="3247">
        <f t="shared" si="55"/>
        <v>0</v>
      </c>
      <c r="AU541" s="3248">
        <f t="shared" si="56"/>
        <v>0</v>
      </c>
      <c r="AV541" s="3248">
        <v>0</v>
      </c>
      <c r="AW541" s="3247">
        <v>0</v>
      </c>
      <c r="AX541" s="3248">
        <v>0</v>
      </c>
      <c r="AY541" s="3248">
        <v>0</v>
      </c>
      <c r="AZ541" s="3247">
        <v>0</v>
      </c>
      <c r="BA541" s="3248">
        <v>0</v>
      </c>
      <c r="BB541" s="3248">
        <v>0</v>
      </c>
      <c r="BC541" s="3247">
        <v>0</v>
      </c>
      <c r="BD541" s="3248">
        <v>0</v>
      </c>
      <c r="BE541" s="3248">
        <v>0</v>
      </c>
      <c r="BF541" s="3248">
        <f t="shared" si="57"/>
        <v>0</v>
      </c>
      <c r="BG541" s="3248">
        <f t="shared" si="58"/>
        <v>0</v>
      </c>
      <c r="BH541" s="3249"/>
      <c r="BI541" s="3249"/>
    </row>
    <row r="542" spans="1:61" x14ac:dyDescent="0.3">
      <c r="A542" s="4197" t="s">
        <v>3384</v>
      </c>
      <c r="B542" s="3261"/>
      <c r="C542" s="3243">
        <v>0</v>
      </c>
      <c r="D542" s="3242">
        <v>0</v>
      </c>
      <c r="E542" s="3244"/>
      <c r="F542" s="3244"/>
      <c r="G542" s="3242">
        <v>0</v>
      </c>
      <c r="H542" s="3244"/>
      <c r="I542" s="3244"/>
      <c r="J542" s="3244"/>
      <c r="K542" s="3242">
        <v>0</v>
      </c>
      <c r="L542" s="3244"/>
      <c r="M542" s="3244"/>
      <c r="N542" s="3242" t="s">
        <v>3384</v>
      </c>
      <c r="O542" s="3239">
        <v>0</v>
      </c>
      <c r="P542" s="3242">
        <v>0</v>
      </c>
      <c r="Q542" s="3244"/>
      <c r="R542" s="3244"/>
      <c r="S542" s="3242">
        <v>0</v>
      </c>
      <c r="T542" s="3244"/>
      <c r="U542" s="3244"/>
      <c r="V542" s="3244"/>
      <c r="W542" s="3240">
        <v>0</v>
      </c>
      <c r="X542" s="3244"/>
      <c r="Y542" s="3244"/>
      <c r="Z542" s="3242" t="s">
        <v>3384</v>
      </c>
      <c r="AA542" s="3243">
        <v>0</v>
      </c>
      <c r="AB542" s="3242">
        <v>0</v>
      </c>
      <c r="AC542" s="3244"/>
      <c r="AD542" s="3244"/>
      <c r="AE542" s="3242">
        <v>0</v>
      </c>
      <c r="AF542" s="3259"/>
      <c r="AG542" s="3260"/>
      <c r="AH542" s="3250"/>
      <c r="AI542" s="4200"/>
      <c r="AJ542" s="3260"/>
      <c r="AK542" s="3260"/>
      <c r="AL542" s="3259"/>
      <c r="AM542" s="3260"/>
      <c r="AN542" s="3259"/>
      <c r="AO542" s="3260"/>
      <c r="AP542" s="3242">
        <v>0</v>
      </c>
      <c r="AQ542" s="3244"/>
      <c r="AR542" s="3244"/>
      <c r="AS542" s="3242" t="s">
        <v>3384</v>
      </c>
      <c r="AT542" s="3247">
        <f t="shared" si="55"/>
        <v>0</v>
      </c>
      <c r="AU542" s="3248">
        <f t="shared" si="56"/>
        <v>0</v>
      </c>
      <c r="AV542" s="3248">
        <v>0</v>
      </c>
      <c r="AW542" s="3247">
        <v>0</v>
      </c>
      <c r="AX542" s="3248">
        <v>0</v>
      </c>
      <c r="AY542" s="3248">
        <v>0</v>
      </c>
      <c r="AZ542" s="3247">
        <v>0</v>
      </c>
      <c r="BA542" s="3248">
        <v>0</v>
      </c>
      <c r="BB542" s="3248">
        <v>0</v>
      </c>
      <c r="BC542" s="3247">
        <v>0</v>
      </c>
      <c r="BD542" s="3248">
        <v>0</v>
      </c>
      <c r="BE542" s="3248">
        <v>0</v>
      </c>
      <c r="BF542" s="3248">
        <f t="shared" si="57"/>
        <v>0</v>
      </c>
      <c r="BG542" s="3248">
        <f t="shared" si="58"/>
        <v>0</v>
      </c>
      <c r="BH542" s="3249"/>
      <c r="BI542" s="3249"/>
    </row>
    <row r="543" spans="1:61" x14ac:dyDescent="0.3">
      <c r="A543" s="4197" t="s">
        <v>3384</v>
      </c>
      <c r="B543" s="3261"/>
      <c r="C543" s="3243">
        <v>0</v>
      </c>
      <c r="D543" s="3242">
        <v>0</v>
      </c>
      <c r="E543" s="3244"/>
      <c r="F543" s="3244"/>
      <c r="G543" s="3242">
        <v>0</v>
      </c>
      <c r="H543" s="3244"/>
      <c r="I543" s="3244"/>
      <c r="J543" s="3244"/>
      <c r="K543" s="3242">
        <v>0</v>
      </c>
      <c r="L543" s="3244"/>
      <c r="M543" s="3244"/>
      <c r="N543" s="3242" t="s">
        <v>3384</v>
      </c>
      <c r="O543" s="3239">
        <v>0</v>
      </c>
      <c r="P543" s="3242">
        <v>0</v>
      </c>
      <c r="Q543" s="3244"/>
      <c r="R543" s="3244"/>
      <c r="S543" s="3242">
        <v>0</v>
      </c>
      <c r="T543" s="3244"/>
      <c r="U543" s="3244"/>
      <c r="V543" s="3244"/>
      <c r="W543" s="3240">
        <v>0</v>
      </c>
      <c r="X543" s="3244"/>
      <c r="Y543" s="3244"/>
      <c r="Z543" s="3242" t="s">
        <v>3384</v>
      </c>
      <c r="AA543" s="3243">
        <v>0</v>
      </c>
      <c r="AB543" s="3242">
        <v>0</v>
      </c>
      <c r="AC543" s="3244"/>
      <c r="AD543" s="3244"/>
      <c r="AE543" s="3242">
        <v>0</v>
      </c>
      <c r="AF543" s="3259"/>
      <c r="AG543" s="3260"/>
      <c r="AH543" s="3250"/>
      <c r="AI543" s="4200"/>
      <c r="AJ543" s="3260"/>
      <c r="AK543" s="3260"/>
      <c r="AL543" s="3259"/>
      <c r="AM543" s="3260"/>
      <c r="AN543" s="3259"/>
      <c r="AO543" s="3260"/>
      <c r="AP543" s="3242">
        <v>0</v>
      </c>
      <c r="AQ543" s="3244"/>
      <c r="AR543" s="3244"/>
      <c r="AS543" s="3242" t="s">
        <v>3384</v>
      </c>
      <c r="AT543" s="3247">
        <f t="shared" si="55"/>
        <v>0</v>
      </c>
      <c r="AU543" s="3248">
        <f t="shared" si="56"/>
        <v>0</v>
      </c>
      <c r="AV543" s="3248">
        <v>0</v>
      </c>
      <c r="AW543" s="3247">
        <v>0</v>
      </c>
      <c r="AX543" s="3248">
        <v>0</v>
      </c>
      <c r="AY543" s="3248">
        <v>0</v>
      </c>
      <c r="AZ543" s="3247">
        <v>0</v>
      </c>
      <c r="BA543" s="3248">
        <v>0</v>
      </c>
      <c r="BB543" s="3248">
        <v>0</v>
      </c>
      <c r="BC543" s="3247">
        <v>0</v>
      </c>
      <c r="BD543" s="3248">
        <v>0</v>
      </c>
      <c r="BE543" s="3248">
        <v>0</v>
      </c>
      <c r="BF543" s="3248">
        <f t="shared" si="57"/>
        <v>0</v>
      </c>
      <c r="BG543" s="3248">
        <f t="shared" si="58"/>
        <v>0</v>
      </c>
      <c r="BH543" s="3249"/>
      <c r="BI543" s="3249"/>
    </row>
    <row r="544" spans="1:61" x14ac:dyDescent="0.3">
      <c r="A544" s="4197" t="s">
        <v>3384</v>
      </c>
      <c r="B544" s="3261"/>
      <c r="C544" s="3243">
        <v>0</v>
      </c>
      <c r="D544" s="3242">
        <v>0</v>
      </c>
      <c r="E544" s="3244"/>
      <c r="F544" s="3244"/>
      <c r="G544" s="3242">
        <v>0</v>
      </c>
      <c r="H544" s="3244"/>
      <c r="I544" s="3244"/>
      <c r="J544" s="3244"/>
      <c r="K544" s="3242">
        <v>0</v>
      </c>
      <c r="L544" s="3244"/>
      <c r="M544" s="3244"/>
      <c r="N544" s="3242" t="s">
        <v>3384</v>
      </c>
      <c r="O544" s="3239">
        <v>0</v>
      </c>
      <c r="P544" s="3242">
        <v>0</v>
      </c>
      <c r="Q544" s="3244"/>
      <c r="R544" s="3244"/>
      <c r="S544" s="3242">
        <v>0</v>
      </c>
      <c r="T544" s="3244"/>
      <c r="U544" s="3244"/>
      <c r="V544" s="3244"/>
      <c r="W544" s="3240">
        <v>0</v>
      </c>
      <c r="X544" s="3244"/>
      <c r="Y544" s="3244"/>
      <c r="Z544" s="3242" t="s">
        <v>3384</v>
      </c>
      <c r="AA544" s="3243">
        <v>0</v>
      </c>
      <c r="AB544" s="3242">
        <v>0</v>
      </c>
      <c r="AC544" s="3244"/>
      <c r="AD544" s="3244"/>
      <c r="AE544" s="3242">
        <v>0</v>
      </c>
      <c r="AF544" s="3259"/>
      <c r="AG544" s="3260"/>
      <c r="AH544" s="3250"/>
      <c r="AI544" s="4200"/>
      <c r="AJ544" s="3260"/>
      <c r="AK544" s="3260"/>
      <c r="AL544" s="3259"/>
      <c r="AM544" s="3260"/>
      <c r="AN544" s="3259"/>
      <c r="AO544" s="3260"/>
      <c r="AP544" s="3242">
        <v>0</v>
      </c>
      <c r="AQ544" s="3244"/>
      <c r="AR544" s="3244"/>
      <c r="AS544" s="3242" t="s">
        <v>3384</v>
      </c>
      <c r="AT544" s="3247">
        <f t="shared" si="55"/>
        <v>0</v>
      </c>
      <c r="AU544" s="3248">
        <f t="shared" si="56"/>
        <v>0</v>
      </c>
      <c r="AV544" s="3248">
        <v>0</v>
      </c>
      <c r="AW544" s="3247">
        <v>0</v>
      </c>
      <c r="AX544" s="3248">
        <v>0</v>
      </c>
      <c r="AY544" s="3248">
        <v>0</v>
      </c>
      <c r="AZ544" s="3247">
        <v>0</v>
      </c>
      <c r="BA544" s="3248">
        <v>0</v>
      </c>
      <c r="BB544" s="3248">
        <v>0</v>
      </c>
      <c r="BC544" s="3247">
        <v>0</v>
      </c>
      <c r="BD544" s="3248">
        <v>0</v>
      </c>
      <c r="BE544" s="3248">
        <v>0</v>
      </c>
      <c r="BF544" s="3248">
        <f t="shared" si="57"/>
        <v>0</v>
      </c>
      <c r="BG544" s="3248">
        <f t="shared" si="58"/>
        <v>0</v>
      </c>
      <c r="BH544" s="3249"/>
      <c r="BI544" s="3249"/>
    </row>
    <row r="545" spans="1:61" x14ac:dyDescent="0.3">
      <c r="A545" s="4197" t="s">
        <v>3384</v>
      </c>
      <c r="B545" s="3261"/>
      <c r="C545" s="3243">
        <v>0</v>
      </c>
      <c r="D545" s="3242">
        <v>0</v>
      </c>
      <c r="E545" s="3244"/>
      <c r="F545" s="3244"/>
      <c r="G545" s="3242">
        <v>0</v>
      </c>
      <c r="H545" s="3244"/>
      <c r="I545" s="3244"/>
      <c r="J545" s="3244"/>
      <c r="K545" s="3242">
        <v>0</v>
      </c>
      <c r="L545" s="3244"/>
      <c r="M545" s="3244"/>
      <c r="N545" s="3242" t="s">
        <v>3384</v>
      </c>
      <c r="O545" s="3239">
        <v>0</v>
      </c>
      <c r="P545" s="3242">
        <v>0</v>
      </c>
      <c r="Q545" s="3244"/>
      <c r="R545" s="3244"/>
      <c r="S545" s="3242">
        <v>0</v>
      </c>
      <c r="T545" s="3244"/>
      <c r="U545" s="3244"/>
      <c r="V545" s="3244"/>
      <c r="W545" s="3240">
        <v>0</v>
      </c>
      <c r="X545" s="3244"/>
      <c r="Y545" s="3244"/>
      <c r="Z545" s="3242" t="s">
        <v>3384</v>
      </c>
      <c r="AA545" s="3243">
        <v>0</v>
      </c>
      <c r="AB545" s="3242">
        <v>0</v>
      </c>
      <c r="AC545" s="3244"/>
      <c r="AD545" s="3244"/>
      <c r="AE545" s="3242">
        <v>0</v>
      </c>
      <c r="AF545" s="3259"/>
      <c r="AG545" s="3260"/>
      <c r="AH545" s="3250"/>
      <c r="AI545" s="4200"/>
      <c r="AJ545" s="3260"/>
      <c r="AK545" s="3260"/>
      <c r="AL545" s="3259"/>
      <c r="AM545" s="3260"/>
      <c r="AN545" s="3259"/>
      <c r="AO545" s="3260"/>
      <c r="AP545" s="3242">
        <v>0</v>
      </c>
      <c r="AQ545" s="3244"/>
      <c r="AR545" s="3244"/>
      <c r="AS545" s="3242" t="s">
        <v>3384</v>
      </c>
      <c r="AT545" s="3247">
        <f t="shared" si="55"/>
        <v>0</v>
      </c>
      <c r="AU545" s="3248">
        <f t="shared" si="56"/>
        <v>0</v>
      </c>
      <c r="AV545" s="3248">
        <v>0</v>
      </c>
      <c r="AW545" s="3247">
        <v>0</v>
      </c>
      <c r="AX545" s="3248">
        <v>0</v>
      </c>
      <c r="AY545" s="3248">
        <v>0</v>
      </c>
      <c r="AZ545" s="3247">
        <v>0</v>
      </c>
      <c r="BA545" s="3248">
        <v>0</v>
      </c>
      <c r="BB545" s="3248">
        <v>0</v>
      </c>
      <c r="BC545" s="3247">
        <v>0</v>
      </c>
      <c r="BD545" s="3248">
        <v>0</v>
      </c>
      <c r="BE545" s="3248">
        <v>0</v>
      </c>
      <c r="BF545" s="3248">
        <f t="shared" si="57"/>
        <v>0</v>
      </c>
      <c r="BG545" s="3248">
        <f t="shared" si="58"/>
        <v>0</v>
      </c>
      <c r="BH545" s="3249"/>
      <c r="BI545" s="3249"/>
    </row>
    <row r="546" spans="1:61" x14ac:dyDescent="0.3">
      <c r="A546" s="4197" t="s">
        <v>3384</v>
      </c>
      <c r="B546" s="3261"/>
      <c r="C546" s="3243">
        <v>0</v>
      </c>
      <c r="D546" s="3242">
        <v>0</v>
      </c>
      <c r="E546" s="3244"/>
      <c r="F546" s="3244"/>
      <c r="G546" s="3242">
        <v>0</v>
      </c>
      <c r="H546" s="3244"/>
      <c r="I546" s="3244"/>
      <c r="J546" s="3244"/>
      <c r="K546" s="3242">
        <v>0</v>
      </c>
      <c r="L546" s="3244"/>
      <c r="M546" s="3244"/>
      <c r="N546" s="3242" t="s">
        <v>3384</v>
      </c>
      <c r="O546" s="3239">
        <v>0</v>
      </c>
      <c r="P546" s="3242">
        <v>0</v>
      </c>
      <c r="Q546" s="3244"/>
      <c r="R546" s="3244"/>
      <c r="S546" s="3242">
        <v>0</v>
      </c>
      <c r="T546" s="3244"/>
      <c r="U546" s="3244"/>
      <c r="V546" s="3244"/>
      <c r="W546" s="3240">
        <v>0</v>
      </c>
      <c r="X546" s="3244"/>
      <c r="Y546" s="3244"/>
      <c r="Z546" s="3242" t="s">
        <v>3384</v>
      </c>
      <c r="AA546" s="3243">
        <v>0</v>
      </c>
      <c r="AB546" s="3242">
        <v>0</v>
      </c>
      <c r="AC546" s="3244"/>
      <c r="AD546" s="3244"/>
      <c r="AE546" s="3242">
        <v>0</v>
      </c>
      <c r="AF546" s="3259"/>
      <c r="AG546" s="3260"/>
      <c r="AH546" s="3250"/>
      <c r="AI546" s="4200"/>
      <c r="AJ546" s="3260"/>
      <c r="AK546" s="3260"/>
      <c r="AL546" s="3259"/>
      <c r="AM546" s="3260"/>
      <c r="AN546" s="3259"/>
      <c r="AO546" s="3260"/>
      <c r="AP546" s="3242">
        <v>0</v>
      </c>
      <c r="AQ546" s="3244"/>
      <c r="AR546" s="3244"/>
      <c r="AS546" s="3242" t="s">
        <v>3384</v>
      </c>
      <c r="AT546" s="3247">
        <f t="shared" si="55"/>
        <v>0</v>
      </c>
      <c r="AU546" s="3248">
        <f t="shared" si="56"/>
        <v>0</v>
      </c>
      <c r="AV546" s="3248">
        <v>0</v>
      </c>
      <c r="AW546" s="3247">
        <v>0</v>
      </c>
      <c r="AX546" s="3248">
        <v>0</v>
      </c>
      <c r="AY546" s="3248">
        <v>0</v>
      </c>
      <c r="AZ546" s="3247">
        <v>0</v>
      </c>
      <c r="BA546" s="3248">
        <v>0</v>
      </c>
      <c r="BB546" s="3248">
        <v>0</v>
      </c>
      <c r="BC546" s="3247">
        <v>0</v>
      </c>
      <c r="BD546" s="3248">
        <v>0</v>
      </c>
      <c r="BE546" s="3248">
        <v>0</v>
      </c>
      <c r="BF546" s="3248">
        <f t="shared" si="57"/>
        <v>0</v>
      </c>
      <c r="BG546" s="3248">
        <f t="shared" si="58"/>
        <v>0</v>
      </c>
      <c r="BH546" s="3249"/>
      <c r="BI546" s="3249"/>
    </row>
    <row r="547" spans="1:61" x14ac:dyDescent="0.3">
      <c r="A547" s="4197" t="s">
        <v>3384</v>
      </c>
      <c r="B547" s="3261"/>
      <c r="C547" s="3243">
        <v>0</v>
      </c>
      <c r="D547" s="3242">
        <v>0</v>
      </c>
      <c r="E547" s="3244"/>
      <c r="F547" s="3244"/>
      <c r="G547" s="3242">
        <v>0</v>
      </c>
      <c r="H547" s="3244"/>
      <c r="I547" s="3244"/>
      <c r="J547" s="3244"/>
      <c r="K547" s="3242">
        <v>0</v>
      </c>
      <c r="L547" s="3244"/>
      <c r="M547" s="3244"/>
      <c r="N547" s="3242" t="s">
        <v>3384</v>
      </c>
      <c r="O547" s="3239">
        <v>0</v>
      </c>
      <c r="P547" s="3242">
        <v>0</v>
      </c>
      <c r="Q547" s="3244"/>
      <c r="R547" s="3244"/>
      <c r="S547" s="3242">
        <v>0</v>
      </c>
      <c r="T547" s="3244"/>
      <c r="U547" s="3244"/>
      <c r="V547" s="3244"/>
      <c r="W547" s="3240">
        <v>0</v>
      </c>
      <c r="X547" s="3244"/>
      <c r="Y547" s="3244"/>
      <c r="Z547" s="3242" t="s">
        <v>3384</v>
      </c>
      <c r="AA547" s="3243">
        <v>0</v>
      </c>
      <c r="AB547" s="3242">
        <v>0</v>
      </c>
      <c r="AC547" s="3244"/>
      <c r="AD547" s="3244"/>
      <c r="AE547" s="3242">
        <v>0</v>
      </c>
      <c r="AF547" s="3259"/>
      <c r="AG547" s="3260"/>
      <c r="AH547" s="3250"/>
      <c r="AI547" s="4200"/>
      <c r="AJ547" s="3260"/>
      <c r="AK547" s="3260"/>
      <c r="AL547" s="3259"/>
      <c r="AM547" s="3260"/>
      <c r="AN547" s="3259"/>
      <c r="AO547" s="3260"/>
      <c r="AP547" s="3242">
        <v>0</v>
      </c>
      <c r="AQ547" s="3244"/>
      <c r="AR547" s="3244"/>
      <c r="AS547" s="3242" t="s">
        <v>3384</v>
      </c>
      <c r="AT547" s="3247">
        <f t="shared" si="55"/>
        <v>0</v>
      </c>
      <c r="AU547" s="3248">
        <f t="shared" si="56"/>
        <v>0</v>
      </c>
      <c r="AV547" s="3248">
        <v>0</v>
      </c>
      <c r="AW547" s="3247">
        <v>0</v>
      </c>
      <c r="AX547" s="3248">
        <v>0</v>
      </c>
      <c r="AY547" s="3248">
        <v>0</v>
      </c>
      <c r="AZ547" s="3247">
        <v>0</v>
      </c>
      <c r="BA547" s="3248">
        <v>0</v>
      </c>
      <c r="BB547" s="3248">
        <v>0</v>
      </c>
      <c r="BC547" s="3247">
        <v>0</v>
      </c>
      <c r="BD547" s="3248">
        <v>0</v>
      </c>
      <c r="BE547" s="3248">
        <v>0</v>
      </c>
      <c r="BF547" s="3248">
        <f t="shared" si="57"/>
        <v>0</v>
      </c>
      <c r="BG547" s="3248">
        <f t="shared" si="58"/>
        <v>0</v>
      </c>
      <c r="BH547" s="3249"/>
      <c r="BI547" s="3249"/>
    </row>
    <row r="548" spans="1:61" x14ac:dyDescent="0.3">
      <c r="A548" s="4197" t="s">
        <v>3384</v>
      </c>
      <c r="B548" s="3261"/>
      <c r="C548" s="3243">
        <v>0</v>
      </c>
      <c r="D548" s="3242">
        <v>0</v>
      </c>
      <c r="E548" s="3244"/>
      <c r="F548" s="3244"/>
      <c r="G548" s="3242">
        <v>0</v>
      </c>
      <c r="H548" s="3244"/>
      <c r="I548" s="3244"/>
      <c r="J548" s="3244"/>
      <c r="K548" s="3242">
        <v>0</v>
      </c>
      <c r="L548" s="3244"/>
      <c r="M548" s="3244"/>
      <c r="N548" s="3242" t="s">
        <v>3384</v>
      </c>
      <c r="O548" s="3239">
        <v>0</v>
      </c>
      <c r="P548" s="3242">
        <v>0</v>
      </c>
      <c r="Q548" s="3244"/>
      <c r="R548" s="3244"/>
      <c r="S548" s="3242">
        <v>0</v>
      </c>
      <c r="T548" s="3244"/>
      <c r="U548" s="3244"/>
      <c r="V548" s="3244"/>
      <c r="W548" s="3240">
        <v>0</v>
      </c>
      <c r="X548" s="3244"/>
      <c r="Y548" s="3244"/>
      <c r="Z548" s="3242" t="s">
        <v>3384</v>
      </c>
      <c r="AA548" s="3243">
        <v>0</v>
      </c>
      <c r="AB548" s="3242">
        <v>0</v>
      </c>
      <c r="AC548" s="3244"/>
      <c r="AD548" s="3244"/>
      <c r="AE548" s="3242">
        <v>0</v>
      </c>
      <c r="AF548" s="3259"/>
      <c r="AG548" s="3260"/>
      <c r="AH548" s="3250"/>
      <c r="AI548" s="4200"/>
      <c r="AJ548" s="3260"/>
      <c r="AK548" s="3260"/>
      <c r="AL548" s="3259"/>
      <c r="AM548" s="3260"/>
      <c r="AN548" s="3259"/>
      <c r="AO548" s="3260"/>
      <c r="AP548" s="3242">
        <v>0</v>
      </c>
      <c r="AQ548" s="3244"/>
      <c r="AR548" s="3244"/>
      <c r="AS548" s="3242" t="s">
        <v>3384</v>
      </c>
      <c r="AT548" s="3247">
        <f t="shared" si="55"/>
        <v>0</v>
      </c>
      <c r="AU548" s="3248">
        <f t="shared" si="56"/>
        <v>0</v>
      </c>
      <c r="AV548" s="3248">
        <v>0</v>
      </c>
      <c r="AW548" s="3247">
        <v>0</v>
      </c>
      <c r="AX548" s="3248">
        <v>0</v>
      </c>
      <c r="AY548" s="3248">
        <v>0</v>
      </c>
      <c r="AZ548" s="3247">
        <v>0</v>
      </c>
      <c r="BA548" s="3248">
        <v>0</v>
      </c>
      <c r="BB548" s="3248">
        <v>0</v>
      </c>
      <c r="BC548" s="3247">
        <v>0</v>
      </c>
      <c r="BD548" s="3248">
        <v>0</v>
      </c>
      <c r="BE548" s="3248">
        <v>0</v>
      </c>
      <c r="BF548" s="3248">
        <f t="shared" si="57"/>
        <v>0</v>
      </c>
      <c r="BG548" s="3248">
        <f t="shared" si="58"/>
        <v>0</v>
      </c>
      <c r="BH548" s="3249"/>
      <c r="BI548" s="3249"/>
    </row>
    <row r="549" spans="1:61" x14ac:dyDescent="0.3">
      <c r="A549" s="4197" t="s">
        <v>3384</v>
      </c>
      <c r="B549" s="3261"/>
      <c r="C549" s="3243">
        <v>0</v>
      </c>
      <c r="D549" s="3242">
        <v>0</v>
      </c>
      <c r="E549" s="3244"/>
      <c r="F549" s="3244"/>
      <c r="G549" s="3242">
        <v>0</v>
      </c>
      <c r="H549" s="3244"/>
      <c r="I549" s="3244"/>
      <c r="J549" s="3244"/>
      <c r="K549" s="3242">
        <v>0</v>
      </c>
      <c r="L549" s="3244"/>
      <c r="M549" s="3244"/>
      <c r="N549" s="3242" t="s">
        <v>3384</v>
      </c>
      <c r="O549" s="3239">
        <v>0</v>
      </c>
      <c r="P549" s="3242">
        <v>0</v>
      </c>
      <c r="Q549" s="3244"/>
      <c r="R549" s="3244"/>
      <c r="S549" s="3242">
        <v>0</v>
      </c>
      <c r="T549" s="3244"/>
      <c r="U549" s="3244"/>
      <c r="V549" s="3244"/>
      <c r="W549" s="3240">
        <v>0</v>
      </c>
      <c r="X549" s="3244"/>
      <c r="Y549" s="3244"/>
      <c r="Z549" s="3242" t="s">
        <v>3384</v>
      </c>
      <c r="AA549" s="3243">
        <v>0</v>
      </c>
      <c r="AB549" s="3242">
        <v>0</v>
      </c>
      <c r="AC549" s="3244"/>
      <c r="AD549" s="3244"/>
      <c r="AE549" s="3242">
        <v>0</v>
      </c>
      <c r="AF549" s="3259"/>
      <c r="AG549" s="3260"/>
      <c r="AH549" s="3250"/>
      <c r="AI549" s="4200"/>
      <c r="AJ549" s="3260"/>
      <c r="AK549" s="3260"/>
      <c r="AL549" s="3259"/>
      <c r="AM549" s="3260"/>
      <c r="AN549" s="3259"/>
      <c r="AO549" s="3260"/>
      <c r="AP549" s="3242">
        <v>0</v>
      </c>
      <c r="AQ549" s="3244"/>
      <c r="AR549" s="3244"/>
      <c r="AS549" s="3242" t="s">
        <v>3384</v>
      </c>
      <c r="AT549" s="3247">
        <f t="shared" si="55"/>
        <v>0</v>
      </c>
      <c r="AU549" s="3248">
        <f t="shared" si="56"/>
        <v>0</v>
      </c>
      <c r="AV549" s="3248">
        <v>0</v>
      </c>
      <c r="AW549" s="3247">
        <v>0</v>
      </c>
      <c r="AX549" s="3248">
        <v>0</v>
      </c>
      <c r="AY549" s="3248">
        <v>0</v>
      </c>
      <c r="AZ549" s="3247">
        <v>0</v>
      </c>
      <c r="BA549" s="3248">
        <v>0</v>
      </c>
      <c r="BB549" s="3248">
        <v>0</v>
      </c>
      <c r="BC549" s="3247">
        <v>0</v>
      </c>
      <c r="BD549" s="3248">
        <v>0</v>
      </c>
      <c r="BE549" s="3248">
        <v>0</v>
      </c>
      <c r="BF549" s="3248">
        <f t="shared" si="57"/>
        <v>0</v>
      </c>
      <c r="BG549" s="3248">
        <f t="shared" si="58"/>
        <v>0</v>
      </c>
      <c r="BH549" s="3249"/>
      <c r="BI549" s="3249"/>
    </row>
    <row r="550" spans="1:61" x14ac:dyDescent="0.3">
      <c r="A550" s="4197" t="s">
        <v>3384</v>
      </c>
      <c r="B550" s="3261"/>
      <c r="C550" s="3243">
        <v>0</v>
      </c>
      <c r="D550" s="3242">
        <v>0</v>
      </c>
      <c r="E550" s="3244"/>
      <c r="F550" s="3244"/>
      <c r="G550" s="3242">
        <v>0</v>
      </c>
      <c r="H550" s="3244"/>
      <c r="I550" s="3244"/>
      <c r="J550" s="3244"/>
      <c r="K550" s="3242">
        <v>0</v>
      </c>
      <c r="L550" s="3244"/>
      <c r="M550" s="3244"/>
      <c r="N550" s="3242" t="s">
        <v>3384</v>
      </c>
      <c r="O550" s="3239">
        <v>0</v>
      </c>
      <c r="P550" s="3242">
        <v>0</v>
      </c>
      <c r="Q550" s="3244"/>
      <c r="R550" s="3244"/>
      <c r="S550" s="3242">
        <v>0</v>
      </c>
      <c r="T550" s="3244"/>
      <c r="U550" s="3244"/>
      <c r="V550" s="3244"/>
      <c r="W550" s="3240">
        <v>0</v>
      </c>
      <c r="X550" s="3244"/>
      <c r="Y550" s="3244"/>
      <c r="Z550" s="3242" t="s">
        <v>3384</v>
      </c>
      <c r="AA550" s="3243">
        <v>0</v>
      </c>
      <c r="AB550" s="3242">
        <v>0</v>
      </c>
      <c r="AC550" s="3244"/>
      <c r="AD550" s="3244"/>
      <c r="AE550" s="3242">
        <v>0</v>
      </c>
      <c r="AF550" s="3259"/>
      <c r="AG550" s="3260"/>
      <c r="AH550" s="3250"/>
      <c r="AI550" s="4200"/>
      <c r="AJ550" s="3260"/>
      <c r="AK550" s="3260"/>
      <c r="AL550" s="3259"/>
      <c r="AM550" s="3260"/>
      <c r="AN550" s="3259"/>
      <c r="AO550" s="3260"/>
      <c r="AP550" s="3242">
        <v>0</v>
      </c>
      <c r="AQ550" s="3244"/>
      <c r="AR550" s="3244"/>
      <c r="AS550" s="3242" t="s">
        <v>3384</v>
      </c>
      <c r="AT550" s="3247">
        <f t="shared" si="55"/>
        <v>0</v>
      </c>
      <c r="AU550" s="3248">
        <f t="shared" si="56"/>
        <v>0</v>
      </c>
      <c r="AV550" s="3248">
        <v>0</v>
      </c>
      <c r="AW550" s="3247">
        <v>0</v>
      </c>
      <c r="AX550" s="3248">
        <v>0</v>
      </c>
      <c r="AY550" s="3248">
        <v>0</v>
      </c>
      <c r="AZ550" s="3247">
        <v>0</v>
      </c>
      <c r="BA550" s="3248">
        <v>0</v>
      </c>
      <c r="BB550" s="3248">
        <v>0</v>
      </c>
      <c r="BC550" s="3247">
        <v>0</v>
      </c>
      <c r="BD550" s="3248">
        <v>0</v>
      </c>
      <c r="BE550" s="3248">
        <v>0</v>
      </c>
      <c r="BF550" s="3248">
        <f t="shared" si="57"/>
        <v>0</v>
      </c>
      <c r="BG550" s="3248">
        <f t="shared" si="58"/>
        <v>0</v>
      </c>
      <c r="BH550" s="3249"/>
      <c r="BI550" s="3249"/>
    </row>
    <row r="551" spans="1:61" x14ac:dyDescent="0.3">
      <c r="A551" s="4197" t="s">
        <v>3384</v>
      </c>
      <c r="B551" s="3261"/>
      <c r="C551" s="3243">
        <v>0</v>
      </c>
      <c r="D551" s="3242">
        <v>0</v>
      </c>
      <c r="E551" s="3244"/>
      <c r="F551" s="3244"/>
      <c r="G551" s="3242">
        <v>0</v>
      </c>
      <c r="H551" s="3244"/>
      <c r="I551" s="3244"/>
      <c r="J551" s="3244"/>
      <c r="K551" s="3242">
        <v>0</v>
      </c>
      <c r="L551" s="3244"/>
      <c r="M551" s="3244"/>
      <c r="N551" s="3242" t="s">
        <v>3384</v>
      </c>
      <c r="O551" s="3239">
        <v>0</v>
      </c>
      <c r="P551" s="3242">
        <v>0</v>
      </c>
      <c r="Q551" s="3244"/>
      <c r="R551" s="3244"/>
      <c r="S551" s="3242">
        <v>0</v>
      </c>
      <c r="T551" s="3244"/>
      <c r="U551" s="3244"/>
      <c r="V551" s="3244"/>
      <c r="W551" s="3240">
        <v>0</v>
      </c>
      <c r="X551" s="3244"/>
      <c r="Y551" s="3244"/>
      <c r="Z551" s="3242" t="s">
        <v>3384</v>
      </c>
      <c r="AA551" s="3243">
        <v>0</v>
      </c>
      <c r="AB551" s="3242">
        <v>0</v>
      </c>
      <c r="AC551" s="3244"/>
      <c r="AD551" s="3244"/>
      <c r="AE551" s="3242">
        <v>0</v>
      </c>
      <c r="AF551" s="3259"/>
      <c r="AG551" s="3260"/>
      <c r="AH551" s="3250"/>
      <c r="AI551" s="4200"/>
      <c r="AJ551" s="3260"/>
      <c r="AK551" s="3260"/>
      <c r="AL551" s="3259"/>
      <c r="AM551" s="3260"/>
      <c r="AN551" s="3259"/>
      <c r="AO551" s="3260"/>
      <c r="AP551" s="3242">
        <v>0</v>
      </c>
      <c r="AQ551" s="3244"/>
      <c r="AR551" s="3244"/>
      <c r="AS551" s="3242" t="s">
        <v>3384</v>
      </c>
      <c r="AT551" s="3247">
        <f t="shared" si="55"/>
        <v>0</v>
      </c>
      <c r="AU551" s="3248">
        <f t="shared" si="56"/>
        <v>0</v>
      </c>
      <c r="AV551" s="3248">
        <v>0</v>
      </c>
      <c r="AW551" s="3247">
        <v>0</v>
      </c>
      <c r="AX551" s="3248">
        <v>0</v>
      </c>
      <c r="AY551" s="3248">
        <v>0</v>
      </c>
      <c r="AZ551" s="3247">
        <v>0</v>
      </c>
      <c r="BA551" s="3248">
        <v>0</v>
      </c>
      <c r="BB551" s="3248">
        <v>0</v>
      </c>
      <c r="BC551" s="3247">
        <v>0</v>
      </c>
      <c r="BD551" s="3248">
        <v>0</v>
      </c>
      <c r="BE551" s="3248">
        <v>0</v>
      </c>
      <c r="BF551" s="3248">
        <f t="shared" si="57"/>
        <v>0</v>
      </c>
      <c r="BG551" s="3248">
        <f t="shared" si="58"/>
        <v>0</v>
      </c>
      <c r="BH551" s="3249"/>
      <c r="BI551" s="3249"/>
    </row>
    <row r="552" spans="1:61" x14ac:dyDescent="0.3">
      <c r="A552" s="4197" t="s">
        <v>3384</v>
      </c>
      <c r="B552" s="3261"/>
      <c r="C552" s="3243">
        <v>0</v>
      </c>
      <c r="D552" s="3242">
        <v>0</v>
      </c>
      <c r="E552" s="3244"/>
      <c r="F552" s="3244"/>
      <c r="G552" s="3242">
        <v>0</v>
      </c>
      <c r="H552" s="3244"/>
      <c r="I552" s="3244"/>
      <c r="J552" s="3244"/>
      <c r="K552" s="3242">
        <v>0</v>
      </c>
      <c r="L552" s="3244"/>
      <c r="M552" s="3244"/>
      <c r="N552" s="3242" t="s">
        <v>3384</v>
      </c>
      <c r="O552" s="3239">
        <v>0</v>
      </c>
      <c r="P552" s="3242">
        <v>0</v>
      </c>
      <c r="Q552" s="3244"/>
      <c r="R552" s="3244"/>
      <c r="S552" s="3242">
        <v>0</v>
      </c>
      <c r="T552" s="3244"/>
      <c r="U552" s="3244"/>
      <c r="V552" s="3244"/>
      <c r="W552" s="3240">
        <v>0</v>
      </c>
      <c r="X552" s="3244"/>
      <c r="Y552" s="3244"/>
      <c r="Z552" s="3242" t="s">
        <v>3384</v>
      </c>
      <c r="AA552" s="3243">
        <v>0</v>
      </c>
      <c r="AB552" s="3242">
        <v>0</v>
      </c>
      <c r="AC552" s="3244"/>
      <c r="AD552" s="3244"/>
      <c r="AE552" s="3242">
        <v>0</v>
      </c>
      <c r="AF552" s="3259"/>
      <c r="AG552" s="3260"/>
      <c r="AH552" s="3250"/>
      <c r="AI552" s="4200"/>
      <c r="AJ552" s="3260"/>
      <c r="AK552" s="3260"/>
      <c r="AL552" s="3259"/>
      <c r="AM552" s="3260"/>
      <c r="AN552" s="3259"/>
      <c r="AO552" s="3260"/>
      <c r="AP552" s="3242">
        <v>0</v>
      </c>
      <c r="AQ552" s="3244"/>
      <c r="AR552" s="3244"/>
      <c r="AS552" s="3242" t="s">
        <v>3384</v>
      </c>
      <c r="AT552" s="3247">
        <f t="shared" si="55"/>
        <v>0</v>
      </c>
      <c r="AU552" s="3248">
        <f t="shared" si="56"/>
        <v>0</v>
      </c>
      <c r="AV552" s="3248">
        <v>0</v>
      </c>
      <c r="AW552" s="3247">
        <v>0</v>
      </c>
      <c r="AX552" s="3248">
        <v>0</v>
      </c>
      <c r="AY552" s="3248">
        <v>0</v>
      </c>
      <c r="AZ552" s="3247">
        <v>0</v>
      </c>
      <c r="BA552" s="3248">
        <v>0</v>
      </c>
      <c r="BB552" s="3248">
        <v>0</v>
      </c>
      <c r="BC552" s="3247">
        <v>0</v>
      </c>
      <c r="BD552" s="3248">
        <v>0</v>
      </c>
      <c r="BE552" s="3248">
        <v>0</v>
      </c>
      <c r="BF552" s="3248">
        <f t="shared" si="57"/>
        <v>0</v>
      </c>
      <c r="BG552" s="3248">
        <f t="shared" si="58"/>
        <v>0</v>
      </c>
      <c r="BH552" s="3249"/>
      <c r="BI552" s="3249"/>
    </row>
    <row r="553" spans="1:61" x14ac:dyDescent="0.3">
      <c r="A553" s="4197" t="s">
        <v>3384</v>
      </c>
      <c r="B553" s="3261"/>
      <c r="C553" s="3243">
        <v>0</v>
      </c>
      <c r="D553" s="3242">
        <v>0</v>
      </c>
      <c r="E553" s="3244"/>
      <c r="F553" s="3244"/>
      <c r="G553" s="3242">
        <v>0</v>
      </c>
      <c r="H553" s="3244"/>
      <c r="I553" s="3244"/>
      <c r="J553" s="3244"/>
      <c r="K553" s="3242">
        <v>0</v>
      </c>
      <c r="L553" s="3244"/>
      <c r="M553" s="3244"/>
      <c r="N553" s="3242" t="s">
        <v>3384</v>
      </c>
      <c r="O553" s="3239">
        <v>0</v>
      </c>
      <c r="P553" s="3242">
        <v>0</v>
      </c>
      <c r="Q553" s="3244"/>
      <c r="R553" s="3244"/>
      <c r="S553" s="3242">
        <v>0</v>
      </c>
      <c r="T553" s="3244"/>
      <c r="U553" s="3244"/>
      <c r="V553" s="3244"/>
      <c r="W553" s="3240">
        <v>0</v>
      </c>
      <c r="X553" s="3244"/>
      <c r="Y553" s="3244"/>
      <c r="Z553" s="3242" t="s">
        <v>3384</v>
      </c>
      <c r="AA553" s="3243">
        <v>0</v>
      </c>
      <c r="AB553" s="3242">
        <v>0</v>
      </c>
      <c r="AC553" s="3244"/>
      <c r="AD553" s="3244"/>
      <c r="AE553" s="3242">
        <v>0</v>
      </c>
      <c r="AF553" s="3259"/>
      <c r="AG553" s="3260"/>
      <c r="AH553" s="3250"/>
      <c r="AI553" s="4200"/>
      <c r="AJ553" s="3260"/>
      <c r="AK553" s="3260"/>
      <c r="AL553" s="3259"/>
      <c r="AM553" s="3260"/>
      <c r="AN553" s="3259"/>
      <c r="AO553" s="3260"/>
      <c r="AP553" s="3242">
        <v>0</v>
      </c>
      <c r="AQ553" s="3244"/>
      <c r="AR553" s="3244"/>
      <c r="AS553" s="3242" t="s">
        <v>3384</v>
      </c>
      <c r="AT553" s="3247">
        <f t="shared" si="55"/>
        <v>0</v>
      </c>
      <c r="AU553" s="3248">
        <f t="shared" si="56"/>
        <v>0</v>
      </c>
      <c r="AV553" s="3248">
        <v>0</v>
      </c>
      <c r="AW553" s="3247">
        <v>0</v>
      </c>
      <c r="AX553" s="3248">
        <v>0</v>
      </c>
      <c r="AY553" s="3248">
        <v>0</v>
      </c>
      <c r="AZ553" s="3247">
        <v>0</v>
      </c>
      <c r="BA553" s="3248">
        <v>0</v>
      </c>
      <c r="BB553" s="3248">
        <v>0</v>
      </c>
      <c r="BC553" s="3247">
        <v>0</v>
      </c>
      <c r="BD553" s="3248">
        <v>0</v>
      </c>
      <c r="BE553" s="3248">
        <v>0</v>
      </c>
      <c r="BF553" s="3248">
        <f t="shared" si="57"/>
        <v>0</v>
      </c>
      <c r="BG553" s="3248">
        <f t="shared" si="58"/>
        <v>0</v>
      </c>
      <c r="BH553" s="3249"/>
      <c r="BI553" s="3249"/>
    </row>
    <row r="554" spans="1:61" x14ac:dyDescent="0.3">
      <c r="A554" s="4197" t="s">
        <v>3384</v>
      </c>
      <c r="B554" s="3261"/>
      <c r="C554" s="3243">
        <v>0</v>
      </c>
      <c r="D554" s="3242">
        <v>0</v>
      </c>
      <c r="E554" s="3244"/>
      <c r="F554" s="3244"/>
      <c r="G554" s="3242">
        <v>0</v>
      </c>
      <c r="H554" s="3244"/>
      <c r="I554" s="3244"/>
      <c r="J554" s="3244"/>
      <c r="K554" s="3242">
        <v>0</v>
      </c>
      <c r="L554" s="3244"/>
      <c r="M554" s="3244"/>
      <c r="N554" s="3242" t="s">
        <v>3384</v>
      </c>
      <c r="O554" s="3239">
        <v>0</v>
      </c>
      <c r="P554" s="3242">
        <v>0</v>
      </c>
      <c r="Q554" s="3244"/>
      <c r="R554" s="3244"/>
      <c r="S554" s="3242">
        <v>0</v>
      </c>
      <c r="T554" s="3244"/>
      <c r="U554" s="3244"/>
      <c r="V554" s="3244"/>
      <c r="W554" s="3240">
        <v>0</v>
      </c>
      <c r="X554" s="3244"/>
      <c r="Y554" s="3244"/>
      <c r="Z554" s="3242" t="s">
        <v>3384</v>
      </c>
      <c r="AA554" s="3243">
        <v>0</v>
      </c>
      <c r="AB554" s="3242">
        <v>0</v>
      </c>
      <c r="AC554" s="3244"/>
      <c r="AD554" s="3244"/>
      <c r="AE554" s="3242">
        <v>0</v>
      </c>
      <c r="AF554" s="3259"/>
      <c r="AG554" s="3260"/>
      <c r="AH554" s="3250"/>
      <c r="AI554" s="4200"/>
      <c r="AJ554" s="3260"/>
      <c r="AK554" s="3260"/>
      <c r="AL554" s="3259"/>
      <c r="AM554" s="3260"/>
      <c r="AN554" s="3259"/>
      <c r="AO554" s="3260"/>
      <c r="AP554" s="3242">
        <v>0</v>
      </c>
      <c r="AQ554" s="3244"/>
      <c r="AR554" s="3244"/>
      <c r="AS554" s="3242" t="s">
        <v>3384</v>
      </c>
      <c r="AT554" s="3247">
        <f t="shared" si="55"/>
        <v>0</v>
      </c>
      <c r="AU554" s="3248">
        <f t="shared" si="56"/>
        <v>0</v>
      </c>
      <c r="AV554" s="3248">
        <v>0</v>
      </c>
      <c r="AW554" s="3247">
        <v>0</v>
      </c>
      <c r="AX554" s="3248">
        <v>0</v>
      </c>
      <c r="AY554" s="3248">
        <v>0</v>
      </c>
      <c r="AZ554" s="3247">
        <v>0</v>
      </c>
      <c r="BA554" s="3248">
        <v>0</v>
      </c>
      <c r="BB554" s="3248">
        <v>0</v>
      </c>
      <c r="BC554" s="3247">
        <v>0</v>
      </c>
      <c r="BD554" s="3248">
        <v>0</v>
      </c>
      <c r="BE554" s="3248">
        <v>0</v>
      </c>
      <c r="BF554" s="3248">
        <f t="shared" si="57"/>
        <v>0</v>
      </c>
      <c r="BG554" s="3248">
        <f t="shared" si="58"/>
        <v>0</v>
      </c>
      <c r="BH554" s="3249"/>
      <c r="BI554" s="3249"/>
    </row>
    <row r="555" spans="1:61" x14ac:dyDescent="0.3">
      <c r="A555" s="4197" t="s">
        <v>3384</v>
      </c>
      <c r="B555" s="3261"/>
      <c r="C555" s="3243">
        <v>0</v>
      </c>
      <c r="D555" s="3242">
        <v>0</v>
      </c>
      <c r="E555" s="3244"/>
      <c r="F555" s="3244"/>
      <c r="G555" s="3242">
        <v>0</v>
      </c>
      <c r="H555" s="3244"/>
      <c r="I555" s="3244"/>
      <c r="J555" s="3244"/>
      <c r="K555" s="3242">
        <v>0</v>
      </c>
      <c r="L555" s="3244"/>
      <c r="M555" s="3244"/>
      <c r="N555" s="3242" t="s">
        <v>3384</v>
      </c>
      <c r="O555" s="3239">
        <v>0</v>
      </c>
      <c r="P555" s="3242">
        <v>0</v>
      </c>
      <c r="Q555" s="3244"/>
      <c r="R555" s="3244"/>
      <c r="S555" s="3242">
        <v>0</v>
      </c>
      <c r="T555" s="3244"/>
      <c r="U555" s="3244"/>
      <c r="V555" s="3244"/>
      <c r="W555" s="3240">
        <v>0</v>
      </c>
      <c r="X555" s="3244"/>
      <c r="Y555" s="3244"/>
      <c r="Z555" s="3242" t="s">
        <v>3384</v>
      </c>
      <c r="AA555" s="3243">
        <v>0</v>
      </c>
      <c r="AB555" s="3242">
        <v>0</v>
      </c>
      <c r="AC555" s="3244"/>
      <c r="AD555" s="3244"/>
      <c r="AE555" s="3242">
        <v>0</v>
      </c>
      <c r="AF555" s="3259"/>
      <c r="AG555" s="3260"/>
      <c r="AH555" s="3250"/>
      <c r="AI555" s="4200"/>
      <c r="AJ555" s="3260"/>
      <c r="AK555" s="3260"/>
      <c r="AL555" s="3259"/>
      <c r="AM555" s="3260"/>
      <c r="AN555" s="3259"/>
      <c r="AO555" s="3260"/>
      <c r="AP555" s="3242">
        <v>0</v>
      </c>
      <c r="AQ555" s="3244"/>
      <c r="AR555" s="3244"/>
      <c r="AS555" s="3242" t="s">
        <v>3384</v>
      </c>
      <c r="AT555" s="3247">
        <f t="shared" si="55"/>
        <v>0</v>
      </c>
      <c r="AU555" s="3248">
        <f t="shared" si="56"/>
        <v>0</v>
      </c>
      <c r="AV555" s="3248">
        <v>0</v>
      </c>
      <c r="AW555" s="3247">
        <v>0</v>
      </c>
      <c r="AX555" s="3248">
        <v>0</v>
      </c>
      <c r="AY555" s="3248">
        <v>0</v>
      </c>
      <c r="AZ555" s="3247">
        <v>0</v>
      </c>
      <c r="BA555" s="3248">
        <v>0</v>
      </c>
      <c r="BB555" s="3248">
        <v>0</v>
      </c>
      <c r="BC555" s="3247">
        <v>0</v>
      </c>
      <c r="BD555" s="3248">
        <v>0</v>
      </c>
      <c r="BE555" s="3248">
        <v>0</v>
      </c>
      <c r="BF555" s="3248">
        <f t="shared" si="57"/>
        <v>0</v>
      </c>
      <c r="BG555" s="3248">
        <f t="shared" si="58"/>
        <v>0</v>
      </c>
      <c r="BH555" s="3249"/>
      <c r="BI555" s="3249"/>
    </row>
    <row r="556" spans="1:61" x14ac:dyDescent="0.3">
      <c r="A556" s="4197" t="s">
        <v>3384</v>
      </c>
      <c r="B556" s="3261"/>
      <c r="C556" s="3243">
        <v>0</v>
      </c>
      <c r="D556" s="3242">
        <v>0</v>
      </c>
      <c r="E556" s="3244"/>
      <c r="F556" s="3244"/>
      <c r="G556" s="3242">
        <v>0</v>
      </c>
      <c r="H556" s="3244"/>
      <c r="I556" s="3244"/>
      <c r="J556" s="3244"/>
      <c r="K556" s="3242">
        <v>0</v>
      </c>
      <c r="L556" s="3244"/>
      <c r="M556" s="3244"/>
      <c r="N556" s="3242" t="s">
        <v>3384</v>
      </c>
      <c r="O556" s="3239">
        <v>0</v>
      </c>
      <c r="P556" s="3242">
        <v>0</v>
      </c>
      <c r="Q556" s="3244"/>
      <c r="R556" s="3244"/>
      <c r="S556" s="3242">
        <v>0</v>
      </c>
      <c r="T556" s="3244"/>
      <c r="U556" s="3244"/>
      <c r="V556" s="3244"/>
      <c r="W556" s="3240">
        <v>0</v>
      </c>
      <c r="X556" s="3244"/>
      <c r="Y556" s="3244"/>
      <c r="Z556" s="3242" t="s">
        <v>3384</v>
      </c>
      <c r="AA556" s="3243">
        <v>0</v>
      </c>
      <c r="AB556" s="3242">
        <v>0</v>
      </c>
      <c r="AC556" s="3244"/>
      <c r="AD556" s="3244"/>
      <c r="AE556" s="3242">
        <v>0</v>
      </c>
      <c r="AF556" s="3259"/>
      <c r="AG556" s="3260"/>
      <c r="AH556" s="3250"/>
      <c r="AI556" s="4200"/>
      <c r="AJ556" s="3260"/>
      <c r="AK556" s="3260"/>
      <c r="AL556" s="3259"/>
      <c r="AM556" s="3260"/>
      <c r="AN556" s="3259"/>
      <c r="AO556" s="3260"/>
      <c r="AP556" s="3242">
        <v>0</v>
      </c>
      <c r="AQ556" s="3244"/>
      <c r="AR556" s="3244"/>
      <c r="AS556" s="3242" t="s">
        <v>3384</v>
      </c>
      <c r="AT556" s="3247">
        <f t="shared" si="55"/>
        <v>0</v>
      </c>
      <c r="AU556" s="3248">
        <f t="shared" si="56"/>
        <v>0</v>
      </c>
      <c r="AV556" s="3248">
        <v>0</v>
      </c>
      <c r="AW556" s="3247">
        <v>0</v>
      </c>
      <c r="AX556" s="3248">
        <v>0</v>
      </c>
      <c r="AY556" s="3248">
        <v>0</v>
      </c>
      <c r="AZ556" s="3247">
        <v>0</v>
      </c>
      <c r="BA556" s="3248">
        <v>0</v>
      </c>
      <c r="BB556" s="3248">
        <v>0</v>
      </c>
      <c r="BC556" s="3247">
        <v>0</v>
      </c>
      <c r="BD556" s="3248">
        <v>0</v>
      </c>
      <c r="BE556" s="3248">
        <v>0</v>
      </c>
      <c r="BF556" s="3248">
        <f t="shared" si="57"/>
        <v>0</v>
      </c>
      <c r="BG556" s="3248">
        <f t="shared" si="58"/>
        <v>0</v>
      </c>
      <c r="BH556" s="3249"/>
      <c r="BI556" s="3249"/>
    </row>
    <row r="557" spans="1:61" x14ac:dyDescent="0.3">
      <c r="A557" s="4197" t="s">
        <v>3384</v>
      </c>
      <c r="B557" s="3261"/>
      <c r="C557" s="3243">
        <v>0</v>
      </c>
      <c r="D557" s="3242">
        <v>0</v>
      </c>
      <c r="E557" s="3244"/>
      <c r="F557" s="3244"/>
      <c r="G557" s="3242">
        <v>0</v>
      </c>
      <c r="H557" s="3244"/>
      <c r="I557" s="3244"/>
      <c r="J557" s="3244"/>
      <c r="K557" s="3242">
        <v>0</v>
      </c>
      <c r="L557" s="3244"/>
      <c r="M557" s="3244"/>
      <c r="N557" s="3242" t="s">
        <v>3384</v>
      </c>
      <c r="O557" s="3239">
        <v>0</v>
      </c>
      <c r="P557" s="3242">
        <v>0</v>
      </c>
      <c r="Q557" s="3244"/>
      <c r="R557" s="3244"/>
      <c r="S557" s="3242">
        <v>0</v>
      </c>
      <c r="T557" s="3244"/>
      <c r="U557" s="3244"/>
      <c r="V557" s="3244"/>
      <c r="W557" s="3240">
        <v>0</v>
      </c>
      <c r="X557" s="3244"/>
      <c r="Y557" s="3244"/>
      <c r="Z557" s="3242" t="s">
        <v>3384</v>
      </c>
      <c r="AA557" s="3243">
        <v>0</v>
      </c>
      <c r="AB557" s="3242">
        <v>0</v>
      </c>
      <c r="AC557" s="3244"/>
      <c r="AD557" s="3244"/>
      <c r="AE557" s="3242">
        <v>0</v>
      </c>
      <c r="AF557" s="3259"/>
      <c r="AG557" s="3260"/>
      <c r="AH557" s="3250"/>
      <c r="AI557" s="4200"/>
      <c r="AJ557" s="3260"/>
      <c r="AK557" s="3260"/>
      <c r="AL557" s="3259"/>
      <c r="AM557" s="3260"/>
      <c r="AN557" s="3259"/>
      <c r="AO557" s="3260"/>
      <c r="AP557" s="3242">
        <v>0</v>
      </c>
      <c r="AQ557" s="3244"/>
      <c r="AR557" s="3244"/>
      <c r="AS557" s="3242" t="s">
        <v>3384</v>
      </c>
      <c r="AT557" s="3247">
        <f t="shared" si="55"/>
        <v>0</v>
      </c>
      <c r="AU557" s="3248">
        <f t="shared" si="56"/>
        <v>0</v>
      </c>
      <c r="AV557" s="3248">
        <v>0</v>
      </c>
      <c r="AW557" s="3247">
        <v>0</v>
      </c>
      <c r="AX557" s="3248">
        <v>0</v>
      </c>
      <c r="AY557" s="3248">
        <v>0</v>
      </c>
      <c r="AZ557" s="3247">
        <v>0</v>
      </c>
      <c r="BA557" s="3248">
        <v>0</v>
      </c>
      <c r="BB557" s="3248">
        <v>0</v>
      </c>
      <c r="BC557" s="3247">
        <v>0</v>
      </c>
      <c r="BD557" s="3248">
        <v>0</v>
      </c>
      <c r="BE557" s="3248">
        <v>0</v>
      </c>
      <c r="BF557" s="3248">
        <f t="shared" si="57"/>
        <v>0</v>
      </c>
      <c r="BG557" s="3248">
        <f t="shared" si="58"/>
        <v>0</v>
      </c>
      <c r="BH557" s="3249"/>
      <c r="BI557" s="3249"/>
    </row>
    <row r="558" spans="1:61" x14ac:dyDescent="0.3">
      <c r="A558" s="4197" t="s">
        <v>3384</v>
      </c>
      <c r="B558" s="3261"/>
      <c r="C558" s="3243">
        <v>0</v>
      </c>
      <c r="D558" s="3242">
        <v>0</v>
      </c>
      <c r="E558" s="3244"/>
      <c r="F558" s="3244"/>
      <c r="G558" s="3242">
        <v>0</v>
      </c>
      <c r="H558" s="3244"/>
      <c r="I558" s="3244"/>
      <c r="J558" s="3244"/>
      <c r="K558" s="3242">
        <v>0</v>
      </c>
      <c r="L558" s="3244"/>
      <c r="M558" s="3244"/>
      <c r="N558" s="3242" t="s">
        <v>3384</v>
      </c>
      <c r="O558" s="3239">
        <v>0</v>
      </c>
      <c r="P558" s="3242">
        <v>0</v>
      </c>
      <c r="Q558" s="3244"/>
      <c r="R558" s="3244"/>
      <c r="S558" s="3242">
        <v>0</v>
      </c>
      <c r="T558" s="3244"/>
      <c r="U558" s="3244"/>
      <c r="V558" s="3244"/>
      <c r="W558" s="3240">
        <v>0</v>
      </c>
      <c r="X558" s="3244"/>
      <c r="Y558" s="3244"/>
      <c r="Z558" s="3242" t="s">
        <v>3384</v>
      </c>
      <c r="AA558" s="3243">
        <v>0</v>
      </c>
      <c r="AB558" s="3242">
        <v>0</v>
      </c>
      <c r="AC558" s="3244"/>
      <c r="AD558" s="3244"/>
      <c r="AE558" s="3242">
        <v>0</v>
      </c>
      <c r="AF558" s="3259"/>
      <c r="AG558" s="3260"/>
      <c r="AH558" s="3250"/>
      <c r="AI558" s="4200"/>
      <c r="AJ558" s="3260"/>
      <c r="AK558" s="3260"/>
      <c r="AL558" s="3259"/>
      <c r="AM558" s="3260"/>
      <c r="AN558" s="3259"/>
      <c r="AO558" s="3260"/>
      <c r="AP558" s="3242">
        <v>0</v>
      </c>
      <c r="AQ558" s="3244"/>
      <c r="AR558" s="3244"/>
      <c r="AS558" s="3242" t="s">
        <v>3384</v>
      </c>
      <c r="AT558" s="3247">
        <f t="shared" si="55"/>
        <v>0</v>
      </c>
      <c r="AU558" s="3248">
        <f t="shared" si="56"/>
        <v>0</v>
      </c>
      <c r="AV558" s="3248">
        <v>0</v>
      </c>
      <c r="AW558" s="3247">
        <v>0</v>
      </c>
      <c r="AX558" s="3248">
        <v>0</v>
      </c>
      <c r="AY558" s="3248">
        <v>0</v>
      </c>
      <c r="AZ558" s="3247">
        <v>0</v>
      </c>
      <c r="BA558" s="3248">
        <v>0</v>
      </c>
      <c r="BB558" s="3248">
        <v>0</v>
      </c>
      <c r="BC558" s="3247">
        <v>0</v>
      </c>
      <c r="BD558" s="3248">
        <v>0</v>
      </c>
      <c r="BE558" s="3248">
        <v>0</v>
      </c>
      <c r="BF558" s="3248">
        <f t="shared" si="57"/>
        <v>0</v>
      </c>
      <c r="BG558" s="3248">
        <f t="shared" si="58"/>
        <v>0</v>
      </c>
      <c r="BH558" s="3249"/>
      <c r="BI558" s="3249"/>
    </row>
    <row r="559" spans="1:61" x14ac:dyDescent="0.3">
      <c r="A559" s="4197" t="s">
        <v>3384</v>
      </c>
      <c r="B559" s="3261"/>
      <c r="C559" s="3243">
        <v>0</v>
      </c>
      <c r="D559" s="3242">
        <v>0</v>
      </c>
      <c r="E559" s="3244"/>
      <c r="F559" s="3244"/>
      <c r="G559" s="3242">
        <v>0</v>
      </c>
      <c r="H559" s="3244"/>
      <c r="I559" s="3244"/>
      <c r="J559" s="3244"/>
      <c r="K559" s="3242">
        <v>0</v>
      </c>
      <c r="L559" s="3244"/>
      <c r="M559" s="3244"/>
      <c r="N559" s="3242" t="s">
        <v>3384</v>
      </c>
      <c r="O559" s="3239">
        <v>0</v>
      </c>
      <c r="P559" s="3242">
        <v>0</v>
      </c>
      <c r="Q559" s="3244"/>
      <c r="R559" s="3244"/>
      <c r="S559" s="3242">
        <v>0</v>
      </c>
      <c r="T559" s="3244"/>
      <c r="U559" s="3244"/>
      <c r="V559" s="3244"/>
      <c r="W559" s="3240">
        <v>0</v>
      </c>
      <c r="X559" s="3244"/>
      <c r="Y559" s="3244"/>
      <c r="Z559" s="3242" t="s">
        <v>3384</v>
      </c>
      <c r="AA559" s="3243">
        <v>0</v>
      </c>
      <c r="AB559" s="3242">
        <v>0</v>
      </c>
      <c r="AC559" s="3244"/>
      <c r="AD559" s="3244"/>
      <c r="AE559" s="3242">
        <v>0</v>
      </c>
      <c r="AF559" s="3259"/>
      <c r="AG559" s="3260"/>
      <c r="AH559" s="3250"/>
      <c r="AI559" s="4200"/>
      <c r="AJ559" s="3260"/>
      <c r="AK559" s="3260"/>
      <c r="AL559" s="3259"/>
      <c r="AM559" s="3260"/>
      <c r="AN559" s="3259"/>
      <c r="AO559" s="3260"/>
      <c r="AP559" s="3242">
        <v>0</v>
      </c>
      <c r="AQ559" s="3244"/>
      <c r="AR559" s="3244"/>
      <c r="AS559" s="3242" t="s">
        <v>3384</v>
      </c>
      <c r="AT559" s="3247">
        <f t="shared" si="55"/>
        <v>0</v>
      </c>
      <c r="AU559" s="3248">
        <f t="shared" si="56"/>
        <v>0</v>
      </c>
      <c r="AV559" s="3248">
        <v>0</v>
      </c>
      <c r="AW559" s="3247">
        <v>0</v>
      </c>
      <c r="AX559" s="3248">
        <v>0</v>
      </c>
      <c r="AY559" s="3248">
        <v>0</v>
      </c>
      <c r="AZ559" s="3247">
        <v>0</v>
      </c>
      <c r="BA559" s="3248">
        <v>0</v>
      </c>
      <c r="BB559" s="3248">
        <v>0</v>
      </c>
      <c r="BC559" s="3247">
        <v>0</v>
      </c>
      <c r="BD559" s="3248">
        <v>0</v>
      </c>
      <c r="BE559" s="3248">
        <v>0</v>
      </c>
      <c r="BF559" s="3248">
        <f t="shared" si="57"/>
        <v>0</v>
      </c>
      <c r="BG559" s="3248">
        <f t="shared" si="58"/>
        <v>0</v>
      </c>
      <c r="BH559" s="3249"/>
      <c r="BI559" s="3249"/>
    </row>
    <row r="560" spans="1:61" x14ac:dyDescent="0.3">
      <c r="A560" s="4197" t="s">
        <v>3384</v>
      </c>
      <c r="B560" s="3261"/>
      <c r="C560" s="3243">
        <v>0</v>
      </c>
      <c r="D560" s="3242">
        <v>0</v>
      </c>
      <c r="E560" s="3244"/>
      <c r="F560" s="3244"/>
      <c r="G560" s="3242">
        <v>0</v>
      </c>
      <c r="H560" s="3244"/>
      <c r="I560" s="3244"/>
      <c r="J560" s="3244"/>
      <c r="K560" s="3242">
        <v>0</v>
      </c>
      <c r="L560" s="3244"/>
      <c r="M560" s="3244"/>
      <c r="N560" s="3242" t="s">
        <v>3384</v>
      </c>
      <c r="O560" s="3239">
        <v>0</v>
      </c>
      <c r="P560" s="3242">
        <v>0</v>
      </c>
      <c r="Q560" s="3244"/>
      <c r="R560" s="3244"/>
      <c r="S560" s="3242">
        <v>0</v>
      </c>
      <c r="T560" s="3244"/>
      <c r="U560" s="3244"/>
      <c r="V560" s="3244"/>
      <c r="W560" s="3240">
        <v>0</v>
      </c>
      <c r="X560" s="3244"/>
      <c r="Y560" s="3244"/>
      <c r="Z560" s="3242" t="s">
        <v>3384</v>
      </c>
      <c r="AA560" s="3243">
        <v>0</v>
      </c>
      <c r="AB560" s="3242">
        <v>0</v>
      </c>
      <c r="AC560" s="3244"/>
      <c r="AD560" s="3244"/>
      <c r="AE560" s="3242">
        <v>0</v>
      </c>
      <c r="AF560" s="3259"/>
      <c r="AG560" s="3260"/>
      <c r="AH560" s="3250"/>
      <c r="AI560" s="4200"/>
      <c r="AJ560" s="3260"/>
      <c r="AK560" s="3260"/>
      <c r="AL560" s="3259"/>
      <c r="AM560" s="3260"/>
      <c r="AN560" s="3259"/>
      <c r="AO560" s="3260"/>
      <c r="AP560" s="3242">
        <v>0</v>
      </c>
      <c r="AQ560" s="3244"/>
      <c r="AR560" s="3244"/>
      <c r="AS560" s="3242" t="s">
        <v>3384</v>
      </c>
      <c r="AT560" s="3247">
        <f t="shared" si="55"/>
        <v>0</v>
      </c>
      <c r="AU560" s="3248">
        <f t="shared" si="56"/>
        <v>0</v>
      </c>
      <c r="AV560" s="3248">
        <v>0</v>
      </c>
      <c r="AW560" s="3247">
        <v>0</v>
      </c>
      <c r="AX560" s="3248">
        <v>0</v>
      </c>
      <c r="AY560" s="3248">
        <v>0</v>
      </c>
      <c r="AZ560" s="3247">
        <v>0</v>
      </c>
      <c r="BA560" s="3248">
        <v>0</v>
      </c>
      <c r="BB560" s="3248">
        <v>0</v>
      </c>
      <c r="BC560" s="3247">
        <v>0</v>
      </c>
      <c r="BD560" s="3248">
        <v>0</v>
      </c>
      <c r="BE560" s="3248">
        <v>0</v>
      </c>
      <c r="BF560" s="3248">
        <f t="shared" si="57"/>
        <v>0</v>
      </c>
      <c r="BG560" s="3248">
        <f t="shared" si="58"/>
        <v>0</v>
      </c>
      <c r="BH560" s="3249"/>
      <c r="BI560" s="3249"/>
    </row>
    <row r="561" spans="1:61" x14ac:dyDescent="0.3">
      <c r="A561" s="4197" t="s">
        <v>3384</v>
      </c>
      <c r="B561" s="3261"/>
      <c r="C561" s="3243">
        <v>0</v>
      </c>
      <c r="D561" s="3242">
        <v>0</v>
      </c>
      <c r="E561" s="3244"/>
      <c r="F561" s="3244"/>
      <c r="G561" s="3242">
        <v>0</v>
      </c>
      <c r="H561" s="3244"/>
      <c r="I561" s="3244"/>
      <c r="J561" s="3244"/>
      <c r="K561" s="3242">
        <v>0</v>
      </c>
      <c r="L561" s="3244"/>
      <c r="M561" s="3244"/>
      <c r="N561" s="3242" t="s">
        <v>3384</v>
      </c>
      <c r="O561" s="3239">
        <v>0</v>
      </c>
      <c r="P561" s="3242">
        <v>0</v>
      </c>
      <c r="Q561" s="3244"/>
      <c r="R561" s="3244"/>
      <c r="S561" s="3242">
        <v>0</v>
      </c>
      <c r="T561" s="3244"/>
      <c r="U561" s="3244"/>
      <c r="V561" s="3244"/>
      <c r="W561" s="3240">
        <v>0</v>
      </c>
      <c r="X561" s="3244"/>
      <c r="Y561" s="3244"/>
      <c r="Z561" s="3242" t="s">
        <v>3384</v>
      </c>
      <c r="AA561" s="3243">
        <v>0</v>
      </c>
      <c r="AB561" s="3242">
        <v>0</v>
      </c>
      <c r="AC561" s="3244"/>
      <c r="AD561" s="3244"/>
      <c r="AE561" s="3242">
        <v>0</v>
      </c>
      <c r="AF561" s="3259"/>
      <c r="AG561" s="3260"/>
      <c r="AH561" s="3250"/>
      <c r="AI561" s="4200"/>
      <c r="AJ561" s="3260"/>
      <c r="AK561" s="3260"/>
      <c r="AL561" s="3259"/>
      <c r="AM561" s="3260"/>
      <c r="AN561" s="3259"/>
      <c r="AO561" s="3260"/>
      <c r="AP561" s="3242">
        <v>0</v>
      </c>
      <c r="AQ561" s="3244"/>
      <c r="AR561" s="3244"/>
      <c r="AS561" s="3242" t="s">
        <v>3384</v>
      </c>
      <c r="AT561" s="3247">
        <f t="shared" si="55"/>
        <v>0</v>
      </c>
      <c r="AU561" s="3248">
        <f t="shared" si="56"/>
        <v>0</v>
      </c>
      <c r="AV561" s="3248">
        <v>0</v>
      </c>
      <c r="AW561" s="3247">
        <v>0</v>
      </c>
      <c r="AX561" s="3248">
        <v>0</v>
      </c>
      <c r="AY561" s="3248">
        <v>0</v>
      </c>
      <c r="AZ561" s="3247">
        <v>0</v>
      </c>
      <c r="BA561" s="3248">
        <v>0</v>
      </c>
      <c r="BB561" s="3248">
        <v>0</v>
      </c>
      <c r="BC561" s="3247">
        <v>0</v>
      </c>
      <c r="BD561" s="3248">
        <v>0</v>
      </c>
      <c r="BE561" s="3248">
        <v>0</v>
      </c>
      <c r="BF561" s="3248">
        <f t="shared" si="57"/>
        <v>0</v>
      </c>
      <c r="BG561" s="3248">
        <f t="shared" si="58"/>
        <v>0</v>
      </c>
      <c r="BH561" s="3249"/>
      <c r="BI561" s="3249"/>
    </row>
    <row r="562" spans="1:61" x14ac:dyDescent="0.3">
      <c r="A562" s="4197" t="s">
        <v>3384</v>
      </c>
      <c r="B562" s="3261"/>
      <c r="C562" s="3243">
        <v>0</v>
      </c>
      <c r="D562" s="3242">
        <v>0</v>
      </c>
      <c r="E562" s="3244"/>
      <c r="F562" s="3244"/>
      <c r="G562" s="3242">
        <v>0</v>
      </c>
      <c r="H562" s="3244"/>
      <c r="I562" s="3244"/>
      <c r="J562" s="3244"/>
      <c r="K562" s="3242">
        <v>0</v>
      </c>
      <c r="L562" s="3244"/>
      <c r="M562" s="3244"/>
      <c r="N562" s="3242" t="s">
        <v>3384</v>
      </c>
      <c r="O562" s="3239">
        <v>0</v>
      </c>
      <c r="P562" s="3242">
        <v>0</v>
      </c>
      <c r="Q562" s="3244"/>
      <c r="R562" s="3244"/>
      <c r="S562" s="3242">
        <v>0</v>
      </c>
      <c r="T562" s="3244"/>
      <c r="U562" s="3244"/>
      <c r="V562" s="3244"/>
      <c r="W562" s="3240">
        <v>0</v>
      </c>
      <c r="X562" s="3244"/>
      <c r="Y562" s="3244"/>
      <c r="Z562" s="3242" t="s">
        <v>3384</v>
      </c>
      <c r="AA562" s="3243">
        <v>0</v>
      </c>
      <c r="AB562" s="3242">
        <v>0</v>
      </c>
      <c r="AC562" s="3244"/>
      <c r="AD562" s="3244"/>
      <c r="AE562" s="3242">
        <v>0</v>
      </c>
      <c r="AF562" s="3259"/>
      <c r="AG562" s="3260"/>
      <c r="AH562" s="3250"/>
      <c r="AI562" s="4200"/>
      <c r="AJ562" s="3260"/>
      <c r="AK562" s="3260"/>
      <c r="AL562" s="3259"/>
      <c r="AM562" s="3260"/>
      <c r="AN562" s="3259"/>
      <c r="AO562" s="3260"/>
      <c r="AP562" s="3242">
        <v>0</v>
      </c>
      <c r="AQ562" s="3244"/>
      <c r="AR562" s="3244"/>
      <c r="AS562" s="3242" t="s">
        <v>3384</v>
      </c>
      <c r="AT562" s="3247">
        <f t="shared" si="55"/>
        <v>0</v>
      </c>
      <c r="AU562" s="3248">
        <f t="shared" si="56"/>
        <v>0</v>
      </c>
      <c r="AV562" s="3248">
        <v>0</v>
      </c>
      <c r="AW562" s="3247">
        <v>0</v>
      </c>
      <c r="AX562" s="3248">
        <v>0</v>
      </c>
      <c r="AY562" s="3248">
        <v>0</v>
      </c>
      <c r="AZ562" s="3247">
        <v>0</v>
      </c>
      <c r="BA562" s="3248">
        <v>0</v>
      </c>
      <c r="BB562" s="3248">
        <v>0</v>
      </c>
      <c r="BC562" s="3247">
        <v>0</v>
      </c>
      <c r="BD562" s="3248">
        <v>0</v>
      </c>
      <c r="BE562" s="3248">
        <v>0</v>
      </c>
      <c r="BF562" s="3248">
        <f t="shared" si="57"/>
        <v>0</v>
      </c>
      <c r="BG562" s="3248">
        <f t="shared" si="58"/>
        <v>0</v>
      </c>
      <c r="BH562" s="3249"/>
      <c r="BI562" s="3249"/>
    </row>
    <row r="563" spans="1:61" x14ac:dyDescent="0.3">
      <c r="A563" s="4197" t="s">
        <v>3384</v>
      </c>
      <c r="B563" s="3261"/>
      <c r="C563" s="3243">
        <v>0</v>
      </c>
      <c r="D563" s="3242">
        <v>0</v>
      </c>
      <c r="E563" s="3244"/>
      <c r="F563" s="3244"/>
      <c r="G563" s="3242">
        <v>0</v>
      </c>
      <c r="H563" s="3244"/>
      <c r="I563" s="3244"/>
      <c r="J563" s="3244"/>
      <c r="K563" s="3242">
        <v>0</v>
      </c>
      <c r="L563" s="3244"/>
      <c r="M563" s="3244"/>
      <c r="N563" s="3242" t="s">
        <v>3384</v>
      </c>
      <c r="O563" s="3239">
        <v>0</v>
      </c>
      <c r="P563" s="3242">
        <v>0</v>
      </c>
      <c r="Q563" s="3244"/>
      <c r="R563" s="3244"/>
      <c r="S563" s="3242">
        <v>0</v>
      </c>
      <c r="T563" s="3244"/>
      <c r="U563" s="3244"/>
      <c r="V563" s="3244"/>
      <c r="W563" s="3240">
        <v>0</v>
      </c>
      <c r="X563" s="3244"/>
      <c r="Y563" s="3244"/>
      <c r="Z563" s="3242" t="s">
        <v>3384</v>
      </c>
      <c r="AA563" s="3243">
        <v>0</v>
      </c>
      <c r="AB563" s="3242">
        <v>0</v>
      </c>
      <c r="AC563" s="3244"/>
      <c r="AD563" s="3244"/>
      <c r="AE563" s="3242">
        <v>0</v>
      </c>
      <c r="AF563" s="3259"/>
      <c r="AG563" s="3260"/>
      <c r="AH563" s="3250"/>
      <c r="AI563" s="4200"/>
      <c r="AJ563" s="3260"/>
      <c r="AK563" s="3260"/>
      <c r="AL563" s="3259"/>
      <c r="AM563" s="3260"/>
      <c r="AN563" s="3259"/>
      <c r="AO563" s="3260"/>
      <c r="AP563" s="3242">
        <v>0</v>
      </c>
      <c r="AQ563" s="3244"/>
      <c r="AR563" s="3244"/>
      <c r="AS563" s="3242" t="s">
        <v>3384</v>
      </c>
      <c r="AT563" s="3247">
        <f t="shared" si="55"/>
        <v>0</v>
      </c>
      <c r="AU563" s="3248">
        <f t="shared" si="56"/>
        <v>0</v>
      </c>
      <c r="AV563" s="3248">
        <v>0</v>
      </c>
      <c r="AW563" s="3247">
        <v>0</v>
      </c>
      <c r="AX563" s="3248">
        <v>0</v>
      </c>
      <c r="AY563" s="3248">
        <v>0</v>
      </c>
      <c r="AZ563" s="3247">
        <v>0</v>
      </c>
      <c r="BA563" s="3248">
        <v>0</v>
      </c>
      <c r="BB563" s="3248">
        <v>0</v>
      </c>
      <c r="BC563" s="3247">
        <v>0</v>
      </c>
      <c r="BD563" s="3248">
        <v>0</v>
      </c>
      <c r="BE563" s="3248">
        <v>0</v>
      </c>
      <c r="BF563" s="3248">
        <f t="shared" si="57"/>
        <v>0</v>
      </c>
      <c r="BG563" s="3248">
        <f t="shared" si="58"/>
        <v>0</v>
      </c>
      <c r="BH563" s="3249"/>
      <c r="BI563" s="3249"/>
    </row>
    <row r="564" spans="1:61" x14ac:dyDescent="0.3">
      <c r="A564" s="4197" t="s">
        <v>3384</v>
      </c>
      <c r="B564" s="3261"/>
      <c r="C564" s="3243">
        <v>0</v>
      </c>
      <c r="D564" s="3242">
        <v>0</v>
      </c>
      <c r="E564" s="3244"/>
      <c r="F564" s="3244"/>
      <c r="G564" s="3242">
        <v>0</v>
      </c>
      <c r="H564" s="3244"/>
      <c r="I564" s="3244"/>
      <c r="J564" s="3244"/>
      <c r="K564" s="3242">
        <v>0</v>
      </c>
      <c r="L564" s="3244"/>
      <c r="M564" s="3244"/>
      <c r="N564" s="3242" t="s">
        <v>3384</v>
      </c>
      <c r="O564" s="3239">
        <v>0</v>
      </c>
      <c r="P564" s="3242">
        <v>0</v>
      </c>
      <c r="Q564" s="3244"/>
      <c r="R564" s="3244"/>
      <c r="S564" s="3242">
        <v>0</v>
      </c>
      <c r="T564" s="3244"/>
      <c r="U564" s="3244"/>
      <c r="V564" s="3244"/>
      <c r="W564" s="3240">
        <v>0</v>
      </c>
      <c r="X564" s="3244"/>
      <c r="Y564" s="3244"/>
      <c r="Z564" s="3242" t="s">
        <v>3384</v>
      </c>
      <c r="AA564" s="3243">
        <v>0</v>
      </c>
      <c r="AB564" s="3242">
        <v>0</v>
      </c>
      <c r="AC564" s="3244"/>
      <c r="AD564" s="3244"/>
      <c r="AE564" s="3242">
        <v>0</v>
      </c>
      <c r="AF564" s="3259"/>
      <c r="AG564" s="3260"/>
      <c r="AH564" s="3250"/>
      <c r="AI564" s="4200"/>
      <c r="AJ564" s="3260"/>
      <c r="AK564" s="3260"/>
      <c r="AL564" s="3259"/>
      <c r="AM564" s="3260"/>
      <c r="AN564" s="3259"/>
      <c r="AO564" s="3260"/>
      <c r="AP564" s="3242">
        <v>0</v>
      </c>
      <c r="AQ564" s="3244"/>
      <c r="AR564" s="3244"/>
      <c r="AS564" s="3242" t="s">
        <v>3384</v>
      </c>
      <c r="AT564" s="3247">
        <f t="shared" si="55"/>
        <v>0</v>
      </c>
      <c r="AU564" s="3248">
        <f t="shared" si="56"/>
        <v>0</v>
      </c>
      <c r="AV564" s="3248">
        <v>0</v>
      </c>
      <c r="AW564" s="3247">
        <v>0</v>
      </c>
      <c r="AX564" s="3248">
        <v>0</v>
      </c>
      <c r="AY564" s="3248">
        <v>0</v>
      </c>
      <c r="AZ564" s="3247">
        <v>0</v>
      </c>
      <c r="BA564" s="3248">
        <v>0</v>
      </c>
      <c r="BB564" s="3248">
        <v>0</v>
      </c>
      <c r="BC564" s="3247">
        <v>0</v>
      </c>
      <c r="BD564" s="3248">
        <v>0</v>
      </c>
      <c r="BE564" s="3248">
        <v>0</v>
      </c>
      <c r="BF564" s="3248">
        <f t="shared" si="57"/>
        <v>0</v>
      </c>
      <c r="BG564" s="3248">
        <f t="shared" si="58"/>
        <v>0</v>
      </c>
      <c r="BH564" s="3249"/>
      <c r="BI564" s="3249"/>
    </row>
    <row r="565" spans="1:61" x14ac:dyDescent="0.3">
      <c r="A565" s="4197" t="s">
        <v>3384</v>
      </c>
      <c r="B565" s="3261"/>
      <c r="C565" s="3243">
        <v>0</v>
      </c>
      <c r="D565" s="3242">
        <v>0</v>
      </c>
      <c r="E565" s="3244"/>
      <c r="F565" s="3244"/>
      <c r="G565" s="3242">
        <v>0</v>
      </c>
      <c r="H565" s="3244"/>
      <c r="I565" s="3244"/>
      <c r="J565" s="3244"/>
      <c r="K565" s="3242">
        <v>0</v>
      </c>
      <c r="L565" s="3244"/>
      <c r="M565" s="3244"/>
      <c r="N565" s="3242" t="s">
        <v>3384</v>
      </c>
      <c r="O565" s="3239">
        <v>0</v>
      </c>
      <c r="P565" s="3242">
        <v>0</v>
      </c>
      <c r="Q565" s="3244"/>
      <c r="R565" s="3244"/>
      <c r="S565" s="3242">
        <v>0</v>
      </c>
      <c r="T565" s="3244"/>
      <c r="U565" s="3244"/>
      <c r="V565" s="3244"/>
      <c r="W565" s="3240">
        <v>0</v>
      </c>
      <c r="X565" s="3244"/>
      <c r="Y565" s="3244"/>
      <c r="Z565" s="3242" t="s">
        <v>3384</v>
      </c>
      <c r="AA565" s="3243">
        <v>0</v>
      </c>
      <c r="AB565" s="3242">
        <v>0</v>
      </c>
      <c r="AC565" s="3244"/>
      <c r="AD565" s="3244"/>
      <c r="AE565" s="3242">
        <v>0</v>
      </c>
      <c r="AF565" s="3259"/>
      <c r="AG565" s="3260"/>
      <c r="AH565" s="3250"/>
      <c r="AI565" s="4200"/>
      <c r="AJ565" s="3260"/>
      <c r="AK565" s="3260"/>
      <c r="AL565" s="3259"/>
      <c r="AM565" s="3260"/>
      <c r="AN565" s="3259"/>
      <c r="AO565" s="3260"/>
      <c r="AP565" s="3242">
        <v>0</v>
      </c>
      <c r="AQ565" s="3244"/>
      <c r="AR565" s="3244"/>
      <c r="AS565" s="3242" t="s">
        <v>3384</v>
      </c>
      <c r="AT565" s="3247">
        <f t="shared" si="55"/>
        <v>0</v>
      </c>
      <c r="AU565" s="3248">
        <f t="shared" si="56"/>
        <v>0</v>
      </c>
      <c r="AV565" s="3248">
        <v>0</v>
      </c>
      <c r="AW565" s="3247">
        <v>0</v>
      </c>
      <c r="AX565" s="3248">
        <v>0</v>
      </c>
      <c r="AY565" s="3248">
        <v>0</v>
      </c>
      <c r="AZ565" s="3247">
        <v>0</v>
      </c>
      <c r="BA565" s="3248">
        <v>0</v>
      </c>
      <c r="BB565" s="3248">
        <v>0</v>
      </c>
      <c r="BC565" s="3247">
        <v>0</v>
      </c>
      <c r="BD565" s="3248">
        <v>0</v>
      </c>
      <c r="BE565" s="3248">
        <v>0</v>
      </c>
      <c r="BF565" s="3248">
        <f t="shared" si="57"/>
        <v>0</v>
      </c>
      <c r="BG565" s="3248">
        <f t="shared" si="58"/>
        <v>0</v>
      </c>
      <c r="BH565" s="3249"/>
      <c r="BI565" s="3249"/>
    </row>
    <row r="566" spans="1:61" x14ac:dyDescent="0.3">
      <c r="A566" s="4197" t="s">
        <v>3384</v>
      </c>
      <c r="B566" s="3261"/>
      <c r="C566" s="3243">
        <v>0</v>
      </c>
      <c r="D566" s="3242">
        <v>0</v>
      </c>
      <c r="E566" s="3244"/>
      <c r="F566" s="3244"/>
      <c r="G566" s="3242">
        <v>0</v>
      </c>
      <c r="H566" s="3244"/>
      <c r="I566" s="3244"/>
      <c r="J566" s="3244"/>
      <c r="K566" s="3242">
        <v>0</v>
      </c>
      <c r="L566" s="3244"/>
      <c r="M566" s="3244"/>
      <c r="N566" s="3242" t="s">
        <v>3384</v>
      </c>
      <c r="O566" s="3239">
        <v>0</v>
      </c>
      <c r="P566" s="3242">
        <v>0</v>
      </c>
      <c r="Q566" s="3244"/>
      <c r="R566" s="3244"/>
      <c r="S566" s="3242">
        <v>0</v>
      </c>
      <c r="T566" s="3244"/>
      <c r="U566" s="3244"/>
      <c r="V566" s="3244"/>
      <c r="W566" s="3240">
        <v>0</v>
      </c>
      <c r="X566" s="3244"/>
      <c r="Y566" s="3244"/>
      <c r="Z566" s="3242" t="s">
        <v>3384</v>
      </c>
      <c r="AA566" s="3243">
        <v>0</v>
      </c>
      <c r="AB566" s="3242">
        <v>0</v>
      </c>
      <c r="AC566" s="3244"/>
      <c r="AD566" s="3244"/>
      <c r="AE566" s="3242">
        <v>0</v>
      </c>
      <c r="AF566" s="3259"/>
      <c r="AG566" s="3260"/>
      <c r="AH566" s="3250"/>
      <c r="AI566" s="4200"/>
      <c r="AJ566" s="3260"/>
      <c r="AK566" s="3260"/>
      <c r="AL566" s="3259"/>
      <c r="AM566" s="3260"/>
      <c r="AN566" s="3259"/>
      <c r="AO566" s="3260"/>
      <c r="AP566" s="3242">
        <v>0</v>
      </c>
      <c r="AQ566" s="3244"/>
      <c r="AR566" s="3244"/>
      <c r="AS566" s="3242" t="s">
        <v>3384</v>
      </c>
      <c r="AT566" s="3247">
        <f t="shared" si="55"/>
        <v>0</v>
      </c>
      <c r="AU566" s="3248">
        <f t="shared" si="56"/>
        <v>0</v>
      </c>
      <c r="AV566" s="3248">
        <v>0</v>
      </c>
      <c r="AW566" s="3247">
        <v>0</v>
      </c>
      <c r="AX566" s="3248">
        <v>0</v>
      </c>
      <c r="AY566" s="3248">
        <v>0</v>
      </c>
      <c r="AZ566" s="3247">
        <v>0</v>
      </c>
      <c r="BA566" s="3248">
        <v>0</v>
      </c>
      <c r="BB566" s="3248">
        <v>0</v>
      </c>
      <c r="BC566" s="3247">
        <v>0</v>
      </c>
      <c r="BD566" s="3248">
        <v>0</v>
      </c>
      <c r="BE566" s="3248">
        <v>0</v>
      </c>
      <c r="BF566" s="3248">
        <f t="shared" si="57"/>
        <v>0</v>
      </c>
      <c r="BG566" s="3248">
        <f t="shared" si="58"/>
        <v>0</v>
      </c>
      <c r="BH566" s="3249"/>
      <c r="BI566" s="3249"/>
    </row>
    <row r="567" spans="1:61" x14ac:dyDescent="0.3">
      <c r="A567" s="4197" t="s">
        <v>3384</v>
      </c>
      <c r="B567" s="3261"/>
      <c r="C567" s="3243">
        <v>0</v>
      </c>
      <c r="D567" s="3242">
        <v>0</v>
      </c>
      <c r="E567" s="3244"/>
      <c r="F567" s="3244"/>
      <c r="G567" s="3242">
        <v>0</v>
      </c>
      <c r="H567" s="3244"/>
      <c r="I567" s="3244"/>
      <c r="J567" s="3244"/>
      <c r="K567" s="3242">
        <v>0</v>
      </c>
      <c r="L567" s="3244"/>
      <c r="M567" s="3244"/>
      <c r="N567" s="3242" t="s">
        <v>3384</v>
      </c>
      <c r="O567" s="3239">
        <v>0</v>
      </c>
      <c r="P567" s="3242">
        <v>0</v>
      </c>
      <c r="Q567" s="3244"/>
      <c r="R567" s="3244"/>
      <c r="S567" s="3242">
        <v>0</v>
      </c>
      <c r="T567" s="3244"/>
      <c r="U567" s="3244"/>
      <c r="V567" s="3244"/>
      <c r="W567" s="3240">
        <v>0</v>
      </c>
      <c r="X567" s="3244"/>
      <c r="Y567" s="3244"/>
      <c r="Z567" s="3242" t="s">
        <v>3384</v>
      </c>
      <c r="AA567" s="3243">
        <v>0</v>
      </c>
      <c r="AB567" s="3242">
        <v>0</v>
      </c>
      <c r="AC567" s="3244"/>
      <c r="AD567" s="3244"/>
      <c r="AE567" s="3242">
        <v>0</v>
      </c>
      <c r="AF567" s="3259"/>
      <c r="AG567" s="3260"/>
      <c r="AH567" s="3250"/>
      <c r="AI567" s="4200"/>
      <c r="AJ567" s="3260"/>
      <c r="AK567" s="3260"/>
      <c r="AL567" s="3259"/>
      <c r="AM567" s="3260"/>
      <c r="AN567" s="3259"/>
      <c r="AO567" s="3260"/>
      <c r="AP567" s="3242">
        <v>0</v>
      </c>
      <c r="AQ567" s="3244"/>
      <c r="AR567" s="3244"/>
      <c r="AS567" s="3242" t="s">
        <v>3384</v>
      </c>
      <c r="AT567" s="3247">
        <f t="shared" si="55"/>
        <v>0</v>
      </c>
      <c r="AU567" s="3248">
        <f t="shared" si="56"/>
        <v>0</v>
      </c>
      <c r="AV567" s="3248">
        <v>0</v>
      </c>
      <c r="AW567" s="3247">
        <v>0</v>
      </c>
      <c r="AX567" s="3248">
        <v>0</v>
      </c>
      <c r="AY567" s="3248">
        <v>0</v>
      </c>
      <c r="AZ567" s="3247">
        <v>0</v>
      </c>
      <c r="BA567" s="3248">
        <v>0</v>
      </c>
      <c r="BB567" s="3248">
        <v>0</v>
      </c>
      <c r="BC567" s="3247">
        <v>0</v>
      </c>
      <c r="BD567" s="3248">
        <v>0</v>
      </c>
      <c r="BE567" s="3248">
        <v>0</v>
      </c>
      <c r="BF567" s="3248">
        <f t="shared" si="57"/>
        <v>0</v>
      </c>
      <c r="BG567" s="3248">
        <f t="shared" si="58"/>
        <v>0</v>
      </c>
      <c r="BH567" s="3249"/>
      <c r="BI567" s="3249"/>
    </row>
    <row r="568" spans="1:61" x14ac:dyDescent="0.3">
      <c r="A568" s="4197" t="s">
        <v>3384</v>
      </c>
      <c r="B568" s="3261"/>
      <c r="C568" s="3243">
        <v>0</v>
      </c>
      <c r="D568" s="3242">
        <v>0</v>
      </c>
      <c r="E568" s="3244"/>
      <c r="F568" s="3244"/>
      <c r="G568" s="3242">
        <v>0</v>
      </c>
      <c r="H568" s="3244"/>
      <c r="I568" s="3244"/>
      <c r="J568" s="3244"/>
      <c r="K568" s="3242">
        <v>0</v>
      </c>
      <c r="L568" s="3244"/>
      <c r="M568" s="3244"/>
      <c r="N568" s="3242" t="s">
        <v>3384</v>
      </c>
      <c r="O568" s="3239">
        <v>0</v>
      </c>
      <c r="P568" s="3242">
        <v>0</v>
      </c>
      <c r="Q568" s="3244"/>
      <c r="R568" s="3244"/>
      <c r="S568" s="3242">
        <v>0</v>
      </c>
      <c r="T568" s="3244"/>
      <c r="U568" s="3244"/>
      <c r="V568" s="3244"/>
      <c r="W568" s="3240">
        <v>0</v>
      </c>
      <c r="X568" s="3244"/>
      <c r="Y568" s="3244"/>
      <c r="Z568" s="3242" t="s">
        <v>3384</v>
      </c>
      <c r="AA568" s="3243">
        <v>0</v>
      </c>
      <c r="AB568" s="3242">
        <v>0</v>
      </c>
      <c r="AC568" s="3244"/>
      <c r="AD568" s="3244"/>
      <c r="AE568" s="3242">
        <v>0</v>
      </c>
      <c r="AF568" s="3259"/>
      <c r="AG568" s="3260"/>
      <c r="AH568" s="3250"/>
      <c r="AI568" s="4200"/>
      <c r="AJ568" s="3260"/>
      <c r="AK568" s="3260"/>
      <c r="AL568" s="3259"/>
      <c r="AM568" s="3260"/>
      <c r="AN568" s="3259"/>
      <c r="AO568" s="3260"/>
      <c r="AP568" s="3242">
        <v>0</v>
      </c>
      <c r="AQ568" s="3244"/>
      <c r="AR568" s="3244"/>
      <c r="AS568" s="3242" t="s">
        <v>3384</v>
      </c>
      <c r="AT568" s="3247">
        <f t="shared" si="55"/>
        <v>0</v>
      </c>
      <c r="AU568" s="3248">
        <f t="shared" si="56"/>
        <v>0</v>
      </c>
      <c r="AV568" s="3248">
        <v>0</v>
      </c>
      <c r="AW568" s="3247">
        <v>0</v>
      </c>
      <c r="AX568" s="3248">
        <v>0</v>
      </c>
      <c r="AY568" s="3248">
        <v>0</v>
      </c>
      <c r="AZ568" s="3247">
        <v>0</v>
      </c>
      <c r="BA568" s="3248">
        <v>0</v>
      </c>
      <c r="BB568" s="3248">
        <v>0</v>
      </c>
      <c r="BC568" s="3247">
        <v>0</v>
      </c>
      <c r="BD568" s="3248">
        <v>0</v>
      </c>
      <c r="BE568" s="3248">
        <v>0</v>
      </c>
      <c r="BF568" s="3248">
        <f t="shared" si="57"/>
        <v>0</v>
      </c>
      <c r="BG568" s="3248">
        <f t="shared" si="58"/>
        <v>0</v>
      </c>
      <c r="BH568" s="3249"/>
      <c r="BI568" s="3249"/>
    </row>
    <row r="569" spans="1:61" x14ac:dyDescent="0.3">
      <c r="A569" s="4197" t="s">
        <v>3384</v>
      </c>
      <c r="B569" s="3261"/>
      <c r="C569" s="3243">
        <v>0</v>
      </c>
      <c r="D569" s="3242">
        <v>0</v>
      </c>
      <c r="E569" s="3244"/>
      <c r="F569" s="3244"/>
      <c r="G569" s="3242">
        <v>0</v>
      </c>
      <c r="H569" s="3244"/>
      <c r="I569" s="3244"/>
      <c r="J569" s="3244"/>
      <c r="K569" s="3242">
        <v>0</v>
      </c>
      <c r="L569" s="3244"/>
      <c r="M569" s="3244"/>
      <c r="N569" s="3242" t="s">
        <v>3384</v>
      </c>
      <c r="O569" s="3239">
        <v>0</v>
      </c>
      <c r="P569" s="3242">
        <v>0</v>
      </c>
      <c r="Q569" s="3244"/>
      <c r="R569" s="3244"/>
      <c r="S569" s="3242">
        <v>0</v>
      </c>
      <c r="T569" s="3244"/>
      <c r="U569" s="3244"/>
      <c r="V569" s="3244"/>
      <c r="W569" s="3240">
        <v>0</v>
      </c>
      <c r="X569" s="3244"/>
      <c r="Y569" s="3244"/>
      <c r="Z569" s="3242" t="s">
        <v>3384</v>
      </c>
      <c r="AA569" s="3243">
        <v>0</v>
      </c>
      <c r="AB569" s="3242">
        <v>0</v>
      </c>
      <c r="AC569" s="3244"/>
      <c r="AD569" s="3244"/>
      <c r="AE569" s="3242">
        <v>0</v>
      </c>
      <c r="AF569" s="3259"/>
      <c r="AG569" s="3260"/>
      <c r="AH569" s="3250"/>
      <c r="AI569" s="4200"/>
      <c r="AJ569" s="3260"/>
      <c r="AK569" s="3260"/>
      <c r="AL569" s="3259"/>
      <c r="AM569" s="3260"/>
      <c r="AN569" s="3259"/>
      <c r="AO569" s="3260"/>
      <c r="AP569" s="3242">
        <v>0</v>
      </c>
      <c r="AQ569" s="3244"/>
      <c r="AR569" s="3244"/>
      <c r="AS569" s="3242" t="s">
        <v>3384</v>
      </c>
      <c r="AT569" s="3247">
        <f t="shared" si="55"/>
        <v>0</v>
      </c>
      <c r="AU569" s="3248">
        <f t="shared" si="56"/>
        <v>0</v>
      </c>
      <c r="AV569" s="3248">
        <v>0</v>
      </c>
      <c r="AW569" s="3247">
        <v>0</v>
      </c>
      <c r="AX569" s="3248">
        <v>0</v>
      </c>
      <c r="AY569" s="3248">
        <v>0</v>
      </c>
      <c r="AZ569" s="3247">
        <v>0</v>
      </c>
      <c r="BA569" s="3248">
        <v>0</v>
      </c>
      <c r="BB569" s="3248">
        <v>0</v>
      </c>
      <c r="BC569" s="3247">
        <v>0</v>
      </c>
      <c r="BD569" s="3248">
        <v>0</v>
      </c>
      <c r="BE569" s="3248">
        <v>0</v>
      </c>
      <c r="BF569" s="3248">
        <f t="shared" si="57"/>
        <v>0</v>
      </c>
      <c r="BG569" s="3248">
        <f t="shared" si="58"/>
        <v>0</v>
      </c>
      <c r="BH569" s="3249"/>
      <c r="BI569" s="3249"/>
    </row>
    <row r="570" spans="1:61" x14ac:dyDescent="0.3">
      <c r="A570" s="4197" t="s">
        <v>3384</v>
      </c>
      <c r="B570" s="3261"/>
      <c r="C570" s="3243">
        <v>0</v>
      </c>
      <c r="D570" s="3242">
        <v>0</v>
      </c>
      <c r="E570" s="3244"/>
      <c r="F570" s="3244"/>
      <c r="G570" s="3242">
        <v>0</v>
      </c>
      <c r="H570" s="3244"/>
      <c r="I570" s="3244"/>
      <c r="J570" s="3244"/>
      <c r="K570" s="3242">
        <v>0</v>
      </c>
      <c r="L570" s="3244"/>
      <c r="M570" s="3244"/>
      <c r="N570" s="3242" t="s">
        <v>3384</v>
      </c>
      <c r="O570" s="3239">
        <v>0</v>
      </c>
      <c r="P570" s="3242">
        <v>0</v>
      </c>
      <c r="Q570" s="3244"/>
      <c r="R570" s="3244"/>
      <c r="S570" s="3242">
        <v>0</v>
      </c>
      <c r="T570" s="3244"/>
      <c r="U570" s="3244"/>
      <c r="V570" s="3244"/>
      <c r="W570" s="3240">
        <v>0</v>
      </c>
      <c r="X570" s="3244"/>
      <c r="Y570" s="3244"/>
      <c r="Z570" s="3242" t="s">
        <v>3384</v>
      </c>
      <c r="AA570" s="3243">
        <v>0</v>
      </c>
      <c r="AB570" s="3242">
        <v>0</v>
      </c>
      <c r="AC570" s="3244"/>
      <c r="AD570" s="3244"/>
      <c r="AE570" s="3242">
        <v>0</v>
      </c>
      <c r="AF570" s="3259"/>
      <c r="AG570" s="3260"/>
      <c r="AH570" s="3250"/>
      <c r="AI570" s="4200"/>
      <c r="AJ570" s="3260"/>
      <c r="AK570" s="3260"/>
      <c r="AL570" s="3259"/>
      <c r="AM570" s="3260"/>
      <c r="AN570" s="3259"/>
      <c r="AO570" s="3260"/>
      <c r="AP570" s="3242">
        <v>0</v>
      </c>
      <c r="AQ570" s="3244"/>
      <c r="AR570" s="3244"/>
      <c r="AS570" s="3242" t="s">
        <v>3384</v>
      </c>
      <c r="AT570" s="3247">
        <f t="shared" si="55"/>
        <v>0</v>
      </c>
      <c r="AU570" s="3248">
        <f t="shared" si="56"/>
        <v>0</v>
      </c>
      <c r="AV570" s="3248">
        <v>0</v>
      </c>
      <c r="AW570" s="3247">
        <v>0</v>
      </c>
      <c r="AX570" s="3248">
        <v>0</v>
      </c>
      <c r="AY570" s="3248">
        <v>0</v>
      </c>
      <c r="AZ570" s="3247">
        <v>0</v>
      </c>
      <c r="BA570" s="3248">
        <v>0</v>
      </c>
      <c r="BB570" s="3248">
        <v>0</v>
      </c>
      <c r="BC570" s="3247">
        <v>0</v>
      </c>
      <c r="BD570" s="3248">
        <v>0</v>
      </c>
      <c r="BE570" s="3248">
        <v>0</v>
      </c>
      <c r="BF570" s="3248">
        <f t="shared" si="57"/>
        <v>0</v>
      </c>
      <c r="BG570" s="3248">
        <f t="shared" si="58"/>
        <v>0</v>
      </c>
      <c r="BH570" s="3249"/>
      <c r="BI570" s="3249"/>
    </row>
    <row r="571" spans="1:61" x14ac:dyDescent="0.3">
      <c r="A571" s="4197" t="s">
        <v>3384</v>
      </c>
      <c r="B571" s="3261"/>
      <c r="C571" s="3243">
        <v>0</v>
      </c>
      <c r="D571" s="3242">
        <v>0</v>
      </c>
      <c r="E571" s="3244"/>
      <c r="F571" s="3244"/>
      <c r="G571" s="3242">
        <v>0</v>
      </c>
      <c r="H571" s="3244"/>
      <c r="I571" s="3244"/>
      <c r="J571" s="3244"/>
      <c r="K571" s="3242">
        <v>0</v>
      </c>
      <c r="L571" s="3244"/>
      <c r="M571" s="3244"/>
      <c r="N571" s="3242" t="s">
        <v>3384</v>
      </c>
      <c r="O571" s="3239">
        <v>0</v>
      </c>
      <c r="P571" s="3242">
        <v>0</v>
      </c>
      <c r="Q571" s="3244"/>
      <c r="R571" s="3244"/>
      <c r="S571" s="3242">
        <v>0</v>
      </c>
      <c r="T571" s="3244"/>
      <c r="U571" s="3244"/>
      <c r="V571" s="3244"/>
      <c r="W571" s="3240">
        <v>0</v>
      </c>
      <c r="X571" s="3244"/>
      <c r="Y571" s="3244"/>
      <c r="Z571" s="3242" t="s">
        <v>3384</v>
      </c>
      <c r="AA571" s="3243">
        <v>0</v>
      </c>
      <c r="AB571" s="3242">
        <v>0</v>
      </c>
      <c r="AC571" s="3244"/>
      <c r="AD571" s="3244"/>
      <c r="AE571" s="3242">
        <v>0</v>
      </c>
      <c r="AF571" s="3259"/>
      <c r="AG571" s="3260"/>
      <c r="AH571" s="3250"/>
      <c r="AI571" s="4200"/>
      <c r="AJ571" s="3260"/>
      <c r="AK571" s="3260"/>
      <c r="AL571" s="3259"/>
      <c r="AM571" s="3260"/>
      <c r="AN571" s="3259"/>
      <c r="AO571" s="3260"/>
      <c r="AP571" s="3242">
        <v>0</v>
      </c>
      <c r="AQ571" s="3244"/>
      <c r="AR571" s="3244"/>
      <c r="AS571" s="3242" t="s">
        <v>3384</v>
      </c>
      <c r="AT571" s="3247">
        <f t="shared" si="55"/>
        <v>0</v>
      </c>
      <c r="AU571" s="3248">
        <f t="shared" si="56"/>
        <v>0</v>
      </c>
      <c r="AV571" s="3248">
        <v>0</v>
      </c>
      <c r="AW571" s="3247">
        <v>0</v>
      </c>
      <c r="AX571" s="3248">
        <v>0</v>
      </c>
      <c r="AY571" s="3248">
        <v>0</v>
      </c>
      <c r="AZ571" s="3247">
        <v>0</v>
      </c>
      <c r="BA571" s="3248">
        <v>0</v>
      </c>
      <c r="BB571" s="3248">
        <v>0</v>
      </c>
      <c r="BC571" s="3247">
        <v>0</v>
      </c>
      <c r="BD571" s="3248">
        <v>0</v>
      </c>
      <c r="BE571" s="3248">
        <v>0</v>
      </c>
      <c r="BF571" s="3248">
        <f t="shared" si="57"/>
        <v>0</v>
      </c>
      <c r="BG571" s="3248">
        <f t="shared" si="58"/>
        <v>0</v>
      </c>
      <c r="BH571" s="3249"/>
      <c r="BI571" s="3249"/>
    </row>
    <row r="572" spans="1:61" x14ac:dyDescent="0.3">
      <c r="A572" s="4197" t="s">
        <v>3384</v>
      </c>
      <c r="B572" s="3261"/>
      <c r="C572" s="3243">
        <v>0</v>
      </c>
      <c r="D572" s="3242">
        <v>0</v>
      </c>
      <c r="E572" s="3244"/>
      <c r="F572" s="3244"/>
      <c r="G572" s="3242">
        <v>0</v>
      </c>
      <c r="H572" s="3244"/>
      <c r="I572" s="3244"/>
      <c r="J572" s="3244"/>
      <c r="K572" s="3242">
        <v>0</v>
      </c>
      <c r="L572" s="3244"/>
      <c r="M572" s="3244"/>
      <c r="N572" s="3242" t="s">
        <v>3384</v>
      </c>
      <c r="O572" s="3239">
        <v>0</v>
      </c>
      <c r="P572" s="3242">
        <v>0</v>
      </c>
      <c r="Q572" s="3244"/>
      <c r="R572" s="3244"/>
      <c r="S572" s="3242">
        <v>0</v>
      </c>
      <c r="T572" s="3244"/>
      <c r="U572" s="3244"/>
      <c r="V572" s="3244"/>
      <c r="W572" s="3240">
        <v>0</v>
      </c>
      <c r="X572" s="3244"/>
      <c r="Y572" s="3244"/>
      <c r="Z572" s="3242" t="s">
        <v>3384</v>
      </c>
      <c r="AA572" s="3243">
        <v>0</v>
      </c>
      <c r="AB572" s="3242">
        <v>0</v>
      </c>
      <c r="AC572" s="3244"/>
      <c r="AD572" s="3244"/>
      <c r="AE572" s="3242">
        <v>0</v>
      </c>
      <c r="AF572" s="3259"/>
      <c r="AG572" s="3260"/>
      <c r="AH572" s="3250"/>
      <c r="AI572" s="4200"/>
      <c r="AJ572" s="3260"/>
      <c r="AK572" s="3260"/>
      <c r="AL572" s="3259"/>
      <c r="AM572" s="3260"/>
      <c r="AN572" s="3259"/>
      <c r="AO572" s="3260"/>
      <c r="AP572" s="3242">
        <v>0</v>
      </c>
      <c r="AQ572" s="3244"/>
      <c r="AR572" s="3244"/>
      <c r="AS572" s="3242" t="s">
        <v>3384</v>
      </c>
      <c r="AT572" s="3247">
        <f t="shared" si="55"/>
        <v>0</v>
      </c>
      <c r="AU572" s="3248">
        <f t="shared" si="56"/>
        <v>0</v>
      </c>
      <c r="AV572" s="3248">
        <v>0</v>
      </c>
      <c r="AW572" s="3247">
        <v>0</v>
      </c>
      <c r="AX572" s="3248">
        <v>0</v>
      </c>
      <c r="AY572" s="3248">
        <v>0</v>
      </c>
      <c r="AZ572" s="3247">
        <v>0</v>
      </c>
      <c r="BA572" s="3248">
        <v>0</v>
      </c>
      <c r="BB572" s="3248">
        <v>0</v>
      </c>
      <c r="BC572" s="3247">
        <v>0</v>
      </c>
      <c r="BD572" s="3248">
        <v>0</v>
      </c>
      <c r="BE572" s="3248">
        <v>0</v>
      </c>
      <c r="BF572" s="3248">
        <f t="shared" si="57"/>
        <v>0</v>
      </c>
      <c r="BG572" s="3248">
        <f t="shared" si="58"/>
        <v>0</v>
      </c>
      <c r="BH572" s="3249"/>
      <c r="BI572" s="3249"/>
    </row>
    <row r="573" spans="1:61" x14ac:dyDescent="0.3">
      <c r="A573" s="4197" t="s">
        <v>3384</v>
      </c>
      <c r="B573" s="3261"/>
      <c r="C573" s="3243">
        <v>0</v>
      </c>
      <c r="D573" s="3242">
        <v>0</v>
      </c>
      <c r="E573" s="3244"/>
      <c r="F573" s="3244"/>
      <c r="G573" s="3242">
        <v>0</v>
      </c>
      <c r="H573" s="3244"/>
      <c r="I573" s="3244"/>
      <c r="J573" s="3244"/>
      <c r="K573" s="3242">
        <v>0</v>
      </c>
      <c r="L573" s="3244"/>
      <c r="M573" s="3244"/>
      <c r="N573" s="3242" t="s">
        <v>3384</v>
      </c>
      <c r="O573" s="3239">
        <v>0</v>
      </c>
      <c r="P573" s="3242">
        <v>0</v>
      </c>
      <c r="Q573" s="3244"/>
      <c r="R573" s="3244"/>
      <c r="S573" s="3242">
        <v>0</v>
      </c>
      <c r="T573" s="3244"/>
      <c r="U573" s="3244"/>
      <c r="V573" s="3244"/>
      <c r="W573" s="3240">
        <v>0</v>
      </c>
      <c r="X573" s="3244"/>
      <c r="Y573" s="3244"/>
      <c r="Z573" s="3242" t="s">
        <v>3384</v>
      </c>
      <c r="AA573" s="3243">
        <v>0</v>
      </c>
      <c r="AB573" s="3242">
        <v>0</v>
      </c>
      <c r="AC573" s="3244"/>
      <c r="AD573" s="3244"/>
      <c r="AE573" s="3242">
        <v>0</v>
      </c>
      <c r="AF573" s="3259"/>
      <c r="AG573" s="3260"/>
      <c r="AH573" s="3250"/>
      <c r="AI573" s="4200"/>
      <c r="AJ573" s="3260"/>
      <c r="AK573" s="3260"/>
      <c r="AL573" s="3259"/>
      <c r="AM573" s="3260"/>
      <c r="AN573" s="3259"/>
      <c r="AO573" s="3260"/>
      <c r="AP573" s="3242">
        <v>0</v>
      </c>
      <c r="AQ573" s="3244"/>
      <c r="AR573" s="3244"/>
      <c r="AS573" s="3242" t="s">
        <v>3384</v>
      </c>
      <c r="AT573" s="3247">
        <f t="shared" si="55"/>
        <v>0</v>
      </c>
      <c r="AU573" s="3248">
        <f t="shared" si="56"/>
        <v>0</v>
      </c>
      <c r="AV573" s="3248">
        <v>0</v>
      </c>
      <c r="AW573" s="3247">
        <v>0</v>
      </c>
      <c r="AX573" s="3248">
        <v>0</v>
      </c>
      <c r="AY573" s="3248">
        <v>0</v>
      </c>
      <c r="AZ573" s="3247">
        <v>0</v>
      </c>
      <c r="BA573" s="3248">
        <v>0</v>
      </c>
      <c r="BB573" s="3248">
        <v>0</v>
      </c>
      <c r="BC573" s="3247">
        <v>0</v>
      </c>
      <c r="BD573" s="3248">
        <v>0</v>
      </c>
      <c r="BE573" s="3248">
        <v>0</v>
      </c>
      <c r="BF573" s="3248">
        <f t="shared" si="57"/>
        <v>0</v>
      </c>
      <c r="BG573" s="3248">
        <f t="shared" si="58"/>
        <v>0</v>
      </c>
      <c r="BH573" s="3249"/>
      <c r="BI573" s="3249"/>
    </row>
    <row r="574" spans="1:61" x14ac:dyDescent="0.3">
      <c r="A574" s="4197" t="s">
        <v>3384</v>
      </c>
      <c r="B574" s="3261"/>
      <c r="C574" s="3243">
        <v>0</v>
      </c>
      <c r="D574" s="3242">
        <v>0</v>
      </c>
      <c r="E574" s="3244"/>
      <c r="F574" s="3244"/>
      <c r="G574" s="3242">
        <v>0</v>
      </c>
      <c r="H574" s="3244"/>
      <c r="I574" s="3244"/>
      <c r="J574" s="3244"/>
      <c r="K574" s="3242">
        <v>0</v>
      </c>
      <c r="L574" s="3244"/>
      <c r="M574" s="3244"/>
      <c r="N574" s="3242" t="s">
        <v>3384</v>
      </c>
      <c r="O574" s="3239">
        <v>0</v>
      </c>
      <c r="P574" s="3242">
        <v>0</v>
      </c>
      <c r="Q574" s="3244"/>
      <c r="R574" s="3244"/>
      <c r="S574" s="3242">
        <v>0</v>
      </c>
      <c r="T574" s="3244"/>
      <c r="U574" s="3244"/>
      <c r="V574" s="3244"/>
      <c r="W574" s="3240">
        <v>0</v>
      </c>
      <c r="X574" s="3244"/>
      <c r="Y574" s="3244"/>
      <c r="Z574" s="3242" t="s">
        <v>3384</v>
      </c>
      <c r="AA574" s="3243">
        <v>0</v>
      </c>
      <c r="AB574" s="3242">
        <v>0</v>
      </c>
      <c r="AC574" s="3244"/>
      <c r="AD574" s="3244"/>
      <c r="AE574" s="3242">
        <v>0</v>
      </c>
      <c r="AF574" s="3259"/>
      <c r="AG574" s="3260"/>
      <c r="AH574" s="3250"/>
      <c r="AI574" s="4200"/>
      <c r="AJ574" s="3260"/>
      <c r="AK574" s="3260"/>
      <c r="AL574" s="3259"/>
      <c r="AM574" s="3260"/>
      <c r="AN574" s="3259"/>
      <c r="AO574" s="3260"/>
      <c r="AP574" s="3242">
        <v>0</v>
      </c>
      <c r="AQ574" s="3244"/>
      <c r="AR574" s="3244"/>
      <c r="AS574" s="3242" t="s">
        <v>3384</v>
      </c>
      <c r="AT574" s="3247">
        <f t="shared" si="55"/>
        <v>0</v>
      </c>
      <c r="AU574" s="3248">
        <f t="shared" si="56"/>
        <v>0</v>
      </c>
      <c r="AV574" s="3248">
        <v>0</v>
      </c>
      <c r="AW574" s="3247">
        <v>0</v>
      </c>
      <c r="AX574" s="3248">
        <v>0</v>
      </c>
      <c r="AY574" s="3248">
        <v>0</v>
      </c>
      <c r="AZ574" s="3247">
        <v>0</v>
      </c>
      <c r="BA574" s="3248">
        <v>0</v>
      </c>
      <c r="BB574" s="3248">
        <v>0</v>
      </c>
      <c r="BC574" s="3247">
        <v>0</v>
      </c>
      <c r="BD574" s="3248">
        <v>0</v>
      </c>
      <c r="BE574" s="3248">
        <v>0</v>
      </c>
      <c r="BF574" s="3248">
        <f t="shared" si="57"/>
        <v>0</v>
      </c>
      <c r="BG574" s="3248">
        <f t="shared" si="58"/>
        <v>0</v>
      </c>
      <c r="BH574" s="3249"/>
      <c r="BI574" s="3249"/>
    </row>
    <row r="575" spans="1:61" x14ac:dyDescent="0.3">
      <c r="A575" s="4197" t="s">
        <v>3384</v>
      </c>
      <c r="B575" s="3261"/>
      <c r="C575" s="3243">
        <v>0</v>
      </c>
      <c r="D575" s="3242">
        <v>0</v>
      </c>
      <c r="E575" s="3244"/>
      <c r="F575" s="3244"/>
      <c r="G575" s="3242">
        <v>0</v>
      </c>
      <c r="H575" s="3244"/>
      <c r="I575" s="3244"/>
      <c r="J575" s="3244"/>
      <c r="K575" s="3242">
        <v>0</v>
      </c>
      <c r="L575" s="3244"/>
      <c r="M575" s="3244"/>
      <c r="N575" s="3242" t="s">
        <v>3384</v>
      </c>
      <c r="O575" s="3239">
        <v>0</v>
      </c>
      <c r="P575" s="3242">
        <v>0</v>
      </c>
      <c r="Q575" s="3244"/>
      <c r="R575" s="3244"/>
      <c r="S575" s="3242">
        <v>0</v>
      </c>
      <c r="T575" s="3244"/>
      <c r="U575" s="3244"/>
      <c r="V575" s="3244"/>
      <c r="W575" s="3240">
        <v>0</v>
      </c>
      <c r="X575" s="3244"/>
      <c r="Y575" s="3244"/>
      <c r="Z575" s="3242" t="s">
        <v>3384</v>
      </c>
      <c r="AA575" s="3243">
        <v>0</v>
      </c>
      <c r="AB575" s="3242">
        <v>0</v>
      </c>
      <c r="AC575" s="3244"/>
      <c r="AD575" s="3244"/>
      <c r="AE575" s="3242">
        <v>0</v>
      </c>
      <c r="AF575" s="3259"/>
      <c r="AG575" s="3260"/>
      <c r="AH575" s="3250"/>
      <c r="AI575" s="4200"/>
      <c r="AJ575" s="3260"/>
      <c r="AK575" s="3260"/>
      <c r="AL575" s="3259"/>
      <c r="AM575" s="3260"/>
      <c r="AN575" s="3259"/>
      <c r="AO575" s="3260"/>
      <c r="AP575" s="3242">
        <v>0</v>
      </c>
      <c r="AQ575" s="3244"/>
      <c r="AR575" s="3244"/>
      <c r="AS575" s="3242" t="s">
        <v>3384</v>
      </c>
      <c r="AT575" s="3247">
        <f t="shared" si="55"/>
        <v>0</v>
      </c>
      <c r="AU575" s="3248">
        <f t="shared" si="56"/>
        <v>0</v>
      </c>
      <c r="AV575" s="3248">
        <v>0</v>
      </c>
      <c r="AW575" s="3247">
        <v>0</v>
      </c>
      <c r="AX575" s="3248">
        <v>0</v>
      </c>
      <c r="AY575" s="3248">
        <v>0</v>
      </c>
      <c r="AZ575" s="3247">
        <v>0</v>
      </c>
      <c r="BA575" s="3248">
        <v>0</v>
      </c>
      <c r="BB575" s="3248">
        <v>0</v>
      </c>
      <c r="BC575" s="3247">
        <v>0</v>
      </c>
      <c r="BD575" s="3248">
        <v>0</v>
      </c>
      <c r="BE575" s="3248">
        <v>0</v>
      </c>
      <c r="BF575" s="3248">
        <f t="shared" si="57"/>
        <v>0</v>
      </c>
      <c r="BG575" s="3248">
        <f t="shared" si="58"/>
        <v>0</v>
      </c>
      <c r="BH575" s="3249"/>
      <c r="BI575" s="3249"/>
    </row>
    <row r="576" spans="1:61" x14ac:dyDescent="0.3">
      <c r="A576" s="4197" t="s">
        <v>3384</v>
      </c>
      <c r="B576" s="3261"/>
      <c r="C576" s="3243">
        <v>0</v>
      </c>
      <c r="D576" s="3242">
        <v>0</v>
      </c>
      <c r="E576" s="3244"/>
      <c r="F576" s="3244"/>
      <c r="G576" s="3242">
        <v>0</v>
      </c>
      <c r="H576" s="3244"/>
      <c r="I576" s="3244"/>
      <c r="J576" s="3244"/>
      <c r="K576" s="3242">
        <v>0</v>
      </c>
      <c r="L576" s="3244"/>
      <c r="M576" s="3244"/>
      <c r="N576" s="3242" t="s">
        <v>3384</v>
      </c>
      <c r="O576" s="3239">
        <v>0</v>
      </c>
      <c r="P576" s="3242">
        <v>0</v>
      </c>
      <c r="Q576" s="3244"/>
      <c r="R576" s="3244"/>
      <c r="S576" s="3242">
        <v>0</v>
      </c>
      <c r="T576" s="3244"/>
      <c r="U576" s="3244"/>
      <c r="V576" s="3244"/>
      <c r="W576" s="3240">
        <v>0</v>
      </c>
      <c r="X576" s="3244"/>
      <c r="Y576" s="3244"/>
      <c r="Z576" s="3242" t="s">
        <v>3384</v>
      </c>
      <c r="AA576" s="3243">
        <v>0</v>
      </c>
      <c r="AB576" s="3242">
        <v>0</v>
      </c>
      <c r="AC576" s="3244"/>
      <c r="AD576" s="3244"/>
      <c r="AE576" s="3242">
        <v>0</v>
      </c>
      <c r="AF576" s="3259"/>
      <c r="AG576" s="3260"/>
      <c r="AH576" s="3250"/>
      <c r="AI576" s="4200"/>
      <c r="AJ576" s="3260"/>
      <c r="AK576" s="3260"/>
      <c r="AL576" s="3259"/>
      <c r="AM576" s="3260"/>
      <c r="AN576" s="3259"/>
      <c r="AO576" s="3260"/>
      <c r="AP576" s="3242">
        <v>0</v>
      </c>
      <c r="AQ576" s="3244"/>
      <c r="AR576" s="3244"/>
      <c r="AS576" s="3242" t="s">
        <v>3384</v>
      </c>
      <c r="AT576" s="3247">
        <f t="shared" si="55"/>
        <v>0</v>
      </c>
      <c r="AU576" s="3248">
        <f t="shared" si="56"/>
        <v>0</v>
      </c>
      <c r="AV576" s="3248">
        <v>0</v>
      </c>
      <c r="AW576" s="3247">
        <v>0</v>
      </c>
      <c r="AX576" s="3248">
        <v>0</v>
      </c>
      <c r="AY576" s="3248">
        <v>0</v>
      </c>
      <c r="AZ576" s="3247">
        <v>0</v>
      </c>
      <c r="BA576" s="3248">
        <v>0</v>
      </c>
      <c r="BB576" s="3248">
        <v>0</v>
      </c>
      <c r="BC576" s="3247">
        <v>0</v>
      </c>
      <c r="BD576" s="3248">
        <v>0</v>
      </c>
      <c r="BE576" s="3248">
        <v>0</v>
      </c>
      <c r="BF576" s="3248">
        <f t="shared" si="57"/>
        <v>0</v>
      </c>
      <c r="BG576" s="3248">
        <f t="shared" si="58"/>
        <v>0</v>
      </c>
      <c r="BH576" s="3249"/>
      <c r="BI576" s="3249"/>
    </row>
    <row r="577" spans="1:61" x14ac:dyDescent="0.3">
      <c r="A577" s="4197" t="s">
        <v>3384</v>
      </c>
      <c r="B577" s="3261"/>
      <c r="C577" s="3243">
        <v>0</v>
      </c>
      <c r="D577" s="3242">
        <v>0</v>
      </c>
      <c r="E577" s="3244"/>
      <c r="F577" s="3244"/>
      <c r="G577" s="3242">
        <v>0</v>
      </c>
      <c r="H577" s="3244"/>
      <c r="I577" s="3244"/>
      <c r="J577" s="3244"/>
      <c r="K577" s="3242">
        <v>0</v>
      </c>
      <c r="L577" s="3244"/>
      <c r="M577" s="3244"/>
      <c r="N577" s="3242" t="s">
        <v>3384</v>
      </c>
      <c r="O577" s="3239">
        <v>0</v>
      </c>
      <c r="P577" s="3242">
        <v>0</v>
      </c>
      <c r="Q577" s="3244"/>
      <c r="R577" s="3244"/>
      <c r="S577" s="3242">
        <v>0</v>
      </c>
      <c r="T577" s="3244"/>
      <c r="U577" s="3244"/>
      <c r="V577" s="3244"/>
      <c r="W577" s="3240">
        <v>0</v>
      </c>
      <c r="X577" s="3244"/>
      <c r="Y577" s="3244"/>
      <c r="Z577" s="3242" t="s">
        <v>3384</v>
      </c>
      <c r="AA577" s="3243">
        <v>0</v>
      </c>
      <c r="AB577" s="3242">
        <v>0</v>
      </c>
      <c r="AC577" s="3244"/>
      <c r="AD577" s="3244"/>
      <c r="AE577" s="3242">
        <v>0</v>
      </c>
      <c r="AF577" s="3259"/>
      <c r="AG577" s="3260"/>
      <c r="AH577" s="3250"/>
      <c r="AI577" s="4200"/>
      <c r="AJ577" s="3260"/>
      <c r="AK577" s="3260"/>
      <c r="AL577" s="3259"/>
      <c r="AM577" s="3260"/>
      <c r="AN577" s="3259"/>
      <c r="AO577" s="3260"/>
      <c r="AP577" s="3242">
        <v>0</v>
      </c>
      <c r="AQ577" s="3244"/>
      <c r="AR577" s="3244"/>
      <c r="AS577" s="3242" t="s">
        <v>3384</v>
      </c>
      <c r="AT577" s="3247">
        <f t="shared" si="55"/>
        <v>0</v>
      </c>
      <c r="AU577" s="3248">
        <f t="shared" si="56"/>
        <v>0</v>
      </c>
      <c r="AV577" s="3248">
        <v>0</v>
      </c>
      <c r="AW577" s="3247">
        <v>0</v>
      </c>
      <c r="AX577" s="3248">
        <v>0</v>
      </c>
      <c r="AY577" s="3248">
        <v>0</v>
      </c>
      <c r="AZ577" s="3247">
        <v>0</v>
      </c>
      <c r="BA577" s="3248">
        <v>0</v>
      </c>
      <c r="BB577" s="3248">
        <v>0</v>
      </c>
      <c r="BC577" s="3247">
        <v>0</v>
      </c>
      <c r="BD577" s="3248">
        <v>0</v>
      </c>
      <c r="BE577" s="3248">
        <v>0</v>
      </c>
      <c r="BF577" s="3248">
        <f t="shared" si="57"/>
        <v>0</v>
      </c>
      <c r="BG577" s="3248">
        <f t="shared" si="58"/>
        <v>0</v>
      </c>
      <c r="BH577" s="3249"/>
      <c r="BI577" s="3249"/>
    </row>
    <row r="578" spans="1:61" x14ac:dyDescent="0.3">
      <c r="A578" s="4197" t="s">
        <v>3384</v>
      </c>
      <c r="B578" s="3261"/>
      <c r="C578" s="3243">
        <v>0</v>
      </c>
      <c r="D578" s="3242">
        <v>0</v>
      </c>
      <c r="E578" s="3244"/>
      <c r="F578" s="3244"/>
      <c r="G578" s="3242">
        <v>0</v>
      </c>
      <c r="H578" s="3244"/>
      <c r="I578" s="3244"/>
      <c r="J578" s="3244"/>
      <c r="K578" s="3242">
        <v>0</v>
      </c>
      <c r="L578" s="3244"/>
      <c r="M578" s="3244"/>
      <c r="N578" s="3242" t="s">
        <v>3384</v>
      </c>
      <c r="O578" s="3239">
        <v>0</v>
      </c>
      <c r="P578" s="3242">
        <v>0</v>
      </c>
      <c r="Q578" s="3244"/>
      <c r="R578" s="3244"/>
      <c r="S578" s="3242">
        <v>0</v>
      </c>
      <c r="T578" s="3244"/>
      <c r="U578" s="3244"/>
      <c r="V578" s="3244"/>
      <c r="W578" s="3240">
        <v>0</v>
      </c>
      <c r="X578" s="3244"/>
      <c r="Y578" s="3244"/>
      <c r="Z578" s="3242" t="s">
        <v>3384</v>
      </c>
      <c r="AA578" s="3243">
        <v>0</v>
      </c>
      <c r="AB578" s="3242">
        <v>0</v>
      </c>
      <c r="AC578" s="3244"/>
      <c r="AD578" s="3244"/>
      <c r="AE578" s="3242">
        <v>0</v>
      </c>
      <c r="AF578" s="3259"/>
      <c r="AG578" s="3260"/>
      <c r="AH578" s="3250"/>
      <c r="AI578" s="4200"/>
      <c r="AJ578" s="3260"/>
      <c r="AK578" s="3260"/>
      <c r="AL578" s="3259"/>
      <c r="AM578" s="3260"/>
      <c r="AN578" s="3259"/>
      <c r="AO578" s="3260"/>
      <c r="AP578" s="3242">
        <v>0</v>
      </c>
      <c r="AQ578" s="3244"/>
      <c r="AR578" s="3244"/>
      <c r="AS578" s="3242" t="s">
        <v>3384</v>
      </c>
      <c r="AT578" s="3247">
        <f t="shared" si="55"/>
        <v>0</v>
      </c>
      <c r="AU578" s="3248">
        <f t="shared" si="56"/>
        <v>0</v>
      </c>
      <c r="AV578" s="3248">
        <v>0</v>
      </c>
      <c r="AW578" s="3247">
        <v>0</v>
      </c>
      <c r="AX578" s="3248">
        <v>0</v>
      </c>
      <c r="AY578" s="3248">
        <v>0</v>
      </c>
      <c r="AZ578" s="3247">
        <v>0</v>
      </c>
      <c r="BA578" s="3248">
        <v>0</v>
      </c>
      <c r="BB578" s="3248">
        <v>0</v>
      </c>
      <c r="BC578" s="3247">
        <v>0</v>
      </c>
      <c r="BD578" s="3248">
        <v>0</v>
      </c>
      <c r="BE578" s="3248">
        <v>0</v>
      </c>
      <c r="BF578" s="3248">
        <f t="shared" si="57"/>
        <v>0</v>
      </c>
      <c r="BG578" s="3248">
        <f t="shared" si="58"/>
        <v>0</v>
      </c>
      <c r="BH578" s="3249"/>
      <c r="BI578" s="3249"/>
    </row>
    <row r="579" spans="1:61" x14ac:dyDescent="0.3">
      <c r="A579" s="4197" t="s">
        <v>3384</v>
      </c>
      <c r="B579" s="3261"/>
      <c r="C579" s="3243">
        <v>0</v>
      </c>
      <c r="D579" s="3242">
        <v>0</v>
      </c>
      <c r="E579" s="3244"/>
      <c r="F579" s="3244"/>
      <c r="G579" s="3242">
        <v>0</v>
      </c>
      <c r="H579" s="3244"/>
      <c r="I579" s="3244"/>
      <c r="J579" s="3244"/>
      <c r="K579" s="3242">
        <v>0</v>
      </c>
      <c r="L579" s="3244"/>
      <c r="M579" s="3244"/>
      <c r="N579" s="3242" t="s">
        <v>3384</v>
      </c>
      <c r="O579" s="3239">
        <v>0</v>
      </c>
      <c r="P579" s="3242">
        <v>0</v>
      </c>
      <c r="Q579" s="3244"/>
      <c r="R579" s="3244"/>
      <c r="S579" s="3242">
        <v>0</v>
      </c>
      <c r="T579" s="3244"/>
      <c r="U579" s="3244"/>
      <c r="V579" s="3244"/>
      <c r="W579" s="3240">
        <v>0</v>
      </c>
      <c r="X579" s="3244"/>
      <c r="Y579" s="3244"/>
      <c r="Z579" s="3242" t="s">
        <v>3384</v>
      </c>
      <c r="AA579" s="3243">
        <v>0</v>
      </c>
      <c r="AB579" s="3242">
        <v>0</v>
      </c>
      <c r="AC579" s="3244"/>
      <c r="AD579" s="3244"/>
      <c r="AE579" s="3242">
        <v>0</v>
      </c>
      <c r="AF579" s="3259"/>
      <c r="AG579" s="3260"/>
      <c r="AH579" s="3259"/>
      <c r="AI579" s="3259"/>
      <c r="AJ579" s="3260"/>
      <c r="AK579" s="3260"/>
      <c r="AL579" s="3259"/>
      <c r="AM579" s="3260"/>
      <c r="AN579" s="3259"/>
      <c r="AO579" s="3260"/>
      <c r="AP579" s="3242">
        <v>0</v>
      </c>
      <c r="AQ579" s="3244"/>
      <c r="AR579" s="3244"/>
      <c r="AS579" s="3242" t="s">
        <v>3384</v>
      </c>
      <c r="AT579" s="3247">
        <f t="shared" si="55"/>
        <v>0</v>
      </c>
      <c r="AU579" s="3248">
        <f t="shared" si="56"/>
        <v>0</v>
      </c>
      <c r="AV579" s="3248">
        <v>0</v>
      </c>
      <c r="AW579" s="3247">
        <v>0</v>
      </c>
      <c r="AX579" s="3248">
        <v>0</v>
      </c>
      <c r="AY579" s="3248">
        <v>0</v>
      </c>
      <c r="AZ579" s="3247">
        <v>0</v>
      </c>
      <c r="BA579" s="3248">
        <v>0</v>
      </c>
      <c r="BB579" s="3248">
        <v>0</v>
      </c>
      <c r="BC579" s="3247">
        <v>0</v>
      </c>
      <c r="BD579" s="3248">
        <v>0</v>
      </c>
      <c r="BE579" s="3248">
        <v>0</v>
      </c>
      <c r="BF579" s="3248">
        <f t="shared" si="57"/>
        <v>0</v>
      </c>
      <c r="BG579" s="3248">
        <f t="shared" si="58"/>
        <v>0</v>
      </c>
      <c r="BH579" s="3249"/>
      <c r="BI579" s="3249"/>
    </row>
    <row r="580" spans="1:61" x14ac:dyDescent="0.3">
      <c r="A580" s="4197" t="s">
        <v>3384</v>
      </c>
      <c r="B580" s="3261"/>
      <c r="C580" s="3243">
        <v>0</v>
      </c>
      <c r="D580" s="3242">
        <v>0</v>
      </c>
      <c r="E580" s="3244"/>
      <c r="F580" s="3244"/>
      <c r="G580" s="3242">
        <v>0</v>
      </c>
      <c r="H580" s="3244"/>
      <c r="I580" s="3244"/>
      <c r="J580" s="3244"/>
      <c r="K580" s="3242">
        <v>0</v>
      </c>
      <c r="L580" s="3244"/>
      <c r="M580" s="3244"/>
      <c r="N580" s="3242" t="s">
        <v>3384</v>
      </c>
      <c r="O580" s="3239">
        <v>0</v>
      </c>
      <c r="P580" s="3242">
        <v>0</v>
      </c>
      <c r="Q580" s="3244"/>
      <c r="R580" s="3244"/>
      <c r="S580" s="3242">
        <v>0</v>
      </c>
      <c r="T580" s="3244"/>
      <c r="U580" s="3244"/>
      <c r="V580" s="3244"/>
      <c r="W580" s="3240">
        <v>0</v>
      </c>
      <c r="X580" s="3244"/>
      <c r="Y580" s="3244"/>
      <c r="Z580" s="3242" t="s">
        <v>3384</v>
      </c>
      <c r="AA580" s="3243">
        <v>0</v>
      </c>
      <c r="AB580" s="3242">
        <v>0</v>
      </c>
      <c r="AC580" s="3244"/>
      <c r="AD580" s="3244"/>
      <c r="AE580" s="3242">
        <v>0</v>
      </c>
      <c r="AF580" s="3259"/>
      <c r="AG580" s="3260"/>
      <c r="AH580" s="3259"/>
      <c r="AI580" s="3259"/>
      <c r="AJ580" s="3260"/>
      <c r="AK580" s="3260"/>
      <c r="AL580" s="3259"/>
      <c r="AM580" s="3260"/>
      <c r="AN580" s="3259"/>
      <c r="AO580" s="3260"/>
      <c r="AP580" s="3242">
        <v>0</v>
      </c>
      <c r="AQ580" s="3244"/>
      <c r="AR580" s="3244"/>
      <c r="AS580" s="3242" t="s">
        <v>3384</v>
      </c>
      <c r="AT580" s="3247">
        <f t="shared" si="55"/>
        <v>0</v>
      </c>
      <c r="AU580" s="3248">
        <f t="shared" si="56"/>
        <v>0</v>
      </c>
      <c r="AV580" s="3248">
        <v>0</v>
      </c>
      <c r="AW580" s="3247">
        <v>0</v>
      </c>
      <c r="AX580" s="3248">
        <v>0</v>
      </c>
      <c r="AY580" s="3248">
        <v>0</v>
      </c>
      <c r="AZ580" s="3247">
        <v>0</v>
      </c>
      <c r="BA580" s="3248">
        <v>0</v>
      </c>
      <c r="BB580" s="3248">
        <v>0</v>
      </c>
      <c r="BC580" s="3247">
        <v>0</v>
      </c>
      <c r="BD580" s="3248">
        <v>0</v>
      </c>
      <c r="BE580" s="3248">
        <v>0</v>
      </c>
      <c r="BF580" s="3248">
        <f t="shared" si="57"/>
        <v>0</v>
      </c>
      <c r="BG580" s="3248">
        <f t="shared" si="58"/>
        <v>0</v>
      </c>
      <c r="BH580" s="3249"/>
      <c r="BI580" s="3249"/>
    </row>
    <row r="581" spans="1:61" x14ac:dyDescent="0.3">
      <c r="A581" s="4197" t="s">
        <v>3384</v>
      </c>
      <c r="B581" s="3261"/>
      <c r="C581" s="3243">
        <v>0</v>
      </c>
      <c r="D581" s="3242">
        <v>0</v>
      </c>
      <c r="E581" s="3244"/>
      <c r="F581" s="3244"/>
      <c r="G581" s="3242">
        <v>0</v>
      </c>
      <c r="H581" s="3244"/>
      <c r="I581" s="3244"/>
      <c r="J581" s="3244"/>
      <c r="K581" s="3242">
        <v>0</v>
      </c>
      <c r="L581" s="3244"/>
      <c r="M581" s="3244"/>
      <c r="N581" s="3242" t="s">
        <v>3384</v>
      </c>
      <c r="O581" s="3239">
        <v>0</v>
      </c>
      <c r="P581" s="3242">
        <v>0</v>
      </c>
      <c r="Q581" s="3244"/>
      <c r="R581" s="3244"/>
      <c r="S581" s="3242">
        <v>0</v>
      </c>
      <c r="T581" s="3244"/>
      <c r="U581" s="3244"/>
      <c r="V581" s="3244"/>
      <c r="W581" s="3240">
        <v>0</v>
      </c>
      <c r="X581" s="3244"/>
      <c r="Y581" s="3244"/>
      <c r="Z581" s="3242" t="s">
        <v>3384</v>
      </c>
      <c r="AA581" s="3243">
        <v>0</v>
      </c>
      <c r="AB581" s="3242">
        <v>0</v>
      </c>
      <c r="AC581" s="3244"/>
      <c r="AD581" s="3244"/>
      <c r="AE581" s="3242">
        <v>0</v>
      </c>
      <c r="AF581" s="3259"/>
      <c r="AG581" s="3260"/>
      <c r="AH581" s="3259"/>
      <c r="AI581" s="3259"/>
      <c r="AJ581" s="3260"/>
      <c r="AK581" s="3260"/>
      <c r="AL581" s="3259"/>
      <c r="AM581" s="3260"/>
      <c r="AN581" s="3259"/>
      <c r="AO581" s="3260"/>
      <c r="AP581" s="3242">
        <v>0</v>
      </c>
      <c r="AQ581" s="3244"/>
      <c r="AR581" s="3244"/>
      <c r="AS581" s="3242" t="s">
        <v>3384</v>
      </c>
      <c r="AT581" s="3247">
        <f t="shared" si="55"/>
        <v>0</v>
      </c>
      <c r="AU581" s="3248">
        <f t="shared" si="56"/>
        <v>0</v>
      </c>
      <c r="AV581" s="3248">
        <v>0</v>
      </c>
      <c r="AW581" s="3247">
        <v>0</v>
      </c>
      <c r="AX581" s="3248">
        <v>0</v>
      </c>
      <c r="AY581" s="3248">
        <v>0</v>
      </c>
      <c r="AZ581" s="3247">
        <v>0</v>
      </c>
      <c r="BA581" s="3248">
        <v>0</v>
      </c>
      <c r="BB581" s="3248">
        <v>0</v>
      </c>
      <c r="BC581" s="3247">
        <v>0</v>
      </c>
      <c r="BD581" s="3248">
        <v>0</v>
      </c>
      <c r="BE581" s="3248">
        <v>0</v>
      </c>
      <c r="BF581" s="3248">
        <f t="shared" si="57"/>
        <v>0</v>
      </c>
      <c r="BG581" s="3248">
        <f t="shared" si="58"/>
        <v>0</v>
      </c>
      <c r="BH581" s="3249"/>
      <c r="BI581" s="3249"/>
    </row>
    <row r="582" spans="1:61" x14ac:dyDescent="0.3">
      <c r="A582" s="4197" t="s">
        <v>3384</v>
      </c>
      <c r="B582" s="3261"/>
      <c r="C582" s="3243">
        <v>0</v>
      </c>
      <c r="D582" s="3242">
        <v>0</v>
      </c>
      <c r="E582" s="3244"/>
      <c r="F582" s="3244"/>
      <c r="G582" s="3242">
        <v>0</v>
      </c>
      <c r="H582" s="3244"/>
      <c r="I582" s="3244"/>
      <c r="J582" s="3244"/>
      <c r="K582" s="3242">
        <v>0</v>
      </c>
      <c r="L582" s="3244"/>
      <c r="M582" s="3244"/>
      <c r="N582" s="3242" t="s">
        <v>3384</v>
      </c>
      <c r="O582" s="3239">
        <v>0</v>
      </c>
      <c r="P582" s="3242">
        <v>0</v>
      </c>
      <c r="Q582" s="3244"/>
      <c r="R582" s="3244"/>
      <c r="S582" s="3242">
        <v>0</v>
      </c>
      <c r="T582" s="3244"/>
      <c r="U582" s="3244"/>
      <c r="V582" s="3244"/>
      <c r="W582" s="3240">
        <v>0</v>
      </c>
      <c r="X582" s="3244"/>
      <c r="Y582" s="3244"/>
      <c r="Z582" s="3242" t="s">
        <v>3384</v>
      </c>
      <c r="AA582" s="3243">
        <v>0</v>
      </c>
      <c r="AB582" s="3242">
        <v>0</v>
      </c>
      <c r="AC582" s="3244"/>
      <c r="AD582" s="3244"/>
      <c r="AE582" s="3242">
        <v>0</v>
      </c>
      <c r="AF582" s="3259"/>
      <c r="AG582" s="3260"/>
      <c r="AH582" s="3259"/>
      <c r="AI582" s="3259"/>
      <c r="AJ582" s="3260"/>
      <c r="AK582" s="3260"/>
      <c r="AL582" s="3259"/>
      <c r="AM582" s="3260"/>
      <c r="AN582" s="3259"/>
      <c r="AO582" s="3260"/>
      <c r="AP582" s="3242">
        <v>0</v>
      </c>
      <c r="AQ582" s="3244"/>
      <c r="AR582" s="3244"/>
      <c r="AS582" s="3242" t="s">
        <v>3384</v>
      </c>
      <c r="AT582" s="3247">
        <f t="shared" si="55"/>
        <v>0</v>
      </c>
      <c r="AU582" s="3248">
        <f t="shared" si="56"/>
        <v>0</v>
      </c>
      <c r="AV582" s="3248">
        <v>0</v>
      </c>
      <c r="AW582" s="3247">
        <v>0</v>
      </c>
      <c r="AX582" s="3248">
        <v>0</v>
      </c>
      <c r="AY582" s="3248">
        <v>0</v>
      </c>
      <c r="AZ582" s="3247">
        <v>0</v>
      </c>
      <c r="BA582" s="3248">
        <v>0</v>
      </c>
      <c r="BB582" s="3248">
        <v>0</v>
      </c>
      <c r="BC582" s="3247">
        <v>0</v>
      </c>
      <c r="BD582" s="3248">
        <v>0</v>
      </c>
      <c r="BE582" s="3248">
        <v>0</v>
      </c>
      <c r="BF582" s="3248">
        <f t="shared" si="57"/>
        <v>0</v>
      </c>
      <c r="BG582" s="3248">
        <f t="shared" si="58"/>
        <v>0</v>
      </c>
      <c r="BH582" s="3249"/>
      <c r="BI582" s="3249"/>
    </row>
    <row r="583" spans="1:61" x14ac:dyDescent="0.3">
      <c r="A583" s="4197" t="s">
        <v>3384</v>
      </c>
      <c r="B583" s="3261"/>
      <c r="C583" s="3243">
        <v>0</v>
      </c>
      <c r="D583" s="3242">
        <v>0</v>
      </c>
      <c r="E583" s="3244"/>
      <c r="F583" s="3244"/>
      <c r="G583" s="3242">
        <v>0</v>
      </c>
      <c r="H583" s="3244"/>
      <c r="I583" s="3244"/>
      <c r="J583" s="3244"/>
      <c r="K583" s="3242">
        <v>0</v>
      </c>
      <c r="L583" s="3244"/>
      <c r="M583" s="3244"/>
      <c r="N583" s="3242" t="s">
        <v>3384</v>
      </c>
      <c r="O583" s="3239">
        <v>0</v>
      </c>
      <c r="P583" s="3242">
        <v>0</v>
      </c>
      <c r="Q583" s="3244"/>
      <c r="R583" s="3244"/>
      <c r="S583" s="3242">
        <v>0</v>
      </c>
      <c r="T583" s="3244"/>
      <c r="U583" s="3244"/>
      <c r="V583" s="3244"/>
      <c r="W583" s="3240">
        <v>0</v>
      </c>
      <c r="X583" s="3244"/>
      <c r="Y583" s="3244"/>
      <c r="Z583" s="3242" t="s">
        <v>3384</v>
      </c>
      <c r="AA583" s="3243">
        <v>0</v>
      </c>
      <c r="AB583" s="3242">
        <v>0</v>
      </c>
      <c r="AC583" s="3244"/>
      <c r="AD583" s="3244"/>
      <c r="AE583" s="3242">
        <v>0</v>
      </c>
      <c r="AF583" s="3259"/>
      <c r="AG583" s="3260"/>
      <c r="AH583" s="3259"/>
      <c r="AI583" s="3259"/>
      <c r="AJ583" s="3260"/>
      <c r="AK583" s="3260"/>
      <c r="AL583" s="3259"/>
      <c r="AM583" s="3260"/>
      <c r="AN583" s="3259"/>
      <c r="AO583" s="3260"/>
      <c r="AP583" s="3242">
        <v>0</v>
      </c>
      <c r="AQ583" s="3244"/>
      <c r="AR583" s="3244"/>
      <c r="AS583" s="3242" t="s">
        <v>3384</v>
      </c>
      <c r="AT583" s="3247">
        <f t="shared" si="55"/>
        <v>0</v>
      </c>
      <c r="AU583" s="3248">
        <f t="shared" si="56"/>
        <v>0</v>
      </c>
      <c r="AV583" s="3248">
        <v>0</v>
      </c>
      <c r="AW583" s="3247">
        <v>0</v>
      </c>
      <c r="AX583" s="3248">
        <v>0</v>
      </c>
      <c r="AY583" s="3248">
        <v>0</v>
      </c>
      <c r="AZ583" s="3247">
        <v>0</v>
      </c>
      <c r="BA583" s="3248">
        <v>0</v>
      </c>
      <c r="BB583" s="3248">
        <v>0</v>
      </c>
      <c r="BC583" s="3247">
        <v>0</v>
      </c>
      <c r="BD583" s="3248">
        <v>0</v>
      </c>
      <c r="BE583" s="3248">
        <v>0</v>
      </c>
      <c r="BF583" s="3248">
        <f t="shared" si="57"/>
        <v>0</v>
      </c>
      <c r="BG583" s="3248">
        <f t="shared" si="58"/>
        <v>0</v>
      </c>
      <c r="BH583" s="3249"/>
      <c r="BI583" s="3249"/>
    </row>
    <row r="584" spans="1:61" x14ac:dyDescent="0.3">
      <c r="A584" s="4197" t="s">
        <v>3384</v>
      </c>
      <c r="B584" s="3261"/>
      <c r="C584" s="3243">
        <v>0</v>
      </c>
      <c r="D584" s="3242">
        <v>0</v>
      </c>
      <c r="E584" s="3244"/>
      <c r="F584" s="3244"/>
      <c r="G584" s="3242">
        <v>0</v>
      </c>
      <c r="H584" s="3244"/>
      <c r="I584" s="3244"/>
      <c r="J584" s="3244"/>
      <c r="K584" s="3242">
        <v>0</v>
      </c>
      <c r="L584" s="3244"/>
      <c r="M584" s="3244"/>
      <c r="N584" s="3242" t="s">
        <v>3384</v>
      </c>
      <c r="O584" s="3239">
        <v>0</v>
      </c>
      <c r="P584" s="3242">
        <v>0</v>
      </c>
      <c r="Q584" s="3244"/>
      <c r="R584" s="3244"/>
      <c r="S584" s="3242">
        <v>0</v>
      </c>
      <c r="T584" s="3244"/>
      <c r="U584" s="3244"/>
      <c r="V584" s="3244"/>
      <c r="W584" s="3240">
        <v>0</v>
      </c>
      <c r="X584" s="3244"/>
      <c r="Y584" s="3244"/>
      <c r="Z584" s="3242" t="s">
        <v>3384</v>
      </c>
      <c r="AA584" s="3243">
        <v>0</v>
      </c>
      <c r="AB584" s="3242">
        <v>0</v>
      </c>
      <c r="AC584" s="3244"/>
      <c r="AD584" s="3244"/>
      <c r="AE584" s="3242">
        <v>0</v>
      </c>
      <c r="AF584" s="3259"/>
      <c r="AG584" s="3260"/>
      <c r="AH584" s="3259"/>
      <c r="AI584" s="3259"/>
      <c r="AJ584" s="3260"/>
      <c r="AK584" s="3260"/>
      <c r="AL584" s="3259"/>
      <c r="AM584" s="3260"/>
      <c r="AN584" s="3259"/>
      <c r="AO584" s="3260"/>
      <c r="AP584" s="3242">
        <v>0</v>
      </c>
      <c r="AQ584" s="3244"/>
      <c r="AR584" s="3244"/>
      <c r="AS584" s="3242" t="s">
        <v>3384</v>
      </c>
      <c r="AT584" s="3247">
        <f t="shared" si="55"/>
        <v>0</v>
      </c>
      <c r="AU584" s="3248">
        <f t="shared" si="56"/>
        <v>0</v>
      </c>
      <c r="AV584" s="3248">
        <v>0</v>
      </c>
      <c r="AW584" s="3247">
        <v>0</v>
      </c>
      <c r="AX584" s="3248">
        <v>0</v>
      </c>
      <c r="AY584" s="3248">
        <v>0</v>
      </c>
      <c r="AZ584" s="3247">
        <v>0</v>
      </c>
      <c r="BA584" s="3248">
        <v>0</v>
      </c>
      <c r="BB584" s="3248">
        <v>0</v>
      </c>
      <c r="BC584" s="3247">
        <v>0</v>
      </c>
      <c r="BD584" s="3248">
        <v>0</v>
      </c>
      <c r="BE584" s="3248">
        <v>0</v>
      </c>
      <c r="BF584" s="3248">
        <f t="shared" si="57"/>
        <v>0</v>
      </c>
      <c r="BG584" s="3248">
        <f t="shared" si="58"/>
        <v>0</v>
      </c>
      <c r="BH584" s="3249"/>
      <c r="BI584" s="3249"/>
    </row>
    <row r="585" spans="1:61" x14ac:dyDescent="0.3">
      <c r="A585" s="4197" t="s">
        <v>3384</v>
      </c>
      <c r="B585" s="3261"/>
      <c r="C585" s="3243">
        <v>0</v>
      </c>
      <c r="D585" s="3242">
        <v>0</v>
      </c>
      <c r="E585" s="3244"/>
      <c r="F585" s="3244"/>
      <c r="G585" s="3242">
        <v>0</v>
      </c>
      <c r="H585" s="3244"/>
      <c r="I585" s="3244"/>
      <c r="J585" s="3244"/>
      <c r="K585" s="3242">
        <v>0</v>
      </c>
      <c r="L585" s="3244"/>
      <c r="M585" s="3244"/>
      <c r="N585" s="3242" t="s">
        <v>3384</v>
      </c>
      <c r="O585" s="3239">
        <v>0</v>
      </c>
      <c r="P585" s="3242">
        <v>0</v>
      </c>
      <c r="Q585" s="3244"/>
      <c r="R585" s="3244"/>
      <c r="S585" s="3242">
        <v>0</v>
      </c>
      <c r="T585" s="3244"/>
      <c r="U585" s="3244"/>
      <c r="V585" s="3244"/>
      <c r="W585" s="3240">
        <v>0</v>
      </c>
      <c r="X585" s="3244"/>
      <c r="Y585" s="3244"/>
      <c r="Z585" s="3242" t="s">
        <v>3384</v>
      </c>
      <c r="AA585" s="3243">
        <v>0</v>
      </c>
      <c r="AB585" s="3242">
        <v>0</v>
      </c>
      <c r="AC585" s="3244"/>
      <c r="AD585" s="3244"/>
      <c r="AE585" s="3242">
        <v>0</v>
      </c>
      <c r="AF585" s="3259"/>
      <c r="AG585" s="3260"/>
      <c r="AH585" s="3259"/>
      <c r="AI585" s="3259"/>
      <c r="AJ585" s="3260"/>
      <c r="AK585" s="3260"/>
      <c r="AL585" s="3259"/>
      <c r="AM585" s="3260"/>
      <c r="AN585" s="3259"/>
      <c r="AO585" s="3260"/>
      <c r="AP585" s="3242">
        <v>0</v>
      </c>
      <c r="AQ585" s="3244"/>
      <c r="AR585" s="3244"/>
      <c r="AS585" s="3242" t="s">
        <v>3384</v>
      </c>
      <c r="AT585" s="3247">
        <f t="shared" si="55"/>
        <v>0</v>
      </c>
      <c r="AU585" s="3248">
        <f t="shared" si="56"/>
        <v>0</v>
      </c>
      <c r="AV585" s="3248">
        <v>0</v>
      </c>
      <c r="AW585" s="3247">
        <v>0</v>
      </c>
      <c r="AX585" s="3248">
        <v>0</v>
      </c>
      <c r="AY585" s="3248">
        <v>0</v>
      </c>
      <c r="AZ585" s="3247">
        <v>0</v>
      </c>
      <c r="BA585" s="3248">
        <v>0</v>
      </c>
      <c r="BB585" s="3248">
        <v>0</v>
      </c>
      <c r="BC585" s="3247">
        <v>0</v>
      </c>
      <c r="BD585" s="3248">
        <v>0</v>
      </c>
      <c r="BE585" s="3248">
        <v>0</v>
      </c>
      <c r="BF585" s="3248">
        <f t="shared" si="57"/>
        <v>0</v>
      </c>
      <c r="BG585" s="3248">
        <f t="shared" si="58"/>
        <v>0</v>
      </c>
      <c r="BH585" s="3249"/>
      <c r="BI585" s="3249"/>
    </row>
    <row r="586" spans="1:61" x14ac:dyDescent="0.3">
      <c r="A586" s="4197" t="s">
        <v>3384</v>
      </c>
      <c r="B586" s="3261"/>
      <c r="C586" s="3243">
        <v>0</v>
      </c>
      <c r="D586" s="3242">
        <v>0</v>
      </c>
      <c r="E586" s="3244"/>
      <c r="F586" s="3244"/>
      <c r="G586" s="3242">
        <v>0</v>
      </c>
      <c r="H586" s="3244"/>
      <c r="I586" s="3244"/>
      <c r="J586" s="3244"/>
      <c r="K586" s="3242">
        <v>0</v>
      </c>
      <c r="L586" s="3244"/>
      <c r="M586" s="3244"/>
      <c r="N586" s="3242" t="s">
        <v>3384</v>
      </c>
      <c r="O586" s="3239">
        <v>0</v>
      </c>
      <c r="P586" s="3242">
        <v>0</v>
      </c>
      <c r="Q586" s="3244"/>
      <c r="R586" s="3244"/>
      <c r="S586" s="3242">
        <v>0</v>
      </c>
      <c r="T586" s="3244"/>
      <c r="U586" s="3244"/>
      <c r="V586" s="3244"/>
      <c r="W586" s="3240">
        <v>0</v>
      </c>
      <c r="X586" s="3244"/>
      <c r="Y586" s="3244"/>
      <c r="Z586" s="3242" t="s">
        <v>3384</v>
      </c>
      <c r="AA586" s="3243">
        <v>0</v>
      </c>
      <c r="AB586" s="3242">
        <v>0</v>
      </c>
      <c r="AC586" s="3244"/>
      <c r="AD586" s="3244"/>
      <c r="AE586" s="3242">
        <v>0</v>
      </c>
      <c r="AF586" s="3259"/>
      <c r="AG586" s="3260"/>
      <c r="AH586" s="3259"/>
      <c r="AI586" s="3259"/>
      <c r="AJ586" s="3260"/>
      <c r="AK586" s="3260"/>
      <c r="AL586" s="3259"/>
      <c r="AM586" s="3260"/>
      <c r="AN586" s="3259"/>
      <c r="AO586" s="3260"/>
      <c r="AP586" s="3242">
        <v>0</v>
      </c>
      <c r="AQ586" s="3244"/>
      <c r="AR586" s="3244"/>
      <c r="AS586" s="3242" t="s">
        <v>3384</v>
      </c>
      <c r="AT586" s="3247">
        <f t="shared" si="55"/>
        <v>0</v>
      </c>
      <c r="AU586" s="3248">
        <f t="shared" si="56"/>
        <v>0</v>
      </c>
      <c r="AV586" s="3248">
        <v>0</v>
      </c>
      <c r="AW586" s="3247">
        <v>0</v>
      </c>
      <c r="AX586" s="3248">
        <v>0</v>
      </c>
      <c r="AY586" s="3248">
        <v>0</v>
      </c>
      <c r="AZ586" s="3247">
        <v>0</v>
      </c>
      <c r="BA586" s="3248">
        <v>0</v>
      </c>
      <c r="BB586" s="3248">
        <v>0</v>
      </c>
      <c r="BC586" s="3247">
        <v>0</v>
      </c>
      <c r="BD586" s="3248">
        <v>0</v>
      </c>
      <c r="BE586" s="3248">
        <v>0</v>
      </c>
      <c r="BF586" s="3248">
        <f t="shared" si="57"/>
        <v>0</v>
      </c>
      <c r="BG586" s="3248">
        <f t="shared" si="58"/>
        <v>0</v>
      </c>
      <c r="BH586" s="3249"/>
      <c r="BI586" s="3249"/>
    </row>
    <row r="587" spans="1:61" x14ac:dyDescent="0.3">
      <c r="A587" s="4197" t="s">
        <v>3384</v>
      </c>
      <c r="B587" s="3261"/>
      <c r="C587" s="3243">
        <v>0</v>
      </c>
      <c r="D587" s="3242">
        <v>0</v>
      </c>
      <c r="E587" s="3244"/>
      <c r="F587" s="3244"/>
      <c r="G587" s="3242">
        <v>0</v>
      </c>
      <c r="H587" s="3244"/>
      <c r="I587" s="3244"/>
      <c r="J587" s="3244"/>
      <c r="K587" s="3242">
        <v>0</v>
      </c>
      <c r="L587" s="3244"/>
      <c r="M587" s="3244"/>
      <c r="N587" s="3242" t="s">
        <v>3384</v>
      </c>
      <c r="O587" s="3239">
        <v>0</v>
      </c>
      <c r="P587" s="3242">
        <v>0</v>
      </c>
      <c r="Q587" s="3244"/>
      <c r="R587" s="3244"/>
      <c r="S587" s="3242">
        <v>0</v>
      </c>
      <c r="T587" s="3244"/>
      <c r="U587" s="3244"/>
      <c r="V587" s="3244"/>
      <c r="W587" s="3240">
        <v>0</v>
      </c>
      <c r="X587" s="3244"/>
      <c r="Y587" s="3244"/>
      <c r="Z587" s="3242" t="s">
        <v>3384</v>
      </c>
      <c r="AA587" s="3243">
        <v>0</v>
      </c>
      <c r="AB587" s="3242">
        <v>0</v>
      </c>
      <c r="AC587" s="3244"/>
      <c r="AD587" s="3244"/>
      <c r="AE587" s="3242">
        <v>0</v>
      </c>
      <c r="AF587" s="3259"/>
      <c r="AG587" s="3260"/>
      <c r="AH587" s="3259"/>
      <c r="AI587" s="3259"/>
      <c r="AJ587" s="3260"/>
      <c r="AK587" s="3260"/>
      <c r="AL587" s="3259"/>
      <c r="AM587" s="3260"/>
      <c r="AN587" s="3259"/>
      <c r="AO587" s="3260"/>
      <c r="AP587" s="3242">
        <v>0</v>
      </c>
      <c r="AQ587" s="3244"/>
      <c r="AR587" s="3244"/>
      <c r="AS587" s="3242" t="s">
        <v>3384</v>
      </c>
      <c r="AT587" s="3247">
        <f t="shared" si="55"/>
        <v>0</v>
      </c>
      <c r="AU587" s="3248">
        <f t="shared" si="56"/>
        <v>0</v>
      </c>
      <c r="AV587" s="3248">
        <v>0</v>
      </c>
      <c r="AW587" s="3247">
        <v>0</v>
      </c>
      <c r="AX587" s="3248">
        <v>0</v>
      </c>
      <c r="AY587" s="3248">
        <v>0</v>
      </c>
      <c r="AZ587" s="3247">
        <v>0</v>
      </c>
      <c r="BA587" s="3248">
        <v>0</v>
      </c>
      <c r="BB587" s="3248">
        <v>0</v>
      </c>
      <c r="BC587" s="3247">
        <v>0</v>
      </c>
      <c r="BD587" s="3248">
        <v>0</v>
      </c>
      <c r="BE587" s="3248">
        <v>0</v>
      </c>
      <c r="BF587" s="3248">
        <f t="shared" si="57"/>
        <v>0</v>
      </c>
      <c r="BG587" s="3248">
        <f t="shared" si="58"/>
        <v>0</v>
      </c>
      <c r="BH587" s="3249"/>
      <c r="BI587" s="3249"/>
    </row>
    <row r="588" spans="1:61" x14ac:dyDescent="0.3">
      <c r="A588" s="4197" t="s">
        <v>3384</v>
      </c>
      <c r="B588" s="3261"/>
      <c r="C588" s="3243">
        <v>0</v>
      </c>
      <c r="D588" s="3242">
        <v>0</v>
      </c>
      <c r="E588" s="3244"/>
      <c r="F588" s="3244"/>
      <c r="G588" s="3242">
        <v>0</v>
      </c>
      <c r="H588" s="3244"/>
      <c r="I588" s="3244"/>
      <c r="J588" s="3244"/>
      <c r="K588" s="3242">
        <v>0</v>
      </c>
      <c r="L588" s="3244"/>
      <c r="M588" s="3244"/>
      <c r="N588" s="3242" t="s">
        <v>3384</v>
      </c>
      <c r="O588" s="3239">
        <v>0</v>
      </c>
      <c r="P588" s="3242">
        <v>0</v>
      </c>
      <c r="Q588" s="3244"/>
      <c r="R588" s="3244"/>
      <c r="S588" s="3242">
        <v>0</v>
      </c>
      <c r="T588" s="3244"/>
      <c r="U588" s="3244"/>
      <c r="V588" s="3244"/>
      <c r="W588" s="3240">
        <v>0</v>
      </c>
      <c r="X588" s="3244"/>
      <c r="Y588" s="3244"/>
      <c r="Z588" s="3242" t="s">
        <v>3384</v>
      </c>
      <c r="AA588" s="3243">
        <v>0</v>
      </c>
      <c r="AB588" s="3242">
        <v>0</v>
      </c>
      <c r="AC588" s="3244"/>
      <c r="AD588" s="3244"/>
      <c r="AE588" s="3242">
        <v>0</v>
      </c>
      <c r="AF588" s="3259"/>
      <c r="AG588" s="3260"/>
      <c r="AH588" s="3259"/>
      <c r="AI588" s="3259"/>
      <c r="AJ588" s="3260"/>
      <c r="AK588" s="3260"/>
      <c r="AL588" s="3259"/>
      <c r="AM588" s="3260"/>
      <c r="AN588" s="3259"/>
      <c r="AO588" s="3260"/>
      <c r="AP588" s="3242">
        <v>0</v>
      </c>
      <c r="AQ588" s="3244"/>
      <c r="AR588" s="3244"/>
      <c r="AS588" s="3242" t="s">
        <v>3384</v>
      </c>
      <c r="AT588" s="3247">
        <f t="shared" si="55"/>
        <v>0</v>
      </c>
      <c r="AU588" s="3248">
        <f t="shared" si="56"/>
        <v>0</v>
      </c>
      <c r="AV588" s="3248">
        <v>0</v>
      </c>
      <c r="AW588" s="3247">
        <v>0</v>
      </c>
      <c r="AX588" s="3248">
        <v>0</v>
      </c>
      <c r="AY588" s="3248">
        <v>0</v>
      </c>
      <c r="AZ588" s="3247">
        <v>0</v>
      </c>
      <c r="BA588" s="3248">
        <v>0</v>
      </c>
      <c r="BB588" s="3248">
        <v>0</v>
      </c>
      <c r="BC588" s="3247">
        <v>0</v>
      </c>
      <c r="BD588" s="3248">
        <v>0</v>
      </c>
      <c r="BE588" s="3248">
        <v>0</v>
      </c>
      <c r="BF588" s="3248">
        <f t="shared" si="57"/>
        <v>0</v>
      </c>
      <c r="BG588" s="3248">
        <f t="shared" si="58"/>
        <v>0</v>
      </c>
      <c r="BH588" s="3249"/>
      <c r="BI588" s="3249"/>
    </row>
    <row r="589" spans="1:61" x14ac:dyDescent="0.3">
      <c r="A589" s="4197" t="s">
        <v>3384</v>
      </c>
      <c r="B589" s="3261"/>
      <c r="C589" s="3243">
        <v>0</v>
      </c>
      <c r="D589" s="3242">
        <v>0</v>
      </c>
      <c r="E589" s="3244"/>
      <c r="F589" s="3244"/>
      <c r="G589" s="3242">
        <v>0</v>
      </c>
      <c r="H589" s="3244"/>
      <c r="I589" s="3244"/>
      <c r="J589" s="3244"/>
      <c r="K589" s="3242">
        <v>0</v>
      </c>
      <c r="L589" s="3244"/>
      <c r="M589" s="3244"/>
      <c r="N589" s="3242" t="s">
        <v>3384</v>
      </c>
      <c r="O589" s="3239">
        <v>0</v>
      </c>
      <c r="P589" s="3242">
        <v>0</v>
      </c>
      <c r="Q589" s="3244"/>
      <c r="R589" s="3244"/>
      <c r="S589" s="3242">
        <v>0</v>
      </c>
      <c r="T589" s="3244"/>
      <c r="U589" s="3244"/>
      <c r="V589" s="3244"/>
      <c r="W589" s="3240">
        <v>0</v>
      </c>
      <c r="X589" s="3244"/>
      <c r="Y589" s="3244"/>
      <c r="Z589" s="3242" t="s">
        <v>3384</v>
      </c>
      <c r="AA589" s="3243">
        <v>0</v>
      </c>
      <c r="AB589" s="3242">
        <v>0</v>
      </c>
      <c r="AC589" s="3244"/>
      <c r="AD589" s="3244"/>
      <c r="AE589" s="3242">
        <v>0</v>
      </c>
      <c r="AF589" s="3259"/>
      <c r="AG589" s="3260"/>
      <c r="AH589" s="3259"/>
      <c r="AI589" s="3259"/>
      <c r="AJ589" s="3260"/>
      <c r="AK589" s="3260"/>
      <c r="AL589" s="3259"/>
      <c r="AM589" s="3260"/>
      <c r="AN589" s="3259"/>
      <c r="AO589" s="3260"/>
      <c r="AP589" s="3242">
        <v>0</v>
      </c>
      <c r="AQ589" s="3244"/>
      <c r="AR589" s="3244"/>
      <c r="AS589" s="3242" t="s">
        <v>3384</v>
      </c>
      <c r="AT589" s="3247">
        <f t="shared" si="55"/>
        <v>0</v>
      </c>
      <c r="AU589" s="3248">
        <f t="shared" si="56"/>
        <v>0</v>
      </c>
      <c r="AV589" s="3248">
        <v>0</v>
      </c>
      <c r="AW589" s="3247">
        <v>0</v>
      </c>
      <c r="AX589" s="3248">
        <v>0</v>
      </c>
      <c r="AY589" s="3248">
        <v>0</v>
      </c>
      <c r="AZ589" s="3247">
        <v>0</v>
      </c>
      <c r="BA589" s="3248">
        <v>0</v>
      </c>
      <c r="BB589" s="3248">
        <v>0</v>
      </c>
      <c r="BC589" s="3247">
        <v>0</v>
      </c>
      <c r="BD589" s="3248">
        <v>0</v>
      </c>
      <c r="BE589" s="3248">
        <v>0</v>
      </c>
      <c r="BF589" s="3248">
        <f t="shared" si="57"/>
        <v>0</v>
      </c>
      <c r="BG589" s="3248">
        <f t="shared" si="58"/>
        <v>0</v>
      </c>
      <c r="BH589" s="3249"/>
      <c r="BI589" s="3249"/>
    </row>
    <row r="590" spans="1:61" x14ac:dyDescent="0.3">
      <c r="A590" s="4197" t="s">
        <v>3384</v>
      </c>
      <c r="B590" s="3261"/>
      <c r="C590" s="3243">
        <v>0</v>
      </c>
      <c r="D590" s="3242">
        <v>0</v>
      </c>
      <c r="E590" s="3244"/>
      <c r="F590" s="3244"/>
      <c r="G590" s="3242">
        <v>0</v>
      </c>
      <c r="H590" s="3244"/>
      <c r="I590" s="3244"/>
      <c r="J590" s="3244"/>
      <c r="K590" s="3242">
        <v>0</v>
      </c>
      <c r="L590" s="3244"/>
      <c r="M590" s="3244"/>
      <c r="N590" s="3242" t="s">
        <v>3384</v>
      </c>
      <c r="O590" s="3239">
        <v>0</v>
      </c>
      <c r="P590" s="3242">
        <v>0</v>
      </c>
      <c r="Q590" s="3244"/>
      <c r="R590" s="3244"/>
      <c r="S590" s="3242">
        <v>0</v>
      </c>
      <c r="T590" s="3244"/>
      <c r="U590" s="3244"/>
      <c r="V590" s="3244"/>
      <c r="W590" s="3240">
        <v>0</v>
      </c>
      <c r="X590" s="3244"/>
      <c r="Y590" s="3244"/>
      <c r="Z590" s="3242" t="s">
        <v>3384</v>
      </c>
      <c r="AA590" s="3243">
        <v>0</v>
      </c>
      <c r="AB590" s="3242">
        <v>0</v>
      </c>
      <c r="AC590" s="3244"/>
      <c r="AD590" s="3244"/>
      <c r="AE590" s="3242">
        <v>0</v>
      </c>
      <c r="AF590" s="3259"/>
      <c r="AG590" s="3260"/>
      <c r="AH590" s="3259"/>
      <c r="AI590" s="3259"/>
      <c r="AJ590" s="3260"/>
      <c r="AK590" s="3260"/>
      <c r="AL590" s="3259"/>
      <c r="AM590" s="3260"/>
      <c r="AN590" s="3259"/>
      <c r="AO590" s="3260"/>
      <c r="AP590" s="3242">
        <v>0</v>
      </c>
      <c r="AQ590" s="3244"/>
      <c r="AR590" s="3244"/>
      <c r="AS590" s="3242" t="s">
        <v>3384</v>
      </c>
      <c r="AT590" s="3247">
        <f t="shared" si="55"/>
        <v>0</v>
      </c>
      <c r="AU590" s="3248">
        <f t="shared" si="56"/>
        <v>0</v>
      </c>
      <c r="AV590" s="3248">
        <v>0</v>
      </c>
      <c r="AW590" s="3247">
        <v>0</v>
      </c>
      <c r="AX590" s="3248">
        <v>0</v>
      </c>
      <c r="AY590" s="3248">
        <v>0</v>
      </c>
      <c r="AZ590" s="3247">
        <v>0</v>
      </c>
      <c r="BA590" s="3248">
        <v>0</v>
      </c>
      <c r="BB590" s="3248">
        <v>0</v>
      </c>
      <c r="BC590" s="3247">
        <v>0</v>
      </c>
      <c r="BD590" s="3248">
        <v>0</v>
      </c>
      <c r="BE590" s="3248">
        <v>0</v>
      </c>
      <c r="BF590" s="3248">
        <f t="shared" si="57"/>
        <v>0</v>
      </c>
      <c r="BG590" s="3248">
        <f t="shared" si="58"/>
        <v>0</v>
      </c>
      <c r="BH590" s="3249"/>
      <c r="BI590" s="3249"/>
    </row>
    <row r="591" spans="1:61" x14ac:dyDescent="0.3">
      <c r="A591" s="4197" t="s">
        <v>3384</v>
      </c>
      <c r="B591" s="3261"/>
      <c r="C591" s="3243">
        <v>0</v>
      </c>
      <c r="D591" s="3242">
        <v>0</v>
      </c>
      <c r="E591" s="3244"/>
      <c r="F591" s="3244"/>
      <c r="G591" s="3242">
        <v>0</v>
      </c>
      <c r="H591" s="3244"/>
      <c r="I591" s="3244"/>
      <c r="J591" s="3244"/>
      <c r="K591" s="3242">
        <v>0</v>
      </c>
      <c r="L591" s="3244"/>
      <c r="M591" s="3244"/>
      <c r="N591" s="3242" t="s">
        <v>3384</v>
      </c>
      <c r="O591" s="3239">
        <v>0</v>
      </c>
      <c r="P591" s="3242">
        <v>0</v>
      </c>
      <c r="Q591" s="3244"/>
      <c r="R591" s="3244"/>
      <c r="S591" s="3242">
        <v>0</v>
      </c>
      <c r="T591" s="3244"/>
      <c r="U591" s="3244"/>
      <c r="V591" s="3244"/>
      <c r="W591" s="3240">
        <v>0</v>
      </c>
      <c r="X591" s="3244"/>
      <c r="Y591" s="3244"/>
      <c r="Z591" s="3242" t="s">
        <v>3384</v>
      </c>
      <c r="AA591" s="3243">
        <v>0</v>
      </c>
      <c r="AB591" s="3242">
        <v>0</v>
      </c>
      <c r="AC591" s="3244"/>
      <c r="AD591" s="3244"/>
      <c r="AE591" s="3242">
        <v>0</v>
      </c>
      <c r="AF591" s="3259"/>
      <c r="AG591" s="3260"/>
      <c r="AH591" s="3259"/>
      <c r="AI591" s="3259"/>
      <c r="AJ591" s="3260"/>
      <c r="AK591" s="3260"/>
      <c r="AL591" s="3259"/>
      <c r="AM591" s="3260"/>
      <c r="AN591" s="3259"/>
      <c r="AO591" s="3260"/>
      <c r="AP591" s="3242">
        <v>0</v>
      </c>
      <c r="AQ591" s="3244"/>
      <c r="AR591" s="3244"/>
      <c r="AS591" s="3242" t="s">
        <v>3384</v>
      </c>
      <c r="AT591" s="3247">
        <f t="shared" si="55"/>
        <v>0</v>
      </c>
      <c r="AU591" s="3248">
        <f t="shared" si="56"/>
        <v>0</v>
      </c>
      <c r="AV591" s="3248">
        <v>0</v>
      </c>
      <c r="AW591" s="3247">
        <v>0</v>
      </c>
      <c r="AX591" s="3248">
        <v>0</v>
      </c>
      <c r="AY591" s="3248">
        <v>0</v>
      </c>
      <c r="AZ591" s="3247">
        <v>0</v>
      </c>
      <c r="BA591" s="3248">
        <v>0</v>
      </c>
      <c r="BB591" s="3248">
        <v>0</v>
      </c>
      <c r="BC591" s="3247">
        <v>0</v>
      </c>
      <c r="BD591" s="3248">
        <v>0</v>
      </c>
      <c r="BE591" s="3248">
        <v>0</v>
      </c>
      <c r="BF591" s="3248">
        <f t="shared" si="57"/>
        <v>0</v>
      </c>
      <c r="BG591" s="3248">
        <f t="shared" si="58"/>
        <v>0</v>
      </c>
      <c r="BH591" s="3249"/>
      <c r="BI591" s="3249"/>
    </row>
    <row r="592" spans="1:61" x14ac:dyDescent="0.3">
      <c r="A592" s="4197" t="s">
        <v>3384</v>
      </c>
      <c r="B592" s="3261"/>
      <c r="C592" s="3243">
        <v>0</v>
      </c>
      <c r="D592" s="3242">
        <v>0</v>
      </c>
      <c r="E592" s="3244"/>
      <c r="F592" s="3244"/>
      <c r="G592" s="3242">
        <v>0</v>
      </c>
      <c r="H592" s="3244"/>
      <c r="I592" s="3244"/>
      <c r="J592" s="3244"/>
      <c r="K592" s="3242">
        <v>0</v>
      </c>
      <c r="L592" s="3244"/>
      <c r="M592" s="3244"/>
      <c r="N592" s="3242" t="s">
        <v>3384</v>
      </c>
      <c r="O592" s="3239">
        <v>0</v>
      </c>
      <c r="P592" s="3242">
        <v>0</v>
      </c>
      <c r="Q592" s="3244"/>
      <c r="R592" s="3244"/>
      <c r="S592" s="3242">
        <v>0</v>
      </c>
      <c r="T592" s="3244"/>
      <c r="U592" s="3244"/>
      <c r="V592" s="3244"/>
      <c r="W592" s="3240">
        <v>0</v>
      </c>
      <c r="X592" s="3244"/>
      <c r="Y592" s="3244"/>
      <c r="Z592" s="3242" t="s">
        <v>3384</v>
      </c>
      <c r="AA592" s="3243">
        <v>0</v>
      </c>
      <c r="AB592" s="3242">
        <v>0</v>
      </c>
      <c r="AC592" s="3244"/>
      <c r="AD592" s="3244"/>
      <c r="AE592" s="3242">
        <v>0</v>
      </c>
      <c r="AF592" s="3259"/>
      <c r="AG592" s="3260"/>
      <c r="AH592" s="3259"/>
      <c r="AI592" s="3259"/>
      <c r="AJ592" s="3260"/>
      <c r="AK592" s="3260"/>
      <c r="AL592" s="3259"/>
      <c r="AM592" s="3260"/>
      <c r="AN592" s="3259"/>
      <c r="AO592" s="3260"/>
      <c r="AP592" s="3242">
        <v>0</v>
      </c>
      <c r="AQ592" s="3244"/>
      <c r="AR592" s="3244"/>
      <c r="AS592" s="3242" t="s">
        <v>3384</v>
      </c>
      <c r="AT592" s="3247">
        <f t="shared" ref="AT592:AT655" si="59">IFERROR(AE592+(SUM(AC592:AD592)/100*($AE$14/$AB$14*100)),0)</f>
        <v>0</v>
      </c>
      <c r="AU592" s="3248">
        <f t="shared" si="56"/>
        <v>0</v>
      </c>
      <c r="AV592" s="3248">
        <v>0</v>
      </c>
      <c r="AW592" s="3247">
        <v>0</v>
      </c>
      <c r="AX592" s="3248">
        <v>0</v>
      </c>
      <c r="AY592" s="3248">
        <v>0</v>
      </c>
      <c r="AZ592" s="3247">
        <v>0</v>
      </c>
      <c r="BA592" s="3248">
        <v>0</v>
      </c>
      <c r="BB592" s="3248">
        <v>0</v>
      </c>
      <c r="BC592" s="3247">
        <v>0</v>
      </c>
      <c r="BD592" s="3248">
        <v>0</v>
      </c>
      <c r="BE592" s="3248">
        <v>0</v>
      </c>
      <c r="BF592" s="3248">
        <f t="shared" si="57"/>
        <v>0</v>
      </c>
      <c r="BG592" s="3248">
        <f t="shared" si="58"/>
        <v>0</v>
      </c>
      <c r="BH592" s="3249"/>
      <c r="BI592" s="3249"/>
    </row>
    <row r="593" spans="1:61" x14ac:dyDescent="0.3">
      <c r="A593" s="4197" t="s">
        <v>3384</v>
      </c>
      <c r="B593" s="3261"/>
      <c r="C593" s="3243">
        <v>0</v>
      </c>
      <c r="D593" s="3242">
        <v>0</v>
      </c>
      <c r="E593" s="3244"/>
      <c r="F593" s="3244"/>
      <c r="G593" s="3242">
        <v>0</v>
      </c>
      <c r="H593" s="3244"/>
      <c r="I593" s="3244"/>
      <c r="J593" s="3244"/>
      <c r="K593" s="3242">
        <v>0</v>
      </c>
      <c r="L593" s="3244"/>
      <c r="M593" s="3244"/>
      <c r="N593" s="3242" t="s">
        <v>3384</v>
      </c>
      <c r="O593" s="3239">
        <v>0</v>
      </c>
      <c r="P593" s="3242">
        <v>0</v>
      </c>
      <c r="Q593" s="3244"/>
      <c r="R593" s="3244"/>
      <c r="S593" s="3242">
        <v>0</v>
      </c>
      <c r="T593" s="3244"/>
      <c r="U593" s="3244"/>
      <c r="V593" s="3244"/>
      <c r="W593" s="3240">
        <v>0</v>
      </c>
      <c r="X593" s="3244"/>
      <c r="Y593" s="3244"/>
      <c r="Z593" s="3242" t="s">
        <v>3384</v>
      </c>
      <c r="AA593" s="3243">
        <v>0</v>
      </c>
      <c r="AB593" s="3242">
        <v>0</v>
      </c>
      <c r="AC593" s="3244"/>
      <c r="AD593" s="3244"/>
      <c r="AE593" s="3242">
        <v>0</v>
      </c>
      <c r="AF593" s="3259"/>
      <c r="AG593" s="3260"/>
      <c r="AH593" s="3259"/>
      <c r="AI593" s="3259"/>
      <c r="AJ593" s="3260"/>
      <c r="AK593" s="3260"/>
      <c r="AL593" s="3259"/>
      <c r="AM593" s="3260"/>
      <c r="AN593" s="3259"/>
      <c r="AO593" s="3260"/>
      <c r="AP593" s="3242">
        <v>0</v>
      </c>
      <c r="AQ593" s="3244"/>
      <c r="AR593" s="3244"/>
      <c r="AS593" s="3242" t="s">
        <v>3384</v>
      </c>
      <c r="AT593" s="3247">
        <f t="shared" si="59"/>
        <v>0</v>
      </c>
      <c r="AU593" s="3248">
        <f t="shared" si="56"/>
        <v>0</v>
      </c>
      <c r="AV593" s="3248">
        <v>0</v>
      </c>
      <c r="AW593" s="3247">
        <v>0</v>
      </c>
      <c r="AX593" s="3248">
        <v>0</v>
      </c>
      <c r="AY593" s="3248">
        <v>0</v>
      </c>
      <c r="AZ593" s="3247">
        <v>0</v>
      </c>
      <c r="BA593" s="3248">
        <v>0</v>
      </c>
      <c r="BB593" s="3248">
        <v>0</v>
      </c>
      <c r="BC593" s="3247">
        <v>0</v>
      </c>
      <c r="BD593" s="3248">
        <v>0</v>
      </c>
      <c r="BE593" s="3248">
        <v>0</v>
      </c>
      <c r="BF593" s="3248">
        <f t="shared" si="57"/>
        <v>0</v>
      </c>
      <c r="BG593" s="3248">
        <f t="shared" si="58"/>
        <v>0</v>
      </c>
      <c r="BH593" s="3249"/>
      <c r="BI593" s="3249"/>
    </row>
    <row r="594" spans="1:61" x14ac:dyDescent="0.3">
      <c r="A594" s="4197" t="s">
        <v>3384</v>
      </c>
      <c r="B594" s="3261"/>
      <c r="C594" s="3243">
        <v>0</v>
      </c>
      <c r="D594" s="3242">
        <v>0</v>
      </c>
      <c r="E594" s="3244"/>
      <c r="F594" s="3244"/>
      <c r="G594" s="3242">
        <v>0</v>
      </c>
      <c r="H594" s="3244"/>
      <c r="I594" s="3244"/>
      <c r="J594" s="3244"/>
      <c r="K594" s="3242">
        <v>0</v>
      </c>
      <c r="L594" s="3244"/>
      <c r="M594" s="3244"/>
      <c r="N594" s="3242" t="s">
        <v>3384</v>
      </c>
      <c r="O594" s="3239">
        <v>0</v>
      </c>
      <c r="P594" s="3242">
        <v>0</v>
      </c>
      <c r="Q594" s="3244"/>
      <c r="R594" s="3244"/>
      <c r="S594" s="3242">
        <v>0</v>
      </c>
      <c r="T594" s="3244"/>
      <c r="U594" s="3244"/>
      <c r="V594" s="3244"/>
      <c r="W594" s="3240">
        <v>0</v>
      </c>
      <c r="X594" s="3244"/>
      <c r="Y594" s="3244"/>
      <c r="Z594" s="3242" t="s">
        <v>3384</v>
      </c>
      <c r="AA594" s="3243">
        <v>0</v>
      </c>
      <c r="AB594" s="3242">
        <v>0</v>
      </c>
      <c r="AC594" s="3244"/>
      <c r="AD594" s="3244"/>
      <c r="AE594" s="3242">
        <v>0</v>
      </c>
      <c r="AF594" s="3259"/>
      <c r="AG594" s="3260"/>
      <c r="AH594" s="3259"/>
      <c r="AI594" s="3259"/>
      <c r="AJ594" s="3260"/>
      <c r="AK594" s="3260"/>
      <c r="AL594" s="3259"/>
      <c r="AM594" s="3260"/>
      <c r="AN594" s="3259"/>
      <c r="AO594" s="3260"/>
      <c r="AP594" s="3242">
        <v>0</v>
      </c>
      <c r="AQ594" s="3244"/>
      <c r="AR594" s="3244"/>
      <c r="AS594" s="3242" t="s">
        <v>3384</v>
      </c>
      <c r="AT594" s="3247">
        <f t="shared" si="59"/>
        <v>0</v>
      </c>
      <c r="AU594" s="3248">
        <f t="shared" si="56"/>
        <v>0</v>
      </c>
      <c r="AV594" s="3248">
        <v>0</v>
      </c>
      <c r="AW594" s="3247">
        <v>0</v>
      </c>
      <c r="AX594" s="3248">
        <v>0</v>
      </c>
      <c r="AY594" s="3248">
        <v>0</v>
      </c>
      <c r="AZ594" s="3247">
        <v>0</v>
      </c>
      <c r="BA594" s="3248">
        <v>0</v>
      </c>
      <c r="BB594" s="3248">
        <v>0</v>
      </c>
      <c r="BC594" s="3247">
        <v>0</v>
      </c>
      <c r="BD594" s="3248">
        <v>0</v>
      </c>
      <c r="BE594" s="3248">
        <v>0</v>
      </c>
      <c r="BF594" s="3248">
        <f t="shared" si="57"/>
        <v>0</v>
      </c>
      <c r="BG594" s="3248">
        <f t="shared" si="58"/>
        <v>0</v>
      </c>
      <c r="BH594" s="3249"/>
      <c r="BI594" s="3249"/>
    </row>
    <row r="595" spans="1:61" x14ac:dyDescent="0.3">
      <c r="A595" s="4197" t="s">
        <v>3384</v>
      </c>
      <c r="B595" s="3261"/>
      <c r="C595" s="3243">
        <v>0</v>
      </c>
      <c r="D595" s="3242">
        <v>0</v>
      </c>
      <c r="E595" s="3244"/>
      <c r="F595" s="3244"/>
      <c r="G595" s="3242">
        <v>0</v>
      </c>
      <c r="H595" s="3244"/>
      <c r="I595" s="3244"/>
      <c r="J595" s="3244"/>
      <c r="K595" s="3242">
        <v>0</v>
      </c>
      <c r="L595" s="3244"/>
      <c r="M595" s="3244"/>
      <c r="N595" s="3242" t="s">
        <v>3384</v>
      </c>
      <c r="O595" s="3239">
        <v>0</v>
      </c>
      <c r="P595" s="3242">
        <v>0</v>
      </c>
      <c r="Q595" s="3244"/>
      <c r="R595" s="3244"/>
      <c r="S595" s="3242">
        <v>0</v>
      </c>
      <c r="T595" s="3244"/>
      <c r="U595" s="3244"/>
      <c r="V595" s="3244"/>
      <c r="W595" s="3240">
        <v>0</v>
      </c>
      <c r="X595" s="3244"/>
      <c r="Y595" s="3244"/>
      <c r="Z595" s="3242" t="s">
        <v>3384</v>
      </c>
      <c r="AA595" s="3243">
        <v>0</v>
      </c>
      <c r="AB595" s="3242">
        <v>0</v>
      </c>
      <c r="AC595" s="3244"/>
      <c r="AD595" s="3244"/>
      <c r="AE595" s="3242">
        <v>0</v>
      </c>
      <c r="AF595" s="3259"/>
      <c r="AG595" s="3260"/>
      <c r="AH595" s="3259"/>
      <c r="AI595" s="3259"/>
      <c r="AJ595" s="3260"/>
      <c r="AK595" s="3260"/>
      <c r="AL595" s="3259"/>
      <c r="AM595" s="3260"/>
      <c r="AN595" s="3259"/>
      <c r="AO595" s="3260"/>
      <c r="AP595" s="3242">
        <v>0</v>
      </c>
      <c r="AQ595" s="3244"/>
      <c r="AR595" s="3244"/>
      <c r="AS595" s="3242" t="s">
        <v>3384</v>
      </c>
      <c r="AT595" s="3247">
        <f t="shared" si="59"/>
        <v>0</v>
      </c>
      <c r="AU595" s="3248">
        <f t="shared" ref="AU595:AU658" si="60">AX595+BA595+BD595</f>
        <v>0</v>
      </c>
      <c r="AV595" s="3248">
        <v>0</v>
      </c>
      <c r="AW595" s="3247">
        <v>0</v>
      </c>
      <c r="AX595" s="3248">
        <v>0</v>
      </c>
      <c r="AY595" s="3248">
        <v>0</v>
      </c>
      <c r="AZ595" s="3247">
        <v>0</v>
      </c>
      <c r="BA595" s="3248">
        <v>0</v>
      </c>
      <c r="BB595" s="3248">
        <v>0</v>
      </c>
      <c r="BC595" s="3247">
        <v>0</v>
      </c>
      <c r="BD595" s="3248">
        <v>0</v>
      </c>
      <c r="BE595" s="3248">
        <v>0</v>
      </c>
      <c r="BF595" s="3248">
        <f t="shared" ref="BF595:BF658" si="61">IFERROR(ROUND(AE595/S595*100,2),0)</f>
        <v>0</v>
      </c>
      <c r="BG595" s="3248">
        <f t="shared" ref="BG595:BG658" si="62">IFERROR(ROUND(AA595/O595*100,2),0)</f>
        <v>0</v>
      </c>
      <c r="BH595" s="3249"/>
      <c r="BI595" s="3249"/>
    </row>
    <row r="596" spans="1:61" x14ac:dyDescent="0.3">
      <c r="A596" s="4197" t="s">
        <v>3384</v>
      </c>
      <c r="B596" s="3261"/>
      <c r="C596" s="3243">
        <v>0</v>
      </c>
      <c r="D596" s="3242">
        <v>0</v>
      </c>
      <c r="E596" s="3244"/>
      <c r="F596" s="3244"/>
      <c r="G596" s="3242">
        <v>0</v>
      </c>
      <c r="H596" s="3244"/>
      <c r="I596" s="3244"/>
      <c r="J596" s="3244"/>
      <c r="K596" s="3242">
        <v>0</v>
      </c>
      <c r="L596" s="3244"/>
      <c r="M596" s="3244"/>
      <c r="N596" s="3242" t="s">
        <v>3384</v>
      </c>
      <c r="O596" s="3239">
        <v>0</v>
      </c>
      <c r="P596" s="3242">
        <v>0</v>
      </c>
      <c r="Q596" s="3244"/>
      <c r="R596" s="3244"/>
      <c r="S596" s="3242">
        <v>0</v>
      </c>
      <c r="T596" s="3244"/>
      <c r="U596" s="3244"/>
      <c r="V596" s="3244"/>
      <c r="W596" s="3240">
        <v>0</v>
      </c>
      <c r="X596" s="3244"/>
      <c r="Y596" s="3244"/>
      <c r="Z596" s="3242" t="s">
        <v>3384</v>
      </c>
      <c r="AA596" s="3243">
        <v>0</v>
      </c>
      <c r="AB596" s="3242">
        <v>0</v>
      </c>
      <c r="AC596" s="3244"/>
      <c r="AD596" s="3244"/>
      <c r="AE596" s="3242">
        <v>0</v>
      </c>
      <c r="AF596" s="3259"/>
      <c r="AG596" s="3260"/>
      <c r="AH596" s="3259"/>
      <c r="AI596" s="3259"/>
      <c r="AJ596" s="3260"/>
      <c r="AK596" s="3260"/>
      <c r="AL596" s="3259"/>
      <c r="AM596" s="3260"/>
      <c r="AN596" s="3259"/>
      <c r="AO596" s="3260"/>
      <c r="AP596" s="3242">
        <v>0</v>
      </c>
      <c r="AQ596" s="3244"/>
      <c r="AR596" s="3244"/>
      <c r="AS596" s="3242" t="s">
        <v>3384</v>
      </c>
      <c r="AT596" s="3247">
        <f t="shared" si="59"/>
        <v>0</v>
      </c>
      <c r="AU596" s="3248">
        <f t="shared" si="60"/>
        <v>0</v>
      </c>
      <c r="AV596" s="3248">
        <v>0</v>
      </c>
      <c r="AW596" s="3247">
        <v>0</v>
      </c>
      <c r="AX596" s="3248">
        <v>0</v>
      </c>
      <c r="AY596" s="3248">
        <v>0</v>
      </c>
      <c r="AZ596" s="3247">
        <v>0</v>
      </c>
      <c r="BA596" s="3248">
        <v>0</v>
      </c>
      <c r="BB596" s="3248">
        <v>0</v>
      </c>
      <c r="BC596" s="3247">
        <v>0</v>
      </c>
      <c r="BD596" s="3248">
        <v>0</v>
      </c>
      <c r="BE596" s="3248">
        <v>0</v>
      </c>
      <c r="BF596" s="3248">
        <f t="shared" si="61"/>
        <v>0</v>
      </c>
      <c r="BG596" s="3248">
        <f t="shared" si="62"/>
        <v>0</v>
      </c>
      <c r="BH596" s="3249"/>
      <c r="BI596" s="3249"/>
    </row>
    <row r="597" spans="1:61" x14ac:dyDescent="0.3">
      <c r="A597" s="4197" t="s">
        <v>3384</v>
      </c>
      <c r="B597" s="3261"/>
      <c r="C597" s="3243">
        <v>0</v>
      </c>
      <c r="D597" s="3242">
        <v>0</v>
      </c>
      <c r="E597" s="3244"/>
      <c r="F597" s="3244"/>
      <c r="G597" s="3242">
        <v>0</v>
      </c>
      <c r="H597" s="3244"/>
      <c r="I597" s="3244"/>
      <c r="J597" s="3244"/>
      <c r="K597" s="3242">
        <v>0</v>
      </c>
      <c r="L597" s="3244"/>
      <c r="M597" s="3244"/>
      <c r="N597" s="3242" t="s">
        <v>3384</v>
      </c>
      <c r="O597" s="3239">
        <v>0</v>
      </c>
      <c r="P597" s="3242">
        <v>0</v>
      </c>
      <c r="Q597" s="3244"/>
      <c r="R597" s="3244"/>
      <c r="S597" s="3242">
        <v>0</v>
      </c>
      <c r="T597" s="3244"/>
      <c r="U597" s="3244"/>
      <c r="V597" s="3244"/>
      <c r="W597" s="3240">
        <v>0</v>
      </c>
      <c r="X597" s="3244"/>
      <c r="Y597" s="3244"/>
      <c r="Z597" s="3242" t="s">
        <v>3384</v>
      </c>
      <c r="AA597" s="3243">
        <v>0</v>
      </c>
      <c r="AB597" s="3242">
        <v>0</v>
      </c>
      <c r="AC597" s="3244"/>
      <c r="AD597" s="3244"/>
      <c r="AE597" s="3242">
        <v>0</v>
      </c>
      <c r="AF597" s="3259"/>
      <c r="AG597" s="3260"/>
      <c r="AH597" s="3259"/>
      <c r="AI597" s="3259"/>
      <c r="AJ597" s="3260"/>
      <c r="AK597" s="3260"/>
      <c r="AL597" s="3259"/>
      <c r="AM597" s="3260"/>
      <c r="AN597" s="3259"/>
      <c r="AO597" s="3260"/>
      <c r="AP597" s="3242">
        <v>0</v>
      </c>
      <c r="AQ597" s="3244"/>
      <c r="AR597" s="3244"/>
      <c r="AS597" s="3242" t="s">
        <v>3384</v>
      </c>
      <c r="AT597" s="3247">
        <f t="shared" si="59"/>
        <v>0</v>
      </c>
      <c r="AU597" s="3248">
        <f t="shared" si="60"/>
        <v>0</v>
      </c>
      <c r="AV597" s="3248">
        <v>0</v>
      </c>
      <c r="AW597" s="3247">
        <v>0</v>
      </c>
      <c r="AX597" s="3248">
        <v>0</v>
      </c>
      <c r="AY597" s="3248">
        <v>0</v>
      </c>
      <c r="AZ597" s="3247">
        <v>0</v>
      </c>
      <c r="BA597" s="3248">
        <v>0</v>
      </c>
      <c r="BB597" s="3248">
        <v>0</v>
      </c>
      <c r="BC597" s="3247">
        <v>0</v>
      </c>
      <c r="BD597" s="3248">
        <v>0</v>
      </c>
      <c r="BE597" s="3248">
        <v>0</v>
      </c>
      <c r="BF597" s="3248">
        <f t="shared" si="61"/>
        <v>0</v>
      </c>
      <c r="BG597" s="3248">
        <f t="shared" si="62"/>
        <v>0</v>
      </c>
      <c r="BH597" s="3249"/>
      <c r="BI597" s="3249"/>
    </row>
    <row r="598" spans="1:61" x14ac:dyDescent="0.3">
      <c r="A598" s="4197" t="s">
        <v>3384</v>
      </c>
      <c r="B598" s="3261"/>
      <c r="C598" s="3243">
        <v>0</v>
      </c>
      <c r="D598" s="3242">
        <v>0</v>
      </c>
      <c r="E598" s="3244"/>
      <c r="F598" s="3244"/>
      <c r="G598" s="3242">
        <v>0</v>
      </c>
      <c r="H598" s="3244"/>
      <c r="I598" s="3244"/>
      <c r="J598" s="3244"/>
      <c r="K598" s="3242">
        <v>0</v>
      </c>
      <c r="L598" s="3244"/>
      <c r="M598" s="3244"/>
      <c r="N598" s="3242" t="s">
        <v>3384</v>
      </c>
      <c r="O598" s="3239">
        <v>0</v>
      </c>
      <c r="P598" s="3242">
        <v>0</v>
      </c>
      <c r="Q598" s="3244"/>
      <c r="R598" s="3244"/>
      <c r="S598" s="3242">
        <v>0</v>
      </c>
      <c r="T598" s="3244"/>
      <c r="U598" s="3244"/>
      <c r="V598" s="3244"/>
      <c r="W598" s="3240">
        <v>0</v>
      </c>
      <c r="X598" s="3244"/>
      <c r="Y598" s="3244"/>
      <c r="Z598" s="3242" t="s">
        <v>3384</v>
      </c>
      <c r="AA598" s="3243">
        <v>0</v>
      </c>
      <c r="AB598" s="3242">
        <v>0</v>
      </c>
      <c r="AC598" s="3244"/>
      <c r="AD598" s="3244"/>
      <c r="AE598" s="3242">
        <v>0</v>
      </c>
      <c r="AF598" s="3259"/>
      <c r="AG598" s="3260"/>
      <c r="AH598" s="3259"/>
      <c r="AI598" s="3259"/>
      <c r="AJ598" s="3260"/>
      <c r="AK598" s="3260"/>
      <c r="AL598" s="3259"/>
      <c r="AM598" s="3260"/>
      <c r="AN598" s="3259"/>
      <c r="AO598" s="3260"/>
      <c r="AP598" s="3242">
        <v>0</v>
      </c>
      <c r="AQ598" s="3244"/>
      <c r="AR598" s="3244"/>
      <c r="AS598" s="3242" t="s">
        <v>3384</v>
      </c>
      <c r="AT598" s="3247">
        <f t="shared" si="59"/>
        <v>0</v>
      </c>
      <c r="AU598" s="3248">
        <f t="shared" si="60"/>
        <v>0</v>
      </c>
      <c r="AV598" s="3248">
        <v>0</v>
      </c>
      <c r="AW598" s="3247">
        <v>0</v>
      </c>
      <c r="AX598" s="3248">
        <v>0</v>
      </c>
      <c r="AY598" s="3248">
        <v>0</v>
      </c>
      <c r="AZ598" s="3247">
        <v>0</v>
      </c>
      <c r="BA598" s="3248">
        <v>0</v>
      </c>
      <c r="BB598" s="3248">
        <v>0</v>
      </c>
      <c r="BC598" s="3247">
        <v>0</v>
      </c>
      <c r="BD598" s="3248">
        <v>0</v>
      </c>
      <c r="BE598" s="3248">
        <v>0</v>
      </c>
      <c r="BF598" s="3248">
        <f t="shared" si="61"/>
        <v>0</v>
      </c>
      <c r="BG598" s="3248">
        <f t="shared" si="62"/>
        <v>0</v>
      </c>
      <c r="BH598" s="3249"/>
      <c r="BI598" s="3249"/>
    </row>
    <row r="599" spans="1:61" x14ac:dyDescent="0.3">
      <c r="A599" s="4197" t="s">
        <v>3384</v>
      </c>
      <c r="B599" s="3261"/>
      <c r="C599" s="3243">
        <v>0</v>
      </c>
      <c r="D599" s="3242">
        <v>0</v>
      </c>
      <c r="E599" s="3244"/>
      <c r="F599" s="3244"/>
      <c r="G599" s="3242">
        <v>0</v>
      </c>
      <c r="H599" s="3244"/>
      <c r="I599" s="3244"/>
      <c r="J599" s="3244"/>
      <c r="K599" s="3242">
        <v>0</v>
      </c>
      <c r="L599" s="3244"/>
      <c r="M599" s="3244"/>
      <c r="N599" s="3242" t="s">
        <v>3384</v>
      </c>
      <c r="O599" s="3239">
        <v>0</v>
      </c>
      <c r="P599" s="3242">
        <v>0</v>
      </c>
      <c r="Q599" s="3244"/>
      <c r="R599" s="3244"/>
      <c r="S599" s="3242">
        <v>0</v>
      </c>
      <c r="T599" s="3244"/>
      <c r="U599" s="3244"/>
      <c r="V599" s="3244"/>
      <c r="W599" s="3240">
        <v>0</v>
      </c>
      <c r="X599" s="3244"/>
      <c r="Y599" s="3244"/>
      <c r="Z599" s="3242" t="s">
        <v>3384</v>
      </c>
      <c r="AA599" s="3243">
        <v>0</v>
      </c>
      <c r="AB599" s="3242">
        <v>0</v>
      </c>
      <c r="AC599" s="3244"/>
      <c r="AD599" s="3244"/>
      <c r="AE599" s="3242">
        <v>0</v>
      </c>
      <c r="AF599" s="3259"/>
      <c r="AG599" s="3260"/>
      <c r="AH599" s="3259"/>
      <c r="AI599" s="3259"/>
      <c r="AJ599" s="3260"/>
      <c r="AK599" s="3260"/>
      <c r="AL599" s="3259"/>
      <c r="AM599" s="3260"/>
      <c r="AN599" s="3259"/>
      <c r="AO599" s="3260"/>
      <c r="AP599" s="3242">
        <v>0</v>
      </c>
      <c r="AQ599" s="3244"/>
      <c r="AR599" s="3244"/>
      <c r="AS599" s="3242" t="s">
        <v>3384</v>
      </c>
      <c r="AT599" s="3247">
        <f t="shared" si="59"/>
        <v>0</v>
      </c>
      <c r="AU599" s="3248">
        <f t="shared" si="60"/>
        <v>0</v>
      </c>
      <c r="AV599" s="3248">
        <v>0</v>
      </c>
      <c r="AW599" s="3247">
        <v>0</v>
      </c>
      <c r="AX599" s="3248">
        <v>0</v>
      </c>
      <c r="AY599" s="3248">
        <v>0</v>
      </c>
      <c r="AZ599" s="3247">
        <v>0</v>
      </c>
      <c r="BA599" s="3248">
        <v>0</v>
      </c>
      <c r="BB599" s="3248">
        <v>0</v>
      </c>
      <c r="BC599" s="3247">
        <v>0</v>
      </c>
      <c r="BD599" s="3248">
        <v>0</v>
      </c>
      <c r="BE599" s="3248">
        <v>0</v>
      </c>
      <c r="BF599" s="3248">
        <f t="shared" si="61"/>
        <v>0</v>
      </c>
      <c r="BG599" s="3248">
        <f t="shared" si="62"/>
        <v>0</v>
      </c>
      <c r="BH599" s="3249"/>
      <c r="BI599" s="3249"/>
    </row>
    <row r="600" spans="1:61" x14ac:dyDescent="0.3">
      <c r="A600" s="4197" t="s">
        <v>3384</v>
      </c>
      <c r="B600" s="3261"/>
      <c r="C600" s="3243">
        <v>0</v>
      </c>
      <c r="D600" s="3242">
        <v>0</v>
      </c>
      <c r="E600" s="3244"/>
      <c r="F600" s="3244"/>
      <c r="G600" s="3242">
        <v>0</v>
      </c>
      <c r="H600" s="3244"/>
      <c r="I600" s="3244"/>
      <c r="J600" s="3244"/>
      <c r="K600" s="3242">
        <v>0</v>
      </c>
      <c r="L600" s="3244"/>
      <c r="M600" s="3244"/>
      <c r="N600" s="3242" t="s">
        <v>3384</v>
      </c>
      <c r="O600" s="3239">
        <v>0</v>
      </c>
      <c r="P600" s="3242">
        <v>0</v>
      </c>
      <c r="Q600" s="3244"/>
      <c r="R600" s="3244"/>
      <c r="S600" s="3242">
        <v>0</v>
      </c>
      <c r="T600" s="3244"/>
      <c r="U600" s="3244"/>
      <c r="V600" s="3244"/>
      <c r="W600" s="3240">
        <v>0</v>
      </c>
      <c r="X600" s="3244"/>
      <c r="Y600" s="3244"/>
      <c r="Z600" s="3242" t="s">
        <v>3384</v>
      </c>
      <c r="AA600" s="3243">
        <v>0</v>
      </c>
      <c r="AB600" s="3242">
        <v>0</v>
      </c>
      <c r="AC600" s="3244"/>
      <c r="AD600" s="3244"/>
      <c r="AE600" s="3242">
        <v>0</v>
      </c>
      <c r="AF600" s="3259"/>
      <c r="AG600" s="3260"/>
      <c r="AH600" s="3259"/>
      <c r="AI600" s="3259"/>
      <c r="AJ600" s="3260"/>
      <c r="AK600" s="3260"/>
      <c r="AL600" s="3259"/>
      <c r="AM600" s="3260"/>
      <c r="AN600" s="3259"/>
      <c r="AO600" s="3260"/>
      <c r="AP600" s="3242">
        <v>0</v>
      </c>
      <c r="AQ600" s="3244"/>
      <c r="AR600" s="3244"/>
      <c r="AS600" s="3242" t="s">
        <v>3384</v>
      </c>
      <c r="AT600" s="3247">
        <f t="shared" si="59"/>
        <v>0</v>
      </c>
      <c r="AU600" s="3248">
        <f t="shared" si="60"/>
        <v>0</v>
      </c>
      <c r="AV600" s="3248">
        <v>0</v>
      </c>
      <c r="AW600" s="3247">
        <v>0</v>
      </c>
      <c r="AX600" s="3248">
        <v>0</v>
      </c>
      <c r="AY600" s="3248">
        <v>0</v>
      </c>
      <c r="AZ600" s="3247">
        <v>0</v>
      </c>
      <c r="BA600" s="3248">
        <v>0</v>
      </c>
      <c r="BB600" s="3248">
        <v>0</v>
      </c>
      <c r="BC600" s="3247">
        <v>0</v>
      </c>
      <c r="BD600" s="3248">
        <v>0</v>
      </c>
      <c r="BE600" s="3248">
        <v>0</v>
      </c>
      <c r="BF600" s="3248">
        <f t="shared" si="61"/>
        <v>0</v>
      </c>
      <c r="BG600" s="3248">
        <f t="shared" si="62"/>
        <v>0</v>
      </c>
      <c r="BH600" s="3249"/>
      <c r="BI600" s="3249"/>
    </row>
    <row r="601" spans="1:61" x14ac:dyDescent="0.3">
      <c r="A601" s="4197" t="s">
        <v>3384</v>
      </c>
      <c r="B601" s="3261"/>
      <c r="C601" s="3243">
        <v>0</v>
      </c>
      <c r="D601" s="3242">
        <v>0</v>
      </c>
      <c r="E601" s="3244"/>
      <c r="F601" s="3244"/>
      <c r="G601" s="3242">
        <v>0</v>
      </c>
      <c r="H601" s="3244"/>
      <c r="I601" s="3244"/>
      <c r="J601" s="3244"/>
      <c r="K601" s="3242">
        <v>0</v>
      </c>
      <c r="L601" s="3244"/>
      <c r="M601" s="3244"/>
      <c r="N601" s="3242" t="s">
        <v>3384</v>
      </c>
      <c r="O601" s="3239">
        <v>0</v>
      </c>
      <c r="P601" s="3242">
        <v>0</v>
      </c>
      <c r="Q601" s="3244"/>
      <c r="R601" s="3244"/>
      <c r="S601" s="3242">
        <v>0</v>
      </c>
      <c r="T601" s="3244"/>
      <c r="U601" s="3244"/>
      <c r="V601" s="3244"/>
      <c r="W601" s="3240">
        <v>0</v>
      </c>
      <c r="X601" s="3244"/>
      <c r="Y601" s="3244"/>
      <c r="Z601" s="3242" t="s">
        <v>3384</v>
      </c>
      <c r="AA601" s="3243">
        <v>0</v>
      </c>
      <c r="AB601" s="3242">
        <v>0</v>
      </c>
      <c r="AC601" s="3244"/>
      <c r="AD601" s="3244"/>
      <c r="AE601" s="3242">
        <v>0</v>
      </c>
      <c r="AF601" s="3259"/>
      <c r="AG601" s="3260"/>
      <c r="AH601" s="3259"/>
      <c r="AI601" s="3259"/>
      <c r="AJ601" s="3260"/>
      <c r="AK601" s="3260"/>
      <c r="AL601" s="3259"/>
      <c r="AM601" s="3260"/>
      <c r="AN601" s="3259"/>
      <c r="AO601" s="3260"/>
      <c r="AP601" s="3242">
        <v>0</v>
      </c>
      <c r="AQ601" s="3244"/>
      <c r="AR601" s="3244"/>
      <c r="AS601" s="3242" t="s">
        <v>3384</v>
      </c>
      <c r="AT601" s="3247">
        <f t="shared" si="59"/>
        <v>0</v>
      </c>
      <c r="AU601" s="3248">
        <f t="shared" si="60"/>
        <v>0</v>
      </c>
      <c r="AV601" s="3248">
        <v>0</v>
      </c>
      <c r="AW601" s="3247">
        <v>0</v>
      </c>
      <c r="AX601" s="3248">
        <v>0</v>
      </c>
      <c r="AY601" s="3248">
        <v>0</v>
      </c>
      <c r="AZ601" s="3247">
        <v>0</v>
      </c>
      <c r="BA601" s="3248">
        <v>0</v>
      </c>
      <c r="BB601" s="3248">
        <v>0</v>
      </c>
      <c r="BC601" s="3247">
        <v>0</v>
      </c>
      <c r="BD601" s="3248">
        <v>0</v>
      </c>
      <c r="BE601" s="3248">
        <v>0</v>
      </c>
      <c r="BF601" s="3248">
        <f t="shared" si="61"/>
        <v>0</v>
      </c>
      <c r="BG601" s="3248">
        <f t="shared" si="62"/>
        <v>0</v>
      </c>
      <c r="BH601" s="3249"/>
      <c r="BI601" s="3249"/>
    </row>
    <row r="602" spans="1:61" x14ac:dyDescent="0.3">
      <c r="A602" s="4197" t="s">
        <v>3384</v>
      </c>
      <c r="B602" s="3261"/>
      <c r="C602" s="3243">
        <v>0</v>
      </c>
      <c r="D602" s="3242">
        <v>0</v>
      </c>
      <c r="E602" s="3244"/>
      <c r="F602" s="3244"/>
      <c r="G602" s="3242">
        <v>0</v>
      </c>
      <c r="H602" s="3244"/>
      <c r="I602" s="3244"/>
      <c r="J602" s="3244"/>
      <c r="K602" s="3242">
        <v>0</v>
      </c>
      <c r="L602" s="3244"/>
      <c r="M602" s="3244"/>
      <c r="N602" s="3242" t="s">
        <v>3384</v>
      </c>
      <c r="O602" s="3239">
        <v>0</v>
      </c>
      <c r="P602" s="3242">
        <v>0</v>
      </c>
      <c r="Q602" s="3244"/>
      <c r="R602" s="3244"/>
      <c r="S602" s="3242">
        <v>0</v>
      </c>
      <c r="T602" s="3244"/>
      <c r="U602" s="3244"/>
      <c r="V602" s="3244"/>
      <c r="W602" s="3240">
        <v>0</v>
      </c>
      <c r="X602" s="3244"/>
      <c r="Y602" s="3244"/>
      <c r="Z602" s="3242" t="s">
        <v>3384</v>
      </c>
      <c r="AA602" s="3243">
        <v>0</v>
      </c>
      <c r="AB602" s="3242">
        <v>0</v>
      </c>
      <c r="AC602" s="3244"/>
      <c r="AD602" s="3244"/>
      <c r="AE602" s="3242">
        <v>0</v>
      </c>
      <c r="AF602" s="3259"/>
      <c r="AG602" s="3260"/>
      <c r="AH602" s="3259"/>
      <c r="AI602" s="3259"/>
      <c r="AJ602" s="3260"/>
      <c r="AK602" s="3260"/>
      <c r="AL602" s="3259"/>
      <c r="AM602" s="3260"/>
      <c r="AN602" s="3259"/>
      <c r="AO602" s="3260"/>
      <c r="AP602" s="3242">
        <v>0</v>
      </c>
      <c r="AQ602" s="3244"/>
      <c r="AR602" s="3244"/>
      <c r="AS602" s="3242" t="s">
        <v>3384</v>
      </c>
      <c r="AT602" s="3247">
        <f t="shared" si="59"/>
        <v>0</v>
      </c>
      <c r="AU602" s="3248">
        <f t="shared" si="60"/>
        <v>0</v>
      </c>
      <c r="AV602" s="3248">
        <v>0</v>
      </c>
      <c r="AW602" s="3247">
        <v>0</v>
      </c>
      <c r="AX602" s="3248">
        <v>0</v>
      </c>
      <c r="AY602" s="3248">
        <v>0</v>
      </c>
      <c r="AZ602" s="3247">
        <v>0</v>
      </c>
      <c r="BA602" s="3248">
        <v>0</v>
      </c>
      <c r="BB602" s="3248">
        <v>0</v>
      </c>
      <c r="BC602" s="3247">
        <v>0</v>
      </c>
      <c r="BD602" s="3248">
        <v>0</v>
      </c>
      <c r="BE602" s="3248">
        <v>0</v>
      </c>
      <c r="BF602" s="3248">
        <f t="shared" si="61"/>
        <v>0</v>
      </c>
      <c r="BG602" s="3248">
        <f t="shared" si="62"/>
        <v>0</v>
      </c>
      <c r="BH602" s="3249"/>
      <c r="BI602" s="3249"/>
    </row>
    <row r="603" spans="1:61" x14ac:dyDescent="0.3">
      <c r="A603" s="4197" t="s">
        <v>3384</v>
      </c>
      <c r="B603" s="3261"/>
      <c r="C603" s="3243">
        <v>0</v>
      </c>
      <c r="D603" s="3242">
        <v>0</v>
      </c>
      <c r="E603" s="3244"/>
      <c r="F603" s="3244"/>
      <c r="G603" s="3242">
        <v>0</v>
      </c>
      <c r="H603" s="3244"/>
      <c r="I603" s="3244"/>
      <c r="J603" s="3244"/>
      <c r="K603" s="3242">
        <v>0</v>
      </c>
      <c r="L603" s="3244"/>
      <c r="M603" s="3244"/>
      <c r="N603" s="3242" t="s">
        <v>3384</v>
      </c>
      <c r="O603" s="3239">
        <v>0</v>
      </c>
      <c r="P603" s="3242">
        <v>0</v>
      </c>
      <c r="Q603" s="3244"/>
      <c r="R603" s="3244"/>
      <c r="S603" s="3242">
        <v>0</v>
      </c>
      <c r="T603" s="3244"/>
      <c r="U603" s="3244"/>
      <c r="V603" s="3244"/>
      <c r="W603" s="3240">
        <v>0</v>
      </c>
      <c r="X603" s="3244"/>
      <c r="Y603" s="3244"/>
      <c r="Z603" s="3242" t="s">
        <v>3384</v>
      </c>
      <c r="AA603" s="3243">
        <v>0</v>
      </c>
      <c r="AB603" s="3242">
        <v>0</v>
      </c>
      <c r="AC603" s="3244"/>
      <c r="AD603" s="3244"/>
      <c r="AE603" s="3242">
        <v>0</v>
      </c>
      <c r="AF603" s="3259"/>
      <c r="AG603" s="3260"/>
      <c r="AH603" s="3259"/>
      <c r="AI603" s="3259"/>
      <c r="AJ603" s="3260"/>
      <c r="AK603" s="3260"/>
      <c r="AL603" s="3259"/>
      <c r="AM603" s="3260"/>
      <c r="AN603" s="3259"/>
      <c r="AO603" s="3260"/>
      <c r="AP603" s="3242">
        <v>0</v>
      </c>
      <c r="AQ603" s="3244"/>
      <c r="AR603" s="3244"/>
      <c r="AS603" s="3242" t="s">
        <v>3384</v>
      </c>
      <c r="AT603" s="3247">
        <f t="shared" si="59"/>
        <v>0</v>
      </c>
      <c r="AU603" s="3248">
        <f t="shared" si="60"/>
        <v>0</v>
      </c>
      <c r="AV603" s="3248">
        <v>0</v>
      </c>
      <c r="AW603" s="3247">
        <v>0</v>
      </c>
      <c r="AX603" s="3248">
        <v>0</v>
      </c>
      <c r="AY603" s="3248">
        <v>0</v>
      </c>
      <c r="AZ603" s="3247">
        <v>0</v>
      </c>
      <c r="BA603" s="3248">
        <v>0</v>
      </c>
      <c r="BB603" s="3248">
        <v>0</v>
      </c>
      <c r="BC603" s="3247">
        <v>0</v>
      </c>
      <c r="BD603" s="3248">
        <v>0</v>
      </c>
      <c r="BE603" s="3248">
        <v>0</v>
      </c>
      <c r="BF603" s="3248">
        <f t="shared" si="61"/>
        <v>0</v>
      </c>
      <c r="BG603" s="3248">
        <f t="shared" si="62"/>
        <v>0</v>
      </c>
      <c r="BH603" s="3249"/>
      <c r="BI603" s="3249"/>
    </row>
    <row r="604" spans="1:61" x14ac:dyDescent="0.3">
      <c r="A604" s="4197" t="s">
        <v>3384</v>
      </c>
      <c r="B604" s="3261"/>
      <c r="C604" s="3243">
        <v>0</v>
      </c>
      <c r="D604" s="3242">
        <v>0</v>
      </c>
      <c r="E604" s="3244"/>
      <c r="F604" s="3244"/>
      <c r="G604" s="3242">
        <v>0</v>
      </c>
      <c r="H604" s="3244"/>
      <c r="I604" s="3244"/>
      <c r="J604" s="3244"/>
      <c r="K604" s="3242">
        <v>0</v>
      </c>
      <c r="L604" s="3244"/>
      <c r="M604" s="3244"/>
      <c r="N604" s="3242" t="s">
        <v>3384</v>
      </c>
      <c r="O604" s="3239">
        <v>0</v>
      </c>
      <c r="P604" s="3242">
        <v>0</v>
      </c>
      <c r="Q604" s="3244"/>
      <c r="R604" s="3244"/>
      <c r="S604" s="3242">
        <v>0</v>
      </c>
      <c r="T604" s="3244"/>
      <c r="U604" s="3244"/>
      <c r="V604" s="3244"/>
      <c r="W604" s="3240">
        <v>0</v>
      </c>
      <c r="X604" s="3244"/>
      <c r="Y604" s="3244"/>
      <c r="Z604" s="3242" t="s">
        <v>3384</v>
      </c>
      <c r="AA604" s="3243">
        <v>0</v>
      </c>
      <c r="AB604" s="3242">
        <v>0</v>
      </c>
      <c r="AC604" s="3244"/>
      <c r="AD604" s="3244"/>
      <c r="AE604" s="3242">
        <v>0</v>
      </c>
      <c r="AF604" s="3259"/>
      <c r="AG604" s="3260"/>
      <c r="AH604" s="3259"/>
      <c r="AI604" s="3259"/>
      <c r="AJ604" s="3260"/>
      <c r="AK604" s="3260"/>
      <c r="AL604" s="3259"/>
      <c r="AM604" s="3260"/>
      <c r="AN604" s="3259"/>
      <c r="AO604" s="3260"/>
      <c r="AP604" s="3242">
        <v>0</v>
      </c>
      <c r="AQ604" s="3244"/>
      <c r="AR604" s="3244"/>
      <c r="AS604" s="3242" t="s">
        <v>3384</v>
      </c>
      <c r="AT604" s="3247">
        <f t="shared" si="59"/>
        <v>0</v>
      </c>
      <c r="AU604" s="3248">
        <f t="shared" si="60"/>
        <v>0</v>
      </c>
      <c r="AV604" s="3248">
        <v>0</v>
      </c>
      <c r="AW604" s="3247">
        <v>0</v>
      </c>
      <c r="AX604" s="3248">
        <v>0</v>
      </c>
      <c r="AY604" s="3248">
        <v>0</v>
      </c>
      <c r="AZ604" s="3247">
        <v>0</v>
      </c>
      <c r="BA604" s="3248">
        <v>0</v>
      </c>
      <c r="BB604" s="3248">
        <v>0</v>
      </c>
      <c r="BC604" s="3247">
        <v>0</v>
      </c>
      <c r="BD604" s="3248">
        <v>0</v>
      </c>
      <c r="BE604" s="3248">
        <v>0</v>
      </c>
      <c r="BF604" s="3248">
        <f t="shared" si="61"/>
        <v>0</v>
      </c>
      <c r="BG604" s="3248">
        <f t="shared" si="62"/>
        <v>0</v>
      </c>
      <c r="BH604" s="3249"/>
      <c r="BI604" s="3249"/>
    </row>
    <row r="605" spans="1:61" x14ac:dyDescent="0.3">
      <c r="A605" s="4197" t="s">
        <v>3384</v>
      </c>
      <c r="B605" s="3261"/>
      <c r="C605" s="3243">
        <v>0</v>
      </c>
      <c r="D605" s="3242">
        <v>0</v>
      </c>
      <c r="E605" s="3244"/>
      <c r="F605" s="3244"/>
      <c r="G605" s="3242">
        <v>0</v>
      </c>
      <c r="H605" s="3244"/>
      <c r="I605" s="3244"/>
      <c r="J605" s="3244"/>
      <c r="K605" s="3242">
        <v>0</v>
      </c>
      <c r="L605" s="3244"/>
      <c r="M605" s="3244"/>
      <c r="N605" s="3242" t="s">
        <v>3384</v>
      </c>
      <c r="O605" s="3239">
        <v>0</v>
      </c>
      <c r="P605" s="3242">
        <v>0</v>
      </c>
      <c r="Q605" s="3244"/>
      <c r="R605" s="3244"/>
      <c r="S605" s="3242">
        <v>0</v>
      </c>
      <c r="T605" s="3244"/>
      <c r="U605" s="3244"/>
      <c r="V605" s="3244"/>
      <c r="W605" s="3240">
        <v>0</v>
      </c>
      <c r="X605" s="3244"/>
      <c r="Y605" s="3244"/>
      <c r="Z605" s="3242" t="s">
        <v>3384</v>
      </c>
      <c r="AA605" s="3243">
        <v>0</v>
      </c>
      <c r="AB605" s="3242">
        <v>0</v>
      </c>
      <c r="AC605" s="3244"/>
      <c r="AD605" s="3244"/>
      <c r="AE605" s="3242">
        <v>0</v>
      </c>
      <c r="AF605" s="3259"/>
      <c r="AG605" s="3260"/>
      <c r="AH605" s="3259"/>
      <c r="AI605" s="3259"/>
      <c r="AJ605" s="3260"/>
      <c r="AK605" s="3260"/>
      <c r="AL605" s="3259"/>
      <c r="AM605" s="3260"/>
      <c r="AN605" s="3259"/>
      <c r="AO605" s="3260"/>
      <c r="AP605" s="3242">
        <v>0</v>
      </c>
      <c r="AQ605" s="3244"/>
      <c r="AR605" s="3244"/>
      <c r="AS605" s="3242" t="s">
        <v>3384</v>
      </c>
      <c r="AT605" s="3247">
        <f t="shared" si="59"/>
        <v>0</v>
      </c>
      <c r="AU605" s="3248">
        <f t="shared" si="60"/>
        <v>0</v>
      </c>
      <c r="AV605" s="3248">
        <v>0</v>
      </c>
      <c r="AW605" s="3247">
        <v>0</v>
      </c>
      <c r="AX605" s="3248">
        <v>0</v>
      </c>
      <c r="AY605" s="3248">
        <v>0</v>
      </c>
      <c r="AZ605" s="3247">
        <v>0</v>
      </c>
      <c r="BA605" s="3248">
        <v>0</v>
      </c>
      <c r="BB605" s="3248">
        <v>0</v>
      </c>
      <c r="BC605" s="3247">
        <v>0</v>
      </c>
      <c r="BD605" s="3248">
        <v>0</v>
      </c>
      <c r="BE605" s="3248">
        <v>0</v>
      </c>
      <c r="BF605" s="3248">
        <f t="shared" si="61"/>
        <v>0</v>
      </c>
      <c r="BG605" s="3248">
        <f t="shared" si="62"/>
        <v>0</v>
      </c>
      <c r="BH605" s="3249"/>
      <c r="BI605" s="3249"/>
    </row>
    <row r="606" spans="1:61" x14ac:dyDescent="0.3">
      <c r="A606" s="4197" t="s">
        <v>3384</v>
      </c>
      <c r="B606" s="3261"/>
      <c r="C606" s="3243">
        <v>0</v>
      </c>
      <c r="D606" s="3242">
        <v>0</v>
      </c>
      <c r="E606" s="3244"/>
      <c r="F606" s="3244"/>
      <c r="G606" s="3242">
        <v>0</v>
      </c>
      <c r="H606" s="3244"/>
      <c r="I606" s="3244"/>
      <c r="J606" s="3244"/>
      <c r="K606" s="3242">
        <v>0</v>
      </c>
      <c r="L606" s="3244"/>
      <c r="M606" s="3244"/>
      <c r="N606" s="3242" t="s">
        <v>3384</v>
      </c>
      <c r="O606" s="3239">
        <v>0</v>
      </c>
      <c r="P606" s="3242">
        <v>0</v>
      </c>
      <c r="Q606" s="3244"/>
      <c r="R606" s="3244"/>
      <c r="S606" s="3242">
        <v>0</v>
      </c>
      <c r="T606" s="3244"/>
      <c r="U606" s="3244"/>
      <c r="V606" s="3244"/>
      <c r="W606" s="3240">
        <v>0</v>
      </c>
      <c r="X606" s="3244"/>
      <c r="Y606" s="3244"/>
      <c r="Z606" s="3242" t="s">
        <v>3384</v>
      </c>
      <c r="AA606" s="3243">
        <v>0</v>
      </c>
      <c r="AB606" s="3242">
        <v>0</v>
      </c>
      <c r="AC606" s="3244"/>
      <c r="AD606" s="3244"/>
      <c r="AE606" s="3242">
        <v>0</v>
      </c>
      <c r="AF606" s="3259"/>
      <c r="AG606" s="3260"/>
      <c r="AH606" s="3259"/>
      <c r="AI606" s="3259"/>
      <c r="AJ606" s="3260"/>
      <c r="AK606" s="3260"/>
      <c r="AL606" s="3259"/>
      <c r="AM606" s="3260"/>
      <c r="AN606" s="3259"/>
      <c r="AO606" s="3260"/>
      <c r="AP606" s="3242">
        <v>0</v>
      </c>
      <c r="AQ606" s="3244"/>
      <c r="AR606" s="3244"/>
      <c r="AS606" s="3242" t="s">
        <v>3384</v>
      </c>
      <c r="AT606" s="3247">
        <f t="shared" si="59"/>
        <v>0</v>
      </c>
      <c r="AU606" s="3248">
        <f t="shared" si="60"/>
        <v>0</v>
      </c>
      <c r="AV606" s="3248">
        <v>0</v>
      </c>
      <c r="AW606" s="3247">
        <v>0</v>
      </c>
      <c r="AX606" s="3248">
        <v>0</v>
      </c>
      <c r="AY606" s="3248">
        <v>0</v>
      </c>
      <c r="AZ606" s="3247">
        <v>0</v>
      </c>
      <c r="BA606" s="3248">
        <v>0</v>
      </c>
      <c r="BB606" s="3248">
        <v>0</v>
      </c>
      <c r="BC606" s="3247">
        <v>0</v>
      </c>
      <c r="BD606" s="3248">
        <v>0</v>
      </c>
      <c r="BE606" s="3248">
        <v>0</v>
      </c>
      <c r="BF606" s="3248">
        <f t="shared" si="61"/>
        <v>0</v>
      </c>
      <c r="BG606" s="3248">
        <f t="shared" si="62"/>
        <v>0</v>
      </c>
      <c r="BH606" s="3249"/>
      <c r="BI606" s="3249"/>
    </row>
    <row r="607" spans="1:61" x14ac:dyDescent="0.3">
      <c r="A607" s="4197" t="s">
        <v>3384</v>
      </c>
      <c r="B607" s="3261"/>
      <c r="C607" s="3243">
        <v>0</v>
      </c>
      <c r="D607" s="3242">
        <v>0</v>
      </c>
      <c r="E607" s="3244"/>
      <c r="F607" s="3244"/>
      <c r="G607" s="3242">
        <v>0</v>
      </c>
      <c r="H607" s="3244"/>
      <c r="I607" s="3244"/>
      <c r="J607" s="3244"/>
      <c r="K607" s="3242">
        <v>0</v>
      </c>
      <c r="L607" s="3244"/>
      <c r="M607" s="3244"/>
      <c r="N607" s="3242" t="s">
        <v>3384</v>
      </c>
      <c r="O607" s="3239">
        <v>0</v>
      </c>
      <c r="P607" s="3242">
        <v>0</v>
      </c>
      <c r="Q607" s="3244"/>
      <c r="R607" s="3244"/>
      <c r="S607" s="3242">
        <v>0</v>
      </c>
      <c r="T607" s="3244"/>
      <c r="U607" s="3244"/>
      <c r="V607" s="3244"/>
      <c r="W607" s="3240">
        <v>0</v>
      </c>
      <c r="X607" s="3244"/>
      <c r="Y607" s="3244"/>
      <c r="Z607" s="3242" t="s">
        <v>3384</v>
      </c>
      <c r="AA607" s="3243">
        <v>0</v>
      </c>
      <c r="AB607" s="3242">
        <v>0</v>
      </c>
      <c r="AC607" s="3244"/>
      <c r="AD607" s="3244"/>
      <c r="AE607" s="3242">
        <v>0</v>
      </c>
      <c r="AF607" s="3259"/>
      <c r="AG607" s="3260"/>
      <c r="AH607" s="3259"/>
      <c r="AI607" s="3259"/>
      <c r="AJ607" s="3260"/>
      <c r="AK607" s="3260"/>
      <c r="AL607" s="3259"/>
      <c r="AM607" s="3260"/>
      <c r="AN607" s="3259"/>
      <c r="AO607" s="3260"/>
      <c r="AP607" s="3242">
        <v>0</v>
      </c>
      <c r="AQ607" s="3244"/>
      <c r="AR607" s="3244"/>
      <c r="AS607" s="3242" t="s">
        <v>3384</v>
      </c>
      <c r="AT607" s="3247">
        <f t="shared" si="59"/>
        <v>0</v>
      </c>
      <c r="AU607" s="3248">
        <f t="shared" si="60"/>
        <v>0</v>
      </c>
      <c r="AV607" s="3248">
        <v>0</v>
      </c>
      <c r="AW607" s="3247">
        <v>0</v>
      </c>
      <c r="AX607" s="3248">
        <v>0</v>
      </c>
      <c r="AY607" s="3248">
        <v>0</v>
      </c>
      <c r="AZ607" s="3247">
        <v>0</v>
      </c>
      <c r="BA607" s="3248">
        <v>0</v>
      </c>
      <c r="BB607" s="3248">
        <v>0</v>
      </c>
      <c r="BC607" s="3247">
        <v>0</v>
      </c>
      <c r="BD607" s="3248">
        <v>0</v>
      </c>
      <c r="BE607" s="3248">
        <v>0</v>
      </c>
      <c r="BF607" s="3248">
        <f t="shared" si="61"/>
        <v>0</v>
      </c>
      <c r="BG607" s="3248">
        <f t="shared" si="62"/>
        <v>0</v>
      </c>
      <c r="BH607" s="3249"/>
      <c r="BI607" s="3249"/>
    </row>
    <row r="608" spans="1:61" x14ac:dyDescent="0.3">
      <c r="A608" s="4197" t="s">
        <v>3384</v>
      </c>
      <c r="B608" s="3261"/>
      <c r="C608" s="3243">
        <v>0</v>
      </c>
      <c r="D608" s="3242">
        <v>0</v>
      </c>
      <c r="E608" s="3244"/>
      <c r="F608" s="3244"/>
      <c r="G608" s="3242">
        <v>0</v>
      </c>
      <c r="H608" s="3244"/>
      <c r="I608" s="3244"/>
      <c r="J608" s="3244"/>
      <c r="K608" s="3242">
        <v>0</v>
      </c>
      <c r="L608" s="3244"/>
      <c r="M608" s="3244"/>
      <c r="N608" s="3242" t="s">
        <v>3384</v>
      </c>
      <c r="O608" s="3239">
        <v>0</v>
      </c>
      <c r="P608" s="3242">
        <v>0</v>
      </c>
      <c r="Q608" s="3244"/>
      <c r="R608" s="3244"/>
      <c r="S608" s="3242">
        <v>0</v>
      </c>
      <c r="T608" s="3244"/>
      <c r="U608" s="3244"/>
      <c r="V608" s="3244"/>
      <c r="W608" s="3240">
        <v>0</v>
      </c>
      <c r="X608" s="3244"/>
      <c r="Y608" s="3244"/>
      <c r="Z608" s="3242" t="s">
        <v>3384</v>
      </c>
      <c r="AA608" s="3243">
        <v>0</v>
      </c>
      <c r="AB608" s="3242">
        <v>0</v>
      </c>
      <c r="AC608" s="3244"/>
      <c r="AD608" s="3244"/>
      <c r="AE608" s="3242">
        <v>0</v>
      </c>
      <c r="AF608" s="3259"/>
      <c r="AG608" s="3260"/>
      <c r="AH608" s="3259"/>
      <c r="AI608" s="3259"/>
      <c r="AJ608" s="3260"/>
      <c r="AK608" s="3260"/>
      <c r="AL608" s="3259"/>
      <c r="AM608" s="3260"/>
      <c r="AN608" s="3259"/>
      <c r="AO608" s="3260"/>
      <c r="AP608" s="3242">
        <v>0</v>
      </c>
      <c r="AQ608" s="3244"/>
      <c r="AR608" s="3244"/>
      <c r="AS608" s="3242" t="s">
        <v>3384</v>
      </c>
      <c r="AT608" s="3247">
        <f t="shared" si="59"/>
        <v>0</v>
      </c>
      <c r="AU608" s="3248">
        <f t="shared" si="60"/>
        <v>0</v>
      </c>
      <c r="AV608" s="3248">
        <v>0</v>
      </c>
      <c r="AW608" s="3247">
        <v>0</v>
      </c>
      <c r="AX608" s="3248">
        <v>0</v>
      </c>
      <c r="AY608" s="3248">
        <v>0</v>
      </c>
      <c r="AZ608" s="3247">
        <v>0</v>
      </c>
      <c r="BA608" s="3248">
        <v>0</v>
      </c>
      <c r="BB608" s="3248">
        <v>0</v>
      </c>
      <c r="BC608" s="3247">
        <v>0</v>
      </c>
      <c r="BD608" s="3248">
        <v>0</v>
      </c>
      <c r="BE608" s="3248">
        <v>0</v>
      </c>
      <c r="BF608" s="3248">
        <f t="shared" si="61"/>
        <v>0</v>
      </c>
      <c r="BG608" s="3248">
        <f t="shared" si="62"/>
        <v>0</v>
      </c>
      <c r="BH608" s="3249"/>
      <c r="BI608" s="3249"/>
    </row>
    <row r="609" spans="1:61" x14ac:dyDescent="0.3">
      <c r="A609" s="4197" t="s">
        <v>3384</v>
      </c>
      <c r="B609" s="3261"/>
      <c r="C609" s="3243">
        <v>0</v>
      </c>
      <c r="D609" s="3242">
        <v>0</v>
      </c>
      <c r="E609" s="3244"/>
      <c r="F609" s="3244"/>
      <c r="G609" s="3242">
        <v>0</v>
      </c>
      <c r="H609" s="3244"/>
      <c r="I609" s="3244"/>
      <c r="J609" s="3244"/>
      <c r="K609" s="3242">
        <v>0</v>
      </c>
      <c r="L609" s="3244"/>
      <c r="M609" s="3244"/>
      <c r="N609" s="3242" t="s">
        <v>3384</v>
      </c>
      <c r="O609" s="3239">
        <v>0</v>
      </c>
      <c r="P609" s="3242">
        <v>0</v>
      </c>
      <c r="Q609" s="3244"/>
      <c r="R609" s="3244"/>
      <c r="S609" s="3242">
        <v>0</v>
      </c>
      <c r="T609" s="3244"/>
      <c r="U609" s="3244"/>
      <c r="V609" s="3244"/>
      <c r="W609" s="3240">
        <v>0</v>
      </c>
      <c r="X609" s="3244"/>
      <c r="Y609" s="3244"/>
      <c r="Z609" s="3242" t="s">
        <v>3384</v>
      </c>
      <c r="AA609" s="3243">
        <v>0</v>
      </c>
      <c r="AB609" s="3242">
        <v>0</v>
      </c>
      <c r="AC609" s="3244"/>
      <c r="AD609" s="3244"/>
      <c r="AE609" s="3242">
        <v>0</v>
      </c>
      <c r="AF609" s="3259"/>
      <c r="AG609" s="3260"/>
      <c r="AH609" s="3259"/>
      <c r="AI609" s="3259"/>
      <c r="AJ609" s="3260"/>
      <c r="AK609" s="3260"/>
      <c r="AL609" s="3259"/>
      <c r="AM609" s="3260"/>
      <c r="AN609" s="3259"/>
      <c r="AO609" s="3260"/>
      <c r="AP609" s="3242">
        <v>0</v>
      </c>
      <c r="AQ609" s="3244"/>
      <c r="AR609" s="3244"/>
      <c r="AS609" s="3242" t="s">
        <v>3384</v>
      </c>
      <c r="AT609" s="3247">
        <f t="shared" si="59"/>
        <v>0</v>
      </c>
      <c r="AU609" s="3248">
        <f t="shared" si="60"/>
        <v>0</v>
      </c>
      <c r="AV609" s="3248">
        <v>0</v>
      </c>
      <c r="AW609" s="3247">
        <v>0</v>
      </c>
      <c r="AX609" s="3248">
        <v>0</v>
      </c>
      <c r="AY609" s="3248">
        <v>0</v>
      </c>
      <c r="AZ609" s="3247">
        <v>0</v>
      </c>
      <c r="BA609" s="3248">
        <v>0</v>
      </c>
      <c r="BB609" s="3248">
        <v>0</v>
      </c>
      <c r="BC609" s="3247">
        <v>0</v>
      </c>
      <c r="BD609" s="3248">
        <v>0</v>
      </c>
      <c r="BE609" s="3248">
        <v>0</v>
      </c>
      <c r="BF609" s="3248">
        <f t="shared" si="61"/>
        <v>0</v>
      </c>
      <c r="BG609" s="3248">
        <f t="shared" si="62"/>
        <v>0</v>
      </c>
      <c r="BH609" s="3249"/>
      <c r="BI609" s="3249"/>
    </row>
    <row r="610" spans="1:61" x14ac:dyDescent="0.3">
      <c r="A610" s="4197" t="s">
        <v>3384</v>
      </c>
      <c r="B610" s="3261"/>
      <c r="C610" s="3243">
        <v>0</v>
      </c>
      <c r="D610" s="3242">
        <v>0</v>
      </c>
      <c r="E610" s="3244"/>
      <c r="F610" s="3244"/>
      <c r="G610" s="3242">
        <v>0</v>
      </c>
      <c r="H610" s="3244"/>
      <c r="I610" s="3244"/>
      <c r="J610" s="3244"/>
      <c r="K610" s="3242">
        <v>0</v>
      </c>
      <c r="L610" s="3244"/>
      <c r="M610" s="3244"/>
      <c r="N610" s="3242" t="s">
        <v>3384</v>
      </c>
      <c r="O610" s="3239">
        <v>0</v>
      </c>
      <c r="P610" s="3242">
        <v>0</v>
      </c>
      <c r="Q610" s="3244"/>
      <c r="R610" s="3244"/>
      <c r="S610" s="3242">
        <v>0</v>
      </c>
      <c r="T610" s="3244"/>
      <c r="U610" s="3244"/>
      <c r="V610" s="3244"/>
      <c r="W610" s="3240">
        <v>0</v>
      </c>
      <c r="X610" s="3244"/>
      <c r="Y610" s="3244"/>
      <c r="Z610" s="3242" t="s">
        <v>3384</v>
      </c>
      <c r="AA610" s="3243">
        <v>0</v>
      </c>
      <c r="AB610" s="3242">
        <v>0</v>
      </c>
      <c r="AC610" s="3244"/>
      <c r="AD610" s="3244"/>
      <c r="AE610" s="3242">
        <v>0</v>
      </c>
      <c r="AF610" s="3259"/>
      <c r="AG610" s="3260"/>
      <c r="AH610" s="3259"/>
      <c r="AI610" s="3259"/>
      <c r="AJ610" s="3260"/>
      <c r="AK610" s="3260"/>
      <c r="AL610" s="3259"/>
      <c r="AM610" s="3260"/>
      <c r="AN610" s="3259"/>
      <c r="AO610" s="3260"/>
      <c r="AP610" s="3242">
        <v>0</v>
      </c>
      <c r="AQ610" s="3244"/>
      <c r="AR610" s="3244"/>
      <c r="AS610" s="3242" t="s">
        <v>3384</v>
      </c>
      <c r="AT610" s="3247">
        <f t="shared" si="59"/>
        <v>0</v>
      </c>
      <c r="AU610" s="3248">
        <f t="shared" si="60"/>
        <v>0</v>
      </c>
      <c r="AV610" s="3248">
        <v>0</v>
      </c>
      <c r="AW610" s="3247">
        <v>0</v>
      </c>
      <c r="AX610" s="3248">
        <v>0</v>
      </c>
      <c r="AY610" s="3248">
        <v>0</v>
      </c>
      <c r="AZ610" s="3247">
        <v>0</v>
      </c>
      <c r="BA610" s="3248">
        <v>0</v>
      </c>
      <c r="BB610" s="3248">
        <v>0</v>
      </c>
      <c r="BC610" s="3247">
        <v>0</v>
      </c>
      <c r="BD610" s="3248">
        <v>0</v>
      </c>
      <c r="BE610" s="3248">
        <v>0</v>
      </c>
      <c r="BF610" s="3248">
        <f t="shared" si="61"/>
        <v>0</v>
      </c>
      <c r="BG610" s="3248">
        <f t="shared" si="62"/>
        <v>0</v>
      </c>
      <c r="BH610" s="3249"/>
      <c r="BI610" s="3249"/>
    </row>
    <row r="611" spans="1:61" x14ac:dyDescent="0.3">
      <c r="A611" s="4197" t="s">
        <v>3384</v>
      </c>
      <c r="B611" s="3261"/>
      <c r="C611" s="3243">
        <v>0</v>
      </c>
      <c r="D611" s="3242">
        <v>0</v>
      </c>
      <c r="E611" s="3244"/>
      <c r="F611" s="3244"/>
      <c r="G611" s="3242">
        <v>0</v>
      </c>
      <c r="H611" s="3244"/>
      <c r="I611" s="3244"/>
      <c r="J611" s="3244"/>
      <c r="K611" s="3242">
        <v>0</v>
      </c>
      <c r="L611" s="3244"/>
      <c r="M611" s="3244"/>
      <c r="N611" s="3242" t="s">
        <v>3384</v>
      </c>
      <c r="O611" s="3239">
        <v>0</v>
      </c>
      <c r="P611" s="3242">
        <v>0</v>
      </c>
      <c r="Q611" s="3244"/>
      <c r="R611" s="3244"/>
      <c r="S611" s="3242">
        <v>0</v>
      </c>
      <c r="T611" s="3244"/>
      <c r="U611" s="3244"/>
      <c r="V611" s="3244"/>
      <c r="W611" s="3240">
        <v>0</v>
      </c>
      <c r="X611" s="3244"/>
      <c r="Y611" s="3244"/>
      <c r="Z611" s="3242" t="s">
        <v>3384</v>
      </c>
      <c r="AA611" s="3243">
        <v>0</v>
      </c>
      <c r="AB611" s="3242">
        <v>0</v>
      </c>
      <c r="AC611" s="3244"/>
      <c r="AD611" s="3244"/>
      <c r="AE611" s="3242">
        <v>0</v>
      </c>
      <c r="AF611" s="3259"/>
      <c r="AG611" s="3260"/>
      <c r="AH611" s="3259"/>
      <c r="AI611" s="3259"/>
      <c r="AJ611" s="3260"/>
      <c r="AK611" s="3260"/>
      <c r="AL611" s="3259"/>
      <c r="AM611" s="3260"/>
      <c r="AN611" s="3259"/>
      <c r="AO611" s="3260"/>
      <c r="AP611" s="3242">
        <v>0</v>
      </c>
      <c r="AQ611" s="3244"/>
      <c r="AR611" s="3244"/>
      <c r="AS611" s="3242" t="s">
        <v>3384</v>
      </c>
      <c r="AT611" s="3247">
        <f t="shared" si="59"/>
        <v>0</v>
      </c>
      <c r="AU611" s="3248">
        <f t="shared" si="60"/>
        <v>0</v>
      </c>
      <c r="AV611" s="3248">
        <v>0</v>
      </c>
      <c r="AW611" s="3247">
        <v>0</v>
      </c>
      <c r="AX611" s="3248">
        <v>0</v>
      </c>
      <c r="AY611" s="3248">
        <v>0</v>
      </c>
      <c r="AZ611" s="3247">
        <v>0</v>
      </c>
      <c r="BA611" s="3248">
        <v>0</v>
      </c>
      <c r="BB611" s="3248">
        <v>0</v>
      </c>
      <c r="BC611" s="3247">
        <v>0</v>
      </c>
      <c r="BD611" s="3248">
        <v>0</v>
      </c>
      <c r="BE611" s="3248">
        <v>0</v>
      </c>
      <c r="BF611" s="3248">
        <f t="shared" si="61"/>
        <v>0</v>
      </c>
      <c r="BG611" s="3248">
        <f t="shared" si="62"/>
        <v>0</v>
      </c>
      <c r="BH611" s="3249"/>
      <c r="BI611" s="3249"/>
    </row>
    <row r="612" spans="1:61" x14ac:dyDescent="0.3">
      <c r="A612" s="4197" t="s">
        <v>3384</v>
      </c>
      <c r="B612" s="3261"/>
      <c r="C612" s="3243">
        <v>0</v>
      </c>
      <c r="D612" s="3242">
        <v>0</v>
      </c>
      <c r="E612" s="3244"/>
      <c r="F612" s="3244"/>
      <c r="G612" s="3242">
        <v>0</v>
      </c>
      <c r="H612" s="3244"/>
      <c r="I612" s="3244"/>
      <c r="J612" s="3244"/>
      <c r="K612" s="3242">
        <v>0</v>
      </c>
      <c r="L612" s="3244"/>
      <c r="M612" s="3244"/>
      <c r="N612" s="3242" t="s">
        <v>3384</v>
      </c>
      <c r="O612" s="3239">
        <v>0</v>
      </c>
      <c r="P612" s="3242">
        <v>0</v>
      </c>
      <c r="Q612" s="3244"/>
      <c r="R612" s="3244"/>
      <c r="S612" s="3242">
        <v>0</v>
      </c>
      <c r="T612" s="3244"/>
      <c r="U612" s="3244"/>
      <c r="V612" s="3244"/>
      <c r="W612" s="3240">
        <v>0</v>
      </c>
      <c r="X612" s="3244"/>
      <c r="Y612" s="3244"/>
      <c r="Z612" s="3242" t="s">
        <v>3384</v>
      </c>
      <c r="AA612" s="3243">
        <v>0</v>
      </c>
      <c r="AB612" s="3242">
        <v>0</v>
      </c>
      <c r="AC612" s="3244"/>
      <c r="AD612" s="3244"/>
      <c r="AE612" s="3242">
        <v>0</v>
      </c>
      <c r="AF612" s="3259"/>
      <c r="AG612" s="3260"/>
      <c r="AH612" s="3259"/>
      <c r="AI612" s="3259"/>
      <c r="AJ612" s="3260"/>
      <c r="AK612" s="3260"/>
      <c r="AL612" s="3259"/>
      <c r="AM612" s="3260"/>
      <c r="AN612" s="3259"/>
      <c r="AO612" s="3260"/>
      <c r="AP612" s="3242">
        <v>0</v>
      </c>
      <c r="AQ612" s="3244"/>
      <c r="AR612" s="3244"/>
      <c r="AS612" s="3242" t="s">
        <v>3384</v>
      </c>
      <c r="AT612" s="3247">
        <f t="shared" si="59"/>
        <v>0</v>
      </c>
      <c r="AU612" s="3248">
        <f t="shared" si="60"/>
        <v>0</v>
      </c>
      <c r="AV612" s="3248">
        <v>0</v>
      </c>
      <c r="AW612" s="3247">
        <v>0</v>
      </c>
      <c r="AX612" s="3248">
        <v>0</v>
      </c>
      <c r="AY612" s="3248">
        <v>0</v>
      </c>
      <c r="AZ612" s="3247">
        <v>0</v>
      </c>
      <c r="BA612" s="3248">
        <v>0</v>
      </c>
      <c r="BB612" s="3248">
        <v>0</v>
      </c>
      <c r="BC612" s="3247">
        <v>0</v>
      </c>
      <c r="BD612" s="3248">
        <v>0</v>
      </c>
      <c r="BE612" s="3248">
        <v>0</v>
      </c>
      <c r="BF612" s="3248">
        <f t="shared" si="61"/>
        <v>0</v>
      </c>
      <c r="BG612" s="3248">
        <f t="shared" si="62"/>
        <v>0</v>
      </c>
      <c r="BH612" s="3249"/>
      <c r="BI612" s="3249"/>
    </row>
    <row r="613" spans="1:61" x14ac:dyDescent="0.3">
      <c r="A613" s="4197" t="s">
        <v>3384</v>
      </c>
      <c r="B613" s="3261"/>
      <c r="C613" s="3243">
        <v>0</v>
      </c>
      <c r="D613" s="3242">
        <v>0</v>
      </c>
      <c r="E613" s="3244"/>
      <c r="F613" s="3244"/>
      <c r="G613" s="3242">
        <v>0</v>
      </c>
      <c r="H613" s="3244"/>
      <c r="I613" s="3244"/>
      <c r="J613" s="3244"/>
      <c r="K613" s="3242">
        <v>0</v>
      </c>
      <c r="L613" s="3244"/>
      <c r="M613" s="3244"/>
      <c r="N613" s="3242" t="s">
        <v>3384</v>
      </c>
      <c r="O613" s="3239">
        <v>0</v>
      </c>
      <c r="P613" s="3242">
        <v>0</v>
      </c>
      <c r="Q613" s="3244"/>
      <c r="R613" s="3244"/>
      <c r="S613" s="3242">
        <v>0</v>
      </c>
      <c r="T613" s="3244"/>
      <c r="U613" s="3244"/>
      <c r="V613" s="3244"/>
      <c r="W613" s="3240">
        <v>0</v>
      </c>
      <c r="X613" s="3244"/>
      <c r="Y613" s="3244"/>
      <c r="Z613" s="3242" t="s">
        <v>3384</v>
      </c>
      <c r="AA613" s="3243">
        <v>0</v>
      </c>
      <c r="AB613" s="3242">
        <v>0</v>
      </c>
      <c r="AC613" s="3244"/>
      <c r="AD613" s="3244"/>
      <c r="AE613" s="3242">
        <v>0</v>
      </c>
      <c r="AF613" s="3259"/>
      <c r="AG613" s="3260"/>
      <c r="AH613" s="3259"/>
      <c r="AI613" s="3259"/>
      <c r="AJ613" s="3260"/>
      <c r="AK613" s="3260"/>
      <c r="AL613" s="3259"/>
      <c r="AM613" s="3260"/>
      <c r="AN613" s="3259"/>
      <c r="AO613" s="3260"/>
      <c r="AP613" s="3242">
        <v>0</v>
      </c>
      <c r="AQ613" s="3244"/>
      <c r="AR613" s="3244"/>
      <c r="AS613" s="3242" t="s">
        <v>3384</v>
      </c>
      <c r="AT613" s="3247">
        <f t="shared" si="59"/>
        <v>0</v>
      </c>
      <c r="AU613" s="3248">
        <f t="shared" si="60"/>
        <v>0</v>
      </c>
      <c r="AV613" s="3248">
        <v>0</v>
      </c>
      <c r="AW613" s="3247">
        <v>0</v>
      </c>
      <c r="AX613" s="3248">
        <v>0</v>
      </c>
      <c r="AY613" s="3248">
        <v>0</v>
      </c>
      <c r="AZ613" s="3247">
        <v>0</v>
      </c>
      <c r="BA613" s="3248">
        <v>0</v>
      </c>
      <c r="BB613" s="3248">
        <v>0</v>
      </c>
      <c r="BC613" s="3247">
        <v>0</v>
      </c>
      <c r="BD613" s="3248">
        <v>0</v>
      </c>
      <c r="BE613" s="3248">
        <v>0</v>
      </c>
      <c r="BF613" s="3248">
        <f t="shared" si="61"/>
        <v>0</v>
      </c>
      <c r="BG613" s="3248">
        <f t="shared" si="62"/>
        <v>0</v>
      </c>
      <c r="BH613" s="3249"/>
      <c r="BI613" s="3249"/>
    </row>
    <row r="614" spans="1:61" x14ac:dyDescent="0.3">
      <c r="A614" s="4197" t="s">
        <v>3384</v>
      </c>
      <c r="B614" s="3261"/>
      <c r="C614" s="3243">
        <v>0</v>
      </c>
      <c r="D614" s="3242">
        <v>0</v>
      </c>
      <c r="E614" s="3244"/>
      <c r="F614" s="3244"/>
      <c r="G614" s="3242">
        <v>0</v>
      </c>
      <c r="H614" s="3244"/>
      <c r="I614" s="3244"/>
      <c r="J614" s="3244"/>
      <c r="K614" s="3242">
        <v>0</v>
      </c>
      <c r="L614" s="3244"/>
      <c r="M614" s="3244"/>
      <c r="N614" s="3242" t="s">
        <v>3384</v>
      </c>
      <c r="O614" s="3239">
        <v>0</v>
      </c>
      <c r="P614" s="3242">
        <v>0</v>
      </c>
      <c r="Q614" s="3244"/>
      <c r="R614" s="3244"/>
      <c r="S614" s="3242">
        <v>0</v>
      </c>
      <c r="T614" s="3244"/>
      <c r="U614" s="3244"/>
      <c r="V614" s="3244"/>
      <c r="W614" s="3240">
        <v>0</v>
      </c>
      <c r="X614" s="3244"/>
      <c r="Y614" s="3244"/>
      <c r="Z614" s="3242" t="s">
        <v>3384</v>
      </c>
      <c r="AA614" s="3243">
        <v>0</v>
      </c>
      <c r="AB614" s="3242">
        <v>0</v>
      </c>
      <c r="AC614" s="3244"/>
      <c r="AD614" s="3244"/>
      <c r="AE614" s="3242">
        <v>0</v>
      </c>
      <c r="AF614" s="3259"/>
      <c r="AG614" s="3260"/>
      <c r="AH614" s="3259"/>
      <c r="AI614" s="3259"/>
      <c r="AJ614" s="3260"/>
      <c r="AK614" s="3260"/>
      <c r="AL614" s="3259"/>
      <c r="AM614" s="3260"/>
      <c r="AN614" s="3259"/>
      <c r="AO614" s="3260"/>
      <c r="AP614" s="3242">
        <v>0</v>
      </c>
      <c r="AQ614" s="3244"/>
      <c r="AR614" s="3244"/>
      <c r="AS614" s="3242" t="s">
        <v>3384</v>
      </c>
      <c r="AT614" s="3247">
        <f t="shared" si="59"/>
        <v>0</v>
      </c>
      <c r="AU614" s="3248">
        <f t="shared" si="60"/>
        <v>0</v>
      </c>
      <c r="AV614" s="3248">
        <v>0</v>
      </c>
      <c r="AW614" s="3247">
        <v>0</v>
      </c>
      <c r="AX614" s="3248">
        <v>0</v>
      </c>
      <c r="AY614" s="3248">
        <v>0</v>
      </c>
      <c r="AZ614" s="3247">
        <v>0</v>
      </c>
      <c r="BA614" s="3248">
        <v>0</v>
      </c>
      <c r="BB614" s="3248">
        <v>0</v>
      </c>
      <c r="BC614" s="3247">
        <v>0</v>
      </c>
      <c r="BD614" s="3248">
        <v>0</v>
      </c>
      <c r="BE614" s="3248">
        <v>0</v>
      </c>
      <c r="BF614" s="3248">
        <f t="shared" si="61"/>
        <v>0</v>
      </c>
      <c r="BG614" s="3248">
        <f t="shared" si="62"/>
        <v>0</v>
      </c>
      <c r="BH614" s="3249"/>
      <c r="BI614" s="3249"/>
    </row>
    <row r="615" spans="1:61" x14ac:dyDescent="0.3">
      <c r="A615" s="4197" t="s">
        <v>3384</v>
      </c>
      <c r="B615" s="3261"/>
      <c r="C615" s="3243">
        <v>0</v>
      </c>
      <c r="D615" s="3242">
        <v>0</v>
      </c>
      <c r="E615" s="3244"/>
      <c r="F615" s="3244"/>
      <c r="G615" s="3242">
        <v>0</v>
      </c>
      <c r="H615" s="3244"/>
      <c r="I615" s="3244"/>
      <c r="J615" s="3244"/>
      <c r="K615" s="3242">
        <v>0</v>
      </c>
      <c r="L615" s="3244"/>
      <c r="M615" s="3244"/>
      <c r="N615" s="3242" t="s">
        <v>3384</v>
      </c>
      <c r="O615" s="3239">
        <v>0</v>
      </c>
      <c r="P615" s="3242">
        <v>0</v>
      </c>
      <c r="Q615" s="3244"/>
      <c r="R615" s="3244"/>
      <c r="S615" s="3242">
        <v>0</v>
      </c>
      <c r="T615" s="3244"/>
      <c r="U615" s="3244"/>
      <c r="V615" s="3244"/>
      <c r="W615" s="3240">
        <v>0</v>
      </c>
      <c r="X615" s="3244"/>
      <c r="Y615" s="3244"/>
      <c r="Z615" s="3242" t="s">
        <v>3384</v>
      </c>
      <c r="AA615" s="3243">
        <v>0</v>
      </c>
      <c r="AB615" s="3242">
        <v>0</v>
      </c>
      <c r="AC615" s="3244"/>
      <c r="AD615" s="3244"/>
      <c r="AE615" s="3242">
        <v>0</v>
      </c>
      <c r="AF615" s="3259"/>
      <c r="AG615" s="3260"/>
      <c r="AH615" s="3259"/>
      <c r="AI615" s="3259"/>
      <c r="AJ615" s="3260"/>
      <c r="AK615" s="3260"/>
      <c r="AL615" s="3259"/>
      <c r="AM615" s="3260"/>
      <c r="AN615" s="3259"/>
      <c r="AO615" s="3260"/>
      <c r="AP615" s="3242">
        <v>0</v>
      </c>
      <c r="AQ615" s="3244"/>
      <c r="AR615" s="3244"/>
      <c r="AS615" s="3242" t="s">
        <v>3384</v>
      </c>
      <c r="AT615" s="3247">
        <f t="shared" si="59"/>
        <v>0</v>
      </c>
      <c r="AU615" s="3248">
        <f t="shared" si="60"/>
        <v>0</v>
      </c>
      <c r="AV615" s="3248">
        <v>0</v>
      </c>
      <c r="AW615" s="3247">
        <v>0</v>
      </c>
      <c r="AX615" s="3248">
        <v>0</v>
      </c>
      <c r="AY615" s="3248">
        <v>0</v>
      </c>
      <c r="AZ615" s="3247">
        <v>0</v>
      </c>
      <c r="BA615" s="3248">
        <v>0</v>
      </c>
      <c r="BB615" s="3248">
        <v>0</v>
      </c>
      <c r="BC615" s="3247">
        <v>0</v>
      </c>
      <c r="BD615" s="3248">
        <v>0</v>
      </c>
      <c r="BE615" s="3248">
        <v>0</v>
      </c>
      <c r="BF615" s="3248">
        <f t="shared" si="61"/>
        <v>0</v>
      </c>
      <c r="BG615" s="3248">
        <f t="shared" si="62"/>
        <v>0</v>
      </c>
      <c r="BH615" s="3249"/>
      <c r="BI615" s="3249"/>
    </row>
    <row r="616" spans="1:61" x14ac:dyDescent="0.3">
      <c r="A616" s="4197" t="s">
        <v>3384</v>
      </c>
      <c r="B616" s="3261"/>
      <c r="C616" s="3243">
        <v>0</v>
      </c>
      <c r="D616" s="3242">
        <v>0</v>
      </c>
      <c r="E616" s="3244"/>
      <c r="F616" s="3244"/>
      <c r="G616" s="3242">
        <v>0</v>
      </c>
      <c r="H616" s="3244"/>
      <c r="I616" s="3244"/>
      <c r="J616" s="3244"/>
      <c r="K616" s="3242">
        <v>0</v>
      </c>
      <c r="L616" s="3244"/>
      <c r="M616" s="3244"/>
      <c r="N616" s="3242" t="s">
        <v>3384</v>
      </c>
      <c r="O616" s="3239">
        <v>0</v>
      </c>
      <c r="P616" s="3242">
        <v>0</v>
      </c>
      <c r="Q616" s="3244"/>
      <c r="R616" s="3244"/>
      <c r="S616" s="3242">
        <v>0</v>
      </c>
      <c r="T616" s="3244"/>
      <c r="U616" s="3244"/>
      <c r="V616" s="3244"/>
      <c r="W616" s="3240">
        <v>0</v>
      </c>
      <c r="X616" s="3244"/>
      <c r="Y616" s="3244"/>
      <c r="Z616" s="3242" t="s">
        <v>3384</v>
      </c>
      <c r="AA616" s="3243">
        <v>0</v>
      </c>
      <c r="AB616" s="3242">
        <v>0</v>
      </c>
      <c r="AC616" s="3244"/>
      <c r="AD616" s="3244"/>
      <c r="AE616" s="3242">
        <v>0</v>
      </c>
      <c r="AF616" s="3259"/>
      <c r="AG616" s="3260"/>
      <c r="AH616" s="3259"/>
      <c r="AI616" s="3259"/>
      <c r="AJ616" s="3260"/>
      <c r="AK616" s="3260"/>
      <c r="AL616" s="3259"/>
      <c r="AM616" s="3260"/>
      <c r="AN616" s="3259"/>
      <c r="AO616" s="3260"/>
      <c r="AP616" s="3242">
        <v>0</v>
      </c>
      <c r="AQ616" s="3244"/>
      <c r="AR616" s="3244"/>
      <c r="AS616" s="3242" t="s">
        <v>3384</v>
      </c>
      <c r="AT616" s="3247">
        <f t="shared" si="59"/>
        <v>0</v>
      </c>
      <c r="AU616" s="3248">
        <f t="shared" si="60"/>
        <v>0</v>
      </c>
      <c r="AV616" s="3248">
        <v>0</v>
      </c>
      <c r="AW616" s="3247">
        <v>0</v>
      </c>
      <c r="AX616" s="3248">
        <v>0</v>
      </c>
      <c r="AY616" s="3248">
        <v>0</v>
      </c>
      <c r="AZ616" s="3247">
        <v>0</v>
      </c>
      <c r="BA616" s="3248">
        <v>0</v>
      </c>
      <c r="BB616" s="3248">
        <v>0</v>
      </c>
      <c r="BC616" s="3247">
        <v>0</v>
      </c>
      <c r="BD616" s="3248">
        <v>0</v>
      </c>
      <c r="BE616" s="3248">
        <v>0</v>
      </c>
      <c r="BF616" s="3248">
        <f t="shared" si="61"/>
        <v>0</v>
      </c>
      <c r="BG616" s="3248">
        <f t="shared" si="62"/>
        <v>0</v>
      </c>
      <c r="BH616" s="3249"/>
      <c r="BI616" s="3249"/>
    </row>
    <row r="617" spans="1:61" x14ac:dyDescent="0.3">
      <c r="A617" s="4197" t="s">
        <v>3384</v>
      </c>
      <c r="B617" s="3261"/>
      <c r="C617" s="3243">
        <v>0</v>
      </c>
      <c r="D617" s="3242">
        <v>0</v>
      </c>
      <c r="E617" s="3244"/>
      <c r="F617" s="3244"/>
      <c r="G617" s="3242">
        <v>0</v>
      </c>
      <c r="H617" s="3244"/>
      <c r="I617" s="3244"/>
      <c r="J617" s="3244"/>
      <c r="K617" s="3242">
        <v>0</v>
      </c>
      <c r="L617" s="3244"/>
      <c r="M617" s="3244"/>
      <c r="N617" s="3242" t="s">
        <v>3384</v>
      </c>
      <c r="O617" s="3239">
        <v>0</v>
      </c>
      <c r="P617" s="3242">
        <v>0</v>
      </c>
      <c r="Q617" s="3244"/>
      <c r="R617" s="3244"/>
      <c r="S617" s="3242">
        <v>0</v>
      </c>
      <c r="T617" s="3244"/>
      <c r="U617" s="3244"/>
      <c r="V617" s="3244"/>
      <c r="W617" s="3240">
        <v>0</v>
      </c>
      <c r="X617" s="3244"/>
      <c r="Y617" s="3244"/>
      <c r="Z617" s="3242" t="s">
        <v>3384</v>
      </c>
      <c r="AA617" s="3243">
        <v>0</v>
      </c>
      <c r="AB617" s="3242">
        <v>0</v>
      </c>
      <c r="AC617" s="3244"/>
      <c r="AD617" s="3244"/>
      <c r="AE617" s="3242">
        <v>0</v>
      </c>
      <c r="AF617" s="3259"/>
      <c r="AG617" s="3260"/>
      <c r="AH617" s="3259"/>
      <c r="AI617" s="3259"/>
      <c r="AJ617" s="3260"/>
      <c r="AK617" s="3260"/>
      <c r="AL617" s="3259"/>
      <c r="AM617" s="3260"/>
      <c r="AN617" s="3259"/>
      <c r="AO617" s="3260"/>
      <c r="AP617" s="3242">
        <v>0</v>
      </c>
      <c r="AQ617" s="3244"/>
      <c r="AR617" s="3244"/>
      <c r="AS617" s="3242" t="s">
        <v>3384</v>
      </c>
      <c r="AT617" s="3247">
        <f t="shared" si="59"/>
        <v>0</v>
      </c>
      <c r="AU617" s="3248">
        <f t="shared" si="60"/>
        <v>0</v>
      </c>
      <c r="AV617" s="3248">
        <v>0</v>
      </c>
      <c r="AW617" s="3247">
        <v>0</v>
      </c>
      <c r="AX617" s="3248">
        <v>0</v>
      </c>
      <c r="AY617" s="3248">
        <v>0</v>
      </c>
      <c r="AZ617" s="3247">
        <v>0</v>
      </c>
      <c r="BA617" s="3248">
        <v>0</v>
      </c>
      <c r="BB617" s="3248">
        <v>0</v>
      </c>
      <c r="BC617" s="3247">
        <v>0</v>
      </c>
      <c r="BD617" s="3248">
        <v>0</v>
      </c>
      <c r="BE617" s="3248">
        <v>0</v>
      </c>
      <c r="BF617" s="3248">
        <f t="shared" si="61"/>
        <v>0</v>
      </c>
      <c r="BG617" s="3248">
        <f t="shared" si="62"/>
        <v>0</v>
      </c>
      <c r="BH617" s="3249"/>
      <c r="BI617" s="3249"/>
    </row>
    <row r="618" spans="1:61" x14ac:dyDescent="0.3">
      <c r="A618" s="4197" t="s">
        <v>3384</v>
      </c>
      <c r="B618" s="3261"/>
      <c r="C618" s="3243">
        <v>0</v>
      </c>
      <c r="D618" s="3242">
        <v>0</v>
      </c>
      <c r="E618" s="3244"/>
      <c r="F618" s="3244"/>
      <c r="G618" s="3242">
        <v>0</v>
      </c>
      <c r="H618" s="3244"/>
      <c r="I618" s="3244"/>
      <c r="J618" s="3244"/>
      <c r="K618" s="3242">
        <v>0</v>
      </c>
      <c r="L618" s="3244"/>
      <c r="M618" s="3244"/>
      <c r="N618" s="3242" t="s">
        <v>3384</v>
      </c>
      <c r="O618" s="3239">
        <v>0</v>
      </c>
      <c r="P618" s="3242">
        <v>0</v>
      </c>
      <c r="Q618" s="3244"/>
      <c r="R618" s="3244"/>
      <c r="S618" s="3242">
        <v>0</v>
      </c>
      <c r="T618" s="3244"/>
      <c r="U618" s="3244"/>
      <c r="V618" s="3244"/>
      <c r="W618" s="3240">
        <v>0</v>
      </c>
      <c r="X618" s="3244"/>
      <c r="Y618" s="3244"/>
      <c r="Z618" s="3242" t="s">
        <v>3384</v>
      </c>
      <c r="AA618" s="3243">
        <v>0</v>
      </c>
      <c r="AB618" s="3242">
        <v>0</v>
      </c>
      <c r="AC618" s="3244"/>
      <c r="AD618" s="3244"/>
      <c r="AE618" s="3242">
        <v>0</v>
      </c>
      <c r="AF618" s="3259"/>
      <c r="AG618" s="3260"/>
      <c r="AH618" s="3259"/>
      <c r="AI618" s="3259"/>
      <c r="AJ618" s="3260"/>
      <c r="AK618" s="3260"/>
      <c r="AL618" s="3259"/>
      <c r="AM618" s="3260"/>
      <c r="AN618" s="3259"/>
      <c r="AO618" s="3260"/>
      <c r="AP618" s="3242">
        <v>0</v>
      </c>
      <c r="AQ618" s="3244"/>
      <c r="AR618" s="3244"/>
      <c r="AS618" s="3242" t="s">
        <v>3384</v>
      </c>
      <c r="AT618" s="3247">
        <f t="shared" si="59"/>
        <v>0</v>
      </c>
      <c r="AU618" s="3248">
        <f t="shared" si="60"/>
        <v>0</v>
      </c>
      <c r="AV618" s="3248">
        <v>0</v>
      </c>
      <c r="AW618" s="3247">
        <v>0</v>
      </c>
      <c r="AX618" s="3248">
        <v>0</v>
      </c>
      <c r="AY618" s="3248">
        <v>0</v>
      </c>
      <c r="AZ618" s="3247">
        <v>0</v>
      </c>
      <c r="BA618" s="3248">
        <v>0</v>
      </c>
      <c r="BB618" s="3248">
        <v>0</v>
      </c>
      <c r="BC618" s="3247">
        <v>0</v>
      </c>
      <c r="BD618" s="3248">
        <v>0</v>
      </c>
      <c r="BE618" s="3248">
        <v>0</v>
      </c>
      <c r="BF618" s="3248">
        <f t="shared" si="61"/>
        <v>0</v>
      </c>
      <c r="BG618" s="3248">
        <f t="shared" si="62"/>
        <v>0</v>
      </c>
      <c r="BH618" s="3249"/>
      <c r="BI618" s="3249"/>
    </row>
    <row r="619" spans="1:61" x14ac:dyDescent="0.3">
      <c r="A619" s="4197" t="s">
        <v>3384</v>
      </c>
      <c r="B619" s="3261"/>
      <c r="C619" s="3243">
        <v>0</v>
      </c>
      <c r="D619" s="3242">
        <v>0</v>
      </c>
      <c r="E619" s="3244"/>
      <c r="F619" s="3244"/>
      <c r="G619" s="3242">
        <v>0</v>
      </c>
      <c r="H619" s="3244"/>
      <c r="I619" s="3244"/>
      <c r="J619" s="3244"/>
      <c r="K619" s="3242">
        <v>0</v>
      </c>
      <c r="L619" s="3244"/>
      <c r="M619" s="3244"/>
      <c r="N619" s="3242" t="s">
        <v>3384</v>
      </c>
      <c r="O619" s="3239">
        <v>0</v>
      </c>
      <c r="P619" s="3242">
        <v>0</v>
      </c>
      <c r="Q619" s="3244"/>
      <c r="R619" s="3244"/>
      <c r="S619" s="3242">
        <v>0</v>
      </c>
      <c r="T619" s="3244"/>
      <c r="U619" s="3244"/>
      <c r="V619" s="3244"/>
      <c r="W619" s="3240">
        <v>0</v>
      </c>
      <c r="X619" s="3244"/>
      <c r="Y619" s="3244"/>
      <c r="Z619" s="3242" t="s">
        <v>3384</v>
      </c>
      <c r="AA619" s="3243">
        <v>0</v>
      </c>
      <c r="AB619" s="3242">
        <v>0</v>
      </c>
      <c r="AC619" s="3244"/>
      <c r="AD619" s="3244"/>
      <c r="AE619" s="3242">
        <v>0</v>
      </c>
      <c r="AF619" s="3259"/>
      <c r="AG619" s="3260"/>
      <c r="AH619" s="3259"/>
      <c r="AI619" s="3259"/>
      <c r="AJ619" s="3260"/>
      <c r="AK619" s="3260"/>
      <c r="AL619" s="3259"/>
      <c r="AM619" s="3260"/>
      <c r="AN619" s="3259"/>
      <c r="AO619" s="3260"/>
      <c r="AP619" s="3242">
        <v>0</v>
      </c>
      <c r="AQ619" s="3244"/>
      <c r="AR619" s="3244"/>
      <c r="AS619" s="3242" t="s">
        <v>3384</v>
      </c>
      <c r="AT619" s="3247">
        <f t="shared" si="59"/>
        <v>0</v>
      </c>
      <c r="AU619" s="3248">
        <f t="shared" si="60"/>
        <v>0</v>
      </c>
      <c r="AV619" s="3248">
        <v>0</v>
      </c>
      <c r="AW619" s="3247">
        <v>0</v>
      </c>
      <c r="AX619" s="3248">
        <v>0</v>
      </c>
      <c r="AY619" s="3248">
        <v>0</v>
      </c>
      <c r="AZ619" s="3247">
        <v>0</v>
      </c>
      <c r="BA619" s="3248">
        <v>0</v>
      </c>
      <c r="BB619" s="3248">
        <v>0</v>
      </c>
      <c r="BC619" s="3247">
        <v>0</v>
      </c>
      <c r="BD619" s="3248">
        <v>0</v>
      </c>
      <c r="BE619" s="3248">
        <v>0</v>
      </c>
      <c r="BF619" s="3248">
        <f t="shared" si="61"/>
        <v>0</v>
      </c>
      <c r="BG619" s="3248">
        <f t="shared" si="62"/>
        <v>0</v>
      </c>
      <c r="BH619" s="3249"/>
      <c r="BI619" s="3249"/>
    </row>
    <row r="620" spans="1:61" x14ac:dyDescent="0.3">
      <c r="A620" s="4197" t="s">
        <v>3384</v>
      </c>
      <c r="B620" s="3261"/>
      <c r="C620" s="3243">
        <v>0</v>
      </c>
      <c r="D620" s="3242">
        <v>0</v>
      </c>
      <c r="E620" s="3244"/>
      <c r="F620" s="3244"/>
      <c r="G620" s="3242">
        <v>0</v>
      </c>
      <c r="H620" s="3244"/>
      <c r="I620" s="3244"/>
      <c r="J620" s="3244"/>
      <c r="K620" s="3242">
        <v>0</v>
      </c>
      <c r="L620" s="3244"/>
      <c r="M620" s="3244"/>
      <c r="N620" s="3242" t="s">
        <v>3384</v>
      </c>
      <c r="O620" s="3239">
        <v>0</v>
      </c>
      <c r="P620" s="3242">
        <v>0</v>
      </c>
      <c r="Q620" s="3244"/>
      <c r="R620" s="3244"/>
      <c r="S620" s="3242">
        <v>0</v>
      </c>
      <c r="T620" s="3244"/>
      <c r="U620" s="3244"/>
      <c r="V620" s="3244"/>
      <c r="W620" s="3240">
        <v>0</v>
      </c>
      <c r="X620" s="3244"/>
      <c r="Y620" s="3244"/>
      <c r="Z620" s="3242" t="s">
        <v>3384</v>
      </c>
      <c r="AA620" s="3243">
        <v>0</v>
      </c>
      <c r="AB620" s="3242">
        <v>0</v>
      </c>
      <c r="AC620" s="3244"/>
      <c r="AD620" s="3244"/>
      <c r="AE620" s="3242">
        <v>0</v>
      </c>
      <c r="AF620" s="3259"/>
      <c r="AG620" s="3260"/>
      <c r="AH620" s="3259"/>
      <c r="AI620" s="3259"/>
      <c r="AJ620" s="3260"/>
      <c r="AK620" s="3260"/>
      <c r="AL620" s="3259"/>
      <c r="AM620" s="3260"/>
      <c r="AN620" s="3259"/>
      <c r="AO620" s="3260"/>
      <c r="AP620" s="3242">
        <v>0</v>
      </c>
      <c r="AQ620" s="3244"/>
      <c r="AR620" s="3244"/>
      <c r="AS620" s="3242" t="s">
        <v>3384</v>
      </c>
      <c r="AT620" s="3247">
        <f t="shared" si="59"/>
        <v>0</v>
      </c>
      <c r="AU620" s="3248">
        <f t="shared" si="60"/>
        <v>0</v>
      </c>
      <c r="AV620" s="3248">
        <v>0</v>
      </c>
      <c r="AW620" s="3247">
        <v>0</v>
      </c>
      <c r="AX620" s="3248">
        <v>0</v>
      </c>
      <c r="AY620" s="3248">
        <v>0</v>
      </c>
      <c r="AZ620" s="3247">
        <v>0</v>
      </c>
      <c r="BA620" s="3248">
        <v>0</v>
      </c>
      <c r="BB620" s="3248">
        <v>0</v>
      </c>
      <c r="BC620" s="3247">
        <v>0</v>
      </c>
      <c r="BD620" s="3248">
        <v>0</v>
      </c>
      <c r="BE620" s="3248">
        <v>0</v>
      </c>
      <c r="BF620" s="3248">
        <f t="shared" si="61"/>
        <v>0</v>
      </c>
      <c r="BG620" s="3248">
        <f t="shared" si="62"/>
        <v>0</v>
      </c>
      <c r="BH620" s="3249"/>
      <c r="BI620" s="3249"/>
    </row>
    <row r="621" spans="1:61" x14ac:dyDescent="0.3">
      <c r="A621" s="4197" t="s">
        <v>3384</v>
      </c>
      <c r="B621" s="3261"/>
      <c r="C621" s="3243">
        <v>0</v>
      </c>
      <c r="D621" s="3242">
        <v>0</v>
      </c>
      <c r="E621" s="3244"/>
      <c r="F621" s="3244"/>
      <c r="G621" s="3242">
        <v>0</v>
      </c>
      <c r="H621" s="3244"/>
      <c r="I621" s="3244"/>
      <c r="J621" s="3244"/>
      <c r="K621" s="3242">
        <v>0</v>
      </c>
      <c r="L621" s="3244"/>
      <c r="M621" s="3244"/>
      <c r="N621" s="3242" t="s">
        <v>3384</v>
      </c>
      <c r="O621" s="3239">
        <v>0</v>
      </c>
      <c r="P621" s="3242">
        <v>0</v>
      </c>
      <c r="Q621" s="3244"/>
      <c r="R621" s="3244"/>
      <c r="S621" s="3242">
        <v>0</v>
      </c>
      <c r="T621" s="3244"/>
      <c r="U621" s="3244"/>
      <c r="V621" s="3244"/>
      <c r="W621" s="3240">
        <v>0</v>
      </c>
      <c r="X621" s="3244"/>
      <c r="Y621" s="3244"/>
      <c r="Z621" s="3242" t="s">
        <v>3384</v>
      </c>
      <c r="AA621" s="3243">
        <v>0</v>
      </c>
      <c r="AB621" s="3242">
        <v>0</v>
      </c>
      <c r="AC621" s="3244"/>
      <c r="AD621" s="3244"/>
      <c r="AE621" s="3242">
        <v>0</v>
      </c>
      <c r="AF621" s="3259"/>
      <c r="AG621" s="3260"/>
      <c r="AH621" s="3259"/>
      <c r="AI621" s="3259"/>
      <c r="AJ621" s="3260"/>
      <c r="AK621" s="3260"/>
      <c r="AL621" s="3259"/>
      <c r="AM621" s="3260"/>
      <c r="AN621" s="3259"/>
      <c r="AO621" s="3260"/>
      <c r="AP621" s="3242">
        <v>0</v>
      </c>
      <c r="AQ621" s="3244"/>
      <c r="AR621" s="3244"/>
      <c r="AS621" s="3242" t="s">
        <v>3384</v>
      </c>
      <c r="AT621" s="3247">
        <f t="shared" si="59"/>
        <v>0</v>
      </c>
      <c r="AU621" s="3248">
        <f t="shared" si="60"/>
        <v>0</v>
      </c>
      <c r="AV621" s="3248">
        <v>0</v>
      </c>
      <c r="AW621" s="3247">
        <v>0</v>
      </c>
      <c r="AX621" s="3248">
        <v>0</v>
      </c>
      <c r="AY621" s="3248">
        <v>0</v>
      </c>
      <c r="AZ621" s="3247">
        <v>0</v>
      </c>
      <c r="BA621" s="3248">
        <v>0</v>
      </c>
      <c r="BB621" s="3248">
        <v>0</v>
      </c>
      <c r="BC621" s="3247">
        <v>0</v>
      </c>
      <c r="BD621" s="3248">
        <v>0</v>
      </c>
      <c r="BE621" s="3248">
        <v>0</v>
      </c>
      <c r="BF621" s="3248">
        <f t="shared" si="61"/>
        <v>0</v>
      </c>
      <c r="BG621" s="3248">
        <f t="shared" si="62"/>
        <v>0</v>
      </c>
      <c r="BH621" s="3249"/>
      <c r="BI621" s="3249"/>
    </row>
    <row r="622" spans="1:61" x14ac:dyDescent="0.3">
      <c r="A622" s="4197" t="s">
        <v>3384</v>
      </c>
      <c r="B622" s="3261"/>
      <c r="C622" s="3243">
        <v>0</v>
      </c>
      <c r="D622" s="3242">
        <v>0</v>
      </c>
      <c r="E622" s="3244"/>
      <c r="F622" s="3244"/>
      <c r="G622" s="3242">
        <v>0</v>
      </c>
      <c r="H622" s="3244"/>
      <c r="I622" s="3244"/>
      <c r="J622" s="3244"/>
      <c r="K622" s="3242">
        <v>0</v>
      </c>
      <c r="L622" s="3244"/>
      <c r="M622" s="3244"/>
      <c r="N622" s="3242" t="s">
        <v>3384</v>
      </c>
      <c r="O622" s="3239">
        <v>0</v>
      </c>
      <c r="P622" s="3242">
        <v>0</v>
      </c>
      <c r="Q622" s="3244"/>
      <c r="R622" s="3244"/>
      <c r="S622" s="3242">
        <v>0</v>
      </c>
      <c r="T622" s="3244"/>
      <c r="U622" s="3244"/>
      <c r="V622" s="3244"/>
      <c r="W622" s="3240">
        <v>0</v>
      </c>
      <c r="X622" s="3244"/>
      <c r="Y622" s="3244"/>
      <c r="Z622" s="3242" t="s">
        <v>3384</v>
      </c>
      <c r="AA622" s="3243">
        <v>0</v>
      </c>
      <c r="AB622" s="3242">
        <v>0</v>
      </c>
      <c r="AC622" s="3244"/>
      <c r="AD622" s="3244"/>
      <c r="AE622" s="3242">
        <v>0</v>
      </c>
      <c r="AF622" s="3259"/>
      <c r="AG622" s="3260"/>
      <c r="AH622" s="3259"/>
      <c r="AI622" s="3259"/>
      <c r="AJ622" s="3260"/>
      <c r="AK622" s="3260"/>
      <c r="AL622" s="3259"/>
      <c r="AM622" s="3260"/>
      <c r="AN622" s="3259"/>
      <c r="AO622" s="3260"/>
      <c r="AP622" s="3242">
        <v>0</v>
      </c>
      <c r="AQ622" s="3244"/>
      <c r="AR622" s="3244"/>
      <c r="AS622" s="3242" t="s">
        <v>3384</v>
      </c>
      <c r="AT622" s="3247">
        <f t="shared" si="59"/>
        <v>0</v>
      </c>
      <c r="AU622" s="3248">
        <f t="shared" si="60"/>
        <v>0</v>
      </c>
      <c r="AV622" s="3248">
        <v>0</v>
      </c>
      <c r="AW622" s="3247">
        <v>0</v>
      </c>
      <c r="AX622" s="3248">
        <v>0</v>
      </c>
      <c r="AY622" s="3248">
        <v>0</v>
      </c>
      <c r="AZ622" s="3247">
        <v>0</v>
      </c>
      <c r="BA622" s="3248">
        <v>0</v>
      </c>
      <c r="BB622" s="3248">
        <v>0</v>
      </c>
      <c r="BC622" s="3247">
        <v>0</v>
      </c>
      <c r="BD622" s="3248">
        <v>0</v>
      </c>
      <c r="BE622" s="3248">
        <v>0</v>
      </c>
      <c r="BF622" s="3248">
        <f t="shared" si="61"/>
        <v>0</v>
      </c>
      <c r="BG622" s="3248">
        <f t="shared" si="62"/>
        <v>0</v>
      </c>
      <c r="BH622" s="3249"/>
      <c r="BI622" s="3249"/>
    </row>
    <row r="623" spans="1:61" x14ac:dyDescent="0.3">
      <c r="A623" s="4197" t="s">
        <v>3384</v>
      </c>
      <c r="B623" s="3261"/>
      <c r="C623" s="3243">
        <v>0</v>
      </c>
      <c r="D623" s="3242">
        <v>0</v>
      </c>
      <c r="E623" s="3244"/>
      <c r="F623" s="3244"/>
      <c r="G623" s="3242">
        <v>0</v>
      </c>
      <c r="H623" s="3244"/>
      <c r="I623" s="3244"/>
      <c r="J623" s="3244"/>
      <c r="K623" s="3242">
        <v>0</v>
      </c>
      <c r="L623" s="3244"/>
      <c r="M623" s="3244"/>
      <c r="N623" s="3242" t="s">
        <v>3384</v>
      </c>
      <c r="O623" s="3239">
        <v>0</v>
      </c>
      <c r="P623" s="3242">
        <v>0</v>
      </c>
      <c r="Q623" s="3244"/>
      <c r="R623" s="3244"/>
      <c r="S623" s="3242">
        <v>0</v>
      </c>
      <c r="T623" s="3244"/>
      <c r="U623" s="3244"/>
      <c r="V623" s="3244"/>
      <c r="W623" s="3240">
        <v>0</v>
      </c>
      <c r="X623" s="3244"/>
      <c r="Y623" s="3244"/>
      <c r="Z623" s="3242" t="s">
        <v>3384</v>
      </c>
      <c r="AA623" s="3243">
        <v>0</v>
      </c>
      <c r="AB623" s="3242">
        <v>0</v>
      </c>
      <c r="AC623" s="3244"/>
      <c r="AD623" s="3244"/>
      <c r="AE623" s="3242">
        <v>0</v>
      </c>
      <c r="AF623" s="3259"/>
      <c r="AG623" s="3260"/>
      <c r="AH623" s="3259"/>
      <c r="AI623" s="3259"/>
      <c r="AJ623" s="3260"/>
      <c r="AK623" s="3260"/>
      <c r="AL623" s="3259"/>
      <c r="AM623" s="3260"/>
      <c r="AN623" s="3259"/>
      <c r="AO623" s="3260"/>
      <c r="AP623" s="3242">
        <v>0</v>
      </c>
      <c r="AQ623" s="3244"/>
      <c r="AR623" s="3244"/>
      <c r="AS623" s="3242" t="s">
        <v>3384</v>
      </c>
      <c r="AT623" s="3247">
        <f t="shared" si="59"/>
        <v>0</v>
      </c>
      <c r="AU623" s="3248">
        <f t="shared" si="60"/>
        <v>0</v>
      </c>
      <c r="AV623" s="3248">
        <v>0</v>
      </c>
      <c r="AW623" s="3247">
        <v>0</v>
      </c>
      <c r="AX623" s="3248">
        <v>0</v>
      </c>
      <c r="AY623" s="3248">
        <v>0</v>
      </c>
      <c r="AZ623" s="3247">
        <v>0</v>
      </c>
      <c r="BA623" s="3248">
        <v>0</v>
      </c>
      <c r="BB623" s="3248">
        <v>0</v>
      </c>
      <c r="BC623" s="3247">
        <v>0</v>
      </c>
      <c r="BD623" s="3248">
        <v>0</v>
      </c>
      <c r="BE623" s="3248">
        <v>0</v>
      </c>
      <c r="BF623" s="3248">
        <f t="shared" si="61"/>
        <v>0</v>
      </c>
      <c r="BG623" s="3248">
        <f t="shared" si="62"/>
        <v>0</v>
      </c>
      <c r="BH623" s="3249"/>
      <c r="BI623" s="3249"/>
    </row>
    <row r="624" spans="1:61" x14ac:dyDescent="0.3">
      <c r="A624" s="4197" t="s">
        <v>3384</v>
      </c>
      <c r="B624" s="3261"/>
      <c r="C624" s="3243">
        <v>0</v>
      </c>
      <c r="D624" s="3242">
        <v>0</v>
      </c>
      <c r="E624" s="3244"/>
      <c r="F624" s="3244"/>
      <c r="G624" s="3242">
        <v>0</v>
      </c>
      <c r="H624" s="3244"/>
      <c r="I624" s="3244"/>
      <c r="J624" s="3244"/>
      <c r="K624" s="3242">
        <v>0</v>
      </c>
      <c r="L624" s="3244"/>
      <c r="M624" s="3244"/>
      <c r="N624" s="3242" t="s">
        <v>3384</v>
      </c>
      <c r="O624" s="3239">
        <v>0</v>
      </c>
      <c r="P624" s="3242">
        <v>0</v>
      </c>
      <c r="Q624" s="3244"/>
      <c r="R624" s="3244"/>
      <c r="S624" s="3242">
        <v>0</v>
      </c>
      <c r="T624" s="3244"/>
      <c r="U624" s="3244"/>
      <c r="V624" s="3244"/>
      <c r="W624" s="3240">
        <v>0</v>
      </c>
      <c r="X624" s="3244"/>
      <c r="Y624" s="3244"/>
      <c r="Z624" s="3242" t="s">
        <v>3384</v>
      </c>
      <c r="AA624" s="3243">
        <v>0</v>
      </c>
      <c r="AB624" s="3242">
        <v>0</v>
      </c>
      <c r="AC624" s="3244"/>
      <c r="AD624" s="3244"/>
      <c r="AE624" s="3242">
        <v>0</v>
      </c>
      <c r="AF624" s="3259"/>
      <c r="AG624" s="3260"/>
      <c r="AH624" s="3259"/>
      <c r="AI624" s="3259"/>
      <c r="AJ624" s="3260"/>
      <c r="AK624" s="3260"/>
      <c r="AL624" s="3259"/>
      <c r="AM624" s="3260"/>
      <c r="AN624" s="3259"/>
      <c r="AO624" s="3260"/>
      <c r="AP624" s="3242">
        <v>0</v>
      </c>
      <c r="AQ624" s="3244"/>
      <c r="AR624" s="3244"/>
      <c r="AS624" s="3242" t="s">
        <v>3384</v>
      </c>
      <c r="AT624" s="3247">
        <f t="shared" si="59"/>
        <v>0</v>
      </c>
      <c r="AU624" s="3248">
        <f t="shared" si="60"/>
        <v>0</v>
      </c>
      <c r="AV624" s="3248">
        <v>0</v>
      </c>
      <c r="AW624" s="3247">
        <v>0</v>
      </c>
      <c r="AX624" s="3248">
        <v>0</v>
      </c>
      <c r="AY624" s="3248">
        <v>0</v>
      </c>
      <c r="AZ624" s="3247">
        <v>0</v>
      </c>
      <c r="BA624" s="3248">
        <v>0</v>
      </c>
      <c r="BB624" s="3248">
        <v>0</v>
      </c>
      <c r="BC624" s="3247">
        <v>0</v>
      </c>
      <c r="BD624" s="3248">
        <v>0</v>
      </c>
      <c r="BE624" s="3248">
        <v>0</v>
      </c>
      <c r="BF624" s="3248">
        <f t="shared" si="61"/>
        <v>0</v>
      </c>
      <c r="BG624" s="3248">
        <f t="shared" si="62"/>
        <v>0</v>
      </c>
      <c r="BH624" s="3249"/>
      <c r="BI624" s="3249"/>
    </row>
    <row r="625" spans="1:61" x14ac:dyDescent="0.3">
      <c r="A625" s="4197" t="s">
        <v>3384</v>
      </c>
      <c r="B625" s="3261"/>
      <c r="C625" s="3243">
        <v>0</v>
      </c>
      <c r="D625" s="3242">
        <v>0</v>
      </c>
      <c r="E625" s="3244"/>
      <c r="F625" s="3244"/>
      <c r="G625" s="3242">
        <v>0</v>
      </c>
      <c r="H625" s="3244"/>
      <c r="I625" s="3244"/>
      <c r="J625" s="3244"/>
      <c r="K625" s="3242">
        <v>0</v>
      </c>
      <c r="L625" s="3244"/>
      <c r="M625" s="3244"/>
      <c r="N625" s="3242" t="s">
        <v>3384</v>
      </c>
      <c r="O625" s="3239">
        <v>0</v>
      </c>
      <c r="P625" s="3242">
        <v>0</v>
      </c>
      <c r="Q625" s="3244"/>
      <c r="R625" s="3244"/>
      <c r="S625" s="3242">
        <v>0</v>
      </c>
      <c r="T625" s="3244"/>
      <c r="U625" s="3244"/>
      <c r="V625" s="3244"/>
      <c r="W625" s="3240">
        <v>0</v>
      </c>
      <c r="X625" s="3244"/>
      <c r="Y625" s="3244"/>
      <c r="Z625" s="3242" t="s">
        <v>3384</v>
      </c>
      <c r="AA625" s="3243">
        <v>0</v>
      </c>
      <c r="AB625" s="3242">
        <v>0</v>
      </c>
      <c r="AC625" s="3244"/>
      <c r="AD625" s="3244"/>
      <c r="AE625" s="3242">
        <v>0</v>
      </c>
      <c r="AF625" s="3259"/>
      <c r="AG625" s="3260"/>
      <c r="AH625" s="3259"/>
      <c r="AI625" s="3259"/>
      <c r="AJ625" s="3260"/>
      <c r="AK625" s="3260"/>
      <c r="AL625" s="3259"/>
      <c r="AM625" s="3260"/>
      <c r="AN625" s="3259"/>
      <c r="AO625" s="3260"/>
      <c r="AP625" s="3242">
        <v>0</v>
      </c>
      <c r="AQ625" s="3244"/>
      <c r="AR625" s="3244"/>
      <c r="AS625" s="3242" t="s">
        <v>3384</v>
      </c>
      <c r="AT625" s="3247">
        <f t="shared" si="59"/>
        <v>0</v>
      </c>
      <c r="AU625" s="3248">
        <f t="shared" si="60"/>
        <v>0</v>
      </c>
      <c r="AV625" s="3248">
        <v>0</v>
      </c>
      <c r="AW625" s="3247">
        <v>0</v>
      </c>
      <c r="AX625" s="3248">
        <v>0</v>
      </c>
      <c r="AY625" s="3248">
        <v>0</v>
      </c>
      <c r="AZ625" s="3247">
        <v>0</v>
      </c>
      <c r="BA625" s="3248">
        <v>0</v>
      </c>
      <c r="BB625" s="3248">
        <v>0</v>
      </c>
      <c r="BC625" s="3247">
        <v>0</v>
      </c>
      <c r="BD625" s="3248">
        <v>0</v>
      </c>
      <c r="BE625" s="3248">
        <v>0</v>
      </c>
      <c r="BF625" s="3248">
        <f t="shared" si="61"/>
        <v>0</v>
      </c>
      <c r="BG625" s="3248">
        <f t="shared" si="62"/>
        <v>0</v>
      </c>
      <c r="BH625" s="3249"/>
      <c r="BI625" s="3249"/>
    </row>
    <row r="626" spans="1:61" x14ac:dyDescent="0.3">
      <c r="A626" s="4197" t="s">
        <v>3384</v>
      </c>
      <c r="B626" s="3261"/>
      <c r="C626" s="3243">
        <v>0</v>
      </c>
      <c r="D626" s="3242">
        <v>0</v>
      </c>
      <c r="E626" s="3244"/>
      <c r="F626" s="3244"/>
      <c r="G626" s="3242">
        <v>0</v>
      </c>
      <c r="H626" s="3244"/>
      <c r="I626" s="3244"/>
      <c r="J626" s="3244"/>
      <c r="K626" s="3242">
        <v>0</v>
      </c>
      <c r="L626" s="3244"/>
      <c r="M626" s="3244"/>
      <c r="N626" s="3242" t="s">
        <v>3384</v>
      </c>
      <c r="O626" s="3239">
        <v>0</v>
      </c>
      <c r="P626" s="3242">
        <v>0</v>
      </c>
      <c r="Q626" s="3244"/>
      <c r="R626" s="3244"/>
      <c r="S626" s="3242">
        <v>0</v>
      </c>
      <c r="T626" s="3244"/>
      <c r="U626" s="3244"/>
      <c r="V626" s="3244"/>
      <c r="W626" s="3240">
        <v>0</v>
      </c>
      <c r="X626" s="3244"/>
      <c r="Y626" s="3244"/>
      <c r="Z626" s="3242" t="s">
        <v>3384</v>
      </c>
      <c r="AA626" s="3243">
        <v>0</v>
      </c>
      <c r="AB626" s="3242">
        <v>0</v>
      </c>
      <c r="AC626" s="3244"/>
      <c r="AD626" s="3244"/>
      <c r="AE626" s="3242">
        <v>0</v>
      </c>
      <c r="AF626" s="3259"/>
      <c r="AG626" s="3260"/>
      <c r="AH626" s="3259"/>
      <c r="AI626" s="3259"/>
      <c r="AJ626" s="3260"/>
      <c r="AK626" s="3260"/>
      <c r="AL626" s="3259"/>
      <c r="AM626" s="3260"/>
      <c r="AN626" s="3259"/>
      <c r="AO626" s="3260"/>
      <c r="AP626" s="3242">
        <v>0</v>
      </c>
      <c r="AQ626" s="3244"/>
      <c r="AR626" s="3244"/>
      <c r="AS626" s="3242" t="s">
        <v>3384</v>
      </c>
      <c r="AT626" s="3247">
        <f t="shared" si="59"/>
        <v>0</v>
      </c>
      <c r="AU626" s="3248">
        <f t="shared" si="60"/>
        <v>0</v>
      </c>
      <c r="AV626" s="3248">
        <v>0</v>
      </c>
      <c r="AW626" s="3247">
        <v>0</v>
      </c>
      <c r="AX626" s="3248">
        <v>0</v>
      </c>
      <c r="AY626" s="3248">
        <v>0</v>
      </c>
      <c r="AZ626" s="3247">
        <v>0</v>
      </c>
      <c r="BA626" s="3248">
        <v>0</v>
      </c>
      <c r="BB626" s="3248">
        <v>0</v>
      </c>
      <c r="BC626" s="3247">
        <v>0</v>
      </c>
      <c r="BD626" s="3248">
        <v>0</v>
      </c>
      <c r="BE626" s="3248">
        <v>0</v>
      </c>
      <c r="BF626" s="3248">
        <f t="shared" si="61"/>
        <v>0</v>
      </c>
      <c r="BG626" s="3248">
        <f t="shared" si="62"/>
        <v>0</v>
      </c>
      <c r="BH626" s="3249"/>
      <c r="BI626" s="3249"/>
    </row>
    <row r="627" spans="1:61" x14ac:dyDescent="0.3">
      <c r="A627" s="4197" t="s">
        <v>3384</v>
      </c>
      <c r="B627" s="3261"/>
      <c r="C627" s="3243">
        <v>0</v>
      </c>
      <c r="D627" s="3242">
        <v>0</v>
      </c>
      <c r="E627" s="3244"/>
      <c r="F627" s="3244"/>
      <c r="G627" s="3242">
        <v>0</v>
      </c>
      <c r="H627" s="3244"/>
      <c r="I627" s="3244"/>
      <c r="J627" s="3244"/>
      <c r="K627" s="3242">
        <v>0</v>
      </c>
      <c r="L627" s="3244"/>
      <c r="M627" s="3244"/>
      <c r="N627" s="3242" t="s">
        <v>3384</v>
      </c>
      <c r="O627" s="3239">
        <v>0</v>
      </c>
      <c r="P627" s="3242">
        <v>0</v>
      </c>
      <c r="Q627" s="3244"/>
      <c r="R627" s="3244"/>
      <c r="S627" s="3242">
        <v>0</v>
      </c>
      <c r="T627" s="3244"/>
      <c r="U627" s="3244"/>
      <c r="V627" s="3244"/>
      <c r="W627" s="3240">
        <v>0</v>
      </c>
      <c r="X627" s="3244"/>
      <c r="Y627" s="3244"/>
      <c r="Z627" s="3242" t="s">
        <v>3384</v>
      </c>
      <c r="AA627" s="3243">
        <v>0</v>
      </c>
      <c r="AB627" s="3242">
        <v>0</v>
      </c>
      <c r="AC627" s="3244"/>
      <c r="AD627" s="3244"/>
      <c r="AE627" s="3242">
        <v>0</v>
      </c>
      <c r="AF627" s="3259"/>
      <c r="AG627" s="3260"/>
      <c r="AH627" s="3260"/>
      <c r="AI627" s="3260"/>
      <c r="AJ627" s="3260"/>
      <c r="AK627" s="3260"/>
      <c r="AL627" s="3259"/>
      <c r="AM627" s="3260"/>
      <c r="AN627" s="3259"/>
      <c r="AO627" s="3260"/>
      <c r="AP627" s="3242">
        <v>0</v>
      </c>
      <c r="AQ627" s="3244"/>
      <c r="AR627" s="3244"/>
      <c r="AS627" s="3242" t="s">
        <v>3384</v>
      </c>
      <c r="AT627" s="3247">
        <f t="shared" si="59"/>
        <v>0</v>
      </c>
      <c r="AU627" s="3248">
        <f t="shared" si="60"/>
        <v>0</v>
      </c>
      <c r="AV627" s="3248">
        <v>0</v>
      </c>
      <c r="AW627" s="3247">
        <v>0</v>
      </c>
      <c r="AX627" s="3248">
        <v>0</v>
      </c>
      <c r="AY627" s="3248">
        <v>0</v>
      </c>
      <c r="AZ627" s="3247">
        <v>0</v>
      </c>
      <c r="BA627" s="3248">
        <v>0</v>
      </c>
      <c r="BB627" s="3248">
        <v>0</v>
      </c>
      <c r="BC627" s="3247">
        <v>0</v>
      </c>
      <c r="BD627" s="3248">
        <v>0</v>
      </c>
      <c r="BE627" s="3248">
        <v>0</v>
      </c>
      <c r="BF627" s="3248">
        <f t="shared" si="61"/>
        <v>0</v>
      </c>
      <c r="BG627" s="3248">
        <f t="shared" si="62"/>
        <v>0</v>
      </c>
      <c r="BH627" s="3249"/>
      <c r="BI627" s="3249"/>
    </row>
    <row r="628" spans="1:61" x14ac:dyDescent="0.3">
      <c r="A628" s="4197" t="s">
        <v>3384</v>
      </c>
      <c r="B628" s="3261"/>
      <c r="C628" s="3243">
        <v>0</v>
      </c>
      <c r="D628" s="3242">
        <v>0</v>
      </c>
      <c r="E628" s="3244"/>
      <c r="F628" s="3244"/>
      <c r="G628" s="3242">
        <v>0</v>
      </c>
      <c r="H628" s="3244"/>
      <c r="I628" s="3244"/>
      <c r="J628" s="3244"/>
      <c r="K628" s="3242">
        <v>0</v>
      </c>
      <c r="L628" s="3244"/>
      <c r="M628" s="3244"/>
      <c r="N628" s="3242" t="s">
        <v>3384</v>
      </c>
      <c r="O628" s="3239">
        <v>0</v>
      </c>
      <c r="P628" s="3242">
        <v>0</v>
      </c>
      <c r="Q628" s="3244"/>
      <c r="R628" s="3244"/>
      <c r="S628" s="3242">
        <v>0</v>
      </c>
      <c r="T628" s="3244"/>
      <c r="U628" s="3244"/>
      <c r="V628" s="3244"/>
      <c r="W628" s="3240">
        <v>0</v>
      </c>
      <c r="X628" s="3244"/>
      <c r="Y628" s="3244"/>
      <c r="Z628" s="3242" t="s">
        <v>3384</v>
      </c>
      <c r="AA628" s="3243">
        <v>0</v>
      </c>
      <c r="AB628" s="3242">
        <v>0</v>
      </c>
      <c r="AC628" s="3244"/>
      <c r="AD628" s="3244"/>
      <c r="AE628" s="3242">
        <v>0</v>
      </c>
      <c r="AF628" s="3259"/>
      <c r="AG628" s="3260"/>
      <c r="AH628" s="3260"/>
      <c r="AI628" s="3260"/>
      <c r="AJ628" s="3260"/>
      <c r="AK628" s="3260"/>
      <c r="AL628" s="3259"/>
      <c r="AM628" s="3260"/>
      <c r="AN628" s="3259"/>
      <c r="AO628" s="3260"/>
      <c r="AP628" s="3242">
        <v>0</v>
      </c>
      <c r="AQ628" s="3244"/>
      <c r="AR628" s="3244"/>
      <c r="AS628" s="3242" t="s">
        <v>3384</v>
      </c>
      <c r="AT628" s="3247">
        <f t="shared" si="59"/>
        <v>0</v>
      </c>
      <c r="AU628" s="3248">
        <f t="shared" si="60"/>
        <v>0</v>
      </c>
      <c r="AV628" s="3248">
        <v>0</v>
      </c>
      <c r="AW628" s="3247">
        <v>0</v>
      </c>
      <c r="AX628" s="3248">
        <v>0</v>
      </c>
      <c r="AY628" s="3248">
        <v>0</v>
      </c>
      <c r="AZ628" s="3247">
        <v>0</v>
      </c>
      <c r="BA628" s="3248">
        <v>0</v>
      </c>
      <c r="BB628" s="3248">
        <v>0</v>
      </c>
      <c r="BC628" s="3247">
        <v>0</v>
      </c>
      <c r="BD628" s="3248">
        <v>0</v>
      </c>
      <c r="BE628" s="3248">
        <v>0</v>
      </c>
      <c r="BF628" s="3248">
        <f t="shared" si="61"/>
        <v>0</v>
      </c>
      <c r="BG628" s="3248">
        <f t="shared" si="62"/>
        <v>0</v>
      </c>
      <c r="BH628" s="3249"/>
      <c r="BI628" s="3249"/>
    </row>
    <row r="629" spans="1:61" x14ac:dyDescent="0.3">
      <c r="A629" s="4197" t="s">
        <v>3384</v>
      </c>
      <c r="B629" s="3261"/>
      <c r="C629" s="3243">
        <v>0</v>
      </c>
      <c r="D629" s="3242">
        <v>0</v>
      </c>
      <c r="E629" s="3244"/>
      <c r="F629" s="3244"/>
      <c r="G629" s="3242">
        <v>0</v>
      </c>
      <c r="H629" s="3244"/>
      <c r="I629" s="3244"/>
      <c r="J629" s="3244"/>
      <c r="K629" s="3242">
        <v>0</v>
      </c>
      <c r="L629" s="3244"/>
      <c r="M629" s="3244"/>
      <c r="N629" s="3242" t="s">
        <v>3384</v>
      </c>
      <c r="O629" s="3239">
        <v>0</v>
      </c>
      <c r="P629" s="3242">
        <v>0</v>
      </c>
      <c r="Q629" s="3244"/>
      <c r="R629" s="3244"/>
      <c r="S629" s="3242">
        <v>0</v>
      </c>
      <c r="T629" s="3244"/>
      <c r="U629" s="3244"/>
      <c r="V629" s="3244"/>
      <c r="W629" s="3240">
        <v>0</v>
      </c>
      <c r="X629" s="3244"/>
      <c r="Y629" s="3244"/>
      <c r="Z629" s="3242" t="s">
        <v>3384</v>
      </c>
      <c r="AA629" s="3243">
        <v>0</v>
      </c>
      <c r="AB629" s="3242">
        <v>0</v>
      </c>
      <c r="AC629" s="3244"/>
      <c r="AD629" s="3244"/>
      <c r="AE629" s="3242">
        <v>0</v>
      </c>
      <c r="AF629" s="3259"/>
      <c r="AG629" s="3260"/>
      <c r="AH629" s="3260"/>
      <c r="AI629" s="3260"/>
      <c r="AJ629" s="3260"/>
      <c r="AK629" s="3260"/>
      <c r="AL629" s="3259"/>
      <c r="AM629" s="3260"/>
      <c r="AN629" s="3259"/>
      <c r="AO629" s="3260"/>
      <c r="AP629" s="3242">
        <v>0</v>
      </c>
      <c r="AQ629" s="3244"/>
      <c r="AR629" s="3244"/>
      <c r="AS629" s="3242" t="s">
        <v>3384</v>
      </c>
      <c r="AT629" s="3247">
        <f t="shared" si="59"/>
        <v>0</v>
      </c>
      <c r="AU629" s="3248">
        <f t="shared" si="60"/>
        <v>0</v>
      </c>
      <c r="AV629" s="3248">
        <v>0</v>
      </c>
      <c r="AW629" s="3247">
        <v>0</v>
      </c>
      <c r="AX629" s="3248">
        <v>0</v>
      </c>
      <c r="AY629" s="3248">
        <v>0</v>
      </c>
      <c r="AZ629" s="3247">
        <v>0</v>
      </c>
      <c r="BA629" s="3248">
        <v>0</v>
      </c>
      <c r="BB629" s="3248">
        <v>0</v>
      </c>
      <c r="BC629" s="3247">
        <v>0</v>
      </c>
      <c r="BD629" s="3248">
        <v>0</v>
      </c>
      <c r="BE629" s="3248">
        <v>0</v>
      </c>
      <c r="BF629" s="3248">
        <f t="shared" si="61"/>
        <v>0</v>
      </c>
      <c r="BG629" s="3248">
        <f t="shared" si="62"/>
        <v>0</v>
      </c>
      <c r="BH629" s="3249"/>
      <c r="BI629" s="3249"/>
    </row>
    <row r="630" spans="1:61" x14ac:dyDescent="0.3">
      <c r="A630" s="4197" t="s">
        <v>3384</v>
      </c>
      <c r="B630" s="3261"/>
      <c r="C630" s="3243">
        <v>0</v>
      </c>
      <c r="D630" s="3242">
        <v>0</v>
      </c>
      <c r="E630" s="3244"/>
      <c r="F630" s="3244"/>
      <c r="G630" s="3242">
        <v>0</v>
      </c>
      <c r="H630" s="3244"/>
      <c r="I630" s="3244"/>
      <c r="J630" s="3244"/>
      <c r="K630" s="3242">
        <v>0</v>
      </c>
      <c r="L630" s="3244"/>
      <c r="M630" s="3244"/>
      <c r="N630" s="3242" t="s">
        <v>3384</v>
      </c>
      <c r="O630" s="3239">
        <v>0</v>
      </c>
      <c r="P630" s="3242">
        <v>0</v>
      </c>
      <c r="Q630" s="3244"/>
      <c r="R630" s="3244"/>
      <c r="S630" s="3242">
        <v>0</v>
      </c>
      <c r="T630" s="3244"/>
      <c r="U630" s="3244"/>
      <c r="V630" s="3244"/>
      <c r="W630" s="3240">
        <v>0</v>
      </c>
      <c r="X630" s="3244"/>
      <c r="Y630" s="3244"/>
      <c r="Z630" s="3242" t="s">
        <v>3384</v>
      </c>
      <c r="AA630" s="3243">
        <v>0</v>
      </c>
      <c r="AB630" s="3242">
        <v>0</v>
      </c>
      <c r="AC630" s="3244"/>
      <c r="AD630" s="3244"/>
      <c r="AE630" s="3242">
        <v>0</v>
      </c>
      <c r="AF630" s="3259"/>
      <c r="AG630" s="3260"/>
      <c r="AH630" s="3260"/>
      <c r="AI630" s="3260"/>
      <c r="AJ630" s="3260"/>
      <c r="AK630" s="3260"/>
      <c r="AL630" s="3259"/>
      <c r="AM630" s="3260"/>
      <c r="AN630" s="3259"/>
      <c r="AO630" s="3260"/>
      <c r="AP630" s="3242">
        <v>0</v>
      </c>
      <c r="AQ630" s="3244"/>
      <c r="AR630" s="3244"/>
      <c r="AS630" s="3242" t="s">
        <v>3384</v>
      </c>
      <c r="AT630" s="3247">
        <f t="shared" si="59"/>
        <v>0</v>
      </c>
      <c r="AU630" s="3248">
        <f t="shared" si="60"/>
        <v>0</v>
      </c>
      <c r="AV630" s="3248">
        <v>0</v>
      </c>
      <c r="AW630" s="3247">
        <v>0</v>
      </c>
      <c r="AX630" s="3248">
        <v>0</v>
      </c>
      <c r="AY630" s="3248">
        <v>0</v>
      </c>
      <c r="AZ630" s="3247">
        <v>0</v>
      </c>
      <c r="BA630" s="3248">
        <v>0</v>
      </c>
      <c r="BB630" s="3248">
        <v>0</v>
      </c>
      <c r="BC630" s="3247">
        <v>0</v>
      </c>
      <c r="BD630" s="3248">
        <v>0</v>
      </c>
      <c r="BE630" s="3248">
        <v>0</v>
      </c>
      <c r="BF630" s="3248">
        <f t="shared" si="61"/>
        <v>0</v>
      </c>
      <c r="BG630" s="3248">
        <f t="shared" si="62"/>
        <v>0</v>
      </c>
      <c r="BH630" s="3249"/>
      <c r="BI630" s="3249"/>
    </row>
    <row r="631" spans="1:61" x14ac:dyDescent="0.3">
      <c r="A631" s="4197" t="s">
        <v>3384</v>
      </c>
      <c r="B631" s="3261"/>
      <c r="C631" s="3243">
        <v>0</v>
      </c>
      <c r="D631" s="3242">
        <v>0</v>
      </c>
      <c r="E631" s="3244"/>
      <c r="F631" s="3244"/>
      <c r="G631" s="3242">
        <v>0</v>
      </c>
      <c r="H631" s="3244"/>
      <c r="I631" s="3244"/>
      <c r="J631" s="3244"/>
      <c r="K631" s="3242">
        <v>0</v>
      </c>
      <c r="L631" s="3244"/>
      <c r="M631" s="3244"/>
      <c r="N631" s="3242" t="s">
        <v>3384</v>
      </c>
      <c r="O631" s="3239">
        <v>0</v>
      </c>
      <c r="P631" s="3242">
        <v>0</v>
      </c>
      <c r="Q631" s="3244"/>
      <c r="R631" s="3244"/>
      <c r="S631" s="3242">
        <v>0</v>
      </c>
      <c r="T631" s="3244"/>
      <c r="U631" s="3244"/>
      <c r="V631" s="3244"/>
      <c r="W631" s="3240">
        <v>0</v>
      </c>
      <c r="X631" s="3244"/>
      <c r="Y631" s="3244"/>
      <c r="Z631" s="3242" t="s">
        <v>3384</v>
      </c>
      <c r="AA631" s="3243">
        <v>0</v>
      </c>
      <c r="AB631" s="3242">
        <v>0</v>
      </c>
      <c r="AC631" s="3244"/>
      <c r="AD631" s="3244"/>
      <c r="AE631" s="3242">
        <v>0</v>
      </c>
      <c r="AF631" s="3259"/>
      <c r="AG631" s="3260"/>
      <c r="AH631" s="3260"/>
      <c r="AI631" s="3260"/>
      <c r="AJ631" s="3260"/>
      <c r="AK631" s="3260"/>
      <c r="AL631" s="3259"/>
      <c r="AM631" s="3260"/>
      <c r="AN631" s="3259"/>
      <c r="AO631" s="3260"/>
      <c r="AP631" s="3242">
        <v>0</v>
      </c>
      <c r="AQ631" s="3244"/>
      <c r="AR631" s="3244"/>
      <c r="AS631" s="3242" t="s">
        <v>3384</v>
      </c>
      <c r="AT631" s="3247">
        <f t="shared" si="59"/>
        <v>0</v>
      </c>
      <c r="AU631" s="3248">
        <f t="shared" si="60"/>
        <v>0</v>
      </c>
      <c r="AV631" s="3248">
        <v>0</v>
      </c>
      <c r="AW631" s="3247">
        <v>0</v>
      </c>
      <c r="AX631" s="3248">
        <v>0</v>
      </c>
      <c r="AY631" s="3248">
        <v>0</v>
      </c>
      <c r="AZ631" s="3247">
        <v>0</v>
      </c>
      <c r="BA631" s="3248">
        <v>0</v>
      </c>
      <c r="BB631" s="3248">
        <v>0</v>
      </c>
      <c r="BC631" s="3247">
        <v>0</v>
      </c>
      <c r="BD631" s="3248">
        <v>0</v>
      </c>
      <c r="BE631" s="3248">
        <v>0</v>
      </c>
      <c r="BF631" s="3248">
        <f t="shared" si="61"/>
        <v>0</v>
      </c>
      <c r="BG631" s="3248">
        <f t="shared" si="62"/>
        <v>0</v>
      </c>
      <c r="BH631" s="3249"/>
      <c r="BI631" s="3249"/>
    </row>
    <row r="632" spans="1:61" x14ac:dyDescent="0.3">
      <c r="A632" s="4197" t="s">
        <v>3384</v>
      </c>
      <c r="B632" s="3261"/>
      <c r="C632" s="3243">
        <v>0</v>
      </c>
      <c r="D632" s="3242">
        <v>0</v>
      </c>
      <c r="E632" s="3244"/>
      <c r="F632" s="3244"/>
      <c r="G632" s="3242">
        <v>0</v>
      </c>
      <c r="H632" s="3244"/>
      <c r="I632" s="3244"/>
      <c r="J632" s="3244"/>
      <c r="K632" s="3242">
        <v>0</v>
      </c>
      <c r="L632" s="3244"/>
      <c r="M632" s="3244"/>
      <c r="N632" s="3242" t="s">
        <v>3384</v>
      </c>
      <c r="O632" s="3239">
        <v>0</v>
      </c>
      <c r="P632" s="3242">
        <v>0</v>
      </c>
      <c r="Q632" s="3244"/>
      <c r="R632" s="3244"/>
      <c r="S632" s="3242">
        <v>0</v>
      </c>
      <c r="T632" s="3244"/>
      <c r="U632" s="3244"/>
      <c r="V632" s="3244"/>
      <c r="W632" s="3240">
        <v>0</v>
      </c>
      <c r="X632" s="3244"/>
      <c r="Y632" s="3244"/>
      <c r="Z632" s="3242" t="s">
        <v>3384</v>
      </c>
      <c r="AA632" s="3243">
        <v>0</v>
      </c>
      <c r="AB632" s="3242">
        <v>0</v>
      </c>
      <c r="AC632" s="3244"/>
      <c r="AD632" s="3244"/>
      <c r="AE632" s="3242">
        <v>0</v>
      </c>
      <c r="AF632" s="3259"/>
      <c r="AG632" s="3260"/>
      <c r="AH632" s="3260"/>
      <c r="AI632" s="3260"/>
      <c r="AJ632" s="3260"/>
      <c r="AK632" s="3260"/>
      <c r="AL632" s="3259"/>
      <c r="AM632" s="3260"/>
      <c r="AN632" s="3259"/>
      <c r="AO632" s="3260"/>
      <c r="AP632" s="3242">
        <v>0</v>
      </c>
      <c r="AQ632" s="3244"/>
      <c r="AR632" s="3244"/>
      <c r="AS632" s="3242" t="s">
        <v>3384</v>
      </c>
      <c r="AT632" s="3247">
        <f t="shared" si="59"/>
        <v>0</v>
      </c>
      <c r="AU632" s="3248">
        <f t="shared" si="60"/>
        <v>0</v>
      </c>
      <c r="AV632" s="3248">
        <v>0</v>
      </c>
      <c r="AW632" s="3247">
        <v>0</v>
      </c>
      <c r="AX632" s="3248">
        <v>0</v>
      </c>
      <c r="AY632" s="3248">
        <v>0</v>
      </c>
      <c r="AZ632" s="3247">
        <v>0</v>
      </c>
      <c r="BA632" s="3248">
        <v>0</v>
      </c>
      <c r="BB632" s="3248">
        <v>0</v>
      </c>
      <c r="BC632" s="3247">
        <v>0</v>
      </c>
      <c r="BD632" s="3248">
        <v>0</v>
      </c>
      <c r="BE632" s="3248">
        <v>0</v>
      </c>
      <c r="BF632" s="3248">
        <f t="shared" si="61"/>
        <v>0</v>
      </c>
      <c r="BG632" s="3248">
        <f t="shared" si="62"/>
        <v>0</v>
      </c>
      <c r="BH632" s="3249"/>
      <c r="BI632" s="3249"/>
    </row>
    <row r="633" spans="1:61" x14ac:dyDescent="0.3">
      <c r="A633" s="4197" t="s">
        <v>3384</v>
      </c>
      <c r="B633" s="3261"/>
      <c r="C633" s="3243">
        <v>0</v>
      </c>
      <c r="D633" s="3242">
        <v>0</v>
      </c>
      <c r="E633" s="3244"/>
      <c r="F633" s="3244"/>
      <c r="G633" s="3242">
        <v>0</v>
      </c>
      <c r="H633" s="3244"/>
      <c r="I633" s="3244"/>
      <c r="J633" s="3244"/>
      <c r="K633" s="3242">
        <v>0</v>
      </c>
      <c r="L633" s="3244"/>
      <c r="M633" s="3244"/>
      <c r="N633" s="3242" t="s">
        <v>3384</v>
      </c>
      <c r="O633" s="3239">
        <v>0</v>
      </c>
      <c r="P633" s="3242">
        <v>0</v>
      </c>
      <c r="Q633" s="3244"/>
      <c r="R633" s="3244"/>
      <c r="S633" s="3242">
        <v>0</v>
      </c>
      <c r="T633" s="3244"/>
      <c r="U633" s="3244"/>
      <c r="V633" s="3244"/>
      <c r="W633" s="3240">
        <v>0</v>
      </c>
      <c r="X633" s="3244"/>
      <c r="Y633" s="3244"/>
      <c r="Z633" s="3242" t="s">
        <v>3384</v>
      </c>
      <c r="AA633" s="3243">
        <v>0</v>
      </c>
      <c r="AB633" s="3242">
        <v>0</v>
      </c>
      <c r="AC633" s="3244"/>
      <c r="AD633" s="3244"/>
      <c r="AE633" s="3242">
        <v>0</v>
      </c>
      <c r="AF633" s="3259"/>
      <c r="AG633" s="3260"/>
      <c r="AH633" s="3260"/>
      <c r="AI633" s="3260"/>
      <c r="AJ633" s="3260"/>
      <c r="AK633" s="3260"/>
      <c r="AL633" s="3259"/>
      <c r="AM633" s="3260"/>
      <c r="AN633" s="3259"/>
      <c r="AO633" s="3260"/>
      <c r="AP633" s="3242">
        <v>0</v>
      </c>
      <c r="AQ633" s="3244"/>
      <c r="AR633" s="3244"/>
      <c r="AS633" s="3242" t="s">
        <v>3384</v>
      </c>
      <c r="AT633" s="3247">
        <f t="shared" si="59"/>
        <v>0</v>
      </c>
      <c r="AU633" s="3248">
        <f t="shared" si="60"/>
        <v>0</v>
      </c>
      <c r="AV633" s="3248">
        <v>0</v>
      </c>
      <c r="AW633" s="3247">
        <v>0</v>
      </c>
      <c r="AX633" s="3248">
        <v>0</v>
      </c>
      <c r="AY633" s="3248">
        <v>0</v>
      </c>
      <c r="AZ633" s="3247">
        <v>0</v>
      </c>
      <c r="BA633" s="3248">
        <v>0</v>
      </c>
      <c r="BB633" s="3248">
        <v>0</v>
      </c>
      <c r="BC633" s="3247">
        <v>0</v>
      </c>
      <c r="BD633" s="3248">
        <v>0</v>
      </c>
      <c r="BE633" s="3248">
        <v>0</v>
      </c>
      <c r="BF633" s="3248">
        <f t="shared" si="61"/>
        <v>0</v>
      </c>
      <c r="BG633" s="3248">
        <f t="shared" si="62"/>
        <v>0</v>
      </c>
      <c r="BH633" s="3249"/>
      <c r="BI633" s="3249"/>
    </row>
    <row r="634" spans="1:61" x14ac:dyDescent="0.3">
      <c r="A634" s="4197" t="s">
        <v>3384</v>
      </c>
      <c r="B634" s="3261"/>
      <c r="C634" s="3243">
        <v>0</v>
      </c>
      <c r="D634" s="3242">
        <v>0</v>
      </c>
      <c r="E634" s="3244"/>
      <c r="F634" s="3244"/>
      <c r="G634" s="3242">
        <v>0</v>
      </c>
      <c r="H634" s="3244"/>
      <c r="I634" s="3244"/>
      <c r="J634" s="3244"/>
      <c r="K634" s="3242">
        <v>0</v>
      </c>
      <c r="L634" s="3244"/>
      <c r="M634" s="3244"/>
      <c r="N634" s="3242" t="s">
        <v>3384</v>
      </c>
      <c r="O634" s="3239">
        <v>0</v>
      </c>
      <c r="P634" s="3242">
        <v>0</v>
      </c>
      <c r="Q634" s="3244"/>
      <c r="R634" s="3244"/>
      <c r="S634" s="3242">
        <v>0</v>
      </c>
      <c r="T634" s="3244"/>
      <c r="U634" s="3244"/>
      <c r="V634" s="3244"/>
      <c r="W634" s="3240">
        <v>0</v>
      </c>
      <c r="X634" s="3244"/>
      <c r="Y634" s="3244"/>
      <c r="Z634" s="3242" t="s">
        <v>3384</v>
      </c>
      <c r="AA634" s="3243">
        <v>0</v>
      </c>
      <c r="AB634" s="3242">
        <v>0</v>
      </c>
      <c r="AC634" s="3244"/>
      <c r="AD634" s="3244"/>
      <c r="AE634" s="3242">
        <v>0</v>
      </c>
      <c r="AF634" s="3259"/>
      <c r="AG634" s="3260"/>
      <c r="AH634" s="3260"/>
      <c r="AI634" s="3260"/>
      <c r="AJ634" s="3260"/>
      <c r="AK634" s="3260"/>
      <c r="AL634" s="3259"/>
      <c r="AM634" s="3260"/>
      <c r="AN634" s="3259"/>
      <c r="AO634" s="3260"/>
      <c r="AP634" s="3242">
        <v>0</v>
      </c>
      <c r="AQ634" s="3244"/>
      <c r="AR634" s="3244"/>
      <c r="AS634" s="3242" t="s">
        <v>3384</v>
      </c>
      <c r="AT634" s="3247">
        <f t="shared" si="59"/>
        <v>0</v>
      </c>
      <c r="AU634" s="3248">
        <f t="shared" si="60"/>
        <v>0</v>
      </c>
      <c r="AV634" s="3248">
        <v>0</v>
      </c>
      <c r="AW634" s="3247">
        <v>0</v>
      </c>
      <c r="AX634" s="3248">
        <v>0</v>
      </c>
      <c r="AY634" s="3248">
        <v>0</v>
      </c>
      <c r="AZ634" s="3247">
        <v>0</v>
      </c>
      <c r="BA634" s="3248">
        <v>0</v>
      </c>
      <c r="BB634" s="3248">
        <v>0</v>
      </c>
      <c r="BC634" s="3247">
        <v>0</v>
      </c>
      <c r="BD634" s="3248">
        <v>0</v>
      </c>
      <c r="BE634" s="3248">
        <v>0</v>
      </c>
      <c r="BF634" s="3248">
        <f t="shared" si="61"/>
        <v>0</v>
      </c>
      <c r="BG634" s="3248">
        <f t="shared" si="62"/>
        <v>0</v>
      </c>
      <c r="BH634" s="3249"/>
      <c r="BI634" s="3249"/>
    </row>
    <row r="635" spans="1:61" x14ac:dyDescent="0.3">
      <c r="A635" s="4197" t="s">
        <v>3384</v>
      </c>
      <c r="B635" s="3261"/>
      <c r="C635" s="3243">
        <v>0</v>
      </c>
      <c r="D635" s="3242">
        <v>0</v>
      </c>
      <c r="E635" s="3244"/>
      <c r="F635" s="3244"/>
      <c r="G635" s="3242">
        <v>0</v>
      </c>
      <c r="H635" s="3244"/>
      <c r="I635" s="3244"/>
      <c r="J635" s="3244"/>
      <c r="K635" s="3242">
        <v>0</v>
      </c>
      <c r="L635" s="3244"/>
      <c r="M635" s="3244"/>
      <c r="N635" s="3242" t="s">
        <v>3384</v>
      </c>
      <c r="O635" s="3239">
        <v>0</v>
      </c>
      <c r="P635" s="3242">
        <v>0</v>
      </c>
      <c r="Q635" s="3244"/>
      <c r="R635" s="3244"/>
      <c r="S635" s="3242">
        <v>0</v>
      </c>
      <c r="T635" s="3244"/>
      <c r="U635" s="3244"/>
      <c r="V635" s="3244"/>
      <c r="W635" s="3240">
        <v>0</v>
      </c>
      <c r="X635" s="3244"/>
      <c r="Y635" s="3244"/>
      <c r="Z635" s="3242" t="s">
        <v>3384</v>
      </c>
      <c r="AA635" s="3243">
        <v>0</v>
      </c>
      <c r="AB635" s="3242">
        <v>0</v>
      </c>
      <c r="AC635" s="3244"/>
      <c r="AD635" s="3244"/>
      <c r="AE635" s="3242">
        <v>0</v>
      </c>
      <c r="AF635" s="3259"/>
      <c r="AG635" s="3260"/>
      <c r="AH635" s="3260"/>
      <c r="AI635" s="3260"/>
      <c r="AJ635" s="3260"/>
      <c r="AK635" s="3260"/>
      <c r="AL635" s="3259"/>
      <c r="AM635" s="3260"/>
      <c r="AN635" s="3259"/>
      <c r="AO635" s="3260"/>
      <c r="AP635" s="3242">
        <v>0</v>
      </c>
      <c r="AQ635" s="3244"/>
      <c r="AR635" s="3244"/>
      <c r="AS635" s="3242" t="s">
        <v>3384</v>
      </c>
      <c r="AT635" s="3247">
        <f t="shared" si="59"/>
        <v>0</v>
      </c>
      <c r="AU635" s="3248">
        <f t="shared" si="60"/>
        <v>0</v>
      </c>
      <c r="AV635" s="3248">
        <v>0</v>
      </c>
      <c r="AW635" s="3247">
        <v>0</v>
      </c>
      <c r="AX635" s="3248">
        <v>0</v>
      </c>
      <c r="AY635" s="3248">
        <v>0</v>
      </c>
      <c r="AZ635" s="3247">
        <v>0</v>
      </c>
      <c r="BA635" s="3248">
        <v>0</v>
      </c>
      <c r="BB635" s="3248">
        <v>0</v>
      </c>
      <c r="BC635" s="3247">
        <v>0</v>
      </c>
      <c r="BD635" s="3248">
        <v>0</v>
      </c>
      <c r="BE635" s="3248">
        <v>0</v>
      </c>
      <c r="BF635" s="3248">
        <f t="shared" si="61"/>
        <v>0</v>
      </c>
      <c r="BG635" s="3248">
        <f t="shared" si="62"/>
        <v>0</v>
      </c>
      <c r="BH635" s="3249"/>
      <c r="BI635" s="3249"/>
    </row>
    <row r="636" spans="1:61" x14ac:dyDescent="0.3">
      <c r="A636" s="4197" t="s">
        <v>3384</v>
      </c>
      <c r="B636" s="3261"/>
      <c r="C636" s="3243">
        <v>0</v>
      </c>
      <c r="D636" s="3242">
        <v>0</v>
      </c>
      <c r="E636" s="3244"/>
      <c r="F636" s="3244"/>
      <c r="G636" s="3242">
        <v>0</v>
      </c>
      <c r="H636" s="3244"/>
      <c r="I636" s="3244"/>
      <c r="J636" s="3244"/>
      <c r="K636" s="3242">
        <v>0</v>
      </c>
      <c r="L636" s="3244"/>
      <c r="M636" s="3244"/>
      <c r="N636" s="3242" t="s">
        <v>3384</v>
      </c>
      <c r="O636" s="3239">
        <v>0</v>
      </c>
      <c r="P636" s="3242">
        <v>0</v>
      </c>
      <c r="Q636" s="3244"/>
      <c r="R636" s="3244"/>
      <c r="S636" s="3242">
        <v>0</v>
      </c>
      <c r="T636" s="3244"/>
      <c r="U636" s="3244"/>
      <c r="V636" s="3244"/>
      <c r="W636" s="3240">
        <v>0</v>
      </c>
      <c r="X636" s="3244"/>
      <c r="Y636" s="3244"/>
      <c r="Z636" s="3242" t="s">
        <v>3384</v>
      </c>
      <c r="AA636" s="3243">
        <v>0</v>
      </c>
      <c r="AB636" s="3242">
        <v>0</v>
      </c>
      <c r="AC636" s="3244"/>
      <c r="AD636" s="3244"/>
      <c r="AE636" s="3242">
        <v>0</v>
      </c>
      <c r="AF636" s="3259"/>
      <c r="AG636" s="3260"/>
      <c r="AH636" s="3260"/>
      <c r="AI636" s="3260"/>
      <c r="AJ636" s="3260"/>
      <c r="AK636" s="3260"/>
      <c r="AL636" s="3259"/>
      <c r="AM636" s="3260"/>
      <c r="AN636" s="3259"/>
      <c r="AO636" s="3260"/>
      <c r="AP636" s="3242">
        <v>0</v>
      </c>
      <c r="AQ636" s="3244"/>
      <c r="AR636" s="3244"/>
      <c r="AS636" s="3242" t="s">
        <v>3384</v>
      </c>
      <c r="AT636" s="3247">
        <f t="shared" si="59"/>
        <v>0</v>
      </c>
      <c r="AU636" s="3248">
        <f t="shared" si="60"/>
        <v>0</v>
      </c>
      <c r="AV636" s="3248">
        <v>0</v>
      </c>
      <c r="AW636" s="3247">
        <v>0</v>
      </c>
      <c r="AX636" s="3248">
        <v>0</v>
      </c>
      <c r="AY636" s="3248">
        <v>0</v>
      </c>
      <c r="AZ636" s="3247">
        <v>0</v>
      </c>
      <c r="BA636" s="3248">
        <v>0</v>
      </c>
      <c r="BB636" s="3248">
        <v>0</v>
      </c>
      <c r="BC636" s="3247">
        <v>0</v>
      </c>
      <c r="BD636" s="3248">
        <v>0</v>
      </c>
      <c r="BE636" s="3248">
        <v>0</v>
      </c>
      <c r="BF636" s="3248">
        <f t="shared" si="61"/>
        <v>0</v>
      </c>
      <c r="BG636" s="3248">
        <f t="shared" si="62"/>
        <v>0</v>
      </c>
      <c r="BH636" s="3249"/>
      <c r="BI636" s="3249"/>
    </row>
    <row r="637" spans="1:61" x14ac:dyDescent="0.3">
      <c r="A637" s="4197" t="s">
        <v>3384</v>
      </c>
      <c r="B637" s="3261"/>
      <c r="C637" s="3243">
        <v>0</v>
      </c>
      <c r="D637" s="3242">
        <v>0</v>
      </c>
      <c r="E637" s="3244"/>
      <c r="F637" s="3244"/>
      <c r="G637" s="3242">
        <v>0</v>
      </c>
      <c r="H637" s="3244"/>
      <c r="I637" s="3244"/>
      <c r="J637" s="3244"/>
      <c r="K637" s="3242">
        <v>0</v>
      </c>
      <c r="L637" s="3244"/>
      <c r="M637" s="3244"/>
      <c r="N637" s="3242" t="s">
        <v>3384</v>
      </c>
      <c r="O637" s="3239">
        <v>0</v>
      </c>
      <c r="P637" s="3242">
        <v>0</v>
      </c>
      <c r="Q637" s="3244"/>
      <c r="R637" s="3244"/>
      <c r="S637" s="3242">
        <v>0</v>
      </c>
      <c r="T637" s="3244"/>
      <c r="U637" s="3244"/>
      <c r="V637" s="3244"/>
      <c r="W637" s="3240">
        <v>0</v>
      </c>
      <c r="X637" s="3244"/>
      <c r="Y637" s="3244"/>
      <c r="Z637" s="3242" t="s">
        <v>3384</v>
      </c>
      <c r="AA637" s="3243">
        <v>0</v>
      </c>
      <c r="AB637" s="3242">
        <v>0</v>
      </c>
      <c r="AC637" s="3244"/>
      <c r="AD637" s="3244"/>
      <c r="AE637" s="3242">
        <v>0</v>
      </c>
      <c r="AF637" s="3259"/>
      <c r="AG637" s="3260"/>
      <c r="AH637" s="3260"/>
      <c r="AI637" s="3260"/>
      <c r="AJ637" s="3260"/>
      <c r="AK637" s="3260"/>
      <c r="AL637" s="3259"/>
      <c r="AM637" s="3260"/>
      <c r="AN637" s="3259"/>
      <c r="AO637" s="3260"/>
      <c r="AP637" s="3242">
        <v>0</v>
      </c>
      <c r="AQ637" s="3244"/>
      <c r="AR637" s="3244"/>
      <c r="AS637" s="3242" t="s">
        <v>3384</v>
      </c>
      <c r="AT637" s="3247">
        <f t="shared" si="59"/>
        <v>0</v>
      </c>
      <c r="AU637" s="3248">
        <f t="shared" si="60"/>
        <v>0</v>
      </c>
      <c r="AV637" s="3248">
        <v>0</v>
      </c>
      <c r="AW637" s="3247">
        <v>0</v>
      </c>
      <c r="AX637" s="3248">
        <v>0</v>
      </c>
      <c r="AY637" s="3248">
        <v>0</v>
      </c>
      <c r="AZ637" s="3247">
        <v>0</v>
      </c>
      <c r="BA637" s="3248">
        <v>0</v>
      </c>
      <c r="BB637" s="3248">
        <v>0</v>
      </c>
      <c r="BC637" s="3247">
        <v>0</v>
      </c>
      <c r="BD637" s="3248">
        <v>0</v>
      </c>
      <c r="BE637" s="3248">
        <v>0</v>
      </c>
      <c r="BF637" s="3248">
        <f t="shared" si="61"/>
        <v>0</v>
      </c>
      <c r="BG637" s="3248">
        <f t="shared" si="62"/>
        <v>0</v>
      </c>
      <c r="BH637" s="3249"/>
      <c r="BI637" s="3249"/>
    </row>
    <row r="638" spans="1:61" x14ac:dyDescent="0.3">
      <c r="A638" s="4197" t="s">
        <v>3384</v>
      </c>
      <c r="B638" s="3261"/>
      <c r="C638" s="3243">
        <v>0</v>
      </c>
      <c r="D638" s="3242">
        <v>0</v>
      </c>
      <c r="E638" s="3244"/>
      <c r="F638" s="3244"/>
      <c r="G638" s="3242">
        <v>0</v>
      </c>
      <c r="H638" s="3244"/>
      <c r="I638" s="3244"/>
      <c r="J638" s="3244"/>
      <c r="K638" s="3242">
        <v>0</v>
      </c>
      <c r="L638" s="3244"/>
      <c r="M638" s="3244"/>
      <c r="N638" s="3242" t="s">
        <v>3384</v>
      </c>
      <c r="O638" s="3239">
        <v>0</v>
      </c>
      <c r="P638" s="3242">
        <v>0</v>
      </c>
      <c r="Q638" s="3244"/>
      <c r="R638" s="3244"/>
      <c r="S638" s="3242">
        <v>0</v>
      </c>
      <c r="T638" s="3244"/>
      <c r="U638" s="3244"/>
      <c r="V638" s="3244"/>
      <c r="W638" s="3240">
        <v>0</v>
      </c>
      <c r="X638" s="3244"/>
      <c r="Y638" s="3244"/>
      <c r="Z638" s="3242" t="s">
        <v>3384</v>
      </c>
      <c r="AA638" s="3243">
        <v>0</v>
      </c>
      <c r="AB638" s="3242">
        <v>0</v>
      </c>
      <c r="AC638" s="3244"/>
      <c r="AD638" s="3244"/>
      <c r="AE638" s="3242">
        <v>0</v>
      </c>
      <c r="AF638" s="3259"/>
      <c r="AG638" s="3260"/>
      <c r="AH638" s="3260"/>
      <c r="AI638" s="3260"/>
      <c r="AJ638" s="3260"/>
      <c r="AK638" s="3260"/>
      <c r="AL638" s="3259"/>
      <c r="AM638" s="3260"/>
      <c r="AN638" s="3259"/>
      <c r="AO638" s="3260"/>
      <c r="AP638" s="3242">
        <v>0</v>
      </c>
      <c r="AQ638" s="3244"/>
      <c r="AR638" s="3244"/>
      <c r="AS638" s="3242" t="s">
        <v>3384</v>
      </c>
      <c r="AT638" s="3247">
        <f t="shared" si="59"/>
        <v>0</v>
      </c>
      <c r="AU638" s="3248">
        <f t="shared" si="60"/>
        <v>0</v>
      </c>
      <c r="AV638" s="3248">
        <v>0</v>
      </c>
      <c r="AW638" s="3247">
        <v>0</v>
      </c>
      <c r="AX638" s="3248">
        <v>0</v>
      </c>
      <c r="AY638" s="3248">
        <v>0</v>
      </c>
      <c r="AZ638" s="3247">
        <v>0</v>
      </c>
      <c r="BA638" s="3248">
        <v>0</v>
      </c>
      <c r="BB638" s="3248">
        <v>0</v>
      </c>
      <c r="BC638" s="3247">
        <v>0</v>
      </c>
      <c r="BD638" s="3248">
        <v>0</v>
      </c>
      <c r="BE638" s="3248">
        <v>0</v>
      </c>
      <c r="BF638" s="3248">
        <f t="shared" si="61"/>
        <v>0</v>
      </c>
      <c r="BG638" s="3248">
        <f t="shared" si="62"/>
        <v>0</v>
      </c>
      <c r="BH638" s="3249"/>
      <c r="BI638" s="3249"/>
    </row>
    <row r="639" spans="1:61" x14ac:dyDescent="0.3">
      <c r="A639" s="4197" t="s">
        <v>3384</v>
      </c>
      <c r="B639" s="3261"/>
      <c r="C639" s="3243">
        <v>0</v>
      </c>
      <c r="D639" s="3242">
        <v>0</v>
      </c>
      <c r="E639" s="3244"/>
      <c r="F639" s="3244"/>
      <c r="G639" s="3242">
        <v>0</v>
      </c>
      <c r="H639" s="3244"/>
      <c r="I639" s="3244"/>
      <c r="J639" s="3244"/>
      <c r="K639" s="3242">
        <v>0</v>
      </c>
      <c r="L639" s="3244"/>
      <c r="M639" s="3244"/>
      <c r="N639" s="3242" t="s">
        <v>3384</v>
      </c>
      <c r="O639" s="3239">
        <v>0</v>
      </c>
      <c r="P639" s="3242">
        <v>0</v>
      </c>
      <c r="Q639" s="3244"/>
      <c r="R639" s="3244"/>
      <c r="S639" s="3242">
        <v>0</v>
      </c>
      <c r="T639" s="3244"/>
      <c r="U639" s="3244"/>
      <c r="V639" s="3244"/>
      <c r="W639" s="3240">
        <v>0</v>
      </c>
      <c r="X639" s="3244"/>
      <c r="Y639" s="3244"/>
      <c r="Z639" s="3242" t="s">
        <v>3384</v>
      </c>
      <c r="AA639" s="3243">
        <v>0</v>
      </c>
      <c r="AB639" s="3242">
        <v>0</v>
      </c>
      <c r="AC639" s="3244"/>
      <c r="AD639" s="3244"/>
      <c r="AE639" s="3242">
        <v>0</v>
      </c>
      <c r="AF639" s="3259"/>
      <c r="AG639" s="3260"/>
      <c r="AH639" s="3260"/>
      <c r="AI639" s="3260"/>
      <c r="AJ639" s="3260"/>
      <c r="AK639" s="3260"/>
      <c r="AL639" s="3259"/>
      <c r="AM639" s="3260"/>
      <c r="AN639" s="3259"/>
      <c r="AO639" s="3260"/>
      <c r="AP639" s="3242">
        <v>0</v>
      </c>
      <c r="AQ639" s="3244"/>
      <c r="AR639" s="3244"/>
      <c r="AS639" s="3242" t="s">
        <v>3384</v>
      </c>
      <c r="AT639" s="3247">
        <f t="shared" si="59"/>
        <v>0</v>
      </c>
      <c r="AU639" s="3248">
        <f t="shared" si="60"/>
        <v>0</v>
      </c>
      <c r="AV639" s="3248">
        <v>0</v>
      </c>
      <c r="AW639" s="3247">
        <v>0</v>
      </c>
      <c r="AX639" s="3248">
        <v>0</v>
      </c>
      <c r="AY639" s="3248">
        <v>0</v>
      </c>
      <c r="AZ639" s="3247">
        <v>0</v>
      </c>
      <c r="BA639" s="3248">
        <v>0</v>
      </c>
      <c r="BB639" s="3248">
        <v>0</v>
      </c>
      <c r="BC639" s="3247">
        <v>0</v>
      </c>
      <c r="BD639" s="3248">
        <v>0</v>
      </c>
      <c r="BE639" s="3248">
        <v>0</v>
      </c>
      <c r="BF639" s="3248">
        <f t="shared" si="61"/>
        <v>0</v>
      </c>
      <c r="BG639" s="3248">
        <f t="shared" si="62"/>
        <v>0</v>
      </c>
      <c r="BH639" s="3249"/>
      <c r="BI639" s="3249"/>
    </row>
    <row r="640" spans="1:61" x14ac:dyDescent="0.3">
      <c r="A640" s="4197" t="s">
        <v>3384</v>
      </c>
      <c r="B640" s="3261"/>
      <c r="C640" s="3243">
        <v>0</v>
      </c>
      <c r="D640" s="3242">
        <v>0</v>
      </c>
      <c r="E640" s="3244"/>
      <c r="F640" s="3244"/>
      <c r="G640" s="3242">
        <v>0</v>
      </c>
      <c r="H640" s="3244"/>
      <c r="I640" s="3244"/>
      <c r="J640" s="3244"/>
      <c r="K640" s="3242">
        <v>0</v>
      </c>
      <c r="L640" s="3244"/>
      <c r="M640" s="3244"/>
      <c r="N640" s="3242" t="s">
        <v>3384</v>
      </c>
      <c r="O640" s="3239">
        <v>0</v>
      </c>
      <c r="P640" s="3242">
        <v>0</v>
      </c>
      <c r="Q640" s="3244"/>
      <c r="R640" s="3244"/>
      <c r="S640" s="3242">
        <v>0</v>
      </c>
      <c r="T640" s="3244"/>
      <c r="U640" s="3244"/>
      <c r="V640" s="3244"/>
      <c r="W640" s="3240">
        <v>0</v>
      </c>
      <c r="X640" s="3244"/>
      <c r="Y640" s="3244"/>
      <c r="Z640" s="3242" t="s">
        <v>3384</v>
      </c>
      <c r="AA640" s="3243">
        <v>0</v>
      </c>
      <c r="AB640" s="3242">
        <v>0</v>
      </c>
      <c r="AC640" s="3244"/>
      <c r="AD640" s="3244"/>
      <c r="AE640" s="3242">
        <v>0</v>
      </c>
      <c r="AF640" s="3259"/>
      <c r="AG640" s="3260"/>
      <c r="AH640" s="3260"/>
      <c r="AI640" s="3260"/>
      <c r="AJ640" s="3260"/>
      <c r="AK640" s="3260"/>
      <c r="AL640" s="3259"/>
      <c r="AM640" s="3260"/>
      <c r="AN640" s="3259"/>
      <c r="AO640" s="3260"/>
      <c r="AP640" s="3242">
        <v>0</v>
      </c>
      <c r="AQ640" s="3244"/>
      <c r="AR640" s="3244"/>
      <c r="AS640" s="3242" t="s">
        <v>3384</v>
      </c>
      <c r="AT640" s="3247">
        <f t="shared" si="59"/>
        <v>0</v>
      </c>
      <c r="AU640" s="3248">
        <f t="shared" si="60"/>
        <v>0</v>
      </c>
      <c r="AV640" s="3248">
        <v>0</v>
      </c>
      <c r="AW640" s="3247">
        <v>0</v>
      </c>
      <c r="AX640" s="3248">
        <v>0</v>
      </c>
      <c r="AY640" s="3248">
        <v>0</v>
      </c>
      <c r="AZ640" s="3247">
        <v>0</v>
      </c>
      <c r="BA640" s="3248">
        <v>0</v>
      </c>
      <c r="BB640" s="3248">
        <v>0</v>
      </c>
      <c r="BC640" s="3247">
        <v>0</v>
      </c>
      <c r="BD640" s="3248">
        <v>0</v>
      </c>
      <c r="BE640" s="3248">
        <v>0</v>
      </c>
      <c r="BF640" s="3248">
        <f t="shared" si="61"/>
        <v>0</v>
      </c>
      <c r="BG640" s="3248">
        <f t="shared" si="62"/>
        <v>0</v>
      </c>
      <c r="BH640" s="3249"/>
      <c r="BI640" s="3249"/>
    </row>
    <row r="641" spans="1:61" x14ac:dyDescent="0.3">
      <c r="A641" s="4197" t="s">
        <v>3384</v>
      </c>
      <c r="B641" s="3261"/>
      <c r="C641" s="3243">
        <v>0</v>
      </c>
      <c r="D641" s="3242">
        <v>0</v>
      </c>
      <c r="E641" s="3244"/>
      <c r="F641" s="3244"/>
      <c r="G641" s="3242">
        <v>0</v>
      </c>
      <c r="H641" s="3244"/>
      <c r="I641" s="3244"/>
      <c r="J641" s="3244"/>
      <c r="K641" s="3242">
        <v>0</v>
      </c>
      <c r="L641" s="3244"/>
      <c r="M641" s="3244"/>
      <c r="N641" s="3242" t="s">
        <v>3384</v>
      </c>
      <c r="O641" s="3239">
        <v>0</v>
      </c>
      <c r="P641" s="3242">
        <v>0</v>
      </c>
      <c r="Q641" s="3244"/>
      <c r="R641" s="3244"/>
      <c r="S641" s="3242">
        <v>0</v>
      </c>
      <c r="T641" s="3244"/>
      <c r="U641" s="3244"/>
      <c r="V641" s="3244"/>
      <c r="W641" s="3240">
        <v>0</v>
      </c>
      <c r="X641" s="3244"/>
      <c r="Y641" s="3244"/>
      <c r="Z641" s="3242" t="s">
        <v>3384</v>
      </c>
      <c r="AA641" s="3243">
        <v>0</v>
      </c>
      <c r="AB641" s="3242">
        <v>0</v>
      </c>
      <c r="AC641" s="3244"/>
      <c r="AD641" s="3244"/>
      <c r="AE641" s="3242">
        <v>0</v>
      </c>
      <c r="AF641" s="3259"/>
      <c r="AG641" s="3260"/>
      <c r="AH641" s="3260"/>
      <c r="AI641" s="3260"/>
      <c r="AJ641" s="3260"/>
      <c r="AK641" s="3260"/>
      <c r="AL641" s="3259"/>
      <c r="AM641" s="3260"/>
      <c r="AN641" s="3259"/>
      <c r="AO641" s="3260"/>
      <c r="AP641" s="3242">
        <v>0</v>
      </c>
      <c r="AQ641" s="3244"/>
      <c r="AR641" s="3244"/>
      <c r="AS641" s="3242" t="s">
        <v>3384</v>
      </c>
      <c r="AT641" s="3247">
        <f t="shared" si="59"/>
        <v>0</v>
      </c>
      <c r="AU641" s="3248">
        <f t="shared" si="60"/>
        <v>0</v>
      </c>
      <c r="AV641" s="3248">
        <v>0</v>
      </c>
      <c r="AW641" s="3247">
        <v>0</v>
      </c>
      <c r="AX641" s="3248">
        <v>0</v>
      </c>
      <c r="AY641" s="3248">
        <v>0</v>
      </c>
      <c r="AZ641" s="3247">
        <v>0</v>
      </c>
      <c r="BA641" s="3248">
        <v>0</v>
      </c>
      <c r="BB641" s="3248">
        <v>0</v>
      </c>
      <c r="BC641" s="3247">
        <v>0</v>
      </c>
      <c r="BD641" s="3248">
        <v>0</v>
      </c>
      <c r="BE641" s="3248">
        <v>0</v>
      </c>
      <c r="BF641" s="3248">
        <f t="shared" si="61"/>
        <v>0</v>
      </c>
      <c r="BG641" s="3248">
        <f t="shared" si="62"/>
        <v>0</v>
      </c>
      <c r="BH641" s="3249"/>
      <c r="BI641" s="3249"/>
    </row>
    <row r="642" spans="1:61" x14ac:dyDescent="0.3">
      <c r="A642" s="4197" t="s">
        <v>3384</v>
      </c>
      <c r="B642" s="3261"/>
      <c r="C642" s="3243">
        <v>0</v>
      </c>
      <c r="D642" s="3242">
        <v>0</v>
      </c>
      <c r="E642" s="3244"/>
      <c r="F642" s="3244"/>
      <c r="G642" s="3242">
        <v>0</v>
      </c>
      <c r="H642" s="3244"/>
      <c r="I642" s="3244"/>
      <c r="J642" s="3244"/>
      <c r="K642" s="3242">
        <v>0</v>
      </c>
      <c r="L642" s="3244"/>
      <c r="M642" s="3244"/>
      <c r="N642" s="3242" t="s">
        <v>3384</v>
      </c>
      <c r="O642" s="3239">
        <v>0</v>
      </c>
      <c r="P642" s="3242">
        <v>0</v>
      </c>
      <c r="Q642" s="3244"/>
      <c r="R642" s="3244"/>
      <c r="S642" s="3242">
        <v>0</v>
      </c>
      <c r="T642" s="3244"/>
      <c r="U642" s="3244"/>
      <c r="V642" s="3244"/>
      <c r="W642" s="3240">
        <v>0</v>
      </c>
      <c r="X642" s="3244"/>
      <c r="Y642" s="3244"/>
      <c r="Z642" s="3242" t="s">
        <v>3384</v>
      </c>
      <c r="AA642" s="3243">
        <v>0</v>
      </c>
      <c r="AB642" s="3242">
        <v>0</v>
      </c>
      <c r="AC642" s="3244"/>
      <c r="AD642" s="3244"/>
      <c r="AE642" s="3242">
        <v>0</v>
      </c>
      <c r="AF642" s="3259"/>
      <c r="AG642" s="3260"/>
      <c r="AH642" s="3260"/>
      <c r="AI642" s="3260"/>
      <c r="AJ642" s="3260"/>
      <c r="AK642" s="3260"/>
      <c r="AL642" s="3259"/>
      <c r="AM642" s="3260"/>
      <c r="AN642" s="3259"/>
      <c r="AO642" s="3260"/>
      <c r="AP642" s="3242">
        <v>0</v>
      </c>
      <c r="AQ642" s="3244"/>
      <c r="AR642" s="3244"/>
      <c r="AS642" s="3242" t="s">
        <v>3384</v>
      </c>
      <c r="AT642" s="3247">
        <f t="shared" si="59"/>
        <v>0</v>
      </c>
      <c r="AU642" s="3248">
        <f t="shared" si="60"/>
        <v>0</v>
      </c>
      <c r="AV642" s="3248">
        <v>0</v>
      </c>
      <c r="AW642" s="3247">
        <v>0</v>
      </c>
      <c r="AX642" s="3248">
        <v>0</v>
      </c>
      <c r="AY642" s="3248">
        <v>0</v>
      </c>
      <c r="AZ642" s="3247">
        <v>0</v>
      </c>
      <c r="BA642" s="3248">
        <v>0</v>
      </c>
      <c r="BB642" s="3248">
        <v>0</v>
      </c>
      <c r="BC642" s="3247">
        <v>0</v>
      </c>
      <c r="BD642" s="3248">
        <v>0</v>
      </c>
      <c r="BE642" s="3248">
        <v>0</v>
      </c>
      <c r="BF642" s="3248">
        <f t="shared" si="61"/>
        <v>0</v>
      </c>
      <c r="BG642" s="3248">
        <f t="shared" si="62"/>
        <v>0</v>
      </c>
      <c r="BH642" s="3249"/>
      <c r="BI642" s="3249"/>
    </row>
    <row r="643" spans="1:61" x14ac:dyDescent="0.3">
      <c r="A643" s="4197" t="s">
        <v>3384</v>
      </c>
      <c r="B643" s="3261"/>
      <c r="C643" s="3243">
        <v>0</v>
      </c>
      <c r="D643" s="3242">
        <v>0</v>
      </c>
      <c r="E643" s="3244"/>
      <c r="F643" s="3244"/>
      <c r="G643" s="3242">
        <v>0</v>
      </c>
      <c r="H643" s="3244"/>
      <c r="I643" s="3244"/>
      <c r="J643" s="3244"/>
      <c r="K643" s="3242">
        <v>0</v>
      </c>
      <c r="L643" s="3244"/>
      <c r="M643" s="3244"/>
      <c r="N643" s="3242" t="s">
        <v>3384</v>
      </c>
      <c r="O643" s="3239">
        <v>0</v>
      </c>
      <c r="P643" s="3242">
        <v>0</v>
      </c>
      <c r="Q643" s="3244"/>
      <c r="R643" s="3244"/>
      <c r="S643" s="3242">
        <v>0</v>
      </c>
      <c r="T643" s="3244"/>
      <c r="U643" s="3244"/>
      <c r="V643" s="3244"/>
      <c r="W643" s="3240">
        <v>0</v>
      </c>
      <c r="X643" s="3244"/>
      <c r="Y643" s="3244"/>
      <c r="Z643" s="3242" t="s">
        <v>3384</v>
      </c>
      <c r="AA643" s="3243">
        <v>0</v>
      </c>
      <c r="AB643" s="3242">
        <v>0</v>
      </c>
      <c r="AC643" s="3244"/>
      <c r="AD643" s="3244"/>
      <c r="AE643" s="3242">
        <v>0</v>
      </c>
      <c r="AF643" s="3259"/>
      <c r="AG643" s="3260"/>
      <c r="AH643" s="3260"/>
      <c r="AI643" s="3260"/>
      <c r="AJ643" s="3260"/>
      <c r="AK643" s="3260"/>
      <c r="AL643" s="3259"/>
      <c r="AM643" s="3260"/>
      <c r="AN643" s="3259"/>
      <c r="AO643" s="3260"/>
      <c r="AP643" s="3242">
        <v>0</v>
      </c>
      <c r="AQ643" s="3244"/>
      <c r="AR643" s="3244"/>
      <c r="AS643" s="3242" t="s">
        <v>3384</v>
      </c>
      <c r="AT643" s="3247">
        <f t="shared" si="59"/>
        <v>0</v>
      </c>
      <c r="AU643" s="3248">
        <f t="shared" si="60"/>
        <v>0</v>
      </c>
      <c r="AV643" s="3248">
        <v>0</v>
      </c>
      <c r="AW643" s="3247">
        <v>0</v>
      </c>
      <c r="AX643" s="3248">
        <v>0</v>
      </c>
      <c r="AY643" s="3248">
        <v>0</v>
      </c>
      <c r="AZ643" s="3247">
        <v>0</v>
      </c>
      <c r="BA643" s="3248">
        <v>0</v>
      </c>
      <c r="BB643" s="3248">
        <v>0</v>
      </c>
      <c r="BC643" s="3247">
        <v>0</v>
      </c>
      <c r="BD643" s="3248">
        <v>0</v>
      </c>
      <c r="BE643" s="3248">
        <v>0</v>
      </c>
      <c r="BF643" s="3248">
        <f t="shared" si="61"/>
        <v>0</v>
      </c>
      <c r="BG643" s="3248">
        <f t="shared" si="62"/>
        <v>0</v>
      </c>
      <c r="BH643" s="3249"/>
      <c r="BI643" s="3249"/>
    </row>
    <row r="644" spans="1:61" x14ac:dyDescent="0.3">
      <c r="A644" s="4197" t="s">
        <v>3384</v>
      </c>
      <c r="B644" s="3261"/>
      <c r="C644" s="3243">
        <v>0</v>
      </c>
      <c r="D644" s="3242">
        <v>0</v>
      </c>
      <c r="E644" s="3244"/>
      <c r="F644" s="3244"/>
      <c r="G644" s="3242">
        <v>0</v>
      </c>
      <c r="H644" s="3244"/>
      <c r="I644" s="3244"/>
      <c r="J644" s="3244"/>
      <c r="K644" s="3242">
        <v>0</v>
      </c>
      <c r="L644" s="3244"/>
      <c r="M644" s="3244"/>
      <c r="N644" s="3242" t="s">
        <v>3384</v>
      </c>
      <c r="O644" s="3239">
        <v>0</v>
      </c>
      <c r="P644" s="3242">
        <v>0</v>
      </c>
      <c r="Q644" s="3244"/>
      <c r="R644" s="3244"/>
      <c r="S644" s="3242">
        <v>0</v>
      </c>
      <c r="T644" s="3244"/>
      <c r="U644" s="3244"/>
      <c r="V644" s="3244"/>
      <c r="W644" s="3240">
        <v>0</v>
      </c>
      <c r="X644" s="3244"/>
      <c r="Y644" s="3244"/>
      <c r="Z644" s="3242" t="s">
        <v>3384</v>
      </c>
      <c r="AA644" s="3243">
        <v>0</v>
      </c>
      <c r="AB644" s="3242">
        <v>0</v>
      </c>
      <c r="AC644" s="3244"/>
      <c r="AD644" s="3244"/>
      <c r="AE644" s="3242">
        <v>0</v>
      </c>
      <c r="AF644" s="3259"/>
      <c r="AG644" s="3260"/>
      <c r="AH644" s="3260"/>
      <c r="AI644" s="3260"/>
      <c r="AJ644" s="3260"/>
      <c r="AK644" s="3260"/>
      <c r="AL644" s="3259"/>
      <c r="AM644" s="3260"/>
      <c r="AN644" s="3259"/>
      <c r="AO644" s="3260"/>
      <c r="AP644" s="3242">
        <v>0</v>
      </c>
      <c r="AQ644" s="3244"/>
      <c r="AR644" s="3244"/>
      <c r="AS644" s="3242" t="s">
        <v>3384</v>
      </c>
      <c r="AT644" s="3247">
        <f t="shared" si="59"/>
        <v>0</v>
      </c>
      <c r="AU644" s="3248">
        <f t="shared" si="60"/>
        <v>0</v>
      </c>
      <c r="AV644" s="3248">
        <v>0</v>
      </c>
      <c r="AW644" s="3247">
        <v>0</v>
      </c>
      <c r="AX644" s="3248">
        <v>0</v>
      </c>
      <c r="AY644" s="3248">
        <v>0</v>
      </c>
      <c r="AZ644" s="3247">
        <v>0</v>
      </c>
      <c r="BA644" s="3248">
        <v>0</v>
      </c>
      <c r="BB644" s="3248">
        <v>0</v>
      </c>
      <c r="BC644" s="3247">
        <v>0</v>
      </c>
      <c r="BD644" s="3248">
        <v>0</v>
      </c>
      <c r="BE644" s="3248">
        <v>0</v>
      </c>
      <c r="BF644" s="3248">
        <f t="shared" si="61"/>
        <v>0</v>
      </c>
      <c r="BG644" s="3248">
        <f t="shared" si="62"/>
        <v>0</v>
      </c>
      <c r="BH644" s="3249"/>
      <c r="BI644" s="3249"/>
    </row>
    <row r="645" spans="1:61" x14ac:dyDescent="0.3">
      <c r="A645" s="4197" t="s">
        <v>3384</v>
      </c>
      <c r="B645" s="3261"/>
      <c r="C645" s="3243">
        <v>0</v>
      </c>
      <c r="D645" s="3242">
        <v>0</v>
      </c>
      <c r="E645" s="3244"/>
      <c r="F645" s="3244"/>
      <c r="G645" s="3242">
        <v>0</v>
      </c>
      <c r="H645" s="3244"/>
      <c r="I645" s="3244"/>
      <c r="J645" s="3244"/>
      <c r="K645" s="3242">
        <v>0</v>
      </c>
      <c r="L645" s="3244"/>
      <c r="M645" s="3244"/>
      <c r="N645" s="3242" t="s">
        <v>3384</v>
      </c>
      <c r="O645" s="3239">
        <v>0</v>
      </c>
      <c r="P645" s="3242">
        <v>0</v>
      </c>
      <c r="Q645" s="3244"/>
      <c r="R645" s="3244"/>
      <c r="S645" s="3242">
        <v>0</v>
      </c>
      <c r="T645" s="3244"/>
      <c r="U645" s="3244"/>
      <c r="V645" s="3244"/>
      <c r="W645" s="3240">
        <v>0</v>
      </c>
      <c r="X645" s="3244"/>
      <c r="Y645" s="3244"/>
      <c r="Z645" s="3242" t="s">
        <v>3384</v>
      </c>
      <c r="AA645" s="3243">
        <v>0</v>
      </c>
      <c r="AB645" s="3242">
        <v>0</v>
      </c>
      <c r="AC645" s="3244"/>
      <c r="AD645" s="3244"/>
      <c r="AE645" s="3242">
        <v>0</v>
      </c>
      <c r="AF645" s="3259"/>
      <c r="AG645" s="3260"/>
      <c r="AH645" s="3260"/>
      <c r="AI645" s="3260"/>
      <c r="AJ645" s="3260"/>
      <c r="AK645" s="3260"/>
      <c r="AL645" s="3259"/>
      <c r="AM645" s="3260"/>
      <c r="AN645" s="3259"/>
      <c r="AO645" s="3260"/>
      <c r="AP645" s="3242">
        <v>0</v>
      </c>
      <c r="AQ645" s="3244"/>
      <c r="AR645" s="3244"/>
      <c r="AS645" s="3242" t="s">
        <v>3384</v>
      </c>
      <c r="AT645" s="3247">
        <f t="shared" si="59"/>
        <v>0</v>
      </c>
      <c r="AU645" s="3248">
        <f t="shared" si="60"/>
        <v>0</v>
      </c>
      <c r="AV645" s="3248">
        <v>0</v>
      </c>
      <c r="AW645" s="3247">
        <v>0</v>
      </c>
      <c r="AX645" s="3248">
        <v>0</v>
      </c>
      <c r="AY645" s="3248">
        <v>0</v>
      </c>
      <c r="AZ645" s="3247">
        <v>0</v>
      </c>
      <c r="BA645" s="3248">
        <v>0</v>
      </c>
      <c r="BB645" s="3248">
        <v>0</v>
      </c>
      <c r="BC645" s="3247">
        <v>0</v>
      </c>
      <c r="BD645" s="3248">
        <v>0</v>
      </c>
      <c r="BE645" s="3248">
        <v>0</v>
      </c>
      <c r="BF645" s="3248">
        <f t="shared" si="61"/>
        <v>0</v>
      </c>
      <c r="BG645" s="3248">
        <f t="shared" si="62"/>
        <v>0</v>
      </c>
      <c r="BH645" s="3249"/>
      <c r="BI645" s="3249"/>
    </row>
    <row r="646" spans="1:61" x14ac:dyDescent="0.3">
      <c r="A646" s="4197" t="s">
        <v>3384</v>
      </c>
      <c r="B646" s="3261"/>
      <c r="C646" s="3243">
        <v>0</v>
      </c>
      <c r="D646" s="3242">
        <v>0</v>
      </c>
      <c r="E646" s="3244"/>
      <c r="F646" s="3244"/>
      <c r="G646" s="3242">
        <v>0</v>
      </c>
      <c r="H646" s="3244"/>
      <c r="I646" s="3244"/>
      <c r="J646" s="3244"/>
      <c r="K646" s="3242">
        <v>0</v>
      </c>
      <c r="L646" s="3244"/>
      <c r="M646" s="3244"/>
      <c r="N646" s="3242" t="s">
        <v>3384</v>
      </c>
      <c r="O646" s="3239">
        <v>0</v>
      </c>
      <c r="P646" s="3242">
        <v>0</v>
      </c>
      <c r="Q646" s="3244"/>
      <c r="R646" s="3244"/>
      <c r="S646" s="3242">
        <v>0</v>
      </c>
      <c r="T646" s="3244"/>
      <c r="U646" s="3244"/>
      <c r="V646" s="3244"/>
      <c r="W646" s="3240">
        <v>0</v>
      </c>
      <c r="X646" s="3244"/>
      <c r="Y646" s="3244"/>
      <c r="Z646" s="3242" t="s">
        <v>3384</v>
      </c>
      <c r="AA646" s="3243">
        <v>0</v>
      </c>
      <c r="AB646" s="3242">
        <v>0</v>
      </c>
      <c r="AC646" s="3244"/>
      <c r="AD646" s="3244"/>
      <c r="AE646" s="3242">
        <v>0</v>
      </c>
      <c r="AF646" s="3259"/>
      <c r="AG646" s="3260"/>
      <c r="AH646" s="3260"/>
      <c r="AI646" s="3260"/>
      <c r="AJ646" s="3260"/>
      <c r="AK646" s="3260"/>
      <c r="AL646" s="3259"/>
      <c r="AM646" s="3260"/>
      <c r="AN646" s="3259"/>
      <c r="AO646" s="3260"/>
      <c r="AP646" s="3242">
        <v>0</v>
      </c>
      <c r="AQ646" s="3244"/>
      <c r="AR646" s="3244"/>
      <c r="AS646" s="3242" t="s">
        <v>3384</v>
      </c>
      <c r="AT646" s="3247">
        <f t="shared" si="59"/>
        <v>0</v>
      </c>
      <c r="AU646" s="3248">
        <f t="shared" si="60"/>
        <v>0</v>
      </c>
      <c r="AV646" s="3248">
        <v>0</v>
      </c>
      <c r="AW646" s="3247">
        <v>0</v>
      </c>
      <c r="AX646" s="3248">
        <v>0</v>
      </c>
      <c r="AY646" s="3248">
        <v>0</v>
      </c>
      <c r="AZ646" s="3247">
        <v>0</v>
      </c>
      <c r="BA646" s="3248">
        <v>0</v>
      </c>
      <c r="BB646" s="3248">
        <v>0</v>
      </c>
      <c r="BC646" s="3247">
        <v>0</v>
      </c>
      <c r="BD646" s="3248">
        <v>0</v>
      </c>
      <c r="BE646" s="3248">
        <v>0</v>
      </c>
      <c r="BF646" s="3248">
        <f t="shared" si="61"/>
        <v>0</v>
      </c>
      <c r="BG646" s="3248">
        <f t="shared" si="62"/>
        <v>0</v>
      </c>
      <c r="BH646" s="3249"/>
      <c r="BI646" s="3249"/>
    </row>
    <row r="647" spans="1:61" x14ac:dyDescent="0.3">
      <c r="A647" s="4197" t="s">
        <v>3384</v>
      </c>
      <c r="B647" s="3261"/>
      <c r="C647" s="3243">
        <v>0</v>
      </c>
      <c r="D647" s="3242">
        <v>0</v>
      </c>
      <c r="E647" s="3244"/>
      <c r="F647" s="3244"/>
      <c r="G647" s="3242">
        <v>0</v>
      </c>
      <c r="H647" s="3244"/>
      <c r="I647" s="3244"/>
      <c r="J647" s="3244"/>
      <c r="K647" s="3242">
        <v>0</v>
      </c>
      <c r="L647" s="3244"/>
      <c r="M647" s="3244"/>
      <c r="N647" s="3242" t="s">
        <v>3384</v>
      </c>
      <c r="O647" s="3239">
        <v>0</v>
      </c>
      <c r="P647" s="3242">
        <v>0</v>
      </c>
      <c r="Q647" s="3244"/>
      <c r="R647" s="3244"/>
      <c r="S647" s="3242">
        <v>0</v>
      </c>
      <c r="T647" s="3244"/>
      <c r="U647" s="3244"/>
      <c r="V647" s="3244"/>
      <c r="W647" s="3240">
        <v>0</v>
      </c>
      <c r="X647" s="3244"/>
      <c r="Y647" s="3244"/>
      <c r="Z647" s="3242" t="s">
        <v>3384</v>
      </c>
      <c r="AA647" s="3243">
        <v>0</v>
      </c>
      <c r="AB647" s="3242">
        <v>0</v>
      </c>
      <c r="AC647" s="3244"/>
      <c r="AD647" s="3244"/>
      <c r="AE647" s="3242">
        <v>0</v>
      </c>
      <c r="AF647" s="3259"/>
      <c r="AG647" s="3260"/>
      <c r="AH647" s="3260"/>
      <c r="AI647" s="3260"/>
      <c r="AJ647" s="3260"/>
      <c r="AK647" s="3260"/>
      <c r="AL647" s="3259"/>
      <c r="AM647" s="3260"/>
      <c r="AN647" s="3259"/>
      <c r="AO647" s="3260"/>
      <c r="AP647" s="3242">
        <v>0</v>
      </c>
      <c r="AQ647" s="3244"/>
      <c r="AR647" s="3244"/>
      <c r="AS647" s="3242" t="s">
        <v>3384</v>
      </c>
      <c r="AT647" s="3247">
        <f t="shared" si="59"/>
        <v>0</v>
      </c>
      <c r="AU647" s="3248">
        <f t="shared" si="60"/>
        <v>0</v>
      </c>
      <c r="AV647" s="3248">
        <v>0</v>
      </c>
      <c r="AW647" s="3247">
        <v>0</v>
      </c>
      <c r="AX647" s="3248">
        <v>0</v>
      </c>
      <c r="AY647" s="3248">
        <v>0</v>
      </c>
      <c r="AZ647" s="3247">
        <v>0</v>
      </c>
      <c r="BA647" s="3248">
        <v>0</v>
      </c>
      <c r="BB647" s="3248">
        <v>0</v>
      </c>
      <c r="BC647" s="3247">
        <v>0</v>
      </c>
      <c r="BD647" s="3248">
        <v>0</v>
      </c>
      <c r="BE647" s="3248">
        <v>0</v>
      </c>
      <c r="BF647" s="3248">
        <f t="shared" si="61"/>
        <v>0</v>
      </c>
      <c r="BG647" s="3248">
        <f t="shared" si="62"/>
        <v>0</v>
      </c>
      <c r="BH647" s="3249"/>
      <c r="BI647" s="3249"/>
    </row>
    <row r="648" spans="1:61" x14ac:dyDescent="0.3">
      <c r="A648" s="4197" t="s">
        <v>3384</v>
      </c>
      <c r="B648" s="3261"/>
      <c r="C648" s="3243">
        <v>0</v>
      </c>
      <c r="D648" s="3242">
        <v>0</v>
      </c>
      <c r="E648" s="3244"/>
      <c r="F648" s="3244"/>
      <c r="G648" s="3242">
        <v>0</v>
      </c>
      <c r="H648" s="3244"/>
      <c r="I648" s="3244"/>
      <c r="J648" s="3244"/>
      <c r="K648" s="3242">
        <v>0</v>
      </c>
      <c r="L648" s="3244"/>
      <c r="M648" s="3244"/>
      <c r="N648" s="3242" t="s">
        <v>3384</v>
      </c>
      <c r="O648" s="3239">
        <v>0</v>
      </c>
      <c r="P648" s="3242">
        <v>0</v>
      </c>
      <c r="Q648" s="3244"/>
      <c r="R648" s="3244"/>
      <c r="S648" s="3242">
        <v>0</v>
      </c>
      <c r="T648" s="3244"/>
      <c r="U648" s="3244"/>
      <c r="V648" s="3244"/>
      <c r="W648" s="3240">
        <v>0</v>
      </c>
      <c r="X648" s="3244"/>
      <c r="Y648" s="3244"/>
      <c r="Z648" s="3242" t="s">
        <v>3384</v>
      </c>
      <c r="AA648" s="3243">
        <v>0</v>
      </c>
      <c r="AB648" s="3242">
        <v>0</v>
      </c>
      <c r="AC648" s="3244"/>
      <c r="AD648" s="3244"/>
      <c r="AE648" s="3242">
        <v>0</v>
      </c>
      <c r="AF648" s="3259"/>
      <c r="AG648" s="3260"/>
      <c r="AH648" s="3260"/>
      <c r="AI648" s="3260"/>
      <c r="AJ648" s="3260"/>
      <c r="AK648" s="3260"/>
      <c r="AL648" s="3259"/>
      <c r="AM648" s="3260"/>
      <c r="AN648" s="3259"/>
      <c r="AO648" s="3260"/>
      <c r="AP648" s="3242">
        <v>0</v>
      </c>
      <c r="AQ648" s="3244"/>
      <c r="AR648" s="3244"/>
      <c r="AS648" s="3242" t="s">
        <v>3384</v>
      </c>
      <c r="AT648" s="3247">
        <f t="shared" si="59"/>
        <v>0</v>
      </c>
      <c r="AU648" s="3248">
        <f t="shared" si="60"/>
        <v>0</v>
      </c>
      <c r="AV648" s="3248">
        <v>0</v>
      </c>
      <c r="AW648" s="3247">
        <v>0</v>
      </c>
      <c r="AX648" s="3248">
        <v>0</v>
      </c>
      <c r="AY648" s="3248">
        <v>0</v>
      </c>
      <c r="AZ648" s="3247">
        <v>0</v>
      </c>
      <c r="BA648" s="3248">
        <v>0</v>
      </c>
      <c r="BB648" s="3248">
        <v>0</v>
      </c>
      <c r="BC648" s="3247">
        <v>0</v>
      </c>
      <c r="BD648" s="3248">
        <v>0</v>
      </c>
      <c r="BE648" s="3248">
        <v>0</v>
      </c>
      <c r="BF648" s="3248">
        <f t="shared" si="61"/>
        <v>0</v>
      </c>
      <c r="BG648" s="3248">
        <f t="shared" si="62"/>
        <v>0</v>
      </c>
      <c r="BH648" s="3249"/>
      <c r="BI648" s="3249"/>
    </row>
    <row r="649" spans="1:61" x14ac:dyDescent="0.3">
      <c r="A649" s="4197" t="s">
        <v>3384</v>
      </c>
      <c r="B649" s="3261"/>
      <c r="C649" s="3243">
        <v>0</v>
      </c>
      <c r="D649" s="3242">
        <v>0</v>
      </c>
      <c r="E649" s="3244"/>
      <c r="F649" s="3244"/>
      <c r="G649" s="3242">
        <v>0</v>
      </c>
      <c r="H649" s="3244"/>
      <c r="I649" s="3244"/>
      <c r="J649" s="3244"/>
      <c r="K649" s="3242">
        <v>0</v>
      </c>
      <c r="L649" s="3244"/>
      <c r="M649" s="3244"/>
      <c r="N649" s="3242" t="s">
        <v>3384</v>
      </c>
      <c r="O649" s="3239">
        <v>0</v>
      </c>
      <c r="P649" s="3242">
        <v>0</v>
      </c>
      <c r="Q649" s="3244"/>
      <c r="R649" s="3244"/>
      <c r="S649" s="3242">
        <v>0</v>
      </c>
      <c r="T649" s="3244"/>
      <c r="U649" s="3244"/>
      <c r="V649" s="3244"/>
      <c r="W649" s="3240">
        <v>0</v>
      </c>
      <c r="X649" s="3244"/>
      <c r="Y649" s="3244"/>
      <c r="Z649" s="3242" t="s">
        <v>3384</v>
      </c>
      <c r="AA649" s="3243">
        <v>0</v>
      </c>
      <c r="AB649" s="3242">
        <v>0</v>
      </c>
      <c r="AC649" s="3244"/>
      <c r="AD649" s="3244"/>
      <c r="AE649" s="3242">
        <v>0</v>
      </c>
      <c r="AF649" s="3259"/>
      <c r="AG649" s="3260"/>
      <c r="AH649" s="3260"/>
      <c r="AI649" s="3260"/>
      <c r="AJ649" s="3260"/>
      <c r="AK649" s="3260"/>
      <c r="AL649" s="3259"/>
      <c r="AM649" s="3260"/>
      <c r="AN649" s="3259"/>
      <c r="AO649" s="3260"/>
      <c r="AP649" s="3242">
        <v>0</v>
      </c>
      <c r="AQ649" s="3244"/>
      <c r="AR649" s="3244"/>
      <c r="AS649" s="3242" t="s">
        <v>3384</v>
      </c>
      <c r="AT649" s="3247">
        <f t="shared" si="59"/>
        <v>0</v>
      </c>
      <c r="AU649" s="3248">
        <f t="shared" si="60"/>
        <v>0</v>
      </c>
      <c r="AV649" s="3248">
        <v>0</v>
      </c>
      <c r="AW649" s="3247">
        <v>0</v>
      </c>
      <c r="AX649" s="3248">
        <v>0</v>
      </c>
      <c r="AY649" s="3248">
        <v>0</v>
      </c>
      <c r="AZ649" s="3247">
        <v>0</v>
      </c>
      <c r="BA649" s="3248">
        <v>0</v>
      </c>
      <c r="BB649" s="3248">
        <v>0</v>
      </c>
      <c r="BC649" s="3247">
        <v>0</v>
      </c>
      <c r="BD649" s="3248">
        <v>0</v>
      </c>
      <c r="BE649" s="3248">
        <v>0</v>
      </c>
      <c r="BF649" s="3248">
        <f t="shared" si="61"/>
        <v>0</v>
      </c>
      <c r="BG649" s="3248">
        <f t="shared" si="62"/>
        <v>0</v>
      </c>
      <c r="BH649" s="3249"/>
      <c r="BI649" s="3249"/>
    </row>
    <row r="650" spans="1:61" x14ac:dyDescent="0.3">
      <c r="A650" s="4197" t="s">
        <v>3384</v>
      </c>
      <c r="B650" s="3261"/>
      <c r="C650" s="3243">
        <v>0</v>
      </c>
      <c r="D650" s="3242">
        <v>0</v>
      </c>
      <c r="E650" s="3244"/>
      <c r="F650" s="3244"/>
      <c r="G650" s="3242">
        <v>0</v>
      </c>
      <c r="H650" s="3244"/>
      <c r="I650" s="3244"/>
      <c r="J650" s="3244"/>
      <c r="K650" s="3242">
        <v>0</v>
      </c>
      <c r="L650" s="3244"/>
      <c r="M650" s="3244"/>
      <c r="N650" s="3242" t="s">
        <v>3384</v>
      </c>
      <c r="O650" s="3239">
        <v>0</v>
      </c>
      <c r="P650" s="3242">
        <v>0</v>
      </c>
      <c r="Q650" s="3244"/>
      <c r="R650" s="3244"/>
      <c r="S650" s="3242">
        <v>0</v>
      </c>
      <c r="T650" s="3244"/>
      <c r="U650" s="3244"/>
      <c r="V650" s="3244"/>
      <c r="W650" s="3240">
        <v>0</v>
      </c>
      <c r="X650" s="3244"/>
      <c r="Y650" s="3244"/>
      <c r="Z650" s="3242" t="s">
        <v>3384</v>
      </c>
      <c r="AA650" s="3243">
        <v>0</v>
      </c>
      <c r="AB650" s="3242">
        <v>0</v>
      </c>
      <c r="AC650" s="3244"/>
      <c r="AD650" s="3244"/>
      <c r="AE650" s="3242">
        <v>0</v>
      </c>
      <c r="AF650" s="3259"/>
      <c r="AG650" s="3260"/>
      <c r="AH650" s="3260"/>
      <c r="AI650" s="3260"/>
      <c r="AJ650" s="3260"/>
      <c r="AK650" s="3260"/>
      <c r="AL650" s="3259"/>
      <c r="AM650" s="3260"/>
      <c r="AN650" s="3259"/>
      <c r="AO650" s="3260"/>
      <c r="AP650" s="3242">
        <v>0</v>
      </c>
      <c r="AQ650" s="3244"/>
      <c r="AR650" s="3244"/>
      <c r="AS650" s="3242" t="s">
        <v>3384</v>
      </c>
      <c r="AT650" s="3247">
        <f t="shared" si="59"/>
        <v>0</v>
      </c>
      <c r="AU650" s="3248">
        <f t="shared" si="60"/>
        <v>0</v>
      </c>
      <c r="AV650" s="3248">
        <v>0</v>
      </c>
      <c r="AW650" s="3247">
        <v>0</v>
      </c>
      <c r="AX650" s="3248">
        <v>0</v>
      </c>
      <c r="AY650" s="3248">
        <v>0</v>
      </c>
      <c r="AZ650" s="3247">
        <v>0</v>
      </c>
      <c r="BA650" s="3248">
        <v>0</v>
      </c>
      <c r="BB650" s="3248">
        <v>0</v>
      </c>
      <c r="BC650" s="3247">
        <v>0</v>
      </c>
      <c r="BD650" s="3248">
        <v>0</v>
      </c>
      <c r="BE650" s="3248">
        <v>0</v>
      </c>
      <c r="BF650" s="3248">
        <f t="shared" si="61"/>
        <v>0</v>
      </c>
      <c r="BG650" s="3248">
        <f t="shared" si="62"/>
        <v>0</v>
      </c>
      <c r="BH650" s="3249"/>
      <c r="BI650" s="3249"/>
    </row>
    <row r="651" spans="1:61" x14ac:dyDescent="0.3">
      <c r="A651" s="4197" t="s">
        <v>3384</v>
      </c>
      <c r="B651" s="3261"/>
      <c r="C651" s="3243">
        <v>0</v>
      </c>
      <c r="D651" s="3242">
        <v>0</v>
      </c>
      <c r="E651" s="3244"/>
      <c r="F651" s="3244"/>
      <c r="G651" s="3242">
        <v>0</v>
      </c>
      <c r="H651" s="3244"/>
      <c r="I651" s="3244"/>
      <c r="J651" s="3244"/>
      <c r="K651" s="3242">
        <v>0</v>
      </c>
      <c r="L651" s="3244"/>
      <c r="M651" s="3244"/>
      <c r="N651" s="3242" t="s">
        <v>3384</v>
      </c>
      <c r="O651" s="3239">
        <v>0</v>
      </c>
      <c r="P651" s="3242">
        <v>0</v>
      </c>
      <c r="Q651" s="3244"/>
      <c r="R651" s="3244"/>
      <c r="S651" s="3242">
        <v>0</v>
      </c>
      <c r="T651" s="3244"/>
      <c r="U651" s="3244"/>
      <c r="V651" s="3244"/>
      <c r="W651" s="3240">
        <v>0</v>
      </c>
      <c r="X651" s="3244"/>
      <c r="Y651" s="3244"/>
      <c r="Z651" s="3242" t="s">
        <v>3384</v>
      </c>
      <c r="AA651" s="3243">
        <v>0</v>
      </c>
      <c r="AB651" s="3242">
        <v>0</v>
      </c>
      <c r="AC651" s="3244"/>
      <c r="AD651" s="3244"/>
      <c r="AE651" s="3242">
        <v>0</v>
      </c>
      <c r="AF651" s="3259"/>
      <c r="AG651" s="3260"/>
      <c r="AH651" s="3260"/>
      <c r="AI651" s="3260"/>
      <c r="AJ651" s="3260"/>
      <c r="AK651" s="3260"/>
      <c r="AL651" s="3259"/>
      <c r="AM651" s="3260"/>
      <c r="AN651" s="3259"/>
      <c r="AO651" s="3260"/>
      <c r="AP651" s="3242">
        <v>0</v>
      </c>
      <c r="AQ651" s="3244"/>
      <c r="AR651" s="3244"/>
      <c r="AS651" s="3242" t="s">
        <v>3384</v>
      </c>
      <c r="AT651" s="3247">
        <f t="shared" si="59"/>
        <v>0</v>
      </c>
      <c r="AU651" s="3248">
        <f t="shared" si="60"/>
        <v>0</v>
      </c>
      <c r="AV651" s="3248">
        <v>0</v>
      </c>
      <c r="AW651" s="3247">
        <v>0</v>
      </c>
      <c r="AX651" s="3248">
        <v>0</v>
      </c>
      <c r="AY651" s="3248">
        <v>0</v>
      </c>
      <c r="AZ651" s="3247">
        <v>0</v>
      </c>
      <c r="BA651" s="3248">
        <v>0</v>
      </c>
      <c r="BB651" s="3248">
        <v>0</v>
      </c>
      <c r="BC651" s="3247">
        <v>0</v>
      </c>
      <c r="BD651" s="3248">
        <v>0</v>
      </c>
      <c r="BE651" s="3248">
        <v>0</v>
      </c>
      <c r="BF651" s="3248">
        <f t="shared" si="61"/>
        <v>0</v>
      </c>
      <c r="BG651" s="3248">
        <f t="shared" si="62"/>
        <v>0</v>
      </c>
      <c r="BH651" s="3249"/>
      <c r="BI651" s="3249"/>
    </row>
    <row r="652" spans="1:61" x14ac:dyDescent="0.3">
      <c r="A652" s="4197" t="s">
        <v>3384</v>
      </c>
      <c r="B652" s="3261"/>
      <c r="C652" s="3243">
        <v>0</v>
      </c>
      <c r="D652" s="3242">
        <v>0</v>
      </c>
      <c r="E652" s="3244"/>
      <c r="F652" s="3244"/>
      <c r="G652" s="3242">
        <v>0</v>
      </c>
      <c r="H652" s="3244"/>
      <c r="I652" s="3244"/>
      <c r="J652" s="3244"/>
      <c r="K652" s="3242">
        <v>0</v>
      </c>
      <c r="L652" s="3244"/>
      <c r="M652" s="3244"/>
      <c r="N652" s="3242" t="s">
        <v>3384</v>
      </c>
      <c r="O652" s="3239">
        <v>0</v>
      </c>
      <c r="P652" s="3242">
        <v>0</v>
      </c>
      <c r="Q652" s="3244"/>
      <c r="R652" s="3244"/>
      <c r="S652" s="3242">
        <v>0</v>
      </c>
      <c r="T652" s="3244"/>
      <c r="U652" s="3244"/>
      <c r="V652" s="3244"/>
      <c r="W652" s="3240">
        <v>0</v>
      </c>
      <c r="X652" s="3244"/>
      <c r="Y652" s="3244"/>
      <c r="Z652" s="3242" t="s">
        <v>3384</v>
      </c>
      <c r="AA652" s="3243">
        <v>0</v>
      </c>
      <c r="AB652" s="3242">
        <v>0</v>
      </c>
      <c r="AC652" s="3244"/>
      <c r="AD652" s="3244"/>
      <c r="AE652" s="3242">
        <v>0</v>
      </c>
      <c r="AF652" s="3259"/>
      <c r="AG652" s="3260"/>
      <c r="AH652" s="3260"/>
      <c r="AI652" s="3260"/>
      <c r="AJ652" s="3260"/>
      <c r="AK652" s="3260"/>
      <c r="AL652" s="3259"/>
      <c r="AM652" s="3260"/>
      <c r="AN652" s="3259"/>
      <c r="AO652" s="3260"/>
      <c r="AP652" s="3242">
        <v>0</v>
      </c>
      <c r="AQ652" s="3244"/>
      <c r="AR652" s="3244"/>
      <c r="AS652" s="3242" t="s">
        <v>3384</v>
      </c>
      <c r="AT652" s="3247">
        <f t="shared" si="59"/>
        <v>0</v>
      </c>
      <c r="AU652" s="3248">
        <f t="shared" si="60"/>
        <v>0</v>
      </c>
      <c r="AV652" s="3248">
        <v>0</v>
      </c>
      <c r="AW652" s="3247">
        <v>0</v>
      </c>
      <c r="AX652" s="3248">
        <v>0</v>
      </c>
      <c r="AY652" s="3248">
        <v>0</v>
      </c>
      <c r="AZ652" s="3247">
        <v>0</v>
      </c>
      <c r="BA652" s="3248">
        <v>0</v>
      </c>
      <c r="BB652" s="3248">
        <v>0</v>
      </c>
      <c r="BC652" s="3247">
        <v>0</v>
      </c>
      <c r="BD652" s="3248">
        <v>0</v>
      </c>
      <c r="BE652" s="3248">
        <v>0</v>
      </c>
      <c r="BF652" s="3248">
        <f t="shared" si="61"/>
        <v>0</v>
      </c>
      <c r="BG652" s="3248">
        <f t="shared" si="62"/>
        <v>0</v>
      </c>
      <c r="BH652" s="3249"/>
      <c r="BI652" s="3249"/>
    </row>
    <row r="653" spans="1:61" x14ac:dyDescent="0.3">
      <c r="A653" s="4197" t="s">
        <v>3384</v>
      </c>
      <c r="B653" s="3261"/>
      <c r="C653" s="3243">
        <v>0</v>
      </c>
      <c r="D653" s="3242">
        <v>0</v>
      </c>
      <c r="E653" s="3244"/>
      <c r="F653" s="3244"/>
      <c r="G653" s="3242">
        <v>0</v>
      </c>
      <c r="H653" s="3244"/>
      <c r="I653" s="3244"/>
      <c r="J653" s="3244"/>
      <c r="K653" s="3242">
        <v>0</v>
      </c>
      <c r="L653" s="3244"/>
      <c r="M653" s="3244"/>
      <c r="N653" s="3242" t="s">
        <v>3384</v>
      </c>
      <c r="O653" s="3239">
        <v>0</v>
      </c>
      <c r="P653" s="3242">
        <v>0</v>
      </c>
      <c r="Q653" s="3244"/>
      <c r="R653" s="3244"/>
      <c r="S653" s="3242">
        <v>0</v>
      </c>
      <c r="T653" s="3244"/>
      <c r="U653" s="3244"/>
      <c r="V653" s="3244"/>
      <c r="W653" s="3240">
        <v>0</v>
      </c>
      <c r="X653" s="3244"/>
      <c r="Y653" s="3244"/>
      <c r="Z653" s="3242" t="s">
        <v>3384</v>
      </c>
      <c r="AA653" s="3243">
        <v>0</v>
      </c>
      <c r="AB653" s="3242">
        <v>0</v>
      </c>
      <c r="AC653" s="3244"/>
      <c r="AD653" s="3244"/>
      <c r="AE653" s="3242">
        <v>0</v>
      </c>
      <c r="AF653" s="3259"/>
      <c r="AG653" s="3260"/>
      <c r="AH653" s="3260"/>
      <c r="AI653" s="3260"/>
      <c r="AJ653" s="3260"/>
      <c r="AK653" s="3260"/>
      <c r="AL653" s="3259"/>
      <c r="AM653" s="3260"/>
      <c r="AN653" s="3259"/>
      <c r="AO653" s="3260"/>
      <c r="AP653" s="3242">
        <v>0</v>
      </c>
      <c r="AQ653" s="3244"/>
      <c r="AR653" s="3244"/>
      <c r="AS653" s="3242" t="s">
        <v>3384</v>
      </c>
      <c r="AT653" s="3247">
        <f t="shared" si="59"/>
        <v>0</v>
      </c>
      <c r="AU653" s="3248">
        <f t="shared" si="60"/>
        <v>0</v>
      </c>
      <c r="AV653" s="3248">
        <v>0</v>
      </c>
      <c r="AW653" s="3247">
        <v>0</v>
      </c>
      <c r="AX653" s="3248">
        <v>0</v>
      </c>
      <c r="AY653" s="3248">
        <v>0</v>
      </c>
      <c r="AZ653" s="3247">
        <v>0</v>
      </c>
      <c r="BA653" s="3248">
        <v>0</v>
      </c>
      <c r="BB653" s="3248">
        <v>0</v>
      </c>
      <c r="BC653" s="3247">
        <v>0</v>
      </c>
      <c r="BD653" s="3248">
        <v>0</v>
      </c>
      <c r="BE653" s="3248">
        <v>0</v>
      </c>
      <c r="BF653" s="3248">
        <f t="shared" si="61"/>
        <v>0</v>
      </c>
      <c r="BG653" s="3248">
        <f t="shared" si="62"/>
        <v>0</v>
      </c>
      <c r="BH653" s="3249"/>
      <c r="BI653" s="3249"/>
    </row>
    <row r="654" spans="1:61" x14ac:dyDescent="0.3">
      <c r="A654" s="4197" t="s">
        <v>3384</v>
      </c>
      <c r="B654" s="3261"/>
      <c r="C654" s="3243">
        <v>0</v>
      </c>
      <c r="D654" s="3242">
        <v>0</v>
      </c>
      <c r="E654" s="3244"/>
      <c r="F654" s="3244"/>
      <c r="G654" s="3242">
        <v>0</v>
      </c>
      <c r="H654" s="3244"/>
      <c r="I654" s="3244"/>
      <c r="J654" s="3244"/>
      <c r="K654" s="3242">
        <v>0</v>
      </c>
      <c r="L654" s="3244"/>
      <c r="M654" s="3244"/>
      <c r="N654" s="3242" t="s">
        <v>3384</v>
      </c>
      <c r="O654" s="3239">
        <v>0</v>
      </c>
      <c r="P654" s="3242">
        <v>0</v>
      </c>
      <c r="Q654" s="3244"/>
      <c r="R654" s="3244"/>
      <c r="S654" s="3242">
        <v>0</v>
      </c>
      <c r="T654" s="3244"/>
      <c r="U654" s="3244"/>
      <c r="V654" s="3244"/>
      <c r="W654" s="3240">
        <v>0</v>
      </c>
      <c r="X654" s="3244"/>
      <c r="Y654" s="3244"/>
      <c r="Z654" s="3242" t="s">
        <v>3384</v>
      </c>
      <c r="AA654" s="3243">
        <v>0</v>
      </c>
      <c r="AB654" s="3242">
        <v>0</v>
      </c>
      <c r="AC654" s="3244"/>
      <c r="AD654" s="3244"/>
      <c r="AE654" s="3242">
        <v>0</v>
      </c>
      <c r="AF654" s="3259"/>
      <c r="AG654" s="3260"/>
      <c r="AH654" s="3260"/>
      <c r="AI654" s="3260"/>
      <c r="AJ654" s="3260"/>
      <c r="AK654" s="3260"/>
      <c r="AL654" s="3259"/>
      <c r="AM654" s="3260"/>
      <c r="AN654" s="3259"/>
      <c r="AO654" s="3260"/>
      <c r="AP654" s="3242">
        <v>0</v>
      </c>
      <c r="AQ654" s="3244"/>
      <c r="AR654" s="3244"/>
      <c r="AS654" s="3242" t="s">
        <v>3384</v>
      </c>
      <c r="AT654" s="3247">
        <f t="shared" si="59"/>
        <v>0</v>
      </c>
      <c r="AU654" s="3248">
        <f t="shared" si="60"/>
        <v>0</v>
      </c>
      <c r="AV654" s="3248">
        <v>0</v>
      </c>
      <c r="AW654" s="3247">
        <v>0</v>
      </c>
      <c r="AX654" s="3248">
        <v>0</v>
      </c>
      <c r="AY654" s="3248">
        <v>0</v>
      </c>
      <c r="AZ654" s="3247">
        <v>0</v>
      </c>
      <c r="BA654" s="3248">
        <v>0</v>
      </c>
      <c r="BB654" s="3248">
        <v>0</v>
      </c>
      <c r="BC654" s="3247">
        <v>0</v>
      </c>
      <c r="BD654" s="3248">
        <v>0</v>
      </c>
      <c r="BE654" s="3248">
        <v>0</v>
      </c>
      <c r="BF654" s="3248">
        <f t="shared" si="61"/>
        <v>0</v>
      </c>
      <c r="BG654" s="3248">
        <f t="shared" si="62"/>
        <v>0</v>
      </c>
      <c r="BH654" s="3249"/>
      <c r="BI654" s="3249"/>
    </row>
    <row r="655" spans="1:61" x14ac:dyDescent="0.3">
      <c r="A655" s="4197" t="s">
        <v>3384</v>
      </c>
      <c r="B655" s="3261"/>
      <c r="C655" s="3243">
        <v>0</v>
      </c>
      <c r="D655" s="3242">
        <v>0</v>
      </c>
      <c r="E655" s="3244"/>
      <c r="F655" s="3244"/>
      <c r="G655" s="3242">
        <v>0</v>
      </c>
      <c r="H655" s="3244"/>
      <c r="I655" s="3244"/>
      <c r="J655" s="3244"/>
      <c r="K655" s="3242">
        <v>0</v>
      </c>
      <c r="L655" s="3244"/>
      <c r="M655" s="3244"/>
      <c r="N655" s="3242" t="s">
        <v>3384</v>
      </c>
      <c r="O655" s="3239">
        <v>0</v>
      </c>
      <c r="P655" s="3242">
        <v>0</v>
      </c>
      <c r="Q655" s="3244"/>
      <c r="R655" s="3244"/>
      <c r="S655" s="3242">
        <v>0</v>
      </c>
      <c r="T655" s="3244"/>
      <c r="U655" s="3244"/>
      <c r="V655" s="3244"/>
      <c r="W655" s="3240">
        <v>0</v>
      </c>
      <c r="X655" s="3244"/>
      <c r="Y655" s="3244"/>
      <c r="Z655" s="3242" t="s">
        <v>3384</v>
      </c>
      <c r="AA655" s="3243">
        <v>0</v>
      </c>
      <c r="AB655" s="3242">
        <v>0</v>
      </c>
      <c r="AC655" s="3244"/>
      <c r="AD655" s="3244"/>
      <c r="AE655" s="3242">
        <v>0</v>
      </c>
      <c r="AF655" s="3259"/>
      <c r="AG655" s="3260"/>
      <c r="AH655" s="3260"/>
      <c r="AI655" s="3260"/>
      <c r="AJ655" s="3260"/>
      <c r="AK655" s="3260"/>
      <c r="AL655" s="3259"/>
      <c r="AM655" s="3260"/>
      <c r="AN655" s="3259"/>
      <c r="AO655" s="3260"/>
      <c r="AP655" s="3242">
        <v>0</v>
      </c>
      <c r="AQ655" s="3244"/>
      <c r="AR655" s="3244"/>
      <c r="AS655" s="3242" t="s">
        <v>3384</v>
      </c>
      <c r="AT655" s="3247">
        <f t="shared" si="59"/>
        <v>0</v>
      </c>
      <c r="AU655" s="3248">
        <f t="shared" si="60"/>
        <v>0</v>
      </c>
      <c r="AV655" s="3248">
        <v>0</v>
      </c>
      <c r="AW655" s="3247">
        <v>0</v>
      </c>
      <c r="AX655" s="3248">
        <v>0</v>
      </c>
      <c r="AY655" s="3248">
        <v>0</v>
      </c>
      <c r="AZ655" s="3247">
        <v>0</v>
      </c>
      <c r="BA655" s="3248">
        <v>0</v>
      </c>
      <c r="BB655" s="3248">
        <v>0</v>
      </c>
      <c r="BC655" s="3247">
        <v>0</v>
      </c>
      <c r="BD655" s="3248">
        <v>0</v>
      </c>
      <c r="BE655" s="3248">
        <v>0</v>
      </c>
      <c r="BF655" s="3248">
        <f t="shared" si="61"/>
        <v>0</v>
      </c>
      <c r="BG655" s="3248">
        <f t="shared" si="62"/>
        <v>0</v>
      </c>
      <c r="BH655" s="3249"/>
      <c r="BI655" s="3249"/>
    </row>
    <row r="656" spans="1:61" x14ac:dyDescent="0.3">
      <c r="A656" s="4197" t="s">
        <v>3384</v>
      </c>
      <c r="B656" s="3261"/>
      <c r="C656" s="3243">
        <v>0</v>
      </c>
      <c r="D656" s="3242">
        <v>0</v>
      </c>
      <c r="E656" s="3244"/>
      <c r="F656" s="3244"/>
      <c r="G656" s="3242">
        <v>0</v>
      </c>
      <c r="H656" s="3244"/>
      <c r="I656" s="3244"/>
      <c r="J656" s="3244"/>
      <c r="K656" s="3242">
        <v>0</v>
      </c>
      <c r="L656" s="3244"/>
      <c r="M656" s="3244"/>
      <c r="N656" s="3242" t="s">
        <v>3384</v>
      </c>
      <c r="O656" s="3239">
        <v>0</v>
      </c>
      <c r="P656" s="3242">
        <v>0</v>
      </c>
      <c r="Q656" s="3244"/>
      <c r="R656" s="3244"/>
      <c r="S656" s="3242">
        <v>0</v>
      </c>
      <c r="T656" s="3244"/>
      <c r="U656" s="3244"/>
      <c r="V656" s="3244"/>
      <c r="W656" s="3240">
        <v>0</v>
      </c>
      <c r="X656" s="3244"/>
      <c r="Y656" s="3244"/>
      <c r="Z656" s="3242" t="s">
        <v>3384</v>
      </c>
      <c r="AA656" s="3243">
        <v>0</v>
      </c>
      <c r="AB656" s="3242">
        <v>0</v>
      </c>
      <c r="AC656" s="3244"/>
      <c r="AD656" s="3244"/>
      <c r="AE656" s="3242">
        <v>0</v>
      </c>
      <c r="AF656" s="3259"/>
      <c r="AG656" s="3260"/>
      <c r="AH656" s="3260"/>
      <c r="AI656" s="3260"/>
      <c r="AJ656" s="3260"/>
      <c r="AK656" s="3260"/>
      <c r="AL656" s="3259"/>
      <c r="AM656" s="3260"/>
      <c r="AN656" s="3259"/>
      <c r="AO656" s="3260"/>
      <c r="AP656" s="3242">
        <v>0</v>
      </c>
      <c r="AQ656" s="3244"/>
      <c r="AR656" s="3244"/>
      <c r="AS656" s="3242" t="s">
        <v>3384</v>
      </c>
      <c r="AT656" s="3247">
        <f t="shared" ref="AT656:AT719" si="63">IFERROR(AE656+(SUM(AC656:AD656)/100*($AE$14/$AB$14*100)),0)</f>
        <v>0</v>
      </c>
      <c r="AU656" s="3248">
        <f t="shared" si="60"/>
        <v>0</v>
      </c>
      <c r="AV656" s="3248">
        <v>0</v>
      </c>
      <c r="AW656" s="3247">
        <v>0</v>
      </c>
      <c r="AX656" s="3248">
        <v>0</v>
      </c>
      <c r="AY656" s="3248">
        <v>0</v>
      </c>
      <c r="AZ656" s="3247">
        <v>0</v>
      </c>
      <c r="BA656" s="3248">
        <v>0</v>
      </c>
      <c r="BB656" s="3248">
        <v>0</v>
      </c>
      <c r="BC656" s="3247">
        <v>0</v>
      </c>
      <c r="BD656" s="3248">
        <v>0</v>
      </c>
      <c r="BE656" s="3248">
        <v>0</v>
      </c>
      <c r="BF656" s="3248">
        <f t="shared" si="61"/>
        <v>0</v>
      </c>
      <c r="BG656" s="3248">
        <f t="shared" si="62"/>
        <v>0</v>
      </c>
      <c r="BH656" s="3249"/>
      <c r="BI656" s="3249"/>
    </row>
    <row r="657" spans="1:61" x14ac:dyDescent="0.3">
      <c r="A657" s="4197" t="s">
        <v>3384</v>
      </c>
      <c r="B657" s="3261"/>
      <c r="C657" s="3243">
        <v>0</v>
      </c>
      <c r="D657" s="3242">
        <v>0</v>
      </c>
      <c r="E657" s="3244"/>
      <c r="F657" s="3244"/>
      <c r="G657" s="3242">
        <v>0</v>
      </c>
      <c r="H657" s="3244"/>
      <c r="I657" s="3244"/>
      <c r="J657" s="3244"/>
      <c r="K657" s="3242">
        <v>0</v>
      </c>
      <c r="L657" s="3244"/>
      <c r="M657" s="3244"/>
      <c r="N657" s="3242" t="s">
        <v>3384</v>
      </c>
      <c r="O657" s="3239">
        <v>0</v>
      </c>
      <c r="P657" s="3242">
        <v>0</v>
      </c>
      <c r="Q657" s="3244"/>
      <c r="R657" s="3244"/>
      <c r="S657" s="3242">
        <v>0</v>
      </c>
      <c r="T657" s="3244"/>
      <c r="U657" s="3244"/>
      <c r="V657" s="3244"/>
      <c r="W657" s="3240">
        <v>0</v>
      </c>
      <c r="X657" s="3244"/>
      <c r="Y657" s="3244"/>
      <c r="Z657" s="3242" t="s">
        <v>3384</v>
      </c>
      <c r="AA657" s="3243">
        <v>0</v>
      </c>
      <c r="AB657" s="3242">
        <v>0</v>
      </c>
      <c r="AC657" s="3244"/>
      <c r="AD657" s="3244"/>
      <c r="AE657" s="3242">
        <v>0</v>
      </c>
      <c r="AF657" s="3259"/>
      <c r="AG657" s="3260"/>
      <c r="AH657" s="3260"/>
      <c r="AI657" s="3260"/>
      <c r="AJ657" s="3260"/>
      <c r="AK657" s="3260"/>
      <c r="AL657" s="3259"/>
      <c r="AM657" s="3260"/>
      <c r="AN657" s="3259"/>
      <c r="AO657" s="3260"/>
      <c r="AP657" s="3242">
        <v>0</v>
      </c>
      <c r="AQ657" s="3244"/>
      <c r="AR657" s="3244"/>
      <c r="AS657" s="3242" t="s">
        <v>3384</v>
      </c>
      <c r="AT657" s="3247">
        <f t="shared" si="63"/>
        <v>0</v>
      </c>
      <c r="AU657" s="3248">
        <f t="shared" si="60"/>
        <v>0</v>
      </c>
      <c r="AV657" s="3248">
        <v>0</v>
      </c>
      <c r="AW657" s="3247">
        <v>0</v>
      </c>
      <c r="AX657" s="3248">
        <v>0</v>
      </c>
      <c r="AY657" s="3248">
        <v>0</v>
      </c>
      <c r="AZ657" s="3247">
        <v>0</v>
      </c>
      <c r="BA657" s="3248">
        <v>0</v>
      </c>
      <c r="BB657" s="3248">
        <v>0</v>
      </c>
      <c r="BC657" s="3247">
        <v>0</v>
      </c>
      <c r="BD657" s="3248">
        <v>0</v>
      </c>
      <c r="BE657" s="3248">
        <v>0</v>
      </c>
      <c r="BF657" s="3248">
        <f t="shared" si="61"/>
        <v>0</v>
      </c>
      <c r="BG657" s="3248">
        <f t="shared" si="62"/>
        <v>0</v>
      </c>
      <c r="BH657" s="3249"/>
      <c r="BI657" s="3249"/>
    </row>
    <row r="658" spans="1:61" x14ac:dyDescent="0.3">
      <c r="A658" s="4197" t="s">
        <v>3384</v>
      </c>
      <c r="B658" s="3261"/>
      <c r="C658" s="3243">
        <v>0</v>
      </c>
      <c r="D658" s="3242">
        <v>0</v>
      </c>
      <c r="E658" s="3244"/>
      <c r="F658" s="3244"/>
      <c r="G658" s="3242">
        <v>0</v>
      </c>
      <c r="H658" s="3244"/>
      <c r="I658" s="3244"/>
      <c r="J658" s="3244"/>
      <c r="K658" s="3242">
        <v>0</v>
      </c>
      <c r="L658" s="3244"/>
      <c r="M658" s="3244"/>
      <c r="N658" s="3242" t="s">
        <v>3384</v>
      </c>
      <c r="O658" s="3239">
        <v>0</v>
      </c>
      <c r="P658" s="3242">
        <v>0</v>
      </c>
      <c r="Q658" s="3244"/>
      <c r="R658" s="3244"/>
      <c r="S658" s="3242">
        <v>0</v>
      </c>
      <c r="T658" s="3244"/>
      <c r="U658" s="3244"/>
      <c r="V658" s="3244"/>
      <c r="W658" s="3240">
        <v>0</v>
      </c>
      <c r="X658" s="3244"/>
      <c r="Y658" s="3244"/>
      <c r="Z658" s="3242" t="s">
        <v>3384</v>
      </c>
      <c r="AA658" s="3243">
        <v>0</v>
      </c>
      <c r="AB658" s="3242">
        <v>0</v>
      </c>
      <c r="AC658" s="3244"/>
      <c r="AD658" s="3244"/>
      <c r="AE658" s="3242">
        <v>0</v>
      </c>
      <c r="AF658" s="3259"/>
      <c r="AG658" s="3260"/>
      <c r="AH658" s="3260"/>
      <c r="AI658" s="3260"/>
      <c r="AJ658" s="3260"/>
      <c r="AK658" s="3260"/>
      <c r="AL658" s="3259"/>
      <c r="AM658" s="3260"/>
      <c r="AN658" s="3259"/>
      <c r="AO658" s="3260"/>
      <c r="AP658" s="3242">
        <v>0</v>
      </c>
      <c r="AQ658" s="3244"/>
      <c r="AR658" s="3244"/>
      <c r="AS658" s="3242" t="s">
        <v>3384</v>
      </c>
      <c r="AT658" s="3247">
        <f t="shared" si="63"/>
        <v>0</v>
      </c>
      <c r="AU658" s="3248">
        <f t="shared" si="60"/>
        <v>0</v>
      </c>
      <c r="AV658" s="3248">
        <v>0</v>
      </c>
      <c r="AW658" s="3247">
        <v>0</v>
      </c>
      <c r="AX658" s="3248">
        <v>0</v>
      </c>
      <c r="AY658" s="3248">
        <v>0</v>
      </c>
      <c r="AZ658" s="3247">
        <v>0</v>
      </c>
      <c r="BA658" s="3248">
        <v>0</v>
      </c>
      <c r="BB658" s="3248">
        <v>0</v>
      </c>
      <c r="BC658" s="3247">
        <v>0</v>
      </c>
      <c r="BD658" s="3248">
        <v>0</v>
      </c>
      <c r="BE658" s="3248">
        <v>0</v>
      </c>
      <c r="BF658" s="3248">
        <f t="shared" si="61"/>
        <v>0</v>
      </c>
      <c r="BG658" s="3248">
        <f t="shared" si="62"/>
        <v>0</v>
      </c>
      <c r="BH658" s="3249"/>
      <c r="BI658" s="3249"/>
    </row>
    <row r="659" spans="1:61" x14ac:dyDescent="0.3">
      <c r="A659" s="4197" t="s">
        <v>3384</v>
      </c>
      <c r="B659" s="3261"/>
      <c r="C659" s="3243">
        <v>0</v>
      </c>
      <c r="D659" s="3242">
        <v>0</v>
      </c>
      <c r="E659" s="3244"/>
      <c r="F659" s="3244"/>
      <c r="G659" s="3242">
        <v>0</v>
      </c>
      <c r="H659" s="3244"/>
      <c r="I659" s="3244"/>
      <c r="J659" s="3244"/>
      <c r="K659" s="3242">
        <v>0</v>
      </c>
      <c r="L659" s="3244"/>
      <c r="M659" s="3244"/>
      <c r="N659" s="3242" t="s">
        <v>3384</v>
      </c>
      <c r="O659" s="3239">
        <v>0</v>
      </c>
      <c r="P659" s="3242">
        <v>0</v>
      </c>
      <c r="Q659" s="3244"/>
      <c r="R659" s="3244"/>
      <c r="S659" s="3242">
        <v>0</v>
      </c>
      <c r="T659" s="3244"/>
      <c r="U659" s="3244"/>
      <c r="V659" s="3244"/>
      <c r="W659" s="3240">
        <v>0</v>
      </c>
      <c r="X659" s="3244"/>
      <c r="Y659" s="3244"/>
      <c r="Z659" s="3242" t="s">
        <v>3384</v>
      </c>
      <c r="AA659" s="3243">
        <v>0</v>
      </c>
      <c r="AB659" s="3242">
        <v>0</v>
      </c>
      <c r="AC659" s="3244"/>
      <c r="AD659" s="3244"/>
      <c r="AE659" s="3242">
        <v>0</v>
      </c>
      <c r="AF659" s="3259"/>
      <c r="AG659" s="3260"/>
      <c r="AH659" s="3260"/>
      <c r="AI659" s="3260"/>
      <c r="AJ659" s="3260"/>
      <c r="AK659" s="3260"/>
      <c r="AL659" s="3259"/>
      <c r="AM659" s="3260"/>
      <c r="AN659" s="3259"/>
      <c r="AO659" s="3260"/>
      <c r="AP659" s="3242">
        <v>0</v>
      </c>
      <c r="AQ659" s="3244"/>
      <c r="AR659" s="3244"/>
      <c r="AS659" s="3242" t="s">
        <v>3384</v>
      </c>
      <c r="AT659" s="3247">
        <f t="shared" si="63"/>
        <v>0</v>
      </c>
      <c r="AU659" s="3248">
        <f t="shared" ref="AU659:AU722" si="64">AX659+BA659+BD659</f>
        <v>0</v>
      </c>
      <c r="AV659" s="3248">
        <v>0</v>
      </c>
      <c r="AW659" s="3247">
        <v>0</v>
      </c>
      <c r="AX659" s="3248">
        <v>0</v>
      </c>
      <c r="AY659" s="3248">
        <v>0</v>
      </c>
      <c r="AZ659" s="3247">
        <v>0</v>
      </c>
      <c r="BA659" s="3248">
        <v>0</v>
      </c>
      <c r="BB659" s="3248">
        <v>0</v>
      </c>
      <c r="BC659" s="3247">
        <v>0</v>
      </c>
      <c r="BD659" s="3248">
        <v>0</v>
      </c>
      <c r="BE659" s="3248">
        <v>0</v>
      </c>
      <c r="BF659" s="3248">
        <f t="shared" ref="BF659:BF722" si="65">IFERROR(ROUND(AE659/S659*100,2),0)</f>
        <v>0</v>
      </c>
      <c r="BG659" s="3248">
        <f t="shared" ref="BG659:BG722" si="66">IFERROR(ROUND(AA659/O659*100,2),0)</f>
        <v>0</v>
      </c>
      <c r="BH659" s="3249"/>
      <c r="BI659" s="3249"/>
    </row>
    <row r="660" spans="1:61" x14ac:dyDescent="0.3">
      <c r="A660" s="4197" t="s">
        <v>3384</v>
      </c>
      <c r="B660" s="3261"/>
      <c r="C660" s="3243">
        <v>0</v>
      </c>
      <c r="D660" s="3242">
        <v>0</v>
      </c>
      <c r="E660" s="3244"/>
      <c r="F660" s="3244"/>
      <c r="G660" s="3242">
        <v>0</v>
      </c>
      <c r="H660" s="3244"/>
      <c r="I660" s="3244"/>
      <c r="J660" s="3244"/>
      <c r="K660" s="3242">
        <v>0</v>
      </c>
      <c r="L660" s="3244"/>
      <c r="M660" s="3244"/>
      <c r="N660" s="3242" t="s">
        <v>3384</v>
      </c>
      <c r="O660" s="3239">
        <v>0</v>
      </c>
      <c r="P660" s="3242">
        <v>0</v>
      </c>
      <c r="Q660" s="3244"/>
      <c r="R660" s="3244"/>
      <c r="S660" s="3242">
        <v>0</v>
      </c>
      <c r="T660" s="3244"/>
      <c r="U660" s="3244"/>
      <c r="V660" s="3244"/>
      <c r="W660" s="3240">
        <v>0</v>
      </c>
      <c r="X660" s="3244"/>
      <c r="Y660" s="3244"/>
      <c r="Z660" s="3242" t="s">
        <v>3384</v>
      </c>
      <c r="AA660" s="3243">
        <v>0</v>
      </c>
      <c r="AB660" s="3242">
        <v>0</v>
      </c>
      <c r="AC660" s="3244"/>
      <c r="AD660" s="3244"/>
      <c r="AE660" s="3242">
        <v>0</v>
      </c>
      <c r="AF660" s="3259"/>
      <c r="AG660" s="3260"/>
      <c r="AH660" s="3260"/>
      <c r="AI660" s="3260"/>
      <c r="AJ660" s="3260"/>
      <c r="AK660" s="3260"/>
      <c r="AL660" s="3259"/>
      <c r="AM660" s="3260"/>
      <c r="AN660" s="3259"/>
      <c r="AO660" s="3260"/>
      <c r="AP660" s="3242">
        <v>0</v>
      </c>
      <c r="AQ660" s="3244"/>
      <c r="AR660" s="3244"/>
      <c r="AS660" s="3242" t="s">
        <v>3384</v>
      </c>
      <c r="AT660" s="3247">
        <f t="shared" si="63"/>
        <v>0</v>
      </c>
      <c r="AU660" s="3248">
        <f t="shared" si="64"/>
        <v>0</v>
      </c>
      <c r="AV660" s="3248">
        <v>0</v>
      </c>
      <c r="AW660" s="3247">
        <v>0</v>
      </c>
      <c r="AX660" s="3248">
        <v>0</v>
      </c>
      <c r="AY660" s="3248">
        <v>0</v>
      </c>
      <c r="AZ660" s="3247">
        <v>0</v>
      </c>
      <c r="BA660" s="3248">
        <v>0</v>
      </c>
      <c r="BB660" s="3248">
        <v>0</v>
      </c>
      <c r="BC660" s="3247">
        <v>0</v>
      </c>
      <c r="BD660" s="3248">
        <v>0</v>
      </c>
      <c r="BE660" s="3248">
        <v>0</v>
      </c>
      <c r="BF660" s="3248">
        <f t="shared" si="65"/>
        <v>0</v>
      </c>
      <c r="BG660" s="3248">
        <f t="shared" si="66"/>
        <v>0</v>
      </c>
      <c r="BH660" s="3249"/>
      <c r="BI660" s="3249"/>
    </row>
    <row r="661" spans="1:61" x14ac:dyDescent="0.3">
      <c r="A661" s="4197" t="s">
        <v>3384</v>
      </c>
      <c r="B661" s="3261"/>
      <c r="C661" s="3243">
        <v>0</v>
      </c>
      <c r="D661" s="3242">
        <v>0</v>
      </c>
      <c r="E661" s="3244"/>
      <c r="F661" s="3244"/>
      <c r="G661" s="3242">
        <v>0</v>
      </c>
      <c r="H661" s="3244"/>
      <c r="I661" s="3244"/>
      <c r="J661" s="3244"/>
      <c r="K661" s="3242">
        <v>0</v>
      </c>
      <c r="L661" s="3244"/>
      <c r="M661" s="3244"/>
      <c r="N661" s="3242" t="s">
        <v>3384</v>
      </c>
      <c r="O661" s="3239">
        <v>0</v>
      </c>
      <c r="P661" s="3242">
        <v>0</v>
      </c>
      <c r="Q661" s="3244"/>
      <c r="R661" s="3244"/>
      <c r="S661" s="3242">
        <v>0</v>
      </c>
      <c r="T661" s="3244"/>
      <c r="U661" s="3244"/>
      <c r="V661" s="3244"/>
      <c r="W661" s="3240">
        <v>0</v>
      </c>
      <c r="X661" s="3244"/>
      <c r="Y661" s="3244"/>
      <c r="Z661" s="3242" t="s">
        <v>3384</v>
      </c>
      <c r="AA661" s="3243">
        <v>0</v>
      </c>
      <c r="AB661" s="3242">
        <v>0</v>
      </c>
      <c r="AC661" s="3244"/>
      <c r="AD661" s="3244"/>
      <c r="AE661" s="3242">
        <v>0</v>
      </c>
      <c r="AF661" s="3259"/>
      <c r="AG661" s="3260"/>
      <c r="AH661" s="3260"/>
      <c r="AI661" s="3260"/>
      <c r="AJ661" s="3260"/>
      <c r="AK661" s="3260"/>
      <c r="AL661" s="3259"/>
      <c r="AM661" s="3260"/>
      <c r="AN661" s="3259"/>
      <c r="AO661" s="3260"/>
      <c r="AP661" s="3242">
        <v>0</v>
      </c>
      <c r="AQ661" s="3244"/>
      <c r="AR661" s="3244"/>
      <c r="AS661" s="3242" t="s">
        <v>3384</v>
      </c>
      <c r="AT661" s="3247">
        <f t="shared" si="63"/>
        <v>0</v>
      </c>
      <c r="AU661" s="3248">
        <f t="shared" si="64"/>
        <v>0</v>
      </c>
      <c r="AV661" s="3248">
        <v>0</v>
      </c>
      <c r="AW661" s="3247">
        <v>0</v>
      </c>
      <c r="AX661" s="3248">
        <v>0</v>
      </c>
      <c r="AY661" s="3248">
        <v>0</v>
      </c>
      <c r="AZ661" s="3247">
        <v>0</v>
      </c>
      <c r="BA661" s="3248">
        <v>0</v>
      </c>
      <c r="BB661" s="3248">
        <v>0</v>
      </c>
      <c r="BC661" s="3247">
        <v>0</v>
      </c>
      <c r="BD661" s="3248">
        <v>0</v>
      </c>
      <c r="BE661" s="3248">
        <v>0</v>
      </c>
      <c r="BF661" s="3248">
        <f t="shared" si="65"/>
        <v>0</v>
      </c>
      <c r="BG661" s="3248">
        <f t="shared" si="66"/>
        <v>0</v>
      </c>
      <c r="BH661" s="3249"/>
      <c r="BI661" s="3249"/>
    </row>
    <row r="662" spans="1:61" x14ac:dyDescent="0.3">
      <c r="A662" s="4197" t="s">
        <v>3384</v>
      </c>
      <c r="B662" s="3261"/>
      <c r="C662" s="3243">
        <v>0</v>
      </c>
      <c r="D662" s="3242">
        <v>0</v>
      </c>
      <c r="E662" s="3244"/>
      <c r="F662" s="3244"/>
      <c r="G662" s="3242">
        <v>0</v>
      </c>
      <c r="H662" s="3244"/>
      <c r="I662" s="3244"/>
      <c r="J662" s="3244"/>
      <c r="K662" s="3242">
        <v>0</v>
      </c>
      <c r="L662" s="3244"/>
      <c r="M662" s="3244"/>
      <c r="N662" s="3242" t="s">
        <v>3384</v>
      </c>
      <c r="O662" s="3239">
        <v>0</v>
      </c>
      <c r="P662" s="3242">
        <v>0</v>
      </c>
      <c r="Q662" s="3244"/>
      <c r="R662" s="3244"/>
      <c r="S662" s="3242">
        <v>0</v>
      </c>
      <c r="T662" s="3244"/>
      <c r="U662" s="3244"/>
      <c r="V662" s="3244"/>
      <c r="W662" s="3240">
        <v>0</v>
      </c>
      <c r="X662" s="3244"/>
      <c r="Y662" s="3244"/>
      <c r="Z662" s="3242" t="s">
        <v>3384</v>
      </c>
      <c r="AA662" s="3243">
        <v>0</v>
      </c>
      <c r="AB662" s="3242">
        <v>0</v>
      </c>
      <c r="AC662" s="3244"/>
      <c r="AD662" s="3244"/>
      <c r="AE662" s="3242">
        <v>0</v>
      </c>
      <c r="AF662" s="3259"/>
      <c r="AG662" s="3260"/>
      <c r="AH662" s="3260"/>
      <c r="AI662" s="3260"/>
      <c r="AJ662" s="3260"/>
      <c r="AK662" s="3260"/>
      <c r="AL662" s="3259"/>
      <c r="AM662" s="3260"/>
      <c r="AN662" s="3259"/>
      <c r="AO662" s="3260"/>
      <c r="AP662" s="3242">
        <v>0</v>
      </c>
      <c r="AQ662" s="3244"/>
      <c r="AR662" s="3244"/>
      <c r="AS662" s="3242" t="s">
        <v>3384</v>
      </c>
      <c r="AT662" s="3247">
        <f t="shared" si="63"/>
        <v>0</v>
      </c>
      <c r="AU662" s="3248">
        <f t="shared" si="64"/>
        <v>0</v>
      </c>
      <c r="AV662" s="3248">
        <v>0</v>
      </c>
      <c r="AW662" s="3247">
        <v>0</v>
      </c>
      <c r="AX662" s="3248">
        <v>0</v>
      </c>
      <c r="AY662" s="3248">
        <v>0</v>
      </c>
      <c r="AZ662" s="3247">
        <v>0</v>
      </c>
      <c r="BA662" s="3248">
        <v>0</v>
      </c>
      <c r="BB662" s="3248">
        <v>0</v>
      </c>
      <c r="BC662" s="3247">
        <v>0</v>
      </c>
      <c r="BD662" s="3248">
        <v>0</v>
      </c>
      <c r="BE662" s="3248">
        <v>0</v>
      </c>
      <c r="BF662" s="3248">
        <f t="shared" si="65"/>
        <v>0</v>
      </c>
      <c r="BG662" s="3248">
        <f t="shared" si="66"/>
        <v>0</v>
      </c>
      <c r="BH662" s="3249"/>
      <c r="BI662" s="3249"/>
    </row>
    <row r="663" spans="1:61" x14ac:dyDescent="0.3">
      <c r="A663" s="4197" t="s">
        <v>3384</v>
      </c>
      <c r="B663" s="3261"/>
      <c r="C663" s="3243">
        <v>0</v>
      </c>
      <c r="D663" s="3242">
        <v>0</v>
      </c>
      <c r="E663" s="3244"/>
      <c r="F663" s="3244"/>
      <c r="G663" s="3242">
        <v>0</v>
      </c>
      <c r="H663" s="3244"/>
      <c r="I663" s="3244"/>
      <c r="J663" s="3244"/>
      <c r="K663" s="3242">
        <v>0</v>
      </c>
      <c r="L663" s="3244"/>
      <c r="M663" s="3244"/>
      <c r="N663" s="3242" t="s">
        <v>3384</v>
      </c>
      <c r="O663" s="3239">
        <v>0</v>
      </c>
      <c r="P663" s="3242">
        <v>0</v>
      </c>
      <c r="Q663" s="3244"/>
      <c r="R663" s="3244"/>
      <c r="S663" s="3242">
        <v>0</v>
      </c>
      <c r="T663" s="3244"/>
      <c r="U663" s="3244"/>
      <c r="V663" s="3244"/>
      <c r="W663" s="3240">
        <v>0</v>
      </c>
      <c r="X663" s="3244"/>
      <c r="Y663" s="3244"/>
      <c r="Z663" s="3242" t="s">
        <v>3384</v>
      </c>
      <c r="AA663" s="3243">
        <v>0</v>
      </c>
      <c r="AB663" s="3242">
        <v>0</v>
      </c>
      <c r="AC663" s="3244"/>
      <c r="AD663" s="3244"/>
      <c r="AE663" s="3242">
        <v>0</v>
      </c>
      <c r="AF663" s="3259"/>
      <c r="AG663" s="3260"/>
      <c r="AH663" s="3260"/>
      <c r="AI663" s="3260"/>
      <c r="AJ663" s="3260"/>
      <c r="AK663" s="3260"/>
      <c r="AL663" s="3259"/>
      <c r="AM663" s="3260"/>
      <c r="AN663" s="3259"/>
      <c r="AO663" s="3260"/>
      <c r="AP663" s="3242">
        <v>0</v>
      </c>
      <c r="AQ663" s="3244"/>
      <c r="AR663" s="3244"/>
      <c r="AS663" s="3242" t="s">
        <v>3384</v>
      </c>
      <c r="AT663" s="3247">
        <f t="shared" si="63"/>
        <v>0</v>
      </c>
      <c r="AU663" s="3248">
        <f t="shared" si="64"/>
        <v>0</v>
      </c>
      <c r="AV663" s="3248">
        <v>0</v>
      </c>
      <c r="AW663" s="3247">
        <v>0</v>
      </c>
      <c r="AX663" s="3248">
        <v>0</v>
      </c>
      <c r="AY663" s="3248">
        <v>0</v>
      </c>
      <c r="AZ663" s="3247">
        <v>0</v>
      </c>
      <c r="BA663" s="3248">
        <v>0</v>
      </c>
      <c r="BB663" s="3248">
        <v>0</v>
      </c>
      <c r="BC663" s="3247">
        <v>0</v>
      </c>
      <c r="BD663" s="3248">
        <v>0</v>
      </c>
      <c r="BE663" s="3248">
        <v>0</v>
      </c>
      <c r="BF663" s="3248">
        <f t="shared" si="65"/>
        <v>0</v>
      </c>
      <c r="BG663" s="3248">
        <f t="shared" si="66"/>
        <v>0</v>
      </c>
      <c r="BH663" s="3249"/>
      <c r="BI663" s="3249"/>
    </row>
    <row r="664" spans="1:61" x14ac:dyDescent="0.3">
      <c r="A664" s="4197" t="s">
        <v>3384</v>
      </c>
      <c r="B664" s="3261"/>
      <c r="C664" s="3243">
        <v>0</v>
      </c>
      <c r="D664" s="3242">
        <v>0</v>
      </c>
      <c r="E664" s="3244"/>
      <c r="F664" s="3244"/>
      <c r="G664" s="3242">
        <v>0</v>
      </c>
      <c r="H664" s="3244"/>
      <c r="I664" s="3244"/>
      <c r="J664" s="3244"/>
      <c r="K664" s="3242">
        <v>0</v>
      </c>
      <c r="L664" s="3244"/>
      <c r="M664" s="3244"/>
      <c r="N664" s="3242" t="s">
        <v>3384</v>
      </c>
      <c r="O664" s="3239">
        <v>0</v>
      </c>
      <c r="P664" s="3242">
        <v>0</v>
      </c>
      <c r="Q664" s="3244"/>
      <c r="R664" s="3244"/>
      <c r="S664" s="3242">
        <v>0</v>
      </c>
      <c r="T664" s="3244"/>
      <c r="U664" s="3244"/>
      <c r="V664" s="3244"/>
      <c r="W664" s="3240">
        <v>0</v>
      </c>
      <c r="X664" s="3244"/>
      <c r="Y664" s="3244"/>
      <c r="Z664" s="3242" t="s">
        <v>3384</v>
      </c>
      <c r="AA664" s="3243">
        <v>0</v>
      </c>
      <c r="AB664" s="3242">
        <v>0</v>
      </c>
      <c r="AC664" s="3244"/>
      <c r="AD664" s="3244"/>
      <c r="AE664" s="3242">
        <v>0</v>
      </c>
      <c r="AF664" s="3259"/>
      <c r="AG664" s="3260"/>
      <c r="AH664" s="3260"/>
      <c r="AI664" s="3260"/>
      <c r="AJ664" s="3260"/>
      <c r="AK664" s="3260"/>
      <c r="AL664" s="3259"/>
      <c r="AM664" s="3260"/>
      <c r="AN664" s="3259"/>
      <c r="AO664" s="3260"/>
      <c r="AP664" s="3242">
        <v>0</v>
      </c>
      <c r="AQ664" s="3244"/>
      <c r="AR664" s="3244"/>
      <c r="AS664" s="3242" t="s">
        <v>3384</v>
      </c>
      <c r="AT664" s="3247">
        <f t="shared" si="63"/>
        <v>0</v>
      </c>
      <c r="AU664" s="3248">
        <f t="shared" si="64"/>
        <v>0</v>
      </c>
      <c r="AV664" s="3248">
        <v>0</v>
      </c>
      <c r="AW664" s="3247">
        <v>0</v>
      </c>
      <c r="AX664" s="3248">
        <v>0</v>
      </c>
      <c r="AY664" s="3248">
        <v>0</v>
      </c>
      <c r="AZ664" s="3247">
        <v>0</v>
      </c>
      <c r="BA664" s="3248">
        <v>0</v>
      </c>
      <c r="BB664" s="3248">
        <v>0</v>
      </c>
      <c r="BC664" s="3247">
        <v>0</v>
      </c>
      <c r="BD664" s="3248">
        <v>0</v>
      </c>
      <c r="BE664" s="3248">
        <v>0</v>
      </c>
      <c r="BF664" s="3248">
        <f t="shared" si="65"/>
        <v>0</v>
      </c>
      <c r="BG664" s="3248">
        <f t="shared" si="66"/>
        <v>0</v>
      </c>
      <c r="BH664" s="3249"/>
      <c r="BI664" s="3249"/>
    </row>
    <row r="665" spans="1:61" x14ac:dyDescent="0.3">
      <c r="A665" s="4197" t="s">
        <v>3384</v>
      </c>
      <c r="B665" s="3261"/>
      <c r="C665" s="3243">
        <v>0</v>
      </c>
      <c r="D665" s="3242">
        <v>0</v>
      </c>
      <c r="E665" s="3244"/>
      <c r="F665" s="3244"/>
      <c r="G665" s="3242">
        <v>0</v>
      </c>
      <c r="H665" s="3244"/>
      <c r="I665" s="3244"/>
      <c r="J665" s="3244"/>
      <c r="K665" s="3242">
        <v>0</v>
      </c>
      <c r="L665" s="3244"/>
      <c r="M665" s="3244"/>
      <c r="N665" s="3242" t="s">
        <v>3384</v>
      </c>
      <c r="O665" s="3239">
        <v>0</v>
      </c>
      <c r="P665" s="3242">
        <v>0</v>
      </c>
      <c r="Q665" s="3244"/>
      <c r="R665" s="3244"/>
      <c r="S665" s="3242">
        <v>0</v>
      </c>
      <c r="T665" s="3244"/>
      <c r="U665" s="3244"/>
      <c r="V665" s="3244"/>
      <c r="W665" s="3240">
        <v>0</v>
      </c>
      <c r="X665" s="3244"/>
      <c r="Y665" s="3244"/>
      <c r="Z665" s="3242" t="s">
        <v>3384</v>
      </c>
      <c r="AA665" s="3243">
        <v>0</v>
      </c>
      <c r="AB665" s="3242">
        <v>0</v>
      </c>
      <c r="AC665" s="3244"/>
      <c r="AD665" s="3244"/>
      <c r="AE665" s="3242">
        <v>0</v>
      </c>
      <c r="AF665" s="3259"/>
      <c r="AG665" s="3260"/>
      <c r="AH665" s="3260"/>
      <c r="AI665" s="3260"/>
      <c r="AJ665" s="3260"/>
      <c r="AK665" s="3260"/>
      <c r="AL665" s="3259"/>
      <c r="AM665" s="3260"/>
      <c r="AN665" s="3259"/>
      <c r="AO665" s="3260"/>
      <c r="AP665" s="3242">
        <v>0</v>
      </c>
      <c r="AQ665" s="3244"/>
      <c r="AR665" s="3244"/>
      <c r="AS665" s="3242" t="s">
        <v>3384</v>
      </c>
      <c r="AT665" s="3247">
        <f t="shared" si="63"/>
        <v>0</v>
      </c>
      <c r="AU665" s="3248">
        <f t="shared" si="64"/>
        <v>0</v>
      </c>
      <c r="AV665" s="3248">
        <v>0</v>
      </c>
      <c r="AW665" s="3247">
        <v>0</v>
      </c>
      <c r="AX665" s="3248">
        <v>0</v>
      </c>
      <c r="AY665" s="3248">
        <v>0</v>
      </c>
      <c r="AZ665" s="3247">
        <v>0</v>
      </c>
      <c r="BA665" s="3248">
        <v>0</v>
      </c>
      <c r="BB665" s="3248">
        <v>0</v>
      </c>
      <c r="BC665" s="3247">
        <v>0</v>
      </c>
      <c r="BD665" s="3248">
        <v>0</v>
      </c>
      <c r="BE665" s="3248">
        <v>0</v>
      </c>
      <c r="BF665" s="3248">
        <f t="shared" si="65"/>
        <v>0</v>
      </c>
      <c r="BG665" s="3248">
        <f t="shared" si="66"/>
        <v>0</v>
      </c>
      <c r="BH665" s="3249"/>
      <c r="BI665" s="3249"/>
    </row>
    <row r="666" spans="1:61" x14ac:dyDescent="0.3">
      <c r="A666" s="4197" t="s">
        <v>3384</v>
      </c>
      <c r="B666" s="3261"/>
      <c r="C666" s="3243">
        <v>0</v>
      </c>
      <c r="D666" s="3242">
        <v>0</v>
      </c>
      <c r="E666" s="3244"/>
      <c r="F666" s="3244"/>
      <c r="G666" s="3242">
        <v>0</v>
      </c>
      <c r="H666" s="3244"/>
      <c r="I666" s="3244"/>
      <c r="J666" s="3244"/>
      <c r="K666" s="3242">
        <v>0</v>
      </c>
      <c r="L666" s="3244"/>
      <c r="M666" s="3244"/>
      <c r="N666" s="3242" t="s">
        <v>3384</v>
      </c>
      <c r="O666" s="3239">
        <v>0</v>
      </c>
      <c r="P666" s="3242">
        <v>0</v>
      </c>
      <c r="Q666" s="3244"/>
      <c r="R666" s="3244"/>
      <c r="S666" s="3242">
        <v>0</v>
      </c>
      <c r="T666" s="3244"/>
      <c r="U666" s="3244"/>
      <c r="V666" s="3244"/>
      <c r="W666" s="3240">
        <v>0</v>
      </c>
      <c r="X666" s="3244"/>
      <c r="Y666" s="3244"/>
      <c r="Z666" s="3242" t="s">
        <v>3384</v>
      </c>
      <c r="AA666" s="3243">
        <v>0</v>
      </c>
      <c r="AB666" s="3242">
        <v>0</v>
      </c>
      <c r="AC666" s="3244"/>
      <c r="AD666" s="3244"/>
      <c r="AE666" s="3242">
        <v>0</v>
      </c>
      <c r="AF666" s="3259"/>
      <c r="AG666" s="3260"/>
      <c r="AH666" s="3260"/>
      <c r="AI666" s="3260"/>
      <c r="AJ666" s="3260"/>
      <c r="AK666" s="3260"/>
      <c r="AL666" s="3259"/>
      <c r="AM666" s="3260"/>
      <c r="AN666" s="3259"/>
      <c r="AO666" s="3260"/>
      <c r="AP666" s="3242">
        <v>0</v>
      </c>
      <c r="AQ666" s="3244"/>
      <c r="AR666" s="3244"/>
      <c r="AS666" s="3242" t="s">
        <v>3384</v>
      </c>
      <c r="AT666" s="3247">
        <f t="shared" si="63"/>
        <v>0</v>
      </c>
      <c r="AU666" s="3248">
        <f t="shared" si="64"/>
        <v>0</v>
      </c>
      <c r="AV666" s="3248">
        <v>0</v>
      </c>
      <c r="AW666" s="3247">
        <v>0</v>
      </c>
      <c r="AX666" s="3248">
        <v>0</v>
      </c>
      <c r="AY666" s="3248">
        <v>0</v>
      </c>
      <c r="AZ666" s="3247">
        <v>0</v>
      </c>
      <c r="BA666" s="3248">
        <v>0</v>
      </c>
      <c r="BB666" s="3248">
        <v>0</v>
      </c>
      <c r="BC666" s="3247">
        <v>0</v>
      </c>
      <c r="BD666" s="3248">
        <v>0</v>
      </c>
      <c r="BE666" s="3248">
        <v>0</v>
      </c>
      <c r="BF666" s="3248">
        <f t="shared" si="65"/>
        <v>0</v>
      </c>
      <c r="BG666" s="3248">
        <f t="shared" si="66"/>
        <v>0</v>
      </c>
      <c r="BH666" s="3249"/>
      <c r="BI666" s="3249"/>
    </row>
    <row r="667" spans="1:61" x14ac:dyDescent="0.3">
      <c r="A667" s="4197" t="s">
        <v>3384</v>
      </c>
      <c r="B667" s="3261"/>
      <c r="C667" s="3243">
        <v>0</v>
      </c>
      <c r="D667" s="3242">
        <v>0</v>
      </c>
      <c r="E667" s="3244"/>
      <c r="F667" s="3244"/>
      <c r="G667" s="3242">
        <v>0</v>
      </c>
      <c r="H667" s="3244"/>
      <c r="I667" s="3244"/>
      <c r="J667" s="3244"/>
      <c r="K667" s="3242">
        <v>0</v>
      </c>
      <c r="L667" s="3244"/>
      <c r="M667" s="3244"/>
      <c r="N667" s="3242" t="s">
        <v>3384</v>
      </c>
      <c r="O667" s="3239">
        <v>0</v>
      </c>
      <c r="P667" s="3242">
        <v>0</v>
      </c>
      <c r="Q667" s="3244"/>
      <c r="R667" s="3244"/>
      <c r="S667" s="3242">
        <v>0</v>
      </c>
      <c r="T667" s="3244"/>
      <c r="U667" s="3244"/>
      <c r="V667" s="3244"/>
      <c r="W667" s="3240">
        <v>0</v>
      </c>
      <c r="X667" s="3244"/>
      <c r="Y667" s="3244"/>
      <c r="Z667" s="3242" t="s">
        <v>3384</v>
      </c>
      <c r="AA667" s="3243">
        <v>0</v>
      </c>
      <c r="AB667" s="3242">
        <v>0</v>
      </c>
      <c r="AC667" s="3244"/>
      <c r="AD667" s="3244"/>
      <c r="AE667" s="3242">
        <v>0</v>
      </c>
      <c r="AF667" s="3259"/>
      <c r="AG667" s="3260"/>
      <c r="AH667" s="3260"/>
      <c r="AI667" s="3260"/>
      <c r="AJ667" s="3260"/>
      <c r="AK667" s="3260"/>
      <c r="AL667" s="3259"/>
      <c r="AM667" s="3260"/>
      <c r="AN667" s="3259"/>
      <c r="AO667" s="3260"/>
      <c r="AP667" s="3242">
        <v>0</v>
      </c>
      <c r="AQ667" s="3244"/>
      <c r="AR667" s="3244"/>
      <c r="AS667" s="3242" t="s">
        <v>3384</v>
      </c>
      <c r="AT667" s="3247">
        <f t="shared" si="63"/>
        <v>0</v>
      </c>
      <c r="AU667" s="3248">
        <f t="shared" si="64"/>
        <v>0</v>
      </c>
      <c r="AV667" s="3248">
        <v>0</v>
      </c>
      <c r="AW667" s="3247">
        <v>0</v>
      </c>
      <c r="AX667" s="3248">
        <v>0</v>
      </c>
      <c r="AY667" s="3248">
        <v>0</v>
      </c>
      <c r="AZ667" s="3247">
        <v>0</v>
      </c>
      <c r="BA667" s="3248">
        <v>0</v>
      </c>
      <c r="BB667" s="3248">
        <v>0</v>
      </c>
      <c r="BC667" s="3247">
        <v>0</v>
      </c>
      <c r="BD667" s="3248">
        <v>0</v>
      </c>
      <c r="BE667" s="3248">
        <v>0</v>
      </c>
      <c r="BF667" s="3248">
        <f t="shared" si="65"/>
        <v>0</v>
      </c>
      <c r="BG667" s="3248">
        <f t="shared" si="66"/>
        <v>0</v>
      </c>
      <c r="BH667" s="3249"/>
      <c r="BI667" s="3249"/>
    </row>
    <row r="668" spans="1:61" x14ac:dyDescent="0.3">
      <c r="A668" s="4197" t="s">
        <v>3384</v>
      </c>
      <c r="B668" s="3261"/>
      <c r="C668" s="3243">
        <v>0</v>
      </c>
      <c r="D668" s="3242">
        <v>0</v>
      </c>
      <c r="E668" s="3244"/>
      <c r="F668" s="3244"/>
      <c r="G668" s="3242">
        <v>0</v>
      </c>
      <c r="H668" s="3244"/>
      <c r="I668" s="3244"/>
      <c r="J668" s="3244"/>
      <c r="K668" s="3242">
        <v>0</v>
      </c>
      <c r="L668" s="3244"/>
      <c r="M668" s="3244"/>
      <c r="N668" s="3242" t="s">
        <v>3384</v>
      </c>
      <c r="O668" s="3239">
        <v>0</v>
      </c>
      <c r="P668" s="3242">
        <v>0</v>
      </c>
      <c r="Q668" s="3244"/>
      <c r="R668" s="3244"/>
      <c r="S668" s="3242">
        <v>0</v>
      </c>
      <c r="T668" s="3244"/>
      <c r="U668" s="3244"/>
      <c r="V668" s="3244"/>
      <c r="W668" s="3240">
        <v>0</v>
      </c>
      <c r="X668" s="3244"/>
      <c r="Y668" s="3244"/>
      <c r="Z668" s="3242" t="s">
        <v>3384</v>
      </c>
      <c r="AA668" s="3243">
        <v>0</v>
      </c>
      <c r="AB668" s="3242">
        <v>0</v>
      </c>
      <c r="AC668" s="3244"/>
      <c r="AD668" s="3244"/>
      <c r="AE668" s="3242">
        <v>0</v>
      </c>
      <c r="AF668" s="3259"/>
      <c r="AG668" s="3260"/>
      <c r="AH668" s="3260"/>
      <c r="AI668" s="3260"/>
      <c r="AJ668" s="3260"/>
      <c r="AK668" s="3260"/>
      <c r="AL668" s="3259"/>
      <c r="AM668" s="3260"/>
      <c r="AN668" s="3259"/>
      <c r="AO668" s="3260"/>
      <c r="AP668" s="3242">
        <v>0</v>
      </c>
      <c r="AQ668" s="3244"/>
      <c r="AR668" s="3244"/>
      <c r="AS668" s="3242" t="s">
        <v>3384</v>
      </c>
      <c r="AT668" s="3247">
        <f t="shared" si="63"/>
        <v>0</v>
      </c>
      <c r="AU668" s="3248">
        <f t="shared" si="64"/>
        <v>0</v>
      </c>
      <c r="AV668" s="3248">
        <v>0</v>
      </c>
      <c r="AW668" s="3247">
        <v>0</v>
      </c>
      <c r="AX668" s="3248">
        <v>0</v>
      </c>
      <c r="AY668" s="3248">
        <v>0</v>
      </c>
      <c r="AZ668" s="3247">
        <v>0</v>
      </c>
      <c r="BA668" s="3248">
        <v>0</v>
      </c>
      <c r="BB668" s="3248">
        <v>0</v>
      </c>
      <c r="BC668" s="3247">
        <v>0</v>
      </c>
      <c r="BD668" s="3248">
        <v>0</v>
      </c>
      <c r="BE668" s="3248">
        <v>0</v>
      </c>
      <c r="BF668" s="3248">
        <f t="shared" si="65"/>
        <v>0</v>
      </c>
      <c r="BG668" s="3248">
        <f t="shared" si="66"/>
        <v>0</v>
      </c>
      <c r="BH668" s="3249"/>
      <c r="BI668" s="3249"/>
    </row>
    <row r="669" spans="1:61" x14ac:dyDescent="0.3">
      <c r="A669" s="4197" t="s">
        <v>3384</v>
      </c>
      <c r="B669" s="3261"/>
      <c r="C669" s="3243">
        <v>0</v>
      </c>
      <c r="D669" s="3242">
        <v>0</v>
      </c>
      <c r="E669" s="3244"/>
      <c r="F669" s="3244"/>
      <c r="G669" s="3242">
        <v>0</v>
      </c>
      <c r="H669" s="3244"/>
      <c r="I669" s="3244"/>
      <c r="J669" s="3244"/>
      <c r="K669" s="3242">
        <v>0</v>
      </c>
      <c r="L669" s="3244"/>
      <c r="M669" s="3244"/>
      <c r="N669" s="3242" t="s">
        <v>3384</v>
      </c>
      <c r="O669" s="3239">
        <v>0</v>
      </c>
      <c r="P669" s="3242">
        <v>0</v>
      </c>
      <c r="Q669" s="3244"/>
      <c r="R669" s="3244"/>
      <c r="S669" s="3242">
        <v>0</v>
      </c>
      <c r="T669" s="3244"/>
      <c r="U669" s="3244"/>
      <c r="V669" s="3244"/>
      <c r="W669" s="3240">
        <v>0</v>
      </c>
      <c r="X669" s="3244"/>
      <c r="Y669" s="3244"/>
      <c r="Z669" s="3242" t="s">
        <v>3384</v>
      </c>
      <c r="AA669" s="3243">
        <v>0</v>
      </c>
      <c r="AB669" s="3242">
        <v>0</v>
      </c>
      <c r="AC669" s="3244"/>
      <c r="AD669" s="3244"/>
      <c r="AE669" s="3242">
        <v>0</v>
      </c>
      <c r="AF669" s="3259"/>
      <c r="AG669" s="3260"/>
      <c r="AH669" s="3260"/>
      <c r="AI669" s="3260"/>
      <c r="AJ669" s="3260"/>
      <c r="AK669" s="3260"/>
      <c r="AL669" s="3259"/>
      <c r="AM669" s="3260"/>
      <c r="AN669" s="3259"/>
      <c r="AO669" s="3260"/>
      <c r="AP669" s="3242">
        <v>0</v>
      </c>
      <c r="AQ669" s="3244"/>
      <c r="AR669" s="3244"/>
      <c r="AS669" s="3242" t="s">
        <v>3384</v>
      </c>
      <c r="AT669" s="3247">
        <f t="shared" si="63"/>
        <v>0</v>
      </c>
      <c r="AU669" s="3248">
        <f t="shared" si="64"/>
        <v>0</v>
      </c>
      <c r="AV669" s="3248">
        <v>0</v>
      </c>
      <c r="AW669" s="3247">
        <v>0</v>
      </c>
      <c r="AX669" s="3248">
        <v>0</v>
      </c>
      <c r="AY669" s="3248">
        <v>0</v>
      </c>
      <c r="AZ669" s="3247">
        <v>0</v>
      </c>
      <c r="BA669" s="3248">
        <v>0</v>
      </c>
      <c r="BB669" s="3248">
        <v>0</v>
      </c>
      <c r="BC669" s="3247">
        <v>0</v>
      </c>
      <c r="BD669" s="3248">
        <v>0</v>
      </c>
      <c r="BE669" s="3248">
        <v>0</v>
      </c>
      <c r="BF669" s="3248">
        <f t="shared" si="65"/>
        <v>0</v>
      </c>
      <c r="BG669" s="3248">
        <f t="shared" si="66"/>
        <v>0</v>
      </c>
      <c r="BH669" s="3249"/>
      <c r="BI669" s="3249"/>
    </row>
    <row r="670" spans="1:61" x14ac:dyDescent="0.3">
      <c r="A670" s="4197" t="s">
        <v>3384</v>
      </c>
      <c r="B670" s="3261"/>
      <c r="C670" s="3243">
        <v>0</v>
      </c>
      <c r="D670" s="3242">
        <v>0</v>
      </c>
      <c r="E670" s="3244"/>
      <c r="F670" s="3244"/>
      <c r="G670" s="3242">
        <v>0</v>
      </c>
      <c r="H670" s="3244"/>
      <c r="I670" s="3244"/>
      <c r="J670" s="3244"/>
      <c r="K670" s="3242">
        <v>0</v>
      </c>
      <c r="L670" s="3244"/>
      <c r="M670" s="3244"/>
      <c r="N670" s="3242" t="s">
        <v>3384</v>
      </c>
      <c r="O670" s="3239">
        <v>0</v>
      </c>
      <c r="P670" s="3242">
        <v>0</v>
      </c>
      <c r="Q670" s="3244"/>
      <c r="R670" s="3244"/>
      <c r="S670" s="3242">
        <v>0</v>
      </c>
      <c r="T670" s="3244"/>
      <c r="U670" s="3244"/>
      <c r="V670" s="3244"/>
      <c r="W670" s="3240">
        <v>0</v>
      </c>
      <c r="X670" s="3244"/>
      <c r="Y670" s="3244"/>
      <c r="Z670" s="3242" t="s">
        <v>3384</v>
      </c>
      <c r="AA670" s="3243">
        <v>0</v>
      </c>
      <c r="AB670" s="3242">
        <v>0</v>
      </c>
      <c r="AC670" s="3244"/>
      <c r="AD670" s="3244"/>
      <c r="AE670" s="3242">
        <v>0</v>
      </c>
      <c r="AF670" s="3259"/>
      <c r="AG670" s="3260"/>
      <c r="AH670" s="3260"/>
      <c r="AI670" s="3260"/>
      <c r="AJ670" s="3260"/>
      <c r="AK670" s="3260"/>
      <c r="AL670" s="3259"/>
      <c r="AM670" s="3260"/>
      <c r="AN670" s="3259"/>
      <c r="AO670" s="3260"/>
      <c r="AP670" s="3242">
        <v>0</v>
      </c>
      <c r="AQ670" s="3244"/>
      <c r="AR670" s="3244"/>
      <c r="AS670" s="3242" t="s">
        <v>3384</v>
      </c>
      <c r="AT670" s="3247">
        <f t="shared" si="63"/>
        <v>0</v>
      </c>
      <c r="AU670" s="3248">
        <f t="shared" si="64"/>
        <v>0</v>
      </c>
      <c r="AV670" s="3248">
        <v>0</v>
      </c>
      <c r="AW670" s="3247">
        <v>0</v>
      </c>
      <c r="AX670" s="3248">
        <v>0</v>
      </c>
      <c r="AY670" s="3248">
        <v>0</v>
      </c>
      <c r="AZ670" s="3247">
        <v>0</v>
      </c>
      <c r="BA670" s="3248">
        <v>0</v>
      </c>
      <c r="BB670" s="3248">
        <v>0</v>
      </c>
      <c r="BC670" s="3247">
        <v>0</v>
      </c>
      <c r="BD670" s="3248">
        <v>0</v>
      </c>
      <c r="BE670" s="3248">
        <v>0</v>
      </c>
      <c r="BF670" s="3248">
        <f t="shared" si="65"/>
        <v>0</v>
      </c>
      <c r="BG670" s="3248">
        <f t="shared" si="66"/>
        <v>0</v>
      </c>
      <c r="BH670" s="3249"/>
      <c r="BI670" s="3249"/>
    </row>
    <row r="671" spans="1:61" x14ac:dyDescent="0.3">
      <c r="A671" s="4197" t="s">
        <v>3384</v>
      </c>
      <c r="B671" s="3261"/>
      <c r="C671" s="3243">
        <v>0</v>
      </c>
      <c r="D671" s="3242">
        <v>0</v>
      </c>
      <c r="E671" s="3244"/>
      <c r="F671" s="3244"/>
      <c r="G671" s="3242">
        <v>0</v>
      </c>
      <c r="H671" s="3244"/>
      <c r="I671" s="3244"/>
      <c r="J671" s="3244"/>
      <c r="K671" s="3242">
        <v>0</v>
      </c>
      <c r="L671" s="3244"/>
      <c r="M671" s="3244"/>
      <c r="N671" s="3242" t="s">
        <v>3384</v>
      </c>
      <c r="O671" s="3239">
        <v>0</v>
      </c>
      <c r="P671" s="3242">
        <v>0</v>
      </c>
      <c r="Q671" s="3244"/>
      <c r="R671" s="3244"/>
      <c r="S671" s="3242">
        <v>0</v>
      </c>
      <c r="T671" s="3244"/>
      <c r="U671" s="3244"/>
      <c r="V671" s="3244"/>
      <c r="W671" s="3240">
        <v>0</v>
      </c>
      <c r="X671" s="3244"/>
      <c r="Y671" s="3244"/>
      <c r="Z671" s="3242" t="s">
        <v>3384</v>
      </c>
      <c r="AA671" s="3243">
        <v>0</v>
      </c>
      <c r="AB671" s="3242">
        <v>0</v>
      </c>
      <c r="AC671" s="3244"/>
      <c r="AD671" s="3244"/>
      <c r="AE671" s="3242">
        <v>0</v>
      </c>
      <c r="AF671" s="3259"/>
      <c r="AG671" s="3260"/>
      <c r="AH671" s="3260"/>
      <c r="AI671" s="3260"/>
      <c r="AJ671" s="3260"/>
      <c r="AK671" s="3260"/>
      <c r="AL671" s="3259"/>
      <c r="AM671" s="3260"/>
      <c r="AN671" s="3259"/>
      <c r="AO671" s="3260"/>
      <c r="AP671" s="3242">
        <v>0</v>
      </c>
      <c r="AQ671" s="3244"/>
      <c r="AR671" s="3244"/>
      <c r="AS671" s="3242" t="s">
        <v>3384</v>
      </c>
      <c r="AT671" s="3247">
        <f t="shared" si="63"/>
        <v>0</v>
      </c>
      <c r="AU671" s="3248">
        <f t="shared" si="64"/>
        <v>0</v>
      </c>
      <c r="AV671" s="3248">
        <v>0</v>
      </c>
      <c r="AW671" s="3247">
        <v>0</v>
      </c>
      <c r="AX671" s="3248">
        <v>0</v>
      </c>
      <c r="AY671" s="3248">
        <v>0</v>
      </c>
      <c r="AZ671" s="3247">
        <v>0</v>
      </c>
      <c r="BA671" s="3248">
        <v>0</v>
      </c>
      <c r="BB671" s="3248">
        <v>0</v>
      </c>
      <c r="BC671" s="3247">
        <v>0</v>
      </c>
      <c r="BD671" s="3248">
        <v>0</v>
      </c>
      <c r="BE671" s="3248">
        <v>0</v>
      </c>
      <c r="BF671" s="3248">
        <f t="shared" si="65"/>
        <v>0</v>
      </c>
      <c r="BG671" s="3248">
        <f t="shared" si="66"/>
        <v>0</v>
      </c>
      <c r="BH671" s="3249"/>
      <c r="BI671" s="3249"/>
    </row>
    <row r="672" spans="1:61" x14ac:dyDescent="0.3">
      <c r="A672" s="4197" t="s">
        <v>3384</v>
      </c>
      <c r="B672" s="3261"/>
      <c r="C672" s="3243">
        <v>0</v>
      </c>
      <c r="D672" s="3242">
        <v>0</v>
      </c>
      <c r="E672" s="3244"/>
      <c r="F672" s="3244"/>
      <c r="G672" s="3242">
        <v>0</v>
      </c>
      <c r="H672" s="3244"/>
      <c r="I672" s="3244"/>
      <c r="J672" s="3244"/>
      <c r="K672" s="3242">
        <v>0</v>
      </c>
      <c r="L672" s="3244"/>
      <c r="M672" s="3244"/>
      <c r="N672" s="3242" t="s">
        <v>3384</v>
      </c>
      <c r="O672" s="3239">
        <v>0</v>
      </c>
      <c r="P672" s="3242">
        <v>0</v>
      </c>
      <c r="Q672" s="3244"/>
      <c r="R672" s="3244"/>
      <c r="S672" s="3242">
        <v>0</v>
      </c>
      <c r="T672" s="3244"/>
      <c r="U672" s="3244"/>
      <c r="V672" s="3244"/>
      <c r="W672" s="3240">
        <v>0</v>
      </c>
      <c r="X672" s="3244"/>
      <c r="Y672" s="3244"/>
      <c r="Z672" s="3242" t="s">
        <v>3384</v>
      </c>
      <c r="AA672" s="3243">
        <v>0</v>
      </c>
      <c r="AB672" s="3242">
        <v>0</v>
      </c>
      <c r="AC672" s="3244"/>
      <c r="AD672" s="3244"/>
      <c r="AE672" s="3242">
        <v>0</v>
      </c>
      <c r="AF672" s="3259"/>
      <c r="AG672" s="3260"/>
      <c r="AH672" s="3260"/>
      <c r="AI672" s="3260"/>
      <c r="AJ672" s="3260"/>
      <c r="AK672" s="3260"/>
      <c r="AL672" s="3259"/>
      <c r="AM672" s="3260"/>
      <c r="AN672" s="3259"/>
      <c r="AO672" s="3260"/>
      <c r="AP672" s="3242">
        <v>0</v>
      </c>
      <c r="AQ672" s="3244"/>
      <c r="AR672" s="3244"/>
      <c r="AS672" s="3242" t="s">
        <v>3384</v>
      </c>
      <c r="AT672" s="3247">
        <f t="shared" si="63"/>
        <v>0</v>
      </c>
      <c r="AU672" s="3248">
        <f t="shared" si="64"/>
        <v>0</v>
      </c>
      <c r="AV672" s="3248">
        <v>0</v>
      </c>
      <c r="AW672" s="3247">
        <v>0</v>
      </c>
      <c r="AX672" s="3248">
        <v>0</v>
      </c>
      <c r="AY672" s="3248">
        <v>0</v>
      </c>
      <c r="AZ672" s="3247">
        <v>0</v>
      </c>
      <c r="BA672" s="3248">
        <v>0</v>
      </c>
      <c r="BB672" s="3248">
        <v>0</v>
      </c>
      <c r="BC672" s="3247">
        <v>0</v>
      </c>
      <c r="BD672" s="3248">
        <v>0</v>
      </c>
      <c r="BE672" s="3248">
        <v>0</v>
      </c>
      <c r="BF672" s="3248">
        <f t="shared" si="65"/>
        <v>0</v>
      </c>
      <c r="BG672" s="3248">
        <f t="shared" si="66"/>
        <v>0</v>
      </c>
      <c r="BH672" s="3249"/>
      <c r="BI672" s="3249"/>
    </row>
    <row r="673" spans="1:61" x14ac:dyDescent="0.3">
      <c r="A673" s="4197" t="s">
        <v>3384</v>
      </c>
      <c r="B673" s="3261"/>
      <c r="C673" s="3243">
        <v>0</v>
      </c>
      <c r="D673" s="3242">
        <v>0</v>
      </c>
      <c r="E673" s="3244"/>
      <c r="F673" s="3244"/>
      <c r="G673" s="3242">
        <v>0</v>
      </c>
      <c r="H673" s="3244"/>
      <c r="I673" s="3244"/>
      <c r="J673" s="3244"/>
      <c r="K673" s="3242">
        <v>0</v>
      </c>
      <c r="L673" s="3244"/>
      <c r="M673" s="3244"/>
      <c r="N673" s="3242" t="s">
        <v>3384</v>
      </c>
      <c r="O673" s="3239">
        <v>0</v>
      </c>
      <c r="P673" s="3242">
        <v>0</v>
      </c>
      <c r="Q673" s="3244"/>
      <c r="R673" s="3244"/>
      <c r="S673" s="3242">
        <v>0</v>
      </c>
      <c r="T673" s="3244"/>
      <c r="U673" s="3244"/>
      <c r="V673" s="3244"/>
      <c r="W673" s="3240">
        <v>0</v>
      </c>
      <c r="X673" s="3244"/>
      <c r="Y673" s="3244"/>
      <c r="Z673" s="3242" t="s">
        <v>3384</v>
      </c>
      <c r="AA673" s="3243">
        <v>0</v>
      </c>
      <c r="AB673" s="3242">
        <v>0</v>
      </c>
      <c r="AC673" s="3244"/>
      <c r="AD673" s="3244"/>
      <c r="AE673" s="3242">
        <v>0</v>
      </c>
      <c r="AF673" s="3259"/>
      <c r="AG673" s="3260"/>
      <c r="AH673" s="3260"/>
      <c r="AI673" s="3260"/>
      <c r="AJ673" s="3260"/>
      <c r="AK673" s="3260"/>
      <c r="AL673" s="3259"/>
      <c r="AM673" s="3260"/>
      <c r="AN673" s="3259"/>
      <c r="AO673" s="3260"/>
      <c r="AP673" s="3242">
        <v>0</v>
      </c>
      <c r="AQ673" s="3244"/>
      <c r="AR673" s="3244"/>
      <c r="AS673" s="3242" t="s">
        <v>3384</v>
      </c>
      <c r="AT673" s="3247">
        <f t="shared" si="63"/>
        <v>0</v>
      </c>
      <c r="AU673" s="3248">
        <f t="shared" si="64"/>
        <v>0</v>
      </c>
      <c r="AV673" s="3248">
        <v>0</v>
      </c>
      <c r="AW673" s="3247">
        <v>0</v>
      </c>
      <c r="AX673" s="3248">
        <v>0</v>
      </c>
      <c r="AY673" s="3248">
        <v>0</v>
      </c>
      <c r="AZ673" s="3247">
        <v>0</v>
      </c>
      <c r="BA673" s="3248">
        <v>0</v>
      </c>
      <c r="BB673" s="3248">
        <v>0</v>
      </c>
      <c r="BC673" s="3247">
        <v>0</v>
      </c>
      <c r="BD673" s="3248">
        <v>0</v>
      </c>
      <c r="BE673" s="3248">
        <v>0</v>
      </c>
      <c r="BF673" s="3248">
        <f t="shared" si="65"/>
        <v>0</v>
      </c>
      <c r="BG673" s="3248">
        <f t="shared" si="66"/>
        <v>0</v>
      </c>
      <c r="BH673" s="3249"/>
      <c r="BI673" s="3249"/>
    </row>
    <row r="674" spans="1:61" x14ac:dyDescent="0.3">
      <c r="A674" s="4197" t="s">
        <v>3384</v>
      </c>
      <c r="B674" s="3261"/>
      <c r="C674" s="3243">
        <v>0</v>
      </c>
      <c r="D674" s="3242">
        <v>0</v>
      </c>
      <c r="E674" s="3244"/>
      <c r="F674" s="3244"/>
      <c r="G674" s="3242">
        <v>0</v>
      </c>
      <c r="H674" s="3244"/>
      <c r="I674" s="3244"/>
      <c r="J674" s="3244"/>
      <c r="K674" s="3242">
        <v>0</v>
      </c>
      <c r="L674" s="3244"/>
      <c r="M674" s="3244"/>
      <c r="N674" s="3242" t="s">
        <v>3384</v>
      </c>
      <c r="O674" s="3239">
        <v>0</v>
      </c>
      <c r="P674" s="3242">
        <v>0</v>
      </c>
      <c r="Q674" s="3244"/>
      <c r="R674" s="3244"/>
      <c r="S674" s="3242">
        <v>0</v>
      </c>
      <c r="T674" s="3244"/>
      <c r="U674" s="3244"/>
      <c r="V674" s="3244"/>
      <c r="W674" s="3240">
        <v>0</v>
      </c>
      <c r="X674" s="3244"/>
      <c r="Y674" s="3244"/>
      <c r="Z674" s="3242" t="s">
        <v>3384</v>
      </c>
      <c r="AA674" s="3243">
        <v>0</v>
      </c>
      <c r="AB674" s="3242">
        <v>0</v>
      </c>
      <c r="AC674" s="3244"/>
      <c r="AD674" s="3244"/>
      <c r="AE674" s="3242">
        <v>0</v>
      </c>
      <c r="AF674" s="3259"/>
      <c r="AG674" s="3260"/>
      <c r="AH674" s="3260"/>
      <c r="AI674" s="3260"/>
      <c r="AJ674" s="3260"/>
      <c r="AK674" s="3260"/>
      <c r="AL674" s="3259"/>
      <c r="AM674" s="3260"/>
      <c r="AN674" s="3259"/>
      <c r="AO674" s="3260"/>
      <c r="AP674" s="3242">
        <v>0</v>
      </c>
      <c r="AQ674" s="3244"/>
      <c r="AR674" s="3244"/>
      <c r="AS674" s="3242" t="s">
        <v>3384</v>
      </c>
      <c r="AT674" s="3247">
        <f t="shared" si="63"/>
        <v>0</v>
      </c>
      <c r="AU674" s="3248">
        <f t="shared" si="64"/>
        <v>0</v>
      </c>
      <c r="AV674" s="3248">
        <v>0</v>
      </c>
      <c r="AW674" s="3247">
        <v>0</v>
      </c>
      <c r="AX674" s="3248">
        <v>0</v>
      </c>
      <c r="AY674" s="3248">
        <v>0</v>
      </c>
      <c r="AZ674" s="3247">
        <v>0</v>
      </c>
      <c r="BA674" s="3248">
        <v>0</v>
      </c>
      <c r="BB674" s="3248">
        <v>0</v>
      </c>
      <c r="BC674" s="3247">
        <v>0</v>
      </c>
      <c r="BD674" s="3248">
        <v>0</v>
      </c>
      <c r="BE674" s="3248">
        <v>0</v>
      </c>
      <c r="BF674" s="3248">
        <f t="shared" si="65"/>
        <v>0</v>
      </c>
      <c r="BG674" s="3248">
        <f t="shared" si="66"/>
        <v>0</v>
      </c>
      <c r="BH674" s="3249"/>
      <c r="BI674" s="3249"/>
    </row>
    <row r="675" spans="1:61" x14ac:dyDescent="0.3">
      <c r="A675" s="4197" t="s">
        <v>3384</v>
      </c>
      <c r="B675" s="3261"/>
      <c r="C675" s="3243">
        <v>0</v>
      </c>
      <c r="D675" s="3242">
        <v>0</v>
      </c>
      <c r="E675" s="3244"/>
      <c r="F675" s="3244"/>
      <c r="G675" s="3242">
        <v>0</v>
      </c>
      <c r="H675" s="3244"/>
      <c r="I675" s="3244"/>
      <c r="J675" s="3244"/>
      <c r="K675" s="3242">
        <v>0</v>
      </c>
      <c r="L675" s="3244"/>
      <c r="M675" s="3244"/>
      <c r="N675" s="3242" t="s">
        <v>3384</v>
      </c>
      <c r="O675" s="3239">
        <v>0</v>
      </c>
      <c r="P675" s="3242">
        <v>0</v>
      </c>
      <c r="Q675" s="3244"/>
      <c r="R675" s="3244"/>
      <c r="S675" s="3242">
        <v>0</v>
      </c>
      <c r="T675" s="3244"/>
      <c r="U675" s="3244"/>
      <c r="V675" s="3244"/>
      <c r="W675" s="3240">
        <v>0</v>
      </c>
      <c r="X675" s="3244"/>
      <c r="Y675" s="3244"/>
      <c r="Z675" s="3242" t="s">
        <v>3384</v>
      </c>
      <c r="AA675" s="3243">
        <v>0</v>
      </c>
      <c r="AB675" s="3242">
        <v>0</v>
      </c>
      <c r="AC675" s="3244"/>
      <c r="AD675" s="3244"/>
      <c r="AE675" s="3242">
        <v>0</v>
      </c>
      <c r="AF675" s="3259"/>
      <c r="AG675" s="3260"/>
      <c r="AH675" s="3260"/>
      <c r="AI675" s="3260"/>
      <c r="AJ675" s="3260"/>
      <c r="AK675" s="3260"/>
      <c r="AL675" s="3259"/>
      <c r="AM675" s="3260"/>
      <c r="AN675" s="3259"/>
      <c r="AO675" s="3260"/>
      <c r="AP675" s="3242">
        <v>0</v>
      </c>
      <c r="AQ675" s="3244"/>
      <c r="AR675" s="3244"/>
      <c r="AS675" s="3242" t="s">
        <v>3384</v>
      </c>
      <c r="AT675" s="3247">
        <f t="shared" si="63"/>
        <v>0</v>
      </c>
      <c r="AU675" s="3248">
        <f t="shared" si="64"/>
        <v>0</v>
      </c>
      <c r="AV675" s="3248">
        <v>0</v>
      </c>
      <c r="AW675" s="3247">
        <v>0</v>
      </c>
      <c r="AX675" s="3248">
        <v>0</v>
      </c>
      <c r="AY675" s="3248">
        <v>0</v>
      </c>
      <c r="AZ675" s="3247">
        <v>0</v>
      </c>
      <c r="BA675" s="3248">
        <v>0</v>
      </c>
      <c r="BB675" s="3248">
        <v>0</v>
      </c>
      <c r="BC675" s="3247">
        <v>0</v>
      </c>
      <c r="BD675" s="3248">
        <v>0</v>
      </c>
      <c r="BE675" s="3248">
        <v>0</v>
      </c>
      <c r="BF675" s="3248">
        <f t="shared" si="65"/>
        <v>0</v>
      </c>
      <c r="BG675" s="3248">
        <f t="shared" si="66"/>
        <v>0</v>
      </c>
      <c r="BH675" s="3249"/>
      <c r="BI675" s="3249"/>
    </row>
    <row r="676" spans="1:61" x14ac:dyDescent="0.3">
      <c r="A676" s="4197" t="s">
        <v>3384</v>
      </c>
      <c r="B676" s="3261"/>
      <c r="C676" s="3243">
        <v>0</v>
      </c>
      <c r="D676" s="3242">
        <v>0</v>
      </c>
      <c r="E676" s="3244"/>
      <c r="F676" s="3244"/>
      <c r="G676" s="3242">
        <v>0</v>
      </c>
      <c r="H676" s="3244"/>
      <c r="I676" s="3244"/>
      <c r="J676" s="3244"/>
      <c r="K676" s="3242">
        <v>0</v>
      </c>
      <c r="L676" s="3244"/>
      <c r="M676" s="3244"/>
      <c r="N676" s="3242" t="s">
        <v>3384</v>
      </c>
      <c r="O676" s="3239">
        <v>0</v>
      </c>
      <c r="P676" s="3242">
        <v>0</v>
      </c>
      <c r="Q676" s="3244"/>
      <c r="R676" s="3244"/>
      <c r="S676" s="3242">
        <v>0</v>
      </c>
      <c r="T676" s="3244"/>
      <c r="U676" s="3244"/>
      <c r="V676" s="3244"/>
      <c r="W676" s="3240">
        <v>0</v>
      </c>
      <c r="X676" s="3244"/>
      <c r="Y676" s="3244"/>
      <c r="Z676" s="3242" t="s">
        <v>3384</v>
      </c>
      <c r="AA676" s="3243">
        <v>0</v>
      </c>
      <c r="AB676" s="3242">
        <v>0</v>
      </c>
      <c r="AC676" s="3244"/>
      <c r="AD676" s="3244"/>
      <c r="AE676" s="3242">
        <v>0</v>
      </c>
      <c r="AF676" s="3259"/>
      <c r="AG676" s="3260"/>
      <c r="AH676" s="3260"/>
      <c r="AI676" s="3260"/>
      <c r="AJ676" s="3260"/>
      <c r="AK676" s="3260"/>
      <c r="AL676" s="3259"/>
      <c r="AM676" s="3260"/>
      <c r="AN676" s="3259"/>
      <c r="AO676" s="3260"/>
      <c r="AP676" s="3242">
        <v>0</v>
      </c>
      <c r="AQ676" s="3244"/>
      <c r="AR676" s="3244"/>
      <c r="AS676" s="3242" t="s">
        <v>3384</v>
      </c>
      <c r="AT676" s="3247">
        <f t="shared" si="63"/>
        <v>0</v>
      </c>
      <c r="AU676" s="3248">
        <f t="shared" si="64"/>
        <v>0</v>
      </c>
      <c r="AV676" s="3248">
        <v>0</v>
      </c>
      <c r="AW676" s="3247">
        <v>0</v>
      </c>
      <c r="AX676" s="3248">
        <v>0</v>
      </c>
      <c r="AY676" s="3248">
        <v>0</v>
      </c>
      <c r="AZ676" s="3247">
        <v>0</v>
      </c>
      <c r="BA676" s="3248">
        <v>0</v>
      </c>
      <c r="BB676" s="3248">
        <v>0</v>
      </c>
      <c r="BC676" s="3247">
        <v>0</v>
      </c>
      <c r="BD676" s="3248">
        <v>0</v>
      </c>
      <c r="BE676" s="3248">
        <v>0</v>
      </c>
      <c r="BF676" s="3248">
        <f t="shared" si="65"/>
        <v>0</v>
      </c>
      <c r="BG676" s="3248">
        <f t="shared" si="66"/>
        <v>0</v>
      </c>
      <c r="BH676" s="3249"/>
      <c r="BI676" s="3249"/>
    </row>
    <row r="677" spans="1:61" x14ac:dyDescent="0.3">
      <c r="A677" s="4197" t="s">
        <v>3384</v>
      </c>
      <c r="B677" s="3261"/>
      <c r="C677" s="3243">
        <v>0</v>
      </c>
      <c r="D677" s="3242">
        <v>0</v>
      </c>
      <c r="E677" s="3244"/>
      <c r="F677" s="3244"/>
      <c r="G677" s="3242">
        <v>0</v>
      </c>
      <c r="H677" s="3244"/>
      <c r="I677" s="3244"/>
      <c r="J677" s="3244"/>
      <c r="K677" s="3242">
        <v>0</v>
      </c>
      <c r="L677" s="3244"/>
      <c r="M677" s="3244"/>
      <c r="N677" s="3242" t="s">
        <v>3384</v>
      </c>
      <c r="O677" s="3239">
        <v>0</v>
      </c>
      <c r="P677" s="3242">
        <v>0</v>
      </c>
      <c r="Q677" s="3244"/>
      <c r="R677" s="3244"/>
      <c r="S677" s="3242">
        <v>0</v>
      </c>
      <c r="T677" s="3244"/>
      <c r="U677" s="3244"/>
      <c r="V677" s="3244"/>
      <c r="W677" s="3240">
        <v>0</v>
      </c>
      <c r="X677" s="3244"/>
      <c r="Y677" s="3244"/>
      <c r="Z677" s="3242" t="s">
        <v>3384</v>
      </c>
      <c r="AA677" s="3243">
        <v>0</v>
      </c>
      <c r="AB677" s="3242">
        <v>0</v>
      </c>
      <c r="AC677" s="3244"/>
      <c r="AD677" s="3244"/>
      <c r="AE677" s="3242">
        <v>0</v>
      </c>
      <c r="AF677" s="3259"/>
      <c r="AG677" s="3260"/>
      <c r="AH677" s="3260"/>
      <c r="AI677" s="3260"/>
      <c r="AJ677" s="3260"/>
      <c r="AK677" s="3260"/>
      <c r="AL677" s="3259"/>
      <c r="AM677" s="3260"/>
      <c r="AN677" s="3259"/>
      <c r="AO677" s="3260"/>
      <c r="AP677" s="3242">
        <v>0</v>
      </c>
      <c r="AQ677" s="3244"/>
      <c r="AR677" s="3244"/>
      <c r="AS677" s="3242" t="s">
        <v>3384</v>
      </c>
      <c r="AT677" s="3247">
        <f t="shared" si="63"/>
        <v>0</v>
      </c>
      <c r="AU677" s="3248">
        <f t="shared" si="64"/>
        <v>0</v>
      </c>
      <c r="AV677" s="3248">
        <v>0</v>
      </c>
      <c r="AW677" s="3247">
        <v>0</v>
      </c>
      <c r="AX677" s="3248">
        <v>0</v>
      </c>
      <c r="AY677" s="3248">
        <v>0</v>
      </c>
      <c r="AZ677" s="3247">
        <v>0</v>
      </c>
      <c r="BA677" s="3248">
        <v>0</v>
      </c>
      <c r="BB677" s="3248">
        <v>0</v>
      </c>
      <c r="BC677" s="3247">
        <v>0</v>
      </c>
      <c r="BD677" s="3248">
        <v>0</v>
      </c>
      <c r="BE677" s="3248">
        <v>0</v>
      </c>
      <c r="BF677" s="3248">
        <f t="shared" si="65"/>
        <v>0</v>
      </c>
      <c r="BG677" s="3248">
        <f t="shared" si="66"/>
        <v>0</v>
      </c>
      <c r="BH677" s="3249"/>
      <c r="BI677" s="3249"/>
    </row>
    <row r="678" spans="1:61" x14ac:dyDescent="0.3">
      <c r="A678" s="4197" t="s">
        <v>3384</v>
      </c>
      <c r="B678" s="3261"/>
      <c r="C678" s="3243">
        <v>0</v>
      </c>
      <c r="D678" s="3242">
        <v>0</v>
      </c>
      <c r="E678" s="3244"/>
      <c r="F678" s="3244"/>
      <c r="G678" s="3242">
        <v>0</v>
      </c>
      <c r="H678" s="3244"/>
      <c r="I678" s="3244"/>
      <c r="J678" s="3244"/>
      <c r="K678" s="3242">
        <v>0</v>
      </c>
      <c r="L678" s="3244"/>
      <c r="M678" s="3244"/>
      <c r="N678" s="3242" t="s">
        <v>3384</v>
      </c>
      <c r="O678" s="3239">
        <v>0</v>
      </c>
      <c r="P678" s="3242">
        <v>0</v>
      </c>
      <c r="Q678" s="3244"/>
      <c r="R678" s="3244"/>
      <c r="S678" s="3242">
        <v>0</v>
      </c>
      <c r="T678" s="3244"/>
      <c r="U678" s="3244"/>
      <c r="V678" s="3244"/>
      <c r="W678" s="3240">
        <v>0</v>
      </c>
      <c r="X678" s="3244"/>
      <c r="Y678" s="3244"/>
      <c r="Z678" s="3242" t="s">
        <v>3384</v>
      </c>
      <c r="AA678" s="3243">
        <v>0</v>
      </c>
      <c r="AB678" s="3242">
        <v>0</v>
      </c>
      <c r="AC678" s="3244"/>
      <c r="AD678" s="3244"/>
      <c r="AE678" s="3242">
        <v>0</v>
      </c>
      <c r="AF678" s="3259"/>
      <c r="AG678" s="3260"/>
      <c r="AH678" s="3260"/>
      <c r="AI678" s="3260"/>
      <c r="AJ678" s="3260"/>
      <c r="AK678" s="3260"/>
      <c r="AL678" s="3259"/>
      <c r="AM678" s="3260"/>
      <c r="AN678" s="3259"/>
      <c r="AO678" s="3260"/>
      <c r="AP678" s="3242">
        <v>0</v>
      </c>
      <c r="AQ678" s="3244"/>
      <c r="AR678" s="3244"/>
      <c r="AS678" s="3242" t="s">
        <v>3384</v>
      </c>
      <c r="AT678" s="3247">
        <f t="shared" si="63"/>
        <v>0</v>
      </c>
      <c r="AU678" s="3248">
        <f t="shared" si="64"/>
        <v>0</v>
      </c>
      <c r="AV678" s="3248">
        <v>0</v>
      </c>
      <c r="AW678" s="3247">
        <v>0</v>
      </c>
      <c r="AX678" s="3248">
        <v>0</v>
      </c>
      <c r="AY678" s="3248">
        <v>0</v>
      </c>
      <c r="AZ678" s="3247">
        <v>0</v>
      </c>
      <c r="BA678" s="3248">
        <v>0</v>
      </c>
      <c r="BB678" s="3248">
        <v>0</v>
      </c>
      <c r="BC678" s="3247">
        <v>0</v>
      </c>
      <c r="BD678" s="3248">
        <v>0</v>
      </c>
      <c r="BE678" s="3248">
        <v>0</v>
      </c>
      <c r="BF678" s="3248">
        <f t="shared" si="65"/>
        <v>0</v>
      </c>
      <c r="BG678" s="3248">
        <f t="shared" si="66"/>
        <v>0</v>
      </c>
      <c r="BH678" s="3249"/>
      <c r="BI678" s="3249"/>
    </row>
    <row r="679" spans="1:61" x14ac:dyDescent="0.3">
      <c r="A679" s="4197" t="s">
        <v>3384</v>
      </c>
      <c r="B679" s="3261"/>
      <c r="C679" s="3243">
        <v>0</v>
      </c>
      <c r="D679" s="3242">
        <v>0</v>
      </c>
      <c r="E679" s="3244"/>
      <c r="F679" s="3244"/>
      <c r="G679" s="3242">
        <v>0</v>
      </c>
      <c r="H679" s="3244"/>
      <c r="I679" s="3244"/>
      <c r="J679" s="3244"/>
      <c r="K679" s="3242">
        <v>0</v>
      </c>
      <c r="L679" s="3244"/>
      <c r="M679" s="3244"/>
      <c r="N679" s="3242" t="s">
        <v>3384</v>
      </c>
      <c r="O679" s="3239">
        <v>0</v>
      </c>
      <c r="P679" s="3242">
        <v>0</v>
      </c>
      <c r="Q679" s="3244"/>
      <c r="R679" s="3244"/>
      <c r="S679" s="3242">
        <v>0</v>
      </c>
      <c r="T679" s="3244"/>
      <c r="U679" s="3244"/>
      <c r="V679" s="3244"/>
      <c r="W679" s="3240">
        <v>0</v>
      </c>
      <c r="X679" s="3244"/>
      <c r="Y679" s="3244"/>
      <c r="Z679" s="3242" t="s">
        <v>3384</v>
      </c>
      <c r="AA679" s="3243">
        <v>0</v>
      </c>
      <c r="AB679" s="3242">
        <v>0</v>
      </c>
      <c r="AC679" s="3244"/>
      <c r="AD679" s="3244"/>
      <c r="AE679" s="3242">
        <v>0</v>
      </c>
      <c r="AF679" s="3259"/>
      <c r="AG679" s="3260"/>
      <c r="AH679" s="3260"/>
      <c r="AI679" s="3260"/>
      <c r="AJ679" s="3260"/>
      <c r="AK679" s="3260"/>
      <c r="AL679" s="3259"/>
      <c r="AM679" s="3260"/>
      <c r="AN679" s="3259"/>
      <c r="AO679" s="3260"/>
      <c r="AP679" s="3242">
        <v>0</v>
      </c>
      <c r="AQ679" s="3244"/>
      <c r="AR679" s="3244"/>
      <c r="AS679" s="3242" t="s">
        <v>3384</v>
      </c>
      <c r="AT679" s="3247">
        <f t="shared" si="63"/>
        <v>0</v>
      </c>
      <c r="AU679" s="3248">
        <f t="shared" si="64"/>
        <v>0</v>
      </c>
      <c r="AV679" s="3248">
        <v>0</v>
      </c>
      <c r="AW679" s="3247">
        <v>0</v>
      </c>
      <c r="AX679" s="3248">
        <v>0</v>
      </c>
      <c r="AY679" s="3248">
        <v>0</v>
      </c>
      <c r="AZ679" s="3247">
        <v>0</v>
      </c>
      <c r="BA679" s="3248">
        <v>0</v>
      </c>
      <c r="BB679" s="3248">
        <v>0</v>
      </c>
      <c r="BC679" s="3247">
        <v>0</v>
      </c>
      <c r="BD679" s="3248">
        <v>0</v>
      </c>
      <c r="BE679" s="3248">
        <v>0</v>
      </c>
      <c r="BF679" s="3248">
        <f t="shared" si="65"/>
        <v>0</v>
      </c>
      <c r="BG679" s="3248">
        <f t="shared" si="66"/>
        <v>0</v>
      </c>
      <c r="BH679" s="3249"/>
      <c r="BI679" s="3249"/>
    </row>
    <row r="680" spans="1:61" x14ac:dyDescent="0.3">
      <c r="A680" s="4197" t="s">
        <v>3384</v>
      </c>
      <c r="B680" s="3261"/>
      <c r="C680" s="3243">
        <v>0</v>
      </c>
      <c r="D680" s="3242">
        <v>0</v>
      </c>
      <c r="E680" s="3244"/>
      <c r="F680" s="3244"/>
      <c r="G680" s="3242">
        <v>0</v>
      </c>
      <c r="H680" s="3244"/>
      <c r="I680" s="3244"/>
      <c r="J680" s="3244"/>
      <c r="K680" s="3242">
        <v>0</v>
      </c>
      <c r="L680" s="3244"/>
      <c r="M680" s="3244"/>
      <c r="N680" s="3242" t="s">
        <v>3384</v>
      </c>
      <c r="O680" s="3239">
        <v>0</v>
      </c>
      <c r="P680" s="3242">
        <v>0</v>
      </c>
      <c r="Q680" s="3244"/>
      <c r="R680" s="3244"/>
      <c r="S680" s="3242">
        <v>0</v>
      </c>
      <c r="T680" s="3244"/>
      <c r="U680" s="3244"/>
      <c r="V680" s="3244"/>
      <c r="W680" s="3240">
        <v>0</v>
      </c>
      <c r="X680" s="3244"/>
      <c r="Y680" s="3244"/>
      <c r="Z680" s="3242" t="s">
        <v>3384</v>
      </c>
      <c r="AA680" s="3243">
        <v>0</v>
      </c>
      <c r="AB680" s="3242">
        <v>0</v>
      </c>
      <c r="AC680" s="3244"/>
      <c r="AD680" s="3244"/>
      <c r="AE680" s="3242">
        <v>0</v>
      </c>
      <c r="AF680" s="3259"/>
      <c r="AG680" s="3260"/>
      <c r="AH680" s="3260"/>
      <c r="AI680" s="3260"/>
      <c r="AJ680" s="3260"/>
      <c r="AK680" s="3260"/>
      <c r="AL680" s="3259"/>
      <c r="AM680" s="3260"/>
      <c r="AN680" s="3259"/>
      <c r="AO680" s="3260"/>
      <c r="AP680" s="3242">
        <v>0</v>
      </c>
      <c r="AQ680" s="3244"/>
      <c r="AR680" s="3244"/>
      <c r="AS680" s="3242" t="s">
        <v>3384</v>
      </c>
      <c r="AT680" s="3247">
        <f t="shared" si="63"/>
        <v>0</v>
      </c>
      <c r="AU680" s="3248">
        <f t="shared" si="64"/>
        <v>0</v>
      </c>
      <c r="AV680" s="3248">
        <v>0</v>
      </c>
      <c r="AW680" s="3247">
        <v>0</v>
      </c>
      <c r="AX680" s="3248">
        <v>0</v>
      </c>
      <c r="AY680" s="3248">
        <v>0</v>
      </c>
      <c r="AZ680" s="3247">
        <v>0</v>
      </c>
      <c r="BA680" s="3248">
        <v>0</v>
      </c>
      <c r="BB680" s="3248">
        <v>0</v>
      </c>
      <c r="BC680" s="3247">
        <v>0</v>
      </c>
      <c r="BD680" s="3248">
        <v>0</v>
      </c>
      <c r="BE680" s="3248">
        <v>0</v>
      </c>
      <c r="BF680" s="3248">
        <f t="shared" si="65"/>
        <v>0</v>
      </c>
      <c r="BG680" s="3248">
        <f t="shared" si="66"/>
        <v>0</v>
      </c>
      <c r="BH680" s="3249"/>
      <c r="BI680" s="3249"/>
    </row>
    <row r="681" spans="1:61" x14ac:dyDescent="0.3">
      <c r="A681" s="4197" t="s">
        <v>3384</v>
      </c>
      <c r="B681" s="3261"/>
      <c r="C681" s="3243">
        <v>0</v>
      </c>
      <c r="D681" s="3242">
        <v>0</v>
      </c>
      <c r="E681" s="3244"/>
      <c r="F681" s="3244"/>
      <c r="G681" s="3242">
        <v>0</v>
      </c>
      <c r="H681" s="3244"/>
      <c r="I681" s="3244"/>
      <c r="J681" s="3244"/>
      <c r="K681" s="3242">
        <v>0</v>
      </c>
      <c r="L681" s="3244"/>
      <c r="M681" s="3244"/>
      <c r="N681" s="3242" t="s">
        <v>3384</v>
      </c>
      <c r="O681" s="3239">
        <v>0</v>
      </c>
      <c r="P681" s="3242">
        <v>0</v>
      </c>
      <c r="Q681" s="3244"/>
      <c r="R681" s="3244"/>
      <c r="S681" s="3242">
        <v>0</v>
      </c>
      <c r="T681" s="3244"/>
      <c r="U681" s="3244"/>
      <c r="V681" s="3244"/>
      <c r="W681" s="3240">
        <v>0</v>
      </c>
      <c r="X681" s="3244"/>
      <c r="Y681" s="3244"/>
      <c r="Z681" s="3242" t="s">
        <v>3384</v>
      </c>
      <c r="AA681" s="3243">
        <v>0</v>
      </c>
      <c r="AB681" s="3242">
        <v>0</v>
      </c>
      <c r="AC681" s="3244"/>
      <c r="AD681" s="3244"/>
      <c r="AE681" s="3242">
        <v>0</v>
      </c>
      <c r="AF681" s="3259"/>
      <c r="AG681" s="3260"/>
      <c r="AH681" s="3260"/>
      <c r="AI681" s="3260"/>
      <c r="AJ681" s="3260"/>
      <c r="AK681" s="3260"/>
      <c r="AL681" s="3259"/>
      <c r="AM681" s="3260"/>
      <c r="AN681" s="3259"/>
      <c r="AO681" s="3260"/>
      <c r="AP681" s="3242">
        <v>0</v>
      </c>
      <c r="AQ681" s="3244"/>
      <c r="AR681" s="3244"/>
      <c r="AS681" s="3242" t="s">
        <v>3384</v>
      </c>
      <c r="AT681" s="3247">
        <f t="shared" si="63"/>
        <v>0</v>
      </c>
      <c r="AU681" s="3248">
        <f t="shared" si="64"/>
        <v>0</v>
      </c>
      <c r="AV681" s="3248">
        <v>0</v>
      </c>
      <c r="AW681" s="3247">
        <v>0</v>
      </c>
      <c r="AX681" s="3248">
        <v>0</v>
      </c>
      <c r="AY681" s="3248">
        <v>0</v>
      </c>
      <c r="AZ681" s="3247">
        <v>0</v>
      </c>
      <c r="BA681" s="3248">
        <v>0</v>
      </c>
      <c r="BB681" s="3248">
        <v>0</v>
      </c>
      <c r="BC681" s="3247">
        <v>0</v>
      </c>
      <c r="BD681" s="3248">
        <v>0</v>
      </c>
      <c r="BE681" s="3248">
        <v>0</v>
      </c>
      <c r="BF681" s="3248">
        <f t="shared" si="65"/>
        <v>0</v>
      </c>
      <c r="BG681" s="3248">
        <f t="shared" si="66"/>
        <v>0</v>
      </c>
      <c r="BH681" s="3249"/>
      <c r="BI681" s="3249"/>
    </row>
    <row r="682" spans="1:61" x14ac:dyDescent="0.3">
      <c r="A682" s="4197" t="s">
        <v>3384</v>
      </c>
      <c r="B682" s="3261"/>
      <c r="C682" s="3243">
        <v>0</v>
      </c>
      <c r="D682" s="3242">
        <v>0</v>
      </c>
      <c r="E682" s="3244"/>
      <c r="F682" s="3244"/>
      <c r="G682" s="3242">
        <v>0</v>
      </c>
      <c r="H682" s="3244"/>
      <c r="I682" s="3244"/>
      <c r="J682" s="3244"/>
      <c r="K682" s="3242">
        <v>0</v>
      </c>
      <c r="L682" s="3244"/>
      <c r="M682" s="3244"/>
      <c r="N682" s="3242" t="s">
        <v>3384</v>
      </c>
      <c r="O682" s="3239">
        <v>0</v>
      </c>
      <c r="P682" s="3242">
        <v>0</v>
      </c>
      <c r="Q682" s="3244"/>
      <c r="R682" s="3244"/>
      <c r="S682" s="3242">
        <v>0</v>
      </c>
      <c r="T682" s="3244"/>
      <c r="U682" s="3244"/>
      <c r="V682" s="3244"/>
      <c r="W682" s="3240">
        <v>0</v>
      </c>
      <c r="X682" s="3244"/>
      <c r="Y682" s="3244"/>
      <c r="Z682" s="3242" t="s">
        <v>3384</v>
      </c>
      <c r="AA682" s="3243">
        <v>0</v>
      </c>
      <c r="AB682" s="3242">
        <v>0</v>
      </c>
      <c r="AC682" s="3244"/>
      <c r="AD682" s="3244"/>
      <c r="AE682" s="3242">
        <v>0</v>
      </c>
      <c r="AF682" s="3259"/>
      <c r="AG682" s="3260"/>
      <c r="AH682" s="3260"/>
      <c r="AI682" s="3260"/>
      <c r="AJ682" s="3260"/>
      <c r="AK682" s="3260"/>
      <c r="AL682" s="3259"/>
      <c r="AM682" s="3260"/>
      <c r="AN682" s="3259"/>
      <c r="AO682" s="3260"/>
      <c r="AP682" s="3242">
        <v>0</v>
      </c>
      <c r="AQ682" s="3244"/>
      <c r="AR682" s="3244"/>
      <c r="AS682" s="3242" t="s">
        <v>3384</v>
      </c>
      <c r="AT682" s="3247">
        <f t="shared" si="63"/>
        <v>0</v>
      </c>
      <c r="AU682" s="3248">
        <f t="shared" si="64"/>
        <v>0</v>
      </c>
      <c r="AV682" s="3248">
        <v>0</v>
      </c>
      <c r="AW682" s="3247">
        <v>0</v>
      </c>
      <c r="AX682" s="3248">
        <v>0</v>
      </c>
      <c r="AY682" s="3248">
        <v>0</v>
      </c>
      <c r="AZ682" s="3247">
        <v>0</v>
      </c>
      <c r="BA682" s="3248">
        <v>0</v>
      </c>
      <c r="BB682" s="3248">
        <v>0</v>
      </c>
      <c r="BC682" s="3247">
        <v>0</v>
      </c>
      <c r="BD682" s="3248">
        <v>0</v>
      </c>
      <c r="BE682" s="3248">
        <v>0</v>
      </c>
      <c r="BF682" s="3248">
        <f t="shared" si="65"/>
        <v>0</v>
      </c>
      <c r="BG682" s="3248">
        <f t="shared" si="66"/>
        <v>0</v>
      </c>
      <c r="BH682" s="3249"/>
      <c r="BI682" s="3249"/>
    </row>
    <row r="683" spans="1:61" x14ac:dyDescent="0.3">
      <c r="A683" s="4197" t="s">
        <v>3384</v>
      </c>
      <c r="B683" s="3261"/>
      <c r="C683" s="3243">
        <v>0</v>
      </c>
      <c r="D683" s="3242">
        <v>0</v>
      </c>
      <c r="E683" s="3244"/>
      <c r="F683" s="3244"/>
      <c r="G683" s="3242">
        <v>0</v>
      </c>
      <c r="H683" s="3244"/>
      <c r="I683" s="3244"/>
      <c r="J683" s="3244"/>
      <c r="K683" s="3242">
        <v>0</v>
      </c>
      <c r="L683" s="3244"/>
      <c r="M683" s="3244"/>
      <c r="N683" s="3242" t="s">
        <v>3384</v>
      </c>
      <c r="O683" s="3239">
        <v>0</v>
      </c>
      <c r="P683" s="3242">
        <v>0</v>
      </c>
      <c r="Q683" s="3244"/>
      <c r="R683" s="3244"/>
      <c r="S683" s="3242">
        <v>0</v>
      </c>
      <c r="T683" s="3244"/>
      <c r="U683" s="3244"/>
      <c r="V683" s="3244"/>
      <c r="W683" s="3240">
        <v>0</v>
      </c>
      <c r="X683" s="3244"/>
      <c r="Y683" s="3244"/>
      <c r="Z683" s="3242" t="s">
        <v>3384</v>
      </c>
      <c r="AA683" s="3243">
        <v>0</v>
      </c>
      <c r="AB683" s="3242">
        <v>0</v>
      </c>
      <c r="AC683" s="3244"/>
      <c r="AD683" s="3244"/>
      <c r="AE683" s="3242">
        <v>0</v>
      </c>
      <c r="AF683" s="3259"/>
      <c r="AG683" s="3260"/>
      <c r="AH683" s="3260"/>
      <c r="AI683" s="3260"/>
      <c r="AJ683" s="3260"/>
      <c r="AK683" s="3260"/>
      <c r="AL683" s="3259"/>
      <c r="AM683" s="3260"/>
      <c r="AN683" s="3259"/>
      <c r="AO683" s="3260"/>
      <c r="AP683" s="3242">
        <v>0</v>
      </c>
      <c r="AQ683" s="3244"/>
      <c r="AR683" s="3244"/>
      <c r="AS683" s="3242" t="s">
        <v>3384</v>
      </c>
      <c r="AT683" s="3247">
        <f t="shared" si="63"/>
        <v>0</v>
      </c>
      <c r="AU683" s="3248">
        <f t="shared" si="64"/>
        <v>0</v>
      </c>
      <c r="AV683" s="3248">
        <v>0</v>
      </c>
      <c r="AW683" s="3247">
        <v>0</v>
      </c>
      <c r="AX683" s="3248">
        <v>0</v>
      </c>
      <c r="AY683" s="3248">
        <v>0</v>
      </c>
      <c r="AZ683" s="3247">
        <v>0</v>
      </c>
      <c r="BA683" s="3248">
        <v>0</v>
      </c>
      <c r="BB683" s="3248">
        <v>0</v>
      </c>
      <c r="BC683" s="3247">
        <v>0</v>
      </c>
      <c r="BD683" s="3248">
        <v>0</v>
      </c>
      <c r="BE683" s="3248">
        <v>0</v>
      </c>
      <c r="BF683" s="3248">
        <f t="shared" si="65"/>
        <v>0</v>
      </c>
      <c r="BG683" s="3248">
        <f t="shared" si="66"/>
        <v>0</v>
      </c>
      <c r="BH683" s="3249"/>
      <c r="BI683" s="3249"/>
    </row>
    <row r="684" spans="1:61" x14ac:dyDescent="0.3">
      <c r="A684" s="4197" t="s">
        <v>3384</v>
      </c>
      <c r="B684" s="3261"/>
      <c r="C684" s="3243">
        <v>0</v>
      </c>
      <c r="D684" s="3242">
        <v>0</v>
      </c>
      <c r="E684" s="3244"/>
      <c r="F684" s="3244"/>
      <c r="G684" s="3242">
        <v>0</v>
      </c>
      <c r="H684" s="3244"/>
      <c r="I684" s="3244"/>
      <c r="J684" s="3244"/>
      <c r="K684" s="3242">
        <v>0</v>
      </c>
      <c r="L684" s="3244"/>
      <c r="M684" s="3244"/>
      <c r="N684" s="3242" t="s">
        <v>3384</v>
      </c>
      <c r="O684" s="3239">
        <v>0</v>
      </c>
      <c r="P684" s="3242">
        <v>0</v>
      </c>
      <c r="Q684" s="3244"/>
      <c r="R684" s="3244"/>
      <c r="S684" s="3242">
        <v>0</v>
      </c>
      <c r="T684" s="3244"/>
      <c r="U684" s="3244"/>
      <c r="V684" s="3244"/>
      <c r="W684" s="3240">
        <v>0</v>
      </c>
      <c r="X684" s="3244"/>
      <c r="Y684" s="3244"/>
      <c r="Z684" s="3242" t="s">
        <v>3384</v>
      </c>
      <c r="AA684" s="3243">
        <v>0</v>
      </c>
      <c r="AB684" s="3242">
        <v>0</v>
      </c>
      <c r="AC684" s="3244"/>
      <c r="AD684" s="3244"/>
      <c r="AE684" s="3242">
        <v>0</v>
      </c>
      <c r="AF684" s="3259"/>
      <c r="AG684" s="3260"/>
      <c r="AH684" s="3260"/>
      <c r="AI684" s="3260"/>
      <c r="AJ684" s="3260"/>
      <c r="AK684" s="3260"/>
      <c r="AL684" s="3259"/>
      <c r="AM684" s="3260"/>
      <c r="AN684" s="3259"/>
      <c r="AO684" s="3260"/>
      <c r="AP684" s="3242">
        <v>0</v>
      </c>
      <c r="AQ684" s="3244"/>
      <c r="AR684" s="3244"/>
      <c r="AS684" s="3242" t="s">
        <v>3384</v>
      </c>
      <c r="AT684" s="3247">
        <f t="shared" si="63"/>
        <v>0</v>
      </c>
      <c r="AU684" s="3248">
        <f t="shared" si="64"/>
        <v>0</v>
      </c>
      <c r="AV684" s="3248">
        <v>0</v>
      </c>
      <c r="AW684" s="3247">
        <v>0</v>
      </c>
      <c r="AX684" s="3248">
        <v>0</v>
      </c>
      <c r="AY684" s="3248">
        <v>0</v>
      </c>
      <c r="AZ684" s="3247">
        <v>0</v>
      </c>
      <c r="BA684" s="3248">
        <v>0</v>
      </c>
      <c r="BB684" s="3248">
        <v>0</v>
      </c>
      <c r="BC684" s="3247">
        <v>0</v>
      </c>
      <c r="BD684" s="3248">
        <v>0</v>
      </c>
      <c r="BE684" s="3248">
        <v>0</v>
      </c>
      <c r="BF684" s="3248">
        <f t="shared" si="65"/>
        <v>0</v>
      </c>
      <c r="BG684" s="3248">
        <f t="shared" si="66"/>
        <v>0</v>
      </c>
      <c r="BH684" s="3249"/>
      <c r="BI684" s="3249"/>
    </row>
    <row r="685" spans="1:61" x14ac:dyDescent="0.3">
      <c r="A685" s="4197" t="s">
        <v>3384</v>
      </c>
      <c r="B685" s="3261"/>
      <c r="C685" s="3243">
        <v>0</v>
      </c>
      <c r="D685" s="3242">
        <v>0</v>
      </c>
      <c r="E685" s="3244"/>
      <c r="F685" s="3244"/>
      <c r="G685" s="3242">
        <v>0</v>
      </c>
      <c r="H685" s="3244"/>
      <c r="I685" s="3244"/>
      <c r="J685" s="3244"/>
      <c r="K685" s="3242">
        <v>0</v>
      </c>
      <c r="L685" s="3244"/>
      <c r="M685" s="3244"/>
      <c r="N685" s="3242" t="s">
        <v>3384</v>
      </c>
      <c r="O685" s="3239">
        <v>0</v>
      </c>
      <c r="P685" s="3242">
        <v>0</v>
      </c>
      <c r="Q685" s="3244"/>
      <c r="R685" s="3244"/>
      <c r="S685" s="3242">
        <v>0</v>
      </c>
      <c r="T685" s="3244"/>
      <c r="U685" s="3244"/>
      <c r="V685" s="3244"/>
      <c r="W685" s="3240">
        <v>0</v>
      </c>
      <c r="X685" s="3244"/>
      <c r="Y685" s="3244"/>
      <c r="Z685" s="3242" t="s">
        <v>3384</v>
      </c>
      <c r="AA685" s="3243">
        <v>0</v>
      </c>
      <c r="AB685" s="3242">
        <v>0</v>
      </c>
      <c r="AC685" s="3244"/>
      <c r="AD685" s="3244"/>
      <c r="AE685" s="3242">
        <v>0</v>
      </c>
      <c r="AF685" s="3259"/>
      <c r="AG685" s="3260"/>
      <c r="AH685" s="3260"/>
      <c r="AI685" s="3260"/>
      <c r="AJ685" s="3260"/>
      <c r="AK685" s="3260"/>
      <c r="AL685" s="3259"/>
      <c r="AM685" s="3260"/>
      <c r="AN685" s="3259"/>
      <c r="AO685" s="3260"/>
      <c r="AP685" s="3242">
        <v>0</v>
      </c>
      <c r="AQ685" s="3244"/>
      <c r="AR685" s="3244"/>
      <c r="AS685" s="3242" t="s">
        <v>3384</v>
      </c>
      <c r="AT685" s="3247">
        <f t="shared" si="63"/>
        <v>0</v>
      </c>
      <c r="AU685" s="3248">
        <f t="shared" si="64"/>
        <v>0</v>
      </c>
      <c r="AV685" s="3248">
        <v>0</v>
      </c>
      <c r="AW685" s="3247">
        <v>0</v>
      </c>
      <c r="AX685" s="3248">
        <v>0</v>
      </c>
      <c r="AY685" s="3248">
        <v>0</v>
      </c>
      <c r="AZ685" s="3247">
        <v>0</v>
      </c>
      <c r="BA685" s="3248">
        <v>0</v>
      </c>
      <c r="BB685" s="3248">
        <v>0</v>
      </c>
      <c r="BC685" s="3247">
        <v>0</v>
      </c>
      <c r="BD685" s="3248">
        <v>0</v>
      </c>
      <c r="BE685" s="3248">
        <v>0</v>
      </c>
      <c r="BF685" s="3248">
        <f t="shared" si="65"/>
        <v>0</v>
      </c>
      <c r="BG685" s="3248">
        <f t="shared" si="66"/>
        <v>0</v>
      </c>
      <c r="BH685" s="3249"/>
      <c r="BI685" s="3249"/>
    </row>
    <row r="686" spans="1:61" x14ac:dyDescent="0.3">
      <c r="A686" s="4197" t="s">
        <v>3384</v>
      </c>
      <c r="B686" s="3261"/>
      <c r="C686" s="3243">
        <v>0</v>
      </c>
      <c r="D686" s="3242">
        <v>0</v>
      </c>
      <c r="E686" s="3244"/>
      <c r="F686" s="3244"/>
      <c r="G686" s="3242">
        <v>0</v>
      </c>
      <c r="H686" s="3244"/>
      <c r="I686" s="3244"/>
      <c r="J686" s="3244"/>
      <c r="K686" s="3242">
        <v>0</v>
      </c>
      <c r="L686" s="3244"/>
      <c r="M686" s="3244"/>
      <c r="N686" s="3242" t="s">
        <v>3384</v>
      </c>
      <c r="O686" s="3239">
        <v>0</v>
      </c>
      <c r="P686" s="3242">
        <v>0</v>
      </c>
      <c r="Q686" s="3244"/>
      <c r="R686" s="3244"/>
      <c r="S686" s="3242">
        <v>0</v>
      </c>
      <c r="T686" s="3244"/>
      <c r="U686" s="3244"/>
      <c r="V686" s="3244"/>
      <c r="W686" s="3240">
        <v>0</v>
      </c>
      <c r="X686" s="3244"/>
      <c r="Y686" s="3244"/>
      <c r="Z686" s="3242" t="s">
        <v>3384</v>
      </c>
      <c r="AA686" s="3243">
        <v>0</v>
      </c>
      <c r="AB686" s="3242">
        <v>0</v>
      </c>
      <c r="AC686" s="3244"/>
      <c r="AD686" s="3244"/>
      <c r="AE686" s="3242">
        <v>0</v>
      </c>
      <c r="AF686" s="3259"/>
      <c r="AG686" s="3260"/>
      <c r="AH686" s="3260"/>
      <c r="AI686" s="3260"/>
      <c r="AJ686" s="3260"/>
      <c r="AK686" s="3260"/>
      <c r="AL686" s="3259"/>
      <c r="AM686" s="3260"/>
      <c r="AN686" s="3259"/>
      <c r="AO686" s="3260"/>
      <c r="AP686" s="3242">
        <v>0</v>
      </c>
      <c r="AQ686" s="3244"/>
      <c r="AR686" s="3244"/>
      <c r="AS686" s="3242" t="s">
        <v>3384</v>
      </c>
      <c r="AT686" s="3247">
        <f t="shared" si="63"/>
        <v>0</v>
      </c>
      <c r="AU686" s="3248">
        <f t="shared" si="64"/>
        <v>0</v>
      </c>
      <c r="AV686" s="3248">
        <v>0</v>
      </c>
      <c r="AW686" s="3247">
        <v>0</v>
      </c>
      <c r="AX686" s="3248">
        <v>0</v>
      </c>
      <c r="AY686" s="3248">
        <v>0</v>
      </c>
      <c r="AZ686" s="3247">
        <v>0</v>
      </c>
      <c r="BA686" s="3248">
        <v>0</v>
      </c>
      <c r="BB686" s="3248">
        <v>0</v>
      </c>
      <c r="BC686" s="3247">
        <v>0</v>
      </c>
      <c r="BD686" s="3248">
        <v>0</v>
      </c>
      <c r="BE686" s="3248">
        <v>0</v>
      </c>
      <c r="BF686" s="3248">
        <f t="shared" si="65"/>
        <v>0</v>
      </c>
      <c r="BG686" s="3248">
        <f t="shared" si="66"/>
        <v>0</v>
      </c>
      <c r="BH686" s="3249"/>
      <c r="BI686" s="3249"/>
    </row>
    <row r="687" spans="1:61" x14ac:dyDescent="0.3">
      <c r="A687" s="4197" t="s">
        <v>3384</v>
      </c>
      <c r="B687" s="3261"/>
      <c r="C687" s="3243">
        <v>0</v>
      </c>
      <c r="D687" s="3242">
        <v>0</v>
      </c>
      <c r="E687" s="3244"/>
      <c r="F687" s="3244"/>
      <c r="G687" s="3242">
        <v>0</v>
      </c>
      <c r="H687" s="3244"/>
      <c r="I687" s="3244"/>
      <c r="J687" s="3244"/>
      <c r="K687" s="3242">
        <v>0</v>
      </c>
      <c r="L687" s="3244"/>
      <c r="M687" s="3244"/>
      <c r="N687" s="3242" t="s">
        <v>3384</v>
      </c>
      <c r="O687" s="3239">
        <v>0</v>
      </c>
      <c r="P687" s="3242">
        <v>0</v>
      </c>
      <c r="Q687" s="3244"/>
      <c r="R687" s="3244"/>
      <c r="S687" s="3242">
        <v>0</v>
      </c>
      <c r="T687" s="3244"/>
      <c r="U687" s="3244"/>
      <c r="V687" s="3244"/>
      <c r="W687" s="3240">
        <v>0</v>
      </c>
      <c r="X687" s="3244"/>
      <c r="Y687" s="3244"/>
      <c r="Z687" s="3242" t="s">
        <v>3384</v>
      </c>
      <c r="AA687" s="3243">
        <v>0</v>
      </c>
      <c r="AB687" s="3242">
        <v>0</v>
      </c>
      <c r="AC687" s="3244"/>
      <c r="AD687" s="3244"/>
      <c r="AE687" s="3242">
        <v>0</v>
      </c>
      <c r="AF687" s="3259"/>
      <c r="AG687" s="3260"/>
      <c r="AH687" s="3260"/>
      <c r="AI687" s="3260"/>
      <c r="AJ687" s="3260"/>
      <c r="AK687" s="3260"/>
      <c r="AL687" s="3259"/>
      <c r="AM687" s="3260"/>
      <c r="AN687" s="3259"/>
      <c r="AO687" s="3260"/>
      <c r="AP687" s="3242">
        <v>0</v>
      </c>
      <c r="AQ687" s="3244"/>
      <c r="AR687" s="3244"/>
      <c r="AS687" s="3242" t="s">
        <v>3384</v>
      </c>
      <c r="AT687" s="3247">
        <f t="shared" si="63"/>
        <v>0</v>
      </c>
      <c r="AU687" s="3248">
        <f t="shared" si="64"/>
        <v>0</v>
      </c>
      <c r="AV687" s="3248">
        <v>0</v>
      </c>
      <c r="AW687" s="3247">
        <v>0</v>
      </c>
      <c r="AX687" s="3248">
        <v>0</v>
      </c>
      <c r="AY687" s="3248">
        <v>0</v>
      </c>
      <c r="AZ687" s="3247">
        <v>0</v>
      </c>
      <c r="BA687" s="3248">
        <v>0</v>
      </c>
      <c r="BB687" s="3248">
        <v>0</v>
      </c>
      <c r="BC687" s="3247">
        <v>0</v>
      </c>
      <c r="BD687" s="3248">
        <v>0</v>
      </c>
      <c r="BE687" s="3248">
        <v>0</v>
      </c>
      <c r="BF687" s="3248">
        <f t="shared" si="65"/>
        <v>0</v>
      </c>
      <c r="BG687" s="3248">
        <f t="shared" si="66"/>
        <v>0</v>
      </c>
      <c r="BH687" s="3249"/>
      <c r="BI687" s="3249"/>
    </row>
    <row r="688" spans="1:61" x14ac:dyDescent="0.3">
      <c r="A688" s="4197" t="s">
        <v>3384</v>
      </c>
      <c r="B688" s="3261"/>
      <c r="C688" s="3243">
        <v>0</v>
      </c>
      <c r="D688" s="3242">
        <v>0</v>
      </c>
      <c r="E688" s="3244"/>
      <c r="F688" s="3244"/>
      <c r="G688" s="3242">
        <v>0</v>
      </c>
      <c r="H688" s="3244"/>
      <c r="I688" s="3244"/>
      <c r="J688" s="3244"/>
      <c r="K688" s="3242">
        <v>0</v>
      </c>
      <c r="L688" s="3244"/>
      <c r="M688" s="3244"/>
      <c r="N688" s="3242" t="s">
        <v>3384</v>
      </c>
      <c r="O688" s="3239">
        <v>0</v>
      </c>
      <c r="P688" s="3242">
        <v>0</v>
      </c>
      <c r="Q688" s="3244"/>
      <c r="R688" s="3244"/>
      <c r="S688" s="3242">
        <v>0</v>
      </c>
      <c r="T688" s="3244"/>
      <c r="U688" s="3244"/>
      <c r="V688" s="3244"/>
      <c r="W688" s="3240">
        <v>0</v>
      </c>
      <c r="X688" s="3244"/>
      <c r="Y688" s="3244"/>
      <c r="Z688" s="3242" t="s">
        <v>3384</v>
      </c>
      <c r="AA688" s="3243">
        <v>0</v>
      </c>
      <c r="AB688" s="3242">
        <v>0</v>
      </c>
      <c r="AC688" s="3244"/>
      <c r="AD688" s="3244"/>
      <c r="AE688" s="3242">
        <v>0</v>
      </c>
      <c r="AF688" s="3259"/>
      <c r="AG688" s="3260"/>
      <c r="AH688" s="3260"/>
      <c r="AI688" s="3260"/>
      <c r="AJ688" s="3260"/>
      <c r="AK688" s="3260"/>
      <c r="AL688" s="3259"/>
      <c r="AM688" s="3260"/>
      <c r="AN688" s="3259"/>
      <c r="AO688" s="3260"/>
      <c r="AP688" s="3242">
        <v>0</v>
      </c>
      <c r="AQ688" s="3244"/>
      <c r="AR688" s="3244"/>
      <c r="AS688" s="3242" t="s">
        <v>3384</v>
      </c>
      <c r="AT688" s="3247">
        <f t="shared" si="63"/>
        <v>0</v>
      </c>
      <c r="AU688" s="3248">
        <f t="shared" si="64"/>
        <v>0</v>
      </c>
      <c r="AV688" s="3248">
        <v>0</v>
      </c>
      <c r="AW688" s="3247">
        <v>0</v>
      </c>
      <c r="AX688" s="3248">
        <v>0</v>
      </c>
      <c r="AY688" s="3248">
        <v>0</v>
      </c>
      <c r="AZ688" s="3247">
        <v>0</v>
      </c>
      <c r="BA688" s="3248">
        <v>0</v>
      </c>
      <c r="BB688" s="3248">
        <v>0</v>
      </c>
      <c r="BC688" s="3247">
        <v>0</v>
      </c>
      <c r="BD688" s="3248">
        <v>0</v>
      </c>
      <c r="BE688" s="3248">
        <v>0</v>
      </c>
      <c r="BF688" s="3248">
        <f t="shared" si="65"/>
        <v>0</v>
      </c>
      <c r="BG688" s="3248">
        <f t="shared" si="66"/>
        <v>0</v>
      </c>
      <c r="BH688" s="3249"/>
      <c r="BI688" s="3249"/>
    </row>
    <row r="689" spans="1:61" x14ac:dyDescent="0.3">
      <c r="A689" s="4197" t="s">
        <v>3384</v>
      </c>
      <c r="B689" s="3261"/>
      <c r="C689" s="3243">
        <v>0</v>
      </c>
      <c r="D689" s="3242">
        <v>0</v>
      </c>
      <c r="E689" s="3244"/>
      <c r="F689" s="3244"/>
      <c r="G689" s="3242">
        <v>0</v>
      </c>
      <c r="H689" s="3244"/>
      <c r="I689" s="3244"/>
      <c r="J689" s="3244"/>
      <c r="K689" s="3242">
        <v>0</v>
      </c>
      <c r="L689" s="3244"/>
      <c r="M689" s="3244"/>
      <c r="N689" s="3242" t="s">
        <v>3384</v>
      </c>
      <c r="O689" s="3239">
        <v>0</v>
      </c>
      <c r="P689" s="3242">
        <v>0</v>
      </c>
      <c r="Q689" s="3244"/>
      <c r="R689" s="3244"/>
      <c r="S689" s="3242">
        <v>0</v>
      </c>
      <c r="T689" s="3244"/>
      <c r="U689" s="3244"/>
      <c r="V689" s="3244"/>
      <c r="W689" s="3240">
        <v>0</v>
      </c>
      <c r="X689" s="3244"/>
      <c r="Y689" s="3244"/>
      <c r="Z689" s="3242" t="s">
        <v>3384</v>
      </c>
      <c r="AA689" s="3243">
        <v>0</v>
      </c>
      <c r="AB689" s="3242">
        <v>0</v>
      </c>
      <c r="AC689" s="3244"/>
      <c r="AD689" s="3244"/>
      <c r="AE689" s="3242">
        <v>0</v>
      </c>
      <c r="AF689" s="3259"/>
      <c r="AG689" s="3260"/>
      <c r="AH689" s="3260"/>
      <c r="AI689" s="3260"/>
      <c r="AJ689" s="3260"/>
      <c r="AK689" s="3260"/>
      <c r="AL689" s="3259"/>
      <c r="AM689" s="3260"/>
      <c r="AN689" s="3259"/>
      <c r="AO689" s="3260"/>
      <c r="AP689" s="3242">
        <v>0</v>
      </c>
      <c r="AQ689" s="3244"/>
      <c r="AR689" s="3244"/>
      <c r="AS689" s="3242" t="s">
        <v>3384</v>
      </c>
      <c r="AT689" s="3247">
        <f t="shared" si="63"/>
        <v>0</v>
      </c>
      <c r="AU689" s="3248">
        <f t="shared" si="64"/>
        <v>0</v>
      </c>
      <c r="AV689" s="3248">
        <v>0</v>
      </c>
      <c r="AW689" s="3247">
        <v>0</v>
      </c>
      <c r="AX689" s="3248">
        <v>0</v>
      </c>
      <c r="AY689" s="3248">
        <v>0</v>
      </c>
      <c r="AZ689" s="3247">
        <v>0</v>
      </c>
      <c r="BA689" s="3248">
        <v>0</v>
      </c>
      <c r="BB689" s="3248">
        <v>0</v>
      </c>
      <c r="BC689" s="3247">
        <v>0</v>
      </c>
      <c r="BD689" s="3248">
        <v>0</v>
      </c>
      <c r="BE689" s="3248">
        <v>0</v>
      </c>
      <c r="BF689" s="3248">
        <f t="shared" si="65"/>
        <v>0</v>
      </c>
      <c r="BG689" s="3248">
        <f t="shared" si="66"/>
        <v>0</v>
      </c>
      <c r="BH689" s="3249"/>
      <c r="BI689" s="3249"/>
    </row>
    <row r="690" spans="1:61" x14ac:dyDescent="0.3">
      <c r="A690" s="4197" t="s">
        <v>3384</v>
      </c>
      <c r="B690" s="3261"/>
      <c r="C690" s="3243">
        <v>0</v>
      </c>
      <c r="D690" s="3242">
        <v>0</v>
      </c>
      <c r="E690" s="3244"/>
      <c r="F690" s="3244"/>
      <c r="G690" s="3242">
        <v>0</v>
      </c>
      <c r="H690" s="3244"/>
      <c r="I690" s="3244"/>
      <c r="J690" s="3244"/>
      <c r="K690" s="3242">
        <v>0</v>
      </c>
      <c r="L690" s="3244"/>
      <c r="M690" s="3244"/>
      <c r="N690" s="3242" t="s">
        <v>3384</v>
      </c>
      <c r="O690" s="3239">
        <v>0</v>
      </c>
      <c r="P690" s="3242">
        <v>0</v>
      </c>
      <c r="Q690" s="3244"/>
      <c r="R690" s="3244"/>
      <c r="S690" s="3242">
        <v>0</v>
      </c>
      <c r="T690" s="3244"/>
      <c r="U690" s="3244"/>
      <c r="V690" s="3244"/>
      <c r="W690" s="3240">
        <v>0</v>
      </c>
      <c r="X690" s="3244"/>
      <c r="Y690" s="3244"/>
      <c r="Z690" s="3242" t="s">
        <v>3384</v>
      </c>
      <c r="AA690" s="3243">
        <v>0</v>
      </c>
      <c r="AB690" s="3242">
        <v>0</v>
      </c>
      <c r="AC690" s="3244"/>
      <c r="AD690" s="3244"/>
      <c r="AE690" s="3242">
        <v>0</v>
      </c>
      <c r="AF690" s="3259"/>
      <c r="AG690" s="3260"/>
      <c r="AH690" s="3260"/>
      <c r="AI690" s="3260"/>
      <c r="AJ690" s="3260"/>
      <c r="AK690" s="3260"/>
      <c r="AL690" s="3259"/>
      <c r="AM690" s="3260"/>
      <c r="AN690" s="3259"/>
      <c r="AO690" s="3260"/>
      <c r="AP690" s="3242">
        <v>0</v>
      </c>
      <c r="AQ690" s="3244"/>
      <c r="AR690" s="3244"/>
      <c r="AS690" s="3242" t="s">
        <v>3384</v>
      </c>
      <c r="AT690" s="3247">
        <f t="shared" si="63"/>
        <v>0</v>
      </c>
      <c r="AU690" s="3248">
        <f t="shared" si="64"/>
        <v>0</v>
      </c>
      <c r="AV690" s="3248">
        <v>0</v>
      </c>
      <c r="AW690" s="3247">
        <v>0</v>
      </c>
      <c r="AX690" s="3248">
        <v>0</v>
      </c>
      <c r="AY690" s="3248">
        <v>0</v>
      </c>
      <c r="AZ690" s="3247">
        <v>0</v>
      </c>
      <c r="BA690" s="3248">
        <v>0</v>
      </c>
      <c r="BB690" s="3248">
        <v>0</v>
      </c>
      <c r="BC690" s="3247">
        <v>0</v>
      </c>
      <c r="BD690" s="3248">
        <v>0</v>
      </c>
      <c r="BE690" s="3248">
        <v>0</v>
      </c>
      <c r="BF690" s="3248">
        <f t="shared" si="65"/>
        <v>0</v>
      </c>
      <c r="BG690" s="3248">
        <f t="shared" si="66"/>
        <v>0</v>
      </c>
      <c r="BH690" s="3249"/>
      <c r="BI690" s="3249"/>
    </row>
    <row r="691" spans="1:61" x14ac:dyDescent="0.3">
      <c r="A691" s="4197" t="s">
        <v>3384</v>
      </c>
      <c r="B691" s="3261"/>
      <c r="C691" s="3243">
        <v>0</v>
      </c>
      <c r="D691" s="3242">
        <v>0</v>
      </c>
      <c r="E691" s="3244"/>
      <c r="F691" s="3244"/>
      <c r="G691" s="3242">
        <v>0</v>
      </c>
      <c r="H691" s="3244"/>
      <c r="I691" s="3244"/>
      <c r="J691" s="3244"/>
      <c r="K691" s="3242">
        <v>0</v>
      </c>
      <c r="L691" s="3244"/>
      <c r="M691" s="3244"/>
      <c r="N691" s="3242" t="s">
        <v>3384</v>
      </c>
      <c r="O691" s="3239">
        <v>0</v>
      </c>
      <c r="P691" s="3242">
        <v>0</v>
      </c>
      <c r="Q691" s="3244"/>
      <c r="R691" s="3244"/>
      <c r="S691" s="3242">
        <v>0</v>
      </c>
      <c r="T691" s="3244"/>
      <c r="U691" s="3244"/>
      <c r="V691" s="3244"/>
      <c r="W691" s="3240">
        <v>0</v>
      </c>
      <c r="X691" s="3244"/>
      <c r="Y691" s="3244"/>
      <c r="Z691" s="3242" t="s">
        <v>3384</v>
      </c>
      <c r="AA691" s="3243">
        <v>0</v>
      </c>
      <c r="AB691" s="3242">
        <v>0</v>
      </c>
      <c r="AC691" s="3244"/>
      <c r="AD691" s="3244"/>
      <c r="AE691" s="3242">
        <v>0</v>
      </c>
      <c r="AF691" s="3259"/>
      <c r="AG691" s="3260"/>
      <c r="AH691" s="3260"/>
      <c r="AI691" s="3260"/>
      <c r="AJ691" s="3260"/>
      <c r="AK691" s="3260"/>
      <c r="AL691" s="3259"/>
      <c r="AM691" s="3260"/>
      <c r="AN691" s="3259"/>
      <c r="AO691" s="3260"/>
      <c r="AP691" s="3242">
        <v>0</v>
      </c>
      <c r="AQ691" s="3244"/>
      <c r="AR691" s="3244"/>
      <c r="AS691" s="3242" t="s">
        <v>3384</v>
      </c>
      <c r="AT691" s="3247">
        <f t="shared" si="63"/>
        <v>0</v>
      </c>
      <c r="AU691" s="3248">
        <f t="shared" si="64"/>
        <v>0</v>
      </c>
      <c r="AV691" s="3248">
        <v>0</v>
      </c>
      <c r="AW691" s="3247">
        <v>0</v>
      </c>
      <c r="AX691" s="3248">
        <v>0</v>
      </c>
      <c r="AY691" s="3248">
        <v>0</v>
      </c>
      <c r="AZ691" s="3247">
        <v>0</v>
      </c>
      <c r="BA691" s="3248">
        <v>0</v>
      </c>
      <c r="BB691" s="3248">
        <v>0</v>
      </c>
      <c r="BC691" s="3247">
        <v>0</v>
      </c>
      <c r="BD691" s="3248">
        <v>0</v>
      </c>
      <c r="BE691" s="3248">
        <v>0</v>
      </c>
      <c r="BF691" s="3248">
        <f t="shared" si="65"/>
        <v>0</v>
      </c>
      <c r="BG691" s="3248">
        <f t="shared" si="66"/>
        <v>0</v>
      </c>
      <c r="BH691" s="3249"/>
      <c r="BI691" s="3249"/>
    </row>
    <row r="692" spans="1:61" x14ac:dyDescent="0.3">
      <c r="A692" s="4197" t="s">
        <v>3384</v>
      </c>
      <c r="B692" s="3261"/>
      <c r="C692" s="3243">
        <v>0</v>
      </c>
      <c r="D692" s="3242">
        <v>0</v>
      </c>
      <c r="E692" s="3244"/>
      <c r="F692" s="3244"/>
      <c r="G692" s="3242">
        <v>0</v>
      </c>
      <c r="H692" s="3244"/>
      <c r="I692" s="3244"/>
      <c r="J692" s="3244"/>
      <c r="K692" s="3242">
        <v>0</v>
      </c>
      <c r="L692" s="3244"/>
      <c r="M692" s="3244"/>
      <c r="N692" s="3242" t="s">
        <v>3384</v>
      </c>
      <c r="O692" s="3239">
        <v>0</v>
      </c>
      <c r="P692" s="3242">
        <v>0</v>
      </c>
      <c r="Q692" s="3244"/>
      <c r="R692" s="3244"/>
      <c r="S692" s="3242">
        <v>0</v>
      </c>
      <c r="T692" s="3244"/>
      <c r="U692" s="3244"/>
      <c r="V692" s="3244"/>
      <c r="W692" s="3240">
        <v>0</v>
      </c>
      <c r="X692" s="3244"/>
      <c r="Y692" s="3244"/>
      <c r="Z692" s="3242" t="s">
        <v>3384</v>
      </c>
      <c r="AA692" s="3243">
        <v>0</v>
      </c>
      <c r="AB692" s="3242">
        <v>0</v>
      </c>
      <c r="AC692" s="3244"/>
      <c r="AD692" s="3244"/>
      <c r="AE692" s="3242">
        <v>0</v>
      </c>
      <c r="AF692" s="3259"/>
      <c r="AG692" s="3260"/>
      <c r="AH692" s="3260"/>
      <c r="AI692" s="3260"/>
      <c r="AJ692" s="3260"/>
      <c r="AK692" s="3260"/>
      <c r="AL692" s="3259"/>
      <c r="AM692" s="3260"/>
      <c r="AN692" s="3259"/>
      <c r="AO692" s="3260"/>
      <c r="AP692" s="3242">
        <v>0</v>
      </c>
      <c r="AQ692" s="3244"/>
      <c r="AR692" s="3244"/>
      <c r="AS692" s="3242" t="s">
        <v>3384</v>
      </c>
      <c r="AT692" s="3247">
        <f t="shared" si="63"/>
        <v>0</v>
      </c>
      <c r="AU692" s="3248">
        <f t="shared" si="64"/>
        <v>0</v>
      </c>
      <c r="AV692" s="3248">
        <v>0</v>
      </c>
      <c r="AW692" s="3247">
        <v>0</v>
      </c>
      <c r="AX692" s="3248">
        <v>0</v>
      </c>
      <c r="AY692" s="3248">
        <v>0</v>
      </c>
      <c r="AZ692" s="3247">
        <v>0</v>
      </c>
      <c r="BA692" s="3248">
        <v>0</v>
      </c>
      <c r="BB692" s="3248">
        <v>0</v>
      </c>
      <c r="BC692" s="3247">
        <v>0</v>
      </c>
      <c r="BD692" s="3248">
        <v>0</v>
      </c>
      <c r="BE692" s="3248">
        <v>0</v>
      </c>
      <c r="BF692" s="3248">
        <f t="shared" si="65"/>
        <v>0</v>
      </c>
      <c r="BG692" s="3248">
        <f t="shared" si="66"/>
        <v>0</v>
      </c>
      <c r="BH692" s="3249"/>
      <c r="BI692" s="3249"/>
    </row>
    <row r="693" spans="1:61" x14ac:dyDescent="0.3">
      <c r="A693" s="4197" t="s">
        <v>3384</v>
      </c>
      <c r="B693" s="3261"/>
      <c r="C693" s="3243">
        <v>0</v>
      </c>
      <c r="D693" s="3242">
        <v>0</v>
      </c>
      <c r="E693" s="3244"/>
      <c r="F693" s="3244"/>
      <c r="G693" s="3242">
        <v>0</v>
      </c>
      <c r="H693" s="3244"/>
      <c r="I693" s="3244"/>
      <c r="J693" s="3244"/>
      <c r="K693" s="3242">
        <v>0</v>
      </c>
      <c r="L693" s="3244"/>
      <c r="M693" s="3244"/>
      <c r="N693" s="3242" t="s">
        <v>3384</v>
      </c>
      <c r="O693" s="3239">
        <v>0</v>
      </c>
      <c r="P693" s="3242">
        <v>0</v>
      </c>
      <c r="Q693" s="3244"/>
      <c r="R693" s="3244"/>
      <c r="S693" s="3242">
        <v>0</v>
      </c>
      <c r="T693" s="3244"/>
      <c r="U693" s="3244"/>
      <c r="V693" s="3244"/>
      <c r="W693" s="3240">
        <v>0</v>
      </c>
      <c r="X693" s="3244"/>
      <c r="Y693" s="3244"/>
      <c r="Z693" s="3242" t="s">
        <v>3384</v>
      </c>
      <c r="AA693" s="3243">
        <v>0</v>
      </c>
      <c r="AB693" s="3242">
        <v>0</v>
      </c>
      <c r="AC693" s="3244"/>
      <c r="AD693" s="3244"/>
      <c r="AE693" s="3242">
        <v>0</v>
      </c>
      <c r="AF693" s="3259"/>
      <c r="AG693" s="3260"/>
      <c r="AH693" s="3260"/>
      <c r="AI693" s="3260"/>
      <c r="AJ693" s="3260"/>
      <c r="AK693" s="3260"/>
      <c r="AL693" s="3259"/>
      <c r="AM693" s="3260"/>
      <c r="AN693" s="3259"/>
      <c r="AO693" s="3260"/>
      <c r="AP693" s="3242">
        <v>0</v>
      </c>
      <c r="AQ693" s="3244"/>
      <c r="AR693" s="3244"/>
      <c r="AS693" s="3242" t="s">
        <v>3384</v>
      </c>
      <c r="AT693" s="3247">
        <f t="shared" si="63"/>
        <v>0</v>
      </c>
      <c r="AU693" s="3248">
        <f t="shared" si="64"/>
        <v>0</v>
      </c>
      <c r="AV693" s="3248">
        <v>0</v>
      </c>
      <c r="AW693" s="3247">
        <v>0</v>
      </c>
      <c r="AX693" s="3248">
        <v>0</v>
      </c>
      <c r="AY693" s="3248">
        <v>0</v>
      </c>
      <c r="AZ693" s="3247">
        <v>0</v>
      </c>
      <c r="BA693" s="3248">
        <v>0</v>
      </c>
      <c r="BB693" s="3248">
        <v>0</v>
      </c>
      <c r="BC693" s="3247">
        <v>0</v>
      </c>
      <c r="BD693" s="3248">
        <v>0</v>
      </c>
      <c r="BE693" s="3248">
        <v>0</v>
      </c>
      <c r="BF693" s="3248">
        <f t="shared" si="65"/>
        <v>0</v>
      </c>
      <c r="BG693" s="3248">
        <f t="shared" si="66"/>
        <v>0</v>
      </c>
      <c r="BH693" s="3249"/>
      <c r="BI693" s="3249"/>
    </row>
    <row r="694" spans="1:61" x14ac:dyDescent="0.3">
      <c r="A694" s="4197" t="s">
        <v>3384</v>
      </c>
      <c r="B694" s="3261"/>
      <c r="C694" s="3243">
        <v>0</v>
      </c>
      <c r="D694" s="3242">
        <v>0</v>
      </c>
      <c r="E694" s="3244"/>
      <c r="F694" s="3244"/>
      <c r="G694" s="3242">
        <v>0</v>
      </c>
      <c r="H694" s="3244"/>
      <c r="I694" s="3244"/>
      <c r="J694" s="3244"/>
      <c r="K694" s="3242">
        <v>0</v>
      </c>
      <c r="L694" s="3244"/>
      <c r="M694" s="3244"/>
      <c r="N694" s="3242" t="s">
        <v>3384</v>
      </c>
      <c r="O694" s="3239">
        <v>0</v>
      </c>
      <c r="P694" s="3242">
        <v>0</v>
      </c>
      <c r="Q694" s="3244"/>
      <c r="R694" s="3244"/>
      <c r="S694" s="3242">
        <v>0</v>
      </c>
      <c r="T694" s="3244"/>
      <c r="U694" s="3244"/>
      <c r="V694" s="3244"/>
      <c r="W694" s="3240">
        <v>0</v>
      </c>
      <c r="X694" s="3244"/>
      <c r="Y694" s="3244"/>
      <c r="Z694" s="3242" t="s">
        <v>3384</v>
      </c>
      <c r="AA694" s="3243">
        <v>0</v>
      </c>
      <c r="AB694" s="3242">
        <v>0</v>
      </c>
      <c r="AC694" s="3244"/>
      <c r="AD694" s="3244"/>
      <c r="AE694" s="3242">
        <v>0</v>
      </c>
      <c r="AF694" s="3259"/>
      <c r="AG694" s="3260"/>
      <c r="AH694" s="3260"/>
      <c r="AI694" s="3260"/>
      <c r="AJ694" s="3260"/>
      <c r="AK694" s="3260"/>
      <c r="AL694" s="3259"/>
      <c r="AM694" s="3260"/>
      <c r="AN694" s="3259"/>
      <c r="AO694" s="3260"/>
      <c r="AP694" s="3242">
        <v>0</v>
      </c>
      <c r="AQ694" s="3244"/>
      <c r="AR694" s="3244"/>
      <c r="AS694" s="3242" t="s">
        <v>3384</v>
      </c>
      <c r="AT694" s="3247">
        <f t="shared" si="63"/>
        <v>0</v>
      </c>
      <c r="AU694" s="3248">
        <f t="shared" si="64"/>
        <v>0</v>
      </c>
      <c r="AV694" s="3248">
        <v>0</v>
      </c>
      <c r="AW694" s="3247">
        <v>0</v>
      </c>
      <c r="AX694" s="3248">
        <v>0</v>
      </c>
      <c r="AY694" s="3248">
        <v>0</v>
      </c>
      <c r="AZ694" s="3247">
        <v>0</v>
      </c>
      <c r="BA694" s="3248">
        <v>0</v>
      </c>
      <c r="BB694" s="3248">
        <v>0</v>
      </c>
      <c r="BC694" s="3247">
        <v>0</v>
      </c>
      <c r="BD694" s="3248">
        <v>0</v>
      </c>
      <c r="BE694" s="3248">
        <v>0</v>
      </c>
      <c r="BF694" s="3248">
        <f t="shared" si="65"/>
        <v>0</v>
      </c>
      <c r="BG694" s="3248">
        <f t="shared" si="66"/>
        <v>0</v>
      </c>
      <c r="BH694" s="3249"/>
      <c r="BI694" s="3249"/>
    </row>
    <row r="695" spans="1:61" x14ac:dyDescent="0.3">
      <c r="A695" s="4197" t="s">
        <v>3384</v>
      </c>
      <c r="B695" s="3261"/>
      <c r="C695" s="3243">
        <v>0</v>
      </c>
      <c r="D695" s="3242">
        <v>0</v>
      </c>
      <c r="E695" s="3244"/>
      <c r="F695" s="3244"/>
      <c r="G695" s="3242">
        <v>0</v>
      </c>
      <c r="H695" s="3244"/>
      <c r="I695" s="3244"/>
      <c r="J695" s="3244"/>
      <c r="K695" s="3242">
        <v>0</v>
      </c>
      <c r="L695" s="3244"/>
      <c r="M695" s="3244"/>
      <c r="N695" s="3242" t="s">
        <v>3384</v>
      </c>
      <c r="O695" s="3239">
        <v>0</v>
      </c>
      <c r="P695" s="3242">
        <v>0</v>
      </c>
      <c r="Q695" s="3244"/>
      <c r="R695" s="3244"/>
      <c r="S695" s="3242">
        <v>0</v>
      </c>
      <c r="T695" s="3244"/>
      <c r="U695" s="3244"/>
      <c r="V695" s="3244"/>
      <c r="W695" s="3240">
        <v>0</v>
      </c>
      <c r="X695" s="3244"/>
      <c r="Y695" s="3244"/>
      <c r="Z695" s="3242" t="s">
        <v>3384</v>
      </c>
      <c r="AA695" s="3243">
        <v>0</v>
      </c>
      <c r="AB695" s="3242">
        <v>0</v>
      </c>
      <c r="AC695" s="3244"/>
      <c r="AD695" s="3244"/>
      <c r="AE695" s="3242">
        <v>0</v>
      </c>
      <c r="AF695" s="3259"/>
      <c r="AG695" s="3260"/>
      <c r="AH695" s="3260"/>
      <c r="AI695" s="3260"/>
      <c r="AJ695" s="3260"/>
      <c r="AK695" s="3260"/>
      <c r="AL695" s="3259"/>
      <c r="AM695" s="3260"/>
      <c r="AN695" s="3259"/>
      <c r="AO695" s="3260"/>
      <c r="AP695" s="3242">
        <v>0</v>
      </c>
      <c r="AQ695" s="3244"/>
      <c r="AR695" s="3244"/>
      <c r="AS695" s="3242" t="s">
        <v>3384</v>
      </c>
      <c r="AT695" s="3247">
        <f t="shared" si="63"/>
        <v>0</v>
      </c>
      <c r="AU695" s="3248">
        <f t="shared" si="64"/>
        <v>0</v>
      </c>
      <c r="AV695" s="3248">
        <v>0</v>
      </c>
      <c r="AW695" s="3247">
        <v>0</v>
      </c>
      <c r="AX695" s="3248">
        <v>0</v>
      </c>
      <c r="AY695" s="3248">
        <v>0</v>
      </c>
      <c r="AZ695" s="3247">
        <v>0</v>
      </c>
      <c r="BA695" s="3248">
        <v>0</v>
      </c>
      <c r="BB695" s="3248">
        <v>0</v>
      </c>
      <c r="BC695" s="3247">
        <v>0</v>
      </c>
      <c r="BD695" s="3248">
        <v>0</v>
      </c>
      <c r="BE695" s="3248">
        <v>0</v>
      </c>
      <c r="BF695" s="3248">
        <f t="shared" si="65"/>
        <v>0</v>
      </c>
      <c r="BG695" s="3248">
        <f t="shared" si="66"/>
        <v>0</v>
      </c>
      <c r="BH695" s="3249"/>
      <c r="BI695" s="3249"/>
    </row>
    <row r="696" spans="1:61" x14ac:dyDescent="0.3">
      <c r="A696" s="4197" t="s">
        <v>3384</v>
      </c>
      <c r="B696" s="3261"/>
      <c r="C696" s="3243">
        <v>0</v>
      </c>
      <c r="D696" s="3242">
        <v>0</v>
      </c>
      <c r="E696" s="3244"/>
      <c r="F696" s="3244"/>
      <c r="G696" s="3242">
        <v>0</v>
      </c>
      <c r="H696" s="3244"/>
      <c r="I696" s="3244"/>
      <c r="J696" s="3244"/>
      <c r="K696" s="3242">
        <v>0</v>
      </c>
      <c r="L696" s="3244"/>
      <c r="M696" s="3244"/>
      <c r="N696" s="3242" t="s">
        <v>3384</v>
      </c>
      <c r="O696" s="3239">
        <v>0</v>
      </c>
      <c r="P696" s="3242">
        <v>0</v>
      </c>
      <c r="Q696" s="3244"/>
      <c r="R696" s="3244"/>
      <c r="S696" s="3242">
        <v>0</v>
      </c>
      <c r="T696" s="3244"/>
      <c r="U696" s="3244"/>
      <c r="V696" s="3244"/>
      <c r="W696" s="3240">
        <v>0</v>
      </c>
      <c r="X696" s="3244"/>
      <c r="Y696" s="3244"/>
      <c r="Z696" s="3242" t="s">
        <v>3384</v>
      </c>
      <c r="AA696" s="3243">
        <v>0</v>
      </c>
      <c r="AB696" s="3242">
        <v>0</v>
      </c>
      <c r="AC696" s="3244"/>
      <c r="AD696" s="3244"/>
      <c r="AE696" s="3242">
        <v>0</v>
      </c>
      <c r="AF696" s="3259"/>
      <c r="AG696" s="3260"/>
      <c r="AH696" s="3260"/>
      <c r="AI696" s="3260"/>
      <c r="AJ696" s="3260"/>
      <c r="AK696" s="3260"/>
      <c r="AL696" s="3259"/>
      <c r="AM696" s="3260"/>
      <c r="AN696" s="3259"/>
      <c r="AO696" s="3260"/>
      <c r="AP696" s="3242">
        <v>0</v>
      </c>
      <c r="AQ696" s="3244"/>
      <c r="AR696" s="3244"/>
      <c r="AS696" s="3242" t="s">
        <v>3384</v>
      </c>
      <c r="AT696" s="3247">
        <f t="shared" si="63"/>
        <v>0</v>
      </c>
      <c r="AU696" s="3248">
        <f t="shared" si="64"/>
        <v>0</v>
      </c>
      <c r="AV696" s="3248">
        <v>0</v>
      </c>
      <c r="AW696" s="3247">
        <v>0</v>
      </c>
      <c r="AX696" s="3248">
        <v>0</v>
      </c>
      <c r="AY696" s="3248">
        <v>0</v>
      </c>
      <c r="AZ696" s="3247">
        <v>0</v>
      </c>
      <c r="BA696" s="3248">
        <v>0</v>
      </c>
      <c r="BB696" s="3248">
        <v>0</v>
      </c>
      <c r="BC696" s="3247">
        <v>0</v>
      </c>
      <c r="BD696" s="3248">
        <v>0</v>
      </c>
      <c r="BE696" s="3248">
        <v>0</v>
      </c>
      <c r="BF696" s="3248">
        <f t="shared" si="65"/>
        <v>0</v>
      </c>
      <c r="BG696" s="3248">
        <f t="shared" si="66"/>
        <v>0</v>
      </c>
      <c r="BH696" s="3249"/>
      <c r="BI696" s="3249"/>
    </row>
    <row r="697" spans="1:61" x14ac:dyDescent="0.3">
      <c r="A697" s="4197" t="s">
        <v>3384</v>
      </c>
      <c r="B697" s="3261"/>
      <c r="C697" s="3243">
        <v>0</v>
      </c>
      <c r="D697" s="3242">
        <v>0</v>
      </c>
      <c r="E697" s="3244"/>
      <c r="F697" s="3244"/>
      <c r="G697" s="3242">
        <v>0</v>
      </c>
      <c r="H697" s="3244"/>
      <c r="I697" s="3244"/>
      <c r="J697" s="3244"/>
      <c r="K697" s="3242">
        <v>0</v>
      </c>
      <c r="L697" s="3244"/>
      <c r="M697" s="3244"/>
      <c r="N697" s="3242" t="s">
        <v>3384</v>
      </c>
      <c r="O697" s="3239">
        <v>0</v>
      </c>
      <c r="P697" s="3242">
        <v>0</v>
      </c>
      <c r="Q697" s="3244"/>
      <c r="R697" s="3244"/>
      <c r="S697" s="3242">
        <v>0</v>
      </c>
      <c r="T697" s="3244"/>
      <c r="U697" s="3244"/>
      <c r="V697" s="3244"/>
      <c r="W697" s="3240">
        <v>0</v>
      </c>
      <c r="X697" s="3244"/>
      <c r="Y697" s="3244"/>
      <c r="Z697" s="3242" t="s">
        <v>3384</v>
      </c>
      <c r="AA697" s="3243">
        <v>0</v>
      </c>
      <c r="AB697" s="3242">
        <v>0</v>
      </c>
      <c r="AC697" s="3244"/>
      <c r="AD697" s="3244"/>
      <c r="AE697" s="3242">
        <v>0</v>
      </c>
      <c r="AF697" s="3259"/>
      <c r="AG697" s="3260"/>
      <c r="AH697" s="3260"/>
      <c r="AI697" s="3260"/>
      <c r="AJ697" s="3260"/>
      <c r="AK697" s="3260"/>
      <c r="AL697" s="3259"/>
      <c r="AM697" s="3260"/>
      <c r="AN697" s="3259"/>
      <c r="AO697" s="3260"/>
      <c r="AP697" s="3242">
        <v>0</v>
      </c>
      <c r="AQ697" s="3244"/>
      <c r="AR697" s="3244"/>
      <c r="AS697" s="3242" t="s">
        <v>3384</v>
      </c>
      <c r="AT697" s="3247">
        <f t="shared" si="63"/>
        <v>0</v>
      </c>
      <c r="AU697" s="3248">
        <f t="shared" si="64"/>
        <v>0</v>
      </c>
      <c r="AV697" s="3248">
        <v>0</v>
      </c>
      <c r="AW697" s="3247">
        <v>0</v>
      </c>
      <c r="AX697" s="3248">
        <v>0</v>
      </c>
      <c r="AY697" s="3248">
        <v>0</v>
      </c>
      <c r="AZ697" s="3247">
        <v>0</v>
      </c>
      <c r="BA697" s="3248">
        <v>0</v>
      </c>
      <c r="BB697" s="3248">
        <v>0</v>
      </c>
      <c r="BC697" s="3247">
        <v>0</v>
      </c>
      <c r="BD697" s="3248">
        <v>0</v>
      </c>
      <c r="BE697" s="3248">
        <v>0</v>
      </c>
      <c r="BF697" s="3248">
        <f t="shared" si="65"/>
        <v>0</v>
      </c>
      <c r="BG697" s="3248">
        <f t="shared" si="66"/>
        <v>0</v>
      </c>
      <c r="BH697" s="3249"/>
      <c r="BI697" s="3249"/>
    </row>
    <row r="698" spans="1:61" x14ac:dyDescent="0.3">
      <c r="A698" s="4197" t="s">
        <v>3384</v>
      </c>
      <c r="B698" s="3261"/>
      <c r="C698" s="3243">
        <v>0</v>
      </c>
      <c r="D698" s="3242">
        <v>0</v>
      </c>
      <c r="E698" s="3244"/>
      <c r="F698" s="3244"/>
      <c r="G698" s="3242">
        <v>0</v>
      </c>
      <c r="H698" s="3244"/>
      <c r="I698" s="3244"/>
      <c r="J698" s="3244"/>
      <c r="K698" s="3242">
        <v>0</v>
      </c>
      <c r="L698" s="3244"/>
      <c r="M698" s="3244"/>
      <c r="N698" s="3242" t="s">
        <v>3384</v>
      </c>
      <c r="O698" s="3239">
        <v>0</v>
      </c>
      <c r="P698" s="3242">
        <v>0</v>
      </c>
      <c r="Q698" s="3244"/>
      <c r="R698" s="3244"/>
      <c r="S698" s="3242">
        <v>0</v>
      </c>
      <c r="T698" s="3244"/>
      <c r="U698" s="3244"/>
      <c r="V698" s="3244"/>
      <c r="W698" s="3240">
        <v>0</v>
      </c>
      <c r="X698" s="3244"/>
      <c r="Y698" s="3244"/>
      <c r="Z698" s="3242" t="s">
        <v>3384</v>
      </c>
      <c r="AA698" s="3243">
        <v>0</v>
      </c>
      <c r="AB698" s="3242">
        <v>0</v>
      </c>
      <c r="AC698" s="3244"/>
      <c r="AD698" s="3244"/>
      <c r="AE698" s="3242">
        <v>0</v>
      </c>
      <c r="AF698" s="3259"/>
      <c r="AG698" s="3260"/>
      <c r="AH698" s="3260"/>
      <c r="AI698" s="3260"/>
      <c r="AJ698" s="3260"/>
      <c r="AK698" s="3260"/>
      <c r="AL698" s="3259"/>
      <c r="AM698" s="3260"/>
      <c r="AN698" s="3259"/>
      <c r="AO698" s="3260"/>
      <c r="AP698" s="3242">
        <v>0</v>
      </c>
      <c r="AQ698" s="3244"/>
      <c r="AR698" s="3244"/>
      <c r="AS698" s="3242" t="s">
        <v>3384</v>
      </c>
      <c r="AT698" s="3247">
        <f t="shared" si="63"/>
        <v>0</v>
      </c>
      <c r="AU698" s="3248">
        <f t="shared" si="64"/>
        <v>0</v>
      </c>
      <c r="AV698" s="3248">
        <v>0</v>
      </c>
      <c r="AW698" s="3247">
        <v>0</v>
      </c>
      <c r="AX698" s="3248">
        <v>0</v>
      </c>
      <c r="AY698" s="3248">
        <v>0</v>
      </c>
      <c r="AZ698" s="3247">
        <v>0</v>
      </c>
      <c r="BA698" s="3248">
        <v>0</v>
      </c>
      <c r="BB698" s="3248">
        <v>0</v>
      </c>
      <c r="BC698" s="3247">
        <v>0</v>
      </c>
      <c r="BD698" s="3248">
        <v>0</v>
      </c>
      <c r="BE698" s="3248">
        <v>0</v>
      </c>
      <c r="BF698" s="3248">
        <f t="shared" si="65"/>
        <v>0</v>
      </c>
      <c r="BG698" s="3248">
        <f t="shared" si="66"/>
        <v>0</v>
      </c>
      <c r="BH698" s="3249"/>
      <c r="BI698" s="3249"/>
    </row>
    <row r="699" spans="1:61" x14ac:dyDescent="0.3">
      <c r="A699" s="4197" t="s">
        <v>3384</v>
      </c>
      <c r="B699" s="3261"/>
      <c r="C699" s="3243">
        <v>0</v>
      </c>
      <c r="D699" s="3242">
        <v>0</v>
      </c>
      <c r="E699" s="3244"/>
      <c r="F699" s="3244"/>
      <c r="G699" s="3242">
        <v>0</v>
      </c>
      <c r="H699" s="3244"/>
      <c r="I699" s="3244"/>
      <c r="J699" s="3244"/>
      <c r="K699" s="3242">
        <v>0</v>
      </c>
      <c r="L699" s="3244"/>
      <c r="M699" s="3244"/>
      <c r="N699" s="3242" t="s">
        <v>3384</v>
      </c>
      <c r="O699" s="3239">
        <v>0</v>
      </c>
      <c r="P699" s="3242">
        <v>0</v>
      </c>
      <c r="Q699" s="3244"/>
      <c r="R699" s="3244"/>
      <c r="S699" s="3242">
        <v>0</v>
      </c>
      <c r="T699" s="3244"/>
      <c r="U699" s="3244"/>
      <c r="V699" s="3244"/>
      <c r="W699" s="3240">
        <v>0</v>
      </c>
      <c r="X699" s="3244"/>
      <c r="Y699" s="3244"/>
      <c r="Z699" s="3242" t="s">
        <v>3384</v>
      </c>
      <c r="AA699" s="3243">
        <v>0</v>
      </c>
      <c r="AB699" s="3242">
        <v>0</v>
      </c>
      <c r="AC699" s="3244"/>
      <c r="AD699" s="3244"/>
      <c r="AE699" s="3242">
        <v>0</v>
      </c>
      <c r="AF699" s="3259"/>
      <c r="AG699" s="3260"/>
      <c r="AH699" s="3260"/>
      <c r="AI699" s="3260"/>
      <c r="AJ699" s="3260"/>
      <c r="AK699" s="3260"/>
      <c r="AL699" s="3259"/>
      <c r="AM699" s="3260"/>
      <c r="AN699" s="3259"/>
      <c r="AO699" s="3260"/>
      <c r="AP699" s="3242">
        <v>0</v>
      </c>
      <c r="AQ699" s="3244"/>
      <c r="AR699" s="3244"/>
      <c r="AS699" s="3242" t="s">
        <v>3384</v>
      </c>
      <c r="AT699" s="3247">
        <f t="shared" si="63"/>
        <v>0</v>
      </c>
      <c r="AU699" s="3248">
        <f t="shared" si="64"/>
        <v>0</v>
      </c>
      <c r="AV699" s="3248">
        <v>0</v>
      </c>
      <c r="AW699" s="3247">
        <v>0</v>
      </c>
      <c r="AX699" s="3248">
        <v>0</v>
      </c>
      <c r="AY699" s="3248">
        <v>0</v>
      </c>
      <c r="AZ699" s="3247">
        <v>0</v>
      </c>
      <c r="BA699" s="3248">
        <v>0</v>
      </c>
      <c r="BB699" s="3248">
        <v>0</v>
      </c>
      <c r="BC699" s="3247">
        <v>0</v>
      </c>
      <c r="BD699" s="3248">
        <v>0</v>
      </c>
      <c r="BE699" s="3248">
        <v>0</v>
      </c>
      <c r="BF699" s="3248">
        <f t="shared" si="65"/>
        <v>0</v>
      </c>
      <c r="BG699" s="3248">
        <f t="shared" si="66"/>
        <v>0</v>
      </c>
      <c r="BH699" s="3249"/>
      <c r="BI699" s="3249"/>
    </row>
    <row r="700" spans="1:61" x14ac:dyDescent="0.3">
      <c r="A700" s="4197" t="s">
        <v>3384</v>
      </c>
      <c r="B700" s="3261"/>
      <c r="C700" s="3243">
        <v>0</v>
      </c>
      <c r="D700" s="3242">
        <v>0</v>
      </c>
      <c r="E700" s="3244"/>
      <c r="F700" s="3244"/>
      <c r="G700" s="3242">
        <v>0</v>
      </c>
      <c r="H700" s="3244"/>
      <c r="I700" s="3244"/>
      <c r="J700" s="3244"/>
      <c r="K700" s="3242">
        <v>0</v>
      </c>
      <c r="L700" s="3244"/>
      <c r="M700" s="3244"/>
      <c r="N700" s="3242" t="s">
        <v>3384</v>
      </c>
      <c r="O700" s="3239">
        <v>0</v>
      </c>
      <c r="P700" s="3242">
        <v>0</v>
      </c>
      <c r="Q700" s="3244"/>
      <c r="R700" s="3244"/>
      <c r="S700" s="3242">
        <v>0</v>
      </c>
      <c r="T700" s="3244"/>
      <c r="U700" s="3244"/>
      <c r="V700" s="3244"/>
      <c r="W700" s="3240">
        <v>0</v>
      </c>
      <c r="X700" s="3244"/>
      <c r="Y700" s="3244"/>
      <c r="Z700" s="3242" t="s">
        <v>3384</v>
      </c>
      <c r="AA700" s="3243">
        <v>0</v>
      </c>
      <c r="AB700" s="3242">
        <v>0</v>
      </c>
      <c r="AC700" s="3244"/>
      <c r="AD700" s="3244"/>
      <c r="AE700" s="3242">
        <v>0</v>
      </c>
      <c r="AF700" s="3259"/>
      <c r="AG700" s="3260"/>
      <c r="AH700" s="3260"/>
      <c r="AI700" s="3260"/>
      <c r="AJ700" s="3260"/>
      <c r="AK700" s="3260"/>
      <c r="AL700" s="3259"/>
      <c r="AM700" s="3260"/>
      <c r="AN700" s="3259"/>
      <c r="AO700" s="3260"/>
      <c r="AP700" s="3242">
        <v>0</v>
      </c>
      <c r="AQ700" s="3244"/>
      <c r="AR700" s="3244"/>
      <c r="AS700" s="3242" t="s">
        <v>3384</v>
      </c>
      <c r="AT700" s="3247">
        <f t="shared" si="63"/>
        <v>0</v>
      </c>
      <c r="AU700" s="3248">
        <f t="shared" si="64"/>
        <v>0</v>
      </c>
      <c r="AV700" s="3248">
        <v>0</v>
      </c>
      <c r="AW700" s="3247">
        <v>0</v>
      </c>
      <c r="AX700" s="3248">
        <v>0</v>
      </c>
      <c r="AY700" s="3248">
        <v>0</v>
      </c>
      <c r="AZ700" s="3247">
        <v>0</v>
      </c>
      <c r="BA700" s="3248">
        <v>0</v>
      </c>
      <c r="BB700" s="3248">
        <v>0</v>
      </c>
      <c r="BC700" s="3247">
        <v>0</v>
      </c>
      <c r="BD700" s="3248">
        <v>0</v>
      </c>
      <c r="BE700" s="3248">
        <v>0</v>
      </c>
      <c r="BF700" s="3248">
        <f t="shared" si="65"/>
        <v>0</v>
      </c>
      <c r="BG700" s="3248">
        <f t="shared" si="66"/>
        <v>0</v>
      </c>
      <c r="BH700" s="3249"/>
      <c r="BI700" s="3249"/>
    </row>
    <row r="701" spans="1:61" x14ac:dyDescent="0.3">
      <c r="A701" s="4197" t="s">
        <v>3384</v>
      </c>
      <c r="B701" s="3261"/>
      <c r="C701" s="3243">
        <v>0</v>
      </c>
      <c r="D701" s="3242">
        <v>0</v>
      </c>
      <c r="E701" s="3244"/>
      <c r="F701" s="3244"/>
      <c r="G701" s="3242">
        <v>0</v>
      </c>
      <c r="H701" s="3244"/>
      <c r="I701" s="3244"/>
      <c r="J701" s="3244"/>
      <c r="K701" s="3242">
        <v>0</v>
      </c>
      <c r="L701" s="3244"/>
      <c r="M701" s="3244"/>
      <c r="N701" s="3242" t="s">
        <v>3384</v>
      </c>
      <c r="O701" s="3239">
        <v>0</v>
      </c>
      <c r="P701" s="3242">
        <v>0</v>
      </c>
      <c r="Q701" s="3244"/>
      <c r="R701" s="3244"/>
      <c r="S701" s="3242">
        <v>0</v>
      </c>
      <c r="T701" s="3244"/>
      <c r="U701" s="3244"/>
      <c r="V701" s="3244"/>
      <c r="W701" s="3240">
        <v>0</v>
      </c>
      <c r="X701" s="3244"/>
      <c r="Y701" s="3244"/>
      <c r="Z701" s="3242" t="s">
        <v>3384</v>
      </c>
      <c r="AA701" s="3243">
        <v>0</v>
      </c>
      <c r="AB701" s="3242">
        <v>0</v>
      </c>
      <c r="AC701" s="3244"/>
      <c r="AD701" s="3244"/>
      <c r="AE701" s="3242">
        <v>0</v>
      </c>
      <c r="AF701" s="3259"/>
      <c r="AG701" s="3260"/>
      <c r="AH701" s="3260"/>
      <c r="AI701" s="3260"/>
      <c r="AJ701" s="3260"/>
      <c r="AK701" s="3260"/>
      <c r="AL701" s="3259"/>
      <c r="AM701" s="3260"/>
      <c r="AN701" s="3259"/>
      <c r="AO701" s="3260"/>
      <c r="AP701" s="3242">
        <v>0</v>
      </c>
      <c r="AQ701" s="3244"/>
      <c r="AR701" s="3244"/>
      <c r="AS701" s="3242" t="s">
        <v>3384</v>
      </c>
      <c r="AT701" s="3247">
        <f t="shared" si="63"/>
        <v>0</v>
      </c>
      <c r="AU701" s="3248">
        <f t="shared" si="64"/>
        <v>0</v>
      </c>
      <c r="AV701" s="3248">
        <v>0</v>
      </c>
      <c r="AW701" s="3247">
        <v>0</v>
      </c>
      <c r="AX701" s="3248">
        <v>0</v>
      </c>
      <c r="AY701" s="3248">
        <v>0</v>
      </c>
      <c r="AZ701" s="3247">
        <v>0</v>
      </c>
      <c r="BA701" s="3248">
        <v>0</v>
      </c>
      <c r="BB701" s="3248">
        <v>0</v>
      </c>
      <c r="BC701" s="3247">
        <v>0</v>
      </c>
      <c r="BD701" s="3248">
        <v>0</v>
      </c>
      <c r="BE701" s="3248">
        <v>0</v>
      </c>
      <c r="BF701" s="3248">
        <f t="shared" si="65"/>
        <v>0</v>
      </c>
      <c r="BG701" s="3248">
        <f t="shared" si="66"/>
        <v>0</v>
      </c>
      <c r="BH701" s="3249"/>
      <c r="BI701" s="3249"/>
    </row>
    <row r="702" spans="1:61" x14ac:dyDescent="0.3">
      <c r="A702" s="4197" t="s">
        <v>3384</v>
      </c>
      <c r="B702" s="3261"/>
      <c r="C702" s="3243">
        <v>0</v>
      </c>
      <c r="D702" s="3242">
        <v>0</v>
      </c>
      <c r="E702" s="3244"/>
      <c r="F702" s="3244"/>
      <c r="G702" s="3242">
        <v>0</v>
      </c>
      <c r="H702" s="3244"/>
      <c r="I702" s="3244"/>
      <c r="J702" s="3244"/>
      <c r="K702" s="3242">
        <v>0</v>
      </c>
      <c r="L702" s="3244"/>
      <c r="M702" s="3244"/>
      <c r="N702" s="3242" t="s">
        <v>3384</v>
      </c>
      <c r="O702" s="3239">
        <v>0</v>
      </c>
      <c r="P702" s="3242">
        <v>0</v>
      </c>
      <c r="Q702" s="3244"/>
      <c r="R702" s="3244"/>
      <c r="S702" s="3242">
        <v>0</v>
      </c>
      <c r="T702" s="3244"/>
      <c r="U702" s="3244"/>
      <c r="V702" s="3244"/>
      <c r="W702" s="3240">
        <v>0</v>
      </c>
      <c r="X702" s="3244"/>
      <c r="Y702" s="3244"/>
      <c r="Z702" s="3242" t="s">
        <v>3384</v>
      </c>
      <c r="AA702" s="3243">
        <v>0</v>
      </c>
      <c r="AB702" s="3242">
        <v>0</v>
      </c>
      <c r="AC702" s="3244"/>
      <c r="AD702" s="3244"/>
      <c r="AE702" s="3242">
        <v>0</v>
      </c>
      <c r="AF702" s="3259"/>
      <c r="AG702" s="3260"/>
      <c r="AH702" s="3260"/>
      <c r="AI702" s="3260"/>
      <c r="AJ702" s="3260"/>
      <c r="AK702" s="3260"/>
      <c r="AL702" s="3259"/>
      <c r="AM702" s="3260"/>
      <c r="AN702" s="3259"/>
      <c r="AO702" s="3260"/>
      <c r="AP702" s="3242">
        <v>0</v>
      </c>
      <c r="AQ702" s="3244"/>
      <c r="AR702" s="3244"/>
      <c r="AS702" s="3242" t="s">
        <v>3384</v>
      </c>
      <c r="AT702" s="3247">
        <f t="shared" si="63"/>
        <v>0</v>
      </c>
      <c r="AU702" s="3248">
        <f t="shared" si="64"/>
        <v>0</v>
      </c>
      <c r="AV702" s="3248">
        <v>0</v>
      </c>
      <c r="AW702" s="3247">
        <v>0</v>
      </c>
      <c r="AX702" s="3248">
        <v>0</v>
      </c>
      <c r="AY702" s="3248">
        <v>0</v>
      </c>
      <c r="AZ702" s="3247">
        <v>0</v>
      </c>
      <c r="BA702" s="3248">
        <v>0</v>
      </c>
      <c r="BB702" s="3248">
        <v>0</v>
      </c>
      <c r="BC702" s="3247">
        <v>0</v>
      </c>
      <c r="BD702" s="3248">
        <v>0</v>
      </c>
      <c r="BE702" s="3248">
        <v>0</v>
      </c>
      <c r="BF702" s="3248">
        <f t="shared" si="65"/>
        <v>0</v>
      </c>
      <c r="BG702" s="3248">
        <f t="shared" si="66"/>
        <v>0</v>
      </c>
      <c r="BH702" s="3249"/>
      <c r="BI702" s="3249"/>
    </row>
    <row r="703" spans="1:61" x14ac:dyDescent="0.3">
      <c r="A703" s="4197" t="s">
        <v>3384</v>
      </c>
      <c r="B703" s="3261"/>
      <c r="C703" s="3243">
        <v>0</v>
      </c>
      <c r="D703" s="3242">
        <v>0</v>
      </c>
      <c r="E703" s="3244"/>
      <c r="F703" s="3244"/>
      <c r="G703" s="3242">
        <v>0</v>
      </c>
      <c r="H703" s="3244"/>
      <c r="I703" s="3244"/>
      <c r="J703" s="3244"/>
      <c r="K703" s="3242">
        <v>0</v>
      </c>
      <c r="L703" s="3244"/>
      <c r="M703" s="3244"/>
      <c r="N703" s="3242" t="s">
        <v>3384</v>
      </c>
      <c r="O703" s="3239">
        <v>0</v>
      </c>
      <c r="P703" s="3242">
        <v>0</v>
      </c>
      <c r="Q703" s="3244"/>
      <c r="R703" s="3244"/>
      <c r="S703" s="3242">
        <v>0</v>
      </c>
      <c r="T703" s="3244"/>
      <c r="U703" s="3244"/>
      <c r="V703" s="3244"/>
      <c r="W703" s="3240">
        <v>0</v>
      </c>
      <c r="X703" s="3244"/>
      <c r="Y703" s="3244"/>
      <c r="Z703" s="3242" t="s">
        <v>3384</v>
      </c>
      <c r="AA703" s="3243">
        <v>0</v>
      </c>
      <c r="AB703" s="3242">
        <v>0</v>
      </c>
      <c r="AC703" s="3244"/>
      <c r="AD703" s="3244"/>
      <c r="AE703" s="3242">
        <v>0</v>
      </c>
      <c r="AF703" s="3259"/>
      <c r="AG703" s="3260"/>
      <c r="AH703" s="3260"/>
      <c r="AI703" s="3260"/>
      <c r="AJ703" s="3260"/>
      <c r="AK703" s="3260"/>
      <c r="AL703" s="3259"/>
      <c r="AM703" s="3260"/>
      <c r="AN703" s="3259"/>
      <c r="AO703" s="3260"/>
      <c r="AP703" s="3242">
        <v>0</v>
      </c>
      <c r="AQ703" s="3244"/>
      <c r="AR703" s="3244"/>
      <c r="AS703" s="3242" t="s">
        <v>3384</v>
      </c>
      <c r="AT703" s="3247">
        <f t="shared" si="63"/>
        <v>0</v>
      </c>
      <c r="AU703" s="3248">
        <f t="shared" si="64"/>
        <v>0</v>
      </c>
      <c r="AV703" s="3248">
        <v>0</v>
      </c>
      <c r="AW703" s="3247">
        <v>0</v>
      </c>
      <c r="AX703" s="3248">
        <v>0</v>
      </c>
      <c r="AY703" s="3248">
        <v>0</v>
      </c>
      <c r="AZ703" s="3247">
        <v>0</v>
      </c>
      <c r="BA703" s="3248">
        <v>0</v>
      </c>
      <c r="BB703" s="3248">
        <v>0</v>
      </c>
      <c r="BC703" s="3247">
        <v>0</v>
      </c>
      <c r="BD703" s="3248">
        <v>0</v>
      </c>
      <c r="BE703" s="3248">
        <v>0</v>
      </c>
      <c r="BF703" s="3248">
        <f t="shared" si="65"/>
        <v>0</v>
      </c>
      <c r="BG703" s="3248">
        <f t="shared" si="66"/>
        <v>0</v>
      </c>
      <c r="BH703" s="3249"/>
      <c r="BI703" s="3249"/>
    </row>
    <row r="704" spans="1:61" x14ac:dyDescent="0.3">
      <c r="A704" s="4197" t="s">
        <v>3384</v>
      </c>
      <c r="B704" s="3261"/>
      <c r="C704" s="3243">
        <v>0</v>
      </c>
      <c r="D704" s="3242">
        <v>0</v>
      </c>
      <c r="E704" s="3244"/>
      <c r="F704" s="3244"/>
      <c r="G704" s="3242">
        <v>0</v>
      </c>
      <c r="H704" s="3244"/>
      <c r="I704" s="3244"/>
      <c r="J704" s="3244"/>
      <c r="K704" s="3242">
        <v>0</v>
      </c>
      <c r="L704" s="3244"/>
      <c r="M704" s="3244"/>
      <c r="N704" s="3242" t="s">
        <v>3384</v>
      </c>
      <c r="O704" s="3239">
        <v>0</v>
      </c>
      <c r="P704" s="3242">
        <v>0</v>
      </c>
      <c r="Q704" s="3244"/>
      <c r="R704" s="3244"/>
      <c r="S704" s="3242">
        <v>0</v>
      </c>
      <c r="T704" s="3244"/>
      <c r="U704" s="3244"/>
      <c r="V704" s="3244"/>
      <c r="W704" s="3240">
        <v>0</v>
      </c>
      <c r="X704" s="3244"/>
      <c r="Y704" s="3244"/>
      <c r="Z704" s="3242" t="s">
        <v>3384</v>
      </c>
      <c r="AA704" s="3243">
        <v>0</v>
      </c>
      <c r="AB704" s="3242">
        <v>0</v>
      </c>
      <c r="AC704" s="3244"/>
      <c r="AD704" s="3244"/>
      <c r="AE704" s="3242">
        <v>0</v>
      </c>
      <c r="AF704" s="3259"/>
      <c r="AG704" s="3260"/>
      <c r="AH704" s="3260"/>
      <c r="AI704" s="3260"/>
      <c r="AJ704" s="3260"/>
      <c r="AK704" s="3260"/>
      <c r="AL704" s="3259"/>
      <c r="AM704" s="3260"/>
      <c r="AN704" s="3259"/>
      <c r="AO704" s="3260"/>
      <c r="AP704" s="3242">
        <v>0</v>
      </c>
      <c r="AQ704" s="3244"/>
      <c r="AR704" s="3244"/>
      <c r="AS704" s="3242" t="s">
        <v>3384</v>
      </c>
      <c r="AT704" s="3247">
        <f t="shared" si="63"/>
        <v>0</v>
      </c>
      <c r="AU704" s="3248">
        <f t="shared" si="64"/>
        <v>0</v>
      </c>
      <c r="AV704" s="3248">
        <v>0</v>
      </c>
      <c r="AW704" s="3247">
        <v>0</v>
      </c>
      <c r="AX704" s="3248">
        <v>0</v>
      </c>
      <c r="AY704" s="3248">
        <v>0</v>
      </c>
      <c r="AZ704" s="3247">
        <v>0</v>
      </c>
      <c r="BA704" s="3248">
        <v>0</v>
      </c>
      <c r="BB704" s="3248">
        <v>0</v>
      </c>
      <c r="BC704" s="3247">
        <v>0</v>
      </c>
      <c r="BD704" s="3248">
        <v>0</v>
      </c>
      <c r="BE704" s="3248">
        <v>0</v>
      </c>
      <c r="BF704" s="3248">
        <f t="shared" si="65"/>
        <v>0</v>
      </c>
      <c r="BG704" s="3248">
        <f t="shared" si="66"/>
        <v>0</v>
      </c>
      <c r="BH704" s="3249"/>
      <c r="BI704" s="3249"/>
    </row>
    <row r="705" spans="1:61" x14ac:dyDescent="0.3">
      <c r="A705" s="4197" t="s">
        <v>3384</v>
      </c>
      <c r="B705" s="3261"/>
      <c r="C705" s="3243">
        <v>0</v>
      </c>
      <c r="D705" s="3242">
        <v>0</v>
      </c>
      <c r="E705" s="3244"/>
      <c r="F705" s="3244"/>
      <c r="G705" s="3242">
        <v>0</v>
      </c>
      <c r="H705" s="3244"/>
      <c r="I705" s="3244"/>
      <c r="J705" s="3244"/>
      <c r="K705" s="3242">
        <v>0</v>
      </c>
      <c r="L705" s="3244"/>
      <c r="M705" s="3244"/>
      <c r="N705" s="3242" t="s">
        <v>3384</v>
      </c>
      <c r="O705" s="3239">
        <v>0</v>
      </c>
      <c r="P705" s="3242">
        <v>0</v>
      </c>
      <c r="Q705" s="3244"/>
      <c r="R705" s="3244"/>
      <c r="S705" s="3242">
        <v>0</v>
      </c>
      <c r="T705" s="3244"/>
      <c r="U705" s="3244"/>
      <c r="V705" s="3244"/>
      <c r="W705" s="3240">
        <v>0</v>
      </c>
      <c r="X705" s="3244"/>
      <c r="Y705" s="3244"/>
      <c r="Z705" s="3242" t="s">
        <v>3384</v>
      </c>
      <c r="AA705" s="3243">
        <v>0</v>
      </c>
      <c r="AB705" s="3242">
        <v>0</v>
      </c>
      <c r="AC705" s="3244"/>
      <c r="AD705" s="3244"/>
      <c r="AE705" s="3242">
        <v>0</v>
      </c>
      <c r="AF705" s="3259"/>
      <c r="AG705" s="3260"/>
      <c r="AH705" s="3260"/>
      <c r="AI705" s="3260"/>
      <c r="AJ705" s="3260"/>
      <c r="AK705" s="3260"/>
      <c r="AL705" s="3259"/>
      <c r="AM705" s="3260"/>
      <c r="AN705" s="3259"/>
      <c r="AO705" s="3260"/>
      <c r="AP705" s="3242">
        <v>0</v>
      </c>
      <c r="AQ705" s="3244"/>
      <c r="AR705" s="3244"/>
      <c r="AS705" s="3242" t="s">
        <v>3384</v>
      </c>
      <c r="AT705" s="3247">
        <f t="shared" si="63"/>
        <v>0</v>
      </c>
      <c r="AU705" s="3248">
        <f t="shared" si="64"/>
        <v>0</v>
      </c>
      <c r="AV705" s="3248">
        <v>0</v>
      </c>
      <c r="AW705" s="3247">
        <v>0</v>
      </c>
      <c r="AX705" s="3248">
        <v>0</v>
      </c>
      <c r="AY705" s="3248">
        <v>0</v>
      </c>
      <c r="AZ705" s="3247">
        <v>0</v>
      </c>
      <c r="BA705" s="3248">
        <v>0</v>
      </c>
      <c r="BB705" s="3248">
        <v>0</v>
      </c>
      <c r="BC705" s="3247">
        <v>0</v>
      </c>
      <c r="BD705" s="3248">
        <v>0</v>
      </c>
      <c r="BE705" s="3248">
        <v>0</v>
      </c>
      <c r="BF705" s="3248">
        <f t="shared" si="65"/>
        <v>0</v>
      </c>
      <c r="BG705" s="3248">
        <f t="shared" si="66"/>
        <v>0</v>
      </c>
      <c r="BH705" s="3249"/>
      <c r="BI705" s="3249"/>
    </row>
    <row r="706" spans="1:61" x14ac:dyDescent="0.3">
      <c r="A706" s="4197" t="s">
        <v>3384</v>
      </c>
      <c r="B706" s="3261"/>
      <c r="C706" s="3243">
        <v>0</v>
      </c>
      <c r="D706" s="3242">
        <v>0</v>
      </c>
      <c r="E706" s="3244"/>
      <c r="F706" s="3244"/>
      <c r="G706" s="3242">
        <v>0</v>
      </c>
      <c r="H706" s="3244"/>
      <c r="I706" s="3244"/>
      <c r="J706" s="3244"/>
      <c r="K706" s="3242">
        <v>0</v>
      </c>
      <c r="L706" s="3244"/>
      <c r="M706" s="3244"/>
      <c r="N706" s="3242" t="s">
        <v>3384</v>
      </c>
      <c r="O706" s="3239">
        <v>0</v>
      </c>
      <c r="P706" s="3242">
        <v>0</v>
      </c>
      <c r="Q706" s="3244"/>
      <c r="R706" s="3244"/>
      <c r="S706" s="3242">
        <v>0</v>
      </c>
      <c r="T706" s="3244"/>
      <c r="U706" s="3244"/>
      <c r="V706" s="3244"/>
      <c r="W706" s="3240">
        <v>0</v>
      </c>
      <c r="X706" s="3244"/>
      <c r="Y706" s="3244"/>
      <c r="Z706" s="3242" t="s">
        <v>3384</v>
      </c>
      <c r="AA706" s="3243">
        <v>0</v>
      </c>
      <c r="AB706" s="3242">
        <v>0</v>
      </c>
      <c r="AC706" s="3244"/>
      <c r="AD706" s="3244"/>
      <c r="AE706" s="3242">
        <v>0</v>
      </c>
      <c r="AF706" s="3259"/>
      <c r="AG706" s="3260"/>
      <c r="AH706" s="3260"/>
      <c r="AI706" s="3260"/>
      <c r="AJ706" s="3260"/>
      <c r="AK706" s="3260"/>
      <c r="AL706" s="3259"/>
      <c r="AM706" s="3260"/>
      <c r="AN706" s="3259"/>
      <c r="AO706" s="3260"/>
      <c r="AP706" s="3242">
        <v>0</v>
      </c>
      <c r="AQ706" s="3244"/>
      <c r="AR706" s="3244"/>
      <c r="AS706" s="3242" t="s">
        <v>3384</v>
      </c>
      <c r="AT706" s="3247">
        <f t="shared" si="63"/>
        <v>0</v>
      </c>
      <c r="AU706" s="3248">
        <f t="shared" si="64"/>
        <v>0</v>
      </c>
      <c r="AV706" s="3248">
        <v>0</v>
      </c>
      <c r="AW706" s="3247">
        <v>0</v>
      </c>
      <c r="AX706" s="3248">
        <v>0</v>
      </c>
      <c r="AY706" s="3248">
        <v>0</v>
      </c>
      <c r="AZ706" s="3247">
        <v>0</v>
      </c>
      <c r="BA706" s="3248">
        <v>0</v>
      </c>
      <c r="BB706" s="3248">
        <v>0</v>
      </c>
      <c r="BC706" s="3247">
        <v>0</v>
      </c>
      <c r="BD706" s="3248">
        <v>0</v>
      </c>
      <c r="BE706" s="3248">
        <v>0</v>
      </c>
      <c r="BF706" s="3248">
        <f t="shared" si="65"/>
        <v>0</v>
      </c>
      <c r="BG706" s="3248">
        <f t="shared" si="66"/>
        <v>0</v>
      </c>
      <c r="BH706" s="3249"/>
      <c r="BI706" s="3249"/>
    </row>
    <row r="707" spans="1:61" x14ac:dyDescent="0.3">
      <c r="A707" s="4197" t="s">
        <v>3384</v>
      </c>
      <c r="B707" s="3261"/>
      <c r="C707" s="3243">
        <v>0</v>
      </c>
      <c r="D707" s="3242">
        <v>0</v>
      </c>
      <c r="E707" s="3244"/>
      <c r="F707" s="3244"/>
      <c r="G707" s="3242">
        <v>0</v>
      </c>
      <c r="H707" s="3244"/>
      <c r="I707" s="3244"/>
      <c r="J707" s="3244"/>
      <c r="K707" s="3242">
        <v>0</v>
      </c>
      <c r="L707" s="3244"/>
      <c r="M707" s="3244"/>
      <c r="N707" s="3242" t="s">
        <v>3384</v>
      </c>
      <c r="O707" s="3239">
        <v>0</v>
      </c>
      <c r="P707" s="3242">
        <v>0</v>
      </c>
      <c r="Q707" s="3244"/>
      <c r="R707" s="3244"/>
      <c r="S707" s="3242">
        <v>0</v>
      </c>
      <c r="T707" s="3244"/>
      <c r="U707" s="3244"/>
      <c r="V707" s="3244"/>
      <c r="W707" s="3240">
        <v>0</v>
      </c>
      <c r="X707" s="3244"/>
      <c r="Y707" s="3244"/>
      <c r="Z707" s="3242" t="s">
        <v>3384</v>
      </c>
      <c r="AA707" s="3243">
        <v>0</v>
      </c>
      <c r="AB707" s="3242">
        <v>0</v>
      </c>
      <c r="AC707" s="3244"/>
      <c r="AD707" s="3244"/>
      <c r="AE707" s="3242">
        <v>0</v>
      </c>
      <c r="AF707" s="3259"/>
      <c r="AG707" s="3260"/>
      <c r="AH707" s="3260"/>
      <c r="AI707" s="3260"/>
      <c r="AJ707" s="3260"/>
      <c r="AK707" s="3260"/>
      <c r="AL707" s="3259"/>
      <c r="AM707" s="3260"/>
      <c r="AN707" s="3259"/>
      <c r="AO707" s="3260"/>
      <c r="AP707" s="3242">
        <v>0</v>
      </c>
      <c r="AQ707" s="3244"/>
      <c r="AR707" s="3244"/>
      <c r="AS707" s="3242" t="s">
        <v>3384</v>
      </c>
      <c r="AT707" s="3247">
        <f t="shared" si="63"/>
        <v>0</v>
      </c>
      <c r="AU707" s="3248">
        <f t="shared" si="64"/>
        <v>0</v>
      </c>
      <c r="AV707" s="3248">
        <v>0</v>
      </c>
      <c r="AW707" s="3247">
        <v>0</v>
      </c>
      <c r="AX707" s="3248">
        <v>0</v>
      </c>
      <c r="AY707" s="3248">
        <v>0</v>
      </c>
      <c r="AZ707" s="3247">
        <v>0</v>
      </c>
      <c r="BA707" s="3248">
        <v>0</v>
      </c>
      <c r="BB707" s="3248">
        <v>0</v>
      </c>
      <c r="BC707" s="3247">
        <v>0</v>
      </c>
      <c r="BD707" s="3248">
        <v>0</v>
      </c>
      <c r="BE707" s="3248">
        <v>0</v>
      </c>
      <c r="BF707" s="3248">
        <f t="shared" si="65"/>
        <v>0</v>
      </c>
      <c r="BG707" s="3248">
        <f t="shared" si="66"/>
        <v>0</v>
      </c>
      <c r="BH707" s="3249"/>
      <c r="BI707" s="3249"/>
    </row>
    <row r="708" spans="1:61" x14ac:dyDescent="0.3">
      <c r="A708" s="4197" t="s">
        <v>3384</v>
      </c>
      <c r="B708" s="3261"/>
      <c r="C708" s="3243">
        <v>0</v>
      </c>
      <c r="D708" s="3242">
        <v>0</v>
      </c>
      <c r="E708" s="3244"/>
      <c r="F708" s="3244"/>
      <c r="G708" s="3242">
        <v>0</v>
      </c>
      <c r="H708" s="3244"/>
      <c r="I708" s="3244"/>
      <c r="J708" s="3244"/>
      <c r="K708" s="3242">
        <v>0</v>
      </c>
      <c r="L708" s="3244"/>
      <c r="M708" s="3244"/>
      <c r="N708" s="3242" t="s">
        <v>3384</v>
      </c>
      <c r="O708" s="3239">
        <v>0</v>
      </c>
      <c r="P708" s="3242">
        <v>0</v>
      </c>
      <c r="Q708" s="3244"/>
      <c r="R708" s="3244"/>
      <c r="S708" s="3242">
        <v>0</v>
      </c>
      <c r="T708" s="3244"/>
      <c r="U708" s="3244"/>
      <c r="V708" s="3244"/>
      <c r="W708" s="3240">
        <v>0</v>
      </c>
      <c r="X708" s="3244"/>
      <c r="Y708" s="3244"/>
      <c r="Z708" s="3242" t="s">
        <v>3384</v>
      </c>
      <c r="AA708" s="3243">
        <v>0</v>
      </c>
      <c r="AB708" s="3242">
        <v>0</v>
      </c>
      <c r="AC708" s="3244"/>
      <c r="AD708" s="3244"/>
      <c r="AE708" s="3242">
        <v>0</v>
      </c>
      <c r="AF708" s="3259"/>
      <c r="AG708" s="3260"/>
      <c r="AH708" s="3260"/>
      <c r="AI708" s="3260"/>
      <c r="AJ708" s="3260"/>
      <c r="AK708" s="3260"/>
      <c r="AL708" s="3259"/>
      <c r="AM708" s="3260"/>
      <c r="AN708" s="3259"/>
      <c r="AO708" s="3260"/>
      <c r="AP708" s="3242">
        <v>0</v>
      </c>
      <c r="AQ708" s="3244"/>
      <c r="AR708" s="3244"/>
      <c r="AS708" s="3242" t="s">
        <v>3384</v>
      </c>
      <c r="AT708" s="3247">
        <f t="shared" si="63"/>
        <v>0</v>
      </c>
      <c r="AU708" s="3248">
        <f t="shared" si="64"/>
        <v>0</v>
      </c>
      <c r="AV708" s="3248">
        <v>0</v>
      </c>
      <c r="AW708" s="3247">
        <v>0</v>
      </c>
      <c r="AX708" s="3248">
        <v>0</v>
      </c>
      <c r="AY708" s="3248">
        <v>0</v>
      </c>
      <c r="AZ708" s="3247">
        <v>0</v>
      </c>
      <c r="BA708" s="3248">
        <v>0</v>
      </c>
      <c r="BB708" s="3248">
        <v>0</v>
      </c>
      <c r="BC708" s="3247">
        <v>0</v>
      </c>
      <c r="BD708" s="3248">
        <v>0</v>
      </c>
      <c r="BE708" s="3248">
        <v>0</v>
      </c>
      <c r="BF708" s="3248">
        <f t="shared" si="65"/>
        <v>0</v>
      </c>
      <c r="BG708" s="3248">
        <f t="shared" si="66"/>
        <v>0</v>
      </c>
      <c r="BH708" s="3249"/>
      <c r="BI708" s="3249"/>
    </row>
    <row r="709" spans="1:61" x14ac:dyDescent="0.3">
      <c r="A709" s="4197" t="s">
        <v>3384</v>
      </c>
      <c r="B709" s="3261"/>
      <c r="C709" s="3243">
        <v>0</v>
      </c>
      <c r="D709" s="3242">
        <v>0</v>
      </c>
      <c r="E709" s="3244"/>
      <c r="F709" s="3244"/>
      <c r="G709" s="3242">
        <v>0</v>
      </c>
      <c r="H709" s="3244"/>
      <c r="I709" s="3244"/>
      <c r="J709" s="3244"/>
      <c r="K709" s="3242">
        <v>0</v>
      </c>
      <c r="L709" s="3244"/>
      <c r="M709" s="3244"/>
      <c r="N709" s="3242" t="s">
        <v>3384</v>
      </c>
      <c r="O709" s="3239">
        <v>0</v>
      </c>
      <c r="P709" s="3242">
        <v>0</v>
      </c>
      <c r="Q709" s="3244"/>
      <c r="R709" s="3244"/>
      <c r="S709" s="3242">
        <v>0</v>
      </c>
      <c r="T709" s="3244"/>
      <c r="U709" s="3244"/>
      <c r="V709" s="3244"/>
      <c r="W709" s="3240">
        <v>0</v>
      </c>
      <c r="X709" s="3244"/>
      <c r="Y709" s="3244"/>
      <c r="Z709" s="3242" t="s">
        <v>3384</v>
      </c>
      <c r="AA709" s="3243">
        <v>0</v>
      </c>
      <c r="AB709" s="3242">
        <v>0</v>
      </c>
      <c r="AC709" s="3244"/>
      <c r="AD709" s="3244"/>
      <c r="AE709" s="3242">
        <v>0</v>
      </c>
      <c r="AF709" s="3259"/>
      <c r="AG709" s="3260"/>
      <c r="AH709" s="3260"/>
      <c r="AI709" s="3260"/>
      <c r="AJ709" s="3260"/>
      <c r="AK709" s="3260"/>
      <c r="AL709" s="3259"/>
      <c r="AM709" s="3260"/>
      <c r="AN709" s="3259"/>
      <c r="AO709" s="3260"/>
      <c r="AP709" s="3242">
        <v>0</v>
      </c>
      <c r="AQ709" s="3244"/>
      <c r="AR709" s="3244"/>
      <c r="AS709" s="3242" t="s">
        <v>3384</v>
      </c>
      <c r="AT709" s="3247">
        <f t="shared" si="63"/>
        <v>0</v>
      </c>
      <c r="AU709" s="3248">
        <f t="shared" si="64"/>
        <v>0</v>
      </c>
      <c r="AV709" s="3248">
        <v>0</v>
      </c>
      <c r="AW709" s="3247">
        <v>0</v>
      </c>
      <c r="AX709" s="3248">
        <v>0</v>
      </c>
      <c r="AY709" s="3248">
        <v>0</v>
      </c>
      <c r="AZ709" s="3247">
        <v>0</v>
      </c>
      <c r="BA709" s="3248">
        <v>0</v>
      </c>
      <c r="BB709" s="3248">
        <v>0</v>
      </c>
      <c r="BC709" s="3247">
        <v>0</v>
      </c>
      <c r="BD709" s="3248">
        <v>0</v>
      </c>
      <c r="BE709" s="3248">
        <v>0</v>
      </c>
      <c r="BF709" s="3248">
        <f t="shared" si="65"/>
        <v>0</v>
      </c>
      <c r="BG709" s="3248">
        <f t="shared" si="66"/>
        <v>0</v>
      </c>
      <c r="BH709" s="3249"/>
      <c r="BI709" s="3249"/>
    </row>
    <row r="710" spans="1:61" x14ac:dyDescent="0.3">
      <c r="A710" s="4197" t="s">
        <v>3384</v>
      </c>
      <c r="B710" s="3261"/>
      <c r="C710" s="3243">
        <v>0</v>
      </c>
      <c r="D710" s="3242">
        <v>0</v>
      </c>
      <c r="E710" s="3244"/>
      <c r="F710" s="3244"/>
      <c r="G710" s="3242">
        <v>0</v>
      </c>
      <c r="H710" s="3244"/>
      <c r="I710" s="3244"/>
      <c r="J710" s="3244"/>
      <c r="K710" s="3242">
        <v>0</v>
      </c>
      <c r="L710" s="3244"/>
      <c r="M710" s="3244"/>
      <c r="N710" s="3242" t="s">
        <v>3384</v>
      </c>
      <c r="O710" s="3239">
        <v>0</v>
      </c>
      <c r="P710" s="3242">
        <v>0</v>
      </c>
      <c r="Q710" s="3244"/>
      <c r="R710" s="3244"/>
      <c r="S710" s="3242">
        <v>0</v>
      </c>
      <c r="T710" s="3244"/>
      <c r="U710" s="3244"/>
      <c r="V710" s="3244"/>
      <c r="W710" s="3240">
        <v>0</v>
      </c>
      <c r="X710" s="3244"/>
      <c r="Y710" s="3244"/>
      <c r="Z710" s="3242" t="s">
        <v>3384</v>
      </c>
      <c r="AA710" s="3243">
        <v>0</v>
      </c>
      <c r="AB710" s="3242">
        <v>0</v>
      </c>
      <c r="AC710" s="3244"/>
      <c r="AD710" s="3244"/>
      <c r="AE710" s="3242">
        <v>0</v>
      </c>
      <c r="AF710" s="3259"/>
      <c r="AG710" s="3260"/>
      <c r="AH710" s="3260"/>
      <c r="AI710" s="3260"/>
      <c r="AJ710" s="3260"/>
      <c r="AK710" s="3260"/>
      <c r="AL710" s="3259"/>
      <c r="AM710" s="3260"/>
      <c r="AN710" s="3259"/>
      <c r="AO710" s="3260"/>
      <c r="AP710" s="3242">
        <v>0</v>
      </c>
      <c r="AQ710" s="3244"/>
      <c r="AR710" s="3244"/>
      <c r="AS710" s="3242" t="s">
        <v>3384</v>
      </c>
      <c r="AT710" s="3247">
        <f t="shared" si="63"/>
        <v>0</v>
      </c>
      <c r="AU710" s="3248">
        <f t="shared" si="64"/>
        <v>0</v>
      </c>
      <c r="AV710" s="3248">
        <v>0</v>
      </c>
      <c r="AW710" s="3247">
        <v>0</v>
      </c>
      <c r="AX710" s="3248">
        <v>0</v>
      </c>
      <c r="AY710" s="3248">
        <v>0</v>
      </c>
      <c r="AZ710" s="3247">
        <v>0</v>
      </c>
      <c r="BA710" s="3248">
        <v>0</v>
      </c>
      <c r="BB710" s="3248">
        <v>0</v>
      </c>
      <c r="BC710" s="3247">
        <v>0</v>
      </c>
      <c r="BD710" s="3248">
        <v>0</v>
      </c>
      <c r="BE710" s="3248">
        <v>0</v>
      </c>
      <c r="BF710" s="3248">
        <f t="shared" si="65"/>
        <v>0</v>
      </c>
      <c r="BG710" s="3248">
        <f t="shared" si="66"/>
        <v>0</v>
      </c>
      <c r="BH710" s="3249"/>
      <c r="BI710" s="3249"/>
    </row>
    <row r="711" spans="1:61" x14ac:dyDescent="0.3">
      <c r="A711" s="4197" t="s">
        <v>3384</v>
      </c>
      <c r="B711" s="3261"/>
      <c r="C711" s="3243">
        <v>0</v>
      </c>
      <c r="D711" s="3242">
        <v>0</v>
      </c>
      <c r="E711" s="3244"/>
      <c r="F711" s="3244"/>
      <c r="G711" s="3242">
        <v>0</v>
      </c>
      <c r="H711" s="3244"/>
      <c r="I711" s="3244"/>
      <c r="J711" s="3244"/>
      <c r="K711" s="3242">
        <v>0</v>
      </c>
      <c r="L711" s="3244"/>
      <c r="M711" s="3244"/>
      <c r="N711" s="3242" t="s">
        <v>3384</v>
      </c>
      <c r="O711" s="3239">
        <v>0</v>
      </c>
      <c r="P711" s="3242">
        <v>0</v>
      </c>
      <c r="Q711" s="3244"/>
      <c r="R711" s="3244"/>
      <c r="S711" s="3242">
        <v>0</v>
      </c>
      <c r="T711" s="3244"/>
      <c r="U711" s="3244"/>
      <c r="V711" s="3244"/>
      <c r="W711" s="3240">
        <v>0</v>
      </c>
      <c r="X711" s="3244"/>
      <c r="Y711" s="3244"/>
      <c r="Z711" s="3242" t="s">
        <v>3384</v>
      </c>
      <c r="AA711" s="3243">
        <v>0</v>
      </c>
      <c r="AB711" s="3242">
        <v>0</v>
      </c>
      <c r="AC711" s="3244"/>
      <c r="AD711" s="3244"/>
      <c r="AE711" s="3242">
        <v>0</v>
      </c>
      <c r="AF711" s="3259"/>
      <c r="AG711" s="3260"/>
      <c r="AH711" s="3260"/>
      <c r="AI711" s="3260"/>
      <c r="AJ711" s="3260"/>
      <c r="AK711" s="3260"/>
      <c r="AL711" s="3259"/>
      <c r="AM711" s="3260"/>
      <c r="AN711" s="3259"/>
      <c r="AO711" s="3260"/>
      <c r="AP711" s="3242">
        <v>0</v>
      </c>
      <c r="AQ711" s="3244"/>
      <c r="AR711" s="3244"/>
      <c r="AS711" s="3242" t="s">
        <v>3384</v>
      </c>
      <c r="AT711" s="3247">
        <f t="shared" si="63"/>
        <v>0</v>
      </c>
      <c r="AU711" s="3248">
        <f t="shared" si="64"/>
        <v>0</v>
      </c>
      <c r="AV711" s="3248">
        <v>0</v>
      </c>
      <c r="AW711" s="3247">
        <v>0</v>
      </c>
      <c r="AX711" s="3248">
        <v>0</v>
      </c>
      <c r="AY711" s="3248">
        <v>0</v>
      </c>
      <c r="AZ711" s="3247">
        <v>0</v>
      </c>
      <c r="BA711" s="3248">
        <v>0</v>
      </c>
      <c r="BB711" s="3248">
        <v>0</v>
      </c>
      <c r="BC711" s="3247">
        <v>0</v>
      </c>
      <c r="BD711" s="3248">
        <v>0</v>
      </c>
      <c r="BE711" s="3248">
        <v>0</v>
      </c>
      <c r="BF711" s="3248">
        <f t="shared" si="65"/>
        <v>0</v>
      </c>
      <c r="BG711" s="3248">
        <f t="shared" si="66"/>
        <v>0</v>
      </c>
      <c r="BH711" s="3249"/>
      <c r="BI711" s="3249"/>
    </row>
    <row r="712" spans="1:61" x14ac:dyDescent="0.3">
      <c r="A712" s="4197" t="s">
        <v>3384</v>
      </c>
      <c r="B712" s="3261"/>
      <c r="C712" s="3243">
        <v>0</v>
      </c>
      <c r="D712" s="3242">
        <v>0</v>
      </c>
      <c r="E712" s="3244"/>
      <c r="F712" s="3244"/>
      <c r="G712" s="3242">
        <v>0</v>
      </c>
      <c r="H712" s="3244"/>
      <c r="I712" s="3244"/>
      <c r="J712" s="3244"/>
      <c r="K712" s="3242">
        <v>0</v>
      </c>
      <c r="L712" s="3244"/>
      <c r="M712" s="3244"/>
      <c r="N712" s="3242" t="s">
        <v>3384</v>
      </c>
      <c r="O712" s="3239">
        <v>0</v>
      </c>
      <c r="P712" s="3242">
        <v>0</v>
      </c>
      <c r="Q712" s="3244"/>
      <c r="R712" s="3244"/>
      <c r="S712" s="3242">
        <v>0</v>
      </c>
      <c r="T712" s="3244"/>
      <c r="U712" s="3244"/>
      <c r="V712" s="3244"/>
      <c r="W712" s="3240">
        <v>0</v>
      </c>
      <c r="X712" s="3244"/>
      <c r="Y712" s="3244"/>
      <c r="Z712" s="3242" t="s">
        <v>3384</v>
      </c>
      <c r="AA712" s="3243">
        <v>0</v>
      </c>
      <c r="AB712" s="3242">
        <v>0</v>
      </c>
      <c r="AC712" s="3244"/>
      <c r="AD712" s="3244"/>
      <c r="AE712" s="3242">
        <v>0</v>
      </c>
      <c r="AF712" s="3259"/>
      <c r="AG712" s="3260"/>
      <c r="AH712" s="3260"/>
      <c r="AI712" s="3260"/>
      <c r="AJ712" s="3260"/>
      <c r="AK712" s="3260"/>
      <c r="AL712" s="3259"/>
      <c r="AM712" s="3260"/>
      <c r="AN712" s="3259"/>
      <c r="AO712" s="3260"/>
      <c r="AP712" s="3242">
        <v>0</v>
      </c>
      <c r="AQ712" s="3244"/>
      <c r="AR712" s="3244"/>
      <c r="AS712" s="3242" t="s">
        <v>3384</v>
      </c>
      <c r="AT712" s="3247">
        <f t="shared" si="63"/>
        <v>0</v>
      </c>
      <c r="AU712" s="3248">
        <f t="shared" si="64"/>
        <v>0</v>
      </c>
      <c r="AV712" s="3248">
        <v>0</v>
      </c>
      <c r="AW712" s="3247">
        <v>0</v>
      </c>
      <c r="AX712" s="3248">
        <v>0</v>
      </c>
      <c r="AY712" s="3248">
        <v>0</v>
      </c>
      <c r="AZ712" s="3247">
        <v>0</v>
      </c>
      <c r="BA712" s="3248">
        <v>0</v>
      </c>
      <c r="BB712" s="3248">
        <v>0</v>
      </c>
      <c r="BC712" s="3247">
        <v>0</v>
      </c>
      <c r="BD712" s="3248">
        <v>0</v>
      </c>
      <c r="BE712" s="3248">
        <v>0</v>
      </c>
      <c r="BF712" s="3248">
        <f t="shared" si="65"/>
        <v>0</v>
      </c>
      <c r="BG712" s="3248">
        <f t="shared" si="66"/>
        <v>0</v>
      </c>
      <c r="BH712" s="3249"/>
      <c r="BI712" s="3249"/>
    </row>
    <row r="713" spans="1:61" x14ac:dyDescent="0.3">
      <c r="A713" s="4197" t="s">
        <v>3384</v>
      </c>
      <c r="B713" s="3261"/>
      <c r="C713" s="3243">
        <v>0</v>
      </c>
      <c r="D713" s="3242">
        <v>0</v>
      </c>
      <c r="E713" s="3244"/>
      <c r="F713" s="3244"/>
      <c r="G713" s="3242">
        <v>0</v>
      </c>
      <c r="H713" s="3244"/>
      <c r="I713" s="3244"/>
      <c r="J713" s="3244"/>
      <c r="K713" s="3242">
        <v>0</v>
      </c>
      <c r="L713" s="3244"/>
      <c r="M713" s="3244"/>
      <c r="N713" s="3242" t="s">
        <v>3384</v>
      </c>
      <c r="O713" s="3239">
        <v>0</v>
      </c>
      <c r="P713" s="3242">
        <v>0</v>
      </c>
      <c r="Q713" s="3244"/>
      <c r="R713" s="3244"/>
      <c r="S713" s="3242">
        <v>0</v>
      </c>
      <c r="T713" s="3244"/>
      <c r="U713" s="3244"/>
      <c r="V713" s="3244"/>
      <c r="W713" s="3240">
        <v>0</v>
      </c>
      <c r="X713" s="3244"/>
      <c r="Y713" s="3244"/>
      <c r="Z713" s="3242" t="s">
        <v>3384</v>
      </c>
      <c r="AA713" s="3243">
        <v>0</v>
      </c>
      <c r="AB713" s="3242">
        <v>0</v>
      </c>
      <c r="AC713" s="3244"/>
      <c r="AD713" s="3244"/>
      <c r="AE713" s="3242">
        <v>0</v>
      </c>
      <c r="AF713" s="3259"/>
      <c r="AG713" s="3260"/>
      <c r="AH713" s="3260"/>
      <c r="AI713" s="3260"/>
      <c r="AJ713" s="3260"/>
      <c r="AK713" s="3260"/>
      <c r="AL713" s="3259"/>
      <c r="AM713" s="3260"/>
      <c r="AN713" s="3259"/>
      <c r="AO713" s="3260"/>
      <c r="AP713" s="3242">
        <v>0</v>
      </c>
      <c r="AQ713" s="3244"/>
      <c r="AR713" s="3244"/>
      <c r="AS713" s="3242" t="s">
        <v>3384</v>
      </c>
      <c r="AT713" s="3247">
        <f t="shared" si="63"/>
        <v>0</v>
      </c>
      <c r="AU713" s="3248">
        <f t="shared" si="64"/>
        <v>0</v>
      </c>
      <c r="AV713" s="3248">
        <v>0</v>
      </c>
      <c r="AW713" s="3247">
        <v>0</v>
      </c>
      <c r="AX713" s="3248">
        <v>0</v>
      </c>
      <c r="AY713" s="3248">
        <v>0</v>
      </c>
      <c r="AZ713" s="3247">
        <v>0</v>
      </c>
      <c r="BA713" s="3248">
        <v>0</v>
      </c>
      <c r="BB713" s="3248">
        <v>0</v>
      </c>
      <c r="BC713" s="3247">
        <v>0</v>
      </c>
      <c r="BD713" s="3248">
        <v>0</v>
      </c>
      <c r="BE713" s="3248">
        <v>0</v>
      </c>
      <c r="BF713" s="3248">
        <f t="shared" si="65"/>
        <v>0</v>
      </c>
      <c r="BG713" s="3248">
        <f t="shared" si="66"/>
        <v>0</v>
      </c>
      <c r="BH713" s="3249"/>
      <c r="BI713" s="3249"/>
    </row>
    <row r="714" spans="1:61" x14ac:dyDescent="0.3">
      <c r="A714" s="4197" t="s">
        <v>3384</v>
      </c>
      <c r="B714" s="3261"/>
      <c r="C714" s="3243">
        <v>0</v>
      </c>
      <c r="D714" s="3242">
        <v>0</v>
      </c>
      <c r="E714" s="3244"/>
      <c r="F714" s="3244"/>
      <c r="G714" s="3242">
        <v>0</v>
      </c>
      <c r="H714" s="3244"/>
      <c r="I714" s="3244"/>
      <c r="J714" s="3244"/>
      <c r="K714" s="3242">
        <v>0</v>
      </c>
      <c r="L714" s="3244"/>
      <c r="M714" s="3244"/>
      <c r="N714" s="3242" t="s">
        <v>3384</v>
      </c>
      <c r="O714" s="3239">
        <v>0</v>
      </c>
      <c r="P714" s="3242">
        <v>0</v>
      </c>
      <c r="Q714" s="3244"/>
      <c r="R714" s="3244"/>
      <c r="S714" s="3242">
        <v>0</v>
      </c>
      <c r="T714" s="3244"/>
      <c r="U714" s="3244"/>
      <c r="V714" s="3244"/>
      <c r="W714" s="3240">
        <v>0</v>
      </c>
      <c r="X714" s="3244"/>
      <c r="Y714" s="3244"/>
      <c r="Z714" s="3242" t="s">
        <v>3384</v>
      </c>
      <c r="AA714" s="3243">
        <v>0</v>
      </c>
      <c r="AB714" s="3242">
        <v>0</v>
      </c>
      <c r="AC714" s="3244"/>
      <c r="AD714" s="3244"/>
      <c r="AE714" s="3242">
        <v>0</v>
      </c>
      <c r="AF714" s="3259"/>
      <c r="AG714" s="3260"/>
      <c r="AH714" s="3260"/>
      <c r="AI714" s="3260"/>
      <c r="AJ714" s="3260"/>
      <c r="AK714" s="3260"/>
      <c r="AL714" s="3259"/>
      <c r="AM714" s="3260"/>
      <c r="AN714" s="3259"/>
      <c r="AO714" s="3260"/>
      <c r="AP714" s="3242">
        <v>0</v>
      </c>
      <c r="AQ714" s="3244"/>
      <c r="AR714" s="3244"/>
      <c r="AS714" s="3242" t="s">
        <v>3384</v>
      </c>
      <c r="AT714" s="3247">
        <f t="shared" si="63"/>
        <v>0</v>
      </c>
      <c r="AU714" s="3248">
        <f t="shared" si="64"/>
        <v>0</v>
      </c>
      <c r="AV714" s="3248">
        <v>0</v>
      </c>
      <c r="AW714" s="3247">
        <v>0</v>
      </c>
      <c r="AX714" s="3248">
        <v>0</v>
      </c>
      <c r="AY714" s="3248">
        <v>0</v>
      </c>
      <c r="AZ714" s="3247">
        <v>0</v>
      </c>
      <c r="BA714" s="3248">
        <v>0</v>
      </c>
      <c r="BB714" s="3248">
        <v>0</v>
      </c>
      <c r="BC714" s="3247">
        <v>0</v>
      </c>
      <c r="BD714" s="3248">
        <v>0</v>
      </c>
      <c r="BE714" s="3248">
        <v>0</v>
      </c>
      <c r="BF714" s="3248">
        <f t="shared" si="65"/>
        <v>0</v>
      </c>
      <c r="BG714" s="3248">
        <f t="shared" si="66"/>
        <v>0</v>
      </c>
      <c r="BH714" s="3249"/>
      <c r="BI714" s="3249"/>
    </row>
    <row r="715" spans="1:61" x14ac:dyDescent="0.3">
      <c r="A715" s="4197" t="s">
        <v>3384</v>
      </c>
      <c r="B715" s="3261"/>
      <c r="C715" s="3243">
        <v>0</v>
      </c>
      <c r="D715" s="3242">
        <v>0</v>
      </c>
      <c r="E715" s="3244"/>
      <c r="F715" s="3244"/>
      <c r="G715" s="3242">
        <v>0</v>
      </c>
      <c r="H715" s="3244"/>
      <c r="I715" s="3244"/>
      <c r="J715" s="3244"/>
      <c r="K715" s="3242">
        <v>0</v>
      </c>
      <c r="L715" s="3244"/>
      <c r="M715" s="3244"/>
      <c r="N715" s="3242" t="s">
        <v>3384</v>
      </c>
      <c r="O715" s="3239">
        <v>0</v>
      </c>
      <c r="P715" s="3242">
        <v>0</v>
      </c>
      <c r="Q715" s="3244"/>
      <c r="R715" s="3244"/>
      <c r="S715" s="3242">
        <v>0</v>
      </c>
      <c r="T715" s="3244"/>
      <c r="U715" s="3244"/>
      <c r="V715" s="3244"/>
      <c r="W715" s="3240">
        <v>0</v>
      </c>
      <c r="X715" s="3244"/>
      <c r="Y715" s="3244"/>
      <c r="Z715" s="3242" t="s">
        <v>3384</v>
      </c>
      <c r="AA715" s="3243">
        <v>0</v>
      </c>
      <c r="AB715" s="3242">
        <v>0</v>
      </c>
      <c r="AC715" s="3244"/>
      <c r="AD715" s="3244"/>
      <c r="AE715" s="3242">
        <v>0</v>
      </c>
      <c r="AF715" s="3259"/>
      <c r="AG715" s="3260"/>
      <c r="AH715" s="3260"/>
      <c r="AI715" s="3260"/>
      <c r="AJ715" s="3260"/>
      <c r="AK715" s="3260"/>
      <c r="AL715" s="3259"/>
      <c r="AM715" s="3260"/>
      <c r="AN715" s="3259"/>
      <c r="AO715" s="3260"/>
      <c r="AP715" s="3242">
        <v>0</v>
      </c>
      <c r="AQ715" s="3244"/>
      <c r="AR715" s="3244"/>
      <c r="AS715" s="3242" t="s">
        <v>3384</v>
      </c>
      <c r="AT715" s="3247">
        <f t="shared" si="63"/>
        <v>0</v>
      </c>
      <c r="AU715" s="3248">
        <f t="shared" si="64"/>
        <v>0</v>
      </c>
      <c r="AV715" s="3248">
        <v>0</v>
      </c>
      <c r="AW715" s="3247">
        <v>0</v>
      </c>
      <c r="AX715" s="3248">
        <v>0</v>
      </c>
      <c r="AY715" s="3248">
        <v>0</v>
      </c>
      <c r="AZ715" s="3247">
        <v>0</v>
      </c>
      <c r="BA715" s="3248">
        <v>0</v>
      </c>
      <c r="BB715" s="3248">
        <v>0</v>
      </c>
      <c r="BC715" s="3247">
        <v>0</v>
      </c>
      <c r="BD715" s="3248">
        <v>0</v>
      </c>
      <c r="BE715" s="3248">
        <v>0</v>
      </c>
      <c r="BF715" s="3248">
        <f t="shared" si="65"/>
        <v>0</v>
      </c>
      <c r="BG715" s="3248">
        <f t="shared" si="66"/>
        <v>0</v>
      </c>
      <c r="BH715" s="3249"/>
      <c r="BI715" s="3249"/>
    </row>
    <row r="716" spans="1:61" x14ac:dyDescent="0.3">
      <c r="A716" s="4197" t="s">
        <v>3384</v>
      </c>
      <c r="B716" s="3261"/>
      <c r="C716" s="3243">
        <v>0</v>
      </c>
      <c r="D716" s="3242">
        <v>0</v>
      </c>
      <c r="E716" s="3244"/>
      <c r="F716" s="3244"/>
      <c r="G716" s="3242">
        <v>0</v>
      </c>
      <c r="H716" s="3244"/>
      <c r="I716" s="3244"/>
      <c r="J716" s="3244"/>
      <c r="K716" s="3242">
        <v>0</v>
      </c>
      <c r="L716" s="3244"/>
      <c r="M716" s="3244"/>
      <c r="N716" s="3242" t="s">
        <v>3384</v>
      </c>
      <c r="O716" s="3239">
        <v>0</v>
      </c>
      <c r="P716" s="3242">
        <v>0</v>
      </c>
      <c r="Q716" s="3244"/>
      <c r="R716" s="3244"/>
      <c r="S716" s="3242">
        <v>0</v>
      </c>
      <c r="T716" s="3244"/>
      <c r="U716" s="3244"/>
      <c r="V716" s="3244"/>
      <c r="W716" s="3240">
        <v>0</v>
      </c>
      <c r="X716" s="3244"/>
      <c r="Y716" s="3244"/>
      <c r="Z716" s="3242" t="s">
        <v>3384</v>
      </c>
      <c r="AA716" s="3243">
        <v>0</v>
      </c>
      <c r="AB716" s="3242">
        <v>0</v>
      </c>
      <c r="AC716" s="3244"/>
      <c r="AD716" s="3244"/>
      <c r="AE716" s="3242">
        <v>0</v>
      </c>
      <c r="AF716" s="3259"/>
      <c r="AG716" s="3260"/>
      <c r="AH716" s="3260"/>
      <c r="AI716" s="3260"/>
      <c r="AJ716" s="3260"/>
      <c r="AK716" s="3260"/>
      <c r="AL716" s="3259"/>
      <c r="AM716" s="3260"/>
      <c r="AN716" s="3259"/>
      <c r="AO716" s="3260"/>
      <c r="AP716" s="3242">
        <v>0</v>
      </c>
      <c r="AQ716" s="3244"/>
      <c r="AR716" s="3244"/>
      <c r="AS716" s="3242" t="s">
        <v>3384</v>
      </c>
      <c r="AT716" s="3247">
        <f t="shared" si="63"/>
        <v>0</v>
      </c>
      <c r="AU716" s="3248">
        <f t="shared" si="64"/>
        <v>0</v>
      </c>
      <c r="AV716" s="3248">
        <v>0</v>
      </c>
      <c r="AW716" s="3247">
        <v>0</v>
      </c>
      <c r="AX716" s="3248">
        <v>0</v>
      </c>
      <c r="AY716" s="3248">
        <v>0</v>
      </c>
      <c r="AZ716" s="3247">
        <v>0</v>
      </c>
      <c r="BA716" s="3248">
        <v>0</v>
      </c>
      <c r="BB716" s="3248">
        <v>0</v>
      </c>
      <c r="BC716" s="3247">
        <v>0</v>
      </c>
      <c r="BD716" s="3248">
        <v>0</v>
      </c>
      <c r="BE716" s="3248">
        <v>0</v>
      </c>
      <c r="BF716" s="3248">
        <f t="shared" si="65"/>
        <v>0</v>
      </c>
      <c r="BG716" s="3248">
        <f t="shared" si="66"/>
        <v>0</v>
      </c>
      <c r="BH716" s="3249"/>
      <c r="BI716" s="3249"/>
    </row>
    <row r="717" spans="1:61" x14ac:dyDescent="0.3">
      <c r="A717" s="4197" t="s">
        <v>3384</v>
      </c>
      <c r="B717" s="3261"/>
      <c r="C717" s="3243">
        <v>0</v>
      </c>
      <c r="D717" s="3242">
        <v>0</v>
      </c>
      <c r="E717" s="3244"/>
      <c r="F717" s="3244"/>
      <c r="G717" s="3242">
        <v>0</v>
      </c>
      <c r="H717" s="3244"/>
      <c r="I717" s="3244"/>
      <c r="J717" s="3244"/>
      <c r="K717" s="3242">
        <v>0</v>
      </c>
      <c r="L717" s="3244"/>
      <c r="M717" s="3244"/>
      <c r="N717" s="3242" t="s">
        <v>3384</v>
      </c>
      <c r="O717" s="3239">
        <v>0</v>
      </c>
      <c r="P717" s="3242">
        <v>0</v>
      </c>
      <c r="Q717" s="3244"/>
      <c r="R717" s="3244"/>
      <c r="S717" s="3242">
        <v>0</v>
      </c>
      <c r="T717" s="3244"/>
      <c r="U717" s="3244"/>
      <c r="V717" s="3244"/>
      <c r="W717" s="3240">
        <v>0</v>
      </c>
      <c r="X717" s="3244"/>
      <c r="Y717" s="3244"/>
      <c r="Z717" s="3242" t="s">
        <v>3384</v>
      </c>
      <c r="AA717" s="3243">
        <v>0</v>
      </c>
      <c r="AB717" s="3242">
        <v>0</v>
      </c>
      <c r="AC717" s="3244"/>
      <c r="AD717" s="3244"/>
      <c r="AE717" s="3242">
        <v>0</v>
      </c>
      <c r="AF717" s="3259"/>
      <c r="AG717" s="3260"/>
      <c r="AH717" s="3260"/>
      <c r="AI717" s="3260"/>
      <c r="AJ717" s="3260"/>
      <c r="AK717" s="3260"/>
      <c r="AL717" s="3259"/>
      <c r="AM717" s="3260"/>
      <c r="AN717" s="3259"/>
      <c r="AO717" s="3260"/>
      <c r="AP717" s="3242">
        <v>0</v>
      </c>
      <c r="AQ717" s="3244"/>
      <c r="AR717" s="3244"/>
      <c r="AS717" s="3242" t="s">
        <v>3384</v>
      </c>
      <c r="AT717" s="3247">
        <f t="shared" si="63"/>
        <v>0</v>
      </c>
      <c r="AU717" s="3248">
        <f t="shared" si="64"/>
        <v>0</v>
      </c>
      <c r="AV717" s="3248">
        <v>0</v>
      </c>
      <c r="AW717" s="3247">
        <v>0</v>
      </c>
      <c r="AX717" s="3248">
        <v>0</v>
      </c>
      <c r="AY717" s="3248">
        <v>0</v>
      </c>
      <c r="AZ717" s="3247">
        <v>0</v>
      </c>
      <c r="BA717" s="3248">
        <v>0</v>
      </c>
      <c r="BB717" s="3248">
        <v>0</v>
      </c>
      <c r="BC717" s="3247">
        <v>0</v>
      </c>
      <c r="BD717" s="3248">
        <v>0</v>
      </c>
      <c r="BE717" s="3248">
        <v>0</v>
      </c>
      <c r="BF717" s="3248">
        <f t="shared" si="65"/>
        <v>0</v>
      </c>
      <c r="BG717" s="3248">
        <f t="shared" si="66"/>
        <v>0</v>
      </c>
      <c r="BH717" s="3249"/>
      <c r="BI717" s="3249"/>
    </row>
    <row r="718" spans="1:61" x14ac:dyDescent="0.3">
      <c r="A718" s="4197" t="s">
        <v>3384</v>
      </c>
      <c r="B718" s="3261"/>
      <c r="C718" s="3243">
        <v>0</v>
      </c>
      <c r="D718" s="3242">
        <v>0</v>
      </c>
      <c r="E718" s="3244"/>
      <c r="F718" s="3244"/>
      <c r="G718" s="3242">
        <v>0</v>
      </c>
      <c r="H718" s="3244"/>
      <c r="I718" s="3244"/>
      <c r="J718" s="3244"/>
      <c r="K718" s="3242">
        <v>0</v>
      </c>
      <c r="L718" s="3244"/>
      <c r="M718" s="3244"/>
      <c r="N718" s="3242" t="s">
        <v>3384</v>
      </c>
      <c r="O718" s="3239">
        <v>0</v>
      </c>
      <c r="P718" s="3242">
        <v>0</v>
      </c>
      <c r="Q718" s="3244"/>
      <c r="R718" s="3244"/>
      <c r="S718" s="3242">
        <v>0</v>
      </c>
      <c r="T718" s="3244"/>
      <c r="U718" s="3244"/>
      <c r="V718" s="3244"/>
      <c r="W718" s="3240">
        <v>0</v>
      </c>
      <c r="X718" s="3244"/>
      <c r="Y718" s="3244"/>
      <c r="Z718" s="3242" t="s">
        <v>3384</v>
      </c>
      <c r="AA718" s="3243">
        <v>0</v>
      </c>
      <c r="AB718" s="3242">
        <v>0</v>
      </c>
      <c r="AC718" s="3244"/>
      <c r="AD718" s="3244"/>
      <c r="AE718" s="3242">
        <v>0</v>
      </c>
      <c r="AF718" s="3259"/>
      <c r="AG718" s="3260"/>
      <c r="AH718" s="3260"/>
      <c r="AI718" s="3260"/>
      <c r="AJ718" s="3260"/>
      <c r="AK718" s="3260"/>
      <c r="AL718" s="3259"/>
      <c r="AM718" s="3260"/>
      <c r="AN718" s="3259"/>
      <c r="AO718" s="3260"/>
      <c r="AP718" s="3242">
        <v>0</v>
      </c>
      <c r="AQ718" s="3244"/>
      <c r="AR718" s="3244"/>
      <c r="AS718" s="3242" t="s">
        <v>3384</v>
      </c>
      <c r="AT718" s="3247">
        <f t="shared" si="63"/>
        <v>0</v>
      </c>
      <c r="AU718" s="3248">
        <f t="shared" si="64"/>
        <v>0</v>
      </c>
      <c r="AV718" s="3248">
        <v>0</v>
      </c>
      <c r="AW718" s="3247">
        <v>0</v>
      </c>
      <c r="AX718" s="3248">
        <v>0</v>
      </c>
      <c r="AY718" s="3248">
        <v>0</v>
      </c>
      <c r="AZ718" s="3247">
        <v>0</v>
      </c>
      <c r="BA718" s="3248">
        <v>0</v>
      </c>
      <c r="BB718" s="3248">
        <v>0</v>
      </c>
      <c r="BC718" s="3247">
        <v>0</v>
      </c>
      <c r="BD718" s="3248">
        <v>0</v>
      </c>
      <c r="BE718" s="3248">
        <v>0</v>
      </c>
      <c r="BF718" s="3248">
        <f t="shared" si="65"/>
        <v>0</v>
      </c>
      <c r="BG718" s="3248">
        <f t="shared" si="66"/>
        <v>0</v>
      </c>
      <c r="BH718" s="3249"/>
      <c r="BI718" s="3249"/>
    </row>
    <row r="719" spans="1:61" x14ac:dyDescent="0.3">
      <c r="A719" s="4197" t="s">
        <v>3384</v>
      </c>
      <c r="B719" s="3261"/>
      <c r="C719" s="3243">
        <v>0</v>
      </c>
      <c r="D719" s="3242">
        <v>0</v>
      </c>
      <c r="E719" s="3244"/>
      <c r="F719" s="3244"/>
      <c r="G719" s="3242">
        <v>0</v>
      </c>
      <c r="H719" s="3244"/>
      <c r="I719" s="3244"/>
      <c r="J719" s="3244"/>
      <c r="K719" s="3242">
        <v>0</v>
      </c>
      <c r="L719" s="3244"/>
      <c r="M719" s="3244"/>
      <c r="N719" s="3242" t="s">
        <v>3384</v>
      </c>
      <c r="O719" s="3239">
        <v>0</v>
      </c>
      <c r="P719" s="3242">
        <v>0</v>
      </c>
      <c r="Q719" s="3244"/>
      <c r="R719" s="3244"/>
      <c r="S719" s="3242">
        <v>0</v>
      </c>
      <c r="T719" s="3244"/>
      <c r="U719" s="3244"/>
      <c r="V719" s="3244"/>
      <c r="W719" s="3240">
        <v>0</v>
      </c>
      <c r="X719" s="3244"/>
      <c r="Y719" s="3244"/>
      <c r="Z719" s="3242" t="s">
        <v>3384</v>
      </c>
      <c r="AA719" s="3243">
        <v>0</v>
      </c>
      <c r="AB719" s="3242">
        <v>0</v>
      </c>
      <c r="AC719" s="3244"/>
      <c r="AD719" s="3244"/>
      <c r="AE719" s="3242">
        <v>0</v>
      </c>
      <c r="AF719" s="3259"/>
      <c r="AG719" s="3260"/>
      <c r="AH719" s="3260"/>
      <c r="AI719" s="3260"/>
      <c r="AJ719" s="3260"/>
      <c r="AK719" s="3260"/>
      <c r="AL719" s="3259"/>
      <c r="AM719" s="3260"/>
      <c r="AN719" s="3259"/>
      <c r="AO719" s="3260"/>
      <c r="AP719" s="3242">
        <v>0</v>
      </c>
      <c r="AQ719" s="3244"/>
      <c r="AR719" s="3244"/>
      <c r="AS719" s="3242" t="s">
        <v>3384</v>
      </c>
      <c r="AT719" s="3247">
        <f t="shared" si="63"/>
        <v>0</v>
      </c>
      <c r="AU719" s="3248">
        <f t="shared" si="64"/>
        <v>0</v>
      </c>
      <c r="AV719" s="3248">
        <v>0</v>
      </c>
      <c r="AW719" s="3247">
        <v>0</v>
      </c>
      <c r="AX719" s="3248">
        <v>0</v>
      </c>
      <c r="AY719" s="3248">
        <v>0</v>
      </c>
      <c r="AZ719" s="3247">
        <v>0</v>
      </c>
      <c r="BA719" s="3248">
        <v>0</v>
      </c>
      <c r="BB719" s="3248">
        <v>0</v>
      </c>
      <c r="BC719" s="3247">
        <v>0</v>
      </c>
      <c r="BD719" s="3248">
        <v>0</v>
      </c>
      <c r="BE719" s="3248">
        <v>0</v>
      </c>
      <c r="BF719" s="3248">
        <f t="shared" si="65"/>
        <v>0</v>
      </c>
      <c r="BG719" s="3248">
        <f t="shared" si="66"/>
        <v>0</v>
      </c>
      <c r="BH719" s="3249"/>
      <c r="BI719" s="3249"/>
    </row>
    <row r="720" spans="1:61" x14ac:dyDescent="0.3">
      <c r="A720" s="4197" t="s">
        <v>3384</v>
      </c>
      <c r="B720" s="3261"/>
      <c r="C720" s="3243">
        <v>0</v>
      </c>
      <c r="D720" s="3242">
        <v>0</v>
      </c>
      <c r="E720" s="3244"/>
      <c r="F720" s="3244"/>
      <c r="G720" s="3242">
        <v>0</v>
      </c>
      <c r="H720" s="3244"/>
      <c r="I720" s="3244"/>
      <c r="J720" s="3244"/>
      <c r="K720" s="3242">
        <v>0</v>
      </c>
      <c r="L720" s="3244"/>
      <c r="M720" s="3244"/>
      <c r="N720" s="3242" t="s">
        <v>3384</v>
      </c>
      <c r="O720" s="3239">
        <v>0</v>
      </c>
      <c r="P720" s="3242">
        <v>0</v>
      </c>
      <c r="Q720" s="3244"/>
      <c r="R720" s="3244"/>
      <c r="S720" s="3242">
        <v>0</v>
      </c>
      <c r="T720" s="3244"/>
      <c r="U720" s="3244"/>
      <c r="V720" s="3244"/>
      <c r="W720" s="3240">
        <v>0</v>
      </c>
      <c r="X720" s="3244"/>
      <c r="Y720" s="3244"/>
      <c r="Z720" s="3242" t="s">
        <v>3384</v>
      </c>
      <c r="AA720" s="3243">
        <v>0</v>
      </c>
      <c r="AB720" s="3242">
        <v>0</v>
      </c>
      <c r="AC720" s="3244"/>
      <c r="AD720" s="3244"/>
      <c r="AE720" s="3242">
        <v>0</v>
      </c>
      <c r="AF720" s="3259"/>
      <c r="AG720" s="3260"/>
      <c r="AH720" s="3260"/>
      <c r="AI720" s="3260"/>
      <c r="AJ720" s="3260"/>
      <c r="AK720" s="3260"/>
      <c r="AL720" s="3259"/>
      <c r="AM720" s="3260"/>
      <c r="AN720" s="3259"/>
      <c r="AO720" s="3260"/>
      <c r="AP720" s="3242">
        <v>0</v>
      </c>
      <c r="AQ720" s="3244"/>
      <c r="AR720" s="3244"/>
      <c r="AS720" s="3242" t="s">
        <v>3384</v>
      </c>
      <c r="AT720" s="3247">
        <f t="shared" ref="AT720:AT783" si="67">IFERROR(AE720+(SUM(AC720:AD720)/100*($AE$14/$AB$14*100)),0)</f>
        <v>0</v>
      </c>
      <c r="AU720" s="3248">
        <f t="shared" si="64"/>
        <v>0</v>
      </c>
      <c r="AV720" s="3248">
        <v>0</v>
      </c>
      <c r="AW720" s="3247">
        <v>0</v>
      </c>
      <c r="AX720" s="3248">
        <v>0</v>
      </c>
      <c r="AY720" s="3248">
        <v>0</v>
      </c>
      <c r="AZ720" s="3247">
        <v>0</v>
      </c>
      <c r="BA720" s="3248">
        <v>0</v>
      </c>
      <c r="BB720" s="3248">
        <v>0</v>
      </c>
      <c r="BC720" s="3247">
        <v>0</v>
      </c>
      <c r="BD720" s="3248">
        <v>0</v>
      </c>
      <c r="BE720" s="3248">
        <v>0</v>
      </c>
      <c r="BF720" s="3248">
        <f t="shared" si="65"/>
        <v>0</v>
      </c>
      <c r="BG720" s="3248">
        <f t="shared" si="66"/>
        <v>0</v>
      </c>
      <c r="BH720" s="3249"/>
      <c r="BI720" s="3249"/>
    </row>
    <row r="721" spans="1:61" x14ac:dyDescent="0.3">
      <c r="A721" s="4197" t="s">
        <v>3384</v>
      </c>
      <c r="B721" s="3261"/>
      <c r="C721" s="3243">
        <v>0</v>
      </c>
      <c r="D721" s="3242">
        <v>0</v>
      </c>
      <c r="E721" s="3244"/>
      <c r="F721" s="3244"/>
      <c r="G721" s="3242">
        <v>0</v>
      </c>
      <c r="H721" s="3244"/>
      <c r="I721" s="3244"/>
      <c r="J721" s="3244"/>
      <c r="K721" s="3242">
        <v>0</v>
      </c>
      <c r="L721" s="3244"/>
      <c r="M721" s="3244"/>
      <c r="N721" s="3242" t="s">
        <v>3384</v>
      </c>
      <c r="O721" s="3239">
        <v>0</v>
      </c>
      <c r="P721" s="3242">
        <v>0</v>
      </c>
      <c r="Q721" s="3244"/>
      <c r="R721" s="3244"/>
      <c r="S721" s="3242">
        <v>0</v>
      </c>
      <c r="T721" s="3244"/>
      <c r="U721" s="3244"/>
      <c r="V721" s="3244"/>
      <c r="W721" s="3240">
        <v>0</v>
      </c>
      <c r="X721" s="3244"/>
      <c r="Y721" s="3244"/>
      <c r="Z721" s="3242" t="s">
        <v>3384</v>
      </c>
      <c r="AA721" s="3243">
        <v>0</v>
      </c>
      <c r="AB721" s="3242">
        <v>0</v>
      </c>
      <c r="AC721" s="3244"/>
      <c r="AD721" s="3244"/>
      <c r="AE721" s="3242">
        <v>0</v>
      </c>
      <c r="AF721" s="3259"/>
      <c r="AG721" s="3260"/>
      <c r="AH721" s="3260"/>
      <c r="AI721" s="3260"/>
      <c r="AJ721" s="3260"/>
      <c r="AK721" s="3260"/>
      <c r="AL721" s="3259"/>
      <c r="AM721" s="3260"/>
      <c r="AN721" s="3259"/>
      <c r="AO721" s="3260"/>
      <c r="AP721" s="3242">
        <v>0</v>
      </c>
      <c r="AQ721" s="3244"/>
      <c r="AR721" s="3244"/>
      <c r="AS721" s="3242" t="s">
        <v>3384</v>
      </c>
      <c r="AT721" s="3247">
        <f t="shared" si="67"/>
        <v>0</v>
      </c>
      <c r="AU721" s="3248">
        <f t="shared" si="64"/>
        <v>0</v>
      </c>
      <c r="AV721" s="3248">
        <v>0</v>
      </c>
      <c r="AW721" s="3247">
        <v>0</v>
      </c>
      <c r="AX721" s="3248">
        <v>0</v>
      </c>
      <c r="AY721" s="3248">
        <v>0</v>
      </c>
      <c r="AZ721" s="3247">
        <v>0</v>
      </c>
      <c r="BA721" s="3248">
        <v>0</v>
      </c>
      <c r="BB721" s="3248">
        <v>0</v>
      </c>
      <c r="BC721" s="3247">
        <v>0</v>
      </c>
      <c r="BD721" s="3248">
        <v>0</v>
      </c>
      <c r="BE721" s="3248">
        <v>0</v>
      </c>
      <c r="BF721" s="3248">
        <f t="shared" si="65"/>
        <v>0</v>
      </c>
      <c r="BG721" s="3248">
        <f t="shared" si="66"/>
        <v>0</v>
      </c>
      <c r="BH721" s="3249"/>
      <c r="BI721" s="3249"/>
    </row>
    <row r="722" spans="1:61" x14ac:dyDescent="0.3">
      <c r="A722" s="4197" t="s">
        <v>3384</v>
      </c>
      <c r="B722" s="3261"/>
      <c r="C722" s="3243">
        <v>0</v>
      </c>
      <c r="D722" s="3242">
        <v>0</v>
      </c>
      <c r="E722" s="3244"/>
      <c r="F722" s="3244"/>
      <c r="G722" s="3242">
        <v>0</v>
      </c>
      <c r="H722" s="3244"/>
      <c r="I722" s="3244"/>
      <c r="J722" s="3244"/>
      <c r="K722" s="3242">
        <v>0</v>
      </c>
      <c r="L722" s="3244"/>
      <c r="M722" s="3244"/>
      <c r="N722" s="3242" t="s">
        <v>3384</v>
      </c>
      <c r="O722" s="3239">
        <v>0</v>
      </c>
      <c r="P722" s="3242">
        <v>0</v>
      </c>
      <c r="Q722" s="3244"/>
      <c r="R722" s="3244"/>
      <c r="S722" s="3242">
        <v>0</v>
      </c>
      <c r="T722" s="3244"/>
      <c r="U722" s="3244"/>
      <c r="V722" s="3244"/>
      <c r="W722" s="3240">
        <v>0</v>
      </c>
      <c r="X722" s="3244"/>
      <c r="Y722" s="3244"/>
      <c r="Z722" s="3242" t="s">
        <v>3384</v>
      </c>
      <c r="AA722" s="3243">
        <v>0</v>
      </c>
      <c r="AB722" s="3242">
        <v>0</v>
      </c>
      <c r="AC722" s="3244"/>
      <c r="AD722" s="3244"/>
      <c r="AE722" s="3242">
        <v>0</v>
      </c>
      <c r="AF722" s="3259"/>
      <c r="AG722" s="3260"/>
      <c r="AH722" s="3260"/>
      <c r="AI722" s="3260"/>
      <c r="AJ722" s="3260"/>
      <c r="AK722" s="3260"/>
      <c r="AL722" s="3259"/>
      <c r="AM722" s="3260"/>
      <c r="AN722" s="3259"/>
      <c r="AO722" s="3260"/>
      <c r="AP722" s="3242">
        <v>0</v>
      </c>
      <c r="AQ722" s="3244"/>
      <c r="AR722" s="3244"/>
      <c r="AS722" s="3242" t="s">
        <v>3384</v>
      </c>
      <c r="AT722" s="3247">
        <f t="shared" si="67"/>
        <v>0</v>
      </c>
      <c r="AU722" s="3248">
        <f t="shared" si="64"/>
        <v>0</v>
      </c>
      <c r="AV722" s="3248">
        <v>0</v>
      </c>
      <c r="AW722" s="3247">
        <v>0</v>
      </c>
      <c r="AX722" s="3248">
        <v>0</v>
      </c>
      <c r="AY722" s="3248">
        <v>0</v>
      </c>
      <c r="AZ722" s="3247">
        <v>0</v>
      </c>
      <c r="BA722" s="3248">
        <v>0</v>
      </c>
      <c r="BB722" s="3248">
        <v>0</v>
      </c>
      <c r="BC722" s="3247">
        <v>0</v>
      </c>
      <c r="BD722" s="3248">
        <v>0</v>
      </c>
      <c r="BE722" s="3248">
        <v>0</v>
      </c>
      <c r="BF722" s="3248">
        <f t="shared" si="65"/>
        <v>0</v>
      </c>
      <c r="BG722" s="3248">
        <f t="shared" si="66"/>
        <v>0</v>
      </c>
      <c r="BH722" s="3249"/>
      <c r="BI722" s="3249"/>
    </row>
    <row r="723" spans="1:61" x14ac:dyDescent="0.3">
      <c r="A723" s="4197" t="s">
        <v>3384</v>
      </c>
      <c r="B723" s="3261"/>
      <c r="C723" s="3243">
        <v>0</v>
      </c>
      <c r="D723" s="3242">
        <v>0</v>
      </c>
      <c r="E723" s="3244"/>
      <c r="F723" s="3244"/>
      <c r="G723" s="3242">
        <v>0</v>
      </c>
      <c r="H723" s="3244"/>
      <c r="I723" s="3244"/>
      <c r="J723" s="3244"/>
      <c r="K723" s="3242">
        <v>0</v>
      </c>
      <c r="L723" s="3244"/>
      <c r="M723" s="3244"/>
      <c r="N723" s="3242" t="s">
        <v>3384</v>
      </c>
      <c r="O723" s="3239">
        <v>0</v>
      </c>
      <c r="P723" s="3242">
        <v>0</v>
      </c>
      <c r="Q723" s="3244"/>
      <c r="R723" s="3244"/>
      <c r="S723" s="3242">
        <v>0</v>
      </c>
      <c r="T723" s="3244"/>
      <c r="U723" s="3244"/>
      <c r="V723" s="3244"/>
      <c r="W723" s="3240">
        <v>0</v>
      </c>
      <c r="X723" s="3244"/>
      <c r="Y723" s="3244"/>
      <c r="Z723" s="3242" t="s">
        <v>3384</v>
      </c>
      <c r="AA723" s="3243">
        <v>0</v>
      </c>
      <c r="AB723" s="3242">
        <v>0</v>
      </c>
      <c r="AC723" s="3244"/>
      <c r="AD723" s="3244"/>
      <c r="AE723" s="3242">
        <v>0</v>
      </c>
      <c r="AF723" s="3259"/>
      <c r="AG723" s="3260"/>
      <c r="AH723" s="3260"/>
      <c r="AI723" s="3260"/>
      <c r="AJ723" s="3260"/>
      <c r="AK723" s="3260"/>
      <c r="AL723" s="3259"/>
      <c r="AM723" s="3260"/>
      <c r="AN723" s="3259"/>
      <c r="AO723" s="3260"/>
      <c r="AP723" s="3242">
        <v>0</v>
      </c>
      <c r="AQ723" s="3244"/>
      <c r="AR723" s="3244"/>
      <c r="AS723" s="3242" t="s">
        <v>3384</v>
      </c>
      <c r="AT723" s="3247">
        <f t="shared" si="67"/>
        <v>0</v>
      </c>
      <c r="AU723" s="3248">
        <f t="shared" ref="AU723:AU786" si="68">AX723+BA723+BD723</f>
        <v>0</v>
      </c>
      <c r="AV723" s="3248">
        <v>0</v>
      </c>
      <c r="AW723" s="3247">
        <v>0</v>
      </c>
      <c r="AX723" s="3248">
        <v>0</v>
      </c>
      <c r="AY723" s="3248">
        <v>0</v>
      </c>
      <c r="AZ723" s="3247">
        <v>0</v>
      </c>
      <c r="BA723" s="3248">
        <v>0</v>
      </c>
      <c r="BB723" s="3248">
        <v>0</v>
      </c>
      <c r="BC723" s="3247">
        <v>0</v>
      </c>
      <c r="BD723" s="3248">
        <v>0</v>
      </c>
      <c r="BE723" s="3248">
        <v>0</v>
      </c>
      <c r="BF723" s="3248">
        <f t="shared" ref="BF723:BF786" si="69">IFERROR(ROUND(AE723/S723*100,2),0)</f>
        <v>0</v>
      </c>
      <c r="BG723" s="3248">
        <f t="shared" ref="BG723:BG786" si="70">IFERROR(ROUND(AA723/O723*100,2),0)</f>
        <v>0</v>
      </c>
      <c r="BH723" s="3249"/>
      <c r="BI723" s="3249"/>
    </row>
    <row r="724" spans="1:61" x14ac:dyDescent="0.3">
      <c r="A724" s="4197" t="s">
        <v>3384</v>
      </c>
      <c r="B724" s="3261"/>
      <c r="C724" s="3243">
        <v>0</v>
      </c>
      <c r="D724" s="3242">
        <v>0</v>
      </c>
      <c r="E724" s="3244"/>
      <c r="F724" s="3244"/>
      <c r="G724" s="3242">
        <v>0</v>
      </c>
      <c r="H724" s="3244"/>
      <c r="I724" s="3244"/>
      <c r="J724" s="3244"/>
      <c r="K724" s="3242">
        <v>0</v>
      </c>
      <c r="L724" s="3244"/>
      <c r="M724" s="3244"/>
      <c r="N724" s="3242" t="s">
        <v>3384</v>
      </c>
      <c r="O724" s="3239">
        <v>0</v>
      </c>
      <c r="P724" s="3242">
        <v>0</v>
      </c>
      <c r="Q724" s="3244"/>
      <c r="R724" s="3244"/>
      <c r="S724" s="3242">
        <v>0</v>
      </c>
      <c r="T724" s="3244"/>
      <c r="U724" s="3244"/>
      <c r="V724" s="3244"/>
      <c r="W724" s="3240">
        <v>0</v>
      </c>
      <c r="X724" s="3244"/>
      <c r="Y724" s="3244"/>
      <c r="Z724" s="3242" t="s">
        <v>3384</v>
      </c>
      <c r="AA724" s="3243">
        <v>0</v>
      </c>
      <c r="AB724" s="3242">
        <v>0</v>
      </c>
      <c r="AC724" s="3244"/>
      <c r="AD724" s="3244"/>
      <c r="AE724" s="3242">
        <v>0</v>
      </c>
      <c r="AF724" s="3259"/>
      <c r="AG724" s="3260"/>
      <c r="AH724" s="3260"/>
      <c r="AI724" s="3260"/>
      <c r="AJ724" s="3260"/>
      <c r="AK724" s="3260"/>
      <c r="AL724" s="3259"/>
      <c r="AM724" s="3260"/>
      <c r="AN724" s="3259"/>
      <c r="AO724" s="3260"/>
      <c r="AP724" s="3242">
        <v>0</v>
      </c>
      <c r="AQ724" s="3244"/>
      <c r="AR724" s="3244"/>
      <c r="AS724" s="3242" t="s">
        <v>3384</v>
      </c>
      <c r="AT724" s="3247">
        <f t="shared" si="67"/>
        <v>0</v>
      </c>
      <c r="AU724" s="3248">
        <f t="shared" si="68"/>
        <v>0</v>
      </c>
      <c r="AV724" s="3248">
        <v>0</v>
      </c>
      <c r="AW724" s="3247">
        <v>0</v>
      </c>
      <c r="AX724" s="3248">
        <v>0</v>
      </c>
      <c r="AY724" s="3248">
        <v>0</v>
      </c>
      <c r="AZ724" s="3247">
        <v>0</v>
      </c>
      <c r="BA724" s="3248">
        <v>0</v>
      </c>
      <c r="BB724" s="3248">
        <v>0</v>
      </c>
      <c r="BC724" s="3247">
        <v>0</v>
      </c>
      <c r="BD724" s="3248">
        <v>0</v>
      </c>
      <c r="BE724" s="3248">
        <v>0</v>
      </c>
      <c r="BF724" s="3248">
        <f t="shared" si="69"/>
        <v>0</v>
      </c>
      <c r="BG724" s="3248">
        <f t="shared" si="70"/>
        <v>0</v>
      </c>
      <c r="BH724" s="3249"/>
      <c r="BI724" s="3249"/>
    </row>
    <row r="725" spans="1:61" x14ac:dyDescent="0.3">
      <c r="A725" s="4197" t="s">
        <v>3384</v>
      </c>
      <c r="B725" s="3261"/>
      <c r="C725" s="3243">
        <v>0</v>
      </c>
      <c r="D725" s="3242">
        <v>0</v>
      </c>
      <c r="E725" s="3244"/>
      <c r="F725" s="3244"/>
      <c r="G725" s="3242">
        <v>0</v>
      </c>
      <c r="H725" s="3244"/>
      <c r="I725" s="3244"/>
      <c r="J725" s="3244"/>
      <c r="K725" s="3242">
        <v>0</v>
      </c>
      <c r="L725" s="3244"/>
      <c r="M725" s="3244"/>
      <c r="N725" s="3242" t="s">
        <v>3384</v>
      </c>
      <c r="O725" s="3239">
        <v>0</v>
      </c>
      <c r="P725" s="3242">
        <v>0</v>
      </c>
      <c r="Q725" s="3244"/>
      <c r="R725" s="3244"/>
      <c r="S725" s="3242">
        <v>0</v>
      </c>
      <c r="T725" s="3244"/>
      <c r="U725" s="3244"/>
      <c r="V725" s="3244"/>
      <c r="W725" s="3240">
        <v>0</v>
      </c>
      <c r="X725" s="3244"/>
      <c r="Y725" s="3244"/>
      <c r="Z725" s="3242" t="s">
        <v>3384</v>
      </c>
      <c r="AA725" s="3243">
        <v>0</v>
      </c>
      <c r="AB725" s="3242">
        <v>0</v>
      </c>
      <c r="AC725" s="3244"/>
      <c r="AD725" s="3244"/>
      <c r="AE725" s="3242">
        <v>0</v>
      </c>
      <c r="AF725" s="3259"/>
      <c r="AG725" s="3260"/>
      <c r="AH725" s="3260"/>
      <c r="AI725" s="3260"/>
      <c r="AJ725" s="3260"/>
      <c r="AK725" s="3260"/>
      <c r="AL725" s="3259"/>
      <c r="AM725" s="3260"/>
      <c r="AN725" s="3259"/>
      <c r="AO725" s="3260"/>
      <c r="AP725" s="3242">
        <v>0</v>
      </c>
      <c r="AQ725" s="3244"/>
      <c r="AR725" s="3244"/>
      <c r="AS725" s="3242" t="s">
        <v>3384</v>
      </c>
      <c r="AT725" s="3247">
        <f t="shared" si="67"/>
        <v>0</v>
      </c>
      <c r="AU725" s="3248">
        <f t="shared" si="68"/>
        <v>0</v>
      </c>
      <c r="AV725" s="3248">
        <v>0</v>
      </c>
      <c r="AW725" s="3247">
        <v>0</v>
      </c>
      <c r="AX725" s="3248">
        <v>0</v>
      </c>
      <c r="AY725" s="3248">
        <v>0</v>
      </c>
      <c r="AZ725" s="3247">
        <v>0</v>
      </c>
      <c r="BA725" s="3248">
        <v>0</v>
      </c>
      <c r="BB725" s="3248">
        <v>0</v>
      </c>
      <c r="BC725" s="3247">
        <v>0</v>
      </c>
      <c r="BD725" s="3248">
        <v>0</v>
      </c>
      <c r="BE725" s="3248">
        <v>0</v>
      </c>
      <c r="BF725" s="3248">
        <f t="shared" si="69"/>
        <v>0</v>
      </c>
      <c r="BG725" s="3248">
        <f t="shared" si="70"/>
        <v>0</v>
      </c>
      <c r="BH725" s="3249"/>
      <c r="BI725" s="3249"/>
    </row>
    <row r="726" spans="1:61" x14ac:dyDescent="0.3">
      <c r="A726" s="4197" t="s">
        <v>3384</v>
      </c>
      <c r="B726" s="3261"/>
      <c r="C726" s="3243">
        <v>0</v>
      </c>
      <c r="D726" s="3242">
        <v>0</v>
      </c>
      <c r="E726" s="3244"/>
      <c r="F726" s="3244"/>
      <c r="G726" s="3242">
        <v>0</v>
      </c>
      <c r="H726" s="3244"/>
      <c r="I726" s="3244"/>
      <c r="J726" s="3244"/>
      <c r="K726" s="3242">
        <v>0</v>
      </c>
      <c r="L726" s="3244"/>
      <c r="M726" s="3244"/>
      <c r="N726" s="3242" t="s">
        <v>3384</v>
      </c>
      <c r="O726" s="3239">
        <v>0</v>
      </c>
      <c r="P726" s="3242">
        <v>0</v>
      </c>
      <c r="Q726" s="3244"/>
      <c r="R726" s="3244"/>
      <c r="S726" s="3242">
        <v>0</v>
      </c>
      <c r="T726" s="3244"/>
      <c r="U726" s="3244"/>
      <c r="V726" s="3244"/>
      <c r="W726" s="3240">
        <v>0</v>
      </c>
      <c r="X726" s="3244"/>
      <c r="Y726" s="3244"/>
      <c r="Z726" s="3242" t="s">
        <v>3384</v>
      </c>
      <c r="AA726" s="3243">
        <v>0</v>
      </c>
      <c r="AB726" s="3242">
        <v>0</v>
      </c>
      <c r="AC726" s="3244"/>
      <c r="AD726" s="3244"/>
      <c r="AE726" s="3242">
        <v>0</v>
      </c>
      <c r="AF726" s="3259"/>
      <c r="AG726" s="3260"/>
      <c r="AH726" s="3260"/>
      <c r="AI726" s="3260"/>
      <c r="AJ726" s="3260"/>
      <c r="AK726" s="3260"/>
      <c r="AL726" s="3259"/>
      <c r="AM726" s="3260"/>
      <c r="AN726" s="3259"/>
      <c r="AO726" s="3260"/>
      <c r="AP726" s="3242">
        <v>0</v>
      </c>
      <c r="AQ726" s="3244"/>
      <c r="AR726" s="3244"/>
      <c r="AS726" s="3242" t="s">
        <v>3384</v>
      </c>
      <c r="AT726" s="3247">
        <f t="shared" si="67"/>
        <v>0</v>
      </c>
      <c r="AU726" s="3248">
        <f t="shared" si="68"/>
        <v>0</v>
      </c>
      <c r="AV726" s="3248">
        <v>0</v>
      </c>
      <c r="AW726" s="3247">
        <v>0</v>
      </c>
      <c r="AX726" s="3248">
        <v>0</v>
      </c>
      <c r="AY726" s="3248">
        <v>0</v>
      </c>
      <c r="AZ726" s="3247">
        <v>0</v>
      </c>
      <c r="BA726" s="3248">
        <v>0</v>
      </c>
      <c r="BB726" s="3248">
        <v>0</v>
      </c>
      <c r="BC726" s="3247">
        <v>0</v>
      </c>
      <c r="BD726" s="3248">
        <v>0</v>
      </c>
      <c r="BE726" s="3248">
        <v>0</v>
      </c>
      <c r="BF726" s="3248">
        <f t="shared" si="69"/>
        <v>0</v>
      </c>
      <c r="BG726" s="3248">
        <f t="shared" si="70"/>
        <v>0</v>
      </c>
      <c r="BH726" s="3249"/>
      <c r="BI726" s="3249"/>
    </row>
    <row r="727" spans="1:61" x14ac:dyDescent="0.3">
      <c r="A727" s="4197" t="s">
        <v>3384</v>
      </c>
      <c r="B727" s="3261"/>
      <c r="C727" s="3243">
        <v>0</v>
      </c>
      <c r="D727" s="3242">
        <v>0</v>
      </c>
      <c r="E727" s="3244"/>
      <c r="F727" s="3244"/>
      <c r="G727" s="3242">
        <v>0</v>
      </c>
      <c r="H727" s="3244"/>
      <c r="I727" s="3244"/>
      <c r="J727" s="3244"/>
      <c r="K727" s="3242">
        <v>0</v>
      </c>
      <c r="L727" s="3244"/>
      <c r="M727" s="3244"/>
      <c r="N727" s="3242" t="s">
        <v>3384</v>
      </c>
      <c r="O727" s="3239">
        <v>0</v>
      </c>
      <c r="P727" s="3242">
        <v>0</v>
      </c>
      <c r="Q727" s="3244"/>
      <c r="R727" s="3244"/>
      <c r="S727" s="3242">
        <v>0</v>
      </c>
      <c r="T727" s="3244"/>
      <c r="U727" s="3244"/>
      <c r="V727" s="3244"/>
      <c r="W727" s="3240">
        <v>0</v>
      </c>
      <c r="X727" s="3244"/>
      <c r="Y727" s="3244"/>
      <c r="Z727" s="3242" t="s">
        <v>3384</v>
      </c>
      <c r="AA727" s="3243">
        <v>0</v>
      </c>
      <c r="AB727" s="3242">
        <v>0</v>
      </c>
      <c r="AC727" s="3244"/>
      <c r="AD727" s="3244"/>
      <c r="AE727" s="3242">
        <v>0</v>
      </c>
      <c r="AF727" s="3259"/>
      <c r="AG727" s="3260"/>
      <c r="AH727" s="3260"/>
      <c r="AI727" s="3260"/>
      <c r="AJ727" s="3260"/>
      <c r="AK727" s="3260"/>
      <c r="AL727" s="3259"/>
      <c r="AM727" s="3260"/>
      <c r="AN727" s="3259"/>
      <c r="AO727" s="3260"/>
      <c r="AP727" s="3242">
        <v>0</v>
      </c>
      <c r="AQ727" s="3244"/>
      <c r="AR727" s="3244"/>
      <c r="AS727" s="3242" t="s">
        <v>3384</v>
      </c>
      <c r="AT727" s="3247">
        <f t="shared" si="67"/>
        <v>0</v>
      </c>
      <c r="AU727" s="3248">
        <f t="shared" si="68"/>
        <v>0</v>
      </c>
      <c r="AV727" s="3248">
        <v>0</v>
      </c>
      <c r="AW727" s="3247">
        <v>0</v>
      </c>
      <c r="AX727" s="3248">
        <v>0</v>
      </c>
      <c r="AY727" s="3248">
        <v>0</v>
      </c>
      <c r="AZ727" s="3247">
        <v>0</v>
      </c>
      <c r="BA727" s="3248">
        <v>0</v>
      </c>
      <c r="BB727" s="3248">
        <v>0</v>
      </c>
      <c r="BC727" s="3247">
        <v>0</v>
      </c>
      <c r="BD727" s="3248">
        <v>0</v>
      </c>
      <c r="BE727" s="3248">
        <v>0</v>
      </c>
      <c r="BF727" s="3248">
        <f t="shared" si="69"/>
        <v>0</v>
      </c>
      <c r="BG727" s="3248">
        <f t="shared" si="70"/>
        <v>0</v>
      </c>
      <c r="BH727" s="3249"/>
      <c r="BI727" s="3249"/>
    </row>
    <row r="728" spans="1:61" x14ac:dyDescent="0.3">
      <c r="A728" s="4197" t="s">
        <v>3384</v>
      </c>
      <c r="B728" s="3261"/>
      <c r="C728" s="3243">
        <v>0</v>
      </c>
      <c r="D728" s="3242">
        <v>0</v>
      </c>
      <c r="E728" s="3244"/>
      <c r="F728" s="3244"/>
      <c r="G728" s="3242">
        <v>0</v>
      </c>
      <c r="H728" s="3244"/>
      <c r="I728" s="3244"/>
      <c r="J728" s="3244"/>
      <c r="K728" s="3242">
        <v>0</v>
      </c>
      <c r="L728" s="3244"/>
      <c r="M728" s="3244"/>
      <c r="N728" s="3242" t="s">
        <v>3384</v>
      </c>
      <c r="O728" s="3239">
        <v>0</v>
      </c>
      <c r="P728" s="3242">
        <v>0</v>
      </c>
      <c r="Q728" s="3244"/>
      <c r="R728" s="3244"/>
      <c r="S728" s="3242">
        <v>0</v>
      </c>
      <c r="T728" s="3244"/>
      <c r="U728" s="3244"/>
      <c r="V728" s="3244"/>
      <c r="W728" s="3240">
        <v>0</v>
      </c>
      <c r="X728" s="3244"/>
      <c r="Y728" s="3244"/>
      <c r="Z728" s="3242" t="s">
        <v>3384</v>
      </c>
      <c r="AA728" s="3243">
        <v>0</v>
      </c>
      <c r="AB728" s="3242">
        <v>0</v>
      </c>
      <c r="AC728" s="3244"/>
      <c r="AD728" s="3244"/>
      <c r="AE728" s="3242">
        <v>0</v>
      </c>
      <c r="AF728" s="3259"/>
      <c r="AG728" s="3260"/>
      <c r="AH728" s="3260"/>
      <c r="AI728" s="3260"/>
      <c r="AJ728" s="3260"/>
      <c r="AK728" s="3260"/>
      <c r="AL728" s="3259"/>
      <c r="AM728" s="3260"/>
      <c r="AN728" s="3259"/>
      <c r="AO728" s="3260"/>
      <c r="AP728" s="3242">
        <v>0</v>
      </c>
      <c r="AQ728" s="3244"/>
      <c r="AR728" s="3244"/>
      <c r="AS728" s="3242" t="s">
        <v>3384</v>
      </c>
      <c r="AT728" s="3247">
        <f t="shared" si="67"/>
        <v>0</v>
      </c>
      <c r="AU728" s="3248">
        <f t="shared" si="68"/>
        <v>0</v>
      </c>
      <c r="AV728" s="3248">
        <v>0</v>
      </c>
      <c r="AW728" s="3247">
        <v>0</v>
      </c>
      <c r="AX728" s="3248">
        <v>0</v>
      </c>
      <c r="AY728" s="3248">
        <v>0</v>
      </c>
      <c r="AZ728" s="3247">
        <v>0</v>
      </c>
      <c r="BA728" s="3248">
        <v>0</v>
      </c>
      <c r="BB728" s="3248">
        <v>0</v>
      </c>
      <c r="BC728" s="3247">
        <v>0</v>
      </c>
      <c r="BD728" s="3248">
        <v>0</v>
      </c>
      <c r="BE728" s="3248">
        <v>0</v>
      </c>
      <c r="BF728" s="3248">
        <f t="shared" si="69"/>
        <v>0</v>
      </c>
      <c r="BG728" s="3248">
        <f t="shared" si="70"/>
        <v>0</v>
      </c>
      <c r="BH728" s="3249"/>
      <c r="BI728" s="3249"/>
    </row>
    <row r="729" spans="1:61" x14ac:dyDescent="0.3">
      <c r="A729" s="4197" t="s">
        <v>3384</v>
      </c>
      <c r="B729" s="3261"/>
      <c r="C729" s="3243">
        <v>0</v>
      </c>
      <c r="D729" s="3242">
        <v>0</v>
      </c>
      <c r="E729" s="3244"/>
      <c r="F729" s="3244"/>
      <c r="G729" s="3242">
        <v>0</v>
      </c>
      <c r="H729" s="3244"/>
      <c r="I729" s="3244"/>
      <c r="J729" s="3244"/>
      <c r="K729" s="3242">
        <v>0</v>
      </c>
      <c r="L729" s="3244"/>
      <c r="M729" s="3244"/>
      <c r="N729" s="3242" t="s">
        <v>3384</v>
      </c>
      <c r="O729" s="3239">
        <v>0</v>
      </c>
      <c r="P729" s="3242">
        <v>0</v>
      </c>
      <c r="Q729" s="3244"/>
      <c r="R729" s="3244"/>
      <c r="S729" s="3242">
        <v>0</v>
      </c>
      <c r="T729" s="3244"/>
      <c r="U729" s="3244"/>
      <c r="V729" s="3244"/>
      <c r="W729" s="3240">
        <v>0</v>
      </c>
      <c r="X729" s="3244"/>
      <c r="Y729" s="3244"/>
      <c r="Z729" s="3242" t="s">
        <v>3384</v>
      </c>
      <c r="AA729" s="3243">
        <v>0</v>
      </c>
      <c r="AB729" s="3242">
        <v>0</v>
      </c>
      <c r="AC729" s="3244"/>
      <c r="AD729" s="3244"/>
      <c r="AE729" s="3242">
        <v>0</v>
      </c>
      <c r="AF729" s="3259"/>
      <c r="AG729" s="3260"/>
      <c r="AH729" s="3260"/>
      <c r="AI729" s="3260"/>
      <c r="AJ729" s="3260"/>
      <c r="AK729" s="3260"/>
      <c r="AL729" s="3259"/>
      <c r="AM729" s="3260"/>
      <c r="AN729" s="3259"/>
      <c r="AO729" s="3260"/>
      <c r="AP729" s="3242">
        <v>0</v>
      </c>
      <c r="AQ729" s="3244"/>
      <c r="AR729" s="3244"/>
      <c r="AS729" s="3242" t="s">
        <v>3384</v>
      </c>
      <c r="AT729" s="3247">
        <f t="shared" si="67"/>
        <v>0</v>
      </c>
      <c r="AU729" s="3248">
        <f t="shared" si="68"/>
        <v>0</v>
      </c>
      <c r="AV729" s="3248">
        <v>0</v>
      </c>
      <c r="AW729" s="3247">
        <v>0</v>
      </c>
      <c r="AX729" s="3248">
        <v>0</v>
      </c>
      <c r="AY729" s="3248">
        <v>0</v>
      </c>
      <c r="AZ729" s="3247">
        <v>0</v>
      </c>
      <c r="BA729" s="3248">
        <v>0</v>
      </c>
      <c r="BB729" s="3248">
        <v>0</v>
      </c>
      <c r="BC729" s="3247">
        <v>0</v>
      </c>
      <c r="BD729" s="3248">
        <v>0</v>
      </c>
      <c r="BE729" s="3248">
        <v>0</v>
      </c>
      <c r="BF729" s="3248">
        <f t="shared" si="69"/>
        <v>0</v>
      </c>
      <c r="BG729" s="3248">
        <f t="shared" si="70"/>
        <v>0</v>
      </c>
      <c r="BH729" s="3249"/>
      <c r="BI729" s="3249"/>
    </row>
    <row r="730" spans="1:61" x14ac:dyDescent="0.3">
      <c r="A730" s="4197" t="s">
        <v>3384</v>
      </c>
      <c r="B730" s="3261"/>
      <c r="C730" s="3243">
        <v>0</v>
      </c>
      <c r="D730" s="3242">
        <v>0</v>
      </c>
      <c r="E730" s="3244"/>
      <c r="F730" s="3244"/>
      <c r="G730" s="3242">
        <v>0</v>
      </c>
      <c r="H730" s="3244"/>
      <c r="I730" s="3244"/>
      <c r="J730" s="3244"/>
      <c r="K730" s="3242">
        <v>0</v>
      </c>
      <c r="L730" s="3244"/>
      <c r="M730" s="3244"/>
      <c r="N730" s="3242" t="s">
        <v>3384</v>
      </c>
      <c r="O730" s="3239">
        <v>0</v>
      </c>
      <c r="P730" s="3242">
        <v>0</v>
      </c>
      <c r="Q730" s="3244"/>
      <c r="R730" s="3244"/>
      <c r="S730" s="3242">
        <v>0</v>
      </c>
      <c r="T730" s="3244"/>
      <c r="U730" s="3244"/>
      <c r="V730" s="3244"/>
      <c r="W730" s="3240">
        <v>0</v>
      </c>
      <c r="X730" s="3244"/>
      <c r="Y730" s="3244"/>
      <c r="Z730" s="3242" t="s">
        <v>3384</v>
      </c>
      <c r="AA730" s="3243">
        <v>0</v>
      </c>
      <c r="AB730" s="3242">
        <v>0</v>
      </c>
      <c r="AC730" s="3244"/>
      <c r="AD730" s="3244"/>
      <c r="AE730" s="3242">
        <v>0</v>
      </c>
      <c r="AF730" s="3259"/>
      <c r="AG730" s="3260"/>
      <c r="AH730" s="3260"/>
      <c r="AI730" s="3260"/>
      <c r="AJ730" s="3260"/>
      <c r="AK730" s="3260"/>
      <c r="AL730" s="3259"/>
      <c r="AM730" s="3260"/>
      <c r="AN730" s="3259"/>
      <c r="AO730" s="3260"/>
      <c r="AP730" s="3242">
        <v>0</v>
      </c>
      <c r="AQ730" s="3244"/>
      <c r="AR730" s="3244"/>
      <c r="AS730" s="3242" t="s">
        <v>3384</v>
      </c>
      <c r="AT730" s="3247">
        <f t="shared" si="67"/>
        <v>0</v>
      </c>
      <c r="AU730" s="3248">
        <f t="shared" si="68"/>
        <v>0</v>
      </c>
      <c r="AV730" s="3248">
        <v>0</v>
      </c>
      <c r="AW730" s="3247">
        <v>0</v>
      </c>
      <c r="AX730" s="3248">
        <v>0</v>
      </c>
      <c r="AY730" s="3248">
        <v>0</v>
      </c>
      <c r="AZ730" s="3247">
        <v>0</v>
      </c>
      <c r="BA730" s="3248">
        <v>0</v>
      </c>
      <c r="BB730" s="3248">
        <v>0</v>
      </c>
      <c r="BC730" s="3247">
        <v>0</v>
      </c>
      <c r="BD730" s="3248">
        <v>0</v>
      </c>
      <c r="BE730" s="3248">
        <v>0</v>
      </c>
      <c r="BF730" s="3248">
        <f t="shared" si="69"/>
        <v>0</v>
      </c>
      <c r="BG730" s="3248">
        <f t="shared" si="70"/>
        <v>0</v>
      </c>
      <c r="BH730" s="3249"/>
      <c r="BI730" s="3249"/>
    </row>
    <row r="731" spans="1:61" x14ac:dyDescent="0.3">
      <c r="A731" s="4197" t="s">
        <v>3384</v>
      </c>
      <c r="B731" s="3261"/>
      <c r="C731" s="3243">
        <v>0</v>
      </c>
      <c r="D731" s="3242">
        <v>0</v>
      </c>
      <c r="E731" s="3244"/>
      <c r="F731" s="3244"/>
      <c r="G731" s="3242">
        <v>0</v>
      </c>
      <c r="H731" s="3244"/>
      <c r="I731" s="3244"/>
      <c r="J731" s="3244"/>
      <c r="K731" s="3242">
        <v>0</v>
      </c>
      <c r="L731" s="3244"/>
      <c r="M731" s="3244"/>
      <c r="N731" s="3242" t="s">
        <v>3384</v>
      </c>
      <c r="O731" s="3239">
        <v>0</v>
      </c>
      <c r="P731" s="3242">
        <v>0</v>
      </c>
      <c r="Q731" s="3244"/>
      <c r="R731" s="3244"/>
      <c r="S731" s="3242">
        <v>0</v>
      </c>
      <c r="T731" s="3244"/>
      <c r="U731" s="3244"/>
      <c r="V731" s="3244"/>
      <c r="W731" s="3240">
        <v>0</v>
      </c>
      <c r="X731" s="3244"/>
      <c r="Y731" s="3244"/>
      <c r="Z731" s="3242" t="s">
        <v>3384</v>
      </c>
      <c r="AA731" s="3243">
        <v>0</v>
      </c>
      <c r="AB731" s="3242">
        <v>0</v>
      </c>
      <c r="AC731" s="3244"/>
      <c r="AD731" s="3244"/>
      <c r="AE731" s="3242">
        <v>0</v>
      </c>
      <c r="AF731" s="3259"/>
      <c r="AG731" s="3260"/>
      <c r="AH731" s="3260"/>
      <c r="AI731" s="3260"/>
      <c r="AJ731" s="3260"/>
      <c r="AK731" s="3260"/>
      <c r="AL731" s="3259"/>
      <c r="AM731" s="3260"/>
      <c r="AN731" s="3259"/>
      <c r="AO731" s="3260"/>
      <c r="AP731" s="3242">
        <v>0</v>
      </c>
      <c r="AQ731" s="3244"/>
      <c r="AR731" s="3244"/>
      <c r="AS731" s="3242" t="s">
        <v>3384</v>
      </c>
      <c r="AT731" s="3247">
        <f t="shared" si="67"/>
        <v>0</v>
      </c>
      <c r="AU731" s="3248">
        <f t="shared" si="68"/>
        <v>0</v>
      </c>
      <c r="AV731" s="3248">
        <v>0</v>
      </c>
      <c r="AW731" s="3247">
        <v>0</v>
      </c>
      <c r="AX731" s="3248">
        <v>0</v>
      </c>
      <c r="AY731" s="3248">
        <v>0</v>
      </c>
      <c r="AZ731" s="3247">
        <v>0</v>
      </c>
      <c r="BA731" s="3248">
        <v>0</v>
      </c>
      <c r="BB731" s="3248">
        <v>0</v>
      </c>
      <c r="BC731" s="3247">
        <v>0</v>
      </c>
      <c r="BD731" s="3248">
        <v>0</v>
      </c>
      <c r="BE731" s="3248">
        <v>0</v>
      </c>
      <c r="BF731" s="3248">
        <f t="shared" si="69"/>
        <v>0</v>
      </c>
      <c r="BG731" s="3248">
        <f t="shared" si="70"/>
        <v>0</v>
      </c>
      <c r="BH731" s="3249"/>
      <c r="BI731" s="3249"/>
    </row>
    <row r="732" spans="1:61" x14ac:dyDescent="0.3">
      <c r="A732" s="4197" t="s">
        <v>3384</v>
      </c>
      <c r="B732" s="3261"/>
      <c r="C732" s="3243">
        <v>0</v>
      </c>
      <c r="D732" s="3242">
        <v>0</v>
      </c>
      <c r="E732" s="3244"/>
      <c r="F732" s="3244"/>
      <c r="G732" s="3242">
        <v>0</v>
      </c>
      <c r="H732" s="3244"/>
      <c r="I732" s="3244"/>
      <c r="J732" s="3244"/>
      <c r="K732" s="3242">
        <v>0</v>
      </c>
      <c r="L732" s="3244"/>
      <c r="M732" s="3244"/>
      <c r="N732" s="3242" t="s">
        <v>3384</v>
      </c>
      <c r="O732" s="3239">
        <v>0</v>
      </c>
      <c r="P732" s="3242">
        <v>0</v>
      </c>
      <c r="Q732" s="3244"/>
      <c r="R732" s="3244"/>
      <c r="S732" s="3242">
        <v>0</v>
      </c>
      <c r="T732" s="3244"/>
      <c r="U732" s="3244"/>
      <c r="V732" s="3244"/>
      <c r="W732" s="3240">
        <v>0</v>
      </c>
      <c r="X732" s="3244"/>
      <c r="Y732" s="3244"/>
      <c r="Z732" s="3242" t="s">
        <v>3384</v>
      </c>
      <c r="AA732" s="3243">
        <v>0</v>
      </c>
      <c r="AB732" s="3242">
        <v>0</v>
      </c>
      <c r="AC732" s="3244"/>
      <c r="AD732" s="3244"/>
      <c r="AE732" s="3242">
        <v>0</v>
      </c>
      <c r="AF732" s="3259"/>
      <c r="AG732" s="3260"/>
      <c r="AH732" s="3260"/>
      <c r="AI732" s="3260"/>
      <c r="AJ732" s="3260"/>
      <c r="AK732" s="3260"/>
      <c r="AL732" s="3259"/>
      <c r="AM732" s="3260"/>
      <c r="AN732" s="3259"/>
      <c r="AO732" s="3260"/>
      <c r="AP732" s="3242">
        <v>0</v>
      </c>
      <c r="AQ732" s="3244"/>
      <c r="AR732" s="3244"/>
      <c r="AS732" s="3242" t="s">
        <v>3384</v>
      </c>
      <c r="AT732" s="3247">
        <f t="shared" si="67"/>
        <v>0</v>
      </c>
      <c r="AU732" s="3248">
        <f t="shared" si="68"/>
        <v>0</v>
      </c>
      <c r="AV732" s="3248">
        <v>0</v>
      </c>
      <c r="AW732" s="3247">
        <v>0</v>
      </c>
      <c r="AX732" s="3248">
        <v>0</v>
      </c>
      <c r="AY732" s="3248">
        <v>0</v>
      </c>
      <c r="AZ732" s="3247">
        <v>0</v>
      </c>
      <c r="BA732" s="3248">
        <v>0</v>
      </c>
      <c r="BB732" s="3248">
        <v>0</v>
      </c>
      <c r="BC732" s="3247">
        <v>0</v>
      </c>
      <c r="BD732" s="3248">
        <v>0</v>
      </c>
      <c r="BE732" s="3248">
        <v>0</v>
      </c>
      <c r="BF732" s="3248">
        <f t="shared" si="69"/>
        <v>0</v>
      </c>
      <c r="BG732" s="3248">
        <f t="shared" si="70"/>
        <v>0</v>
      </c>
      <c r="BH732" s="3249"/>
      <c r="BI732" s="3249"/>
    </row>
    <row r="733" spans="1:61" x14ac:dyDescent="0.3">
      <c r="A733" s="4197" t="s">
        <v>3384</v>
      </c>
      <c r="B733" s="3261"/>
      <c r="C733" s="3243">
        <v>0</v>
      </c>
      <c r="D733" s="3242">
        <v>0</v>
      </c>
      <c r="E733" s="3244"/>
      <c r="F733" s="3244"/>
      <c r="G733" s="3242">
        <v>0</v>
      </c>
      <c r="H733" s="3244"/>
      <c r="I733" s="3244"/>
      <c r="J733" s="3244"/>
      <c r="K733" s="3242">
        <v>0</v>
      </c>
      <c r="L733" s="3244"/>
      <c r="M733" s="3244"/>
      <c r="N733" s="3242" t="s">
        <v>3384</v>
      </c>
      <c r="O733" s="3239">
        <v>0</v>
      </c>
      <c r="P733" s="3242">
        <v>0</v>
      </c>
      <c r="Q733" s="3244"/>
      <c r="R733" s="3244"/>
      <c r="S733" s="3242">
        <v>0</v>
      </c>
      <c r="T733" s="3244"/>
      <c r="U733" s="3244"/>
      <c r="V733" s="3244"/>
      <c r="W733" s="3240">
        <v>0</v>
      </c>
      <c r="X733" s="3244"/>
      <c r="Y733" s="3244"/>
      <c r="Z733" s="3242" t="s">
        <v>3384</v>
      </c>
      <c r="AA733" s="3243">
        <v>0</v>
      </c>
      <c r="AB733" s="3242">
        <v>0</v>
      </c>
      <c r="AC733" s="3244"/>
      <c r="AD733" s="3244"/>
      <c r="AE733" s="3242">
        <v>0</v>
      </c>
      <c r="AF733" s="3259"/>
      <c r="AG733" s="3260"/>
      <c r="AH733" s="3260"/>
      <c r="AI733" s="3260"/>
      <c r="AJ733" s="3260"/>
      <c r="AK733" s="3260"/>
      <c r="AL733" s="3259"/>
      <c r="AM733" s="3260"/>
      <c r="AN733" s="3259"/>
      <c r="AO733" s="3260"/>
      <c r="AP733" s="3242">
        <v>0</v>
      </c>
      <c r="AQ733" s="3244"/>
      <c r="AR733" s="3244"/>
      <c r="AS733" s="3242" t="s">
        <v>3384</v>
      </c>
      <c r="AT733" s="3247">
        <f t="shared" si="67"/>
        <v>0</v>
      </c>
      <c r="AU733" s="3248">
        <f t="shared" si="68"/>
        <v>0</v>
      </c>
      <c r="AV733" s="3248">
        <v>0</v>
      </c>
      <c r="AW733" s="3247">
        <v>0</v>
      </c>
      <c r="AX733" s="3248">
        <v>0</v>
      </c>
      <c r="AY733" s="3248">
        <v>0</v>
      </c>
      <c r="AZ733" s="3247">
        <v>0</v>
      </c>
      <c r="BA733" s="3248">
        <v>0</v>
      </c>
      <c r="BB733" s="3248">
        <v>0</v>
      </c>
      <c r="BC733" s="3247">
        <v>0</v>
      </c>
      <c r="BD733" s="3248">
        <v>0</v>
      </c>
      <c r="BE733" s="3248">
        <v>0</v>
      </c>
      <c r="BF733" s="3248">
        <f t="shared" si="69"/>
        <v>0</v>
      </c>
      <c r="BG733" s="3248">
        <f t="shared" si="70"/>
        <v>0</v>
      </c>
      <c r="BH733" s="3249"/>
      <c r="BI733" s="3249"/>
    </row>
    <row r="734" spans="1:61" x14ac:dyDescent="0.3">
      <c r="A734" s="4197" t="s">
        <v>3384</v>
      </c>
      <c r="B734" s="3261"/>
      <c r="C734" s="3243">
        <v>0</v>
      </c>
      <c r="D734" s="3242">
        <v>0</v>
      </c>
      <c r="E734" s="3244"/>
      <c r="F734" s="3244"/>
      <c r="G734" s="3242">
        <v>0</v>
      </c>
      <c r="H734" s="3244"/>
      <c r="I734" s="3244"/>
      <c r="J734" s="3244"/>
      <c r="K734" s="3242">
        <v>0</v>
      </c>
      <c r="L734" s="3244"/>
      <c r="M734" s="3244"/>
      <c r="N734" s="3242" t="s">
        <v>3384</v>
      </c>
      <c r="O734" s="3239">
        <v>0</v>
      </c>
      <c r="P734" s="3242">
        <v>0</v>
      </c>
      <c r="Q734" s="3244"/>
      <c r="R734" s="3244"/>
      <c r="S734" s="3242">
        <v>0</v>
      </c>
      <c r="T734" s="3244"/>
      <c r="U734" s="3244"/>
      <c r="V734" s="3244"/>
      <c r="W734" s="3240">
        <v>0</v>
      </c>
      <c r="X734" s="3244"/>
      <c r="Y734" s="3244"/>
      <c r="Z734" s="3242" t="s">
        <v>3384</v>
      </c>
      <c r="AA734" s="3243">
        <v>0</v>
      </c>
      <c r="AB734" s="3242">
        <v>0</v>
      </c>
      <c r="AC734" s="3244"/>
      <c r="AD734" s="3244"/>
      <c r="AE734" s="3242">
        <v>0</v>
      </c>
      <c r="AF734" s="3259"/>
      <c r="AG734" s="3260"/>
      <c r="AH734" s="3260"/>
      <c r="AI734" s="3260"/>
      <c r="AJ734" s="3260"/>
      <c r="AK734" s="3260"/>
      <c r="AL734" s="3259"/>
      <c r="AM734" s="3260"/>
      <c r="AN734" s="3259"/>
      <c r="AO734" s="3260"/>
      <c r="AP734" s="3242">
        <v>0</v>
      </c>
      <c r="AQ734" s="3244"/>
      <c r="AR734" s="3244"/>
      <c r="AS734" s="3242" t="s">
        <v>3384</v>
      </c>
      <c r="AT734" s="3247">
        <f t="shared" si="67"/>
        <v>0</v>
      </c>
      <c r="AU734" s="3248">
        <f t="shared" si="68"/>
        <v>0</v>
      </c>
      <c r="AV734" s="3248">
        <v>0</v>
      </c>
      <c r="AW734" s="3247">
        <v>0</v>
      </c>
      <c r="AX734" s="3248">
        <v>0</v>
      </c>
      <c r="AY734" s="3248">
        <v>0</v>
      </c>
      <c r="AZ734" s="3247">
        <v>0</v>
      </c>
      <c r="BA734" s="3248">
        <v>0</v>
      </c>
      <c r="BB734" s="3248">
        <v>0</v>
      </c>
      <c r="BC734" s="3247">
        <v>0</v>
      </c>
      <c r="BD734" s="3248">
        <v>0</v>
      </c>
      <c r="BE734" s="3248">
        <v>0</v>
      </c>
      <c r="BF734" s="3248">
        <f t="shared" si="69"/>
        <v>0</v>
      </c>
      <c r="BG734" s="3248">
        <f t="shared" si="70"/>
        <v>0</v>
      </c>
      <c r="BH734" s="3249"/>
      <c r="BI734" s="3249"/>
    </row>
    <row r="735" spans="1:61" x14ac:dyDescent="0.3">
      <c r="A735" s="4197" t="s">
        <v>3384</v>
      </c>
      <c r="B735" s="3261"/>
      <c r="C735" s="3243">
        <v>0</v>
      </c>
      <c r="D735" s="3242">
        <v>0</v>
      </c>
      <c r="E735" s="3244"/>
      <c r="F735" s="3244"/>
      <c r="G735" s="3242">
        <v>0</v>
      </c>
      <c r="H735" s="3244"/>
      <c r="I735" s="3244"/>
      <c r="J735" s="3244"/>
      <c r="K735" s="3242">
        <v>0</v>
      </c>
      <c r="L735" s="3244"/>
      <c r="M735" s="3244"/>
      <c r="N735" s="3242" t="s">
        <v>3384</v>
      </c>
      <c r="O735" s="3239">
        <v>0</v>
      </c>
      <c r="P735" s="3242">
        <v>0</v>
      </c>
      <c r="Q735" s="3244"/>
      <c r="R735" s="3244"/>
      <c r="S735" s="3242">
        <v>0</v>
      </c>
      <c r="T735" s="3244"/>
      <c r="U735" s="3244"/>
      <c r="V735" s="3244"/>
      <c r="W735" s="3240">
        <v>0</v>
      </c>
      <c r="X735" s="3244"/>
      <c r="Y735" s="3244"/>
      <c r="Z735" s="3242" t="s">
        <v>3384</v>
      </c>
      <c r="AA735" s="3243">
        <v>0</v>
      </c>
      <c r="AB735" s="3242">
        <v>0</v>
      </c>
      <c r="AC735" s="3244"/>
      <c r="AD735" s="3244"/>
      <c r="AE735" s="3242">
        <v>0</v>
      </c>
      <c r="AF735" s="3259"/>
      <c r="AG735" s="3260"/>
      <c r="AH735" s="3260"/>
      <c r="AI735" s="3260"/>
      <c r="AJ735" s="3260"/>
      <c r="AK735" s="3260"/>
      <c r="AL735" s="3259"/>
      <c r="AM735" s="3260"/>
      <c r="AN735" s="3259"/>
      <c r="AO735" s="3260"/>
      <c r="AP735" s="3242">
        <v>0</v>
      </c>
      <c r="AQ735" s="3244"/>
      <c r="AR735" s="3244"/>
      <c r="AS735" s="3242" t="s">
        <v>3384</v>
      </c>
      <c r="AT735" s="3247">
        <f t="shared" si="67"/>
        <v>0</v>
      </c>
      <c r="AU735" s="3248">
        <f t="shared" si="68"/>
        <v>0</v>
      </c>
      <c r="AV735" s="3248">
        <v>0</v>
      </c>
      <c r="AW735" s="3247">
        <v>0</v>
      </c>
      <c r="AX735" s="3248">
        <v>0</v>
      </c>
      <c r="AY735" s="3248">
        <v>0</v>
      </c>
      <c r="AZ735" s="3247">
        <v>0</v>
      </c>
      <c r="BA735" s="3248">
        <v>0</v>
      </c>
      <c r="BB735" s="3248">
        <v>0</v>
      </c>
      <c r="BC735" s="3247">
        <v>0</v>
      </c>
      <c r="BD735" s="3248">
        <v>0</v>
      </c>
      <c r="BE735" s="3248">
        <v>0</v>
      </c>
      <c r="BF735" s="3248">
        <f t="shared" si="69"/>
        <v>0</v>
      </c>
      <c r="BG735" s="3248">
        <f t="shared" si="70"/>
        <v>0</v>
      </c>
      <c r="BH735" s="3249"/>
      <c r="BI735" s="3249"/>
    </row>
    <row r="736" spans="1:61" x14ac:dyDescent="0.3">
      <c r="A736" s="4197" t="s">
        <v>3384</v>
      </c>
      <c r="B736" s="3261"/>
      <c r="C736" s="3243">
        <v>0</v>
      </c>
      <c r="D736" s="3242">
        <v>0</v>
      </c>
      <c r="E736" s="3244"/>
      <c r="F736" s="3244"/>
      <c r="G736" s="3242">
        <v>0</v>
      </c>
      <c r="H736" s="3244"/>
      <c r="I736" s="3244"/>
      <c r="J736" s="3244"/>
      <c r="K736" s="3242">
        <v>0</v>
      </c>
      <c r="L736" s="3244"/>
      <c r="M736" s="3244"/>
      <c r="N736" s="3242" t="s">
        <v>3384</v>
      </c>
      <c r="O736" s="3239">
        <v>0</v>
      </c>
      <c r="P736" s="3242">
        <v>0</v>
      </c>
      <c r="Q736" s="3244"/>
      <c r="R736" s="3244"/>
      <c r="S736" s="3242">
        <v>0</v>
      </c>
      <c r="T736" s="3244"/>
      <c r="U736" s="3244"/>
      <c r="V736" s="3244"/>
      <c r="W736" s="3240">
        <v>0</v>
      </c>
      <c r="X736" s="3244"/>
      <c r="Y736" s="3244"/>
      <c r="Z736" s="3242" t="s">
        <v>3384</v>
      </c>
      <c r="AA736" s="3243">
        <v>0</v>
      </c>
      <c r="AB736" s="3242">
        <v>0</v>
      </c>
      <c r="AC736" s="3244"/>
      <c r="AD736" s="3244"/>
      <c r="AE736" s="3242">
        <v>0</v>
      </c>
      <c r="AF736" s="3259"/>
      <c r="AG736" s="3260"/>
      <c r="AH736" s="3260"/>
      <c r="AI736" s="3260"/>
      <c r="AJ736" s="3260"/>
      <c r="AK736" s="3260"/>
      <c r="AL736" s="3259"/>
      <c r="AM736" s="3260"/>
      <c r="AN736" s="3259"/>
      <c r="AO736" s="3260"/>
      <c r="AP736" s="3242">
        <v>0</v>
      </c>
      <c r="AQ736" s="3244"/>
      <c r="AR736" s="3244"/>
      <c r="AS736" s="3242" t="s">
        <v>3384</v>
      </c>
      <c r="AT736" s="3247">
        <f t="shared" si="67"/>
        <v>0</v>
      </c>
      <c r="AU736" s="3248">
        <f t="shared" si="68"/>
        <v>0</v>
      </c>
      <c r="AV736" s="3248">
        <v>0</v>
      </c>
      <c r="AW736" s="3247">
        <v>0</v>
      </c>
      <c r="AX736" s="3248">
        <v>0</v>
      </c>
      <c r="AY736" s="3248">
        <v>0</v>
      </c>
      <c r="AZ736" s="3247">
        <v>0</v>
      </c>
      <c r="BA736" s="3248">
        <v>0</v>
      </c>
      <c r="BB736" s="3248">
        <v>0</v>
      </c>
      <c r="BC736" s="3247">
        <v>0</v>
      </c>
      <c r="BD736" s="3248">
        <v>0</v>
      </c>
      <c r="BE736" s="3248">
        <v>0</v>
      </c>
      <c r="BF736" s="3248">
        <f t="shared" si="69"/>
        <v>0</v>
      </c>
      <c r="BG736" s="3248">
        <f t="shared" si="70"/>
        <v>0</v>
      </c>
      <c r="BH736" s="3249"/>
      <c r="BI736" s="3249"/>
    </row>
    <row r="737" spans="1:61" x14ac:dyDescent="0.3">
      <c r="A737" s="4197" t="s">
        <v>3384</v>
      </c>
      <c r="B737" s="3261"/>
      <c r="C737" s="3243">
        <v>0</v>
      </c>
      <c r="D737" s="3242">
        <v>0</v>
      </c>
      <c r="E737" s="3244"/>
      <c r="F737" s="3244"/>
      <c r="G737" s="3242">
        <v>0</v>
      </c>
      <c r="H737" s="3244"/>
      <c r="I737" s="3244"/>
      <c r="J737" s="3244"/>
      <c r="K737" s="3242">
        <v>0</v>
      </c>
      <c r="L737" s="3244"/>
      <c r="M737" s="3244"/>
      <c r="N737" s="3242" t="s">
        <v>3384</v>
      </c>
      <c r="O737" s="3239">
        <v>0</v>
      </c>
      <c r="P737" s="3242">
        <v>0</v>
      </c>
      <c r="Q737" s="3244"/>
      <c r="R737" s="3244"/>
      <c r="S737" s="3242">
        <v>0</v>
      </c>
      <c r="T737" s="3244"/>
      <c r="U737" s="3244"/>
      <c r="V737" s="3244"/>
      <c r="W737" s="3240">
        <v>0</v>
      </c>
      <c r="X737" s="3244"/>
      <c r="Y737" s="3244"/>
      <c r="Z737" s="3242" t="s">
        <v>3384</v>
      </c>
      <c r="AA737" s="3243">
        <v>0</v>
      </c>
      <c r="AB737" s="3242">
        <v>0</v>
      </c>
      <c r="AC737" s="3244"/>
      <c r="AD737" s="3244"/>
      <c r="AE737" s="3242">
        <v>0</v>
      </c>
      <c r="AF737" s="3259"/>
      <c r="AG737" s="3260"/>
      <c r="AH737" s="3260"/>
      <c r="AI737" s="3260"/>
      <c r="AJ737" s="3260"/>
      <c r="AK737" s="3260"/>
      <c r="AL737" s="3259"/>
      <c r="AM737" s="3260"/>
      <c r="AN737" s="3259"/>
      <c r="AO737" s="3260"/>
      <c r="AP737" s="3242">
        <v>0</v>
      </c>
      <c r="AQ737" s="3244"/>
      <c r="AR737" s="3244"/>
      <c r="AS737" s="3242" t="s">
        <v>3384</v>
      </c>
      <c r="AT737" s="3247">
        <f t="shared" si="67"/>
        <v>0</v>
      </c>
      <c r="AU737" s="3248">
        <f t="shared" si="68"/>
        <v>0</v>
      </c>
      <c r="AV737" s="3248">
        <v>0</v>
      </c>
      <c r="AW737" s="3247">
        <v>0</v>
      </c>
      <c r="AX737" s="3248">
        <v>0</v>
      </c>
      <c r="AY737" s="3248">
        <v>0</v>
      </c>
      <c r="AZ737" s="3247">
        <v>0</v>
      </c>
      <c r="BA737" s="3248">
        <v>0</v>
      </c>
      <c r="BB737" s="3248">
        <v>0</v>
      </c>
      <c r="BC737" s="3247">
        <v>0</v>
      </c>
      <c r="BD737" s="3248">
        <v>0</v>
      </c>
      <c r="BE737" s="3248">
        <v>0</v>
      </c>
      <c r="BF737" s="3248">
        <f t="shared" si="69"/>
        <v>0</v>
      </c>
      <c r="BG737" s="3248">
        <f t="shared" si="70"/>
        <v>0</v>
      </c>
      <c r="BH737" s="3249"/>
      <c r="BI737" s="3249"/>
    </row>
    <row r="738" spans="1:61" x14ac:dyDescent="0.3">
      <c r="A738" s="4197" t="s">
        <v>3384</v>
      </c>
      <c r="B738" s="3261"/>
      <c r="C738" s="3243">
        <v>0</v>
      </c>
      <c r="D738" s="3242">
        <v>0</v>
      </c>
      <c r="E738" s="3244"/>
      <c r="F738" s="3244"/>
      <c r="G738" s="3242">
        <v>0</v>
      </c>
      <c r="H738" s="3244"/>
      <c r="I738" s="3244"/>
      <c r="J738" s="3244"/>
      <c r="K738" s="3242">
        <v>0</v>
      </c>
      <c r="L738" s="3244"/>
      <c r="M738" s="3244"/>
      <c r="N738" s="3242" t="s">
        <v>3384</v>
      </c>
      <c r="O738" s="3239">
        <v>0</v>
      </c>
      <c r="P738" s="3242">
        <v>0</v>
      </c>
      <c r="Q738" s="3244"/>
      <c r="R738" s="3244"/>
      <c r="S738" s="3242">
        <v>0</v>
      </c>
      <c r="T738" s="3244"/>
      <c r="U738" s="3244"/>
      <c r="V738" s="3244"/>
      <c r="W738" s="3240">
        <v>0</v>
      </c>
      <c r="X738" s="3244"/>
      <c r="Y738" s="3244"/>
      <c r="Z738" s="3242" t="s">
        <v>3384</v>
      </c>
      <c r="AA738" s="3243">
        <v>0</v>
      </c>
      <c r="AB738" s="3242">
        <v>0</v>
      </c>
      <c r="AC738" s="3244"/>
      <c r="AD738" s="3244"/>
      <c r="AE738" s="3242">
        <v>0</v>
      </c>
      <c r="AF738" s="3259"/>
      <c r="AG738" s="3260"/>
      <c r="AH738" s="3260"/>
      <c r="AI738" s="3260"/>
      <c r="AJ738" s="3260"/>
      <c r="AK738" s="3260"/>
      <c r="AL738" s="3259"/>
      <c r="AM738" s="3260"/>
      <c r="AN738" s="3259"/>
      <c r="AO738" s="3260"/>
      <c r="AP738" s="3242">
        <v>0</v>
      </c>
      <c r="AQ738" s="3244"/>
      <c r="AR738" s="3244"/>
      <c r="AS738" s="3242" t="s">
        <v>3384</v>
      </c>
      <c r="AT738" s="3247">
        <f t="shared" si="67"/>
        <v>0</v>
      </c>
      <c r="AU738" s="3248">
        <f t="shared" si="68"/>
        <v>0</v>
      </c>
      <c r="AV738" s="3248">
        <v>0</v>
      </c>
      <c r="AW738" s="3247">
        <v>0</v>
      </c>
      <c r="AX738" s="3248">
        <v>0</v>
      </c>
      <c r="AY738" s="3248">
        <v>0</v>
      </c>
      <c r="AZ738" s="3247">
        <v>0</v>
      </c>
      <c r="BA738" s="3248">
        <v>0</v>
      </c>
      <c r="BB738" s="3248">
        <v>0</v>
      </c>
      <c r="BC738" s="3247">
        <v>0</v>
      </c>
      <c r="BD738" s="3248">
        <v>0</v>
      </c>
      <c r="BE738" s="3248">
        <v>0</v>
      </c>
      <c r="BF738" s="3248">
        <f t="shared" si="69"/>
        <v>0</v>
      </c>
      <c r="BG738" s="3248">
        <f t="shared" si="70"/>
        <v>0</v>
      </c>
      <c r="BH738" s="3249"/>
      <c r="BI738" s="3249"/>
    </row>
    <row r="739" spans="1:61" x14ac:dyDescent="0.3">
      <c r="A739" s="4197" t="s">
        <v>3384</v>
      </c>
      <c r="B739" s="3261"/>
      <c r="C739" s="3243">
        <v>0</v>
      </c>
      <c r="D739" s="3242">
        <v>0</v>
      </c>
      <c r="E739" s="3244"/>
      <c r="F739" s="3244"/>
      <c r="G739" s="3242">
        <v>0</v>
      </c>
      <c r="H739" s="3244"/>
      <c r="I739" s="3244"/>
      <c r="J739" s="3244"/>
      <c r="K739" s="3242">
        <v>0</v>
      </c>
      <c r="L739" s="3244"/>
      <c r="M739" s="3244"/>
      <c r="N739" s="3242" t="s">
        <v>3384</v>
      </c>
      <c r="O739" s="3239">
        <v>0</v>
      </c>
      <c r="P739" s="3242">
        <v>0</v>
      </c>
      <c r="Q739" s="3244"/>
      <c r="R739" s="3244"/>
      <c r="S739" s="3242">
        <v>0</v>
      </c>
      <c r="T739" s="3244"/>
      <c r="U739" s="3244"/>
      <c r="V739" s="3244"/>
      <c r="W739" s="3240">
        <v>0</v>
      </c>
      <c r="X739" s="3244"/>
      <c r="Y739" s="3244"/>
      <c r="Z739" s="3242" t="s">
        <v>3384</v>
      </c>
      <c r="AA739" s="3243">
        <v>0</v>
      </c>
      <c r="AB739" s="3242">
        <v>0</v>
      </c>
      <c r="AC739" s="3244"/>
      <c r="AD739" s="3244"/>
      <c r="AE739" s="3242">
        <v>0</v>
      </c>
      <c r="AF739" s="3259"/>
      <c r="AG739" s="3260"/>
      <c r="AH739" s="3260"/>
      <c r="AI739" s="3260"/>
      <c r="AJ739" s="3260"/>
      <c r="AK739" s="3260"/>
      <c r="AL739" s="3259"/>
      <c r="AM739" s="3260"/>
      <c r="AN739" s="3259"/>
      <c r="AO739" s="3260"/>
      <c r="AP739" s="3242">
        <v>0</v>
      </c>
      <c r="AQ739" s="3244"/>
      <c r="AR739" s="3244"/>
      <c r="AS739" s="3242" t="s">
        <v>3384</v>
      </c>
      <c r="AT739" s="3247">
        <f t="shared" si="67"/>
        <v>0</v>
      </c>
      <c r="AU739" s="3248">
        <f t="shared" si="68"/>
        <v>0</v>
      </c>
      <c r="AV739" s="3248">
        <v>0</v>
      </c>
      <c r="AW739" s="3247">
        <v>0</v>
      </c>
      <c r="AX739" s="3248">
        <v>0</v>
      </c>
      <c r="AY739" s="3248">
        <v>0</v>
      </c>
      <c r="AZ739" s="3247">
        <v>0</v>
      </c>
      <c r="BA739" s="3248">
        <v>0</v>
      </c>
      <c r="BB739" s="3248">
        <v>0</v>
      </c>
      <c r="BC739" s="3247">
        <v>0</v>
      </c>
      <c r="BD739" s="3248">
        <v>0</v>
      </c>
      <c r="BE739" s="3248">
        <v>0</v>
      </c>
      <c r="BF739" s="3248">
        <f t="shared" si="69"/>
        <v>0</v>
      </c>
      <c r="BG739" s="3248">
        <f t="shared" si="70"/>
        <v>0</v>
      </c>
      <c r="BH739" s="3249"/>
      <c r="BI739" s="3249"/>
    </row>
    <row r="740" spans="1:61" x14ac:dyDescent="0.3">
      <c r="A740" s="4197" t="s">
        <v>3384</v>
      </c>
      <c r="B740" s="3261"/>
      <c r="C740" s="3243">
        <v>0</v>
      </c>
      <c r="D740" s="3242">
        <v>0</v>
      </c>
      <c r="E740" s="3244"/>
      <c r="F740" s="3244"/>
      <c r="G740" s="3242">
        <v>0</v>
      </c>
      <c r="H740" s="3244"/>
      <c r="I740" s="3244"/>
      <c r="J740" s="3244"/>
      <c r="K740" s="3242">
        <v>0</v>
      </c>
      <c r="L740" s="3244"/>
      <c r="M740" s="3244"/>
      <c r="N740" s="3242" t="s">
        <v>3384</v>
      </c>
      <c r="O740" s="3239">
        <v>0</v>
      </c>
      <c r="P740" s="3242">
        <v>0</v>
      </c>
      <c r="Q740" s="3244"/>
      <c r="R740" s="3244"/>
      <c r="S740" s="3242">
        <v>0</v>
      </c>
      <c r="T740" s="3244"/>
      <c r="U740" s="3244"/>
      <c r="V740" s="3244"/>
      <c r="W740" s="3240">
        <v>0</v>
      </c>
      <c r="X740" s="3244"/>
      <c r="Y740" s="3244"/>
      <c r="Z740" s="3242" t="s">
        <v>3384</v>
      </c>
      <c r="AA740" s="3243">
        <v>0</v>
      </c>
      <c r="AB740" s="3242">
        <v>0</v>
      </c>
      <c r="AC740" s="3244"/>
      <c r="AD740" s="3244"/>
      <c r="AE740" s="3242">
        <v>0</v>
      </c>
      <c r="AF740" s="3259"/>
      <c r="AG740" s="3260"/>
      <c r="AH740" s="3260"/>
      <c r="AI740" s="3260"/>
      <c r="AJ740" s="3260"/>
      <c r="AK740" s="3260"/>
      <c r="AL740" s="3259"/>
      <c r="AM740" s="3260"/>
      <c r="AN740" s="3259"/>
      <c r="AO740" s="3260"/>
      <c r="AP740" s="3242">
        <v>0</v>
      </c>
      <c r="AQ740" s="3244"/>
      <c r="AR740" s="3244"/>
      <c r="AS740" s="3242" t="s">
        <v>3384</v>
      </c>
      <c r="AT740" s="3247">
        <f t="shared" si="67"/>
        <v>0</v>
      </c>
      <c r="AU740" s="3248">
        <f t="shared" si="68"/>
        <v>0</v>
      </c>
      <c r="AV740" s="3248">
        <v>0</v>
      </c>
      <c r="AW740" s="3247">
        <v>0</v>
      </c>
      <c r="AX740" s="3248">
        <v>0</v>
      </c>
      <c r="AY740" s="3248">
        <v>0</v>
      </c>
      <c r="AZ740" s="3247">
        <v>0</v>
      </c>
      <c r="BA740" s="3248">
        <v>0</v>
      </c>
      <c r="BB740" s="3248">
        <v>0</v>
      </c>
      <c r="BC740" s="3247">
        <v>0</v>
      </c>
      <c r="BD740" s="3248">
        <v>0</v>
      </c>
      <c r="BE740" s="3248">
        <v>0</v>
      </c>
      <c r="BF740" s="3248">
        <f t="shared" si="69"/>
        <v>0</v>
      </c>
      <c r="BG740" s="3248">
        <f t="shared" si="70"/>
        <v>0</v>
      </c>
      <c r="BH740" s="3249"/>
      <c r="BI740" s="3249"/>
    </row>
    <row r="741" spans="1:61" x14ac:dyDescent="0.3">
      <c r="A741" s="4197" t="s">
        <v>3384</v>
      </c>
      <c r="B741" s="3261"/>
      <c r="C741" s="3243">
        <v>0</v>
      </c>
      <c r="D741" s="3242">
        <v>0</v>
      </c>
      <c r="E741" s="3244"/>
      <c r="F741" s="3244"/>
      <c r="G741" s="3242">
        <v>0</v>
      </c>
      <c r="H741" s="3244"/>
      <c r="I741" s="3244"/>
      <c r="J741" s="3244"/>
      <c r="K741" s="3242">
        <v>0</v>
      </c>
      <c r="L741" s="3244"/>
      <c r="M741" s="3244"/>
      <c r="N741" s="3242" t="s">
        <v>3384</v>
      </c>
      <c r="O741" s="3239">
        <v>0</v>
      </c>
      <c r="P741" s="3242">
        <v>0</v>
      </c>
      <c r="Q741" s="3244"/>
      <c r="R741" s="3244"/>
      <c r="S741" s="3242">
        <v>0</v>
      </c>
      <c r="T741" s="3244"/>
      <c r="U741" s="3244"/>
      <c r="V741" s="3244"/>
      <c r="W741" s="3240">
        <v>0</v>
      </c>
      <c r="X741" s="3244"/>
      <c r="Y741" s="3244"/>
      <c r="Z741" s="3242" t="s">
        <v>3384</v>
      </c>
      <c r="AA741" s="3243">
        <v>0</v>
      </c>
      <c r="AB741" s="3242">
        <v>0</v>
      </c>
      <c r="AC741" s="3244"/>
      <c r="AD741" s="3244"/>
      <c r="AE741" s="3242">
        <v>0</v>
      </c>
      <c r="AF741" s="3259"/>
      <c r="AG741" s="3260"/>
      <c r="AH741" s="3260"/>
      <c r="AI741" s="3260"/>
      <c r="AJ741" s="3260"/>
      <c r="AK741" s="3260"/>
      <c r="AL741" s="3259"/>
      <c r="AM741" s="3260"/>
      <c r="AN741" s="3259"/>
      <c r="AO741" s="3260"/>
      <c r="AP741" s="3242">
        <v>0</v>
      </c>
      <c r="AQ741" s="3244"/>
      <c r="AR741" s="3244"/>
      <c r="AS741" s="3242" t="s">
        <v>3384</v>
      </c>
      <c r="AT741" s="3247">
        <f t="shared" si="67"/>
        <v>0</v>
      </c>
      <c r="AU741" s="3248">
        <f t="shared" si="68"/>
        <v>0</v>
      </c>
      <c r="AV741" s="3248">
        <v>0</v>
      </c>
      <c r="AW741" s="3247">
        <v>0</v>
      </c>
      <c r="AX741" s="3248">
        <v>0</v>
      </c>
      <c r="AY741" s="3248">
        <v>0</v>
      </c>
      <c r="AZ741" s="3247">
        <v>0</v>
      </c>
      <c r="BA741" s="3248">
        <v>0</v>
      </c>
      <c r="BB741" s="3248">
        <v>0</v>
      </c>
      <c r="BC741" s="3247">
        <v>0</v>
      </c>
      <c r="BD741" s="3248">
        <v>0</v>
      </c>
      <c r="BE741" s="3248">
        <v>0</v>
      </c>
      <c r="BF741" s="3248">
        <f t="shared" si="69"/>
        <v>0</v>
      </c>
      <c r="BG741" s="3248">
        <f t="shared" si="70"/>
        <v>0</v>
      </c>
      <c r="BH741" s="3249"/>
      <c r="BI741" s="3249"/>
    </row>
    <row r="742" spans="1:61" x14ac:dyDescent="0.3">
      <c r="A742" s="4197" t="s">
        <v>3384</v>
      </c>
      <c r="B742" s="3261"/>
      <c r="C742" s="3243">
        <v>0</v>
      </c>
      <c r="D742" s="3242">
        <v>0</v>
      </c>
      <c r="E742" s="3244"/>
      <c r="F742" s="3244"/>
      <c r="G742" s="3242">
        <v>0</v>
      </c>
      <c r="H742" s="3244"/>
      <c r="I742" s="3244"/>
      <c r="J742" s="3244"/>
      <c r="K742" s="3242">
        <v>0</v>
      </c>
      <c r="L742" s="3244"/>
      <c r="M742" s="3244"/>
      <c r="N742" s="3242" t="s">
        <v>3384</v>
      </c>
      <c r="O742" s="3239">
        <v>0</v>
      </c>
      <c r="P742" s="3242">
        <v>0</v>
      </c>
      <c r="Q742" s="3244"/>
      <c r="R742" s="3244"/>
      <c r="S742" s="3242">
        <v>0</v>
      </c>
      <c r="T742" s="3244"/>
      <c r="U742" s="3244"/>
      <c r="V742" s="3244"/>
      <c r="W742" s="3240">
        <v>0</v>
      </c>
      <c r="X742" s="3244"/>
      <c r="Y742" s="3244"/>
      <c r="Z742" s="3242" t="s">
        <v>3384</v>
      </c>
      <c r="AA742" s="3243">
        <v>0</v>
      </c>
      <c r="AB742" s="3242">
        <v>0</v>
      </c>
      <c r="AC742" s="3244"/>
      <c r="AD742" s="3244"/>
      <c r="AE742" s="3242">
        <v>0</v>
      </c>
      <c r="AF742" s="3259"/>
      <c r="AG742" s="3260"/>
      <c r="AH742" s="3260"/>
      <c r="AI742" s="3260"/>
      <c r="AJ742" s="3260"/>
      <c r="AK742" s="3260"/>
      <c r="AL742" s="3259"/>
      <c r="AM742" s="3260"/>
      <c r="AN742" s="3259"/>
      <c r="AO742" s="3260"/>
      <c r="AP742" s="3242">
        <v>0</v>
      </c>
      <c r="AQ742" s="3244"/>
      <c r="AR742" s="3244"/>
      <c r="AS742" s="3242" t="s">
        <v>3384</v>
      </c>
      <c r="AT742" s="3247">
        <f t="shared" si="67"/>
        <v>0</v>
      </c>
      <c r="AU742" s="3248">
        <f t="shared" si="68"/>
        <v>0</v>
      </c>
      <c r="AV742" s="3248">
        <v>0</v>
      </c>
      <c r="AW742" s="3247">
        <v>0</v>
      </c>
      <c r="AX742" s="3248">
        <v>0</v>
      </c>
      <c r="AY742" s="3248">
        <v>0</v>
      </c>
      <c r="AZ742" s="3247">
        <v>0</v>
      </c>
      <c r="BA742" s="3248">
        <v>0</v>
      </c>
      <c r="BB742" s="3248">
        <v>0</v>
      </c>
      <c r="BC742" s="3247">
        <v>0</v>
      </c>
      <c r="BD742" s="3248">
        <v>0</v>
      </c>
      <c r="BE742" s="3248">
        <v>0</v>
      </c>
      <c r="BF742" s="3248">
        <f t="shared" si="69"/>
        <v>0</v>
      </c>
      <c r="BG742" s="3248">
        <f t="shared" si="70"/>
        <v>0</v>
      </c>
      <c r="BH742" s="3249"/>
      <c r="BI742" s="3249"/>
    </row>
    <row r="743" spans="1:61" x14ac:dyDescent="0.3">
      <c r="A743" s="4197" t="s">
        <v>3384</v>
      </c>
      <c r="B743" s="3261"/>
      <c r="C743" s="3243">
        <v>0</v>
      </c>
      <c r="D743" s="3242">
        <v>0</v>
      </c>
      <c r="E743" s="3244"/>
      <c r="F743" s="3244"/>
      <c r="G743" s="3242">
        <v>0</v>
      </c>
      <c r="H743" s="3244"/>
      <c r="I743" s="3244"/>
      <c r="J743" s="3244"/>
      <c r="K743" s="3242">
        <v>0</v>
      </c>
      <c r="L743" s="3244"/>
      <c r="M743" s="3244"/>
      <c r="N743" s="3242" t="s">
        <v>3384</v>
      </c>
      <c r="O743" s="3239">
        <v>0</v>
      </c>
      <c r="P743" s="3242">
        <v>0</v>
      </c>
      <c r="Q743" s="3244"/>
      <c r="R743" s="3244"/>
      <c r="S743" s="3242">
        <v>0</v>
      </c>
      <c r="T743" s="3244"/>
      <c r="U743" s="3244"/>
      <c r="V743" s="3244"/>
      <c r="W743" s="3240">
        <v>0</v>
      </c>
      <c r="X743" s="3244"/>
      <c r="Y743" s="3244"/>
      <c r="Z743" s="3242" t="s">
        <v>3384</v>
      </c>
      <c r="AA743" s="3243">
        <v>0</v>
      </c>
      <c r="AB743" s="3242">
        <v>0</v>
      </c>
      <c r="AC743" s="3244"/>
      <c r="AD743" s="3244"/>
      <c r="AE743" s="3242">
        <v>0</v>
      </c>
      <c r="AF743" s="3259"/>
      <c r="AG743" s="3260"/>
      <c r="AH743" s="3260"/>
      <c r="AI743" s="3260"/>
      <c r="AJ743" s="3260"/>
      <c r="AK743" s="3260"/>
      <c r="AL743" s="3259"/>
      <c r="AM743" s="3260"/>
      <c r="AN743" s="3259"/>
      <c r="AO743" s="3260"/>
      <c r="AP743" s="3242">
        <v>0</v>
      </c>
      <c r="AQ743" s="3244"/>
      <c r="AR743" s="3244"/>
      <c r="AS743" s="3242" t="s">
        <v>3384</v>
      </c>
      <c r="AT743" s="3247">
        <f t="shared" si="67"/>
        <v>0</v>
      </c>
      <c r="AU743" s="3248">
        <f t="shared" si="68"/>
        <v>0</v>
      </c>
      <c r="AV743" s="3248">
        <v>0</v>
      </c>
      <c r="AW743" s="3247">
        <v>0</v>
      </c>
      <c r="AX743" s="3248">
        <v>0</v>
      </c>
      <c r="AY743" s="3248">
        <v>0</v>
      </c>
      <c r="AZ743" s="3247">
        <v>0</v>
      </c>
      <c r="BA743" s="3248">
        <v>0</v>
      </c>
      <c r="BB743" s="3248">
        <v>0</v>
      </c>
      <c r="BC743" s="3247">
        <v>0</v>
      </c>
      <c r="BD743" s="3248">
        <v>0</v>
      </c>
      <c r="BE743" s="3248">
        <v>0</v>
      </c>
      <c r="BF743" s="3248">
        <f t="shared" si="69"/>
        <v>0</v>
      </c>
      <c r="BG743" s="3248">
        <f t="shared" si="70"/>
        <v>0</v>
      </c>
      <c r="BH743" s="3249"/>
      <c r="BI743" s="3249"/>
    </row>
    <row r="744" spans="1:61" x14ac:dyDescent="0.3">
      <c r="A744" s="4197" t="s">
        <v>3384</v>
      </c>
      <c r="B744" s="3261"/>
      <c r="C744" s="3243">
        <v>0</v>
      </c>
      <c r="D744" s="3242">
        <v>0</v>
      </c>
      <c r="E744" s="3244"/>
      <c r="F744" s="3244"/>
      <c r="G744" s="3242">
        <v>0</v>
      </c>
      <c r="H744" s="3244"/>
      <c r="I744" s="3244"/>
      <c r="J744" s="3244"/>
      <c r="K744" s="3242">
        <v>0</v>
      </c>
      <c r="L744" s="3244"/>
      <c r="M744" s="3244"/>
      <c r="N744" s="3242" t="s">
        <v>3384</v>
      </c>
      <c r="O744" s="3239">
        <v>0</v>
      </c>
      <c r="P744" s="3242">
        <v>0</v>
      </c>
      <c r="Q744" s="3244"/>
      <c r="R744" s="3244"/>
      <c r="S744" s="3242">
        <v>0</v>
      </c>
      <c r="T744" s="3244"/>
      <c r="U744" s="3244"/>
      <c r="V744" s="3244"/>
      <c r="W744" s="3240">
        <v>0</v>
      </c>
      <c r="X744" s="3244"/>
      <c r="Y744" s="3244"/>
      <c r="Z744" s="3242" t="s">
        <v>3384</v>
      </c>
      <c r="AA744" s="3243">
        <v>0</v>
      </c>
      <c r="AB744" s="3242">
        <v>0</v>
      </c>
      <c r="AC744" s="3244"/>
      <c r="AD744" s="3244"/>
      <c r="AE744" s="3242">
        <v>0</v>
      </c>
      <c r="AF744" s="3259"/>
      <c r="AG744" s="3260"/>
      <c r="AH744" s="3260"/>
      <c r="AI744" s="3260"/>
      <c r="AJ744" s="3260"/>
      <c r="AK744" s="3260"/>
      <c r="AL744" s="3259"/>
      <c r="AM744" s="3260"/>
      <c r="AN744" s="3259"/>
      <c r="AO744" s="3260"/>
      <c r="AP744" s="3242">
        <v>0</v>
      </c>
      <c r="AQ744" s="3244"/>
      <c r="AR744" s="3244"/>
      <c r="AS744" s="3242" t="s">
        <v>3384</v>
      </c>
      <c r="AT744" s="3247">
        <f t="shared" si="67"/>
        <v>0</v>
      </c>
      <c r="AU744" s="3248">
        <f t="shared" si="68"/>
        <v>0</v>
      </c>
      <c r="AV744" s="3248">
        <v>0</v>
      </c>
      <c r="AW744" s="3247">
        <v>0</v>
      </c>
      <c r="AX744" s="3248">
        <v>0</v>
      </c>
      <c r="AY744" s="3248">
        <v>0</v>
      </c>
      <c r="AZ744" s="3247">
        <v>0</v>
      </c>
      <c r="BA744" s="3248">
        <v>0</v>
      </c>
      <c r="BB744" s="3248">
        <v>0</v>
      </c>
      <c r="BC744" s="3247">
        <v>0</v>
      </c>
      <c r="BD744" s="3248">
        <v>0</v>
      </c>
      <c r="BE744" s="3248">
        <v>0</v>
      </c>
      <c r="BF744" s="3248">
        <f t="shared" si="69"/>
        <v>0</v>
      </c>
      <c r="BG744" s="3248">
        <f t="shared" si="70"/>
        <v>0</v>
      </c>
      <c r="BH744" s="3249"/>
      <c r="BI744" s="3249"/>
    </row>
    <row r="745" spans="1:61" x14ac:dyDescent="0.3">
      <c r="A745" s="4197" t="s">
        <v>3384</v>
      </c>
      <c r="B745" s="3261"/>
      <c r="C745" s="3243">
        <v>0</v>
      </c>
      <c r="D745" s="3242">
        <v>0</v>
      </c>
      <c r="E745" s="3244"/>
      <c r="F745" s="3244"/>
      <c r="G745" s="3242">
        <v>0</v>
      </c>
      <c r="H745" s="3244"/>
      <c r="I745" s="3244"/>
      <c r="J745" s="3244"/>
      <c r="K745" s="3242">
        <v>0</v>
      </c>
      <c r="L745" s="3244"/>
      <c r="M745" s="3244"/>
      <c r="N745" s="3242" t="s">
        <v>3384</v>
      </c>
      <c r="O745" s="3239">
        <v>0</v>
      </c>
      <c r="P745" s="3242">
        <v>0</v>
      </c>
      <c r="Q745" s="3244"/>
      <c r="R745" s="3244"/>
      <c r="S745" s="3242">
        <v>0</v>
      </c>
      <c r="T745" s="3244"/>
      <c r="U745" s="3244"/>
      <c r="V745" s="3244"/>
      <c r="W745" s="3240">
        <v>0</v>
      </c>
      <c r="X745" s="3244"/>
      <c r="Y745" s="3244"/>
      <c r="Z745" s="3242" t="s">
        <v>3384</v>
      </c>
      <c r="AA745" s="3243">
        <v>0</v>
      </c>
      <c r="AB745" s="3242">
        <v>0</v>
      </c>
      <c r="AC745" s="3244"/>
      <c r="AD745" s="3244"/>
      <c r="AE745" s="3242">
        <v>0</v>
      </c>
      <c r="AF745" s="3259"/>
      <c r="AG745" s="3260"/>
      <c r="AH745" s="3260"/>
      <c r="AI745" s="3260"/>
      <c r="AJ745" s="3260"/>
      <c r="AK745" s="3260"/>
      <c r="AL745" s="3259"/>
      <c r="AM745" s="3260"/>
      <c r="AN745" s="3259"/>
      <c r="AO745" s="3260"/>
      <c r="AP745" s="3242">
        <v>0</v>
      </c>
      <c r="AQ745" s="3244"/>
      <c r="AR745" s="3244"/>
      <c r="AS745" s="3242" t="s">
        <v>3384</v>
      </c>
      <c r="AT745" s="3247">
        <f t="shared" si="67"/>
        <v>0</v>
      </c>
      <c r="AU745" s="3248">
        <f t="shared" si="68"/>
        <v>0</v>
      </c>
      <c r="AV745" s="3248">
        <v>0</v>
      </c>
      <c r="AW745" s="3247">
        <v>0</v>
      </c>
      <c r="AX745" s="3248">
        <v>0</v>
      </c>
      <c r="AY745" s="3248">
        <v>0</v>
      </c>
      <c r="AZ745" s="3247">
        <v>0</v>
      </c>
      <c r="BA745" s="3248">
        <v>0</v>
      </c>
      <c r="BB745" s="3248">
        <v>0</v>
      </c>
      <c r="BC745" s="3247">
        <v>0</v>
      </c>
      <c r="BD745" s="3248">
        <v>0</v>
      </c>
      <c r="BE745" s="3248">
        <v>0</v>
      </c>
      <c r="BF745" s="3248">
        <f t="shared" si="69"/>
        <v>0</v>
      </c>
      <c r="BG745" s="3248">
        <f t="shared" si="70"/>
        <v>0</v>
      </c>
      <c r="BH745" s="3249"/>
      <c r="BI745" s="3249"/>
    </row>
    <row r="746" spans="1:61" x14ac:dyDescent="0.3">
      <c r="A746" s="4197" t="s">
        <v>3384</v>
      </c>
      <c r="B746" s="3261"/>
      <c r="C746" s="3243">
        <v>0</v>
      </c>
      <c r="D746" s="3242">
        <v>0</v>
      </c>
      <c r="E746" s="3244"/>
      <c r="F746" s="3244"/>
      <c r="G746" s="3242">
        <v>0</v>
      </c>
      <c r="H746" s="3244"/>
      <c r="I746" s="3244"/>
      <c r="J746" s="3244"/>
      <c r="K746" s="3242">
        <v>0</v>
      </c>
      <c r="L746" s="3244"/>
      <c r="M746" s="3244"/>
      <c r="N746" s="3242" t="s">
        <v>3384</v>
      </c>
      <c r="O746" s="3239">
        <v>0</v>
      </c>
      <c r="P746" s="3242">
        <v>0</v>
      </c>
      <c r="Q746" s="3244"/>
      <c r="R746" s="3244"/>
      <c r="S746" s="3242">
        <v>0</v>
      </c>
      <c r="T746" s="3244"/>
      <c r="U746" s="3244"/>
      <c r="V746" s="3244"/>
      <c r="W746" s="3240">
        <v>0</v>
      </c>
      <c r="X746" s="3244"/>
      <c r="Y746" s="3244"/>
      <c r="Z746" s="3242" t="s">
        <v>3384</v>
      </c>
      <c r="AA746" s="3243">
        <v>0</v>
      </c>
      <c r="AB746" s="3242">
        <v>0</v>
      </c>
      <c r="AC746" s="3244"/>
      <c r="AD746" s="3244"/>
      <c r="AE746" s="3242">
        <v>0</v>
      </c>
      <c r="AF746" s="3259"/>
      <c r="AG746" s="3260"/>
      <c r="AH746" s="3260"/>
      <c r="AI746" s="3260"/>
      <c r="AJ746" s="3260"/>
      <c r="AK746" s="3260"/>
      <c r="AL746" s="3259"/>
      <c r="AM746" s="3260"/>
      <c r="AN746" s="3259"/>
      <c r="AO746" s="3260"/>
      <c r="AP746" s="3242">
        <v>0</v>
      </c>
      <c r="AQ746" s="3244"/>
      <c r="AR746" s="3244"/>
      <c r="AS746" s="3242" t="s">
        <v>3384</v>
      </c>
      <c r="AT746" s="3247">
        <f t="shared" si="67"/>
        <v>0</v>
      </c>
      <c r="AU746" s="3248">
        <f t="shared" si="68"/>
        <v>0</v>
      </c>
      <c r="AV746" s="3248">
        <v>0</v>
      </c>
      <c r="AW746" s="3247">
        <v>0</v>
      </c>
      <c r="AX746" s="3248">
        <v>0</v>
      </c>
      <c r="AY746" s="3248">
        <v>0</v>
      </c>
      <c r="AZ746" s="3247">
        <v>0</v>
      </c>
      <c r="BA746" s="3248">
        <v>0</v>
      </c>
      <c r="BB746" s="3248">
        <v>0</v>
      </c>
      <c r="BC746" s="3247">
        <v>0</v>
      </c>
      <c r="BD746" s="3248">
        <v>0</v>
      </c>
      <c r="BE746" s="3248">
        <v>0</v>
      </c>
      <c r="BF746" s="3248">
        <f t="shared" si="69"/>
        <v>0</v>
      </c>
      <c r="BG746" s="3248">
        <f t="shared" si="70"/>
        <v>0</v>
      </c>
      <c r="BH746" s="3249"/>
      <c r="BI746" s="3249"/>
    </row>
    <row r="747" spans="1:61" x14ac:dyDescent="0.3">
      <c r="A747" s="4197" t="s">
        <v>3384</v>
      </c>
      <c r="B747" s="3261"/>
      <c r="C747" s="3243">
        <v>0</v>
      </c>
      <c r="D747" s="3242">
        <v>0</v>
      </c>
      <c r="E747" s="3244"/>
      <c r="F747" s="3244"/>
      <c r="G747" s="3242">
        <v>0</v>
      </c>
      <c r="H747" s="3244"/>
      <c r="I747" s="3244"/>
      <c r="J747" s="3244"/>
      <c r="K747" s="3242">
        <v>0</v>
      </c>
      <c r="L747" s="3244"/>
      <c r="M747" s="3244"/>
      <c r="N747" s="3242" t="s">
        <v>3384</v>
      </c>
      <c r="O747" s="3239">
        <v>0</v>
      </c>
      <c r="P747" s="3242">
        <v>0</v>
      </c>
      <c r="Q747" s="3244"/>
      <c r="R747" s="3244"/>
      <c r="S747" s="3242">
        <v>0</v>
      </c>
      <c r="T747" s="3244"/>
      <c r="U747" s="3244"/>
      <c r="V747" s="3244"/>
      <c r="W747" s="3240">
        <v>0</v>
      </c>
      <c r="X747" s="3244"/>
      <c r="Y747" s="3244"/>
      <c r="Z747" s="3242" t="s">
        <v>3384</v>
      </c>
      <c r="AA747" s="3243">
        <v>0</v>
      </c>
      <c r="AB747" s="3242">
        <v>0</v>
      </c>
      <c r="AC747" s="3244"/>
      <c r="AD747" s="3244"/>
      <c r="AE747" s="3242">
        <v>0</v>
      </c>
      <c r="AF747" s="3259"/>
      <c r="AG747" s="3260"/>
      <c r="AH747" s="3260"/>
      <c r="AI747" s="3260"/>
      <c r="AJ747" s="3260"/>
      <c r="AK747" s="3260"/>
      <c r="AL747" s="3259"/>
      <c r="AM747" s="3260"/>
      <c r="AN747" s="3259"/>
      <c r="AO747" s="3260"/>
      <c r="AP747" s="3242">
        <v>0</v>
      </c>
      <c r="AQ747" s="3244"/>
      <c r="AR747" s="3244"/>
      <c r="AS747" s="3242" t="s">
        <v>3384</v>
      </c>
      <c r="AT747" s="3247">
        <f t="shared" si="67"/>
        <v>0</v>
      </c>
      <c r="AU747" s="3248">
        <f t="shared" si="68"/>
        <v>0</v>
      </c>
      <c r="AV747" s="3248">
        <v>0</v>
      </c>
      <c r="AW747" s="3247">
        <v>0</v>
      </c>
      <c r="AX747" s="3248">
        <v>0</v>
      </c>
      <c r="AY747" s="3248">
        <v>0</v>
      </c>
      <c r="AZ747" s="3247">
        <v>0</v>
      </c>
      <c r="BA747" s="3248">
        <v>0</v>
      </c>
      <c r="BB747" s="3248">
        <v>0</v>
      </c>
      <c r="BC747" s="3247">
        <v>0</v>
      </c>
      <c r="BD747" s="3248">
        <v>0</v>
      </c>
      <c r="BE747" s="3248">
        <v>0</v>
      </c>
      <c r="BF747" s="3248">
        <f t="shared" si="69"/>
        <v>0</v>
      </c>
      <c r="BG747" s="3248">
        <f t="shared" si="70"/>
        <v>0</v>
      </c>
      <c r="BH747" s="3249"/>
      <c r="BI747" s="3249"/>
    </row>
    <row r="748" spans="1:61" x14ac:dyDescent="0.3">
      <c r="A748" s="4197" t="s">
        <v>3384</v>
      </c>
      <c r="B748" s="3261"/>
      <c r="C748" s="3243">
        <v>0</v>
      </c>
      <c r="D748" s="3242">
        <v>0</v>
      </c>
      <c r="E748" s="3244"/>
      <c r="F748" s="3244"/>
      <c r="G748" s="3242">
        <v>0</v>
      </c>
      <c r="H748" s="3244"/>
      <c r="I748" s="3244"/>
      <c r="J748" s="3244"/>
      <c r="K748" s="3242">
        <v>0</v>
      </c>
      <c r="L748" s="3244"/>
      <c r="M748" s="3244"/>
      <c r="N748" s="3242" t="s">
        <v>3384</v>
      </c>
      <c r="O748" s="3239">
        <v>0</v>
      </c>
      <c r="P748" s="3242">
        <v>0</v>
      </c>
      <c r="Q748" s="3244"/>
      <c r="R748" s="3244"/>
      <c r="S748" s="3242">
        <v>0</v>
      </c>
      <c r="T748" s="3244"/>
      <c r="U748" s="3244"/>
      <c r="V748" s="3244"/>
      <c r="W748" s="3240">
        <v>0</v>
      </c>
      <c r="X748" s="3244"/>
      <c r="Y748" s="3244"/>
      <c r="Z748" s="3242" t="s">
        <v>3384</v>
      </c>
      <c r="AA748" s="3243">
        <v>0</v>
      </c>
      <c r="AB748" s="3242">
        <v>0</v>
      </c>
      <c r="AC748" s="3244"/>
      <c r="AD748" s="3244"/>
      <c r="AE748" s="3242">
        <v>0</v>
      </c>
      <c r="AF748" s="3259"/>
      <c r="AG748" s="3260"/>
      <c r="AH748" s="3260"/>
      <c r="AI748" s="3260"/>
      <c r="AJ748" s="3260"/>
      <c r="AK748" s="3260"/>
      <c r="AL748" s="3259"/>
      <c r="AM748" s="3260"/>
      <c r="AN748" s="3259"/>
      <c r="AO748" s="3260"/>
      <c r="AP748" s="3242">
        <v>0</v>
      </c>
      <c r="AQ748" s="3244"/>
      <c r="AR748" s="3244"/>
      <c r="AS748" s="3242" t="s">
        <v>3384</v>
      </c>
      <c r="AT748" s="3247">
        <f t="shared" si="67"/>
        <v>0</v>
      </c>
      <c r="AU748" s="3248">
        <f t="shared" si="68"/>
        <v>0</v>
      </c>
      <c r="AV748" s="3248">
        <v>0</v>
      </c>
      <c r="AW748" s="3247">
        <v>0</v>
      </c>
      <c r="AX748" s="3248">
        <v>0</v>
      </c>
      <c r="AY748" s="3248">
        <v>0</v>
      </c>
      <c r="AZ748" s="3247">
        <v>0</v>
      </c>
      <c r="BA748" s="3248">
        <v>0</v>
      </c>
      <c r="BB748" s="3248">
        <v>0</v>
      </c>
      <c r="BC748" s="3247">
        <v>0</v>
      </c>
      <c r="BD748" s="3248">
        <v>0</v>
      </c>
      <c r="BE748" s="3248">
        <v>0</v>
      </c>
      <c r="BF748" s="3248">
        <f t="shared" si="69"/>
        <v>0</v>
      </c>
      <c r="BG748" s="3248">
        <f t="shared" si="70"/>
        <v>0</v>
      </c>
      <c r="BH748" s="3249"/>
      <c r="BI748" s="3249"/>
    </row>
    <row r="749" spans="1:61" x14ac:dyDescent="0.3">
      <c r="A749" s="4197" t="s">
        <v>3384</v>
      </c>
      <c r="B749" s="3261"/>
      <c r="C749" s="3243">
        <v>0</v>
      </c>
      <c r="D749" s="3242">
        <v>0</v>
      </c>
      <c r="E749" s="3244"/>
      <c r="F749" s="3244"/>
      <c r="G749" s="3242">
        <v>0</v>
      </c>
      <c r="H749" s="3244"/>
      <c r="I749" s="3244"/>
      <c r="J749" s="3244"/>
      <c r="K749" s="3242">
        <v>0</v>
      </c>
      <c r="L749" s="3244"/>
      <c r="M749" s="3244"/>
      <c r="N749" s="3242" t="s">
        <v>3384</v>
      </c>
      <c r="O749" s="3239">
        <v>0</v>
      </c>
      <c r="P749" s="3242">
        <v>0</v>
      </c>
      <c r="Q749" s="3244"/>
      <c r="R749" s="3244"/>
      <c r="S749" s="3242">
        <v>0</v>
      </c>
      <c r="T749" s="3244"/>
      <c r="U749" s="3244"/>
      <c r="V749" s="3244"/>
      <c r="W749" s="3240">
        <v>0</v>
      </c>
      <c r="X749" s="3244"/>
      <c r="Y749" s="3244"/>
      <c r="Z749" s="3242" t="s">
        <v>3384</v>
      </c>
      <c r="AA749" s="3243">
        <v>0</v>
      </c>
      <c r="AB749" s="3242">
        <v>0</v>
      </c>
      <c r="AC749" s="3244"/>
      <c r="AD749" s="3244"/>
      <c r="AE749" s="3242">
        <v>0</v>
      </c>
      <c r="AF749" s="3259"/>
      <c r="AG749" s="3260"/>
      <c r="AH749" s="3260"/>
      <c r="AI749" s="3260"/>
      <c r="AJ749" s="3260"/>
      <c r="AK749" s="3260"/>
      <c r="AL749" s="3259"/>
      <c r="AM749" s="3260"/>
      <c r="AN749" s="3259"/>
      <c r="AO749" s="3260"/>
      <c r="AP749" s="3242">
        <v>0</v>
      </c>
      <c r="AQ749" s="3244"/>
      <c r="AR749" s="3244"/>
      <c r="AS749" s="3242" t="s">
        <v>3384</v>
      </c>
      <c r="AT749" s="3247">
        <f t="shared" si="67"/>
        <v>0</v>
      </c>
      <c r="AU749" s="3248">
        <f t="shared" si="68"/>
        <v>0</v>
      </c>
      <c r="AV749" s="3248">
        <v>0</v>
      </c>
      <c r="AW749" s="3247">
        <v>0</v>
      </c>
      <c r="AX749" s="3248">
        <v>0</v>
      </c>
      <c r="AY749" s="3248">
        <v>0</v>
      </c>
      <c r="AZ749" s="3247">
        <v>0</v>
      </c>
      <c r="BA749" s="3248">
        <v>0</v>
      </c>
      <c r="BB749" s="3248">
        <v>0</v>
      </c>
      <c r="BC749" s="3247">
        <v>0</v>
      </c>
      <c r="BD749" s="3248">
        <v>0</v>
      </c>
      <c r="BE749" s="3248">
        <v>0</v>
      </c>
      <c r="BF749" s="3248">
        <f t="shared" si="69"/>
        <v>0</v>
      </c>
      <c r="BG749" s="3248">
        <f t="shared" si="70"/>
        <v>0</v>
      </c>
      <c r="BH749" s="3249"/>
      <c r="BI749" s="3249"/>
    </row>
    <row r="750" spans="1:61" x14ac:dyDescent="0.3">
      <c r="A750" s="4197" t="s">
        <v>3384</v>
      </c>
      <c r="B750" s="3261"/>
      <c r="C750" s="3243">
        <v>0</v>
      </c>
      <c r="D750" s="3242">
        <v>0</v>
      </c>
      <c r="E750" s="3244"/>
      <c r="F750" s="3244"/>
      <c r="G750" s="3242">
        <v>0</v>
      </c>
      <c r="H750" s="3244"/>
      <c r="I750" s="3244"/>
      <c r="J750" s="3244"/>
      <c r="K750" s="3242">
        <v>0</v>
      </c>
      <c r="L750" s="3244"/>
      <c r="M750" s="3244"/>
      <c r="N750" s="3242" t="s">
        <v>3384</v>
      </c>
      <c r="O750" s="3239">
        <v>0</v>
      </c>
      <c r="P750" s="3242">
        <v>0</v>
      </c>
      <c r="Q750" s="3244"/>
      <c r="R750" s="3244"/>
      <c r="S750" s="3242">
        <v>0</v>
      </c>
      <c r="T750" s="3244"/>
      <c r="U750" s="3244"/>
      <c r="V750" s="3244"/>
      <c r="W750" s="3240">
        <v>0</v>
      </c>
      <c r="X750" s="3244"/>
      <c r="Y750" s="3244"/>
      <c r="Z750" s="3242" t="s">
        <v>3384</v>
      </c>
      <c r="AA750" s="3243">
        <v>0</v>
      </c>
      <c r="AB750" s="3242">
        <v>0</v>
      </c>
      <c r="AC750" s="3244"/>
      <c r="AD750" s="3244"/>
      <c r="AE750" s="3242">
        <v>0</v>
      </c>
      <c r="AF750" s="3259"/>
      <c r="AG750" s="3260"/>
      <c r="AH750" s="3260"/>
      <c r="AI750" s="3260"/>
      <c r="AJ750" s="3260"/>
      <c r="AK750" s="3260"/>
      <c r="AL750" s="3259"/>
      <c r="AM750" s="3260"/>
      <c r="AN750" s="3259"/>
      <c r="AO750" s="3260"/>
      <c r="AP750" s="3242">
        <v>0</v>
      </c>
      <c r="AQ750" s="3244"/>
      <c r="AR750" s="3244"/>
      <c r="AS750" s="3242" t="s">
        <v>3384</v>
      </c>
      <c r="AT750" s="3247">
        <f t="shared" si="67"/>
        <v>0</v>
      </c>
      <c r="AU750" s="3248">
        <f t="shared" si="68"/>
        <v>0</v>
      </c>
      <c r="AV750" s="3248">
        <v>0</v>
      </c>
      <c r="AW750" s="3247">
        <v>0</v>
      </c>
      <c r="AX750" s="3248">
        <v>0</v>
      </c>
      <c r="AY750" s="3248">
        <v>0</v>
      </c>
      <c r="AZ750" s="3247">
        <v>0</v>
      </c>
      <c r="BA750" s="3248">
        <v>0</v>
      </c>
      <c r="BB750" s="3248">
        <v>0</v>
      </c>
      <c r="BC750" s="3247">
        <v>0</v>
      </c>
      <c r="BD750" s="3248">
        <v>0</v>
      </c>
      <c r="BE750" s="3248">
        <v>0</v>
      </c>
      <c r="BF750" s="3248">
        <f t="shared" si="69"/>
        <v>0</v>
      </c>
      <c r="BG750" s="3248">
        <f t="shared" si="70"/>
        <v>0</v>
      </c>
      <c r="BH750" s="3249"/>
      <c r="BI750" s="3249"/>
    </row>
    <row r="751" spans="1:61" x14ac:dyDescent="0.3">
      <c r="A751" s="4197" t="s">
        <v>3384</v>
      </c>
      <c r="B751" s="3261"/>
      <c r="C751" s="3243">
        <v>0</v>
      </c>
      <c r="D751" s="3242">
        <v>0</v>
      </c>
      <c r="E751" s="3244"/>
      <c r="F751" s="3244"/>
      <c r="G751" s="3242">
        <v>0</v>
      </c>
      <c r="H751" s="3244"/>
      <c r="I751" s="3244"/>
      <c r="J751" s="3244"/>
      <c r="K751" s="3242">
        <v>0</v>
      </c>
      <c r="L751" s="3244"/>
      <c r="M751" s="3244"/>
      <c r="N751" s="3242" t="s">
        <v>3384</v>
      </c>
      <c r="O751" s="3239">
        <v>0</v>
      </c>
      <c r="P751" s="3242">
        <v>0</v>
      </c>
      <c r="Q751" s="3244"/>
      <c r="R751" s="3244"/>
      <c r="S751" s="3242">
        <v>0</v>
      </c>
      <c r="T751" s="3244"/>
      <c r="U751" s="3244"/>
      <c r="V751" s="3244"/>
      <c r="W751" s="3240">
        <v>0</v>
      </c>
      <c r="X751" s="3244"/>
      <c r="Y751" s="3244"/>
      <c r="Z751" s="3242" t="s">
        <v>3384</v>
      </c>
      <c r="AA751" s="3243">
        <v>0</v>
      </c>
      <c r="AB751" s="3242">
        <v>0</v>
      </c>
      <c r="AC751" s="3244"/>
      <c r="AD751" s="3244"/>
      <c r="AE751" s="3242">
        <v>0</v>
      </c>
      <c r="AF751" s="3259"/>
      <c r="AG751" s="3260"/>
      <c r="AH751" s="3260"/>
      <c r="AI751" s="3260"/>
      <c r="AJ751" s="3260"/>
      <c r="AK751" s="3260"/>
      <c r="AL751" s="3259"/>
      <c r="AM751" s="3260"/>
      <c r="AN751" s="3259"/>
      <c r="AO751" s="3260"/>
      <c r="AP751" s="3242">
        <v>0</v>
      </c>
      <c r="AQ751" s="3244"/>
      <c r="AR751" s="3244"/>
      <c r="AS751" s="3242" t="s">
        <v>3384</v>
      </c>
      <c r="AT751" s="3247">
        <f t="shared" si="67"/>
        <v>0</v>
      </c>
      <c r="AU751" s="3248">
        <f t="shared" si="68"/>
        <v>0</v>
      </c>
      <c r="AV751" s="3248">
        <v>0</v>
      </c>
      <c r="AW751" s="3247">
        <v>0</v>
      </c>
      <c r="AX751" s="3248">
        <v>0</v>
      </c>
      <c r="AY751" s="3248">
        <v>0</v>
      </c>
      <c r="AZ751" s="3247">
        <v>0</v>
      </c>
      <c r="BA751" s="3248">
        <v>0</v>
      </c>
      <c r="BB751" s="3248">
        <v>0</v>
      </c>
      <c r="BC751" s="3247">
        <v>0</v>
      </c>
      <c r="BD751" s="3248">
        <v>0</v>
      </c>
      <c r="BE751" s="3248">
        <v>0</v>
      </c>
      <c r="BF751" s="3248">
        <f t="shared" si="69"/>
        <v>0</v>
      </c>
      <c r="BG751" s="3248">
        <f t="shared" si="70"/>
        <v>0</v>
      </c>
      <c r="BH751" s="3249"/>
      <c r="BI751" s="3249"/>
    </row>
    <row r="752" spans="1:61" x14ac:dyDescent="0.3">
      <c r="A752" s="4197" t="s">
        <v>3384</v>
      </c>
      <c r="B752" s="3261"/>
      <c r="C752" s="3243">
        <v>0</v>
      </c>
      <c r="D752" s="3242">
        <v>0</v>
      </c>
      <c r="E752" s="3244"/>
      <c r="F752" s="3244"/>
      <c r="G752" s="3242">
        <v>0</v>
      </c>
      <c r="H752" s="3244"/>
      <c r="I752" s="3244"/>
      <c r="J752" s="3244"/>
      <c r="K752" s="3242">
        <v>0</v>
      </c>
      <c r="L752" s="3244"/>
      <c r="M752" s="3244"/>
      <c r="N752" s="3242" t="s">
        <v>3384</v>
      </c>
      <c r="O752" s="3239">
        <v>0</v>
      </c>
      <c r="P752" s="3242">
        <v>0</v>
      </c>
      <c r="Q752" s="3244"/>
      <c r="R752" s="3244"/>
      <c r="S752" s="3242">
        <v>0</v>
      </c>
      <c r="T752" s="3244"/>
      <c r="U752" s="3244"/>
      <c r="V752" s="3244"/>
      <c r="W752" s="3240">
        <v>0</v>
      </c>
      <c r="X752" s="3244"/>
      <c r="Y752" s="3244"/>
      <c r="Z752" s="3242" t="s">
        <v>3384</v>
      </c>
      <c r="AA752" s="3243">
        <v>0</v>
      </c>
      <c r="AB752" s="3242">
        <v>0</v>
      </c>
      <c r="AC752" s="3244"/>
      <c r="AD752" s="3244"/>
      <c r="AE752" s="3242">
        <v>0</v>
      </c>
      <c r="AF752" s="3259"/>
      <c r="AG752" s="3260"/>
      <c r="AH752" s="3260"/>
      <c r="AI752" s="3260"/>
      <c r="AJ752" s="3260"/>
      <c r="AK752" s="3260"/>
      <c r="AL752" s="3259"/>
      <c r="AM752" s="3260"/>
      <c r="AN752" s="3259"/>
      <c r="AO752" s="3260"/>
      <c r="AP752" s="3242">
        <v>0</v>
      </c>
      <c r="AQ752" s="3244"/>
      <c r="AR752" s="3244"/>
      <c r="AS752" s="3242" t="s">
        <v>3384</v>
      </c>
      <c r="AT752" s="3247">
        <f t="shared" si="67"/>
        <v>0</v>
      </c>
      <c r="AU752" s="3248">
        <f t="shared" si="68"/>
        <v>0</v>
      </c>
      <c r="AV752" s="3248">
        <v>0</v>
      </c>
      <c r="AW752" s="3247">
        <v>0</v>
      </c>
      <c r="AX752" s="3248">
        <v>0</v>
      </c>
      <c r="AY752" s="3248">
        <v>0</v>
      </c>
      <c r="AZ752" s="3247">
        <v>0</v>
      </c>
      <c r="BA752" s="3248">
        <v>0</v>
      </c>
      <c r="BB752" s="3248">
        <v>0</v>
      </c>
      <c r="BC752" s="3247">
        <v>0</v>
      </c>
      <c r="BD752" s="3248">
        <v>0</v>
      </c>
      <c r="BE752" s="3248">
        <v>0</v>
      </c>
      <c r="BF752" s="3248">
        <f t="shared" si="69"/>
        <v>0</v>
      </c>
      <c r="BG752" s="3248">
        <f t="shared" si="70"/>
        <v>0</v>
      </c>
      <c r="BH752" s="3249"/>
      <c r="BI752" s="3249"/>
    </row>
    <row r="753" spans="1:61" x14ac:dyDescent="0.3">
      <c r="A753" s="4197" t="s">
        <v>3384</v>
      </c>
      <c r="B753" s="3261"/>
      <c r="C753" s="3243">
        <v>0</v>
      </c>
      <c r="D753" s="3242">
        <v>0</v>
      </c>
      <c r="E753" s="3244"/>
      <c r="F753" s="3244"/>
      <c r="G753" s="3242">
        <v>0</v>
      </c>
      <c r="H753" s="3244"/>
      <c r="I753" s="3244"/>
      <c r="J753" s="3244"/>
      <c r="K753" s="3242">
        <v>0</v>
      </c>
      <c r="L753" s="3244"/>
      <c r="M753" s="3244"/>
      <c r="N753" s="3242" t="s">
        <v>3384</v>
      </c>
      <c r="O753" s="3239">
        <v>0</v>
      </c>
      <c r="P753" s="3242">
        <v>0</v>
      </c>
      <c r="Q753" s="3244"/>
      <c r="R753" s="3244"/>
      <c r="S753" s="3242">
        <v>0</v>
      </c>
      <c r="T753" s="3244"/>
      <c r="U753" s="3244"/>
      <c r="V753" s="3244"/>
      <c r="W753" s="3240">
        <v>0</v>
      </c>
      <c r="X753" s="3244"/>
      <c r="Y753" s="3244"/>
      <c r="Z753" s="3242" t="s">
        <v>3384</v>
      </c>
      <c r="AA753" s="3243">
        <v>0</v>
      </c>
      <c r="AB753" s="3242">
        <v>0</v>
      </c>
      <c r="AC753" s="3244"/>
      <c r="AD753" s="3244"/>
      <c r="AE753" s="3242">
        <v>0</v>
      </c>
      <c r="AF753" s="3259"/>
      <c r="AG753" s="3260"/>
      <c r="AH753" s="3260"/>
      <c r="AI753" s="3260"/>
      <c r="AJ753" s="3260"/>
      <c r="AK753" s="3260"/>
      <c r="AL753" s="3259"/>
      <c r="AM753" s="3260"/>
      <c r="AN753" s="3259"/>
      <c r="AO753" s="3260"/>
      <c r="AP753" s="3242">
        <v>0</v>
      </c>
      <c r="AQ753" s="3244"/>
      <c r="AR753" s="3244"/>
      <c r="AS753" s="3242" t="s">
        <v>3384</v>
      </c>
      <c r="AT753" s="3247">
        <f t="shared" si="67"/>
        <v>0</v>
      </c>
      <c r="AU753" s="3248">
        <f t="shared" si="68"/>
        <v>0</v>
      </c>
      <c r="AV753" s="3248">
        <v>0</v>
      </c>
      <c r="AW753" s="3247">
        <v>0</v>
      </c>
      <c r="AX753" s="3248">
        <v>0</v>
      </c>
      <c r="AY753" s="3248">
        <v>0</v>
      </c>
      <c r="AZ753" s="3247">
        <v>0</v>
      </c>
      <c r="BA753" s="3248">
        <v>0</v>
      </c>
      <c r="BB753" s="3248">
        <v>0</v>
      </c>
      <c r="BC753" s="3247">
        <v>0</v>
      </c>
      <c r="BD753" s="3248">
        <v>0</v>
      </c>
      <c r="BE753" s="3248">
        <v>0</v>
      </c>
      <c r="BF753" s="3248">
        <f t="shared" si="69"/>
        <v>0</v>
      </c>
      <c r="BG753" s="3248">
        <f t="shared" si="70"/>
        <v>0</v>
      </c>
      <c r="BH753" s="3249"/>
      <c r="BI753" s="3249"/>
    </row>
    <row r="754" spans="1:61" x14ac:dyDescent="0.3">
      <c r="A754" s="4197" t="s">
        <v>3384</v>
      </c>
      <c r="B754" s="3261"/>
      <c r="C754" s="3243">
        <v>0</v>
      </c>
      <c r="D754" s="3242">
        <v>0</v>
      </c>
      <c r="E754" s="3244"/>
      <c r="F754" s="3244"/>
      <c r="G754" s="3242">
        <v>0</v>
      </c>
      <c r="H754" s="3244"/>
      <c r="I754" s="3244"/>
      <c r="J754" s="3244"/>
      <c r="K754" s="3242">
        <v>0</v>
      </c>
      <c r="L754" s="3244"/>
      <c r="M754" s="3244"/>
      <c r="N754" s="3242" t="s">
        <v>3384</v>
      </c>
      <c r="O754" s="3239">
        <v>0</v>
      </c>
      <c r="P754" s="3242">
        <v>0</v>
      </c>
      <c r="Q754" s="3244"/>
      <c r="R754" s="3244"/>
      <c r="S754" s="3242">
        <v>0</v>
      </c>
      <c r="T754" s="3244"/>
      <c r="U754" s="3244"/>
      <c r="V754" s="3244"/>
      <c r="W754" s="3240">
        <v>0</v>
      </c>
      <c r="X754" s="3244"/>
      <c r="Y754" s="3244"/>
      <c r="Z754" s="3242" t="s">
        <v>3384</v>
      </c>
      <c r="AA754" s="3243">
        <v>0</v>
      </c>
      <c r="AB754" s="3242">
        <v>0</v>
      </c>
      <c r="AC754" s="3244"/>
      <c r="AD754" s="3244"/>
      <c r="AE754" s="3242">
        <v>0</v>
      </c>
      <c r="AF754" s="3259"/>
      <c r="AG754" s="3260"/>
      <c r="AH754" s="3260"/>
      <c r="AI754" s="3260"/>
      <c r="AJ754" s="3260"/>
      <c r="AK754" s="3260"/>
      <c r="AL754" s="3259"/>
      <c r="AM754" s="3260"/>
      <c r="AN754" s="3259"/>
      <c r="AO754" s="3260"/>
      <c r="AP754" s="3242">
        <v>0</v>
      </c>
      <c r="AQ754" s="3244"/>
      <c r="AR754" s="3244"/>
      <c r="AS754" s="3242" t="s">
        <v>3384</v>
      </c>
      <c r="AT754" s="3247">
        <f t="shared" si="67"/>
        <v>0</v>
      </c>
      <c r="AU754" s="3248">
        <f t="shared" si="68"/>
        <v>0</v>
      </c>
      <c r="AV754" s="3248">
        <v>0</v>
      </c>
      <c r="AW754" s="3247">
        <v>0</v>
      </c>
      <c r="AX754" s="3248">
        <v>0</v>
      </c>
      <c r="AY754" s="3248">
        <v>0</v>
      </c>
      <c r="AZ754" s="3247">
        <v>0</v>
      </c>
      <c r="BA754" s="3248">
        <v>0</v>
      </c>
      <c r="BB754" s="3248">
        <v>0</v>
      </c>
      <c r="BC754" s="3247">
        <v>0</v>
      </c>
      <c r="BD754" s="3248">
        <v>0</v>
      </c>
      <c r="BE754" s="3248">
        <v>0</v>
      </c>
      <c r="BF754" s="3248">
        <f t="shared" si="69"/>
        <v>0</v>
      </c>
      <c r="BG754" s="3248">
        <f t="shared" si="70"/>
        <v>0</v>
      </c>
      <c r="BH754" s="3249"/>
      <c r="BI754" s="3249"/>
    </row>
    <row r="755" spans="1:61" x14ac:dyDescent="0.3">
      <c r="A755" s="4197" t="s">
        <v>3384</v>
      </c>
      <c r="B755" s="3261"/>
      <c r="C755" s="3243">
        <v>0</v>
      </c>
      <c r="D755" s="3242">
        <v>0</v>
      </c>
      <c r="E755" s="3244"/>
      <c r="F755" s="3244"/>
      <c r="G755" s="3242">
        <v>0</v>
      </c>
      <c r="H755" s="3244"/>
      <c r="I755" s="3244"/>
      <c r="J755" s="3244"/>
      <c r="K755" s="3242">
        <v>0</v>
      </c>
      <c r="L755" s="3244"/>
      <c r="M755" s="3244"/>
      <c r="N755" s="3242" t="s">
        <v>3384</v>
      </c>
      <c r="O755" s="3239">
        <v>0</v>
      </c>
      <c r="P755" s="3242">
        <v>0</v>
      </c>
      <c r="Q755" s="3244"/>
      <c r="R755" s="3244"/>
      <c r="S755" s="3242">
        <v>0</v>
      </c>
      <c r="T755" s="3244"/>
      <c r="U755" s="3244"/>
      <c r="V755" s="3244"/>
      <c r="W755" s="3240">
        <v>0</v>
      </c>
      <c r="X755" s="3244"/>
      <c r="Y755" s="3244"/>
      <c r="Z755" s="3242" t="s">
        <v>3384</v>
      </c>
      <c r="AA755" s="3243">
        <v>0</v>
      </c>
      <c r="AB755" s="3242">
        <v>0</v>
      </c>
      <c r="AC755" s="3244"/>
      <c r="AD755" s="3244"/>
      <c r="AE755" s="3242">
        <v>0</v>
      </c>
      <c r="AF755" s="3259"/>
      <c r="AG755" s="3260"/>
      <c r="AH755" s="3260"/>
      <c r="AI755" s="3260"/>
      <c r="AJ755" s="3260"/>
      <c r="AK755" s="3260"/>
      <c r="AL755" s="3259"/>
      <c r="AM755" s="3260"/>
      <c r="AN755" s="3259"/>
      <c r="AO755" s="3260"/>
      <c r="AP755" s="3242">
        <v>0</v>
      </c>
      <c r="AQ755" s="3244"/>
      <c r="AR755" s="3244"/>
      <c r="AS755" s="3242" t="s">
        <v>3384</v>
      </c>
      <c r="AT755" s="3247">
        <f t="shared" si="67"/>
        <v>0</v>
      </c>
      <c r="AU755" s="3248">
        <f t="shared" si="68"/>
        <v>0</v>
      </c>
      <c r="AV755" s="3248">
        <v>0</v>
      </c>
      <c r="AW755" s="3247">
        <v>0</v>
      </c>
      <c r="AX755" s="3248">
        <v>0</v>
      </c>
      <c r="AY755" s="3248">
        <v>0</v>
      </c>
      <c r="AZ755" s="3247">
        <v>0</v>
      </c>
      <c r="BA755" s="3248">
        <v>0</v>
      </c>
      <c r="BB755" s="3248">
        <v>0</v>
      </c>
      <c r="BC755" s="3247">
        <v>0</v>
      </c>
      <c r="BD755" s="3248">
        <v>0</v>
      </c>
      <c r="BE755" s="3248">
        <v>0</v>
      </c>
      <c r="BF755" s="3248">
        <f t="shared" si="69"/>
        <v>0</v>
      </c>
      <c r="BG755" s="3248">
        <f t="shared" si="70"/>
        <v>0</v>
      </c>
      <c r="BH755" s="3249"/>
      <c r="BI755" s="3249"/>
    </row>
    <row r="756" spans="1:61" x14ac:dyDescent="0.3">
      <c r="A756" s="4197" t="s">
        <v>3384</v>
      </c>
      <c r="B756" s="3261"/>
      <c r="C756" s="3243">
        <v>0</v>
      </c>
      <c r="D756" s="3242">
        <v>0</v>
      </c>
      <c r="E756" s="3244"/>
      <c r="F756" s="3244"/>
      <c r="G756" s="3242">
        <v>0</v>
      </c>
      <c r="H756" s="3244"/>
      <c r="I756" s="3244"/>
      <c r="J756" s="3244"/>
      <c r="K756" s="3242">
        <v>0</v>
      </c>
      <c r="L756" s="3244"/>
      <c r="M756" s="3244"/>
      <c r="N756" s="3242" t="s">
        <v>3384</v>
      </c>
      <c r="O756" s="3239">
        <v>0</v>
      </c>
      <c r="P756" s="3242">
        <v>0</v>
      </c>
      <c r="Q756" s="3244"/>
      <c r="R756" s="3244"/>
      <c r="S756" s="3242">
        <v>0</v>
      </c>
      <c r="T756" s="3244"/>
      <c r="U756" s="3244"/>
      <c r="V756" s="3244"/>
      <c r="W756" s="3240">
        <v>0</v>
      </c>
      <c r="X756" s="3244"/>
      <c r="Y756" s="3244"/>
      <c r="Z756" s="3242" t="s">
        <v>3384</v>
      </c>
      <c r="AA756" s="3243">
        <v>0</v>
      </c>
      <c r="AB756" s="3242">
        <v>0</v>
      </c>
      <c r="AC756" s="3244"/>
      <c r="AD756" s="3244"/>
      <c r="AE756" s="3242">
        <v>0</v>
      </c>
      <c r="AF756" s="3259"/>
      <c r="AG756" s="3260"/>
      <c r="AH756" s="3260"/>
      <c r="AI756" s="3260"/>
      <c r="AJ756" s="3260"/>
      <c r="AK756" s="3260"/>
      <c r="AL756" s="3259"/>
      <c r="AM756" s="3260"/>
      <c r="AN756" s="3259"/>
      <c r="AO756" s="3260"/>
      <c r="AP756" s="3242">
        <v>0</v>
      </c>
      <c r="AQ756" s="3244"/>
      <c r="AR756" s="3244"/>
      <c r="AS756" s="3242" t="s">
        <v>3384</v>
      </c>
      <c r="AT756" s="3247">
        <f t="shared" si="67"/>
        <v>0</v>
      </c>
      <c r="AU756" s="3248">
        <f t="shared" si="68"/>
        <v>0</v>
      </c>
      <c r="AV756" s="3248">
        <v>0</v>
      </c>
      <c r="AW756" s="3247">
        <v>0</v>
      </c>
      <c r="AX756" s="3248">
        <v>0</v>
      </c>
      <c r="AY756" s="3248">
        <v>0</v>
      </c>
      <c r="AZ756" s="3247">
        <v>0</v>
      </c>
      <c r="BA756" s="3248">
        <v>0</v>
      </c>
      <c r="BB756" s="3248">
        <v>0</v>
      </c>
      <c r="BC756" s="3247">
        <v>0</v>
      </c>
      <c r="BD756" s="3248">
        <v>0</v>
      </c>
      <c r="BE756" s="3248">
        <v>0</v>
      </c>
      <c r="BF756" s="3248">
        <f t="shared" si="69"/>
        <v>0</v>
      </c>
      <c r="BG756" s="3248">
        <f t="shared" si="70"/>
        <v>0</v>
      </c>
      <c r="BH756" s="3249"/>
      <c r="BI756" s="3249"/>
    </row>
    <row r="757" spans="1:61" x14ac:dyDescent="0.3">
      <c r="A757" s="4197" t="s">
        <v>3384</v>
      </c>
      <c r="B757" s="3261"/>
      <c r="C757" s="3243">
        <v>0</v>
      </c>
      <c r="D757" s="3242">
        <v>0</v>
      </c>
      <c r="E757" s="3244"/>
      <c r="F757" s="3244"/>
      <c r="G757" s="3242">
        <v>0</v>
      </c>
      <c r="H757" s="3244"/>
      <c r="I757" s="3244"/>
      <c r="J757" s="3244"/>
      <c r="K757" s="3242">
        <v>0</v>
      </c>
      <c r="L757" s="3244"/>
      <c r="M757" s="3244"/>
      <c r="N757" s="3242" t="s">
        <v>3384</v>
      </c>
      <c r="O757" s="3239">
        <v>0</v>
      </c>
      <c r="P757" s="3242">
        <v>0</v>
      </c>
      <c r="Q757" s="3244"/>
      <c r="R757" s="3244"/>
      <c r="S757" s="3242">
        <v>0</v>
      </c>
      <c r="T757" s="3244"/>
      <c r="U757" s="3244"/>
      <c r="V757" s="3244"/>
      <c r="W757" s="3240">
        <v>0</v>
      </c>
      <c r="X757" s="3244"/>
      <c r="Y757" s="3244"/>
      <c r="Z757" s="3242" t="s">
        <v>3384</v>
      </c>
      <c r="AA757" s="3243">
        <v>0</v>
      </c>
      <c r="AB757" s="3242">
        <v>0</v>
      </c>
      <c r="AC757" s="3244"/>
      <c r="AD757" s="3244"/>
      <c r="AE757" s="3242">
        <v>0</v>
      </c>
      <c r="AF757" s="3259"/>
      <c r="AG757" s="3260"/>
      <c r="AH757" s="3260"/>
      <c r="AI757" s="3260"/>
      <c r="AJ757" s="3260"/>
      <c r="AK757" s="3260"/>
      <c r="AL757" s="3259"/>
      <c r="AM757" s="3260"/>
      <c r="AN757" s="3259"/>
      <c r="AO757" s="3260"/>
      <c r="AP757" s="3242">
        <v>0</v>
      </c>
      <c r="AQ757" s="3244"/>
      <c r="AR757" s="3244"/>
      <c r="AS757" s="3242" t="s">
        <v>3384</v>
      </c>
      <c r="AT757" s="3247">
        <f t="shared" si="67"/>
        <v>0</v>
      </c>
      <c r="AU757" s="3248">
        <f t="shared" si="68"/>
        <v>0</v>
      </c>
      <c r="AV757" s="3248">
        <v>0</v>
      </c>
      <c r="AW757" s="3247">
        <v>0</v>
      </c>
      <c r="AX757" s="3248">
        <v>0</v>
      </c>
      <c r="AY757" s="3248">
        <v>0</v>
      </c>
      <c r="AZ757" s="3247">
        <v>0</v>
      </c>
      <c r="BA757" s="3248">
        <v>0</v>
      </c>
      <c r="BB757" s="3248">
        <v>0</v>
      </c>
      <c r="BC757" s="3247">
        <v>0</v>
      </c>
      <c r="BD757" s="3248">
        <v>0</v>
      </c>
      <c r="BE757" s="3248">
        <v>0</v>
      </c>
      <c r="BF757" s="3248">
        <f t="shared" si="69"/>
        <v>0</v>
      </c>
      <c r="BG757" s="3248">
        <f t="shared" si="70"/>
        <v>0</v>
      </c>
      <c r="BH757" s="3249"/>
      <c r="BI757" s="3249"/>
    </row>
    <row r="758" spans="1:61" x14ac:dyDescent="0.3">
      <c r="A758" s="4197" t="s">
        <v>3384</v>
      </c>
      <c r="B758" s="3261"/>
      <c r="C758" s="3243">
        <v>0</v>
      </c>
      <c r="D758" s="3242">
        <v>0</v>
      </c>
      <c r="E758" s="3244"/>
      <c r="F758" s="3244"/>
      <c r="G758" s="3242">
        <v>0</v>
      </c>
      <c r="H758" s="3244"/>
      <c r="I758" s="3244"/>
      <c r="J758" s="3244"/>
      <c r="K758" s="3242">
        <v>0</v>
      </c>
      <c r="L758" s="3244"/>
      <c r="M758" s="3244"/>
      <c r="N758" s="3242" t="s">
        <v>3384</v>
      </c>
      <c r="O758" s="3239">
        <v>0</v>
      </c>
      <c r="P758" s="3242">
        <v>0</v>
      </c>
      <c r="Q758" s="3244"/>
      <c r="R758" s="3244"/>
      <c r="S758" s="3242">
        <v>0</v>
      </c>
      <c r="T758" s="3244"/>
      <c r="U758" s="3244"/>
      <c r="V758" s="3244"/>
      <c r="W758" s="3240">
        <v>0</v>
      </c>
      <c r="X758" s="3244"/>
      <c r="Y758" s="3244"/>
      <c r="Z758" s="3242" t="s">
        <v>3384</v>
      </c>
      <c r="AA758" s="3243">
        <v>0</v>
      </c>
      <c r="AB758" s="3242">
        <v>0</v>
      </c>
      <c r="AC758" s="3244"/>
      <c r="AD758" s="3244"/>
      <c r="AE758" s="3242">
        <v>0</v>
      </c>
      <c r="AF758" s="3259"/>
      <c r="AG758" s="3260"/>
      <c r="AH758" s="3260"/>
      <c r="AI758" s="3260"/>
      <c r="AJ758" s="3260"/>
      <c r="AK758" s="3260"/>
      <c r="AL758" s="3259"/>
      <c r="AM758" s="3260"/>
      <c r="AN758" s="3259"/>
      <c r="AO758" s="3260"/>
      <c r="AP758" s="3242">
        <v>0</v>
      </c>
      <c r="AQ758" s="3244"/>
      <c r="AR758" s="3244"/>
      <c r="AS758" s="3242" t="s">
        <v>3384</v>
      </c>
      <c r="AT758" s="3247">
        <f t="shared" si="67"/>
        <v>0</v>
      </c>
      <c r="AU758" s="3248">
        <f t="shared" si="68"/>
        <v>0</v>
      </c>
      <c r="AV758" s="3248">
        <v>0</v>
      </c>
      <c r="AW758" s="3247">
        <v>0</v>
      </c>
      <c r="AX758" s="3248">
        <v>0</v>
      </c>
      <c r="AY758" s="3248">
        <v>0</v>
      </c>
      <c r="AZ758" s="3247">
        <v>0</v>
      </c>
      <c r="BA758" s="3248">
        <v>0</v>
      </c>
      <c r="BB758" s="3248">
        <v>0</v>
      </c>
      <c r="BC758" s="3247">
        <v>0</v>
      </c>
      <c r="BD758" s="3248">
        <v>0</v>
      </c>
      <c r="BE758" s="3248">
        <v>0</v>
      </c>
      <c r="BF758" s="3248">
        <f t="shared" si="69"/>
        <v>0</v>
      </c>
      <c r="BG758" s="3248">
        <f t="shared" si="70"/>
        <v>0</v>
      </c>
      <c r="BH758" s="3249"/>
      <c r="BI758" s="3249"/>
    </row>
    <row r="759" spans="1:61" x14ac:dyDescent="0.3">
      <c r="A759" s="4197" t="s">
        <v>3384</v>
      </c>
      <c r="B759" s="3261"/>
      <c r="C759" s="3243">
        <v>0</v>
      </c>
      <c r="D759" s="3242">
        <v>0</v>
      </c>
      <c r="E759" s="3244"/>
      <c r="F759" s="3244"/>
      <c r="G759" s="3242">
        <v>0</v>
      </c>
      <c r="H759" s="3244"/>
      <c r="I759" s="3244"/>
      <c r="J759" s="3244"/>
      <c r="K759" s="3242">
        <v>0</v>
      </c>
      <c r="L759" s="3244"/>
      <c r="M759" s="3244"/>
      <c r="N759" s="3242" t="s">
        <v>3384</v>
      </c>
      <c r="O759" s="3239">
        <v>0</v>
      </c>
      <c r="P759" s="3242">
        <v>0</v>
      </c>
      <c r="Q759" s="3244"/>
      <c r="R759" s="3244"/>
      <c r="S759" s="3242">
        <v>0</v>
      </c>
      <c r="T759" s="3244"/>
      <c r="U759" s="3244"/>
      <c r="V759" s="3244"/>
      <c r="W759" s="3240">
        <v>0</v>
      </c>
      <c r="X759" s="3244"/>
      <c r="Y759" s="3244"/>
      <c r="Z759" s="3242" t="s">
        <v>3384</v>
      </c>
      <c r="AA759" s="3243">
        <v>0</v>
      </c>
      <c r="AB759" s="3242">
        <v>0</v>
      </c>
      <c r="AC759" s="3244"/>
      <c r="AD759" s="3244"/>
      <c r="AE759" s="3242">
        <v>0</v>
      </c>
      <c r="AF759" s="3259"/>
      <c r="AG759" s="3260"/>
      <c r="AH759" s="3260"/>
      <c r="AI759" s="3260"/>
      <c r="AJ759" s="3260"/>
      <c r="AK759" s="3260"/>
      <c r="AL759" s="3259"/>
      <c r="AM759" s="3260"/>
      <c r="AN759" s="3259"/>
      <c r="AO759" s="3260"/>
      <c r="AP759" s="3242">
        <v>0</v>
      </c>
      <c r="AQ759" s="3244"/>
      <c r="AR759" s="3244"/>
      <c r="AS759" s="3242" t="s">
        <v>3384</v>
      </c>
      <c r="AT759" s="3247">
        <f t="shared" si="67"/>
        <v>0</v>
      </c>
      <c r="AU759" s="3248">
        <f t="shared" si="68"/>
        <v>0</v>
      </c>
      <c r="AV759" s="3248">
        <v>0</v>
      </c>
      <c r="AW759" s="3247">
        <v>0</v>
      </c>
      <c r="AX759" s="3248">
        <v>0</v>
      </c>
      <c r="AY759" s="3248">
        <v>0</v>
      </c>
      <c r="AZ759" s="3247">
        <v>0</v>
      </c>
      <c r="BA759" s="3248">
        <v>0</v>
      </c>
      <c r="BB759" s="3248">
        <v>0</v>
      </c>
      <c r="BC759" s="3247">
        <v>0</v>
      </c>
      <c r="BD759" s="3248">
        <v>0</v>
      </c>
      <c r="BE759" s="3248">
        <v>0</v>
      </c>
      <c r="BF759" s="3248">
        <f t="shared" si="69"/>
        <v>0</v>
      </c>
      <c r="BG759" s="3248">
        <f t="shared" si="70"/>
        <v>0</v>
      </c>
      <c r="BH759" s="3249"/>
      <c r="BI759" s="3249"/>
    </row>
    <row r="760" spans="1:61" x14ac:dyDescent="0.3">
      <c r="A760" s="4197" t="s">
        <v>3384</v>
      </c>
      <c r="B760" s="3261"/>
      <c r="C760" s="3243">
        <v>0</v>
      </c>
      <c r="D760" s="3242">
        <v>0</v>
      </c>
      <c r="E760" s="3244"/>
      <c r="F760" s="3244"/>
      <c r="G760" s="3242">
        <v>0</v>
      </c>
      <c r="H760" s="3244"/>
      <c r="I760" s="3244"/>
      <c r="J760" s="3244"/>
      <c r="K760" s="3242">
        <v>0</v>
      </c>
      <c r="L760" s="3244"/>
      <c r="M760" s="3244"/>
      <c r="N760" s="3242" t="s">
        <v>3384</v>
      </c>
      <c r="O760" s="3239">
        <v>0</v>
      </c>
      <c r="P760" s="3242">
        <v>0</v>
      </c>
      <c r="Q760" s="3244"/>
      <c r="R760" s="3244"/>
      <c r="S760" s="3242">
        <v>0</v>
      </c>
      <c r="T760" s="3244"/>
      <c r="U760" s="3244"/>
      <c r="V760" s="3244"/>
      <c r="W760" s="3240">
        <v>0</v>
      </c>
      <c r="X760" s="3244"/>
      <c r="Y760" s="3244"/>
      <c r="Z760" s="3242" t="s">
        <v>3384</v>
      </c>
      <c r="AA760" s="3243">
        <v>0</v>
      </c>
      <c r="AB760" s="3242">
        <v>0</v>
      </c>
      <c r="AC760" s="3244"/>
      <c r="AD760" s="3244"/>
      <c r="AE760" s="3242">
        <v>0</v>
      </c>
      <c r="AF760" s="3259"/>
      <c r="AG760" s="3260"/>
      <c r="AH760" s="3260"/>
      <c r="AI760" s="3260"/>
      <c r="AJ760" s="3260"/>
      <c r="AK760" s="3260"/>
      <c r="AL760" s="3259"/>
      <c r="AM760" s="3260"/>
      <c r="AN760" s="3259"/>
      <c r="AO760" s="3260"/>
      <c r="AP760" s="3242">
        <v>0</v>
      </c>
      <c r="AQ760" s="3244"/>
      <c r="AR760" s="3244"/>
      <c r="AS760" s="3242" t="s">
        <v>3384</v>
      </c>
      <c r="AT760" s="3247">
        <f t="shared" si="67"/>
        <v>0</v>
      </c>
      <c r="AU760" s="3248">
        <f t="shared" si="68"/>
        <v>0</v>
      </c>
      <c r="AV760" s="3248">
        <v>0</v>
      </c>
      <c r="AW760" s="3247">
        <v>0</v>
      </c>
      <c r="AX760" s="3248">
        <v>0</v>
      </c>
      <c r="AY760" s="3248">
        <v>0</v>
      </c>
      <c r="AZ760" s="3247">
        <v>0</v>
      </c>
      <c r="BA760" s="3248">
        <v>0</v>
      </c>
      <c r="BB760" s="3248">
        <v>0</v>
      </c>
      <c r="BC760" s="3247">
        <v>0</v>
      </c>
      <c r="BD760" s="3248">
        <v>0</v>
      </c>
      <c r="BE760" s="3248">
        <v>0</v>
      </c>
      <c r="BF760" s="3248">
        <f t="shared" si="69"/>
        <v>0</v>
      </c>
      <c r="BG760" s="3248">
        <f t="shared" si="70"/>
        <v>0</v>
      </c>
      <c r="BH760" s="3249"/>
      <c r="BI760" s="3249"/>
    </row>
    <row r="761" spans="1:61" x14ac:dyDescent="0.3">
      <c r="A761" s="4197" t="s">
        <v>3384</v>
      </c>
      <c r="B761" s="3261"/>
      <c r="C761" s="3243">
        <v>0</v>
      </c>
      <c r="D761" s="3242">
        <v>0</v>
      </c>
      <c r="E761" s="3244"/>
      <c r="F761" s="3244"/>
      <c r="G761" s="3242">
        <v>0</v>
      </c>
      <c r="H761" s="3244"/>
      <c r="I761" s="3244"/>
      <c r="J761" s="3244"/>
      <c r="K761" s="3242">
        <v>0</v>
      </c>
      <c r="L761" s="3244"/>
      <c r="M761" s="3244"/>
      <c r="N761" s="3242" t="s">
        <v>3384</v>
      </c>
      <c r="O761" s="3239">
        <v>0</v>
      </c>
      <c r="P761" s="3242">
        <v>0</v>
      </c>
      <c r="Q761" s="3244"/>
      <c r="R761" s="3244"/>
      <c r="S761" s="3242">
        <v>0</v>
      </c>
      <c r="T761" s="3244"/>
      <c r="U761" s="3244"/>
      <c r="V761" s="3244"/>
      <c r="W761" s="3240">
        <v>0</v>
      </c>
      <c r="X761" s="3244"/>
      <c r="Y761" s="3244"/>
      <c r="Z761" s="3242" t="s">
        <v>3384</v>
      </c>
      <c r="AA761" s="3243">
        <v>0</v>
      </c>
      <c r="AB761" s="3242">
        <v>0</v>
      </c>
      <c r="AC761" s="3244"/>
      <c r="AD761" s="3244"/>
      <c r="AE761" s="3242">
        <v>0</v>
      </c>
      <c r="AF761" s="3259"/>
      <c r="AG761" s="3260"/>
      <c r="AH761" s="3260"/>
      <c r="AI761" s="3260"/>
      <c r="AJ761" s="3260"/>
      <c r="AK761" s="3260"/>
      <c r="AL761" s="3259"/>
      <c r="AM761" s="3260"/>
      <c r="AN761" s="3259"/>
      <c r="AO761" s="3260"/>
      <c r="AP761" s="3242">
        <v>0</v>
      </c>
      <c r="AQ761" s="3244"/>
      <c r="AR761" s="3244"/>
      <c r="AS761" s="3242" t="s">
        <v>3384</v>
      </c>
      <c r="AT761" s="3247">
        <f t="shared" si="67"/>
        <v>0</v>
      </c>
      <c r="AU761" s="3248">
        <f t="shared" si="68"/>
        <v>0</v>
      </c>
      <c r="AV761" s="3248">
        <v>0</v>
      </c>
      <c r="AW761" s="3247">
        <v>0</v>
      </c>
      <c r="AX761" s="3248">
        <v>0</v>
      </c>
      <c r="AY761" s="3248">
        <v>0</v>
      </c>
      <c r="AZ761" s="3247">
        <v>0</v>
      </c>
      <c r="BA761" s="3248">
        <v>0</v>
      </c>
      <c r="BB761" s="3248">
        <v>0</v>
      </c>
      <c r="BC761" s="3247">
        <v>0</v>
      </c>
      <c r="BD761" s="3248">
        <v>0</v>
      </c>
      <c r="BE761" s="3248">
        <v>0</v>
      </c>
      <c r="BF761" s="3248">
        <f t="shared" si="69"/>
        <v>0</v>
      </c>
      <c r="BG761" s="3248">
        <f t="shared" si="70"/>
        <v>0</v>
      </c>
      <c r="BH761" s="3249"/>
      <c r="BI761" s="3249"/>
    </row>
    <row r="762" spans="1:61" x14ac:dyDescent="0.3">
      <c r="A762" s="4197" t="s">
        <v>3384</v>
      </c>
      <c r="B762" s="3261"/>
      <c r="C762" s="3243">
        <v>0</v>
      </c>
      <c r="D762" s="3242">
        <v>0</v>
      </c>
      <c r="E762" s="3244"/>
      <c r="F762" s="3244"/>
      <c r="G762" s="3242">
        <v>0</v>
      </c>
      <c r="H762" s="3244"/>
      <c r="I762" s="3244"/>
      <c r="J762" s="3244"/>
      <c r="K762" s="3242">
        <v>0</v>
      </c>
      <c r="L762" s="3244"/>
      <c r="M762" s="3244"/>
      <c r="N762" s="3242" t="s">
        <v>3384</v>
      </c>
      <c r="O762" s="3239">
        <v>0</v>
      </c>
      <c r="P762" s="3242">
        <v>0</v>
      </c>
      <c r="Q762" s="3244"/>
      <c r="R762" s="3244"/>
      <c r="S762" s="3242">
        <v>0</v>
      </c>
      <c r="T762" s="3244"/>
      <c r="U762" s="3244"/>
      <c r="V762" s="3244"/>
      <c r="W762" s="3240">
        <v>0</v>
      </c>
      <c r="X762" s="3244"/>
      <c r="Y762" s="3244"/>
      <c r="Z762" s="3242" t="s">
        <v>3384</v>
      </c>
      <c r="AA762" s="3243">
        <v>0</v>
      </c>
      <c r="AB762" s="3242">
        <v>0</v>
      </c>
      <c r="AC762" s="3244"/>
      <c r="AD762" s="3244"/>
      <c r="AE762" s="3242">
        <v>0</v>
      </c>
      <c r="AF762" s="3259"/>
      <c r="AG762" s="3260"/>
      <c r="AH762" s="3260"/>
      <c r="AI762" s="3260"/>
      <c r="AJ762" s="3260"/>
      <c r="AK762" s="3260"/>
      <c r="AL762" s="3259"/>
      <c r="AM762" s="3260"/>
      <c r="AN762" s="3259"/>
      <c r="AO762" s="3260"/>
      <c r="AP762" s="3242">
        <v>0</v>
      </c>
      <c r="AQ762" s="3244"/>
      <c r="AR762" s="3244"/>
      <c r="AS762" s="3242" t="s">
        <v>3384</v>
      </c>
      <c r="AT762" s="3247">
        <f t="shared" si="67"/>
        <v>0</v>
      </c>
      <c r="AU762" s="3248">
        <f t="shared" si="68"/>
        <v>0</v>
      </c>
      <c r="AV762" s="3248">
        <v>0</v>
      </c>
      <c r="AW762" s="3247">
        <v>0</v>
      </c>
      <c r="AX762" s="3248">
        <v>0</v>
      </c>
      <c r="AY762" s="3248">
        <v>0</v>
      </c>
      <c r="AZ762" s="3247">
        <v>0</v>
      </c>
      <c r="BA762" s="3248">
        <v>0</v>
      </c>
      <c r="BB762" s="3248">
        <v>0</v>
      </c>
      <c r="BC762" s="3247">
        <v>0</v>
      </c>
      <c r="BD762" s="3248">
        <v>0</v>
      </c>
      <c r="BE762" s="3248">
        <v>0</v>
      </c>
      <c r="BF762" s="3248">
        <f t="shared" si="69"/>
        <v>0</v>
      </c>
      <c r="BG762" s="3248">
        <f t="shared" si="70"/>
        <v>0</v>
      </c>
      <c r="BH762" s="3249"/>
      <c r="BI762" s="3249"/>
    </row>
    <row r="763" spans="1:61" x14ac:dyDescent="0.3">
      <c r="A763" s="4197" t="s">
        <v>3384</v>
      </c>
      <c r="B763" s="3261"/>
      <c r="C763" s="3243">
        <v>0</v>
      </c>
      <c r="D763" s="3242">
        <v>0</v>
      </c>
      <c r="E763" s="3244"/>
      <c r="F763" s="3244"/>
      <c r="G763" s="3242">
        <v>0</v>
      </c>
      <c r="H763" s="3244"/>
      <c r="I763" s="3244"/>
      <c r="J763" s="3244"/>
      <c r="K763" s="3242">
        <v>0</v>
      </c>
      <c r="L763" s="3244"/>
      <c r="M763" s="3244"/>
      <c r="N763" s="3242" t="s">
        <v>3384</v>
      </c>
      <c r="O763" s="3239">
        <v>0</v>
      </c>
      <c r="P763" s="3242">
        <v>0</v>
      </c>
      <c r="Q763" s="3244"/>
      <c r="R763" s="3244"/>
      <c r="S763" s="3242">
        <v>0</v>
      </c>
      <c r="T763" s="3244"/>
      <c r="U763" s="3244"/>
      <c r="V763" s="3244"/>
      <c r="W763" s="3240">
        <v>0</v>
      </c>
      <c r="X763" s="3244"/>
      <c r="Y763" s="3244"/>
      <c r="Z763" s="3242" t="s">
        <v>3384</v>
      </c>
      <c r="AA763" s="3243">
        <v>0</v>
      </c>
      <c r="AB763" s="3242">
        <v>0</v>
      </c>
      <c r="AC763" s="3244"/>
      <c r="AD763" s="3244"/>
      <c r="AE763" s="3242">
        <v>0</v>
      </c>
      <c r="AF763" s="3259"/>
      <c r="AG763" s="3260"/>
      <c r="AH763" s="3260"/>
      <c r="AI763" s="3260"/>
      <c r="AJ763" s="3260"/>
      <c r="AK763" s="3260"/>
      <c r="AL763" s="3259"/>
      <c r="AM763" s="3260"/>
      <c r="AN763" s="3259"/>
      <c r="AO763" s="3260"/>
      <c r="AP763" s="3242">
        <v>0</v>
      </c>
      <c r="AQ763" s="3244"/>
      <c r="AR763" s="3244"/>
      <c r="AS763" s="3242" t="s">
        <v>3384</v>
      </c>
      <c r="AT763" s="3247">
        <f t="shared" si="67"/>
        <v>0</v>
      </c>
      <c r="AU763" s="3248">
        <f t="shared" si="68"/>
        <v>0</v>
      </c>
      <c r="AV763" s="3248">
        <v>0</v>
      </c>
      <c r="AW763" s="3247">
        <v>0</v>
      </c>
      <c r="AX763" s="3248">
        <v>0</v>
      </c>
      <c r="AY763" s="3248">
        <v>0</v>
      </c>
      <c r="AZ763" s="3247">
        <v>0</v>
      </c>
      <c r="BA763" s="3248">
        <v>0</v>
      </c>
      <c r="BB763" s="3248">
        <v>0</v>
      </c>
      <c r="BC763" s="3247">
        <v>0</v>
      </c>
      <c r="BD763" s="3248">
        <v>0</v>
      </c>
      <c r="BE763" s="3248">
        <v>0</v>
      </c>
      <c r="BF763" s="3248">
        <f t="shared" si="69"/>
        <v>0</v>
      </c>
      <c r="BG763" s="3248">
        <f t="shared" si="70"/>
        <v>0</v>
      </c>
      <c r="BH763" s="3249"/>
      <c r="BI763" s="3249"/>
    </row>
    <row r="764" spans="1:61" x14ac:dyDescent="0.3">
      <c r="A764" s="4197" t="s">
        <v>3384</v>
      </c>
      <c r="B764" s="3261"/>
      <c r="C764" s="3243">
        <v>0</v>
      </c>
      <c r="D764" s="3242">
        <v>0</v>
      </c>
      <c r="E764" s="3244"/>
      <c r="F764" s="3244"/>
      <c r="G764" s="3242">
        <v>0</v>
      </c>
      <c r="H764" s="3244"/>
      <c r="I764" s="3244"/>
      <c r="J764" s="3244"/>
      <c r="K764" s="3242">
        <v>0</v>
      </c>
      <c r="L764" s="3244"/>
      <c r="M764" s="3244"/>
      <c r="N764" s="3242" t="s">
        <v>3384</v>
      </c>
      <c r="O764" s="3239">
        <v>0</v>
      </c>
      <c r="P764" s="3242">
        <v>0</v>
      </c>
      <c r="Q764" s="3244"/>
      <c r="R764" s="3244"/>
      <c r="S764" s="3242">
        <v>0</v>
      </c>
      <c r="T764" s="3244"/>
      <c r="U764" s="3244"/>
      <c r="V764" s="3244"/>
      <c r="W764" s="3240">
        <v>0</v>
      </c>
      <c r="X764" s="3244"/>
      <c r="Y764" s="3244"/>
      <c r="Z764" s="3242" t="s">
        <v>3384</v>
      </c>
      <c r="AA764" s="3243">
        <v>0</v>
      </c>
      <c r="AB764" s="3242">
        <v>0</v>
      </c>
      <c r="AC764" s="3244"/>
      <c r="AD764" s="3244"/>
      <c r="AE764" s="3242">
        <v>0</v>
      </c>
      <c r="AF764" s="3259"/>
      <c r="AG764" s="3260"/>
      <c r="AH764" s="3260"/>
      <c r="AI764" s="3260"/>
      <c r="AJ764" s="3260"/>
      <c r="AK764" s="3260"/>
      <c r="AL764" s="3259"/>
      <c r="AM764" s="3260"/>
      <c r="AN764" s="3259"/>
      <c r="AO764" s="3260"/>
      <c r="AP764" s="3242">
        <v>0</v>
      </c>
      <c r="AQ764" s="3244"/>
      <c r="AR764" s="3244"/>
      <c r="AS764" s="3242" t="s">
        <v>3384</v>
      </c>
      <c r="AT764" s="3247">
        <f t="shared" si="67"/>
        <v>0</v>
      </c>
      <c r="AU764" s="3248">
        <f t="shared" si="68"/>
        <v>0</v>
      </c>
      <c r="AV764" s="3248">
        <v>0</v>
      </c>
      <c r="AW764" s="3247">
        <v>0</v>
      </c>
      <c r="AX764" s="3248">
        <v>0</v>
      </c>
      <c r="AY764" s="3248">
        <v>0</v>
      </c>
      <c r="AZ764" s="3247">
        <v>0</v>
      </c>
      <c r="BA764" s="3248">
        <v>0</v>
      </c>
      <c r="BB764" s="3248">
        <v>0</v>
      </c>
      <c r="BC764" s="3247">
        <v>0</v>
      </c>
      <c r="BD764" s="3248">
        <v>0</v>
      </c>
      <c r="BE764" s="3248">
        <v>0</v>
      </c>
      <c r="BF764" s="3248">
        <f t="shared" si="69"/>
        <v>0</v>
      </c>
      <c r="BG764" s="3248">
        <f t="shared" si="70"/>
        <v>0</v>
      </c>
      <c r="BH764" s="3249"/>
      <c r="BI764" s="3249"/>
    </row>
    <row r="765" spans="1:61" x14ac:dyDescent="0.3">
      <c r="A765" s="4197" t="s">
        <v>3384</v>
      </c>
      <c r="B765" s="3261"/>
      <c r="C765" s="3243">
        <v>0</v>
      </c>
      <c r="D765" s="3242">
        <v>0</v>
      </c>
      <c r="E765" s="3244"/>
      <c r="F765" s="3244"/>
      <c r="G765" s="3242">
        <v>0</v>
      </c>
      <c r="H765" s="3244"/>
      <c r="I765" s="3244"/>
      <c r="J765" s="3244"/>
      <c r="K765" s="3242">
        <v>0</v>
      </c>
      <c r="L765" s="3244"/>
      <c r="M765" s="3244"/>
      <c r="N765" s="3242" t="s">
        <v>3384</v>
      </c>
      <c r="O765" s="3239">
        <v>0</v>
      </c>
      <c r="P765" s="3242">
        <v>0</v>
      </c>
      <c r="Q765" s="3244"/>
      <c r="R765" s="3244"/>
      <c r="S765" s="3242">
        <v>0</v>
      </c>
      <c r="T765" s="3244"/>
      <c r="U765" s="3244"/>
      <c r="V765" s="3244"/>
      <c r="W765" s="3240">
        <v>0</v>
      </c>
      <c r="X765" s="3244"/>
      <c r="Y765" s="3244"/>
      <c r="Z765" s="3242" t="s">
        <v>3384</v>
      </c>
      <c r="AA765" s="3243">
        <v>0</v>
      </c>
      <c r="AB765" s="3242">
        <v>0</v>
      </c>
      <c r="AC765" s="3244"/>
      <c r="AD765" s="3244"/>
      <c r="AE765" s="3242">
        <v>0</v>
      </c>
      <c r="AF765" s="3259"/>
      <c r="AG765" s="3260"/>
      <c r="AH765" s="3260"/>
      <c r="AI765" s="3260"/>
      <c r="AJ765" s="3260"/>
      <c r="AK765" s="3260"/>
      <c r="AL765" s="3259"/>
      <c r="AM765" s="3260"/>
      <c r="AN765" s="3259"/>
      <c r="AO765" s="3260"/>
      <c r="AP765" s="3242">
        <v>0</v>
      </c>
      <c r="AQ765" s="3244"/>
      <c r="AR765" s="3244"/>
      <c r="AS765" s="3242" t="s">
        <v>3384</v>
      </c>
      <c r="AT765" s="3247">
        <f t="shared" si="67"/>
        <v>0</v>
      </c>
      <c r="AU765" s="3248">
        <f t="shared" si="68"/>
        <v>0</v>
      </c>
      <c r="AV765" s="3248">
        <v>0</v>
      </c>
      <c r="AW765" s="3247">
        <v>0</v>
      </c>
      <c r="AX765" s="3248">
        <v>0</v>
      </c>
      <c r="AY765" s="3248">
        <v>0</v>
      </c>
      <c r="AZ765" s="3247">
        <v>0</v>
      </c>
      <c r="BA765" s="3248">
        <v>0</v>
      </c>
      <c r="BB765" s="3248">
        <v>0</v>
      </c>
      <c r="BC765" s="3247">
        <v>0</v>
      </c>
      <c r="BD765" s="3248">
        <v>0</v>
      </c>
      <c r="BE765" s="3248">
        <v>0</v>
      </c>
      <c r="BF765" s="3248">
        <f t="shared" si="69"/>
        <v>0</v>
      </c>
      <c r="BG765" s="3248">
        <f t="shared" si="70"/>
        <v>0</v>
      </c>
      <c r="BH765" s="3249"/>
      <c r="BI765" s="3249"/>
    </row>
    <row r="766" spans="1:61" x14ac:dyDescent="0.3">
      <c r="A766" s="4197" t="s">
        <v>3384</v>
      </c>
      <c r="B766" s="3261"/>
      <c r="C766" s="3243">
        <v>0</v>
      </c>
      <c r="D766" s="3242">
        <v>0</v>
      </c>
      <c r="E766" s="3244"/>
      <c r="F766" s="3244"/>
      <c r="G766" s="3242">
        <v>0</v>
      </c>
      <c r="H766" s="3244"/>
      <c r="I766" s="3244"/>
      <c r="J766" s="3244"/>
      <c r="K766" s="3242">
        <v>0</v>
      </c>
      <c r="L766" s="3244"/>
      <c r="M766" s="3244"/>
      <c r="N766" s="3242" t="s">
        <v>3384</v>
      </c>
      <c r="O766" s="3239">
        <v>0</v>
      </c>
      <c r="P766" s="3242">
        <v>0</v>
      </c>
      <c r="Q766" s="3244"/>
      <c r="R766" s="3244"/>
      <c r="S766" s="3242">
        <v>0</v>
      </c>
      <c r="T766" s="3244"/>
      <c r="U766" s="3244"/>
      <c r="V766" s="3244"/>
      <c r="W766" s="3240">
        <v>0</v>
      </c>
      <c r="X766" s="3244"/>
      <c r="Y766" s="3244"/>
      <c r="Z766" s="3242" t="s">
        <v>3384</v>
      </c>
      <c r="AA766" s="3243">
        <v>0</v>
      </c>
      <c r="AB766" s="3242">
        <v>0</v>
      </c>
      <c r="AC766" s="3244"/>
      <c r="AD766" s="3244"/>
      <c r="AE766" s="3242">
        <v>0</v>
      </c>
      <c r="AF766" s="3259"/>
      <c r="AG766" s="3260"/>
      <c r="AH766" s="3260"/>
      <c r="AI766" s="3260"/>
      <c r="AJ766" s="3260"/>
      <c r="AK766" s="3260"/>
      <c r="AL766" s="3259"/>
      <c r="AM766" s="3260"/>
      <c r="AN766" s="3259"/>
      <c r="AO766" s="3260"/>
      <c r="AP766" s="3242">
        <v>0</v>
      </c>
      <c r="AQ766" s="3244"/>
      <c r="AR766" s="3244"/>
      <c r="AS766" s="3242" t="s">
        <v>3384</v>
      </c>
      <c r="AT766" s="3247">
        <f t="shared" si="67"/>
        <v>0</v>
      </c>
      <c r="AU766" s="3248">
        <f t="shared" si="68"/>
        <v>0</v>
      </c>
      <c r="AV766" s="3248">
        <v>0</v>
      </c>
      <c r="AW766" s="3247">
        <v>0</v>
      </c>
      <c r="AX766" s="3248">
        <v>0</v>
      </c>
      <c r="AY766" s="3248">
        <v>0</v>
      </c>
      <c r="AZ766" s="3247">
        <v>0</v>
      </c>
      <c r="BA766" s="3248">
        <v>0</v>
      </c>
      <c r="BB766" s="3248">
        <v>0</v>
      </c>
      <c r="BC766" s="3247">
        <v>0</v>
      </c>
      <c r="BD766" s="3248">
        <v>0</v>
      </c>
      <c r="BE766" s="3248">
        <v>0</v>
      </c>
      <c r="BF766" s="3248">
        <f t="shared" si="69"/>
        <v>0</v>
      </c>
      <c r="BG766" s="3248">
        <f t="shared" si="70"/>
        <v>0</v>
      </c>
      <c r="BH766" s="3249"/>
      <c r="BI766" s="3249"/>
    </row>
    <row r="767" spans="1:61" x14ac:dyDescent="0.3">
      <c r="A767" s="4197" t="s">
        <v>3384</v>
      </c>
      <c r="B767" s="3261"/>
      <c r="C767" s="3243">
        <v>0</v>
      </c>
      <c r="D767" s="3242">
        <v>0</v>
      </c>
      <c r="E767" s="3244"/>
      <c r="F767" s="3244"/>
      <c r="G767" s="3242">
        <v>0</v>
      </c>
      <c r="H767" s="3244"/>
      <c r="I767" s="3244"/>
      <c r="J767" s="3244"/>
      <c r="K767" s="3242">
        <v>0</v>
      </c>
      <c r="L767" s="3244"/>
      <c r="M767" s="3244"/>
      <c r="N767" s="3242" t="s">
        <v>3384</v>
      </c>
      <c r="O767" s="3239">
        <v>0</v>
      </c>
      <c r="P767" s="3242">
        <v>0</v>
      </c>
      <c r="Q767" s="3244"/>
      <c r="R767" s="3244"/>
      <c r="S767" s="3242">
        <v>0</v>
      </c>
      <c r="T767" s="3244"/>
      <c r="U767" s="3244"/>
      <c r="V767" s="3244"/>
      <c r="W767" s="3240">
        <v>0</v>
      </c>
      <c r="X767" s="3244"/>
      <c r="Y767" s="3244"/>
      <c r="Z767" s="3242" t="s">
        <v>3384</v>
      </c>
      <c r="AA767" s="3243">
        <v>0</v>
      </c>
      <c r="AB767" s="3242">
        <v>0</v>
      </c>
      <c r="AC767" s="3244"/>
      <c r="AD767" s="3244"/>
      <c r="AE767" s="3242">
        <v>0</v>
      </c>
      <c r="AF767" s="3259"/>
      <c r="AG767" s="3260"/>
      <c r="AH767" s="3260"/>
      <c r="AI767" s="3260"/>
      <c r="AJ767" s="3260"/>
      <c r="AK767" s="3260"/>
      <c r="AL767" s="3259"/>
      <c r="AM767" s="3260"/>
      <c r="AN767" s="3259"/>
      <c r="AO767" s="3260"/>
      <c r="AP767" s="3242">
        <v>0</v>
      </c>
      <c r="AQ767" s="3244"/>
      <c r="AR767" s="3244"/>
      <c r="AS767" s="3242" t="s">
        <v>3384</v>
      </c>
      <c r="AT767" s="3247">
        <f t="shared" si="67"/>
        <v>0</v>
      </c>
      <c r="AU767" s="3248">
        <f t="shared" si="68"/>
        <v>0</v>
      </c>
      <c r="AV767" s="3248">
        <v>0</v>
      </c>
      <c r="AW767" s="3247">
        <v>0</v>
      </c>
      <c r="AX767" s="3248">
        <v>0</v>
      </c>
      <c r="AY767" s="3248">
        <v>0</v>
      </c>
      <c r="AZ767" s="3247">
        <v>0</v>
      </c>
      <c r="BA767" s="3248">
        <v>0</v>
      </c>
      <c r="BB767" s="3248">
        <v>0</v>
      </c>
      <c r="BC767" s="3247">
        <v>0</v>
      </c>
      <c r="BD767" s="3248">
        <v>0</v>
      </c>
      <c r="BE767" s="3248">
        <v>0</v>
      </c>
      <c r="BF767" s="3248">
        <f t="shared" si="69"/>
        <v>0</v>
      </c>
      <c r="BG767" s="3248">
        <f t="shared" si="70"/>
        <v>0</v>
      </c>
      <c r="BH767" s="3249"/>
      <c r="BI767" s="3249"/>
    </row>
    <row r="768" spans="1:61" x14ac:dyDescent="0.3">
      <c r="A768" s="4197" t="s">
        <v>3384</v>
      </c>
      <c r="B768" s="3261"/>
      <c r="C768" s="3243">
        <v>0</v>
      </c>
      <c r="D768" s="3242">
        <v>0</v>
      </c>
      <c r="E768" s="3244"/>
      <c r="F768" s="3244"/>
      <c r="G768" s="3242">
        <v>0</v>
      </c>
      <c r="H768" s="3244"/>
      <c r="I768" s="3244"/>
      <c r="J768" s="3244"/>
      <c r="K768" s="3242">
        <v>0</v>
      </c>
      <c r="L768" s="3244"/>
      <c r="M768" s="3244"/>
      <c r="N768" s="3242" t="s">
        <v>3384</v>
      </c>
      <c r="O768" s="3239">
        <v>0</v>
      </c>
      <c r="P768" s="3242">
        <v>0</v>
      </c>
      <c r="Q768" s="3244"/>
      <c r="R768" s="3244"/>
      <c r="S768" s="3242">
        <v>0</v>
      </c>
      <c r="T768" s="3244"/>
      <c r="U768" s="3244"/>
      <c r="V768" s="3244"/>
      <c r="W768" s="3240">
        <v>0</v>
      </c>
      <c r="X768" s="3244"/>
      <c r="Y768" s="3244"/>
      <c r="Z768" s="3242" t="s">
        <v>3384</v>
      </c>
      <c r="AA768" s="3243">
        <v>0</v>
      </c>
      <c r="AB768" s="3242">
        <v>0</v>
      </c>
      <c r="AC768" s="3244"/>
      <c r="AD768" s="3244"/>
      <c r="AE768" s="3242">
        <v>0</v>
      </c>
      <c r="AF768" s="3259"/>
      <c r="AG768" s="3260"/>
      <c r="AH768" s="3260"/>
      <c r="AI768" s="3260"/>
      <c r="AJ768" s="3260"/>
      <c r="AK768" s="3260"/>
      <c r="AL768" s="3259"/>
      <c r="AM768" s="3260"/>
      <c r="AN768" s="3259"/>
      <c r="AO768" s="3260"/>
      <c r="AP768" s="3242">
        <v>0</v>
      </c>
      <c r="AQ768" s="3244"/>
      <c r="AR768" s="3244"/>
      <c r="AS768" s="3242" t="s">
        <v>3384</v>
      </c>
      <c r="AT768" s="3247">
        <f t="shared" si="67"/>
        <v>0</v>
      </c>
      <c r="AU768" s="3248">
        <f t="shared" si="68"/>
        <v>0</v>
      </c>
      <c r="AV768" s="3248">
        <v>0</v>
      </c>
      <c r="AW768" s="3247">
        <v>0</v>
      </c>
      <c r="AX768" s="3248">
        <v>0</v>
      </c>
      <c r="AY768" s="3248">
        <v>0</v>
      </c>
      <c r="AZ768" s="3247">
        <v>0</v>
      </c>
      <c r="BA768" s="3248">
        <v>0</v>
      </c>
      <c r="BB768" s="3248">
        <v>0</v>
      </c>
      <c r="BC768" s="3247">
        <v>0</v>
      </c>
      <c r="BD768" s="3248">
        <v>0</v>
      </c>
      <c r="BE768" s="3248">
        <v>0</v>
      </c>
      <c r="BF768" s="3248">
        <f t="shared" si="69"/>
        <v>0</v>
      </c>
      <c r="BG768" s="3248">
        <f t="shared" si="70"/>
        <v>0</v>
      </c>
      <c r="BH768" s="3249"/>
      <c r="BI768" s="3249"/>
    </row>
    <row r="769" spans="1:61" x14ac:dyDescent="0.3">
      <c r="A769" s="4197" t="s">
        <v>3384</v>
      </c>
      <c r="B769" s="3261"/>
      <c r="C769" s="3243">
        <v>0</v>
      </c>
      <c r="D769" s="3242">
        <v>0</v>
      </c>
      <c r="E769" s="3244"/>
      <c r="F769" s="3244"/>
      <c r="G769" s="3242">
        <v>0</v>
      </c>
      <c r="H769" s="3244"/>
      <c r="I769" s="3244"/>
      <c r="J769" s="3244"/>
      <c r="K769" s="3242">
        <v>0</v>
      </c>
      <c r="L769" s="3244"/>
      <c r="M769" s="3244"/>
      <c r="N769" s="3242" t="s">
        <v>3384</v>
      </c>
      <c r="O769" s="3239">
        <v>0</v>
      </c>
      <c r="P769" s="3242">
        <v>0</v>
      </c>
      <c r="Q769" s="3244"/>
      <c r="R769" s="3244"/>
      <c r="S769" s="3242">
        <v>0</v>
      </c>
      <c r="T769" s="3244"/>
      <c r="U769" s="3244"/>
      <c r="V769" s="3244"/>
      <c r="W769" s="3240">
        <v>0</v>
      </c>
      <c r="X769" s="3244"/>
      <c r="Y769" s="3244"/>
      <c r="Z769" s="3242" t="s">
        <v>3384</v>
      </c>
      <c r="AA769" s="3243">
        <v>0</v>
      </c>
      <c r="AB769" s="3242">
        <v>0</v>
      </c>
      <c r="AC769" s="3244"/>
      <c r="AD769" s="3244"/>
      <c r="AE769" s="3242">
        <v>0</v>
      </c>
      <c r="AF769" s="3259"/>
      <c r="AG769" s="3260"/>
      <c r="AH769" s="3260"/>
      <c r="AI769" s="3260"/>
      <c r="AJ769" s="3260"/>
      <c r="AK769" s="3260"/>
      <c r="AL769" s="3259"/>
      <c r="AM769" s="3260"/>
      <c r="AN769" s="3259"/>
      <c r="AO769" s="3260"/>
      <c r="AP769" s="3242">
        <v>0</v>
      </c>
      <c r="AQ769" s="3244"/>
      <c r="AR769" s="3244"/>
      <c r="AS769" s="3242" t="s">
        <v>3384</v>
      </c>
      <c r="AT769" s="3247">
        <f t="shared" si="67"/>
        <v>0</v>
      </c>
      <c r="AU769" s="3248">
        <f t="shared" si="68"/>
        <v>0</v>
      </c>
      <c r="AV769" s="3248">
        <v>0</v>
      </c>
      <c r="AW769" s="3247">
        <v>0</v>
      </c>
      <c r="AX769" s="3248">
        <v>0</v>
      </c>
      <c r="AY769" s="3248">
        <v>0</v>
      </c>
      <c r="AZ769" s="3247">
        <v>0</v>
      </c>
      <c r="BA769" s="3248">
        <v>0</v>
      </c>
      <c r="BB769" s="3248">
        <v>0</v>
      </c>
      <c r="BC769" s="3247">
        <v>0</v>
      </c>
      <c r="BD769" s="3248">
        <v>0</v>
      </c>
      <c r="BE769" s="3248">
        <v>0</v>
      </c>
      <c r="BF769" s="3248">
        <f t="shared" si="69"/>
        <v>0</v>
      </c>
      <c r="BG769" s="3248">
        <f t="shared" si="70"/>
        <v>0</v>
      </c>
      <c r="BH769" s="3249"/>
      <c r="BI769" s="3249"/>
    </row>
    <row r="770" spans="1:61" x14ac:dyDescent="0.3">
      <c r="A770" s="4197" t="s">
        <v>3384</v>
      </c>
      <c r="B770" s="3261"/>
      <c r="C770" s="3243">
        <v>0</v>
      </c>
      <c r="D770" s="3242">
        <v>0</v>
      </c>
      <c r="E770" s="3244"/>
      <c r="F770" s="3244"/>
      <c r="G770" s="3242">
        <v>0</v>
      </c>
      <c r="H770" s="3244"/>
      <c r="I770" s="3244"/>
      <c r="J770" s="3244"/>
      <c r="K770" s="3242">
        <v>0</v>
      </c>
      <c r="L770" s="3244"/>
      <c r="M770" s="3244"/>
      <c r="N770" s="3242" t="s">
        <v>3384</v>
      </c>
      <c r="O770" s="3239">
        <v>0</v>
      </c>
      <c r="P770" s="3242">
        <v>0</v>
      </c>
      <c r="Q770" s="3244"/>
      <c r="R770" s="3244"/>
      <c r="S770" s="3242">
        <v>0</v>
      </c>
      <c r="T770" s="3244"/>
      <c r="U770" s="3244"/>
      <c r="V770" s="3244"/>
      <c r="W770" s="3240">
        <v>0</v>
      </c>
      <c r="X770" s="3244"/>
      <c r="Y770" s="3244"/>
      <c r="Z770" s="3242" t="s">
        <v>3384</v>
      </c>
      <c r="AA770" s="3243">
        <v>0</v>
      </c>
      <c r="AB770" s="3242">
        <v>0</v>
      </c>
      <c r="AC770" s="3244"/>
      <c r="AD770" s="3244"/>
      <c r="AE770" s="3242">
        <v>0</v>
      </c>
      <c r="AF770" s="3259"/>
      <c r="AG770" s="3260"/>
      <c r="AH770" s="3260"/>
      <c r="AI770" s="3260"/>
      <c r="AJ770" s="3260"/>
      <c r="AK770" s="3260"/>
      <c r="AL770" s="3259"/>
      <c r="AM770" s="3260"/>
      <c r="AN770" s="3259"/>
      <c r="AO770" s="3260"/>
      <c r="AP770" s="3242">
        <v>0</v>
      </c>
      <c r="AQ770" s="3244"/>
      <c r="AR770" s="3244"/>
      <c r="AS770" s="3242" t="s">
        <v>3384</v>
      </c>
      <c r="AT770" s="3247">
        <f t="shared" si="67"/>
        <v>0</v>
      </c>
      <c r="AU770" s="3248">
        <f t="shared" si="68"/>
        <v>0</v>
      </c>
      <c r="AV770" s="3248">
        <v>0</v>
      </c>
      <c r="AW770" s="3247">
        <v>0</v>
      </c>
      <c r="AX770" s="3248">
        <v>0</v>
      </c>
      <c r="AY770" s="3248">
        <v>0</v>
      </c>
      <c r="AZ770" s="3247">
        <v>0</v>
      </c>
      <c r="BA770" s="3248">
        <v>0</v>
      </c>
      <c r="BB770" s="3248">
        <v>0</v>
      </c>
      <c r="BC770" s="3247">
        <v>0</v>
      </c>
      <c r="BD770" s="3248">
        <v>0</v>
      </c>
      <c r="BE770" s="3248">
        <v>0</v>
      </c>
      <c r="BF770" s="3248">
        <f t="shared" si="69"/>
        <v>0</v>
      </c>
      <c r="BG770" s="3248">
        <f t="shared" si="70"/>
        <v>0</v>
      </c>
      <c r="BH770" s="3249"/>
      <c r="BI770" s="3249"/>
    </row>
    <row r="771" spans="1:61" x14ac:dyDescent="0.3">
      <c r="A771" s="4197" t="s">
        <v>3384</v>
      </c>
      <c r="B771" s="3261"/>
      <c r="C771" s="3243">
        <v>0</v>
      </c>
      <c r="D771" s="3242">
        <v>0</v>
      </c>
      <c r="E771" s="3244"/>
      <c r="F771" s="3244"/>
      <c r="G771" s="3242">
        <v>0</v>
      </c>
      <c r="H771" s="3244"/>
      <c r="I771" s="3244"/>
      <c r="J771" s="3244"/>
      <c r="K771" s="3242">
        <v>0</v>
      </c>
      <c r="L771" s="3244"/>
      <c r="M771" s="3244"/>
      <c r="N771" s="3242" t="s">
        <v>3384</v>
      </c>
      <c r="O771" s="3239">
        <v>0</v>
      </c>
      <c r="P771" s="3242">
        <v>0</v>
      </c>
      <c r="Q771" s="3244"/>
      <c r="R771" s="3244"/>
      <c r="S771" s="3242">
        <v>0</v>
      </c>
      <c r="T771" s="3244"/>
      <c r="U771" s="3244"/>
      <c r="V771" s="3244"/>
      <c r="W771" s="3240">
        <v>0</v>
      </c>
      <c r="X771" s="3244"/>
      <c r="Y771" s="3244"/>
      <c r="Z771" s="3242" t="s">
        <v>3384</v>
      </c>
      <c r="AA771" s="3243">
        <v>0</v>
      </c>
      <c r="AB771" s="3242">
        <v>0</v>
      </c>
      <c r="AC771" s="3244"/>
      <c r="AD771" s="3244"/>
      <c r="AE771" s="3242">
        <v>0</v>
      </c>
      <c r="AF771" s="3259"/>
      <c r="AG771" s="3260"/>
      <c r="AH771" s="3260"/>
      <c r="AI771" s="3260"/>
      <c r="AJ771" s="3260"/>
      <c r="AK771" s="3260"/>
      <c r="AL771" s="3259"/>
      <c r="AM771" s="3260"/>
      <c r="AN771" s="3259"/>
      <c r="AO771" s="3260"/>
      <c r="AP771" s="3242">
        <v>0</v>
      </c>
      <c r="AQ771" s="3244"/>
      <c r="AR771" s="3244"/>
      <c r="AS771" s="3242" t="s">
        <v>3384</v>
      </c>
      <c r="AT771" s="3247">
        <f t="shared" si="67"/>
        <v>0</v>
      </c>
      <c r="AU771" s="3248">
        <f t="shared" si="68"/>
        <v>0</v>
      </c>
      <c r="AV771" s="3248">
        <v>0</v>
      </c>
      <c r="AW771" s="3247">
        <v>0</v>
      </c>
      <c r="AX771" s="3248">
        <v>0</v>
      </c>
      <c r="AY771" s="3248">
        <v>0</v>
      </c>
      <c r="AZ771" s="3247">
        <v>0</v>
      </c>
      <c r="BA771" s="3248">
        <v>0</v>
      </c>
      <c r="BB771" s="3248">
        <v>0</v>
      </c>
      <c r="BC771" s="3247">
        <v>0</v>
      </c>
      <c r="BD771" s="3248">
        <v>0</v>
      </c>
      <c r="BE771" s="3248">
        <v>0</v>
      </c>
      <c r="BF771" s="3248">
        <f t="shared" si="69"/>
        <v>0</v>
      </c>
      <c r="BG771" s="3248">
        <f t="shared" si="70"/>
        <v>0</v>
      </c>
      <c r="BH771" s="3249"/>
      <c r="BI771" s="3249"/>
    </row>
    <row r="772" spans="1:61" x14ac:dyDescent="0.3">
      <c r="A772" s="4197" t="s">
        <v>3384</v>
      </c>
      <c r="B772" s="3261"/>
      <c r="C772" s="3243">
        <v>0</v>
      </c>
      <c r="D772" s="3242">
        <v>0</v>
      </c>
      <c r="E772" s="3244"/>
      <c r="F772" s="3244"/>
      <c r="G772" s="3242">
        <v>0</v>
      </c>
      <c r="H772" s="3244"/>
      <c r="I772" s="3244"/>
      <c r="J772" s="3244"/>
      <c r="K772" s="3242">
        <v>0</v>
      </c>
      <c r="L772" s="3244"/>
      <c r="M772" s="3244"/>
      <c r="N772" s="3242" t="s">
        <v>3384</v>
      </c>
      <c r="O772" s="3239">
        <v>0</v>
      </c>
      <c r="P772" s="3242">
        <v>0</v>
      </c>
      <c r="Q772" s="3244"/>
      <c r="R772" s="3244"/>
      <c r="S772" s="3242">
        <v>0</v>
      </c>
      <c r="T772" s="3244"/>
      <c r="U772" s="3244"/>
      <c r="V772" s="3244"/>
      <c r="W772" s="3240">
        <v>0</v>
      </c>
      <c r="X772" s="3244"/>
      <c r="Y772" s="3244"/>
      <c r="Z772" s="3242" t="s">
        <v>3384</v>
      </c>
      <c r="AA772" s="3243">
        <v>0</v>
      </c>
      <c r="AB772" s="3242">
        <v>0</v>
      </c>
      <c r="AC772" s="3244"/>
      <c r="AD772" s="3244"/>
      <c r="AE772" s="3242">
        <v>0</v>
      </c>
      <c r="AF772" s="3259"/>
      <c r="AG772" s="3260"/>
      <c r="AH772" s="3260"/>
      <c r="AI772" s="3260"/>
      <c r="AJ772" s="3260"/>
      <c r="AK772" s="3260"/>
      <c r="AL772" s="3259"/>
      <c r="AM772" s="3260"/>
      <c r="AN772" s="3259"/>
      <c r="AO772" s="3260"/>
      <c r="AP772" s="3242">
        <v>0</v>
      </c>
      <c r="AQ772" s="3244"/>
      <c r="AR772" s="3244"/>
      <c r="AS772" s="3242" t="s">
        <v>3384</v>
      </c>
      <c r="AT772" s="3247">
        <f t="shared" si="67"/>
        <v>0</v>
      </c>
      <c r="AU772" s="3248">
        <f t="shared" si="68"/>
        <v>0</v>
      </c>
      <c r="AV772" s="3248">
        <v>0</v>
      </c>
      <c r="AW772" s="3247">
        <v>0</v>
      </c>
      <c r="AX772" s="3248">
        <v>0</v>
      </c>
      <c r="AY772" s="3248">
        <v>0</v>
      </c>
      <c r="AZ772" s="3247">
        <v>0</v>
      </c>
      <c r="BA772" s="3248">
        <v>0</v>
      </c>
      <c r="BB772" s="3248">
        <v>0</v>
      </c>
      <c r="BC772" s="3247">
        <v>0</v>
      </c>
      <c r="BD772" s="3248">
        <v>0</v>
      </c>
      <c r="BE772" s="3248">
        <v>0</v>
      </c>
      <c r="BF772" s="3248">
        <f t="shared" si="69"/>
        <v>0</v>
      </c>
      <c r="BG772" s="3248">
        <f t="shared" si="70"/>
        <v>0</v>
      </c>
      <c r="BH772" s="3249"/>
      <c r="BI772" s="3249"/>
    </row>
    <row r="773" spans="1:61" x14ac:dyDescent="0.3">
      <c r="A773" s="4197" t="s">
        <v>3384</v>
      </c>
      <c r="B773" s="3261"/>
      <c r="C773" s="3243">
        <v>0</v>
      </c>
      <c r="D773" s="3242">
        <v>0</v>
      </c>
      <c r="E773" s="3244"/>
      <c r="F773" s="3244"/>
      <c r="G773" s="3242">
        <v>0</v>
      </c>
      <c r="H773" s="3244"/>
      <c r="I773" s="3244"/>
      <c r="J773" s="3244"/>
      <c r="K773" s="3242">
        <v>0</v>
      </c>
      <c r="L773" s="3244"/>
      <c r="M773" s="3244"/>
      <c r="N773" s="3242" t="s">
        <v>3384</v>
      </c>
      <c r="O773" s="3239">
        <v>0</v>
      </c>
      <c r="P773" s="3242">
        <v>0</v>
      </c>
      <c r="Q773" s="3244"/>
      <c r="R773" s="3244"/>
      <c r="S773" s="3242">
        <v>0</v>
      </c>
      <c r="T773" s="3244"/>
      <c r="U773" s="3244"/>
      <c r="V773" s="3244"/>
      <c r="W773" s="3240">
        <v>0</v>
      </c>
      <c r="X773" s="3244"/>
      <c r="Y773" s="3244"/>
      <c r="Z773" s="3242" t="s">
        <v>3384</v>
      </c>
      <c r="AA773" s="3243">
        <v>0</v>
      </c>
      <c r="AB773" s="3242">
        <v>0</v>
      </c>
      <c r="AC773" s="3244"/>
      <c r="AD773" s="3244"/>
      <c r="AE773" s="3242">
        <v>0</v>
      </c>
      <c r="AF773" s="3259"/>
      <c r="AG773" s="3260"/>
      <c r="AH773" s="3260"/>
      <c r="AI773" s="3260"/>
      <c r="AJ773" s="3260"/>
      <c r="AK773" s="3260"/>
      <c r="AL773" s="3259"/>
      <c r="AM773" s="3260"/>
      <c r="AN773" s="3259"/>
      <c r="AO773" s="3260"/>
      <c r="AP773" s="3242">
        <v>0</v>
      </c>
      <c r="AQ773" s="3244"/>
      <c r="AR773" s="3244"/>
      <c r="AS773" s="3242" t="s">
        <v>3384</v>
      </c>
      <c r="AT773" s="3247">
        <f t="shared" si="67"/>
        <v>0</v>
      </c>
      <c r="AU773" s="3248">
        <f t="shared" si="68"/>
        <v>0</v>
      </c>
      <c r="AV773" s="3248">
        <v>0</v>
      </c>
      <c r="AW773" s="3247">
        <v>0</v>
      </c>
      <c r="AX773" s="3248">
        <v>0</v>
      </c>
      <c r="AY773" s="3248">
        <v>0</v>
      </c>
      <c r="AZ773" s="3247">
        <v>0</v>
      </c>
      <c r="BA773" s="3248">
        <v>0</v>
      </c>
      <c r="BB773" s="3248">
        <v>0</v>
      </c>
      <c r="BC773" s="3247">
        <v>0</v>
      </c>
      <c r="BD773" s="3248">
        <v>0</v>
      </c>
      <c r="BE773" s="3248">
        <v>0</v>
      </c>
      <c r="BF773" s="3248">
        <f t="shared" si="69"/>
        <v>0</v>
      </c>
      <c r="BG773" s="3248">
        <f t="shared" si="70"/>
        <v>0</v>
      </c>
      <c r="BH773" s="3249"/>
      <c r="BI773" s="3249"/>
    </row>
    <row r="774" spans="1:61" x14ac:dyDescent="0.3">
      <c r="A774" s="4197" t="s">
        <v>3384</v>
      </c>
      <c r="B774" s="3261"/>
      <c r="C774" s="3243">
        <v>0</v>
      </c>
      <c r="D774" s="3242">
        <v>0</v>
      </c>
      <c r="E774" s="3244"/>
      <c r="F774" s="3244"/>
      <c r="G774" s="3242">
        <v>0</v>
      </c>
      <c r="H774" s="3244"/>
      <c r="I774" s="3244"/>
      <c r="J774" s="3244"/>
      <c r="K774" s="3242">
        <v>0</v>
      </c>
      <c r="L774" s="3244"/>
      <c r="M774" s="3244"/>
      <c r="N774" s="3242" t="s">
        <v>3384</v>
      </c>
      <c r="O774" s="3239">
        <v>0</v>
      </c>
      <c r="P774" s="3242">
        <v>0</v>
      </c>
      <c r="Q774" s="3244"/>
      <c r="R774" s="3244"/>
      <c r="S774" s="3242">
        <v>0</v>
      </c>
      <c r="T774" s="3244"/>
      <c r="U774" s="3244"/>
      <c r="V774" s="3244"/>
      <c r="W774" s="3240">
        <v>0</v>
      </c>
      <c r="X774" s="3244"/>
      <c r="Y774" s="3244"/>
      <c r="Z774" s="3242" t="s">
        <v>3384</v>
      </c>
      <c r="AA774" s="3243">
        <v>0</v>
      </c>
      <c r="AB774" s="3242">
        <v>0</v>
      </c>
      <c r="AC774" s="3244"/>
      <c r="AD774" s="3244"/>
      <c r="AE774" s="3242">
        <v>0</v>
      </c>
      <c r="AF774" s="3259"/>
      <c r="AG774" s="3260"/>
      <c r="AH774" s="3260"/>
      <c r="AI774" s="3260"/>
      <c r="AJ774" s="3260"/>
      <c r="AK774" s="3260"/>
      <c r="AL774" s="3259"/>
      <c r="AM774" s="3260"/>
      <c r="AN774" s="3259"/>
      <c r="AO774" s="3260"/>
      <c r="AP774" s="3242">
        <v>0</v>
      </c>
      <c r="AQ774" s="3244"/>
      <c r="AR774" s="3244"/>
      <c r="AS774" s="3242" t="s">
        <v>3384</v>
      </c>
      <c r="AT774" s="3247">
        <f t="shared" si="67"/>
        <v>0</v>
      </c>
      <c r="AU774" s="3248">
        <f t="shared" si="68"/>
        <v>0</v>
      </c>
      <c r="AV774" s="3248">
        <v>0</v>
      </c>
      <c r="AW774" s="3247">
        <v>0</v>
      </c>
      <c r="AX774" s="3248">
        <v>0</v>
      </c>
      <c r="AY774" s="3248">
        <v>0</v>
      </c>
      <c r="AZ774" s="3247">
        <v>0</v>
      </c>
      <c r="BA774" s="3248">
        <v>0</v>
      </c>
      <c r="BB774" s="3248">
        <v>0</v>
      </c>
      <c r="BC774" s="3247">
        <v>0</v>
      </c>
      <c r="BD774" s="3248">
        <v>0</v>
      </c>
      <c r="BE774" s="3248">
        <v>0</v>
      </c>
      <c r="BF774" s="3248">
        <f t="shared" si="69"/>
        <v>0</v>
      </c>
      <c r="BG774" s="3248">
        <f t="shared" si="70"/>
        <v>0</v>
      </c>
      <c r="BH774" s="3249"/>
      <c r="BI774" s="3249"/>
    </row>
    <row r="775" spans="1:61" x14ac:dyDescent="0.3">
      <c r="A775" s="4197" t="s">
        <v>3384</v>
      </c>
      <c r="B775" s="3261"/>
      <c r="C775" s="3243">
        <v>0</v>
      </c>
      <c r="D775" s="3242">
        <v>0</v>
      </c>
      <c r="E775" s="3244"/>
      <c r="F775" s="3244"/>
      <c r="G775" s="3242">
        <v>0</v>
      </c>
      <c r="H775" s="3244"/>
      <c r="I775" s="3244"/>
      <c r="J775" s="3244"/>
      <c r="K775" s="3242">
        <v>0</v>
      </c>
      <c r="L775" s="3244"/>
      <c r="M775" s="3244"/>
      <c r="N775" s="3242" t="s">
        <v>3384</v>
      </c>
      <c r="O775" s="3239">
        <v>0</v>
      </c>
      <c r="P775" s="3242">
        <v>0</v>
      </c>
      <c r="Q775" s="3244"/>
      <c r="R775" s="3244"/>
      <c r="S775" s="3242">
        <v>0</v>
      </c>
      <c r="T775" s="3244"/>
      <c r="U775" s="3244"/>
      <c r="V775" s="3244"/>
      <c r="W775" s="3240">
        <v>0</v>
      </c>
      <c r="X775" s="3244"/>
      <c r="Y775" s="3244"/>
      <c r="Z775" s="3242" t="s">
        <v>3384</v>
      </c>
      <c r="AA775" s="3243">
        <v>0</v>
      </c>
      <c r="AB775" s="3242">
        <v>0</v>
      </c>
      <c r="AC775" s="3244"/>
      <c r="AD775" s="3244"/>
      <c r="AE775" s="3242">
        <v>0</v>
      </c>
      <c r="AF775" s="3259"/>
      <c r="AG775" s="3260"/>
      <c r="AH775" s="3260"/>
      <c r="AI775" s="3260"/>
      <c r="AJ775" s="3260"/>
      <c r="AK775" s="3260"/>
      <c r="AL775" s="3259"/>
      <c r="AM775" s="3260"/>
      <c r="AN775" s="3259"/>
      <c r="AO775" s="3260"/>
      <c r="AP775" s="3242">
        <v>0</v>
      </c>
      <c r="AQ775" s="3244"/>
      <c r="AR775" s="3244"/>
      <c r="AS775" s="3242" t="s">
        <v>3384</v>
      </c>
      <c r="AT775" s="3247">
        <f t="shared" si="67"/>
        <v>0</v>
      </c>
      <c r="AU775" s="3248">
        <f t="shared" si="68"/>
        <v>0</v>
      </c>
      <c r="AV775" s="3248">
        <v>0</v>
      </c>
      <c r="AW775" s="3247">
        <v>0</v>
      </c>
      <c r="AX775" s="3248">
        <v>0</v>
      </c>
      <c r="AY775" s="3248">
        <v>0</v>
      </c>
      <c r="AZ775" s="3247">
        <v>0</v>
      </c>
      <c r="BA775" s="3248">
        <v>0</v>
      </c>
      <c r="BB775" s="3248">
        <v>0</v>
      </c>
      <c r="BC775" s="3247">
        <v>0</v>
      </c>
      <c r="BD775" s="3248">
        <v>0</v>
      </c>
      <c r="BE775" s="3248">
        <v>0</v>
      </c>
      <c r="BF775" s="3248">
        <f t="shared" si="69"/>
        <v>0</v>
      </c>
      <c r="BG775" s="3248">
        <f t="shared" si="70"/>
        <v>0</v>
      </c>
      <c r="BH775" s="3249"/>
      <c r="BI775" s="3249"/>
    </row>
    <row r="776" spans="1:61" x14ac:dyDescent="0.3">
      <c r="A776" s="4197" t="s">
        <v>3384</v>
      </c>
      <c r="B776" s="3261"/>
      <c r="C776" s="3243">
        <v>0</v>
      </c>
      <c r="D776" s="3242">
        <v>0</v>
      </c>
      <c r="E776" s="3244"/>
      <c r="F776" s="3244"/>
      <c r="G776" s="3242">
        <v>0</v>
      </c>
      <c r="H776" s="3244"/>
      <c r="I776" s="3244"/>
      <c r="J776" s="3244"/>
      <c r="K776" s="3242">
        <v>0</v>
      </c>
      <c r="L776" s="3244"/>
      <c r="M776" s="3244"/>
      <c r="N776" s="3242" t="s">
        <v>3384</v>
      </c>
      <c r="O776" s="3239">
        <v>0</v>
      </c>
      <c r="P776" s="3242">
        <v>0</v>
      </c>
      <c r="Q776" s="3244"/>
      <c r="R776" s="3244"/>
      <c r="S776" s="3242">
        <v>0</v>
      </c>
      <c r="T776" s="3244"/>
      <c r="U776" s="3244"/>
      <c r="V776" s="3244"/>
      <c r="W776" s="3240">
        <v>0</v>
      </c>
      <c r="X776" s="3244"/>
      <c r="Y776" s="3244"/>
      <c r="Z776" s="3242" t="s">
        <v>3384</v>
      </c>
      <c r="AA776" s="3243">
        <v>0</v>
      </c>
      <c r="AB776" s="3242">
        <v>0</v>
      </c>
      <c r="AC776" s="3244"/>
      <c r="AD776" s="3244"/>
      <c r="AE776" s="3242">
        <v>0</v>
      </c>
      <c r="AF776" s="3259"/>
      <c r="AG776" s="3260"/>
      <c r="AH776" s="3260"/>
      <c r="AI776" s="3260"/>
      <c r="AJ776" s="3260"/>
      <c r="AK776" s="3260"/>
      <c r="AL776" s="3259"/>
      <c r="AM776" s="3260"/>
      <c r="AN776" s="3259"/>
      <c r="AO776" s="3260"/>
      <c r="AP776" s="3242">
        <v>0</v>
      </c>
      <c r="AQ776" s="3244"/>
      <c r="AR776" s="3244"/>
      <c r="AS776" s="3242" t="s">
        <v>3384</v>
      </c>
      <c r="AT776" s="3247">
        <f t="shared" si="67"/>
        <v>0</v>
      </c>
      <c r="AU776" s="3248">
        <f t="shared" si="68"/>
        <v>0</v>
      </c>
      <c r="AV776" s="3248">
        <v>0</v>
      </c>
      <c r="AW776" s="3247">
        <v>0</v>
      </c>
      <c r="AX776" s="3248">
        <v>0</v>
      </c>
      <c r="AY776" s="3248">
        <v>0</v>
      </c>
      <c r="AZ776" s="3247">
        <v>0</v>
      </c>
      <c r="BA776" s="3248">
        <v>0</v>
      </c>
      <c r="BB776" s="3248">
        <v>0</v>
      </c>
      <c r="BC776" s="3247">
        <v>0</v>
      </c>
      <c r="BD776" s="3248">
        <v>0</v>
      </c>
      <c r="BE776" s="3248">
        <v>0</v>
      </c>
      <c r="BF776" s="3248">
        <f t="shared" si="69"/>
        <v>0</v>
      </c>
      <c r="BG776" s="3248">
        <f t="shared" si="70"/>
        <v>0</v>
      </c>
      <c r="BH776" s="3249"/>
      <c r="BI776" s="3249"/>
    </row>
    <row r="777" spans="1:61" x14ac:dyDescent="0.3">
      <c r="A777" s="4197" t="s">
        <v>3384</v>
      </c>
      <c r="B777" s="3261"/>
      <c r="C777" s="3243">
        <v>0</v>
      </c>
      <c r="D777" s="3242">
        <v>0</v>
      </c>
      <c r="E777" s="3244"/>
      <c r="F777" s="3244"/>
      <c r="G777" s="3242">
        <v>0</v>
      </c>
      <c r="H777" s="3244"/>
      <c r="I777" s="3244"/>
      <c r="J777" s="3244"/>
      <c r="K777" s="3242">
        <v>0</v>
      </c>
      <c r="L777" s="3244"/>
      <c r="M777" s="3244"/>
      <c r="N777" s="3242" t="s">
        <v>3384</v>
      </c>
      <c r="O777" s="3239">
        <v>0</v>
      </c>
      <c r="P777" s="3242">
        <v>0</v>
      </c>
      <c r="Q777" s="3244"/>
      <c r="R777" s="3244"/>
      <c r="S777" s="3242">
        <v>0</v>
      </c>
      <c r="T777" s="3244"/>
      <c r="U777" s="3244"/>
      <c r="V777" s="3244"/>
      <c r="W777" s="3240">
        <v>0</v>
      </c>
      <c r="X777" s="3244"/>
      <c r="Y777" s="3244"/>
      <c r="Z777" s="3242" t="s">
        <v>3384</v>
      </c>
      <c r="AA777" s="3243">
        <v>0</v>
      </c>
      <c r="AB777" s="3242">
        <v>0</v>
      </c>
      <c r="AC777" s="3244"/>
      <c r="AD777" s="3244"/>
      <c r="AE777" s="3242">
        <v>0</v>
      </c>
      <c r="AF777" s="3259"/>
      <c r="AG777" s="3260"/>
      <c r="AH777" s="3260"/>
      <c r="AI777" s="3260"/>
      <c r="AJ777" s="3260"/>
      <c r="AK777" s="3260"/>
      <c r="AL777" s="3259"/>
      <c r="AM777" s="3260"/>
      <c r="AN777" s="3259"/>
      <c r="AO777" s="3260"/>
      <c r="AP777" s="3242">
        <v>0</v>
      </c>
      <c r="AQ777" s="3244"/>
      <c r="AR777" s="3244"/>
      <c r="AS777" s="3242" t="s">
        <v>3384</v>
      </c>
      <c r="AT777" s="3247">
        <f t="shared" si="67"/>
        <v>0</v>
      </c>
      <c r="AU777" s="3248">
        <f t="shared" si="68"/>
        <v>0</v>
      </c>
      <c r="AV777" s="3248">
        <v>0</v>
      </c>
      <c r="AW777" s="3247">
        <v>0</v>
      </c>
      <c r="AX777" s="3248">
        <v>0</v>
      </c>
      <c r="AY777" s="3248">
        <v>0</v>
      </c>
      <c r="AZ777" s="3247">
        <v>0</v>
      </c>
      <c r="BA777" s="3248">
        <v>0</v>
      </c>
      <c r="BB777" s="3248">
        <v>0</v>
      </c>
      <c r="BC777" s="3247">
        <v>0</v>
      </c>
      <c r="BD777" s="3248">
        <v>0</v>
      </c>
      <c r="BE777" s="3248">
        <v>0</v>
      </c>
      <c r="BF777" s="3248">
        <f t="shared" si="69"/>
        <v>0</v>
      </c>
      <c r="BG777" s="3248">
        <f t="shared" si="70"/>
        <v>0</v>
      </c>
      <c r="BH777" s="3249"/>
      <c r="BI777" s="3249"/>
    </row>
    <row r="778" spans="1:61" x14ac:dyDescent="0.3">
      <c r="A778" s="4197" t="s">
        <v>3384</v>
      </c>
      <c r="B778" s="3261"/>
      <c r="C778" s="3243">
        <v>0</v>
      </c>
      <c r="D778" s="3242">
        <v>0</v>
      </c>
      <c r="E778" s="3244"/>
      <c r="F778" s="3244"/>
      <c r="G778" s="3242">
        <v>0</v>
      </c>
      <c r="H778" s="3244"/>
      <c r="I778" s="3244"/>
      <c r="J778" s="3244"/>
      <c r="K778" s="3242">
        <v>0</v>
      </c>
      <c r="L778" s="3244"/>
      <c r="M778" s="3244"/>
      <c r="N778" s="3242" t="s">
        <v>3384</v>
      </c>
      <c r="O778" s="3239">
        <v>0</v>
      </c>
      <c r="P778" s="3242">
        <v>0</v>
      </c>
      <c r="Q778" s="3244"/>
      <c r="R778" s="3244"/>
      <c r="S778" s="3242">
        <v>0</v>
      </c>
      <c r="T778" s="3244"/>
      <c r="U778" s="3244"/>
      <c r="V778" s="3244"/>
      <c r="W778" s="3240">
        <v>0</v>
      </c>
      <c r="X778" s="3244"/>
      <c r="Y778" s="3244"/>
      <c r="Z778" s="3242" t="s">
        <v>3384</v>
      </c>
      <c r="AA778" s="3243">
        <v>0</v>
      </c>
      <c r="AB778" s="3242">
        <v>0</v>
      </c>
      <c r="AC778" s="3244"/>
      <c r="AD778" s="3244"/>
      <c r="AE778" s="3242">
        <v>0</v>
      </c>
      <c r="AF778" s="3259"/>
      <c r="AG778" s="3260"/>
      <c r="AH778" s="3260"/>
      <c r="AI778" s="3260"/>
      <c r="AJ778" s="3260"/>
      <c r="AK778" s="3260"/>
      <c r="AL778" s="3259"/>
      <c r="AM778" s="3260"/>
      <c r="AN778" s="3259"/>
      <c r="AO778" s="3260"/>
      <c r="AP778" s="3242">
        <v>0</v>
      </c>
      <c r="AQ778" s="3244"/>
      <c r="AR778" s="3244"/>
      <c r="AS778" s="3242" t="s">
        <v>3384</v>
      </c>
      <c r="AT778" s="3247">
        <f t="shared" si="67"/>
        <v>0</v>
      </c>
      <c r="AU778" s="3248">
        <f t="shared" si="68"/>
        <v>0</v>
      </c>
      <c r="AV778" s="3248">
        <v>0</v>
      </c>
      <c r="AW778" s="3247">
        <v>0</v>
      </c>
      <c r="AX778" s="3248">
        <v>0</v>
      </c>
      <c r="AY778" s="3248">
        <v>0</v>
      </c>
      <c r="AZ778" s="3247">
        <v>0</v>
      </c>
      <c r="BA778" s="3248">
        <v>0</v>
      </c>
      <c r="BB778" s="3248">
        <v>0</v>
      </c>
      <c r="BC778" s="3247">
        <v>0</v>
      </c>
      <c r="BD778" s="3248">
        <v>0</v>
      </c>
      <c r="BE778" s="3248">
        <v>0</v>
      </c>
      <c r="BF778" s="3248">
        <f t="shared" si="69"/>
        <v>0</v>
      </c>
      <c r="BG778" s="3248">
        <f t="shared" si="70"/>
        <v>0</v>
      </c>
      <c r="BH778" s="3249"/>
      <c r="BI778" s="3249"/>
    </row>
    <row r="779" spans="1:61" x14ac:dyDescent="0.3">
      <c r="A779" s="4197" t="s">
        <v>3384</v>
      </c>
      <c r="B779" s="3261"/>
      <c r="C779" s="3243">
        <v>0</v>
      </c>
      <c r="D779" s="3242">
        <v>0</v>
      </c>
      <c r="E779" s="3244"/>
      <c r="F779" s="3244"/>
      <c r="G779" s="3242">
        <v>0</v>
      </c>
      <c r="H779" s="3244"/>
      <c r="I779" s="3244"/>
      <c r="J779" s="3244"/>
      <c r="K779" s="3242">
        <v>0</v>
      </c>
      <c r="L779" s="3244"/>
      <c r="M779" s="3244"/>
      <c r="N779" s="3242" t="s">
        <v>3384</v>
      </c>
      <c r="O779" s="3239">
        <v>0</v>
      </c>
      <c r="P779" s="3242">
        <v>0</v>
      </c>
      <c r="Q779" s="3244"/>
      <c r="R779" s="3244"/>
      <c r="S779" s="3242">
        <v>0</v>
      </c>
      <c r="T779" s="3244"/>
      <c r="U779" s="3244"/>
      <c r="V779" s="3244"/>
      <c r="W779" s="3240">
        <v>0</v>
      </c>
      <c r="X779" s="3244"/>
      <c r="Y779" s="3244"/>
      <c r="Z779" s="3242" t="s">
        <v>3384</v>
      </c>
      <c r="AA779" s="3243">
        <v>0</v>
      </c>
      <c r="AB779" s="3242">
        <v>0</v>
      </c>
      <c r="AC779" s="3244"/>
      <c r="AD779" s="3244"/>
      <c r="AE779" s="3242">
        <v>0</v>
      </c>
      <c r="AF779" s="3259"/>
      <c r="AG779" s="3260"/>
      <c r="AH779" s="3260"/>
      <c r="AI779" s="3260"/>
      <c r="AJ779" s="3260"/>
      <c r="AK779" s="3260"/>
      <c r="AL779" s="3259"/>
      <c r="AM779" s="3260"/>
      <c r="AN779" s="3259"/>
      <c r="AO779" s="3260"/>
      <c r="AP779" s="3242">
        <v>0</v>
      </c>
      <c r="AQ779" s="3244"/>
      <c r="AR779" s="3244"/>
      <c r="AS779" s="3242" t="s">
        <v>3384</v>
      </c>
      <c r="AT779" s="3247">
        <f t="shared" si="67"/>
        <v>0</v>
      </c>
      <c r="AU779" s="3248">
        <f t="shared" si="68"/>
        <v>0</v>
      </c>
      <c r="AV779" s="3248">
        <v>0</v>
      </c>
      <c r="AW779" s="3247">
        <v>0</v>
      </c>
      <c r="AX779" s="3248">
        <v>0</v>
      </c>
      <c r="AY779" s="3248">
        <v>0</v>
      </c>
      <c r="AZ779" s="3247">
        <v>0</v>
      </c>
      <c r="BA779" s="3248">
        <v>0</v>
      </c>
      <c r="BB779" s="3248">
        <v>0</v>
      </c>
      <c r="BC779" s="3247">
        <v>0</v>
      </c>
      <c r="BD779" s="3248">
        <v>0</v>
      </c>
      <c r="BE779" s="3248">
        <v>0</v>
      </c>
      <c r="BF779" s="3248">
        <f t="shared" si="69"/>
        <v>0</v>
      </c>
      <c r="BG779" s="3248">
        <f t="shared" si="70"/>
        <v>0</v>
      </c>
      <c r="BH779" s="3249"/>
      <c r="BI779" s="3249"/>
    </row>
    <row r="780" spans="1:61" x14ac:dyDescent="0.3">
      <c r="A780" s="4197" t="s">
        <v>3384</v>
      </c>
      <c r="B780" s="3261"/>
      <c r="C780" s="3243">
        <v>0</v>
      </c>
      <c r="D780" s="3242">
        <v>0</v>
      </c>
      <c r="E780" s="3244"/>
      <c r="F780" s="3244"/>
      <c r="G780" s="3242">
        <v>0</v>
      </c>
      <c r="H780" s="3244"/>
      <c r="I780" s="3244"/>
      <c r="J780" s="3244"/>
      <c r="K780" s="3242">
        <v>0</v>
      </c>
      <c r="L780" s="3244"/>
      <c r="M780" s="3244"/>
      <c r="N780" s="3242" t="s">
        <v>3384</v>
      </c>
      <c r="O780" s="3239">
        <v>0</v>
      </c>
      <c r="P780" s="3242">
        <v>0</v>
      </c>
      <c r="Q780" s="3244"/>
      <c r="R780" s="3244"/>
      <c r="S780" s="3242">
        <v>0</v>
      </c>
      <c r="T780" s="3244"/>
      <c r="U780" s="3244"/>
      <c r="V780" s="3244"/>
      <c r="W780" s="3240">
        <v>0</v>
      </c>
      <c r="X780" s="3244"/>
      <c r="Y780" s="3244"/>
      <c r="Z780" s="3242" t="s">
        <v>3384</v>
      </c>
      <c r="AA780" s="3243">
        <v>0</v>
      </c>
      <c r="AB780" s="3242">
        <v>0</v>
      </c>
      <c r="AC780" s="3244"/>
      <c r="AD780" s="3244"/>
      <c r="AE780" s="3242">
        <v>0</v>
      </c>
      <c r="AF780" s="3259"/>
      <c r="AG780" s="3260"/>
      <c r="AH780" s="3260"/>
      <c r="AI780" s="3260"/>
      <c r="AJ780" s="3260"/>
      <c r="AK780" s="3260"/>
      <c r="AL780" s="3259"/>
      <c r="AM780" s="3260"/>
      <c r="AN780" s="3259"/>
      <c r="AO780" s="3260"/>
      <c r="AP780" s="3242">
        <v>0</v>
      </c>
      <c r="AQ780" s="3244"/>
      <c r="AR780" s="3244"/>
      <c r="AS780" s="3242" t="s">
        <v>3384</v>
      </c>
      <c r="AT780" s="3247">
        <f t="shared" si="67"/>
        <v>0</v>
      </c>
      <c r="AU780" s="3248">
        <f t="shared" si="68"/>
        <v>0</v>
      </c>
      <c r="AV780" s="3248">
        <v>0</v>
      </c>
      <c r="AW780" s="3247">
        <v>0</v>
      </c>
      <c r="AX780" s="3248">
        <v>0</v>
      </c>
      <c r="AY780" s="3248">
        <v>0</v>
      </c>
      <c r="AZ780" s="3247">
        <v>0</v>
      </c>
      <c r="BA780" s="3248">
        <v>0</v>
      </c>
      <c r="BB780" s="3248">
        <v>0</v>
      </c>
      <c r="BC780" s="3247">
        <v>0</v>
      </c>
      <c r="BD780" s="3248">
        <v>0</v>
      </c>
      <c r="BE780" s="3248">
        <v>0</v>
      </c>
      <c r="BF780" s="3248">
        <f t="shared" si="69"/>
        <v>0</v>
      </c>
      <c r="BG780" s="3248">
        <f t="shared" si="70"/>
        <v>0</v>
      </c>
      <c r="BH780" s="3249"/>
      <c r="BI780" s="3249"/>
    </row>
    <row r="781" spans="1:61" x14ac:dyDescent="0.3">
      <c r="A781" s="4197" t="s">
        <v>3384</v>
      </c>
      <c r="B781" s="3261"/>
      <c r="C781" s="3243">
        <v>0</v>
      </c>
      <c r="D781" s="3242">
        <v>0</v>
      </c>
      <c r="E781" s="3244"/>
      <c r="F781" s="3244"/>
      <c r="G781" s="3242">
        <v>0</v>
      </c>
      <c r="H781" s="3244"/>
      <c r="I781" s="3244"/>
      <c r="J781" s="3244"/>
      <c r="K781" s="3242">
        <v>0</v>
      </c>
      <c r="L781" s="3244"/>
      <c r="M781" s="3244"/>
      <c r="N781" s="3242" t="s">
        <v>3384</v>
      </c>
      <c r="O781" s="3239">
        <v>0</v>
      </c>
      <c r="P781" s="3242">
        <v>0</v>
      </c>
      <c r="Q781" s="3244"/>
      <c r="R781" s="3244"/>
      <c r="S781" s="3242">
        <v>0</v>
      </c>
      <c r="T781" s="3244"/>
      <c r="U781" s="3244"/>
      <c r="V781" s="3244"/>
      <c r="W781" s="3240">
        <v>0</v>
      </c>
      <c r="X781" s="3244"/>
      <c r="Y781" s="3244"/>
      <c r="Z781" s="3242" t="s">
        <v>3384</v>
      </c>
      <c r="AA781" s="3243">
        <v>0</v>
      </c>
      <c r="AB781" s="3242">
        <v>0</v>
      </c>
      <c r="AC781" s="3244"/>
      <c r="AD781" s="3244"/>
      <c r="AE781" s="3242">
        <v>0</v>
      </c>
      <c r="AF781" s="3259"/>
      <c r="AG781" s="3260"/>
      <c r="AH781" s="3260"/>
      <c r="AI781" s="3260"/>
      <c r="AJ781" s="3260"/>
      <c r="AK781" s="3260"/>
      <c r="AL781" s="3259"/>
      <c r="AM781" s="3260"/>
      <c r="AN781" s="3259"/>
      <c r="AO781" s="3260"/>
      <c r="AP781" s="3242">
        <v>0</v>
      </c>
      <c r="AQ781" s="3244"/>
      <c r="AR781" s="3244"/>
      <c r="AS781" s="3242" t="s">
        <v>3384</v>
      </c>
      <c r="AT781" s="3247">
        <f t="shared" si="67"/>
        <v>0</v>
      </c>
      <c r="AU781" s="3248">
        <f t="shared" si="68"/>
        <v>0</v>
      </c>
      <c r="AV781" s="3248">
        <v>0</v>
      </c>
      <c r="AW781" s="3247">
        <v>0</v>
      </c>
      <c r="AX781" s="3248">
        <v>0</v>
      </c>
      <c r="AY781" s="3248">
        <v>0</v>
      </c>
      <c r="AZ781" s="3247">
        <v>0</v>
      </c>
      <c r="BA781" s="3248">
        <v>0</v>
      </c>
      <c r="BB781" s="3248">
        <v>0</v>
      </c>
      <c r="BC781" s="3247">
        <v>0</v>
      </c>
      <c r="BD781" s="3248">
        <v>0</v>
      </c>
      <c r="BE781" s="3248">
        <v>0</v>
      </c>
      <c r="BF781" s="3248">
        <f t="shared" si="69"/>
        <v>0</v>
      </c>
      <c r="BG781" s="3248">
        <f t="shared" si="70"/>
        <v>0</v>
      </c>
      <c r="BH781" s="3249"/>
      <c r="BI781" s="3249"/>
    </row>
    <row r="782" spans="1:61" x14ac:dyDescent="0.3">
      <c r="A782" s="4197" t="s">
        <v>3384</v>
      </c>
      <c r="B782" s="3261"/>
      <c r="C782" s="3243">
        <v>0</v>
      </c>
      <c r="D782" s="3242">
        <v>0</v>
      </c>
      <c r="E782" s="3244"/>
      <c r="F782" s="3244"/>
      <c r="G782" s="3242">
        <v>0</v>
      </c>
      <c r="H782" s="3244"/>
      <c r="I782" s="3244"/>
      <c r="J782" s="3244"/>
      <c r="K782" s="3242">
        <v>0</v>
      </c>
      <c r="L782" s="3244"/>
      <c r="M782" s="3244"/>
      <c r="N782" s="3242" t="s">
        <v>3384</v>
      </c>
      <c r="O782" s="3239">
        <v>0</v>
      </c>
      <c r="P782" s="3242">
        <v>0</v>
      </c>
      <c r="Q782" s="3244"/>
      <c r="R782" s="3244"/>
      <c r="S782" s="3242">
        <v>0</v>
      </c>
      <c r="T782" s="3244"/>
      <c r="U782" s="3244"/>
      <c r="V782" s="3244"/>
      <c r="W782" s="3240">
        <v>0</v>
      </c>
      <c r="X782" s="3244"/>
      <c r="Y782" s="3244"/>
      <c r="Z782" s="3242" t="s">
        <v>3384</v>
      </c>
      <c r="AA782" s="3243">
        <v>0</v>
      </c>
      <c r="AB782" s="3242">
        <v>0</v>
      </c>
      <c r="AC782" s="3244"/>
      <c r="AD782" s="3244"/>
      <c r="AE782" s="3242">
        <v>0</v>
      </c>
      <c r="AF782" s="3259"/>
      <c r="AG782" s="3260"/>
      <c r="AH782" s="3260"/>
      <c r="AI782" s="3260"/>
      <c r="AJ782" s="3260"/>
      <c r="AK782" s="3260"/>
      <c r="AL782" s="3259"/>
      <c r="AM782" s="3260"/>
      <c r="AN782" s="3259"/>
      <c r="AO782" s="3260"/>
      <c r="AP782" s="3242">
        <v>0</v>
      </c>
      <c r="AQ782" s="3244"/>
      <c r="AR782" s="3244"/>
      <c r="AS782" s="3242" t="s">
        <v>3384</v>
      </c>
      <c r="AT782" s="3247">
        <f t="shared" si="67"/>
        <v>0</v>
      </c>
      <c r="AU782" s="3248">
        <f t="shared" si="68"/>
        <v>0</v>
      </c>
      <c r="AV782" s="3248">
        <v>0</v>
      </c>
      <c r="AW782" s="3247">
        <v>0</v>
      </c>
      <c r="AX782" s="3248">
        <v>0</v>
      </c>
      <c r="AY782" s="3248">
        <v>0</v>
      </c>
      <c r="AZ782" s="3247">
        <v>0</v>
      </c>
      <c r="BA782" s="3248">
        <v>0</v>
      </c>
      <c r="BB782" s="3248">
        <v>0</v>
      </c>
      <c r="BC782" s="3247">
        <v>0</v>
      </c>
      <c r="BD782" s="3248">
        <v>0</v>
      </c>
      <c r="BE782" s="3248">
        <v>0</v>
      </c>
      <c r="BF782" s="3248">
        <f t="shared" si="69"/>
        <v>0</v>
      </c>
      <c r="BG782" s="3248">
        <f t="shared" si="70"/>
        <v>0</v>
      </c>
      <c r="BH782" s="3249"/>
      <c r="BI782" s="3249"/>
    </row>
    <row r="783" spans="1:61" x14ac:dyDescent="0.3">
      <c r="A783" s="4197" t="s">
        <v>3384</v>
      </c>
      <c r="B783" s="3261"/>
      <c r="C783" s="3243">
        <v>0</v>
      </c>
      <c r="D783" s="3242">
        <v>0</v>
      </c>
      <c r="E783" s="3244"/>
      <c r="F783" s="3244"/>
      <c r="G783" s="3242">
        <v>0</v>
      </c>
      <c r="H783" s="3244"/>
      <c r="I783" s="3244"/>
      <c r="J783" s="3244"/>
      <c r="K783" s="3242">
        <v>0</v>
      </c>
      <c r="L783" s="3244"/>
      <c r="M783" s="3244"/>
      <c r="N783" s="3242" t="s">
        <v>3384</v>
      </c>
      <c r="O783" s="3239">
        <v>0</v>
      </c>
      <c r="P783" s="3242">
        <v>0</v>
      </c>
      <c r="Q783" s="3244"/>
      <c r="R783" s="3244"/>
      <c r="S783" s="3242">
        <v>0</v>
      </c>
      <c r="T783" s="3244"/>
      <c r="U783" s="3244"/>
      <c r="V783" s="3244"/>
      <c r="W783" s="3240">
        <v>0</v>
      </c>
      <c r="X783" s="3244"/>
      <c r="Y783" s="3244"/>
      <c r="Z783" s="3242" t="s">
        <v>3384</v>
      </c>
      <c r="AA783" s="3243">
        <v>0</v>
      </c>
      <c r="AB783" s="3242">
        <v>0</v>
      </c>
      <c r="AC783" s="3244"/>
      <c r="AD783" s="3244"/>
      <c r="AE783" s="3242">
        <v>0</v>
      </c>
      <c r="AF783" s="3259"/>
      <c r="AG783" s="3260"/>
      <c r="AH783" s="3260"/>
      <c r="AI783" s="3260"/>
      <c r="AJ783" s="3260"/>
      <c r="AK783" s="3260"/>
      <c r="AL783" s="3259"/>
      <c r="AM783" s="3260"/>
      <c r="AN783" s="3259"/>
      <c r="AO783" s="3260"/>
      <c r="AP783" s="3242">
        <v>0</v>
      </c>
      <c r="AQ783" s="3244"/>
      <c r="AR783" s="3244"/>
      <c r="AS783" s="3242" t="s">
        <v>3384</v>
      </c>
      <c r="AT783" s="3247">
        <f t="shared" si="67"/>
        <v>0</v>
      </c>
      <c r="AU783" s="3248">
        <f t="shared" si="68"/>
        <v>0</v>
      </c>
      <c r="AV783" s="3248">
        <v>0</v>
      </c>
      <c r="AW783" s="3247">
        <v>0</v>
      </c>
      <c r="AX783" s="3248">
        <v>0</v>
      </c>
      <c r="AY783" s="3248">
        <v>0</v>
      </c>
      <c r="AZ783" s="3247">
        <v>0</v>
      </c>
      <c r="BA783" s="3248">
        <v>0</v>
      </c>
      <c r="BB783" s="3248">
        <v>0</v>
      </c>
      <c r="BC783" s="3247">
        <v>0</v>
      </c>
      <c r="BD783" s="3248">
        <v>0</v>
      </c>
      <c r="BE783" s="3248">
        <v>0</v>
      </c>
      <c r="BF783" s="3248">
        <f t="shared" si="69"/>
        <v>0</v>
      </c>
      <c r="BG783" s="3248">
        <f t="shared" si="70"/>
        <v>0</v>
      </c>
      <c r="BH783" s="3249"/>
      <c r="BI783" s="3249"/>
    </row>
    <row r="784" spans="1:61" x14ac:dyDescent="0.3">
      <c r="A784" s="4197" t="s">
        <v>3384</v>
      </c>
      <c r="B784" s="3261"/>
      <c r="C784" s="3243">
        <v>0</v>
      </c>
      <c r="D784" s="3242">
        <v>0</v>
      </c>
      <c r="E784" s="3244"/>
      <c r="F784" s="3244"/>
      <c r="G784" s="3242">
        <v>0</v>
      </c>
      <c r="H784" s="3244"/>
      <c r="I784" s="3244"/>
      <c r="J784" s="3244"/>
      <c r="K784" s="3242">
        <v>0</v>
      </c>
      <c r="L784" s="3244"/>
      <c r="M784" s="3244"/>
      <c r="N784" s="3242" t="s">
        <v>3384</v>
      </c>
      <c r="O784" s="3239">
        <v>0</v>
      </c>
      <c r="P784" s="3242">
        <v>0</v>
      </c>
      <c r="Q784" s="3244"/>
      <c r="R784" s="3244"/>
      <c r="S784" s="3242">
        <v>0</v>
      </c>
      <c r="T784" s="3244"/>
      <c r="U784" s="3244"/>
      <c r="V784" s="3244"/>
      <c r="W784" s="3240">
        <v>0</v>
      </c>
      <c r="X784" s="3244"/>
      <c r="Y784" s="3244"/>
      <c r="Z784" s="3242" t="s">
        <v>3384</v>
      </c>
      <c r="AA784" s="3243">
        <v>0</v>
      </c>
      <c r="AB784" s="3242">
        <v>0</v>
      </c>
      <c r="AC784" s="3244"/>
      <c r="AD784" s="3244"/>
      <c r="AE784" s="3242">
        <v>0</v>
      </c>
      <c r="AF784" s="3259"/>
      <c r="AG784" s="3260"/>
      <c r="AH784" s="3260"/>
      <c r="AI784" s="3260"/>
      <c r="AJ784" s="3260"/>
      <c r="AK784" s="3260"/>
      <c r="AL784" s="3259"/>
      <c r="AM784" s="3260"/>
      <c r="AN784" s="3259"/>
      <c r="AO784" s="3260"/>
      <c r="AP784" s="3242">
        <v>0</v>
      </c>
      <c r="AQ784" s="3244"/>
      <c r="AR784" s="3244"/>
      <c r="AS784" s="3242" t="s">
        <v>3384</v>
      </c>
      <c r="AT784" s="3247">
        <f t="shared" ref="AT784:AT847" si="71">IFERROR(AE784+(SUM(AC784:AD784)/100*($AE$14/$AB$14*100)),0)</f>
        <v>0</v>
      </c>
      <c r="AU784" s="3248">
        <f t="shared" si="68"/>
        <v>0</v>
      </c>
      <c r="AV784" s="3248">
        <v>0</v>
      </c>
      <c r="AW784" s="3247">
        <v>0</v>
      </c>
      <c r="AX784" s="3248">
        <v>0</v>
      </c>
      <c r="AY784" s="3248">
        <v>0</v>
      </c>
      <c r="AZ784" s="3247">
        <v>0</v>
      </c>
      <c r="BA784" s="3248">
        <v>0</v>
      </c>
      <c r="BB784" s="3248">
        <v>0</v>
      </c>
      <c r="BC784" s="3247">
        <v>0</v>
      </c>
      <c r="BD784" s="3248">
        <v>0</v>
      </c>
      <c r="BE784" s="3248">
        <v>0</v>
      </c>
      <c r="BF784" s="3248">
        <f t="shared" si="69"/>
        <v>0</v>
      </c>
      <c r="BG784" s="3248">
        <f t="shared" si="70"/>
        <v>0</v>
      </c>
      <c r="BH784" s="3249"/>
      <c r="BI784" s="3249"/>
    </row>
    <row r="785" spans="1:61" x14ac:dyDescent="0.3">
      <c r="A785" s="4197" t="s">
        <v>3384</v>
      </c>
      <c r="B785" s="3261"/>
      <c r="C785" s="3243">
        <v>0</v>
      </c>
      <c r="D785" s="3242">
        <v>0</v>
      </c>
      <c r="E785" s="3244"/>
      <c r="F785" s="3244"/>
      <c r="G785" s="3242">
        <v>0</v>
      </c>
      <c r="H785" s="3244"/>
      <c r="I785" s="3244"/>
      <c r="J785" s="3244"/>
      <c r="K785" s="3242">
        <v>0</v>
      </c>
      <c r="L785" s="3244"/>
      <c r="M785" s="3244"/>
      <c r="N785" s="3242" t="s">
        <v>3384</v>
      </c>
      <c r="O785" s="3239">
        <v>0</v>
      </c>
      <c r="P785" s="3242">
        <v>0</v>
      </c>
      <c r="Q785" s="3244"/>
      <c r="R785" s="3244"/>
      <c r="S785" s="3242">
        <v>0</v>
      </c>
      <c r="T785" s="3244"/>
      <c r="U785" s="3244"/>
      <c r="V785" s="3244"/>
      <c r="W785" s="3240">
        <v>0</v>
      </c>
      <c r="X785" s="3244"/>
      <c r="Y785" s="3244"/>
      <c r="Z785" s="3242" t="s">
        <v>3384</v>
      </c>
      <c r="AA785" s="3243">
        <v>0</v>
      </c>
      <c r="AB785" s="3242">
        <v>0</v>
      </c>
      <c r="AC785" s="3244"/>
      <c r="AD785" s="3244"/>
      <c r="AE785" s="3242">
        <v>0</v>
      </c>
      <c r="AF785" s="3259"/>
      <c r="AG785" s="3260"/>
      <c r="AH785" s="3260"/>
      <c r="AI785" s="3260"/>
      <c r="AJ785" s="3260"/>
      <c r="AK785" s="3260"/>
      <c r="AL785" s="3259"/>
      <c r="AM785" s="3260"/>
      <c r="AN785" s="3259"/>
      <c r="AO785" s="3260"/>
      <c r="AP785" s="3242">
        <v>0</v>
      </c>
      <c r="AQ785" s="3244"/>
      <c r="AR785" s="3244"/>
      <c r="AS785" s="3242" t="s">
        <v>3384</v>
      </c>
      <c r="AT785" s="3247">
        <f t="shared" si="71"/>
        <v>0</v>
      </c>
      <c r="AU785" s="3248">
        <f t="shared" si="68"/>
        <v>0</v>
      </c>
      <c r="AV785" s="3248">
        <v>0</v>
      </c>
      <c r="AW785" s="3247">
        <v>0</v>
      </c>
      <c r="AX785" s="3248">
        <v>0</v>
      </c>
      <c r="AY785" s="3248">
        <v>0</v>
      </c>
      <c r="AZ785" s="3247">
        <v>0</v>
      </c>
      <c r="BA785" s="3248">
        <v>0</v>
      </c>
      <c r="BB785" s="3248">
        <v>0</v>
      </c>
      <c r="BC785" s="3247">
        <v>0</v>
      </c>
      <c r="BD785" s="3248">
        <v>0</v>
      </c>
      <c r="BE785" s="3248">
        <v>0</v>
      </c>
      <c r="BF785" s="3248">
        <f t="shared" si="69"/>
        <v>0</v>
      </c>
      <c r="BG785" s="3248">
        <f t="shared" si="70"/>
        <v>0</v>
      </c>
      <c r="BH785" s="3249"/>
      <c r="BI785" s="3249"/>
    </row>
    <row r="786" spans="1:61" x14ac:dyDescent="0.3">
      <c r="A786" s="4197" t="s">
        <v>3384</v>
      </c>
      <c r="B786" s="3261"/>
      <c r="C786" s="3243">
        <v>0</v>
      </c>
      <c r="D786" s="3242">
        <v>0</v>
      </c>
      <c r="E786" s="3244"/>
      <c r="F786" s="3244"/>
      <c r="G786" s="3242">
        <v>0</v>
      </c>
      <c r="H786" s="3244"/>
      <c r="I786" s="3244"/>
      <c r="J786" s="3244"/>
      <c r="K786" s="3242">
        <v>0</v>
      </c>
      <c r="L786" s="3244"/>
      <c r="M786" s="3244"/>
      <c r="N786" s="3242" t="s">
        <v>3384</v>
      </c>
      <c r="O786" s="3239">
        <v>0</v>
      </c>
      <c r="P786" s="3242">
        <v>0</v>
      </c>
      <c r="Q786" s="3244"/>
      <c r="R786" s="3244"/>
      <c r="S786" s="3242">
        <v>0</v>
      </c>
      <c r="T786" s="3244"/>
      <c r="U786" s="3244"/>
      <c r="V786" s="3244"/>
      <c r="W786" s="3240">
        <v>0</v>
      </c>
      <c r="X786" s="3244"/>
      <c r="Y786" s="3244"/>
      <c r="Z786" s="3242" t="s">
        <v>3384</v>
      </c>
      <c r="AA786" s="3243">
        <v>0</v>
      </c>
      <c r="AB786" s="3242">
        <v>0</v>
      </c>
      <c r="AC786" s="3244"/>
      <c r="AD786" s="3244"/>
      <c r="AE786" s="3242">
        <v>0</v>
      </c>
      <c r="AF786" s="3259"/>
      <c r="AG786" s="3260"/>
      <c r="AH786" s="3260"/>
      <c r="AI786" s="3260"/>
      <c r="AJ786" s="3260"/>
      <c r="AK786" s="3260"/>
      <c r="AL786" s="3259"/>
      <c r="AM786" s="3260"/>
      <c r="AN786" s="3259"/>
      <c r="AO786" s="3260"/>
      <c r="AP786" s="3242">
        <v>0</v>
      </c>
      <c r="AQ786" s="3244"/>
      <c r="AR786" s="3244"/>
      <c r="AS786" s="3242" t="s">
        <v>3384</v>
      </c>
      <c r="AT786" s="3247">
        <f t="shared" si="71"/>
        <v>0</v>
      </c>
      <c r="AU786" s="3248">
        <f t="shared" si="68"/>
        <v>0</v>
      </c>
      <c r="AV786" s="3248">
        <v>0</v>
      </c>
      <c r="AW786" s="3247">
        <v>0</v>
      </c>
      <c r="AX786" s="3248">
        <v>0</v>
      </c>
      <c r="AY786" s="3248">
        <v>0</v>
      </c>
      <c r="AZ786" s="3247">
        <v>0</v>
      </c>
      <c r="BA786" s="3248">
        <v>0</v>
      </c>
      <c r="BB786" s="3248">
        <v>0</v>
      </c>
      <c r="BC786" s="3247">
        <v>0</v>
      </c>
      <c r="BD786" s="3248">
        <v>0</v>
      </c>
      <c r="BE786" s="3248">
        <v>0</v>
      </c>
      <c r="BF786" s="3248">
        <f t="shared" si="69"/>
        <v>0</v>
      </c>
      <c r="BG786" s="3248">
        <f t="shared" si="70"/>
        <v>0</v>
      </c>
      <c r="BH786" s="3249"/>
      <c r="BI786" s="3249"/>
    </row>
    <row r="787" spans="1:61" x14ac:dyDescent="0.3">
      <c r="A787" s="4197" t="s">
        <v>3384</v>
      </c>
      <c r="B787" s="3261"/>
      <c r="C787" s="3243">
        <v>0</v>
      </c>
      <c r="D787" s="3242">
        <v>0</v>
      </c>
      <c r="E787" s="3244"/>
      <c r="F787" s="3244"/>
      <c r="G787" s="3242">
        <v>0</v>
      </c>
      <c r="H787" s="3244"/>
      <c r="I787" s="3244"/>
      <c r="J787" s="3244"/>
      <c r="K787" s="3242">
        <v>0</v>
      </c>
      <c r="L787" s="3244"/>
      <c r="M787" s="3244"/>
      <c r="N787" s="3242" t="s">
        <v>3384</v>
      </c>
      <c r="O787" s="3239">
        <v>0</v>
      </c>
      <c r="P787" s="3242">
        <v>0</v>
      </c>
      <c r="Q787" s="3244"/>
      <c r="R787" s="3244"/>
      <c r="S787" s="3242">
        <v>0</v>
      </c>
      <c r="T787" s="3244"/>
      <c r="U787" s="3244"/>
      <c r="V787" s="3244"/>
      <c r="W787" s="3240">
        <v>0</v>
      </c>
      <c r="X787" s="3244"/>
      <c r="Y787" s="3244"/>
      <c r="Z787" s="3242" t="s">
        <v>3384</v>
      </c>
      <c r="AA787" s="3243">
        <v>0</v>
      </c>
      <c r="AB787" s="3242">
        <v>0</v>
      </c>
      <c r="AC787" s="3244"/>
      <c r="AD787" s="3244"/>
      <c r="AE787" s="3242">
        <v>0</v>
      </c>
      <c r="AF787" s="3259"/>
      <c r="AG787" s="3260"/>
      <c r="AH787" s="3260"/>
      <c r="AI787" s="3260"/>
      <c r="AJ787" s="3260"/>
      <c r="AK787" s="3260"/>
      <c r="AL787" s="3259"/>
      <c r="AM787" s="3260"/>
      <c r="AN787" s="3259"/>
      <c r="AO787" s="3260"/>
      <c r="AP787" s="3242">
        <v>0</v>
      </c>
      <c r="AQ787" s="3244"/>
      <c r="AR787" s="3244"/>
      <c r="AS787" s="3242" t="s">
        <v>3384</v>
      </c>
      <c r="AT787" s="3247">
        <f t="shared" si="71"/>
        <v>0</v>
      </c>
      <c r="AU787" s="3248">
        <f t="shared" ref="AU787:AU850" si="72">AX787+BA787+BD787</f>
        <v>0</v>
      </c>
      <c r="AV787" s="3248">
        <v>0</v>
      </c>
      <c r="AW787" s="3247">
        <v>0</v>
      </c>
      <c r="AX787" s="3248">
        <v>0</v>
      </c>
      <c r="AY787" s="3248">
        <v>0</v>
      </c>
      <c r="AZ787" s="3247">
        <v>0</v>
      </c>
      <c r="BA787" s="3248">
        <v>0</v>
      </c>
      <c r="BB787" s="3248">
        <v>0</v>
      </c>
      <c r="BC787" s="3247">
        <v>0</v>
      </c>
      <c r="BD787" s="3248">
        <v>0</v>
      </c>
      <c r="BE787" s="3248">
        <v>0</v>
      </c>
      <c r="BF787" s="3248">
        <f t="shared" ref="BF787:BF850" si="73">IFERROR(ROUND(AE787/S787*100,2),0)</f>
        <v>0</v>
      </c>
      <c r="BG787" s="3248">
        <f t="shared" ref="BG787:BG850" si="74">IFERROR(ROUND(AA787/O787*100,2),0)</f>
        <v>0</v>
      </c>
      <c r="BH787" s="3249"/>
      <c r="BI787" s="3249"/>
    </row>
    <row r="788" spans="1:61" x14ac:dyDescent="0.3">
      <c r="A788" s="4197" t="s">
        <v>3384</v>
      </c>
      <c r="B788" s="3261"/>
      <c r="C788" s="3243">
        <v>0</v>
      </c>
      <c r="D788" s="3242">
        <v>0</v>
      </c>
      <c r="E788" s="3244"/>
      <c r="F788" s="3244"/>
      <c r="G788" s="3242">
        <v>0</v>
      </c>
      <c r="H788" s="3244"/>
      <c r="I788" s="3244"/>
      <c r="J788" s="3244"/>
      <c r="K788" s="3242">
        <v>0</v>
      </c>
      <c r="L788" s="3244"/>
      <c r="M788" s="3244"/>
      <c r="N788" s="3242" t="s">
        <v>3384</v>
      </c>
      <c r="O788" s="3239">
        <v>0</v>
      </c>
      <c r="P788" s="3242">
        <v>0</v>
      </c>
      <c r="Q788" s="3244"/>
      <c r="R788" s="3244"/>
      <c r="S788" s="3242">
        <v>0</v>
      </c>
      <c r="T788" s="3244"/>
      <c r="U788" s="3244"/>
      <c r="V788" s="3244"/>
      <c r="W788" s="3240">
        <v>0</v>
      </c>
      <c r="X788" s="3244"/>
      <c r="Y788" s="3244"/>
      <c r="Z788" s="3242" t="s">
        <v>3384</v>
      </c>
      <c r="AA788" s="3243">
        <v>0</v>
      </c>
      <c r="AB788" s="3242">
        <v>0</v>
      </c>
      <c r="AC788" s="3244"/>
      <c r="AD788" s="3244"/>
      <c r="AE788" s="3242">
        <v>0</v>
      </c>
      <c r="AF788" s="3259"/>
      <c r="AG788" s="3260"/>
      <c r="AH788" s="3260"/>
      <c r="AI788" s="3260"/>
      <c r="AJ788" s="3260"/>
      <c r="AK788" s="3260"/>
      <c r="AL788" s="3259"/>
      <c r="AM788" s="3260"/>
      <c r="AN788" s="3259"/>
      <c r="AO788" s="3260"/>
      <c r="AP788" s="3242">
        <v>0</v>
      </c>
      <c r="AQ788" s="3244"/>
      <c r="AR788" s="3244"/>
      <c r="AS788" s="3242" t="s">
        <v>3384</v>
      </c>
      <c r="AT788" s="3247">
        <f t="shared" si="71"/>
        <v>0</v>
      </c>
      <c r="AU788" s="3248">
        <f t="shared" si="72"/>
        <v>0</v>
      </c>
      <c r="AV788" s="3248">
        <v>0</v>
      </c>
      <c r="AW788" s="3247">
        <v>0</v>
      </c>
      <c r="AX788" s="3248">
        <v>0</v>
      </c>
      <c r="AY788" s="3248">
        <v>0</v>
      </c>
      <c r="AZ788" s="3247">
        <v>0</v>
      </c>
      <c r="BA788" s="3248">
        <v>0</v>
      </c>
      <c r="BB788" s="3248">
        <v>0</v>
      </c>
      <c r="BC788" s="3247">
        <v>0</v>
      </c>
      <c r="BD788" s="3248">
        <v>0</v>
      </c>
      <c r="BE788" s="3248">
        <v>0</v>
      </c>
      <c r="BF788" s="3248">
        <f t="shared" si="73"/>
        <v>0</v>
      </c>
      <c r="BG788" s="3248">
        <f t="shared" si="74"/>
        <v>0</v>
      </c>
      <c r="BH788" s="3249"/>
      <c r="BI788" s="3249"/>
    </row>
    <row r="789" spans="1:61" x14ac:dyDescent="0.3">
      <c r="A789" s="4197" t="s">
        <v>3384</v>
      </c>
      <c r="B789" s="3261"/>
      <c r="C789" s="3243">
        <v>0</v>
      </c>
      <c r="D789" s="3242">
        <v>0</v>
      </c>
      <c r="E789" s="3244"/>
      <c r="F789" s="3244"/>
      <c r="G789" s="3242">
        <v>0</v>
      </c>
      <c r="H789" s="3244"/>
      <c r="I789" s="3244"/>
      <c r="J789" s="3244"/>
      <c r="K789" s="3242">
        <v>0</v>
      </c>
      <c r="L789" s="3244"/>
      <c r="M789" s="3244"/>
      <c r="N789" s="3242" t="s">
        <v>3384</v>
      </c>
      <c r="O789" s="3239">
        <v>0</v>
      </c>
      <c r="P789" s="3242">
        <v>0</v>
      </c>
      <c r="Q789" s="3244"/>
      <c r="R789" s="3244"/>
      <c r="S789" s="3242">
        <v>0</v>
      </c>
      <c r="T789" s="3244"/>
      <c r="U789" s="3244"/>
      <c r="V789" s="3244"/>
      <c r="W789" s="3240">
        <v>0</v>
      </c>
      <c r="X789" s="3244"/>
      <c r="Y789" s="3244"/>
      <c r="Z789" s="3242" t="s">
        <v>3384</v>
      </c>
      <c r="AA789" s="3243">
        <v>0</v>
      </c>
      <c r="AB789" s="3242">
        <v>0</v>
      </c>
      <c r="AC789" s="3244"/>
      <c r="AD789" s="3244"/>
      <c r="AE789" s="3242">
        <v>0</v>
      </c>
      <c r="AF789" s="3259"/>
      <c r="AG789" s="3260"/>
      <c r="AH789" s="3260"/>
      <c r="AI789" s="3260"/>
      <c r="AJ789" s="3260"/>
      <c r="AK789" s="3260"/>
      <c r="AL789" s="3259"/>
      <c r="AM789" s="3260"/>
      <c r="AN789" s="3259"/>
      <c r="AO789" s="3260"/>
      <c r="AP789" s="3242">
        <v>0</v>
      </c>
      <c r="AQ789" s="3244"/>
      <c r="AR789" s="3244"/>
      <c r="AS789" s="3242" t="s">
        <v>3384</v>
      </c>
      <c r="AT789" s="3247">
        <f t="shared" si="71"/>
        <v>0</v>
      </c>
      <c r="AU789" s="3248">
        <f t="shared" si="72"/>
        <v>0</v>
      </c>
      <c r="AV789" s="3248">
        <v>0</v>
      </c>
      <c r="AW789" s="3247">
        <v>0</v>
      </c>
      <c r="AX789" s="3248">
        <v>0</v>
      </c>
      <c r="AY789" s="3248">
        <v>0</v>
      </c>
      <c r="AZ789" s="3247">
        <v>0</v>
      </c>
      <c r="BA789" s="3248">
        <v>0</v>
      </c>
      <c r="BB789" s="3248">
        <v>0</v>
      </c>
      <c r="BC789" s="3247">
        <v>0</v>
      </c>
      <c r="BD789" s="3248">
        <v>0</v>
      </c>
      <c r="BE789" s="3248">
        <v>0</v>
      </c>
      <c r="BF789" s="3248">
        <f t="shared" si="73"/>
        <v>0</v>
      </c>
      <c r="BG789" s="3248">
        <f t="shared" si="74"/>
        <v>0</v>
      </c>
      <c r="BH789" s="3249"/>
      <c r="BI789" s="3249"/>
    </row>
    <row r="790" spans="1:61" x14ac:dyDescent="0.3">
      <c r="A790" s="4197" t="s">
        <v>3384</v>
      </c>
      <c r="B790" s="3261"/>
      <c r="C790" s="3243">
        <v>0</v>
      </c>
      <c r="D790" s="3242">
        <v>0</v>
      </c>
      <c r="E790" s="3244"/>
      <c r="F790" s="3244"/>
      <c r="G790" s="3242">
        <v>0</v>
      </c>
      <c r="H790" s="3244"/>
      <c r="I790" s="3244"/>
      <c r="J790" s="3244"/>
      <c r="K790" s="3242">
        <v>0</v>
      </c>
      <c r="L790" s="3244"/>
      <c r="M790" s="3244"/>
      <c r="N790" s="3242" t="s">
        <v>3384</v>
      </c>
      <c r="O790" s="3239">
        <v>0</v>
      </c>
      <c r="P790" s="3242">
        <v>0</v>
      </c>
      <c r="Q790" s="3244"/>
      <c r="R790" s="3244"/>
      <c r="S790" s="3242">
        <v>0</v>
      </c>
      <c r="T790" s="3244"/>
      <c r="U790" s="3244"/>
      <c r="V790" s="3244"/>
      <c r="W790" s="3240">
        <v>0</v>
      </c>
      <c r="X790" s="3244"/>
      <c r="Y790" s="3244"/>
      <c r="Z790" s="3242" t="s">
        <v>3384</v>
      </c>
      <c r="AA790" s="3243">
        <v>0</v>
      </c>
      <c r="AB790" s="3242">
        <v>0</v>
      </c>
      <c r="AC790" s="3244"/>
      <c r="AD790" s="3244"/>
      <c r="AE790" s="3242">
        <v>0</v>
      </c>
      <c r="AF790" s="3259"/>
      <c r="AG790" s="3260"/>
      <c r="AH790" s="3260"/>
      <c r="AI790" s="3260"/>
      <c r="AJ790" s="3260"/>
      <c r="AK790" s="3260"/>
      <c r="AL790" s="3259"/>
      <c r="AM790" s="3260"/>
      <c r="AN790" s="3259"/>
      <c r="AO790" s="3260"/>
      <c r="AP790" s="3242">
        <v>0</v>
      </c>
      <c r="AQ790" s="3244"/>
      <c r="AR790" s="3244"/>
      <c r="AS790" s="3242" t="s">
        <v>3384</v>
      </c>
      <c r="AT790" s="3247">
        <f t="shared" si="71"/>
        <v>0</v>
      </c>
      <c r="AU790" s="3248">
        <f t="shared" si="72"/>
        <v>0</v>
      </c>
      <c r="AV790" s="3248">
        <v>0</v>
      </c>
      <c r="AW790" s="3247">
        <v>0</v>
      </c>
      <c r="AX790" s="3248">
        <v>0</v>
      </c>
      <c r="AY790" s="3248">
        <v>0</v>
      </c>
      <c r="AZ790" s="3247">
        <v>0</v>
      </c>
      <c r="BA790" s="3248">
        <v>0</v>
      </c>
      <c r="BB790" s="3248">
        <v>0</v>
      </c>
      <c r="BC790" s="3247">
        <v>0</v>
      </c>
      <c r="BD790" s="3248">
        <v>0</v>
      </c>
      <c r="BE790" s="3248">
        <v>0</v>
      </c>
      <c r="BF790" s="3248">
        <f t="shared" si="73"/>
        <v>0</v>
      </c>
      <c r="BG790" s="3248">
        <f t="shared" si="74"/>
        <v>0</v>
      </c>
      <c r="BH790" s="3249"/>
      <c r="BI790" s="3249"/>
    </row>
    <row r="791" spans="1:61" x14ac:dyDescent="0.3">
      <c r="A791" s="4197" t="s">
        <v>3384</v>
      </c>
      <c r="B791" s="3261"/>
      <c r="C791" s="3243">
        <v>0</v>
      </c>
      <c r="D791" s="3242">
        <v>0</v>
      </c>
      <c r="E791" s="3244"/>
      <c r="F791" s="3244"/>
      <c r="G791" s="3242">
        <v>0</v>
      </c>
      <c r="H791" s="3244"/>
      <c r="I791" s="3244"/>
      <c r="J791" s="3244"/>
      <c r="K791" s="3242">
        <v>0</v>
      </c>
      <c r="L791" s="3244"/>
      <c r="M791" s="3244"/>
      <c r="N791" s="3242" t="s">
        <v>3384</v>
      </c>
      <c r="O791" s="3239">
        <v>0</v>
      </c>
      <c r="P791" s="3242">
        <v>0</v>
      </c>
      <c r="Q791" s="3244"/>
      <c r="R791" s="3244"/>
      <c r="S791" s="3242">
        <v>0</v>
      </c>
      <c r="T791" s="3244"/>
      <c r="U791" s="3244"/>
      <c r="V791" s="3244"/>
      <c r="W791" s="3240">
        <v>0</v>
      </c>
      <c r="X791" s="3244"/>
      <c r="Y791" s="3244"/>
      <c r="Z791" s="3242" t="s">
        <v>3384</v>
      </c>
      <c r="AA791" s="3243">
        <v>0</v>
      </c>
      <c r="AB791" s="3242">
        <v>0</v>
      </c>
      <c r="AC791" s="3244"/>
      <c r="AD791" s="3244"/>
      <c r="AE791" s="3242">
        <v>0</v>
      </c>
      <c r="AF791" s="3259"/>
      <c r="AG791" s="3260"/>
      <c r="AH791" s="3260"/>
      <c r="AI791" s="3260"/>
      <c r="AJ791" s="3260"/>
      <c r="AK791" s="3260"/>
      <c r="AL791" s="3259"/>
      <c r="AM791" s="3260"/>
      <c r="AN791" s="3259"/>
      <c r="AO791" s="3260"/>
      <c r="AP791" s="3242">
        <v>0</v>
      </c>
      <c r="AQ791" s="3244"/>
      <c r="AR791" s="3244"/>
      <c r="AS791" s="3242" t="s">
        <v>3384</v>
      </c>
      <c r="AT791" s="3247">
        <f t="shared" si="71"/>
        <v>0</v>
      </c>
      <c r="AU791" s="3248">
        <f t="shared" si="72"/>
        <v>0</v>
      </c>
      <c r="AV791" s="3248">
        <v>0</v>
      </c>
      <c r="AW791" s="3247">
        <v>0</v>
      </c>
      <c r="AX791" s="3248">
        <v>0</v>
      </c>
      <c r="AY791" s="3248">
        <v>0</v>
      </c>
      <c r="AZ791" s="3247">
        <v>0</v>
      </c>
      <c r="BA791" s="3248">
        <v>0</v>
      </c>
      <c r="BB791" s="3248">
        <v>0</v>
      </c>
      <c r="BC791" s="3247">
        <v>0</v>
      </c>
      <c r="BD791" s="3248">
        <v>0</v>
      </c>
      <c r="BE791" s="3248">
        <v>0</v>
      </c>
      <c r="BF791" s="3248">
        <f t="shared" si="73"/>
        <v>0</v>
      </c>
      <c r="BG791" s="3248">
        <f t="shared" si="74"/>
        <v>0</v>
      </c>
      <c r="BH791" s="3249"/>
      <c r="BI791" s="3249"/>
    </row>
    <row r="792" spans="1:61" x14ac:dyDescent="0.3">
      <c r="A792" s="4197" t="s">
        <v>3384</v>
      </c>
      <c r="B792" s="3261"/>
      <c r="C792" s="3243">
        <v>0</v>
      </c>
      <c r="D792" s="3242">
        <v>0</v>
      </c>
      <c r="E792" s="3244"/>
      <c r="F792" s="3244"/>
      <c r="G792" s="3242">
        <v>0</v>
      </c>
      <c r="H792" s="3244"/>
      <c r="I792" s="3244"/>
      <c r="J792" s="3244"/>
      <c r="K792" s="3242">
        <v>0</v>
      </c>
      <c r="L792" s="3244"/>
      <c r="M792" s="3244"/>
      <c r="N792" s="3242" t="s">
        <v>3384</v>
      </c>
      <c r="O792" s="3239">
        <v>0</v>
      </c>
      <c r="P792" s="3242">
        <v>0</v>
      </c>
      <c r="Q792" s="3244"/>
      <c r="R792" s="3244"/>
      <c r="S792" s="3242">
        <v>0</v>
      </c>
      <c r="T792" s="3244"/>
      <c r="U792" s="3244"/>
      <c r="V792" s="3244"/>
      <c r="W792" s="3240">
        <v>0</v>
      </c>
      <c r="X792" s="3244"/>
      <c r="Y792" s="3244"/>
      <c r="Z792" s="3242" t="s">
        <v>3384</v>
      </c>
      <c r="AA792" s="3243">
        <v>0</v>
      </c>
      <c r="AB792" s="3242">
        <v>0</v>
      </c>
      <c r="AC792" s="3244"/>
      <c r="AD792" s="3244"/>
      <c r="AE792" s="3242">
        <v>0</v>
      </c>
      <c r="AF792" s="3259"/>
      <c r="AG792" s="3260"/>
      <c r="AH792" s="3260"/>
      <c r="AI792" s="3260"/>
      <c r="AJ792" s="3260"/>
      <c r="AK792" s="3260"/>
      <c r="AL792" s="3259"/>
      <c r="AM792" s="3260"/>
      <c r="AN792" s="3259"/>
      <c r="AO792" s="3260"/>
      <c r="AP792" s="3242">
        <v>0</v>
      </c>
      <c r="AQ792" s="3244"/>
      <c r="AR792" s="3244"/>
      <c r="AS792" s="3242" t="s">
        <v>3384</v>
      </c>
      <c r="AT792" s="3247">
        <f t="shared" si="71"/>
        <v>0</v>
      </c>
      <c r="AU792" s="3248">
        <f t="shared" si="72"/>
        <v>0</v>
      </c>
      <c r="AV792" s="3248">
        <v>0</v>
      </c>
      <c r="AW792" s="3247">
        <v>0</v>
      </c>
      <c r="AX792" s="3248">
        <v>0</v>
      </c>
      <c r="AY792" s="3248">
        <v>0</v>
      </c>
      <c r="AZ792" s="3247">
        <v>0</v>
      </c>
      <c r="BA792" s="3248">
        <v>0</v>
      </c>
      <c r="BB792" s="3248">
        <v>0</v>
      </c>
      <c r="BC792" s="3247">
        <v>0</v>
      </c>
      <c r="BD792" s="3248">
        <v>0</v>
      </c>
      <c r="BE792" s="3248">
        <v>0</v>
      </c>
      <c r="BF792" s="3248">
        <f t="shared" si="73"/>
        <v>0</v>
      </c>
      <c r="BG792" s="3248">
        <f t="shared" si="74"/>
        <v>0</v>
      </c>
      <c r="BH792" s="3249"/>
      <c r="BI792" s="3249"/>
    </row>
    <row r="793" spans="1:61" x14ac:dyDescent="0.3">
      <c r="A793" s="4197" t="s">
        <v>3384</v>
      </c>
      <c r="B793" s="3261"/>
      <c r="C793" s="3243">
        <v>0</v>
      </c>
      <c r="D793" s="3242">
        <v>0</v>
      </c>
      <c r="E793" s="3244"/>
      <c r="F793" s="3244"/>
      <c r="G793" s="3242">
        <v>0</v>
      </c>
      <c r="H793" s="3244"/>
      <c r="I793" s="3244"/>
      <c r="J793" s="3244"/>
      <c r="K793" s="3242">
        <v>0</v>
      </c>
      <c r="L793" s="3244"/>
      <c r="M793" s="3244"/>
      <c r="N793" s="3242" t="s">
        <v>3384</v>
      </c>
      <c r="O793" s="3239">
        <v>0</v>
      </c>
      <c r="P793" s="3242">
        <v>0</v>
      </c>
      <c r="Q793" s="3244"/>
      <c r="R793" s="3244"/>
      <c r="S793" s="3242">
        <v>0</v>
      </c>
      <c r="T793" s="3244"/>
      <c r="U793" s="3244"/>
      <c r="V793" s="3244"/>
      <c r="W793" s="3240">
        <v>0</v>
      </c>
      <c r="X793" s="3244"/>
      <c r="Y793" s="3244"/>
      <c r="Z793" s="3242" t="s">
        <v>3384</v>
      </c>
      <c r="AA793" s="3243">
        <v>0</v>
      </c>
      <c r="AB793" s="3242">
        <v>0</v>
      </c>
      <c r="AC793" s="3244"/>
      <c r="AD793" s="3244"/>
      <c r="AE793" s="3242">
        <v>0</v>
      </c>
      <c r="AF793" s="3259"/>
      <c r="AG793" s="3260"/>
      <c r="AH793" s="3260"/>
      <c r="AI793" s="3260"/>
      <c r="AJ793" s="3260"/>
      <c r="AK793" s="3260"/>
      <c r="AL793" s="3259"/>
      <c r="AM793" s="3260"/>
      <c r="AN793" s="3259"/>
      <c r="AO793" s="3260"/>
      <c r="AP793" s="3242">
        <v>0</v>
      </c>
      <c r="AQ793" s="3244"/>
      <c r="AR793" s="3244"/>
      <c r="AS793" s="3242" t="s">
        <v>3384</v>
      </c>
      <c r="AT793" s="3247">
        <f t="shared" si="71"/>
        <v>0</v>
      </c>
      <c r="AU793" s="3248">
        <f t="shared" si="72"/>
        <v>0</v>
      </c>
      <c r="AV793" s="3248">
        <v>0</v>
      </c>
      <c r="AW793" s="3247">
        <v>0</v>
      </c>
      <c r="AX793" s="3248">
        <v>0</v>
      </c>
      <c r="AY793" s="3248">
        <v>0</v>
      </c>
      <c r="AZ793" s="3247">
        <v>0</v>
      </c>
      <c r="BA793" s="3248">
        <v>0</v>
      </c>
      <c r="BB793" s="3248">
        <v>0</v>
      </c>
      <c r="BC793" s="3247">
        <v>0</v>
      </c>
      <c r="BD793" s="3248">
        <v>0</v>
      </c>
      <c r="BE793" s="3248">
        <v>0</v>
      </c>
      <c r="BF793" s="3248">
        <f t="shared" si="73"/>
        <v>0</v>
      </c>
      <c r="BG793" s="3248">
        <f t="shared" si="74"/>
        <v>0</v>
      </c>
      <c r="BH793" s="3249"/>
      <c r="BI793" s="3249"/>
    </row>
    <row r="794" spans="1:61" x14ac:dyDescent="0.3">
      <c r="A794" s="4197" t="s">
        <v>3384</v>
      </c>
      <c r="B794" s="3261"/>
      <c r="C794" s="3243">
        <v>0</v>
      </c>
      <c r="D794" s="3242">
        <v>0</v>
      </c>
      <c r="E794" s="3244"/>
      <c r="F794" s="3244"/>
      <c r="G794" s="3242">
        <v>0</v>
      </c>
      <c r="H794" s="3244"/>
      <c r="I794" s="3244"/>
      <c r="J794" s="3244"/>
      <c r="K794" s="3242">
        <v>0</v>
      </c>
      <c r="L794" s="3244"/>
      <c r="M794" s="3244"/>
      <c r="N794" s="3242" t="s">
        <v>3384</v>
      </c>
      <c r="O794" s="3239">
        <v>0</v>
      </c>
      <c r="P794" s="3242">
        <v>0</v>
      </c>
      <c r="Q794" s="3244"/>
      <c r="R794" s="3244"/>
      <c r="S794" s="3242">
        <v>0</v>
      </c>
      <c r="T794" s="3244"/>
      <c r="U794" s="3244"/>
      <c r="V794" s="3244"/>
      <c r="W794" s="3240">
        <v>0</v>
      </c>
      <c r="X794" s="3244"/>
      <c r="Y794" s="3244"/>
      <c r="Z794" s="3242" t="s">
        <v>3384</v>
      </c>
      <c r="AA794" s="3243">
        <v>0</v>
      </c>
      <c r="AB794" s="3242">
        <v>0</v>
      </c>
      <c r="AC794" s="3244"/>
      <c r="AD794" s="3244"/>
      <c r="AE794" s="3242">
        <v>0</v>
      </c>
      <c r="AF794" s="3259"/>
      <c r="AG794" s="3260"/>
      <c r="AH794" s="3260"/>
      <c r="AI794" s="3260"/>
      <c r="AJ794" s="3260"/>
      <c r="AK794" s="3260"/>
      <c r="AL794" s="3259"/>
      <c r="AM794" s="3260"/>
      <c r="AN794" s="3259"/>
      <c r="AO794" s="3260"/>
      <c r="AP794" s="3242">
        <v>0</v>
      </c>
      <c r="AQ794" s="3244"/>
      <c r="AR794" s="3244"/>
      <c r="AS794" s="3242" t="s">
        <v>3384</v>
      </c>
      <c r="AT794" s="3247">
        <f t="shared" si="71"/>
        <v>0</v>
      </c>
      <c r="AU794" s="3248">
        <f t="shared" si="72"/>
        <v>0</v>
      </c>
      <c r="AV794" s="3248">
        <v>0</v>
      </c>
      <c r="AW794" s="3247">
        <v>0</v>
      </c>
      <c r="AX794" s="3248">
        <v>0</v>
      </c>
      <c r="AY794" s="3248">
        <v>0</v>
      </c>
      <c r="AZ794" s="3247">
        <v>0</v>
      </c>
      <c r="BA794" s="3248">
        <v>0</v>
      </c>
      <c r="BB794" s="3248">
        <v>0</v>
      </c>
      <c r="BC794" s="3247">
        <v>0</v>
      </c>
      <c r="BD794" s="3248">
        <v>0</v>
      </c>
      <c r="BE794" s="3248">
        <v>0</v>
      </c>
      <c r="BF794" s="3248">
        <f t="shared" si="73"/>
        <v>0</v>
      </c>
      <c r="BG794" s="3248">
        <f t="shared" si="74"/>
        <v>0</v>
      </c>
      <c r="BH794" s="3249"/>
      <c r="BI794" s="3249"/>
    </row>
    <row r="795" spans="1:61" x14ac:dyDescent="0.3">
      <c r="A795" s="4197" t="s">
        <v>3384</v>
      </c>
      <c r="B795" s="3261"/>
      <c r="C795" s="3243">
        <v>0</v>
      </c>
      <c r="D795" s="3242">
        <v>0</v>
      </c>
      <c r="E795" s="3244"/>
      <c r="F795" s="3244"/>
      <c r="G795" s="3242">
        <v>0</v>
      </c>
      <c r="H795" s="3244"/>
      <c r="I795" s="3244"/>
      <c r="J795" s="3244"/>
      <c r="K795" s="3242">
        <v>0</v>
      </c>
      <c r="L795" s="3244"/>
      <c r="M795" s="3244"/>
      <c r="N795" s="3242" t="s">
        <v>3384</v>
      </c>
      <c r="O795" s="3239">
        <v>0</v>
      </c>
      <c r="P795" s="3242">
        <v>0</v>
      </c>
      <c r="Q795" s="3244"/>
      <c r="R795" s="3244"/>
      <c r="S795" s="3242">
        <v>0</v>
      </c>
      <c r="T795" s="3244"/>
      <c r="U795" s="3244"/>
      <c r="V795" s="3244"/>
      <c r="W795" s="3240">
        <v>0</v>
      </c>
      <c r="X795" s="3244"/>
      <c r="Y795" s="3244"/>
      <c r="Z795" s="3242" t="s">
        <v>3384</v>
      </c>
      <c r="AA795" s="3243">
        <v>0</v>
      </c>
      <c r="AB795" s="3242">
        <v>0</v>
      </c>
      <c r="AC795" s="3244"/>
      <c r="AD795" s="3244"/>
      <c r="AE795" s="3242">
        <v>0</v>
      </c>
      <c r="AF795" s="3259"/>
      <c r="AG795" s="3260"/>
      <c r="AH795" s="3260"/>
      <c r="AI795" s="3260"/>
      <c r="AJ795" s="3260"/>
      <c r="AK795" s="3260"/>
      <c r="AL795" s="3259"/>
      <c r="AM795" s="3260"/>
      <c r="AN795" s="3259"/>
      <c r="AO795" s="3260"/>
      <c r="AP795" s="3242">
        <v>0</v>
      </c>
      <c r="AQ795" s="3244"/>
      <c r="AR795" s="3244"/>
      <c r="AS795" s="3242" t="s">
        <v>3384</v>
      </c>
      <c r="AT795" s="3247">
        <f t="shared" si="71"/>
        <v>0</v>
      </c>
      <c r="AU795" s="3248">
        <f t="shared" si="72"/>
        <v>0</v>
      </c>
      <c r="AV795" s="3248">
        <v>0</v>
      </c>
      <c r="AW795" s="3247">
        <v>0</v>
      </c>
      <c r="AX795" s="3248">
        <v>0</v>
      </c>
      <c r="AY795" s="3248">
        <v>0</v>
      </c>
      <c r="AZ795" s="3247">
        <v>0</v>
      </c>
      <c r="BA795" s="3248">
        <v>0</v>
      </c>
      <c r="BB795" s="3248">
        <v>0</v>
      </c>
      <c r="BC795" s="3247">
        <v>0</v>
      </c>
      <c r="BD795" s="3248">
        <v>0</v>
      </c>
      <c r="BE795" s="3248">
        <v>0</v>
      </c>
      <c r="BF795" s="3248">
        <f t="shared" si="73"/>
        <v>0</v>
      </c>
      <c r="BG795" s="3248">
        <f t="shared" si="74"/>
        <v>0</v>
      </c>
      <c r="BH795" s="3249"/>
      <c r="BI795" s="3249"/>
    </row>
    <row r="796" spans="1:61" x14ac:dyDescent="0.3">
      <c r="A796" s="4197" t="s">
        <v>3384</v>
      </c>
      <c r="B796" s="3261"/>
      <c r="C796" s="3243">
        <v>0</v>
      </c>
      <c r="D796" s="3242">
        <v>0</v>
      </c>
      <c r="E796" s="3244"/>
      <c r="F796" s="3244"/>
      <c r="G796" s="3242">
        <v>0</v>
      </c>
      <c r="H796" s="3244"/>
      <c r="I796" s="3244"/>
      <c r="J796" s="3244"/>
      <c r="K796" s="3242">
        <v>0</v>
      </c>
      <c r="L796" s="3244"/>
      <c r="M796" s="3244"/>
      <c r="N796" s="3242" t="s">
        <v>3384</v>
      </c>
      <c r="O796" s="3239">
        <v>0</v>
      </c>
      <c r="P796" s="3242">
        <v>0</v>
      </c>
      <c r="Q796" s="3244"/>
      <c r="R796" s="3244"/>
      <c r="S796" s="3242">
        <v>0</v>
      </c>
      <c r="T796" s="3244"/>
      <c r="U796" s="3244"/>
      <c r="V796" s="3244"/>
      <c r="W796" s="3240">
        <v>0</v>
      </c>
      <c r="X796" s="3244"/>
      <c r="Y796" s="3244"/>
      <c r="Z796" s="3242" t="s">
        <v>3384</v>
      </c>
      <c r="AA796" s="3243">
        <v>0</v>
      </c>
      <c r="AB796" s="3242">
        <v>0</v>
      </c>
      <c r="AC796" s="3244"/>
      <c r="AD796" s="3244"/>
      <c r="AE796" s="3242">
        <v>0</v>
      </c>
      <c r="AF796" s="3259"/>
      <c r="AG796" s="3260"/>
      <c r="AH796" s="3260"/>
      <c r="AI796" s="3260"/>
      <c r="AJ796" s="3260"/>
      <c r="AK796" s="3260"/>
      <c r="AL796" s="3259"/>
      <c r="AM796" s="3260"/>
      <c r="AN796" s="3259"/>
      <c r="AO796" s="3260"/>
      <c r="AP796" s="3242">
        <v>0</v>
      </c>
      <c r="AQ796" s="3244"/>
      <c r="AR796" s="3244"/>
      <c r="AS796" s="3242" t="s">
        <v>3384</v>
      </c>
      <c r="AT796" s="3247">
        <f t="shared" si="71"/>
        <v>0</v>
      </c>
      <c r="AU796" s="3248">
        <f t="shared" si="72"/>
        <v>0</v>
      </c>
      <c r="AV796" s="3248">
        <v>0</v>
      </c>
      <c r="AW796" s="3247">
        <v>0</v>
      </c>
      <c r="AX796" s="3248">
        <v>0</v>
      </c>
      <c r="AY796" s="3248">
        <v>0</v>
      </c>
      <c r="AZ796" s="3247">
        <v>0</v>
      </c>
      <c r="BA796" s="3248">
        <v>0</v>
      </c>
      <c r="BB796" s="3248">
        <v>0</v>
      </c>
      <c r="BC796" s="3247">
        <v>0</v>
      </c>
      <c r="BD796" s="3248">
        <v>0</v>
      </c>
      <c r="BE796" s="3248">
        <v>0</v>
      </c>
      <c r="BF796" s="3248">
        <f t="shared" si="73"/>
        <v>0</v>
      </c>
      <c r="BG796" s="3248">
        <f t="shared" si="74"/>
        <v>0</v>
      </c>
      <c r="BH796" s="3249"/>
      <c r="BI796" s="3249"/>
    </row>
    <row r="797" spans="1:61" x14ac:dyDescent="0.3">
      <c r="A797" s="4197" t="s">
        <v>3384</v>
      </c>
      <c r="B797" s="3261"/>
      <c r="C797" s="3243">
        <v>0</v>
      </c>
      <c r="D797" s="3242">
        <v>0</v>
      </c>
      <c r="E797" s="3244"/>
      <c r="F797" s="3244"/>
      <c r="G797" s="3242">
        <v>0</v>
      </c>
      <c r="H797" s="3244"/>
      <c r="I797" s="3244"/>
      <c r="J797" s="3244"/>
      <c r="K797" s="3242">
        <v>0</v>
      </c>
      <c r="L797" s="3244"/>
      <c r="M797" s="3244"/>
      <c r="N797" s="3242" t="s">
        <v>3384</v>
      </c>
      <c r="O797" s="3239">
        <v>0</v>
      </c>
      <c r="P797" s="3242">
        <v>0</v>
      </c>
      <c r="Q797" s="3244"/>
      <c r="R797" s="3244"/>
      <c r="S797" s="3242">
        <v>0</v>
      </c>
      <c r="T797" s="3244"/>
      <c r="U797" s="3244"/>
      <c r="V797" s="3244"/>
      <c r="W797" s="3240">
        <v>0</v>
      </c>
      <c r="X797" s="3244"/>
      <c r="Y797" s="3244"/>
      <c r="Z797" s="3242" t="s">
        <v>3384</v>
      </c>
      <c r="AA797" s="3243">
        <v>0</v>
      </c>
      <c r="AB797" s="3242">
        <v>0</v>
      </c>
      <c r="AC797" s="3244"/>
      <c r="AD797" s="3244"/>
      <c r="AE797" s="3242">
        <v>0</v>
      </c>
      <c r="AF797" s="3259"/>
      <c r="AG797" s="3260"/>
      <c r="AH797" s="3260"/>
      <c r="AI797" s="3260"/>
      <c r="AJ797" s="3260"/>
      <c r="AK797" s="3260"/>
      <c r="AL797" s="3259"/>
      <c r="AM797" s="3260"/>
      <c r="AN797" s="3259"/>
      <c r="AO797" s="3260"/>
      <c r="AP797" s="3242">
        <v>0</v>
      </c>
      <c r="AQ797" s="3244"/>
      <c r="AR797" s="3244"/>
      <c r="AS797" s="3242" t="s">
        <v>3384</v>
      </c>
      <c r="AT797" s="3247">
        <f t="shared" si="71"/>
        <v>0</v>
      </c>
      <c r="AU797" s="3248">
        <f t="shared" si="72"/>
        <v>0</v>
      </c>
      <c r="AV797" s="3248">
        <v>0</v>
      </c>
      <c r="AW797" s="3247">
        <v>0</v>
      </c>
      <c r="AX797" s="3248">
        <v>0</v>
      </c>
      <c r="AY797" s="3248">
        <v>0</v>
      </c>
      <c r="AZ797" s="3247">
        <v>0</v>
      </c>
      <c r="BA797" s="3248">
        <v>0</v>
      </c>
      <c r="BB797" s="3248">
        <v>0</v>
      </c>
      <c r="BC797" s="3247">
        <v>0</v>
      </c>
      <c r="BD797" s="3248">
        <v>0</v>
      </c>
      <c r="BE797" s="3248">
        <v>0</v>
      </c>
      <c r="BF797" s="3248">
        <f t="shared" si="73"/>
        <v>0</v>
      </c>
      <c r="BG797" s="3248">
        <f t="shared" si="74"/>
        <v>0</v>
      </c>
      <c r="BH797" s="3249"/>
      <c r="BI797" s="3249"/>
    </row>
    <row r="798" spans="1:61" x14ac:dyDescent="0.3">
      <c r="A798" s="4197" t="s">
        <v>3384</v>
      </c>
      <c r="B798" s="3261"/>
      <c r="C798" s="3243">
        <v>0</v>
      </c>
      <c r="D798" s="3242">
        <v>0</v>
      </c>
      <c r="E798" s="3244"/>
      <c r="F798" s="3244"/>
      <c r="G798" s="3242">
        <v>0</v>
      </c>
      <c r="H798" s="3244"/>
      <c r="I798" s="3244"/>
      <c r="J798" s="3244"/>
      <c r="K798" s="3242">
        <v>0</v>
      </c>
      <c r="L798" s="3244"/>
      <c r="M798" s="3244"/>
      <c r="N798" s="3242" t="s">
        <v>3384</v>
      </c>
      <c r="O798" s="3239">
        <v>0</v>
      </c>
      <c r="P798" s="3242">
        <v>0</v>
      </c>
      <c r="Q798" s="3244"/>
      <c r="R798" s="3244"/>
      <c r="S798" s="3242">
        <v>0</v>
      </c>
      <c r="T798" s="3244"/>
      <c r="U798" s="3244"/>
      <c r="V798" s="3244"/>
      <c r="W798" s="3240">
        <v>0</v>
      </c>
      <c r="X798" s="3244"/>
      <c r="Y798" s="3244"/>
      <c r="Z798" s="3242" t="s">
        <v>3384</v>
      </c>
      <c r="AA798" s="3243">
        <v>0</v>
      </c>
      <c r="AB798" s="3242">
        <v>0</v>
      </c>
      <c r="AC798" s="3244"/>
      <c r="AD798" s="3244"/>
      <c r="AE798" s="3242">
        <v>0</v>
      </c>
      <c r="AF798" s="3259"/>
      <c r="AG798" s="3260"/>
      <c r="AH798" s="3260"/>
      <c r="AI798" s="3260"/>
      <c r="AJ798" s="3260"/>
      <c r="AK798" s="3260"/>
      <c r="AL798" s="3259"/>
      <c r="AM798" s="3260"/>
      <c r="AN798" s="3259"/>
      <c r="AO798" s="3260"/>
      <c r="AP798" s="3242">
        <v>0</v>
      </c>
      <c r="AQ798" s="3244"/>
      <c r="AR798" s="3244"/>
      <c r="AS798" s="3242" t="s">
        <v>3384</v>
      </c>
      <c r="AT798" s="3247">
        <f t="shared" si="71"/>
        <v>0</v>
      </c>
      <c r="AU798" s="3248">
        <f t="shared" si="72"/>
        <v>0</v>
      </c>
      <c r="AV798" s="3248">
        <v>0</v>
      </c>
      <c r="AW798" s="3247">
        <v>0</v>
      </c>
      <c r="AX798" s="3248">
        <v>0</v>
      </c>
      <c r="AY798" s="3248">
        <v>0</v>
      </c>
      <c r="AZ798" s="3247">
        <v>0</v>
      </c>
      <c r="BA798" s="3248">
        <v>0</v>
      </c>
      <c r="BB798" s="3248">
        <v>0</v>
      </c>
      <c r="BC798" s="3247">
        <v>0</v>
      </c>
      <c r="BD798" s="3248">
        <v>0</v>
      </c>
      <c r="BE798" s="3248">
        <v>0</v>
      </c>
      <c r="BF798" s="3248">
        <f t="shared" si="73"/>
        <v>0</v>
      </c>
      <c r="BG798" s="3248">
        <f t="shared" si="74"/>
        <v>0</v>
      </c>
      <c r="BH798" s="3249"/>
      <c r="BI798" s="3249"/>
    </row>
    <row r="799" spans="1:61" x14ac:dyDescent="0.3">
      <c r="A799" s="4197" t="s">
        <v>3384</v>
      </c>
      <c r="B799" s="3261"/>
      <c r="C799" s="3243">
        <v>0</v>
      </c>
      <c r="D799" s="3242">
        <v>0</v>
      </c>
      <c r="E799" s="3244"/>
      <c r="F799" s="3244"/>
      <c r="G799" s="3242">
        <v>0</v>
      </c>
      <c r="H799" s="3244"/>
      <c r="I799" s="3244"/>
      <c r="J799" s="3244"/>
      <c r="K799" s="3242">
        <v>0</v>
      </c>
      <c r="L799" s="3244"/>
      <c r="M799" s="3244"/>
      <c r="N799" s="3242" t="s">
        <v>3384</v>
      </c>
      <c r="O799" s="3239">
        <v>0</v>
      </c>
      <c r="P799" s="3242">
        <v>0</v>
      </c>
      <c r="Q799" s="3244"/>
      <c r="R799" s="3244"/>
      <c r="S799" s="3242">
        <v>0</v>
      </c>
      <c r="T799" s="3244"/>
      <c r="U799" s="3244"/>
      <c r="V799" s="3244"/>
      <c r="W799" s="3240">
        <v>0</v>
      </c>
      <c r="X799" s="3244"/>
      <c r="Y799" s="3244"/>
      <c r="Z799" s="3242" t="s">
        <v>3384</v>
      </c>
      <c r="AA799" s="3243">
        <v>0</v>
      </c>
      <c r="AB799" s="3242">
        <v>0</v>
      </c>
      <c r="AC799" s="3244"/>
      <c r="AD799" s="3244"/>
      <c r="AE799" s="3242">
        <v>0</v>
      </c>
      <c r="AF799" s="3259"/>
      <c r="AG799" s="3260"/>
      <c r="AH799" s="3260"/>
      <c r="AI799" s="3260"/>
      <c r="AJ799" s="3260"/>
      <c r="AK799" s="3260"/>
      <c r="AL799" s="3259"/>
      <c r="AM799" s="3260"/>
      <c r="AN799" s="3259"/>
      <c r="AO799" s="3260"/>
      <c r="AP799" s="3242">
        <v>0</v>
      </c>
      <c r="AQ799" s="3244"/>
      <c r="AR799" s="3244"/>
      <c r="AS799" s="3242" t="s">
        <v>3384</v>
      </c>
      <c r="AT799" s="3247">
        <f t="shared" si="71"/>
        <v>0</v>
      </c>
      <c r="AU799" s="3248">
        <f t="shared" si="72"/>
        <v>0</v>
      </c>
      <c r="AV799" s="3248">
        <v>0</v>
      </c>
      <c r="AW799" s="3247">
        <v>0</v>
      </c>
      <c r="AX799" s="3248">
        <v>0</v>
      </c>
      <c r="AY799" s="3248">
        <v>0</v>
      </c>
      <c r="AZ799" s="3247">
        <v>0</v>
      </c>
      <c r="BA799" s="3248">
        <v>0</v>
      </c>
      <c r="BB799" s="3248">
        <v>0</v>
      </c>
      <c r="BC799" s="3247">
        <v>0</v>
      </c>
      <c r="BD799" s="3248">
        <v>0</v>
      </c>
      <c r="BE799" s="3248">
        <v>0</v>
      </c>
      <c r="BF799" s="3248">
        <f t="shared" si="73"/>
        <v>0</v>
      </c>
      <c r="BG799" s="3248">
        <f t="shared" si="74"/>
        <v>0</v>
      </c>
      <c r="BH799" s="3249"/>
      <c r="BI799" s="3249"/>
    </row>
    <row r="800" spans="1:61" x14ac:dyDescent="0.3">
      <c r="A800" s="4197" t="s">
        <v>3384</v>
      </c>
      <c r="B800" s="3261"/>
      <c r="C800" s="3243">
        <v>0</v>
      </c>
      <c r="D800" s="3242">
        <v>0</v>
      </c>
      <c r="E800" s="3244"/>
      <c r="F800" s="3244"/>
      <c r="G800" s="3242">
        <v>0</v>
      </c>
      <c r="H800" s="3244"/>
      <c r="I800" s="3244"/>
      <c r="J800" s="3244"/>
      <c r="K800" s="3242">
        <v>0</v>
      </c>
      <c r="L800" s="3244"/>
      <c r="M800" s="3244"/>
      <c r="N800" s="3242" t="s">
        <v>3384</v>
      </c>
      <c r="O800" s="3239">
        <v>0</v>
      </c>
      <c r="P800" s="3242">
        <v>0</v>
      </c>
      <c r="Q800" s="3244"/>
      <c r="R800" s="3244"/>
      <c r="S800" s="3242">
        <v>0</v>
      </c>
      <c r="T800" s="3244"/>
      <c r="U800" s="3244"/>
      <c r="V800" s="3244"/>
      <c r="W800" s="3240">
        <v>0</v>
      </c>
      <c r="X800" s="3244"/>
      <c r="Y800" s="3244"/>
      <c r="Z800" s="3242" t="s">
        <v>3384</v>
      </c>
      <c r="AA800" s="3243">
        <v>0</v>
      </c>
      <c r="AB800" s="3242">
        <v>0</v>
      </c>
      <c r="AC800" s="3244"/>
      <c r="AD800" s="3244"/>
      <c r="AE800" s="3242">
        <v>0</v>
      </c>
      <c r="AF800" s="3259"/>
      <c r="AG800" s="3260"/>
      <c r="AH800" s="3260"/>
      <c r="AI800" s="3260"/>
      <c r="AJ800" s="3260"/>
      <c r="AK800" s="3260"/>
      <c r="AL800" s="3259"/>
      <c r="AM800" s="3260"/>
      <c r="AN800" s="3259"/>
      <c r="AO800" s="3260"/>
      <c r="AP800" s="3242">
        <v>0</v>
      </c>
      <c r="AQ800" s="3244"/>
      <c r="AR800" s="3244"/>
      <c r="AS800" s="3242" t="s">
        <v>3384</v>
      </c>
      <c r="AT800" s="3247">
        <f t="shared" si="71"/>
        <v>0</v>
      </c>
      <c r="AU800" s="3248">
        <f t="shared" si="72"/>
        <v>0</v>
      </c>
      <c r="AV800" s="3248">
        <v>0</v>
      </c>
      <c r="AW800" s="3247">
        <v>0</v>
      </c>
      <c r="AX800" s="3248">
        <v>0</v>
      </c>
      <c r="AY800" s="3248">
        <v>0</v>
      </c>
      <c r="AZ800" s="3247">
        <v>0</v>
      </c>
      <c r="BA800" s="3248">
        <v>0</v>
      </c>
      <c r="BB800" s="3248">
        <v>0</v>
      </c>
      <c r="BC800" s="3247">
        <v>0</v>
      </c>
      <c r="BD800" s="3248">
        <v>0</v>
      </c>
      <c r="BE800" s="3248">
        <v>0</v>
      </c>
      <c r="BF800" s="3248">
        <f t="shared" si="73"/>
        <v>0</v>
      </c>
      <c r="BG800" s="3248">
        <f t="shared" si="74"/>
        <v>0</v>
      </c>
      <c r="BH800" s="3249"/>
      <c r="BI800" s="3249"/>
    </row>
    <row r="801" spans="1:61" x14ac:dyDescent="0.3">
      <c r="A801" s="4197" t="s">
        <v>3384</v>
      </c>
      <c r="B801" s="3261"/>
      <c r="C801" s="3243">
        <v>0</v>
      </c>
      <c r="D801" s="3242">
        <v>0</v>
      </c>
      <c r="E801" s="3244"/>
      <c r="F801" s="3244"/>
      <c r="G801" s="3242">
        <v>0</v>
      </c>
      <c r="H801" s="3244"/>
      <c r="I801" s="3244"/>
      <c r="J801" s="3244"/>
      <c r="K801" s="3242">
        <v>0</v>
      </c>
      <c r="L801" s="3244"/>
      <c r="M801" s="3244"/>
      <c r="N801" s="3242" t="s">
        <v>3384</v>
      </c>
      <c r="O801" s="3239">
        <v>0</v>
      </c>
      <c r="P801" s="3242">
        <v>0</v>
      </c>
      <c r="Q801" s="3244"/>
      <c r="R801" s="3244"/>
      <c r="S801" s="3242">
        <v>0</v>
      </c>
      <c r="T801" s="3244"/>
      <c r="U801" s="3244"/>
      <c r="V801" s="3244"/>
      <c r="W801" s="3240">
        <v>0</v>
      </c>
      <c r="X801" s="3244"/>
      <c r="Y801" s="3244"/>
      <c r="Z801" s="3242" t="s">
        <v>3384</v>
      </c>
      <c r="AA801" s="3243">
        <v>0</v>
      </c>
      <c r="AB801" s="3242">
        <v>0</v>
      </c>
      <c r="AC801" s="3244"/>
      <c r="AD801" s="3244"/>
      <c r="AE801" s="3242">
        <v>0</v>
      </c>
      <c r="AF801" s="3259"/>
      <c r="AG801" s="3260"/>
      <c r="AH801" s="3260"/>
      <c r="AI801" s="3260"/>
      <c r="AJ801" s="3260"/>
      <c r="AK801" s="3260"/>
      <c r="AL801" s="3259"/>
      <c r="AM801" s="3260"/>
      <c r="AN801" s="3259"/>
      <c r="AO801" s="3260"/>
      <c r="AP801" s="3242">
        <v>0</v>
      </c>
      <c r="AQ801" s="3244"/>
      <c r="AR801" s="3244"/>
      <c r="AS801" s="3242" t="s">
        <v>3384</v>
      </c>
      <c r="AT801" s="3247">
        <f t="shared" si="71"/>
        <v>0</v>
      </c>
      <c r="AU801" s="3248">
        <f t="shared" si="72"/>
        <v>0</v>
      </c>
      <c r="AV801" s="3248">
        <v>0</v>
      </c>
      <c r="AW801" s="3247">
        <v>0</v>
      </c>
      <c r="AX801" s="3248">
        <v>0</v>
      </c>
      <c r="AY801" s="3248">
        <v>0</v>
      </c>
      <c r="AZ801" s="3247">
        <v>0</v>
      </c>
      <c r="BA801" s="3248">
        <v>0</v>
      </c>
      <c r="BB801" s="3248">
        <v>0</v>
      </c>
      <c r="BC801" s="3247">
        <v>0</v>
      </c>
      <c r="BD801" s="3248">
        <v>0</v>
      </c>
      <c r="BE801" s="3248">
        <v>0</v>
      </c>
      <c r="BF801" s="3248">
        <f t="shared" si="73"/>
        <v>0</v>
      </c>
      <c r="BG801" s="3248">
        <f t="shared" si="74"/>
        <v>0</v>
      </c>
      <c r="BH801" s="3249"/>
      <c r="BI801" s="3249"/>
    </row>
    <row r="802" spans="1:61" x14ac:dyDescent="0.3">
      <c r="A802" s="4197" t="s">
        <v>3384</v>
      </c>
      <c r="B802" s="3261"/>
      <c r="C802" s="3243">
        <v>0</v>
      </c>
      <c r="D802" s="3242">
        <v>0</v>
      </c>
      <c r="E802" s="3244"/>
      <c r="F802" s="3244"/>
      <c r="G802" s="3242">
        <v>0</v>
      </c>
      <c r="H802" s="3244"/>
      <c r="I802" s="3244"/>
      <c r="J802" s="3244"/>
      <c r="K802" s="3242">
        <v>0</v>
      </c>
      <c r="L802" s="3244"/>
      <c r="M802" s="3244"/>
      <c r="N802" s="3242" t="s">
        <v>3384</v>
      </c>
      <c r="O802" s="3239">
        <v>0</v>
      </c>
      <c r="P802" s="3242">
        <v>0</v>
      </c>
      <c r="Q802" s="3244"/>
      <c r="R802" s="3244"/>
      <c r="S802" s="3242">
        <v>0</v>
      </c>
      <c r="T802" s="3244"/>
      <c r="U802" s="3244"/>
      <c r="V802" s="3244"/>
      <c r="W802" s="3240">
        <v>0</v>
      </c>
      <c r="X802" s="3244"/>
      <c r="Y802" s="3244"/>
      <c r="Z802" s="3242" t="s">
        <v>3384</v>
      </c>
      <c r="AA802" s="3243">
        <v>0</v>
      </c>
      <c r="AB802" s="3242">
        <v>0</v>
      </c>
      <c r="AC802" s="3244"/>
      <c r="AD802" s="3244"/>
      <c r="AE802" s="3242">
        <v>0</v>
      </c>
      <c r="AF802" s="3259"/>
      <c r="AG802" s="3260"/>
      <c r="AH802" s="3260"/>
      <c r="AI802" s="3260"/>
      <c r="AJ802" s="3260"/>
      <c r="AK802" s="3260"/>
      <c r="AL802" s="3259"/>
      <c r="AM802" s="3260"/>
      <c r="AN802" s="3259"/>
      <c r="AO802" s="3260"/>
      <c r="AP802" s="3242">
        <v>0</v>
      </c>
      <c r="AQ802" s="3244"/>
      <c r="AR802" s="3244"/>
      <c r="AS802" s="3242" t="s">
        <v>3384</v>
      </c>
      <c r="AT802" s="3247">
        <f t="shared" si="71"/>
        <v>0</v>
      </c>
      <c r="AU802" s="3248">
        <f t="shared" si="72"/>
        <v>0</v>
      </c>
      <c r="AV802" s="3248">
        <v>0</v>
      </c>
      <c r="AW802" s="3247">
        <v>0</v>
      </c>
      <c r="AX802" s="3248">
        <v>0</v>
      </c>
      <c r="AY802" s="3248">
        <v>0</v>
      </c>
      <c r="AZ802" s="3247">
        <v>0</v>
      </c>
      <c r="BA802" s="3248">
        <v>0</v>
      </c>
      <c r="BB802" s="3248">
        <v>0</v>
      </c>
      <c r="BC802" s="3247">
        <v>0</v>
      </c>
      <c r="BD802" s="3248">
        <v>0</v>
      </c>
      <c r="BE802" s="3248">
        <v>0</v>
      </c>
      <c r="BF802" s="3248">
        <f t="shared" si="73"/>
        <v>0</v>
      </c>
      <c r="BG802" s="3248">
        <f t="shared" si="74"/>
        <v>0</v>
      </c>
      <c r="BH802" s="3249"/>
      <c r="BI802" s="3249"/>
    </row>
    <row r="803" spans="1:61" x14ac:dyDescent="0.3">
      <c r="A803" s="4197" t="s">
        <v>3384</v>
      </c>
      <c r="B803" s="3261"/>
      <c r="C803" s="3243">
        <v>0</v>
      </c>
      <c r="D803" s="3242">
        <v>0</v>
      </c>
      <c r="E803" s="3244"/>
      <c r="F803" s="3244"/>
      <c r="G803" s="3242">
        <v>0</v>
      </c>
      <c r="H803" s="3244"/>
      <c r="I803" s="3244"/>
      <c r="J803" s="3244"/>
      <c r="K803" s="3242">
        <v>0</v>
      </c>
      <c r="L803" s="3244"/>
      <c r="M803" s="3244"/>
      <c r="N803" s="3242" t="s">
        <v>3384</v>
      </c>
      <c r="O803" s="3239">
        <v>0</v>
      </c>
      <c r="P803" s="3242">
        <v>0</v>
      </c>
      <c r="Q803" s="3244"/>
      <c r="R803" s="3244"/>
      <c r="S803" s="3242">
        <v>0</v>
      </c>
      <c r="T803" s="3244"/>
      <c r="U803" s="3244"/>
      <c r="V803" s="3244"/>
      <c r="W803" s="3240">
        <v>0</v>
      </c>
      <c r="X803" s="3244"/>
      <c r="Y803" s="3244"/>
      <c r="Z803" s="3242" t="s">
        <v>3384</v>
      </c>
      <c r="AA803" s="3243">
        <v>0</v>
      </c>
      <c r="AB803" s="3242">
        <v>0</v>
      </c>
      <c r="AC803" s="3244"/>
      <c r="AD803" s="3244"/>
      <c r="AE803" s="3242">
        <v>0</v>
      </c>
      <c r="AF803" s="3259"/>
      <c r="AG803" s="3260"/>
      <c r="AH803" s="3260"/>
      <c r="AI803" s="3260"/>
      <c r="AJ803" s="3260"/>
      <c r="AK803" s="3260"/>
      <c r="AL803" s="3259"/>
      <c r="AM803" s="3260"/>
      <c r="AN803" s="3259"/>
      <c r="AO803" s="3260"/>
      <c r="AP803" s="3242">
        <v>0</v>
      </c>
      <c r="AQ803" s="3244"/>
      <c r="AR803" s="3244"/>
      <c r="AS803" s="3242" t="s">
        <v>3384</v>
      </c>
      <c r="AT803" s="3247">
        <f t="shared" si="71"/>
        <v>0</v>
      </c>
      <c r="AU803" s="3248">
        <f t="shared" si="72"/>
        <v>0</v>
      </c>
      <c r="AV803" s="3248">
        <v>0</v>
      </c>
      <c r="AW803" s="3247">
        <v>0</v>
      </c>
      <c r="AX803" s="3248">
        <v>0</v>
      </c>
      <c r="AY803" s="3248">
        <v>0</v>
      </c>
      <c r="AZ803" s="3247">
        <v>0</v>
      </c>
      <c r="BA803" s="3248">
        <v>0</v>
      </c>
      <c r="BB803" s="3248">
        <v>0</v>
      </c>
      <c r="BC803" s="3247">
        <v>0</v>
      </c>
      <c r="BD803" s="3248">
        <v>0</v>
      </c>
      <c r="BE803" s="3248">
        <v>0</v>
      </c>
      <c r="BF803" s="3248">
        <f t="shared" si="73"/>
        <v>0</v>
      </c>
      <c r="BG803" s="3248">
        <f t="shared" si="74"/>
        <v>0</v>
      </c>
      <c r="BH803" s="3249"/>
      <c r="BI803" s="3249"/>
    </row>
    <row r="804" spans="1:61" x14ac:dyDescent="0.3">
      <c r="A804" s="4197" t="s">
        <v>3384</v>
      </c>
      <c r="B804" s="3261"/>
      <c r="C804" s="3243">
        <v>0</v>
      </c>
      <c r="D804" s="3242">
        <v>0</v>
      </c>
      <c r="E804" s="3244"/>
      <c r="F804" s="3244"/>
      <c r="G804" s="3242">
        <v>0</v>
      </c>
      <c r="H804" s="3244"/>
      <c r="I804" s="3244"/>
      <c r="J804" s="3244"/>
      <c r="K804" s="3242">
        <v>0</v>
      </c>
      <c r="L804" s="3244"/>
      <c r="M804" s="3244"/>
      <c r="N804" s="3242" t="s">
        <v>3384</v>
      </c>
      <c r="O804" s="3239">
        <v>0</v>
      </c>
      <c r="P804" s="3242">
        <v>0</v>
      </c>
      <c r="Q804" s="3244"/>
      <c r="R804" s="3244"/>
      <c r="S804" s="3242">
        <v>0</v>
      </c>
      <c r="T804" s="3244"/>
      <c r="U804" s="3244"/>
      <c r="V804" s="3244"/>
      <c r="W804" s="3240">
        <v>0</v>
      </c>
      <c r="X804" s="3244"/>
      <c r="Y804" s="3244"/>
      <c r="Z804" s="3242" t="s">
        <v>3384</v>
      </c>
      <c r="AA804" s="3243">
        <v>0</v>
      </c>
      <c r="AB804" s="3242">
        <v>0</v>
      </c>
      <c r="AC804" s="3244"/>
      <c r="AD804" s="3244"/>
      <c r="AE804" s="3242">
        <v>0</v>
      </c>
      <c r="AF804" s="3259"/>
      <c r="AG804" s="3260"/>
      <c r="AH804" s="3260"/>
      <c r="AI804" s="3260"/>
      <c r="AJ804" s="3260"/>
      <c r="AK804" s="3260"/>
      <c r="AL804" s="3259"/>
      <c r="AM804" s="3260"/>
      <c r="AN804" s="3259"/>
      <c r="AO804" s="3260"/>
      <c r="AP804" s="3242">
        <v>0</v>
      </c>
      <c r="AQ804" s="3244"/>
      <c r="AR804" s="3244"/>
      <c r="AS804" s="3242" t="s">
        <v>3384</v>
      </c>
      <c r="AT804" s="3247">
        <f t="shared" si="71"/>
        <v>0</v>
      </c>
      <c r="AU804" s="3248">
        <f t="shared" si="72"/>
        <v>0</v>
      </c>
      <c r="AV804" s="3248">
        <v>0</v>
      </c>
      <c r="AW804" s="3247">
        <v>0</v>
      </c>
      <c r="AX804" s="3248">
        <v>0</v>
      </c>
      <c r="AY804" s="3248">
        <v>0</v>
      </c>
      <c r="AZ804" s="3247">
        <v>0</v>
      </c>
      <c r="BA804" s="3248">
        <v>0</v>
      </c>
      <c r="BB804" s="3248">
        <v>0</v>
      </c>
      <c r="BC804" s="3247">
        <v>0</v>
      </c>
      <c r="BD804" s="3248">
        <v>0</v>
      </c>
      <c r="BE804" s="3248">
        <v>0</v>
      </c>
      <c r="BF804" s="3248">
        <f t="shared" si="73"/>
        <v>0</v>
      </c>
      <c r="BG804" s="3248">
        <f t="shared" si="74"/>
        <v>0</v>
      </c>
      <c r="BH804" s="3249"/>
      <c r="BI804" s="3249"/>
    </row>
    <row r="805" spans="1:61" x14ac:dyDescent="0.3">
      <c r="A805" s="4197" t="s">
        <v>3384</v>
      </c>
      <c r="B805" s="3261"/>
      <c r="C805" s="3243">
        <v>0</v>
      </c>
      <c r="D805" s="3242">
        <v>0</v>
      </c>
      <c r="E805" s="3244"/>
      <c r="F805" s="3244"/>
      <c r="G805" s="3242">
        <v>0</v>
      </c>
      <c r="H805" s="3244"/>
      <c r="I805" s="3244"/>
      <c r="J805" s="3244"/>
      <c r="K805" s="3242">
        <v>0</v>
      </c>
      <c r="L805" s="3244"/>
      <c r="M805" s="3244"/>
      <c r="N805" s="3242" t="s">
        <v>3384</v>
      </c>
      <c r="O805" s="3239">
        <v>0</v>
      </c>
      <c r="P805" s="3242">
        <v>0</v>
      </c>
      <c r="Q805" s="3244"/>
      <c r="R805" s="3244"/>
      <c r="S805" s="3242">
        <v>0</v>
      </c>
      <c r="T805" s="3244"/>
      <c r="U805" s="3244"/>
      <c r="V805" s="3244"/>
      <c r="W805" s="3240">
        <v>0</v>
      </c>
      <c r="X805" s="3244"/>
      <c r="Y805" s="3244"/>
      <c r="Z805" s="3242" t="s">
        <v>3384</v>
      </c>
      <c r="AA805" s="3243">
        <v>0</v>
      </c>
      <c r="AB805" s="3242">
        <v>0</v>
      </c>
      <c r="AC805" s="3244"/>
      <c r="AD805" s="3244"/>
      <c r="AE805" s="3242">
        <v>0</v>
      </c>
      <c r="AF805" s="3259"/>
      <c r="AG805" s="3260"/>
      <c r="AH805" s="3260"/>
      <c r="AI805" s="3260"/>
      <c r="AJ805" s="3260"/>
      <c r="AK805" s="3260"/>
      <c r="AL805" s="3259"/>
      <c r="AM805" s="3260"/>
      <c r="AN805" s="3259"/>
      <c r="AO805" s="3260"/>
      <c r="AP805" s="3242">
        <v>0</v>
      </c>
      <c r="AQ805" s="3244"/>
      <c r="AR805" s="3244"/>
      <c r="AS805" s="3242" t="s">
        <v>3384</v>
      </c>
      <c r="AT805" s="3247">
        <f t="shared" si="71"/>
        <v>0</v>
      </c>
      <c r="AU805" s="3248">
        <f t="shared" si="72"/>
        <v>0</v>
      </c>
      <c r="AV805" s="3248">
        <v>0</v>
      </c>
      <c r="AW805" s="3247">
        <v>0</v>
      </c>
      <c r="AX805" s="3248">
        <v>0</v>
      </c>
      <c r="AY805" s="3248">
        <v>0</v>
      </c>
      <c r="AZ805" s="3247">
        <v>0</v>
      </c>
      <c r="BA805" s="3248">
        <v>0</v>
      </c>
      <c r="BB805" s="3248">
        <v>0</v>
      </c>
      <c r="BC805" s="3247">
        <v>0</v>
      </c>
      <c r="BD805" s="3248">
        <v>0</v>
      </c>
      <c r="BE805" s="3248">
        <v>0</v>
      </c>
      <c r="BF805" s="3248">
        <f t="shared" si="73"/>
        <v>0</v>
      </c>
      <c r="BG805" s="3248">
        <f t="shared" si="74"/>
        <v>0</v>
      </c>
      <c r="BH805" s="3249"/>
      <c r="BI805" s="3249"/>
    </row>
    <row r="806" spans="1:61" x14ac:dyDescent="0.3">
      <c r="A806" s="4197" t="s">
        <v>3384</v>
      </c>
      <c r="B806" s="3261"/>
      <c r="C806" s="3243">
        <v>0</v>
      </c>
      <c r="D806" s="3242">
        <v>0</v>
      </c>
      <c r="E806" s="3244"/>
      <c r="F806" s="3244"/>
      <c r="G806" s="3242">
        <v>0</v>
      </c>
      <c r="H806" s="3244"/>
      <c r="I806" s="3244"/>
      <c r="J806" s="3244"/>
      <c r="K806" s="3242">
        <v>0</v>
      </c>
      <c r="L806" s="3244"/>
      <c r="M806" s="3244"/>
      <c r="N806" s="3242" t="s">
        <v>3384</v>
      </c>
      <c r="O806" s="3239">
        <v>0</v>
      </c>
      <c r="P806" s="3242">
        <v>0</v>
      </c>
      <c r="Q806" s="3244"/>
      <c r="R806" s="3244"/>
      <c r="S806" s="3242">
        <v>0</v>
      </c>
      <c r="T806" s="3244"/>
      <c r="U806" s="3244"/>
      <c r="V806" s="3244"/>
      <c r="W806" s="3240">
        <v>0</v>
      </c>
      <c r="X806" s="3244"/>
      <c r="Y806" s="3244"/>
      <c r="Z806" s="3242" t="s">
        <v>3384</v>
      </c>
      <c r="AA806" s="3243">
        <v>0</v>
      </c>
      <c r="AB806" s="3242">
        <v>0</v>
      </c>
      <c r="AC806" s="3244"/>
      <c r="AD806" s="3244"/>
      <c r="AE806" s="3242">
        <v>0</v>
      </c>
      <c r="AF806" s="3259"/>
      <c r="AG806" s="3260"/>
      <c r="AH806" s="3260"/>
      <c r="AI806" s="3260"/>
      <c r="AJ806" s="3260"/>
      <c r="AK806" s="3260"/>
      <c r="AL806" s="3259"/>
      <c r="AM806" s="3260"/>
      <c r="AN806" s="3259"/>
      <c r="AO806" s="3260"/>
      <c r="AP806" s="3242">
        <v>0</v>
      </c>
      <c r="AQ806" s="3244"/>
      <c r="AR806" s="3244"/>
      <c r="AS806" s="3242" t="s">
        <v>3384</v>
      </c>
      <c r="AT806" s="3247">
        <f t="shared" si="71"/>
        <v>0</v>
      </c>
      <c r="AU806" s="3248">
        <f t="shared" si="72"/>
        <v>0</v>
      </c>
      <c r="AV806" s="3248">
        <v>0</v>
      </c>
      <c r="AW806" s="3247">
        <v>0</v>
      </c>
      <c r="AX806" s="3248">
        <v>0</v>
      </c>
      <c r="AY806" s="3248">
        <v>0</v>
      </c>
      <c r="AZ806" s="3247">
        <v>0</v>
      </c>
      <c r="BA806" s="3248">
        <v>0</v>
      </c>
      <c r="BB806" s="3248">
        <v>0</v>
      </c>
      <c r="BC806" s="3247">
        <v>0</v>
      </c>
      <c r="BD806" s="3248">
        <v>0</v>
      </c>
      <c r="BE806" s="3248">
        <v>0</v>
      </c>
      <c r="BF806" s="3248">
        <f t="shared" si="73"/>
        <v>0</v>
      </c>
      <c r="BG806" s="3248">
        <f t="shared" si="74"/>
        <v>0</v>
      </c>
      <c r="BH806" s="3249"/>
      <c r="BI806" s="3249"/>
    </row>
    <row r="807" spans="1:61" x14ac:dyDescent="0.3">
      <c r="A807" s="4197" t="s">
        <v>3384</v>
      </c>
      <c r="B807" s="3261"/>
      <c r="C807" s="3243">
        <v>0</v>
      </c>
      <c r="D807" s="3242">
        <v>0</v>
      </c>
      <c r="E807" s="3244"/>
      <c r="F807" s="3244"/>
      <c r="G807" s="3242">
        <v>0</v>
      </c>
      <c r="H807" s="3244"/>
      <c r="I807" s="3244"/>
      <c r="J807" s="3244"/>
      <c r="K807" s="3242">
        <v>0</v>
      </c>
      <c r="L807" s="3244"/>
      <c r="M807" s="3244"/>
      <c r="N807" s="3242" t="s">
        <v>3384</v>
      </c>
      <c r="O807" s="3239">
        <v>0</v>
      </c>
      <c r="P807" s="3242">
        <v>0</v>
      </c>
      <c r="Q807" s="3244"/>
      <c r="R807" s="3244"/>
      <c r="S807" s="3242">
        <v>0</v>
      </c>
      <c r="T807" s="3244"/>
      <c r="U807" s="3244"/>
      <c r="V807" s="3244"/>
      <c r="W807" s="3240">
        <v>0</v>
      </c>
      <c r="X807" s="3244"/>
      <c r="Y807" s="3244"/>
      <c r="Z807" s="3242" t="s">
        <v>3384</v>
      </c>
      <c r="AA807" s="3243">
        <v>0</v>
      </c>
      <c r="AB807" s="3242">
        <v>0</v>
      </c>
      <c r="AC807" s="3244"/>
      <c r="AD807" s="3244"/>
      <c r="AE807" s="3242">
        <v>0</v>
      </c>
      <c r="AF807" s="3259"/>
      <c r="AG807" s="3260"/>
      <c r="AH807" s="3260"/>
      <c r="AI807" s="3260"/>
      <c r="AJ807" s="3260"/>
      <c r="AK807" s="3260"/>
      <c r="AL807" s="3259"/>
      <c r="AM807" s="3260"/>
      <c r="AN807" s="3259"/>
      <c r="AO807" s="3260"/>
      <c r="AP807" s="3242">
        <v>0</v>
      </c>
      <c r="AQ807" s="3244"/>
      <c r="AR807" s="3244"/>
      <c r="AS807" s="3242" t="s">
        <v>3384</v>
      </c>
      <c r="AT807" s="3247">
        <f t="shared" si="71"/>
        <v>0</v>
      </c>
      <c r="AU807" s="3248">
        <f t="shared" si="72"/>
        <v>0</v>
      </c>
      <c r="AV807" s="3248">
        <v>0</v>
      </c>
      <c r="AW807" s="3247">
        <v>0</v>
      </c>
      <c r="AX807" s="3248">
        <v>0</v>
      </c>
      <c r="AY807" s="3248">
        <v>0</v>
      </c>
      <c r="AZ807" s="3247">
        <v>0</v>
      </c>
      <c r="BA807" s="3248">
        <v>0</v>
      </c>
      <c r="BB807" s="3248">
        <v>0</v>
      </c>
      <c r="BC807" s="3247">
        <v>0</v>
      </c>
      <c r="BD807" s="3248">
        <v>0</v>
      </c>
      <c r="BE807" s="3248">
        <v>0</v>
      </c>
      <c r="BF807" s="3248">
        <f t="shared" si="73"/>
        <v>0</v>
      </c>
      <c r="BG807" s="3248">
        <f t="shared" si="74"/>
        <v>0</v>
      </c>
      <c r="BH807" s="3249"/>
      <c r="BI807" s="3249"/>
    </row>
    <row r="808" spans="1:61" x14ac:dyDescent="0.3">
      <c r="A808" s="4197" t="s">
        <v>3384</v>
      </c>
      <c r="B808" s="3261"/>
      <c r="C808" s="3243">
        <v>0</v>
      </c>
      <c r="D808" s="3242">
        <v>0</v>
      </c>
      <c r="E808" s="3244"/>
      <c r="F808" s="3244"/>
      <c r="G808" s="3242">
        <v>0</v>
      </c>
      <c r="H808" s="3244"/>
      <c r="I808" s="3244"/>
      <c r="J808" s="3244"/>
      <c r="K808" s="3242">
        <v>0</v>
      </c>
      <c r="L808" s="3244"/>
      <c r="M808" s="3244"/>
      <c r="N808" s="3242" t="s">
        <v>3384</v>
      </c>
      <c r="O808" s="3239">
        <v>0</v>
      </c>
      <c r="P808" s="3242">
        <v>0</v>
      </c>
      <c r="Q808" s="3244"/>
      <c r="R808" s="3244"/>
      <c r="S808" s="3242">
        <v>0</v>
      </c>
      <c r="T808" s="3244"/>
      <c r="U808" s="3244"/>
      <c r="V808" s="3244"/>
      <c r="W808" s="3240">
        <v>0</v>
      </c>
      <c r="X808" s="3244"/>
      <c r="Y808" s="3244"/>
      <c r="Z808" s="3242" t="s">
        <v>3384</v>
      </c>
      <c r="AA808" s="3243">
        <v>0</v>
      </c>
      <c r="AB808" s="3242">
        <v>0</v>
      </c>
      <c r="AC808" s="3244"/>
      <c r="AD808" s="3244"/>
      <c r="AE808" s="3242">
        <v>0</v>
      </c>
      <c r="AF808" s="3259"/>
      <c r="AG808" s="3260"/>
      <c r="AH808" s="3260"/>
      <c r="AI808" s="3260"/>
      <c r="AJ808" s="3260"/>
      <c r="AK808" s="3260"/>
      <c r="AL808" s="3259"/>
      <c r="AM808" s="3260"/>
      <c r="AN808" s="3259"/>
      <c r="AO808" s="3260"/>
      <c r="AP808" s="3242">
        <v>0</v>
      </c>
      <c r="AQ808" s="3244"/>
      <c r="AR808" s="3244"/>
      <c r="AS808" s="3242" t="s">
        <v>3384</v>
      </c>
      <c r="AT808" s="3247">
        <f t="shared" si="71"/>
        <v>0</v>
      </c>
      <c r="AU808" s="3248">
        <f t="shared" si="72"/>
        <v>0</v>
      </c>
      <c r="AV808" s="3248">
        <v>0</v>
      </c>
      <c r="AW808" s="3247">
        <v>0</v>
      </c>
      <c r="AX808" s="3248">
        <v>0</v>
      </c>
      <c r="AY808" s="3248">
        <v>0</v>
      </c>
      <c r="AZ808" s="3247">
        <v>0</v>
      </c>
      <c r="BA808" s="3248">
        <v>0</v>
      </c>
      <c r="BB808" s="3248">
        <v>0</v>
      </c>
      <c r="BC808" s="3247">
        <v>0</v>
      </c>
      <c r="BD808" s="3248">
        <v>0</v>
      </c>
      <c r="BE808" s="3248">
        <v>0</v>
      </c>
      <c r="BF808" s="3248">
        <f t="shared" si="73"/>
        <v>0</v>
      </c>
      <c r="BG808" s="3248">
        <f t="shared" si="74"/>
        <v>0</v>
      </c>
      <c r="BH808" s="3249"/>
      <c r="BI808" s="3249"/>
    </row>
    <row r="809" spans="1:61" x14ac:dyDescent="0.3">
      <c r="A809" s="4197" t="s">
        <v>3384</v>
      </c>
      <c r="B809" s="3261"/>
      <c r="C809" s="3243">
        <v>0</v>
      </c>
      <c r="D809" s="3242">
        <v>0</v>
      </c>
      <c r="E809" s="3244"/>
      <c r="F809" s="3244"/>
      <c r="G809" s="3242">
        <v>0</v>
      </c>
      <c r="H809" s="3244"/>
      <c r="I809" s="3244"/>
      <c r="J809" s="3244"/>
      <c r="K809" s="3242">
        <v>0</v>
      </c>
      <c r="L809" s="3244"/>
      <c r="M809" s="3244"/>
      <c r="N809" s="3242" t="s">
        <v>3384</v>
      </c>
      <c r="O809" s="3239">
        <v>0</v>
      </c>
      <c r="P809" s="3242">
        <v>0</v>
      </c>
      <c r="Q809" s="3244"/>
      <c r="R809" s="3244"/>
      <c r="S809" s="3242">
        <v>0</v>
      </c>
      <c r="T809" s="3244"/>
      <c r="U809" s="3244"/>
      <c r="V809" s="3244"/>
      <c r="W809" s="3240">
        <v>0</v>
      </c>
      <c r="X809" s="3244"/>
      <c r="Y809" s="3244"/>
      <c r="Z809" s="3242" t="s">
        <v>3384</v>
      </c>
      <c r="AA809" s="3243">
        <v>0</v>
      </c>
      <c r="AB809" s="3242">
        <v>0</v>
      </c>
      <c r="AC809" s="3244"/>
      <c r="AD809" s="3244"/>
      <c r="AE809" s="3242">
        <v>0</v>
      </c>
      <c r="AF809" s="3259"/>
      <c r="AG809" s="3260"/>
      <c r="AH809" s="3260"/>
      <c r="AI809" s="3260"/>
      <c r="AJ809" s="3260"/>
      <c r="AK809" s="3260"/>
      <c r="AL809" s="3259"/>
      <c r="AM809" s="3260"/>
      <c r="AN809" s="3259"/>
      <c r="AO809" s="3260"/>
      <c r="AP809" s="3242">
        <v>0</v>
      </c>
      <c r="AQ809" s="3244"/>
      <c r="AR809" s="3244"/>
      <c r="AS809" s="3242" t="s">
        <v>3384</v>
      </c>
      <c r="AT809" s="3247">
        <f t="shared" si="71"/>
        <v>0</v>
      </c>
      <c r="AU809" s="3248">
        <f t="shared" si="72"/>
        <v>0</v>
      </c>
      <c r="AV809" s="3248">
        <v>0</v>
      </c>
      <c r="AW809" s="3247">
        <v>0</v>
      </c>
      <c r="AX809" s="3248">
        <v>0</v>
      </c>
      <c r="AY809" s="3248">
        <v>0</v>
      </c>
      <c r="AZ809" s="3247">
        <v>0</v>
      </c>
      <c r="BA809" s="3248">
        <v>0</v>
      </c>
      <c r="BB809" s="3248">
        <v>0</v>
      </c>
      <c r="BC809" s="3247">
        <v>0</v>
      </c>
      <c r="BD809" s="3248">
        <v>0</v>
      </c>
      <c r="BE809" s="3248">
        <v>0</v>
      </c>
      <c r="BF809" s="3248">
        <f t="shared" si="73"/>
        <v>0</v>
      </c>
      <c r="BG809" s="3248">
        <f t="shared" si="74"/>
        <v>0</v>
      </c>
      <c r="BH809" s="3249"/>
      <c r="BI809" s="3249"/>
    </row>
    <row r="810" spans="1:61" x14ac:dyDescent="0.3">
      <c r="A810" s="4197" t="s">
        <v>3384</v>
      </c>
      <c r="B810" s="3261"/>
      <c r="C810" s="3243">
        <v>0</v>
      </c>
      <c r="D810" s="3242">
        <v>0</v>
      </c>
      <c r="E810" s="3244"/>
      <c r="F810" s="3244"/>
      <c r="G810" s="3242">
        <v>0</v>
      </c>
      <c r="H810" s="3244"/>
      <c r="I810" s="3244"/>
      <c r="J810" s="3244"/>
      <c r="K810" s="3242">
        <v>0</v>
      </c>
      <c r="L810" s="3244"/>
      <c r="M810" s="3244"/>
      <c r="N810" s="3242" t="s">
        <v>3384</v>
      </c>
      <c r="O810" s="3239">
        <v>0</v>
      </c>
      <c r="P810" s="3242">
        <v>0</v>
      </c>
      <c r="Q810" s="3244"/>
      <c r="R810" s="3244"/>
      <c r="S810" s="3242">
        <v>0</v>
      </c>
      <c r="T810" s="3244"/>
      <c r="U810" s="3244"/>
      <c r="V810" s="3244"/>
      <c r="W810" s="3240">
        <v>0</v>
      </c>
      <c r="X810" s="3244"/>
      <c r="Y810" s="3244"/>
      <c r="Z810" s="3242" t="s">
        <v>3384</v>
      </c>
      <c r="AA810" s="3243">
        <v>0</v>
      </c>
      <c r="AB810" s="3242">
        <v>0</v>
      </c>
      <c r="AC810" s="3244"/>
      <c r="AD810" s="3244"/>
      <c r="AE810" s="3242">
        <v>0</v>
      </c>
      <c r="AF810" s="3259"/>
      <c r="AG810" s="3260"/>
      <c r="AH810" s="3260"/>
      <c r="AI810" s="3260"/>
      <c r="AJ810" s="3260"/>
      <c r="AK810" s="3260"/>
      <c r="AL810" s="3259"/>
      <c r="AM810" s="3260"/>
      <c r="AN810" s="3259"/>
      <c r="AO810" s="3260"/>
      <c r="AP810" s="3242">
        <v>0</v>
      </c>
      <c r="AQ810" s="3244"/>
      <c r="AR810" s="3244"/>
      <c r="AS810" s="3242" t="s">
        <v>3384</v>
      </c>
      <c r="AT810" s="3247">
        <f t="shared" si="71"/>
        <v>0</v>
      </c>
      <c r="AU810" s="3248">
        <f t="shared" si="72"/>
        <v>0</v>
      </c>
      <c r="AV810" s="3248">
        <v>0</v>
      </c>
      <c r="AW810" s="3247">
        <v>0</v>
      </c>
      <c r="AX810" s="3248">
        <v>0</v>
      </c>
      <c r="AY810" s="3248">
        <v>0</v>
      </c>
      <c r="AZ810" s="3247">
        <v>0</v>
      </c>
      <c r="BA810" s="3248">
        <v>0</v>
      </c>
      <c r="BB810" s="3248">
        <v>0</v>
      </c>
      <c r="BC810" s="3247">
        <v>0</v>
      </c>
      <c r="BD810" s="3248">
        <v>0</v>
      </c>
      <c r="BE810" s="3248">
        <v>0</v>
      </c>
      <c r="BF810" s="3248">
        <f t="shared" si="73"/>
        <v>0</v>
      </c>
      <c r="BG810" s="3248">
        <f t="shared" si="74"/>
        <v>0</v>
      </c>
      <c r="BH810" s="3249"/>
      <c r="BI810" s="3249"/>
    </row>
    <row r="811" spans="1:61" x14ac:dyDescent="0.3">
      <c r="A811" s="4197" t="s">
        <v>3384</v>
      </c>
      <c r="B811" s="3261"/>
      <c r="C811" s="3243">
        <v>0</v>
      </c>
      <c r="D811" s="3242">
        <v>0</v>
      </c>
      <c r="E811" s="3244"/>
      <c r="F811" s="3244"/>
      <c r="G811" s="3242">
        <v>0</v>
      </c>
      <c r="H811" s="3244"/>
      <c r="I811" s="3244"/>
      <c r="J811" s="3244"/>
      <c r="K811" s="3242">
        <v>0</v>
      </c>
      <c r="L811" s="3244"/>
      <c r="M811" s="3244"/>
      <c r="N811" s="3242" t="s">
        <v>3384</v>
      </c>
      <c r="O811" s="3239">
        <v>0</v>
      </c>
      <c r="P811" s="3242">
        <v>0</v>
      </c>
      <c r="Q811" s="3244"/>
      <c r="R811" s="3244"/>
      <c r="S811" s="3242">
        <v>0</v>
      </c>
      <c r="T811" s="3244"/>
      <c r="U811" s="3244"/>
      <c r="V811" s="3244"/>
      <c r="W811" s="3240">
        <v>0</v>
      </c>
      <c r="X811" s="3244"/>
      <c r="Y811" s="3244"/>
      <c r="Z811" s="3242" t="s">
        <v>3384</v>
      </c>
      <c r="AA811" s="3243">
        <v>0</v>
      </c>
      <c r="AB811" s="3242">
        <v>0</v>
      </c>
      <c r="AC811" s="3244"/>
      <c r="AD811" s="3244"/>
      <c r="AE811" s="3242">
        <v>0</v>
      </c>
      <c r="AF811" s="3259"/>
      <c r="AG811" s="3260"/>
      <c r="AH811" s="3260"/>
      <c r="AI811" s="3260"/>
      <c r="AJ811" s="3260"/>
      <c r="AK811" s="3260"/>
      <c r="AL811" s="3259"/>
      <c r="AM811" s="3260"/>
      <c r="AN811" s="3259"/>
      <c r="AO811" s="3260"/>
      <c r="AP811" s="3242">
        <v>0</v>
      </c>
      <c r="AQ811" s="3244"/>
      <c r="AR811" s="3244"/>
      <c r="AS811" s="3242" t="s">
        <v>3384</v>
      </c>
      <c r="AT811" s="3247">
        <f t="shared" si="71"/>
        <v>0</v>
      </c>
      <c r="AU811" s="3248">
        <f t="shared" si="72"/>
        <v>0</v>
      </c>
      <c r="AV811" s="3248">
        <v>0</v>
      </c>
      <c r="AW811" s="3247">
        <v>0</v>
      </c>
      <c r="AX811" s="3248">
        <v>0</v>
      </c>
      <c r="AY811" s="3248">
        <v>0</v>
      </c>
      <c r="AZ811" s="3247">
        <v>0</v>
      </c>
      <c r="BA811" s="3248">
        <v>0</v>
      </c>
      <c r="BB811" s="3248">
        <v>0</v>
      </c>
      <c r="BC811" s="3247">
        <v>0</v>
      </c>
      <c r="BD811" s="3248">
        <v>0</v>
      </c>
      <c r="BE811" s="3248">
        <v>0</v>
      </c>
      <c r="BF811" s="3248">
        <f t="shared" si="73"/>
        <v>0</v>
      </c>
      <c r="BG811" s="3248">
        <f t="shared" si="74"/>
        <v>0</v>
      </c>
      <c r="BH811" s="3249"/>
      <c r="BI811" s="3249"/>
    </row>
    <row r="812" spans="1:61" x14ac:dyDescent="0.3">
      <c r="A812" s="4197" t="s">
        <v>3384</v>
      </c>
      <c r="B812" s="3261"/>
      <c r="C812" s="3243">
        <v>0</v>
      </c>
      <c r="D812" s="3242">
        <v>0</v>
      </c>
      <c r="E812" s="3244"/>
      <c r="F812" s="3244"/>
      <c r="G812" s="3242">
        <v>0</v>
      </c>
      <c r="H812" s="3244"/>
      <c r="I812" s="3244"/>
      <c r="J812" s="3244"/>
      <c r="K812" s="3242">
        <v>0</v>
      </c>
      <c r="L812" s="3244"/>
      <c r="M812" s="3244"/>
      <c r="N812" s="3242" t="s">
        <v>3384</v>
      </c>
      <c r="O812" s="3239">
        <v>0</v>
      </c>
      <c r="P812" s="3242">
        <v>0</v>
      </c>
      <c r="Q812" s="3244"/>
      <c r="R812" s="3244"/>
      <c r="S812" s="3242">
        <v>0</v>
      </c>
      <c r="T812" s="3244"/>
      <c r="U812" s="3244"/>
      <c r="V812" s="3244"/>
      <c r="W812" s="3240">
        <v>0</v>
      </c>
      <c r="X812" s="3244"/>
      <c r="Y812" s="3244"/>
      <c r="Z812" s="3242" t="s">
        <v>3384</v>
      </c>
      <c r="AA812" s="3243">
        <v>0</v>
      </c>
      <c r="AB812" s="3242">
        <v>0</v>
      </c>
      <c r="AC812" s="3244"/>
      <c r="AD812" s="3244"/>
      <c r="AE812" s="3242">
        <v>0</v>
      </c>
      <c r="AF812" s="3259"/>
      <c r="AG812" s="3260"/>
      <c r="AH812" s="3260"/>
      <c r="AI812" s="3260"/>
      <c r="AJ812" s="3260"/>
      <c r="AK812" s="3260"/>
      <c r="AL812" s="3259"/>
      <c r="AM812" s="3260"/>
      <c r="AN812" s="3259"/>
      <c r="AO812" s="3260"/>
      <c r="AP812" s="3242">
        <v>0</v>
      </c>
      <c r="AQ812" s="3244"/>
      <c r="AR812" s="3244"/>
      <c r="AS812" s="3242" t="s">
        <v>3384</v>
      </c>
      <c r="AT812" s="3247">
        <f t="shared" si="71"/>
        <v>0</v>
      </c>
      <c r="AU812" s="3248">
        <f t="shared" si="72"/>
        <v>0</v>
      </c>
      <c r="AV812" s="3248">
        <v>0</v>
      </c>
      <c r="AW812" s="3247">
        <v>0</v>
      </c>
      <c r="AX812" s="3248">
        <v>0</v>
      </c>
      <c r="AY812" s="3248">
        <v>0</v>
      </c>
      <c r="AZ812" s="3247">
        <v>0</v>
      </c>
      <c r="BA812" s="3248">
        <v>0</v>
      </c>
      <c r="BB812" s="3248">
        <v>0</v>
      </c>
      <c r="BC812" s="3247">
        <v>0</v>
      </c>
      <c r="BD812" s="3248">
        <v>0</v>
      </c>
      <c r="BE812" s="3248">
        <v>0</v>
      </c>
      <c r="BF812" s="3248">
        <f t="shared" si="73"/>
        <v>0</v>
      </c>
      <c r="BG812" s="3248">
        <f t="shared" si="74"/>
        <v>0</v>
      </c>
      <c r="BH812" s="3249"/>
      <c r="BI812" s="3249"/>
    </row>
    <row r="813" spans="1:61" x14ac:dyDescent="0.3">
      <c r="A813" s="4197" t="s">
        <v>3384</v>
      </c>
      <c r="B813" s="3261"/>
      <c r="C813" s="3243">
        <v>0</v>
      </c>
      <c r="D813" s="3242">
        <v>0</v>
      </c>
      <c r="E813" s="3244"/>
      <c r="F813" s="3244"/>
      <c r="G813" s="3242">
        <v>0</v>
      </c>
      <c r="H813" s="3244"/>
      <c r="I813" s="3244"/>
      <c r="J813" s="3244"/>
      <c r="K813" s="3242">
        <v>0</v>
      </c>
      <c r="L813" s="3244"/>
      <c r="M813" s="3244"/>
      <c r="N813" s="3242" t="s">
        <v>3384</v>
      </c>
      <c r="O813" s="3239">
        <v>0</v>
      </c>
      <c r="P813" s="3242">
        <v>0</v>
      </c>
      <c r="Q813" s="3244"/>
      <c r="R813" s="3244"/>
      <c r="S813" s="3242">
        <v>0</v>
      </c>
      <c r="T813" s="3244"/>
      <c r="U813" s="3244"/>
      <c r="V813" s="3244"/>
      <c r="W813" s="3240">
        <v>0</v>
      </c>
      <c r="X813" s="3244"/>
      <c r="Y813" s="3244"/>
      <c r="Z813" s="3242" t="s">
        <v>3384</v>
      </c>
      <c r="AA813" s="3243">
        <v>0</v>
      </c>
      <c r="AB813" s="3242">
        <v>0</v>
      </c>
      <c r="AC813" s="3244"/>
      <c r="AD813" s="3244"/>
      <c r="AE813" s="3242">
        <v>0</v>
      </c>
      <c r="AF813" s="3259"/>
      <c r="AG813" s="3260"/>
      <c r="AH813" s="3260"/>
      <c r="AI813" s="3260"/>
      <c r="AJ813" s="3260"/>
      <c r="AK813" s="3260"/>
      <c r="AL813" s="3259"/>
      <c r="AM813" s="3260"/>
      <c r="AN813" s="3259"/>
      <c r="AO813" s="3260"/>
      <c r="AP813" s="3242">
        <v>0</v>
      </c>
      <c r="AQ813" s="3244"/>
      <c r="AR813" s="3244"/>
      <c r="AS813" s="3242" t="s">
        <v>3384</v>
      </c>
      <c r="AT813" s="3247">
        <f t="shared" si="71"/>
        <v>0</v>
      </c>
      <c r="AU813" s="3248">
        <f t="shared" si="72"/>
        <v>0</v>
      </c>
      <c r="AV813" s="3248">
        <v>0</v>
      </c>
      <c r="AW813" s="3247">
        <v>0</v>
      </c>
      <c r="AX813" s="3248">
        <v>0</v>
      </c>
      <c r="AY813" s="3248">
        <v>0</v>
      </c>
      <c r="AZ813" s="3247">
        <v>0</v>
      </c>
      <c r="BA813" s="3248">
        <v>0</v>
      </c>
      <c r="BB813" s="3248">
        <v>0</v>
      </c>
      <c r="BC813" s="3247">
        <v>0</v>
      </c>
      <c r="BD813" s="3248">
        <v>0</v>
      </c>
      <c r="BE813" s="3248">
        <v>0</v>
      </c>
      <c r="BF813" s="3248">
        <f t="shared" si="73"/>
        <v>0</v>
      </c>
      <c r="BG813" s="3248">
        <f t="shared" si="74"/>
        <v>0</v>
      </c>
      <c r="BH813" s="3249"/>
      <c r="BI813" s="3249"/>
    </row>
    <row r="814" spans="1:61" x14ac:dyDescent="0.3">
      <c r="A814" s="4197" t="s">
        <v>3384</v>
      </c>
      <c r="B814" s="3261"/>
      <c r="C814" s="3243">
        <v>0</v>
      </c>
      <c r="D814" s="3242">
        <v>0</v>
      </c>
      <c r="E814" s="3244"/>
      <c r="F814" s="3244"/>
      <c r="G814" s="3242">
        <v>0</v>
      </c>
      <c r="H814" s="3244"/>
      <c r="I814" s="3244"/>
      <c r="J814" s="3244"/>
      <c r="K814" s="3242">
        <v>0</v>
      </c>
      <c r="L814" s="3244"/>
      <c r="M814" s="3244"/>
      <c r="N814" s="3242" t="s">
        <v>3384</v>
      </c>
      <c r="O814" s="3239">
        <v>0</v>
      </c>
      <c r="P814" s="3242">
        <v>0</v>
      </c>
      <c r="Q814" s="3244"/>
      <c r="R814" s="3244"/>
      <c r="S814" s="3242">
        <v>0</v>
      </c>
      <c r="T814" s="3244"/>
      <c r="U814" s="3244"/>
      <c r="V814" s="3244"/>
      <c r="W814" s="3240">
        <v>0</v>
      </c>
      <c r="X814" s="3244"/>
      <c r="Y814" s="3244"/>
      <c r="Z814" s="3242" t="s">
        <v>3384</v>
      </c>
      <c r="AA814" s="3243">
        <v>0</v>
      </c>
      <c r="AB814" s="3242">
        <v>0</v>
      </c>
      <c r="AC814" s="3244"/>
      <c r="AD814" s="3244"/>
      <c r="AE814" s="3242">
        <v>0</v>
      </c>
      <c r="AF814" s="3259"/>
      <c r="AG814" s="3260"/>
      <c r="AH814" s="3260"/>
      <c r="AI814" s="3260"/>
      <c r="AJ814" s="3260"/>
      <c r="AK814" s="3260"/>
      <c r="AL814" s="3259"/>
      <c r="AM814" s="3260"/>
      <c r="AN814" s="3259"/>
      <c r="AO814" s="3260"/>
      <c r="AP814" s="3242">
        <v>0</v>
      </c>
      <c r="AQ814" s="3244"/>
      <c r="AR814" s="3244"/>
      <c r="AS814" s="3242" t="s">
        <v>3384</v>
      </c>
      <c r="AT814" s="3247">
        <f t="shared" si="71"/>
        <v>0</v>
      </c>
      <c r="AU814" s="3248">
        <f t="shared" si="72"/>
        <v>0</v>
      </c>
      <c r="AV814" s="3248">
        <v>0</v>
      </c>
      <c r="AW814" s="3247">
        <v>0</v>
      </c>
      <c r="AX814" s="3248">
        <v>0</v>
      </c>
      <c r="AY814" s="3248">
        <v>0</v>
      </c>
      <c r="AZ814" s="3247">
        <v>0</v>
      </c>
      <c r="BA814" s="3248">
        <v>0</v>
      </c>
      <c r="BB814" s="3248">
        <v>0</v>
      </c>
      <c r="BC814" s="3247">
        <v>0</v>
      </c>
      <c r="BD814" s="3248">
        <v>0</v>
      </c>
      <c r="BE814" s="3248">
        <v>0</v>
      </c>
      <c r="BF814" s="3248">
        <f t="shared" si="73"/>
        <v>0</v>
      </c>
      <c r="BG814" s="3248">
        <f t="shared" si="74"/>
        <v>0</v>
      </c>
      <c r="BH814" s="3249"/>
      <c r="BI814" s="3249"/>
    </row>
    <row r="815" spans="1:61" x14ac:dyDescent="0.3">
      <c r="A815" s="4197" t="s">
        <v>3384</v>
      </c>
      <c r="B815" s="3261"/>
      <c r="C815" s="3243">
        <v>0</v>
      </c>
      <c r="D815" s="3242">
        <v>0</v>
      </c>
      <c r="E815" s="3244"/>
      <c r="F815" s="3244"/>
      <c r="G815" s="3242">
        <v>0</v>
      </c>
      <c r="H815" s="3244"/>
      <c r="I815" s="3244"/>
      <c r="J815" s="3244"/>
      <c r="K815" s="3242">
        <v>0</v>
      </c>
      <c r="L815" s="3244"/>
      <c r="M815" s="3244"/>
      <c r="N815" s="3242" t="s">
        <v>3384</v>
      </c>
      <c r="O815" s="3239">
        <v>0</v>
      </c>
      <c r="P815" s="3242">
        <v>0</v>
      </c>
      <c r="Q815" s="3244"/>
      <c r="R815" s="3244"/>
      <c r="S815" s="3242">
        <v>0</v>
      </c>
      <c r="T815" s="3244"/>
      <c r="U815" s="3244"/>
      <c r="V815" s="3244"/>
      <c r="W815" s="3240">
        <v>0</v>
      </c>
      <c r="X815" s="3244"/>
      <c r="Y815" s="3244"/>
      <c r="Z815" s="3242" t="s">
        <v>3384</v>
      </c>
      <c r="AA815" s="3243">
        <v>0</v>
      </c>
      <c r="AB815" s="3242">
        <v>0</v>
      </c>
      <c r="AC815" s="3244"/>
      <c r="AD815" s="3244"/>
      <c r="AE815" s="3242">
        <v>0</v>
      </c>
      <c r="AF815" s="3259"/>
      <c r="AG815" s="3260"/>
      <c r="AH815" s="3260"/>
      <c r="AI815" s="3260"/>
      <c r="AJ815" s="3260"/>
      <c r="AK815" s="3260"/>
      <c r="AL815" s="3259"/>
      <c r="AM815" s="3260"/>
      <c r="AN815" s="3259"/>
      <c r="AO815" s="3260"/>
      <c r="AP815" s="3242">
        <v>0</v>
      </c>
      <c r="AQ815" s="3244"/>
      <c r="AR815" s="3244"/>
      <c r="AS815" s="3242" t="s">
        <v>3384</v>
      </c>
      <c r="AT815" s="3247">
        <f t="shared" si="71"/>
        <v>0</v>
      </c>
      <c r="AU815" s="3248">
        <f t="shared" si="72"/>
        <v>0</v>
      </c>
      <c r="AV815" s="3248">
        <v>0</v>
      </c>
      <c r="AW815" s="3247">
        <v>0</v>
      </c>
      <c r="AX815" s="3248">
        <v>0</v>
      </c>
      <c r="AY815" s="3248">
        <v>0</v>
      </c>
      <c r="AZ815" s="3247">
        <v>0</v>
      </c>
      <c r="BA815" s="3248">
        <v>0</v>
      </c>
      <c r="BB815" s="3248">
        <v>0</v>
      </c>
      <c r="BC815" s="3247">
        <v>0</v>
      </c>
      <c r="BD815" s="3248">
        <v>0</v>
      </c>
      <c r="BE815" s="3248">
        <v>0</v>
      </c>
      <c r="BF815" s="3248">
        <f t="shared" si="73"/>
        <v>0</v>
      </c>
      <c r="BG815" s="3248">
        <f t="shared" si="74"/>
        <v>0</v>
      </c>
      <c r="BH815" s="3249"/>
      <c r="BI815" s="3249"/>
    </row>
    <row r="816" spans="1:61" x14ac:dyDescent="0.3">
      <c r="A816" s="4197" t="s">
        <v>3384</v>
      </c>
      <c r="B816" s="3261"/>
      <c r="C816" s="3243">
        <v>0</v>
      </c>
      <c r="D816" s="3242">
        <v>0</v>
      </c>
      <c r="E816" s="3244"/>
      <c r="F816" s="3244"/>
      <c r="G816" s="3242">
        <v>0</v>
      </c>
      <c r="H816" s="3244"/>
      <c r="I816" s="3244"/>
      <c r="J816" s="3244"/>
      <c r="K816" s="3242">
        <v>0</v>
      </c>
      <c r="L816" s="3244"/>
      <c r="M816" s="3244"/>
      <c r="N816" s="3242" t="s">
        <v>3384</v>
      </c>
      <c r="O816" s="3239">
        <v>0</v>
      </c>
      <c r="P816" s="3242">
        <v>0</v>
      </c>
      <c r="Q816" s="3244"/>
      <c r="R816" s="3244"/>
      <c r="S816" s="3242">
        <v>0</v>
      </c>
      <c r="T816" s="3244"/>
      <c r="U816" s="3244"/>
      <c r="V816" s="3244"/>
      <c r="W816" s="3240">
        <v>0</v>
      </c>
      <c r="X816" s="3244"/>
      <c r="Y816" s="3244"/>
      <c r="Z816" s="3242" t="s">
        <v>3384</v>
      </c>
      <c r="AA816" s="3243">
        <v>0</v>
      </c>
      <c r="AB816" s="3242">
        <v>0</v>
      </c>
      <c r="AC816" s="3244"/>
      <c r="AD816" s="3244"/>
      <c r="AE816" s="3242">
        <v>0</v>
      </c>
      <c r="AF816" s="3259"/>
      <c r="AG816" s="3260"/>
      <c r="AH816" s="3260"/>
      <c r="AI816" s="3260"/>
      <c r="AJ816" s="3260"/>
      <c r="AK816" s="3260"/>
      <c r="AL816" s="3259"/>
      <c r="AM816" s="3260"/>
      <c r="AN816" s="3259"/>
      <c r="AO816" s="3260"/>
      <c r="AP816" s="3242">
        <v>0</v>
      </c>
      <c r="AQ816" s="3244"/>
      <c r="AR816" s="3244"/>
      <c r="AS816" s="3242" t="s">
        <v>3384</v>
      </c>
      <c r="AT816" s="3247">
        <f t="shared" si="71"/>
        <v>0</v>
      </c>
      <c r="AU816" s="3248">
        <f t="shared" si="72"/>
        <v>0</v>
      </c>
      <c r="AV816" s="3248">
        <v>0</v>
      </c>
      <c r="AW816" s="3247">
        <v>0</v>
      </c>
      <c r="AX816" s="3248">
        <v>0</v>
      </c>
      <c r="AY816" s="3248">
        <v>0</v>
      </c>
      <c r="AZ816" s="3247">
        <v>0</v>
      </c>
      <c r="BA816" s="3248">
        <v>0</v>
      </c>
      <c r="BB816" s="3248">
        <v>0</v>
      </c>
      <c r="BC816" s="3247">
        <v>0</v>
      </c>
      <c r="BD816" s="3248">
        <v>0</v>
      </c>
      <c r="BE816" s="3248">
        <v>0</v>
      </c>
      <c r="BF816" s="3248">
        <f t="shared" si="73"/>
        <v>0</v>
      </c>
      <c r="BG816" s="3248">
        <f t="shared" si="74"/>
        <v>0</v>
      </c>
      <c r="BH816" s="3249"/>
      <c r="BI816" s="3249"/>
    </row>
    <row r="817" spans="1:61" x14ac:dyDescent="0.3">
      <c r="A817" s="4197" t="s">
        <v>3384</v>
      </c>
      <c r="B817" s="3261"/>
      <c r="C817" s="3243">
        <v>0</v>
      </c>
      <c r="D817" s="3242">
        <v>0</v>
      </c>
      <c r="E817" s="3244"/>
      <c r="F817" s="3244"/>
      <c r="G817" s="3242">
        <v>0</v>
      </c>
      <c r="H817" s="3244"/>
      <c r="I817" s="3244"/>
      <c r="J817" s="3244"/>
      <c r="K817" s="3242">
        <v>0</v>
      </c>
      <c r="L817" s="3244"/>
      <c r="M817" s="3244"/>
      <c r="N817" s="3242" t="s">
        <v>3384</v>
      </c>
      <c r="O817" s="3239">
        <v>0</v>
      </c>
      <c r="P817" s="3242">
        <v>0</v>
      </c>
      <c r="Q817" s="3244"/>
      <c r="R817" s="3244"/>
      <c r="S817" s="3242">
        <v>0</v>
      </c>
      <c r="T817" s="3244"/>
      <c r="U817" s="3244"/>
      <c r="V817" s="3244"/>
      <c r="W817" s="3240">
        <v>0</v>
      </c>
      <c r="X817" s="3244"/>
      <c r="Y817" s="3244"/>
      <c r="Z817" s="3242" t="s">
        <v>3384</v>
      </c>
      <c r="AA817" s="3243">
        <v>0</v>
      </c>
      <c r="AB817" s="3242">
        <v>0</v>
      </c>
      <c r="AC817" s="3244"/>
      <c r="AD817" s="3244"/>
      <c r="AE817" s="3242">
        <v>0</v>
      </c>
      <c r="AF817" s="3259"/>
      <c r="AG817" s="3260"/>
      <c r="AH817" s="3260"/>
      <c r="AI817" s="3260"/>
      <c r="AJ817" s="3260"/>
      <c r="AK817" s="3260"/>
      <c r="AL817" s="3259"/>
      <c r="AM817" s="3260"/>
      <c r="AN817" s="3259"/>
      <c r="AO817" s="3260"/>
      <c r="AP817" s="3242">
        <v>0</v>
      </c>
      <c r="AQ817" s="3244"/>
      <c r="AR817" s="3244"/>
      <c r="AS817" s="3242" t="s">
        <v>3384</v>
      </c>
      <c r="AT817" s="3247">
        <f t="shared" si="71"/>
        <v>0</v>
      </c>
      <c r="AU817" s="3248">
        <f t="shared" si="72"/>
        <v>0</v>
      </c>
      <c r="AV817" s="3248">
        <v>0</v>
      </c>
      <c r="AW817" s="3247">
        <v>0</v>
      </c>
      <c r="AX817" s="3248">
        <v>0</v>
      </c>
      <c r="AY817" s="3248">
        <v>0</v>
      </c>
      <c r="AZ817" s="3247">
        <v>0</v>
      </c>
      <c r="BA817" s="3248">
        <v>0</v>
      </c>
      <c r="BB817" s="3248">
        <v>0</v>
      </c>
      <c r="BC817" s="3247">
        <v>0</v>
      </c>
      <c r="BD817" s="3248">
        <v>0</v>
      </c>
      <c r="BE817" s="3248">
        <v>0</v>
      </c>
      <c r="BF817" s="3248">
        <f t="shared" si="73"/>
        <v>0</v>
      </c>
      <c r="BG817" s="3248">
        <f t="shared" si="74"/>
        <v>0</v>
      </c>
      <c r="BH817" s="3249"/>
      <c r="BI817" s="3249"/>
    </row>
    <row r="818" spans="1:61" x14ac:dyDescent="0.3">
      <c r="A818" s="4197" t="s">
        <v>3384</v>
      </c>
      <c r="B818" s="3261"/>
      <c r="C818" s="3243">
        <v>0</v>
      </c>
      <c r="D818" s="3242">
        <v>0</v>
      </c>
      <c r="E818" s="3244"/>
      <c r="F818" s="3244"/>
      <c r="G818" s="3242">
        <v>0</v>
      </c>
      <c r="H818" s="3244"/>
      <c r="I818" s="3244"/>
      <c r="J818" s="3244"/>
      <c r="K818" s="3242">
        <v>0</v>
      </c>
      <c r="L818" s="3244"/>
      <c r="M818" s="3244"/>
      <c r="N818" s="3242" t="s">
        <v>3384</v>
      </c>
      <c r="O818" s="3239">
        <v>0</v>
      </c>
      <c r="P818" s="3242">
        <v>0</v>
      </c>
      <c r="Q818" s="3244"/>
      <c r="R818" s="3244"/>
      <c r="S818" s="3242">
        <v>0</v>
      </c>
      <c r="T818" s="3244"/>
      <c r="U818" s="3244"/>
      <c r="V818" s="3244"/>
      <c r="W818" s="3240">
        <v>0</v>
      </c>
      <c r="X818" s="3244"/>
      <c r="Y818" s="3244"/>
      <c r="Z818" s="3242" t="s">
        <v>3384</v>
      </c>
      <c r="AA818" s="3243">
        <v>0</v>
      </c>
      <c r="AB818" s="3242">
        <v>0</v>
      </c>
      <c r="AC818" s="3244"/>
      <c r="AD818" s="3244"/>
      <c r="AE818" s="3242">
        <v>0</v>
      </c>
      <c r="AF818" s="3259"/>
      <c r="AG818" s="3260"/>
      <c r="AH818" s="3260"/>
      <c r="AI818" s="3260"/>
      <c r="AJ818" s="3260"/>
      <c r="AK818" s="3260"/>
      <c r="AL818" s="3259"/>
      <c r="AM818" s="3260"/>
      <c r="AN818" s="3259"/>
      <c r="AO818" s="3260"/>
      <c r="AP818" s="3242">
        <v>0</v>
      </c>
      <c r="AQ818" s="3244"/>
      <c r="AR818" s="3244"/>
      <c r="AS818" s="3242" t="s">
        <v>3384</v>
      </c>
      <c r="AT818" s="3247">
        <f t="shared" si="71"/>
        <v>0</v>
      </c>
      <c r="AU818" s="3248">
        <f t="shared" si="72"/>
        <v>0</v>
      </c>
      <c r="AV818" s="3248">
        <v>0</v>
      </c>
      <c r="AW818" s="3247">
        <v>0</v>
      </c>
      <c r="AX818" s="3248">
        <v>0</v>
      </c>
      <c r="AY818" s="3248">
        <v>0</v>
      </c>
      <c r="AZ818" s="3247">
        <v>0</v>
      </c>
      <c r="BA818" s="3248">
        <v>0</v>
      </c>
      <c r="BB818" s="3248">
        <v>0</v>
      </c>
      <c r="BC818" s="3247">
        <v>0</v>
      </c>
      <c r="BD818" s="3248">
        <v>0</v>
      </c>
      <c r="BE818" s="3248">
        <v>0</v>
      </c>
      <c r="BF818" s="3248">
        <f t="shared" si="73"/>
        <v>0</v>
      </c>
      <c r="BG818" s="3248">
        <f t="shared" si="74"/>
        <v>0</v>
      </c>
      <c r="BH818" s="3249"/>
      <c r="BI818" s="3249"/>
    </row>
    <row r="819" spans="1:61" x14ac:dyDescent="0.3">
      <c r="A819" s="4197" t="s">
        <v>3384</v>
      </c>
      <c r="B819" s="3261"/>
      <c r="C819" s="3243">
        <v>0</v>
      </c>
      <c r="D819" s="3242">
        <v>0</v>
      </c>
      <c r="E819" s="3244"/>
      <c r="F819" s="3244"/>
      <c r="G819" s="3242">
        <v>0</v>
      </c>
      <c r="H819" s="3244"/>
      <c r="I819" s="3244"/>
      <c r="J819" s="3244"/>
      <c r="K819" s="3242">
        <v>0</v>
      </c>
      <c r="L819" s="3244"/>
      <c r="M819" s="3244"/>
      <c r="N819" s="3242" t="s">
        <v>3384</v>
      </c>
      <c r="O819" s="3239">
        <v>0</v>
      </c>
      <c r="P819" s="3242">
        <v>0</v>
      </c>
      <c r="Q819" s="3244"/>
      <c r="R819" s="3244"/>
      <c r="S819" s="3242">
        <v>0</v>
      </c>
      <c r="T819" s="3244"/>
      <c r="U819" s="3244"/>
      <c r="V819" s="3244"/>
      <c r="W819" s="3240">
        <v>0</v>
      </c>
      <c r="X819" s="3244"/>
      <c r="Y819" s="3244"/>
      <c r="Z819" s="3242" t="s">
        <v>3384</v>
      </c>
      <c r="AA819" s="3243">
        <v>0</v>
      </c>
      <c r="AB819" s="3242">
        <v>0</v>
      </c>
      <c r="AC819" s="3244"/>
      <c r="AD819" s="3244"/>
      <c r="AE819" s="3242">
        <v>0</v>
      </c>
      <c r="AF819" s="3259"/>
      <c r="AG819" s="3260"/>
      <c r="AH819" s="3260"/>
      <c r="AI819" s="3260"/>
      <c r="AJ819" s="3260"/>
      <c r="AK819" s="3260"/>
      <c r="AL819" s="3259"/>
      <c r="AM819" s="3260"/>
      <c r="AN819" s="3259"/>
      <c r="AO819" s="3260"/>
      <c r="AP819" s="3242">
        <v>0</v>
      </c>
      <c r="AQ819" s="3244"/>
      <c r="AR819" s="3244"/>
      <c r="AS819" s="3242" t="s">
        <v>3384</v>
      </c>
      <c r="AT819" s="3247">
        <f t="shared" si="71"/>
        <v>0</v>
      </c>
      <c r="AU819" s="3248">
        <f t="shared" si="72"/>
        <v>0</v>
      </c>
      <c r="AV819" s="3248">
        <v>0</v>
      </c>
      <c r="AW819" s="3247">
        <v>0</v>
      </c>
      <c r="AX819" s="3248">
        <v>0</v>
      </c>
      <c r="AY819" s="3248">
        <v>0</v>
      </c>
      <c r="AZ819" s="3247">
        <v>0</v>
      </c>
      <c r="BA819" s="3248">
        <v>0</v>
      </c>
      <c r="BB819" s="3248">
        <v>0</v>
      </c>
      <c r="BC819" s="3247">
        <v>0</v>
      </c>
      <c r="BD819" s="3248">
        <v>0</v>
      </c>
      <c r="BE819" s="3248">
        <v>0</v>
      </c>
      <c r="BF819" s="3248">
        <f t="shared" si="73"/>
        <v>0</v>
      </c>
      <c r="BG819" s="3248">
        <f t="shared" si="74"/>
        <v>0</v>
      </c>
      <c r="BH819" s="3249"/>
      <c r="BI819" s="3249"/>
    </row>
    <row r="820" spans="1:61" x14ac:dyDescent="0.3">
      <c r="A820" s="4197" t="s">
        <v>3384</v>
      </c>
      <c r="B820" s="3261"/>
      <c r="C820" s="3243">
        <v>0</v>
      </c>
      <c r="D820" s="3242">
        <v>0</v>
      </c>
      <c r="E820" s="3244"/>
      <c r="F820" s="3244"/>
      <c r="G820" s="3242">
        <v>0</v>
      </c>
      <c r="H820" s="3244"/>
      <c r="I820" s="3244"/>
      <c r="J820" s="3244"/>
      <c r="K820" s="3242">
        <v>0</v>
      </c>
      <c r="L820" s="3244"/>
      <c r="M820" s="3244"/>
      <c r="N820" s="3242" t="s">
        <v>3384</v>
      </c>
      <c r="O820" s="3239">
        <v>0</v>
      </c>
      <c r="P820" s="3242">
        <v>0</v>
      </c>
      <c r="Q820" s="3244"/>
      <c r="R820" s="3244"/>
      <c r="S820" s="3242">
        <v>0</v>
      </c>
      <c r="T820" s="3244"/>
      <c r="U820" s="3244"/>
      <c r="V820" s="3244"/>
      <c r="W820" s="3240">
        <v>0</v>
      </c>
      <c r="X820" s="3244"/>
      <c r="Y820" s="3244"/>
      <c r="Z820" s="3242" t="s">
        <v>3384</v>
      </c>
      <c r="AA820" s="3243">
        <v>0</v>
      </c>
      <c r="AB820" s="3242">
        <v>0</v>
      </c>
      <c r="AC820" s="3244"/>
      <c r="AD820" s="3244"/>
      <c r="AE820" s="3242">
        <v>0</v>
      </c>
      <c r="AF820" s="3259"/>
      <c r="AG820" s="3260"/>
      <c r="AH820" s="3260"/>
      <c r="AI820" s="3260"/>
      <c r="AJ820" s="3260"/>
      <c r="AK820" s="3260"/>
      <c r="AL820" s="3259"/>
      <c r="AM820" s="3260"/>
      <c r="AN820" s="3259"/>
      <c r="AO820" s="3260"/>
      <c r="AP820" s="3242">
        <v>0</v>
      </c>
      <c r="AQ820" s="3244"/>
      <c r="AR820" s="3244"/>
      <c r="AS820" s="3242" t="s">
        <v>3384</v>
      </c>
      <c r="AT820" s="3247">
        <f t="shared" si="71"/>
        <v>0</v>
      </c>
      <c r="AU820" s="3248">
        <f t="shared" si="72"/>
        <v>0</v>
      </c>
      <c r="AV820" s="3248">
        <v>0</v>
      </c>
      <c r="AW820" s="3247">
        <v>0</v>
      </c>
      <c r="AX820" s="3248">
        <v>0</v>
      </c>
      <c r="AY820" s="3248">
        <v>0</v>
      </c>
      <c r="AZ820" s="3247">
        <v>0</v>
      </c>
      <c r="BA820" s="3248">
        <v>0</v>
      </c>
      <c r="BB820" s="3248">
        <v>0</v>
      </c>
      <c r="BC820" s="3247">
        <v>0</v>
      </c>
      <c r="BD820" s="3248">
        <v>0</v>
      </c>
      <c r="BE820" s="3248">
        <v>0</v>
      </c>
      <c r="BF820" s="3248">
        <f t="shared" si="73"/>
        <v>0</v>
      </c>
      <c r="BG820" s="3248">
        <f t="shared" si="74"/>
        <v>0</v>
      </c>
      <c r="BH820" s="3249"/>
      <c r="BI820" s="3249"/>
    </row>
    <row r="821" spans="1:61" x14ac:dyDescent="0.3">
      <c r="A821" s="4197" t="s">
        <v>3384</v>
      </c>
      <c r="B821" s="3261"/>
      <c r="C821" s="3243">
        <v>0</v>
      </c>
      <c r="D821" s="3242">
        <v>0</v>
      </c>
      <c r="E821" s="3244"/>
      <c r="F821" s="3244"/>
      <c r="G821" s="3242">
        <v>0</v>
      </c>
      <c r="H821" s="3244"/>
      <c r="I821" s="3244"/>
      <c r="J821" s="3244"/>
      <c r="K821" s="3242">
        <v>0</v>
      </c>
      <c r="L821" s="3244"/>
      <c r="M821" s="3244"/>
      <c r="N821" s="3242" t="s">
        <v>3384</v>
      </c>
      <c r="O821" s="3239">
        <v>0</v>
      </c>
      <c r="P821" s="3242">
        <v>0</v>
      </c>
      <c r="Q821" s="3244"/>
      <c r="R821" s="3244"/>
      <c r="S821" s="3242">
        <v>0</v>
      </c>
      <c r="T821" s="3244"/>
      <c r="U821" s="3244"/>
      <c r="V821" s="3244"/>
      <c r="W821" s="3240">
        <v>0</v>
      </c>
      <c r="X821" s="3244"/>
      <c r="Y821" s="3244"/>
      <c r="Z821" s="3242" t="s">
        <v>3384</v>
      </c>
      <c r="AA821" s="3243">
        <v>0</v>
      </c>
      <c r="AB821" s="3242">
        <v>0</v>
      </c>
      <c r="AC821" s="3244"/>
      <c r="AD821" s="3244"/>
      <c r="AE821" s="3242">
        <v>0</v>
      </c>
      <c r="AF821" s="3259"/>
      <c r="AG821" s="3260"/>
      <c r="AH821" s="3260"/>
      <c r="AI821" s="3260"/>
      <c r="AJ821" s="3260"/>
      <c r="AK821" s="3260"/>
      <c r="AL821" s="3259"/>
      <c r="AM821" s="3260"/>
      <c r="AN821" s="3259"/>
      <c r="AO821" s="3260"/>
      <c r="AP821" s="3242">
        <v>0</v>
      </c>
      <c r="AQ821" s="3244"/>
      <c r="AR821" s="3244"/>
      <c r="AS821" s="3242" t="s">
        <v>3384</v>
      </c>
      <c r="AT821" s="3247">
        <f t="shared" si="71"/>
        <v>0</v>
      </c>
      <c r="AU821" s="3248">
        <f t="shared" si="72"/>
        <v>0</v>
      </c>
      <c r="AV821" s="3248">
        <v>0</v>
      </c>
      <c r="AW821" s="3247">
        <v>0</v>
      </c>
      <c r="AX821" s="3248">
        <v>0</v>
      </c>
      <c r="AY821" s="3248">
        <v>0</v>
      </c>
      <c r="AZ821" s="3247">
        <v>0</v>
      </c>
      <c r="BA821" s="3248">
        <v>0</v>
      </c>
      <c r="BB821" s="3248">
        <v>0</v>
      </c>
      <c r="BC821" s="3247">
        <v>0</v>
      </c>
      <c r="BD821" s="3248">
        <v>0</v>
      </c>
      <c r="BE821" s="3248">
        <v>0</v>
      </c>
      <c r="BF821" s="3248">
        <f t="shared" si="73"/>
        <v>0</v>
      </c>
      <c r="BG821" s="3248">
        <f t="shared" si="74"/>
        <v>0</v>
      </c>
      <c r="BH821" s="3249"/>
      <c r="BI821" s="3249"/>
    </row>
    <row r="822" spans="1:61" x14ac:dyDescent="0.3">
      <c r="A822" s="4197" t="s">
        <v>3384</v>
      </c>
      <c r="B822" s="3261"/>
      <c r="C822" s="3243">
        <v>0</v>
      </c>
      <c r="D822" s="3242">
        <v>0</v>
      </c>
      <c r="E822" s="3244"/>
      <c r="F822" s="3244"/>
      <c r="G822" s="3242">
        <v>0</v>
      </c>
      <c r="H822" s="3244"/>
      <c r="I822" s="3244"/>
      <c r="J822" s="3244"/>
      <c r="K822" s="3242">
        <v>0</v>
      </c>
      <c r="L822" s="3244"/>
      <c r="M822" s="3244"/>
      <c r="N822" s="3242" t="s">
        <v>3384</v>
      </c>
      <c r="O822" s="3239">
        <v>0</v>
      </c>
      <c r="P822" s="3242">
        <v>0</v>
      </c>
      <c r="Q822" s="3244"/>
      <c r="R822" s="3244"/>
      <c r="S822" s="3242">
        <v>0</v>
      </c>
      <c r="T822" s="3244"/>
      <c r="U822" s="3244"/>
      <c r="V822" s="3244"/>
      <c r="W822" s="3240">
        <v>0</v>
      </c>
      <c r="X822" s="3244"/>
      <c r="Y822" s="3244"/>
      <c r="Z822" s="3242" t="s">
        <v>3384</v>
      </c>
      <c r="AA822" s="3243">
        <v>0</v>
      </c>
      <c r="AB822" s="3242">
        <v>0</v>
      </c>
      <c r="AC822" s="3244"/>
      <c r="AD822" s="3244"/>
      <c r="AE822" s="3242">
        <v>0</v>
      </c>
      <c r="AF822" s="3259"/>
      <c r="AG822" s="3260"/>
      <c r="AH822" s="3260"/>
      <c r="AI822" s="3260"/>
      <c r="AJ822" s="3260"/>
      <c r="AK822" s="3260"/>
      <c r="AL822" s="3259"/>
      <c r="AM822" s="3260"/>
      <c r="AN822" s="3259"/>
      <c r="AO822" s="3260"/>
      <c r="AP822" s="3242">
        <v>0</v>
      </c>
      <c r="AQ822" s="3244"/>
      <c r="AR822" s="3244"/>
      <c r="AS822" s="3242" t="s">
        <v>3384</v>
      </c>
      <c r="AT822" s="3247">
        <f t="shared" si="71"/>
        <v>0</v>
      </c>
      <c r="AU822" s="3248">
        <f t="shared" si="72"/>
        <v>0</v>
      </c>
      <c r="AV822" s="3248">
        <v>0</v>
      </c>
      <c r="AW822" s="3247">
        <v>0</v>
      </c>
      <c r="AX822" s="3248">
        <v>0</v>
      </c>
      <c r="AY822" s="3248">
        <v>0</v>
      </c>
      <c r="AZ822" s="3247">
        <v>0</v>
      </c>
      <c r="BA822" s="3248">
        <v>0</v>
      </c>
      <c r="BB822" s="3248">
        <v>0</v>
      </c>
      <c r="BC822" s="3247">
        <v>0</v>
      </c>
      <c r="BD822" s="3248">
        <v>0</v>
      </c>
      <c r="BE822" s="3248">
        <v>0</v>
      </c>
      <c r="BF822" s="3248">
        <f t="shared" si="73"/>
        <v>0</v>
      </c>
      <c r="BG822" s="3248">
        <f t="shared" si="74"/>
        <v>0</v>
      </c>
      <c r="BH822" s="3249"/>
      <c r="BI822" s="3249"/>
    </row>
    <row r="823" spans="1:61" x14ac:dyDescent="0.3">
      <c r="A823" s="4197" t="s">
        <v>3384</v>
      </c>
      <c r="B823" s="3261"/>
      <c r="C823" s="3243">
        <v>0</v>
      </c>
      <c r="D823" s="3242">
        <v>0</v>
      </c>
      <c r="E823" s="3244"/>
      <c r="F823" s="3244"/>
      <c r="G823" s="3242">
        <v>0</v>
      </c>
      <c r="H823" s="3244"/>
      <c r="I823" s="3244"/>
      <c r="J823" s="3244"/>
      <c r="K823" s="3242">
        <v>0</v>
      </c>
      <c r="L823" s="3244"/>
      <c r="M823" s="3244"/>
      <c r="N823" s="3242" t="s">
        <v>3384</v>
      </c>
      <c r="O823" s="3239">
        <v>0</v>
      </c>
      <c r="P823" s="3242">
        <v>0</v>
      </c>
      <c r="Q823" s="3244"/>
      <c r="R823" s="3244"/>
      <c r="S823" s="3242">
        <v>0</v>
      </c>
      <c r="T823" s="3244"/>
      <c r="U823" s="3244"/>
      <c r="V823" s="3244"/>
      <c r="W823" s="3240">
        <v>0</v>
      </c>
      <c r="X823" s="3244"/>
      <c r="Y823" s="3244"/>
      <c r="Z823" s="3242" t="s">
        <v>3384</v>
      </c>
      <c r="AA823" s="3243">
        <v>0</v>
      </c>
      <c r="AB823" s="3242">
        <v>0</v>
      </c>
      <c r="AC823" s="3244"/>
      <c r="AD823" s="3244"/>
      <c r="AE823" s="3242">
        <v>0</v>
      </c>
      <c r="AF823" s="3259"/>
      <c r="AG823" s="3260"/>
      <c r="AH823" s="3260"/>
      <c r="AI823" s="3260"/>
      <c r="AJ823" s="3260"/>
      <c r="AK823" s="3260"/>
      <c r="AL823" s="3259"/>
      <c r="AM823" s="3260"/>
      <c r="AN823" s="3259"/>
      <c r="AO823" s="3260"/>
      <c r="AP823" s="3242">
        <v>0</v>
      </c>
      <c r="AQ823" s="3244"/>
      <c r="AR823" s="3244"/>
      <c r="AS823" s="3242" t="s">
        <v>3384</v>
      </c>
      <c r="AT823" s="3247">
        <f t="shared" si="71"/>
        <v>0</v>
      </c>
      <c r="AU823" s="3248">
        <f t="shared" si="72"/>
        <v>0</v>
      </c>
      <c r="AV823" s="3248">
        <v>0</v>
      </c>
      <c r="AW823" s="3247">
        <v>0</v>
      </c>
      <c r="AX823" s="3248">
        <v>0</v>
      </c>
      <c r="AY823" s="3248">
        <v>0</v>
      </c>
      <c r="AZ823" s="3247">
        <v>0</v>
      </c>
      <c r="BA823" s="3248">
        <v>0</v>
      </c>
      <c r="BB823" s="3248">
        <v>0</v>
      </c>
      <c r="BC823" s="3247">
        <v>0</v>
      </c>
      <c r="BD823" s="3248">
        <v>0</v>
      </c>
      <c r="BE823" s="3248">
        <v>0</v>
      </c>
      <c r="BF823" s="3248">
        <f t="shared" si="73"/>
        <v>0</v>
      </c>
      <c r="BG823" s="3248">
        <f t="shared" si="74"/>
        <v>0</v>
      </c>
      <c r="BH823" s="3249"/>
      <c r="BI823" s="3249"/>
    </row>
    <row r="824" spans="1:61" x14ac:dyDescent="0.3">
      <c r="A824" s="4197" t="s">
        <v>3384</v>
      </c>
      <c r="B824" s="3261"/>
      <c r="C824" s="3243">
        <v>0</v>
      </c>
      <c r="D824" s="3242">
        <v>0</v>
      </c>
      <c r="E824" s="3244"/>
      <c r="F824" s="3244"/>
      <c r="G824" s="3242">
        <v>0</v>
      </c>
      <c r="H824" s="3244"/>
      <c r="I824" s="3244"/>
      <c r="J824" s="3244"/>
      <c r="K824" s="3242">
        <v>0</v>
      </c>
      <c r="L824" s="3244"/>
      <c r="M824" s="3244"/>
      <c r="N824" s="3242" t="s">
        <v>3384</v>
      </c>
      <c r="O824" s="3239">
        <v>0</v>
      </c>
      <c r="P824" s="3242">
        <v>0</v>
      </c>
      <c r="Q824" s="3244"/>
      <c r="R824" s="3244"/>
      <c r="S824" s="3242">
        <v>0</v>
      </c>
      <c r="T824" s="3244"/>
      <c r="U824" s="3244"/>
      <c r="V824" s="3244"/>
      <c r="W824" s="3240">
        <v>0</v>
      </c>
      <c r="X824" s="3244"/>
      <c r="Y824" s="3244"/>
      <c r="Z824" s="3242" t="s">
        <v>3384</v>
      </c>
      <c r="AA824" s="3243">
        <v>0</v>
      </c>
      <c r="AB824" s="3242">
        <v>0</v>
      </c>
      <c r="AC824" s="3244"/>
      <c r="AD824" s="3244"/>
      <c r="AE824" s="3242">
        <v>0</v>
      </c>
      <c r="AF824" s="3259"/>
      <c r="AG824" s="3260"/>
      <c r="AH824" s="3260"/>
      <c r="AI824" s="3260"/>
      <c r="AJ824" s="3260"/>
      <c r="AK824" s="3260"/>
      <c r="AL824" s="3259"/>
      <c r="AM824" s="3260"/>
      <c r="AN824" s="3259"/>
      <c r="AO824" s="3260"/>
      <c r="AP824" s="3242">
        <v>0</v>
      </c>
      <c r="AQ824" s="3244"/>
      <c r="AR824" s="3244"/>
      <c r="AS824" s="3242" t="s">
        <v>3384</v>
      </c>
      <c r="AT824" s="3247">
        <f t="shared" si="71"/>
        <v>0</v>
      </c>
      <c r="AU824" s="3248">
        <f t="shared" si="72"/>
        <v>0</v>
      </c>
      <c r="AV824" s="3248">
        <v>0</v>
      </c>
      <c r="AW824" s="3247">
        <v>0</v>
      </c>
      <c r="AX824" s="3248">
        <v>0</v>
      </c>
      <c r="AY824" s="3248">
        <v>0</v>
      </c>
      <c r="AZ824" s="3247">
        <v>0</v>
      </c>
      <c r="BA824" s="3248">
        <v>0</v>
      </c>
      <c r="BB824" s="3248">
        <v>0</v>
      </c>
      <c r="BC824" s="3247">
        <v>0</v>
      </c>
      <c r="BD824" s="3248">
        <v>0</v>
      </c>
      <c r="BE824" s="3248">
        <v>0</v>
      </c>
      <c r="BF824" s="3248">
        <f t="shared" si="73"/>
        <v>0</v>
      </c>
      <c r="BG824" s="3248">
        <f t="shared" si="74"/>
        <v>0</v>
      </c>
      <c r="BH824" s="3249"/>
      <c r="BI824" s="3249"/>
    </row>
    <row r="825" spans="1:61" x14ac:dyDescent="0.3">
      <c r="A825" s="4197" t="s">
        <v>3384</v>
      </c>
      <c r="B825" s="3261"/>
      <c r="C825" s="3243">
        <v>0</v>
      </c>
      <c r="D825" s="3242">
        <v>0</v>
      </c>
      <c r="E825" s="3244"/>
      <c r="F825" s="3244"/>
      <c r="G825" s="3242">
        <v>0</v>
      </c>
      <c r="H825" s="3244"/>
      <c r="I825" s="3244"/>
      <c r="J825" s="3244"/>
      <c r="K825" s="3242">
        <v>0</v>
      </c>
      <c r="L825" s="3244"/>
      <c r="M825" s="3244"/>
      <c r="N825" s="3242" t="s">
        <v>3384</v>
      </c>
      <c r="O825" s="3239">
        <v>0</v>
      </c>
      <c r="P825" s="3242">
        <v>0</v>
      </c>
      <c r="Q825" s="3244"/>
      <c r="R825" s="3244"/>
      <c r="S825" s="3242">
        <v>0</v>
      </c>
      <c r="T825" s="3244"/>
      <c r="U825" s="3244"/>
      <c r="V825" s="3244"/>
      <c r="W825" s="3240">
        <v>0</v>
      </c>
      <c r="X825" s="3244"/>
      <c r="Y825" s="3244"/>
      <c r="Z825" s="3242" t="s">
        <v>3384</v>
      </c>
      <c r="AA825" s="3243">
        <v>0</v>
      </c>
      <c r="AB825" s="3242">
        <v>0</v>
      </c>
      <c r="AC825" s="3244"/>
      <c r="AD825" s="3244"/>
      <c r="AE825" s="3242">
        <v>0</v>
      </c>
      <c r="AF825" s="3259"/>
      <c r="AG825" s="3260"/>
      <c r="AH825" s="3260"/>
      <c r="AI825" s="3260"/>
      <c r="AJ825" s="3260"/>
      <c r="AK825" s="3260"/>
      <c r="AL825" s="3259"/>
      <c r="AM825" s="3260"/>
      <c r="AN825" s="3259"/>
      <c r="AO825" s="3260"/>
      <c r="AP825" s="3242">
        <v>0</v>
      </c>
      <c r="AQ825" s="3244"/>
      <c r="AR825" s="3244"/>
      <c r="AS825" s="3242" t="s">
        <v>3384</v>
      </c>
      <c r="AT825" s="3247">
        <f t="shared" si="71"/>
        <v>0</v>
      </c>
      <c r="AU825" s="3248">
        <f t="shared" si="72"/>
        <v>0</v>
      </c>
      <c r="AV825" s="3248">
        <v>0</v>
      </c>
      <c r="AW825" s="3247">
        <v>0</v>
      </c>
      <c r="AX825" s="3248">
        <v>0</v>
      </c>
      <c r="AY825" s="3248">
        <v>0</v>
      </c>
      <c r="AZ825" s="3247">
        <v>0</v>
      </c>
      <c r="BA825" s="3248">
        <v>0</v>
      </c>
      <c r="BB825" s="3248">
        <v>0</v>
      </c>
      <c r="BC825" s="3247">
        <v>0</v>
      </c>
      <c r="BD825" s="3248">
        <v>0</v>
      </c>
      <c r="BE825" s="3248">
        <v>0</v>
      </c>
      <c r="BF825" s="3248">
        <f t="shared" si="73"/>
        <v>0</v>
      </c>
      <c r="BG825" s="3248">
        <f t="shared" si="74"/>
        <v>0</v>
      </c>
      <c r="BH825" s="3249"/>
      <c r="BI825" s="3249"/>
    </row>
    <row r="826" spans="1:61" x14ac:dyDescent="0.3">
      <c r="A826" s="4197" t="s">
        <v>3384</v>
      </c>
      <c r="B826" s="3261"/>
      <c r="C826" s="3243">
        <v>0</v>
      </c>
      <c r="D826" s="3242">
        <v>0</v>
      </c>
      <c r="E826" s="3244"/>
      <c r="F826" s="3244"/>
      <c r="G826" s="3242">
        <v>0</v>
      </c>
      <c r="H826" s="3244"/>
      <c r="I826" s="3244"/>
      <c r="J826" s="3244"/>
      <c r="K826" s="3242">
        <v>0</v>
      </c>
      <c r="L826" s="3244"/>
      <c r="M826" s="3244"/>
      <c r="N826" s="3242" t="s">
        <v>3384</v>
      </c>
      <c r="O826" s="3239">
        <v>0</v>
      </c>
      <c r="P826" s="3242">
        <v>0</v>
      </c>
      <c r="Q826" s="3244"/>
      <c r="R826" s="3244"/>
      <c r="S826" s="3242">
        <v>0</v>
      </c>
      <c r="T826" s="3244"/>
      <c r="U826" s="3244"/>
      <c r="V826" s="3244"/>
      <c r="W826" s="3240">
        <v>0</v>
      </c>
      <c r="X826" s="3244"/>
      <c r="Y826" s="3244"/>
      <c r="Z826" s="3242" t="s">
        <v>3384</v>
      </c>
      <c r="AA826" s="3243">
        <v>0</v>
      </c>
      <c r="AB826" s="3242">
        <v>0</v>
      </c>
      <c r="AC826" s="3244"/>
      <c r="AD826" s="3244"/>
      <c r="AE826" s="3242">
        <v>0</v>
      </c>
      <c r="AF826" s="3259"/>
      <c r="AG826" s="3260"/>
      <c r="AH826" s="3260"/>
      <c r="AI826" s="3260"/>
      <c r="AJ826" s="3260"/>
      <c r="AK826" s="3260"/>
      <c r="AL826" s="3259"/>
      <c r="AM826" s="3260"/>
      <c r="AN826" s="3259"/>
      <c r="AO826" s="3260"/>
      <c r="AP826" s="3242">
        <v>0</v>
      </c>
      <c r="AQ826" s="3244"/>
      <c r="AR826" s="3244"/>
      <c r="AS826" s="3242" t="s">
        <v>3384</v>
      </c>
      <c r="AT826" s="3247">
        <f t="shared" si="71"/>
        <v>0</v>
      </c>
      <c r="AU826" s="3248">
        <f t="shared" si="72"/>
        <v>0</v>
      </c>
      <c r="AV826" s="3248">
        <v>0</v>
      </c>
      <c r="AW826" s="3247">
        <v>0</v>
      </c>
      <c r="AX826" s="3248">
        <v>0</v>
      </c>
      <c r="AY826" s="3248">
        <v>0</v>
      </c>
      <c r="AZ826" s="3247">
        <v>0</v>
      </c>
      <c r="BA826" s="3248">
        <v>0</v>
      </c>
      <c r="BB826" s="3248">
        <v>0</v>
      </c>
      <c r="BC826" s="3247">
        <v>0</v>
      </c>
      <c r="BD826" s="3248">
        <v>0</v>
      </c>
      <c r="BE826" s="3248">
        <v>0</v>
      </c>
      <c r="BF826" s="3248">
        <f t="shared" si="73"/>
        <v>0</v>
      </c>
      <c r="BG826" s="3248">
        <f t="shared" si="74"/>
        <v>0</v>
      </c>
      <c r="BH826" s="3249"/>
      <c r="BI826" s="3249"/>
    </row>
    <row r="827" spans="1:61" x14ac:dyDescent="0.3">
      <c r="A827" s="4197" t="s">
        <v>3384</v>
      </c>
      <c r="B827" s="3261"/>
      <c r="C827" s="3243">
        <v>0</v>
      </c>
      <c r="D827" s="3242">
        <v>0</v>
      </c>
      <c r="E827" s="3244"/>
      <c r="F827" s="3244"/>
      <c r="G827" s="3242">
        <v>0</v>
      </c>
      <c r="H827" s="3244"/>
      <c r="I827" s="3244"/>
      <c r="J827" s="3244"/>
      <c r="K827" s="3242">
        <v>0</v>
      </c>
      <c r="L827" s="3244"/>
      <c r="M827" s="3244"/>
      <c r="N827" s="3242" t="s">
        <v>3384</v>
      </c>
      <c r="O827" s="3239">
        <v>0</v>
      </c>
      <c r="P827" s="3242">
        <v>0</v>
      </c>
      <c r="Q827" s="3244"/>
      <c r="R827" s="3244"/>
      <c r="S827" s="3242">
        <v>0</v>
      </c>
      <c r="T827" s="3244"/>
      <c r="U827" s="3244"/>
      <c r="V827" s="3244"/>
      <c r="W827" s="3240">
        <v>0</v>
      </c>
      <c r="X827" s="3244"/>
      <c r="Y827" s="3244"/>
      <c r="Z827" s="3242" t="s">
        <v>3384</v>
      </c>
      <c r="AA827" s="3243">
        <v>0</v>
      </c>
      <c r="AB827" s="3242">
        <v>0</v>
      </c>
      <c r="AC827" s="3244"/>
      <c r="AD827" s="3244"/>
      <c r="AE827" s="3242">
        <v>0</v>
      </c>
      <c r="AF827" s="3259"/>
      <c r="AG827" s="3260"/>
      <c r="AH827" s="3260"/>
      <c r="AI827" s="3260"/>
      <c r="AJ827" s="3260"/>
      <c r="AK827" s="3260"/>
      <c r="AL827" s="3259"/>
      <c r="AM827" s="3260"/>
      <c r="AN827" s="3259"/>
      <c r="AO827" s="3260"/>
      <c r="AP827" s="3242">
        <v>0</v>
      </c>
      <c r="AQ827" s="3244"/>
      <c r="AR827" s="3244"/>
      <c r="AS827" s="3242" t="s">
        <v>3384</v>
      </c>
      <c r="AT827" s="3247">
        <f t="shared" si="71"/>
        <v>0</v>
      </c>
      <c r="AU827" s="3248">
        <f t="shared" si="72"/>
        <v>0</v>
      </c>
      <c r="AV827" s="3248">
        <v>0</v>
      </c>
      <c r="AW827" s="3247">
        <v>0</v>
      </c>
      <c r="AX827" s="3248">
        <v>0</v>
      </c>
      <c r="AY827" s="3248">
        <v>0</v>
      </c>
      <c r="AZ827" s="3247">
        <v>0</v>
      </c>
      <c r="BA827" s="3248">
        <v>0</v>
      </c>
      <c r="BB827" s="3248">
        <v>0</v>
      </c>
      <c r="BC827" s="3247">
        <v>0</v>
      </c>
      <c r="BD827" s="3248">
        <v>0</v>
      </c>
      <c r="BE827" s="3248">
        <v>0</v>
      </c>
      <c r="BF827" s="3248">
        <f t="shared" si="73"/>
        <v>0</v>
      </c>
      <c r="BG827" s="3248">
        <f t="shared" si="74"/>
        <v>0</v>
      </c>
      <c r="BH827" s="3249"/>
      <c r="BI827" s="3249"/>
    </row>
    <row r="828" spans="1:61" x14ac:dyDescent="0.3">
      <c r="A828" s="4197" t="s">
        <v>3384</v>
      </c>
      <c r="B828" s="3261"/>
      <c r="C828" s="3243">
        <v>0</v>
      </c>
      <c r="D828" s="3242">
        <v>0</v>
      </c>
      <c r="E828" s="3244"/>
      <c r="F828" s="3244"/>
      <c r="G828" s="3242">
        <v>0</v>
      </c>
      <c r="H828" s="3244"/>
      <c r="I828" s="3244"/>
      <c r="J828" s="3244"/>
      <c r="K828" s="3242">
        <v>0</v>
      </c>
      <c r="L828" s="3244"/>
      <c r="M828" s="3244"/>
      <c r="N828" s="3242" t="s">
        <v>3384</v>
      </c>
      <c r="O828" s="3239">
        <v>0</v>
      </c>
      <c r="P828" s="3242">
        <v>0</v>
      </c>
      <c r="Q828" s="3244"/>
      <c r="R828" s="3244"/>
      <c r="S828" s="3242">
        <v>0</v>
      </c>
      <c r="T828" s="3244"/>
      <c r="U828" s="3244"/>
      <c r="V828" s="3244"/>
      <c r="W828" s="3240">
        <v>0</v>
      </c>
      <c r="X828" s="3244"/>
      <c r="Y828" s="3244"/>
      <c r="Z828" s="3242" t="s">
        <v>3384</v>
      </c>
      <c r="AA828" s="3243">
        <v>0</v>
      </c>
      <c r="AB828" s="3242">
        <v>0</v>
      </c>
      <c r="AC828" s="3244"/>
      <c r="AD828" s="3244"/>
      <c r="AE828" s="3242">
        <v>0</v>
      </c>
      <c r="AF828" s="3259"/>
      <c r="AG828" s="3260"/>
      <c r="AH828" s="3260"/>
      <c r="AI828" s="3260"/>
      <c r="AJ828" s="3260"/>
      <c r="AK828" s="3260"/>
      <c r="AL828" s="3259"/>
      <c r="AM828" s="3260"/>
      <c r="AN828" s="3259"/>
      <c r="AO828" s="3260"/>
      <c r="AP828" s="3242">
        <v>0</v>
      </c>
      <c r="AQ828" s="3244"/>
      <c r="AR828" s="3244"/>
      <c r="AS828" s="3242" t="s">
        <v>3384</v>
      </c>
      <c r="AT828" s="3247">
        <f t="shared" si="71"/>
        <v>0</v>
      </c>
      <c r="AU828" s="3248">
        <f t="shared" si="72"/>
        <v>0</v>
      </c>
      <c r="AV828" s="3248">
        <v>0</v>
      </c>
      <c r="AW828" s="3247">
        <v>0</v>
      </c>
      <c r="AX828" s="3248">
        <v>0</v>
      </c>
      <c r="AY828" s="3248">
        <v>0</v>
      </c>
      <c r="AZ828" s="3247">
        <v>0</v>
      </c>
      <c r="BA828" s="3248">
        <v>0</v>
      </c>
      <c r="BB828" s="3248">
        <v>0</v>
      </c>
      <c r="BC828" s="3247">
        <v>0</v>
      </c>
      <c r="BD828" s="3248">
        <v>0</v>
      </c>
      <c r="BE828" s="3248">
        <v>0</v>
      </c>
      <c r="BF828" s="3248">
        <f t="shared" si="73"/>
        <v>0</v>
      </c>
      <c r="BG828" s="3248">
        <f t="shared" si="74"/>
        <v>0</v>
      </c>
      <c r="BH828" s="3249"/>
      <c r="BI828" s="3249"/>
    </row>
    <row r="829" spans="1:61" x14ac:dyDescent="0.3">
      <c r="A829" s="4197" t="s">
        <v>3384</v>
      </c>
      <c r="B829" s="3261"/>
      <c r="C829" s="3243">
        <v>0</v>
      </c>
      <c r="D829" s="3242">
        <v>0</v>
      </c>
      <c r="E829" s="3244"/>
      <c r="F829" s="3244"/>
      <c r="G829" s="3242">
        <v>0</v>
      </c>
      <c r="H829" s="3244"/>
      <c r="I829" s="3244"/>
      <c r="J829" s="3244"/>
      <c r="K829" s="3242">
        <v>0</v>
      </c>
      <c r="L829" s="3244"/>
      <c r="M829" s="3244"/>
      <c r="N829" s="3242" t="s">
        <v>3384</v>
      </c>
      <c r="O829" s="3239">
        <v>0</v>
      </c>
      <c r="P829" s="3242">
        <v>0</v>
      </c>
      <c r="Q829" s="3244"/>
      <c r="R829" s="3244"/>
      <c r="S829" s="3242">
        <v>0</v>
      </c>
      <c r="T829" s="3244"/>
      <c r="U829" s="3244"/>
      <c r="V829" s="3244"/>
      <c r="W829" s="3240">
        <v>0</v>
      </c>
      <c r="X829" s="3244"/>
      <c r="Y829" s="3244"/>
      <c r="Z829" s="3242" t="s">
        <v>3384</v>
      </c>
      <c r="AA829" s="3243">
        <v>0</v>
      </c>
      <c r="AB829" s="3242">
        <v>0</v>
      </c>
      <c r="AC829" s="3244"/>
      <c r="AD829" s="3244"/>
      <c r="AE829" s="3242">
        <v>0</v>
      </c>
      <c r="AF829" s="3259"/>
      <c r="AG829" s="3260"/>
      <c r="AH829" s="3260"/>
      <c r="AI829" s="3260"/>
      <c r="AJ829" s="3260"/>
      <c r="AK829" s="3260"/>
      <c r="AL829" s="3259"/>
      <c r="AM829" s="3260"/>
      <c r="AN829" s="3259"/>
      <c r="AO829" s="3260"/>
      <c r="AP829" s="3242">
        <v>0</v>
      </c>
      <c r="AQ829" s="3244"/>
      <c r="AR829" s="3244"/>
      <c r="AS829" s="3242" t="s">
        <v>3384</v>
      </c>
      <c r="AT829" s="3247">
        <f t="shared" si="71"/>
        <v>0</v>
      </c>
      <c r="AU829" s="3248">
        <f t="shared" si="72"/>
        <v>0</v>
      </c>
      <c r="AV829" s="3248">
        <v>0</v>
      </c>
      <c r="AW829" s="3247">
        <v>0</v>
      </c>
      <c r="AX829" s="3248">
        <v>0</v>
      </c>
      <c r="AY829" s="3248">
        <v>0</v>
      </c>
      <c r="AZ829" s="3247">
        <v>0</v>
      </c>
      <c r="BA829" s="3248">
        <v>0</v>
      </c>
      <c r="BB829" s="3248">
        <v>0</v>
      </c>
      <c r="BC829" s="3247">
        <v>0</v>
      </c>
      <c r="BD829" s="3248">
        <v>0</v>
      </c>
      <c r="BE829" s="3248">
        <v>0</v>
      </c>
      <c r="BF829" s="3248">
        <f t="shared" si="73"/>
        <v>0</v>
      </c>
      <c r="BG829" s="3248">
        <f t="shared" si="74"/>
        <v>0</v>
      </c>
      <c r="BH829" s="3249"/>
      <c r="BI829" s="3249"/>
    </row>
    <row r="830" spans="1:61" x14ac:dyDescent="0.3">
      <c r="A830" s="4197" t="s">
        <v>3384</v>
      </c>
      <c r="B830" s="3261"/>
      <c r="C830" s="3243">
        <v>0</v>
      </c>
      <c r="D830" s="3242">
        <v>0</v>
      </c>
      <c r="E830" s="3244"/>
      <c r="F830" s="3244"/>
      <c r="G830" s="3242">
        <v>0</v>
      </c>
      <c r="H830" s="3244"/>
      <c r="I830" s="3244"/>
      <c r="J830" s="3244"/>
      <c r="K830" s="3242">
        <v>0</v>
      </c>
      <c r="L830" s="3244"/>
      <c r="M830" s="3244"/>
      <c r="N830" s="3242" t="s">
        <v>3384</v>
      </c>
      <c r="O830" s="3239">
        <v>0</v>
      </c>
      <c r="P830" s="3242">
        <v>0</v>
      </c>
      <c r="Q830" s="3244"/>
      <c r="R830" s="3244"/>
      <c r="S830" s="3242">
        <v>0</v>
      </c>
      <c r="T830" s="3244"/>
      <c r="U830" s="3244"/>
      <c r="V830" s="3244"/>
      <c r="W830" s="3240">
        <v>0</v>
      </c>
      <c r="X830" s="3244"/>
      <c r="Y830" s="3244"/>
      <c r="Z830" s="3242" t="s">
        <v>3384</v>
      </c>
      <c r="AA830" s="3243">
        <v>0</v>
      </c>
      <c r="AB830" s="3242">
        <v>0</v>
      </c>
      <c r="AC830" s="3244"/>
      <c r="AD830" s="3244"/>
      <c r="AE830" s="3242">
        <v>0</v>
      </c>
      <c r="AF830" s="3259"/>
      <c r="AG830" s="3260"/>
      <c r="AH830" s="3260"/>
      <c r="AI830" s="3260"/>
      <c r="AJ830" s="3260"/>
      <c r="AK830" s="3260"/>
      <c r="AL830" s="3259"/>
      <c r="AM830" s="3260"/>
      <c r="AN830" s="3259"/>
      <c r="AO830" s="3260"/>
      <c r="AP830" s="3242">
        <v>0</v>
      </c>
      <c r="AQ830" s="3244"/>
      <c r="AR830" s="3244"/>
      <c r="AS830" s="3242" t="s">
        <v>3384</v>
      </c>
      <c r="AT830" s="3247">
        <f t="shared" si="71"/>
        <v>0</v>
      </c>
      <c r="AU830" s="3248">
        <f t="shared" si="72"/>
        <v>0</v>
      </c>
      <c r="AV830" s="3248">
        <v>0</v>
      </c>
      <c r="AW830" s="3247">
        <v>0</v>
      </c>
      <c r="AX830" s="3248">
        <v>0</v>
      </c>
      <c r="AY830" s="3248">
        <v>0</v>
      </c>
      <c r="AZ830" s="3247">
        <v>0</v>
      </c>
      <c r="BA830" s="3248">
        <v>0</v>
      </c>
      <c r="BB830" s="3248">
        <v>0</v>
      </c>
      <c r="BC830" s="3247">
        <v>0</v>
      </c>
      <c r="BD830" s="3248">
        <v>0</v>
      </c>
      <c r="BE830" s="3248">
        <v>0</v>
      </c>
      <c r="BF830" s="3248">
        <f t="shared" si="73"/>
        <v>0</v>
      </c>
      <c r="BG830" s="3248">
        <f t="shared" si="74"/>
        <v>0</v>
      </c>
      <c r="BH830" s="3249"/>
      <c r="BI830" s="3249"/>
    </row>
    <row r="831" spans="1:61" x14ac:dyDescent="0.3">
      <c r="A831" s="4197" t="s">
        <v>3384</v>
      </c>
      <c r="B831" s="3261"/>
      <c r="C831" s="3243">
        <v>0</v>
      </c>
      <c r="D831" s="3242">
        <v>0</v>
      </c>
      <c r="E831" s="3244"/>
      <c r="F831" s="3244"/>
      <c r="G831" s="3242">
        <v>0</v>
      </c>
      <c r="H831" s="3244"/>
      <c r="I831" s="3244"/>
      <c r="J831" s="3244"/>
      <c r="K831" s="3242">
        <v>0</v>
      </c>
      <c r="L831" s="3244"/>
      <c r="M831" s="3244"/>
      <c r="N831" s="3242" t="s">
        <v>3384</v>
      </c>
      <c r="O831" s="3239">
        <v>0</v>
      </c>
      <c r="P831" s="3242">
        <v>0</v>
      </c>
      <c r="Q831" s="3244"/>
      <c r="R831" s="3244"/>
      <c r="S831" s="3242">
        <v>0</v>
      </c>
      <c r="T831" s="3244"/>
      <c r="U831" s="3244"/>
      <c r="V831" s="3244"/>
      <c r="W831" s="3240">
        <v>0</v>
      </c>
      <c r="X831" s="3244"/>
      <c r="Y831" s="3244"/>
      <c r="Z831" s="3242" t="s">
        <v>3384</v>
      </c>
      <c r="AA831" s="3243">
        <v>0</v>
      </c>
      <c r="AB831" s="3242">
        <v>0</v>
      </c>
      <c r="AC831" s="3244"/>
      <c r="AD831" s="3244"/>
      <c r="AE831" s="3242">
        <v>0</v>
      </c>
      <c r="AF831" s="3259"/>
      <c r="AG831" s="3260"/>
      <c r="AH831" s="3260"/>
      <c r="AI831" s="3260"/>
      <c r="AJ831" s="3260"/>
      <c r="AK831" s="3260"/>
      <c r="AL831" s="3259"/>
      <c r="AM831" s="3260"/>
      <c r="AN831" s="3259"/>
      <c r="AO831" s="3260"/>
      <c r="AP831" s="3242">
        <v>0</v>
      </c>
      <c r="AQ831" s="3244"/>
      <c r="AR831" s="3244"/>
      <c r="AS831" s="3242" t="s">
        <v>3384</v>
      </c>
      <c r="AT831" s="3247">
        <f t="shared" si="71"/>
        <v>0</v>
      </c>
      <c r="AU831" s="3248">
        <f t="shared" si="72"/>
        <v>0</v>
      </c>
      <c r="AV831" s="3248">
        <v>0</v>
      </c>
      <c r="AW831" s="3247">
        <v>0</v>
      </c>
      <c r="AX831" s="3248">
        <v>0</v>
      </c>
      <c r="AY831" s="3248">
        <v>0</v>
      </c>
      <c r="AZ831" s="3247">
        <v>0</v>
      </c>
      <c r="BA831" s="3248">
        <v>0</v>
      </c>
      <c r="BB831" s="3248">
        <v>0</v>
      </c>
      <c r="BC831" s="3247">
        <v>0</v>
      </c>
      <c r="BD831" s="3248">
        <v>0</v>
      </c>
      <c r="BE831" s="3248">
        <v>0</v>
      </c>
      <c r="BF831" s="3248">
        <f t="shared" si="73"/>
        <v>0</v>
      </c>
      <c r="BG831" s="3248">
        <f t="shared" si="74"/>
        <v>0</v>
      </c>
      <c r="BH831" s="3249"/>
      <c r="BI831" s="3249"/>
    </row>
    <row r="832" spans="1:61" x14ac:dyDescent="0.3">
      <c r="A832" s="4197" t="s">
        <v>3384</v>
      </c>
      <c r="B832" s="3261"/>
      <c r="C832" s="3243">
        <v>0</v>
      </c>
      <c r="D832" s="3242">
        <v>0</v>
      </c>
      <c r="E832" s="3244"/>
      <c r="F832" s="3244"/>
      <c r="G832" s="3242">
        <v>0</v>
      </c>
      <c r="H832" s="3244"/>
      <c r="I832" s="3244"/>
      <c r="J832" s="3244"/>
      <c r="K832" s="3242">
        <v>0</v>
      </c>
      <c r="L832" s="3244"/>
      <c r="M832" s="3244"/>
      <c r="N832" s="3242" t="s">
        <v>3384</v>
      </c>
      <c r="O832" s="3239">
        <v>0</v>
      </c>
      <c r="P832" s="3242">
        <v>0</v>
      </c>
      <c r="Q832" s="3244"/>
      <c r="R832" s="3244"/>
      <c r="S832" s="3242">
        <v>0</v>
      </c>
      <c r="T832" s="3244"/>
      <c r="U832" s="3244"/>
      <c r="V832" s="3244"/>
      <c r="W832" s="3240">
        <v>0</v>
      </c>
      <c r="X832" s="3244"/>
      <c r="Y832" s="3244"/>
      <c r="Z832" s="3242" t="s">
        <v>3384</v>
      </c>
      <c r="AA832" s="3243">
        <v>0</v>
      </c>
      <c r="AB832" s="3242">
        <v>0</v>
      </c>
      <c r="AC832" s="3244"/>
      <c r="AD832" s="3244"/>
      <c r="AE832" s="3242">
        <v>0</v>
      </c>
      <c r="AF832" s="3259"/>
      <c r="AG832" s="3260"/>
      <c r="AH832" s="3260"/>
      <c r="AI832" s="3260"/>
      <c r="AJ832" s="3260"/>
      <c r="AK832" s="3260"/>
      <c r="AL832" s="3259"/>
      <c r="AM832" s="3260"/>
      <c r="AN832" s="3259"/>
      <c r="AO832" s="3260"/>
      <c r="AP832" s="3242">
        <v>0</v>
      </c>
      <c r="AQ832" s="3244"/>
      <c r="AR832" s="3244"/>
      <c r="AS832" s="3242" t="s">
        <v>3384</v>
      </c>
      <c r="AT832" s="3247">
        <f t="shared" si="71"/>
        <v>0</v>
      </c>
      <c r="AU832" s="3248">
        <f t="shared" si="72"/>
        <v>0</v>
      </c>
      <c r="AV832" s="3248">
        <v>0</v>
      </c>
      <c r="AW832" s="3247">
        <v>0</v>
      </c>
      <c r="AX832" s="3248">
        <v>0</v>
      </c>
      <c r="AY832" s="3248">
        <v>0</v>
      </c>
      <c r="AZ832" s="3247">
        <v>0</v>
      </c>
      <c r="BA832" s="3248">
        <v>0</v>
      </c>
      <c r="BB832" s="3248">
        <v>0</v>
      </c>
      <c r="BC832" s="3247">
        <v>0</v>
      </c>
      <c r="BD832" s="3248">
        <v>0</v>
      </c>
      <c r="BE832" s="3248">
        <v>0</v>
      </c>
      <c r="BF832" s="3248">
        <f t="shared" si="73"/>
        <v>0</v>
      </c>
      <c r="BG832" s="3248">
        <f t="shared" si="74"/>
        <v>0</v>
      </c>
      <c r="BH832" s="3249"/>
      <c r="BI832" s="3249"/>
    </row>
    <row r="833" spans="1:61" x14ac:dyDescent="0.3">
      <c r="A833" s="4197" t="s">
        <v>3384</v>
      </c>
      <c r="B833" s="3261"/>
      <c r="C833" s="3243">
        <v>0</v>
      </c>
      <c r="D833" s="3242">
        <v>0</v>
      </c>
      <c r="E833" s="3244"/>
      <c r="F833" s="3244"/>
      <c r="G833" s="3242">
        <v>0</v>
      </c>
      <c r="H833" s="3244"/>
      <c r="I833" s="3244"/>
      <c r="J833" s="3244"/>
      <c r="K833" s="3242">
        <v>0</v>
      </c>
      <c r="L833" s="3244"/>
      <c r="M833" s="3244"/>
      <c r="N833" s="3242" t="s">
        <v>3384</v>
      </c>
      <c r="O833" s="3239">
        <v>0</v>
      </c>
      <c r="P833" s="3242">
        <v>0</v>
      </c>
      <c r="Q833" s="3244"/>
      <c r="R833" s="3244"/>
      <c r="S833" s="3242">
        <v>0</v>
      </c>
      <c r="T833" s="3244"/>
      <c r="U833" s="3244"/>
      <c r="V833" s="3244"/>
      <c r="W833" s="3240">
        <v>0</v>
      </c>
      <c r="X833" s="3244"/>
      <c r="Y833" s="3244"/>
      <c r="Z833" s="3242" t="s">
        <v>3384</v>
      </c>
      <c r="AA833" s="3243">
        <v>0</v>
      </c>
      <c r="AB833" s="3242">
        <v>0</v>
      </c>
      <c r="AC833" s="3244"/>
      <c r="AD833" s="3244"/>
      <c r="AE833" s="3242">
        <v>0</v>
      </c>
      <c r="AF833" s="3259"/>
      <c r="AG833" s="3260"/>
      <c r="AH833" s="3260"/>
      <c r="AI833" s="3260"/>
      <c r="AJ833" s="3260"/>
      <c r="AK833" s="3260"/>
      <c r="AL833" s="3259"/>
      <c r="AM833" s="3260"/>
      <c r="AN833" s="3259"/>
      <c r="AO833" s="3260"/>
      <c r="AP833" s="3242">
        <v>0</v>
      </c>
      <c r="AQ833" s="3244"/>
      <c r="AR833" s="3244"/>
      <c r="AS833" s="3242" t="s">
        <v>3384</v>
      </c>
      <c r="AT833" s="3247">
        <f t="shared" si="71"/>
        <v>0</v>
      </c>
      <c r="AU833" s="3248">
        <f t="shared" si="72"/>
        <v>0</v>
      </c>
      <c r="AV833" s="3248">
        <v>0</v>
      </c>
      <c r="AW833" s="3247">
        <v>0</v>
      </c>
      <c r="AX833" s="3248">
        <v>0</v>
      </c>
      <c r="AY833" s="3248">
        <v>0</v>
      </c>
      <c r="AZ833" s="3247">
        <v>0</v>
      </c>
      <c r="BA833" s="3248">
        <v>0</v>
      </c>
      <c r="BB833" s="3248">
        <v>0</v>
      </c>
      <c r="BC833" s="3247">
        <v>0</v>
      </c>
      <c r="BD833" s="3248">
        <v>0</v>
      </c>
      <c r="BE833" s="3248">
        <v>0</v>
      </c>
      <c r="BF833" s="3248">
        <f t="shared" si="73"/>
        <v>0</v>
      </c>
      <c r="BG833" s="3248">
        <f t="shared" si="74"/>
        <v>0</v>
      </c>
      <c r="BH833" s="3249"/>
      <c r="BI833" s="3249"/>
    </row>
    <row r="834" spans="1:61" x14ac:dyDescent="0.3">
      <c r="A834" s="4197" t="s">
        <v>3384</v>
      </c>
      <c r="B834" s="3261"/>
      <c r="C834" s="3243">
        <v>0</v>
      </c>
      <c r="D834" s="3242">
        <v>0</v>
      </c>
      <c r="E834" s="3244"/>
      <c r="F834" s="3244"/>
      <c r="G834" s="3242">
        <v>0</v>
      </c>
      <c r="H834" s="3244"/>
      <c r="I834" s="3244"/>
      <c r="J834" s="3244"/>
      <c r="K834" s="3242">
        <v>0</v>
      </c>
      <c r="L834" s="3244"/>
      <c r="M834" s="3244"/>
      <c r="N834" s="3242" t="s">
        <v>3384</v>
      </c>
      <c r="O834" s="3239">
        <v>0</v>
      </c>
      <c r="P834" s="3242">
        <v>0</v>
      </c>
      <c r="Q834" s="3244"/>
      <c r="R834" s="3244"/>
      <c r="S834" s="3242">
        <v>0</v>
      </c>
      <c r="T834" s="3244"/>
      <c r="U834" s="3244"/>
      <c r="V834" s="3244"/>
      <c r="W834" s="3240">
        <v>0</v>
      </c>
      <c r="X834" s="3244"/>
      <c r="Y834" s="3244"/>
      <c r="Z834" s="3242" t="s">
        <v>3384</v>
      </c>
      <c r="AA834" s="3243">
        <v>0</v>
      </c>
      <c r="AB834" s="3242">
        <v>0</v>
      </c>
      <c r="AC834" s="3244"/>
      <c r="AD834" s="3244"/>
      <c r="AE834" s="3242">
        <v>0</v>
      </c>
      <c r="AF834" s="3259"/>
      <c r="AG834" s="3260"/>
      <c r="AH834" s="3260"/>
      <c r="AI834" s="3260"/>
      <c r="AJ834" s="3260"/>
      <c r="AK834" s="3260"/>
      <c r="AL834" s="3259"/>
      <c r="AM834" s="3260"/>
      <c r="AN834" s="3259"/>
      <c r="AO834" s="3260"/>
      <c r="AP834" s="3242">
        <v>0</v>
      </c>
      <c r="AQ834" s="3244"/>
      <c r="AR834" s="3244"/>
      <c r="AS834" s="3242" t="s">
        <v>3384</v>
      </c>
      <c r="AT834" s="3247">
        <f t="shared" si="71"/>
        <v>0</v>
      </c>
      <c r="AU834" s="3248">
        <f t="shared" si="72"/>
        <v>0</v>
      </c>
      <c r="AV834" s="3248">
        <v>0</v>
      </c>
      <c r="AW834" s="3247">
        <v>0</v>
      </c>
      <c r="AX834" s="3248">
        <v>0</v>
      </c>
      <c r="AY834" s="3248">
        <v>0</v>
      </c>
      <c r="AZ834" s="3247">
        <v>0</v>
      </c>
      <c r="BA834" s="3248">
        <v>0</v>
      </c>
      <c r="BB834" s="3248">
        <v>0</v>
      </c>
      <c r="BC834" s="3247">
        <v>0</v>
      </c>
      <c r="BD834" s="3248">
        <v>0</v>
      </c>
      <c r="BE834" s="3248">
        <v>0</v>
      </c>
      <c r="BF834" s="3248">
        <f t="shared" si="73"/>
        <v>0</v>
      </c>
      <c r="BG834" s="3248">
        <f t="shared" si="74"/>
        <v>0</v>
      </c>
      <c r="BH834" s="3249"/>
      <c r="BI834" s="3249"/>
    </row>
    <row r="835" spans="1:61" x14ac:dyDescent="0.3">
      <c r="A835" s="4197" t="s">
        <v>3384</v>
      </c>
      <c r="B835" s="3261"/>
      <c r="C835" s="3243">
        <v>0</v>
      </c>
      <c r="D835" s="3242">
        <v>0</v>
      </c>
      <c r="E835" s="3244"/>
      <c r="F835" s="3244"/>
      <c r="G835" s="3242">
        <v>0</v>
      </c>
      <c r="H835" s="3244"/>
      <c r="I835" s="3244"/>
      <c r="J835" s="3244"/>
      <c r="K835" s="3242">
        <v>0</v>
      </c>
      <c r="L835" s="3244"/>
      <c r="M835" s="3244"/>
      <c r="N835" s="3242" t="s">
        <v>3384</v>
      </c>
      <c r="O835" s="3239">
        <v>0</v>
      </c>
      <c r="P835" s="3242">
        <v>0</v>
      </c>
      <c r="Q835" s="3244"/>
      <c r="R835" s="3244"/>
      <c r="S835" s="3242">
        <v>0</v>
      </c>
      <c r="T835" s="3244"/>
      <c r="U835" s="3244"/>
      <c r="V835" s="3244"/>
      <c r="W835" s="3240">
        <v>0</v>
      </c>
      <c r="X835" s="3244"/>
      <c r="Y835" s="3244"/>
      <c r="Z835" s="3242" t="s">
        <v>3384</v>
      </c>
      <c r="AA835" s="3243">
        <v>0</v>
      </c>
      <c r="AB835" s="3242">
        <v>0</v>
      </c>
      <c r="AC835" s="3244"/>
      <c r="AD835" s="3244"/>
      <c r="AE835" s="3242">
        <v>0</v>
      </c>
      <c r="AF835" s="3259"/>
      <c r="AG835" s="3260"/>
      <c r="AH835" s="3260"/>
      <c r="AI835" s="3260"/>
      <c r="AJ835" s="3260"/>
      <c r="AK835" s="3260"/>
      <c r="AL835" s="3259"/>
      <c r="AM835" s="3260"/>
      <c r="AN835" s="3259"/>
      <c r="AO835" s="3260"/>
      <c r="AP835" s="3242">
        <v>0</v>
      </c>
      <c r="AQ835" s="3244"/>
      <c r="AR835" s="3244"/>
      <c r="AS835" s="3242" t="s">
        <v>3384</v>
      </c>
      <c r="AT835" s="3247">
        <f t="shared" si="71"/>
        <v>0</v>
      </c>
      <c r="AU835" s="3248">
        <f t="shared" si="72"/>
        <v>0</v>
      </c>
      <c r="AV835" s="3248">
        <v>0</v>
      </c>
      <c r="AW835" s="3247">
        <v>0</v>
      </c>
      <c r="AX835" s="3248">
        <v>0</v>
      </c>
      <c r="AY835" s="3248">
        <v>0</v>
      </c>
      <c r="AZ835" s="3247">
        <v>0</v>
      </c>
      <c r="BA835" s="3248">
        <v>0</v>
      </c>
      <c r="BB835" s="3248">
        <v>0</v>
      </c>
      <c r="BC835" s="3247">
        <v>0</v>
      </c>
      <c r="BD835" s="3248">
        <v>0</v>
      </c>
      <c r="BE835" s="3248">
        <v>0</v>
      </c>
      <c r="BF835" s="3248">
        <f t="shared" si="73"/>
        <v>0</v>
      </c>
      <c r="BG835" s="3248">
        <f t="shared" si="74"/>
        <v>0</v>
      </c>
      <c r="BH835" s="3249"/>
      <c r="BI835" s="3249"/>
    </row>
    <row r="836" spans="1:61" x14ac:dyDescent="0.3">
      <c r="A836" s="4197" t="s">
        <v>3384</v>
      </c>
      <c r="B836" s="3261"/>
      <c r="C836" s="3243">
        <v>0</v>
      </c>
      <c r="D836" s="3242">
        <v>0</v>
      </c>
      <c r="E836" s="3244"/>
      <c r="F836" s="3244"/>
      <c r="G836" s="3242">
        <v>0</v>
      </c>
      <c r="H836" s="3244"/>
      <c r="I836" s="3244"/>
      <c r="J836" s="3244"/>
      <c r="K836" s="3242">
        <v>0</v>
      </c>
      <c r="L836" s="3244"/>
      <c r="M836" s="3244"/>
      <c r="N836" s="3242" t="s">
        <v>3384</v>
      </c>
      <c r="O836" s="3239">
        <v>0</v>
      </c>
      <c r="P836" s="3242">
        <v>0</v>
      </c>
      <c r="Q836" s="3244"/>
      <c r="R836" s="3244"/>
      <c r="S836" s="3242">
        <v>0</v>
      </c>
      <c r="T836" s="3244"/>
      <c r="U836" s="3244"/>
      <c r="V836" s="3244"/>
      <c r="W836" s="3240">
        <v>0</v>
      </c>
      <c r="X836" s="3244"/>
      <c r="Y836" s="3244"/>
      <c r="Z836" s="3242" t="s">
        <v>3384</v>
      </c>
      <c r="AA836" s="3243">
        <v>0</v>
      </c>
      <c r="AB836" s="3242">
        <v>0</v>
      </c>
      <c r="AC836" s="3244"/>
      <c r="AD836" s="3244"/>
      <c r="AE836" s="3242">
        <v>0</v>
      </c>
      <c r="AF836" s="3259"/>
      <c r="AG836" s="3260"/>
      <c r="AH836" s="3260"/>
      <c r="AI836" s="3260"/>
      <c r="AJ836" s="3260"/>
      <c r="AK836" s="3260"/>
      <c r="AL836" s="3259"/>
      <c r="AM836" s="3260"/>
      <c r="AN836" s="3259"/>
      <c r="AO836" s="3260"/>
      <c r="AP836" s="3242">
        <v>0</v>
      </c>
      <c r="AQ836" s="3244"/>
      <c r="AR836" s="3244"/>
      <c r="AS836" s="3242" t="s">
        <v>3384</v>
      </c>
      <c r="AT836" s="3247">
        <f t="shared" si="71"/>
        <v>0</v>
      </c>
      <c r="AU836" s="3248">
        <f t="shared" si="72"/>
        <v>0</v>
      </c>
      <c r="AV836" s="3248">
        <v>0</v>
      </c>
      <c r="AW836" s="3247">
        <v>0</v>
      </c>
      <c r="AX836" s="3248">
        <v>0</v>
      </c>
      <c r="AY836" s="3248">
        <v>0</v>
      </c>
      <c r="AZ836" s="3247">
        <v>0</v>
      </c>
      <c r="BA836" s="3248">
        <v>0</v>
      </c>
      <c r="BB836" s="3248">
        <v>0</v>
      </c>
      <c r="BC836" s="3247">
        <v>0</v>
      </c>
      <c r="BD836" s="3248">
        <v>0</v>
      </c>
      <c r="BE836" s="3248">
        <v>0</v>
      </c>
      <c r="BF836" s="3248">
        <f t="shared" si="73"/>
        <v>0</v>
      </c>
      <c r="BG836" s="3248">
        <f t="shared" si="74"/>
        <v>0</v>
      </c>
      <c r="BH836" s="3249"/>
      <c r="BI836" s="3249"/>
    </row>
    <row r="837" spans="1:61" x14ac:dyDescent="0.3">
      <c r="A837" s="4197" t="s">
        <v>3384</v>
      </c>
      <c r="B837" s="3261"/>
      <c r="C837" s="3243">
        <v>0</v>
      </c>
      <c r="D837" s="3242">
        <v>0</v>
      </c>
      <c r="E837" s="3244"/>
      <c r="F837" s="3244"/>
      <c r="G837" s="3242">
        <v>0</v>
      </c>
      <c r="H837" s="3244"/>
      <c r="I837" s="3244"/>
      <c r="J837" s="3244"/>
      <c r="K837" s="3242">
        <v>0</v>
      </c>
      <c r="L837" s="3244"/>
      <c r="M837" s="3244"/>
      <c r="N837" s="3242" t="s">
        <v>3384</v>
      </c>
      <c r="O837" s="3239">
        <v>0</v>
      </c>
      <c r="P837" s="3242">
        <v>0</v>
      </c>
      <c r="Q837" s="3244"/>
      <c r="R837" s="3244"/>
      <c r="S837" s="3242">
        <v>0</v>
      </c>
      <c r="T837" s="3244"/>
      <c r="U837" s="3244"/>
      <c r="V837" s="3244"/>
      <c r="W837" s="3240">
        <v>0</v>
      </c>
      <c r="X837" s="3244"/>
      <c r="Y837" s="3244"/>
      <c r="Z837" s="3242" t="s">
        <v>3384</v>
      </c>
      <c r="AA837" s="3243">
        <v>0</v>
      </c>
      <c r="AB837" s="3242">
        <v>0</v>
      </c>
      <c r="AC837" s="3244"/>
      <c r="AD837" s="3244"/>
      <c r="AE837" s="3242">
        <v>0</v>
      </c>
      <c r="AF837" s="3259"/>
      <c r="AG837" s="3260"/>
      <c r="AH837" s="3260"/>
      <c r="AI837" s="3260"/>
      <c r="AJ837" s="3260"/>
      <c r="AK837" s="3260"/>
      <c r="AL837" s="3259"/>
      <c r="AM837" s="3260"/>
      <c r="AN837" s="3259"/>
      <c r="AO837" s="3260"/>
      <c r="AP837" s="3242">
        <v>0</v>
      </c>
      <c r="AQ837" s="3244"/>
      <c r="AR837" s="3244"/>
      <c r="AS837" s="3242" t="s">
        <v>3384</v>
      </c>
      <c r="AT837" s="3247">
        <f t="shared" si="71"/>
        <v>0</v>
      </c>
      <c r="AU837" s="3248">
        <f t="shared" si="72"/>
        <v>0</v>
      </c>
      <c r="AV837" s="3248">
        <v>0</v>
      </c>
      <c r="AW837" s="3247">
        <v>0</v>
      </c>
      <c r="AX837" s="3248">
        <v>0</v>
      </c>
      <c r="AY837" s="3248">
        <v>0</v>
      </c>
      <c r="AZ837" s="3247">
        <v>0</v>
      </c>
      <c r="BA837" s="3248">
        <v>0</v>
      </c>
      <c r="BB837" s="3248">
        <v>0</v>
      </c>
      <c r="BC837" s="3247">
        <v>0</v>
      </c>
      <c r="BD837" s="3248">
        <v>0</v>
      </c>
      <c r="BE837" s="3248">
        <v>0</v>
      </c>
      <c r="BF837" s="3248">
        <f t="shared" si="73"/>
        <v>0</v>
      </c>
      <c r="BG837" s="3248">
        <f t="shared" si="74"/>
        <v>0</v>
      </c>
      <c r="BH837" s="3249"/>
      <c r="BI837" s="3249"/>
    </row>
    <row r="838" spans="1:61" x14ac:dyDescent="0.3">
      <c r="A838" s="4197" t="s">
        <v>3384</v>
      </c>
      <c r="B838" s="3261"/>
      <c r="C838" s="3243">
        <v>0</v>
      </c>
      <c r="D838" s="3242">
        <v>0</v>
      </c>
      <c r="E838" s="3244"/>
      <c r="F838" s="3244"/>
      <c r="G838" s="3242">
        <v>0</v>
      </c>
      <c r="H838" s="3244"/>
      <c r="I838" s="3244"/>
      <c r="J838" s="3244"/>
      <c r="K838" s="3242">
        <v>0</v>
      </c>
      <c r="L838" s="3244"/>
      <c r="M838" s="3244"/>
      <c r="N838" s="3242" t="s">
        <v>3384</v>
      </c>
      <c r="O838" s="3239">
        <v>0</v>
      </c>
      <c r="P838" s="3242">
        <v>0</v>
      </c>
      <c r="Q838" s="3244"/>
      <c r="R838" s="3244"/>
      <c r="S838" s="3242">
        <v>0</v>
      </c>
      <c r="T838" s="3244"/>
      <c r="U838" s="3244"/>
      <c r="V838" s="3244"/>
      <c r="W838" s="3240">
        <v>0</v>
      </c>
      <c r="X838" s="3244"/>
      <c r="Y838" s="3244"/>
      <c r="Z838" s="3242" t="s">
        <v>3384</v>
      </c>
      <c r="AA838" s="3243">
        <v>0</v>
      </c>
      <c r="AB838" s="3242">
        <v>0</v>
      </c>
      <c r="AC838" s="3244"/>
      <c r="AD838" s="3244"/>
      <c r="AE838" s="3242">
        <v>0</v>
      </c>
      <c r="AF838" s="3259"/>
      <c r="AG838" s="3260"/>
      <c r="AH838" s="3260"/>
      <c r="AI838" s="3260"/>
      <c r="AJ838" s="3260"/>
      <c r="AK838" s="3260"/>
      <c r="AL838" s="3259"/>
      <c r="AM838" s="3260"/>
      <c r="AN838" s="3259"/>
      <c r="AO838" s="3260"/>
      <c r="AP838" s="3242">
        <v>0</v>
      </c>
      <c r="AQ838" s="3244"/>
      <c r="AR838" s="3244"/>
      <c r="AS838" s="3242" t="s">
        <v>3384</v>
      </c>
      <c r="AT838" s="3247">
        <f t="shared" si="71"/>
        <v>0</v>
      </c>
      <c r="AU838" s="3248">
        <f t="shared" si="72"/>
        <v>0</v>
      </c>
      <c r="AV838" s="3248">
        <v>0</v>
      </c>
      <c r="AW838" s="3247">
        <v>0</v>
      </c>
      <c r="AX838" s="3248">
        <v>0</v>
      </c>
      <c r="AY838" s="3248">
        <v>0</v>
      </c>
      <c r="AZ838" s="3247">
        <v>0</v>
      </c>
      <c r="BA838" s="3248">
        <v>0</v>
      </c>
      <c r="BB838" s="3248">
        <v>0</v>
      </c>
      <c r="BC838" s="3247">
        <v>0</v>
      </c>
      <c r="BD838" s="3248">
        <v>0</v>
      </c>
      <c r="BE838" s="3248">
        <v>0</v>
      </c>
      <c r="BF838" s="3248">
        <f t="shared" si="73"/>
        <v>0</v>
      </c>
      <c r="BG838" s="3248">
        <f t="shared" si="74"/>
        <v>0</v>
      </c>
      <c r="BH838" s="3249"/>
      <c r="BI838" s="3249"/>
    </row>
    <row r="839" spans="1:61" x14ac:dyDescent="0.3">
      <c r="A839" s="4197" t="s">
        <v>3384</v>
      </c>
      <c r="B839" s="3261"/>
      <c r="C839" s="3243">
        <v>0</v>
      </c>
      <c r="D839" s="3242">
        <v>0</v>
      </c>
      <c r="E839" s="3244"/>
      <c r="F839" s="3244"/>
      <c r="G839" s="3242">
        <v>0</v>
      </c>
      <c r="H839" s="3244"/>
      <c r="I839" s="3244"/>
      <c r="J839" s="3244"/>
      <c r="K839" s="3242">
        <v>0</v>
      </c>
      <c r="L839" s="3244"/>
      <c r="M839" s="3244"/>
      <c r="N839" s="3242" t="s">
        <v>3384</v>
      </c>
      <c r="O839" s="3239">
        <v>0</v>
      </c>
      <c r="P839" s="3242">
        <v>0</v>
      </c>
      <c r="Q839" s="3244"/>
      <c r="R839" s="3244"/>
      <c r="S839" s="3242">
        <v>0</v>
      </c>
      <c r="T839" s="3244"/>
      <c r="U839" s="3244"/>
      <c r="V839" s="3244"/>
      <c r="W839" s="3240">
        <v>0</v>
      </c>
      <c r="X839" s="3244"/>
      <c r="Y839" s="3244"/>
      <c r="Z839" s="3242" t="s">
        <v>3384</v>
      </c>
      <c r="AA839" s="3243">
        <v>0</v>
      </c>
      <c r="AB839" s="3242">
        <v>0</v>
      </c>
      <c r="AC839" s="3244"/>
      <c r="AD839" s="3244"/>
      <c r="AE839" s="3242">
        <v>0</v>
      </c>
      <c r="AF839" s="3259"/>
      <c r="AG839" s="3260"/>
      <c r="AH839" s="3260"/>
      <c r="AI839" s="3260"/>
      <c r="AJ839" s="3260"/>
      <c r="AK839" s="3260"/>
      <c r="AL839" s="3259"/>
      <c r="AM839" s="3260"/>
      <c r="AN839" s="3259"/>
      <c r="AO839" s="3260"/>
      <c r="AP839" s="3242">
        <v>0</v>
      </c>
      <c r="AQ839" s="3244"/>
      <c r="AR839" s="3244"/>
      <c r="AS839" s="3242" t="s">
        <v>3384</v>
      </c>
      <c r="AT839" s="3247">
        <f t="shared" si="71"/>
        <v>0</v>
      </c>
      <c r="AU839" s="3248">
        <f t="shared" si="72"/>
        <v>0</v>
      </c>
      <c r="AV839" s="3248">
        <v>0</v>
      </c>
      <c r="AW839" s="3247">
        <v>0</v>
      </c>
      <c r="AX839" s="3248">
        <v>0</v>
      </c>
      <c r="AY839" s="3248">
        <v>0</v>
      </c>
      <c r="AZ839" s="3247">
        <v>0</v>
      </c>
      <c r="BA839" s="3248">
        <v>0</v>
      </c>
      <c r="BB839" s="3248">
        <v>0</v>
      </c>
      <c r="BC839" s="3247">
        <v>0</v>
      </c>
      <c r="BD839" s="3248">
        <v>0</v>
      </c>
      <c r="BE839" s="3248">
        <v>0</v>
      </c>
      <c r="BF839" s="3248">
        <f t="shared" si="73"/>
        <v>0</v>
      </c>
      <c r="BG839" s="3248">
        <f t="shared" si="74"/>
        <v>0</v>
      </c>
      <c r="BH839" s="3249"/>
      <c r="BI839" s="3249"/>
    </row>
    <row r="840" spans="1:61" x14ac:dyDescent="0.3">
      <c r="A840" s="4197" t="s">
        <v>3384</v>
      </c>
      <c r="B840" s="3261"/>
      <c r="C840" s="3243">
        <v>0</v>
      </c>
      <c r="D840" s="3242">
        <v>0</v>
      </c>
      <c r="E840" s="3244"/>
      <c r="F840" s="3244"/>
      <c r="G840" s="3242">
        <v>0</v>
      </c>
      <c r="H840" s="3244"/>
      <c r="I840" s="3244"/>
      <c r="J840" s="3244"/>
      <c r="K840" s="3242">
        <v>0</v>
      </c>
      <c r="L840" s="3244"/>
      <c r="M840" s="3244"/>
      <c r="N840" s="3242" t="s">
        <v>3384</v>
      </c>
      <c r="O840" s="3239">
        <v>0</v>
      </c>
      <c r="P840" s="3242">
        <v>0</v>
      </c>
      <c r="Q840" s="3244"/>
      <c r="R840" s="3244"/>
      <c r="S840" s="3242">
        <v>0</v>
      </c>
      <c r="T840" s="3244"/>
      <c r="U840" s="3244"/>
      <c r="V840" s="3244"/>
      <c r="W840" s="3240">
        <v>0</v>
      </c>
      <c r="X840" s="3244"/>
      <c r="Y840" s="3244"/>
      <c r="Z840" s="3242" t="s">
        <v>3384</v>
      </c>
      <c r="AA840" s="3243">
        <v>0</v>
      </c>
      <c r="AB840" s="3242">
        <v>0</v>
      </c>
      <c r="AC840" s="3244"/>
      <c r="AD840" s="3244"/>
      <c r="AE840" s="3242">
        <v>0</v>
      </c>
      <c r="AF840" s="3259"/>
      <c r="AG840" s="3260"/>
      <c r="AH840" s="3260"/>
      <c r="AI840" s="3260"/>
      <c r="AJ840" s="3260"/>
      <c r="AK840" s="3260"/>
      <c r="AL840" s="3259"/>
      <c r="AM840" s="3260"/>
      <c r="AN840" s="3259"/>
      <c r="AO840" s="3260"/>
      <c r="AP840" s="3242">
        <v>0</v>
      </c>
      <c r="AQ840" s="3244"/>
      <c r="AR840" s="3244"/>
      <c r="AS840" s="3242" t="s">
        <v>3384</v>
      </c>
      <c r="AT840" s="3247">
        <f t="shared" si="71"/>
        <v>0</v>
      </c>
      <c r="AU840" s="3248">
        <f t="shared" si="72"/>
        <v>0</v>
      </c>
      <c r="AV840" s="3248">
        <v>0</v>
      </c>
      <c r="AW840" s="3247">
        <v>0</v>
      </c>
      <c r="AX840" s="3248">
        <v>0</v>
      </c>
      <c r="AY840" s="3248">
        <v>0</v>
      </c>
      <c r="AZ840" s="3247">
        <v>0</v>
      </c>
      <c r="BA840" s="3248">
        <v>0</v>
      </c>
      <c r="BB840" s="3248">
        <v>0</v>
      </c>
      <c r="BC840" s="3247">
        <v>0</v>
      </c>
      <c r="BD840" s="3248">
        <v>0</v>
      </c>
      <c r="BE840" s="3248">
        <v>0</v>
      </c>
      <c r="BF840" s="3248">
        <f t="shared" si="73"/>
        <v>0</v>
      </c>
      <c r="BG840" s="3248">
        <f t="shared" si="74"/>
        <v>0</v>
      </c>
      <c r="BH840" s="3249"/>
      <c r="BI840" s="3249"/>
    </row>
    <row r="841" spans="1:61" x14ac:dyDescent="0.3">
      <c r="A841" s="4197" t="s">
        <v>3384</v>
      </c>
      <c r="B841" s="3261"/>
      <c r="C841" s="3243">
        <v>0</v>
      </c>
      <c r="D841" s="3242">
        <v>0</v>
      </c>
      <c r="E841" s="3244"/>
      <c r="F841" s="3244"/>
      <c r="G841" s="3242">
        <v>0</v>
      </c>
      <c r="H841" s="3244"/>
      <c r="I841" s="3244"/>
      <c r="J841" s="3244"/>
      <c r="K841" s="3242">
        <v>0</v>
      </c>
      <c r="L841" s="3244"/>
      <c r="M841" s="3244"/>
      <c r="N841" s="3242" t="s">
        <v>3384</v>
      </c>
      <c r="O841" s="3239">
        <v>0</v>
      </c>
      <c r="P841" s="3242">
        <v>0</v>
      </c>
      <c r="Q841" s="3244"/>
      <c r="R841" s="3244"/>
      <c r="S841" s="3242">
        <v>0</v>
      </c>
      <c r="T841" s="3244"/>
      <c r="U841" s="3244"/>
      <c r="V841" s="3244"/>
      <c r="W841" s="3240">
        <v>0</v>
      </c>
      <c r="X841" s="3244"/>
      <c r="Y841" s="3244"/>
      <c r="Z841" s="3242" t="s">
        <v>3384</v>
      </c>
      <c r="AA841" s="3243">
        <v>0</v>
      </c>
      <c r="AB841" s="3242">
        <v>0</v>
      </c>
      <c r="AC841" s="3244"/>
      <c r="AD841" s="3244"/>
      <c r="AE841" s="3242">
        <v>0</v>
      </c>
      <c r="AF841" s="3259"/>
      <c r="AG841" s="3260"/>
      <c r="AH841" s="3260"/>
      <c r="AI841" s="3260"/>
      <c r="AJ841" s="3260"/>
      <c r="AK841" s="3260"/>
      <c r="AL841" s="3259"/>
      <c r="AM841" s="3260"/>
      <c r="AN841" s="3259"/>
      <c r="AO841" s="3260"/>
      <c r="AP841" s="3242">
        <v>0</v>
      </c>
      <c r="AQ841" s="3244"/>
      <c r="AR841" s="3244"/>
      <c r="AS841" s="3242" t="s">
        <v>3384</v>
      </c>
      <c r="AT841" s="3247">
        <f t="shared" si="71"/>
        <v>0</v>
      </c>
      <c r="AU841" s="3248">
        <f t="shared" si="72"/>
        <v>0</v>
      </c>
      <c r="AV841" s="3248">
        <v>0</v>
      </c>
      <c r="AW841" s="3247">
        <v>0</v>
      </c>
      <c r="AX841" s="3248">
        <v>0</v>
      </c>
      <c r="AY841" s="3248">
        <v>0</v>
      </c>
      <c r="AZ841" s="3247">
        <v>0</v>
      </c>
      <c r="BA841" s="3248">
        <v>0</v>
      </c>
      <c r="BB841" s="3248">
        <v>0</v>
      </c>
      <c r="BC841" s="3247">
        <v>0</v>
      </c>
      <c r="BD841" s="3248">
        <v>0</v>
      </c>
      <c r="BE841" s="3248">
        <v>0</v>
      </c>
      <c r="BF841" s="3248">
        <f t="shared" si="73"/>
        <v>0</v>
      </c>
      <c r="BG841" s="3248">
        <f t="shared" si="74"/>
        <v>0</v>
      </c>
      <c r="BH841" s="3249"/>
      <c r="BI841" s="3249"/>
    </row>
    <row r="842" spans="1:61" x14ac:dyDescent="0.3">
      <c r="A842" s="4197" t="s">
        <v>3384</v>
      </c>
      <c r="B842" s="3261"/>
      <c r="C842" s="3243">
        <v>0</v>
      </c>
      <c r="D842" s="3242">
        <v>0</v>
      </c>
      <c r="E842" s="3244"/>
      <c r="F842" s="3244"/>
      <c r="G842" s="3242">
        <v>0</v>
      </c>
      <c r="H842" s="3244"/>
      <c r="I842" s="3244"/>
      <c r="J842" s="3244"/>
      <c r="K842" s="3242">
        <v>0</v>
      </c>
      <c r="L842" s="3244"/>
      <c r="M842" s="3244"/>
      <c r="N842" s="3242" t="s">
        <v>3384</v>
      </c>
      <c r="O842" s="3239">
        <v>0</v>
      </c>
      <c r="P842" s="3242">
        <v>0</v>
      </c>
      <c r="Q842" s="3244"/>
      <c r="R842" s="3244"/>
      <c r="S842" s="3242">
        <v>0</v>
      </c>
      <c r="T842" s="3244"/>
      <c r="U842" s="3244"/>
      <c r="V842" s="3244"/>
      <c r="W842" s="3240">
        <v>0</v>
      </c>
      <c r="X842" s="3244"/>
      <c r="Y842" s="3244"/>
      <c r="Z842" s="3242" t="s">
        <v>3384</v>
      </c>
      <c r="AA842" s="3243">
        <v>0</v>
      </c>
      <c r="AB842" s="3242">
        <v>0</v>
      </c>
      <c r="AC842" s="3244"/>
      <c r="AD842" s="3244"/>
      <c r="AE842" s="3242">
        <v>0</v>
      </c>
      <c r="AF842" s="3259"/>
      <c r="AG842" s="3260"/>
      <c r="AH842" s="3260"/>
      <c r="AI842" s="3260"/>
      <c r="AJ842" s="3260"/>
      <c r="AK842" s="3260"/>
      <c r="AL842" s="3259"/>
      <c r="AM842" s="3260"/>
      <c r="AN842" s="3259"/>
      <c r="AO842" s="3260"/>
      <c r="AP842" s="3242">
        <v>0</v>
      </c>
      <c r="AQ842" s="3244"/>
      <c r="AR842" s="3244"/>
      <c r="AS842" s="3242" t="s">
        <v>3384</v>
      </c>
      <c r="AT842" s="3247">
        <f t="shared" si="71"/>
        <v>0</v>
      </c>
      <c r="AU842" s="3248">
        <f t="shared" si="72"/>
        <v>0</v>
      </c>
      <c r="AV842" s="3248">
        <v>0</v>
      </c>
      <c r="AW842" s="3247">
        <v>0</v>
      </c>
      <c r="AX842" s="3248">
        <v>0</v>
      </c>
      <c r="AY842" s="3248">
        <v>0</v>
      </c>
      <c r="AZ842" s="3247">
        <v>0</v>
      </c>
      <c r="BA842" s="3248">
        <v>0</v>
      </c>
      <c r="BB842" s="3248">
        <v>0</v>
      </c>
      <c r="BC842" s="3247">
        <v>0</v>
      </c>
      <c r="BD842" s="3248">
        <v>0</v>
      </c>
      <c r="BE842" s="3248">
        <v>0</v>
      </c>
      <c r="BF842" s="3248">
        <f t="shared" si="73"/>
        <v>0</v>
      </c>
      <c r="BG842" s="3248">
        <f t="shared" si="74"/>
        <v>0</v>
      </c>
      <c r="BH842" s="3249"/>
      <c r="BI842" s="3249"/>
    </row>
    <row r="843" spans="1:61" x14ac:dyDescent="0.3">
      <c r="A843" s="4197" t="s">
        <v>3384</v>
      </c>
      <c r="B843" s="3261"/>
      <c r="C843" s="3243">
        <v>0</v>
      </c>
      <c r="D843" s="3242">
        <v>0</v>
      </c>
      <c r="E843" s="3244"/>
      <c r="F843" s="3244"/>
      <c r="G843" s="3242">
        <v>0</v>
      </c>
      <c r="H843" s="3244"/>
      <c r="I843" s="3244"/>
      <c r="J843" s="3244"/>
      <c r="K843" s="3242">
        <v>0</v>
      </c>
      <c r="L843" s="3244"/>
      <c r="M843" s="3244"/>
      <c r="N843" s="3242" t="s">
        <v>3384</v>
      </c>
      <c r="O843" s="3239">
        <v>0</v>
      </c>
      <c r="P843" s="3242">
        <v>0</v>
      </c>
      <c r="Q843" s="3244"/>
      <c r="R843" s="3244"/>
      <c r="S843" s="3242">
        <v>0</v>
      </c>
      <c r="T843" s="3244"/>
      <c r="U843" s="3244"/>
      <c r="V843" s="3244"/>
      <c r="W843" s="3240">
        <v>0</v>
      </c>
      <c r="X843" s="3244"/>
      <c r="Y843" s="3244"/>
      <c r="Z843" s="3242" t="s">
        <v>3384</v>
      </c>
      <c r="AA843" s="3243">
        <v>0</v>
      </c>
      <c r="AB843" s="3242">
        <v>0</v>
      </c>
      <c r="AC843" s="3244"/>
      <c r="AD843" s="3244"/>
      <c r="AE843" s="3242">
        <v>0</v>
      </c>
      <c r="AF843" s="3259"/>
      <c r="AG843" s="3260"/>
      <c r="AH843" s="3260"/>
      <c r="AI843" s="3260"/>
      <c r="AJ843" s="3260"/>
      <c r="AK843" s="3260"/>
      <c r="AL843" s="3259"/>
      <c r="AM843" s="3260"/>
      <c r="AN843" s="3259"/>
      <c r="AO843" s="3260"/>
      <c r="AP843" s="3242">
        <v>0</v>
      </c>
      <c r="AQ843" s="3244"/>
      <c r="AR843" s="3244"/>
      <c r="AS843" s="3242" t="s">
        <v>3384</v>
      </c>
      <c r="AT843" s="3247">
        <f t="shared" si="71"/>
        <v>0</v>
      </c>
      <c r="AU843" s="3248">
        <f t="shared" si="72"/>
        <v>0</v>
      </c>
      <c r="AV843" s="3248">
        <v>0</v>
      </c>
      <c r="AW843" s="3247">
        <v>0</v>
      </c>
      <c r="AX843" s="3248">
        <v>0</v>
      </c>
      <c r="AY843" s="3248">
        <v>0</v>
      </c>
      <c r="AZ843" s="3247">
        <v>0</v>
      </c>
      <c r="BA843" s="3248">
        <v>0</v>
      </c>
      <c r="BB843" s="3248">
        <v>0</v>
      </c>
      <c r="BC843" s="3247">
        <v>0</v>
      </c>
      <c r="BD843" s="3248">
        <v>0</v>
      </c>
      <c r="BE843" s="3248">
        <v>0</v>
      </c>
      <c r="BF843" s="3248">
        <f t="shared" si="73"/>
        <v>0</v>
      </c>
      <c r="BG843" s="3248">
        <f t="shared" si="74"/>
        <v>0</v>
      </c>
      <c r="BH843" s="3249"/>
      <c r="BI843" s="3249"/>
    </row>
    <row r="844" spans="1:61" x14ac:dyDescent="0.3">
      <c r="A844" s="4197" t="s">
        <v>3384</v>
      </c>
      <c r="B844" s="3261"/>
      <c r="C844" s="3243">
        <v>0</v>
      </c>
      <c r="D844" s="3242">
        <v>0</v>
      </c>
      <c r="E844" s="3244"/>
      <c r="F844" s="3244"/>
      <c r="G844" s="3242">
        <v>0</v>
      </c>
      <c r="H844" s="3244"/>
      <c r="I844" s="3244"/>
      <c r="J844" s="3244"/>
      <c r="K844" s="3242">
        <v>0</v>
      </c>
      <c r="L844" s="3244"/>
      <c r="M844" s="3244"/>
      <c r="N844" s="3242" t="s">
        <v>3384</v>
      </c>
      <c r="O844" s="3239">
        <v>0</v>
      </c>
      <c r="P844" s="3242">
        <v>0</v>
      </c>
      <c r="Q844" s="3244"/>
      <c r="R844" s="3244"/>
      <c r="S844" s="3242">
        <v>0</v>
      </c>
      <c r="T844" s="3244"/>
      <c r="U844" s="3244"/>
      <c r="V844" s="3244"/>
      <c r="W844" s="3240">
        <v>0</v>
      </c>
      <c r="X844" s="3244"/>
      <c r="Y844" s="3244"/>
      <c r="Z844" s="3242" t="s">
        <v>3384</v>
      </c>
      <c r="AA844" s="3243">
        <v>0</v>
      </c>
      <c r="AB844" s="3242">
        <v>0</v>
      </c>
      <c r="AC844" s="3244"/>
      <c r="AD844" s="3244"/>
      <c r="AE844" s="3242">
        <v>0</v>
      </c>
      <c r="AF844" s="3259"/>
      <c r="AG844" s="3260"/>
      <c r="AH844" s="3260"/>
      <c r="AI844" s="3260"/>
      <c r="AJ844" s="3260"/>
      <c r="AK844" s="3260"/>
      <c r="AL844" s="3259"/>
      <c r="AM844" s="3260"/>
      <c r="AN844" s="3259"/>
      <c r="AO844" s="3260"/>
      <c r="AP844" s="3242">
        <v>0</v>
      </c>
      <c r="AQ844" s="3244"/>
      <c r="AR844" s="3244"/>
      <c r="AS844" s="3242" t="s">
        <v>3384</v>
      </c>
      <c r="AT844" s="3247">
        <f t="shared" si="71"/>
        <v>0</v>
      </c>
      <c r="AU844" s="3248">
        <f t="shared" si="72"/>
        <v>0</v>
      </c>
      <c r="AV844" s="3248">
        <v>0</v>
      </c>
      <c r="AW844" s="3247">
        <v>0</v>
      </c>
      <c r="AX844" s="3248">
        <v>0</v>
      </c>
      <c r="AY844" s="3248">
        <v>0</v>
      </c>
      <c r="AZ844" s="3247">
        <v>0</v>
      </c>
      <c r="BA844" s="3248">
        <v>0</v>
      </c>
      <c r="BB844" s="3248">
        <v>0</v>
      </c>
      <c r="BC844" s="3247">
        <v>0</v>
      </c>
      <c r="BD844" s="3248">
        <v>0</v>
      </c>
      <c r="BE844" s="3248">
        <v>0</v>
      </c>
      <c r="BF844" s="3248">
        <f t="shared" si="73"/>
        <v>0</v>
      </c>
      <c r="BG844" s="3248">
        <f t="shared" si="74"/>
        <v>0</v>
      </c>
      <c r="BH844" s="3249"/>
      <c r="BI844" s="3249"/>
    </row>
    <row r="845" spans="1:61" x14ac:dyDescent="0.3">
      <c r="A845" s="4197" t="s">
        <v>3384</v>
      </c>
      <c r="B845" s="3261"/>
      <c r="C845" s="3243">
        <v>0</v>
      </c>
      <c r="D845" s="3242">
        <v>0</v>
      </c>
      <c r="E845" s="3244"/>
      <c r="F845" s="3244"/>
      <c r="G845" s="3242">
        <v>0</v>
      </c>
      <c r="H845" s="3244"/>
      <c r="I845" s="3244"/>
      <c r="J845" s="3244"/>
      <c r="K845" s="3242">
        <v>0</v>
      </c>
      <c r="L845" s="3244"/>
      <c r="M845" s="3244"/>
      <c r="N845" s="3242" t="s">
        <v>3384</v>
      </c>
      <c r="O845" s="3239">
        <v>0</v>
      </c>
      <c r="P845" s="3242">
        <v>0</v>
      </c>
      <c r="Q845" s="3244"/>
      <c r="R845" s="3244"/>
      <c r="S845" s="3242">
        <v>0</v>
      </c>
      <c r="T845" s="3244"/>
      <c r="U845" s="3244"/>
      <c r="V845" s="3244"/>
      <c r="W845" s="3240">
        <v>0</v>
      </c>
      <c r="X845" s="3244"/>
      <c r="Y845" s="3244"/>
      <c r="Z845" s="3242" t="s">
        <v>3384</v>
      </c>
      <c r="AA845" s="3243">
        <v>0</v>
      </c>
      <c r="AB845" s="3242">
        <v>0</v>
      </c>
      <c r="AC845" s="3244"/>
      <c r="AD845" s="3244"/>
      <c r="AE845" s="3242">
        <v>0</v>
      </c>
      <c r="AF845" s="3259"/>
      <c r="AG845" s="3260"/>
      <c r="AH845" s="3260"/>
      <c r="AI845" s="3260"/>
      <c r="AJ845" s="3260"/>
      <c r="AK845" s="3260"/>
      <c r="AL845" s="3259"/>
      <c r="AM845" s="3260"/>
      <c r="AN845" s="3259"/>
      <c r="AO845" s="3260"/>
      <c r="AP845" s="3242">
        <v>0</v>
      </c>
      <c r="AQ845" s="3244"/>
      <c r="AR845" s="3244"/>
      <c r="AS845" s="3242" t="s">
        <v>3384</v>
      </c>
      <c r="AT845" s="3247">
        <f t="shared" si="71"/>
        <v>0</v>
      </c>
      <c r="AU845" s="3248">
        <f t="shared" si="72"/>
        <v>0</v>
      </c>
      <c r="AV845" s="3248">
        <v>0</v>
      </c>
      <c r="AW845" s="3247">
        <v>0</v>
      </c>
      <c r="AX845" s="3248">
        <v>0</v>
      </c>
      <c r="AY845" s="3248">
        <v>0</v>
      </c>
      <c r="AZ845" s="3247">
        <v>0</v>
      </c>
      <c r="BA845" s="3248">
        <v>0</v>
      </c>
      <c r="BB845" s="3248">
        <v>0</v>
      </c>
      <c r="BC845" s="3247">
        <v>0</v>
      </c>
      <c r="BD845" s="3248">
        <v>0</v>
      </c>
      <c r="BE845" s="3248">
        <v>0</v>
      </c>
      <c r="BF845" s="3248">
        <f t="shared" si="73"/>
        <v>0</v>
      </c>
      <c r="BG845" s="3248">
        <f t="shared" si="74"/>
        <v>0</v>
      </c>
      <c r="BH845" s="3249"/>
      <c r="BI845" s="3249"/>
    </row>
    <row r="846" spans="1:61" x14ac:dyDescent="0.3">
      <c r="A846" s="4197" t="s">
        <v>3384</v>
      </c>
      <c r="B846" s="3261"/>
      <c r="C846" s="3243">
        <v>0</v>
      </c>
      <c r="D846" s="3242">
        <v>0</v>
      </c>
      <c r="E846" s="3244"/>
      <c r="F846" s="3244"/>
      <c r="G846" s="3242">
        <v>0</v>
      </c>
      <c r="H846" s="3244"/>
      <c r="I846" s="3244"/>
      <c r="J846" s="3244"/>
      <c r="K846" s="3242">
        <v>0</v>
      </c>
      <c r="L846" s="3244"/>
      <c r="M846" s="3244"/>
      <c r="N846" s="3242" t="s">
        <v>3384</v>
      </c>
      <c r="O846" s="3239">
        <v>0</v>
      </c>
      <c r="P846" s="3242">
        <v>0</v>
      </c>
      <c r="Q846" s="3244"/>
      <c r="R846" s="3244"/>
      <c r="S846" s="3242">
        <v>0</v>
      </c>
      <c r="T846" s="3244"/>
      <c r="U846" s="3244"/>
      <c r="V846" s="3244"/>
      <c r="W846" s="3240">
        <v>0</v>
      </c>
      <c r="X846" s="3244"/>
      <c r="Y846" s="3244"/>
      <c r="Z846" s="3242" t="s">
        <v>3384</v>
      </c>
      <c r="AA846" s="3243">
        <v>0</v>
      </c>
      <c r="AB846" s="3242">
        <v>0</v>
      </c>
      <c r="AC846" s="3244"/>
      <c r="AD846" s="3244"/>
      <c r="AE846" s="3242">
        <v>0</v>
      </c>
      <c r="AF846" s="3259"/>
      <c r="AG846" s="3260"/>
      <c r="AH846" s="3260"/>
      <c r="AI846" s="3260"/>
      <c r="AJ846" s="3260"/>
      <c r="AK846" s="3260"/>
      <c r="AL846" s="3259"/>
      <c r="AM846" s="3260"/>
      <c r="AN846" s="3259"/>
      <c r="AO846" s="3260"/>
      <c r="AP846" s="3242">
        <v>0</v>
      </c>
      <c r="AQ846" s="3244"/>
      <c r="AR846" s="3244"/>
      <c r="AS846" s="3242" t="s">
        <v>3384</v>
      </c>
      <c r="AT846" s="3247">
        <f t="shared" si="71"/>
        <v>0</v>
      </c>
      <c r="AU846" s="3248">
        <f t="shared" si="72"/>
        <v>0</v>
      </c>
      <c r="AV846" s="3248">
        <v>0</v>
      </c>
      <c r="AW846" s="3247">
        <v>0</v>
      </c>
      <c r="AX846" s="3248">
        <v>0</v>
      </c>
      <c r="AY846" s="3248">
        <v>0</v>
      </c>
      <c r="AZ846" s="3247">
        <v>0</v>
      </c>
      <c r="BA846" s="3248">
        <v>0</v>
      </c>
      <c r="BB846" s="3248">
        <v>0</v>
      </c>
      <c r="BC846" s="3247">
        <v>0</v>
      </c>
      <c r="BD846" s="3248">
        <v>0</v>
      </c>
      <c r="BE846" s="3248">
        <v>0</v>
      </c>
      <c r="BF846" s="3248">
        <f t="shared" si="73"/>
        <v>0</v>
      </c>
      <c r="BG846" s="3248">
        <f t="shared" si="74"/>
        <v>0</v>
      </c>
      <c r="BH846" s="3249"/>
      <c r="BI846" s="3249"/>
    </row>
    <row r="847" spans="1:61" x14ac:dyDescent="0.3">
      <c r="A847" s="4197" t="s">
        <v>3384</v>
      </c>
      <c r="B847" s="3261"/>
      <c r="C847" s="3243">
        <v>0</v>
      </c>
      <c r="D847" s="3242">
        <v>0</v>
      </c>
      <c r="E847" s="3244"/>
      <c r="F847" s="3244"/>
      <c r="G847" s="3242">
        <v>0</v>
      </c>
      <c r="H847" s="3244"/>
      <c r="I847" s="3244"/>
      <c r="J847" s="3244"/>
      <c r="K847" s="3242">
        <v>0</v>
      </c>
      <c r="L847" s="3244"/>
      <c r="M847" s="3244"/>
      <c r="N847" s="3242" t="s">
        <v>3384</v>
      </c>
      <c r="O847" s="3239">
        <v>0</v>
      </c>
      <c r="P847" s="3242">
        <v>0</v>
      </c>
      <c r="Q847" s="3244"/>
      <c r="R847" s="3244"/>
      <c r="S847" s="3242">
        <v>0</v>
      </c>
      <c r="T847" s="3244"/>
      <c r="U847" s="3244"/>
      <c r="V847" s="3244"/>
      <c r="W847" s="3240">
        <v>0</v>
      </c>
      <c r="X847" s="3244"/>
      <c r="Y847" s="3244"/>
      <c r="Z847" s="3242" t="s">
        <v>3384</v>
      </c>
      <c r="AA847" s="3243">
        <v>0</v>
      </c>
      <c r="AB847" s="3242">
        <v>0</v>
      </c>
      <c r="AC847" s="3244"/>
      <c r="AD847" s="3244"/>
      <c r="AE847" s="3242">
        <v>0</v>
      </c>
      <c r="AF847" s="3259"/>
      <c r="AG847" s="3260"/>
      <c r="AH847" s="3260"/>
      <c r="AI847" s="3260"/>
      <c r="AJ847" s="3260"/>
      <c r="AK847" s="3260"/>
      <c r="AL847" s="3259"/>
      <c r="AM847" s="3260"/>
      <c r="AN847" s="3259"/>
      <c r="AO847" s="3260"/>
      <c r="AP847" s="3242">
        <v>0</v>
      </c>
      <c r="AQ847" s="3244"/>
      <c r="AR847" s="3244"/>
      <c r="AS847" s="3242" t="s">
        <v>3384</v>
      </c>
      <c r="AT847" s="3247">
        <f t="shared" si="71"/>
        <v>0</v>
      </c>
      <c r="AU847" s="3248">
        <f t="shared" si="72"/>
        <v>0</v>
      </c>
      <c r="AV847" s="3248">
        <v>0</v>
      </c>
      <c r="AW847" s="3247">
        <v>0</v>
      </c>
      <c r="AX847" s="3248">
        <v>0</v>
      </c>
      <c r="AY847" s="3248">
        <v>0</v>
      </c>
      <c r="AZ847" s="3247">
        <v>0</v>
      </c>
      <c r="BA847" s="3248">
        <v>0</v>
      </c>
      <c r="BB847" s="3248">
        <v>0</v>
      </c>
      <c r="BC847" s="3247">
        <v>0</v>
      </c>
      <c r="BD847" s="3248">
        <v>0</v>
      </c>
      <c r="BE847" s="3248">
        <v>0</v>
      </c>
      <c r="BF847" s="3248">
        <f t="shared" si="73"/>
        <v>0</v>
      </c>
      <c r="BG847" s="3248">
        <f t="shared" si="74"/>
        <v>0</v>
      </c>
      <c r="BH847" s="3249"/>
      <c r="BI847" s="3249"/>
    </row>
    <row r="848" spans="1:61" x14ac:dyDescent="0.3">
      <c r="A848" s="4197" t="s">
        <v>3384</v>
      </c>
      <c r="B848" s="3261"/>
      <c r="C848" s="3243">
        <v>0</v>
      </c>
      <c r="D848" s="3242">
        <v>0</v>
      </c>
      <c r="E848" s="3244"/>
      <c r="F848" s="3244"/>
      <c r="G848" s="3242">
        <v>0</v>
      </c>
      <c r="H848" s="3244"/>
      <c r="I848" s="3244"/>
      <c r="J848" s="3244"/>
      <c r="K848" s="3242">
        <v>0</v>
      </c>
      <c r="L848" s="3244"/>
      <c r="M848" s="3244"/>
      <c r="N848" s="3242" t="s">
        <v>3384</v>
      </c>
      <c r="O848" s="3239">
        <v>0</v>
      </c>
      <c r="P848" s="3242">
        <v>0</v>
      </c>
      <c r="Q848" s="3244"/>
      <c r="R848" s="3244"/>
      <c r="S848" s="3242">
        <v>0</v>
      </c>
      <c r="T848" s="3244"/>
      <c r="U848" s="3244"/>
      <c r="V848" s="3244"/>
      <c r="W848" s="3240">
        <v>0</v>
      </c>
      <c r="X848" s="3244"/>
      <c r="Y848" s="3244"/>
      <c r="Z848" s="3242" t="s">
        <v>3384</v>
      </c>
      <c r="AA848" s="3243">
        <v>0</v>
      </c>
      <c r="AB848" s="3242">
        <v>0</v>
      </c>
      <c r="AC848" s="3244"/>
      <c r="AD848" s="3244"/>
      <c r="AE848" s="3242">
        <v>0</v>
      </c>
      <c r="AF848" s="3259"/>
      <c r="AG848" s="3260"/>
      <c r="AH848" s="3260"/>
      <c r="AI848" s="3260"/>
      <c r="AJ848" s="3260"/>
      <c r="AK848" s="3260"/>
      <c r="AL848" s="3259"/>
      <c r="AM848" s="3260"/>
      <c r="AN848" s="3259"/>
      <c r="AO848" s="3260"/>
      <c r="AP848" s="3242">
        <v>0</v>
      </c>
      <c r="AQ848" s="3244"/>
      <c r="AR848" s="3244"/>
      <c r="AS848" s="3242" t="s">
        <v>3384</v>
      </c>
      <c r="AT848" s="3247">
        <f t="shared" ref="AT848:AT911" si="75">IFERROR(AE848+(SUM(AC848:AD848)/100*($AE$14/$AB$14*100)),0)</f>
        <v>0</v>
      </c>
      <c r="AU848" s="3248">
        <f t="shared" si="72"/>
        <v>0</v>
      </c>
      <c r="AV848" s="3248">
        <v>0</v>
      </c>
      <c r="AW848" s="3247">
        <v>0</v>
      </c>
      <c r="AX848" s="3248">
        <v>0</v>
      </c>
      <c r="AY848" s="3248">
        <v>0</v>
      </c>
      <c r="AZ848" s="3247">
        <v>0</v>
      </c>
      <c r="BA848" s="3248">
        <v>0</v>
      </c>
      <c r="BB848" s="3248">
        <v>0</v>
      </c>
      <c r="BC848" s="3247">
        <v>0</v>
      </c>
      <c r="BD848" s="3248">
        <v>0</v>
      </c>
      <c r="BE848" s="3248">
        <v>0</v>
      </c>
      <c r="BF848" s="3248">
        <f t="shared" si="73"/>
        <v>0</v>
      </c>
      <c r="BG848" s="3248">
        <f t="shared" si="74"/>
        <v>0</v>
      </c>
      <c r="BH848" s="3249"/>
      <c r="BI848" s="3249"/>
    </row>
    <row r="849" spans="1:61" x14ac:dyDescent="0.3">
      <c r="A849" s="4197" t="s">
        <v>3384</v>
      </c>
      <c r="B849" s="3261"/>
      <c r="C849" s="3243">
        <v>0</v>
      </c>
      <c r="D849" s="3242">
        <v>0</v>
      </c>
      <c r="E849" s="3244"/>
      <c r="F849" s="3244"/>
      <c r="G849" s="3242">
        <v>0</v>
      </c>
      <c r="H849" s="3244"/>
      <c r="I849" s="3244"/>
      <c r="J849" s="3244"/>
      <c r="K849" s="3242">
        <v>0</v>
      </c>
      <c r="L849" s="3244"/>
      <c r="M849" s="3244"/>
      <c r="N849" s="3242" t="s">
        <v>3384</v>
      </c>
      <c r="O849" s="3239">
        <v>0</v>
      </c>
      <c r="P849" s="3242">
        <v>0</v>
      </c>
      <c r="Q849" s="3244"/>
      <c r="R849" s="3244"/>
      <c r="S849" s="3242">
        <v>0</v>
      </c>
      <c r="T849" s="3244"/>
      <c r="U849" s="3244"/>
      <c r="V849" s="3244"/>
      <c r="W849" s="3240">
        <v>0</v>
      </c>
      <c r="X849" s="3244"/>
      <c r="Y849" s="3244"/>
      <c r="Z849" s="3242" t="s">
        <v>3384</v>
      </c>
      <c r="AA849" s="3243">
        <v>0</v>
      </c>
      <c r="AB849" s="3242">
        <v>0</v>
      </c>
      <c r="AC849" s="3244"/>
      <c r="AD849" s="3244"/>
      <c r="AE849" s="3242">
        <v>0</v>
      </c>
      <c r="AF849" s="3259"/>
      <c r="AG849" s="3260"/>
      <c r="AH849" s="3260"/>
      <c r="AI849" s="3260"/>
      <c r="AJ849" s="3260"/>
      <c r="AK849" s="3260"/>
      <c r="AL849" s="3259"/>
      <c r="AM849" s="3260"/>
      <c r="AN849" s="3259"/>
      <c r="AO849" s="3260"/>
      <c r="AP849" s="3242">
        <v>0</v>
      </c>
      <c r="AQ849" s="3244"/>
      <c r="AR849" s="3244"/>
      <c r="AS849" s="3242" t="s">
        <v>3384</v>
      </c>
      <c r="AT849" s="3247">
        <f t="shared" si="75"/>
        <v>0</v>
      </c>
      <c r="AU849" s="3248">
        <f t="shared" si="72"/>
        <v>0</v>
      </c>
      <c r="AV849" s="3248">
        <v>0</v>
      </c>
      <c r="AW849" s="3247">
        <v>0</v>
      </c>
      <c r="AX849" s="3248">
        <v>0</v>
      </c>
      <c r="AY849" s="3248">
        <v>0</v>
      </c>
      <c r="AZ849" s="3247">
        <v>0</v>
      </c>
      <c r="BA849" s="3248">
        <v>0</v>
      </c>
      <c r="BB849" s="3248">
        <v>0</v>
      </c>
      <c r="BC849" s="3247">
        <v>0</v>
      </c>
      <c r="BD849" s="3248">
        <v>0</v>
      </c>
      <c r="BE849" s="3248">
        <v>0</v>
      </c>
      <c r="BF849" s="3248">
        <f t="shared" si="73"/>
        <v>0</v>
      </c>
      <c r="BG849" s="3248">
        <f t="shared" si="74"/>
        <v>0</v>
      </c>
      <c r="BH849" s="3249"/>
      <c r="BI849" s="3249"/>
    </row>
    <row r="850" spans="1:61" x14ac:dyDescent="0.3">
      <c r="A850" s="4197" t="s">
        <v>3384</v>
      </c>
      <c r="B850" s="3261"/>
      <c r="C850" s="3243">
        <v>0</v>
      </c>
      <c r="D850" s="3242">
        <v>0</v>
      </c>
      <c r="E850" s="3244"/>
      <c r="F850" s="3244"/>
      <c r="G850" s="3242">
        <v>0</v>
      </c>
      <c r="H850" s="3244"/>
      <c r="I850" s="3244"/>
      <c r="J850" s="3244"/>
      <c r="K850" s="3242">
        <v>0</v>
      </c>
      <c r="L850" s="3244"/>
      <c r="M850" s="3244"/>
      <c r="N850" s="3242" t="s">
        <v>3384</v>
      </c>
      <c r="O850" s="3239">
        <v>0</v>
      </c>
      <c r="P850" s="3242">
        <v>0</v>
      </c>
      <c r="Q850" s="3244"/>
      <c r="R850" s="3244"/>
      <c r="S850" s="3242">
        <v>0</v>
      </c>
      <c r="T850" s="3244"/>
      <c r="U850" s="3244"/>
      <c r="V850" s="3244"/>
      <c r="W850" s="3240">
        <v>0</v>
      </c>
      <c r="X850" s="3244"/>
      <c r="Y850" s="3244"/>
      <c r="Z850" s="3242" t="s">
        <v>3384</v>
      </c>
      <c r="AA850" s="3243">
        <v>0</v>
      </c>
      <c r="AB850" s="3242">
        <v>0</v>
      </c>
      <c r="AC850" s="3244"/>
      <c r="AD850" s="3244"/>
      <c r="AE850" s="3242">
        <v>0</v>
      </c>
      <c r="AF850" s="3259"/>
      <c r="AG850" s="3260"/>
      <c r="AH850" s="3260"/>
      <c r="AI850" s="3260"/>
      <c r="AJ850" s="3260"/>
      <c r="AK850" s="3260"/>
      <c r="AL850" s="3259"/>
      <c r="AM850" s="3260"/>
      <c r="AN850" s="3259"/>
      <c r="AO850" s="3260"/>
      <c r="AP850" s="3242">
        <v>0</v>
      </c>
      <c r="AQ850" s="3244"/>
      <c r="AR850" s="3244"/>
      <c r="AS850" s="3242" t="s">
        <v>3384</v>
      </c>
      <c r="AT850" s="3247">
        <f t="shared" si="75"/>
        <v>0</v>
      </c>
      <c r="AU850" s="3248">
        <f t="shared" si="72"/>
        <v>0</v>
      </c>
      <c r="AV850" s="3248">
        <v>0</v>
      </c>
      <c r="AW850" s="3247">
        <v>0</v>
      </c>
      <c r="AX850" s="3248">
        <v>0</v>
      </c>
      <c r="AY850" s="3248">
        <v>0</v>
      </c>
      <c r="AZ850" s="3247">
        <v>0</v>
      </c>
      <c r="BA850" s="3248">
        <v>0</v>
      </c>
      <c r="BB850" s="3248">
        <v>0</v>
      </c>
      <c r="BC850" s="3247">
        <v>0</v>
      </c>
      <c r="BD850" s="3248">
        <v>0</v>
      </c>
      <c r="BE850" s="3248">
        <v>0</v>
      </c>
      <c r="BF850" s="3248">
        <f t="shared" si="73"/>
        <v>0</v>
      </c>
      <c r="BG850" s="3248">
        <f t="shared" si="74"/>
        <v>0</v>
      </c>
      <c r="BH850" s="3249"/>
      <c r="BI850" s="3249"/>
    </row>
    <row r="851" spans="1:61" x14ac:dyDescent="0.3">
      <c r="A851" s="4197" t="s">
        <v>3384</v>
      </c>
      <c r="B851" s="3261"/>
      <c r="C851" s="3243">
        <v>0</v>
      </c>
      <c r="D851" s="3242">
        <v>0</v>
      </c>
      <c r="E851" s="3244"/>
      <c r="F851" s="3244"/>
      <c r="G851" s="3242">
        <v>0</v>
      </c>
      <c r="H851" s="3244"/>
      <c r="I851" s="3244"/>
      <c r="J851" s="3244"/>
      <c r="K851" s="3242">
        <v>0</v>
      </c>
      <c r="L851" s="3244"/>
      <c r="M851" s="3244"/>
      <c r="N851" s="3242" t="s">
        <v>3384</v>
      </c>
      <c r="O851" s="3239">
        <v>0</v>
      </c>
      <c r="P851" s="3242">
        <v>0</v>
      </c>
      <c r="Q851" s="3244"/>
      <c r="R851" s="3244"/>
      <c r="S851" s="3242">
        <v>0</v>
      </c>
      <c r="T851" s="3244"/>
      <c r="U851" s="3244"/>
      <c r="V851" s="3244"/>
      <c r="W851" s="3240">
        <v>0</v>
      </c>
      <c r="X851" s="3244"/>
      <c r="Y851" s="3244"/>
      <c r="Z851" s="3242" t="s">
        <v>3384</v>
      </c>
      <c r="AA851" s="3243">
        <v>0</v>
      </c>
      <c r="AB851" s="3242">
        <v>0</v>
      </c>
      <c r="AC851" s="3244"/>
      <c r="AD851" s="3244"/>
      <c r="AE851" s="3242">
        <v>0</v>
      </c>
      <c r="AF851" s="3259"/>
      <c r="AG851" s="3260"/>
      <c r="AH851" s="3260"/>
      <c r="AI851" s="3260"/>
      <c r="AJ851" s="3260"/>
      <c r="AK851" s="3260"/>
      <c r="AL851" s="3259"/>
      <c r="AM851" s="3260"/>
      <c r="AN851" s="3259"/>
      <c r="AO851" s="3260"/>
      <c r="AP851" s="3242">
        <v>0</v>
      </c>
      <c r="AQ851" s="3244"/>
      <c r="AR851" s="3244"/>
      <c r="AS851" s="3242" t="s">
        <v>3384</v>
      </c>
      <c r="AT851" s="3247">
        <f t="shared" si="75"/>
        <v>0</v>
      </c>
      <c r="AU851" s="3248">
        <f t="shared" ref="AU851:AU914" si="76">AX851+BA851+BD851</f>
        <v>0</v>
      </c>
      <c r="AV851" s="3248">
        <v>0</v>
      </c>
      <c r="AW851" s="3247">
        <v>0</v>
      </c>
      <c r="AX851" s="3248">
        <v>0</v>
      </c>
      <c r="AY851" s="3248">
        <v>0</v>
      </c>
      <c r="AZ851" s="3247">
        <v>0</v>
      </c>
      <c r="BA851" s="3248">
        <v>0</v>
      </c>
      <c r="BB851" s="3248">
        <v>0</v>
      </c>
      <c r="BC851" s="3247">
        <v>0</v>
      </c>
      <c r="BD851" s="3248">
        <v>0</v>
      </c>
      <c r="BE851" s="3248">
        <v>0</v>
      </c>
      <c r="BF851" s="3248">
        <f t="shared" ref="BF851:BF914" si="77">IFERROR(ROUND(AE851/S851*100,2),0)</f>
        <v>0</v>
      </c>
      <c r="BG851" s="3248">
        <f t="shared" ref="BG851:BG914" si="78">IFERROR(ROUND(AA851/O851*100,2),0)</f>
        <v>0</v>
      </c>
      <c r="BH851" s="3249"/>
      <c r="BI851" s="3249"/>
    </row>
    <row r="852" spans="1:61" x14ac:dyDescent="0.3">
      <c r="A852" s="4197" t="s">
        <v>3384</v>
      </c>
      <c r="B852" s="3261"/>
      <c r="C852" s="3243">
        <v>0</v>
      </c>
      <c r="D852" s="3242">
        <v>0</v>
      </c>
      <c r="E852" s="3244"/>
      <c r="F852" s="3244"/>
      <c r="G852" s="3242">
        <v>0</v>
      </c>
      <c r="H852" s="3244"/>
      <c r="I852" s="3244"/>
      <c r="J852" s="3244"/>
      <c r="K852" s="3242">
        <v>0</v>
      </c>
      <c r="L852" s="3244"/>
      <c r="M852" s="3244"/>
      <c r="N852" s="3242" t="s">
        <v>3384</v>
      </c>
      <c r="O852" s="3239">
        <v>0</v>
      </c>
      <c r="P852" s="3242">
        <v>0</v>
      </c>
      <c r="Q852" s="3244"/>
      <c r="R852" s="3244"/>
      <c r="S852" s="3242">
        <v>0</v>
      </c>
      <c r="T852" s="3244"/>
      <c r="U852" s="3244"/>
      <c r="V852" s="3244"/>
      <c r="W852" s="3240">
        <v>0</v>
      </c>
      <c r="X852" s="3244"/>
      <c r="Y852" s="3244"/>
      <c r="Z852" s="3242" t="s">
        <v>3384</v>
      </c>
      <c r="AA852" s="3243">
        <v>0</v>
      </c>
      <c r="AB852" s="3242">
        <v>0</v>
      </c>
      <c r="AC852" s="3244"/>
      <c r="AD852" s="3244"/>
      <c r="AE852" s="3242">
        <v>0</v>
      </c>
      <c r="AF852" s="3259"/>
      <c r="AG852" s="3260"/>
      <c r="AH852" s="3260"/>
      <c r="AI852" s="3260"/>
      <c r="AJ852" s="3260"/>
      <c r="AK852" s="3260"/>
      <c r="AL852" s="3259"/>
      <c r="AM852" s="3260"/>
      <c r="AN852" s="3259"/>
      <c r="AO852" s="3260"/>
      <c r="AP852" s="3242">
        <v>0</v>
      </c>
      <c r="AQ852" s="3244"/>
      <c r="AR852" s="3244"/>
      <c r="AS852" s="3242" t="s">
        <v>3384</v>
      </c>
      <c r="AT852" s="3247">
        <f t="shared" si="75"/>
        <v>0</v>
      </c>
      <c r="AU852" s="3248">
        <f t="shared" si="76"/>
        <v>0</v>
      </c>
      <c r="AV852" s="3248">
        <v>0</v>
      </c>
      <c r="AW852" s="3247">
        <v>0</v>
      </c>
      <c r="AX852" s="3248">
        <v>0</v>
      </c>
      <c r="AY852" s="3248">
        <v>0</v>
      </c>
      <c r="AZ852" s="3247">
        <v>0</v>
      </c>
      <c r="BA852" s="3248">
        <v>0</v>
      </c>
      <c r="BB852" s="3248">
        <v>0</v>
      </c>
      <c r="BC852" s="3247">
        <v>0</v>
      </c>
      <c r="BD852" s="3248">
        <v>0</v>
      </c>
      <c r="BE852" s="3248">
        <v>0</v>
      </c>
      <c r="BF852" s="3248">
        <f t="shared" si="77"/>
        <v>0</v>
      </c>
      <c r="BG852" s="3248">
        <f t="shared" si="78"/>
        <v>0</v>
      </c>
      <c r="BH852" s="3249"/>
      <c r="BI852" s="3249"/>
    </row>
    <row r="853" spans="1:61" x14ac:dyDescent="0.3">
      <c r="A853" s="4197" t="s">
        <v>3384</v>
      </c>
      <c r="B853" s="3261"/>
      <c r="C853" s="3243">
        <v>0</v>
      </c>
      <c r="D853" s="3242">
        <v>0</v>
      </c>
      <c r="E853" s="3244"/>
      <c r="F853" s="3244"/>
      <c r="G853" s="3242">
        <v>0</v>
      </c>
      <c r="H853" s="3244"/>
      <c r="I853" s="3244"/>
      <c r="J853" s="3244"/>
      <c r="K853" s="3242">
        <v>0</v>
      </c>
      <c r="L853" s="3244"/>
      <c r="M853" s="3244"/>
      <c r="N853" s="3242" t="s">
        <v>3384</v>
      </c>
      <c r="O853" s="3239">
        <v>0</v>
      </c>
      <c r="P853" s="3242">
        <v>0</v>
      </c>
      <c r="Q853" s="3244"/>
      <c r="R853" s="3244"/>
      <c r="S853" s="3242">
        <v>0</v>
      </c>
      <c r="T853" s="3244"/>
      <c r="U853" s="3244"/>
      <c r="V853" s="3244"/>
      <c r="W853" s="3240">
        <v>0</v>
      </c>
      <c r="X853" s="3244"/>
      <c r="Y853" s="3244"/>
      <c r="Z853" s="3242" t="s">
        <v>3384</v>
      </c>
      <c r="AA853" s="3243">
        <v>0</v>
      </c>
      <c r="AB853" s="3242">
        <v>0</v>
      </c>
      <c r="AC853" s="3244"/>
      <c r="AD853" s="3244"/>
      <c r="AE853" s="3242">
        <v>0</v>
      </c>
      <c r="AF853" s="3259"/>
      <c r="AG853" s="3260"/>
      <c r="AH853" s="3260"/>
      <c r="AI853" s="3260"/>
      <c r="AJ853" s="3260"/>
      <c r="AK853" s="3260"/>
      <c r="AL853" s="3259"/>
      <c r="AM853" s="3260"/>
      <c r="AN853" s="3259"/>
      <c r="AO853" s="3260"/>
      <c r="AP853" s="3242">
        <v>0</v>
      </c>
      <c r="AQ853" s="3244"/>
      <c r="AR853" s="3244"/>
      <c r="AS853" s="3242" t="s">
        <v>3384</v>
      </c>
      <c r="AT853" s="3247">
        <f t="shared" si="75"/>
        <v>0</v>
      </c>
      <c r="AU853" s="3248">
        <f t="shared" si="76"/>
        <v>0</v>
      </c>
      <c r="AV853" s="3248">
        <v>0</v>
      </c>
      <c r="AW853" s="3247">
        <v>0</v>
      </c>
      <c r="AX853" s="3248">
        <v>0</v>
      </c>
      <c r="AY853" s="3248">
        <v>0</v>
      </c>
      <c r="AZ853" s="3247">
        <v>0</v>
      </c>
      <c r="BA853" s="3248">
        <v>0</v>
      </c>
      <c r="BB853" s="3248">
        <v>0</v>
      </c>
      <c r="BC853" s="3247">
        <v>0</v>
      </c>
      <c r="BD853" s="3248">
        <v>0</v>
      </c>
      <c r="BE853" s="3248">
        <v>0</v>
      </c>
      <c r="BF853" s="3248">
        <f t="shared" si="77"/>
        <v>0</v>
      </c>
      <c r="BG853" s="3248">
        <f t="shared" si="78"/>
        <v>0</v>
      </c>
      <c r="BH853" s="3249"/>
      <c r="BI853" s="3249"/>
    </row>
    <row r="854" spans="1:61" x14ac:dyDescent="0.3">
      <c r="A854" s="4197" t="s">
        <v>3384</v>
      </c>
      <c r="B854" s="3261"/>
      <c r="C854" s="3243">
        <v>0</v>
      </c>
      <c r="D854" s="3242">
        <v>0</v>
      </c>
      <c r="E854" s="3244"/>
      <c r="F854" s="3244"/>
      <c r="G854" s="3242">
        <v>0</v>
      </c>
      <c r="H854" s="3244"/>
      <c r="I854" s="3244"/>
      <c r="J854" s="3244"/>
      <c r="K854" s="3242">
        <v>0</v>
      </c>
      <c r="L854" s="3244"/>
      <c r="M854" s="3244"/>
      <c r="N854" s="3242" t="s">
        <v>3384</v>
      </c>
      <c r="O854" s="3239">
        <v>0</v>
      </c>
      <c r="P854" s="3242">
        <v>0</v>
      </c>
      <c r="Q854" s="3244"/>
      <c r="R854" s="3244"/>
      <c r="S854" s="3242">
        <v>0</v>
      </c>
      <c r="T854" s="3244"/>
      <c r="U854" s="3244"/>
      <c r="V854" s="3244"/>
      <c r="W854" s="3240">
        <v>0</v>
      </c>
      <c r="X854" s="3244"/>
      <c r="Y854" s="3244"/>
      <c r="Z854" s="3242" t="s">
        <v>3384</v>
      </c>
      <c r="AA854" s="3243">
        <v>0</v>
      </c>
      <c r="AB854" s="3242">
        <v>0</v>
      </c>
      <c r="AC854" s="3244"/>
      <c r="AD854" s="3244"/>
      <c r="AE854" s="3242">
        <v>0</v>
      </c>
      <c r="AF854" s="3259"/>
      <c r="AG854" s="3260"/>
      <c r="AH854" s="3260"/>
      <c r="AI854" s="3260"/>
      <c r="AJ854" s="3260"/>
      <c r="AK854" s="3260"/>
      <c r="AL854" s="3259"/>
      <c r="AM854" s="3260"/>
      <c r="AN854" s="3259"/>
      <c r="AO854" s="3260"/>
      <c r="AP854" s="3242">
        <v>0</v>
      </c>
      <c r="AQ854" s="3244"/>
      <c r="AR854" s="3244"/>
      <c r="AS854" s="3242" t="s">
        <v>3384</v>
      </c>
      <c r="AT854" s="3247">
        <f t="shared" si="75"/>
        <v>0</v>
      </c>
      <c r="AU854" s="3248">
        <f t="shared" si="76"/>
        <v>0</v>
      </c>
      <c r="AV854" s="3248">
        <v>0</v>
      </c>
      <c r="AW854" s="3247">
        <v>0</v>
      </c>
      <c r="AX854" s="3248">
        <v>0</v>
      </c>
      <c r="AY854" s="3248">
        <v>0</v>
      </c>
      <c r="AZ854" s="3247">
        <v>0</v>
      </c>
      <c r="BA854" s="3248">
        <v>0</v>
      </c>
      <c r="BB854" s="3248">
        <v>0</v>
      </c>
      <c r="BC854" s="3247">
        <v>0</v>
      </c>
      <c r="BD854" s="3248">
        <v>0</v>
      </c>
      <c r="BE854" s="3248">
        <v>0</v>
      </c>
      <c r="BF854" s="3248">
        <f t="shared" si="77"/>
        <v>0</v>
      </c>
      <c r="BG854" s="3248">
        <f t="shared" si="78"/>
        <v>0</v>
      </c>
      <c r="BH854" s="3249"/>
      <c r="BI854" s="3249"/>
    </row>
    <row r="855" spans="1:61" x14ac:dyDescent="0.3">
      <c r="A855" s="4197" t="s">
        <v>3384</v>
      </c>
      <c r="B855" s="3261"/>
      <c r="C855" s="3243">
        <v>0</v>
      </c>
      <c r="D855" s="3242">
        <v>0</v>
      </c>
      <c r="E855" s="3244"/>
      <c r="F855" s="3244"/>
      <c r="G855" s="3242">
        <v>0</v>
      </c>
      <c r="H855" s="3244"/>
      <c r="I855" s="3244"/>
      <c r="J855" s="3244"/>
      <c r="K855" s="3242">
        <v>0</v>
      </c>
      <c r="L855" s="3244"/>
      <c r="M855" s="3244"/>
      <c r="N855" s="3242" t="s">
        <v>3384</v>
      </c>
      <c r="O855" s="3239">
        <v>0</v>
      </c>
      <c r="P855" s="3242">
        <v>0</v>
      </c>
      <c r="Q855" s="3244"/>
      <c r="R855" s="3244"/>
      <c r="S855" s="3242">
        <v>0</v>
      </c>
      <c r="T855" s="3244"/>
      <c r="U855" s="3244"/>
      <c r="V855" s="3244"/>
      <c r="W855" s="3240">
        <v>0</v>
      </c>
      <c r="X855" s="3244"/>
      <c r="Y855" s="3244"/>
      <c r="Z855" s="3242" t="s">
        <v>3384</v>
      </c>
      <c r="AA855" s="3243">
        <v>0</v>
      </c>
      <c r="AB855" s="3242">
        <v>0</v>
      </c>
      <c r="AC855" s="3244"/>
      <c r="AD855" s="3244"/>
      <c r="AE855" s="3242">
        <v>0</v>
      </c>
      <c r="AF855" s="3259"/>
      <c r="AG855" s="3260"/>
      <c r="AH855" s="3260"/>
      <c r="AI855" s="3260"/>
      <c r="AJ855" s="3260"/>
      <c r="AK855" s="3260"/>
      <c r="AL855" s="3259"/>
      <c r="AM855" s="3260"/>
      <c r="AN855" s="3259"/>
      <c r="AO855" s="3260"/>
      <c r="AP855" s="3242">
        <v>0</v>
      </c>
      <c r="AQ855" s="3244"/>
      <c r="AR855" s="3244"/>
      <c r="AS855" s="3242" t="s">
        <v>3384</v>
      </c>
      <c r="AT855" s="3247">
        <f t="shared" si="75"/>
        <v>0</v>
      </c>
      <c r="AU855" s="3248">
        <f t="shared" si="76"/>
        <v>0</v>
      </c>
      <c r="AV855" s="3248">
        <v>0</v>
      </c>
      <c r="AW855" s="3247">
        <v>0</v>
      </c>
      <c r="AX855" s="3248">
        <v>0</v>
      </c>
      <c r="AY855" s="3248">
        <v>0</v>
      </c>
      <c r="AZ855" s="3247">
        <v>0</v>
      </c>
      <c r="BA855" s="3248">
        <v>0</v>
      </c>
      <c r="BB855" s="3248">
        <v>0</v>
      </c>
      <c r="BC855" s="3247">
        <v>0</v>
      </c>
      <c r="BD855" s="3248">
        <v>0</v>
      </c>
      <c r="BE855" s="3248">
        <v>0</v>
      </c>
      <c r="BF855" s="3248">
        <f t="shared" si="77"/>
        <v>0</v>
      </c>
      <c r="BG855" s="3248">
        <f t="shared" si="78"/>
        <v>0</v>
      </c>
      <c r="BH855" s="3249"/>
      <c r="BI855" s="3249"/>
    </row>
    <row r="856" spans="1:61" x14ac:dyDescent="0.3">
      <c r="A856" s="4197" t="s">
        <v>3384</v>
      </c>
      <c r="B856" s="3261"/>
      <c r="C856" s="3243">
        <v>0</v>
      </c>
      <c r="D856" s="3242">
        <v>0</v>
      </c>
      <c r="E856" s="3244"/>
      <c r="F856" s="3244"/>
      <c r="G856" s="3242">
        <v>0</v>
      </c>
      <c r="H856" s="3244"/>
      <c r="I856" s="3244"/>
      <c r="J856" s="3244"/>
      <c r="K856" s="3242">
        <v>0</v>
      </c>
      <c r="L856" s="3244"/>
      <c r="M856" s="3244"/>
      <c r="N856" s="3242" t="s">
        <v>3384</v>
      </c>
      <c r="O856" s="3239">
        <v>0</v>
      </c>
      <c r="P856" s="3242">
        <v>0</v>
      </c>
      <c r="Q856" s="3244"/>
      <c r="R856" s="3244"/>
      <c r="S856" s="3242">
        <v>0</v>
      </c>
      <c r="T856" s="3244"/>
      <c r="U856" s="3244"/>
      <c r="V856" s="3244"/>
      <c r="W856" s="3240">
        <v>0</v>
      </c>
      <c r="X856" s="3244"/>
      <c r="Y856" s="3244"/>
      <c r="Z856" s="3242" t="s">
        <v>3384</v>
      </c>
      <c r="AA856" s="3243">
        <v>0</v>
      </c>
      <c r="AB856" s="3242">
        <v>0</v>
      </c>
      <c r="AC856" s="3244"/>
      <c r="AD856" s="3244"/>
      <c r="AE856" s="3242">
        <v>0</v>
      </c>
      <c r="AF856" s="3259"/>
      <c r="AG856" s="3260"/>
      <c r="AH856" s="3260"/>
      <c r="AI856" s="3260"/>
      <c r="AJ856" s="3260"/>
      <c r="AK856" s="3260"/>
      <c r="AL856" s="3259"/>
      <c r="AM856" s="3260"/>
      <c r="AN856" s="3259"/>
      <c r="AO856" s="3260"/>
      <c r="AP856" s="3242">
        <v>0</v>
      </c>
      <c r="AQ856" s="3244"/>
      <c r="AR856" s="3244"/>
      <c r="AS856" s="3242" t="s">
        <v>3384</v>
      </c>
      <c r="AT856" s="3247">
        <f t="shared" si="75"/>
        <v>0</v>
      </c>
      <c r="AU856" s="3248">
        <f t="shared" si="76"/>
        <v>0</v>
      </c>
      <c r="AV856" s="3248">
        <v>0</v>
      </c>
      <c r="AW856" s="3247">
        <v>0</v>
      </c>
      <c r="AX856" s="3248">
        <v>0</v>
      </c>
      <c r="AY856" s="3248">
        <v>0</v>
      </c>
      <c r="AZ856" s="3247">
        <v>0</v>
      </c>
      <c r="BA856" s="3248">
        <v>0</v>
      </c>
      <c r="BB856" s="3248">
        <v>0</v>
      </c>
      <c r="BC856" s="3247">
        <v>0</v>
      </c>
      <c r="BD856" s="3248">
        <v>0</v>
      </c>
      <c r="BE856" s="3248">
        <v>0</v>
      </c>
      <c r="BF856" s="3248">
        <f t="shared" si="77"/>
        <v>0</v>
      </c>
      <c r="BG856" s="3248">
        <f t="shared" si="78"/>
        <v>0</v>
      </c>
      <c r="BH856" s="3249"/>
      <c r="BI856" s="3249"/>
    </row>
    <row r="857" spans="1:61" x14ac:dyDescent="0.3">
      <c r="A857" s="4197" t="s">
        <v>3384</v>
      </c>
      <c r="B857" s="3261"/>
      <c r="C857" s="3243">
        <v>0</v>
      </c>
      <c r="D857" s="3242">
        <v>0</v>
      </c>
      <c r="E857" s="3244"/>
      <c r="F857" s="3244"/>
      <c r="G857" s="3242">
        <v>0</v>
      </c>
      <c r="H857" s="3244"/>
      <c r="I857" s="3244"/>
      <c r="J857" s="3244"/>
      <c r="K857" s="3242">
        <v>0</v>
      </c>
      <c r="L857" s="3244"/>
      <c r="M857" s="3244"/>
      <c r="N857" s="3242" t="s">
        <v>3384</v>
      </c>
      <c r="O857" s="3239">
        <v>0</v>
      </c>
      <c r="P857" s="3242">
        <v>0</v>
      </c>
      <c r="Q857" s="3244"/>
      <c r="R857" s="3244"/>
      <c r="S857" s="3242">
        <v>0</v>
      </c>
      <c r="T857" s="3244"/>
      <c r="U857" s="3244"/>
      <c r="V857" s="3244"/>
      <c r="W857" s="3240">
        <v>0</v>
      </c>
      <c r="X857" s="3244"/>
      <c r="Y857" s="3244"/>
      <c r="Z857" s="3242" t="s">
        <v>3384</v>
      </c>
      <c r="AA857" s="3243">
        <v>0</v>
      </c>
      <c r="AB857" s="3242">
        <v>0</v>
      </c>
      <c r="AC857" s="3244"/>
      <c r="AD857" s="3244"/>
      <c r="AE857" s="3242">
        <v>0</v>
      </c>
      <c r="AF857" s="3259"/>
      <c r="AG857" s="3260"/>
      <c r="AH857" s="3260"/>
      <c r="AI857" s="3260"/>
      <c r="AJ857" s="3260"/>
      <c r="AK857" s="3260"/>
      <c r="AL857" s="3259"/>
      <c r="AM857" s="3260"/>
      <c r="AN857" s="3259"/>
      <c r="AO857" s="3260"/>
      <c r="AP857" s="3242">
        <v>0</v>
      </c>
      <c r="AQ857" s="3244"/>
      <c r="AR857" s="3244"/>
      <c r="AS857" s="3242" t="s">
        <v>3384</v>
      </c>
      <c r="AT857" s="3247">
        <f t="shared" si="75"/>
        <v>0</v>
      </c>
      <c r="AU857" s="3248">
        <f t="shared" si="76"/>
        <v>0</v>
      </c>
      <c r="AV857" s="3248">
        <v>0</v>
      </c>
      <c r="AW857" s="3247">
        <v>0</v>
      </c>
      <c r="AX857" s="3248">
        <v>0</v>
      </c>
      <c r="AY857" s="3248">
        <v>0</v>
      </c>
      <c r="AZ857" s="3247">
        <v>0</v>
      </c>
      <c r="BA857" s="3248">
        <v>0</v>
      </c>
      <c r="BB857" s="3248">
        <v>0</v>
      </c>
      <c r="BC857" s="3247">
        <v>0</v>
      </c>
      <c r="BD857" s="3248">
        <v>0</v>
      </c>
      <c r="BE857" s="3248">
        <v>0</v>
      </c>
      <c r="BF857" s="3248">
        <f t="shared" si="77"/>
        <v>0</v>
      </c>
      <c r="BG857" s="3248">
        <f t="shared" si="78"/>
        <v>0</v>
      </c>
      <c r="BH857" s="3249"/>
      <c r="BI857" s="3249"/>
    </row>
    <row r="858" spans="1:61" x14ac:dyDescent="0.3">
      <c r="A858" s="4197" t="s">
        <v>3384</v>
      </c>
      <c r="B858" s="3261"/>
      <c r="C858" s="3243">
        <v>0</v>
      </c>
      <c r="D858" s="3242">
        <v>0</v>
      </c>
      <c r="E858" s="3244"/>
      <c r="F858" s="3244"/>
      <c r="G858" s="3242">
        <v>0</v>
      </c>
      <c r="H858" s="3244"/>
      <c r="I858" s="3244"/>
      <c r="J858" s="3244"/>
      <c r="K858" s="3242">
        <v>0</v>
      </c>
      <c r="L858" s="3244"/>
      <c r="M858" s="3244"/>
      <c r="N858" s="3242" t="s">
        <v>3384</v>
      </c>
      <c r="O858" s="3239">
        <v>0</v>
      </c>
      <c r="P858" s="3242">
        <v>0</v>
      </c>
      <c r="Q858" s="3244"/>
      <c r="R858" s="3244"/>
      <c r="S858" s="3242">
        <v>0</v>
      </c>
      <c r="T858" s="3244"/>
      <c r="U858" s="3244"/>
      <c r="V858" s="3244"/>
      <c r="W858" s="3240">
        <v>0</v>
      </c>
      <c r="X858" s="3244"/>
      <c r="Y858" s="3244"/>
      <c r="Z858" s="3242" t="s">
        <v>3384</v>
      </c>
      <c r="AA858" s="3243">
        <v>0</v>
      </c>
      <c r="AB858" s="3242">
        <v>0</v>
      </c>
      <c r="AC858" s="3244"/>
      <c r="AD858" s="3244"/>
      <c r="AE858" s="3242">
        <v>0</v>
      </c>
      <c r="AF858" s="3259"/>
      <c r="AG858" s="3260"/>
      <c r="AH858" s="3260"/>
      <c r="AI858" s="3260"/>
      <c r="AJ858" s="3260"/>
      <c r="AK858" s="3260"/>
      <c r="AL858" s="3259"/>
      <c r="AM858" s="3260"/>
      <c r="AN858" s="3259"/>
      <c r="AO858" s="3260"/>
      <c r="AP858" s="3242">
        <v>0</v>
      </c>
      <c r="AQ858" s="3244"/>
      <c r="AR858" s="3244"/>
      <c r="AS858" s="3242" t="s">
        <v>3384</v>
      </c>
      <c r="AT858" s="3247">
        <f t="shared" si="75"/>
        <v>0</v>
      </c>
      <c r="AU858" s="3248">
        <f t="shared" si="76"/>
        <v>0</v>
      </c>
      <c r="AV858" s="3248">
        <v>0</v>
      </c>
      <c r="AW858" s="3247">
        <v>0</v>
      </c>
      <c r="AX858" s="3248">
        <v>0</v>
      </c>
      <c r="AY858" s="3248">
        <v>0</v>
      </c>
      <c r="AZ858" s="3247">
        <v>0</v>
      </c>
      <c r="BA858" s="3248">
        <v>0</v>
      </c>
      <c r="BB858" s="3248">
        <v>0</v>
      </c>
      <c r="BC858" s="3247">
        <v>0</v>
      </c>
      <c r="BD858" s="3248">
        <v>0</v>
      </c>
      <c r="BE858" s="3248">
        <v>0</v>
      </c>
      <c r="BF858" s="3248">
        <f t="shared" si="77"/>
        <v>0</v>
      </c>
      <c r="BG858" s="3248">
        <f t="shared" si="78"/>
        <v>0</v>
      </c>
      <c r="BH858" s="3249"/>
      <c r="BI858" s="3249"/>
    </row>
    <row r="859" spans="1:61" x14ac:dyDescent="0.3">
      <c r="A859" s="4197" t="s">
        <v>3384</v>
      </c>
      <c r="B859" s="3261"/>
      <c r="C859" s="3243">
        <v>0</v>
      </c>
      <c r="D859" s="3242">
        <v>0</v>
      </c>
      <c r="E859" s="3244"/>
      <c r="F859" s="3244"/>
      <c r="G859" s="3242">
        <v>0</v>
      </c>
      <c r="H859" s="3244"/>
      <c r="I859" s="3244"/>
      <c r="J859" s="3244"/>
      <c r="K859" s="3242">
        <v>0</v>
      </c>
      <c r="L859" s="3244"/>
      <c r="M859" s="3244"/>
      <c r="N859" s="3242" t="s">
        <v>3384</v>
      </c>
      <c r="O859" s="3239">
        <v>0</v>
      </c>
      <c r="P859" s="3242">
        <v>0</v>
      </c>
      <c r="Q859" s="3244"/>
      <c r="R859" s="3244"/>
      <c r="S859" s="3242">
        <v>0</v>
      </c>
      <c r="T859" s="3244"/>
      <c r="U859" s="3244"/>
      <c r="V859" s="3244"/>
      <c r="W859" s="3240">
        <v>0</v>
      </c>
      <c r="X859" s="3244"/>
      <c r="Y859" s="3244"/>
      <c r="Z859" s="3242" t="s">
        <v>3384</v>
      </c>
      <c r="AA859" s="3243">
        <v>0</v>
      </c>
      <c r="AB859" s="3242">
        <v>0</v>
      </c>
      <c r="AC859" s="3244"/>
      <c r="AD859" s="3244"/>
      <c r="AE859" s="3242">
        <v>0</v>
      </c>
      <c r="AF859" s="3259"/>
      <c r="AG859" s="3260"/>
      <c r="AH859" s="3260"/>
      <c r="AI859" s="3260"/>
      <c r="AJ859" s="3260"/>
      <c r="AK859" s="3260"/>
      <c r="AL859" s="3259"/>
      <c r="AM859" s="3260"/>
      <c r="AN859" s="3259"/>
      <c r="AO859" s="3260"/>
      <c r="AP859" s="3242">
        <v>0</v>
      </c>
      <c r="AQ859" s="3244"/>
      <c r="AR859" s="3244"/>
      <c r="AS859" s="3242" t="s">
        <v>3384</v>
      </c>
      <c r="AT859" s="3247">
        <f t="shared" si="75"/>
        <v>0</v>
      </c>
      <c r="AU859" s="3248">
        <f t="shared" si="76"/>
        <v>0</v>
      </c>
      <c r="AV859" s="3248">
        <v>0</v>
      </c>
      <c r="AW859" s="3247">
        <v>0</v>
      </c>
      <c r="AX859" s="3248">
        <v>0</v>
      </c>
      <c r="AY859" s="3248">
        <v>0</v>
      </c>
      <c r="AZ859" s="3247">
        <v>0</v>
      </c>
      <c r="BA859" s="3248">
        <v>0</v>
      </c>
      <c r="BB859" s="3248">
        <v>0</v>
      </c>
      <c r="BC859" s="3247">
        <v>0</v>
      </c>
      <c r="BD859" s="3248">
        <v>0</v>
      </c>
      <c r="BE859" s="3248">
        <v>0</v>
      </c>
      <c r="BF859" s="3248">
        <f t="shared" si="77"/>
        <v>0</v>
      </c>
      <c r="BG859" s="3248">
        <f t="shared" si="78"/>
        <v>0</v>
      </c>
      <c r="BH859" s="3249"/>
      <c r="BI859" s="3249"/>
    </row>
    <row r="860" spans="1:61" x14ac:dyDescent="0.3">
      <c r="A860" s="4197" t="s">
        <v>3384</v>
      </c>
      <c r="B860" s="3261"/>
      <c r="C860" s="3243">
        <v>0</v>
      </c>
      <c r="D860" s="3242">
        <v>0</v>
      </c>
      <c r="E860" s="3244"/>
      <c r="F860" s="3244"/>
      <c r="G860" s="3242">
        <v>0</v>
      </c>
      <c r="H860" s="3244"/>
      <c r="I860" s="3244"/>
      <c r="J860" s="3244"/>
      <c r="K860" s="3242">
        <v>0</v>
      </c>
      <c r="L860" s="3244"/>
      <c r="M860" s="3244"/>
      <c r="N860" s="3242" t="s">
        <v>3384</v>
      </c>
      <c r="O860" s="3239">
        <v>0</v>
      </c>
      <c r="P860" s="3242">
        <v>0</v>
      </c>
      <c r="Q860" s="3244"/>
      <c r="R860" s="3244"/>
      <c r="S860" s="3242">
        <v>0</v>
      </c>
      <c r="T860" s="3244"/>
      <c r="U860" s="3244"/>
      <c r="V860" s="3244"/>
      <c r="W860" s="3240">
        <v>0</v>
      </c>
      <c r="X860" s="3244"/>
      <c r="Y860" s="3244"/>
      <c r="Z860" s="3242" t="s">
        <v>3384</v>
      </c>
      <c r="AA860" s="3243">
        <v>0</v>
      </c>
      <c r="AB860" s="3242">
        <v>0</v>
      </c>
      <c r="AC860" s="3244"/>
      <c r="AD860" s="3244"/>
      <c r="AE860" s="3242">
        <v>0</v>
      </c>
      <c r="AF860" s="3259"/>
      <c r="AG860" s="3260"/>
      <c r="AH860" s="3260"/>
      <c r="AI860" s="3260"/>
      <c r="AJ860" s="3260"/>
      <c r="AK860" s="3260"/>
      <c r="AL860" s="3259"/>
      <c r="AM860" s="3260"/>
      <c r="AN860" s="3259"/>
      <c r="AO860" s="3260"/>
      <c r="AP860" s="3242">
        <v>0</v>
      </c>
      <c r="AQ860" s="3244"/>
      <c r="AR860" s="3244"/>
      <c r="AS860" s="3242" t="s">
        <v>3384</v>
      </c>
      <c r="AT860" s="3247">
        <f t="shared" si="75"/>
        <v>0</v>
      </c>
      <c r="AU860" s="3248">
        <f t="shared" si="76"/>
        <v>0</v>
      </c>
      <c r="AV860" s="3248">
        <v>0</v>
      </c>
      <c r="AW860" s="3247">
        <v>0</v>
      </c>
      <c r="AX860" s="3248">
        <v>0</v>
      </c>
      <c r="AY860" s="3248">
        <v>0</v>
      </c>
      <c r="AZ860" s="3247">
        <v>0</v>
      </c>
      <c r="BA860" s="3248">
        <v>0</v>
      </c>
      <c r="BB860" s="3248">
        <v>0</v>
      </c>
      <c r="BC860" s="3247">
        <v>0</v>
      </c>
      <c r="BD860" s="3248">
        <v>0</v>
      </c>
      <c r="BE860" s="3248">
        <v>0</v>
      </c>
      <c r="BF860" s="3248">
        <f t="shared" si="77"/>
        <v>0</v>
      </c>
      <c r="BG860" s="3248">
        <f t="shared" si="78"/>
        <v>0</v>
      </c>
      <c r="BH860" s="3249"/>
      <c r="BI860" s="3249"/>
    </row>
    <row r="861" spans="1:61" x14ac:dyDescent="0.3">
      <c r="A861" s="4197" t="s">
        <v>3384</v>
      </c>
      <c r="B861" s="3261"/>
      <c r="C861" s="3243">
        <v>0</v>
      </c>
      <c r="D861" s="3242">
        <v>0</v>
      </c>
      <c r="E861" s="3244"/>
      <c r="F861" s="3244"/>
      <c r="G861" s="3242">
        <v>0</v>
      </c>
      <c r="H861" s="3244"/>
      <c r="I861" s="3244"/>
      <c r="J861" s="3244"/>
      <c r="K861" s="3242">
        <v>0</v>
      </c>
      <c r="L861" s="3244"/>
      <c r="M861" s="3244"/>
      <c r="N861" s="3242" t="s">
        <v>3384</v>
      </c>
      <c r="O861" s="3239">
        <v>0</v>
      </c>
      <c r="P861" s="3242">
        <v>0</v>
      </c>
      <c r="Q861" s="3244"/>
      <c r="R861" s="3244"/>
      <c r="S861" s="3242">
        <v>0</v>
      </c>
      <c r="T861" s="3244"/>
      <c r="U861" s="3244"/>
      <c r="V861" s="3244"/>
      <c r="W861" s="3240">
        <v>0</v>
      </c>
      <c r="X861" s="3244"/>
      <c r="Y861" s="3244"/>
      <c r="Z861" s="3242" t="s">
        <v>3384</v>
      </c>
      <c r="AA861" s="3243">
        <v>0</v>
      </c>
      <c r="AB861" s="3242">
        <v>0</v>
      </c>
      <c r="AC861" s="3244"/>
      <c r="AD861" s="3244"/>
      <c r="AE861" s="3242">
        <v>0</v>
      </c>
      <c r="AF861" s="3259"/>
      <c r="AG861" s="3260"/>
      <c r="AH861" s="3260"/>
      <c r="AI861" s="3260"/>
      <c r="AJ861" s="3260"/>
      <c r="AK861" s="3260"/>
      <c r="AL861" s="3259"/>
      <c r="AM861" s="3260"/>
      <c r="AN861" s="3259"/>
      <c r="AO861" s="3260"/>
      <c r="AP861" s="3242">
        <v>0</v>
      </c>
      <c r="AQ861" s="3244"/>
      <c r="AR861" s="3244"/>
      <c r="AS861" s="3242" t="s">
        <v>3384</v>
      </c>
      <c r="AT861" s="3247">
        <f t="shared" si="75"/>
        <v>0</v>
      </c>
      <c r="AU861" s="3248">
        <f t="shared" si="76"/>
        <v>0</v>
      </c>
      <c r="AV861" s="3248">
        <v>0</v>
      </c>
      <c r="AW861" s="3247">
        <v>0</v>
      </c>
      <c r="AX861" s="3248">
        <v>0</v>
      </c>
      <c r="AY861" s="3248">
        <v>0</v>
      </c>
      <c r="AZ861" s="3247">
        <v>0</v>
      </c>
      <c r="BA861" s="3248">
        <v>0</v>
      </c>
      <c r="BB861" s="3248">
        <v>0</v>
      </c>
      <c r="BC861" s="3247">
        <v>0</v>
      </c>
      <c r="BD861" s="3248">
        <v>0</v>
      </c>
      <c r="BE861" s="3248">
        <v>0</v>
      </c>
      <c r="BF861" s="3248">
        <f t="shared" si="77"/>
        <v>0</v>
      </c>
      <c r="BG861" s="3248">
        <f t="shared" si="78"/>
        <v>0</v>
      </c>
      <c r="BH861" s="3249"/>
      <c r="BI861" s="3249"/>
    </row>
    <row r="862" spans="1:61" x14ac:dyDescent="0.3">
      <c r="A862" s="4197" t="s">
        <v>3384</v>
      </c>
      <c r="B862" s="3261"/>
      <c r="C862" s="3243">
        <v>0</v>
      </c>
      <c r="D862" s="3242">
        <v>0</v>
      </c>
      <c r="E862" s="3244"/>
      <c r="F862" s="3244"/>
      <c r="G862" s="3242">
        <v>0</v>
      </c>
      <c r="H862" s="3244"/>
      <c r="I862" s="3244"/>
      <c r="J862" s="3244"/>
      <c r="K862" s="3242">
        <v>0</v>
      </c>
      <c r="L862" s="3244"/>
      <c r="M862" s="3244"/>
      <c r="N862" s="3242" t="s">
        <v>3384</v>
      </c>
      <c r="O862" s="3239">
        <v>0</v>
      </c>
      <c r="P862" s="3242">
        <v>0</v>
      </c>
      <c r="Q862" s="3244"/>
      <c r="R862" s="3244"/>
      <c r="S862" s="3242">
        <v>0</v>
      </c>
      <c r="T862" s="3244"/>
      <c r="U862" s="3244"/>
      <c r="V862" s="3244"/>
      <c r="W862" s="3240">
        <v>0</v>
      </c>
      <c r="X862" s="3244"/>
      <c r="Y862" s="3244"/>
      <c r="Z862" s="3242" t="s">
        <v>3384</v>
      </c>
      <c r="AA862" s="3243">
        <v>0</v>
      </c>
      <c r="AB862" s="3242">
        <v>0</v>
      </c>
      <c r="AC862" s="3244"/>
      <c r="AD862" s="3244"/>
      <c r="AE862" s="3242">
        <v>0</v>
      </c>
      <c r="AF862" s="3259"/>
      <c r="AG862" s="3260"/>
      <c r="AH862" s="3260"/>
      <c r="AI862" s="3260"/>
      <c r="AJ862" s="3260"/>
      <c r="AK862" s="3260"/>
      <c r="AL862" s="3259"/>
      <c r="AM862" s="3260"/>
      <c r="AN862" s="3259"/>
      <c r="AO862" s="3260"/>
      <c r="AP862" s="3242">
        <v>0</v>
      </c>
      <c r="AQ862" s="3244"/>
      <c r="AR862" s="3244"/>
      <c r="AS862" s="3242" t="s">
        <v>3384</v>
      </c>
      <c r="AT862" s="3247">
        <f t="shared" si="75"/>
        <v>0</v>
      </c>
      <c r="AU862" s="3248">
        <f t="shared" si="76"/>
        <v>0</v>
      </c>
      <c r="AV862" s="3248">
        <v>0</v>
      </c>
      <c r="AW862" s="3247">
        <v>0</v>
      </c>
      <c r="AX862" s="3248">
        <v>0</v>
      </c>
      <c r="AY862" s="3248">
        <v>0</v>
      </c>
      <c r="AZ862" s="3247">
        <v>0</v>
      </c>
      <c r="BA862" s="3248">
        <v>0</v>
      </c>
      <c r="BB862" s="3248">
        <v>0</v>
      </c>
      <c r="BC862" s="3247">
        <v>0</v>
      </c>
      <c r="BD862" s="3248">
        <v>0</v>
      </c>
      <c r="BE862" s="3248">
        <v>0</v>
      </c>
      <c r="BF862" s="3248">
        <f t="shared" si="77"/>
        <v>0</v>
      </c>
      <c r="BG862" s="3248">
        <f t="shared" si="78"/>
        <v>0</v>
      </c>
      <c r="BH862" s="3249"/>
      <c r="BI862" s="3249"/>
    </row>
    <row r="863" spans="1:61" x14ac:dyDescent="0.3">
      <c r="A863" s="4197" t="s">
        <v>3384</v>
      </c>
      <c r="B863" s="3261"/>
      <c r="C863" s="3243">
        <v>0</v>
      </c>
      <c r="D863" s="3242">
        <v>0</v>
      </c>
      <c r="E863" s="3244"/>
      <c r="F863" s="3244"/>
      <c r="G863" s="3242">
        <v>0</v>
      </c>
      <c r="H863" s="3244"/>
      <c r="I863" s="3244"/>
      <c r="J863" s="3244"/>
      <c r="K863" s="3242">
        <v>0</v>
      </c>
      <c r="L863" s="3244"/>
      <c r="M863" s="3244"/>
      <c r="N863" s="3242" t="s">
        <v>3384</v>
      </c>
      <c r="O863" s="3239">
        <v>0</v>
      </c>
      <c r="P863" s="3242">
        <v>0</v>
      </c>
      <c r="Q863" s="3244"/>
      <c r="R863" s="3244"/>
      <c r="S863" s="3242">
        <v>0</v>
      </c>
      <c r="T863" s="3244"/>
      <c r="U863" s="3244"/>
      <c r="V863" s="3244"/>
      <c r="W863" s="3240">
        <v>0</v>
      </c>
      <c r="X863" s="3244"/>
      <c r="Y863" s="3244"/>
      <c r="Z863" s="3242" t="s">
        <v>3384</v>
      </c>
      <c r="AA863" s="3243">
        <v>0</v>
      </c>
      <c r="AB863" s="3242">
        <v>0</v>
      </c>
      <c r="AC863" s="3244"/>
      <c r="AD863" s="3244"/>
      <c r="AE863" s="3242">
        <v>0</v>
      </c>
      <c r="AF863" s="3259"/>
      <c r="AG863" s="3260"/>
      <c r="AH863" s="3260"/>
      <c r="AI863" s="3260"/>
      <c r="AJ863" s="3260"/>
      <c r="AK863" s="3260"/>
      <c r="AL863" s="3259"/>
      <c r="AM863" s="3260"/>
      <c r="AN863" s="3259"/>
      <c r="AO863" s="3260"/>
      <c r="AP863" s="3242">
        <v>0</v>
      </c>
      <c r="AQ863" s="3244"/>
      <c r="AR863" s="3244"/>
      <c r="AS863" s="3242" t="s">
        <v>3384</v>
      </c>
      <c r="AT863" s="3247">
        <f t="shared" si="75"/>
        <v>0</v>
      </c>
      <c r="AU863" s="3248">
        <f t="shared" si="76"/>
        <v>0</v>
      </c>
      <c r="AV863" s="3248">
        <v>0</v>
      </c>
      <c r="AW863" s="3247">
        <v>0</v>
      </c>
      <c r="AX863" s="3248">
        <v>0</v>
      </c>
      <c r="AY863" s="3248">
        <v>0</v>
      </c>
      <c r="AZ863" s="3247">
        <v>0</v>
      </c>
      <c r="BA863" s="3248">
        <v>0</v>
      </c>
      <c r="BB863" s="3248">
        <v>0</v>
      </c>
      <c r="BC863" s="3247">
        <v>0</v>
      </c>
      <c r="BD863" s="3248">
        <v>0</v>
      </c>
      <c r="BE863" s="3248">
        <v>0</v>
      </c>
      <c r="BF863" s="3248">
        <f t="shared" si="77"/>
        <v>0</v>
      </c>
      <c r="BG863" s="3248">
        <f t="shared" si="78"/>
        <v>0</v>
      </c>
      <c r="BH863" s="3249"/>
      <c r="BI863" s="3249"/>
    </row>
    <row r="864" spans="1:61" x14ac:dyDescent="0.3">
      <c r="A864" s="4197" t="s">
        <v>3384</v>
      </c>
      <c r="B864" s="3261"/>
      <c r="C864" s="3243">
        <v>0</v>
      </c>
      <c r="D864" s="3242">
        <v>0</v>
      </c>
      <c r="E864" s="3244"/>
      <c r="F864" s="3244"/>
      <c r="G864" s="3242">
        <v>0</v>
      </c>
      <c r="H864" s="3244"/>
      <c r="I864" s="3244"/>
      <c r="J864" s="3244"/>
      <c r="K864" s="3242">
        <v>0</v>
      </c>
      <c r="L864" s="3244"/>
      <c r="M864" s="3244"/>
      <c r="N864" s="3242" t="s">
        <v>3384</v>
      </c>
      <c r="O864" s="3239">
        <v>0</v>
      </c>
      <c r="P864" s="3242">
        <v>0</v>
      </c>
      <c r="Q864" s="3244"/>
      <c r="R864" s="3244"/>
      <c r="S864" s="3242">
        <v>0</v>
      </c>
      <c r="T864" s="3244"/>
      <c r="U864" s="3244"/>
      <c r="V864" s="3244"/>
      <c r="W864" s="3240">
        <v>0</v>
      </c>
      <c r="X864" s="3244"/>
      <c r="Y864" s="3244"/>
      <c r="Z864" s="3242" t="s">
        <v>3384</v>
      </c>
      <c r="AA864" s="3243">
        <v>0</v>
      </c>
      <c r="AB864" s="3242">
        <v>0</v>
      </c>
      <c r="AC864" s="3244"/>
      <c r="AD864" s="3244"/>
      <c r="AE864" s="3242">
        <v>0</v>
      </c>
      <c r="AF864" s="3259"/>
      <c r="AG864" s="3260"/>
      <c r="AH864" s="3260"/>
      <c r="AI864" s="3260"/>
      <c r="AJ864" s="3260"/>
      <c r="AK864" s="3260"/>
      <c r="AL864" s="3259"/>
      <c r="AM864" s="3260"/>
      <c r="AN864" s="3259"/>
      <c r="AO864" s="3260"/>
      <c r="AP864" s="3242">
        <v>0</v>
      </c>
      <c r="AQ864" s="3244"/>
      <c r="AR864" s="3244"/>
      <c r="AS864" s="3242" t="s">
        <v>3384</v>
      </c>
      <c r="AT864" s="3247">
        <f t="shared" si="75"/>
        <v>0</v>
      </c>
      <c r="AU864" s="3248">
        <f t="shared" si="76"/>
        <v>0</v>
      </c>
      <c r="AV864" s="3248">
        <v>0</v>
      </c>
      <c r="AW864" s="3247">
        <v>0</v>
      </c>
      <c r="AX864" s="3248">
        <v>0</v>
      </c>
      <c r="AY864" s="3248">
        <v>0</v>
      </c>
      <c r="AZ864" s="3247">
        <v>0</v>
      </c>
      <c r="BA864" s="3248">
        <v>0</v>
      </c>
      <c r="BB864" s="3248">
        <v>0</v>
      </c>
      <c r="BC864" s="3247">
        <v>0</v>
      </c>
      <c r="BD864" s="3248">
        <v>0</v>
      </c>
      <c r="BE864" s="3248">
        <v>0</v>
      </c>
      <c r="BF864" s="3248">
        <f t="shared" si="77"/>
        <v>0</v>
      </c>
      <c r="BG864" s="3248">
        <f t="shared" si="78"/>
        <v>0</v>
      </c>
      <c r="BH864" s="3249"/>
      <c r="BI864" s="3249"/>
    </row>
    <row r="865" spans="1:61" x14ac:dyDescent="0.3">
      <c r="A865" s="4197" t="s">
        <v>3384</v>
      </c>
      <c r="B865" s="3261"/>
      <c r="C865" s="3243">
        <v>0</v>
      </c>
      <c r="D865" s="3242">
        <v>0</v>
      </c>
      <c r="E865" s="3244"/>
      <c r="F865" s="3244"/>
      <c r="G865" s="3242">
        <v>0</v>
      </c>
      <c r="H865" s="3244"/>
      <c r="I865" s="3244"/>
      <c r="J865" s="3244"/>
      <c r="K865" s="3242">
        <v>0</v>
      </c>
      <c r="L865" s="3244"/>
      <c r="M865" s="3244"/>
      <c r="N865" s="3242" t="s">
        <v>3384</v>
      </c>
      <c r="O865" s="3239">
        <v>0</v>
      </c>
      <c r="P865" s="3242">
        <v>0</v>
      </c>
      <c r="Q865" s="3244"/>
      <c r="R865" s="3244"/>
      <c r="S865" s="3242">
        <v>0</v>
      </c>
      <c r="T865" s="3244"/>
      <c r="U865" s="3244"/>
      <c r="V865" s="3244"/>
      <c r="W865" s="3240">
        <v>0</v>
      </c>
      <c r="X865" s="3244"/>
      <c r="Y865" s="3244"/>
      <c r="Z865" s="3242" t="s">
        <v>3384</v>
      </c>
      <c r="AA865" s="3243">
        <v>0</v>
      </c>
      <c r="AB865" s="3242">
        <v>0</v>
      </c>
      <c r="AC865" s="3244"/>
      <c r="AD865" s="3244"/>
      <c r="AE865" s="3242">
        <v>0</v>
      </c>
      <c r="AF865" s="3259"/>
      <c r="AG865" s="3260"/>
      <c r="AH865" s="3260"/>
      <c r="AI865" s="3260"/>
      <c r="AJ865" s="3260"/>
      <c r="AK865" s="3260"/>
      <c r="AL865" s="3259"/>
      <c r="AM865" s="3260"/>
      <c r="AN865" s="3259"/>
      <c r="AO865" s="3260"/>
      <c r="AP865" s="3242">
        <v>0</v>
      </c>
      <c r="AQ865" s="3244"/>
      <c r="AR865" s="3244"/>
      <c r="AS865" s="3242" t="s">
        <v>3384</v>
      </c>
      <c r="AT865" s="3247">
        <f t="shared" si="75"/>
        <v>0</v>
      </c>
      <c r="AU865" s="3248">
        <f t="shared" si="76"/>
        <v>0</v>
      </c>
      <c r="AV865" s="3248">
        <v>0</v>
      </c>
      <c r="AW865" s="3247">
        <v>0</v>
      </c>
      <c r="AX865" s="3248">
        <v>0</v>
      </c>
      <c r="AY865" s="3248">
        <v>0</v>
      </c>
      <c r="AZ865" s="3247">
        <v>0</v>
      </c>
      <c r="BA865" s="3248">
        <v>0</v>
      </c>
      <c r="BB865" s="3248">
        <v>0</v>
      </c>
      <c r="BC865" s="3247">
        <v>0</v>
      </c>
      <c r="BD865" s="3248">
        <v>0</v>
      </c>
      <c r="BE865" s="3248">
        <v>0</v>
      </c>
      <c r="BF865" s="3248">
        <f t="shared" si="77"/>
        <v>0</v>
      </c>
      <c r="BG865" s="3248">
        <f t="shared" si="78"/>
        <v>0</v>
      </c>
      <c r="BH865" s="3249"/>
      <c r="BI865" s="3249"/>
    </row>
    <row r="866" spans="1:61" x14ac:dyDescent="0.3">
      <c r="A866" s="4197" t="s">
        <v>3384</v>
      </c>
      <c r="B866" s="3261"/>
      <c r="C866" s="3243">
        <v>0</v>
      </c>
      <c r="D866" s="3242">
        <v>0</v>
      </c>
      <c r="E866" s="3244"/>
      <c r="F866" s="3244"/>
      <c r="G866" s="3242">
        <v>0</v>
      </c>
      <c r="H866" s="3244"/>
      <c r="I866" s="3244"/>
      <c r="J866" s="3244"/>
      <c r="K866" s="3242">
        <v>0</v>
      </c>
      <c r="L866" s="3244"/>
      <c r="M866" s="3244"/>
      <c r="N866" s="3242" t="s">
        <v>3384</v>
      </c>
      <c r="O866" s="3239">
        <v>0</v>
      </c>
      <c r="P866" s="3242">
        <v>0</v>
      </c>
      <c r="Q866" s="3244"/>
      <c r="R866" s="3244"/>
      <c r="S866" s="3242">
        <v>0</v>
      </c>
      <c r="T866" s="3244"/>
      <c r="U866" s="3244"/>
      <c r="V866" s="3244"/>
      <c r="W866" s="3240">
        <v>0</v>
      </c>
      <c r="X866" s="3244"/>
      <c r="Y866" s="3244"/>
      <c r="Z866" s="3242" t="s">
        <v>3384</v>
      </c>
      <c r="AA866" s="3243">
        <v>0</v>
      </c>
      <c r="AB866" s="3242">
        <v>0</v>
      </c>
      <c r="AC866" s="3244"/>
      <c r="AD866" s="3244"/>
      <c r="AE866" s="3242">
        <v>0</v>
      </c>
      <c r="AF866" s="3259"/>
      <c r="AG866" s="3260"/>
      <c r="AH866" s="3260"/>
      <c r="AI866" s="3260"/>
      <c r="AJ866" s="3260"/>
      <c r="AK866" s="3260"/>
      <c r="AL866" s="3259"/>
      <c r="AM866" s="3260"/>
      <c r="AN866" s="3259"/>
      <c r="AO866" s="3260"/>
      <c r="AP866" s="3242">
        <v>0</v>
      </c>
      <c r="AQ866" s="3244"/>
      <c r="AR866" s="3244"/>
      <c r="AS866" s="3242" t="s">
        <v>3384</v>
      </c>
      <c r="AT866" s="3247">
        <f t="shared" si="75"/>
        <v>0</v>
      </c>
      <c r="AU866" s="3248">
        <f t="shared" si="76"/>
        <v>0</v>
      </c>
      <c r="AV866" s="3248">
        <v>0</v>
      </c>
      <c r="AW866" s="3247">
        <v>0</v>
      </c>
      <c r="AX866" s="3248">
        <v>0</v>
      </c>
      <c r="AY866" s="3248">
        <v>0</v>
      </c>
      <c r="AZ866" s="3247">
        <v>0</v>
      </c>
      <c r="BA866" s="3248">
        <v>0</v>
      </c>
      <c r="BB866" s="3248">
        <v>0</v>
      </c>
      <c r="BC866" s="3247">
        <v>0</v>
      </c>
      <c r="BD866" s="3248">
        <v>0</v>
      </c>
      <c r="BE866" s="3248">
        <v>0</v>
      </c>
      <c r="BF866" s="3248">
        <f t="shared" si="77"/>
        <v>0</v>
      </c>
      <c r="BG866" s="3248">
        <f t="shared" si="78"/>
        <v>0</v>
      </c>
      <c r="BH866" s="3249"/>
      <c r="BI866" s="3249"/>
    </row>
    <row r="867" spans="1:61" x14ac:dyDescent="0.3">
      <c r="A867" s="4197" t="s">
        <v>3384</v>
      </c>
      <c r="B867" s="3261"/>
      <c r="C867" s="3243">
        <v>0</v>
      </c>
      <c r="D867" s="3242">
        <v>0</v>
      </c>
      <c r="E867" s="3244"/>
      <c r="F867" s="3244"/>
      <c r="G867" s="3242">
        <v>0</v>
      </c>
      <c r="H867" s="3244"/>
      <c r="I867" s="3244"/>
      <c r="J867" s="3244"/>
      <c r="K867" s="3242">
        <v>0</v>
      </c>
      <c r="L867" s="3244"/>
      <c r="M867" s="3244"/>
      <c r="N867" s="3242" t="s">
        <v>3384</v>
      </c>
      <c r="O867" s="3239">
        <v>0</v>
      </c>
      <c r="P867" s="3242">
        <v>0</v>
      </c>
      <c r="Q867" s="3244"/>
      <c r="R867" s="3244"/>
      <c r="S867" s="3242">
        <v>0</v>
      </c>
      <c r="T867" s="3244"/>
      <c r="U867" s="3244"/>
      <c r="V867" s="3244"/>
      <c r="W867" s="3240">
        <v>0</v>
      </c>
      <c r="X867" s="3244"/>
      <c r="Y867" s="3244"/>
      <c r="Z867" s="3242" t="s">
        <v>3384</v>
      </c>
      <c r="AA867" s="3243">
        <v>0</v>
      </c>
      <c r="AB867" s="3242">
        <v>0</v>
      </c>
      <c r="AC867" s="3244"/>
      <c r="AD867" s="3244"/>
      <c r="AE867" s="3242">
        <v>0</v>
      </c>
      <c r="AF867" s="3259"/>
      <c r="AG867" s="3260"/>
      <c r="AH867" s="3260"/>
      <c r="AI867" s="3260"/>
      <c r="AJ867" s="3260"/>
      <c r="AK867" s="3260"/>
      <c r="AL867" s="3259"/>
      <c r="AM867" s="3260"/>
      <c r="AN867" s="3259"/>
      <c r="AO867" s="3260"/>
      <c r="AP867" s="3242">
        <v>0</v>
      </c>
      <c r="AQ867" s="3244"/>
      <c r="AR867" s="3244"/>
      <c r="AS867" s="3242" t="s">
        <v>3384</v>
      </c>
      <c r="AT867" s="3247">
        <f t="shared" si="75"/>
        <v>0</v>
      </c>
      <c r="AU867" s="3248">
        <f t="shared" si="76"/>
        <v>0</v>
      </c>
      <c r="AV867" s="3248">
        <v>0</v>
      </c>
      <c r="AW867" s="3247">
        <v>0</v>
      </c>
      <c r="AX867" s="3248">
        <v>0</v>
      </c>
      <c r="AY867" s="3248">
        <v>0</v>
      </c>
      <c r="AZ867" s="3247">
        <v>0</v>
      </c>
      <c r="BA867" s="3248">
        <v>0</v>
      </c>
      <c r="BB867" s="3248">
        <v>0</v>
      </c>
      <c r="BC867" s="3247">
        <v>0</v>
      </c>
      <c r="BD867" s="3248">
        <v>0</v>
      </c>
      <c r="BE867" s="3248">
        <v>0</v>
      </c>
      <c r="BF867" s="3248">
        <f t="shared" si="77"/>
        <v>0</v>
      </c>
      <c r="BG867" s="3248">
        <f t="shared" si="78"/>
        <v>0</v>
      </c>
      <c r="BH867" s="3249"/>
      <c r="BI867" s="3249"/>
    </row>
    <row r="868" spans="1:61" x14ac:dyDescent="0.3">
      <c r="A868" s="4197" t="s">
        <v>3384</v>
      </c>
      <c r="B868" s="3261"/>
      <c r="C868" s="3243">
        <v>0</v>
      </c>
      <c r="D868" s="3242">
        <v>0</v>
      </c>
      <c r="E868" s="3244"/>
      <c r="F868" s="3244"/>
      <c r="G868" s="3242">
        <v>0</v>
      </c>
      <c r="H868" s="3244"/>
      <c r="I868" s="3244"/>
      <c r="J868" s="3244"/>
      <c r="K868" s="3242">
        <v>0</v>
      </c>
      <c r="L868" s="3244"/>
      <c r="M868" s="3244"/>
      <c r="N868" s="3242" t="s">
        <v>3384</v>
      </c>
      <c r="O868" s="3239">
        <v>0</v>
      </c>
      <c r="P868" s="3242">
        <v>0</v>
      </c>
      <c r="Q868" s="3244"/>
      <c r="R868" s="3244"/>
      <c r="S868" s="3242">
        <v>0</v>
      </c>
      <c r="T868" s="3244"/>
      <c r="U868" s="3244"/>
      <c r="V868" s="3244"/>
      <c r="W868" s="3240">
        <v>0</v>
      </c>
      <c r="X868" s="3244"/>
      <c r="Y868" s="3244"/>
      <c r="Z868" s="3242" t="s">
        <v>3384</v>
      </c>
      <c r="AA868" s="3243">
        <v>0</v>
      </c>
      <c r="AB868" s="3242">
        <v>0</v>
      </c>
      <c r="AC868" s="3244"/>
      <c r="AD868" s="3244"/>
      <c r="AE868" s="3242">
        <v>0</v>
      </c>
      <c r="AF868" s="3259"/>
      <c r="AG868" s="3260"/>
      <c r="AH868" s="3260"/>
      <c r="AI868" s="3260"/>
      <c r="AJ868" s="3260"/>
      <c r="AK868" s="3260"/>
      <c r="AL868" s="3259"/>
      <c r="AM868" s="3260"/>
      <c r="AN868" s="3259"/>
      <c r="AO868" s="3260"/>
      <c r="AP868" s="3242">
        <v>0</v>
      </c>
      <c r="AQ868" s="3244"/>
      <c r="AR868" s="3244"/>
      <c r="AS868" s="3242" t="s">
        <v>3384</v>
      </c>
      <c r="AT868" s="3247">
        <f t="shared" si="75"/>
        <v>0</v>
      </c>
      <c r="AU868" s="3248">
        <f t="shared" si="76"/>
        <v>0</v>
      </c>
      <c r="AV868" s="3248">
        <v>0</v>
      </c>
      <c r="AW868" s="3247">
        <v>0</v>
      </c>
      <c r="AX868" s="3248">
        <v>0</v>
      </c>
      <c r="AY868" s="3248">
        <v>0</v>
      </c>
      <c r="AZ868" s="3247">
        <v>0</v>
      </c>
      <c r="BA868" s="3248">
        <v>0</v>
      </c>
      <c r="BB868" s="3248">
        <v>0</v>
      </c>
      <c r="BC868" s="3247">
        <v>0</v>
      </c>
      <c r="BD868" s="3248">
        <v>0</v>
      </c>
      <c r="BE868" s="3248">
        <v>0</v>
      </c>
      <c r="BF868" s="3248">
        <f t="shared" si="77"/>
        <v>0</v>
      </c>
      <c r="BG868" s="3248">
        <f t="shared" si="78"/>
        <v>0</v>
      </c>
      <c r="BH868" s="3249"/>
      <c r="BI868" s="3249"/>
    </row>
    <row r="869" spans="1:61" x14ac:dyDescent="0.3">
      <c r="A869" s="4197" t="s">
        <v>3384</v>
      </c>
      <c r="B869" s="3261"/>
      <c r="C869" s="3243">
        <v>0</v>
      </c>
      <c r="D869" s="3242">
        <v>0</v>
      </c>
      <c r="E869" s="3244"/>
      <c r="F869" s="3244"/>
      <c r="G869" s="3242">
        <v>0</v>
      </c>
      <c r="H869" s="3244"/>
      <c r="I869" s="3244"/>
      <c r="J869" s="3244"/>
      <c r="K869" s="3242">
        <v>0</v>
      </c>
      <c r="L869" s="3244"/>
      <c r="M869" s="3244"/>
      <c r="N869" s="3242" t="s">
        <v>3384</v>
      </c>
      <c r="O869" s="3239">
        <v>0</v>
      </c>
      <c r="P869" s="3242">
        <v>0</v>
      </c>
      <c r="Q869" s="3244"/>
      <c r="R869" s="3244"/>
      <c r="S869" s="3242">
        <v>0</v>
      </c>
      <c r="T869" s="3244"/>
      <c r="U869" s="3244"/>
      <c r="V869" s="3244"/>
      <c r="W869" s="3240">
        <v>0</v>
      </c>
      <c r="X869" s="3244"/>
      <c r="Y869" s="3244"/>
      <c r="Z869" s="3242" t="s">
        <v>3384</v>
      </c>
      <c r="AA869" s="3243">
        <v>0</v>
      </c>
      <c r="AB869" s="3242">
        <v>0</v>
      </c>
      <c r="AC869" s="3244"/>
      <c r="AD869" s="3244"/>
      <c r="AE869" s="3242">
        <v>0</v>
      </c>
      <c r="AF869" s="3259"/>
      <c r="AG869" s="3260"/>
      <c r="AH869" s="3260"/>
      <c r="AI869" s="3260"/>
      <c r="AJ869" s="3260"/>
      <c r="AK869" s="3260"/>
      <c r="AL869" s="3259"/>
      <c r="AM869" s="3260"/>
      <c r="AN869" s="3259"/>
      <c r="AO869" s="3260"/>
      <c r="AP869" s="3242">
        <v>0</v>
      </c>
      <c r="AQ869" s="3244"/>
      <c r="AR869" s="3244"/>
      <c r="AS869" s="3242" t="s">
        <v>3384</v>
      </c>
      <c r="AT869" s="3247">
        <f t="shared" si="75"/>
        <v>0</v>
      </c>
      <c r="AU869" s="3248">
        <f t="shared" si="76"/>
        <v>0</v>
      </c>
      <c r="AV869" s="3248">
        <v>0</v>
      </c>
      <c r="AW869" s="3247">
        <v>0</v>
      </c>
      <c r="AX869" s="3248">
        <v>0</v>
      </c>
      <c r="AY869" s="3248">
        <v>0</v>
      </c>
      <c r="AZ869" s="3247">
        <v>0</v>
      </c>
      <c r="BA869" s="3248">
        <v>0</v>
      </c>
      <c r="BB869" s="3248">
        <v>0</v>
      </c>
      <c r="BC869" s="3247">
        <v>0</v>
      </c>
      <c r="BD869" s="3248">
        <v>0</v>
      </c>
      <c r="BE869" s="3248">
        <v>0</v>
      </c>
      <c r="BF869" s="3248">
        <f t="shared" si="77"/>
        <v>0</v>
      </c>
      <c r="BG869" s="3248">
        <f t="shared" si="78"/>
        <v>0</v>
      </c>
      <c r="BH869" s="3249"/>
      <c r="BI869" s="3249"/>
    </row>
    <row r="870" spans="1:61" x14ac:dyDescent="0.3">
      <c r="A870" s="4197" t="s">
        <v>3384</v>
      </c>
      <c r="B870" s="3261"/>
      <c r="C870" s="3243">
        <v>0</v>
      </c>
      <c r="D870" s="3242">
        <v>0</v>
      </c>
      <c r="E870" s="3244"/>
      <c r="F870" s="3244"/>
      <c r="G870" s="3242">
        <v>0</v>
      </c>
      <c r="H870" s="3244"/>
      <c r="I870" s="3244"/>
      <c r="J870" s="3244"/>
      <c r="K870" s="3242">
        <v>0</v>
      </c>
      <c r="L870" s="3244"/>
      <c r="M870" s="3244"/>
      <c r="N870" s="3242" t="s">
        <v>3384</v>
      </c>
      <c r="O870" s="3239">
        <v>0</v>
      </c>
      <c r="P870" s="3242">
        <v>0</v>
      </c>
      <c r="Q870" s="3244"/>
      <c r="R870" s="3244"/>
      <c r="S870" s="3242">
        <v>0</v>
      </c>
      <c r="T870" s="3244"/>
      <c r="U870" s="3244"/>
      <c r="V870" s="3244"/>
      <c r="W870" s="3240">
        <v>0</v>
      </c>
      <c r="X870" s="3244"/>
      <c r="Y870" s="3244"/>
      <c r="Z870" s="3242" t="s">
        <v>3384</v>
      </c>
      <c r="AA870" s="3243">
        <v>0</v>
      </c>
      <c r="AB870" s="3242">
        <v>0</v>
      </c>
      <c r="AC870" s="3244"/>
      <c r="AD870" s="3244"/>
      <c r="AE870" s="3242">
        <v>0</v>
      </c>
      <c r="AF870" s="3259"/>
      <c r="AG870" s="3260"/>
      <c r="AH870" s="3260"/>
      <c r="AI870" s="3260"/>
      <c r="AJ870" s="3260"/>
      <c r="AK870" s="3260"/>
      <c r="AL870" s="3259"/>
      <c r="AM870" s="3260"/>
      <c r="AN870" s="3259"/>
      <c r="AO870" s="3260"/>
      <c r="AP870" s="3242">
        <v>0</v>
      </c>
      <c r="AQ870" s="3244"/>
      <c r="AR870" s="3244"/>
      <c r="AS870" s="3242" t="s">
        <v>3384</v>
      </c>
      <c r="AT870" s="3247">
        <f t="shared" si="75"/>
        <v>0</v>
      </c>
      <c r="AU870" s="3248">
        <f t="shared" si="76"/>
        <v>0</v>
      </c>
      <c r="AV870" s="3248">
        <v>0</v>
      </c>
      <c r="AW870" s="3247">
        <v>0</v>
      </c>
      <c r="AX870" s="3248">
        <v>0</v>
      </c>
      <c r="AY870" s="3248">
        <v>0</v>
      </c>
      <c r="AZ870" s="3247">
        <v>0</v>
      </c>
      <c r="BA870" s="3248">
        <v>0</v>
      </c>
      <c r="BB870" s="3248">
        <v>0</v>
      </c>
      <c r="BC870" s="3247">
        <v>0</v>
      </c>
      <c r="BD870" s="3248">
        <v>0</v>
      </c>
      <c r="BE870" s="3248">
        <v>0</v>
      </c>
      <c r="BF870" s="3248">
        <f t="shared" si="77"/>
        <v>0</v>
      </c>
      <c r="BG870" s="3248">
        <f t="shared" si="78"/>
        <v>0</v>
      </c>
      <c r="BH870" s="3249"/>
      <c r="BI870" s="3249"/>
    </row>
    <row r="871" spans="1:61" x14ac:dyDescent="0.3">
      <c r="A871" s="4197" t="s">
        <v>3384</v>
      </c>
      <c r="B871" s="3261"/>
      <c r="C871" s="3243">
        <v>0</v>
      </c>
      <c r="D871" s="3242">
        <v>0</v>
      </c>
      <c r="E871" s="3244"/>
      <c r="F871" s="3244"/>
      <c r="G871" s="3242">
        <v>0</v>
      </c>
      <c r="H871" s="3244"/>
      <c r="I871" s="3244"/>
      <c r="J871" s="3244"/>
      <c r="K871" s="3242">
        <v>0</v>
      </c>
      <c r="L871" s="3244"/>
      <c r="M871" s="3244"/>
      <c r="N871" s="3242" t="s">
        <v>3384</v>
      </c>
      <c r="O871" s="3239">
        <v>0</v>
      </c>
      <c r="P871" s="3242">
        <v>0</v>
      </c>
      <c r="Q871" s="3244"/>
      <c r="R871" s="3244"/>
      <c r="S871" s="3242">
        <v>0</v>
      </c>
      <c r="T871" s="3244"/>
      <c r="U871" s="3244"/>
      <c r="V871" s="3244"/>
      <c r="W871" s="3240">
        <v>0</v>
      </c>
      <c r="X871" s="3244"/>
      <c r="Y871" s="3244"/>
      <c r="Z871" s="3242" t="s">
        <v>3384</v>
      </c>
      <c r="AA871" s="3243">
        <v>0</v>
      </c>
      <c r="AB871" s="3242">
        <v>0</v>
      </c>
      <c r="AC871" s="3244"/>
      <c r="AD871" s="3244"/>
      <c r="AE871" s="3242">
        <v>0</v>
      </c>
      <c r="AF871" s="3259"/>
      <c r="AG871" s="3260"/>
      <c r="AH871" s="3260"/>
      <c r="AI871" s="3260"/>
      <c r="AJ871" s="3260"/>
      <c r="AK871" s="3260"/>
      <c r="AL871" s="3259"/>
      <c r="AM871" s="3260"/>
      <c r="AN871" s="3259"/>
      <c r="AO871" s="3260"/>
      <c r="AP871" s="3242">
        <v>0</v>
      </c>
      <c r="AQ871" s="3244"/>
      <c r="AR871" s="3244"/>
      <c r="AS871" s="3242" t="s">
        <v>3384</v>
      </c>
      <c r="AT871" s="3247">
        <f t="shared" si="75"/>
        <v>0</v>
      </c>
      <c r="AU871" s="3248">
        <f t="shared" si="76"/>
        <v>0</v>
      </c>
      <c r="AV871" s="3248">
        <v>0</v>
      </c>
      <c r="AW871" s="3247">
        <v>0</v>
      </c>
      <c r="AX871" s="3248">
        <v>0</v>
      </c>
      <c r="AY871" s="3248">
        <v>0</v>
      </c>
      <c r="AZ871" s="3247">
        <v>0</v>
      </c>
      <c r="BA871" s="3248">
        <v>0</v>
      </c>
      <c r="BB871" s="3248">
        <v>0</v>
      </c>
      <c r="BC871" s="3247">
        <v>0</v>
      </c>
      <c r="BD871" s="3248">
        <v>0</v>
      </c>
      <c r="BE871" s="3248">
        <v>0</v>
      </c>
      <c r="BF871" s="3248">
        <f t="shared" si="77"/>
        <v>0</v>
      </c>
      <c r="BG871" s="3248">
        <f t="shared" si="78"/>
        <v>0</v>
      </c>
      <c r="BH871" s="3249"/>
      <c r="BI871" s="3249"/>
    </row>
    <row r="872" spans="1:61" x14ac:dyDescent="0.3">
      <c r="A872" s="4197" t="s">
        <v>3384</v>
      </c>
      <c r="B872" s="3261"/>
      <c r="C872" s="3243">
        <v>0</v>
      </c>
      <c r="D872" s="3242">
        <v>0</v>
      </c>
      <c r="E872" s="3244"/>
      <c r="F872" s="3244"/>
      <c r="G872" s="3242">
        <v>0</v>
      </c>
      <c r="H872" s="3244"/>
      <c r="I872" s="3244"/>
      <c r="J872" s="3244"/>
      <c r="K872" s="3242">
        <v>0</v>
      </c>
      <c r="L872" s="3244"/>
      <c r="M872" s="3244"/>
      <c r="N872" s="3242" t="s">
        <v>3384</v>
      </c>
      <c r="O872" s="3239">
        <v>0</v>
      </c>
      <c r="P872" s="3242">
        <v>0</v>
      </c>
      <c r="Q872" s="3244"/>
      <c r="R872" s="3244"/>
      <c r="S872" s="3242">
        <v>0</v>
      </c>
      <c r="T872" s="3244"/>
      <c r="U872" s="3244"/>
      <c r="V872" s="3244"/>
      <c r="W872" s="3240">
        <v>0</v>
      </c>
      <c r="X872" s="3244"/>
      <c r="Y872" s="3244"/>
      <c r="Z872" s="3242" t="s">
        <v>3384</v>
      </c>
      <c r="AA872" s="3243">
        <v>0</v>
      </c>
      <c r="AB872" s="3242">
        <v>0</v>
      </c>
      <c r="AC872" s="3244"/>
      <c r="AD872" s="3244"/>
      <c r="AE872" s="3242">
        <v>0</v>
      </c>
      <c r="AF872" s="3259"/>
      <c r="AG872" s="3260"/>
      <c r="AH872" s="3260"/>
      <c r="AI872" s="3260"/>
      <c r="AJ872" s="3260"/>
      <c r="AK872" s="3260"/>
      <c r="AL872" s="3259"/>
      <c r="AM872" s="3260"/>
      <c r="AN872" s="3259"/>
      <c r="AO872" s="3260"/>
      <c r="AP872" s="3242">
        <v>0</v>
      </c>
      <c r="AQ872" s="3244"/>
      <c r="AR872" s="3244"/>
      <c r="AS872" s="3242" t="s">
        <v>3384</v>
      </c>
      <c r="AT872" s="3247">
        <f t="shared" si="75"/>
        <v>0</v>
      </c>
      <c r="AU872" s="3248">
        <f t="shared" si="76"/>
        <v>0</v>
      </c>
      <c r="AV872" s="3248">
        <v>0</v>
      </c>
      <c r="AW872" s="3247">
        <v>0</v>
      </c>
      <c r="AX872" s="3248">
        <v>0</v>
      </c>
      <c r="AY872" s="3248">
        <v>0</v>
      </c>
      <c r="AZ872" s="3247">
        <v>0</v>
      </c>
      <c r="BA872" s="3248">
        <v>0</v>
      </c>
      <c r="BB872" s="3248">
        <v>0</v>
      </c>
      <c r="BC872" s="3247">
        <v>0</v>
      </c>
      <c r="BD872" s="3248">
        <v>0</v>
      </c>
      <c r="BE872" s="3248">
        <v>0</v>
      </c>
      <c r="BF872" s="3248">
        <f t="shared" si="77"/>
        <v>0</v>
      </c>
      <c r="BG872" s="3248">
        <f t="shared" si="78"/>
        <v>0</v>
      </c>
      <c r="BH872" s="3249"/>
      <c r="BI872" s="3249"/>
    </row>
    <row r="873" spans="1:61" x14ac:dyDescent="0.3">
      <c r="A873" s="4197" t="s">
        <v>3384</v>
      </c>
      <c r="B873" s="3261"/>
      <c r="C873" s="3243">
        <v>0</v>
      </c>
      <c r="D873" s="3242">
        <v>0</v>
      </c>
      <c r="E873" s="3244"/>
      <c r="F873" s="3244"/>
      <c r="G873" s="3242">
        <v>0</v>
      </c>
      <c r="H873" s="3244"/>
      <c r="I873" s="3244"/>
      <c r="J873" s="3244"/>
      <c r="K873" s="3242">
        <v>0</v>
      </c>
      <c r="L873" s="3244"/>
      <c r="M873" s="3244"/>
      <c r="N873" s="3242" t="s">
        <v>3384</v>
      </c>
      <c r="O873" s="3239">
        <v>0</v>
      </c>
      <c r="P873" s="3242">
        <v>0</v>
      </c>
      <c r="Q873" s="3244"/>
      <c r="R873" s="3244"/>
      <c r="S873" s="3242">
        <v>0</v>
      </c>
      <c r="T873" s="3244"/>
      <c r="U873" s="3244"/>
      <c r="V873" s="3244"/>
      <c r="W873" s="3240">
        <v>0</v>
      </c>
      <c r="X873" s="3244"/>
      <c r="Y873" s="3244"/>
      <c r="Z873" s="3242" t="s">
        <v>3384</v>
      </c>
      <c r="AA873" s="3243">
        <v>0</v>
      </c>
      <c r="AB873" s="3242">
        <v>0</v>
      </c>
      <c r="AC873" s="3244"/>
      <c r="AD873" s="3244"/>
      <c r="AE873" s="3242">
        <v>0</v>
      </c>
      <c r="AF873" s="3259"/>
      <c r="AG873" s="3260"/>
      <c r="AH873" s="3260"/>
      <c r="AI873" s="3260"/>
      <c r="AJ873" s="3260"/>
      <c r="AK873" s="3260"/>
      <c r="AL873" s="3259"/>
      <c r="AM873" s="3260"/>
      <c r="AN873" s="3259"/>
      <c r="AO873" s="3260"/>
      <c r="AP873" s="3242">
        <v>0</v>
      </c>
      <c r="AQ873" s="3244"/>
      <c r="AR873" s="3244"/>
      <c r="AS873" s="3242" t="s">
        <v>3384</v>
      </c>
      <c r="AT873" s="3247">
        <f t="shared" si="75"/>
        <v>0</v>
      </c>
      <c r="AU873" s="3248">
        <f t="shared" si="76"/>
        <v>0</v>
      </c>
      <c r="AV873" s="3248">
        <v>0</v>
      </c>
      <c r="AW873" s="3247">
        <v>0</v>
      </c>
      <c r="AX873" s="3248">
        <v>0</v>
      </c>
      <c r="AY873" s="3248">
        <v>0</v>
      </c>
      <c r="AZ873" s="3247">
        <v>0</v>
      </c>
      <c r="BA873" s="3248">
        <v>0</v>
      </c>
      <c r="BB873" s="3248">
        <v>0</v>
      </c>
      <c r="BC873" s="3247">
        <v>0</v>
      </c>
      <c r="BD873" s="3248">
        <v>0</v>
      </c>
      <c r="BE873" s="3248">
        <v>0</v>
      </c>
      <c r="BF873" s="3248">
        <f t="shared" si="77"/>
        <v>0</v>
      </c>
      <c r="BG873" s="3248">
        <f t="shared" si="78"/>
        <v>0</v>
      </c>
      <c r="BH873" s="3249"/>
      <c r="BI873" s="3249"/>
    </row>
    <row r="874" spans="1:61" x14ac:dyDescent="0.3">
      <c r="A874" s="4197" t="s">
        <v>3384</v>
      </c>
      <c r="B874" s="3261"/>
      <c r="C874" s="3243">
        <v>0</v>
      </c>
      <c r="D874" s="3242">
        <v>0</v>
      </c>
      <c r="E874" s="3244"/>
      <c r="F874" s="3244"/>
      <c r="G874" s="3242">
        <v>0</v>
      </c>
      <c r="H874" s="3244"/>
      <c r="I874" s="3244"/>
      <c r="J874" s="3244"/>
      <c r="K874" s="3242">
        <v>0</v>
      </c>
      <c r="L874" s="3244"/>
      <c r="M874" s="3244"/>
      <c r="N874" s="3242" t="s">
        <v>3384</v>
      </c>
      <c r="O874" s="3239">
        <v>0</v>
      </c>
      <c r="P874" s="3242">
        <v>0</v>
      </c>
      <c r="Q874" s="3244"/>
      <c r="R874" s="3244"/>
      <c r="S874" s="3242">
        <v>0</v>
      </c>
      <c r="T874" s="3244"/>
      <c r="U874" s="3244"/>
      <c r="V874" s="3244"/>
      <c r="W874" s="3240">
        <v>0</v>
      </c>
      <c r="X874" s="3244"/>
      <c r="Y874" s="3244"/>
      <c r="Z874" s="3242" t="s">
        <v>3384</v>
      </c>
      <c r="AA874" s="3243">
        <v>0</v>
      </c>
      <c r="AB874" s="3242">
        <v>0</v>
      </c>
      <c r="AC874" s="3244"/>
      <c r="AD874" s="3244"/>
      <c r="AE874" s="3242">
        <v>0</v>
      </c>
      <c r="AF874" s="3259"/>
      <c r="AG874" s="3260"/>
      <c r="AH874" s="3260"/>
      <c r="AI874" s="3260"/>
      <c r="AJ874" s="3260"/>
      <c r="AK874" s="3260"/>
      <c r="AL874" s="3259"/>
      <c r="AM874" s="3260"/>
      <c r="AN874" s="3259"/>
      <c r="AO874" s="3260"/>
      <c r="AP874" s="3242">
        <v>0</v>
      </c>
      <c r="AQ874" s="3244"/>
      <c r="AR874" s="3244"/>
      <c r="AS874" s="3242" t="s">
        <v>3384</v>
      </c>
      <c r="AT874" s="3247">
        <f t="shared" si="75"/>
        <v>0</v>
      </c>
      <c r="AU874" s="3248">
        <f t="shared" si="76"/>
        <v>0</v>
      </c>
      <c r="AV874" s="3248">
        <v>0</v>
      </c>
      <c r="AW874" s="3247">
        <v>0</v>
      </c>
      <c r="AX874" s="3248">
        <v>0</v>
      </c>
      <c r="AY874" s="3248">
        <v>0</v>
      </c>
      <c r="AZ874" s="3247">
        <v>0</v>
      </c>
      <c r="BA874" s="3248">
        <v>0</v>
      </c>
      <c r="BB874" s="3248">
        <v>0</v>
      </c>
      <c r="BC874" s="3247">
        <v>0</v>
      </c>
      <c r="BD874" s="3248">
        <v>0</v>
      </c>
      <c r="BE874" s="3248">
        <v>0</v>
      </c>
      <c r="BF874" s="3248">
        <f t="shared" si="77"/>
        <v>0</v>
      </c>
      <c r="BG874" s="3248">
        <f t="shared" si="78"/>
        <v>0</v>
      </c>
      <c r="BH874" s="3249"/>
      <c r="BI874" s="3249"/>
    </row>
    <row r="875" spans="1:61" x14ac:dyDescent="0.3">
      <c r="A875" s="4197" t="s">
        <v>3384</v>
      </c>
      <c r="B875" s="3261"/>
      <c r="C875" s="3243">
        <v>0</v>
      </c>
      <c r="D875" s="3242">
        <v>0</v>
      </c>
      <c r="E875" s="3244"/>
      <c r="F875" s="3244"/>
      <c r="G875" s="3242">
        <v>0</v>
      </c>
      <c r="H875" s="3244"/>
      <c r="I875" s="3244"/>
      <c r="J875" s="3244"/>
      <c r="K875" s="3242">
        <v>0</v>
      </c>
      <c r="L875" s="3244"/>
      <c r="M875" s="3244"/>
      <c r="N875" s="3242" t="s">
        <v>3384</v>
      </c>
      <c r="O875" s="3239">
        <v>0</v>
      </c>
      <c r="P875" s="3242">
        <v>0</v>
      </c>
      <c r="Q875" s="3244"/>
      <c r="R875" s="3244"/>
      <c r="S875" s="3242">
        <v>0</v>
      </c>
      <c r="T875" s="3244"/>
      <c r="U875" s="3244"/>
      <c r="V875" s="3244"/>
      <c r="W875" s="3240">
        <v>0</v>
      </c>
      <c r="X875" s="3244"/>
      <c r="Y875" s="3244"/>
      <c r="Z875" s="3242" t="s">
        <v>3384</v>
      </c>
      <c r="AA875" s="3243">
        <v>0</v>
      </c>
      <c r="AB875" s="3242">
        <v>0</v>
      </c>
      <c r="AC875" s="3244"/>
      <c r="AD875" s="3244"/>
      <c r="AE875" s="3242">
        <v>0</v>
      </c>
      <c r="AF875" s="3259"/>
      <c r="AG875" s="3260"/>
      <c r="AH875" s="3260"/>
      <c r="AI875" s="3260"/>
      <c r="AJ875" s="3260"/>
      <c r="AK875" s="3260"/>
      <c r="AL875" s="3259"/>
      <c r="AM875" s="3260"/>
      <c r="AN875" s="3259"/>
      <c r="AO875" s="3260"/>
      <c r="AP875" s="3242">
        <v>0</v>
      </c>
      <c r="AQ875" s="3244"/>
      <c r="AR875" s="3244"/>
      <c r="AS875" s="3242" t="s">
        <v>3384</v>
      </c>
      <c r="AT875" s="3247">
        <f t="shared" si="75"/>
        <v>0</v>
      </c>
      <c r="AU875" s="3248">
        <f t="shared" si="76"/>
        <v>0</v>
      </c>
      <c r="AV875" s="3248">
        <v>0</v>
      </c>
      <c r="AW875" s="3247">
        <v>0</v>
      </c>
      <c r="AX875" s="3248">
        <v>0</v>
      </c>
      <c r="AY875" s="3248">
        <v>0</v>
      </c>
      <c r="AZ875" s="3247">
        <v>0</v>
      </c>
      <c r="BA875" s="3248">
        <v>0</v>
      </c>
      <c r="BB875" s="3248">
        <v>0</v>
      </c>
      <c r="BC875" s="3247">
        <v>0</v>
      </c>
      <c r="BD875" s="3248">
        <v>0</v>
      </c>
      <c r="BE875" s="3248">
        <v>0</v>
      </c>
      <c r="BF875" s="3248">
        <f t="shared" si="77"/>
        <v>0</v>
      </c>
      <c r="BG875" s="3248">
        <f t="shared" si="78"/>
        <v>0</v>
      </c>
      <c r="BH875" s="3249"/>
      <c r="BI875" s="3249"/>
    </row>
    <row r="876" spans="1:61" x14ac:dyDescent="0.3">
      <c r="A876" s="4197" t="s">
        <v>3384</v>
      </c>
      <c r="B876" s="3261"/>
      <c r="C876" s="3243">
        <v>0</v>
      </c>
      <c r="D876" s="3242">
        <v>0</v>
      </c>
      <c r="E876" s="3244"/>
      <c r="F876" s="3244"/>
      <c r="G876" s="3242">
        <v>0</v>
      </c>
      <c r="H876" s="3244"/>
      <c r="I876" s="3244"/>
      <c r="J876" s="3244"/>
      <c r="K876" s="3242">
        <v>0</v>
      </c>
      <c r="L876" s="3244"/>
      <c r="M876" s="3244"/>
      <c r="N876" s="3242" t="s">
        <v>3384</v>
      </c>
      <c r="O876" s="3239">
        <v>0</v>
      </c>
      <c r="P876" s="3242">
        <v>0</v>
      </c>
      <c r="Q876" s="3244"/>
      <c r="R876" s="3244"/>
      <c r="S876" s="3242">
        <v>0</v>
      </c>
      <c r="T876" s="3244"/>
      <c r="U876" s="3244"/>
      <c r="V876" s="3244"/>
      <c r="W876" s="3240">
        <v>0</v>
      </c>
      <c r="X876" s="3244"/>
      <c r="Y876" s="3244"/>
      <c r="Z876" s="3242" t="s">
        <v>3384</v>
      </c>
      <c r="AA876" s="3243">
        <v>0</v>
      </c>
      <c r="AB876" s="3242">
        <v>0</v>
      </c>
      <c r="AC876" s="3244"/>
      <c r="AD876" s="3244"/>
      <c r="AE876" s="3242">
        <v>0</v>
      </c>
      <c r="AF876" s="3259"/>
      <c r="AG876" s="3260"/>
      <c r="AH876" s="3260"/>
      <c r="AI876" s="3260"/>
      <c r="AJ876" s="3260"/>
      <c r="AK876" s="3260"/>
      <c r="AL876" s="3259"/>
      <c r="AM876" s="3260"/>
      <c r="AN876" s="3259"/>
      <c r="AO876" s="3260"/>
      <c r="AP876" s="3242">
        <v>0</v>
      </c>
      <c r="AQ876" s="3244"/>
      <c r="AR876" s="3244"/>
      <c r="AS876" s="3242" t="s">
        <v>3384</v>
      </c>
      <c r="AT876" s="3247">
        <f t="shared" si="75"/>
        <v>0</v>
      </c>
      <c r="AU876" s="3248">
        <f t="shared" si="76"/>
        <v>0</v>
      </c>
      <c r="AV876" s="3248">
        <v>0</v>
      </c>
      <c r="AW876" s="3247">
        <v>0</v>
      </c>
      <c r="AX876" s="3248">
        <v>0</v>
      </c>
      <c r="AY876" s="3248">
        <v>0</v>
      </c>
      <c r="AZ876" s="3247">
        <v>0</v>
      </c>
      <c r="BA876" s="3248">
        <v>0</v>
      </c>
      <c r="BB876" s="3248">
        <v>0</v>
      </c>
      <c r="BC876" s="3247">
        <v>0</v>
      </c>
      <c r="BD876" s="3248">
        <v>0</v>
      </c>
      <c r="BE876" s="3248">
        <v>0</v>
      </c>
      <c r="BF876" s="3248">
        <f t="shared" si="77"/>
        <v>0</v>
      </c>
      <c r="BG876" s="3248">
        <f t="shared" si="78"/>
        <v>0</v>
      </c>
      <c r="BH876" s="3249"/>
      <c r="BI876" s="3249"/>
    </row>
    <row r="877" spans="1:61" x14ac:dyDescent="0.3">
      <c r="A877" s="4197" t="s">
        <v>3384</v>
      </c>
      <c r="B877" s="3261"/>
      <c r="C877" s="3243">
        <v>0</v>
      </c>
      <c r="D877" s="3242">
        <v>0</v>
      </c>
      <c r="E877" s="3244"/>
      <c r="F877" s="3244"/>
      <c r="G877" s="3242">
        <v>0</v>
      </c>
      <c r="H877" s="3244"/>
      <c r="I877" s="3244"/>
      <c r="J877" s="3244"/>
      <c r="K877" s="3242">
        <v>0</v>
      </c>
      <c r="L877" s="3244"/>
      <c r="M877" s="3244"/>
      <c r="N877" s="3242" t="s">
        <v>3384</v>
      </c>
      <c r="O877" s="3239">
        <v>0</v>
      </c>
      <c r="P877" s="3242">
        <v>0</v>
      </c>
      <c r="Q877" s="3244"/>
      <c r="R877" s="3244"/>
      <c r="S877" s="3242">
        <v>0</v>
      </c>
      <c r="T877" s="3244"/>
      <c r="U877" s="3244"/>
      <c r="V877" s="3244"/>
      <c r="W877" s="3240">
        <v>0</v>
      </c>
      <c r="X877" s="3244"/>
      <c r="Y877" s="3244"/>
      <c r="Z877" s="3242" t="s">
        <v>3384</v>
      </c>
      <c r="AA877" s="3243">
        <v>0</v>
      </c>
      <c r="AB877" s="3242">
        <v>0</v>
      </c>
      <c r="AC877" s="3244"/>
      <c r="AD877" s="3244"/>
      <c r="AE877" s="3242">
        <v>0</v>
      </c>
      <c r="AF877" s="3259"/>
      <c r="AG877" s="3260"/>
      <c r="AH877" s="3260"/>
      <c r="AI877" s="3260"/>
      <c r="AJ877" s="3260"/>
      <c r="AK877" s="3260"/>
      <c r="AL877" s="3259"/>
      <c r="AM877" s="3260"/>
      <c r="AN877" s="3259"/>
      <c r="AO877" s="3260"/>
      <c r="AP877" s="3242">
        <v>0</v>
      </c>
      <c r="AQ877" s="3244"/>
      <c r="AR877" s="3244"/>
      <c r="AS877" s="3242" t="s">
        <v>3384</v>
      </c>
      <c r="AT877" s="3247">
        <f t="shared" si="75"/>
        <v>0</v>
      </c>
      <c r="AU877" s="3248">
        <f t="shared" si="76"/>
        <v>0</v>
      </c>
      <c r="AV877" s="3248">
        <v>0</v>
      </c>
      <c r="AW877" s="3247">
        <v>0</v>
      </c>
      <c r="AX877" s="3248">
        <v>0</v>
      </c>
      <c r="AY877" s="3248">
        <v>0</v>
      </c>
      <c r="AZ877" s="3247">
        <v>0</v>
      </c>
      <c r="BA877" s="3248">
        <v>0</v>
      </c>
      <c r="BB877" s="3248">
        <v>0</v>
      </c>
      <c r="BC877" s="3247">
        <v>0</v>
      </c>
      <c r="BD877" s="3248">
        <v>0</v>
      </c>
      <c r="BE877" s="3248">
        <v>0</v>
      </c>
      <c r="BF877" s="3248">
        <f t="shared" si="77"/>
        <v>0</v>
      </c>
      <c r="BG877" s="3248">
        <f t="shared" si="78"/>
        <v>0</v>
      </c>
      <c r="BH877" s="3249"/>
      <c r="BI877" s="3249"/>
    </row>
    <row r="878" spans="1:61" x14ac:dyDescent="0.3">
      <c r="A878" s="4197" t="s">
        <v>3384</v>
      </c>
      <c r="B878" s="3261"/>
      <c r="C878" s="3243">
        <v>0</v>
      </c>
      <c r="D878" s="3242">
        <v>0</v>
      </c>
      <c r="E878" s="3244"/>
      <c r="F878" s="3244"/>
      <c r="G878" s="3242">
        <v>0</v>
      </c>
      <c r="H878" s="3244"/>
      <c r="I878" s="3244"/>
      <c r="J878" s="3244"/>
      <c r="K878" s="3242">
        <v>0</v>
      </c>
      <c r="L878" s="3244"/>
      <c r="M878" s="3244"/>
      <c r="N878" s="3242" t="s">
        <v>3384</v>
      </c>
      <c r="O878" s="3239">
        <v>0</v>
      </c>
      <c r="P878" s="3242">
        <v>0</v>
      </c>
      <c r="Q878" s="3244"/>
      <c r="R878" s="3244"/>
      <c r="S878" s="3242">
        <v>0</v>
      </c>
      <c r="T878" s="3244"/>
      <c r="U878" s="3244"/>
      <c r="V878" s="3244"/>
      <c r="W878" s="3240">
        <v>0</v>
      </c>
      <c r="X878" s="3244"/>
      <c r="Y878" s="3244"/>
      <c r="Z878" s="3242" t="s">
        <v>3384</v>
      </c>
      <c r="AA878" s="3243">
        <v>0</v>
      </c>
      <c r="AB878" s="3242">
        <v>0</v>
      </c>
      <c r="AC878" s="3244"/>
      <c r="AD878" s="3244"/>
      <c r="AE878" s="3242">
        <v>0</v>
      </c>
      <c r="AF878" s="3259"/>
      <c r="AG878" s="3260"/>
      <c r="AH878" s="3260"/>
      <c r="AI878" s="3260"/>
      <c r="AJ878" s="3260"/>
      <c r="AK878" s="3260"/>
      <c r="AL878" s="3259"/>
      <c r="AM878" s="3260"/>
      <c r="AN878" s="3259"/>
      <c r="AO878" s="3260"/>
      <c r="AP878" s="3242">
        <v>0</v>
      </c>
      <c r="AQ878" s="3244"/>
      <c r="AR878" s="3244"/>
      <c r="AS878" s="3242" t="s">
        <v>3384</v>
      </c>
      <c r="AT878" s="3247">
        <f t="shared" si="75"/>
        <v>0</v>
      </c>
      <c r="AU878" s="3248">
        <f t="shared" si="76"/>
        <v>0</v>
      </c>
      <c r="AV878" s="3248">
        <v>0</v>
      </c>
      <c r="AW878" s="3247">
        <v>0</v>
      </c>
      <c r="AX878" s="3248">
        <v>0</v>
      </c>
      <c r="AY878" s="3248">
        <v>0</v>
      </c>
      <c r="AZ878" s="3247">
        <v>0</v>
      </c>
      <c r="BA878" s="3248">
        <v>0</v>
      </c>
      <c r="BB878" s="3248">
        <v>0</v>
      </c>
      <c r="BC878" s="3247">
        <v>0</v>
      </c>
      <c r="BD878" s="3248">
        <v>0</v>
      </c>
      <c r="BE878" s="3248">
        <v>0</v>
      </c>
      <c r="BF878" s="3248">
        <f t="shared" si="77"/>
        <v>0</v>
      </c>
      <c r="BG878" s="3248">
        <f t="shared" si="78"/>
        <v>0</v>
      </c>
      <c r="BH878" s="3249"/>
      <c r="BI878" s="3249"/>
    </row>
    <row r="879" spans="1:61" x14ac:dyDescent="0.3">
      <c r="A879" s="4197" t="s">
        <v>3384</v>
      </c>
      <c r="B879" s="3261"/>
      <c r="C879" s="3243">
        <v>0</v>
      </c>
      <c r="D879" s="3242">
        <v>0</v>
      </c>
      <c r="E879" s="3244"/>
      <c r="F879" s="3244"/>
      <c r="G879" s="3242">
        <v>0</v>
      </c>
      <c r="H879" s="3244"/>
      <c r="I879" s="3244"/>
      <c r="J879" s="3244"/>
      <c r="K879" s="3242">
        <v>0</v>
      </c>
      <c r="L879" s="3244"/>
      <c r="M879" s="3244"/>
      <c r="N879" s="3242" t="s">
        <v>3384</v>
      </c>
      <c r="O879" s="3239">
        <v>0</v>
      </c>
      <c r="P879" s="3242">
        <v>0</v>
      </c>
      <c r="Q879" s="3244"/>
      <c r="R879" s="3244"/>
      <c r="S879" s="3242">
        <v>0</v>
      </c>
      <c r="T879" s="3244"/>
      <c r="U879" s="3244"/>
      <c r="V879" s="3244"/>
      <c r="W879" s="3240">
        <v>0</v>
      </c>
      <c r="X879" s="3244"/>
      <c r="Y879" s="3244"/>
      <c r="Z879" s="3242" t="s">
        <v>3384</v>
      </c>
      <c r="AA879" s="3243">
        <v>0</v>
      </c>
      <c r="AB879" s="3242">
        <v>0</v>
      </c>
      <c r="AC879" s="3244"/>
      <c r="AD879" s="3244"/>
      <c r="AE879" s="3242">
        <v>0</v>
      </c>
      <c r="AF879" s="3259"/>
      <c r="AG879" s="3260"/>
      <c r="AH879" s="3260"/>
      <c r="AI879" s="3260"/>
      <c r="AJ879" s="3260"/>
      <c r="AK879" s="3260"/>
      <c r="AL879" s="3259"/>
      <c r="AM879" s="3260"/>
      <c r="AN879" s="3259"/>
      <c r="AO879" s="3260"/>
      <c r="AP879" s="3242">
        <v>0</v>
      </c>
      <c r="AQ879" s="3244"/>
      <c r="AR879" s="3244"/>
      <c r="AS879" s="3242" t="s">
        <v>3384</v>
      </c>
      <c r="AT879" s="3247">
        <f t="shared" si="75"/>
        <v>0</v>
      </c>
      <c r="AU879" s="3248">
        <f t="shared" si="76"/>
        <v>0</v>
      </c>
      <c r="AV879" s="3248">
        <v>0</v>
      </c>
      <c r="AW879" s="3247">
        <v>0</v>
      </c>
      <c r="AX879" s="3248">
        <v>0</v>
      </c>
      <c r="AY879" s="3248">
        <v>0</v>
      </c>
      <c r="AZ879" s="3247">
        <v>0</v>
      </c>
      <c r="BA879" s="3248">
        <v>0</v>
      </c>
      <c r="BB879" s="3248">
        <v>0</v>
      </c>
      <c r="BC879" s="3247">
        <v>0</v>
      </c>
      <c r="BD879" s="3248">
        <v>0</v>
      </c>
      <c r="BE879" s="3248">
        <v>0</v>
      </c>
      <c r="BF879" s="3248">
        <f t="shared" si="77"/>
        <v>0</v>
      </c>
      <c r="BG879" s="3248">
        <f t="shared" si="78"/>
        <v>0</v>
      </c>
      <c r="BH879" s="3249"/>
      <c r="BI879" s="3249"/>
    </row>
    <row r="880" spans="1:61" x14ac:dyDescent="0.3">
      <c r="A880" s="4197" t="s">
        <v>3384</v>
      </c>
      <c r="B880" s="3261"/>
      <c r="C880" s="3243">
        <v>0</v>
      </c>
      <c r="D880" s="3242">
        <v>0</v>
      </c>
      <c r="E880" s="3244"/>
      <c r="F880" s="3244"/>
      <c r="G880" s="3242">
        <v>0</v>
      </c>
      <c r="H880" s="3244"/>
      <c r="I880" s="3244"/>
      <c r="J880" s="3244"/>
      <c r="K880" s="3242">
        <v>0</v>
      </c>
      <c r="L880" s="3244"/>
      <c r="M880" s="3244"/>
      <c r="N880" s="3242" t="s">
        <v>3384</v>
      </c>
      <c r="O880" s="3239">
        <v>0</v>
      </c>
      <c r="P880" s="3242">
        <v>0</v>
      </c>
      <c r="Q880" s="3244"/>
      <c r="R880" s="3244"/>
      <c r="S880" s="3242">
        <v>0</v>
      </c>
      <c r="T880" s="3244"/>
      <c r="U880" s="3244"/>
      <c r="V880" s="3244"/>
      <c r="W880" s="3240">
        <v>0</v>
      </c>
      <c r="X880" s="3244"/>
      <c r="Y880" s="3244"/>
      <c r="Z880" s="3242" t="s">
        <v>3384</v>
      </c>
      <c r="AA880" s="3243">
        <v>0</v>
      </c>
      <c r="AB880" s="3242">
        <v>0</v>
      </c>
      <c r="AC880" s="3244"/>
      <c r="AD880" s="3244"/>
      <c r="AE880" s="3242">
        <v>0</v>
      </c>
      <c r="AF880" s="3259"/>
      <c r="AG880" s="3260"/>
      <c r="AH880" s="3260"/>
      <c r="AI880" s="3260"/>
      <c r="AJ880" s="3260"/>
      <c r="AK880" s="3260"/>
      <c r="AL880" s="3259"/>
      <c r="AM880" s="3260"/>
      <c r="AN880" s="3259"/>
      <c r="AO880" s="3260"/>
      <c r="AP880" s="3242">
        <v>0</v>
      </c>
      <c r="AQ880" s="3244"/>
      <c r="AR880" s="3244"/>
      <c r="AS880" s="3242" t="s">
        <v>3384</v>
      </c>
      <c r="AT880" s="3247">
        <f t="shared" si="75"/>
        <v>0</v>
      </c>
      <c r="AU880" s="3248">
        <f t="shared" si="76"/>
        <v>0</v>
      </c>
      <c r="AV880" s="3248">
        <v>0</v>
      </c>
      <c r="AW880" s="3247">
        <v>0</v>
      </c>
      <c r="AX880" s="3248">
        <v>0</v>
      </c>
      <c r="AY880" s="3248">
        <v>0</v>
      </c>
      <c r="AZ880" s="3247">
        <v>0</v>
      </c>
      <c r="BA880" s="3248">
        <v>0</v>
      </c>
      <c r="BB880" s="3248">
        <v>0</v>
      </c>
      <c r="BC880" s="3247">
        <v>0</v>
      </c>
      <c r="BD880" s="3248">
        <v>0</v>
      </c>
      <c r="BE880" s="3248">
        <v>0</v>
      </c>
      <c r="BF880" s="3248">
        <f t="shared" si="77"/>
        <v>0</v>
      </c>
      <c r="BG880" s="3248">
        <f t="shared" si="78"/>
        <v>0</v>
      </c>
      <c r="BH880" s="3249"/>
      <c r="BI880" s="3249"/>
    </row>
    <row r="881" spans="1:61" x14ac:dyDescent="0.3">
      <c r="A881" s="4197" t="s">
        <v>3384</v>
      </c>
      <c r="B881" s="3261"/>
      <c r="C881" s="3243">
        <v>0</v>
      </c>
      <c r="D881" s="3242">
        <v>0</v>
      </c>
      <c r="E881" s="3244"/>
      <c r="F881" s="3244"/>
      <c r="G881" s="3242">
        <v>0</v>
      </c>
      <c r="H881" s="3244"/>
      <c r="I881" s="3244"/>
      <c r="J881" s="3244"/>
      <c r="K881" s="3242">
        <v>0</v>
      </c>
      <c r="L881" s="3244"/>
      <c r="M881" s="3244"/>
      <c r="N881" s="3242" t="s">
        <v>3384</v>
      </c>
      <c r="O881" s="3239">
        <v>0</v>
      </c>
      <c r="P881" s="3242">
        <v>0</v>
      </c>
      <c r="Q881" s="3244"/>
      <c r="R881" s="3244"/>
      <c r="S881" s="3242">
        <v>0</v>
      </c>
      <c r="T881" s="3244"/>
      <c r="U881" s="3244"/>
      <c r="V881" s="3244"/>
      <c r="W881" s="3240">
        <v>0</v>
      </c>
      <c r="X881" s="3244"/>
      <c r="Y881" s="3244"/>
      <c r="Z881" s="3242" t="s">
        <v>3384</v>
      </c>
      <c r="AA881" s="3243">
        <v>0</v>
      </c>
      <c r="AB881" s="3242">
        <v>0</v>
      </c>
      <c r="AC881" s="3244"/>
      <c r="AD881" s="3244"/>
      <c r="AE881" s="3242">
        <v>0</v>
      </c>
      <c r="AF881" s="3259"/>
      <c r="AG881" s="3260"/>
      <c r="AH881" s="3260"/>
      <c r="AI881" s="3260"/>
      <c r="AJ881" s="3260"/>
      <c r="AK881" s="3260"/>
      <c r="AL881" s="3259"/>
      <c r="AM881" s="3260"/>
      <c r="AN881" s="3259"/>
      <c r="AO881" s="3260"/>
      <c r="AP881" s="3242">
        <v>0</v>
      </c>
      <c r="AQ881" s="3244"/>
      <c r="AR881" s="3244"/>
      <c r="AS881" s="3242" t="s">
        <v>3384</v>
      </c>
      <c r="AT881" s="3247">
        <f t="shared" si="75"/>
        <v>0</v>
      </c>
      <c r="AU881" s="3248">
        <f t="shared" si="76"/>
        <v>0</v>
      </c>
      <c r="AV881" s="3248">
        <v>0</v>
      </c>
      <c r="AW881" s="3247">
        <v>0</v>
      </c>
      <c r="AX881" s="3248">
        <v>0</v>
      </c>
      <c r="AY881" s="3248">
        <v>0</v>
      </c>
      <c r="AZ881" s="3247">
        <v>0</v>
      </c>
      <c r="BA881" s="3248">
        <v>0</v>
      </c>
      <c r="BB881" s="3248">
        <v>0</v>
      </c>
      <c r="BC881" s="3247">
        <v>0</v>
      </c>
      <c r="BD881" s="3248">
        <v>0</v>
      </c>
      <c r="BE881" s="3248">
        <v>0</v>
      </c>
      <c r="BF881" s="3248">
        <f t="shared" si="77"/>
        <v>0</v>
      </c>
      <c r="BG881" s="3248">
        <f t="shared" si="78"/>
        <v>0</v>
      </c>
      <c r="BH881" s="3249"/>
      <c r="BI881" s="3249"/>
    </row>
    <row r="882" spans="1:61" x14ac:dyDescent="0.3">
      <c r="A882" s="4197" t="s">
        <v>3384</v>
      </c>
      <c r="B882" s="3261"/>
      <c r="C882" s="3243">
        <v>0</v>
      </c>
      <c r="D882" s="3242">
        <v>0</v>
      </c>
      <c r="E882" s="3244"/>
      <c r="F882" s="3244"/>
      <c r="G882" s="3242">
        <v>0</v>
      </c>
      <c r="H882" s="3244"/>
      <c r="I882" s="3244"/>
      <c r="J882" s="3244"/>
      <c r="K882" s="3242">
        <v>0</v>
      </c>
      <c r="L882" s="3244"/>
      <c r="M882" s="3244"/>
      <c r="N882" s="3242" t="s">
        <v>3384</v>
      </c>
      <c r="O882" s="3239">
        <v>0</v>
      </c>
      <c r="P882" s="3242">
        <v>0</v>
      </c>
      <c r="Q882" s="3244"/>
      <c r="R882" s="3244"/>
      <c r="S882" s="3242">
        <v>0</v>
      </c>
      <c r="T882" s="3244"/>
      <c r="U882" s="3244"/>
      <c r="V882" s="3244"/>
      <c r="W882" s="3240">
        <v>0</v>
      </c>
      <c r="X882" s="3244"/>
      <c r="Y882" s="3244"/>
      <c r="Z882" s="3242" t="s">
        <v>3384</v>
      </c>
      <c r="AA882" s="3243">
        <v>0</v>
      </c>
      <c r="AB882" s="3242">
        <v>0</v>
      </c>
      <c r="AC882" s="3244"/>
      <c r="AD882" s="3244"/>
      <c r="AE882" s="3242">
        <v>0</v>
      </c>
      <c r="AF882" s="3259"/>
      <c r="AG882" s="3260"/>
      <c r="AH882" s="3260"/>
      <c r="AI882" s="3260"/>
      <c r="AJ882" s="3260"/>
      <c r="AK882" s="3260"/>
      <c r="AL882" s="3259"/>
      <c r="AM882" s="3260"/>
      <c r="AN882" s="3259"/>
      <c r="AO882" s="3260"/>
      <c r="AP882" s="3242">
        <v>0</v>
      </c>
      <c r="AQ882" s="3244"/>
      <c r="AR882" s="3244"/>
      <c r="AS882" s="3242" t="s">
        <v>3384</v>
      </c>
      <c r="AT882" s="3247">
        <f t="shared" si="75"/>
        <v>0</v>
      </c>
      <c r="AU882" s="3248">
        <f t="shared" si="76"/>
        <v>0</v>
      </c>
      <c r="AV882" s="3248">
        <v>0</v>
      </c>
      <c r="AW882" s="3247">
        <v>0</v>
      </c>
      <c r="AX882" s="3248">
        <v>0</v>
      </c>
      <c r="AY882" s="3248">
        <v>0</v>
      </c>
      <c r="AZ882" s="3247">
        <v>0</v>
      </c>
      <c r="BA882" s="3248">
        <v>0</v>
      </c>
      <c r="BB882" s="3248">
        <v>0</v>
      </c>
      <c r="BC882" s="3247">
        <v>0</v>
      </c>
      <c r="BD882" s="3248">
        <v>0</v>
      </c>
      <c r="BE882" s="3248">
        <v>0</v>
      </c>
      <c r="BF882" s="3248">
        <f t="shared" si="77"/>
        <v>0</v>
      </c>
      <c r="BG882" s="3248">
        <f t="shared" si="78"/>
        <v>0</v>
      </c>
      <c r="BH882" s="3249"/>
      <c r="BI882" s="3249"/>
    </row>
    <row r="883" spans="1:61" x14ac:dyDescent="0.3">
      <c r="A883" s="4197" t="s">
        <v>3384</v>
      </c>
      <c r="B883" s="3261"/>
      <c r="C883" s="3243">
        <v>0</v>
      </c>
      <c r="D883" s="3242">
        <v>0</v>
      </c>
      <c r="E883" s="3244"/>
      <c r="F883" s="3244"/>
      <c r="G883" s="3242">
        <v>0</v>
      </c>
      <c r="H883" s="3244"/>
      <c r="I883" s="3244"/>
      <c r="J883" s="3244"/>
      <c r="K883" s="3242">
        <v>0</v>
      </c>
      <c r="L883" s="3244"/>
      <c r="M883" s="3244"/>
      <c r="N883" s="3242" t="s">
        <v>3384</v>
      </c>
      <c r="O883" s="3239">
        <v>0</v>
      </c>
      <c r="P883" s="3242">
        <v>0</v>
      </c>
      <c r="Q883" s="3244"/>
      <c r="R883" s="3244"/>
      <c r="S883" s="3242">
        <v>0</v>
      </c>
      <c r="T883" s="3244"/>
      <c r="U883" s="3244"/>
      <c r="V883" s="3244"/>
      <c r="W883" s="3240">
        <v>0</v>
      </c>
      <c r="X883" s="3244"/>
      <c r="Y883" s="3244"/>
      <c r="Z883" s="3242" t="s">
        <v>3384</v>
      </c>
      <c r="AA883" s="3243">
        <v>0</v>
      </c>
      <c r="AB883" s="3242">
        <v>0</v>
      </c>
      <c r="AC883" s="3244"/>
      <c r="AD883" s="3244"/>
      <c r="AE883" s="3242">
        <v>0</v>
      </c>
      <c r="AF883" s="3259"/>
      <c r="AG883" s="3260"/>
      <c r="AH883" s="3260"/>
      <c r="AI883" s="3260"/>
      <c r="AJ883" s="3260"/>
      <c r="AK883" s="3260"/>
      <c r="AL883" s="3259"/>
      <c r="AM883" s="3260"/>
      <c r="AN883" s="3259"/>
      <c r="AO883" s="3260"/>
      <c r="AP883" s="3242">
        <v>0</v>
      </c>
      <c r="AQ883" s="3244"/>
      <c r="AR883" s="3244"/>
      <c r="AS883" s="3242" t="s">
        <v>3384</v>
      </c>
      <c r="AT883" s="3247">
        <f t="shared" si="75"/>
        <v>0</v>
      </c>
      <c r="AU883" s="3248">
        <f t="shared" si="76"/>
        <v>0</v>
      </c>
      <c r="AV883" s="3248">
        <v>0</v>
      </c>
      <c r="AW883" s="3247">
        <v>0</v>
      </c>
      <c r="AX883" s="3248">
        <v>0</v>
      </c>
      <c r="AY883" s="3248">
        <v>0</v>
      </c>
      <c r="AZ883" s="3247">
        <v>0</v>
      </c>
      <c r="BA883" s="3248">
        <v>0</v>
      </c>
      <c r="BB883" s="3248">
        <v>0</v>
      </c>
      <c r="BC883" s="3247">
        <v>0</v>
      </c>
      <c r="BD883" s="3248">
        <v>0</v>
      </c>
      <c r="BE883" s="3248">
        <v>0</v>
      </c>
      <c r="BF883" s="3248">
        <f t="shared" si="77"/>
        <v>0</v>
      </c>
      <c r="BG883" s="3248">
        <f t="shared" si="78"/>
        <v>0</v>
      </c>
      <c r="BH883" s="3249"/>
      <c r="BI883" s="3249"/>
    </row>
    <row r="884" spans="1:61" x14ac:dyDescent="0.3">
      <c r="A884" s="4197" t="s">
        <v>3384</v>
      </c>
      <c r="B884" s="3261"/>
      <c r="C884" s="3243">
        <v>0</v>
      </c>
      <c r="D884" s="3242">
        <v>0</v>
      </c>
      <c r="E884" s="3244"/>
      <c r="F884" s="3244"/>
      <c r="G884" s="3242">
        <v>0</v>
      </c>
      <c r="H884" s="3244"/>
      <c r="I884" s="3244"/>
      <c r="J884" s="3244"/>
      <c r="K884" s="3242">
        <v>0</v>
      </c>
      <c r="L884" s="3244"/>
      <c r="M884" s="3244"/>
      <c r="N884" s="3242" t="s">
        <v>3384</v>
      </c>
      <c r="O884" s="3239">
        <v>0</v>
      </c>
      <c r="P884" s="3242">
        <v>0</v>
      </c>
      <c r="Q884" s="3244"/>
      <c r="R884" s="3244"/>
      <c r="S884" s="3242">
        <v>0</v>
      </c>
      <c r="T884" s="3244"/>
      <c r="U884" s="3244"/>
      <c r="V884" s="3244"/>
      <c r="W884" s="3240">
        <v>0</v>
      </c>
      <c r="X884" s="3244"/>
      <c r="Y884" s="3244"/>
      <c r="Z884" s="3242" t="s">
        <v>3384</v>
      </c>
      <c r="AA884" s="3243">
        <v>0</v>
      </c>
      <c r="AB884" s="3242">
        <v>0</v>
      </c>
      <c r="AC884" s="3244"/>
      <c r="AD884" s="3244"/>
      <c r="AE884" s="3242">
        <v>0</v>
      </c>
      <c r="AF884" s="3259"/>
      <c r="AG884" s="3260"/>
      <c r="AH884" s="3260"/>
      <c r="AI884" s="3260"/>
      <c r="AJ884" s="3260"/>
      <c r="AK884" s="3260"/>
      <c r="AL884" s="3259"/>
      <c r="AM884" s="3260"/>
      <c r="AN884" s="3259"/>
      <c r="AO884" s="3260"/>
      <c r="AP884" s="3242">
        <v>0</v>
      </c>
      <c r="AQ884" s="3244"/>
      <c r="AR884" s="3244"/>
      <c r="AS884" s="3242" t="s">
        <v>3384</v>
      </c>
      <c r="AT884" s="3247">
        <f t="shared" si="75"/>
        <v>0</v>
      </c>
      <c r="AU884" s="3248">
        <f t="shared" si="76"/>
        <v>0</v>
      </c>
      <c r="AV884" s="3248">
        <v>0</v>
      </c>
      <c r="AW884" s="3247">
        <v>0</v>
      </c>
      <c r="AX884" s="3248">
        <v>0</v>
      </c>
      <c r="AY884" s="3248">
        <v>0</v>
      </c>
      <c r="AZ884" s="3247">
        <v>0</v>
      </c>
      <c r="BA884" s="3248">
        <v>0</v>
      </c>
      <c r="BB884" s="3248">
        <v>0</v>
      </c>
      <c r="BC884" s="3247">
        <v>0</v>
      </c>
      <c r="BD884" s="3248">
        <v>0</v>
      </c>
      <c r="BE884" s="3248">
        <v>0</v>
      </c>
      <c r="BF884" s="3248">
        <f t="shared" si="77"/>
        <v>0</v>
      </c>
      <c r="BG884" s="3248">
        <f t="shared" si="78"/>
        <v>0</v>
      </c>
      <c r="BH884" s="3249"/>
      <c r="BI884" s="3249"/>
    </row>
    <row r="885" spans="1:61" x14ac:dyDescent="0.3">
      <c r="A885" s="4197" t="s">
        <v>3384</v>
      </c>
      <c r="B885" s="3261"/>
      <c r="C885" s="3243">
        <v>0</v>
      </c>
      <c r="D885" s="3242">
        <v>0</v>
      </c>
      <c r="E885" s="3244"/>
      <c r="F885" s="3244"/>
      <c r="G885" s="3242">
        <v>0</v>
      </c>
      <c r="H885" s="3244"/>
      <c r="I885" s="3244"/>
      <c r="J885" s="3244"/>
      <c r="K885" s="3242">
        <v>0</v>
      </c>
      <c r="L885" s="3244"/>
      <c r="M885" s="3244"/>
      <c r="N885" s="3242" t="s">
        <v>3384</v>
      </c>
      <c r="O885" s="3239">
        <v>0</v>
      </c>
      <c r="P885" s="3242">
        <v>0</v>
      </c>
      <c r="Q885" s="3244"/>
      <c r="R885" s="3244"/>
      <c r="S885" s="3242">
        <v>0</v>
      </c>
      <c r="T885" s="3244"/>
      <c r="U885" s="3244"/>
      <c r="V885" s="3244"/>
      <c r="W885" s="3240">
        <v>0</v>
      </c>
      <c r="X885" s="3244"/>
      <c r="Y885" s="3244"/>
      <c r="Z885" s="3242" t="s">
        <v>3384</v>
      </c>
      <c r="AA885" s="3243">
        <v>0</v>
      </c>
      <c r="AB885" s="3242">
        <v>0</v>
      </c>
      <c r="AC885" s="3244"/>
      <c r="AD885" s="3244"/>
      <c r="AE885" s="3242">
        <v>0</v>
      </c>
      <c r="AF885" s="3259"/>
      <c r="AG885" s="3260"/>
      <c r="AH885" s="3260"/>
      <c r="AI885" s="3260"/>
      <c r="AJ885" s="3260"/>
      <c r="AK885" s="3260"/>
      <c r="AL885" s="3259"/>
      <c r="AM885" s="3260"/>
      <c r="AN885" s="3259"/>
      <c r="AO885" s="3260"/>
      <c r="AP885" s="3242">
        <v>0</v>
      </c>
      <c r="AQ885" s="3244"/>
      <c r="AR885" s="3244"/>
      <c r="AS885" s="3242" t="s">
        <v>3384</v>
      </c>
      <c r="AT885" s="3247">
        <f t="shared" si="75"/>
        <v>0</v>
      </c>
      <c r="AU885" s="3248">
        <f t="shared" si="76"/>
        <v>0</v>
      </c>
      <c r="AV885" s="3248">
        <v>0</v>
      </c>
      <c r="AW885" s="3247">
        <v>0</v>
      </c>
      <c r="AX885" s="3248">
        <v>0</v>
      </c>
      <c r="AY885" s="3248">
        <v>0</v>
      </c>
      <c r="AZ885" s="3247">
        <v>0</v>
      </c>
      <c r="BA885" s="3248">
        <v>0</v>
      </c>
      <c r="BB885" s="3248">
        <v>0</v>
      </c>
      <c r="BC885" s="3247">
        <v>0</v>
      </c>
      <c r="BD885" s="3248">
        <v>0</v>
      </c>
      <c r="BE885" s="3248">
        <v>0</v>
      </c>
      <c r="BF885" s="3248">
        <f t="shared" si="77"/>
        <v>0</v>
      </c>
      <c r="BG885" s="3248">
        <f t="shared" si="78"/>
        <v>0</v>
      </c>
      <c r="BH885" s="3249"/>
      <c r="BI885" s="3249"/>
    </row>
    <row r="886" spans="1:61" x14ac:dyDescent="0.3">
      <c r="A886" s="4197" t="s">
        <v>3384</v>
      </c>
      <c r="B886" s="3261"/>
      <c r="C886" s="3243">
        <v>0</v>
      </c>
      <c r="D886" s="3242">
        <v>0</v>
      </c>
      <c r="E886" s="3244"/>
      <c r="F886" s="3244"/>
      <c r="G886" s="3242">
        <v>0</v>
      </c>
      <c r="H886" s="3244"/>
      <c r="I886" s="3244"/>
      <c r="J886" s="3244"/>
      <c r="K886" s="3242">
        <v>0</v>
      </c>
      <c r="L886" s="3244"/>
      <c r="M886" s="3244"/>
      <c r="N886" s="3242" t="s">
        <v>3384</v>
      </c>
      <c r="O886" s="3239">
        <v>0</v>
      </c>
      <c r="P886" s="3242">
        <v>0</v>
      </c>
      <c r="Q886" s="3244"/>
      <c r="R886" s="3244"/>
      <c r="S886" s="3242">
        <v>0</v>
      </c>
      <c r="T886" s="3244"/>
      <c r="U886" s="3244"/>
      <c r="V886" s="3244"/>
      <c r="W886" s="3240">
        <v>0</v>
      </c>
      <c r="X886" s="3244"/>
      <c r="Y886" s="3244"/>
      <c r="Z886" s="3242" t="s">
        <v>3384</v>
      </c>
      <c r="AA886" s="3243">
        <v>0</v>
      </c>
      <c r="AB886" s="3242">
        <v>0</v>
      </c>
      <c r="AC886" s="3244"/>
      <c r="AD886" s="3244"/>
      <c r="AE886" s="3242">
        <v>0</v>
      </c>
      <c r="AF886" s="3259"/>
      <c r="AG886" s="3260"/>
      <c r="AH886" s="3260"/>
      <c r="AI886" s="3260"/>
      <c r="AJ886" s="3260"/>
      <c r="AK886" s="3260"/>
      <c r="AL886" s="3259"/>
      <c r="AM886" s="3260"/>
      <c r="AN886" s="3259"/>
      <c r="AO886" s="3260"/>
      <c r="AP886" s="3242">
        <v>0</v>
      </c>
      <c r="AQ886" s="3244"/>
      <c r="AR886" s="3244"/>
      <c r="AS886" s="3242" t="s">
        <v>3384</v>
      </c>
      <c r="AT886" s="3247">
        <f t="shared" si="75"/>
        <v>0</v>
      </c>
      <c r="AU886" s="3248">
        <f t="shared" si="76"/>
        <v>0</v>
      </c>
      <c r="AV886" s="3248">
        <v>0</v>
      </c>
      <c r="AW886" s="3247">
        <v>0</v>
      </c>
      <c r="AX886" s="3248">
        <v>0</v>
      </c>
      <c r="AY886" s="3248">
        <v>0</v>
      </c>
      <c r="AZ886" s="3247">
        <v>0</v>
      </c>
      <c r="BA886" s="3248">
        <v>0</v>
      </c>
      <c r="BB886" s="3248">
        <v>0</v>
      </c>
      <c r="BC886" s="3247">
        <v>0</v>
      </c>
      <c r="BD886" s="3248">
        <v>0</v>
      </c>
      <c r="BE886" s="3248">
        <v>0</v>
      </c>
      <c r="BF886" s="3248">
        <f t="shared" si="77"/>
        <v>0</v>
      </c>
      <c r="BG886" s="3248">
        <f t="shared" si="78"/>
        <v>0</v>
      </c>
      <c r="BH886" s="3249"/>
      <c r="BI886" s="3249"/>
    </row>
    <row r="887" spans="1:61" x14ac:dyDescent="0.3">
      <c r="A887" s="4197" t="s">
        <v>3384</v>
      </c>
      <c r="B887" s="3261"/>
      <c r="C887" s="3243">
        <v>0</v>
      </c>
      <c r="D887" s="3242">
        <v>0</v>
      </c>
      <c r="E887" s="3244"/>
      <c r="F887" s="3244"/>
      <c r="G887" s="3242">
        <v>0</v>
      </c>
      <c r="H887" s="3244"/>
      <c r="I887" s="3244"/>
      <c r="J887" s="3244"/>
      <c r="K887" s="3242">
        <v>0</v>
      </c>
      <c r="L887" s="3244"/>
      <c r="M887" s="3244"/>
      <c r="N887" s="3242" t="s">
        <v>3384</v>
      </c>
      <c r="O887" s="3239">
        <v>0</v>
      </c>
      <c r="P887" s="3242">
        <v>0</v>
      </c>
      <c r="Q887" s="3244"/>
      <c r="R887" s="3244"/>
      <c r="S887" s="3242">
        <v>0</v>
      </c>
      <c r="T887" s="3244"/>
      <c r="U887" s="3244"/>
      <c r="V887" s="3244"/>
      <c r="W887" s="3240">
        <v>0</v>
      </c>
      <c r="X887" s="3244"/>
      <c r="Y887" s="3244"/>
      <c r="Z887" s="3242" t="s">
        <v>3384</v>
      </c>
      <c r="AA887" s="3243">
        <v>0</v>
      </c>
      <c r="AB887" s="3242">
        <v>0</v>
      </c>
      <c r="AC887" s="3244"/>
      <c r="AD887" s="3244"/>
      <c r="AE887" s="3242">
        <v>0</v>
      </c>
      <c r="AF887" s="3259"/>
      <c r="AG887" s="3260"/>
      <c r="AH887" s="3260"/>
      <c r="AI887" s="3260"/>
      <c r="AJ887" s="3260"/>
      <c r="AK887" s="3260"/>
      <c r="AL887" s="3259"/>
      <c r="AM887" s="3260"/>
      <c r="AN887" s="3259"/>
      <c r="AO887" s="3260"/>
      <c r="AP887" s="3242">
        <v>0</v>
      </c>
      <c r="AQ887" s="3244"/>
      <c r="AR887" s="3244"/>
      <c r="AS887" s="3242" t="s">
        <v>3384</v>
      </c>
      <c r="AT887" s="3247">
        <f t="shared" si="75"/>
        <v>0</v>
      </c>
      <c r="AU887" s="3248">
        <f t="shared" si="76"/>
        <v>0</v>
      </c>
      <c r="AV887" s="3248">
        <v>0</v>
      </c>
      <c r="AW887" s="3247">
        <v>0</v>
      </c>
      <c r="AX887" s="3248">
        <v>0</v>
      </c>
      <c r="AY887" s="3248">
        <v>0</v>
      </c>
      <c r="AZ887" s="3247">
        <v>0</v>
      </c>
      <c r="BA887" s="3248">
        <v>0</v>
      </c>
      <c r="BB887" s="3248">
        <v>0</v>
      </c>
      <c r="BC887" s="3247">
        <v>0</v>
      </c>
      <c r="BD887" s="3248">
        <v>0</v>
      </c>
      <c r="BE887" s="3248">
        <v>0</v>
      </c>
      <c r="BF887" s="3248">
        <f t="shared" si="77"/>
        <v>0</v>
      </c>
      <c r="BG887" s="3248">
        <f t="shared" si="78"/>
        <v>0</v>
      </c>
      <c r="BH887" s="3249"/>
      <c r="BI887" s="3249"/>
    </row>
    <row r="888" spans="1:61" x14ac:dyDescent="0.3">
      <c r="A888" s="4197" t="s">
        <v>3384</v>
      </c>
      <c r="B888" s="3261"/>
      <c r="C888" s="3243">
        <v>0</v>
      </c>
      <c r="D888" s="3242">
        <v>0</v>
      </c>
      <c r="E888" s="3244"/>
      <c r="F888" s="3244"/>
      <c r="G888" s="3242">
        <v>0</v>
      </c>
      <c r="H888" s="3244"/>
      <c r="I888" s="3244"/>
      <c r="J888" s="3244"/>
      <c r="K888" s="3242">
        <v>0</v>
      </c>
      <c r="L888" s="3244"/>
      <c r="M888" s="3244"/>
      <c r="N888" s="3242" t="s">
        <v>3384</v>
      </c>
      <c r="O888" s="3239">
        <v>0</v>
      </c>
      <c r="P888" s="3242">
        <v>0</v>
      </c>
      <c r="Q888" s="3244"/>
      <c r="R888" s="3244"/>
      <c r="S888" s="3242">
        <v>0</v>
      </c>
      <c r="T888" s="3244"/>
      <c r="U888" s="3244"/>
      <c r="V888" s="3244"/>
      <c r="W888" s="3240">
        <v>0</v>
      </c>
      <c r="X888" s="3244"/>
      <c r="Y888" s="3244"/>
      <c r="Z888" s="3242" t="s">
        <v>3384</v>
      </c>
      <c r="AA888" s="3243">
        <v>0</v>
      </c>
      <c r="AB888" s="3242">
        <v>0</v>
      </c>
      <c r="AC888" s="3244"/>
      <c r="AD888" s="3244"/>
      <c r="AE888" s="3242">
        <v>0</v>
      </c>
      <c r="AF888" s="3259"/>
      <c r="AG888" s="3260"/>
      <c r="AH888" s="3260"/>
      <c r="AI888" s="3260"/>
      <c r="AJ888" s="3260"/>
      <c r="AK888" s="3260"/>
      <c r="AL888" s="3259"/>
      <c r="AM888" s="3260"/>
      <c r="AN888" s="3259"/>
      <c r="AO888" s="3260"/>
      <c r="AP888" s="3242">
        <v>0</v>
      </c>
      <c r="AQ888" s="3244"/>
      <c r="AR888" s="3244"/>
      <c r="AS888" s="3242" t="s">
        <v>3384</v>
      </c>
      <c r="AT888" s="3247">
        <f t="shared" si="75"/>
        <v>0</v>
      </c>
      <c r="AU888" s="3248">
        <f t="shared" si="76"/>
        <v>0</v>
      </c>
      <c r="AV888" s="3248">
        <v>0</v>
      </c>
      <c r="AW888" s="3247">
        <v>0</v>
      </c>
      <c r="AX888" s="3248">
        <v>0</v>
      </c>
      <c r="AY888" s="3248">
        <v>0</v>
      </c>
      <c r="AZ888" s="3247">
        <v>0</v>
      </c>
      <c r="BA888" s="3248">
        <v>0</v>
      </c>
      <c r="BB888" s="3248">
        <v>0</v>
      </c>
      <c r="BC888" s="3247">
        <v>0</v>
      </c>
      <c r="BD888" s="3248">
        <v>0</v>
      </c>
      <c r="BE888" s="3248">
        <v>0</v>
      </c>
      <c r="BF888" s="3248">
        <f t="shared" si="77"/>
        <v>0</v>
      </c>
      <c r="BG888" s="3248">
        <f t="shared" si="78"/>
        <v>0</v>
      </c>
      <c r="BH888" s="3249"/>
      <c r="BI888" s="3249"/>
    </row>
    <row r="889" spans="1:61" x14ac:dyDescent="0.3">
      <c r="A889" s="4197" t="s">
        <v>3384</v>
      </c>
      <c r="B889" s="3261"/>
      <c r="C889" s="3243">
        <v>0</v>
      </c>
      <c r="D889" s="3242">
        <v>0</v>
      </c>
      <c r="E889" s="3244"/>
      <c r="F889" s="3244"/>
      <c r="G889" s="3242">
        <v>0</v>
      </c>
      <c r="H889" s="3244"/>
      <c r="I889" s="3244"/>
      <c r="J889" s="3244"/>
      <c r="K889" s="3242">
        <v>0</v>
      </c>
      <c r="L889" s="3244"/>
      <c r="M889" s="3244"/>
      <c r="N889" s="3242" t="s">
        <v>3384</v>
      </c>
      <c r="O889" s="3239">
        <v>0</v>
      </c>
      <c r="P889" s="3242">
        <v>0</v>
      </c>
      <c r="Q889" s="3244"/>
      <c r="R889" s="3244"/>
      <c r="S889" s="3242">
        <v>0</v>
      </c>
      <c r="T889" s="3244"/>
      <c r="U889" s="3244"/>
      <c r="V889" s="3244"/>
      <c r="W889" s="3240">
        <v>0</v>
      </c>
      <c r="X889" s="3244"/>
      <c r="Y889" s="3244"/>
      <c r="Z889" s="3242" t="s">
        <v>3384</v>
      </c>
      <c r="AA889" s="3243">
        <v>0</v>
      </c>
      <c r="AB889" s="3242">
        <v>0</v>
      </c>
      <c r="AC889" s="3244"/>
      <c r="AD889" s="3244"/>
      <c r="AE889" s="3242">
        <v>0</v>
      </c>
      <c r="AF889" s="3259"/>
      <c r="AG889" s="3260"/>
      <c r="AH889" s="3260"/>
      <c r="AI889" s="3260"/>
      <c r="AJ889" s="3260"/>
      <c r="AK889" s="3260"/>
      <c r="AL889" s="3259"/>
      <c r="AM889" s="3260"/>
      <c r="AN889" s="3259"/>
      <c r="AO889" s="3260"/>
      <c r="AP889" s="3242">
        <v>0</v>
      </c>
      <c r="AQ889" s="3244"/>
      <c r="AR889" s="3244"/>
      <c r="AS889" s="3242" t="s">
        <v>3384</v>
      </c>
      <c r="AT889" s="3247">
        <f t="shared" si="75"/>
        <v>0</v>
      </c>
      <c r="AU889" s="3248">
        <f t="shared" si="76"/>
        <v>0</v>
      </c>
      <c r="AV889" s="3248">
        <v>0</v>
      </c>
      <c r="AW889" s="3247">
        <v>0</v>
      </c>
      <c r="AX889" s="3248">
        <v>0</v>
      </c>
      <c r="AY889" s="3248">
        <v>0</v>
      </c>
      <c r="AZ889" s="3247">
        <v>0</v>
      </c>
      <c r="BA889" s="3248">
        <v>0</v>
      </c>
      <c r="BB889" s="3248">
        <v>0</v>
      </c>
      <c r="BC889" s="3247">
        <v>0</v>
      </c>
      <c r="BD889" s="3248">
        <v>0</v>
      </c>
      <c r="BE889" s="3248">
        <v>0</v>
      </c>
      <c r="BF889" s="3248">
        <f t="shared" si="77"/>
        <v>0</v>
      </c>
      <c r="BG889" s="3248">
        <f t="shared" si="78"/>
        <v>0</v>
      </c>
      <c r="BH889" s="3249"/>
      <c r="BI889" s="3249"/>
    </row>
    <row r="890" spans="1:61" x14ac:dyDescent="0.3">
      <c r="A890" s="4197" t="s">
        <v>3384</v>
      </c>
      <c r="B890" s="3261"/>
      <c r="C890" s="3243">
        <v>0</v>
      </c>
      <c r="D890" s="3242">
        <v>0</v>
      </c>
      <c r="E890" s="3244"/>
      <c r="F890" s="3244"/>
      <c r="G890" s="3242">
        <v>0</v>
      </c>
      <c r="H890" s="3244"/>
      <c r="I890" s="3244"/>
      <c r="J890" s="3244"/>
      <c r="K890" s="3242">
        <v>0</v>
      </c>
      <c r="L890" s="3244"/>
      <c r="M890" s="3244"/>
      <c r="N890" s="3242" t="s">
        <v>3384</v>
      </c>
      <c r="O890" s="3239">
        <v>0</v>
      </c>
      <c r="P890" s="3242">
        <v>0</v>
      </c>
      <c r="Q890" s="3244"/>
      <c r="R890" s="3244"/>
      <c r="S890" s="3242">
        <v>0</v>
      </c>
      <c r="T890" s="3244"/>
      <c r="U890" s="3244"/>
      <c r="V890" s="3244"/>
      <c r="W890" s="3240">
        <v>0</v>
      </c>
      <c r="X890" s="3244"/>
      <c r="Y890" s="3244"/>
      <c r="Z890" s="3242" t="s">
        <v>3384</v>
      </c>
      <c r="AA890" s="3243">
        <v>0</v>
      </c>
      <c r="AB890" s="3242">
        <v>0</v>
      </c>
      <c r="AC890" s="3244"/>
      <c r="AD890" s="3244"/>
      <c r="AE890" s="3242">
        <v>0</v>
      </c>
      <c r="AF890" s="3259"/>
      <c r="AG890" s="3260"/>
      <c r="AH890" s="3260"/>
      <c r="AI890" s="3260"/>
      <c r="AJ890" s="3260"/>
      <c r="AK890" s="3260"/>
      <c r="AL890" s="3259"/>
      <c r="AM890" s="3260"/>
      <c r="AN890" s="3259"/>
      <c r="AO890" s="3260"/>
      <c r="AP890" s="3242">
        <v>0</v>
      </c>
      <c r="AQ890" s="3244"/>
      <c r="AR890" s="3244"/>
      <c r="AS890" s="3242" t="s">
        <v>3384</v>
      </c>
      <c r="AT890" s="3247">
        <f t="shared" si="75"/>
        <v>0</v>
      </c>
      <c r="AU890" s="3248">
        <f t="shared" si="76"/>
        <v>0</v>
      </c>
      <c r="AV890" s="3248">
        <v>0</v>
      </c>
      <c r="AW890" s="3247">
        <v>0</v>
      </c>
      <c r="AX890" s="3248">
        <v>0</v>
      </c>
      <c r="AY890" s="3248">
        <v>0</v>
      </c>
      <c r="AZ890" s="3247">
        <v>0</v>
      </c>
      <c r="BA890" s="3248">
        <v>0</v>
      </c>
      <c r="BB890" s="3248">
        <v>0</v>
      </c>
      <c r="BC890" s="3247">
        <v>0</v>
      </c>
      <c r="BD890" s="3248">
        <v>0</v>
      </c>
      <c r="BE890" s="3248">
        <v>0</v>
      </c>
      <c r="BF890" s="3248">
        <f t="shared" si="77"/>
        <v>0</v>
      </c>
      <c r="BG890" s="3248">
        <f t="shared" si="78"/>
        <v>0</v>
      </c>
      <c r="BH890" s="3249"/>
      <c r="BI890" s="3249"/>
    </row>
    <row r="891" spans="1:61" x14ac:dyDescent="0.3">
      <c r="A891" s="4197" t="s">
        <v>3384</v>
      </c>
      <c r="B891" s="3261"/>
      <c r="C891" s="3243">
        <v>0</v>
      </c>
      <c r="D891" s="3242">
        <v>0</v>
      </c>
      <c r="E891" s="3244"/>
      <c r="F891" s="3244"/>
      <c r="G891" s="3242">
        <v>0</v>
      </c>
      <c r="H891" s="3244"/>
      <c r="I891" s="3244"/>
      <c r="J891" s="3244"/>
      <c r="K891" s="3242">
        <v>0</v>
      </c>
      <c r="L891" s="3244"/>
      <c r="M891" s="3244"/>
      <c r="N891" s="3242" t="s">
        <v>3384</v>
      </c>
      <c r="O891" s="3239">
        <v>0</v>
      </c>
      <c r="P891" s="3242">
        <v>0</v>
      </c>
      <c r="Q891" s="3244"/>
      <c r="R891" s="3244"/>
      <c r="S891" s="3242">
        <v>0</v>
      </c>
      <c r="T891" s="3244"/>
      <c r="U891" s="3244"/>
      <c r="V891" s="3244"/>
      <c r="W891" s="3240">
        <v>0</v>
      </c>
      <c r="X891" s="3244"/>
      <c r="Y891" s="3244"/>
      <c r="Z891" s="3242" t="s">
        <v>3384</v>
      </c>
      <c r="AA891" s="3243">
        <v>0</v>
      </c>
      <c r="AB891" s="3242">
        <v>0</v>
      </c>
      <c r="AC891" s="3244"/>
      <c r="AD891" s="3244"/>
      <c r="AE891" s="3242">
        <v>0</v>
      </c>
      <c r="AF891" s="3259"/>
      <c r="AG891" s="3260"/>
      <c r="AH891" s="3260"/>
      <c r="AI891" s="3260"/>
      <c r="AJ891" s="3260"/>
      <c r="AK891" s="3260"/>
      <c r="AL891" s="3259"/>
      <c r="AM891" s="3260"/>
      <c r="AN891" s="3259"/>
      <c r="AO891" s="3260"/>
      <c r="AP891" s="3242">
        <v>0</v>
      </c>
      <c r="AQ891" s="3244"/>
      <c r="AR891" s="3244"/>
      <c r="AS891" s="3242" t="s">
        <v>3384</v>
      </c>
      <c r="AT891" s="3247">
        <f t="shared" si="75"/>
        <v>0</v>
      </c>
      <c r="AU891" s="3248">
        <f t="shared" si="76"/>
        <v>0</v>
      </c>
      <c r="AV891" s="3248">
        <v>0</v>
      </c>
      <c r="AW891" s="3247">
        <v>0</v>
      </c>
      <c r="AX891" s="3248">
        <v>0</v>
      </c>
      <c r="AY891" s="3248">
        <v>0</v>
      </c>
      <c r="AZ891" s="3247">
        <v>0</v>
      </c>
      <c r="BA891" s="3248">
        <v>0</v>
      </c>
      <c r="BB891" s="3248">
        <v>0</v>
      </c>
      <c r="BC891" s="3247">
        <v>0</v>
      </c>
      <c r="BD891" s="3248">
        <v>0</v>
      </c>
      <c r="BE891" s="3248">
        <v>0</v>
      </c>
      <c r="BF891" s="3248">
        <f t="shared" si="77"/>
        <v>0</v>
      </c>
      <c r="BG891" s="3248">
        <f t="shared" si="78"/>
        <v>0</v>
      </c>
      <c r="BH891" s="3249"/>
      <c r="BI891" s="3249"/>
    </row>
    <row r="892" spans="1:61" x14ac:dyDescent="0.3">
      <c r="A892" s="4197" t="s">
        <v>3384</v>
      </c>
      <c r="B892" s="3261"/>
      <c r="C892" s="3243">
        <v>0</v>
      </c>
      <c r="D892" s="3242">
        <v>0</v>
      </c>
      <c r="E892" s="3244"/>
      <c r="F892" s="3244"/>
      <c r="G892" s="3242">
        <v>0</v>
      </c>
      <c r="H892" s="3244"/>
      <c r="I892" s="3244"/>
      <c r="J892" s="3244"/>
      <c r="K892" s="3242">
        <v>0</v>
      </c>
      <c r="L892" s="3244"/>
      <c r="M892" s="3244"/>
      <c r="N892" s="3242" t="s">
        <v>3384</v>
      </c>
      <c r="O892" s="3239">
        <v>0</v>
      </c>
      <c r="P892" s="3242">
        <v>0</v>
      </c>
      <c r="Q892" s="3244"/>
      <c r="R892" s="3244"/>
      <c r="S892" s="3242">
        <v>0</v>
      </c>
      <c r="T892" s="3244"/>
      <c r="U892" s="3244"/>
      <c r="V892" s="3244"/>
      <c r="W892" s="3240">
        <v>0</v>
      </c>
      <c r="X892" s="3244"/>
      <c r="Y892" s="3244"/>
      <c r="Z892" s="3242" t="s">
        <v>3384</v>
      </c>
      <c r="AA892" s="3243">
        <v>0</v>
      </c>
      <c r="AB892" s="3242">
        <v>0</v>
      </c>
      <c r="AC892" s="3244"/>
      <c r="AD892" s="3244"/>
      <c r="AE892" s="3242">
        <v>0</v>
      </c>
      <c r="AF892" s="3259"/>
      <c r="AG892" s="3260"/>
      <c r="AH892" s="3260"/>
      <c r="AI892" s="3260"/>
      <c r="AJ892" s="3260"/>
      <c r="AK892" s="3260"/>
      <c r="AL892" s="3259"/>
      <c r="AM892" s="3260"/>
      <c r="AN892" s="3259"/>
      <c r="AO892" s="3260"/>
      <c r="AP892" s="3242">
        <v>0</v>
      </c>
      <c r="AQ892" s="3244"/>
      <c r="AR892" s="3244"/>
      <c r="AS892" s="3242" t="s">
        <v>3384</v>
      </c>
      <c r="AT892" s="3247">
        <f t="shared" si="75"/>
        <v>0</v>
      </c>
      <c r="AU892" s="3248">
        <f t="shared" si="76"/>
        <v>0</v>
      </c>
      <c r="AV892" s="3248">
        <v>0</v>
      </c>
      <c r="AW892" s="3247">
        <v>0</v>
      </c>
      <c r="AX892" s="3248">
        <v>0</v>
      </c>
      <c r="AY892" s="3248">
        <v>0</v>
      </c>
      <c r="AZ892" s="3247">
        <v>0</v>
      </c>
      <c r="BA892" s="3248">
        <v>0</v>
      </c>
      <c r="BB892" s="3248">
        <v>0</v>
      </c>
      <c r="BC892" s="3247">
        <v>0</v>
      </c>
      <c r="BD892" s="3248">
        <v>0</v>
      </c>
      <c r="BE892" s="3248">
        <v>0</v>
      </c>
      <c r="BF892" s="3248">
        <f t="shared" si="77"/>
        <v>0</v>
      </c>
      <c r="BG892" s="3248">
        <f t="shared" si="78"/>
        <v>0</v>
      </c>
      <c r="BH892" s="3249"/>
      <c r="BI892" s="3249"/>
    </row>
    <row r="893" spans="1:61" x14ac:dyDescent="0.3">
      <c r="A893" s="4197" t="s">
        <v>3384</v>
      </c>
      <c r="B893" s="3261"/>
      <c r="C893" s="3243">
        <v>0</v>
      </c>
      <c r="D893" s="3242">
        <v>0</v>
      </c>
      <c r="E893" s="3244"/>
      <c r="F893" s="3244"/>
      <c r="G893" s="3242">
        <v>0</v>
      </c>
      <c r="H893" s="3244"/>
      <c r="I893" s="3244"/>
      <c r="J893" s="3244"/>
      <c r="K893" s="3242">
        <v>0</v>
      </c>
      <c r="L893" s="3244"/>
      <c r="M893" s="3244"/>
      <c r="N893" s="3242" t="s">
        <v>3384</v>
      </c>
      <c r="O893" s="3239">
        <v>0</v>
      </c>
      <c r="P893" s="3242">
        <v>0</v>
      </c>
      <c r="Q893" s="3244"/>
      <c r="R893" s="3244"/>
      <c r="S893" s="3242">
        <v>0</v>
      </c>
      <c r="T893" s="3244"/>
      <c r="U893" s="3244"/>
      <c r="V893" s="3244"/>
      <c r="W893" s="3240">
        <v>0</v>
      </c>
      <c r="X893" s="3244"/>
      <c r="Y893" s="3244"/>
      <c r="Z893" s="3242" t="s">
        <v>3384</v>
      </c>
      <c r="AA893" s="3243">
        <v>0</v>
      </c>
      <c r="AB893" s="3242">
        <v>0</v>
      </c>
      <c r="AC893" s="3244"/>
      <c r="AD893" s="3244"/>
      <c r="AE893" s="3242">
        <v>0</v>
      </c>
      <c r="AF893" s="3259"/>
      <c r="AG893" s="3260"/>
      <c r="AH893" s="3260"/>
      <c r="AI893" s="3260"/>
      <c r="AJ893" s="3260"/>
      <c r="AK893" s="3260"/>
      <c r="AL893" s="3259"/>
      <c r="AM893" s="3260"/>
      <c r="AN893" s="3259"/>
      <c r="AO893" s="3260"/>
      <c r="AP893" s="3242">
        <v>0</v>
      </c>
      <c r="AQ893" s="3244"/>
      <c r="AR893" s="3244"/>
      <c r="AS893" s="3242" t="s">
        <v>3384</v>
      </c>
      <c r="AT893" s="3247">
        <f t="shared" si="75"/>
        <v>0</v>
      </c>
      <c r="AU893" s="3248">
        <f t="shared" si="76"/>
        <v>0</v>
      </c>
      <c r="AV893" s="3248">
        <v>0</v>
      </c>
      <c r="AW893" s="3247">
        <v>0</v>
      </c>
      <c r="AX893" s="3248">
        <v>0</v>
      </c>
      <c r="AY893" s="3248">
        <v>0</v>
      </c>
      <c r="AZ893" s="3247">
        <v>0</v>
      </c>
      <c r="BA893" s="3248">
        <v>0</v>
      </c>
      <c r="BB893" s="3248">
        <v>0</v>
      </c>
      <c r="BC893" s="3247">
        <v>0</v>
      </c>
      <c r="BD893" s="3248">
        <v>0</v>
      </c>
      <c r="BE893" s="3248">
        <v>0</v>
      </c>
      <c r="BF893" s="3248">
        <f t="shared" si="77"/>
        <v>0</v>
      </c>
      <c r="BG893" s="3248">
        <f t="shared" si="78"/>
        <v>0</v>
      </c>
      <c r="BH893" s="3249"/>
      <c r="BI893" s="3249"/>
    </row>
    <row r="894" spans="1:61" x14ac:dyDescent="0.3">
      <c r="A894" s="4197" t="s">
        <v>3384</v>
      </c>
      <c r="B894" s="3261"/>
      <c r="C894" s="3243">
        <v>0</v>
      </c>
      <c r="D894" s="3242">
        <v>0</v>
      </c>
      <c r="E894" s="3244"/>
      <c r="F894" s="3244"/>
      <c r="G894" s="3242">
        <v>0</v>
      </c>
      <c r="H894" s="3244"/>
      <c r="I894" s="3244"/>
      <c r="J894" s="3244"/>
      <c r="K894" s="3242">
        <v>0</v>
      </c>
      <c r="L894" s="3244"/>
      <c r="M894" s="3244"/>
      <c r="N894" s="3242" t="s">
        <v>3384</v>
      </c>
      <c r="O894" s="3239">
        <v>0</v>
      </c>
      <c r="P894" s="3242">
        <v>0</v>
      </c>
      <c r="Q894" s="3244"/>
      <c r="R894" s="3244"/>
      <c r="S894" s="3242">
        <v>0</v>
      </c>
      <c r="T894" s="3244"/>
      <c r="U894" s="3244"/>
      <c r="V894" s="3244"/>
      <c r="W894" s="3240">
        <v>0</v>
      </c>
      <c r="X894" s="3244"/>
      <c r="Y894" s="3244"/>
      <c r="Z894" s="3242" t="s">
        <v>3384</v>
      </c>
      <c r="AA894" s="3243">
        <v>0</v>
      </c>
      <c r="AB894" s="3242">
        <v>0</v>
      </c>
      <c r="AC894" s="3244"/>
      <c r="AD894" s="3244"/>
      <c r="AE894" s="3242">
        <v>0</v>
      </c>
      <c r="AF894" s="3259"/>
      <c r="AG894" s="3260"/>
      <c r="AH894" s="3260"/>
      <c r="AI894" s="3260"/>
      <c r="AJ894" s="3260"/>
      <c r="AK894" s="3260"/>
      <c r="AL894" s="3259"/>
      <c r="AM894" s="3260"/>
      <c r="AN894" s="3259"/>
      <c r="AO894" s="3260"/>
      <c r="AP894" s="3242">
        <v>0</v>
      </c>
      <c r="AQ894" s="3244"/>
      <c r="AR894" s="3244"/>
      <c r="AS894" s="3242" t="s">
        <v>3384</v>
      </c>
      <c r="AT894" s="3247">
        <f t="shared" si="75"/>
        <v>0</v>
      </c>
      <c r="AU894" s="3248">
        <f t="shared" si="76"/>
        <v>0</v>
      </c>
      <c r="AV894" s="3248">
        <v>0</v>
      </c>
      <c r="AW894" s="3247">
        <v>0</v>
      </c>
      <c r="AX894" s="3248">
        <v>0</v>
      </c>
      <c r="AY894" s="3248">
        <v>0</v>
      </c>
      <c r="AZ894" s="3247">
        <v>0</v>
      </c>
      <c r="BA894" s="3248">
        <v>0</v>
      </c>
      <c r="BB894" s="3248">
        <v>0</v>
      </c>
      <c r="BC894" s="3247">
        <v>0</v>
      </c>
      <c r="BD894" s="3248">
        <v>0</v>
      </c>
      <c r="BE894" s="3248">
        <v>0</v>
      </c>
      <c r="BF894" s="3248">
        <f t="shared" si="77"/>
        <v>0</v>
      </c>
      <c r="BG894" s="3248">
        <f t="shared" si="78"/>
        <v>0</v>
      </c>
      <c r="BH894" s="3249"/>
      <c r="BI894" s="3249"/>
    </row>
    <row r="895" spans="1:61" x14ac:dyDescent="0.3">
      <c r="A895" s="4197" t="s">
        <v>3384</v>
      </c>
      <c r="B895" s="3261"/>
      <c r="C895" s="3243">
        <v>0</v>
      </c>
      <c r="D895" s="3242">
        <v>0</v>
      </c>
      <c r="E895" s="3244"/>
      <c r="F895" s="3244"/>
      <c r="G895" s="3242">
        <v>0</v>
      </c>
      <c r="H895" s="3244"/>
      <c r="I895" s="3244"/>
      <c r="J895" s="3244"/>
      <c r="K895" s="3242">
        <v>0</v>
      </c>
      <c r="L895" s="3244"/>
      <c r="M895" s="3244"/>
      <c r="N895" s="3242" t="s">
        <v>3384</v>
      </c>
      <c r="O895" s="3239">
        <v>0</v>
      </c>
      <c r="P895" s="3242">
        <v>0</v>
      </c>
      <c r="Q895" s="3244"/>
      <c r="R895" s="3244"/>
      <c r="S895" s="3242">
        <v>0</v>
      </c>
      <c r="T895" s="3244"/>
      <c r="U895" s="3244"/>
      <c r="V895" s="3244"/>
      <c r="W895" s="3240">
        <v>0</v>
      </c>
      <c r="X895" s="3244"/>
      <c r="Y895" s="3244"/>
      <c r="Z895" s="3242" t="s">
        <v>3384</v>
      </c>
      <c r="AA895" s="3243">
        <v>0</v>
      </c>
      <c r="AB895" s="3242">
        <v>0</v>
      </c>
      <c r="AC895" s="3244"/>
      <c r="AD895" s="3244"/>
      <c r="AE895" s="3242">
        <v>0</v>
      </c>
      <c r="AF895" s="3259"/>
      <c r="AG895" s="3260"/>
      <c r="AH895" s="3260"/>
      <c r="AI895" s="3260"/>
      <c r="AJ895" s="3260"/>
      <c r="AK895" s="3260"/>
      <c r="AL895" s="3259"/>
      <c r="AM895" s="3260"/>
      <c r="AN895" s="3259"/>
      <c r="AO895" s="3260"/>
      <c r="AP895" s="3242">
        <v>0</v>
      </c>
      <c r="AQ895" s="3244"/>
      <c r="AR895" s="3244"/>
      <c r="AS895" s="3242" t="s">
        <v>3384</v>
      </c>
      <c r="AT895" s="3247">
        <f t="shared" si="75"/>
        <v>0</v>
      </c>
      <c r="AU895" s="3248">
        <f t="shared" si="76"/>
        <v>0</v>
      </c>
      <c r="AV895" s="3248">
        <v>0</v>
      </c>
      <c r="AW895" s="3247">
        <v>0</v>
      </c>
      <c r="AX895" s="3248">
        <v>0</v>
      </c>
      <c r="AY895" s="3248">
        <v>0</v>
      </c>
      <c r="AZ895" s="3247">
        <v>0</v>
      </c>
      <c r="BA895" s="3248">
        <v>0</v>
      </c>
      <c r="BB895" s="3248">
        <v>0</v>
      </c>
      <c r="BC895" s="3247">
        <v>0</v>
      </c>
      <c r="BD895" s="3248">
        <v>0</v>
      </c>
      <c r="BE895" s="3248">
        <v>0</v>
      </c>
      <c r="BF895" s="3248">
        <f t="shared" si="77"/>
        <v>0</v>
      </c>
      <c r="BG895" s="3248">
        <f t="shared" si="78"/>
        <v>0</v>
      </c>
      <c r="BH895" s="3249"/>
      <c r="BI895" s="3249"/>
    </row>
    <row r="896" spans="1:61" x14ac:dyDescent="0.3">
      <c r="A896" s="4197" t="s">
        <v>3384</v>
      </c>
      <c r="B896" s="3261"/>
      <c r="C896" s="3243">
        <v>0</v>
      </c>
      <c r="D896" s="3242">
        <v>0</v>
      </c>
      <c r="E896" s="3244"/>
      <c r="F896" s="3244"/>
      <c r="G896" s="3242">
        <v>0</v>
      </c>
      <c r="H896" s="3244"/>
      <c r="I896" s="3244"/>
      <c r="J896" s="3244"/>
      <c r="K896" s="3242">
        <v>0</v>
      </c>
      <c r="L896" s="3244"/>
      <c r="M896" s="3244"/>
      <c r="N896" s="3242" t="s">
        <v>3384</v>
      </c>
      <c r="O896" s="3239">
        <v>0</v>
      </c>
      <c r="P896" s="3242">
        <v>0</v>
      </c>
      <c r="Q896" s="3244"/>
      <c r="R896" s="3244"/>
      <c r="S896" s="3242">
        <v>0</v>
      </c>
      <c r="T896" s="3244"/>
      <c r="U896" s="3244"/>
      <c r="V896" s="3244"/>
      <c r="W896" s="3240">
        <v>0</v>
      </c>
      <c r="X896" s="3244"/>
      <c r="Y896" s="3244"/>
      <c r="Z896" s="3242" t="s">
        <v>3384</v>
      </c>
      <c r="AA896" s="3243">
        <v>0</v>
      </c>
      <c r="AB896" s="3242">
        <v>0</v>
      </c>
      <c r="AC896" s="3244"/>
      <c r="AD896" s="3244"/>
      <c r="AE896" s="3242">
        <v>0</v>
      </c>
      <c r="AF896" s="3259"/>
      <c r="AG896" s="3260"/>
      <c r="AH896" s="3260"/>
      <c r="AI896" s="3260"/>
      <c r="AJ896" s="3260"/>
      <c r="AK896" s="3260"/>
      <c r="AL896" s="3259"/>
      <c r="AM896" s="3260"/>
      <c r="AN896" s="3259"/>
      <c r="AO896" s="3260"/>
      <c r="AP896" s="3242">
        <v>0</v>
      </c>
      <c r="AQ896" s="3244"/>
      <c r="AR896" s="3244"/>
      <c r="AS896" s="3242" t="s">
        <v>3384</v>
      </c>
      <c r="AT896" s="3247">
        <f t="shared" si="75"/>
        <v>0</v>
      </c>
      <c r="AU896" s="3248">
        <f t="shared" si="76"/>
        <v>0</v>
      </c>
      <c r="AV896" s="3248">
        <v>0</v>
      </c>
      <c r="AW896" s="3247">
        <v>0</v>
      </c>
      <c r="AX896" s="3248">
        <v>0</v>
      </c>
      <c r="AY896" s="3248">
        <v>0</v>
      </c>
      <c r="AZ896" s="3247">
        <v>0</v>
      </c>
      <c r="BA896" s="3248">
        <v>0</v>
      </c>
      <c r="BB896" s="3248">
        <v>0</v>
      </c>
      <c r="BC896" s="3247">
        <v>0</v>
      </c>
      <c r="BD896" s="3248">
        <v>0</v>
      </c>
      <c r="BE896" s="3248">
        <v>0</v>
      </c>
      <c r="BF896" s="3248">
        <f t="shared" si="77"/>
        <v>0</v>
      </c>
      <c r="BG896" s="3248">
        <f t="shared" si="78"/>
        <v>0</v>
      </c>
      <c r="BH896" s="3249"/>
      <c r="BI896" s="3249"/>
    </row>
    <row r="897" spans="1:61" x14ac:dyDescent="0.3">
      <c r="A897" s="4197" t="s">
        <v>3384</v>
      </c>
      <c r="B897" s="3261"/>
      <c r="C897" s="3243">
        <v>0</v>
      </c>
      <c r="D897" s="3242">
        <v>0</v>
      </c>
      <c r="E897" s="3244"/>
      <c r="F897" s="3244"/>
      <c r="G897" s="3242">
        <v>0</v>
      </c>
      <c r="H897" s="3244"/>
      <c r="I897" s="3244"/>
      <c r="J897" s="3244"/>
      <c r="K897" s="3242">
        <v>0</v>
      </c>
      <c r="L897" s="3244"/>
      <c r="M897" s="3244"/>
      <c r="N897" s="3242" t="s">
        <v>3384</v>
      </c>
      <c r="O897" s="3239">
        <v>0</v>
      </c>
      <c r="P897" s="3242">
        <v>0</v>
      </c>
      <c r="Q897" s="3244"/>
      <c r="R897" s="3244"/>
      <c r="S897" s="3242">
        <v>0</v>
      </c>
      <c r="T897" s="3244"/>
      <c r="U897" s="3244"/>
      <c r="V897" s="3244"/>
      <c r="W897" s="3240">
        <v>0</v>
      </c>
      <c r="X897" s="3244"/>
      <c r="Y897" s="3244"/>
      <c r="Z897" s="3242" t="s">
        <v>3384</v>
      </c>
      <c r="AA897" s="3243">
        <v>0</v>
      </c>
      <c r="AB897" s="3242">
        <v>0</v>
      </c>
      <c r="AC897" s="3244"/>
      <c r="AD897" s="3244"/>
      <c r="AE897" s="3242">
        <v>0</v>
      </c>
      <c r="AF897" s="3259"/>
      <c r="AG897" s="3260"/>
      <c r="AH897" s="3260"/>
      <c r="AI897" s="3260"/>
      <c r="AJ897" s="3260"/>
      <c r="AK897" s="3260"/>
      <c r="AL897" s="3259"/>
      <c r="AM897" s="3260"/>
      <c r="AN897" s="3259"/>
      <c r="AO897" s="3260"/>
      <c r="AP897" s="3242">
        <v>0</v>
      </c>
      <c r="AQ897" s="3244"/>
      <c r="AR897" s="3244"/>
      <c r="AS897" s="3242" t="s">
        <v>3384</v>
      </c>
      <c r="AT897" s="3247">
        <f t="shared" si="75"/>
        <v>0</v>
      </c>
      <c r="AU897" s="3248">
        <f t="shared" si="76"/>
        <v>0</v>
      </c>
      <c r="AV897" s="3248">
        <v>0</v>
      </c>
      <c r="AW897" s="3247">
        <v>0</v>
      </c>
      <c r="AX897" s="3248">
        <v>0</v>
      </c>
      <c r="AY897" s="3248">
        <v>0</v>
      </c>
      <c r="AZ897" s="3247">
        <v>0</v>
      </c>
      <c r="BA897" s="3248">
        <v>0</v>
      </c>
      <c r="BB897" s="3248">
        <v>0</v>
      </c>
      <c r="BC897" s="3247">
        <v>0</v>
      </c>
      <c r="BD897" s="3248">
        <v>0</v>
      </c>
      <c r="BE897" s="3248">
        <v>0</v>
      </c>
      <c r="BF897" s="3248">
        <f t="shared" si="77"/>
        <v>0</v>
      </c>
      <c r="BG897" s="3248">
        <f t="shared" si="78"/>
        <v>0</v>
      </c>
      <c r="BH897" s="3249"/>
      <c r="BI897" s="3249"/>
    </row>
    <row r="898" spans="1:61" x14ac:dyDescent="0.3">
      <c r="A898" s="4197" t="s">
        <v>3384</v>
      </c>
      <c r="B898" s="3261"/>
      <c r="C898" s="3243">
        <v>0</v>
      </c>
      <c r="D898" s="3242">
        <v>0</v>
      </c>
      <c r="E898" s="3244"/>
      <c r="F898" s="3244"/>
      <c r="G898" s="3242">
        <v>0</v>
      </c>
      <c r="H898" s="3244"/>
      <c r="I898" s="3244"/>
      <c r="J898" s="3244"/>
      <c r="K898" s="3242">
        <v>0</v>
      </c>
      <c r="L898" s="3244"/>
      <c r="M898" s="3244"/>
      <c r="N898" s="3242" t="s">
        <v>3384</v>
      </c>
      <c r="O898" s="3239">
        <v>0</v>
      </c>
      <c r="P898" s="3242">
        <v>0</v>
      </c>
      <c r="Q898" s="3244"/>
      <c r="R898" s="3244"/>
      <c r="S898" s="3242">
        <v>0</v>
      </c>
      <c r="T898" s="3244"/>
      <c r="U898" s="3244"/>
      <c r="V898" s="3244"/>
      <c r="W898" s="3240">
        <v>0</v>
      </c>
      <c r="X898" s="3244"/>
      <c r="Y898" s="3244"/>
      <c r="Z898" s="3242" t="s">
        <v>3384</v>
      </c>
      <c r="AA898" s="3243">
        <v>0</v>
      </c>
      <c r="AB898" s="3242">
        <v>0</v>
      </c>
      <c r="AC898" s="3244"/>
      <c r="AD898" s="3244"/>
      <c r="AE898" s="3242">
        <v>0</v>
      </c>
      <c r="AF898" s="3259"/>
      <c r="AG898" s="3260"/>
      <c r="AH898" s="3260"/>
      <c r="AI898" s="3260"/>
      <c r="AJ898" s="3260"/>
      <c r="AK898" s="3260"/>
      <c r="AL898" s="3259"/>
      <c r="AM898" s="3260"/>
      <c r="AN898" s="3259"/>
      <c r="AO898" s="3260"/>
      <c r="AP898" s="3242">
        <v>0</v>
      </c>
      <c r="AQ898" s="3244"/>
      <c r="AR898" s="3244"/>
      <c r="AS898" s="3242" t="s">
        <v>3384</v>
      </c>
      <c r="AT898" s="3247">
        <f t="shared" si="75"/>
        <v>0</v>
      </c>
      <c r="AU898" s="3248">
        <f t="shared" si="76"/>
        <v>0</v>
      </c>
      <c r="AV898" s="3248">
        <v>0</v>
      </c>
      <c r="AW898" s="3247">
        <v>0</v>
      </c>
      <c r="AX898" s="3248">
        <v>0</v>
      </c>
      <c r="AY898" s="3248">
        <v>0</v>
      </c>
      <c r="AZ898" s="3247">
        <v>0</v>
      </c>
      <c r="BA898" s="3248">
        <v>0</v>
      </c>
      <c r="BB898" s="3248">
        <v>0</v>
      </c>
      <c r="BC898" s="3247">
        <v>0</v>
      </c>
      <c r="BD898" s="3248">
        <v>0</v>
      </c>
      <c r="BE898" s="3248">
        <v>0</v>
      </c>
      <c r="BF898" s="3248">
        <f t="shared" si="77"/>
        <v>0</v>
      </c>
      <c r="BG898" s="3248">
        <f t="shared" si="78"/>
        <v>0</v>
      </c>
      <c r="BH898" s="3249"/>
      <c r="BI898" s="3249"/>
    </row>
    <row r="899" spans="1:61" x14ac:dyDescent="0.3">
      <c r="A899" s="4197" t="s">
        <v>3384</v>
      </c>
      <c r="B899" s="3261"/>
      <c r="C899" s="3243">
        <v>0</v>
      </c>
      <c r="D899" s="3242">
        <v>0</v>
      </c>
      <c r="E899" s="3244"/>
      <c r="F899" s="3244"/>
      <c r="G899" s="3242">
        <v>0</v>
      </c>
      <c r="H899" s="3244"/>
      <c r="I899" s="3244"/>
      <c r="J899" s="3244"/>
      <c r="K899" s="3242">
        <v>0</v>
      </c>
      <c r="L899" s="3244"/>
      <c r="M899" s="3244"/>
      <c r="N899" s="3242" t="s">
        <v>3384</v>
      </c>
      <c r="O899" s="3239">
        <v>0</v>
      </c>
      <c r="P899" s="3242">
        <v>0</v>
      </c>
      <c r="Q899" s="3244"/>
      <c r="R899" s="3244"/>
      <c r="S899" s="3242">
        <v>0</v>
      </c>
      <c r="T899" s="3244"/>
      <c r="U899" s="3244"/>
      <c r="V899" s="3244"/>
      <c r="W899" s="3240">
        <v>0</v>
      </c>
      <c r="X899" s="3244"/>
      <c r="Y899" s="3244"/>
      <c r="Z899" s="3242" t="s">
        <v>3384</v>
      </c>
      <c r="AA899" s="3243">
        <v>0</v>
      </c>
      <c r="AB899" s="3242">
        <v>0</v>
      </c>
      <c r="AC899" s="3244"/>
      <c r="AD899" s="3244"/>
      <c r="AE899" s="3242">
        <v>0</v>
      </c>
      <c r="AF899" s="3259"/>
      <c r="AG899" s="3260"/>
      <c r="AH899" s="3260"/>
      <c r="AI899" s="3260"/>
      <c r="AJ899" s="3260"/>
      <c r="AK899" s="3260"/>
      <c r="AL899" s="3259"/>
      <c r="AM899" s="3260"/>
      <c r="AN899" s="3259"/>
      <c r="AO899" s="3260"/>
      <c r="AP899" s="3242">
        <v>0</v>
      </c>
      <c r="AQ899" s="3244"/>
      <c r="AR899" s="3244"/>
      <c r="AS899" s="3242" t="s">
        <v>3384</v>
      </c>
      <c r="AT899" s="3247">
        <f t="shared" si="75"/>
        <v>0</v>
      </c>
      <c r="AU899" s="3248">
        <f t="shared" si="76"/>
        <v>0</v>
      </c>
      <c r="AV899" s="3248">
        <v>0</v>
      </c>
      <c r="AW899" s="3247">
        <v>0</v>
      </c>
      <c r="AX899" s="3248">
        <v>0</v>
      </c>
      <c r="AY899" s="3248">
        <v>0</v>
      </c>
      <c r="AZ899" s="3247">
        <v>0</v>
      </c>
      <c r="BA899" s="3248">
        <v>0</v>
      </c>
      <c r="BB899" s="3248">
        <v>0</v>
      </c>
      <c r="BC899" s="3247">
        <v>0</v>
      </c>
      <c r="BD899" s="3248">
        <v>0</v>
      </c>
      <c r="BE899" s="3248">
        <v>0</v>
      </c>
      <c r="BF899" s="3248">
        <f t="shared" si="77"/>
        <v>0</v>
      </c>
      <c r="BG899" s="3248">
        <f t="shared" si="78"/>
        <v>0</v>
      </c>
      <c r="BH899" s="3249"/>
      <c r="BI899" s="3249"/>
    </row>
    <row r="900" spans="1:61" x14ac:dyDescent="0.3">
      <c r="A900" s="4197" t="s">
        <v>3384</v>
      </c>
      <c r="B900" s="3261"/>
      <c r="C900" s="3243">
        <v>0</v>
      </c>
      <c r="D900" s="3242">
        <v>0</v>
      </c>
      <c r="E900" s="3244"/>
      <c r="F900" s="3244"/>
      <c r="G900" s="3242">
        <v>0</v>
      </c>
      <c r="H900" s="3244"/>
      <c r="I900" s="3244"/>
      <c r="J900" s="3244"/>
      <c r="K900" s="3242">
        <v>0</v>
      </c>
      <c r="L900" s="3244"/>
      <c r="M900" s="3244"/>
      <c r="N900" s="3242" t="s">
        <v>3384</v>
      </c>
      <c r="O900" s="3239">
        <v>0</v>
      </c>
      <c r="P900" s="3242">
        <v>0</v>
      </c>
      <c r="Q900" s="3244"/>
      <c r="R900" s="3244"/>
      <c r="S900" s="3242">
        <v>0</v>
      </c>
      <c r="T900" s="3244"/>
      <c r="U900" s="3244"/>
      <c r="V900" s="3244"/>
      <c r="W900" s="3240">
        <v>0</v>
      </c>
      <c r="X900" s="3244"/>
      <c r="Y900" s="3244"/>
      <c r="Z900" s="3242" t="s">
        <v>3384</v>
      </c>
      <c r="AA900" s="3243">
        <v>0</v>
      </c>
      <c r="AB900" s="3242">
        <v>0</v>
      </c>
      <c r="AC900" s="3244"/>
      <c r="AD900" s="3244"/>
      <c r="AE900" s="3242">
        <v>0</v>
      </c>
      <c r="AF900" s="3259"/>
      <c r="AG900" s="3260"/>
      <c r="AH900" s="3260"/>
      <c r="AI900" s="3260"/>
      <c r="AJ900" s="3260"/>
      <c r="AK900" s="3260"/>
      <c r="AL900" s="3259"/>
      <c r="AM900" s="3260"/>
      <c r="AN900" s="3259"/>
      <c r="AO900" s="3260"/>
      <c r="AP900" s="3242">
        <v>0</v>
      </c>
      <c r="AQ900" s="3244"/>
      <c r="AR900" s="3244"/>
      <c r="AS900" s="3242" t="s">
        <v>3384</v>
      </c>
      <c r="AT900" s="3247">
        <f t="shared" si="75"/>
        <v>0</v>
      </c>
      <c r="AU900" s="3248">
        <f t="shared" si="76"/>
        <v>0</v>
      </c>
      <c r="AV900" s="3248">
        <v>0</v>
      </c>
      <c r="AW900" s="3247">
        <v>0</v>
      </c>
      <c r="AX900" s="3248">
        <v>0</v>
      </c>
      <c r="AY900" s="3248">
        <v>0</v>
      </c>
      <c r="AZ900" s="3247">
        <v>0</v>
      </c>
      <c r="BA900" s="3248">
        <v>0</v>
      </c>
      <c r="BB900" s="3248">
        <v>0</v>
      </c>
      <c r="BC900" s="3247">
        <v>0</v>
      </c>
      <c r="BD900" s="3248">
        <v>0</v>
      </c>
      <c r="BE900" s="3248">
        <v>0</v>
      </c>
      <c r="BF900" s="3248">
        <f t="shared" si="77"/>
        <v>0</v>
      </c>
      <c r="BG900" s="3248">
        <f t="shared" si="78"/>
        <v>0</v>
      </c>
      <c r="BH900" s="3249"/>
      <c r="BI900" s="3249"/>
    </row>
    <row r="901" spans="1:61" x14ac:dyDescent="0.3">
      <c r="A901" s="4197" t="s">
        <v>3384</v>
      </c>
      <c r="B901" s="3261"/>
      <c r="C901" s="3243">
        <v>0</v>
      </c>
      <c r="D901" s="3242">
        <v>0</v>
      </c>
      <c r="E901" s="3244"/>
      <c r="F901" s="3244"/>
      <c r="G901" s="3242">
        <v>0</v>
      </c>
      <c r="H901" s="3244"/>
      <c r="I901" s="3244"/>
      <c r="J901" s="3244"/>
      <c r="K901" s="3242">
        <v>0</v>
      </c>
      <c r="L901" s="3244"/>
      <c r="M901" s="3244"/>
      <c r="N901" s="3242" t="s">
        <v>3384</v>
      </c>
      <c r="O901" s="3239">
        <v>0</v>
      </c>
      <c r="P901" s="3242">
        <v>0</v>
      </c>
      <c r="Q901" s="3244"/>
      <c r="R901" s="3244"/>
      <c r="S901" s="3242">
        <v>0</v>
      </c>
      <c r="T901" s="3244"/>
      <c r="U901" s="3244"/>
      <c r="V901" s="3244"/>
      <c r="W901" s="3240">
        <v>0</v>
      </c>
      <c r="X901" s="3244"/>
      <c r="Y901" s="3244"/>
      <c r="Z901" s="3242" t="s">
        <v>3384</v>
      </c>
      <c r="AA901" s="3243">
        <v>0</v>
      </c>
      <c r="AB901" s="3242">
        <v>0</v>
      </c>
      <c r="AC901" s="3244"/>
      <c r="AD901" s="3244"/>
      <c r="AE901" s="3242">
        <v>0</v>
      </c>
      <c r="AF901" s="3259"/>
      <c r="AG901" s="3260"/>
      <c r="AH901" s="3260"/>
      <c r="AI901" s="3260"/>
      <c r="AJ901" s="3260"/>
      <c r="AK901" s="3260"/>
      <c r="AL901" s="3259"/>
      <c r="AM901" s="3260"/>
      <c r="AN901" s="3259"/>
      <c r="AO901" s="3260"/>
      <c r="AP901" s="3242">
        <v>0</v>
      </c>
      <c r="AQ901" s="3244"/>
      <c r="AR901" s="3244"/>
      <c r="AS901" s="3242" t="s">
        <v>3384</v>
      </c>
      <c r="AT901" s="3247">
        <f t="shared" si="75"/>
        <v>0</v>
      </c>
      <c r="AU901" s="3248">
        <f t="shared" si="76"/>
        <v>0</v>
      </c>
      <c r="AV901" s="3248">
        <v>0</v>
      </c>
      <c r="AW901" s="3247">
        <v>0</v>
      </c>
      <c r="AX901" s="3248">
        <v>0</v>
      </c>
      <c r="AY901" s="3248">
        <v>0</v>
      </c>
      <c r="AZ901" s="3247">
        <v>0</v>
      </c>
      <c r="BA901" s="3248">
        <v>0</v>
      </c>
      <c r="BB901" s="3248">
        <v>0</v>
      </c>
      <c r="BC901" s="3247">
        <v>0</v>
      </c>
      <c r="BD901" s="3248">
        <v>0</v>
      </c>
      <c r="BE901" s="3248">
        <v>0</v>
      </c>
      <c r="BF901" s="3248">
        <f t="shared" si="77"/>
        <v>0</v>
      </c>
      <c r="BG901" s="3248">
        <f t="shared" si="78"/>
        <v>0</v>
      </c>
      <c r="BH901" s="3249"/>
      <c r="BI901" s="3249"/>
    </row>
    <row r="902" spans="1:61" x14ac:dyDescent="0.3">
      <c r="A902" s="4197" t="s">
        <v>3384</v>
      </c>
      <c r="B902" s="3261"/>
      <c r="C902" s="3243">
        <v>0</v>
      </c>
      <c r="D902" s="3242">
        <v>0</v>
      </c>
      <c r="E902" s="3244"/>
      <c r="F902" s="3244"/>
      <c r="G902" s="3242">
        <v>0</v>
      </c>
      <c r="H902" s="3244"/>
      <c r="I902" s="3244"/>
      <c r="J902" s="3244"/>
      <c r="K902" s="3242">
        <v>0</v>
      </c>
      <c r="L902" s="3244"/>
      <c r="M902" s="3244"/>
      <c r="N902" s="3242" t="s">
        <v>3384</v>
      </c>
      <c r="O902" s="3239">
        <v>0</v>
      </c>
      <c r="P902" s="3242">
        <v>0</v>
      </c>
      <c r="Q902" s="3244"/>
      <c r="R902" s="3244"/>
      <c r="S902" s="3242">
        <v>0</v>
      </c>
      <c r="T902" s="3244"/>
      <c r="U902" s="3244"/>
      <c r="V902" s="3244"/>
      <c r="W902" s="3240">
        <v>0</v>
      </c>
      <c r="X902" s="3244"/>
      <c r="Y902" s="3244"/>
      <c r="Z902" s="3242" t="s">
        <v>3384</v>
      </c>
      <c r="AA902" s="3243">
        <v>0</v>
      </c>
      <c r="AB902" s="3242">
        <v>0</v>
      </c>
      <c r="AC902" s="3244"/>
      <c r="AD902" s="3244"/>
      <c r="AE902" s="3242">
        <v>0</v>
      </c>
      <c r="AF902" s="3259"/>
      <c r="AG902" s="3260"/>
      <c r="AH902" s="3260"/>
      <c r="AI902" s="3260"/>
      <c r="AJ902" s="3260"/>
      <c r="AK902" s="3260"/>
      <c r="AL902" s="3259"/>
      <c r="AM902" s="3260"/>
      <c r="AN902" s="3259"/>
      <c r="AO902" s="3260"/>
      <c r="AP902" s="3242">
        <v>0</v>
      </c>
      <c r="AQ902" s="3244"/>
      <c r="AR902" s="3244"/>
      <c r="AS902" s="3242" t="s">
        <v>3384</v>
      </c>
      <c r="AT902" s="3247">
        <f t="shared" si="75"/>
        <v>0</v>
      </c>
      <c r="AU902" s="3248">
        <f t="shared" si="76"/>
        <v>0</v>
      </c>
      <c r="AV902" s="3248">
        <v>0</v>
      </c>
      <c r="AW902" s="3247">
        <v>0</v>
      </c>
      <c r="AX902" s="3248">
        <v>0</v>
      </c>
      <c r="AY902" s="3248">
        <v>0</v>
      </c>
      <c r="AZ902" s="3247">
        <v>0</v>
      </c>
      <c r="BA902" s="3248">
        <v>0</v>
      </c>
      <c r="BB902" s="3248">
        <v>0</v>
      </c>
      <c r="BC902" s="3247">
        <v>0</v>
      </c>
      <c r="BD902" s="3248">
        <v>0</v>
      </c>
      <c r="BE902" s="3248">
        <v>0</v>
      </c>
      <c r="BF902" s="3248">
        <f t="shared" si="77"/>
        <v>0</v>
      </c>
      <c r="BG902" s="3248">
        <f t="shared" si="78"/>
        <v>0</v>
      </c>
      <c r="BH902" s="3249"/>
      <c r="BI902" s="3249"/>
    </row>
    <row r="903" spans="1:61" x14ac:dyDescent="0.3">
      <c r="A903" s="4197" t="s">
        <v>3384</v>
      </c>
      <c r="B903" s="3261"/>
      <c r="C903" s="3243">
        <v>0</v>
      </c>
      <c r="D903" s="3242">
        <v>0</v>
      </c>
      <c r="E903" s="3244"/>
      <c r="F903" s="3244"/>
      <c r="G903" s="3242">
        <v>0</v>
      </c>
      <c r="H903" s="3244"/>
      <c r="I903" s="3244"/>
      <c r="J903" s="3244"/>
      <c r="K903" s="3242">
        <v>0</v>
      </c>
      <c r="L903" s="3244"/>
      <c r="M903" s="3244"/>
      <c r="N903" s="3242" t="s">
        <v>3384</v>
      </c>
      <c r="O903" s="3239">
        <v>0</v>
      </c>
      <c r="P903" s="3242">
        <v>0</v>
      </c>
      <c r="Q903" s="3244"/>
      <c r="R903" s="3244"/>
      <c r="S903" s="3242">
        <v>0</v>
      </c>
      <c r="T903" s="3244"/>
      <c r="U903" s="3244"/>
      <c r="V903" s="3244"/>
      <c r="W903" s="3240">
        <v>0</v>
      </c>
      <c r="X903" s="3244"/>
      <c r="Y903" s="3244"/>
      <c r="Z903" s="3242" t="s">
        <v>3384</v>
      </c>
      <c r="AA903" s="3243">
        <v>0</v>
      </c>
      <c r="AB903" s="3242">
        <v>0</v>
      </c>
      <c r="AC903" s="3244"/>
      <c r="AD903" s="3244"/>
      <c r="AE903" s="3242">
        <v>0</v>
      </c>
      <c r="AF903" s="3259"/>
      <c r="AG903" s="3260"/>
      <c r="AH903" s="3260"/>
      <c r="AI903" s="3260"/>
      <c r="AJ903" s="3260"/>
      <c r="AK903" s="3260"/>
      <c r="AL903" s="3259"/>
      <c r="AM903" s="3260"/>
      <c r="AN903" s="3259"/>
      <c r="AO903" s="3260"/>
      <c r="AP903" s="3242">
        <v>0</v>
      </c>
      <c r="AQ903" s="3244"/>
      <c r="AR903" s="3244"/>
      <c r="AS903" s="3242" t="s">
        <v>3384</v>
      </c>
      <c r="AT903" s="3247">
        <f t="shared" si="75"/>
        <v>0</v>
      </c>
      <c r="AU903" s="3248">
        <f t="shared" si="76"/>
        <v>0</v>
      </c>
      <c r="AV903" s="3248">
        <v>0</v>
      </c>
      <c r="AW903" s="3247">
        <v>0</v>
      </c>
      <c r="AX903" s="3248">
        <v>0</v>
      </c>
      <c r="AY903" s="3248">
        <v>0</v>
      </c>
      <c r="AZ903" s="3247">
        <v>0</v>
      </c>
      <c r="BA903" s="3248">
        <v>0</v>
      </c>
      <c r="BB903" s="3248">
        <v>0</v>
      </c>
      <c r="BC903" s="3247">
        <v>0</v>
      </c>
      <c r="BD903" s="3248">
        <v>0</v>
      </c>
      <c r="BE903" s="3248">
        <v>0</v>
      </c>
      <c r="BF903" s="3248">
        <f t="shared" si="77"/>
        <v>0</v>
      </c>
      <c r="BG903" s="3248">
        <f t="shared" si="78"/>
        <v>0</v>
      </c>
      <c r="BH903" s="3249"/>
      <c r="BI903" s="3249"/>
    </row>
    <row r="904" spans="1:61" x14ac:dyDescent="0.3">
      <c r="A904" s="4197" t="s">
        <v>3384</v>
      </c>
      <c r="B904" s="3261"/>
      <c r="C904" s="3243">
        <v>0</v>
      </c>
      <c r="D904" s="3242">
        <v>0</v>
      </c>
      <c r="E904" s="3244"/>
      <c r="F904" s="3244"/>
      <c r="G904" s="3242">
        <v>0</v>
      </c>
      <c r="H904" s="3244"/>
      <c r="I904" s="3244"/>
      <c r="J904" s="3244"/>
      <c r="K904" s="3242">
        <v>0</v>
      </c>
      <c r="L904" s="3244"/>
      <c r="M904" s="3244"/>
      <c r="N904" s="3242" t="s">
        <v>3384</v>
      </c>
      <c r="O904" s="3239">
        <v>0</v>
      </c>
      <c r="P904" s="3242">
        <v>0</v>
      </c>
      <c r="Q904" s="3244"/>
      <c r="R904" s="3244"/>
      <c r="S904" s="3242">
        <v>0</v>
      </c>
      <c r="T904" s="3244"/>
      <c r="U904" s="3244"/>
      <c r="V904" s="3244"/>
      <c r="W904" s="3240">
        <v>0</v>
      </c>
      <c r="X904" s="3244"/>
      <c r="Y904" s="3244"/>
      <c r="Z904" s="3242" t="s">
        <v>3384</v>
      </c>
      <c r="AA904" s="3243">
        <v>0</v>
      </c>
      <c r="AB904" s="3242">
        <v>0</v>
      </c>
      <c r="AC904" s="3244"/>
      <c r="AD904" s="3244"/>
      <c r="AE904" s="3242">
        <v>0</v>
      </c>
      <c r="AF904" s="3259"/>
      <c r="AG904" s="3260"/>
      <c r="AH904" s="3260"/>
      <c r="AI904" s="3260"/>
      <c r="AJ904" s="3260"/>
      <c r="AK904" s="3260"/>
      <c r="AL904" s="3259"/>
      <c r="AM904" s="3260"/>
      <c r="AN904" s="3259"/>
      <c r="AO904" s="3260"/>
      <c r="AP904" s="3242">
        <v>0</v>
      </c>
      <c r="AQ904" s="3244"/>
      <c r="AR904" s="3244"/>
      <c r="AS904" s="3242" t="s">
        <v>3384</v>
      </c>
      <c r="AT904" s="3247">
        <f t="shared" si="75"/>
        <v>0</v>
      </c>
      <c r="AU904" s="3248">
        <f t="shared" si="76"/>
        <v>0</v>
      </c>
      <c r="AV904" s="3248">
        <v>0</v>
      </c>
      <c r="AW904" s="3247">
        <v>0</v>
      </c>
      <c r="AX904" s="3248">
        <v>0</v>
      </c>
      <c r="AY904" s="3248">
        <v>0</v>
      </c>
      <c r="AZ904" s="3247">
        <v>0</v>
      </c>
      <c r="BA904" s="3248">
        <v>0</v>
      </c>
      <c r="BB904" s="3248">
        <v>0</v>
      </c>
      <c r="BC904" s="3247">
        <v>0</v>
      </c>
      <c r="BD904" s="3248">
        <v>0</v>
      </c>
      <c r="BE904" s="3248">
        <v>0</v>
      </c>
      <c r="BF904" s="3248">
        <f t="shared" si="77"/>
        <v>0</v>
      </c>
      <c r="BG904" s="3248">
        <f t="shared" si="78"/>
        <v>0</v>
      </c>
      <c r="BH904" s="3249"/>
      <c r="BI904" s="3249"/>
    </row>
    <row r="905" spans="1:61" x14ac:dyDescent="0.3">
      <c r="A905" s="4197" t="s">
        <v>3384</v>
      </c>
      <c r="B905" s="3261"/>
      <c r="C905" s="3243">
        <v>0</v>
      </c>
      <c r="D905" s="3242">
        <v>0</v>
      </c>
      <c r="E905" s="3244"/>
      <c r="F905" s="3244"/>
      <c r="G905" s="3242">
        <v>0</v>
      </c>
      <c r="H905" s="3244"/>
      <c r="I905" s="3244"/>
      <c r="J905" s="3244"/>
      <c r="K905" s="3242">
        <v>0</v>
      </c>
      <c r="L905" s="3244"/>
      <c r="M905" s="3244"/>
      <c r="N905" s="3242" t="s">
        <v>3384</v>
      </c>
      <c r="O905" s="3239">
        <v>0</v>
      </c>
      <c r="P905" s="3242">
        <v>0</v>
      </c>
      <c r="Q905" s="3244"/>
      <c r="R905" s="3244"/>
      <c r="S905" s="3242">
        <v>0</v>
      </c>
      <c r="T905" s="3244"/>
      <c r="U905" s="3244"/>
      <c r="V905" s="3244"/>
      <c r="W905" s="3240">
        <v>0</v>
      </c>
      <c r="X905" s="3244"/>
      <c r="Y905" s="3244"/>
      <c r="Z905" s="3242" t="s">
        <v>3384</v>
      </c>
      <c r="AA905" s="3243">
        <v>0</v>
      </c>
      <c r="AB905" s="3242">
        <v>0</v>
      </c>
      <c r="AC905" s="3244"/>
      <c r="AD905" s="3244"/>
      <c r="AE905" s="3242">
        <v>0</v>
      </c>
      <c r="AF905" s="3259"/>
      <c r="AG905" s="3260"/>
      <c r="AH905" s="3260"/>
      <c r="AI905" s="3260"/>
      <c r="AJ905" s="3260"/>
      <c r="AK905" s="3260"/>
      <c r="AL905" s="3259"/>
      <c r="AM905" s="3260"/>
      <c r="AN905" s="3259"/>
      <c r="AO905" s="3260"/>
      <c r="AP905" s="3242">
        <v>0</v>
      </c>
      <c r="AQ905" s="3244"/>
      <c r="AR905" s="3244"/>
      <c r="AS905" s="3242" t="s">
        <v>3384</v>
      </c>
      <c r="AT905" s="3247">
        <f t="shared" si="75"/>
        <v>0</v>
      </c>
      <c r="AU905" s="3248">
        <f t="shared" si="76"/>
        <v>0</v>
      </c>
      <c r="AV905" s="3248">
        <v>0</v>
      </c>
      <c r="AW905" s="3247">
        <v>0</v>
      </c>
      <c r="AX905" s="3248">
        <v>0</v>
      </c>
      <c r="AY905" s="3248">
        <v>0</v>
      </c>
      <c r="AZ905" s="3247">
        <v>0</v>
      </c>
      <c r="BA905" s="3248">
        <v>0</v>
      </c>
      <c r="BB905" s="3248">
        <v>0</v>
      </c>
      <c r="BC905" s="3247">
        <v>0</v>
      </c>
      <c r="BD905" s="3248">
        <v>0</v>
      </c>
      <c r="BE905" s="3248">
        <v>0</v>
      </c>
      <c r="BF905" s="3248">
        <f t="shared" si="77"/>
        <v>0</v>
      </c>
      <c r="BG905" s="3248">
        <f t="shared" si="78"/>
        <v>0</v>
      </c>
      <c r="BH905" s="3249"/>
      <c r="BI905" s="3249"/>
    </row>
    <row r="906" spans="1:61" x14ac:dyDescent="0.3">
      <c r="A906" s="4197" t="s">
        <v>3384</v>
      </c>
      <c r="B906" s="3261"/>
      <c r="C906" s="3243">
        <v>0</v>
      </c>
      <c r="D906" s="3242">
        <v>0</v>
      </c>
      <c r="E906" s="3244"/>
      <c r="F906" s="3244"/>
      <c r="G906" s="3242">
        <v>0</v>
      </c>
      <c r="H906" s="3244"/>
      <c r="I906" s="3244"/>
      <c r="J906" s="3244"/>
      <c r="K906" s="3242">
        <v>0</v>
      </c>
      <c r="L906" s="3244"/>
      <c r="M906" s="3244"/>
      <c r="N906" s="3242" t="s">
        <v>3384</v>
      </c>
      <c r="O906" s="3239">
        <v>0</v>
      </c>
      <c r="P906" s="3242">
        <v>0</v>
      </c>
      <c r="Q906" s="3244"/>
      <c r="R906" s="3244"/>
      <c r="S906" s="3242">
        <v>0</v>
      </c>
      <c r="T906" s="3244"/>
      <c r="U906" s="3244"/>
      <c r="V906" s="3244"/>
      <c r="W906" s="3240">
        <v>0</v>
      </c>
      <c r="X906" s="3244"/>
      <c r="Y906" s="3244"/>
      <c r="Z906" s="3242" t="s">
        <v>3384</v>
      </c>
      <c r="AA906" s="3243">
        <v>0</v>
      </c>
      <c r="AB906" s="3242">
        <v>0</v>
      </c>
      <c r="AC906" s="3244"/>
      <c r="AD906" s="3244"/>
      <c r="AE906" s="3242">
        <v>0</v>
      </c>
      <c r="AF906" s="3259"/>
      <c r="AG906" s="3260"/>
      <c r="AH906" s="3260"/>
      <c r="AI906" s="3260"/>
      <c r="AJ906" s="3260"/>
      <c r="AK906" s="3260"/>
      <c r="AL906" s="3259"/>
      <c r="AM906" s="3260"/>
      <c r="AN906" s="3259"/>
      <c r="AO906" s="3260"/>
      <c r="AP906" s="3242">
        <v>0</v>
      </c>
      <c r="AQ906" s="3244"/>
      <c r="AR906" s="3244"/>
      <c r="AS906" s="3242" t="s">
        <v>3384</v>
      </c>
      <c r="AT906" s="3247">
        <f t="shared" si="75"/>
        <v>0</v>
      </c>
      <c r="AU906" s="3248">
        <f t="shared" si="76"/>
        <v>0</v>
      </c>
      <c r="AV906" s="3248">
        <v>0</v>
      </c>
      <c r="AW906" s="3247">
        <v>0</v>
      </c>
      <c r="AX906" s="3248">
        <v>0</v>
      </c>
      <c r="AY906" s="3248">
        <v>0</v>
      </c>
      <c r="AZ906" s="3247">
        <v>0</v>
      </c>
      <c r="BA906" s="3248">
        <v>0</v>
      </c>
      <c r="BB906" s="3248">
        <v>0</v>
      </c>
      <c r="BC906" s="3247">
        <v>0</v>
      </c>
      <c r="BD906" s="3248">
        <v>0</v>
      </c>
      <c r="BE906" s="3248">
        <v>0</v>
      </c>
      <c r="BF906" s="3248">
        <f t="shared" si="77"/>
        <v>0</v>
      </c>
      <c r="BG906" s="3248">
        <f t="shared" si="78"/>
        <v>0</v>
      </c>
      <c r="BH906" s="3249"/>
      <c r="BI906" s="3249"/>
    </row>
    <row r="907" spans="1:61" x14ac:dyDescent="0.3">
      <c r="A907" s="4197" t="s">
        <v>3384</v>
      </c>
      <c r="B907" s="3261"/>
      <c r="C907" s="3243">
        <v>0</v>
      </c>
      <c r="D907" s="3242">
        <v>0</v>
      </c>
      <c r="E907" s="3244"/>
      <c r="F907" s="3244"/>
      <c r="G907" s="3242">
        <v>0</v>
      </c>
      <c r="H907" s="3244"/>
      <c r="I907" s="3244"/>
      <c r="J907" s="3244"/>
      <c r="K907" s="3242">
        <v>0</v>
      </c>
      <c r="L907" s="3244"/>
      <c r="M907" s="3244"/>
      <c r="N907" s="3242" t="s">
        <v>3384</v>
      </c>
      <c r="O907" s="3239">
        <v>0</v>
      </c>
      <c r="P907" s="3242">
        <v>0</v>
      </c>
      <c r="Q907" s="3244"/>
      <c r="R907" s="3244"/>
      <c r="S907" s="3242">
        <v>0</v>
      </c>
      <c r="T907" s="3244"/>
      <c r="U907" s="3244"/>
      <c r="V907" s="3244"/>
      <c r="W907" s="3240">
        <v>0</v>
      </c>
      <c r="X907" s="3244"/>
      <c r="Y907" s="3244"/>
      <c r="Z907" s="3242" t="s">
        <v>3384</v>
      </c>
      <c r="AA907" s="3243">
        <v>0</v>
      </c>
      <c r="AB907" s="3242">
        <v>0</v>
      </c>
      <c r="AC907" s="3244"/>
      <c r="AD907" s="3244"/>
      <c r="AE907" s="3242">
        <v>0</v>
      </c>
      <c r="AF907" s="3259"/>
      <c r="AG907" s="3260"/>
      <c r="AH907" s="3260"/>
      <c r="AI907" s="3260"/>
      <c r="AJ907" s="3260"/>
      <c r="AK907" s="3260"/>
      <c r="AL907" s="3259"/>
      <c r="AM907" s="3260"/>
      <c r="AN907" s="3259"/>
      <c r="AO907" s="3260"/>
      <c r="AP907" s="3242">
        <v>0</v>
      </c>
      <c r="AQ907" s="3244"/>
      <c r="AR907" s="3244"/>
      <c r="AS907" s="3242" t="s">
        <v>3384</v>
      </c>
      <c r="AT907" s="3247">
        <f t="shared" si="75"/>
        <v>0</v>
      </c>
      <c r="AU907" s="3248">
        <f t="shared" si="76"/>
        <v>0</v>
      </c>
      <c r="AV907" s="3248">
        <v>0</v>
      </c>
      <c r="AW907" s="3247">
        <v>0</v>
      </c>
      <c r="AX907" s="3248">
        <v>0</v>
      </c>
      <c r="AY907" s="3248">
        <v>0</v>
      </c>
      <c r="AZ907" s="3247">
        <v>0</v>
      </c>
      <c r="BA907" s="3248">
        <v>0</v>
      </c>
      <c r="BB907" s="3248">
        <v>0</v>
      </c>
      <c r="BC907" s="3247">
        <v>0</v>
      </c>
      <c r="BD907" s="3248">
        <v>0</v>
      </c>
      <c r="BE907" s="3248">
        <v>0</v>
      </c>
      <c r="BF907" s="3248">
        <f t="shared" si="77"/>
        <v>0</v>
      </c>
      <c r="BG907" s="3248">
        <f t="shared" si="78"/>
        <v>0</v>
      </c>
      <c r="BH907" s="3249"/>
      <c r="BI907" s="3249"/>
    </row>
    <row r="908" spans="1:61" x14ac:dyDescent="0.3">
      <c r="A908" s="4197" t="s">
        <v>3384</v>
      </c>
      <c r="B908" s="3261"/>
      <c r="C908" s="3243">
        <v>0</v>
      </c>
      <c r="D908" s="3242">
        <v>0</v>
      </c>
      <c r="E908" s="3244"/>
      <c r="F908" s="3244"/>
      <c r="G908" s="3242">
        <v>0</v>
      </c>
      <c r="H908" s="3244"/>
      <c r="I908" s="3244"/>
      <c r="J908" s="3244"/>
      <c r="K908" s="3242">
        <v>0</v>
      </c>
      <c r="L908" s="3244"/>
      <c r="M908" s="3244"/>
      <c r="N908" s="3242" t="s">
        <v>3384</v>
      </c>
      <c r="O908" s="3239">
        <v>0</v>
      </c>
      <c r="P908" s="3242">
        <v>0</v>
      </c>
      <c r="Q908" s="3244"/>
      <c r="R908" s="3244"/>
      <c r="S908" s="3242">
        <v>0</v>
      </c>
      <c r="T908" s="3244"/>
      <c r="U908" s="3244"/>
      <c r="V908" s="3244"/>
      <c r="W908" s="3240">
        <v>0</v>
      </c>
      <c r="X908" s="3244"/>
      <c r="Y908" s="3244"/>
      <c r="Z908" s="3242" t="s">
        <v>3384</v>
      </c>
      <c r="AA908" s="3243">
        <v>0</v>
      </c>
      <c r="AB908" s="3242">
        <v>0</v>
      </c>
      <c r="AC908" s="3244"/>
      <c r="AD908" s="3244"/>
      <c r="AE908" s="3242">
        <v>0</v>
      </c>
      <c r="AF908" s="3259"/>
      <c r="AG908" s="3260"/>
      <c r="AH908" s="3260"/>
      <c r="AI908" s="3260"/>
      <c r="AJ908" s="3260"/>
      <c r="AK908" s="3260"/>
      <c r="AL908" s="3259"/>
      <c r="AM908" s="3260"/>
      <c r="AN908" s="3259"/>
      <c r="AO908" s="3260"/>
      <c r="AP908" s="3242">
        <v>0</v>
      </c>
      <c r="AQ908" s="3244"/>
      <c r="AR908" s="3244"/>
      <c r="AS908" s="3242" t="s">
        <v>3384</v>
      </c>
      <c r="AT908" s="3247">
        <f t="shared" si="75"/>
        <v>0</v>
      </c>
      <c r="AU908" s="3248">
        <f t="shared" si="76"/>
        <v>0</v>
      </c>
      <c r="AV908" s="3248">
        <v>0</v>
      </c>
      <c r="AW908" s="3247">
        <v>0</v>
      </c>
      <c r="AX908" s="3248">
        <v>0</v>
      </c>
      <c r="AY908" s="3248">
        <v>0</v>
      </c>
      <c r="AZ908" s="3247">
        <v>0</v>
      </c>
      <c r="BA908" s="3248">
        <v>0</v>
      </c>
      <c r="BB908" s="3248">
        <v>0</v>
      </c>
      <c r="BC908" s="3247">
        <v>0</v>
      </c>
      <c r="BD908" s="3248">
        <v>0</v>
      </c>
      <c r="BE908" s="3248">
        <v>0</v>
      </c>
      <c r="BF908" s="3248">
        <f t="shared" si="77"/>
        <v>0</v>
      </c>
      <c r="BG908" s="3248">
        <f t="shared" si="78"/>
        <v>0</v>
      </c>
      <c r="BH908" s="3249"/>
      <c r="BI908" s="3249"/>
    </row>
    <row r="909" spans="1:61" x14ac:dyDescent="0.3">
      <c r="A909" s="4197" t="s">
        <v>3384</v>
      </c>
      <c r="B909" s="3261"/>
      <c r="C909" s="3243">
        <v>0</v>
      </c>
      <c r="D909" s="3242">
        <v>0</v>
      </c>
      <c r="E909" s="3244"/>
      <c r="F909" s="3244"/>
      <c r="G909" s="3242">
        <v>0</v>
      </c>
      <c r="H909" s="3244"/>
      <c r="I909" s="3244"/>
      <c r="J909" s="3244"/>
      <c r="K909" s="3242">
        <v>0</v>
      </c>
      <c r="L909" s="3244"/>
      <c r="M909" s="3244"/>
      <c r="N909" s="3242" t="s">
        <v>3384</v>
      </c>
      <c r="O909" s="3239">
        <v>0</v>
      </c>
      <c r="P909" s="3242">
        <v>0</v>
      </c>
      <c r="Q909" s="3244"/>
      <c r="R909" s="3244"/>
      <c r="S909" s="3242">
        <v>0</v>
      </c>
      <c r="T909" s="3244"/>
      <c r="U909" s="3244"/>
      <c r="V909" s="3244"/>
      <c r="W909" s="3240">
        <v>0</v>
      </c>
      <c r="X909" s="3244"/>
      <c r="Y909" s="3244"/>
      <c r="Z909" s="3242" t="s">
        <v>3384</v>
      </c>
      <c r="AA909" s="3243">
        <v>0</v>
      </c>
      <c r="AB909" s="3242">
        <v>0</v>
      </c>
      <c r="AC909" s="3244"/>
      <c r="AD909" s="3244"/>
      <c r="AE909" s="3242">
        <v>0</v>
      </c>
      <c r="AF909" s="3259"/>
      <c r="AG909" s="3260"/>
      <c r="AH909" s="3260"/>
      <c r="AI909" s="3260"/>
      <c r="AJ909" s="3260"/>
      <c r="AK909" s="3260"/>
      <c r="AL909" s="3259"/>
      <c r="AM909" s="3260"/>
      <c r="AN909" s="3259"/>
      <c r="AO909" s="3260"/>
      <c r="AP909" s="3242">
        <v>0</v>
      </c>
      <c r="AQ909" s="3244"/>
      <c r="AR909" s="3244"/>
      <c r="AS909" s="3242" t="s">
        <v>3384</v>
      </c>
      <c r="AT909" s="3247">
        <f t="shared" si="75"/>
        <v>0</v>
      </c>
      <c r="AU909" s="3248">
        <f t="shared" si="76"/>
        <v>0</v>
      </c>
      <c r="AV909" s="3248">
        <v>0</v>
      </c>
      <c r="AW909" s="3247">
        <v>0</v>
      </c>
      <c r="AX909" s="3248">
        <v>0</v>
      </c>
      <c r="AY909" s="3248">
        <v>0</v>
      </c>
      <c r="AZ909" s="3247">
        <v>0</v>
      </c>
      <c r="BA909" s="3248">
        <v>0</v>
      </c>
      <c r="BB909" s="3248">
        <v>0</v>
      </c>
      <c r="BC909" s="3247">
        <v>0</v>
      </c>
      <c r="BD909" s="3248">
        <v>0</v>
      </c>
      <c r="BE909" s="3248">
        <v>0</v>
      </c>
      <c r="BF909" s="3248">
        <f t="shared" si="77"/>
        <v>0</v>
      </c>
      <c r="BG909" s="3248">
        <f t="shared" si="78"/>
        <v>0</v>
      </c>
      <c r="BH909" s="3249"/>
      <c r="BI909" s="3249"/>
    </row>
    <row r="910" spans="1:61" x14ac:dyDescent="0.3">
      <c r="A910" s="4197" t="s">
        <v>3384</v>
      </c>
      <c r="B910" s="3261"/>
      <c r="C910" s="3243">
        <v>0</v>
      </c>
      <c r="D910" s="3242">
        <v>0</v>
      </c>
      <c r="E910" s="3244"/>
      <c r="F910" s="3244"/>
      <c r="G910" s="3242">
        <v>0</v>
      </c>
      <c r="H910" s="3244"/>
      <c r="I910" s="3244"/>
      <c r="J910" s="3244"/>
      <c r="K910" s="3242">
        <v>0</v>
      </c>
      <c r="L910" s="3244"/>
      <c r="M910" s="3244"/>
      <c r="N910" s="3242" t="s">
        <v>3384</v>
      </c>
      <c r="O910" s="3239">
        <v>0</v>
      </c>
      <c r="P910" s="3242">
        <v>0</v>
      </c>
      <c r="Q910" s="3244"/>
      <c r="R910" s="3244"/>
      <c r="S910" s="3242">
        <v>0</v>
      </c>
      <c r="T910" s="3244"/>
      <c r="U910" s="3244"/>
      <c r="V910" s="3244"/>
      <c r="W910" s="3240">
        <v>0</v>
      </c>
      <c r="X910" s="3244"/>
      <c r="Y910" s="3244"/>
      <c r="Z910" s="3242" t="s">
        <v>3384</v>
      </c>
      <c r="AA910" s="3243">
        <v>0</v>
      </c>
      <c r="AB910" s="3242">
        <v>0</v>
      </c>
      <c r="AC910" s="3244"/>
      <c r="AD910" s="3244"/>
      <c r="AE910" s="3242">
        <v>0</v>
      </c>
      <c r="AF910" s="3259"/>
      <c r="AG910" s="3260"/>
      <c r="AH910" s="3260"/>
      <c r="AI910" s="3260"/>
      <c r="AJ910" s="3260"/>
      <c r="AK910" s="3260"/>
      <c r="AL910" s="3259"/>
      <c r="AM910" s="3260"/>
      <c r="AN910" s="3259"/>
      <c r="AO910" s="3260"/>
      <c r="AP910" s="3242">
        <v>0</v>
      </c>
      <c r="AQ910" s="3244"/>
      <c r="AR910" s="3244"/>
      <c r="AS910" s="3242" t="s">
        <v>3384</v>
      </c>
      <c r="AT910" s="3247">
        <f t="shared" si="75"/>
        <v>0</v>
      </c>
      <c r="AU910" s="3248">
        <f t="shared" si="76"/>
        <v>0</v>
      </c>
      <c r="AV910" s="3248">
        <v>0</v>
      </c>
      <c r="AW910" s="3247">
        <v>0</v>
      </c>
      <c r="AX910" s="3248">
        <v>0</v>
      </c>
      <c r="AY910" s="3248">
        <v>0</v>
      </c>
      <c r="AZ910" s="3247">
        <v>0</v>
      </c>
      <c r="BA910" s="3248">
        <v>0</v>
      </c>
      <c r="BB910" s="3248">
        <v>0</v>
      </c>
      <c r="BC910" s="3247">
        <v>0</v>
      </c>
      <c r="BD910" s="3248">
        <v>0</v>
      </c>
      <c r="BE910" s="3248">
        <v>0</v>
      </c>
      <c r="BF910" s="3248">
        <f t="shared" si="77"/>
        <v>0</v>
      </c>
      <c r="BG910" s="3248">
        <f t="shared" si="78"/>
        <v>0</v>
      </c>
      <c r="BH910" s="3249"/>
      <c r="BI910" s="3249"/>
    </row>
    <row r="911" spans="1:61" x14ac:dyDescent="0.3">
      <c r="A911" s="4197" t="s">
        <v>3384</v>
      </c>
      <c r="B911" s="3261"/>
      <c r="C911" s="3243">
        <v>0</v>
      </c>
      <c r="D911" s="3242">
        <v>0</v>
      </c>
      <c r="E911" s="3244"/>
      <c r="F911" s="3244"/>
      <c r="G911" s="3242">
        <v>0</v>
      </c>
      <c r="H911" s="3244"/>
      <c r="I911" s="3244"/>
      <c r="J911" s="3244"/>
      <c r="K911" s="3242">
        <v>0</v>
      </c>
      <c r="L911" s="3244"/>
      <c r="M911" s="3244"/>
      <c r="N911" s="3242" t="s">
        <v>3384</v>
      </c>
      <c r="O911" s="3239">
        <v>0</v>
      </c>
      <c r="P911" s="3242">
        <v>0</v>
      </c>
      <c r="Q911" s="3244"/>
      <c r="R911" s="3244"/>
      <c r="S911" s="3242">
        <v>0</v>
      </c>
      <c r="T911" s="3244"/>
      <c r="U911" s="3244"/>
      <c r="V911" s="3244"/>
      <c r="W911" s="3240">
        <v>0</v>
      </c>
      <c r="X911" s="3244"/>
      <c r="Y911" s="3244"/>
      <c r="Z911" s="3242" t="s">
        <v>3384</v>
      </c>
      <c r="AA911" s="3243">
        <v>0</v>
      </c>
      <c r="AB911" s="3242">
        <v>0</v>
      </c>
      <c r="AC911" s="3244"/>
      <c r="AD911" s="3244"/>
      <c r="AE911" s="3242">
        <v>0</v>
      </c>
      <c r="AF911" s="3259"/>
      <c r="AG911" s="3260"/>
      <c r="AH911" s="3260"/>
      <c r="AI911" s="3260"/>
      <c r="AJ911" s="3260"/>
      <c r="AK911" s="3260"/>
      <c r="AL911" s="3259"/>
      <c r="AM911" s="3260"/>
      <c r="AN911" s="3259"/>
      <c r="AO911" s="3260"/>
      <c r="AP911" s="3242">
        <v>0</v>
      </c>
      <c r="AQ911" s="3244"/>
      <c r="AR911" s="3244"/>
      <c r="AS911" s="3242" t="s">
        <v>3384</v>
      </c>
      <c r="AT911" s="3247">
        <f t="shared" si="75"/>
        <v>0</v>
      </c>
      <c r="AU911" s="3248">
        <f t="shared" si="76"/>
        <v>0</v>
      </c>
      <c r="AV911" s="3248">
        <v>0</v>
      </c>
      <c r="AW911" s="3247">
        <v>0</v>
      </c>
      <c r="AX911" s="3248">
        <v>0</v>
      </c>
      <c r="AY911" s="3248">
        <v>0</v>
      </c>
      <c r="AZ911" s="3247">
        <v>0</v>
      </c>
      <c r="BA911" s="3248">
        <v>0</v>
      </c>
      <c r="BB911" s="3248">
        <v>0</v>
      </c>
      <c r="BC911" s="3247">
        <v>0</v>
      </c>
      <c r="BD911" s="3248">
        <v>0</v>
      </c>
      <c r="BE911" s="3248">
        <v>0</v>
      </c>
      <c r="BF911" s="3248">
        <f t="shared" si="77"/>
        <v>0</v>
      </c>
      <c r="BG911" s="3248">
        <f t="shared" si="78"/>
        <v>0</v>
      </c>
      <c r="BH911" s="3249"/>
      <c r="BI911" s="3249"/>
    </row>
    <row r="912" spans="1:61" x14ac:dyDescent="0.3">
      <c r="A912" s="4197" t="s">
        <v>3384</v>
      </c>
      <c r="B912" s="3261"/>
      <c r="C912" s="3243">
        <v>0</v>
      </c>
      <c r="D912" s="3242">
        <v>0</v>
      </c>
      <c r="E912" s="3244"/>
      <c r="F912" s="3244"/>
      <c r="G912" s="3242">
        <v>0</v>
      </c>
      <c r="H912" s="3244"/>
      <c r="I912" s="3244"/>
      <c r="J912" s="3244"/>
      <c r="K912" s="3242">
        <v>0</v>
      </c>
      <c r="L912" s="3244"/>
      <c r="M912" s="3244"/>
      <c r="N912" s="3242" t="s">
        <v>3384</v>
      </c>
      <c r="O912" s="3239">
        <v>0</v>
      </c>
      <c r="P912" s="3242">
        <v>0</v>
      </c>
      <c r="Q912" s="3244"/>
      <c r="R912" s="3244"/>
      <c r="S912" s="3242">
        <v>0</v>
      </c>
      <c r="T912" s="3244"/>
      <c r="U912" s="3244"/>
      <c r="V912" s="3244"/>
      <c r="W912" s="3240">
        <v>0</v>
      </c>
      <c r="X912" s="3244"/>
      <c r="Y912" s="3244"/>
      <c r="Z912" s="3242" t="s">
        <v>3384</v>
      </c>
      <c r="AA912" s="3243">
        <v>0</v>
      </c>
      <c r="AB912" s="3242">
        <v>0</v>
      </c>
      <c r="AC912" s="3244"/>
      <c r="AD912" s="3244"/>
      <c r="AE912" s="3242">
        <v>0</v>
      </c>
      <c r="AF912" s="3259"/>
      <c r="AG912" s="3260"/>
      <c r="AH912" s="3260"/>
      <c r="AI912" s="3260"/>
      <c r="AJ912" s="3260"/>
      <c r="AK912" s="3260"/>
      <c r="AL912" s="3259"/>
      <c r="AM912" s="3260"/>
      <c r="AN912" s="3259"/>
      <c r="AO912" s="3260"/>
      <c r="AP912" s="3242">
        <v>0</v>
      </c>
      <c r="AQ912" s="3244"/>
      <c r="AR912" s="3244"/>
      <c r="AS912" s="3242" t="s">
        <v>3384</v>
      </c>
      <c r="AT912" s="3247">
        <f t="shared" ref="AT912:AT975" si="79">IFERROR(AE912+(SUM(AC912:AD912)/100*($AE$14/$AB$14*100)),0)</f>
        <v>0</v>
      </c>
      <c r="AU912" s="3248">
        <f t="shared" si="76"/>
        <v>0</v>
      </c>
      <c r="AV912" s="3248">
        <v>0</v>
      </c>
      <c r="AW912" s="3247">
        <v>0</v>
      </c>
      <c r="AX912" s="3248">
        <v>0</v>
      </c>
      <c r="AY912" s="3248">
        <v>0</v>
      </c>
      <c r="AZ912" s="3247">
        <v>0</v>
      </c>
      <c r="BA912" s="3248">
        <v>0</v>
      </c>
      <c r="BB912" s="3248">
        <v>0</v>
      </c>
      <c r="BC912" s="3247">
        <v>0</v>
      </c>
      <c r="BD912" s="3248">
        <v>0</v>
      </c>
      <c r="BE912" s="3248">
        <v>0</v>
      </c>
      <c r="BF912" s="3248">
        <f t="shared" si="77"/>
        <v>0</v>
      </c>
      <c r="BG912" s="3248">
        <f t="shared" si="78"/>
        <v>0</v>
      </c>
      <c r="BH912" s="3249"/>
      <c r="BI912" s="3249"/>
    </row>
    <row r="913" spans="1:61" x14ac:dyDescent="0.3">
      <c r="A913" s="4197" t="s">
        <v>3384</v>
      </c>
      <c r="B913" s="3261"/>
      <c r="C913" s="3243">
        <v>0</v>
      </c>
      <c r="D913" s="3242">
        <v>0</v>
      </c>
      <c r="E913" s="3244"/>
      <c r="F913" s="3244"/>
      <c r="G913" s="3242">
        <v>0</v>
      </c>
      <c r="H913" s="3244"/>
      <c r="I913" s="3244"/>
      <c r="J913" s="3244"/>
      <c r="K913" s="3242">
        <v>0</v>
      </c>
      <c r="L913" s="3244"/>
      <c r="M913" s="3244"/>
      <c r="N913" s="3242" t="s">
        <v>3384</v>
      </c>
      <c r="O913" s="3239">
        <v>0</v>
      </c>
      <c r="P913" s="3242">
        <v>0</v>
      </c>
      <c r="Q913" s="3244"/>
      <c r="R913" s="3244"/>
      <c r="S913" s="3242">
        <v>0</v>
      </c>
      <c r="T913" s="3244"/>
      <c r="U913" s="3244"/>
      <c r="V913" s="3244"/>
      <c r="W913" s="3240">
        <v>0</v>
      </c>
      <c r="X913" s="3244"/>
      <c r="Y913" s="3244"/>
      <c r="Z913" s="3242" t="s">
        <v>3384</v>
      </c>
      <c r="AA913" s="3243">
        <v>0</v>
      </c>
      <c r="AB913" s="3242">
        <v>0</v>
      </c>
      <c r="AC913" s="3244"/>
      <c r="AD913" s="3244"/>
      <c r="AE913" s="3242">
        <v>0</v>
      </c>
      <c r="AF913" s="3259"/>
      <c r="AG913" s="3260"/>
      <c r="AH913" s="3260"/>
      <c r="AI913" s="3260"/>
      <c r="AJ913" s="3260"/>
      <c r="AK913" s="3260"/>
      <c r="AL913" s="3259"/>
      <c r="AM913" s="3260"/>
      <c r="AN913" s="3259"/>
      <c r="AO913" s="3260"/>
      <c r="AP913" s="3242">
        <v>0</v>
      </c>
      <c r="AQ913" s="3244"/>
      <c r="AR913" s="3244"/>
      <c r="AS913" s="3242" t="s">
        <v>3384</v>
      </c>
      <c r="AT913" s="3247">
        <f t="shared" si="79"/>
        <v>0</v>
      </c>
      <c r="AU913" s="3248">
        <f t="shared" si="76"/>
        <v>0</v>
      </c>
      <c r="AV913" s="3248">
        <v>0</v>
      </c>
      <c r="AW913" s="3247">
        <v>0</v>
      </c>
      <c r="AX913" s="3248">
        <v>0</v>
      </c>
      <c r="AY913" s="3248">
        <v>0</v>
      </c>
      <c r="AZ913" s="3247">
        <v>0</v>
      </c>
      <c r="BA913" s="3248">
        <v>0</v>
      </c>
      <c r="BB913" s="3248">
        <v>0</v>
      </c>
      <c r="BC913" s="3247">
        <v>0</v>
      </c>
      <c r="BD913" s="3248">
        <v>0</v>
      </c>
      <c r="BE913" s="3248">
        <v>0</v>
      </c>
      <c r="BF913" s="3248">
        <f t="shared" si="77"/>
        <v>0</v>
      </c>
      <c r="BG913" s="3248">
        <f t="shared" si="78"/>
        <v>0</v>
      </c>
      <c r="BH913" s="3249"/>
      <c r="BI913" s="3249"/>
    </row>
    <row r="914" spans="1:61" x14ac:dyDescent="0.3">
      <c r="A914" s="4197" t="s">
        <v>3384</v>
      </c>
      <c r="B914" s="3261"/>
      <c r="C914" s="3243">
        <v>0</v>
      </c>
      <c r="D914" s="3242">
        <v>0</v>
      </c>
      <c r="E914" s="3244"/>
      <c r="F914" s="3244"/>
      <c r="G914" s="3242">
        <v>0</v>
      </c>
      <c r="H914" s="3244"/>
      <c r="I914" s="3244"/>
      <c r="J914" s="3244"/>
      <c r="K914" s="3242">
        <v>0</v>
      </c>
      <c r="L914" s="3244"/>
      <c r="M914" s="3244"/>
      <c r="N914" s="3242" t="s">
        <v>3384</v>
      </c>
      <c r="O914" s="3239">
        <v>0</v>
      </c>
      <c r="P914" s="3242">
        <v>0</v>
      </c>
      <c r="Q914" s="3244"/>
      <c r="R914" s="3244"/>
      <c r="S914" s="3242">
        <v>0</v>
      </c>
      <c r="T914" s="3244"/>
      <c r="U914" s="3244"/>
      <c r="V914" s="3244"/>
      <c r="W914" s="3240">
        <v>0</v>
      </c>
      <c r="X914" s="3244"/>
      <c r="Y914" s="3244"/>
      <c r="Z914" s="3242" t="s">
        <v>3384</v>
      </c>
      <c r="AA914" s="3243">
        <v>0</v>
      </c>
      <c r="AB914" s="3242">
        <v>0</v>
      </c>
      <c r="AC914" s="3244"/>
      <c r="AD914" s="3244"/>
      <c r="AE914" s="3242">
        <v>0</v>
      </c>
      <c r="AF914" s="3259"/>
      <c r="AG914" s="3260"/>
      <c r="AH914" s="3260"/>
      <c r="AI914" s="3260"/>
      <c r="AJ914" s="3260"/>
      <c r="AK914" s="3260"/>
      <c r="AL914" s="3259"/>
      <c r="AM914" s="3260"/>
      <c r="AN914" s="3259"/>
      <c r="AO914" s="3260"/>
      <c r="AP914" s="3242">
        <v>0</v>
      </c>
      <c r="AQ914" s="3244"/>
      <c r="AR914" s="3244"/>
      <c r="AS914" s="3242" t="s">
        <v>3384</v>
      </c>
      <c r="AT914" s="3247">
        <f t="shared" si="79"/>
        <v>0</v>
      </c>
      <c r="AU914" s="3248">
        <f t="shared" si="76"/>
        <v>0</v>
      </c>
      <c r="AV914" s="3248">
        <v>0</v>
      </c>
      <c r="AW914" s="3247">
        <v>0</v>
      </c>
      <c r="AX914" s="3248">
        <v>0</v>
      </c>
      <c r="AY914" s="3248">
        <v>0</v>
      </c>
      <c r="AZ914" s="3247">
        <v>0</v>
      </c>
      <c r="BA914" s="3248">
        <v>0</v>
      </c>
      <c r="BB914" s="3248">
        <v>0</v>
      </c>
      <c r="BC914" s="3247">
        <v>0</v>
      </c>
      <c r="BD914" s="3248">
        <v>0</v>
      </c>
      <c r="BE914" s="3248">
        <v>0</v>
      </c>
      <c r="BF914" s="3248">
        <f t="shared" si="77"/>
        <v>0</v>
      </c>
      <c r="BG914" s="3248">
        <f t="shared" si="78"/>
        <v>0</v>
      </c>
      <c r="BH914" s="3249"/>
      <c r="BI914" s="3249"/>
    </row>
    <row r="915" spans="1:61" x14ac:dyDescent="0.3">
      <c r="A915" s="4197" t="s">
        <v>3384</v>
      </c>
      <c r="B915" s="3261"/>
      <c r="C915" s="3243">
        <v>0</v>
      </c>
      <c r="D915" s="3242">
        <v>0</v>
      </c>
      <c r="E915" s="3244"/>
      <c r="F915" s="3244"/>
      <c r="G915" s="3242">
        <v>0</v>
      </c>
      <c r="H915" s="3244"/>
      <c r="I915" s="3244"/>
      <c r="J915" s="3244"/>
      <c r="K915" s="3242">
        <v>0</v>
      </c>
      <c r="L915" s="3244"/>
      <c r="M915" s="3244"/>
      <c r="N915" s="3242" t="s">
        <v>3384</v>
      </c>
      <c r="O915" s="3239">
        <v>0</v>
      </c>
      <c r="P915" s="3242">
        <v>0</v>
      </c>
      <c r="Q915" s="3244"/>
      <c r="R915" s="3244"/>
      <c r="S915" s="3242">
        <v>0</v>
      </c>
      <c r="T915" s="3244"/>
      <c r="U915" s="3244"/>
      <c r="V915" s="3244"/>
      <c r="W915" s="3240">
        <v>0</v>
      </c>
      <c r="X915" s="3244"/>
      <c r="Y915" s="3244"/>
      <c r="Z915" s="3242" t="s">
        <v>3384</v>
      </c>
      <c r="AA915" s="3243">
        <v>0</v>
      </c>
      <c r="AB915" s="3242">
        <v>0</v>
      </c>
      <c r="AC915" s="3244"/>
      <c r="AD915" s="3244"/>
      <c r="AE915" s="3242">
        <v>0</v>
      </c>
      <c r="AF915" s="3259"/>
      <c r="AG915" s="3260"/>
      <c r="AH915" s="3260"/>
      <c r="AI915" s="3260"/>
      <c r="AJ915" s="3260"/>
      <c r="AK915" s="3260"/>
      <c r="AL915" s="3259"/>
      <c r="AM915" s="3260"/>
      <c r="AN915" s="3259"/>
      <c r="AO915" s="3260"/>
      <c r="AP915" s="3242">
        <v>0</v>
      </c>
      <c r="AQ915" s="3244"/>
      <c r="AR915" s="3244"/>
      <c r="AS915" s="3242" t="s">
        <v>3384</v>
      </c>
      <c r="AT915" s="3247">
        <f t="shared" si="79"/>
        <v>0</v>
      </c>
      <c r="AU915" s="3248">
        <f t="shared" ref="AU915:AU978" si="80">AX915+BA915+BD915</f>
        <v>0</v>
      </c>
      <c r="AV915" s="3248">
        <v>0</v>
      </c>
      <c r="AW915" s="3247">
        <v>0</v>
      </c>
      <c r="AX915" s="3248">
        <v>0</v>
      </c>
      <c r="AY915" s="3248">
        <v>0</v>
      </c>
      <c r="AZ915" s="3247">
        <v>0</v>
      </c>
      <c r="BA915" s="3248">
        <v>0</v>
      </c>
      <c r="BB915" s="3248">
        <v>0</v>
      </c>
      <c r="BC915" s="3247">
        <v>0</v>
      </c>
      <c r="BD915" s="3248">
        <v>0</v>
      </c>
      <c r="BE915" s="3248">
        <v>0</v>
      </c>
      <c r="BF915" s="3248">
        <f t="shared" ref="BF915:BF978" si="81">IFERROR(ROUND(AE915/S915*100,2),0)</f>
        <v>0</v>
      </c>
      <c r="BG915" s="3248">
        <f t="shared" ref="BG915:BG978" si="82">IFERROR(ROUND(AA915/O915*100,2),0)</f>
        <v>0</v>
      </c>
      <c r="BH915" s="3249"/>
      <c r="BI915" s="3249"/>
    </row>
    <row r="916" spans="1:61" x14ac:dyDescent="0.3">
      <c r="A916" s="4197" t="s">
        <v>3384</v>
      </c>
      <c r="B916" s="3261"/>
      <c r="C916" s="3243">
        <v>0</v>
      </c>
      <c r="D916" s="3242">
        <v>0</v>
      </c>
      <c r="E916" s="3244"/>
      <c r="F916" s="3244"/>
      <c r="G916" s="3242">
        <v>0</v>
      </c>
      <c r="H916" s="3244"/>
      <c r="I916" s="3244"/>
      <c r="J916" s="3244"/>
      <c r="K916" s="3242">
        <v>0</v>
      </c>
      <c r="L916" s="3244"/>
      <c r="M916" s="3244"/>
      <c r="N916" s="3242" t="s">
        <v>3384</v>
      </c>
      <c r="O916" s="3239">
        <v>0</v>
      </c>
      <c r="P916" s="3242">
        <v>0</v>
      </c>
      <c r="Q916" s="3244"/>
      <c r="R916" s="3244"/>
      <c r="S916" s="3242">
        <v>0</v>
      </c>
      <c r="T916" s="3244"/>
      <c r="U916" s="3244"/>
      <c r="V916" s="3244"/>
      <c r="W916" s="3240">
        <v>0</v>
      </c>
      <c r="X916" s="3244"/>
      <c r="Y916" s="3244"/>
      <c r="Z916" s="3242" t="s">
        <v>3384</v>
      </c>
      <c r="AA916" s="3243">
        <v>0</v>
      </c>
      <c r="AB916" s="3242">
        <v>0</v>
      </c>
      <c r="AC916" s="3244"/>
      <c r="AD916" s="3244"/>
      <c r="AE916" s="3242">
        <v>0</v>
      </c>
      <c r="AF916" s="3259"/>
      <c r="AG916" s="3260"/>
      <c r="AH916" s="3260"/>
      <c r="AI916" s="3260"/>
      <c r="AJ916" s="3260"/>
      <c r="AK916" s="3260"/>
      <c r="AL916" s="3259"/>
      <c r="AM916" s="3260"/>
      <c r="AN916" s="3259"/>
      <c r="AO916" s="3260"/>
      <c r="AP916" s="3242">
        <v>0</v>
      </c>
      <c r="AQ916" s="3244"/>
      <c r="AR916" s="3244"/>
      <c r="AS916" s="3242" t="s">
        <v>3384</v>
      </c>
      <c r="AT916" s="3247">
        <f t="shared" si="79"/>
        <v>0</v>
      </c>
      <c r="AU916" s="3248">
        <f t="shared" si="80"/>
        <v>0</v>
      </c>
      <c r="AV916" s="3248">
        <v>0</v>
      </c>
      <c r="AW916" s="3247">
        <v>0</v>
      </c>
      <c r="AX916" s="3248">
        <v>0</v>
      </c>
      <c r="AY916" s="3248">
        <v>0</v>
      </c>
      <c r="AZ916" s="3247">
        <v>0</v>
      </c>
      <c r="BA916" s="3248">
        <v>0</v>
      </c>
      <c r="BB916" s="3248">
        <v>0</v>
      </c>
      <c r="BC916" s="3247">
        <v>0</v>
      </c>
      <c r="BD916" s="3248">
        <v>0</v>
      </c>
      <c r="BE916" s="3248">
        <v>0</v>
      </c>
      <c r="BF916" s="3248">
        <f t="shared" si="81"/>
        <v>0</v>
      </c>
      <c r="BG916" s="3248">
        <f t="shared" si="82"/>
        <v>0</v>
      </c>
      <c r="BH916" s="3249"/>
      <c r="BI916" s="3249"/>
    </row>
    <row r="917" spans="1:61" x14ac:dyDescent="0.3">
      <c r="A917" s="4197" t="s">
        <v>3384</v>
      </c>
      <c r="B917" s="3261"/>
      <c r="C917" s="3243">
        <v>0</v>
      </c>
      <c r="D917" s="3242">
        <v>0</v>
      </c>
      <c r="E917" s="3244"/>
      <c r="F917" s="3244"/>
      <c r="G917" s="3242">
        <v>0</v>
      </c>
      <c r="H917" s="3244"/>
      <c r="I917" s="3244"/>
      <c r="J917" s="3244"/>
      <c r="K917" s="3242">
        <v>0</v>
      </c>
      <c r="L917" s="3244"/>
      <c r="M917" s="3244"/>
      <c r="N917" s="3242" t="s">
        <v>3384</v>
      </c>
      <c r="O917" s="3239">
        <v>0</v>
      </c>
      <c r="P917" s="3242">
        <v>0</v>
      </c>
      <c r="Q917" s="3244"/>
      <c r="R917" s="3244"/>
      <c r="S917" s="3242">
        <v>0</v>
      </c>
      <c r="T917" s="3244"/>
      <c r="U917" s="3244"/>
      <c r="V917" s="3244"/>
      <c r="W917" s="3240">
        <v>0</v>
      </c>
      <c r="X917" s="3244"/>
      <c r="Y917" s="3244"/>
      <c r="Z917" s="3242" t="s">
        <v>3384</v>
      </c>
      <c r="AA917" s="3243">
        <v>0</v>
      </c>
      <c r="AB917" s="3242">
        <v>0</v>
      </c>
      <c r="AC917" s="3244"/>
      <c r="AD917" s="3244"/>
      <c r="AE917" s="3242">
        <v>0</v>
      </c>
      <c r="AF917" s="3259"/>
      <c r="AG917" s="3260"/>
      <c r="AH917" s="3260"/>
      <c r="AI917" s="3260"/>
      <c r="AJ917" s="3260"/>
      <c r="AK917" s="3260"/>
      <c r="AL917" s="3259"/>
      <c r="AM917" s="3260"/>
      <c r="AN917" s="3259"/>
      <c r="AO917" s="3260"/>
      <c r="AP917" s="3242">
        <v>0</v>
      </c>
      <c r="AQ917" s="3244"/>
      <c r="AR917" s="3244"/>
      <c r="AS917" s="3242" t="s">
        <v>3384</v>
      </c>
      <c r="AT917" s="3247">
        <f t="shared" si="79"/>
        <v>0</v>
      </c>
      <c r="AU917" s="3248">
        <f t="shared" si="80"/>
        <v>0</v>
      </c>
      <c r="AV917" s="3248">
        <v>0</v>
      </c>
      <c r="AW917" s="3247">
        <v>0</v>
      </c>
      <c r="AX917" s="3248">
        <v>0</v>
      </c>
      <c r="AY917" s="3248">
        <v>0</v>
      </c>
      <c r="AZ917" s="3247">
        <v>0</v>
      </c>
      <c r="BA917" s="3248">
        <v>0</v>
      </c>
      <c r="BB917" s="3248">
        <v>0</v>
      </c>
      <c r="BC917" s="3247">
        <v>0</v>
      </c>
      <c r="BD917" s="3248">
        <v>0</v>
      </c>
      <c r="BE917" s="3248">
        <v>0</v>
      </c>
      <c r="BF917" s="3248">
        <f t="shared" si="81"/>
        <v>0</v>
      </c>
      <c r="BG917" s="3248">
        <f t="shared" si="82"/>
        <v>0</v>
      </c>
      <c r="BH917" s="3249"/>
      <c r="BI917" s="3249"/>
    </row>
    <row r="918" spans="1:61" x14ac:dyDescent="0.3">
      <c r="A918" s="4197" t="s">
        <v>3384</v>
      </c>
      <c r="B918" s="3261"/>
      <c r="C918" s="3243">
        <v>0</v>
      </c>
      <c r="D918" s="3242">
        <v>0</v>
      </c>
      <c r="E918" s="3244"/>
      <c r="F918" s="3244"/>
      <c r="G918" s="3242">
        <v>0</v>
      </c>
      <c r="H918" s="3244"/>
      <c r="I918" s="3244"/>
      <c r="J918" s="3244"/>
      <c r="K918" s="3242">
        <v>0</v>
      </c>
      <c r="L918" s="3244"/>
      <c r="M918" s="3244"/>
      <c r="N918" s="3242" t="s">
        <v>3384</v>
      </c>
      <c r="O918" s="3239">
        <v>0</v>
      </c>
      <c r="P918" s="3242">
        <v>0</v>
      </c>
      <c r="Q918" s="3244"/>
      <c r="R918" s="3244"/>
      <c r="S918" s="3242">
        <v>0</v>
      </c>
      <c r="T918" s="3244"/>
      <c r="U918" s="3244"/>
      <c r="V918" s="3244"/>
      <c r="W918" s="3240">
        <v>0</v>
      </c>
      <c r="X918" s="3244"/>
      <c r="Y918" s="3244"/>
      <c r="Z918" s="3242" t="s">
        <v>3384</v>
      </c>
      <c r="AA918" s="3243">
        <v>0</v>
      </c>
      <c r="AB918" s="3242">
        <v>0</v>
      </c>
      <c r="AC918" s="3244"/>
      <c r="AD918" s="3244"/>
      <c r="AE918" s="3242">
        <v>0</v>
      </c>
      <c r="AF918" s="3259"/>
      <c r="AG918" s="3260"/>
      <c r="AH918" s="3260"/>
      <c r="AI918" s="3260"/>
      <c r="AJ918" s="3260"/>
      <c r="AK918" s="3260"/>
      <c r="AL918" s="3259"/>
      <c r="AM918" s="3260"/>
      <c r="AN918" s="3259"/>
      <c r="AO918" s="3260"/>
      <c r="AP918" s="3242">
        <v>0</v>
      </c>
      <c r="AQ918" s="3244"/>
      <c r="AR918" s="3244"/>
      <c r="AS918" s="3242" t="s">
        <v>3384</v>
      </c>
      <c r="AT918" s="3247">
        <f t="shared" si="79"/>
        <v>0</v>
      </c>
      <c r="AU918" s="3248">
        <f t="shared" si="80"/>
        <v>0</v>
      </c>
      <c r="AV918" s="3248">
        <v>0</v>
      </c>
      <c r="AW918" s="3247">
        <v>0</v>
      </c>
      <c r="AX918" s="3248">
        <v>0</v>
      </c>
      <c r="AY918" s="3248">
        <v>0</v>
      </c>
      <c r="AZ918" s="3247">
        <v>0</v>
      </c>
      <c r="BA918" s="3248">
        <v>0</v>
      </c>
      <c r="BB918" s="3248">
        <v>0</v>
      </c>
      <c r="BC918" s="3247">
        <v>0</v>
      </c>
      <c r="BD918" s="3248">
        <v>0</v>
      </c>
      <c r="BE918" s="3248">
        <v>0</v>
      </c>
      <c r="BF918" s="3248">
        <f t="shared" si="81"/>
        <v>0</v>
      </c>
      <c r="BG918" s="3248">
        <f t="shared" si="82"/>
        <v>0</v>
      </c>
      <c r="BH918" s="3249"/>
      <c r="BI918" s="3249"/>
    </row>
    <row r="919" spans="1:61" x14ac:dyDescent="0.3">
      <c r="A919" s="4197" t="s">
        <v>3384</v>
      </c>
      <c r="B919" s="3261"/>
      <c r="C919" s="3243">
        <v>0</v>
      </c>
      <c r="D919" s="3242">
        <v>0</v>
      </c>
      <c r="E919" s="3244"/>
      <c r="F919" s="3244"/>
      <c r="G919" s="3242">
        <v>0</v>
      </c>
      <c r="H919" s="3244"/>
      <c r="I919" s="3244"/>
      <c r="J919" s="3244"/>
      <c r="K919" s="3242">
        <v>0</v>
      </c>
      <c r="L919" s="3244"/>
      <c r="M919" s="3244"/>
      <c r="N919" s="3242" t="s">
        <v>3384</v>
      </c>
      <c r="O919" s="3239">
        <v>0</v>
      </c>
      <c r="P919" s="3242">
        <v>0</v>
      </c>
      <c r="Q919" s="3244"/>
      <c r="R919" s="3244"/>
      <c r="S919" s="3242">
        <v>0</v>
      </c>
      <c r="T919" s="3244"/>
      <c r="U919" s="3244"/>
      <c r="V919" s="3244"/>
      <c r="W919" s="3240">
        <v>0</v>
      </c>
      <c r="X919" s="3244"/>
      <c r="Y919" s="3244"/>
      <c r="Z919" s="3242" t="s">
        <v>3384</v>
      </c>
      <c r="AA919" s="3243">
        <v>0</v>
      </c>
      <c r="AB919" s="3242">
        <v>0</v>
      </c>
      <c r="AC919" s="3244"/>
      <c r="AD919" s="3244"/>
      <c r="AE919" s="3242">
        <v>0</v>
      </c>
      <c r="AF919" s="3259"/>
      <c r="AG919" s="3260"/>
      <c r="AH919" s="3260"/>
      <c r="AI919" s="3260"/>
      <c r="AJ919" s="3260"/>
      <c r="AK919" s="3260"/>
      <c r="AL919" s="3259"/>
      <c r="AM919" s="3260"/>
      <c r="AN919" s="3259"/>
      <c r="AO919" s="3260"/>
      <c r="AP919" s="3242">
        <v>0</v>
      </c>
      <c r="AQ919" s="3244"/>
      <c r="AR919" s="3244"/>
      <c r="AS919" s="3242" t="s">
        <v>3384</v>
      </c>
      <c r="AT919" s="3247">
        <f t="shared" si="79"/>
        <v>0</v>
      </c>
      <c r="AU919" s="3248">
        <f t="shared" si="80"/>
        <v>0</v>
      </c>
      <c r="AV919" s="3248">
        <v>0</v>
      </c>
      <c r="AW919" s="3247">
        <v>0</v>
      </c>
      <c r="AX919" s="3248">
        <v>0</v>
      </c>
      <c r="AY919" s="3248">
        <v>0</v>
      </c>
      <c r="AZ919" s="3247">
        <v>0</v>
      </c>
      <c r="BA919" s="3248">
        <v>0</v>
      </c>
      <c r="BB919" s="3248">
        <v>0</v>
      </c>
      <c r="BC919" s="3247">
        <v>0</v>
      </c>
      <c r="BD919" s="3248">
        <v>0</v>
      </c>
      <c r="BE919" s="3248">
        <v>0</v>
      </c>
      <c r="BF919" s="3248">
        <f t="shared" si="81"/>
        <v>0</v>
      </c>
      <c r="BG919" s="3248">
        <f t="shared" si="82"/>
        <v>0</v>
      </c>
      <c r="BH919" s="3249"/>
      <c r="BI919" s="3249"/>
    </row>
    <row r="920" spans="1:61" x14ac:dyDescent="0.3">
      <c r="A920" s="4197" t="s">
        <v>3384</v>
      </c>
      <c r="B920" s="3261"/>
      <c r="C920" s="3243">
        <v>0</v>
      </c>
      <c r="D920" s="3242">
        <v>0</v>
      </c>
      <c r="E920" s="3244"/>
      <c r="F920" s="3244"/>
      <c r="G920" s="3242">
        <v>0</v>
      </c>
      <c r="H920" s="3244"/>
      <c r="I920" s="3244"/>
      <c r="J920" s="3244"/>
      <c r="K920" s="3242">
        <v>0</v>
      </c>
      <c r="L920" s="3244"/>
      <c r="M920" s="3244"/>
      <c r="N920" s="3242" t="s">
        <v>3384</v>
      </c>
      <c r="O920" s="3239">
        <v>0</v>
      </c>
      <c r="P920" s="3242">
        <v>0</v>
      </c>
      <c r="Q920" s="3244"/>
      <c r="R920" s="3244"/>
      <c r="S920" s="3242">
        <v>0</v>
      </c>
      <c r="T920" s="3244"/>
      <c r="U920" s="3244"/>
      <c r="V920" s="3244"/>
      <c r="W920" s="3240">
        <v>0</v>
      </c>
      <c r="X920" s="3244"/>
      <c r="Y920" s="3244"/>
      <c r="Z920" s="3242" t="s">
        <v>3384</v>
      </c>
      <c r="AA920" s="3243">
        <v>0</v>
      </c>
      <c r="AB920" s="3242">
        <v>0</v>
      </c>
      <c r="AC920" s="3244"/>
      <c r="AD920" s="3244"/>
      <c r="AE920" s="3242">
        <v>0</v>
      </c>
      <c r="AF920" s="3259"/>
      <c r="AG920" s="3260"/>
      <c r="AH920" s="3260"/>
      <c r="AI920" s="3260"/>
      <c r="AJ920" s="3260"/>
      <c r="AK920" s="3260"/>
      <c r="AL920" s="3259"/>
      <c r="AM920" s="3260"/>
      <c r="AN920" s="3259"/>
      <c r="AO920" s="3260"/>
      <c r="AP920" s="3242">
        <v>0</v>
      </c>
      <c r="AQ920" s="3244"/>
      <c r="AR920" s="3244"/>
      <c r="AS920" s="3242" t="s">
        <v>3384</v>
      </c>
      <c r="AT920" s="3247">
        <f t="shared" si="79"/>
        <v>0</v>
      </c>
      <c r="AU920" s="3248">
        <f t="shared" si="80"/>
        <v>0</v>
      </c>
      <c r="AV920" s="3248">
        <v>0</v>
      </c>
      <c r="AW920" s="3247">
        <v>0</v>
      </c>
      <c r="AX920" s="3248">
        <v>0</v>
      </c>
      <c r="AY920" s="3248">
        <v>0</v>
      </c>
      <c r="AZ920" s="3247">
        <v>0</v>
      </c>
      <c r="BA920" s="3248">
        <v>0</v>
      </c>
      <c r="BB920" s="3248">
        <v>0</v>
      </c>
      <c r="BC920" s="3247">
        <v>0</v>
      </c>
      <c r="BD920" s="3248">
        <v>0</v>
      </c>
      <c r="BE920" s="3248">
        <v>0</v>
      </c>
      <c r="BF920" s="3248">
        <f t="shared" si="81"/>
        <v>0</v>
      </c>
      <c r="BG920" s="3248">
        <f t="shared" si="82"/>
        <v>0</v>
      </c>
      <c r="BH920" s="3249"/>
      <c r="BI920" s="3249"/>
    </row>
    <row r="921" spans="1:61" x14ac:dyDescent="0.3">
      <c r="A921" s="4197" t="s">
        <v>3384</v>
      </c>
      <c r="B921" s="3261"/>
      <c r="C921" s="3243">
        <v>0</v>
      </c>
      <c r="D921" s="3242">
        <v>0</v>
      </c>
      <c r="E921" s="3244"/>
      <c r="F921" s="3244"/>
      <c r="G921" s="3242">
        <v>0</v>
      </c>
      <c r="H921" s="3244"/>
      <c r="I921" s="3244"/>
      <c r="J921" s="3244"/>
      <c r="K921" s="3242">
        <v>0</v>
      </c>
      <c r="L921" s="3244"/>
      <c r="M921" s="3244"/>
      <c r="N921" s="3242" t="s">
        <v>3384</v>
      </c>
      <c r="O921" s="3239">
        <v>0</v>
      </c>
      <c r="P921" s="3242">
        <v>0</v>
      </c>
      <c r="Q921" s="3244"/>
      <c r="R921" s="3244"/>
      <c r="S921" s="3242">
        <v>0</v>
      </c>
      <c r="T921" s="3244"/>
      <c r="U921" s="3244"/>
      <c r="V921" s="3244"/>
      <c r="W921" s="3240">
        <v>0</v>
      </c>
      <c r="X921" s="3244"/>
      <c r="Y921" s="3244"/>
      <c r="Z921" s="3242" t="s">
        <v>3384</v>
      </c>
      <c r="AA921" s="3243">
        <v>0</v>
      </c>
      <c r="AB921" s="3242">
        <v>0</v>
      </c>
      <c r="AC921" s="3244"/>
      <c r="AD921" s="3244"/>
      <c r="AE921" s="3242">
        <v>0</v>
      </c>
      <c r="AF921" s="3259"/>
      <c r="AG921" s="3260"/>
      <c r="AH921" s="3260"/>
      <c r="AI921" s="3260"/>
      <c r="AJ921" s="3260"/>
      <c r="AK921" s="3260"/>
      <c r="AL921" s="3259"/>
      <c r="AM921" s="3260"/>
      <c r="AN921" s="3259"/>
      <c r="AO921" s="3260"/>
      <c r="AP921" s="3242">
        <v>0</v>
      </c>
      <c r="AQ921" s="3244"/>
      <c r="AR921" s="3244"/>
      <c r="AS921" s="3242" t="s">
        <v>3384</v>
      </c>
      <c r="AT921" s="3247">
        <f t="shared" si="79"/>
        <v>0</v>
      </c>
      <c r="AU921" s="3248">
        <f t="shared" si="80"/>
        <v>0</v>
      </c>
      <c r="AV921" s="3248">
        <v>0</v>
      </c>
      <c r="AW921" s="3247">
        <v>0</v>
      </c>
      <c r="AX921" s="3248">
        <v>0</v>
      </c>
      <c r="AY921" s="3248">
        <v>0</v>
      </c>
      <c r="AZ921" s="3247">
        <v>0</v>
      </c>
      <c r="BA921" s="3248">
        <v>0</v>
      </c>
      <c r="BB921" s="3248">
        <v>0</v>
      </c>
      <c r="BC921" s="3247">
        <v>0</v>
      </c>
      <c r="BD921" s="3248">
        <v>0</v>
      </c>
      <c r="BE921" s="3248">
        <v>0</v>
      </c>
      <c r="BF921" s="3248">
        <f t="shared" si="81"/>
        <v>0</v>
      </c>
      <c r="BG921" s="3248">
        <f t="shared" si="82"/>
        <v>0</v>
      </c>
      <c r="BH921" s="3249"/>
      <c r="BI921" s="3249"/>
    </row>
    <row r="922" spans="1:61" x14ac:dyDescent="0.3">
      <c r="A922" s="4197" t="s">
        <v>3384</v>
      </c>
      <c r="B922" s="3261"/>
      <c r="C922" s="3243">
        <v>0</v>
      </c>
      <c r="D922" s="3242">
        <v>0</v>
      </c>
      <c r="E922" s="3244"/>
      <c r="F922" s="3244"/>
      <c r="G922" s="3242">
        <v>0</v>
      </c>
      <c r="H922" s="3244"/>
      <c r="I922" s="3244"/>
      <c r="J922" s="3244"/>
      <c r="K922" s="3242">
        <v>0</v>
      </c>
      <c r="L922" s="3244"/>
      <c r="M922" s="3244"/>
      <c r="N922" s="3242" t="s">
        <v>3384</v>
      </c>
      <c r="O922" s="3239">
        <v>0</v>
      </c>
      <c r="P922" s="3242">
        <v>0</v>
      </c>
      <c r="Q922" s="3244"/>
      <c r="R922" s="3244"/>
      <c r="S922" s="3242">
        <v>0</v>
      </c>
      <c r="T922" s="3244"/>
      <c r="U922" s="3244"/>
      <c r="V922" s="3244"/>
      <c r="W922" s="3240">
        <v>0</v>
      </c>
      <c r="X922" s="3244"/>
      <c r="Y922" s="3244"/>
      <c r="Z922" s="3242" t="s">
        <v>3384</v>
      </c>
      <c r="AA922" s="3243">
        <v>0</v>
      </c>
      <c r="AB922" s="3242">
        <v>0</v>
      </c>
      <c r="AC922" s="3244"/>
      <c r="AD922" s="3244"/>
      <c r="AE922" s="3242">
        <v>0</v>
      </c>
      <c r="AF922" s="3259"/>
      <c r="AG922" s="3260"/>
      <c r="AH922" s="3260"/>
      <c r="AI922" s="3260"/>
      <c r="AJ922" s="3260"/>
      <c r="AK922" s="3260"/>
      <c r="AL922" s="3259"/>
      <c r="AM922" s="3260"/>
      <c r="AN922" s="3259"/>
      <c r="AO922" s="3260"/>
      <c r="AP922" s="3242">
        <v>0</v>
      </c>
      <c r="AQ922" s="3244"/>
      <c r="AR922" s="3244"/>
      <c r="AS922" s="3242" t="s">
        <v>3384</v>
      </c>
      <c r="AT922" s="3247">
        <f t="shared" si="79"/>
        <v>0</v>
      </c>
      <c r="AU922" s="3248">
        <f t="shared" si="80"/>
        <v>0</v>
      </c>
      <c r="AV922" s="3248">
        <v>0</v>
      </c>
      <c r="AW922" s="3247">
        <v>0</v>
      </c>
      <c r="AX922" s="3248">
        <v>0</v>
      </c>
      <c r="AY922" s="3248">
        <v>0</v>
      </c>
      <c r="AZ922" s="3247">
        <v>0</v>
      </c>
      <c r="BA922" s="3248">
        <v>0</v>
      </c>
      <c r="BB922" s="3248">
        <v>0</v>
      </c>
      <c r="BC922" s="3247">
        <v>0</v>
      </c>
      <c r="BD922" s="3248">
        <v>0</v>
      </c>
      <c r="BE922" s="3248">
        <v>0</v>
      </c>
      <c r="BF922" s="3248">
        <f t="shared" si="81"/>
        <v>0</v>
      </c>
      <c r="BG922" s="3248">
        <f t="shared" si="82"/>
        <v>0</v>
      </c>
      <c r="BH922" s="3249"/>
      <c r="BI922" s="3249"/>
    </row>
    <row r="923" spans="1:61" x14ac:dyDescent="0.3">
      <c r="A923" s="4197" t="s">
        <v>3384</v>
      </c>
      <c r="B923" s="3261"/>
      <c r="C923" s="3243">
        <v>0</v>
      </c>
      <c r="D923" s="3242">
        <v>0</v>
      </c>
      <c r="E923" s="3244"/>
      <c r="F923" s="3244"/>
      <c r="G923" s="3242">
        <v>0</v>
      </c>
      <c r="H923" s="3244"/>
      <c r="I923" s="3244"/>
      <c r="J923" s="3244"/>
      <c r="K923" s="3242">
        <v>0</v>
      </c>
      <c r="L923" s="3244"/>
      <c r="M923" s="3244"/>
      <c r="N923" s="3242" t="s">
        <v>3384</v>
      </c>
      <c r="O923" s="3239">
        <v>0</v>
      </c>
      <c r="P923" s="3242">
        <v>0</v>
      </c>
      <c r="Q923" s="3244"/>
      <c r="R923" s="3244"/>
      <c r="S923" s="3242">
        <v>0</v>
      </c>
      <c r="T923" s="3244"/>
      <c r="U923" s="3244"/>
      <c r="V923" s="3244"/>
      <c r="W923" s="3240">
        <v>0</v>
      </c>
      <c r="X923" s="3244"/>
      <c r="Y923" s="3244"/>
      <c r="Z923" s="3242" t="s">
        <v>3384</v>
      </c>
      <c r="AA923" s="3243">
        <v>0</v>
      </c>
      <c r="AB923" s="3242">
        <v>0</v>
      </c>
      <c r="AC923" s="3244"/>
      <c r="AD923" s="3244"/>
      <c r="AE923" s="3242">
        <v>0</v>
      </c>
      <c r="AF923" s="3259"/>
      <c r="AG923" s="3260"/>
      <c r="AH923" s="3260"/>
      <c r="AI923" s="3260"/>
      <c r="AJ923" s="3260"/>
      <c r="AK923" s="3260"/>
      <c r="AL923" s="3259"/>
      <c r="AM923" s="3260"/>
      <c r="AN923" s="3259"/>
      <c r="AO923" s="3260"/>
      <c r="AP923" s="3242">
        <v>0</v>
      </c>
      <c r="AQ923" s="3244"/>
      <c r="AR923" s="3244"/>
      <c r="AS923" s="3242" t="s">
        <v>3384</v>
      </c>
      <c r="AT923" s="3247">
        <f t="shared" si="79"/>
        <v>0</v>
      </c>
      <c r="AU923" s="3248">
        <f t="shared" si="80"/>
        <v>0</v>
      </c>
      <c r="AV923" s="3248">
        <v>0</v>
      </c>
      <c r="AW923" s="3247">
        <v>0</v>
      </c>
      <c r="AX923" s="3248">
        <v>0</v>
      </c>
      <c r="AY923" s="3248">
        <v>0</v>
      </c>
      <c r="AZ923" s="3247">
        <v>0</v>
      </c>
      <c r="BA923" s="3248">
        <v>0</v>
      </c>
      <c r="BB923" s="3248">
        <v>0</v>
      </c>
      <c r="BC923" s="3247">
        <v>0</v>
      </c>
      <c r="BD923" s="3248">
        <v>0</v>
      </c>
      <c r="BE923" s="3248">
        <v>0</v>
      </c>
      <c r="BF923" s="3248">
        <f t="shared" si="81"/>
        <v>0</v>
      </c>
      <c r="BG923" s="3248">
        <f t="shared" si="82"/>
        <v>0</v>
      </c>
      <c r="BH923" s="3249"/>
      <c r="BI923" s="3249"/>
    </row>
    <row r="924" spans="1:61" x14ac:dyDescent="0.3">
      <c r="A924" s="4197" t="s">
        <v>3384</v>
      </c>
      <c r="B924" s="3261"/>
      <c r="C924" s="3243">
        <v>0</v>
      </c>
      <c r="D924" s="3242">
        <v>0</v>
      </c>
      <c r="E924" s="3244"/>
      <c r="F924" s="3244"/>
      <c r="G924" s="3242">
        <v>0</v>
      </c>
      <c r="H924" s="3244"/>
      <c r="I924" s="3244"/>
      <c r="J924" s="3244"/>
      <c r="K924" s="3242">
        <v>0</v>
      </c>
      <c r="L924" s="3244"/>
      <c r="M924" s="3244"/>
      <c r="N924" s="3242" t="s">
        <v>3384</v>
      </c>
      <c r="O924" s="3239">
        <v>0</v>
      </c>
      <c r="P924" s="3242">
        <v>0</v>
      </c>
      <c r="Q924" s="3244"/>
      <c r="R924" s="3244"/>
      <c r="S924" s="3242">
        <v>0</v>
      </c>
      <c r="T924" s="3244"/>
      <c r="U924" s="3244"/>
      <c r="V924" s="3244"/>
      <c r="W924" s="3240">
        <v>0</v>
      </c>
      <c r="X924" s="3244"/>
      <c r="Y924" s="3244"/>
      <c r="Z924" s="3242" t="s">
        <v>3384</v>
      </c>
      <c r="AA924" s="3243">
        <v>0</v>
      </c>
      <c r="AB924" s="3242">
        <v>0</v>
      </c>
      <c r="AC924" s="3244"/>
      <c r="AD924" s="3244"/>
      <c r="AE924" s="3242">
        <v>0</v>
      </c>
      <c r="AF924" s="3259"/>
      <c r="AG924" s="3260"/>
      <c r="AH924" s="3260"/>
      <c r="AI924" s="3260"/>
      <c r="AJ924" s="3260"/>
      <c r="AK924" s="3260"/>
      <c r="AL924" s="3259"/>
      <c r="AM924" s="3260"/>
      <c r="AN924" s="3259"/>
      <c r="AO924" s="3260"/>
      <c r="AP924" s="3242">
        <v>0</v>
      </c>
      <c r="AQ924" s="3244"/>
      <c r="AR924" s="3244"/>
      <c r="AS924" s="3242" t="s">
        <v>3384</v>
      </c>
      <c r="AT924" s="3247">
        <f t="shared" si="79"/>
        <v>0</v>
      </c>
      <c r="AU924" s="3248">
        <f t="shared" si="80"/>
        <v>0</v>
      </c>
      <c r="AV924" s="3248">
        <v>0</v>
      </c>
      <c r="AW924" s="3247">
        <v>0</v>
      </c>
      <c r="AX924" s="3248">
        <v>0</v>
      </c>
      <c r="AY924" s="3248">
        <v>0</v>
      </c>
      <c r="AZ924" s="3247">
        <v>0</v>
      </c>
      <c r="BA924" s="3248">
        <v>0</v>
      </c>
      <c r="BB924" s="3248">
        <v>0</v>
      </c>
      <c r="BC924" s="3247">
        <v>0</v>
      </c>
      <c r="BD924" s="3248">
        <v>0</v>
      </c>
      <c r="BE924" s="3248">
        <v>0</v>
      </c>
      <c r="BF924" s="3248">
        <f t="shared" si="81"/>
        <v>0</v>
      </c>
      <c r="BG924" s="3248">
        <f t="shared" si="82"/>
        <v>0</v>
      </c>
      <c r="BH924" s="3249"/>
      <c r="BI924" s="3249"/>
    </row>
    <row r="925" spans="1:61" x14ac:dyDescent="0.3">
      <c r="A925" s="4197" t="s">
        <v>3384</v>
      </c>
      <c r="B925" s="3261"/>
      <c r="C925" s="3243">
        <v>0</v>
      </c>
      <c r="D925" s="3242">
        <v>0</v>
      </c>
      <c r="E925" s="3244"/>
      <c r="F925" s="3244"/>
      <c r="G925" s="3242">
        <v>0</v>
      </c>
      <c r="H925" s="3244"/>
      <c r="I925" s="3244"/>
      <c r="J925" s="3244"/>
      <c r="K925" s="3242">
        <v>0</v>
      </c>
      <c r="L925" s="3244"/>
      <c r="M925" s="3244"/>
      <c r="N925" s="3242" t="s">
        <v>3384</v>
      </c>
      <c r="O925" s="3239">
        <v>0</v>
      </c>
      <c r="P925" s="3242">
        <v>0</v>
      </c>
      <c r="Q925" s="3244"/>
      <c r="R925" s="3244"/>
      <c r="S925" s="3242">
        <v>0</v>
      </c>
      <c r="T925" s="3244"/>
      <c r="U925" s="3244"/>
      <c r="V925" s="3244"/>
      <c r="W925" s="3240">
        <v>0</v>
      </c>
      <c r="X925" s="3244"/>
      <c r="Y925" s="3244"/>
      <c r="Z925" s="3242" t="s">
        <v>3384</v>
      </c>
      <c r="AA925" s="3243">
        <v>0</v>
      </c>
      <c r="AB925" s="3242">
        <v>0</v>
      </c>
      <c r="AC925" s="3244"/>
      <c r="AD925" s="3244"/>
      <c r="AE925" s="3242">
        <v>0</v>
      </c>
      <c r="AF925" s="3259"/>
      <c r="AG925" s="3260"/>
      <c r="AH925" s="3260"/>
      <c r="AI925" s="3260"/>
      <c r="AJ925" s="3260"/>
      <c r="AK925" s="3260"/>
      <c r="AL925" s="3259"/>
      <c r="AM925" s="3260"/>
      <c r="AN925" s="3259"/>
      <c r="AO925" s="3260"/>
      <c r="AP925" s="3242">
        <v>0</v>
      </c>
      <c r="AQ925" s="3244"/>
      <c r="AR925" s="3244"/>
      <c r="AS925" s="3242" t="s">
        <v>3384</v>
      </c>
      <c r="AT925" s="3247">
        <f t="shared" si="79"/>
        <v>0</v>
      </c>
      <c r="AU925" s="3248">
        <f t="shared" si="80"/>
        <v>0</v>
      </c>
      <c r="AV925" s="3248">
        <v>0</v>
      </c>
      <c r="AW925" s="3247">
        <v>0</v>
      </c>
      <c r="AX925" s="3248">
        <v>0</v>
      </c>
      <c r="AY925" s="3248">
        <v>0</v>
      </c>
      <c r="AZ925" s="3247">
        <v>0</v>
      </c>
      <c r="BA925" s="3248">
        <v>0</v>
      </c>
      <c r="BB925" s="3248">
        <v>0</v>
      </c>
      <c r="BC925" s="3247">
        <v>0</v>
      </c>
      <c r="BD925" s="3248">
        <v>0</v>
      </c>
      <c r="BE925" s="3248">
        <v>0</v>
      </c>
      <c r="BF925" s="3248">
        <f t="shared" si="81"/>
        <v>0</v>
      </c>
      <c r="BG925" s="3248">
        <f t="shared" si="82"/>
        <v>0</v>
      </c>
      <c r="BH925" s="3249"/>
      <c r="BI925" s="3249"/>
    </row>
    <row r="926" spans="1:61" x14ac:dyDescent="0.3">
      <c r="A926" s="4197" t="s">
        <v>3384</v>
      </c>
      <c r="B926" s="3261"/>
      <c r="C926" s="3243">
        <v>0</v>
      </c>
      <c r="D926" s="3242">
        <v>0</v>
      </c>
      <c r="E926" s="3244"/>
      <c r="F926" s="3244"/>
      <c r="G926" s="3242">
        <v>0</v>
      </c>
      <c r="H926" s="3244"/>
      <c r="I926" s="3244"/>
      <c r="J926" s="3244"/>
      <c r="K926" s="3242">
        <v>0</v>
      </c>
      <c r="L926" s="3244"/>
      <c r="M926" s="3244"/>
      <c r="N926" s="3242" t="s">
        <v>3384</v>
      </c>
      <c r="O926" s="3239">
        <v>0</v>
      </c>
      <c r="P926" s="3242">
        <v>0</v>
      </c>
      <c r="Q926" s="3244"/>
      <c r="R926" s="3244"/>
      <c r="S926" s="3242">
        <v>0</v>
      </c>
      <c r="T926" s="3244"/>
      <c r="U926" s="3244"/>
      <c r="V926" s="3244"/>
      <c r="W926" s="3240">
        <v>0</v>
      </c>
      <c r="X926" s="3244"/>
      <c r="Y926" s="3244"/>
      <c r="Z926" s="3242" t="s">
        <v>3384</v>
      </c>
      <c r="AA926" s="3243">
        <v>0</v>
      </c>
      <c r="AB926" s="3242">
        <v>0</v>
      </c>
      <c r="AC926" s="3244"/>
      <c r="AD926" s="3244"/>
      <c r="AE926" s="3242">
        <v>0</v>
      </c>
      <c r="AF926" s="3259"/>
      <c r="AG926" s="3260"/>
      <c r="AH926" s="3260"/>
      <c r="AI926" s="3260"/>
      <c r="AJ926" s="3260"/>
      <c r="AK926" s="3260"/>
      <c r="AL926" s="3259"/>
      <c r="AM926" s="3260"/>
      <c r="AN926" s="3259"/>
      <c r="AO926" s="3260"/>
      <c r="AP926" s="3242">
        <v>0</v>
      </c>
      <c r="AQ926" s="3244"/>
      <c r="AR926" s="3244"/>
      <c r="AS926" s="3242" t="s">
        <v>3384</v>
      </c>
      <c r="AT926" s="3247">
        <f t="shared" si="79"/>
        <v>0</v>
      </c>
      <c r="AU926" s="3248">
        <f t="shared" si="80"/>
        <v>0</v>
      </c>
      <c r="AV926" s="3248">
        <v>0</v>
      </c>
      <c r="AW926" s="3247">
        <v>0</v>
      </c>
      <c r="AX926" s="3248">
        <v>0</v>
      </c>
      <c r="AY926" s="3248">
        <v>0</v>
      </c>
      <c r="AZ926" s="3247">
        <v>0</v>
      </c>
      <c r="BA926" s="3248">
        <v>0</v>
      </c>
      <c r="BB926" s="3248">
        <v>0</v>
      </c>
      <c r="BC926" s="3247">
        <v>0</v>
      </c>
      <c r="BD926" s="3248">
        <v>0</v>
      </c>
      <c r="BE926" s="3248">
        <v>0</v>
      </c>
      <c r="BF926" s="3248">
        <f t="shared" si="81"/>
        <v>0</v>
      </c>
      <c r="BG926" s="3248">
        <f t="shared" si="82"/>
        <v>0</v>
      </c>
      <c r="BH926" s="3249"/>
      <c r="BI926" s="3249"/>
    </row>
    <row r="927" spans="1:61" x14ac:dyDescent="0.3">
      <c r="A927" s="4197" t="s">
        <v>3384</v>
      </c>
      <c r="B927" s="3261"/>
      <c r="C927" s="3243">
        <v>0</v>
      </c>
      <c r="D927" s="3242">
        <v>0</v>
      </c>
      <c r="E927" s="3244"/>
      <c r="F927" s="3244"/>
      <c r="G927" s="3242">
        <v>0</v>
      </c>
      <c r="H927" s="3244"/>
      <c r="I927" s="3244"/>
      <c r="J927" s="3244"/>
      <c r="K927" s="3242">
        <v>0</v>
      </c>
      <c r="L927" s="3244"/>
      <c r="M927" s="3244"/>
      <c r="N927" s="3242" t="s">
        <v>3384</v>
      </c>
      <c r="O927" s="3239">
        <v>0</v>
      </c>
      <c r="P927" s="3242">
        <v>0</v>
      </c>
      <c r="Q927" s="3244"/>
      <c r="R927" s="3244"/>
      <c r="S927" s="3242">
        <v>0</v>
      </c>
      <c r="T927" s="3244"/>
      <c r="U927" s="3244"/>
      <c r="V927" s="3244"/>
      <c r="W927" s="3240">
        <v>0</v>
      </c>
      <c r="X927" s="3244"/>
      <c r="Y927" s="3244"/>
      <c r="Z927" s="3242" t="s">
        <v>3384</v>
      </c>
      <c r="AA927" s="3243">
        <v>0</v>
      </c>
      <c r="AB927" s="3242">
        <v>0</v>
      </c>
      <c r="AC927" s="3244"/>
      <c r="AD927" s="3244"/>
      <c r="AE927" s="3242">
        <v>0</v>
      </c>
      <c r="AF927" s="3259"/>
      <c r="AG927" s="3260"/>
      <c r="AH927" s="3260"/>
      <c r="AI927" s="3260"/>
      <c r="AJ927" s="3260"/>
      <c r="AK927" s="3260"/>
      <c r="AL927" s="3259"/>
      <c r="AM927" s="3260"/>
      <c r="AN927" s="3259"/>
      <c r="AO927" s="3260"/>
      <c r="AP927" s="3242">
        <v>0</v>
      </c>
      <c r="AQ927" s="3244"/>
      <c r="AR927" s="3244"/>
      <c r="AS927" s="3242" t="s">
        <v>3384</v>
      </c>
      <c r="AT927" s="3247">
        <f t="shared" si="79"/>
        <v>0</v>
      </c>
      <c r="AU927" s="3248">
        <f t="shared" si="80"/>
        <v>0</v>
      </c>
      <c r="AV927" s="3248">
        <v>0</v>
      </c>
      <c r="AW927" s="3247">
        <v>0</v>
      </c>
      <c r="AX927" s="3248">
        <v>0</v>
      </c>
      <c r="AY927" s="3248">
        <v>0</v>
      </c>
      <c r="AZ927" s="3247">
        <v>0</v>
      </c>
      <c r="BA927" s="3248">
        <v>0</v>
      </c>
      <c r="BB927" s="3248">
        <v>0</v>
      </c>
      <c r="BC927" s="3247">
        <v>0</v>
      </c>
      <c r="BD927" s="3248">
        <v>0</v>
      </c>
      <c r="BE927" s="3248">
        <v>0</v>
      </c>
      <c r="BF927" s="3248">
        <f t="shared" si="81"/>
        <v>0</v>
      </c>
      <c r="BG927" s="3248">
        <f t="shared" si="82"/>
        <v>0</v>
      </c>
      <c r="BH927" s="3249"/>
      <c r="BI927" s="3249"/>
    </row>
    <row r="928" spans="1:61" x14ac:dyDescent="0.3">
      <c r="A928" s="4197" t="s">
        <v>3384</v>
      </c>
      <c r="B928" s="3261"/>
      <c r="C928" s="3243">
        <v>0</v>
      </c>
      <c r="D928" s="3242">
        <v>0</v>
      </c>
      <c r="E928" s="3244"/>
      <c r="F928" s="3244"/>
      <c r="G928" s="3242">
        <v>0</v>
      </c>
      <c r="H928" s="3244"/>
      <c r="I928" s="3244"/>
      <c r="J928" s="3244"/>
      <c r="K928" s="3242">
        <v>0</v>
      </c>
      <c r="L928" s="3244"/>
      <c r="M928" s="3244"/>
      <c r="N928" s="3242" t="s">
        <v>3384</v>
      </c>
      <c r="O928" s="3239">
        <v>0</v>
      </c>
      <c r="P928" s="3242">
        <v>0</v>
      </c>
      <c r="Q928" s="3244"/>
      <c r="R928" s="3244"/>
      <c r="S928" s="3242">
        <v>0</v>
      </c>
      <c r="T928" s="3244"/>
      <c r="U928" s="3244"/>
      <c r="V928" s="3244"/>
      <c r="W928" s="3240">
        <v>0</v>
      </c>
      <c r="X928" s="3244"/>
      <c r="Y928" s="3244"/>
      <c r="Z928" s="3242" t="s">
        <v>3384</v>
      </c>
      <c r="AA928" s="3243">
        <v>0</v>
      </c>
      <c r="AB928" s="3242">
        <v>0</v>
      </c>
      <c r="AC928" s="3244"/>
      <c r="AD928" s="3244"/>
      <c r="AE928" s="3242">
        <v>0</v>
      </c>
      <c r="AF928" s="3259"/>
      <c r="AG928" s="3260"/>
      <c r="AH928" s="3260"/>
      <c r="AI928" s="3260"/>
      <c r="AJ928" s="3260"/>
      <c r="AK928" s="3260"/>
      <c r="AL928" s="3259"/>
      <c r="AM928" s="3260"/>
      <c r="AN928" s="3259"/>
      <c r="AO928" s="3260"/>
      <c r="AP928" s="3242">
        <v>0</v>
      </c>
      <c r="AQ928" s="3244"/>
      <c r="AR928" s="3244"/>
      <c r="AS928" s="3242" t="s">
        <v>3384</v>
      </c>
      <c r="AT928" s="3247">
        <f t="shared" si="79"/>
        <v>0</v>
      </c>
      <c r="AU928" s="3248">
        <f t="shared" si="80"/>
        <v>0</v>
      </c>
      <c r="AV928" s="3248">
        <v>0</v>
      </c>
      <c r="AW928" s="3247">
        <v>0</v>
      </c>
      <c r="AX928" s="3248">
        <v>0</v>
      </c>
      <c r="AY928" s="3248">
        <v>0</v>
      </c>
      <c r="AZ928" s="3247">
        <v>0</v>
      </c>
      <c r="BA928" s="3248">
        <v>0</v>
      </c>
      <c r="BB928" s="3248">
        <v>0</v>
      </c>
      <c r="BC928" s="3247">
        <v>0</v>
      </c>
      <c r="BD928" s="3248">
        <v>0</v>
      </c>
      <c r="BE928" s="3248">
        <v>0</v>
      </c>
      <c r="BF928" s="3248">
        <f t="shared" si="81"/>
        <v>0</v>
      </c>
      <c r="BG928" s="3248">
        <f t="shared" si="82"/>
        <v>0</v>
      </c>
      <c r="BH928" s="3249"/>
      <c r="BI928" s="3249"/>
    </row>
    <row r="929" spans="1:61" x14ac:dyDescent="0.3">
      <c r="A929" s="4197" t="s">
        <v>3384</v>
      </c>
      <c r="B929" s="3261"/>
      <c r="C929" s="3243">
        <v>0</v>
      </c>
      <c r="D929" s="3242">
        <v>0</v>
      </c>
      <c r="E929" s="3244"/>
      <c r="F929" s="3244"/>
      <c r="G929" s="3242">
        <v>0</v>
      </c>
      <c r="H929" s="3244"/>
      <c r="I929" s="3244"/>
      <c r="J929" s="3244"/>
      <c r="K929" s="3242">
        <v>0</v>
      </c>
      <c r="L929" s="3244"/>
      <c r="M929" s="3244"/>
      <c r="N929" s="3242" t="s">
        <v>3384</v>
      </c>
      <c r="O929" s="3239">
        <v>0</v>
      </c>
      <c r="P929" s="3242">
        <v>0</v>
      </c>
      <c r="Q929" s="3244"/>
      <c r="R929" s="3244"/>
      <c r="S929" s="3242">
        <v>0</v>
      </c>
      <c r="T929" s="3244"/>
      <c r="U929" s="3244"/>
      <c r="V929" s="3244"/>
      <c r="W929" s="3240">
        <v>0</v>
      </c>
      <c r="X929" s="3244"/>
      <c r="Y929" s="3244"/>
      <c r="Z929" s="3242" t="s">
        <v>3384</v>
      </c>
      <c r="AA929" s="3243">
        <v>0</v>
      </c>
      <c r="AB929" s="3242">
        <v>0</v>
      </c>
      <c r="AC929" s="3244"/>
      <c r="AD929" s="3244"/>
      <c r="AE929" s="3242">
        <v>0</v>
      </c>
      <c r="AF929" s="3259"/>
      <c r="AG929" s="3260"/>
      <c r="AH929" s="3260"/>
      <c r="AI929" s="3260"/>
      <c r="AJ929" s="3260"/>
      <c r="AK929" s="3260"/>
      <c r="AL929" s="3259"/>
      <c r="AM929" s="3260"/>
      <c r="AN929" s="3259"/>
      <c r="AO929" s="3260"/>
      <c r="AP929" s="3242">
        <v>0</v>
      </c>
      <c r="AQ929" s="3244"/>
      <c r="AR929" s="3244"/>
      <c r="AS929" s="3242" t="s">
        <v>3384</v>
      </c>
      <c r="AT929" s="3247">
        <f t="shared" si="79"/>
        <v>0</v>
      </c>
      <c r="AU929" s="3248">
        <f t="shared" si="80"/>
        <v>0</v>
      </c>
      <c r="AV929" s="3248">
        <v>0</v>
      </c>
      <c r="AW929" s="3247">
        <v>0</v>
      </c>
      <c r="AX929" s="3248">
        <v>0</v>
      </c>
      <c r="AY929" s="3248">
        <v>0</v>
      </c>
      <c r="AZ929" s="3247">
        <v>0</v>
      </c>
      <c r="BA929" s="3248">
        <v>0</v>
      </c>
      <c r="BB929" s="3248">
        <v>0</v>
      </c>
      <c r="BC929" s="3247">
        <v>0</v>
      </c>
      <c r="BD929" s="3248">
        <v>0</v>
      </c>
      <c r="BE929" s="3248">
        <v>0</v>
      </c>
      <c r="BF929" s="3248">
        <f t="shared" si="81"/>
        <v>0</v>
      </c>
      <c r="BG929" s="3248">
        <f t="shared" si="82"/>
        <v>0</v>
      </c>
      <c r="BH929" s="3249"/>
      <c r="BI929" s="3249"/>
    </row>
    <row r="930" spans="1:61" x14ac:dyDescent="0.3">
      <c r="A930" s="4197" t="s">
        <v>3384</v>
      </c>
      <c r="B930" s="3261"/>
      <c r="C930" s="3243">
        <v>0</v>
      </c>
      <c r="D930" s="3242">
        <v>0</v>
      </c>
      <c r="E930" s="3244"/>
      <c r="F930" s="3244"/>
      <c r="G930" s="3242">
        <v>0</v>
      </c>
      <c r="H930" s="3244"/>
      <c r="I930" s="3244"/>
      <c r="J930" s="3244"/>
      <c r="K930" s="3242">
        <v>0</v>
      </c>
      <c r="L930" s="3244"/>
      <c r="M930" s="3244"/>
      <c r="N930" s="3242" t="s">
        <v>3384</v>
      </c>
      <c r="O930" s="3239">
        <v>0</v>
      </c>
      <c r="P930" s="3242">
        <v>0</v>
      </c>
      <c r="Q930" s="3244"/>
      <c r="R930" s="3244"/>
      <c r="S930" s="3242">
        <v>0</v>
      </c>
      <c r="T930" s="3244"/>
      <c r="U930" s="3244"/>
      <c r="V930" s="3244"/>
      <c r="W930" s="3240">
        <v>0</v>
      </c>
      <c r="X930" s="3244"/>
      <c r="Y930" s="3244"/>
      <c r="Z930" s="3242" t="s">
        <v>3384</v>
      </c>
      <c r="AA930" s="3243">
        <v>0</v>
      </c>
      <c r="AB930" s="3242">
        <v>0</v>
      </c>
      <c r="AC930" s="3244"/>
      <c r="AD930" s="3244"/>
      <c r="AE930" s="3242">
        <v>0</v>
      </c>
      <c r="AF930" s="3259"/>
      <c r="AG930" s="3260"/>
      <c r="AH930" s="3260"/>
      <c r="AI930" s="3260"/>
      <c r="AJ930" s="3260"/>
      <c r="AK930" s="3260"/>
      <c r="AL930" s="3259"/>
      <c r="AM930" s="3260"/>
      <c r="AN930" s="3259"/>
      <c r="AO930" s="3260"/>
      <c r="AP930" s="3242">
        <v>0</v>
      </c>
      <c r="AQ930" s="3244"/>
      <c r="AR930" s="3244"/>
      <c r="AS930" s="3242" t="s">
        <v>3384</v>
      </c>
      <c r="AT930" s="3247">
        <f t="shared" si="79"/>
        <v>0</v>
      </c>
      <c r="AU930" s="3248">
        <f t="shared" si="80"/>
        <v>0</v>
      </c>
      <c r="AV930" s="3248">
        <v>0</v>
      </c>
      <c r="AW930" s="3247">
        <v>0</v>
      </c>
      <c r="AX930" s="3248">
        <v>0</v>
      </c>
      <c r="AY930" s="3248">
        <v>0</v>
      </c>
      <c r="AZ930" s="3247">
        <v>0</v>
      </c>
      <c r="BA930" s="3248">
        <v>0</v>
      </c>
      <c r="BB930" s="3248">
        <v>0</v>
      </c>
      <c r="BC930" s="3247">
        <v>0</v>
      </c>
      <c r="BD930" s="3248">
        <v>0</v>
      </c>
      <c r="BE930" s="3248">
        <v>0</v>
      </c>
      <c r="BF930" s="3248">
        <f t="shared" si="81"/>
        <v>0</v>
      </c>
      <c r="BG930" s="3248">
        <f t="shared" si="82"/>
        <v>0</v>
      </c>
      <c r="BH930" s="3249"/>
      <c r="BI930" s="3249"/>
    </row>
    <row r="931" spans="1:61" x14ac:dyDescent="0.3">
      <c r="A931" s="4197" t="s">
        <v>3384</v>
      </c>
      <c r="B931" s="3261"/>
      <c r="C931" s="3243">
        <v>0</v>
      </c>
      <c r="D931" s="3242">
        <v>0</v>
      </c>
      <c r="E931" s="3244"/>
      <c r="F931" s="3244"/>
      <c r="G931" s="3242">
        <v>0</v>
      </c>
      <c r="H931" s="3244"/>
      <c r="I931" s="3244"/>
      <c r="J931" s="3244"/>
      <c r="K931" s="3242">
        <v>0</v>
      </c>
      <c r="L931" s="3244"/>
      <c r="M931" s="3244"/>
      <c r="N931" s="3242" t="s">
        <v>3384</v>
      </c>
      <c r="O931" s="3239">
        <v>0</v>
      </c>
      <c r="P931" s="3242">
        <v>0</v>
      </c>
      <c r="Q931" s="3244"/>
      <c r="R931" s="3244"/>
      <c r="S931" s="3242">
        <v>0</v>
      </c>
      <c r="T931" s="3244"/>
      <c r="U931" s="3244"/>
      <c r="V931" s="3244"/>
      <c r="W931" s="3240">
        <v>0</v>
      </c>
      <c r="X931" s="3244"/>
      <c r="Y931" s="3244"/>
      <c r="Z931" s="3242" t="s">
        <v>3384</v>
      </c>
      <c r="AA931" s="3243">
        <v>0</v>
      </c>
      <c r="AB931" s="3242">
        <v>0</v>
      </c>
      <c r="AC931" s="3244"/>
      <c r="AD931" s="3244"/>
      <c r="AE931" s="3242">
        <v>0</v>
      </c>
      <c r="AF931" s="3259"/>
      <c r="AG931" s="3260"/>
      <c r="AH931" s="3260"/>
      <c r="AI931" s="3260"/>
      <c r="AJ931" s="3260"/>
      <c r="AK931" s="3260"/>
      <c r="AL931" s="3259"/>
      <c r="AM931" s="3260"/>
      <c r="AN931" s="3259"/>
      <c r="AO931" s="3260"/>
      <c r="AP931" s="3242">
        <v>0</v>
      </c>
      <c r="AQ931" s="3244"/>
      <c r="AR931" s="3244"/>
      <c r="AS931" s="3242" t="s">
        <v>3384</v>
      </c>
      <c r="AT931" s="3247">
        <f t="shared" si="79"/>
        <v>0</v>
      </c>
      <c r="AU931" s="3248">
        <f t="shared" si="80"/>
        <v>0</v>
      </c>
      <c r="AV931" s="3248">
        <v>0</v>
      </c>
      <c r="AW931" s="3247">
        <v>0</v>
      </c>
      <c r="AX931" s="3248">
        <v>0</v>
      </c>
      <c r="AY931" s="3248">
        <v>0</v>
      </c>
      <c r="AZ931" s="3247">
        <v>0</v>
      </c>
      <c r="BA931" s="3248">
        <v>0</v>
      </c>
      <c r="BB931" s="3248">
        <v>0</v>
      </c>
      <c r="BC931" s="3247">
        <v>0</v>
      </c>
      <c r="BD931" s="3248">
        <v>0</v>
      </c>
      <c r="BE931" s="3248">
        <v>0</v>
      </c>
      <c r="BF931" s="3248">
        <f t="shared" si="81"/>
        <v>0</v>
      </c>
      <c r="BG931" s="3248">
        <f t="shared" si="82"/>
        <v>0</v>
      </c>
      <c r="BH931" s="3249"/>
      <c r="BI931" s="3249"/>
    </row>
    <row r="932" spans="1:61" x14ac:dyDescent="0.3">
      <c r="A932" s="4197" t="s">
        <v>3384</v>
      </c>
      <c r="B932" s="3261"/>
      <c r="C932" s="3243">
        <v>0</v>
      </c>
      <c r="D932" s="3242">
        <v>0</v>
      </c>
      <c r="E932" s="3244"/>
      <c r="F932" s="3244"/>
      <c r="G932" s="3242">
        <v>0</v>
      </c>
      <c r="H932" s="3244"/>
      <c r="I932" s="3244"/>
      <c r="J932" s="3244"/>
      <c r="K932" s="3242">
        <v>0</v>
      </c>
      <c r="L932" s="3244"/>
      <c r="M932" s="3244"/>
      <c r="N932" s="3242" t="s">
        <v>3384</v>
      </c>
      <c r="O932" s="3239">
        <v>0</v>
      </c>
      <c r="P932" s="3242">
        <v>0</v>
      </c>
      <c r="Q932" s="3244"/>
      <c r="R932" s="3244"/>
      <c r="S932" s="3242">
        <v>0</v>
      </c>
      <c r="T932" s="3244"/>
      <c r="U932" s="3244"/>
      <c r="V932" s="3244"/>
      <c r="W932" s="3240">
        <v>0</v>
      </c>
      <c r="X932" s="3244"/>
      <c r="Y932" s="3244"/>
      <c r="Z932" s="3242" t="s">
        <v>3384</v>
      </c>
      <c r="AA932" s="3243">
        <v>0</v>
      </c>
      <c r="AB932" s="3242">
        <v>0</v>
      </c>
      <c r="AC932" s="3244"/>
      <c r="AD932" s="3244"/>
      <c r="AE932" s="3242">
        <v>0</v>
      </c>
      <c r="AF932" s="3259"/>
      <c r="AG932" s="3260"/>
      <c r="AH932" s="3260"/>
      <c r="AI932" s="3260"/>
      <c r="AJ932" s="3260"/>
      <c r="AK932" s="3260"/>
      <c r="AL932" s="3259"/>
      <c r="AM932" s="3260"/>
      <c r="AN932" s="3259"/>
      <c r="AO932" s="3260"/>
      <c r="AP932" s="3242">
        <v>0</v>
      </c>
      <c r="AQ932" s="3244"/>
      <c r="AR932" s="3244"/>
      <c r="AS932" s="3242" t="s">
        <v>3384</v>
      </c>
      <c r="AT932" s="3247">
        <f t="shared" si="79"/>
        <v>0</v>
      </c>
      <c r="AU932" s="3248">
        <f t="shared" si="80"/>
        <v>0</v>
      </c>
      <c r="AV932" s="3248">
        <v>0</v>
      </c>
      <c r="AW932" s="3247">
        <v>0</v>
      </c>
      <c r="AX932" s="3248">
        <v>0</v>
      </c>
      <c r="AY932" s="3248">
        <v>0</v>
      </c>
      <c r="AZ932" s="3247">
        <v>0</v>
      </c>
      <c r="BA932" s="3248">
        <v>0</v>
      </c>
      <c r="BB932" s="3248">
        <v>0</v>
      </c>
      <c r="BC932" s="3247">
        <v>0</v>
      </c>
      <c r="BD932" s="3248">
        <v>0</v>
      </c>
      <c r="BE932" s="3248">
        <v>0</v>
      </c>
      <c r="BF932" s="3248">
        <f t="shared" si="81"/>
        <v>0</v>
      </c>
      <c r="BG932" s="3248">
        <f t="shared" si="82"/>
        <v>0</v>
      </c>
      <c r="BH932" s="3249"/>
      <c r="BI932" s="3249"/>
    </row>
    <row r="933" spans="1:61" x14ac:dyDescent="0.3">
      <c r="A933" s="4197" t="s">
        <v>3384</v>
      </c>
      <c r="B933" s="3261"/>
      <c r="C933" s="3243">
        <v>0</v>
      </c>
      <c r="D933" s="3242">
        <v>0</v>
      </c>
      <c r="E933" s="3244"/>
      <c r="F933" s="3244"/>
      <c r="G933" s="3242">
        <v>0</v>
      </c>
      <c r="H933" s="3244"/>
      <c r="I933" s="3244"/>
      <c r="J933" s="3244"/>
      <c r="K933" s="3242">
        <v>0</v>
      </c>
      <c r="L933" s="3244"/>
      <c r="M933" s="3244"/>
      <c r="N933" s="3242" t="s">
        <v>3384</v>
      </c>
      <c r="O933" s="3239">
        <v>0</v>
      </c>
      <c r="P933" s="3242">
        <v>0</v>
      </c>
      <c r="Q933" s="3244"/>
      <c r="R933" s="3244"/>
      <c r="S933" s="3242">
        <v>0</v>
      </c>
      <c r="T933" s="3244"/>
      <c r="U933" s="3244"/>
      <c r="V933" s="3244"/>
      <c r="W933" s="3240">
        <v>0</v>
      </c>
      <c r="X933" s="3244"/>
      <c r="Y933" s="3244"/>
      <c r="Z933" s="3242" t="s">
        <v>3384</v>
      </c>
      <c r="AA933" s="3243">
        <v>0</v>
      </c>
      <c r="AB933" s="3242">
        <v>0</v>
      </c>
      <c r="AC933" s="3244"/>
      <c r="AD933" s="3244"/>
      <c r="AE933" s="3242">
        <v>0</v>
      </c>
      <c r="AF933" s="3259"/>
      <c r="AG933" s="3260"/>
      <c r="AH933" s="3260"/>
      <c r="AI933" s="3260"/>
      <c r="AJ933" s="3260"/>
      <c r="AK933" s="3260"/>
      <c r="AL933" s="3259"/>
      <c r="AM933" s="3260"/>
      <c r="AN933" s="3259"/>
      <c r="AO933" s="3260"/>
      <c r="AP933" s="3242">
        <v>0</v>
      </c>
      <c r="AQ933" s="3244"/>
      <c r="AR933" s="3244"/>
      <c r="AS933" s="3242" t="s">
        <v>3384</v>
      </c>
      <c r="AT933" s="3247">
        <f t="shared" si="79"/>
        <v>0</v>
      </c>
      <c r="AU933" s="3248">
        <f t="shared" si="80"/>
        <v>0</v>
      </c>
      <c r="AV933" s="3248">
        <v>0</v>
      </c>
      <c r="AW933" s="3247">
        <v>0</v>
      </c>
      <c r="AX933" s="3248">
        <v>0</v>
      </c>
      <c r="AY933" s="3248">
        <v>0</v>
      </c>
      <c r="AZ933" s="3247">
        <v>0</v>
      </c>
      <c r="BA933" s="3248">
        <v>0</v>
      </c>
      <c r="BB933" s="3248">
        <v>0</v>
      </c>
      <c r="BC933" s="3247">
        <v>0</v>
      </c>
      <c r="BD933" s="3248">
        <v>0</v>
      </c>
      <c r="BE933" s="3248">
        <v>0</v>
      </c>
      <c r="BF933" s="3248">
        <f t="shared" si="81"/>
        <v>0</v>
      </c>
      <c r="BG933" s="3248">
        <f t="shared" si="82"/>
        <v>0</v>
      </c>
      <c r="BH933" s="3249"/>
      <c r="BI933" s="3249"/>
    </row>
    <row r="934" spans="1:61" x14ac:dyDescent="0.3">
      <c r="A934" s="4197" t="s">
        <v>3384</v>
      </c>
      <c r="B934" s="3261"/>
      <c r="C934" s="3243">
        <v>0</v>
      </c>
      <c r="D934" s="3242">
        <v>0</v>
      </c>
      <c r="E934" s="3244"/>
      <c r="F934" s="3244"/>
      <c r="G934" s="3242">
        <v>0</v>
      </c>
      <c r="H934" s="3244"/>
      <c r="I934" s="3244"/>
      <c r="J934" s="3244"/>
      <c r="K934" s="3242">
        <v>0</v>
      </c>
      <c r="L934" s="3244"/>
      <c r="M934" s="3244"/>
      <c r="N934" s="3242" t="s">
        <v>3384</v>
      </c>
      <c r="O934" s="3239">
        <v>0</v>
      </c>
      <c r="P934" s="3242">
        <v>0</v>
      </c>
      <c r="Q934" s="3244"/>
      <c r="R934" s="3244"/>
      <c r="S934" s="3242">
        <v>0</v>
      </c>
      <c r="T934" s="3244"/>
      <c r="U934" s="3244"/>
      <c r="V934" s="3244"/>
      <c r="W934" s="3240">
        <v>0</v>
      </c>
      <c r="X934" s="3244"/>
      <c r="Y934" s="3244"/>
      <c r="Z934" s="3242" t="s">
        <v>3384</v>
      </c>
      <c r="AA934" s="3243">
        <v>0</v>
      </c>
      <c r="AB934" s="3242">
        <v>0</v>
      </c>
      <c r="AC934" s="3244"/>
      <c r="AD934" s="3244"/>
      <c r="AE934" s="3242">
        <v>0</v>
      </c>
      <c r="AF934" s="3259"/>
      <c r="AG934" s="3260"/>
      <c r="AH934" s="3260"/>
      <c r="AI934" s="3260"/>
      <c r="AJ934" s="3260"/>
      <c r="AK934" s="3260"/>
      <c r="AL934" s="3259"/>
      <c r="AM934" s="3260"/>
      <c r="AN934" s="3259"/>
      <c r="AO934" s="3260"/>
      <c r="AP934" s="3242">
        <v>0</v>
      </c>
      <c r="AQ934" s="3244"/>
      <c r="AR934" s="3244"/>
      <c r="AS934" s="3242" t="s">
        <v>3384</v>
      </c>
      <c r="AT934" s="3247">
        <f t="shared" si="79"/>
        <v>0</v>
      </c>
      <c r="AU934" s="3248">
        <f t="shared" si="80"/>
        <v>0</v>
      </c>
      <c r="AV934" s="3248">
        <v>0</v>
      </c>
      <c r="AW934" s="3247">
        <v>0</v>
      </c>
      <c r="AX934" s="3248">
        <v>0</v>
      </c>
      <c r="AY934" s="3248">
        <v>0</v>
      </c>
      <c r="AZ934" s="3247">
        <v>0</v>
      </c>
      <c r="BA934" s="3248">
        <v>0</v>
      </c>
      <c r="BB934" s="3248">
        <v>0</v>
      </c>
      <c r="BC934" s="3247">
        <v>0</v>
      </c>
      <c r="BD934" s="3248">
        <v>0</v>
      </c>
      <c r="BE934" s="3248">
        <v>0</v>
      </c>
      <c r="BF934" s="3248">
        <f t="shared" si="81"/>
        <v>0</v>
      </c>
      <c r="BG934" s="3248">
        <f t="shared" si="82"/>
        <v>0</v>
      </c>
      <c r="BH934" s="3249"/>
      <c r="BI934" s="3249"/>
    </row>
    <row r="935" spans="1:61" x14ac:dyDescent="0.3">
      <c r="A935" s="4197" t="s">
        <v>3384</v>
      </c>
      <c r="B935" s="3261"/>
      <c r="C935" s="3243">
        <v>0</v>
      </c>
      <c r="D935" s="3242">
        <v>0</v>
      </c>
      <c r="E935" s="3244"/>
      <c r="F935" s="3244"/>
      <c r="G935" s="3242">
        <v>0</v>
      </c>
      <c r="H935" s="3244"/>
      <c r="I935" s="3244"/>
      <c r="J935" s="3244"/>
      <c r="K935" s="3242">
        <v>0</v>
      </c>
      <c r="L935" s="3244"/>
      <c r="M935" s="3244"/>
      <c r="N935" s="3242" t="s">
        <v>3384</v>
      </c>
      <c r="O935" s="3239">
        <v>0</v>
      </c>
      <c r="P935" s="3242">
        <v>0</v>
      </c>
      <c r="Q935" s="3244"/>
      <c r="R935" s="3244"/>
      <c r="S935" s="3242">
        <v>0</v>
      </c>
      <c r="T935" s="3244"/>
      <c r="U935" s="3244"/>
      <c r="V935" s="3244"/>
      <c r="W935" s="3240">
        <v>0</v>
      </c>
      <c r="X935" s="3244"/>
      <c r="Y935" s="3244"/>
      <c r="Z935" s="3242" t="s">
        <v>3384</v>
      </c>
      <c r="AA935" s="3243">
        <v>0</v>
      </c>
      <c r="AB935" s="3242">
        <v>0</v>
      </c>
      <c r="AC935" s="3244"/>
      <c r="AD935" s="3244"/>
      <c r="AE935" s="3242">
        <v>0</v>
      </c>
      <c r="AF935" s="3259"/>
      <c r="AG935" s="3260"/>
      <c r="AH935" s="3260"/>
      <c r="AI935" s="3260"/>
      <c r="AJ935" s="3260"/>
      <c r="AK935" s="3260"/>
      <c r="AL935" s="3259"/>
      <c r="AM935" s="3260"/>
      <c r="AN935" s="3259"/>
      <c r="AO935" s="3260"/>
      <c r="AP935" s="3242">
        <v>0</v>
      </c>
      <c r="AQ935" s="3244"/>
      <c r="AR935" s="3244"/>
      <c r="AS935" s="3242" t="s">
        <v>3384</v>
      </c>
      <c r="AT935" s="3247">
        <f t="shared" si="79"/>
        <v>0</v>
      </c>
      <c r="AU935" s="3248">
        <f t="shared" si="80"/>
        <v>0</v>
      </c>
      <c r="AV935" s="3248">
        <v>0</v>
      </c>
      <c r="AW935" s="3247">
        <v>0</v>
      </c>
      <c r="AX935" s="3248">
        <v>0</v>
      </c>
      <c r="AY935" s="3248">
        <v>0</v>
      </c>
      <c r="AZ935" s="3247">
        <v>0</v>
      </c>
      <c r="BA935" s="3248">
        <v>0</v>
      </c>
      <c r="BB935" s="3248">
        <v>0</v>
      </c>
      <c r="BC935" s="3247">
        <v>0</v>
      </c>
      <c r="BD935" s="3248">
        <v>0</v>
      </c>
      <c r="BE935" s="3248">
        <v>0</v>
      </c>
      <c r="BF935" s="3248">
        <f t="shared" si="81"/>
        <v>0</v>
      </c>
      <c r="BG935" s="3248">
        <f t="shared" si="82"/>
        <v>0</v>
      </c>
      <c r="BH935" s="3249"/>
      <c r="BI935" s="3249"/>
    </row>
    <row r="936" spans="1:61" x14ac:dyDescent="0.3">
      <c r="A936" s="4197" t="s">
        <v>3384</v>
      </c>
      <c r="B936" s="3261"/>
      <c r="C936" s="3243">
        <v>0</v>
      </c>
      <c r="D936" s="3242">
        <v>0</v>
      </c>
      <c r="E936" s="3244"/>
      <c r="F936" s="3244"/>
      <c r="G936" s="3242">
        <v>0</v>
      </c>
      <c r="H936" s="3244"/>
      <c r="I936" s="3244"/>
      <c r="J936" s="3244"/>
      <c r="K936" s="3242">
        <v>0</v>
      </c>
      <c r="L936" s="3244"/>
      <c r="M936" s="3244"/>
      <c r="N936" s="3242" t="s">
        <v>3384</v>
      </c>
      <c r="O936" s="3239">
        <v>0</v>
      </c>
      <c r="P936" s="3242">
        <v>0</v>
      </c>
      <c r="Q936" s="3244"/>
      <c r="R936" s="3244"/>
      <c r="S936" s="3242">
        <v>0</v>
      </c>
      <c r="T936" s="3244"/>
      <c r="U936" s="3244"/>
      <c r="V936" s="3244"/>
      <c r="W936" s="3240">
        <v>0</v>
      </c>
      <c r="X936" s="3244"/>
      <c r="Y936" s="3244"/>
      <c r="Z936" s="3242" t="s">
        <v>3384</v>
      </c>
      <c r="AA936" s="3243">
        <v>0</v>
      </c>
      <c r="AB936" s="3242">
        <v>0</v>
      </c>
      <c r="AC936" s="3244"/>
      <c r="AD936" s="3244"/>
      <c r="AE936" s="3242">
        <v>0</v>
      </c>
      <c r="AF936" s="3259"/>
      <c r="AG936" s="3260"/>
      <c r="AH936" s="3260"/>
      <c r="AI936" s="3260"/>
      <c r="AJ936" s="3260"/>
      <c r="AK936" s="3260"/>
      <c r="AL936" s="3259"/>
      <c r="AM936" s="3260"/>
      <c r="AN936" s="3259"/>
      <c r="AO936" s="3260"/>
      <c r="AP936" s="3242">
        <v>0</v>
      </c>
      <c r="AQ936" s="3244"/>
      <c r="AR936" s="3244"/>
      <c r="AS936" s="3242" t="s">
        <v>3384</v>
      </c>
      <c r="AT936" s="3247">
        <f t="shared" si="79"/>
        <v>0</v>
      </c>
      <c r="AU936" s="3248">
        <f t="shared" si="80"/>
        <v>0</v>
      </c>
      <c r="AV936" s="3248">
        <v>0</v>
      </c>
      <c r="AW936" s="3247">
        <v>0</v>
      </c>
      <c r="AX936" s="3248">
        <v>0</v>
      </c>
      <c r="AY936" s="3248">
        <v>0</v>
      </c>
      <c r="AZ936" s="3247">
        <v>0</v>
      </c>
      <c r="BA936" s="3248">
        <v>0</v>
      </c>
      <c r="BB936" s="3248">
        <v>0</v>
      </c>
      <c r="BC936" s="3247">
        <v>0</v>
      </c>
      <c r="BD936" s="3248">
        <v>0</v>
      </c>
      <c r="BE936" s="3248">
        <v>0</v>
      </c>
      <c r="BF936" s="3248">
        <f t="shared" si="81"/>
        <v>0</v>
      </c>
      <c r="BG936" s="3248">
        <f t="shared" si="82"/>
        <v>0</v>
      </c>
      <c r="BH936" s="3249"/>
      <c r="BI936" s="3249"/>
    </row>
    <row r="937" spans="1:61" x14ac:dyDescent="0.3">
      <c r="A937" s="4197" t="s">
        <v>3384</v>
      </c>
      <c r="B937" s="3261"/>
      <c r="C937" s="3243">
        <v>0</v>
      </c>
      <c r="D937" s="3242">
        <v>0</v>
      </c>
      <c r="E937" s="3244"/>
      <c r="F937" s="3244"/>
      <c r="G937" s="3242">
        <v>0</v>
      </c>
      <c r="H937" s="3244"/>
      <c r="I937" s="3244"/>
      <c r="J937" s="3244"/>
      <c r="K937" s="3242">
        <v>0</v>
      </c>
      <c r="L937" s="3244"/>
      <c r="M937" s="3244"/>
      <c r="N937" s="3242" t="s">
        <v>3384</v>
      </c>
      <c r="O937" s="3239">
        <v>0</v>
      </c>
      <c r="P937" s="3242">
        <v>0</v>
      </c>
      <c r="Q937" s="3244"/>
      <c r="R937" s="3244"/>
      <c r="S937" s="3242">
        <v>0</v>
      </c>
      <c r="T937" s="3244"/>
      <c r="U937" s="3244"/>
      <c r="V937" s="3244"/>
      <c r="W937" s="3240">
        <v>0</v>
      </c>
      <c r="X937" s="3244"/>
      <c r="Y937" s="3244"/>
      <c r="Z937" s="3242" t="s">
        <v>3384</v>
      </c>
      <c r="AA937" s="3243">
        <v>0</v>
      </c>
      <c r="AB937" s="3242">
        <v>0</v>
      </c>
      <c r="AC937" s="3244"/>
      <c r="AD937" s="3244"/>
      <c r="AE937" s="3242">
        <v>0</v>
      </c>
      <c r="AF937" s="3259"/>
      <c r="AG937" s="3260"/>
      <c r="AH937" s="3260"/>
      <c r="AI937" s="3260"/>
      <c r="AJ937" s="3260"/>
      <c r="AK937" s="3260"/>
      <c r="AL937" s="3259"/>
      <c r="AM937" s="3260"/>
      <c r="AN937" s="3259"/>
      <c r="AO937" s="3260"/>
      <c r="AP937" s="3242">
        <v>0</v>
      </c>
      <c r="AQ937" s="3244"/>
      <c r="AR937" s="3244"/>
      <c r="AS937" s="3242" t="s">
        <v>3384</v>
      </c>
      <c r="AT937" s="3247">
        <f t="shared" si="79"/>
        <v>0</v>
      </c>
      <c r="AU937" s="3248">
        <f t="shared" si="80"/>
        <v>0</v>
      </c>
      <c r="AV937" s="3248">
        <v>0</v>
      </c>
      <c r="AW937" s="3247">
        <v>0</v>
      </c>
      <c r="AX937" s="3248">
        <v>0</v>
      </c>
      <c r="AY937" s="3248">
        <v>0</v>
      </c>
      <c r="AZ937" s="3247">
        <v>0</v>
      </c>
      <c r="BA937" s="3248">
        <v>0</v>
      </c>
      <c r="BB937" s="3248">
        <v>0</v>
      </c>
      <c r="BC937" s="3247">
        <v>0</v>
      </c>
      <c r="BD937" s="3248">
        <v>0</v>
      </c>
      <c r="BE937" s="3248">
        <v>0</v>
      </c>
      <c r="BF937" s="3248">
        <f t="shared" si="81"/>
        <v>0</v>
      </c>
      <c r="BG937" s="3248">
        <f t="shared" si="82"/>
        <v>0</v>
      </c>
      <c r="BH937" s="3249"/>
      <c r="BI937" s="3249"/>
    </row>
    <row r="938" spans="1:61" x14ac:dyDescent="0.3">
      <c r="A938" s="4197" t="s">
        <v>3384</v>
      </c>
      <c r="B938" s="3261"/>
      <c r="C938" s="3243">
        <v>0</v>
      </c>
      <c r="D938" s="3242">
        <v>0</v>
      </c>
      <c r="E938" s="3244"/>
      <c r="F938" s="3244"/>
      <c r="G938" s="3242">
        <v>0</v>
      </c>
      <c r="H938" s="3244"/>
      <c r="I938" s="3244"/>
      <c r="J938" s="3244"/>
      <c r="K938" s="3242">
        <v>0</v>
      </c>
      <c r="L938" s="3244"/>
      <c r="M938" s="3244"/>
      <c r="N938" s="3242" t="s">
        <v>3384</v>
      </c>
      <c r="O938" s="3239">
        <v>0</v>
      </c>
      <c r="P938" s="3242">
        <v>0</v>
      </c>
      <c r="Q938" s="3244"/>
      <c r="R938" s="3244"/>
      <c r="S938" s="3242">
        <v>0</v>
      </c>
      <c r="T938" s="3244"/>
      <c r="U938" s="3244"/>
      <c r="V938" s="3244"/>
      <c r="W938" s="3240">
        <v>0</v>
      </c>
      <c r="X938" s="3244"/>
      <c r="Y938" s="3244"/>
      <c r="Z938" s="3242" t="s">
        <v>3384</v>
      </c>
      <c r="AA938" s="3243">
        <v>0</v>
      </c>
      <c r="AB938" s="3242">
        <v>0</v>
      </c>
      <c r="AC938" s="3244"/>
      <c r="AD938" s="3244"/>
      <c r="AE938" s="3242">
        <v>0</v>
      </c>
      <c r="AF938" s="3259"/>
      <c r="AG938" s="3260"/>
      <c r="AH938" s="3260"/>
      <c r="AI938" s="3260"/>
      <c r="AJ938" s="3260"/>
      <c r="AK938" s="3260"/>
      <c r="AL938" s="3259"/>
      <c r="AM938" s="3260"/>
      <c r="AN938" s="3259"/>
      <c r="AO938" s="3260"/>
      <c r="AP938" s="3242">
        <v>0</v>
      </c>
      <c r="AQ938" s="3244"/>
      <c r="AR938" s="3244"/>
      <c r="AS938" s="3242" t="s">
        <v>3384</v>
      </c>
      <c r="AT938" s="3247">
        <f t="shared" si="79"/>
        <v>0</v>
      </c>
      <c r="AU938" s="3248">
        <f t="shared" si="80"/>
        <v>0</v>
      </c>
      <c r="AV938" s="3248">
        <v>0</v>
      </c>
      <c r="AW938" s="3247">
        <v>0</v>
      </c>
      <c r="AX938" s="3248">
        <v>0</v>
      </c>
      <c r="AY938" s="3248">
        <v>0</v>
      </c>
      <c r="AZ938" s="3247">
        <v>0</v>
      </c>
      <c r="BA938" s="3248">
        <v>0</v>
      </c>
      <c r="BB938" s="3248">
        <v>0</v>
      </c>
      <c r="BC938" s="3247">
        <v>0</v>
      </c>
      <c r="BD938" s="3248">
        <v>0</v>
      </c>
      <c r="BE938" s="3248">
        <v>0</v>
      </c>
      <c r="BF938" s="3248">
        <f t="shared" si="81"/>
        <v>0</v>
      </c>
      <c r="BG938" s="3248">
        <f t="shared" si="82"/>
        <v>0</v>
      </c>
      <c r="BH938" s="3249"/>
      <c r="BI938" s="3249"/>
    </row>
    <row r="939" spans="1:61" x14ac:dyDescent="0.3">
      <c r="A939" s="4197" t="s">
        <v>3384</v>
      </c>
      <c r="B939" s="3261"/>
      <c r="C939" s="3243">
        <v>0</v>
      </c>
      <c r="D939" s="3242">
        <v>0</v>
      </c>
      <c r="E939" s="3244"/>
      <c r="F939" s="3244"/>
      <c r="G939" s="3242">
        <v>0</v>
      </c>
      <c r="H939" s="3244"/>
      <c r="I939" s="3244"/>
      <c r="J939" s="3244"/>
      <c r="K939" s="3242">
        <v>0</v>
      </c>
      <c r="L939" s="3244"/>
      <c r="M939" s="3244"/>
      <c r="N939" s="3242" t="s">
        <v>3384</v>
      </c>
      <c r="O939" s="3239">
        <v>0</v>
      </c>
      <c r="P939" s="3242">
        <v>0</v>
      </c>
      <c r="Q939" s="3244"/>
      <c r="R939" s="3244"/>
      <c r="S939" s="3242">
        <v>0</v>
      </c>
      <c r="T939" s="3244"/>
      <c r="U939" s="3244"/>
      <c r="V939" s="3244"/>
      <c r="W939" s="3240">
        <v>0</v>
      </c>
      <c r="X939" s="3244"/>
      <c r="Y939" s="3244"/>
      <c r="Z939" s="3242" t="s">
        <v>3384</v>
      </c>
      <c r="AA939" s="3243">
        <v>0</v>
      </c>
      <c r="AB939" s="3242">
        <v>0</v>
      </c>
      <c r="AC939" s="3244"/>
      <c r="AD939" s="3244"/>
      <c r="AE939" s="3242">
        <v>0</v>
      </c>
      <c r="AF939" s="3259"/>
      <c r="AG939" s="3260"/>
      <c r="AH939" s="3260"/>
      <c r="AI939" s="3260"/>
      <c r="AJ939" s="3260"/>
      <c r="AK939" s="3260"/>
      <c r="AL939" s="3259"/>
      <c r="AM939" s="3260"/>
      <c r="AN939" s="3259"/>
      <c r="AO939" s="3260"/>
      <c r="AP939" s="3242">
        <v>0</v>
      </c>
      <c r="AQ939" s="3244"/>
      <c r="AR939" s="3244"/>
      <c r="AS939" s="3242" t="s">
        <v>3384</v>
      </c>
      <c r="AT939" s="3247">
        <f t="shared" si="79"/>
        <v>0</v>
      </c>
      <c r="AU939" s="3248">
        <f t="shared" si="80"/>
        <v>0</v>
      </c>
      <c r="AV939" s="3248">
        <v>0</v>
      </c>
      <c r="AW939" s="3247">
        <v>0</v>
      </c>
      <c r="AX939" s="3248">
        <v>0</v>
      </c>
      <c r="AY939" s="3248">
        <v>0</v>
      </c>
      <c r="AZ939" s="3247">
        <v>0</v>
      </c>
      <c r="BA939" s="3248">
        <v>0</v>
      </c>
      <c r="BB939" s="3248">
        <v>0</v>
      </c>
      <c r="BC939" s="3247">
        <v>0</v>
      </c>
      <c r="BD939" s="3248">
        <v>0</v>
      </c>
      <c r="BE939" s="3248">
        <v>0</v>
      </c>
      <c r="BF939" s="3248">
        <f t="shared" si="81"/>
        <v>0</v>
      </c>
      <c r="BG939" s="3248">
        <f t="shared" si="82"/>
        <v>0</v>
      </c>
      <c r="BH939" s="3249"/>
      <c r="BI939" s="3249"/>
    </row>
    <row r="940" spans="1:61" x14ac:dyDescent="0.3">
      <c r="A940" s="4197" t="s">
        <v>3384</v>
      </c>
      <c r="B940" s="3261"/>
      <c r="C940" s="3243">
        <v>0</v>
      </c>
      <c r="D940" s="3242">
        <v>0</v>
      </c>
      <c r="E940" s="3244"/>
      <c r="F940" s="3244"/>
      <c r="G940" s="3242">
        <v>0</v>
      </c>
      <c r="H940" s="3244"/>
      <c r="I940" s="3244"/>
      <c r="J940" s="3244"/>
      <c r="K940" s="3242">
        <v>0</v>
      </c>
      <c r="L940" s="3244"/>
      <c r="M940" s="3244"/>
      <c r="N940" s="3242" t="s">
        <v>3384</v>
      </c>
      <c r="O940" s="3239">
        <v>0</v>
      </c>
      <c r="P940" s="3242">
        <v>0</v>
      </c>
      <c r="Q940" s="3244"/>
      <c r="R940" s="3244"/>
      <c r="S940" s="3242">
        <v>0</v>
      </c>
      <c r="T940" s="3244"/>
      <c r="U940" s="3244"/>
      <c r="V940" s="3244"/>
      <c r="W940" s="3240">
        <v>0</v>
      </c>
      <c r="X940" s="3244"/>
      <c r="Y940" s="3244"/>
      <c r="Z940" s="3242" t="s">
        <v>3384</v>
      </c>
      <c r="AA940" s="3243">
        <v>0</v>
      </c>
      <c r="AB940" s="3242">
        <v>0</v>
      </c>
      <c r="AC940" s="3244"/>
      <c r="AD940" s="3244"/>
      <c r="AE940" s="3242">
        <v>0</v>
      </c>
      <c r="AF940" s="3259"/>
      <c r="AG940" s="3260"/>
      <c r="AH940" s="3260"/>
      <c r="AI940" s="3260"/>
      <c r="AJ940" s="3260"/>
      <c r="AK940" s="3260"/>
      <c r="AL940" s="3259"/>
      <c r="AM940" s="3260"/>
      <c r="AN940" s="3259"/>
      <c r="AO940" s="3260"/>
      <c r="AP940" s="3242">
        <v>0</v>
      </c>
      <c r="AQ940" s="3244"/>
      <c r="AR940" s="3244"/>
      <c r="AS940" s="3242" t="s">
        <v>3384</v>
      </c>
      <c r="AT940" s="3247">
        <f t="shared" si="79"/>
        <v>0</v>
      </c>
      <c r="AU940" s="3248">
        <f t="shared" si="80"/>
        <v>0</v>
      </c>
      <c r="AV940" s="3248">
        <v>0</v>
      </c>
      <c r="AW940" s="3247">
        <v>0</v>
      </c>
      <c r="AX940" s="3248">
        <v>0</v>
      </c>
      <c r="AY940" s="3248">
        <v>0</v>
      </c>
      <c r="AZ940" s="3247">
        <v>0</v>
      </c>
      <c r="BA940" s="3248">
        <v>0</v>
      </c>
      <c r="BB940" s="3248">
        <v>0</v>
      </c>
      <c r="BC940" s="3247">
        <v>0</v>
      </c>
      <c r="BD940" s="3248">
        <v>0</v>
      </c>
      <c r="BE940" s="3248">
        <v>0</v>
      </c>
      <c r="BF940" s="3248">
        <f t="shared" si="81"/>
        <v>0</v>
      </c>
      <c r="BG940" s="3248">
        <f t="shared" si="82"/>
        <v>0</v>
      </c>
      <c r="BH940" s="3249"/>
      <c r="BI940" s="3249"/>
    </row>
    <row r="941" spans="1:61" x14ac:dyDescent="0.3">
      <c r="A941" s="4197" t="s">
        <v>3384</v>
      </c>
      <c r="B941" s="3261"/>
      <c r="C941" s="3243">
        <v>0</v>
      </c>
      <c r="D941" s="3242">
        <v>0</v>
      </c>
      <c r="E941" s="3244"/>
      <c r="F941" s="3244"/>
      <c r="G941" s="3242">
        <v>0</v>
      </c>
      <c r="H941" s="3244"/>
      <c r="I941" s="3244"/>
      <c r="J941" s="3244"/>
      <c r="K941" s="3242">
        <v>0</v>
      </c>
      <c r="L941" s="3244"/>
      <c r="M941" s="3244"/>
      <c r="N941" s="3242" t="s">
        <v>3384</v>
      </c>
      <c r="O941" s="3239">
        <v>0</v>
      </c>
      <c r="P941" s="3242">
        <v>0</v>
      </c>
      <c r="Q941" s="3244"/>
      <c r="R941" s="3244"/>
      <c r="S941" s="3242">
        <v>0</v>
      </c>
      <c r="T941" s="3244"/>
      <c r="U941" s="3244"/>
      <c r="V941" s="3244"/>
      <c r="W941" s="3240">
        <v>0</v>
      </c>
      <c r="X941" s="3244"/>
      <c r="Y941" s="3244"/>
      <c r="Z941" s="3242" t="s">
        <v>3384</v>
      </c>
      <c r="AA941" s="3243">
        <v>0</v>
      </c>
      <c r="AB941" s="3242">
        <v>0</v>
      </c>
      <c r="AC941" s="3244"/>
      <c r="AD941" s="3244"/>
      <c r="AE941" s="3242">
        <v>0</v>
      </c>
      <c r="AF941" s="3259"/>
      <c r="AG941" s="3260"/>
      <c r="AH941" s="3260"/>
      <c r="AI941" s="3260"/>
      <c r="AJ941" s="3260"/>
      <c r="AK941" s="3260"/>
      <c r="AL941" s="3259"/>
      <c r="AM941" s="3260"/>
      <c r="AN941" s="3259"/>
      <c r="AO941" s="3260"/>
      <c r="AP941" s="3242">
        <v>0</v>
      </c>
      <c r="AQ941" s="3244"/>
      <c r="AR941" s="3244"/>
      <c r="AS941" s="3242" t="s">
        <v>3384</v>
      </c>
      <c r="AT941" s="3247">
        <f t="shared" si="79"/>
        <v>0</v>
      </c>
      <c r="AU941" s="3248">
        <f t="shared" si="80"/>
        <v>0</v>
      </c>
      <c r="AV941" s="3248">
        <v>0</v>
      </c>
      <c r="AW941" s="3247">
        <v>0</v>
      </c>
      <c r="AX941" s="3248">
        <v>0</v>
      </c>
      <c r="AY941" s="3248">
        <v>0</v>
      </c>
      <c r="AZ941" s="3247">
        <v>0</v>
      </c>
      <c r="BA941" s="3248">
        <v>0</v>
      </c>
      <c r="BB941" s="3248">
        <v>0</v>
      </c>
      <c r="BC941" s="3247">
        <v>0</v>
      </c>
      <c r="BD941" s="3248">
        <v>0</v>
      </c>
      <c r="BE941" s="3248">
        <v>0</v>
      </c>
      <c r="BF941" s="3248">
        <f t="shared" si="81"/>
        <v>0</v>
      </c>
      <c r="BG941" s="3248">
        <f t="shared" si="82"/>
        <v>0</v>
      </c>
      <c r="BH941" s="3249"/>
      <c r="BI941" s="3249"/>
    </row>
    <row r="942" spans="1:61" x14ac:dyDescent="0.3">
      <c r="A942" s="4197" t="s">
        <v>3384</v>
      </c>
      <c r="B942" s="3261"/>
      <c r="C942" s="3243">
        <v>0</v>
      </c>
      <c r="D942" s="3242">
        <v>0</v>
      </c>
      <c r="E942" s="3244"/>
      <c r="F942" s="3244"/>
      <c r="G942" s="3242">
        <v>0</v>
      </c>
      <c r="H942" s="3244"/>
      <c r="I942" s="3244"/>
      <c r="J942" s="3244"/>
      <c r="K942" s="3242">
        <v>0</v>
      </c>
      <c r="L942" s="3244"/>
      <c r="M942" s="3244"/>
      <c r="N942" s="3242" t="s">
        <v>3384</v>
      </c>
      <c r="O942" s="3239">
        <v>0</v>
      </c>
      <c r="P942" s="3242">
        <v>0</v>
      </c>
      <c r="Q942" s="3244"/>
      <c r="R942" s="3244"/>
      <c r="S942" s="3242">
        <v>0</v>
      </c>
      <c r="T942" s="3244"/>
      <c r="U942" s="3244"/>
      <c r="V942" s="3244"/>
      <c r="W942" s="3240">
        <v>0</v>
      </c>
      <c r="X942" s="3244"/>
      <c r="Y942" s="3244"/>
      <c r="Z942" s="3242" t="s">
        <v>3384</v>
      </c>
      <c r="AA942" s="3243">
        <v>0</v>
      </c>
      <c r="AB942" s="3242">
        <v>0</v>
      </c>
      <c r="AC942" s="3244"/>
      <c r="AD942" s="3244"/>
      <c r="AE942" s="3242">
        <v>0</v>
      </c>
      <c r="AF942" s="3259"/>
      <c r="AG942" s="3260"/>
      <c r="AH942" s="3260"/>
      <c r="AI942" s="3260"/>
      <c r="AJ942" s="3260"/>
      <c r="AK942" s="3260"/>
      <c r="AL942" s="3259"/>
      <c r="AM942" s="3260"/>
      <c r="AN942" s="3259"/>
      <c r="AO942" s="3260"/>
      <c r="AP942" s="3242">
        <v>0</v>
      </c>
      <c r="AQ942" s="3244"/>
      <c r="AR942" s="3244"/>
      <c r="AS942" s="3242" t="s">
        <v>3384</v>
      </c>
      <c r="AT942" s="3247">
        <f t="shared" si="79"/>
        <v>0</v>
      </c>
      <c r="AU942" s="3248">
        <f t="shared" si="80"/>
        <v>0</v>
      </c>
      <c r="AV942" s="3248">
        <v>0</v>
      </c>
      <c r="AW942" s="3247">
        <v>0</v>
      </c>
      <c r="AX942" s="3248">
        <v>0</v>
      </c>
      <c r="AY942" s="3248">
        <v>0</v>
      </c>
      <c r="AZ942" s="3247">
        <v>0</v>
      </c>
      <c r="BA942" s="3248">
        <v>0</v>
      </c>
      <c r="BB942" s="3248">
        <v>0</v>
      </c>
      <c r="BC942" s="3247">
        <v>0</v>
      </c>
      <c r="BD942" s="3248">
        <v>0</v>
      </c>
      <c r="BE942" s="3248">
        <v>0</v>
      </c>
      <c r="BF942" s="3248">
        <f t="shared" si="81"/>
        <v>0</v>
      </c>
      <c r="BG942" s="3248">
        <f t="shared" si="82"/>
        <v>0</v>
      </c>
      <c r="BH942" s="3249"/>
      <c r="BI942" s="3249"/>
    </row>
    <row r="943" spans="1:61" x14ac:dyDescent="0.3">
      <c r="A943" s="4197" t="s">
        <v>3384</v>
      </c>
      <c r="B943" s="3261"/>
      <c r="C943" s="3243">
        <v>0</v>
      </c>
      <c r="D943" s="3242">
        <v>0</v>
      </c>
      <c r="E943" s="3244"/>
      <c r="F943" s="3244"/>
      <c r="G943" s="3242">
        <v>0</v>
      </c>
      <c r="H943" s="3244"/>
      <c r="I943" s="3244"/>
      <c r="J943" s="3244"/>
      <c r="K943" s="3242">
        <v>0</v>
      </c>
      <c r="L943" s="3244"/>
      <c r="M943" s="3244"/>
      <c r="N943" s="3242" t="s">
        <v>3384</v>
      </c>
      <c r="O943" s="3239">
        <v>0</v>
      </c>
      <c r="P943" s="3242">
        <v>0</v>
      </c>
      <c r="Q943" s="3244"/>
      <c r="R943" s="3244"/>
      <c r="S943" s="3242">
        <v>0</v>
      </c>
      <c r="T943" s="3244"/>
      <c r="U943" s="3244"/>
      <c r="V943" s="3244"/>
      <c r="W943" s="3240">
        <v>0</v>
      </c>
      <c r="X943" s="3244"/>
      <c r="Y943" s="3244"/>
      <c r="Z943" s="3242" t="s">
        <v>3384</v>
      </c>
      <c r="AA943" s="3243">
        <v>0</v>
      </c>
      <c r="AB943" s="3242">
        <v>0</v>
      </c>
      <c r="AC943" s="3244"/>
      <c r="AD943" s="3244"/>
      <c r="AE943" s="3242">
        <v>0</v>
      </c>
      <c r="AF943" s="3259"/>
      <c r="AG943" s="3260"/>
      <c r="AH943" s="3260"/>
      <c r="AI943" s="3260"/>
      <c r="AJ943" s="3260"/>
      <c r="AK943" s="3260"/>
      <c r="AL943" s="3259"/>
      <c r="AM943" s="3260"/>
      <c r="AN943" s="3259"/>
      <c r="AO943" s="3260"/>
      <c r="AP943" s="3242">
        <v>0</v>
      </c>
      <c r="AQ943" s="3244"/>
      <c r="AR943" s="3244"/>
      <c r="AS943" s="3242" t="s">
        <v>3384</v>
      </c>
      <c r="AT943" s="3247">
        <f t="shared" si="79"/>
        <v>0</v>
      </c>
      <c r="AU943" s="3248">
        <f t="shared" si="80"/>
        <v>0</v>
      </c>
      <c r="AV943" s="3248">
        <v>0</v>
      </c>
      <c r="AW943" s="3247">
        <v>0</v>
      </c>
      <c r="AX943" s="3248">
        <v>0</v>
      </c>
      <c r="AY943" s="3248">
        <v>0</v>
      </c>
      <c r="AZ943" s="3247">
        <v>0</v>
      </c>
      <c r="BA943" s="3248">
        <v>0</v>
      </c>
      <c r="BB943" s="3248">
        <v>0</v>
      </c>
      <c r="BC943" s="3247">
        <v>0</v>
      </c>
      <c r="BD943" s="3248">
        <v>0</v>
      </c>
      <c r="BE943" s="3248">
        <v>0</v>
      </c>
      <c r="BF943" s="3248">
        <f t="shared" si="81"/>
        <v>0</v>
      </c>
      <c r="BG943" s="3248">
        <f t="shared" si="82"/>
        <v>0</v>
      </c>
      <c r="BH943" s="3249"/>
      <c r="BI943" s="3249"/>
    </row>
    <row r="944" spans="1:61" x14ac:dyDescent="0.3">
      <c r="A944" s="4197" t="s">
        <v>3384</v>
      </c>
      <c r="B944" s="3261"/>
      <c r="C944" s="3243">
        <v>0</v>
      </c>
      <c r="D944" s="3242">
        <v>0</v>
      </c>
      <c r="E944" s="3244"/>
      <c r="F944" s="3244"/>
      <c r="G944" s="3242">
        <v>0</v>
      </c>
      <c r="H944" s="3244"/>
      <c r="I944" s="3244"/>
      <c r="J944" s="3244"/>
      <c r="K944" s="3242">
        <v>0</v>
      </c>
      <c r="L944" s="3244"/>
      <c r="M944" s="3244"/>
      <c r="N944" s="3242" t="s">
        <v>3384</v>
      </c>
      <c r="O944" s="3239">
        <v>0</v>
      </c>
      <c r="P944" s="3242">
        <v>0</v>
      </c>
      <c r="Q944" s="3244"/>
      <c r="R944" s="3244"/>
      <c r="S944" s="3242">
        <v>0</v>
      </c>
      <c r="T944" s="3244"/>
      <c r="U944" s="3244"/>
      <c r="V944" s="3244"/>
      <c r="W944" s="3240">
        <v>0</v>
      </c>
      <c r="X944" s="3244"/>
      <c r="Y944" s="3244"/>
      <c r="Z944" s="3242" t="s">
        <v>3384</v>
      </c>
      <c r="AA944" s="3243">
        <v>0</v>
      </c>
      <c r="AB944" s="3242">
        <v>0</v>
      </c>
      <c r="AC944" s="3244"/>
      <c r="AD944" s="3244"/>
      <c r="AE944" s="3242">
        <v>0</v>
      </c>
      <c r="AF944" s="3259"/>
      <c r="AG944" s="3260"/>
      <c r="AH944" s="3260"/>
      <c r="AI944" s="3260"/>
      <c r="AJ944" s="3260"/>
      <c r="AK944" s="3260"/>
      <c r="AL944" s="3259"/>
      <c r="AM944" s="3260"/>
      <c r="AN944" s="3259"/>
      <c r="AO944" s="3260"/>
      <c r="AP944" s="3242">
        <v>0</v>
      </c>
      <c r="AQ944" s="3244"/>
      <c r="AR944" s="3244"/>
      <c r="AS944" s="3242" t="s">
        <v>3384</v>
      </c>
      <c r="AT944" s="3247">
        <f t="shared" si="79"/>
        <v>0</v>
      </c>
      <c r="AU944" s="3248">
        <f t="shared" si="80"/>
        <v>0</v>
      </c>
      <c r="AV944" s="3248">
        <v>0</v>
      </c>
      <c r="AW944" s="3247">
        <v>0</v>
      </c>
      <c r="AX944" s="3248">
        <v>0</v>
      </c>
      <c r="AY944" s="3248">
        <v>0</v>
      </c>
      <c r="AZ944" s="3247">
        <v>0</v>
      </c>
      <c r="BA944" s="3248">
        <v>0</v>
      </c>
      <c r="BB944" s="3248">
        <v>0</v>
      </c>
      <c r="BC944" s="3247">
        <v>0</v>
      </c>
      <c r="BD944" s="3248">
        <v>0</v>
      </c>
      <c r="BE944" s="3248">
        <v>0</v>
      </c>
      <c r="BF944" s="3248">
        <f t="shared" si="81"/>
        <v>0</v>
      </c>
      <c r="BG944" s="3248">
        <f t="shared" si="82"/>
        <v>0</v>
      </c>
      <c r="BH944" s="3249"/>
      <c r="BI944" s="3249"/>
    </row>
    <row r="945" spans="1:61" x14ac:dyDescent="0.3">
      <c r="A945" s="4197" t="s">
        <v>3384</v>
      </c>
      <c r="B945" s="3261"/>
      <c r="C945" s="3243">
        <v>0</v>
      </c>
      <c r="D945" s="3242">
        <v>0</v>
      </c>
      <c r="E945" s="3244"/>
      <c r="F945" s="3244"/>
      <c r="G945" s="3242">
        <v>0</v>
      </c>
      <c r="H945" s="3244"/>
      <c r="I945" s="3244"/>
      <c r="J945" s="3244"/>
      <c r="K945" s="3242">
        <v>0</v>
      </c>
      <c r="L945" s="3244"/>
      <c r="M945" s="3244"/>
      <c r="N945" s="3242" t="s">
        <v>3384</v>
      </c>
      <c r="O945" s="3239">
        <v>0</v>
      </c>
      <c r="P945" s="3242">
        <v>0</v>
      </c>
      <c r="Q945" s="3244"/>
      <c r="R945" s="3244"/>
      <c r="S945" s="3242">
        <v>0</v>
      </c>
      <c r="T945" s="3244"/>
      <c r="U945" s="3244"/>
      <c r="V945" s="3244"/>
      <c r="W945" s="3240">
        <v>0</v>
      </c>
      <c r="X945" s="3244"/>
      <c r="Y945" s="3244"/>
      <c r="Z945" s="3242" t="s">
        <v>3384</v>
      </c>
      <c r="AA945" s="3243">
        <v>0</v>
      </c>
      <c r="AB945" s="3242">
        <v>0</v>
      </c>
      <c r="AC945" s="3244"/>
      <c r="AD945" s="3244"/>
      <c r="AE945" s="3242">
        <v>0</v>
      </c>
      <c r="AF945" s="3259"/>
      <c r="AG945" s="3260"/>
      <c r="AH945" s="3260"/>
      <c r="AI945" s="3260"/>
      <c r="AJ945" s="3260"/>
      <c r="AK945" s="3260"/>
      <c r="AL945" s="3259"/>
      <c r="AM945" s="3260"/>
      <c r="AN945" s="3259"/>
      <c r="AO945" s="3260"/>
      <c r="AP945" s="3242">
        <v>0</v>
      </c>
      <c r="AQ945" s="3244"/>
      <c r="AR945" s="3244"/>
      <c r="AS945" s="3242" t="s">
        <v>3384</v>
      </c>
      <c r="AT945" s="3247">
        <f t="shared" si="79"/>
        <v>0</v>
      </c>
      <c r="AU945" s="3248">
        <f t="shared" si="80"/>
        <v>0</v>
      </c>
      <c r="AV945" s="3248">
        <v>0</v>
      </c>
      <c r="AW945" s="3247">
        <v>0</v>
      </c>
      <c r="AX945" s="3248">
        <v>0</v>
      </c>
      <c r="AY945" s="3248">
        <v>0</v>
      </c>
      <c r="AZ945" s="3247">
        <v>0</v>
      </c>
      <c r="BA945" s="3248">
        <v>0</v>
      </c>
      <c r="BB945" s="3248">
        <v>0</v>
      </c>
      <c r="BC945" s="3247">
        <v>0</v>
      </c>
      <c r="BD945" s="3248">
        <v>0</v>
      </c>
      <c r="BE945" s="3248">
        <v>0</v>
      </c>
      <c r="BF945" s="3248">
        <f t="shared" si="81"/>
        <v>0</v>
      </c>
      <c r="BG945" s="3248">
        <f t="shared" si="82"/>
        <v>0</v>
      </c>
      <c r="BH945" s="3249"/>
      <c r="BI945" s="3249"/>
    </row>
    <row r="946" spans="1:61" x14ac:dyDescent="0.3">
      <c r="A946" s="4197" t="s">
        <v>3384</v>
      </c>
      <c r="B946" s="3261"/>
      <c r="C946" s="3243">
        <v>0</v>
      </c>
      <c r="D946" s="3242">
        <v>0</v>
      </c>
      <c r="E946" s="3244"/>
      <c r="F946" s="3244"/>
      <c r="G946" s="3242">
        <v>0</v>
      </c>
      <c r="H946" s="3244"/>
      <c r="I946" s="3244"/>
      <c r="J946" s="3244"/>
      <c r="K946" s="3242">
        <v>0</v>
      </c>
      <c r="L946" s="3244"/>
      <c r="M946" s="3244"/>
      <c r="N946" s="3242" t="s">
        <v>3384</v>
      </c>
      <c r="O946" s="3239">
        <v>0</v>
      </c>
      <c r="P946" s="3242">
        <v>0</v>
      </c>
      <c r="Q946" s="3244"/>
      <c r="R946" s="3244"/>
      <c r="S946" s="3242">
        <v>0</v>
      </c>
      <c r="T946" s="3244"/>
      <c r="U946" s="3244"/>
      <c r="V946" s="3244"/>
      <c r="W946" s="3240">
        <v>0</v>
      </c>
      <c r="X946" s="3244"/>
      <c r="Y946" s="3244"/>
      <c r="Z946" s="3242" t="s">
        <v>3384</v>
      </c>
      <c r="AA946" s="3243">
        <v>0</v>
      </c>
      <c r="AB946" s="3242">
        <v>0</v>
      </c>
      <c r="AC946" s="3244"/>
      <c r="AD946" s="3244"/>
      <c r="AE946" s="3242">
        <v>0</v>
      </c>
      <c r="AF946" s="3259"/>
      <c r="AG946" s="3260"/>
      <c r="AH946" s="3260"/>
      <c r="AI946" s="3260"/>
      <c r="AJ946" s="3260"/>
      <c r="AK946" s="3260"/>
      <c r="AL946" s="3259"/>
      <c r="AM946" s="3260"/>
      <c r="AN946" s="3259"/>
      <c r="AO946" s="3260"/>
      <c r="AP946" s="3242">
        <v>0</v>
      </c>
      <c r="AQ946" s="3244"/>
      <c r="AR946" s="3244"/>
      <c r="AS946" s="3242" t="s">
        <v>3384</v>
      </c>
      <c r="AT946" s="3247">
        <f t="shared" si="79"/>
        <v>0</v>
      </c>
      <c r="AU946" s="3248">
        <f t="shared" si="80"/>
        <v>0</v>
      </c>
      <c r="AV946" s="3248">
        <v>0</v>
      </c>
      <c r="AW946" s="3247">
        <v>0</v>
      </c>
      <c r="AX946" s="3248">
        <v>0</v>
      </c>
      <c r="AY946" s="3248">
        <v>0</v>
      </c>
      <c r="AZ946" s="3247">
        <v>0</v>
      </c>
      <c r="BA946" s="3248">
        <v>0</v>
      </c>
      <c r="BB946" s="3248">
        <v>0</v>
      </c>
      <c r="BC946" s="3247">
        <v>0</v>
      </c>
      <c r="BD946" s="3248">
        <v>0</v>
      </c>
      <c r="BE946" s="3248">
        <v>0</v>
      </c>
      <c r="BF946" s="3248">
        <f t="shared" si="81"/>
        <v>0</v>
      </c>
      <c r="BG946" s="3248">
        <f t="shared" si="82"/>
        <v>0</v>
      </c>
      <c r="BH946" s="3249"/>
      <c r="BI946" s="3249"/>
    </row>
    <row r="947" spans="1:61" x14ac:dyDescent="0.3">
      <c r="A947" s="4197" t="s">
        <v>3384</v>
      </c>
      <c r="B947" s="3261"/>
      <c r="C947" s="3243">
        <v>0</v>
      </c>
      <c r="D947" s="3242">
        <v>0</v>
      </c>
      <c r="E947" s="3244"/>
      <c r="F947" s="3244"/>
      <c r="G947" s="3242">
        <v>0</v>
      </c>
      <c r="H947" s="3244"/>
      <c r="I947" s="3244"/>
      <c r="J947" s="3244"/>
      <c r="K947" s="3242">
        <v>0</v>
      </c>
      <c r="L947" s="3244"/>
      <c r="M947" s="3244"/>
      <c r="N947" s="3242" t="s">
        <v>3384</v>
      </c>
      <c r="O947" s="3239">
        <v>0</v>
      </c>
      <c r="P947" s="3242">
        <v>0</v>
      </c>
      <c r="Q947" s="3244"/>
      <c r="R947" s="3244"/>
      <c r="S947" s="3242">
        <v>0</v>
      </c>
      <c r="T947" s="3244"/>
      <c r="U947" s="3244"/>
      <c r="V947" s="3244"/>
      <c r="W947" s="3240">
        <v>0</v>
      </c>
      <c r="X947" s="3244"/>
      <c r="Y947" s="3244"/>
      <c r="Z947" s="3242" t="s">
        <v>3384</v>
      </c>
      <c r="AA947" s="3243">
        <v>0</v>
      </c>
      <c r="AB947" s="3242">
        <v>0</v>
      </c>
      <c r="AC947" s="3244"/>
      <c r="AD947" s="3244"/>
      <c r="AE947" s="3242">
        <v>0</v>
      </c>
      <c r="AF947" s="3259"/>
      <c r="AG947" s="3260"/>
      <c r="AH947" s="3260"/>
      <c r="AI947" s="3260"/>
      <c r="AJ947" s="3260"/>
      <c r="AK947" s="3260"/>
      <c r="AL947" s="3259"/>
      <c r="AM947" s="3260"/>
      <c r="AN947" s="3259"/>
      <c r="AO947" s="3260"/>
      <c r="AP947" s="3242">
        <v>0</v>
      </c>
      <c r="AQ947" s="3244"/>
      <c r="AR947" s="3244"/>
      <c r="AS947" s="3242" t="s">
        <v>3384</v>
      </c>
      <c r="AT947" s="3247">
        <f t="shared" si="79"/>
        <v>0</v>
      </c>
      <c r="AU947" s="3248">
        <f t="shared" si="80"/>
        <v>0</v>
      </c>
      <c r="AV947" s="3248">
        <v>0</v>
      </c>
      <c r="AW947" s="3247">
        <v>0</v>
      </c>
      <c r="AX947" s="3248">
        <v>0</v>
      </c>
      <c r="AY947" s="3248">
        <v>0</v>
      </c>
      <c r="AZ947" s="3247">
        <v>0</v>
      </c>
      <c r="BA947" s="3248">
        <v>0</v>
      </c>
      <c r="BB947" s="3248">
        <v>0</v>
      </c>
      <c r="BC947" s="3247">
        <v>0</v>
      </c>
      <c r="BD947" s="3248">
        <v>0</v>
      </c>
      <c r="BE947" s="3248">
        <v>0</v>
      </c>
      <c r="BF947" s="3248">
        <f t="shared" si="81"/>
        <v>0</v>
      </c>
      <c r="BG947" s="3248">
        <f t="shared" si="82"/>
        <v>0</v>
      </c>
      <c r="BH947" s="3249"/>
      <c r="BI947" s="3249"/>
    </row>
    <row r="948" spans="1:61" x14ac:dyDescent="0.3">
      <c r="A948" s="4197" t="s">
        <v>3384</v>
      </c>
      <c r="B948" s="3261"/>
      <c r="C948" s="3243">
        <v>0</v>
      </c>
      <c r="D948" s="3242">
        <v>0</v>
      </c>
      <c r="E948" s="3244"/>
      <c r="F948" s="3244"/>
      <c r="G948" s="3242">
        <v>0</v>
      </c>
      <c r="H948" s="3244"/>
      <c r="I948" s="3244"/>
      <c r="J948" s="3244"/>
      <c r="K948" s="3242">
        <v>0</v>
      </c>
      <c r="L948" s="3244"/>
      <c r="M948" s="3244"/>
      <c r="N948" s="3242" t="s">
        <v>3384</v>
      </c>
      <c r="O948" s="3239">
        <v>0</v>
      </c>
      <c r="P948" s="3242">
        <v>0</v>
      </c>
      <c r="Q948" s="3244"/>
      <c r="R948" s="3244"/>
      <c r="S948" s="3242">
        <v>0</v>
      </c>
      <c r="T948" s="3244"/>
      <c r="U948" s="3244"/>
      <c r="V948" s="3244"/>
      <c r="W948" s="3240">
        <v>0</v>
      </c>
      <c r="X948" s="3244"/>
      <c r="Y948" s="3244"/>
      <c r="Z948" s="3242" t="s">
        <v>3384</v>
      </c>
      <c r="AA948" s="3243">
        <v>0</v>
      </c>
      <c r="AB948" s="3242">
        <v>0</v>
      </c>
      <c r="AC948" s="3244"/>
      <c r="AD948" s="3244"/>
      <c r="AE948" s="3242">
        <v>0</v>
      </c>
      <c r="AF948" s="3259"/>
      <c r="AG948" s="3260"/>
      <c r="AH948" s="3260"/>
      <c r="AI948" s="3260"/>
      <c r="AJ948" s="3260"/>
      <c r="AK948" s="3260"/>
      <c r="AL948" s="3259"/>
      <c r="AM948" s="3260"/>
      <c r="AN948" s="3259"/>
      <c r="AO948" s="3260"/>
      <c r="AP948" s="3242">
        <v>0</v>
      </c>
      <c r="AQ948" s="3244"/>
      <c r="AR948" s="3244"/>
      <c r="AS948" s="3242" t="s">
        <v>3384</v>
      </c>
      <c r="AT948" s="3247">
        <f t="shared" si="79"/>
        <v>0</v>
      </c>
      <c r="AU948" s="3248">
        <f t="shared" si="80"/>
        <v>0</v>
      </c>
      <c r="AV948" s="3248">
        <v>0</v>
      </c>
      <c r="AW948" s="3247">
        <v>0</v>
      </c>
      <c r="AX948" s="3248">
        <v>0</v>
      </c>
      <c r="AY948" s="3248">
        <v>0</v>
      </c>
      <c r="AZ948" s="3247">
        <v>0</v>
      </c>
      <c r="BA948" s="3248">
        <v>0</v>
      </c>
      <c r="BB948" s="3248">
        <v>0</v>
      </c>
      <c r="BC948" s="3247">
        <v>0</v>
      </c>
      <c r="BD948" s="3248">
        <v>0</v>
      </c>
      <c r="BE948" s="3248">
        <v>0</v>
      </c>
      <c r="BF948" s="3248">
        <f t="shared" si="81"/>
        <v>0</v>
      </c>
      <c r="BG948" s="3248">
        <f t="shared" si="82"/>
        <v>0</v>
      </c>
      <c r="BH948" s="3249"/>
      <c r="BI948" s="3249"/>
    </row>
    <row r="949" spans="1:61" x14ac:dyDescent="0.3">
      <c r="A949" s="4197" t="s">
        <v>3384</v>
      </c>
      <c r="B949" s="3261"/>
      <c r="C949" s="3243">
        <v>0</v>
      </c>
      <c r="D949" s="3242">
        <v>0</v>
      </c>
      <c r="E949" s="3244"/>
      <c r="F949" s="3244"/>
      <c r="G949" s="3242">
        <v>0</v>
      </c>
      <c r="H949" s="3244"/>
      <c r="I949" s="3244"/>
      <c r="J949" s="3244"/>
      <c r="K949" s="3242">
        <v>0</v>
      </c>
      <c r="L949" s="3244"/>
      <c r="M949" s="3244"/>
      <c r="N949" s="3242" t="s">
        <v>3384</v>
      </c>
      <c r="O949" s="3239">
        <v>0</v>
      </c>
      <c r="P949" s="3242">
        <v>0</v>
      </c>
      <c r="Q949" s="3244"/>
      <c r="R949" s="3244"/>
      <c r="S949" s="3242">
        <v>0</v>
      </c>
      <c r="T949" s="3244"/>
      <c r="U949" s="3244"/>
      <c r="V949" s="3244"/>
      <c r="W949" s="3240">
        <v>0</v>
      </c>
      <c r="X949" s="3244"/>
      <c r="Y949" s="3244"/>
      <c r="Z949" s="3242" t="s">
        <v>3384</v>
      </c>
      <c r="AA949" s="3243">
        <v>0</v>
      </c>
      <c r="AB949" s="3242">
        <v>0</v>
      </c>
      <c r="AC949" s="3244"/>
      <c r="AD949" s="3244"/>
      <c r="AE949" s="3242">
        <v>0</v>
      </c>
      <c r="AF949" s="3259"/>
      <c r="AG949" s="3260"/>
      <c r="AH949" s="3260"/>
      <c r="AI949" s="3260"/>
      <c r="AJ949" s="3260"/>
      <c r="AK949" s="3260"/>
      <c r="AL949" s="3259"/>
      <c r="AM949" s="3260"/>
      <c r="AN949" s="3259"/>
      <c r="AO949" s="3260"/>
      <c r="AP949" s="3242">
        <v>0</v>
      </c>
      <c r="AQ949" s="3244"/>
      <c r="AR949" s="3244"/>
      <c r="AS949" s="3242" t="s">
        <v>3384</v>
      </c>
      <c r="AT949" s="3247">
        <f t="shared" si="79"/>
        <v>0</v>
      </c>
      <c r="AU949" s="3248">
        <f t="shared" si="80"/>
        <v>0</v>
      </c>
      <c r="AV949" s="3248">
        <v>0</v>
      </c>
      <c r="AW949" s="3247">
        <v>0</v>
      </c>
      <c r="AX949" s="3248">
        <v>0</v>
      </c>
      <c r="AY949" s="3248">
        <v>0</v>
      </c>
      <c r="AZ949" s="3247">
        <v>0</v>
      </c>
      <c r="BA949" s="3248">
        <v>0</v>
      </c>
      <c r="BB949" s="3248">
        <v>0</v>
      </c>
      <c r="BC949" s="3247">
        <v>0</v>
      </c>
      <c r="BD949" s="3248">
        <v>0</v>
      </c>
      <c r="BE949" s="3248">
        <v>0</v>
      </c>
      <c r="BF949" s="3248">
        <f t="shared" si="81"/>
        <v>0</v>
      </c>
      <c r="BG949" s="3248">
        <f t="shared" si="82"/>
        <v>0</v>
      </c>
      <c r="BH949" s="3249"/>
      <c r="BI949" s="3249"/>
    </row>
    <row r="950" spans="1:61" x14ac:dyDescent="0.3">
      <c r="A950" s="4197" t="s">
        <v>3384</v>
      </c>
      <c r="B950" s="3261"/>
      <c r="C950" s="3243">
        <v>0</v>
      </c>
      <c r="D950" s="3242">
        <v>0</v>
      </c>
      <c r="E950" s="3244"/>
      <c r="F950" s="3244"/>
      <c r="G950" s="3242">
        <v>0</v>
      </c>
      <c r="H950" s="3244"/>
      <c r="I950" s="3244"/>
      <c r="J950" s="3244"/>
      <c r="K950" s="3242">
        <v>0</v>
      </c>
      <c r="L950" s="3244"/>
      <c r="M950" s="3244"/>
      <c r="N950" s="3242" t="s">
        <v>3384</v>
      </c>
      <c r="O950" s="3239">
        <v>0</v>
      </c>
      <c r="P950" s="3242">
        <v>0</v>
      </c>
      <c r="Q950" s="3244"/>
      <c r="R950" s="3244"/>
      <c r="S950" s="3242">
        <v>0</v>
      </c>
      <c r="T950" s="3244"/>
      <c r="U950" s="3244"/>
      <c r="V950" s="3244"/>
      <c r="W950" s="3240">
        <v>0</v>
      </c>
      <c r="X950" s="3244"/>
      <c r="Y950" s="3244"/>
      <c r="Z950" s="3242" t="s">
        <v>3384</v>
      </c>
      <c r="AA950" s="3243">
        <v>0</v>
      </c>
      <c r="AB950" s="3242">
        <v>0</v>
      </c>
      <c r="AC950" s="3244"/>
      <c r="AD950" s="3244"/>
      <c r="AE950" s="3242">
        <v>0</v>
      </c>
      <c r="AF950" s="3259"/>
      <c r="AG950" s="3260"/>
      <c r="AH950" s="3260"/>
      <c r="AI950" s="3260"/>
      <c r="AJ950" s="3260"/>
      <c r="AK950" s="3260"/>
      <c r="AL950" s="3259"/>
      <c r="AM950" s="3260"/>
      <c r="AN950" s="3259"/>
      <c r="AO950" s="3260"/>
      <c r="AP950" s="3242">
        <v>0</v>
      </c>
      <c r="AQ950" s="3244"/>
      <c r="AR950" s="3244"/>
      <c r="AS950" s="3242" t="s">
        <v>3384</v>
      </c>
      <c r="AT950" s="3247">
        <f t="shared" si="79"/>
        <v>0</v>
      </c>
      <c r="AU950" s="3248">
        <f t="shared" si="80"/>
        <v>0</v>
      </c>
      <c r="AV950" s="3248">
        <v>0</v>
      </c>
      <c r="AW950" s="3247">
        <v>0</v>
      </c>
      <c r="AX950" s="3248">
        <v>0</v>
      </c>
      <c r="AY950" s="3248">
        <v>0</v>
      </c>
      <c r="AZ950" s="3247">
        <v>0</v>
      </c>
      <c r="BA950" s="3248">
        <v>0</v>
      </c>
      <c r="BB950" s="3248">
        <v>0</v>
      </c>
      <c r="BC950" s="3247">
        <v>0</v>
      </c>
      <c r="BD950" s="3248">
        <v>0</v>
      </c>
      <c r="BE950" s="3248">
        <v>0</v>
      </c>
      <c r="BF950" s="3248">
        <f t="shared" si="81"/>
        <v>0</v>
      </c>
      <c r="BG950" s="3248">
        <f t="shared" si="82"/>
        <v>0</v>
      </c>
      <c r="BH950" s="3249"/>
      <c r="BI950" s="3249"/>
    </row>
    <row r="951" spans="1:61" x14ac:dyDescent="0.3">
      <c r="A951" s="4197" t="s">
        <v>3384</v>
      </c>
      <c r="B951" s="3261"/>
      <c r="C951" s="3243">
        <v>0</v>
      </c>
      <c r="D951" s="3242">
        <v>0</v>
      </c>
      <c r="E951" s="3244"/>
      <c r="F951" s="3244"/>
      <c r="G951" s="3242">
        <v>0</v>
      </c>
      <c r="H951" s="3244"/>
      <c r="I951" s="3244"/>
      <c r="J951" s="3244"/>
      <c r="K951" s="3242">
        <v>0</v>
      </c>
      <c r="L951" s="3244"/>
      <c r="M951" s="3244"/>
      <c r="N951" s="3242" t="s">
        <v>3384</v>
      </c>
      <c r="O951" s="3239">
        <v>0</v>
      </c>
      <c r="P951" s="3242">
        <v>0</v>
      </c>
      <c r="Q951" s="3244"/>
      <c r="R951" s="3244"/>
      <c r="S951" s="3242">
        <v>0</v>
      </c>
      <c r="T951" s="3244"/>
      <c r="U951" s="3244"/>
      <c r="V951" s="3244"/>
      <c r="W951" s="3240">
        <v>0</v>
      </c>
      <c r="X951" s="3244"/>
      <c r="Y951" s="3244"/>
      <c r="Z951" s="3242" t="s">
        <v>3384</v>
      </c>
      <c r="AA951" s="3243">
        <v>0</v>
      </c>
      <c r="AB951" s="3242">
        <v>0</v>
      </c>
      <c r="AC951" s="3244"/>
      <c r="AD951" s="3244"/>
      <c r="AE951" s="3242">
        <v>0</v>
      </c>
      <c r="AF951" s="3259"/>
      <c r="AG951" s="3260"/>
      <c r="AH951" s="3260"/>
      <c r="AI951" s="3260"/>
      <c r="AJ951" s="3260"/>
      <c r="AK951" s="3260"/>
      <c r="AL951" s="3259"/>
      <c r="AM951" s="3260"/>
      <c r="AN951" s="3259"/>
      <c r="AO951" s="3260"/>
      <c r="AP951" s="3242">
        <v>0</v>
      </c>
      <c r="AQ951" s="3244"/>
      <c r="AR951" s="3244"/>
      <c r="AS951" s="3242" t="s">
        <v>3384</v>
      </c>
      <c r="AT951" s="3247">
        <f t="shared" si="79"/>
        <v>0</v>
      </c>
      <c r="AU951" s="3248">
        <f t="shared" si="80"/>
        <v>0</v>
      </c>
      <c r="AV951" s="3248">
        <v>0</v>
      </c>
      <c r="AW951" s="3247">
        <v>0</v>
      </c>
      <c r="AX951" s="3248">
        <v>0</v>
      </c>
      <c r="AY951" s="3248">
        <v>0</v>
      </c>
      <c r="AZ951" s="3247">
        <v>0</v>
      </c>
      <c r="BA951" s="3248">
        <v>0</v>
      </c>
      <c r="BB951" s="3248">
        <v>0</v>
      </c>
      <c r="BC951" s="3247">
        <v>0</v>
      </c>
      <c r="BD951" s="3248">
        <v>0</v>
      </c>
      <c r="BE951" s="3248">
        <v>0</v>
      </c>
      <c r="BF951" s="3248">
        <f t="shared" si="81"/>
        <v>0</v>
      </c>
      <c r="BG951" s="3248">
        <f t="shared" si="82"/>
        <v>0</v>
      </c>
      <c r="BH951" s="3249"/>
      <c r="BI951" s="3249"/>
    </row>
    <row r="952" spans="1:61" x14ac:dyDescent="0.3">
      <c r="A952" s="4197" t="s">
        <v>3384</v>
      </c>
      <c r="B952" s="3261"/>
      <c r="C952" s="3243">
        <v>0</v>
      </c>
      <c r="D952" s="3242">
        <v>0</v>
      </c>
      <c r="E952" s="3244"/>
      <c r="F952" s="3244"/>
      <c r="G952" s="3242">
        <v>0</v>
      </c>
      <c r="H952" s="3244"/>
      <c r="I952" s="3244"/>
      <c r="J952" s="3244"/>
      <c r="K952" s="3242">
        <v>0</v>
      </c>
      <c r="L952" s="3244"/>
      <c r="M952" s="3244"/>
      <c r="N952" s="3242" t="s">
        <v>3384</v>
      </c>
      <c r="O952" s="3239">
        <v>0</v>
      </c>
      <c r="P952" s="3242">
        <v>0</v>
      </c>
      <c r="Q952" s="3244"/>
      <c r="R952" s="3244"/>
      <c r="S952" s="3242">
        <v>0</v>
      </c>
      <c r="T952" s="3244"/>
      <c r="U952" s="3244"/>
      <c r="V952" s="3244"/>
      <c r="W952" s="3240">
        <v>0</v>
      </c>
      <c r="X952" s="3244"/>
      <c r="Y952" s="3244"/>
      <c r="Z952" s="3242" t="s">
        <v>3384</v>
      </c>
      <c r="AA952" s="3243">
        <v>0</v>
      </c>
      <c r="AB952" s="3242">
        <v>0</v>
      </c>
      <c r="AC952" s="3244"/>
      <c r="AD952" s="3244"/>
      <c r="AE952" s="3242">
        <v>0</v>
      </c>
      <c r="AF952" s="3259"/>
      <c r="AG952" s="3260"/>
      <c r="AH952" s="3260"/>
      <c r="AI952" s="3260"/>
      <c r="AJ952" s="3260"/>
      <c r="AK952" s="3260"/>
      <c r="AL952" s="3259"/>
      <c r="AM952" s="3260"/>
      <c r="AN952" s="3259"/>
      <c r="AO952" s="3260"/>
      <c r="AP952" s="3242">
        <v>0</v>
      </c>
      <c r="AQ952" s="3244"/>
      <c r="AR952" s="3244"/>
      <c r="AS952" s="3242" t="s">
        <v>3384</v>
      </c>
      <c r="AT952" s="3247">
        <f t="shared" si="79"/>
        <v>0</v>
      </c>
      <c r="AU952" s="3248">
        <f t="shared" si="80"/>
        <v>0</v>
      </c>
      <c r="AV952" s="3248">
        <v>0</v>
      </c>
      <c r="AW952" s="3247">
        <v>0</v>
      </c>
      <c r="AX952" s="3248">
        <v>0</v>
      </c>
      <c r="AY952" s="3248">
        <v>0</v>
      </c>
      <c r="AZ952" s="3247">
        <v>0</v>
      </c>
      <c r="BA952" s="3248">
        <v>0</v>
      </c>
      <c r="BB952" s="3248">
        <v>0</v>
      </c>
      <c r="BC952" s="3247">
        <v>0</v>
      </c>
      <c r="BD952" s="3248">
        <v>0</v>
      </c>
      <c r="BE952" s="3248">
        <v>0</v>
      </c>
      <c r="BF952" s="3248">
        <f t="shared" si="81"/>
        <v>0</v>
      </c>
      <c r="BG952" s="3248">
        <f t="shared" si="82"/>
        <v>0</v>
      </c>
      <c r="BH952" s="3249"/>
      <c r="BI952" s="3249"/>
    </row>
    <row r="953" spans="1:61" x14ac:dyDescent="0.3">
      <c r="A953" s="4197" t="s">
        <v>3384</v>
      </c>
      <c r="B953" s="3261"/>
      <c r="C953" s="3243">
        <v>0</v>
      </c>
      <c r="D953" s="3242">
        <v>0</v>
      </c>
      <c r="E953" s="3244"/>
      <c r="F953" s="3244"/>
      <c r="G953" s="3242">
        <v>0</v>
      </c>
      <c r="H953" s="3244"/>
      <c r="I953" s="3244"/>
      <c r="J953" s="3244"/>
      <c r="K953" s="3242">
        <v>0</v>
      </c>
      <c r="L953" s="3244"/>
      <c r="M953" s="3244"/>
      <c r="N953" s="3242" t="s">
        <v>3384</v>
      </c>
      <c r="O953" s="3239">
        <v>0</v>
      </c>
      <c r="P953" s="3242">
        <v>0</v>
      </c>
      <c r="Q953" s="3244"/>
      <c r="R953" s="3244"/>
      <c r="S953" s="3242">
        <v>0</v>
      </c>
      <c r="T953" s="3244"/>
      <c r="U953" s="3244"/>
      <c r="V953" s="3244"/>
      <c r="W953" s="3240">
        <v>0</v>
      </c>
      <c r="X953" s="3244"/>
      <c r="Y953" s="3244"/>
      <c r="Z953" s="3242" t="s">
        <v>3384</v>
      </c>
      <c r="AA953" s="3243">
        <v>0</v>
      </c>
      <c r="AB953" s="3242">
        <v>0</v>
      </c>
      <c r="AC953" s="3244"/>
      <c r="AD953" s="3244"/>
      <c r="AE953" s="3242">
        <v>0</v>
      </c>
      <c r="AF953" s="3259"/>
      <c r="AG953" s="3260"/>
      <c r="AH953" s="3260"/>
      <c r="AI953" s="3260"/>
      <c r="AJ953" s="3260"/>
      <c r="AK953" s="3260"/>
      <c r="AL953" s="3259"/>
      <c r="AM953" s="3260"/>
      <c r="AN953" s="3259"/>
      <c r="AO953" s="3260"/>
      <c r="AP953" s="3242">
        <v>0</v>
      </c>
      <c r="AQ953" s="3244"/>
      <c r="AR953" s="3244"/>
      <c r="AS953" s="3242" t="s">
        <v>3384</v>
      </c>
      <c r="AT953" s="3247">
        <f t="shared" si="79"/>
        <v>0</v>
      </c>
      <c r="AU953" s="3248">
        <f t="shared" si="80"/>
        <v>0</v>
      </c>
      <c r="AV953" s="3248">
        <v>0</v>
      </c>
      <c r="AW953" s="3247">
        <v>0</v>
      </c>
      <c r="AX953" s="3248">
        <v>0</v>
      </c>
      <c r="AY953" s="3248">
        <v>0</v>
      </c>
      <c r="AZ953" s="3247">
        <v>0</v>
      </c>
      <c r="BA953" s="3248">
        <v>0</v>
      </c>
      <c r="BB953" s="3248">
        <v>0</v>
      </c>
      <c r="BC953" s="3247">
        <v>0</v>
      </c>
      <c r="BD953" s="3248">
        <v>0</v>
      </c>
      <c r="BE953" s="3248">
        <v>0</v>
      </c>
      <c r="BF953" s="3248">
        <f t="shared" si="81"/>
        <v>0</v>
      </c>
      <c r="BG953" s="3248">
        <f t="shared" si="82"/>
        <v>0</v>
      </c>
      <c r="BH953" s="3249"/>
      <c r="BI953" s="3249"/>
    </row>
    <row r="954" spans="1:61" x14ac:dyDescent="0.3">
      <c r="A954" s="4197" t="s">
        <v>3384</v>
      </c>
      <c r="B954" s="3261"/>
      <c r="C954" s="3243">
        <v>0</v>
      </c>
      <c r="D954" s="3242">
        <v>0</v>
      </c>
      <c r="E954" s="3244"/>
      <c r="F954" s="3244"/>
      <c r="G954" s="3242">
        <v>0</v>
      </c>
      <c r="H954" s="3244"/>
      <c r="I954" s="3244"/>
      <c r="J954" s="3244"/>
      <c r="K954" s="3242">
        <v>0</v>
      </c>
      <c r="L954" s="3244"/>
      <c r="M954" s="3244"/>
      <c r="N954" s="3242" t="s">
        <v>3384</v>
      </c>
      <c r="O954" s="3239">
        <v>0</v>
      </c>
      <c r="P954" s="3242">
        <v>0</v>
      </c>
      <c r="Q954" s="3244"/>
      <c r="R954" s="3244"/>
      <c r="S954" s="3242">
        <v>0</v>
      </c>
      <c r="T954" s="3244"/>
      <c r="U954" s="3244"/>
      <c r="V954" s="3244"/>
      <c r="W954" s="3240">
        <v>0</v>
      </c>
      <c r="X954" s="3244"/>
      <c r="Y954" s="3244"/>
      <c r="Z954" s="3242" t="s">
        <v>3384</v>
      </c>
      <c r="AA954" s="3243">
        <v>0</v>
      </c>
      <c r="AB954" s="3242">
        <v>0</v>
      </c>
      <c r="AC954" s="3244"/>
      <c r="AD954" s="3244"/>
      <c r="AE954" s="3242">
        <v>0</v>
      </c>
      <c r="AF954" s="3259"/>
      <c r="AG954" s="3260"/>
      <c r="AH954" s="3260"/>
      <c r="AI954" s="3260"/>
      <c r="AJ954" s="3260"/>
      <c r="AK954" s="3260"/>
      <c r="AL954" s="3259"/>
      <c r="AM954" s="3260"/>
      <c r="AN954" s="3259"/>
      <c r="AO954" s="3260"/>
      <c r="AP954" s="3242">
        <v>0</v>
      </c>
      <c r="AQ954" s="3244"/>
      <c r="AR954" s="3244"/>
      <c r="AS954" s="3242" t="s">
        <v>3384</v>
      </c>
      <c r="AT954" s="3247">
        <f t="shared" si="79"/>
        <v>0</v>
      </c>
      <c r="AU954" s="3248">
        <f t="shared" si="80"/>
        <v>0</v>
      </c>
      <c r="AV954" s="3248">
        <v>0</v>
      </c>
      <c r="AW954" s="3247">
        <v>0</v>
      </c>
      <c r="AX954" s="3248">
        <v>0</v>
      </c>
      <c r="AY954" s="3248">
        <v>0</v>
      </c>
      <c r="AZ954" s="3247">
        <v>0</v>
      </c>
      <c r="BA954" s="3248">
        <v>0</v>
      </c>
      <c r="BB954" s="3248">
        <v>0</v>
      </c>
      <c r="BC954" s="3247">
        <v>0</v>
      </c>
      <c r="BD954" s="3248">
        <v>0</v>
      </c>
      <c r="BE954" s="3248">
        <v>0</v>
      </c>
      <c r="BF954" s="3248">
        <f t="shared" si="81"/>
        <v>0</v>
      </c>
      <c r="BG954" s="3248">
        <f t="shared" si="82"/>
        <v>0</v>
      </c>
      <c r="BH954" s="3249"/>
      <c r="BI954" s="3249"/>
    </row>
    <row r="955" spans="1:61" x14ac:dyDescent="0.3">
      <c r="A955" s="4197" t="s">
        <v>3384</v>
      </c>
      <c r="B955" s="3261"/>
      <c r="C955" s="3243">
        <v>0</v>
      </c>
      <c r="D955" s="3242">
        <v>0</v>
      </c>
      <c r="E955" s="3244"/>
      <c r="F955" s="3244"/>
      <c r="G955" s="3242">
        <v>0</v>
      </c>
      <c r="H955" s="3244"/>
      <c r="I955" s="3244"/>
      <c r="J955" s="3244"/>
      <c r="K955" s="3242">
        <v>0</v>
      </c>
      <c r="L955" s="3244"/>
      <c r="M955" s="3244"/>
      <c r="N955" s="3242" t="s">
        <v>3384</v>
      </c>
      <c r="O955" s="3239">
        <v>0</v>
      </c>
      <c r="P955" s="3242">
        <v>0</v>
      </c>
      <c r="Q955" s="3244"/>
      <c r="R955" s="3244"/>
      <c r="S955" s="3242">
        <v>0</v>
      </c>
      <c r="T955" s="3244"/>
      <c r="U955" s="3244"/>
      <c r="V955" s="3244"/>
      <c r="W955" s="3240">
        <v>0</v>
      </c>
      <c r="X955" s="3244"/>
      <c r="Y955" s="3244"/>
      <c r="Z955" s="3242" t="s">
        <v>3384</v>
      </c>
      <c r="AA955" s="3243">
        <v>0</v>
      </c>
      <c r="AB955" s="3242">
        <v>0</v>
      </c>
      <c r="AC955" s="3244"/>
      <c r="AD955" s="3244"/>
      <c r="AE955" s="3242">
        <v>0</v>
      </c>
      <c r="AF955" s="3259"/>
      <c r="AG955" s="3260"/>
      <c r="AH955" s="3260"/>
      <c r="AI955" s="3260"/>
      <c r="AJ955" s="3260"/>
      <c r="AK955" s="3260"/>
      <c r="AL955" s="3259"/>
      <c r="AM955" s="3260"/>
      <c r="AN955" s="3259"/>
      <c r="AO955" s="3260"/>
      <c r="AP955" s="3242">
        <v>0</v>
      </c>
      <c r="AQ955" s="3244"/>
      <c r="AR955" s="3244"/>
      <c r="AS955" s="3242" t="s">
        <v>3384</v>
      </c>
      <c r="AT955" s="3247">
        <f t="shared" si="79"/>
        <v>0</v>
      </c>
      <c r="AU955" s="3248">
        <f t="shared" si="80"/>
        <v>0</v>
      </c>
      <c r="AV955" s="3248">
        <v>0</v>
      </c>
      <c r="AW955" s="3247">
        <v>0</v>
      </c>
      <c r="AX955" s="3248">
        <v>0</v>
      </c>
      <c r="AY955" s="3248">
        <v>0</v>
      </c>
      <c r="AZ955" s="3247">
        <v>0</v>
      </c>
      <c r="BA955" s="3248">
        <v>0</v>
      </c>
      <c r="BB955" s="3248">
        <v>0</v>
      </c>
      <c r="BC955" s="3247">
        <v>0</v>
      </c>
      <c r="BD955" s="3248">
        <v>0</v>
      </c>
      <c r="BE955" s="3248">
        <v>0</v>
      </c>
      <c r="BF955" s="3248">
        <f t="shared" si="81"/>
        <v>0</v>
      </c>
      <c r="BG955" s="3248">
        <f t="shared" si="82"/>
        <v>0</v>
      </c>
      <c r="BH955" s="3249"/>
      <c r="BI955" s="3249"/>
    </row>
    <row r="956" spans="1:61" x14ac:dyDescent="0.3">
      <c r="A956" s="4197" t="s">
        <v>3384</v>
      </c>
      <c r="B956" s="3261"/>
      <c r="C956" s="3243">
        <v>0</v>
      </c>
      <c r="D956" s="3242">
        <v>0</v>
      </c>
      <c r="E956" s="3244"/>
      <c r="F956" s="3244"/>
      <c r="G956" s="3242">
        <v>0</v>
      </c>
      <c r="H956" s="3244"/>
      <c r="I956" s="3244"/>
      <c r="J956" s="3244"/>
      <c r="K956" s="3242">
        <v>0</v>
      </c>
      <c r="L956" s="3244"/>
      <c r="M956" s="3244"/>
      <c r="N956" s="3242" t="s">
        <v>3384</v>
      </c>
      <c r="O956" s="3239">
        <v>0</v>
      </c>
      <c r="P956" s="3242">
        <v>0</v>
      </c>
      <c r="Q956" s="3244"/>
      <c r="R956" s="3244"/>
      <c r="S956" s="3242">
        <v>0</v>
      </c>
      <c r="T956" s="3244"/>
      <c r="U956" s="3244"/>
      <c r="V956" s="3244"/>
      <c r="W956" s="3240">
        <v>0</v>
      </c>
      <c r="X956" s="3244"/>
      <c r="Y956" s="3244"/>
      <c r="Z956" s="3242" t="s">
        <v>3384</v>
      </c>
      <c r="AA956" s="3243">
        <v>0</v>
      </c>
      <c r="AB956" s="3242">
        <v>0</v>
      </c>
      <c r="AC956" s="3244"/>
      <c r="AD956" s="3244"/>
      <c r="AE956" s="3242">
        <v>0</v>
      </c>
      <c r="AF956" s="3259"/>
      <c r="AG956" s="3260"/>
      <c r="AH956" s="3260"/>
      <c r="AI956" s="3260"/>
      <c r="AJ956" s="3260"/>
      <c r="AK956" s="3260"/>
      <c r="AL956" s="3259"/>
      <c r="AM956" s="3260"/>
      <c r="AN956" s="3259"/>
      <c r="AO956" s="3260"/>
      <c r="AP956" s="3242">
        <v>0</v>
      </c>
      <c r="AQ956" s="3244"/>
      <c r="AR956" s="3244"/>
      <c r="AS956" s="3242" t="s">
        <v>3384</v>
      </c>
      <c r="AT956" s="3247">
        <f t="shared" si="79"/>
        <v>0</v>
      </c>
      <c r="AU956" s="3248">
        <f t="shared" si="80"/>
        <v>0</v>
      </c>
      <c r="AV956" s="3248">
        <v>0</v>
      </c>
      <c r="AW956" s="3247">
        <v>0</v>
      </c>
      <c r="AX956" s="3248">
        <v>0</v>
      </c>
      <c r="AY956" s="3248">
        <v>0</v>
      </c>
      <c r="AZ956" s="3247">
        <v>0</v>
      </c>
      <c r="BA956" s="3248">
        <v>0</v>
      </c>
      <c r="BB956" s="3248">
        <v>0</v>
      </c>
      <c r="BC956" s="3247">
        <v>0</v>
      </c>
      <c r="BD956" s="3248">
        <v>0</v>
      </c>
      <c r="BE956" s="3248">
        <v>0</v>
      </c>
      <c r="BF956" s="3248">
        <f t="shared" si="81"/>
        <v>0</v>
      </c>
      <c r="BG956" s="3248">
        <f t="shared" si="82"/>
        <v>0</v>
      </c>
      <c r="BH956" s="3249"/>
      <c r="BI956" s="3249"/>
    </row>
    <row r="957" spans="1:61" x14ac:dyDescent="0.3">
      <c r="A957" s="4197" t="s">
        <v>3384</v>
      </c>
      <c r="B957" s="3261"/>
      <c r="C957" s="3243">
        <v>0</v>
      </c>
      <c r="D957" s="3242">
        <v>0</v>
      </c>
      <c r="E957" s="3244"/>
      <c r="F957" s="3244"/>
      <c r="G957" s="3242">
        <v>0</v>
      </c>
      <c r="H957" s="3244"/>
      <c r="I957" s="3244"/>
      <c r="J957" s="3244"/>
      <c r="K957" s="3242">
        <v>0</v>
      </c>
      <c r="L957" s="3244"/>
      <c r="M957" s="3244"/>
      <c r="N957" s="3242" t="s">
        <v>3384</v>
      </c>
      <c r="O957" s="3239">
        <v>0</v>
      </c>
      <c r="P957" s="3242">
        <v>0</v>
      </c>
      <c r="Q957" s="3244"/>
      <c r="R957" s="3244"/>
      <c r="S957" s="3242">
        <v>0</v>
      </c>
      <c r="T957" s="3244"/>
      <c r="U957" s="3244"/>
      <c r="V957" s="3244"/>
      <c r="W957" s="3240">
        <v>0</v>
      </c>
      <c r="X957" s="3244"/>
      <c r="Y957" s="3244"/>
      <c r="Z957" s="3242" t="s">
        <v>3384</v>
      </c>
      <c r="AA957" s="3243">
        <v>0</v>
      </c>
      <c r="AB957" s="3242">
        <v>0</v>
      </c>
      <c r="AC957" s="3244"/>
      <c r="AD957" s="3244"/>
      <c r="AE957" s="3242">
        <v>0</v>
      </c>
      <c r="AF957" s="3259"/>
      <c r="AG957" s="3260"/>
      <c r="AH957" s="3260"/>
      <c r="AI957" s="3260"/>
      <c r="AJ957" s="3260"/>
      <c r="AK957" s="3260"/>
      <c r="AL957" s="3259"/>
      <c r="AM957" s="3260"/>
      <c r="AN957" s="3259"/>
      <c r="AO957" s="3260"/>
      <c r="AP957" s="3242">
        <v>0</v>
      </c>
      <c r="AQ957" s="3244"/>
      <c r="AR957" s="3244"/>
      <c r="AS957" s="3242" t="s">
        <v>3384</v>
      </c>
      <c r="AT957" s="3247">
        <f t="shared" si="79"/>
        <v>0</v>
      </c>
      <c r="AU957" s="3248">
        <f t="shared" si="80"/>
        <v>0</v>
      </c>
      <c r="AV957" s="3248">
        <v>0</v>
      </c>
      <c r="AW957" s="3247">
        <v>0</v>
      </c>
      <c r="AX957" s="3248">
        <v>0</v>
      </c>
      <c r="AY957" s="3248">
        <v>0</v>
      </c>
      <c r="AZ957" s="3247">
        <v>0</v>
      </c>
      <c r="BA957" s="3248">
        <v>0</v>
      </c>
      <c r="BB957" s="3248">
        <v>0</v>
      </c>
      <c r="BC957" s="3247">
        <v>0</v>
      </c>
      <c r="BD957" s="3248">
        <v>0</v>
      </c>
      <c r="BE957" s="3248">
        <v>0</v>
      </c>
      <c r="BF957" s="3248">
        <f t="shared" si="81"/>
        <v>0</v>
      </c>
      <c r="BG957" s="3248">
        <f t="shared" si="82"/>
        <v>0</v>
      </c>
      <c r="BH957" s="3249"/>
      <c r="BI957" s="3249"/>
    </row>
    <row r="958" spans="1:61" x14ac:dyDescent="0.3">
      <c r="A958" s="4197" t="s">
        <v>3384</v>
      </c>
      <c r="B958" s="3261"/>
      <c r="C958" s="3243">
        <v>0</v>
      </c>
      <c r="D958" s="3242">
        <v>0</v>
      </c>
      <c r="E958" s="3244"/>
      <c r="F958" s="3244"/>
      <c r="G958" s="3242">
        <v>0</v>
      </c>
      <c r="H958" s="3244"/>
      <c r="I958" s="3244"/>
      <c r="J958" s="3244"/>
      <c r="K958" s="3242">
        <v>0</v>
      </c>
      <c r="L958" s="3244"/>
      <c r="M958" s="3244"/>
      <c r="N958" s="3242" t="s">
        <v>3384</v>
      </c>
      <c r="O958" s="3239">
        <v>0</v>
      </c>
      <c r="P958" s="3242">
        <v>0</v>
      </c>
      <c r="Q958" s="3244"/>
      <c r="R958" s="3244"/>
      <c r="S958" s="3242">
        <v>0</v>
      </c>
      <c r="T958" s="3244"/>
      <c r="U958" s="3244"/>
      <c r="V958" s="3244"/>
      <c r="W958" s="3240">
        <v>0</v>
      </c>
      <c r="X958" s="3244"/>
      <c r="Y958" s="3244"/>
      <c r="Z958" s="3242" t="s">
        <v>3384</v>
      </c>
      <c r="AA958" s="3243">
        <v>0</v>
      </c>
      <c r="AB958" s="3242">
        <v>0</v>
      </c>
      <c r="AC958" s="3244"/>
      <c r="AD958" s="3244"/>
      <c r="AE958" s="3242">
        <v>0</v>
      </c>
      <c r="AF958" s="3259"/>
      <c r="AG958" s="3260"/>
      <c r="AH958" s="3260"/>
      <c r="AI958" s="3260"/>
      <c r="AJ958" s="3260"/>
      <c r="AK958" s="3260"/>
      <c r="AL958" s="3259"/>
      <c r="AM958" s="3260"/>
      <c r="AN958" s="3259"/>
      <c r="AO958" s="3260"/>
      <c r="AP958" s="3242">
        <v>0</v>
      </c>
      <c r="AQ958" s="3244"/>
      <c r="AR958" s="3244"/>
      <c r="AS958" s="3242" t="s">
        <v>3384</v>
      </c>
      <c r="AT958" s="3247">
        <f t="shared" si="79"/>
        <v>0</v>
      </c>
      <c r="AU958" s="3248">
        <f t="shared" si="80"/>
        <v>0</v>
      </c>
      <c r="AV958" s="3248">
        <v>0</v>
      </c>
      <c r="AW958" s="3247">
        <v>0</v>
      </c>
      <c r="AX958" s="3248">
        <v>0</v>
      </c>
      <c r="AY958" s="3248">
        <v>0</v>
      </c>
      <c r="AZ958" s="3247">
        <v>0</v>
      </c>
      <c r="BA958" s="3248">
        <v>0</v>
      </c>
      <c r="BB958" s="3248">
        <v>0</v>
      </c>
      <c r="BC958" s="3247">
        <v>0</v>
      </c>
      <c r="BD958" s="3248">
        <v>0</v>
      </c>
      <c r="BE958" s="3248">
        <v>0</v>
      </c>
      <c r="BF958" s="3248">
        <f t="shared" si="81"/>
        <v>0</v>
      </c>
      <c r="BG958" s="3248">
        <f t="shared" si="82"/>
        <v>0</v>
      </c>
      <c r="BH958" s="3249"/>
      <c r="BI958" s="3249"/>
    </row>
    <row r="959" spans="1:61" x14ac:dyDescent="0.3">
      <c r="A959" s="4197" t="s">
        <v>3384</v>
      </c>
      <c r="B959" s="3261"/>
      <c r="C959" s="3243">
        <v>0</v>
      </c>
      <c r="D959" s="3242">
        <v>0</v>
      </c>
      <c r="E959" s="3244"/>
      <c r="F959" s="3244"/>
      <c r="G959" s="3242">
        <v>0</v>
      </c>
      <c r="H959" s="3244"/>
      <c r="I959" s="3244"/>
      <c r="J959" s="3244"/>
      <c r="K959" s="3242">
        <v>0</v>
      </c>
      <c r="L959" s="3244"/>
      <c r="M959" s="3244"/>
      <c r="N959" s="3242" t="s">
        <v>3384</v>
      </c>
      <c r="O959" s="3239">
        <v>0</v>
      </c>
      <c r="P959" s="3242">
        <v>0</v>
      </c>
      <c r="Q959" s="3244"/>
      <c r="R959" s="3244"/>
      <c r="S959" s="3242">
        <v>0</v>
      </c>
      <c r="T959" s="3244"/>
      <c r="U959" s="3244"/>
      <c r="V959" s="3244"/>
      <c r="W959" s="3240">
        <v>0</v>
      </c>
      <c r="X959" s="3244"/>
      <c r="Y959" s="3244"/>
      <c r="Z959" s="3242" t="s">
        <v>3384</v>
      </c>
      <c r="AA959" s="3243">
        <v>0</v>
      </c>
      <c r="AB959" s="3242">
        <v>0</v>
      </c>
      <c r="AC959" s="3244"/>
      <c r="AD959" s="3244"/>
      <c r="AE959" s="3242">
        <v>0</v>
      </c>
      <c r="AF959" s="3259"/>
      <c r="AG959" s="3260"/>
      <c r="AH959" s="3260"/>
      <c r="AI959" s="3260"/>
      <c r="AJ959" s="3260"/>
      <c r="AK959" s="3260"/>
      <c r="AL959" s="3259"/>
      <c r="AM959" s="3260"/>
      <c r="AN959" s="3259"/>
      <c r="AO959" s="3260"/>
      <c r="AP959" s="3242">
        <v>0</v>
      </c>
      <c r="AQ959" s="3244"/>
      <c r="AR959" s="3244"/>
      <c r="AS959" s="3242" t="s">
        <v>3384</v>
      </c>
      <c r="AT959" s="3247">
        <f t="shared" si="79"/>
        <v>0</v>
      </c>
      <c r="AU959" s="3248">
        <f t="shared" si="80"/>
        <v>0</v>
      </c>
      <c r="AV959" s="3248">
        <v>0</v>
      </c>
      <c r="AW959" s="3247">
        <v>0</v>
      </c>
      <c r="AX959" s="3248">
        <v>0</v>
      </c>
      <c r="AY959" s="3248">
        <v>0</v>
      </c>
      <c r="AZ959" s="3247">
        <v>0</v>
      </c>
      <c r="BA959" s="3248">
        <v>0</v>
      </c>
      <c r="BB959" s="3248">
        <v>0</v>
      </c>
      <c r="BC959" s="3247">
        <v>0</v>
      </c>
      <c r="BD959" s="3248">
        <v>0</v>
      </c>
      <c r="BE959" s="3248">
        <v>0</v>
      </c>
      <c r="BF959" s="3248">
        <f t="shared" si="81"/>
        <v>0</v>
      </c>
      <c r="BG959" s="3248">
        <f t="shared" si="82"/>
        <v>0</v>
      </c>
      <c r="BH959" s="3249"/>
      <c r="BI959" s="3249"/>
    </row>
    <row r="960" spans="1:61" x14ac:dyDescent="0.3">
      <c r="A960" s="4197" t="s">
        <v>3384</v>
      </c>
      <c r="B960" s="3261"/>
      <c r="C960" s="3243">
        <v>0</v>
      </c>
      <c r="D960" s="3242">
        <v>0</v>
      </c>
      <c r="E960" s="3244"/>
      <c r="F960" s="3244"/>
      <c r="G960" s="3242">
        <v>0</v>
      </c>
      <c r="H960" s="3244"/>
      <c r="I960" s="3244"/>
      <c r="J960" s="3244"/>
      <c r="K960" s="3242">
        <v>0</v>
      </c>
      <c r="L960" s="3244"/>
      <c r="M960" s="3244"/>
      <c r="N960" s="3242" t="s">
        <v>3384</v>
      </c>
      <c r="O960" s="3239">
        <v>0</v>
      </c>
      <c r="P960" s="3242">
        <v>0</v>
      </c>
      <c r="Q960" s="3244"/>
      <c r="R960" s="3244"/>
      <c r="S960" s="3242">
        <v>0</v>
      </c>
      <c r="T960" s="3244"/>
      <c r="U960" s="3244"/>
      <c r="V960" s="3244"/>
      <c r="W960" s="3240">
        <v>0</v>
      </c>
      <c r="X960" s="3244"/>
      <c r="Y960" s="3244"/>
      <c r="Z960" s="3242" t="s">
        <v>3384</v>
      </c>
      <c r="AA960" s="3243">
        <v>0</v>
      </c>
      <c r="AB960" s="3242">
        <v>0</v>
      </c>
      <c r="AC960" s="3244"/>
      <c r="AD960" s="3244"/>
      <c r="AE960" s="3242">
        <v>0</v>
      </c>
      <c r="AF960" s="3259"/>
      <c r="AG960" s="3260"/>
      <c r="AH960" s="3260"/>
      <c r="AI960" s="3260"/>
      <c r="AJ960" s="3260"/>
      <c r="AK960" s="3260"/>
      <c r="AL960" s="3259"/>
      <c r="AM960" s="3260"/>
      <c r="AN960" s="3259"/>
      <c r="AO960" s="3260"/>
      <c r="AP960" s="3242">
        <v>0</v>
      </c>
      <c r="AQ960" s="3244"/>
      <c r="AR960" s="3244"/>
      <c r="AS960" s="3242" t="s">
        <v>3384</v>
      </c>
      <c r="AT960" s="3247">
        <f t="shared" si="79"/>
        <v>0</v>
      </c>
      <c r="AU960" s="3248">
        <f t="shared" si="80"/>
        <v>0</v>
      </c>
      <c r="AV960" s="3248">
        <v>0</v>
      </c>
      <c r="AW960" s="3247">
        <v>0</v>
      </c>
      <c r="AX960" s="3248">
        <v>0</v>
      </c>
      <c r="AY960" s="3248">
        <v>0</v>
      </c>
      <c r="AZ960" s="3247">
        <v>0</v>
      </c>
      <c r="BA960" s="3248">
        <v>0</v>
      </c>
      <c r="BB960" s="3248">
        <v>0</v>
      </c>
      <c r="BC960" s="3247">
        <v>0</v>
      </c>
      <c r="BD960" s="3248">
        <v>0</v>
      </c>
      <c r="BE960" s="3248">
        <v>0</v>
      </c>
      <c r="BF960" s="3248">
        <f t="shared" si="81"/>
        <v>0</v>
      </c>
      <c r="BG960" s="3248">
        <f t="shared" si="82"/>
        <v>0</v>
      </c>
      <c r="BH960" s="3249"/>
      <c r="BI960" s="3249"/>
    </row>
    <row r="961" spans="1:61" x14ac:dyDescent="0.3">
      <c r="A961" s="4197" t="s">
        <v>3384</v>
      </c>
      <c r="B961" s="3261"/>
      <c r="C961" s="3243">
        <v>0</v>
      </c>
      <c r="D961" s="3242">
        <v>0</v>
      </c>
      <c r="E961" s="3244"/>
      <c r="F961" s="3244"/>
      <c r="G961" s="3242">
        <v>0</v>
      </c>
      <c r="H961" s="3244"/>
      <c r="I961" s="3244"/>
      <c r="J961" s="3244"/>
      <c r="K961" s="3242">
        <v>0</v>
      </c>
      <c r="L961" s="3244"/>
      <c r="M961" s="3244"/>
      <c r="N961" s="3242" t="s">
        <v>3384</v>
      </c>
      <c r="O961" s="3239">
        <v>0</v>
      </c>
      <c r="P961" s="3242">
        <v>0</v>
      </c>
      <c r="Q961" s="3244"/>
      <c r="R961" s="3244"/>
      <c r="S961" s="3242">
        <v>0</v>
      </c>
      <c r="T961" s="3244"/>
      <c r="U961" s="3244"/>
      <c r="V961" s="3244"/>
      <c r="W961" s="3240">
        <v>0</v>
      </c>
      <c r="X961" s="3244"/>
      <c r="Y961" s="3244"/>
      <c r="Z961" s="3242" t="s">
        <v>3384</v>
      </c>
      <c r="AA961" s="3243">
        <v>0</v>
      </c>
      <c r="AB961" s="3242">
        <v>0</v>
      </c>
      <c r="AC961" s="3244"/>
      <c r="AD961" s="3244"/>
      <c r="AE961" s="3242">
        <v>0</v>
      </c>
      <c r="AF961" s="3259"/>
      <c r="AG961" s="3260"/>
      <c r="AH961" s="3260"/>
      <c r="AI961" s="3260"/>
      <c r="AJ961" s="3260"/>
      <c r="AK961" s="3260"/>
      <c r="AL961" s="3259"/>
      <c r="AM961" s="3260"/>
      <c r="AN961" s="3259"/>
      <c r="AO961" s="3260"/>
      <c r="AP961" s="3242">
        <v>0</v>
      </c>
      <c r="AQ961" s="3244"/>
      <c r="AR961" s="3244"/>
      <c r="AS961" s="3242" t="s">
        <v>3384</v>
      </c>
      <c r="AT961" s="3247">
        <f t="shared" si="79"/>
        <v>0</v>
      </c>
      <c r="AU961" s="3248">
        <f t="shared" si="80"/>
        <v>0</v>
      </c>
      <c r="AV961" s="3248">
        <v>0</v>
      </c>
      <c r="AW961" s="3247">
        <v>0</v>
      </c>
      <c r="AX961" s="3248">
        <v>0</v>
      </c>
      <c r="AY961" s="3248">
        <v>0</v>
      </c>
      <c r="AZ961" s="3247">
        <v>0</v>
      </c>
      <c r="BA961" s="3248">
        <v>0</v>
      </c>
      <c r="BB961" s="3248">
        <v>0</v>
      </c>
      <c r="BC961" s="3247">
        <v>0</v>
      </c>
      <c r="BD961" s="3248">
        <v>0</v>
      </c>
      <c r="BE961" s="3248">
        <v>0</v>
      </c>
      <c r="BF961" s="3248">
        <f t="shared" si="81"/>
        <v>0</v>
      </c>
      <c r="BG961" s="3248">
        <f t="shared" si="82"/>
        <v>0</v>
      </c>
      <c r="BH961" s="3249"/>
      <c r="BI961" s="3249"/>
    </row>
    <row r="962" spans="1:61" x14ac:dyDescent="0.3">
      <c r="A962" s="4197" t="s">
        <v>3384</v>
      </c>
      <c r="B962" s="3261"/>
      <c r="C962" s="3243">
        <v>0</v>
      </c>
      <c r="D962" s="3242">
        <v>0</v>
      </c>
      <c r="E962" s="3244"/>
      <c r="F962" s="3244"/>
      <c r="G962" s="3242">
        <v>0</v>
      </c>
      <c r="H962" s="3244"/>
      <c r="I962" s="3244"/>
      <c r="J962" s="3244"/>
      <c r="K962" s="3242">
        <v>0</v>
      </c>
      <c r="L962" s="3244"/>
      <c r="M962" s="3244"/>
      <c r="N962" s="3242" t="s">
        <v>3384</v>
      </c>
      <c r="O962" s="3239">
        <v>0</v>
      </c>
      <c r="P962" s="3242">
        <v>0</v>
      </c>
      <c r="Q962" s="3244"/>
      <c r="R962" s="3244"/>
      <c r="S962" s="3242">
        <v>0</v>
      </c>
      <c r="T962" s="3244"/>
      <c r="U962" s="3244"/>
      <c r="V962" s="3244"/>
      <c r="W962" s="3240">
        <v>0</v>
      </c>
      <c r="X962" s="3244"/>
      <c r="Y962" s="3244"/>
      <c r="Z962" s="3242" t="s">
        <v>3384</v>
      </c>
      <c r="AA962" s="3243">
        <v>0</v>
      </c>
      <c r="AB962" s="3242">
        <v>0</v>
      </c>
      <c r="AC962" s="3244"/>
      <c r="AD962" s="3244"/>
      <c r="AE962" s="3242">
        <v>0</v>
      </c>
      <c r="AF962" s="3259"/>
      <c r="AG962" s="3260"/>
      <c r="AH962" s="3260"/>
      <c r="AI962" s="3260"/>
      <c r="AJ962" s="3260"/>
      <c r="AK962" s="3260"/>
      <c r="AL962" s="3259"/>
      <c r="AM962" s="3260"/>
      <c r="AN962" s="3259"/>
      <c r="AO962" s="3260"/>
      <c r="AP962" s="3242">
        <v>0</v>
      </c>
      <c r="AQ962" s="3244"/>
      <c r="AR962" s="3244"/>
      <c r="AS962" s="3242" t="s">
        <v>3384</v>
      </c>
      <c r="AT962" s="3247">
        <f t="shared" si="79"/>
        <v>0</v>
      </c>
      <c r="AU962" s="3248">
        <f t="shared" si="80"/>
        <v>0</v>
      </c>
      <c r="AV962" s="3248">
        <v>0</v>
      </c>
      <c r="AW962" s="3247">
        <v>0</v>
      </c>
      <c r="AX962" s="3248">
        <v>0</v>
      </c>
      <c r="AY962" s="3248">
        <v>0</v>
      </c>
      <c r="AZ962" s="3247">
        <v>0</v>
      </c>
      <c r="BA962" s="3248">
        <v>0</v>
      </c>
      <c r="BB962" s="3248">
        <v>0</v>
      </c>
      <c r="BC962" s="3247">
        <v>0</v>
      </c>
      <c r="BD962" s="3248">
        <v>0</v>
      </c>
      <c r="BE962" s="3248">
        <v>0</v>
      </c>
      <c r="BF962" s="3248">
        <f t="shared" si="81"/>
        <v>0</v>
      </c>
      <c r="BG962" s="3248">
        <f t="shared" si="82"/>
        <v>0</v>
      </c>
      <c r="BH962" s="3249"/>
      <c r="BI962" s="3249"/>
    </row>
    <row r="963" spans="1:61" x14ac:dyDescent="0.3">
      <c r="A963" s="4197" t="s">
        <v>3384</v>
      </c>
      <c r="B963" s="3261"/>
      <c r="C963" s="3243">
        <v>0</v>
      </c>
      <c r="D963" s="3242">
        <v>0</v>
      </c>
      <c r="E963" s="3244"/>
      <c r="F963" s="3244"/>
      <c r="G963" s="3242">
        <v>0</v>
      </c>
      <c r="H963" s="3244"/>
      <c r="I963" s="3244"/>
      <c r="J963" s="3244"/>
      <c r="K963" s="3242">
        <v>0</v>
      </c>
      <c r="L963" s="3244"/>
      <c r="M963" s="3244"/>
      <c r="N963" s="3242" t="s">
        <v>3384</v>
      </c>
      <c r="O963" s="3239">
        <v>0</v>
      </c>
      <c r="P963" s="3242">
        <v>0</v>
      </c>
      <c r="Q963" s="3244"/>
      <c r="R963" s="3244"/>
      <c r="S963" s="3242">
        <v>0</v>
      </c>
      <c r="T963" s="3244"/>
      <c r="U963" s="3244"/>
      <c r="V963" s="3244"/>
      <c r="W963" s="3240">
        <v>0</v>
      </c>
      <c r="X963" s="3244"/>
      <c r="Y963" s="3244"/>
      <c r="Z963" s="3242" t="s">
        <v>3384</v>
      </c>
      <c r="AA963" s="3243">
        <v>0</v>
      </c>
      <c r="AB963" s="3242">
        <v>0</v>
      </c>
      <c r="AC963" s="3244"/>
      <c r="AD963" s="3244"/>
      <c r="AE963" s="3242">
        <v>0</v>
      </c>
      <c r="AF963" s="3259"/>
      <c r="AG963" s="3260"/>
      <c r="AH963" s="3260"/>
      <c r="AI963" s="3260"/>
      <c r="AJ963" s="3260"/>
      <c r="AK963" s="3260"/>
      <c r="AL963" s="3259"/>
      <c r="AM963" s="3260"/>
      <c r="AN963" s="3259"/>
      <c r="AO963" s="3260"/>
      <c r="AP963" s="3242">
        <v>0</v>
      </c>
      <c r="AQ963" s="3244"/>
      <c r="AR963" s="3244"/>
      <c r="AS963" s="3242" t="s">
        <v>3384</v>
      </c>
      <c r="AT963" s="3247">
        <f t="shared" si="79"/>
        <v>0</v>
      </c>
      <c r="AU963" s="3248">
        <f t="shared" si="80"/>
        <v>0</v>
      </c>
      <c r="AV963" s="3248">
        <v>0</v>
      </c>
      <c r="AW963" s="3247">
        <v>0</v>
      </c>
      <c r="AX963" s="3248">
        <v>0</v>
      </c>
      <c r="AY963" s="3248">
        <v>0</v>
      </c>
      <c r="AZ963" s="3247">
        <v>0</v>
      </c>
      <c r="BA963" s="3248">
        <v>0</v>
      </c>
      <c r="BB963" s="3248">
        <v>0</v>
      </c>
      <c r="BC963" s="3247">
        <v>0</v>
      </c>
      <c r="BD963" s="3248">
        <v>0</v>
      </c>
      <c r="BE963" s="3248">
        <v>0</v>
      </c>
      <c r="BF963" s="3248">
        <f t="shared" si="81"/>
        <v>0</v>
      </c>
      <c r="BG963" s="3248">
        <f t="shared" si="82"/>
        <v>0</v>
      </c>
      <c r="BH963" s="3249"/>
      <c r="BI963" s="3249"/>
    </row>
    <row r="964" spans="1:61" x14ac:dyDescent="0.3">
      <c r="A964" s="4197" t="s">
        <v>3384</v>
      </c>
      <c r="B964" s="3261"/>
      <c r="C964" s="3243">
        <v>0</v>
      </c>
      <c r="D964" s="3242">
        <v>0</v>
      </c>
      <c r="E964" s="3244"/>
      <c r="F964" s="3244"/>
      <c r="G964" s="3242">
        <v>0</v>
      </c>
      <c r="H964" s="3244"/>
      <c r="I964" s="3244"/>
      <c r="J964" s="3244"/>
      <c r="K964" s="3242">
        <v>0</v>
      </c>
      <c r="L964" s="3244"/>
      <c r="M964" s="3244"/>
      <c r="N964" s="3242" t="s">
        <v>3384</v>
      </c>
      <c r="O964" s="3239">
        <v>0</v>
      </c>
      <c r="P964" s="3242">
        <v>0</v>
      </c>
      <c r="Q964" s="3244"/>
      <c r="R964" s="3244"/>
      <c r="S964" s="3242">
        <v>0</v>
      </c>
      <c r="T964" s="3244"/>
      <c r="U964" s="3244"/>
      <c r="V964" s="3244"/>
      <c r="W964" s="3240">
        <v>0</v>
      </c>
      <c r="X964" s="3244"/>
      <c r="Y964" s="3244"/>
      <c r="Z964" s="3242" t="s">
        <v>3384</v>
      </c>
      <c r="AA964" s="3243">
        <v>0</v>
      </c>
      <c r="AB964" s="3242">
        <v>0</v>
      </c>
      <c r="AC964" s="3244"/>
      <c r="AD964" s="3244"/>
      <c r="AE964" s="3242">
        <v>0</v>
      </c>
      <c r="AF964" s="3259"/>
      <c r="AG964" s="3260"/>
      <c r="AH964" s="3260"/>
      <c r="AI964" s="3260"/>
      <c r="AJ964" s="3260"/>
      <c r="AK964" s="3260"/>
      <c r="AL964" s="3259"/>
      <c r="AM964" s="3260"/>
      <c r="AN964" s="3259"/>
      <c r="AO964" s="3260"/>
      <c r="AP964" s="3242">
        <v>0</v>
      </c>
      <c r="AQ964" s="3244"/>
      <c r="AR964" s="3244"/>
      <c r="AS964" s="3242" t="s">
        <v>3384</v>
      </c>
      <c r="AT964" s="3247">
        <f t="shared" si="79"/>
        <v>0</v>
      </c>
      <c r="AU964" s="3248">
        <f t="shared" si="80"/>
        <v>0</v>
      </c>
      <c r="AV964" s="3248">
        <v>0</v>
      </c>
      <c r="AW964" s="3247">
        <v>0</v>
      </c>
      <c r="AX964" s="3248">
        <v>0</v>
      </c>
      <c r="AY964" s="3248">
        <v>0</v>
      </c>
      <c r="AZ964" s="3247">
        <v>0</v>
      </c>
      <c r="BA964" s="3248">
        <v>0</v>
      </c>
      <c r="BB964" s="3248">
        <v>0</v>
      </c>
      <c r="BC964" s="3247">
        <v>0</v>
      </c>
      <c r="BD964" s="3248">
        <v>0</v>
      </c>
      <c r="BE964" s="3248">
        <v>0</v>
      </c>
      <c r="BF964" s="3248">
        <f t="shared" si="81"/>
        <v>0</v>
      </c>
      <c r="BG964" s="3248">
        <f t="shared" si="82"/>
        <v>0</v>
      </c>
      <c r="BH964" s="3249"/>
      <c r="BI964" s="3249"/>
    </row>
    <row r="965" spans="1:61" x14ac:dyDescent="0.3">
      <c r="A965" s="4197" t="s">
        <v>3384</v>
      </c>
      <c r="B965" s="3261"/>
      <c r="C965" s="3243">
        <v>0</v>
      </c>
      <c r="D965" s="3242">
        <v>0</v>
      </c>
      <c r="E965" s="3244"/>
      <c r="F965" s="3244"/>
      <c r="G965" s="3242">
        <v>0</v>
      </c>
      <c r="H965" s="3244"/>
      <c r="I965" s="3244"/>
      <c r="J965" s="3244"/>
      <c r="K965" s="3242">
        <v>0</v>
      </c>
      <c r="L965" s="3244"/>
      <c r="M965" s="3244"/>
      <c r="N965" s="3242" t="s">
        <v>3384</v>
      </c>
      <c r="O965" s="3239">
        <v>0</v>
      </c>
      <c r="P965" s="3242">
        <v>0</v>
      </c>
      <c r="Q965" s="3244"/>
      <c r="R965" s="3244"/>
      <c r="S965" s="3242">
        <v>0</v>
      </c>
      <c r="T965" s="3244"/>
      <c r="U965" s="3244"/>
      <c r="V965" s="3244"/>
      <c r="W965" s="3240">
        <v>0</v>
      </c>
      <c r="X965" s="3244"/>
      <c r="Y965" s="3244"/>
      <c r="Z965" s="3242" t="s">
        <v>3384</v>
      </c>
      <c r="AA965" s="3243">
        <v>0</v>
      </c>
      <c r="AB965" s="3242">
        <v>0</v>
      </c>
      <c r="AC965" s="3244"/>
      <c r="AD965" s="3244"/>
      <c r="AE965" s="3242">
        <v>0</v>
      </c>
      <c r="AF965" s="3259"/>
      <c r="AG965" s="3260"/>
      <c r="AH965" s="3260"/>
      <c r="AI965" s="3260"/>
      <c r="AJ965" s="3260"/>
      <c r="AK965" s="3260"/>
      <c r="AL965" s="3259"/>
      <c r="AM965" s="3260"/>
      <c r="AN965" s="3259"/>
      <c r="AO965" s="3260"/>
      <c r="AP965" s="3242">
        <v>0</v>
      </c>
      <c r="AQ965" s="3244"/>
      <c r="AR965" s="3244"/>
      <c r="AS965" s="3242" t="s">
        <v>3384</v>
      </c>
      <c r="AT965" s="3247">
        <f t="shared" si="79"/>
        <v>0</v>
      </c>
      <c r="AU965" s="3248">
        <f t="shared" si="80"/>
        <v>0</v>
      </c>
      <c r="AV965" s="3248">
        <v>0</v>
      </c>
      <c r="AW965" s="3247">
        <v>0</v>
      </c>
      <c r="AX965" s="3248">
        <v>0</v>
      </c>
      <c r="AY965" s="3248">
        <v>0</v>
      </c>
      <c r="AZ965" s="3247">
        <v>0</v>
      </c>
      <c r="BA965" s="3248">
        <v>0</v>
      </c>
      <c r="BB965" s="3248">
        <v>0</v>
      </c>
      <c r="BC965" s="3247">
        <v>0</v>
      </c>
      <c r="BD965" s="3248">
        <v>0</v>
      </c>
      <c r="BE965" s="3248">
        <v>0</v>
      </c>
      <c r="BF965" s="3248">
        <f t="shared" si="81"/>
        <v>0</v>
      </c>
      <c r="BG965" s="3248">
        <f t="shared" si="82"/>
        <v>0</v>
      </c>
      <c r="BH965" s="3249"/>
      <c r="BI965" s="3249"/>
    </row>
    <row r="966" spans="1:61" x14ac:dyDescent="0.3">
      <c r="A966" s="4197" t="s">
        <v>3384</v>
      </c>
      <c r="B966" s="3261"/>
      <c r="C966" s="3243">
        <v>0</v>
      </c>
      <c r="D966" s="3242">
        <v>0</v>
      </c>
      <c r="E966" s="3244"/>
      <c r="F966" s="3244"/>
      <c r="G966" s="3242">
        <v>0</v>
      </c>
      <c r="H966" s="3244"/>
      <c r="I966" s="3244"/>
      <c r="J966" s="3244"/>
      <c r="K966" s="3242">
        <v>0</v>
      </c>
      <c r="L966" s="3244"/>
      <c r="M966" s="3244"/>
      <c r="N966" s="3242" t="s">
        <v>3384</v>
      </c>
      <c r="O966" s="3239">
        <v>0</v>
      </c>
      <c r="P966" s="3242">
        <v>0</v>
      </c>
      <c r="Q966" s="3244"/>
      <c r="R966" s="3244"/>
      <c r="S966" s="3242">
        <v>0</v>
      </c>
      <c r="T966" s="3244"/>
      <c r="U966" s="3244"/>
      <c r="V966" s="3244"/>
      <c r="W966" s="3240">
        <v>0</v>
      </c>
      <c r="X966" s="3244"/>
      <c r="Y966" s="3244"/>
      <c r="Z966" s="3242" t="s">
        <v>3384</v>
      </c>
      <c r="AA966" s="3243">
        <v>0</v>
      </c>
      <c r="AB966" s="3242">
        <v>0</v>
      </c>
      <c r="AC966" s="3244"/>
      <c r="AD966" s="3244"/>
      <c r="AE966" s="3242">
        <v>0</v>
      </c>
      <c r="AF966" s="3259"/>
      <c r="AG966" s="3260"/>
      <c r="AH966" s="3260"/>
      <c r="AI966" s="3260"/>
      <c r="AJ966" s="3260"/>
      <c r="AK966" s="3260"/>
      <c r="AL966" s="3259"/>
      <c r="AM966" s="3260"/>
      <c r="AN966" s="3259"/>
      <c r="AO966" s="3260"/>
      <c r="AP966" s="3242">
        <v>0</v>
      </c>
      <c r="AQ966" s="3244"/>
      <c r="AR966" s="3244"/>
      <c r="AS966" s="3242" t="s">
        <v>3384</v>
      </c>
      <c r="AT966" s="3247">
        <f t="shared" si="79"/>
        <v>0</v>
      </c>
      <c r="AU966" s="3248">
        <f t="shared" si="80"/>
        <v>0</v>
      </c>
      <c r="AV966" s="3248">
        <v>0</v>
      </c>
      <c r="AW966" s="3247">
        <v>0</v>
      </c>
      <c r="AX966" s="3248">
        <v>0</v>
      </c>
      <c r="AY966" s="3248">
        <v>0</v>
      </c>
      <c r="AZ966" s="3247">
        <v>0</v>
      </c>
      <c r="BA966" s="3248">
        <v>0</v>
      </c>
      <c r="BB966" s="3248">
        <v>0</v>
      </c>
      <c r="BC966" s="3247">
        <v>0</v>
      </c>
      <c r="BD966" s="3248">
        <v>0</v>
      </c>
      <c r="BE966" s="3248">
        <v>0</v>
      </c>
      <c r="BF966" s="3248">
        <f t="shared" si="81"/>
        <v>0</v>
      </c>
      <c r="BG966" s="3248">
        <f t="shared" si="82"/>
        <v>0</v>
      </c>
      <c r="BH966" s="3249"/>
      <c r="BI966" s="3249"/>
    </row>
    <row r="967" spans="1:61" x14ac:dyDescent="0.3">
      <c r="A967" s="4197" t="s">
        <v>3384</v>
      </c>
      <c r="B967" s="3261"/>
      <c r="C967" s="3243">
        <v>0</v>
      </c>
      <c r="D967" s="3242">
        <v>0</v>
      </c>
      <c r="E967" s="3244"/>
      <c r="F967" s="3244"/>
      <c r="G967" s="3242">
        <v>0</v>
      </c>
      <c r="H967" s="3244"/>
      <c r="I967" s="3244"/>
      <c r="J967" s="3244"/>
      <c r="K967" s="3242">
        <v>0</v>
      </c>
      <c r="L967" s="3244"/>
      <c r="M967" s="3244"/>
      <c r="N967" s="3242" t="s">
        <v>3384</v>
      </c>
      <c r="O967" s="3239">
        <v>0</v>
      </c>
      <c r="P967" s="3242">
        <v>0</v>
      </c>
      <c r="Q967" s="3244"/>
      <c r="R967" s="3244"/>
      <c r="S967" s="3242">
        <v>0</v>
      </c>
      <c r="T967" s="3244"/>
      <c r="U967" s="3244"/>
      <c r="V967" s="3244"/>
      <c r="W967" s="3240">
        <v>0</v>
      </c>
      <c r="X967" s="3244"/>
      <c r="Y967" s="3244"/>
      <c r="Z967" s="3242" t="s">
        <v>3384</v>
      </c>
      <c r="AA967" s="3243">
        <v>0</v>
      </c>
      <c r="AB967" s="3242">
        <v>0</v>
      </c>
      <c r="AC967" s="3244"/>
      <c r="AD967" s="3244"/>
      <c r="AE967" s="3242">
        <v>0</v>
      </c>
      <c r="AF967" s="3259"/>
      <c r="AG967" s="3260"/>
      <c r="AH967" s="3260"/>
      <c r="AI967" s="3260"/>
      <c r="AJ967" s="3260"/>
      <c r="AK967" s="3260"/>
      <c r="AL967" s="3259"/>
      <c r="AM967" s="3260"/>
      <c r="AN967" s="3259"/>
      <c r="AO967" s="3260"/>
      <c r="AP967" s="3242">
        <v>0</v>
      </c>
      <c r="AQ967" s="3244"/>
      <c r="AR967" s="3244"/>
      <c r="AS967" s="3242" t="s">
        <v>3384</v>
      </c>
      <c r="AT967" s="3247">
        <f t="shared" si="79"/>
        <v>0</v>
      </c>
      <c r="AU967" s="3248">
        <f t="shared" si="80"/>
        <v>0</v>
      </c>
      <c r="AV967" s="3248">
        <v>0</v>
      </c>
      <c r="AW967" s="3247">
        <v>0</v>
      </c>
      <c r="AX967" s="3248">
        <v>0</v>
      </c>
      <c r="AY967" s="3248">
        <v>0</v>
      </c>
      <c r="AZ967" s="3247">
        <v>0</v>
      </c>
      <c r="BA967" s="3248">
        <v>0</v>
      </c>
      <c r="BB967" s="3248">
        <v>0</v>
      </c>
      <c r="BC967" s="3247">
        <v>0</v>
      </c>
      <c r="BD967" s="3248">
        <v>0</v>
      </c>
      <c r="BE967" s="3248">
        <v>0</v>
      </c>
      <c r="BF967" s="3248">
        <f t="shared" si="81"/>
        <v>0</v>
      </c>
      <c r="BG967" s="3248">
        <f t="shared" si="82"/>
        <v>0</v>
      </c>
      <c r="BH967" s="3249"/>
      <c r="BI967" s="3249"/>
    </row>
    <row r="968" spans="1:61" x14ac:dyDescent="0.3">
      <c r="A968" s="4197" t="s">
        <v>3384</v>
      </c>
      <c r="B968" s="3261"/>
      <c r="C968" s="3243">
        <v>0</v>
      </c>
      <c r="D968" s="3242">
        <v>0</v>
      </c>
      <c r="E968" s="3244"/>
      <c r="F968" s="3244"/>
      <c r="G968" s="3242">
        <v>0</v>
      </c>
      <c r="H968" s="3244"/>
      <c r="I968" s="3244"/>
      <c r="J968" s="3244"/>
      <c r="K968" s="3242">
        <v>0</v>
      </c>
      <c r="L968" s="3244"/>
      <c r="M968" s="3244"/>
      <c r="N968" s="3242" t="s">
        <v>3384</v>
      </c>
      <c r="O968" s="3239">
        <v>0</v>
      </c>
      <c r="P968" s="3242">
        <v>0</v>
      </c>
      <c r="Q968" s="3244"/>
      <c r="R968" s="3244"/>
      <c r="S968" s="3242">
        <v>0</v>
      </c>
      <c r="T968" s="3244"/>
      <c r="U968" s="3244"/>
      <c r="V968" s="3244"/>
      <c r="W968" s="3240">
        <v>0</v>
      </c>
      <c r="X968" s="3244"/>
      <c r="Y968" s="3244"/>
      <c r="Z968" s="3242" t="s">
        <v>3384</v>
      </c>
      <c r="AA968" s="3243">
        <v>0</v>
      </c>
      <c r="AB968" s="3242">
        <v>0</v>
      </c>
      <c r="AC968" s="3244"/>
      <c r="AD968" s="3244"/>
      <c r="AE968" s="3242">
        <v>0</v>
      </c>
      <c r="AF968" s="3259"/>
      <c r="AG968" s="3260"/>
      <c r="AH968" s="3260"/>
      <c r="AI968" s="3260"/>
      <c r="AJ968" s="3260"/>
      <c r="AK968" s="3260"/>
      <c r="AL968" s="3259"/>
      <c r="AM968" s="3260"/>
      <c r="AN968" s="3259"/>
      <c r="AO968" s="3260"/>
      <c r="AP968" s="3242">
        <v>0</v>
      </c>
      <c r="AQ968" s="3244"/>
      <c r="AR968" s="3244"/>
      <c r="AS968" s="3242" t="s">
        <v>3384</v>
      </c>
      <c r="AT968" s="3247">
        <f t="shared" si="79"/>
        <v>0</v>
      </c>
      <c r="AU968" s="3248">
        <f t="shared" si="80"/>
        <v>0</v>
      </c>
      <c r="AV968" s="3248">
        <v>0</v>
      </c>
      <c r="AW968" s="3247">
        <v>0</v>
      </c>
      <c r="AX968" s="3248">
        <v>0</v>
      </c>
      <c r="AY968" s="3248">
        <v>0</v>
      </c>
      <c r="AZ968" s="3247">
        <v>0</v>
      </c>
      <c r="BA968" s="3248">
        <v>0</v>
      </c>
      <c r="BB968" s="3248">
        <v>0</v>
      </c>
      <c r="BC968" s="3247">
        <v>0</v>
      </c>
      <c r="BD968" s="3248">
        <v>0</v>
      </c>
      <c r="BE968" s="3248">
        <v>0</v>
      </c>
      <c r="BF968" s="3248">
        <f t="shared" si="81"/>
        <v>0</v>
      </c>
      <c r="BG968" s="3248">
        <f t="shared" si="82"/>
        <v>0</v>
      </c>
      <c r="BH968" s="3249"/>
      <c r="BI968" s="3249"/>
    </row>
    <row r="969" spans="1:61" x14ac:dyDescent="0.3">
      <c r="A969" s="4197" t="s">
        <v>3384</v>
      </c>
      <c r="B969" s="3261"/>
      <c r="C969" s="3243">
        <v>0</v>
      </c>
      <c r="D969" s="3242">
        <v>0</v>
      </c>
      <c r="E969" s="3244"/>
      <c r="F969" s="3244"/>
      <c r="G969" s="3242">
        <v>0</v>
      </c>
      <c r="H969" s="3244"/>
      <c r="I969" s="3244"/>
      <c r="J969" s="3244"/>
      <c r="K969" s="3242">
        <v>0</v>
      </c>
      <c r="L969" s="3244"/>
      <c r="M969" s="3244"/>
      <c r="N969" s="3242" t="s">
        <v>3384</v>
      </c>
      <c r="O969" s="3239">
        <v>0</v>
      </c>
      <c r="P969" s="3242">
        <v>0</v>
      </c>
      <c r="Q969" s="3244"/>
      <c r="R969" s="3244"/>
      <c r="S969" s="3242">
        <v>0</v>
      </c>
      <c r="T969" s="3244"/>
      <c r="U969" s="3244"/>
      <c r="V969" s="3244"/>
      <c r="W969" s="3240">
        <v>0</v>
      </c>
      <c r="X969" s="3244"/>
      <c r="Y969" s="3244"/>
      <c r="Z969" s="3242" t="s">
        <v>3384</v>
      </c>
      <c r="AA969" s="3243">
        <v>0</v>
      </c>
      <c r="AB969" s="3242">
        <v>0</v>
      </c>
      <c r="AC969" s="3244"/>
      <c r="AD969" s="3244"/>
      <c r="AE969" s="3242">
        <v>0</v>
      </c>
      <c r="AF969" s="3259"/>
      <c r="AG969" s="3260"/>
      <c r="AH969" s="3260"/>
      <c r="AI969" s="3260"/>
      <c r="AJ969" s="3260"/>
      <c r="AK969" s="3260"/>
      <c r="AL969" s="3259"/>
      <c r="AM969" s="3260"/>
      <c r="AN969" s="3259"/>
      <c r="AO969" s="3260"/>
      <c r="AP969" s="3242">
        <v>0</v>
      </c>
      <c r="AQ969" s="3244"/>
      <c r="AR969" s="3244"/>
      <c r="AS969" s="3242" t="s">
        <v>3384</v>
      </c>
      <c r="AT969" s="3247">
        <f t="shared" si="79"/>
        <v>0</v>
      </c>
      <c r="AU969" s="3248">
        <f t="shared" si="80"/>
        <v>0</v>
      </c>
      <c r="AV969" s="3248">
        <v>0</v>
      </c>
      <c r="AW969" s="3247">
        <v>0</v>
      </c>
      <c r="AX969" s="3248">
        <v>0</v>
      </c>
      <c r="AY969" s="3248">
        <v>0</v>
      </c>
      <c r="AZ969" s="3247">
        <v>0</v>
      </c>
      <c r="BA969" s="3248">
        <v>0</v>
      </c>
      <c r="BB969" s="3248">
        <v>0</v>
      </c>
      <c r="BC969" s="3247">
        <v>0</v>
      </c>
      <c r="BD969" s="3248">
        <v>0</v>
      </c>
      <c r="BE969" s="3248">
        <v>0</v>
      </c>
      <c r="BF969" s="3248">
        <f t="shared" si="81"/>
        <v>0</v>
      </c>
      <c r="BG969" s="3248">
        <f t="shared" si="82"/>
        <v>0</v>
      </c>
      <c r="BH969" s="3249"/>
      <c r="BI969" s="3249"/>
    </row>
    <row r="970" spans="1:61" x14ac:dyDescent="0.3">
      <c r="A970" s="4197" t="s">
        <v>3384</v>
      </c>
      <c r="B970" s="3261"/>
      <c r="C970" s="3243">
        <v>0</v>
      </c>
      <c r="D970" s="3242">
        <v>0</v>
      </c>
      <c r="E970" s="3244"/>
      <c r="F970" s="3244"/>
      <c r="G970" s="3242">
        <v>0</v>
      </c>
      <c r="H970" s="3244"/>
      <c r="I970" s="3244"/>
      <c r="J970" s="3244"/>
      <c r="K970" s="3242">
        <v>0</v>
      </c>
      <c r="L970" s="3244"/>
      <c r="M970" s="3244"/>
      <c r="N970" s="3242" t="s">
        <v>3384</v>
      </c>
      <c r="O970" s="3239">
        <v>0</v>
      </c>
      <c r="P970" s="3242">
        <v>0</v>
      </c>
      <c r="Q970" s="3244"/>
      <c r="R970" s="3244"/>
      <c r="S970" s="3242">
        <v>0</v>
      </c>
      <c r="T970" s="3244"/>
      <c r="U970" s="3244"/>
      <c r="V970" s="3244"/>
      <c r="W970" s="3240">
        <v>0</v>
      </c>
      <c r="X970" s="3244"/>
      <c r="Y970" s="3244"/>
      <c r="Z970" s="3242" t="s">
        <v>3384</v>
      </c>
      <c r="AA970" s="3243">
        <v>0</v>
      </c>
      <c r="AB970" s="3242">
        <v>0</v>
      </c>
      <c r="AC970" s="3244"/>
      <c r="AD970" s="3244"/>
      <c r="AE970" s="3242">
        <v>0</v>
      </c>
      <c r="AF970" s="3259"/>
      <c r="AG970" s="3260"/>
      <c r="AH970" s="3260"/>
      <c r="AI970" s="3260"/>
      <c r="AJ970" s="3260"/>
      <c r="AK970" s="3260"/>
      <c r="AL970" s="3259"/>
      <c r="AM970" s="3260"/>
      <c r="AN970" s="3259"/>
      <c r="AO970" s="3260"/>
      <c r="AP970" s="3242">
        <v>0</v>
      </c>
      <c r="AQ970" s="3244"/>
      <c r="AR970" s="3244"/>
      <c r="AS970" s="3242" t="s">
        <v>3384</v>
      </c>
      <c r="AT970" s="3247">
        <f t="shared" si="79"/>
        <v>0</v>
      </c>
      <c r="AU970" s="3248">
        <f t="shared" si="80"/>
        <v>0</v>
      </c>
      <c r="AV970" s="3248">
        <v>0</v>
      </c>
      <c r="AW970" s="3247">
        <v>0</v>
      </c>
      <c r="AX970" s="3248">
        <v>0</v>
      </c>
      <c r="AY970" s="3248">
        <v>0</v>
      </c>
      <c r="AZ970" s="3247">
        <v>0</v>
      </c>
      <c r="BA970" s="3248">
        <v>0</v>
      </c>
      <c r="BB970" s="3248">
        <v>0</v>
      </c>
      <c r="BC970" s="3247">
        <v>0</v>
      </c>
      <c r="BD970" s="3248">
        <v>0</v>
      </c>
      <c r="BE970" s="3248">
        <v>0</v>
      </c>
      <c r="BF970" s="3248">
        <f t="shared" si="81"/>
        <v>0</v>
      </c>
      <c r="BG970" s="3248">
        <f t="shared" si="82"/>
        <v>0</v>
      </c>
      <c r="BH970" s="3249"/>
      <c r="BI970" s="3249"/>
    </row>
    <row r="971" spans="1:61" x14ac:dyDescent="0.3">
      <c r="A971" s="4197" t="s">
        <v>3384</v>
      </c>
      <c r="B971" s="3261"/>
      <c r="C971" s="3243">
        <v>0</v>
      </c>
      <c r="D971" s="3242">
        <v>0</v>
      </c>
      <c r="E971" s="3244"/>
      <c r="F971" s="3244"/>
      <c r="G971" s="3242">
        <v>0</v>
      </c>
      <c r="H971" s="3244"/>
      <c r="I971" s="3244"/>
      <c r="J971" s="3244"/>
      <c r="K971" s="3242">
        <v>0</v>
      </c>
      <c r="L971" s="3244"/>
      <c r="M971" s="3244"/>
      <c r="N971" s="3242" t="s">
        <v>3384</v>
      </c>
      <c r="O971" s="3239">
        <v>0</v>
      </c>
      <c r="P971" s="3242">
        <v>0</v>
      </c>
      <c r="Q971" s="3244"/>
      <c r="R971" s="3244"/>
      <c r="S971" s="3242">
        <v>0</v>
      </c>
      <c r="T971" s="3244"/>
      <c r="U971" s="3244"/>
      <c r="V971" s="3244"/>
      <c r="W971" s="3240">
        <v>0</v>
      </c>
      <c r="X971" s="3244"/>
      <c r="Y971" s="3244"/>
      <c r="Z971" s="3242" t="s">
        <v>3384</v>
      </c>
      <c r="AA971" s="3243">
        <v>0</v>
      </c>
      <c r="AB971" s="3242">
        <v>0</v>
      </c>
      <c r="AC971" s="3244"/>
      <c r="AD971" s="3244"/>
      <c r="AE971" s="3242">
        <v>0</v>
      </c>
      <c r="AF971" s="3259"/>
      <c r="AG971" s="3260"/>
      <c r="AH971" s="3260"/>
      <c r="AI971" s="3260"/>
      <c r="AJ971" s="3260"/>
      <c r="AK971" s="3260"/>
      <c r="AL971" s="3259"/>
      <c r="AM971" s="3260"/>
      <c r="AN971" s="3259"/>
      <c r="AO971" s="3260"/>
      <c r="AP971" s="3242">
        <v>0</v>
      </c>
      <c r="AQ971" s="3244"/>
      <c r="AR971" s="3244"/>
      <c r="AS971" s="3242" t="s">
        <v>3384</v>
      </c>
      <c r="AT971" s="3247">
        <f t="shared" si="79"/>
        <v>0</v>
      </c>
      <c r="AU971" s="3248">
        <f t="shared" si="80"/>
        <v>0</v>
      </c>
      <c r="AV971" s="3248">
        <v>0</v>
      </c>
      <c r="AW971" s="3247">
        <v>0</v>
      </c>
      <c r="AX971" s="3248">
        <v>0</v>
      </c>
      <c r="AY971" s="3248">
        <v>0</v>
      </c>
      <c r="AZ971" s="3247">
        <v>0</v>
      </c>
      <c r="BA971" s="3248">
        <v>0</v>
      </c>
      <c r="BB971" s="3248">
        <v>0</v>
      </c>
      <c r="BC971" s="3247">
        <v>0</v>
      </c>
      <c r="BD971" s="3248">
        <v>0</v>
      </c>
      <c r="BE971" s="3248">
        <v>0</v>
      </c>
      <c r="BF971" s="3248">
        <f t="shared" si="81"/>
        <v>0</v>
      </c>
      <c r="BG971" s="3248">
        <f t="shared" si="82"/>
        <v>0</v>
      </c>
      <c r="BH971" s="3249"/>
      <c r="BI971" s="3249"/>
    </row>
    <row r="972" spans="1:61" x14ac:dyDescent="0.3">
      <c r="A972" s="4197" t="s">
        <v>3384</v>
      </c>
      <c r="B972" s="3261"/>
      <c r="C972" s="3243">
        <v>0</v>
      </c>
      <c r="D972" s="3242">
        <v>0</v>
      </c>
      <c r="E972" s="3244"/>
      <c r="F972" s="3244"/>
      <c r="G972" s="3242">
        <v>0</v>
      </c>
      <c r="H972" s="3244"/>
      <c r="I972" s="3244"/>
      <c r="J972" s="3244"/>
      <c r="K972" s="3242">
        <v>0</v>
      </c>
      <c r="L972" s="3244"/>
      <c r="M972" s="3244"/>
      <c r="N972" s="3242" t="s">
        <v>3384</v>
      </c>
      <c r="O972" s="3239">
        <v>0</v>
      </c>
      <c r="P972" s="3242">
        <v>0</v>
      </c>
      <c r="Q972" s="3244"/>
      <c r="R972" s="3244"/>
      <c r="S972" s="3242">
        <v>0</v>
      </c>
      <c r="T972" s="3244"/>
      <c r="U972" s="3244"/>
      <c r="V972" s="3244"/>
      <c r="W972" s="3240">
        <v>0</v>
      </c>
      <c r="X972" s="3244"/>
      <c r="Y972" s="3244"/>
      <c r="Z972" s="3242" t="s">
        <v>3384</v>
      </c>
      <c r="AA972" s="3243">
        <v>0</v>
      </c>
      <c r="AB972" s="3242">
        <v>0</v>
      </c>
      <c r="AC972" s="3244"/>
      <c r="AD972" s="3244"/>
      <c r="AE972" s="3242">
        <v>0</v>
      </c>
      <c r="AF972" s="3259"/>
      <c r="AG972" s="3260"/>
      <c r="AH972" s="3260"/>
      <c r="AI972" s="3260"/>
      <c r="AJ972" s="3260"/>
      <c r="AK972" s="3260"/>
      <c r="AL972" s="3259"/>
      <c r="AM972" s="3260"/>
      <c r="AN972" s="3259"/>
      <c r="AO972" s="3260"/>
      <c r="AP972" s="3242">
        <v>0</v>
      </c>
      <c r="AQ972" s="3244"/>
      <c r="AR972" s="3244"/>
      <c r="AS972" s="3242" t="s">
        <v>3384</v>
      </c>
      <c r="AT972" s="3247">
        <f t="shared" si="79"/>
        <v>0</v>
      </c>
      <c r="AU972" s="3248">
        <f t="shared" si="80"/>
        <v>0</v>
      </c>
      <c r="AV972" s="3248">
        <v>0</v>
      </c>
      <c r="AW972" s="3247">
        <v>0</v>
      </c>
      <c r="AX972" s="3248">
        <v>0</v>
      </c>
      <c r="AY972" s="3248">
        <v>0</v>
      </c>
      <c r="AZ972" s="3247">
        <v>0</v>
      </c>
      <c r="BA972" s="3248">
        <v>0</v>
      </c>
      <c r="BB972" s="3248">
        <v>0</v>
      </c>
      <c r="BC972" s="3247">
        <v>0</v>
      </c>
      <c r="BD972" s="3248">
        <v>0</v>
      </c>
      <c r="BE972" s="3248">
        <v>0</v>
      </c>
      <c r="BF972" s="3248">
        <f t="shared" si="81"/>
        <v>0</v>
      </c>
      <c r="BG972" s="3248">
        <f t="shared" si="82"/>
        <v>0</v>
      </c>
      <c r="BH972" s="3249"/>
      <c r="BI972" s="3249"/>
    </row>
    <row r="973" spans="1:61" x14ac:dyDescent="0.3">
      <c r="A973" s="4197" t="s">
        <v>3384</v>
      </c>
      <c r="B973" s="3261"/>
      <c r="C973" s="3243">
        <v>0</v>
      </c>
      <c r="D973" s="3242">
        <v>0</v>
      </c>
      <c r="E973" s="3244"/>
      <c r="F973" s="3244"/>
      <c r="G973" s="3242">
        <v>0</v>
      </c>
      <c r="H973" s="3244"/>
      <c r="I973" s="3244"/>
      <c r="J973" s="3244"/>
      <c r="K973" s="3242">
        <v>0</v>
      </c>
      <c r="L973" s="3244"/>
      <c r="M973" s="3244"/>
      <c r="N973" s="3242" t="s">
        <v>3384</v>
      </c>
      <c r="O973" s="3239">
        <v>0</v>
      </c>
      <c r="P973" s="3242">
        <v>0</v>
      </c>
      <c r="Q973" s="3244"/>
      <c r="R973" s="3244"/>
      <c r="S973" s="3242">
        <v>0</v>
      </c>
      <c r="T973" s="3244"/>
      <c r="U973" s="3244"/>
      <c r="V973" s="3244"/>
      <c r="W973" s="3240">
        <v>0</v>
      </c>
      <c r="X973" s="3244"/>
      <c r="Y973" s="3244"/>
      <c r="Z973" s="3242" t="s">
        <v>3384</v>
      </c>
      <c r="AA973" s="3243">
        <v>0</v>
      </c>
      <c r="AB973" s="3242">
        <v>0</v>
      </c>
      <c r="AC973" s="3244"/>
      <c r="AD973" s="3244"/>
      <c r="AE973" s="3242">
        <v>0</v>
      </c>
      <c r="AF973" s="3259"/>
      <c r="AG973" s="3260"/>
      <c r="AH973" s="3260"/>
      <c r="AI973" s="3260"/>
      <c r="AJ973" s="3260"/>
      <c r="AK973" s="3260"/>
      <c r="AL973" s="3259"/>
      <c r="AM973" s="3260"/>
      <c r="AN973" s="3259"/>
      <c r="AO973" s="3260"/>
      <c r="AP973" s="3242">
        <v>0</v>
      </c>
      <c r="AQ973" s="3244"/>
      <c r="AR973" s="3244"/>
      <c r="AS973" s="3242" t="s">
        <v>3384</v>
      </c>
      <c r="AT973" s="3247">
        <f t="shared" si="79"/>
        <v>0</v>
      </c>
      <c r="AU973" s="3248">
        <f t="shared" si="80"/>
        <v>0</v>
      </c>
      <c r="AV973" s="3248">
        <v>0</v>
      </c>
      <c r="AW973" s="3247">
        <v>0</v>
      </c>
      <c r="AX973" s="3248">
        <v>0</v>
      </c>
      <c r="AY973" s="3248">
        <v>0</v>
      </c>
      <c r="AZ973" s="3247">
        <v>0</v>
      </c>
      <c r="BA973" s="3248">
        <v>0</v>
      </c>
      <c r="BB973" s="3248">
        <v>0</v>
      </c>
      <c r="BC973" s="3247">
        <v>0</v>
      </c>
      <c r="BD973" s="3248">
        <v>0</v>
      </c>
      <c r="BE973" s="3248">
        <v>0</v>
      </c>
      <c r="BF973" s="3248">
        <f t="shared" si="81"/>
        <v>0</v>
      </c>
      <c r="BG973" s="3248">
        <f t="shared" si="82"/>
        <v>0</v>
      </c>
      <c r="BH973" s="3249"/>
      <c r="BI973" s="3249"/>
    </row>
    <row r="974" spans="1:61" x14ac:dyDescent="0.3">
      <c r="A974" s="4197" t="s">
        <v>3384</v>
      </c>
      <c r="B974" s="3261"/>
      <c r="C974" s="3243">
        <v>0</v>
      </c>
      <c r="D974" s="3242">
        <v>0</v>
      </c>
      <c r="E974" s="3244"/>
      <c r="F974" s="3244"/>
      <c r="G974" s="3242">
        <v>0</v>
      </c>
      <c r="H974" s="3244"/>
      <c r="I974" s="3244"/>
      <c r="J974" s="3244"/>
      <c r="K974" s="3242">
        <v>0</v>
      </c>
      <c r="L974" s="3244"/>
      <c r="M974" s="3244"/>
      <c r="N974" s="3242" t="s">
        <v>3384</v>
      </c>
      <c r="O974" s="3239">
        <v>0</v>
      </c>
      <c r="P974" s="3242">
        <v>0</v>
      </c>
      <c r="Q974" s="3244"/>
      <c r="R974" s="3244"/>
      <c r="S974" s="3242">
        <v>0</v>
      </c>
      <c r="T974" s="3244"/>
      <c r="U974" s="3244"/>
      <c r="V974" s="3244"/>
      <c r="W974" s="3240">
        <v>0</v>
      </c>
      <c r="X974" s="3244"/>
      <c r="Y974" s="3244"/>
      <c r="Z974" s="3242" t="s">
        <v>3384</v>
      </c>
      <c r="AA974" s="3243">
        <v>0</v>
      </c>
      <c r="AB974" s="3242">
        <v>0</v>
      </c>
      <c r="AC974" s="3244"/>
      <c r="AD974" s="3244"/>
      <c r="AE974" s="3242">
        <v>0</v>
      </c>
      <c r="AF974" s="3259"/>
      <c r="AG974" s="3260"/>
      <c r="AH974" s="3260"/>
      <c r="AI974" s="3260"/>
      <c r="AJ974" s="3260"/>
      <c r="AK974" s="3260"/>
      <c r="AL974" s="3259"/>
      <c r="AM974" s="3260"/>
      <c r="AN974" s="3259"/>
      <c r="AO974" s="3260"/>
      <c r="AP974" s="3242">
        <v>0</v>
      </c>
      <c r="AQ974" s="3244"/>
      <c r="AR974" s="3244"/>
      <c r="AS974" s="3242" t="s">
        <v>3384</v>
      </c>
      <c r="AT974" s="3247">
        <f t="shared" si="79"/>
        <v>0</v>
      </c>
      <c r="AU974" s="3248">
        <f t="shared" si="80"/>
        <v>0</v>
      </c>
      <c r="AV974" s="3248">
        <v>0</v>
      </c>
      <c r="AW974" s="3247">
        <v>0</v>
      </c>
      <c r="AX974" s="3248">
        <v>0</v>
      </c>
      <c r="AY974" s="3248">
        <v>0</v>
      </c>
      <c r="AZ974" s="3247">
        <v>0</v>
      </c>
      <c r="BA974" s="3248">
        <v>0</v>
      </c>
      <c r="BB974" s="3248">
        <v>0</v>
      </c>
      <c r="BC974" s="3247">
        <v>0</v>
      </c>
      <c r="BD974" s="3248">
        <v>0</v>
      </c>
      <c r="BE974" s="3248">
        <v>0</v>
      </c>
      <c r="BF974" s="3248">
        <f t="shared" si="81"/>
        <v>0</v>
      </c>
      <c r="BG974" s="3248">
        <f t="shared" si="82"/>
        <v>0</v>
      </c>
      <c r="BH974" s="3249"/>
      <c r="BI974" s="3249"/>
    </row>
    <row r="975" spans="1:61" x14ac:dyDescent="0.3">
      <c r="A975" s="4197" t="s">
        <v>3384</v>
      </c>
      <c r="B975" s="3261"/>
      <c r="C975" s="3243">
        <v>0</v>
      </c>
      <c r="D975" s="3242">
        <v>0</v>
      </c>
      <c r="E975" s="3244"/>
      <c r="F975" s="3244"/>
      <c r="G975" s="3242">
        <v>0</v>
      </c>
      <c r="H975" s="3244"/>
      <c r="I975" s="3244"/>
      <c r="J975" s="3244"/>
      <c r="K975" s="3242">
        <v>0</v>
      </c>
      <c r="L975" s="3244"/>
      <c r="M975" s="3244"/>
      <c r="N975" s="3242" t="s">
        <v>3384</v>
      </c>
      <c r="O975" s="3239">
        <v>0</v>
      </c>
      <c r="P975" s="3242">
        <v>0</v>
      </c>
      <c r="Q975" s="3244"/>
      <c r="R975" s="3244"/>
      <c r="S975" s="3242">
        <v>0</v>
      </c>
      <c r="T975" s="3244"/>
      <c r="U975" s="3244"/>
      <c r="V975" s="3244"/>
      <c r="W975" s="3240">
        <v>0</v>
      </c>
      <c r="X975" s="3244"/>
      <c r="Y975" s="3244"/>
      <c r="Z975" s="3242" t="s">
        <v>3384</v>
      </c>
      <c r="AA975" s="3243">
        <v>0</v>
      </c>
      <c r="AB975" s="3242">
        <v>0</v>
      </c>
      <c r="AC975" s="3244"/>
      <c r="AD975" s="3244"/>
      <c r="AE975" s="3242">
        <v>0</v>
      </c>
      <c r="AF975" s="3259"/>
      <c r="AG975" s="3260"/>
      <c r="AH975" s="3260"/>
      <c r="AI975" s="3260"/>
      <c r="AJ975" s="3260"/>
      <c r="AK975" s="3260"/>
      <c r="AL975" s="3259"/>
      <c r="AM975" s="3260"/>
      <c r="AN975" s="3259"/>
      <c r="AO975" s="3260"/>
      <c r="AP975" s="3242">
        <v>0</v>
      </c>
      <c r="AQ975" s="3244"/>
      <c r="AR975" s="3244"/>
      <c r="AS975" s="3242" t="s">
        <v>3384</v>
      </c>
      <c r="AT975" s="3247">
        <f t="shared" si="79"/>
        <v>0</v>
      </c>
      <c r="AU975" s="3248">
        <f t="shared" si="80"/>
        <v>0</v>
      </c>
      <c r="AV975" s="3248">
        <v>0</v>
      </c>
      <c r="AW975" s="3247">
        <v>0</v>
      </c>
      <c r="AX975" s="3248">
        <v>0</v>
      </c>
      <c r="AY975" s="3248">
        <v>0</v>
      </c>
      <c r="AZ975" s="3247">
        <v>0</v>
      </c>
      <c r="BA975" s="3248">
        <v>0</v>
      </c>
      <c r="BB975" s="3248">
        <v>0</v>
      </c>
      <c r="BC975" s="3247">
        <v>0</v>
      </c>
      <c r="BD975" s="3248">
        <v>0</v>
      </c>
      <c r="BE975" s="3248">
        <v>0</v>
      </c>
      <c r="BF975" s="3248">
        <f t="shared" si="81"/>
        <v>0</v>
      </c>
      <c r="BG975" s="3248">
        <f t="shared" si="82"/>
        <v>0</v>
      </c>
      <c r="BH975" s="3249"/>
      <c r="BI975" s="3249"/>
    </row>
    <row r="976" spans="1:61" x14ac:dyDescent="0.3">
      <c r="A976" s="4197" t="s">
        <v>3384</v>
      </c>
      <c r="B976" s="3261"/>
      <c r="C976" s="3243">
        <v>0</v>
      </c>
      <c r="D976" s="3242">
        <v>0</v>
      </c>
      <c r="E976" s="3244"/>
      <c r="F976" s="3244"/>
      <c r="G976" s="3242">
        <v>0</v>
      </c>
      <c r="H976" s="3244"/>
      <c r="I976" s="3244"/>
      <c r="J976" s="3244"/>
      <c r="K976" s="3242">
        <v>0</v>
      </c>
      <c r="L976" s="3244"/>
      <c r="M976" s="3244"/>
      <c r="N976" s="3242" t="s">
        <v>3384</v>
      </c>
      <c r="O976" s="3239">
        <v>0</v>
      </c>
      <c r="P976" s="3242">
        <v>0</v>
      </c>
      <c r="Q976" s="3244"/>
      <c r="R976" s="3244"/>
      <c r="S976" s="3242">
        <v>0</v>
      </c>
      <c r="T976" s="3244"/>
      <c r="U976" s="3244"/>
      <c r="V976" s="3244"/>
      <c r="W976" s="3240">
        <v>0</v>
      </c>
      <c r="X976" s="3244"/>
      <c r="Y976" s="3244"/>
      <c r="Z976" s="3242" t="s">
        <v>3384</v>
      </c>
      <c r="AA976" s="3243">
        <v>0</v>
      </c>
      <c r="AB976" s="3242">
        <v>0</v>
      </c>
      <c r="AC976" s="3244"/>
      <c r="AD976" s="3244"/>
      <c r="AE976" s="3242">
        <v>0</v>
      </c>
      <c r="AF976" s="3259"/>
      <c r="AG976" s="3260"/>
      <c r="AH976" s="3260"/>
      <c r="AI976" s="3260"/>
      <c r="AJ976" s="3260"/>
      <c r="AK976" s="3260"/>
      <c r="AL976" s="3259"/>
      <c r="AM976" s="3260"/>
      <c r="AN976" s="3259"/>
      <c r="AO976" s="3260"/>
      <c r="AP976" s="3242">
        <v>0</v>
      </c>
      <c r="AQ976" s="3244"/>
      <c r="AR976" s="3244"/>
      <c r="AS976" s="3242" t="s">
        <v>3384</v>
      </c>
      <c r="AT976" s="3247">
        <f t="shared" ref="AT976:AT1039" si="83">IFERROR(AE976+(SUM(AC976:AD976)/100*($AE$14/$AB$14*100)),0)</f>
        <v>0</v>
      </c>
      <c r="AU976" s="3248">
        <f t="shared" si="80"/>
        <v>0</v>
      </c>
      <c r="AV976" s="3248">
        <v>0</v>
      </c>
      <c r="AW976" s="3247">
        <v>0</v>
      </c>
      <c r="AX976" s="3248">
        <v>0</v>
      </c>
      <c r="AY976" s="3248">
        <v>0</v>
      </c>
      <c r="AZ976" s="3247">
        <v>0</v>
      </c>
      <c r="BA976" s="3248">
        <v>0</v>
      </c>
      <c r="BB976" s="3248">
        <v>0</v>
      </c>
      <c r="BC976" s="3247">
        <v>0</v>
      </c>
      <c r="BD976" s="3248">
        <v>0</v>
      </c>
      <c r="BE976" s="3248">
        <v>0</v>
      </c>
      <c r="BF976" s="3248">
        <f t="shared" si="81"/>
        <v>0</v>
      </c>
      <c r="BG976" s="3248">
        <f t="shared" si="82"/>
        <v>0</v>
      </c>
      <c r="BH976" s="3249"/>
      <c r="BI976" s="3249"/>
    </row>
    <row r="977" spans="1:61" x14ac:dyDescent="0.3">
      <c r="A977" s="4197" t="s">
        <v>3384</v>
      </c>
      <c r="B977" s="3261"/>
      <c r="C977" s="3243">
        <v>0</v>
      </c>
      <c r="D977" s="3242">
        <v>0</v>
      </c>
      <c r="E977" s="3244"/>
      <c r="F977" s="3244"/>
      <c r="G977" s="3242">
        <v>0</v>
      </c>
      <c r="H977" s="3244"/>
      <c r="I977" s="3244"/>
      <c r="J977" s="3244"/>
      <c r="K977" s="3242">
        <v>0</v>
      </c>
      <c r="L977" s="3244"/>
      <c r="M977" s="3244"/>
      <c r="N977" s="3242" t="s">
        <v>3384</v>
      </c>
      <c r="O977" s="3239">
        <v>0</v>
      </c>
      <c r="P977" s="3242">
        <v>0</v>
      </c>
      <c r="Q977" s="3244"/>
      <c r="R977" s="3244"/>
      <c r="S977" s="3242">
        <v>0</v>
      </c>
      <c r="T977" s="3244"/>
      <c r="U977" s="3244"/>
      <c r="V977" s="3244"/>
      <c r="W977" s="3240">
        <v>0</v>
      </c>
      <c r="X977" s="3244"/>
      <c r="Y977" s="3244"/>
      <c r="Z977" s="3242" t="s">
        <v>3384</v>
      </c>
      <c r="AA977" s="3243">
        <v>0</v>
      </c>
      <c r="AB977" s="3242">
        <v>0</v>
      </c>
      <c r="AC977" s="3244"/>
      <c r="AD977" s="3244"/>
      <c r="AE977" s="3242">
        <v>0</v>
      </c>
      <c r="AF977" s="3259"/>
      <c r="AG977" s="3260"/>
      <c r="AH977" s="3260"/>
      <c r="AI977" s="3260"/>
      <c r="AJ977" s="3260"/>
      <c r="AK977" s="3260"/>
      <c r="AL977" s="3259"/>
      <c r="AM977" s="3260"/>
      <c r="AN977" s="3259"/>
      <c r="AO977" s="3260"/>
      <c r="AP977" s="3242">
        <v>0</v>
      </c>
      <c r="AQ977" s="3244"/>
      <c r="AR977" s="3244"/>
      <c r="AS977" s="3242" t="s">
        <v>3384</v>
      </c>
      <c r="AT977" s="3247">
        <f t="shared" si="83"/>
        <v>0</v>
      </c>
      <c r="AU977" s="3248">
        <f t="shared" si="80"/>
        <v>0</v>
      </c>
      <c r="AV977" s="3248">
        <v>0</v>
      </c>
      <c r="AW977" s="3247">
        <v>0</v>
      </c>
      <c r="AX977" s="3248">
        <v>0</v>
      </c>
      <c r="AY977" s="3248">
        <v>0</v>
      </c>
      <c r="AZ977" s="3247">
        <v>0</v>
      </c>
      <c r="BA977" s="3248">
        <v>0</v>
      </c>
      <c r="BB977" s="3248">
        <v>0</v>
      </c>
      <c r="BC977" s="3247">
        <v>0</v>
      </c>
      <c r="BD977" s="3248">
        <v>0</v>
      </c>
      <c r="BE977" s="3248">
        <v>0</v>
      </c>
      <c r="BF977" s="3248">
        <f t="shared" si="81"/>
        <v>0</v>
      </c>
      <c r="BG977" s="3248">
        <f t="shared" si="82"/>
        <v>0</v>
      </c>
      <c r="BH977" s="3249"/>
      <c r="BI977" s="3249"/>
    </row>
    <row r="978" spans="1:61" x14ac:dyDescent="0.3">
      <c r="A978" s="4197" t="s">
        <v>3384</v>
      </c>
      <c r="B978" s="3261"/>
      <c r="C978" s="3243">
        <v>0</v>
      </c>
      <c r="D978" s="3242">
        <v>0</v>
      </c>
      <c r="E978" s="3244"/>
      <c r="F978" s="3244"/>
      <c r="G978" s="3242">
        <v>0</v>
      </c>
      <c r="H978" s="3244"/>
      <c r="I978" s="3244"/>
      <c r="J978" s="3244"/>
      <c r="K978" s="3242">
        <v>0</v>
      </c>
      <c r="L978" s="3244"/>
      <c r="M978" s="3244"/>
      <c r="N978" s="3242" t="s">
        <v>3384</v>
      </c>
      <c r="O978" s="3239">
        <v>0</v>
      </c>
      <c r="P978" s="3242">
        <v>0</v>
      </c>
      <c r="Q978" s="3244"/>
      <c r="R978" s="3244"/>
      <c r="S978" s="3242">
        <v>0</v>
      </c>
      <c r="T978" s="3244"/>
      <c r="U978" s="3244"/>
      <c r="V978" s="3244"/>
      <c r="W978" s="3240">
        <v>0</v>
      </c>
      <c r="X978" s="3244"/>
      <c r="Y978" s="3244"/>
      <c r="Z978" s="3242" t="s">
        <v>3384</v>
      </c>
      <c r="AA978" s="3243">
        <v>0</v>
      </c>
      <c r="AB978" s="3242">
        <v>0</v>
      </c>
      <c r="AC978" s="3244"/>
      <c r="AD978" s="3244"/>
      <c r="AE978" s="3242">
        <v>0</v>
      </c>
      <c r="AF978" s="3259"/>
      <c r="AG978" s="3260"/>
      <c r="AH978" s="3260"/>
      <c r="AI978" s="3260"/>
      <c r="AJ978" s="3260"/>
      <c r="AK978" s="3260"/>
      <c r="AL978" s="3259"/>
      <c r="AM978" s="3260"/>
      <c r="AN978" s="3259"/>
      <c r="AO978" s="3260"/>
      <c r="AP978" s="3242">
        <v>0</v>
      </c>
      <c r="AQ978" s="3244"/>
      <c r="AR978" s="3244"/>
      <c r="AS978" s="3242" t="s">
        <v>3384</v>
      </c>
      <c r="AT978" s="3247">
        <f t="shared" si="83"/>
        <v>0</v>
      </c>
      <c r="AU978" s="3248">
        <f t="shared" si="80"/>
        <v>0</v>
      </c>
      <c r="AV978" s="3248">
        <v>0</v>
      </c>
      <c r="AW978" s="3247">
        <v>0</v>
      </c>
      <c r="AX978" s="3248">
        <v>0</v>
      </c>
      <c r="AY978" s="3248">
        <v>0</v>
      </c>
      <c r="AZ978" s="3247">
        <v>0</v>
      </c>
      <c r="BA978" s="3248">
        <v>0</v>
      </c>
      <c r="BB978" s="3248">
        <v>0</v>
      </c>
      <c r="BC978" s="3247">
        <v>0</v>
      </c>
      <c r="BD978" s="3248">
        <v>0</v>
      </c>
      <c r="BE978" s="3248">
        <v>0</v>
      </c>
      <c r="BF978" s="3248">
        <f t="shared" si="81"/>
        <v>0</v>
      </c>
      <c r="BG978" s="3248">
        <f t="shared" si="82"/>
        <v>0</v>
      </c>
      <c r="BH978" s="3249"/>
      <c r="BI978" s="3249"/>
    </row>
    <row r="979" spans="1:61" x14ac:dyDescent="0.3">
      <c r="A979" s="4197" t="s">
        <v>3384</v>
      </c>
      <c r="B979" s="3261"/>
      <c r="C979" s="3243">
        <v>0</v>
      </c>
      <c r="D979" s="3242">
        <v>0</v>
      </c>
      <c r="E979" s="3244"/>
      <c r="F979" s="3244"/>
      <c r="G979" s="3242">
        <v>0</v>
      </c>
      <c r="H979" s="3244"/>
      <c r="I979" s="3244"/>
      <c r="J979" s="3244"/>
      <c r="K979" s="3242">
        <v>0</v>
      </c>
      <c r="L979" s="3244"/>
      <c r="M979" s="3244"/>
      <c r="N979" s="3242" t="s">
        <v>3384</v>
      </c>
      <c r="O979" s="3239">
        <v>0</v>
      </c>
      <c r="P979" s="3242">
        <v>0</v>
      </c>
      <c r="Q979" s="3244"/>
      <c r="R979" s="3244"/>
      <c r="S979" s="3242">
        <v>0</v>
      </c>
      <c r="T979" s="3244"/>
      <c r="U979" s="3244"/>
      <c r="V979" s="3244"/>
      <c r="W979" s="3240">
        <v>0</v>
      </c>
      <c r="X979" s="3244"/>
      <c r="Y979" s="3244"/>
      <c r="Z979" s="3242" t="s">
        <v>3384</v>
      </c>
      <c r="AA979" s="3243">
        <v>0</v>
      </c>
      <c r="AB979" s="3242">
        <v>0</v>
      </c>
      <c r="AC979" s="3244"/>
      <c r="AD979" s="3244"/>
      <c r="AE979" s="3242">
        <v>0</v>
      </c>
      <c r="AF979" s="3259"/>
      <c r="AG979" s="3260"/>
      <c r="AH979" s="3260"/>
      <c r="AI979" s="3260"/>
      <c r="AJ979" s="3260"/>
      <c r="AK979" s="3260"/>
      <c r="AL979" s="3259"/>
      <c r="AM979" s="3260"/>
      <c r="AN979" s="3259"/>
      <c r="AO979" s="3260"/>
      <c r="AP979" s="3242">
        <v>0</v>
      </c>
      <c r="AQ979" s="3244"/>
      <c r="AR979" s="3244"/>
      <c r="AS979" s="3242" t="s">
        <v>3384</v>
      </c>
      <c r="AT979" s="3247">
        <f t="shared" si="83"/>
        <v>0</v>
      </c>
      <c r="AU979" s="3248">
        <f t="shared" ref="AU979:AU1042" si="84">AX979+BA979+BD979</f>
        <v>0</v>
      </c>
      <c r="AV979" s="3248">
        <v>0</v>
      </c>
      <c r="AW979" s="3247">
        <v>0</v>
      </c>
      <c r="AX979" s="3248">
        <v>0</v>
      </c>
      <c r="AY979" s="3248">
        <v>0</v>
      </c>
      <c r="AZ979" s="3247">
        <v>0</v>
      </c>
      <c r="BA979" s="3248">
        <v>0</v>
      </c>
      <c r="BB979" s="3248">
        <v>0</v>
      </c>
      <c r="BC979" s="3247">
        <v>0</v>
      </c>
      <c r="BD979" s="3248">
        <v>0</v>
      </c>
      <c r="BE979" s="3248">
        <v>0</v>
      </c>
      <c r="BF979" s="3248">
        <f t="shared" ref="BF979:BF1042" si="85">IFERROR(ROUND(AE979/S979*100,2),0)</f>
        <v>0</v>
      </c>
      <c r="BG979" s="3248">
        <f t="shared" ref="BG979:BG1042" si="86">IFERROR(ROUND(AA979/O979*100,2),0)</f>
        <v>0</v>
      </c>
      <c r="BH979" s="3249"/>
      <c r="BI979" s="3249"/>
    </row>
    <row r="980" spans="1:61" x14ac:dyDescent="0.3">
      <c r="A980" s="4197" t="s">
        <v>3384</v>
      </c>
      <c r="B980" s="3261"/>
      <c r="C980" s="3243">
        <v>0</v>
      </c>
      <c r="D980" s="3242">
        <v>0</v>
      </c>
      <c r="E980" s="3244"/>
      <c r="F980" s="3244"/>
      <c r="G980" s="3242">
        <v>0</v>
      </c>
      <c r="H980" s="3244"/>
      <c r="I980" s="3244"/>
      <c r="J980" s="3244"/>
      <c r="K980" s="3242">
        <v>0</v>
      </c>
      <c r="L980" s="3244"/>
      <c r="M980" s="3244"/>
      <c r="N980" s="3242" t="s">
        <v>3384</v>
      </c>
      <c r="O980" s="3239">
        <v>0</v>
      </c>
      <c r="P980" s="3242">
        <v>0</v>
      </c>
      <c r="Q980" s="3244"/>
      <c r="R980" s="3244"/>
      <c r="S980" s="3242">
        <v>0</v>
      </c>
      <c r="T980" s="3244"/>
      <c r="U980" s="3244"/>
      <c r="V980" s="3244"/>
      <c r="W980" s="3240">
        <v>0</v>
      </c>
      <c r="X980" s="3244"/>
      <c r="Y980" s="3244"/>
      <c r="Z980" s="3242" t="s">
        <v>3384</v>
      </c>
      <c r="AA980" s="3243">
        <v>0</v>
      </c>
      <c r="AB980" s="3242">
        <v>0</v>
      </c>
      <c r="AC980" s="3244"/>
      <c r="AD980" s="3244"/>
      <c r="AE980" s="3242">
        <v>0</v>
      </c>
      <c r="AF980" s="3259"/>
      <c r="AG980" s="3260"/>
      <c r="AH980" s="3260"/>
      <c r="AI980" s="3260"/>
      <c r="AJ980" s="3260"/>
      <c r="AK980" s="3260"/>
      <c r="AL980" s="3259"/>
      <c r="AM980" s="3260"/>
      <c r="AN980" s="3259"/>
      <c r="AO980" s="3260"/>
      <c r="AP980" s="3242">
        <v>0</v>
      </c>
      <c r="AQ980" s="3244"/>
      <c r="AR980" s="3244"/>
      <c r="AS980" s="3242" t="s">
        <v>3384</v>
      </c>
      <c r="AT980" s="3247">
        <f t="shared" si="83"/>
        <v>0</v>
      </c>
      <c r="AU980" s="3248">
        <f t="shared" si="84"/>
        <v>0</v>
      </c>
      <c r="AV980" s="3248">
        <v>0</v>
      </c>
      <c r="AW980" s="3247">
        <v>0</v>
      </c>
      <c r="AX980" s="3248">
        <v>0</v>
      </c>
      <c r="AY980" s="3248">
        <v>0</v>
      </c>
      <c r="AZ980" s="3247">
        <v>0</v>
      </c>
      <c r="BA980" s="3248">
        <v>0</v>
      </c>
      <c r="BB980" s="3248">
        <v>0</v>
      </c>
      <c r="BC980" s="3247">
        <v>0</v>
      </c>
      <c r="BD980" s="3248">
        <v>0</v>
      </c>
      <c r="BE980" s="3248">
        <v>0</v>
      </c>
      <c r="BF980" s="3248">
        <f t="shared" si="85"/>
        <v>0</v>
      </c>
      <c r="BG980" s="3248">
        <f t="shared" si="86"/>
        <v>0</v>
      </c>
      <c r="BH980" s="3249"/>
      <c r="BI980" s="3249"/>
    </row>
    <row r="981" spans="1:61" x14ac:dyDescent="0.3">
      <c r="A981" s="4197" t="s">
        <v>3384</v>
      </c>
      <c r="B981" s="3261"/>
      <c r="C981" s="3243">
        <v>0</v>
      </c>
      <c r="D981" s="3242">
        <v>0</v>
      </c>
      <c r="E981" s="3244"/>
      <c r="F981" s="3244"/>
      <c r="G981" s="3242">
        <v>0</v>
      </c>
      <c r="H981" s="3244"/>
      <c r="I981" s="3244"/>
      <c r="J981" s="3244"/>
      <c r="K981" s="3242">
        <v>0</v>
      </c>
      <c r="L981" s="3244"/>
      <c r="M981" s="3244"/>
      <c r="N981" s="3242" t="s">
        <v>3384</v>
      </c>
      <c r="O981" s="3239">
        <v>0</v>
      </c>
      <c r="P981" s="3242">
        <v>0</v>
      </c>
      <c r="Q981" s="3244"/>
      <c r="R981" s="3244"/>
      <c r="S981" s="3242">
        <v>0</v>
      </c>
      <c r="T981" s="3244"/>
      <c r="U981" s="3244"/>
      <c r="V981" s="3244"/>
      <c r="W981" s="3240">
        <v>0</v>
      </c>
      <c r="X981" s="3244"/>
      <c r="Y981" s="3244"/>
      <c r="Z981" s="3242" t="s">
        <v>3384</v>
      </c>
      <c r="AA981" s="3243">
        <v>0</v>
      </c>
      <c r="AB981" s="3242">
        <v>0</v>
      </c>
      <c r="AC981" s="3244"/>
      <c r="AD981" s="3244"/>
      <c r="AE981" s="3242">
        <v>0</v>
      </c>
      <c r="AF981" s="3259"/>
      <c r="AG981" s="3260"/>
      <c r="AH981" s="3260"/>
      <c r="AI981" s="3260"/>
      <c r="AJ981" s="3260"/>
      <c r="AK981" s="3260"/>
      <c r="AL981" s="3259"/>
      <c r="AM981" s="3260"/>
      <c r="AN981" s="3259"/>
      <c r="AO981" s="3260"/>
      <c r="AP981" s="3242">
        <v>0</v>
      </c>
      <c r="AQ981" s="3244"/>
      <c r="AR981" s="3244"/>
      <c r="AS981" s="3242" t="s">
        <v>3384</v>
      </c>
      <c r="AT981" s="3247">
        <f t="shared" si="83"/>
        <v>0</v>
      </c>
      <c r="AU981" s="3248">
        <f t="shared" si="84"/>
        <v>0</v>
      </c>
      <c r="AV981" s="3248">
        <v>0</v>
      </c>
      <c r="AW981" s="3247">
        <v>0</v>
      </c>
      <c r="AX981" s="3248">
        <v>0</v>
      </c>
      <c r="AY981" s="3248">
        <v>0</v>
      </c>
      <c r="AZ981" s="3247">
        <v>0</v>
      </c>
      <c r="BA981" s="3248">
        <v>0</v>
      </c>
      <c r="BB981" s="3248">
        <v>0</v>
      </c>
      <c r="BC981" s="3247">
        <v>0</v>
      </c>
      <c r="BD981" s="3248">
        <v>0</v>
      </c>
      <c r="BE981" s="3248">
        <v>0</v>
      </c>
      <c r="BF981" s="3248">
        <f t="shared" si="85"/>
        <v>0</v>
      </c>
      <c r="BG981" s="3248">
        <f t="shared" si="86"/>
        <v>0</v>
      </c>
      <c r="BH981" s="3249"/>
      <c r="BI981" s="3249"/>
    </row>
    <row r="982" spans="1:61" x14ac:dyDescent="0.3">
      <c r="A982" s="4197" t="s">
        <v>3384</v>
      </c>
      <c r="B982" s="3261"/>
      <c r="C982" s="3243">
        <v>0</v>
      </c>
      <c r="D982" s="3242">
        <v>0</v>
      </c>
      <c r="E982" s="3244"/>
      <c r="F982" s="3244"/>
      <c r="G982" s="3242">
        <v>0</v>
      </c>
      <c r="H982" s="3244"/>
      <c r="I982" s="3244"/>
      <c r="J982" s="3244"/>
      <c r="K982" s="3242">
        <v>0</v>
      </c>
      <c r="L982" s="3244"/>
      <c r="M982" s="3244"/>
      <c r="N982" s="3242" t="s">
        <v>3384</v>
      </c>
      <c r="O982" s="3239">
        <v>0</v>
      </c>
      <c r="P982" s="3242">
        <v>0</v>
      </c>
      <c r="Q982" s="3244"/>
      <c r="R982" s="3244"/>
      <c r="S982" s="3242">
        <v>0</v>
      </c>
      <c r="T982" s="3244"/>
      <c r="U982" s="3244"/>
      <c r="V982" s="3244"/>
      <c r="W982" s="3240">
        <v>0</v>
      </c>
      <c r="X982" s="3244"/>
      <c r="Y982" s="3244"/>
      <c r="Z982" s="3242" t="s">
        <v>3384</v>
      </c>
      <c r="AA982" s="3243">
        <v>0</v>
      </c>
      <c r="AB982" s="3242">
        <v>0</v>
      </c>
      <c r="AC982" s="3244"/>
      <c r="AD982" s="3244"/>
      <c r="AE982" s="3242">
        <v>0</v>
      </c>
      <c r="AF982" s="3259"/>
      <c r="AG982" s="3260"/>
      <c r="AH982" s="3260"/>
      <c r="AI982" s="3260"/>
      <c r="AJ982" s="3260"/>
      <c r="AK982" s="3260"/>
      <c r="AL982" s="3259"/>
      <c r="AM982" s="3260"/>
      <c r="AN982" s="3259"/>
      <c r="AO982" s="3260"/>
      <c r="AP982" s="3242">
        <v>0</v>
      </c>
      <c r="AQ982" s="3244"/>
      <c r="AR982" s="3244"/>
      <c r="AS982" s="3242" t="s">
        <v>3384</v>
      </c>
      <c r="AT982" s="3247">
        <f t="shared" si="83"/>
        <v>0</v>
      </c>
      <c r="AU982" s="3248">
        <f t="shared" si="84"/>
        <v>0</v>
      </c>
      <c r="AV982" s="3248">
        <v>0</v>
      </c>
      <c r="AW982" s="3247">
        <v>0</v>
      </c>
      <c r="AX982" s="3248">
        <v>0</v>
      </c>
      <c r="AY982" s="3248">
        <v>0</v>
      </c>
      <c r="AZ982" s="3247">
        <v>0</v>
      </c>
      <c r="BA982" s="3248">
        <v>0</v>
      </c>
      <c r="BB982" s="3248">
        <v>0</v>
      </c>
      <c r="BC982" s="3247">
        <v>0</v>
      </c>
      <c r="BD982" s="3248">
        <v>0</v>
      </c>
      <c r="BE982" s="3248">
        <v>0</v>
      </c>
      <c r="BF982" s="3248">
        <f t="shared" si="85"/>
        <v>0</v>
      </c>
      <c r="BG982" s="3248">
        <f t="shared" si="86"/>
        <v>0</v>
      </c>
      <c r="BH982" s="3249"/>
      <c r="BI982" s="3249"/>
    </row>
    <row r="983" spans="1:61" x14ac:dyDescent="0.3">
      <c r="A983" s="4197" t="s">
        <v>3384</v>
      </c>
      <c r="B983" s="3261"/>
      <c r="C983" s="3243">
        <v>0</v>
      </c>
      <c r="D983" s="3242">
        <v>0</v>
      </c>
      <c r="E983" s="3244"/>
      <c r="F983" s="3244"/>
      <c r="G983" s="3242">
        <v>0</v>
      </c>
      <c r="H983" s="3244"/>
      <c r="I983" s="3244"/>
      <c r="J983" s="3244"/>
      <c r="K983" s="3242">
        <v>0</v>
      </c>
      <c r="L983" s="3244"/>
      <c r="M983" s="3244"/>
      <c r="N983" s="3242" t="s">
        <v>3384</v>
      </c>
      <c r="O983" s="3239">
        <v>0</v>
      </c>
      <c r="P983" s="3242">
        <v>0</v>
      </c>
      <c r="Q983" s="3244"/>
      <c r="R983" s="3244"/>
      <c r="S983" s="3242">
        <v>0</v>
      </c>
      <c r="T983" s="3244"/>
      <c r="U983" s="3244"/>
      <c r="V983" s="3244"/>
      <c r="W983" s="3240">
        <v>0</v>
      </c>
      <c r="X983" s="3244"/>
      <c r="Y983" s="3244"/>
      <c r="Z983" s="3242" t="s">
        <v>3384</v>
      </c>
      <c r="AA983" s="3243">
        <v>0</v>
      </c>
      <c r="AB983" s="3242">
        <v>0</v>
      </c>
      <c r="AC983" s="3244"/>
      <c r="AD983" s="3244"/>
      <c r="AE983" s="3242">
        <v>0</v>
      </c>
      <c r="AF983" s="3259"/>
      <c r="AG983" s="3260"/>
      <c r="AH983" s="3260"/>
      <c r="AI983" s="3260"/>
      <c r="AJ983" s="3260"/>
      <c r="AK983" s="3260"/>
      <c r="AL983" s="3259"/>
      <c r="AM983" s="3260"/>
      <c r="AN983" s="3259"/>
      <c r="AO983" s="3260"/>
      <c r="AP983" s="3242">
        <v>0</v>
      </c>
      <c r="AQ983" s="3244"/>
      <c r="AR983" s="3244"/>
      <c r="AS983" s="3242" t="s">
        <v>3384</v>
      </c>
      <c r="AT983" s="3247">
        <f t="shared" si="83"/>
        <v>0</v>
      </c>
      <c r="AU983" s="3248">
        <f t="shared" si="84"/>
        <v>0</v>
      </c>
      <c r="AV983" s="3248">
        <v>0</v>
      </c>
      <c r="AW983" s="3247">
        <v>0</v>
      </c>
      <c r="AX983" s="3248">
        <v>0</v>
      </c>
      <c r="AY983" s="3248">
        <v>0</v>
      </c>
      <c r="AZ983" s="3247">
        <v>0</v>
      </c>
      <c r="BA983" s="3248">
        <v>0</v>
      </c>
      <c r="BB983" s="3248">
        <v>0</v>
      </c>
      <c r="BC983" s="3247">
        <v>0</v>
      </c>
      <c r="BD983" s="3248">
        <v>0</v>
      </c>
      <c r="BE983" s="3248">
        <v>0</v>
      </c>
      <c r="BF983" s="3248">
        <f t="shared" si="85"/>
        <v>0</v>
      </c>
      <c r="BG983" s="3248">
        <f t="shared" si="86"/>
        <v>0</v>
      </c>
      <c r="BH983" s="3249"/>
      <c r="BI983" s="3249"/>
    </row>
    <row r="984" spans="1:61" x14ac:dyDescent="0.3">
      <c r="A984" s="4197" t="s">
        <v>3384</v>
      </c>
      <c r="B984" s="3261"/>
      <c r="C984" s="3243">
        <v>0</v>
      </c>
      <c r="D984" s="3242">
        <v>0</v>
      </c>
      <c r="E984" s="3244"/>
      <c r="F984" s="3244"/>
      <c r="G984" s="3242">
        <v>0</v>
      </c>
      <c r="H984" s="3244"/>
      <c r="I984" s="3244"/>
      <c r="J984" s="3244"/>
      <c r="K984" s="3242">
        <v>0</v>
      </c>
      <c r="L984" s="3244"/>
      <c r="M984" s="3244"/>
      <c r="N984" s="3242" t="s">
        <v>3384</v>
      </c>
      <c r="O984" s="3239">
        <v>0</v>
      </c>
      <c r="P984" s="3242">
        <v>0</v>
      </c>
      <c r="Q984" s="3244"/>
      <c r="R984" s="3244"/>
      <c r="S984" s="3242">
        <v>0</v>
      </c>
      <c r="T984" s="3244"/>
      <c r="U984" s="3244"/>
      <c r="V984" s="3244"/>
      <c r="W984" s="3240">
        <v>0</v>
      </c>
      <c r="X984" s="3244"/>
      <c r="Y984" s="3244"/>
      <c r="Z984" s="3242" t="s">
        <v>3384</v>
      </c>
      <c r="AA984" s="3243">
        <v>0</v>
      </c>
      <c r="AB984" s="3242">
        <v>0</v>
      </c>
      <c r="AC984" s="3244"/>
      <c r="AD984" s="3244"/>
      <c r="AE984" s="3242">
        <v>0</v>
      </c>
      <c r="AF984" s="3259"/>
      <c r="AG984" s="3260"/>
      <c r="AH984" s="3260"/>
      <c r="AI984" s="3260"/>
      <c r="AJ984" s="3260"/>
      <c r="AK984" s="3260"/>
      <c r="AL984" s="3259"/>
      <c r="AM984" s="3260"/>
      <c r="AN984" s="3259"/>
      <c r="AO984" s="3260"/>
      <c r="AP984" s="3242">
        <v>0</v>
      </c>
      <c r="AQ984" s="3244"/>
      <c r="AR984" s="3244"/>
      <c r="AS984" s="3242" t="s">
        <v>3384</v>
      </c>
      <c r="AT984" s="3247">
        <f t="shared" si="83"/>
        <v>0</v>
      </c>
      <c r="AU984" s="3248">
        <f t="shared" si="84"/>
        <v>0</v>
      </c>
      <c r="AV984" s="3248">
        <v>0</v>
      </c>
      <c r="AW984" s="3247">
        <v>0</v>
      </c>
      <c r="AX984" s="3248">
        <v>0</v>
      </c>
      <c r="AY984" s="3248">
        <v>0</v>
      </c>
      <c r="AZ984" s="3247">
        <v>0</v>
      </c>
      <c r="BA984" s="3248">
        <v>0</v>
      </c>
      <c r="BB984" s="3248">
        <v>0</v>
      </c>
      <c r="BC984" s="3247">
        <v>0</v>
      </c>
      <c r="BD984" s="3248">
        <v>0</v>
      </c>
      <c r="BE984" s="3248">
        <v>0</v>
      </c>
      <c r="BF984" s="3248">
        <f t="shared" si="85"/>
        <v>0</v>
      </c>
      <c r="BG984" s="3248">
        <f t="shared" si="86"/>
        <v>0</v>
      </c>
      <c r="BH984" s="3249"/>
      <c r="BI984" s="3249"/>
    </row>
    <row r="985" spans="1:61" x14ac:dyDescent="0.3">
      <c r="A985" s="4197" t="s">
        <v>3384</v>
      </c>
      <c r="B985" s="3261"/>
      <c r="C985" s="3243">
        <v>0</v>
      </c>
      <c r="D985" s="3242">
        <v>0</v>
      </c>
      <c r="E985" s="3244"/>
      <c r="F985" s="3244"/>
      <c r="G985" s="3242">
        <v>0</v>
      </c>
      <c r="H985" s="3244"/>
      <c r="I985" s="3244"/>
      <c r="J985" s="3244"/>
      <c r="K985" s="3242">
        <v>0</v>
      </c>
      <c r="L985" s="3244"/>
      <c r="M985" s="3244"/>
      <c r="N985" s="3242" t="s">
        <v>3384</v>
      </c>
      <c r="O985" s="3239">
        <v>0</v>
      </c>
      <c r="P985" s="3242">
        <v>0</v>
      </c>
      <c r="Q985" s="3244"/>
      <c r="R985" s="3244"/>
      <c r="S985" s="3242">
        <v>0</v>
      </c>
      <c r="T985" s="3244"/>
      <c r="U985" s="3244"/>
      <c r="V985" s="3244"/>
      <c r="W985" s="3240">
        <v>0</v>
      </c>
      <c r="X985" s="3244"/>
      <c r="Y985" s="3244"/>
      <c r="Z985" s="3242" t="s">
        <v>3384</v>
      </c>
      <c r="AA985" s="3243">
        <v>0</v>
      </c>
      <c r="AB985" s="3242">
        <v>0</v>
      </c>
      <c r="AC985" s="3244"/>
      <c r="AD985" s="3244"/>
      <c r="AE985" s="3242">
        <v>0</v>
      </c>
      <c r="AF985" s="3259"/>
      <c r="AG985" s="3260"/>
      <c r="AH985" s="3260"/>
      <c r="AI985" s="3260"/>
      <c r="AJ985" s="3260"/>
      <c r="AK985" s="3260"/>
      <c r="AL985" s="3259"/>
      <c r="AM985" s="3260"/>
      <c r="AN985" s="3259"/>
      <c r="AO985" s="3260"/>
      <c r="AP985" s="3242">
        <v>0</v>
      </c>
      <c r="AQ985" s="3244"/>
      <c r="AR985" s="3244"/>
      <c r="AS985" s="3242" t="s">
        <v>3384</v>
      </c>
      <c r="AT985" s="3247">
        <f t="shared" si="83"/>
        <v>0</v>
      </c>
      <c r="AU985" s="3248">
        <f t="shared" si="84"/>
        <v>0</v>
      </c>
      <c r="AV985" s="3248">
        <v>0</v>
      </c>
      <c r="AW985" s="3247">
        <v>0</v>
      </c>
      <c r="AX985" s="3248">
        <v>0</v>
      </c>
      <c r="AY985" s="3248">
        <v>0</v>
      </c>
      <c r="AZ985" s="3247">
        <v>0</v>
      </c>
      <c r="BA985" s="3248">
        <v>0</v>
      </c>
      <c r="BB985" s="3248">
        <v>0</v>
      </c>
      <c r="BC985" s="3247">
        <v>0</v>
      </c>
      <c r="BD985" s="3248">
        <v>0</v>
      </c>
      <c r="BE985" s="3248">
        <v>0</v>
      </c>
      <c r="BF985" s="3248">
        <f t="shared" si="85"/>
        <v>0</v>
      </c>
      <c r="BG985" s="3248">
        <f t="shared" si="86"/>
        <v>0</v>
      </c>
      <c r="BH985" s="3249"/>
      <c r="BI985" s="3249"/>
    </row>
    <row r="986" spans="1:61" x14ac:dyDescent="0.3">
      <c r="A986" s="4197" t="s">
        <v>3384</v>
      </c>
      <c r="B986" s="3261"/>
      <c r="C986" s="3243">
        <v>0</v>
      </c>
      <c r="D986" s="3242">
        <v>0</v>
      </c>
      <c r="E986" s="3244"/>
      <c r="F986" s="3244"/>
      <c r="G986" s="3242">
        <v>0</v>
      </c>
      <c r="H986" s="3244"/>
      <c r="I986" s="3244"/>
      <c r="J986" s="3244"/>
      <c r="K986" s="3242">
        <v>0</v>
      </c>
      <c r="L986" s="3244"/>
      <c r="M986" s="3244"/>
      <c r="N986" s="3242" t="s">
        <v>3384</v>
      </c>
      <c r="O986" s="3239">
        <v>0</v>
      </c>
      <c r="P986" s="3242">
        <v>0</v>
      </c>
      <c r="Q986" s="3244"/>
      <c r="R986" s="3244"/>
      <c r="S986" s="3242">
        <v>0</v>
      </c>
      <c r="T986" s="3244"/>
      <c r="U986" s="3244"/>
      <c r="V986" s="3244"/>
      <c r="W986" s="3240">
        <v>0</v>
      </c>
      <c r="X986" s="3244"/>
      <c r="Y986" s="3244"/>
      <c r="Z986" s="3242" t="s">
        <v>3384</v>
      </c>
      <c r="AA986" s="3243">
        <v>0</v>
      </c>
      <c r="AB986" s="3242">
        <v>0</v>
      </c>
      <c r="AC986" s="3244"/>
      <c r="AD986" s="3244"/>
      <c r="AE986" s="3242">
        <v>0</v>
      </c>
      <c r="AF986" s="3259"/>
      <c r="AG986" s="3260"/>
      <c r="AH986" s="3260"/>
      <c r="AI986" s="3260"/>
      <c r="AJ986" s="3260"/>
      <c r="AK986" s="3260"/>
      <c r="AL986" s="3259"/>
      <c r="AM986" s="3260"/>
      <c r="AN986" s="3259"/>
      <c r="AO986" s="3260"/>
      <c r="AP986" s="3242">
        <v>0</v>
      </c>
      <c r="AQ986" s="3244"/>
      <c r="AR986" s="3244"/>
      <c r="AS986" s="3242" t="s">
        <v>3384</v>
      </c>
      <c r="AT986" s="3247">
        <f t="shared" si="83"/>
        <v>0</v>
      </c>
      <c r="AU986" s="3248">
        <f t="shared" si="84"/>
        <v>0</v>
      </c>
      <c r="AV986" s="3248">
        <v>0</v>
      </c>
      <c r="AW986" s="3247">
        <v>0</v>
      </c>
      <c r="AX986" s="3248">
        <v>0</v>
      </c>
      <c r="AY986" s="3248">
        <v>0</v>
      </c>
      <c r="AZ986" s="3247">
        <v>0</v>
      </c>
      <c r="BA986" s="3248">
        <v>0</v>
      </c>
      <c r="BB986" s="3248">
        <v>0</v>
      </c>
      <c r="BC986" s="3247">
        <v>0</v>
      </c>
      <c r="BD986" s="3248">
        <v>0</v>
      </c>
      <c r="BE986" s="3248">
        <v>0</v>
      </c>
      <c r="BF986" s="3248">
        <f t="shared" si="85"/>
        <v>0</v>
      </c>
      <c r="BG986" s="3248">
        <f t="shared" si="86"/>
        <v>0</v>
      </c>
      <c r="BH986" s="3249"/>
      <c r="BI986" s="3249"/>
    </row>
    <row r="987" spans="1:61" x14ac:dyDescent="0.3">
      <c r="A987" s="4197" t="s">
        <v>3384</v>
      </c>
      <c r="B987" s="3261"/>
      <c r="C987" s="3243">
        <v>0</v>
      </c>
      <c r="D987" s="3242">
        <v>0</v>
      </c>
      <c r="E987" s="3244"/>
      <c r="F987" s="3244"/>
      <c r="G987" s="3242">
        <v>0</v>
      </c>
      <c r="H987" s="3244"/>
      <c r="I987" s="3244"/>
      <c r="J987" s="3244"/>
      <c r="K987" s="3242">
        <v>0</v>
      </c>
      <c r="L987" s="3244"/>
      <c r="M987" s="3244"/>
      <c r="N987" s="3242" t="s">
        <v>3384</v>
      </c>
      <c r="O987" s="3239">
        <v>0</v>
      </c>
      <c r="P987" s="3242">
        <v>0</v>
      </c>
      <c r="Q987" s="3244"/>
      <c r="R987" s="3244"/>
      <c r="S987" s="3242">
        <v>0</v>
      </c>
      <c r="T987" s="3244"/>
      <c r="U987" s="3244"/>
      <c r="V987" s="3244"/>
      <c r="W987" s="3240">
        <v>0</v>
      </c>
      <c r="X987" s="3244"/>
      <c r="Y987" s="3244"/>
      <c r="Z987" s="3242" t="s">
        <v>3384</v>
      </c>
      <c r="AA987" s="3243">
        <v>0</v>
      </c>
      <c r="AB987" s="3242">
        <v>0</v>
      </c>
      <c r="AC987" s="3244"/>
      <c r="AD987" s="3244"/>
      <c r="AE987" s="3242">
        <v>0</v>
      </c>
      <c r="AF987" s="3259"/>
      <c r="AG987" s="3260"/>
      <c r="AH987" s="3260"/>
      <c r="AI987" s="3260"/>
      <c r="AJ987" s="3260"/>
      <c r="AK987" s="3260"/>
      <c r="AL987" s="3259"/>
      <c r="AM987" s="3260"/>
      <c r="AN987" s="3259"/>
      <c r="AO987" s="3260"/>
      <c r="AP987" s="3242">
        <v>0</v>
      </c>
      <c r="AQ987" s="3244"/>
      <c r="AR987" s="3244"/>
      <c r="AS987" s="3242" t="s">
        <v>3384</v>
      </c>
      <c r="AT987" s="3247">
        <f t="shared" si="83"/>
        <v>0</v>
      </c>
      <c r="AU987" s="3248">
        <f t="shared" si="84"/>
        <v>0</v>
      </c>
      <c r="AV987" s="3248">
        <v>0</v>
      </c>
      <c r="AW987" s="3247">
        <v>0</v>
      </c>
      <c r="AX987" s="3248">
        <v>0</v>
      </c>
      <c r="AY987" s="3248">
        <v>0</v>
      </c>
      <c r="AZ987" s="3247">
        <v>0</v>
      </c>
      <c r="BA987" s="3248">
        <v>0</v>
      </c>
      <c r="BB987" s="3248">
        <v>0</v>
      </c>
      <c r="BC987" s="3247">
        <v>0</v>
      </c>
      <c r="BD987" s="3248">
        <v>0</v>
      </c>
      <c r="BE987" s="3248">
        <v>0</v>
      </c>
      <c r="BF987" s="3248">
        <f t="shared" si="85"/>
        <v>0</v>
      </c>
      <c r="BG987" s="3248">
        <f t="shared" si="86"/>
        <v>0</v>
      </c>
      <c r="BH987" s="3249"/>
      <c r="BI987" s="3249"/>
    </row>
    <row r="988" spans="1:61" x14ac:dyDescent="0.3">
      <c r="A988" s="4197" t="s">
        <v>3384</v>
      </c>
      <c r="B988" s="3261"/>
      <c r="C988" s="3243">
        <v>0</v>
      </c>
      <c r="D988" s="3242">
        <v>0</v>
      </c>
      <c r="E988" s="3244"/>
      <c r="F988" s="3244"/>
      <c r="G988" s="3242">
        <v>0</v>
      </c>
      <c r="H988" s="3244"/>
      <c r="I988" s="3244"/>
      <c r="J988" s="3244"/>
      <c r="K988" s="3242">
        <v>0</v>
      </c>
      <c r="L988" s="3244"/>
      <c r="M988" s="3244"/>
      <c r="N988" s="3242" t="s">
        <v>3384</v>
      </c>
      <c r="O988" s="3239">
        <v>0</v>
      </c>
      <c r="P988" s="3242">
        <v>0</v>
      </c>
      <c r="Q988" s="3244"/>
      <c r="R988" s="3244"/>
      <c r="S988" s="3242">
        <v>0</v>
      </c>
      <c r="T988" s="3244"/>
      <c r="U988" s="3244"/>
      <c r="V988" s="3244"/>
      <c r="W988" s="3240">
        <v>0</v>
      </c>
      <c r="X988" s="3244"/>
      <c r="Y988" s="3244"/>
      <c r="Z988" s="3242" t="s">
        <v>3384</v>
      </c>
      <c r="AA988" s="3243">
        <v>0</v>
      </c>
      <c r="AB988" s="3242">
        <v>0</v>
      </c>
      <c r="AC988" s="3244"/>
      <c r="AD988" s="3244"/>
      <c r="AE988" s="3242">
        <v>0</v>
      </c>
      <c r="AF988" s="3259"/>
      <c r="AG988" s="3260"/>
      <c r="AH988" s="3260"/>
      <c r="AI988" s="3260"/>
      <c r="AJ988" s="3260"/>
      <c r="AK988" s="3260"/>
      <c r="AL988" s="3259"/>
      <c r="AM988" s="3260"/>
      <c r="AN988" s="3259"/>
      <c r="AO988" s="3260"/>
      <c r="AP988" s="3242">
        <v>0</v>
      </c>
      <c r="AQ988" s="3244"/>
      <c r="AR988" s="3244"/>
      <c r="AS988" s="3242" t="s">
        <v>3384</v>
      </c>
      <c r="AT988" s="3247">
        <f t="shared" si="83"/>
        <v>0</v>
      </c>
      <c r="AU988" s="3248">
        <f t="shared" si="84"/>
        <v>0</v>
      </c>
      <c r="AV988" s="3248">
        <v>0</v>
      </c>
      <c r="AW988" s="3247">
        <v>0</v>
      </c>
      <c r="AX988" s="3248">
        <v>0</v>
      </c>
      <c r="AY988" s="3248">
        <v>0</v>
      </c>
      <c r="AZ988" s="3247">
        <v>0</v>
      </c>
      <c r="BA988" s="3248">
        <v>0</v>
      </c>
      <c r="BB988" s="3248">
        <v>0</v>
      </c>
      <c r="BC988" s="3247">
        <v>0</v>
      </c>
      <c r="BD988" s="3248">
        <v>0</v>
      </c>
      <c r="BE988" s="3248">
        <v>0</v>
      </c>
      <c r="BF988" s="3248">
        <f t="shared" si="85"/>
        <v>0</v>
      </c>
      <c r="BG988" s="3248">
        <f t="shared" si="86"/>
        <v>0</v>
      </c>
      <c r="BH988" s="3249"/>
      <c r="BI988" s="3249"/>
    </row>
    <row r="989" spans="1:61" x14ac:dyDescent="0.3">
      <c r="A989" s="4197" t="s">
        <v>3384</v>
      </c>
      <c r="B989" s="3261"/>
      <c r="C989" s="3243">
        <v>0</v>
      </c>
      <c r="D989" s="3242">
        <v>0</v>
      </c>
      <c r="E989" s="3244"/>
      <c r="F989" s="3244"/>
      <c r="G989" s="3242">
        <v>0</v>
      </c>
      <c r="H989" s="3244"/>
      <c r="I989" s="3244"/>
      <c r="J989" s="3244"/>
      <c r="K989" s="3242">
        <v>0</v>
      </c>
      <c r="L989" s="3244"/>
      <c r="M989" s="3244"/>
      <c r="N989" s="3242" t="s">
        <v>3384</v>
      </c>
      <c r="O989" s="3239">
        <v>0</v>
      </c>
      <c r="P989" s="3242">
        <v>0</v>
      </c>
      <c r="Q989" s="3244"/>
      <c r="R989" s="3244"/>
      <c r="S989" s="3242">
        <v>0</v>
      </c>
      <c r="T989" s="3244"/>
      <c r="U989" s="3244"/>
      <c r="V989" s="3244"/>
      <c r="W989" s="3240">
        <v>0</v>
      </c>
      <c r="X989" s="3244"/>
      <c r="Y989" s="3244"/>
      <c r="Z989" s="3242" t="s">
        <v>3384</v>
      </c>
      <c r="AA989" s="3243">
        <v>0</v>
      </c>
      <c r="AB989" s="3242">
        <v>0</v>
      </c>
      <c r="AC989" s="3244"/>
      <c r="AD989" s="3244"/>
      <c r="AE989" s="3242">
        <v>0</v>
      </c>
      <c r="AF989" s="3259"/>
      <c r="AG989" s="3260"/>
      <c r="AH989" s="3260"/>
      <c r="AI989" s="3260"/>
      <c r="AJ989" s="3260"/>
      <c r="AK989" s="3260"/>
      <c r="AL989" s="3259"/>
      <c r="AM989" s="3260"/>
      <c r="AN989" s="3259"/>
      <c r="AO989" s="3260"/>
      <c r="AP989" s="3242">
        <v>0</v>
      </c>
      <c r="AQ989" s="3244"/>
      <c r="AR989" s="3244"/>
      <c r="AS989" s="3242" t="s">
        <v>3384</v>
      </c>
      <c r="AT989" s="3247">
        <f t="shared" si="83"/>
        <v>0</v>
      </c>
      <c r="AU989" s="3248">
        <f t="shared" si="84"/>
        <v>0</v>
      </c>
      <c r="AV989" s="3248">
        <v>0</v>
      </c>
      <c r="AW989" s="3247">
        <v>0</v>
      </c>
      <c r="AX989" s="3248">
        <v>0</v>
      </c>
      <c r="AY989" s="3248">
        <v>0</v>
      </c>
      <c r="AZ989" s="3247">
        <v>0</v>
      </c>
      <c r="BA989" s="3248">
        <v>0</v>
      </c>
      <c r="BB989" s="3248">
        <v>0</v>
      </c>
      <c r="BC989" s="3247">
        <v>0</v>
      </c>
      <c r="BD989" s="3248">
        <v>0</v>
      </c>
      <c r="BE989" s="3248">
        <v>0</v>
      </c>
      <c r="BF989" s="3248">
        <f t="shared" si="85"/>
        <v>0</v>
      </c>
      <c r="BG989" s="3248">
        <f t="shared" si="86"/>
        <v>0</v>
      </c>
      <c r="BH989" s="3249"/>
      <c r="BI989" s="3249"/>
    </row>
    <row r="990" spans="1:61" x14ac:dyDescent="0.3">
      <c r="A990" s="4197" t="s">
        <v>3384</v>
      </c>
      <c r="B990" s="3261"/>
      <c r="C990" s="3243">
        <v>0</v>
      </c>
      <c r="D990" s="3242">
        <v>0</v>
      </c>
      <c r="E990" s="3244"/>
      <c r="F990" s="3244"/>
      <c r="G990" s="3242">
        <v>0</v>
      </c>
      <c r="H990" s="3244"/>
      <c r="I990" s="3244"/>
      <c r="J990" s="3244"/>
      <c r="K990" s="3242">
        <v>0</v>
      </c>
      <c r="L990" s="3244"/>
      <c r="M990" s="3244"/>
      <c r="N990" s="3242" t="s">
        <v>3384</v>
      </c>
      <c r="O990" s="3239">
        <v>0</v>
      </c>
      <c r="P990" s="3242">
        <v>0</v>
      </c>
      <c r="Q990" s="3244"/>
      <c r="R990" s="3244"/>
      <c r="S990" s="3242">
        <v>0</v>
      </c>
      <c r="T990" s="3244"/>
      <c r="U990" s="3244"/>
      <c r="V990" s="3244"/>
      <c r="W990" s="3240">
        <v>0</v>
      </c>
      <c r="X990" s="3244"/>
      <c r="Y990" s="3244"/>
      <c r="Z990" s="3242" t="s">
        <v>3384</v>
      </c>
      <c r="AA990" s="3243">
        <v>0</v>
      </c>
      <c r="AB990" s="3242">
        <v>0</v>
      </c>
      <c r="AC990" s="3244"/>
      <c r="AD990" s="3244"/>
      <c r="AE990" s="3242">
        <v>0</v>
      </c>
      <c r="AF990" s="3259"/>
      <c r="AG990" s="3260"/>
      <c r="AH990" s="3260"/>
      <c r="AI990" s="3260"/>
      <c r="AJ990" s="3260"/>
      <c r="AK990" s="3260"/>
      <c r="AL990" s="3259"/>
      <c r="AM990" s="3260"/>
      <c r="AN990" s="3259"/>
      <c r="AO990" s="3260"/>
      <c r="AP990" s="3242">
        <v>0</v>
      </c>
      <c r="AQ990" s="3244"/>
      <c r="AR990" s="3244"/>
      <c r="AS990" s="3242" t="s">
        <v>3384</v>
      </c>
      <c r="AT990" s="3247">
        <f t="shared" si="83"/>
        <v>0</v>
      </c>
      <c r="AU990" s="3248">
        <f t="shared" si="84"/>
        <v>0</v>
      </c>
      <c r="AV990" s="3248">
        <v>0</v>
      </c>
      <c r="AW990" s="3247">
        <v>0</v>
      </c>
      <c r="AX990" s="3248">
        <v>0</v>
      </c>
      <c r="AY990" s="3248">
        <v>0</v>
      </c>
      <c r="AZ990" s="3247">
        <v>0</v>
      </c>
      <c r="BA990" s="3248">
        <v>0</v>
      </c>
      <c r="BB990" s="3248">
        <v>0</v>
      </c>
      <c r="BC990" s="3247">
        <v>0</v>
      </c>
      <c r="BD990" s="3248">
        <v>0</v>
      </c>
      <c r="BE990" s="3248">
        <v>0</v>
      </c>
      <c r="BF990" s="3248">
        <f t="shared" si="85"/>
        <v>0</v>
      </c>
      <c r="BG990" s="3248">
        <f t="shared" si="86"/>
        <v>0</v>
      </c>
      <c r="BH990" s="3249"/>
      <c r="BI990" s="3249"/>
    </row>
    <row r="991" spans="1:61" x14ac:dyDescent="0.3">
      <c r="A991" s="4197" t="s">
        <v>3384</v>
      </c>
      <c r="B991" s="3261"/>
      <c r="C991" s="3243">
        <v>0</v>
      </c>
      <c r="D991" s="3242">
        <v>0</v>
      </c>
      <c r="E991" s="3244"/>
      <c r="F991" s="3244"/>
      <c r="G991" s="3242">
        <v>0</v>
      </c>
      <c r="H991" s="3244"/>
      <c r="I991" s="3244"/>
      <c r="J991" s="3244"/>
      <c r="K991" s="3242">
        <v>0</v>
      </c>
      <c r="L991" s="3244"/>
      <c r="M991" s="3244"/>
      <c r="N991" s="3242" t="s">
        <v>3384</v>
      </c>
      <c r="O991" s="3239">
        <v>0</v>
      </c>
      <c r="P991" s="3242">
        <v>0</v>
      </c>
      <c r="Q991" s="3244"/>
      <c r="R991" s="3244"/>
      <c r="S991" s="3242">
        <v>0</v>
      </c>
      <c r="T991" s="3244"/>
      <c r="U991" s="3244"/>
      <c r="V991" s="3244"/>
      <c r="W991" s="3240">
        <v>0</v>
      </c>
      <c r="X991" s="3244"/>
      <c r="Y991" s="3244"/>
      <c r="Z991" s="3242" t="s">
        <v>3384</v>
      </c>
      <c r="AA991" s="3243">
        <v>0</v>
      </c>
      <c r="AB991" s="3242">
        <v>0</v>
      </c>
      <c r="AC991" s="3244"/>
      <c r="AD991" s="3244"/>
      <c r="AE991" s="3242">
        <v>0</v>
      </c>
      <c r="AF991" s="3259"/>
      <c r="AG991" s="3260"/>
      <c r="AH991" s="3260"/>
      <c r="AI991" s="3260"/>
      <c r="AJ991" s="3260"/>
      <c r="AK991" s="3260"/>
      <c r="AL991" s="3259"/>
      <c r="AM991" s="3260"/>
      <c r="AN991" s="3259"/>
      <c r="AO991" s="3260"/>
      <c r="AP991" s="3242">
        <v>0</v>
      </c>
      <c r="AQ991" s="3244"/>
      <c r="AR991" s="3244"/>
      <c r="AS991" s="3242" t="s">
        <v>3384</v>
      </c>
      <c r="AT991" s="3247">
        <f t="shared" si="83"/>
        <v>0</v>
      </c>
      <c r="AU991" s="3248">
        <f t="shared" si="84"/>
        <v>0</v>
      </c>
      <c r="AV991" s="3248">
        <v>0</v>
      </c>
      <c r="AW991" s="3247">
        <v>0</v>
      </c>
      <c r="AX991" s="3248">
        <v>0</v>
      </c>
      <c r="AY991" s="3248">
        <v>0</v>
      </c>
      <c r="AZ991" s="3247">
        <v>0</v>
      </c>
      <c r="BA991" s="3248">
        <v>0</v>
      </c>
      <c r="BB991" s="3248">
        <v>0</v>
      </c>
      <c r="BC991" s="3247">
        <v>0</v>
      </c>
      <c r="BD991" s="3248">
        <v>0</v>
      </c>
      <c r="BE991" s="3248">
        <v>0</v>
      </c>
      <c r="BF991" s="3248">
        <f t="shared" si="85"/>
        <v>0</v>
      </c>
      <c r="BG991" s="3248">
        <f t="shared" si="86"/>
        <v>0</v>
      </c>
      <c r="BH991" s="3249"/>
      <c r="BI991" s="3249"/>
    </row>
    <row r="992" spans="1:61" x14ac:dyDescent="0.3">
      <c r="A992" s="4197" t="s">
        <v>3384</v>
      </c>
      <c r="B992" s="3261"/>
      <c r="C992" s="3243">
        <v>0</v>
      </c>
      <c r="D992" s="3242">
        <v>0</v>
      </c>
      <c r="E992" s="3244"/>
      <c r="F992" s="3244"/>
      <c r="G992" s="3242">
        <v>0</v>
      </c>
      <c r="H992" s="3244"/>
      <c r="I992" s="3244"/>
      <c r="J992" s="3244"/>
      <c r="K992" s="3242">
        <v>0</v>
      </c>
      <c r="L992" s="3244"/>
      <c r="M992" s="3244"/>
      <c r="N992" s="3242" t="s">
        <v>3384</v>
      </c>
      <c r="O992" s="3239">
        <v>0</v>
      </c>
      <c r="P992" s="3242">
        <v>0</v>
      </c>
      <c r="Q992" s="3244"/>
      <c r="R992" s="3244"/>
      <c r="S992" s="3242">
        <v>0</v>
      </c>
      <c r="T992" s="3244"/>
      <c r="U992" s="3244"/>
      <c r="V992" s="3244"/>
      <c r="W992" s="3240">
        <v>0</v>
      </c>
      <c r="X992" s="3244"/>
      <c r="Y992" s="3244"/>
      <c r="Z992" s="3242" t="s">
        <v>3384</v>
      </c>
      <c r="AA992" s="3243">
        <v>0</v>
      </c>
      <c r="AB992" s="3242">
        <v>0</v>
      </c>
      <c r="AC992" s="3244"/>
      <c r="AD992" s="3244"/>
      <c r="AE992" s="3242">
        <v>0</v>
      </c>
      <c r="AF992" s="3259"/>
      <c r="AG992" s="3260"/>
      <c r="AH992" s="3260"/>
      <c r="AI992" s="3260"/>
      <c r="AJ992" s="3260"/>
      <c r="AK992" s="3260"/>
      <c r="AL992" s="3259"/>
      <c r="AM992" s="3260"/>
      <c r="AN992" s="3259"/>
      <c r="AO992" s="3260"/>
      <c r="AP992" s="3242">
        <v>0</v>
      </c>
      <c r="AQ992" s="3244"/>
      <c r="AR992" s="3244"/>
      <c r="AS992" s="3242" t="s">
        <v>3384</v>
      </c>
      <c r="AT992" s="3247">
        <f t="shared" si="83"/>
        <v>0</v>
      </c>
      <c r="AU992" s="3248">
        <f t="shared" si="84"/>
        <v>0</v>
      </c>
      <c r="AV992" s="3248">
        <v>0</v>
      </c>
      <c r="AW992" s="3247">
        <v>0</v>
      </c>
      <c r="AX992" s="3248">
        <v>0</v>
      </c>
      <c r="AY992" s="3248">
        <v>0</v>
      </c>
      <c r="AZ992" s="3247">
        <v>0</v>
      </c>
      <c r="BA992" s="3248">
        <v>0</v>
      </c>
      <c r="BB992" s="3248">
        <v>0</v>
      </c>
      <c r="BC992" s="3247">
        <v>0</v>
      </c>
      <c r="BD992" s="3248">
        <v>0</v>
      </c>
      <c r="BE992" s="3248">
        <v>0</v>
      </c>
      <c r="BF992" s="3248">
        <f t="shared" si="85"/>
        <v>0</v>
      </c>
      <c r="BG992" s="3248">
        <f t="shared" si="86"/>
        <v>0</v>
      </c>
      <c r="BH992" s="3249"/>
      <c r="BI992" s="3249"/>
    </row>
    <row r="993" spans="1:61" x14ac:dyDescent="0.3">
      <c r="A993" s="4197" t="s">
        <v>3384</v>
      </c>
      <c r="B993" s="3261"/>
      <c r="C993" s="3243">
        <v>0</v>
      </c>
      <c r="D993" s="3242">
        <v>0</v>
      </c>
      <c r="E993" s="3244"/>
      <c r="F993" s="3244"/>
      <c r="G993" s="3242">
        <v>0</v>
      </c>
      <c r="H993" s="3244"/>
      <c r="I993" s="3244"/>
      <c r="J993" s="3244"/>
      <c r="K993" s="3242">
        <v>0</v>
      </c>
      <c r="L993" s="3244"/>
      <c r="M993" s="3244"/>
      <c r="N993" s="3242" t="s">
        <v>3384</v>
      </c>
      <c r="O993" s="3239">
        <v>0</v>
      </c>
      <c r="P993" s="3242">
        <v>0</v>
      </c>
      <c r="Q993" s="3244"/>
      <c r="R993" s="3244"/>
      <c r="S993" s="3242">
        <v>0</v>
      </c>
      <c r="T993" s="3244"/>
      <c r="U993" s="3244"/>
      <c r="V993" s="3244"/>
      <c r="W993" s="3240">
        <v>0</v>
      </c>
      <c r="X993" s="3244"/>
      <c r="Y993" s="3244"/>
      <c r="Z993" s="3242" t="s">
        <v>3384</v>
      </c>
      <c r="AA993" s="3243">
        <v>0</v>
      </c>
      <c r="AB993" s="3242">
        <v>0</v>
      </c>
      <c r="AC993" s="3244"/>
      <c r="AD993" s="3244"/>
      <c r="AE993" s="3242">
        <v>0</v>
      </c>
      <c r="AF993" s="3259"/>
      <c r="AG993" s="3260"/>
      <c r="AH993" s="3260"/>
      <c r="AI993" s="3260"/>
      <c r="AJ993" s="3260"/>
      <c r="AK993" s="3260"/>
      <c r="AL993" s="3259"/>
      <c r="AM993" s="3260"/>
      <c r="AN993" s="3259"/>
      <c r="AO993" s="3260"/>
      <c r="AP993" s="3242">
        <v>0</v>
      </c>
      <c r="AQ993" s="3244"/>
      <c r="AR993" s="3244"/>
      <c r="AS993" s="3242" t="s">
        <v>3384</v>
      </c>
      <c r="AT993" s="3247">
        <f t="shared" si="83"/>
        <v>0</v>
      </c>
      <c r="AU993" s="3248">
        <f t="shared" si="84"/>
        <v>0</v>
      </c>
      <c r="AV993" s="3248">
        <v>0</v>
      </c>
      <c r="AW993" s="3247">
        <v>0</v>
      </c>
      <c r="AX993" s="3248">
        <v>0</v>
      </c>
      <c r="AY993" s="3248">
        <v>0</v>
      </c>
      <c r="AZ993" s="3247">
        <v>0</v>
      </c>
      <c r="BA993" s="3248">
        <v>0</v>
      </c>
      <c r="BB993" s="3248">
        <v>0</v>
      </c>
      <c r="BC993" s="3247">
        <v>0</v>
      </c>
      <c r="BD993" s="3248">
        <v>0</v>
      </c>
      <c r="BE993" s="3248">
        <v>0</v>
      </c>
      <c r="BF993" s="3248">
        <f t="shared" si="85"/>
        <v>0</v>
      </c>
      <c r="BG993" s="3248">
        <f t="shared" si="86"/>
        <v>0</v>
      </c>
      <c r="BH993" s="3249"/>
      <c r="BI993" s="3249"/>
    </row>
    <row r="994" spans="1:61" x14ac:dyDescent="0.3">
      <c r="A994" s="4197" t="s">
        <v>3384</v>
      </c>
      <c r="B994" s="3261"/>
      <c r="C994" s="3243">
        <v>0</v>
      </c>
      <c r="D994" s="3242">
        <v>0</v>
      </c>
      <c r="E994" s="3244"/>
      <c r="F994" s="3244"/>
      <c r="G994" s="3242">
        <v>0</v>
      </c>
      <c r="H994" s="3244"/>
      <c r="I994" s="3244"/>
      <c r="J994" s="3244"/>
      <c r="K994" s="3242">
        <v>0</v>
      </c>
      <c r="L994" s="3244"/>
      <c r="M994" s="3244"/>
      <c r="N994" s="3242" t="s">
        <v>3384</v>
      </c>
      <c r="O994" s="3239">
        <v>0</v>
      </c>
      <c r="P994" s="3242">
        <v>0</v>
      </c>
      <c r="Q994" s="3244"/>
      <c r="R994" s="3244"/>
      <c r="S994" s="3242">
        <v>0</v>
      </c>
      <c r="T994" s="3244"/>
      <c r="U994" s="3244"/>
      <c r="V994" s="3244"/>
      <c r="W994" s="3240">
        <v>0</v>
      </c>
      <c r="X994" s="3244"/>
      <c r="Y994" s="3244"/>
      <c r="Z994" s="3242" t="s">
        <v>3384</v>
      </c>
      <c r="AA994" s="3243">
        <v>0</v>
      </c>
      <c r="AB994" s="3242">
        <v>0</v>
      </c>
      <c r="AC994" s="3244"/>
      <c r="AD994" s="3244"/>
      <c r="AE994" s="3242">
        <v>0</v>
      </c>
      <c r="AF994" s="3259"/>
      <c r="AG994" s="3260"/>
      <c r="AH994" s="3260"/>
      <c r="AI994" s="3260"/>
      <c r="AJ994" s="3260"/>
      <c r="AK994" s="3260"/>
      <c r="AL994" s="3259"/>
      <c r="AM994" s="3260"/>
      <c r="AN994" s="3259"/>
      <c r="AO994" s="3260"/>
      <c r="AP994" s="3242">
        <v>0</v>
      </c>
      <c r="AQ994" s="3244"/>
      <c r="AR994" s="3244"/>
      <c r="AS994" s="3242" t="s">
        <v>3384</v>
      </c>
      <c r="AT994" s="3247">
        <f t="shared" si="83"/>
        <v>0</v>
      </c>
      <c r="AU994" s="3248">
        <f t="shared" si="84"/>
        <v>0</v>
      </c>
      <c r="AV994" s="3248">
        <v>0</v>
      </c>
      <c r="AW994" s="3247">
        <v>0</v>
      </c>
      <c r="AX994" s="3248">
        <v>0</v>
      </c>
      <c r="AY994" s="3248">
        <v>0</v>
      </c>
      <c r="AZ994" s="3247">
        <v>0</v>
      </c>
      <c r="BA994" s="3248">
        <v>0</v>
      </c>
      <c r="BB994" s="3248">
        <v>0</v>
      </c>
      <c r="BC994" s="3247">
        <v>0</v>
      </c>
      <c r="BD994" s="3248">
        <v>0</v>
      </c>
      <c r="BE994" s="3248">
        <v>0</v>
      </c>
      <c r="BF994" s="3248">
        <f t="shared" si="85"/>
        <v>0</v>
      </c>
      <c r="BG994" s="3248">
        <f t="shared" si="86"/>
        <v>0</v>
      </c>
      <c r="BH994" s="3249"/>
      <c r="BI994" s="3249"/>
    </row>
    <row r="995" spans="1:61" x14ac:dyDescent="0.3">
      <c r="A995" s="4197" t="s">
        <v>3384</v>
      </c>
      <c r="B995" s="3261"/>
      <c r="C995" s="3243">
        <v>0</v>
      </c>
      <c r="D995" s="3242">
        <v>0</v>
      </c>
      <c r="E995" s="3244"/>
      <c r="F995" s="3244"/>
      <c r="G995" s="3242">
        <v>0</v>
      </c>
      <c r="H995" s="3244"/>
      <c r="I995" s="3244"/>
      <c r="J995" s="3244"/>
      <c r="K995" s="3242">
        <v>0</v>
      </c>
      <c r="L995" s="3244"/>
      <c r="M995" s="3244"/>
      <c r="N995" s="3242" t="s">
        <v>3384</v>
      </c>
      <c r="O995" s="3239">
        <v>0</v>
      </c>
      <c r="P995" s="3242">
        <v>0</v>
      </c>
      <c r="Q995" s="3244"/>
      <c r="R995" s="3244"/>
      <c r="S995" s="3242">
        <v>0</v>
      </c>
      <c r="T995" s="3244"/>
      <c r="U995" s="3244"/>
      <c r="V995" s="3244"/>
      <c r="W995" s="3240">
        <v>0</v>
      </c>
      <c r="X995" s="3244"/>
      <c r="Y995" s="3244"/>
      <c r="Z995" s="3242" t="s">
        <v>3384</v>
      </c>
      <c r="AA995" s="3243">
        <v>0</v>
      </c>
      <c r="AB995" s="3242">
        <v>0</v>
      </c>
      <c r="AC995" s="3244"/>
      <c r="AD995" s="3244"/>
      <c r="AE995" s="3242">
        <v>0</v>
      </c>
      <c r="AF995" s="3259"/>
      <c r="AG995" s="3260"/>
      <c r="AH995" s="3260"/>
      <c r="AI995" s="3260"/>
      <c r="AJ995" s="3260"/>
      <c r="AK995" s="3260"/>
      <c r="AL995" s="3259"/>
      <c r="AM995" s="3260"/>
      <c r="AN995" s="3259"/>
      <c r="AO995" s="3260"/>
      <c r="AP995" s="3242">
        <v>0</v>
      </c>
      <c r="AQ995" s="3244"/>
      <c r="AR995" s="3244"/>
      <c r="AS995" s="3242" t="s">
        <v>3384</v>
      </c>
      <c r="AT995" s="3247">
        <f t="shared" si="83"/>
        <v>0</v>
      </c>
      <c r="AU995" s="3248">
        <f t="shared" si="84"/>
        <v>0</v>
      </c>
      <c r="AV995" s="3248">
        <v>0</v>
      </c>
      <c r="AW995" s="3247">
        <v>0</v>
      </c>
      <c r="AX995" s="3248">
        <v>0</v>
      </c>
      <c r="AY995" s="3248">
        <v>0</v>
      </c>
      <c r="AZ995" s="3247">
        <v>0</v>
      </c>
      <c r="BA995" s="3248">
        <v>0</v>
      </c>
      <c r="BB995" s="3248">
        <v>0</v>
      </c>
      <c r="BC995" s="3247">
        <v>0</v>
      </c>
      <c r="BD995" s="3248">
        <v>0</v>
      </c>
      <c r="BE995" s="3248">
        <v>0</v>
      </c>
      <c r="BF995" s="3248">
        <f t="shared" si="85"/>
        <v>0</v>
      </c>
      <c r="BG995" s="3248">
        <f t="shared" si="86"/>
        <v>0</v>
      </c>
      <c r="BH995" s="3249"/>
      <c r="BI995" s="3249"/>
    </row>
    <row r="996" spans="1:61" x14ac:dyDescent="0.3">
      <c r="A996" s="4197" t="s">
        <v>3384</v>
      </c>
      <c r="B996" s="3261"/>
      <c r="C996" s="3243">
        <v>0</v>
      </c>
      <c r="D996" s="3242">
        <v>0</v>
      </c>
      <c r="E996" s="3244"/>
      <c r="F996" s="3244"/>
      <c r="G996" s="3242">
        <v>0</v>
      </c>
      <c r="H996" s="3244"/>
      <c r="I996" s="3244"/>
      <c r="J996" s="3244"/>
      <c r="K996" s="3242">
        <v>0</v>
      </c>
      <c r="L996" s="3244"/>
      <c r="M996" s="3244"/>
      <c r="N996" s="3242" t="s">
        <v>3384</v>
      </c>
      <c r="O996" s="3239">
        <v>0</v>
      </c>
      <c r="P996" s="3242">
        <v>0</v>
      </c>
      <c r="Q996" s="3244"/>
      <c r="R996" s="3244"/>
      <c r="S996" s="3242">
        <v>0</v>
      </c>
      <c r="T996" s="3244"/>
      <c r="U996" s="3244"/>
      <c r="V996" s="3244"/>
      <c r="W996" s="3240">
        <v>0</v>
      </c>
      <c r="X996" s="3244"/>
      <c r="Y996" s="3244"/>
      <c r="Z996" s="3242" t="s">
        <v>3384</v>
      </c>
      <c r="AA996" s="3243">
        <v>0</v>
      </c>
      <c r="AB996" s="3242">
        <v>0</v>
      </c>
      <c r="AC996" s="3244"/>
      <c r="AD996" s="3244"/>
      <c r="AE996" s="3242">
        <v>0</v>
      </c>
      <c r="AF996" s="3259"/>
      <c r="AG996" s="3260"/>
      <c r="AH996" s="3260"/>
      <c r="AI996" s="3260"/>
      <c r="AJ996" s="3260"/>
      <c r="AK996" s="3260"/>
      <c r="AL996" s="3259"/>
      <c r="AM996" s="3260"/>
      <c r="AN996" s="3259"/>
      <c r="AO996" s="3260"/>
      <c r="AP996" s="3242">
        <v>0</v>
      </c>
      <c r="AQ996" s="3244"/>
      <c r="AR996" s="3244"/>
      <c r="AS996" s="3242" t="s">
        <v>3384</v>
      </c>
      <c r="AT996" s="3247">
        <f t="shared" si="83"/>
        <v>0</v>
      </c>
      <c r="AU996" s="3248">
        <f t="shared" si="84"/>
        <v>0</v>
      </c>
      <c r="AV996" s="3248">
        <v>0</v>
      </c>
      <c r="AW996" s="3247">
        <v>0</v>
      </c>
      <c r="AX996" s="3248">
        <v>0</v>
      </c>
      <c r="AY996" s="3248">
        <v>0</v>
      </c>
      <c r="AZ996" s="3247">
        <v>0</v>
      </c>
      <c r="BA996" s="3248">
        <v>0</v>
      </c>
      <c r="BB996" s="3248">
        <v>0</v>
      </c>
      <c r="BC996" s="3247">
        <v>0</v>
      </c>
      <c r="BD996" s="3248">
        <v>0</v>
      </c>
      <c r="BE996" s="3248">
        <v>0</v>
      </c>
      <c r="BF996" s="3248">
        <f t="shared" si="85"/>
        <v>0</v>
      </c>
      <c r="BG996" s="3248">
        <f t="shared" si="86"/>
        <v>0</v>
      </c>
      <c r="BH996" s="3249"/>
      <c r="BI996" s="3249"/>
    </row>
    <row r="997" spans="1:61" x14ac:dyDescent="0.3">
      <c r="A997" s="4197" t="s">
        <v>3384</v>
      </c>
      <c r="B997" s="3261"/>
      <c r="C997" s="3243">
        <v>0</v>
      </c>
      <c r="D997" s="3242">
        <v>0</v>
      </c>
      <c r="E997" s="3244"/>
      <c r="F997" s="3244"/>
      <c r="G997" s="3242">
        <v>0</v>
      </c>
      <c r="H997" s="3244"/>
      <c r="I997" s="3244"/>
      <c r="J997" s="3244"/>
      <c r="K997" s="3242">
        <v>0</v>
      </c>
      <c r="L997" s="3244"/>
      <c r="M997" s="3244"/>
      <c r="N997" s="3242" t="s">
        <v>3384</v>
      </c>
      <c r="O997" s="3239">
        <v>0</v>
      </c>
      <c r="P997" s="3242">
        <v>0</v>
      </c>
      <c r="Q997" s="3244"/>
      <c r="R997" s="3244"/>
      <c r="S997" s="3242">
        <v>0</v>
      </c>
      <c r="T997" s="3244"/>
      <c r="U997" s="3244"/>
      <c r="V997" s="3244"/>
      <c r="W997" s="3240">
        <v>0</v>
      </c>
      <c r="X997" s="3244"/>
      <c r="Y997" s="3244"/>
      <c r="Z997" s="3242" t="s">
        <v>3384</v>
      </c>
      <c r="AA997" s="3243">
        <v>0</v>
      </c>
      <c r="AB997" s="3242">
        <v>0</v>
      </c>
      <c r="AC997" s="3244"/>
      <c r="AD997" s="3244"/>
      <c r="AE997" s="3242">
        <v>0</v>
      </c>
      <c r="AF997" s="3259"/>
      <c r="AG997" s="3260"/>
      <c r="AH997" s="3260"/>
      <c r="AI997" s="3260"/>
      <c r="AJ997" s="3260"/>
      <c r="AK997" s="3260"/>
      <c r="AL997" s="3259"/>
      <c r="AM997" s="3260"/>
      <c r="AN997" s="3259"/>
      <c r="AO997" s="3260"/>
      <c r="AP997" s="3242">
        <v>0</v>
      </c>
      <c r="AQ997" s="3244"/>
      <c r="AR997" s="3244"/>
      <c r="AS997" s="3242" t="s">
        <v>3384</v>
      </c>
      <c r="AT997" s="3247">
        <f t="shared" si="83"/>
        <v>0</v>
      </c>
      <c r="AU997" s="3248">
        <f t="shared" si="84"/>
        <v>0</v>
      </c>
      <c r="AV997" s="3248">
        <v>0</v>
      </c>
      <c r="AW997" s="3247">
        <v>0</v>
      </c>
      <c r="AX997" s="3248">
        <v>0</v>
      </c>
      <c r="AY997" s="3248">
        <v>0</v>
      </c>
      <c r="AZ997" s="3247">
        <v>0</v>
      </c>
      <c r="BA997" s="3248">
        <v>0</v>
      </c>
      <c r="BB997" s="3248">
        <v>0</v>
      </c>
      <c r="BC997" s="3247">
        <v>0</v>
      </c>
      <c r="BD997" s="3248">
        <v>0</v>
      </c>
      <c r="BE997" s="3248">
        <v>0</v>
      </c>
      <c r="BF997" s="3248">
        <f t="shared" si="85"/>
        <v>0</v>
      </c>
      <c r="BG997" s="3248">
        <f t="shared" si="86"/>
        <v>0</v>
      </c>
      <c r="BH997" s="3249"/>
      <c r="BI997" s="3249"/>
    </row>
    <row r="998" spans="1:61" x14ac:dyDescent="0.3">
      <c r="A998" s="4197" t="s">
        <v>3384</v>
      </c>
      <c r="B998" s="3261"/>
      <c r="C998" s="3243">
        <v>0</v>
      </c>
      <c r="D998" s="3242">
        <v>0</v>
      </c>
      <c r="E998" s="3244"/>
      <c r="F998" s="3244"/>
      <c r="G998" s="3242">
        <v>0</v>
      </c>
      <c r="H998" s="3244"/>
      <c r="I998" s="3244"/>
      <c r="J998" s="3244"/>
      <c r="K998" s="3242">
        <v>0</v>
      </c>
      <c r="L998" s="3244"/>
      <c r="M998" s="3244"/>
      <c r="N998" s="3242" t="s">
        <v>3384</v>
      </c>
      <c r="O998" s="3239">
        <v>0</v>
      </c>
      <c r="P998" s="3242">
        <v>0</v>
      </c>
      <c r="Q998" s="3244"/>
      <c r="R998" s="3244"/>
      <c r="S998" s="3242">
        <v>0</v>
      </c>
      <c r="T998" s="3244"/>
      <c r="U998" s="3244"/>
      <c r="V998" s="3244"/>
      <c r="W998" s="3240">
        <v>0</v>
      </c>
      <c r="X998" s="3244"/>
      <c r="Y998" s="3244"/>
      <c r="Z998" s="3242" t="s">
        <v>3384</v>
      </c>
      <c r="AA998" s="3243">
        <v>0</v>
      </c>
      <c r="AB998" s="3242">
        <v>0</v>
      </c>
      <c r="AC998" s="3244"/>
      <c r="AD998" s="3244"/>
      <c r="AE998" s="3242">
        <v>0</v>
      </c>
      <c r="AF998" s="3259"/>
      <c r="AG998" s="3260"/>
      <c r="AH998" s="3260"/>
      <c r="AI998" s="3260"/>
      <c r="AJ998" s="3260"/>
      <c r="AK998" s="3260"/>
      <c r="AL998" s="3259"/>
      <c r="AM998" s="3260"/>
      <c r="AN998" s="3259"/>
      <c r="AO998" s="3260"/>
      <c r="AP998" s="3242">
        <v>0</v>
      </c>
      <c r="AQ998" s="3244"/>
      <c r="AR998" s="3244"/>
      <c r="AS998" s="3242" t="s">
        <v>3384</v>
      </c>
      <c r="AT998" s="3247">
        <f t="shared" si="83"/>
        <v>0</v>
      </c>
      <c r="AU998" s="3248">
        <f t="shared" si="84"/>
        <v>0</v>
      </c>
      <c r="AV998" s="3248">
        <v>0</v>
      </c>
      <c r="AW998" s="3247">
        <v>0</v>
      </c>
      <c r="AX998" s="3248">
        <v>0</v>
      </c>
      <c r="AY998" s="3248">
        <v>0</v>
      </c>
      <c r="AZ998" s="3247">
        <v>0</v>
      </c>
      <c r="BA998" s="3248">
        <v>0</v>
      </c>
      <c r="BB998" s="3248">
        <v>0</v>
      </c>
      <c r="BC998" s="3247">
        <v>0</v>
      </c>
      <c r="BD998" s="3248">
        <v>0</v>
      </c>
      <c r="BE998" s="3248">
        <v>0</v>
      </c>
      <c r="BF998" s="3248">
        <f t="shared" si="85"/>
        <v>0</v>
      </c>
      <c r="BG998" s="3248">
        <f t="shared" si="86"/>
        <v>0</v>
      </c>
      <c r="BH998" s="3249"/>
      <c r="BI998" s="3249"/>
    </row>
    <row r="999" spans="1:61" x14ac:dyDescent="0.3">
      <c r="A999" s="4197" t="s">
        <v>3384</v>
      </c>
      <c r="B999" s="3261"/>
      <c r="C999" s="3243">
        <v>0</v>
      </c>
      <c r="D999" s="3242">
        <v>0</v>
      </c>
      <c r="E999" s="3244"/>
      <c r="F999" s="3244"/>
      <c r="G999" s="3242">
        <v>0</v>
      </c>
      <c r="H999" s="3244"/>
      <c r="I999" s="3244"/>
      <c r="J999" s="3244"/>
      <c r="K999" s="3242">
        <v>0</v>
      </c>
      <c r="L999" s="3244"/>
      <c r="M999" s="3244"/>
      <c r="N999" s="3242" t="s">
        <v>3384</v>
      </c>
      <c r="O999" s="3239">
        <v>0</v>
      </c>
      <c r="P999" s="3242">
        <v>0</v>
      </c>
      <c r="Q999" s="3244"/>
      <c r="R999" s="3244"/>
      <c r="S999" s="3242">
        <v>0</v>
      </c>
      <c r="T999" s="3244"/>
      <c r="U999" s="3244"/>
      <c r="V999" s="3244"/>
      <c r="W999" s="3240">
        <v>0</v>
      </c>
      <c r="X999" s="3244"/>
      <c r="Y999" s="3244"/>
      <c r="Z999" s="3242" t="s">
        <v>3384</v>
      </c>
      <c r="AA999" s="3243">
        <v>0</v>
      </c>
      <c r="AB999" s="3242">
        <v>0</v>
      </c>
      <c r="AC999" s="3244"/>
      <c r="AD999" s="3244"/>
      <c r="AE999" s="3242">
        <v>0</v>
      </c>
      <c r="AF999" s="3259"/>
      <c r="AG999" s="3260"/>
      <c r="AH999" s="3260"/>
      <c r="AI999" s="3260"/>
      <c r="AJ999" s="3260"/>
      <c r="AK999" s="3260"/>
      <c r="AL999" s="3259"/>
      <c r="AM999" s="3260"/>
      <c r="AN999" s="3259"/>
      <c r="AO999" s="3260"/>
      <c r="AP999" s="3242">
        <v>0</v>
      </c>
      <c r="AQ999" s="3244"/>
      <c r="AR999" s="3244"/>
      <c r="AS999" s="3242" t="s">
        <v>3384</v>
      </c>
      <c r="AT999" s="3247">
        <f t="shared" si="83"/>
        <v>0</v>
      </c>
      <c r="AU999" s="3248">
        <f t="shared" si="84"/>
        <v>0</v>
      </c>
      <c r="AV999" s="3248">
        <v>0</v>
      </c>
      <c r="AW999" s="3247">
        <v>0</v>
      </c>
      <c r="AX999" s="3248">
        <v>0</v>
      </c>
      <c r="AY999" s="3248">
        <v>0</v>
      </c>
      <c r="AZ999" s="3247">
        <v>0</v>
      </c>
      <c r="BA999" s="3248">
        <v>0</v>
      </c>
      <c r="BB999" s="3248">
        <v>0</v>
      </c>
      <c r="BC999" s="3247">
        <v>0</v>
      </c>
      <c r="BD999" s="3248">
        <v>0</v>
      </c>
      <c r="BE999" s="3248">
        <v>0</v>
      </c>
      <c r="BF999" s="3248">
        <f t="shared" si="85"/>
        <v>0</v>
      </c>
      <c r="BG999" s="3248">
        <f t="shared" si="86"/>
        <v>0</v>
      </c>
      <c r="BH999" s="3249"/>
      <c r="BI999" s="3249"/>
    </row>
    <row r="1000" spans="1:61" x14ac:dyDescent="0.3">
      <c r="A1000" s="4197" t="s">
        <v>3384</v>
      </c>
      <c r="B1000" s="3261"/>
      <c r="C1000" s="3243">
        <v>0</v>
      </c>
      <c r="D1000" s="3242">
        <v>0</v>
      </c>
      <c r="E1000" s="3244"/>
      <c r="F1000" s="3244"/>
      <c r="G1000" s="3242">
        <v>0</v>
      </c>
      <c r="H1000" s="3244"/>
      <c r="I1000" s="3244"/>
      <c r="J1000" s="3244"/>
      <c r="K1000" s="3242">
        <v>0</v>
      </c>
      <c r="L1000" s="3244"/>
      <c r="M1000" s="3244"/>
      <c r="N1000" s="3242" t="s">
        <v>3384</v>
      </c>
      <c r="O1000" s="3239">
        <v>0</v>
      </c>
      <c r="P1000" s="3242">
        <v>0</v>
      </c>
      <c r="Q1000" s="3244"/>
      <c r="R1000" s="3244"/>
      <c r="S1000" s="3242">
        <v>0</v>
      </c>
      <c r="T1000" s="3244"/>
      <c r="U1000" s="3244"/>
      <c r="V1000" s="3244"/>
      <c r="W1000" s="3240">
        <v>0</v>
      </c>
      <c r="X1000" s="3244"/>
      <c r="Y1000" s="3244"/>
      <c r="Z1000" s="3242" t="s">
        <v>3384</v>
      </c>
      <c r="AA1000" s="3243">
        <v>0</v>
      </c>
      <c r="AB1000" s="3242">
        <v>0</v>
      </c>
      <c r="AC1000" s="3244"/>
      <c r="AD1000" s="3244"/>
      <c r="AE1000" s="3242">
        <v>0</v>
      </c>
      <c r="AF1000" s="3259"/>
      <c r="AG1000" s="3260"/>
      <c r="AH1000" s="3260"/>
      <c r="AI1000" s="3260"/>
      <c r="AJ1000" s="3260"/>
      <c r="AK1000" s="3260"/>
      <c r="AL1000" s="3259"/>
      <c r="AM1000" s="3260"/>
      <c r="AN1000" s="3259"/>
      <c r="AO1000" s="3260"/>
      <c r="AP1000" s="3242">
        <v>0</v>
      </c>
      <c r="AQ1000" s="3244"/>
      <c r="AR1000" s="3244"/>
      <c r="AS1000" s="3242" t="s">
        <v>3384</v>
      </c>
      <c r="AT1000" s="3247">
        <f t="shared" si="83"/>
        <v>0</v>
      </c>
      <c r="AU1000" s="3248">
        <f t="shared" si="84"/>
        <v>0</v>
      </c>
      <c r="AV1000" s="3248">
        <v>0</v>
      </c>
      <c r="AW1000" s="3247">
        <v>0</v>
      </c>
      <c r="AX1000" s="3248">
        <v>0</v>
      </c>
      <c r="AY1000" s="3248">
        <v>0</v>
      </c>
      <c r="AZ1000" s="3247">
        <v>0</v>
      </c>
      <c r="BA1000" s="3248">
        <v>0</v>
      </c>
      <c r="BB1000" s="3248">
        <v>0</v>
      </c>
      <c r="BC1000" s="3247">
        <v>0</v>
      </c>
      <c r="BD1000" s="3248">
        <v>0</v>
      </c>
      <c r="BE1000" s="3248">
        <v>0</v>
      </c>
      <c r="BF1000" s="3248">
        <f t="shared" si="85"/>
        <v>0</v>
      </c>
      <c r="BG1000" s="3248">
        <f t="shared" si="86"/>
        <v>0</v>
      </c>
      <c r="BH1000" s="3249"/>
      <c r="BI1000" s="3249"/>
    </row>
    <row r="1001" spans="1:61" x14ac:dyDescent="0.3">
      <c r="A1001" s="4197" t="s">
        <v>3384</v>
      </c>
      <c r="B1001" s="3261"/>
      <c r="C1001" s="3243">
        <v>0</v>
      </c>
      <c r="D1001" s="3242">
        <v>0</v>
      </c>
      <c r="E1001" s="3244"/>
      <c r="F1001" s="3244"/>
      <c r="G1001" s="3242">
        <v>0</v>
      </c>
      <c r="H1001" s="3244"/>
      <c r="I1001" s="3244"/>
      <c r="J1001" s="3244"/>
      <c r="K1001" s="3242">
        <v>0</v>
      </c>
      <c r="L1001" s="3244"/>
      <c r="M1001" s="3244"/>
      <c r="N1001" s="3242" t="s">
        <v>3384</v>
      </c>
      <c r="O1001" s="3239">
        <v>0</v>
      </c>
      <c r="P1001" s="3242">
        <v>0</v>
      </c>
      <c r="Q1001" s="3244"/>
      <c r="R1001" s="3244"/>
      <c r="S1001" s="3242">
        <v>0</v>
      </c>
      <c r="T1001" s="3244"/>
      <c r="U1001" s="3244"/>
      <c r="V1001" s="3244"/>
      <c r="W1001" s="3240">
        <v>0</v>
      </c>
      <c r="X1001" s="3244"/>
      <c r="Y1001" s="3244"/>
      <c r="Z1001" s="3242" t="s">
        <v>3384</v>
      </c>
      <c r="AA1001" s="3243">
        <v>0</v>
      </c>
      <c r="AB1001" s="3242">
        <v>0</v>
      </c>
      <c r="AC1001" s="3244"/>
      <c r="AD1001" s="3244"/>
      <c r="AE1001" s="3242">
        <v>0</v>
      </c>
      <c r="AF1001" s="3259"/>
      <c r="AG1001" s="3260"/>
      <c r="AH1001" s="3260"/>
      <c r="AI1001" s="3260"/>
      <c r="AJ1001" s="3260"/>
      <c r="AK1001" s="3260"/>
      <c r="AL1001" s="3259"/>
      <c r="AM1001" s="3260"/>
      <c r="AN1001" s="3259"/>
      <c r="AO1001" s="3260"/>
      <c r="AP1001" s="3242">
        <v>0</v>
      </c>
      <c r="AQ1001" s="3244"/>
      <c r="AR1001" s="3244"/>
      <c r="AS1001" s="3242" t="s">
        <v>3384</v>
      </c>
      <c r="AT1001" s="3247">
        <f t="shared" si="83"/>
        <v>0</v>
      </c>
      <c r="AU1001" s="3248">
        <f t="shared" si="84"/>
        <v>0</v>
      </c>
      <c r="AV1001" s="3248">
        <v>0</v>
      </c>
      <c r="AW1001" s="3247">
        <v>0</v>
      </c>
      <c r="AX1001" s="3248">
        <v>0</v>
      </c>
      <c r="AY1001" s="3248">
        <v>0</v>
      </c>
      <c r="AZ1001" s="3247">
        <v>0</v>
      </c>
      <c r="BA1001" s="3248">
        <v>0</v>
      </c>
      <c r="BB1001" s="3248">
        <v>0</v>
      </c>
      <c r="BC1001" s="3247">
        <v>0</v>
      </c>
      <c r="BD1001" s="3248">
        <v>0</v>
      </c>
      <c r="BE1001" s="3248">
        <v>0</v>
      </c>
      <c r="BF1001" s="3248">
        <f t="shared" si="85"/>
        <v>0</v>
      </c>
      <c r="BG1001" s="3248">
        <f t="shared" si="86"/>
        <v>0</v>
      </c>
      <c r="BH1001" s="3249"/>
      <c r="BI1001" s="3249"/>
    </row>
    <row r="1002" spans="1:61" x14ac:dyDescent="0.3">
      <c r="A1002" s="4197" t="s">
        <v>3384</v>
      </c>
      <c r="B1002" s="3261"/>
      <c r="C1002" s="3243">
        <v>0</v>
      </c>
      <c r="D1002" s="3242">
        <v>0</v>
      </c>
      <c r="E1002" s="3244"/>
      <c r="F1002" s="3244"/>
      <c r="G1002" s="3242">
        <v>0</v>
      </c>
      <c r="H1002" s="3244"/>
      <c r="I1002" s="3244"/>
      <c r="J1002" s="3244"/>
      <c r="K1002" s="3242">
        <v>0</v>
      </c>
      <c r="L1002" s="3244"/>
      <c r="M1002" s="3244"/>
      <c r="N1002" s="3242" t="s">
        <v>3384</v>
      </c>
      <c r="O1002" s="3239">
        <v>0</v>
      </c>
      <c r="P1002" s="3242">
        <v>0</v>
      </c>
      <c r="Q1002" s="3244"/>
      <c r="R1002" s="3244"/>
      <c r="S1002" s="3242">
        <v>0</v>
      </c>
      <c r="T1002" s="3244"/>
      <c r="U1002" s="3244"/>
      <c r="V1002" s="3244"/>
      <c r="W1002" s="3240">
        <v>0</v>
      </c>
      <c r="X1002" s="3244"/>
      <c r="Y1002" s="3244"/>
      <c r="Z1002" s="3242" t="s">
        <v>3384</v>
      </c>
      <c r="AA1002" s="3243">
        <v>0</v>
      </c>
      <c r="AB1002" s="3242">
        <v>0</v>
      </c>
      <c r="AC1002" s="3244"/>
      <c r="AD1002" s="3244"/>
      <c r="AE1002" s="3242">
        <v>0</v>
      </c>
      <c r="AF1002" s="3259"/>
      <c r="AG1002" s="3260"/>
      <c r="AH1002" s="3260"/>
      <c r="AI1002" s="3260"/>
      <c r="AJ1002" s="3260"/>
      <c r="AK1002" s="3260"/>
      <c r="AL1002" s="3259"/>
      <c r="AM1002" s="3260"/>
      <c r="AN1002" s="3259"/>
      <c r="AO1002" s="3260"/>
      <c r="AP1002" s="3242">
        <v>0</v>
      </c>
      <c r="AQ1002" s="3244"/>
      <c r="AR1002" s="3244"/>
      <c r="AS1002" s="3242" t="s">
        <v>3384</v>
      </c>
      <c r="AT1002" s="3247">
        <f t="shared" si="83"/>
        <v>0</v>
      </c>
      <c r="AU1002" s="3248">
        <f t="shared" si="84"/>
        <v>0</v>
      </c>
      <c r="AV1002" s="3248">
        <v>0</v>
      </c>
      <c r="AW1002" s="3247">
        <v>0</v>
      </c>
      <c r="AX1002" s="3248">
        <v>0</v>
      </c>
      <c r="AY1002" s="3248">
        <v>0</v>
      </c>
      <c r="AZ1002" s="3247">
        <v>0</v>
      </c>
      <c r="BA1002" s="3248">
        <v>0</v>
      </c>
      <c r="BB1002" s="3248">
        <v>0</v>
      </c>
      <c r="BC1002" s="3247">
        <v>0</v>
      </c>
      <c r="BD1002" s="3248">
        <v>0</v>
      </c>
      <c r="BE1002" s="3248">
        <v>0</v>
      </c>
      <c r="BF1002" s="3248">
        <f t="shared" si="85"/>
        <v>0</v>
      </c>
      <c r="BG1002" s="3248">
        <f t="shared" si="86"/>
        <v>0</v>
      </c>
      <c r="BH1002" s="3249"/>
      <c r="BI1002" s="3249"/>
    </row>
    <row r="1003" spans="1:61" x14ac:dyDescent="0.3">
      <c r="A1003" s="4197" t="s">
        <v>3384</v>
      </c>
      <c r="B1003" s="3261"/>
      <c r="C1003" s="3243">
        <v>0</v>
      </c>
      <c r="D1003" s="3242">
        <v>0</v>
      </c>
      <c r="E1003" s="3244"/>
      <c r="F1003" s="3244"/>
      <c r="G1003" s="3242">
        <v>0</v>
      </c>
      <c r="H1003" s="3244"/>
      <c r="I1003" s="3244"/>
      <c r="J1003" s="3244"/>
      <c r="K1003" s="3242">
        <v>0</v>
      </c>
      <c r="L1003" s="3244"/>
      <c r="M1003" s="3244"/>
      <c r="N1003" s="3242" t="s">
        <v>3384</v>
      </c>
      <c r="O1003" s="3239">
        <v>0</v>
      </c>
      <c r="P1003" s="3242">
        <v>0</v>
      </c>
      <c r="Q1003" s="3244"/>
      <c r="R1003" s="3244"/>
      <c r="S1003" s="3242">
        <v>0</v>
      </c>
      <c r="T1003" s="3244"/>
      <c r="U1003" s="3244"/>
      <c r="V1003" s="3244"/>
      <c r="W1003" s="3240">
        <v>0</v>
      </c>
      <c r="X1003" s="3244"/>
      <c r="Y1003" s="3244"/>
      <c r="Z1003" s="3242" t="s">
        <v>3384</v>
      </c>
      <c r="AA1003" s="3243">
        <v>0</v>
      </c>
      <c r="AB1003" s="3242">
        <v>0</v>
      </c>
      <c r="AC1003" s="3244"/>
      <c r="AD1003" s="3244"/>
      <c r="AE1003" s="3242">
        <v>0</v>
      </c>
      <c r="AF1003" s="3259"/>
      <c r="AG1003" s="3260"/>
      <c r="AH1003" s="3260"/>
      <c r="AI1003" s="3260"/>
      <c r="AJ1003" s="3260"/>
      <c r="AK1003" s="3260"/>
      <c r="AL1003" s="3259"/>
      <c r="AM1003" s="3260"/>
      <c r="AN1003" s="3259"/>
      <c r="AO1003" s="3260"/>
      <c r="AP1003" s="3242">
        <v>0</v>
      </c>
      <c r="AQ1003" s="3244"/>
      <c r="AR1003" s="3244"/>
      <c r="AS1003" s="3242" t="s">
        <v>3384</v>
      </c>
      <c r="AT1003" s="3247">
        <f t="shared" si="83"/>
        <v>0</v>
      </c>
      <c r="AU1003" s="3248">
        <f t="shared" si="84"/>
        <v>0</v>
      </c>
      <c r="AV1003" s="3248">
        <v>0</v>
      </c>
      <c r="AW1003" s="3247">
        <v>0</v>
      </c>
      <c r="AX1003" s="3248">
        <v>0</v>
      </c>
      <c r="AY1003" s="3248">
        <v>0</v>
      </c>
      <c r="AZ1003" s="3247">
        <v>0</v>
      </c>
      <c r="BA1003" s="3248">
        <v>0</v>
      </c>
      <c r="BB1003" s="3248">
        <v>0</v>
      </c>
      <c r="BC1003" s="3247">
        <v>0</v>
      </c>
      <c r="BD1003" s="3248">
        <v>0</v>
      </c>
      <c r="BE1003" s="3248">
        <v>0</v>
      </c>
      <c r="BF1003" s="3248">
        <f t="shared" si="85"/>
        <v>0</v>
      </c>
      <c r="BG1003" s="3248">
        <f t="shared" si="86"/>
        <v>0</v>
      </c>
      <c r="BH1003" s="3249"/>
      <c r="BI1003" s="3249"/>
    </row>
    <row r="1004" spans="1:61" x14ac:dyDescent="0.3">
      <c r="A1004" s="4197" t="s">
        <v>3384</v>
      </c>
      <c r="B1004" s="3261"/>
      <c r="C1004" s="3243">
        <v>0</v>
      </c>
      <c r="D1004" s="3242">
        <v>0</v>
      </c>
      <c r="E1004" s="3244"/>
      <c r="F1004" s="3244"/>
      <c r="G1004" s="3242">
        <v>0</v>
      </c>
      <c r="H1004" s="3244"/>
      <c r="I1004" s="3244"/>
      <c r="J1004" s="3244"/>
      <c r="K1004" s="3242">
        <v>0</v>
      </c>
      <c r="L1004" s="3244"/>
      <c r="M1004" s="3244"/>
      <c r="N1004" s="3242" t="s">
        <v>3384</v>
      </c>
      <c r="O1004" s="3239">
        <v>0</v>
      </c>
      <c r="P1004" s="3242">
        <v>0</v>
      </c>
      <c r="Q1004" s="3244"/>
      <c r="R1004" s="3244"/>
      <c r="S1004" s="3242">
        <v>0</v>
      </c>
      <c r="T1004" s="3244"/>
      <c r="U1004" s="3244"/>
      <c r="V1004" s="3244"/>
      <c r="W1004" s="3240">
        <v>0</v>
      </c>
      <c r="X1004" s="3244"/>
      <c r="Y1004" s="3244"/>
      <c r="Z1004" s="3242" t="s">
        <v>3384</v>
      </c>
      <c r="AA1004" s="3243">
        <v>0</v>
      </c>
      <c r="AB1004" s="3242">
        <v>0</v>
      </c>
      <c r="AC1004" s="3244"/>
      <c r="AD1004" s="3244"/>
      <c r="AE1004" s="3242">
        <v>0</v>
      </c>
      <c r="AF1004" s="3259"/>
      <c r="AG1004" s="3260"/>
      <c r="AH1004" s="3260"/>
      <c r="AI1004" s="3260"/>
      <c r="AJ1004" s="3260"/>
      <c r="AK1004" s="3260"/>
      <c r="AL1004" s="3259"/>
      <c r="AM1004" s="3260"/>
      <c r="AN1004" s="3259"/>
      <c r="AO1004" s="3260"/>
      <c r="AP1004" s="3242">
        <v>0</v>
      </c>
      <c r="AQ1004" s="3244"/>
      <c r="AR1004" s="3244"/>
      <c r="AS1004" s="3242" t="s">
        <v>3384</v>
      </c>
      <c r="AT1004" s="3247">
        <f t="shared" si="83"/>
        <v>0</v>
      </c>
      <c r="AU1004" s="3248">
        <f t="shared" si="84"/>
        <v>0</v>
      </c>
      <c r="AV1004" s="3248">
        <v>0</v>
      </c>
      <c r="AW1004" s="3247">
        <v>0</v>
      </c>
      <c r="AX1004" s="3248">
        <v>0</v>
      </c>
      <c r="AY1004" s="3248">
        <v>0</v>
      </c>
      <c r="AZ1004" s="3247">
        <v>0</v>
      </c>
      <c r="BA1004" s="3248">
        <v>0</v>
      </c>
      <c r="BB1004" s="3248">
        <v>0</v>
      </c>
      <c r="BC1004" s="3247">
        <v>0</v>
      </c>
      <c r="BD1004" s="3248">
        <v>0</v>
      </c>
      <c r="BE1004" s="3248">
        <v>0</v>
      </c>
      <c r="BF1004" s="3248">
        <f t="shared" si="85"/>
        <v>0</v>
      </c>
      <c r="BG1004" s="3248">
        <f t="shared" si="86"/>
        <v>0</v>
      </c>
      <c r="BH1004" s="3249"/>
      <c r="BI1004" s="3249"/>
    </row>
    <row r="1005" spans="1:61" x14ac:dyDescent="0.3">
      <c r="A1005" s="4197" t="s">
        <v>3384</v>
      </c>
      <c r="B1005" s="3261"/>
      <c r="C1005" s="3243">
        <v>0</v>
      </c>
      <c r="D1005" s="3242">
        <v>0</v>
      </c>
      <c r="E1005" s="3244"/>
      <c r="F1005" s="3244"/>
      <c r="G1005" s="3242">
        <v>0</v>
      </c>
      <c r="H1005" s="3244"/>
      <c r="I1005" s="3244"/>
      <c r="J1005" s="3244"/>
      <c r="K1005" s="3242">
        <v>0</v>
      </c>
      <c r="L1005" s="3244"/>
      <c r="M1005" s="3244"/>
      <c r="N1005" s="3242" t="s">
        <v>3384</v>
      </c>
      <c r="O1005" s="3239">
        <v>0</v>
      </c>
      <c r="P1005" s="3242">
        <v>0</v>
      </c>
      <c r="Q1005" s="3244"/>
      <c r="R1005" s="3244"/>
      <c r="S1005" s="3242">
        <v>0</v>
      </c>
      <c r="T1005" s="3244"/>
      <c r="U1005" s="3244"/>
      <c r="V1005" s="3244"/>
      <c r="W1005" s="3240">
        <v>0</v>
      </c>
      <c r="X1005" s="3244"/>
      <c r="Y1005" s="3244"/>
      <c r="Z1005" s="3242" t="s">
        <v>3384</v>
      </c>
      <c r="AA1005" s="3243">
        <v>0</v>
      </c>
      <c r="AB1005" s="3242">
        <v>0</v>
      </c>
      <c r="AC1005" s="3244"/>
      <c r="AD1005" s="3244"/>
      <c r="AE1005" s="3242">
        <v>0</v>
      </c>
      <c r="AF1005" s="3259"/>
      <c r="AG1005" s="3260"/>
      <c r="AH1005" s="3260"/>
      <c r="AI1005" s="3260"/>
      <c r="AJ1005" s="3260"/>
      <c r="AK1005" s="3260"/>
      <c r="AL1005" s="3259"/>
      <c r="AM1005" s="3260"/>
      <c r="AN1005" s="3259"/>
      <c r="AO1005" s="3260"/>
      <c r="AP1005" s="3242">
        <v>0</v>
      </c>
      <c r="AQ1005" s="3244"/>
      <c r="AR1005" s="3244"/>
      <c r="AS1005" s="3242" t="s">
        <v>3384</v>
      </c>
      <c r="AT1005" s="3247">
        <f t="shared" si="83"/>
        <v>0</v>
      </c>
      <c r="AU1005" s="3248">
        <f t="shared" si="84"/>
        <v>0</v>
      </c>
      <c r="AV1005" s="3248">
        <v>0</v>
      </c>
      <c r="AW1005" s="3247">
        <v>0</v>
      </c>
      <c r="AX1005" s="3248">
        <v>0</v>
      </c>
      <c r="AY1005" s="3248">
        <v>0</v>
      </c>
      <c r="AZ1005" s="3247">
        <v>0</v>
      </c>
      <c r="BA1005" s="3248">
        <v>0</v>
      </c>
      <c r="BB1005" s="3248">
        <v>0</v>
      </c>
      <c r="BC1005" s="3247">
        <v>0</v>
      </c>
      <c r="BD1005" s="3248">
        <v>0</v>
      </c>
      <c r="BE1005" s="3248">
        <v>0</v>
      </c>
      <c r="BF1005" s="3248">
        <f t="shared" si="85"/>
        <v>0</v>
      </c>
      <c r="BG1005" s="3248">
        <f t="shared" si="86"/>
        <v>0</v>
      </c>
      <c r="BH1005" s="3249"/>
      <c r="BI1005" s="3249"/>
    </row>
    <row r="1006" spans="1:61" x14ac:dyDescent="0.3">
      <c r="A1006" s="4197" t="s">
        <v>3384</v>
      </c>
      <c r="B1006" s="3261"/>
      <c r="C1006" s="3243">
        <v>0</v>
      </c>
      <c r="D1006" s="3242">
        <v>0</v>
      </c>
      <c r="E1006" s="3244"/>
      <c r="F1006" s="3244"/>
      <c r="G1006" s="3242">
        <v>0</v>
      </c>
      <c r="H1006" s="3244"/>
      <c r="I1006" s="3244"/>
      <c r="J1006" s="3244"/>
      <c r="K1006" s="3242">
        <v>0</v>
      </c>
      <c r="L1006" s="3244"/>
      <c r="M1006" s="3244"/>
      <c r="N1006" s="3242" t="s">
        <v>3384</v>
      </c>
      <c r="O1006" s="3239">
        <v>0</v>
      </c>
      <c r="P1006" s="3242">
        <v>0</v>
      </c>
      <c r="Q1006" s="3244"/>
      <c r="R1006" s="3244"/>
      <c r="S1006" s="3242">
        <v>0</v>
      </c>
      <c r="T1006" s="3244"/>
      <c r="U1006" s="3244"/>
      <c r="V1006" s="3244"/>
      <c r="W1006" s="3240">
        <v>0</v>
      </c>
      <c r="X1006" s="3244"/>
      <c r="Y1006" s="3244"/>
      <c r="Z1006" s="3242" t="s">
        <v>3384</v>
      </c>
      <c r="AA1006" s="3243">
        <v>0</v>
      </c>
      <c r="AB1006" s="3242">
        <v>0</v>
      </c>
      <c r="AC1006" s="3244"/>
      <c r="AD1006" s="3244"/>
      <c r="AE1006" s="3242">
        <v>0</v>
      </c>
      <c r="AF1006" s="3259"/>
      <c r="AG1006" s="3260"/>
      <c r="AH1006" s="3260"/>
      <c r="AI1006" s="3260"/>
      <c r="AJ1006" s="3260"/>
      <c r="AK1006" s="3260"/>
      <c r="AL1006" s="3259"/>
      <c r="AM1006" s="3260"/>
      <c r="AN1006" s="3259"/>
      <c r="AO1006" s="3260"/>
      <c r="AP1006" s="3242">
        <v>0</v>
      </c>
      <c r="AQ1006" s="3244"/>
      <c r="AR1006" s="3244"/>
      <c r="AS1006" s="3242" t="s">
        <v>3384</v>
      </c>
      <c r="AT1006" s="3247">
        <f t="shared" si="83"/>
        <v>0</v>
      </c>
      <c r="AU1006" s="3248">
        <f t="shared" si="84"/>
        <v>0</v>
      </c>
      <c r="AV1006" s="3248">
        <v>0</v>
      </c>
      <c r="AW1006" s="3247">
        <v>0</v>
      </c>
      <c r="AX1006" s="3248">
        <v>0</v>
      </c>
      <c r="AY1006" s="3248">
        <v>0</v>
      </c>
      <c r="AZ1006" s="3247">
        <v>0</v>
      </c>
      <c r="BA1006" s="3248">
        <v>0</v>
      </c>
      <c r="BB1006" s="3248">
        <v>0</v>
      </c>
      <c r="BC1006" s="3247">
        <v>0</v>
      </c>
      <c r="BD1006" s="3248">
        <v>0</v>
      </c>
      <c r="BE1006" s="3248">
        <v>0</v>
      </c>
      <c r="BF1006" s="3248">
        <f t="shared" si="85"/>
        <v>0</v>
      </c>
      <c r="BG1006" s="3248">
        <f t="shared" si="86"/>
        <v>0</v>
      </c>
      <c r="BH1006" s="3249"/>
      <c r="BI1006" s="3249"/>
    </row>
    <row r="1007" spans="1:61" x14ac:dyDescent="0.3">
      <c r="A1007" s="4197" t="s">
        <v>3384</v>
      </c>
      <c r="B1007" s="3261"/>
      <c r="C1007" s="3243">
        <v>0</v>
      </c>
      <c r="D1007" s="3242">
        <v>0</v>
      </c>
      <c r="E1007" s="3244"/>
      <c r="F1007" s="3244"/>
      <c r="G1007" s="3242">
        <v>0</v>
      </c>
      <c r="H1007" s="3244"/>
      <c r="I1007" s="3244"/>
      <c r="J1007" s="3244"/>
      <c r="K1007" s="3242">
        <v>0</v>
      </c>
      <c r="L1007" s="3244"/>
      <c r="M1007" s="3244"/>
      <c r="N1007" s="3242" t="s">
        <v>3384</v>
      </c>
      <c r="O1007" s="3239">
        <v>0</v>
      </c>
      <c r="P1007" s="3242">
        <v>0</v>
      </c>
      <c r="Q1007" s="3244"/>
      <c r="R1007" s="3244"/>
      <c r="S1007" s="3242">
        <v>0</v>
      </c>
      <c r="T1007" s="3244"/>
      <c r="U1007" s="3244"/>
      <c r="V1007" s="3244"/>
      <c r="W1007" s="3240">
        <v>0</v>
      </c>
      <c r="X1007" s="3244"/>
      <c r="Y1007" s="3244"/>
      <c r="Z1007" s="3242" t="s">
        <v>3384</v>
      </c>
      <c r="AA1007" s="3243">
        <v>0</v>
      </c>
      <c r="AB1007" s="3242">
        <v>0</v>
      </c>
      <c r="AC1007" s="3244"/>
      <c r="AD1007" s="3244"/>
      <c r="AE1007" s="3242">
        <v>0</v>
      </c>
      <c r="AF1007" s="3259"/>
      <c r="AG1007" s="3260"/>
      <c r="AH1007" s="3260"/>
      <c r="AI1007" s="3260"/>
      <c r="AJ1007" s="3260"/>
      <c r="AK1007" s="3260"/>
      <c r="AL1007" s="3259"/>
      <c r="AM1007" s="3260"/>
      <c r="AN1007" s="3259"/>
      <c r="AO1007" s="3260"/>
      <c r="AP1007" s="3242">
        <v>0</v>
      </c>
      <c r="AQ1007" s="3244"/>
      <c r="AR1007" s="3244"/>
      <c r="AS1007" s="3242" t="s">
        <v>3384</v>
      </c>
      <c r="AT1007" s="3247">
        <f t="shared" si="83"/>
        <v>0</v>
      </c>
      <c r="AU1007" s="3248">
        <f t="shared" si="84"/>
        <v>0</v>
      </c>
      <c r="AV1007" s="3248">
        <v>0</v>
      </c>
      <c r="AW1007" s="3247">
        <v>0</v>
      </c>
      <c r="AX1007" s="3248">
        <v>0</v>
      </c>
      <c r="AY1007" s="3248">
        <v>0</v>
      </c>
      <c r="AZ1007" s="3247">
        <v>0</v>
      </c>
      <c r="BA1007" s="3248">
        <v>0</v>
      </c>
      <c r="BB1007" s="3248">
        <v>0</v>
      </c>
      <c r="BC1007" s="3247">
        <v>0</v>
      </c>
      <c r="BD1007" s="3248">
        <v>0</v>
      </c>
      <c r="BE1007" s="3248">
        <v>0</v>
      </c>
      <c r="BF1007" s="3248">
        <f t="shared" si="85"/>
        <v>0</v>
      </c>
      <c r="BG1007" s="3248">
        <f t="shared" si="86"/>
        <v>0</v>
      </c>
      <c r="BH1007" s="3249"/>
      <c r="BI1007" s="3249"/>
    </row>
    <row r="1008" spans="1:61" x14ac:dyDescent="0.3">
      <c r="A1008" s="4197" t="s">
        <v>3384</v>
      </c>
      <c r="B1008" s="3261"/>
      <c r="C1008" s="3243">
        <v>0</v>
      </c>
      <c r="D1008" s="3242">
        <v>0</v>
      </c>
      <c r="E1008" s="3244"/>
      <c r="F1008" s="3244"/>
      <c r="G1008" s="3242">
        <v>0</v>
      </c>
      <c r="H1008" s="3244"/>
      <c r="I1008" s="3244"/>
      <c r="J1008" s="3244"/>
      <c r="K1008" s="3242">
        <v>0</v>
      </c>
      <c r="L1008" s="3244"/>
      <c r="M1008" s="3244"/>
      <c r="N1008" s="3242" t="s">
        <v>3384</v>
      </c>
      <c r="O1008" s="3239">
        <v>0</v>
      </c>
      <c r="P1008" s="3242">
        <v>0</v>
      </c>
      <c r="Q1008" s="3244"/>
      <c r="R1008" s="3244"/>
      <c r="S1008" s="3242">
        <v>0</v>
      </c>
      <c r="T1008" s="3244"/>
      <c r="U1008" s="3244"/>
      <c r="V1008" s="3244"/>
      <c r="W1008" s="3240">
        <v>0</v>
      </c>
      <c r="X1008" s="3244"/>
      <c r="Y1008" s="3244"/>
      <c r="Z1008" s="3242" t="s">
        <v>3384</v>
      </c>
      <c r="AA1008" s="3243">
        <v>0</v>
      </c>
      <c r="AB1008" s="3242">
        <v>0</v>
      </c>
      <c r="AC1008" s="3244"/>
      <c r="AD1008" s="3244"/>
      <c r="AE1008" s="3242">
        <v>0</v>
      </c>
      <c r="AF1008" s="3259"/>
      <c r="AG1008" s="3260"/>
      <c r="AH1008" s="3260"/>
      <c r="AI1008" s="3260"/>
      <c r="AJ1008" s="3260"/>
      <c r="AK1008" s="3260"/>
      <c r="AL1008" s="3259"/>
      <c r="AM1008" s="3260"/>
      <c r="AN1008" s="3259"/>
      <c r="AO1008" s="3260"/>
      <c r="AP1008" s="3242">
        <v>0</v>
      </c>
      <c r="AQ1008" s="3244"/>
      <c r="AR1008" s="3244"/>
      <c r="AS1008" s="3242" t="s">
        <v>3384</v>
      </c>
      <c r="AT1008" s="3247">
        <f t="shared" si="83"/>
        <v>0</v>
      </c>
      <c r="AU1008" s="3248">
        <f t="shared" si="84"/>
        <v>0</v>
      </c>
      <c r="AV1008" s="3248">
        <v>0</v>
      </c>
      <c r="AW1008" s="3247">
        <v>0</v>
      </c>
      <c r="AX1008" s="3248">
        <v>0</v>
      </c>
      <c r="AY1008" s="3248">
        <v>0</v>
      </c>
      <c r="AZ1008" s="3247">
        <v>0</v>
      </c>
      <c r="BA1008" s="3248">
        <v>0</v>
      </c>
      <c r="BB1008" s="3248">
        <v>0</v>
      </c>
      <c r="BC1008" s="3247">
        <v>0</v>
      </c>
      <c r="BD1008" s="3248">
        <v>0</v>
      </c>
      <c r="BE1008" s="3248">
        <v>0</v>
      </c>
      <c r="BF1008" s="3248">
        <f t="shared" si="85"/>
        <v>0</v>
      </c>
      <c r="BG1008" s="3248">
        <f t="shared" si="86"/>
        <v>0</v>
      </c>
      <c r="BH1008" s="3249"/>
      <c r="BI1008" s="3249"/>
    </row>
    <row r="1009" spans="1:61" x14ac:dyDescent="0.3">
      <c r="A1009" s="4197" t="s">
        <v>3384</v>
      </c>
      <c r="B1009" s="3261"/>
      <c r="C1009" s="3243">
        <v>0</v>
      </c>
      <c r="D1009" s="3242">
        <v>0</v>
      </c>
      <c r="E1009" s="3244"/>
      <c r="F1009" s="3244"/>
      <c r="G1009" s="3242">
        <v>0</v>
      </c>
      <c r="H1009" s="3244"/>
      <c r="I1009" s="3244"/>
      <c r="J1009" s="3244"/>
      <c r="K1009" s="3242">
        <v>0</v>
      </c>
      <c r="L1009" s="3244"/>
      <c r="M1009" s="3244"/>
      <c r="N1009" s="3242" t="s">
        <v>3384</v>
      </c>
      <c r="O1009" s="3239">
        <v>0</v>
      </c>
      <c r="P1009" s="3242">
        <v>0</v>
      </c>
      <c r="Q1009" s="3244"/>
      <c r="R1009" s="3244"/>
      <c r="S1009" s="3242">
        <v>0</v>
      </c>
      <c r="T1009" s="3244"/>
      <c r="U1009" s="3244"/>
      <c r="V1009" s="3244"/>
      <c r="W1009" s="3240">
        <v>0</v>
      </c>
      <c r="X1009" s="3244"/>
      <c r="Y1009" s="3244"/>
      <c r="Z1009" s="3242" t="s">
        <v>3384</v>
      </c>
      <c r="AA1009" s="3243">
        <v>0</v>
      </c>
      <c r="AB1009" s="3242">
        <v>0</v>
      </c>
      <c r="AC1009" s="3244"/>
      <c r="AD1009" s="3244"/>
      <c r="AE1009" s="3242">
        <v>0</v>
      </c>
      <c r="AF1009" s="3259"/>
      <c r="AG1009" s="3260"/>
      <c r="AH1009" s="3260"/>
      <c r="AI1009" s="3260"/>
      <c r="AJ1009" s="3260"/>
      <c r="AK1009" s="3260"/>
      <c r="AL1009" s="3259"/>
      <c r="AM1009" s="3260"/>
      <c r="AN1009" s="3259"/>
      <c r="AO1009" s="3260"/>
      <c r="AP1009" s="3242">
        <v>0</v>
      </c>
      <c r="AQ1009" s="3244"/>
      <c r="AR1009" s="3244"/>
      <c r="AS1009" s="3242" t="s">
        <v>3384</v>
      </c>
      <c r="AT1009" s="3247">
        <f t="shared" si="83"/>
        <v>0</v>
      </c>
      <c r="AU1009" s="3248">
        <f t="shared" si="84"/>
        <v>0</v>
      </c>
      <c r="AV1009" s="3248">
        <v>0</v>
      </c>
      <c r="AW1009" s="3247">
        <v>0</v>
      </c>
      <c r="AX1009" s="3248">
        <v>0</v>
      </c>
      <c r="AY1009" s="3248">
        <v>0</v>
      </c>
      <c r="AZ1009" s="3247">
        <v>0</v>
      </c>
      <c r="BA1009" s="3248">
        <v>0</v>
      </c>
      <c r="BB1009" s="3248">
        <v>0</v>
      </c>
      <c r="BC1009" s="3247">
        <v>0</v>
      </c>
      <c r="BD1009" s="3248">
        <v>0</v>
      </c>
      <c r="BE1009" s="3248">
        <v>0</v>
      </c>
      <c r="BF1009" s="3248">
        <f t="shared" si="85"/>
        <v>0</v>
      </c>
      <c r="BG1009" s="3248">
        <f t="shared" si="86"/>
        <v>0</v>
      </c>
      <c r="BH1009" s="3249"/>
      <c r="BI1009" s="3249"/>
    </row>
    <row r="1010" spans="1:61" x14ac:dyDescent="0.3">
      <c r="A1010" s="4197" t="s">
        <v>3384</v>
      </c>
      <c r="B1010" s="3261"/>
      <c r="C1010" s="3243">
        <v>0</v>
      </c>
      <c r="D1010" s="3242">
        <v>0</v>
      </c>
      <c r="E1010" s="3244"/>
      <c r="F1010" s="3244"/>
      <c r="G1010" s="3242">
        <v>0</v>
      </c>
      <c r="H1010" s="3244"/>
      <c r="I1010" s="3244"/>
      <c r="J1010" s="3244"/>
      <c r="K1010" s="3242">
        <v>0</v>
      </c>
      <c r="L1010" s="3244"/>
      <c r="M1010" s="3244"/>
      <c r="N1010" s="3242" t="s">
        <v>3384</v>
      </c>
      <c r="O1010" s="3239">
        <v>0</v>
      </c>
      <c r="P1010" s="3242">
        <v>0</v>
      </c>
      <c r="Q1010" s="3244"/>
      <c r="R1010" s="3244"/>
      <c r="S1010" s="3242">
        <v>0</v>
      </c>
      <c r="T1010" s="3244"/>
      <c r="U1010" s="3244"/>
      <c r="V1010" s="3244"/>
      <c r="W1010" s="3240">
        <v>0</v>
      </c>
      <c r="X1010" s="3244"/>
      <c r="Y1010" s="3244"/>
      <c r="Z1010" s="3242" t="s">
        <v>3384</v>
      </c>
      <c r="AA1010" s="3243">
        <v>0</v>
      </c>
      <c r="AB1010" s="3242">
        <v>0</v>
      </c>
      <c r="AC1010" s="3244"/>
      <c r="AD1010" s="3244"/>
      <c r="AE1010" s="3242">
        <v>0</v>
      </c>
      <c r="AF1010" s="3259"/>
      <c r="AG1010" s="3260"/>
      <c r="AH1010" s="3260"/>
      <c r="AI1010" s="3260"/>
      <c r="AJ1010" s="3260"/>
      <c r="AK1010" s="3260"/>
      <c r="AL1010" s="3259"/>
      <c r="AM1010" s="3260"/>
      <c r="AN1010" s="3259"/>
      <c r="AO1010" s="3260"/>
      <c r="AP1010" s="3242">
        <v>0</v>
      </c>
      <c r="AQ1010" s="3244"/>
      <c r="AR1010" s="3244"/>
      <c r="AS1010" s="3242" t="s">
        <v>3384</v>
      </c>
      <c r="AT1010" s="3247">
        <f t="shared" si="83"/>
        <v>0</v>
      </c>
      <c r="AU1010" s="3248">
        <f t="shared" si="84"/>
        <v>0</v>
      </c>
      <c r="AV1010" s="3248">
        <v>0</v>
      </c>
      <c r="AW1010" s="3247">
        <v>0</v>
      </c>
      <c r="AX1010" s="3248">
        <v>0</v>
      </c>
      <c r="AY1010" s="3248">
        <v>0</v>
      </c>
      <c r="AZ1010" s="3247">
        <v>0</v>
      </c>
      <c r="BA1010" s="3248">
        <v>0</v>
      </c>
      <c r="BB1010" s="3248">
        <v>0</v>
      </c>
      <c r="BC1010" s="3247">
        <v>0</v>
      </c>
      <c r="BD1010" s="3248">
        <v>0</v>
      </c>
      <c r="BE1010" s="3248">
        <v>0</v>
      </c>
      <c r="BF1010" s="3248">
        <f t="shared" si="85"/>
        <v>0</v>
      </c>
      <c r="BG1010" s="3248">
        <f t="shared" si="86"/>
        <v>0</v>
      </c>
      <c r="BH1010" s="3249"/>
      <c r="BI1010" s="3249"/>
    </row>
    <row r="1011" spans="1:61" x14ac:dyDescent="0.3">
      <c r="A1011" s="4197" t="s">
        <v>3384</v>
      </c>
      <c r="B1011" s="3261"/>
      <c r="C1011" s="3243">
        <v>0</v>
      </c>
      <c r="D1011" s="3242">
        <v>0</v>
      </c>
      <c r="E1011" s="3244"/>
      <c r="F1011" s="3244"/>
      <c r="G1011" s="3242">
        <v>0</v>
      </c>
      <c r="H1011" s="3244"/>
      <c r="I1011" s="3244"/>
      <c r="J1011" s="3244"/>
      <c r="K1011" s="3242">
        <v>0</v>
      </c>
      <c r="L1011" s="3244"/>
      <c r="M1011" s="3244"/>
      <c r="N1011" s="3242" t="s">
        <v>3384</v>
      </c>
      <c r="O1011" s="3239">
        <v>0</v>
      </c>
      <c r="P1011" s="3242">
        <v>0</v>
      </c>
      <c r="Q1011" s="3244"/>
      <c r="R1011" s="3244"/>
      <c r="S1011" s="3242">
        <v>0</v>
      </c>
      <c r="T1011" s="3244"/>
      <c r="U1011" s="3244"/>
      <c r="V1011" s="3244"/>
      <c r="W1011" s="3240">
        <v>0</v>
      </c>
      <c r="X1011" s="3244"/>
      <c r="Y1011" s="3244"/>
      <c r="Z1011" s="3242" t="s">
        <v>3384</v>
      </c>
      <c r="AA1011" s="3243">
        <v>0</v>
      </c>
      <c r="AB1011" s="3242">
        <v>0</v>
      </c>
      <c r="AC1011" s="3244"/>
      <c r="AD1011" s="3244"/>
      <c r="AE1011" s="3242">
        <v>0</v>
      </c>
      <c r="AF1011" s="3259"/>
      <c r="AG1011" s="3260"/>
      <c r="AH1011" s="3260"/>
      <c r="AI1011" s="3260"/>
      <c r="AJ1011" s="3260"/>
      <c r="AK1011" s="3260"/>
      <c r="AL1011" s="3259"/>
      <c r="AM1011" s="3260"/>
      <c r="AN1011" s="3259"/>
      <c r="AO1011" s="3260"/>
      <c r="AP1011" s="3242">
        <v>0</v>
      </c>
      <c r="AQ1011" s="3244"/>
      <c r="AR1011" s="3244"/>
      <c r="AS1011" s="3242" t="s">
        <v>3384</v>
      </c>
      <c r="AT1011" s="3247">
        <f t="shared" si="83"/>
        <v>0</v>
      </c>
      <c r="AU1011" s="3248">
        <f t="shared" si="84"/>
        <v>0</v>
      </c>
      <c r="AV1011" s="3248">
        <v>0</v>
      </c>
      <c r="AW1011" s="3247">
        <v>0</v>
      </c>
      <c r="AX1011" s="3248">
        <v>0</v>
      </c>
      <c r="AY1011" s="3248">
        <v>0</v>
      </c>
      <c r="AZ1011" s="3247">
        <v>0</v>
      </c>
      <c r="BA1011" s="3248">
        <v>0</v>
      </c>
      <c r="BB1011" s="3248">
        <v>0</v>
      </c>
      <c r="BC1011" s="3247">
        <v>0</v>
      </c>
      <c r="BD1011" s="3248">
        <v>0</v>
      </c>
      <c r="BE1011" s="3248">
        <v>0</v>
      </c>
      <c r="BF1011" s="3248">
        <f t="shared" si="85"/>
        <v>0</v>
      </c>
      <c r="BG1011" s="3248">
        <f t="shared" si="86"/>
        <v>0</v>
      </c>
      <c r="BH1011" s="3249"/>
      <c r="BI1011" s="3249"/>
    </row>
    <row r="1012" spans="1:61" x14ac:dyDescent="0.3">
      <c r="A1012" s="4197" t="s">
        <v>3384</v>
      </c>
      <c r="B1012" s="3261"/>
      <c r="C1012" s="3243">
        <v>0</v>
      </c>
      <c r="D1012" s="3242">
        <v>0</v>
      </c>
      <c r="E1012" s="3244"/>
      <c r="F1012" s="3244"/>
      <c r="G1012" s="3242">
        <v>0</v>
      </c>
      <c r="H1012" s="3244"/>
      <c r="I1012" s="3244"/>
      <c r="J1012" s="3244"/>
      <c r="K1012" s="3242">
        <v>0</v>
      </c>
      <c r="L1012" s="3244"/>
      <c r="M1012" s="3244"/>
      <c r="N1012" s="3242" t="s">
        <v>3384</v>
      </c>
      <c r="O1012" s="3239">
        <v>0</v>
      </c>
      <c r="P1012" s="3242">
        <v>0</v>
      </c>
      <c r="Q1012" s="3244"/>
      <c r="R1012" s="3244"/>
      <c r="S1012" s="3242">
        <v>0</v>
      </c>
      <c r="T1012" s="3244"/>
      <c r="U1012" s="3244"/>
      <c r="V1012" s="3244"/>
      <c r="W1012" s="3240">
        <v>0</v>
      </c>
      <c r="X1012" s="3244"/>
      <c r="Y1012" s="3244"/>
      <c r="Z1012" s="3242" t="s">
        <v>3384</v>
      </c>
      <c r="AA1012" s="3243">
        <v>0</v>
      </c>
      <c r="AB1012" s="3242">
        <v>0</v>
      </c>
      <c r="AC1012" s="3244"/>
      <c r="AD1012" s="3244"/>
      <c r="AE1012" s="3242">
        <v>0</v>
      </c>
      <c r="AF1012" s="3259"/>
      <c r="AG1012" s="3260"/>
      <c r="AH1012" s="3260"/>
      <c r="AI1012" s="3260"/>
      <c r="AJ1012" s="3260"/>
      <c r="AK1012" s="3260"/>
      <c r="AL1012" s="3259"/>
      <c r="AM1012" s="3260"/>
      <c r="AN1012" s="3259"/>
      <c r="AO1012" s="3260"/>
      <c r="AP1012" s="3242">
        <v>0</v>
      </c>
      <c r="AQ1012" s="3244"/>
      <c r="AR1012" s="3244"/>
      <c r="AS1012" s="3242" t="s">
        <v>3384</v>
      </c>
      <c r="AT1012" s="3247">
        <f t="shared" si="83"/>
        <v>0</v>
      </c>
      <c r="AU1012" s="3248">
        <f t="shared" si="84"/>
        <v>0</v>
      </c>
      <c r="AV1012" s="3248">
        <v>0</v>
      </c>
      <c r="AW1012" s="3247">
        <v>0</v>
      </c>
      <c r="AX1012" s="3248">
        <v>0</v>
      </c>
      <c r="AY1012" s="3248">
        <v>0</v>
      </c>
      <c r="AZ1012" s="3247">
        <v>0</v>
      </c>
      <c r="BA1012" s="3248">
        <v>0</v>
      </c>
      <c r="BB1012" s="3248">
        <v>0</v>
      </c>
      <c r="BC1012" s="3247">
        <v>0</v>
      </c>
      <c r="BD1012" s="3248">
        <v>0</v>
      </c>
      <c r="BE1012" s="3248">
        <v>0</v>
      </c>
      <c r="BF1012" s="3248">
        <f t="shared" si="85"/>
        <v>0</v>
      </c>
      <c r="BG1012" s="3248">
        <f t="shared" si="86"/>
        <v>0</v>
      </c>
      <c r="BH1012" s="3249"/>
      <c r="BI1012" s="3249"/>
    </row>
    <row r="1013" spans="1:61" x14ac:dyDescent="0.3">
      <c r="A1013" s="4197" t="s">
        <v>3384</v>
      </c>
      <c r="B1013" s="3261"/>
      <c r="C1013" s="3243">
        <v>0</v>
      </c>
      <c r="D1013" s="3242">
        <v>0</v>
      </c>
      <c r="E1013" s="3244"/>
      <c r="F1013" s="3244"/>
      <c r="G1013" s="3242">
        <v>0</v>
      </c>
      <c r="H1013" s="3244"/>
      <c r="I1013" s="3244"/>
      <c r="J1013" s="3244"/>
      <c r="K1013" s="3242">
        <v>0</v>
      </c>
      <c r="L1013" s="3244"/>
      <c r="M1013" s="3244"/>
      <c r="N1013" s="3242" t="s">
        <v>3384</v>
      </c>
      <c r="O1013" s="3239">
        <v>0</v>
      </c>
      <c r="P1013" s="3242">
        <v>0</v>
      </c>
      <c r="Q1013" s="3244"/>
      <c r="R1013" s="3244"/>
      <c r="S1013" s="3242">
        <v>0</v>
      </c>
      <c r="T1013" s="3244"/>
      <c r="U1013" s="3244"/>
      <c r="V1013" s="3244"/>
      <c r="W1013" s="3240">
        <v>0</v>
      </c>
      <c r="X1013" s="3244"/>
      <c r="Y1013" s="3244"/>
      <c r="Z1013" s="3242" t="s">
        <v>3384</v>
      </c>
      <c r="AA1013" s="3243">
        <v>0</v>
      </c>
      <c r="AB1013" s="3242">
        <v>0</v>
      </c>
      <c r="AC1013" s="3244"/>
      <c r="AD1013" s="3244"/>
      <c r="AE1013" s="3242">
        <v>0</v>
      </c>
      <c r="AF1013" s="3259"/>
      <c r="AG1013" s="3260"/>
      <c r="AH1013" s="3260"/>
      <c r="AI1013" s="3260"/>
      <c r="AJ1013" s="3260"/>
      <c r="AK1013" s="3260"/>
      <c r="AL1013" s="3259"/>
      <c r="AM1013" s="3260"/>
      <c r="AN1013" s="3259"/>
      <c r="AO1013" s="3260"/>
      <c r="AP1013" s="3242">
        <v>0</v>
      </c>
      <c r="AQ1013" s="3244"/>
      <c r="AR1013" s="3244"/>
      <c r="AS1013" s="3242" t="s">
        <v>3384</v>
      </c>
      <c r="AT1013" s="3247">
        <f t="shared" si="83"/>
        <v>0</v>
      </c>
      <c r="AU1013" s="3248">
        <f t="shared" si="84"/>
        <v>0</v>
      </c>
      <c r="AV1013" s="3248">
        <v>0</v>
      </c>
      <c r="AW1013" s="3247">
        <v>0</v>
      </c>
      <c r="AX1013" s="3248">
        <v>0</v>
      </c>
      <c r="AY1013" s="3248">
        <v>0</v>
      </c>
      <c r="AZ1013" s="3247">
        <v>0</v>
      </c>
      <c r="BA1013" s="3248">
        <v>0</v>
      </c>
      <c r="BB1013" s="3248">
        <v>0</v>
      </c>
      <c r="BC1013" s="3247">
        <v>0</v>
      </c>
      <c r="BD1013" s="3248">
        <v>0</v>
      </c>
      <c r="BE1013" s="3248">
        <v>0</v>
      </c>
      <c r="BF1013" s="3248">
        <f t="shared" si="85"/>
        <v>0</v>
      </c>
      <c r="BG1013" s="3248">
        <f t="shared" si="86"/>
        <v>0</v>
      </c>
      <c r="BH1013" s="3249"/>
      <c r="BI1013" s="3249"/>
    </row>
    <row r="1014" spans="1:61" x14ac:dyDescent="0.3">
      <c r="A1014" s="4197" t="s">
        <v>3384</v>
      </c>
      <c r="B1014" s="3261"/>
      <c r="C1014" s="3243">
        <v>0</v>
      </c>
      <c r="D1014" s="3242">
        <v>0</v>
      </c>
      <c r="E1014" s="3244"/>
      <c r="F1014" s="3244"/>
      <c r="G1014" s="3242">
        <v>0</v>
      </c>
      <c r="H1014" s="3244"/>
      <c r="I1014" s="3244"/>
      <c r="J1014" s="3244"/>
      <c r="K1014" s="3242">
        <v>0</v>
      </c>
      <c r="L1014" s="3244"/>
      <c r="M1014" s="3244"/>
      <c r="N1014" s="3242" t="s">
        <v>3384</v>
      </c>
      <c r="O1014" s="3239">
        <v>0</v>
      </c>
      <c r="P1014" s="3242">
        <v>0</v>
      </c>
      <c r="Q1014" s="3244"/>
      <c r="R1014" s="3244"/>
      <c r="S1014" s="3242">
        <v>0</v>
      </c>
      <c r="T1014" s="3244"/>
      <c r="U1014" s="3244"/>
      <c r="V1014" s="3244"/>
      <c r="W1014" s="3240">
        <v>0</v>
      </c>
      <c r="X1014" s="3244"/>
      <c r="Y1014" s="3244"/>
      <c r="Z1014" s="3242" t="s">
        <v>3384</v>
      </c>
      <c r="AA1014" s="3243">
        <v>0</v>
      </c>
      <c r="AB1014" s="3242">
        <v>0</v>
      </c>
      <c r="AC1014" s="3244"/>
      <c r="AD1014" s="3244"/>
      <c r="AE1014" s="3242">
        <v>0</v>
      </c>
      <c r="AF1014" s="3259"/>
      <c r="AG1014" s="3260"/>
      <c r="AH1014" s="3260"/>
      <c r="AI1014" s="3260"/>
      <c r="AJ1014" s="3260"/>
      <c r="AK1014" s="3260"/>
      <c r="AL1014" s="3259"/>
      <c r="AM1014" s="3260"/>
      <c r="AN1014" s="3259"/>
      <c r="AO1014" s="3260"/>
      <c r="AP1014" s="3242">
        <v>0</v>
      </c>
      <c r="AQ1014" s="3244"/>
      <c r="AR1014" s="3244"/>
      <c r="AS1014" s="3242" t="s">
        <v>3384</v>
      </c>
      <c r="AT1014" s="3247">
        <f t="shared" si="83"/>
        <v>0</v>
      </c>
      <c r="AU1014" s="3248">
        <f t="shared" si="84"/>
        <v>0</v>
      </c>
      <c r="AV1014" s="3248">
        <v>0</v>
      </c>
      <c r="AW1014" s="3247">
        <v>0</v>
      </c>
      <c r="AX1014" s="3248">
        <v>0</v>
      </c>
      <c r="AY1014" s="3248">
        <v>0</v>
      </c>
      <c r="AZ1014" s="3247">
        <v>0</v>
      </c>
      <c r="BA1014" s="3248">
        <v>0</v>
      </c>
      <c r="BB1014" s="3248">
        <v>0</v>
      </c>
      <c r="BC1014" s="3247">
        <v>0</v>
      </c>
      <c r="BD1014" s="3248">
        <v>0</v>
      </c>
      <c r="BE1014" s="3248">
        <v>0</v>
      </c>
      <c r="BF1014" s="3248">
        <f t="shared" si="85"/>
        <v>0</v>
      </c>
      <c r="BG1014" s="3248">
        <f t="shared" si="86"/>
        <v>0</v>
      </c>
      <c r="BH1014" s="3249"/>
      <c r="BI1014" s="3249"/>
    </row>
    <row r="1015" spans="1:61" x14ac:dyDescent="0.3">
      <c r="A1015" s="4197" t="s">
        <v>3384</v>
      </c>
      <c r="B1015" s="3261"/>
      <c r="C1015" s="3243">
        <v>0</v>
      </c>
      <c r="D1015" s="3242">
        <v>0</v>
      </c>
      <c r="E1015" s="3244"/>
      <c r="F1015" s="3244"/>
      <c r="G1015" s="3242">
        <v>0</v>
      </c>
      <c r="H1015" s="3244"/>
      <c r="I1015" s="3244"/>
      <c r="J1015" s="3244"/>
      <c r="K1015" s="3242">
        <v>0</v>
      </c>
      <c r="L1015" s="3244"/>
      <c r="M1015" s="3244"/>
      <c r="N1015" s="3242" t="s">
        <v>3384</v>
      </c>
      <c r="O1015" s="3239">
        <v>0</v>
      </c>
      <c r="P1015" s="3242">
        <v>0</v>
      </c>
      <c r="Q1015" s="3244"/>
      <c r="R1015" s="3244"/>
      <c r="S1015" s="3242">
        <v>0</v>
      </c>
      <c r="T1015" s="3244"/>
      <c r="U1015" s="3244"/>
      <c r="V1015" s="3244"/>
      <c r="W1015" s="3240">
        <v>0</v>
      </c>
      <c r="X1015" s="3244"/>
      <c r="Y1015" s="3244"/>
      <c r="Z1015" s="3242" t="s">
        <v>3384</v>
      </c>
      <c r="AA1015" s="3243">
        <v>0</v>
      </c>
      <c r="AB1015" s="3242">
        <v>0</v>
      </c>
      <c r="AC1015" s="3244"/>
      <c r="AD1015" s="3244"/>
      <c r="AE1015" s="3242">
        <v>0</v>
      </c>
      <c r="AF1015" s="3259"/>
      <c r="AG1015" s="3260"/>
      <c r="AH1015" s="3260"/>
      <c r="AI1015" s="3260"/>
      <c r="AJ1015" s="3260"/>
      <c r="AK1015" s="3260"/>
      <c r="AL1015" s="3259"/>
      <c r="AM1015" s="3260"/>
      <c r="AN1015" s="3259"/>
      <c r="AO1015" s="3260"/>
      <c r="AP1015" s="3242">
        <v>0</v>
      </c>
      <c r="AQ1015" s="3244"/>
      <c r="AR1015" s="3244"/>
      <c r="AS1015" s="3242" t="s">
        <v>3384</v>
      </c>
      <c r="AT1015" s="3247">
        <f t="shared" si="83"/>
        <v>0</v>
      </c>
      <c r="AU1015" s="3248">
        <f t="shared" si="84"/>
        <v>0</v>
      </c>
      <c r="AV1015" s="3248">
        <v>0</v>
      </c>
      <c r="AW1015" s="3247">
        <v>0</v>
      </c>
      <c r="AX1015" s="3248">
        <v>0</v>
      </c>
      <c r="AY1015" s="3248">
        <v>0</v>
      </c>
      <c r="AZ1015" s="3247">
        <v>0</v>
      </c>
      <c r="BA1015" s="3248">
        <v>0</v>
      </c>
      <c r="BB1015" s="3248">
        <v>0</v>
      </c>
      <c r="BC1015" s="3247">
        <v>0</v>
      </c>
      <c r="BD1015" s="3248">
        <v>0</v>
      </c>
      <c r="BE1015" s="3248">
        <v>0</v>
      </c>
      <c r="BF1015" s="3248">
        <f t="shared" si="85"/>
        <v>0</v>
      </c>
      <c r="BG1015" s="3248">
        <f t="shared" si="86"/>
        <v>0</v>
      </c>
      <c r="BH1015" s="3249"/>
      <c r="BI1015" s="3249"/>
    </row>
    <row r="1016" spans="1:61" x14ac:dyDescent="0.3">
      <c r="A1016" s="4197" t="s">
        <v>3384</v>
      </c>
      <c r="B1016" s="3261"/>
      <c r="C1016" s="3243">
        <v>0</v>
      </c>
      <c r="D1016" s="3242">
        <v>0</v>
      </c>
      <c r="E1016" s="3244"/>
      <c r="F1016" s="3244"/>
      <c r="G1016" s="3242">
        <v>0</v>
      </c>
      <c r="H1016" s="3244"/>
      <c r="I1016" s="3244"/>
      <c r="J1016" s="3244"/>
      <c r="K1016" s="3242">
        <v>0</v>
      </c>
      <c r="L1016" s="3244"/>
      <c r="M1016" s="3244"/>
      <c r="N1016" s="3242" t="s">
        <v>3384</v>
      </c>
      <c r="O1016" s="3239">
        <v>0</v>
      </c>
      <c r="P1016" s="3242">
        <v>0</v>
      </c>
      <c r="Q1016" s="3244"/>
      <c r="R1016" s="3244"/>
      <c r="S1016" s="3242">
        <v>0</v>
      </c>
      <c r="T1016" s="3244"/>
      <c r="U1016" s="3244"/>
      <c r="V1016" s="3244"/>
      <c r="W1016" s="3240">
        <v>0</v>
      </c>
      <c r="X1016" s="3244"/>
      <c r="Y1016" s="3244"/>
      <c r="Z1016" s="3242" t="s">
        <v>3384</v>
      </c>
      <c r="AA1016" s="3243">
        <v>0</v>
      </c>
      <c r="AB1016" s="3242">
        <v>0</v>
      </c>
      <c r="AC1016" s="3244"/>
      <c r="AD1016" s="3244"/>
      <c r="AE1016" s="3242">
        <v>0</v>
      </c>
      <c r="AF1016" s="3259"/>
      <c r="AG1016" s="3260"/>
      <c r="AH1016" s="3260"/>
      <c r="AI1016" s="3260"/>
      <c r="AJ1016" s="3260"/>
      <c r="AK1016" s="3260"/>
      <c r="AL1016" s="3259"/>
      <c r="AM1016" s="3260"/>
      <c r="AN1016" s="3259"/>
      <c r="AO1016" s="3260"/>
      <c r="AP1016" s="3242">
        <v>0</v>
      </c>
      <c r="AQ1016" s="3244"/>
      <c r="AR1016" s="3244"/>
      <c r="AS1016" s="3242" t="s">
        <v>3384</v>
      </c>
      <c r="AT1016" s="3247">
        <f t="shared" si="83"/>
        <v>0</v>
      </c>
      <c r="AU1016" s="3248">
        <f t="shared" si="84"/>
        <v>0</v>
      </c>
      <c r="AV1016" s="3248">
        <v>0</v>
      </c>
      <c r="AW1016" s="3247">
        <v>0</v>
      </c>
      <c r="AX1016" s="3248">
        <v>0</v>
      </c>
      <c r="AY1016" s="3248">
        <v>0</v>
      </c>
      <c r="AZ1016" s="3247">
        <v>0</v>
      </c>
      <c r="BA1016" s="3248">
        <v>0</v>
      </c>
      <c r="BB1016" s="3248">
        <v>0</v>
      </c>
      <c r="BC1016" s="3247">
        <v>0</v>
      </c>
      <c r="BD1016" s="3248">
        <v>0</v>
      </c>
      <c r="BE1016" s="3248">
        <v>0</v>
      </c>
      <c r="BF1016" s="3248">
        <f t="shared" si="85"/>
        <v>0</v>
      </c>
      <c r="BG1016" s="3248">
        <f t="shared" si="86"/>
        <v>0</v>
      </c>
      <c r="BH1016" s="3249"/>
      <c r="BI1016" s="3249"/>
    </row>
    <row r="1017" spans="1:61" x14ac:dyDescent="0.3">
      <c r="A1017" s="4197" t="s">
        <v>3384</v>
      </c>
      <c r="B1017" s="3261"/>
      <c r="C1017" s="3243">
        <v>0</v>
      </c>
      <c r="D1017" s="3242">
        <v>0</v>
      </c>
      <c r="E1017" s="3244"/>
      <c r="F1017" s="3244"/>
      <c r="G1017" s="3242">
        <v>0</v>
      </c>
      <c r="H1017" s="3244"/>
      <c r="I1017" s="3244"/>
      <c r="J1017" s="3244"/>
      <c r="K1017" s="3242">
        <v>0</v>
      </c>
      <c r="L1017" s="3244"/>
      <c r="M1017" s="3244"/>
      <c r="N1017" s="3242" t="s">
        <v>3384</v>
      </c>
      <c r="O1017" s="3239">
        <v>0</v>
      </c>
      <c r="P1017" s="3242">
        <v>0</v>
      </c>
      <c r="Q1017" s="3244"/>
      <c r="R1017" s="3244"/>
      <c r="S1017" s="3242">
        <v>0</v>
      </c>
      <c r="T1017" s="3244"/>
      <c r="U1017" s="3244"/>
      <c r="V1017" s="3244"/>
      <c r="W1017" s="3240">
        <v>0</v>
      </c>
      <c r="X1017" s="3244"/>
      <c r="Y1017" s="3244"/>
      <c r="Z1017" s="3242" t="s">
        <v>3384</v>
      </c>
      <c r="AA1017" s="3243">
        <v>0</v>
      </c>
      <c r="AB1017" s="3242">
        <v>0</v>
      </c>
      <c r="AC1017" s="3244"/>
      <c r="AD1017" s="3244"/>
      <c r="AE1017" s="3242">
        <v>0</v>
      </c>
      <c r="AF1017" s="3259"/>
      <c r="AG1017" s="3260"/>
      <c r="AH1017" s="3260"/>
      <c r="AI1017" s="3260"/>
      <c r="AJ1017" s="3260"/>
      <c r="AK1017" s="3260"/>
      <c r="AL1017" s="3259"/>
      <c r="AM1017" s="3260"/>
      <c r="AN1017" s="3259"/>
      <c r="AO1017" s="3260"/>
      <c r="AP1017" s="3242">
        <v>0</v>
      </c>
      <c r="AQ1017" s="3244"/>
      <c r="AR1017" s="3244"/>
      <c r="AS1017" s="3242" t="s">
        <v>3384</v>
      </c>
      <c r="AT1017" s="3247">
        <f t="shared" si="83"/>
        <v>0</v>
      </c>
      <c r="AU1017" s="3248">
        <f t="shared" si="84"/>
        <v>0</v>
      </c>
      <c r="AV1017" s="3248">
        <v>0</v>
      </c>
      <c r="AW1017" s="3247">
        <v>0</v>
      </c>
      <c r="AX1017" s="3248">
        <v>0</v>
      </c>
      <c r="AY1017" s="3248">
        <v>0</v>
      </c>
      <c r="AZ1017" s="3247">
        <v>0</v>
      </c>
      <c r="BA1017" s="3248">
        <v>0</v>
      </c>
      <c r="BB1017" s="3248">
        <v>0</v>
      </c>
      <c r="BC1017" s="3247">
        <v>0</v>
      </c>
      <c r="BD1017" s="3248">
        <v>0</v>
      </c>
      <c r="BE1017" s="3248">
        <v>0</v>
      </c>
      <c r="BF1017" s="3248">
        <f t="shared" si="85"/>
        <v>0</v>
      </c>
      <c r="BG1017" s="3248">
        <f t="shared" si="86"/>
        <v>0</v>
      </c>
      <c r="BH1017" s="3249"/>
      <c r="BI1017" s="3249"/>
    </row>
    <row r="1018" spans="1:61" x14ac:dyDescent="0.3">
      <c r="A1018" s="4197" t="s">
        <v>3384</v>
      </c>
      <c r="B1018" s="3261"/>
      <c r="C1018" s="3243">
        <v>0</v>
      </c>
      <c r="D1018" s="3242">
        <v>0</v>
      </c>
      <c r="E1018" s="3244"/>
      <c r="F1018" s="3244"/>
      <c r="G1018" s="3242">
        <v>0</v>
      </c>
      <c r="H1018" s="3244"/>
      <c r="I1018" s="3244"/>
      <c r="J1018" s="3244"/>
      <c r="K1018" s="3242">
        <v>0</v>
      </c>
      <c r="L1018" s="3244"/>
      <c r="M1018" s="3244"/>
      <c r="N1018" s="3242" t="s">
        <v>3384</v>
      </c>
      <c r="O1018" s="3239">
        <v>0</v>
      </c>
      <c r="P1018" s="3242">
        <v>0</v>
      </c>
      <c r="Q1018" s="3244"/>
      <c r="R1018" s="3244"/>
      <c r="S1018" s="3242">
        <v>0</v>
      </c>
      <c r="T1018" s="3244"/>
      <c r="U1018" s="3244"/>
      <c r="V1018" s="3244"/>
      <c r="W1018" s="3240">
        <v>0</v>
      </c>
      <c r="X1018" s="3244"/>
      <c r="Y1018" s="3244"/>
      <c r="Z1018" s="3242" t="s">
        <v>3384</v>
      </c>
      <c r="AA1018" s="3243">
        <v>0</v>
      </c>
      <c r="AB1018" s="3242">
        <v>0</v>
      </c>
      <c r="AC1018" s="3244"/>
      <c r="AD1018" s="3244"/>
      <c r="AE1018" s="3242">
        <v>0</v>
      </c>
      <c r="AF1018" s="3259"/>
      <c r="AG1018" s="3260"/>
      <c r="AH1018" s="3260"/>
      <c r="AI1018" s="3260"/>
      <c r="AJ1018" s="3260"/>
      <c r="AK1018" s="3260"/>
      <c r="AL1018" s="3259"/>
      <c r="AM1018" s="3260"/>
      <c r="AN1018" s="3259"/>
      <c r="AO1018" s="3260"/>
      <c r="AP1018" s="3242">
        <v>0</v>
      </c>
      <c r="AQ1018" s="3244"/>
      <c r="AR1018" s="3244"/>
      <c r="AS1018" s="3242" t="s">
        <v>3384</v>
      </c>
      <c r="AT1018" s="3247">
        <f t="shared" si="83"/>
        <v>0</v>
      </c>
      <c r="AU1018" s="3248">
        <f t="shared" si="84"/>
        <v>0</v>
      </c>
      <c r="AV1018" s="3248">
        <v>0</v>
      </c>
      <c r="AW1018" s="3247">
        <v>0</v>
      </c>
      <c r="AX1018" s="3248">
        <v>0</v>
      </c>
      <c r="AY1018" s="3248">
        <v>0</v>
      </c>
      <c r="AZ1018" s="3247">
        <v>0</v>
      </c>
      <c r="BA1018" s="3248">
        <v>0</v>
      </c>
      <c r="BB1018" s="3248">
        <v>0</v>
      </c>
      <c r="BC1018" s="3247">
        <v>0</v>
      </c>
      <c r="BD1018" s="3248">
        <v>0</v>
      </c>
      <c r="BE1018" s="3248">
        <v>0</v>
      </c>
      <c r="BF1018" s="3248">
        <f t="shared" si="85"/>
        <v>0</v>
      </c>
      <c r="BG1018" s="3248">
        <f t="shared" si="86"/>
        <v>0</v>
      </c>
      <c r="BH1018" s="3249"/>
      <c r="BI1018" s="3249"/>
    </row>
    <row r="1019" spans="1:61" x14ac:dyDescent="0.3">
      <c r="A1019" s="4197" t="s">
        <v>3384</v>
      </c>
      <c r="B1019" s="3261"/>
      <c r="C1019" s="3243">
        <v>0</v>
      </c>
      <c r="D1019" s="3242">
        <v>0</v>
      </c>
      <c r="E1019" s="3244"/>
      <c r="F1019" s="3244"/>
      <c r="G1019" s="3242">
        <v>0</v>
      </c>
      <c r="H1019" s="3244"/>
      <c r="I1019" s="3244"/>
      <c r="J1019" s="3244"/>
      <c r="K1019" s="3242">
        <v>0</v>
      </c>
      <c r="L1019" s="3244"/>
      <c r="M1019" s="3244"/>
      <c r="N1019" s="3242" t="s">
        <v>3384</v>
      </c>
      <c r="O1019" s="3239">
        <v>0</v>
      </c>
      <c r="P1019" s="3242">
        <v>0</v>
      </c>
      <c r="Q1019" s="3244"/>
      <c r="R1019" s="3244"/>
      <c r="S1019" s="3242">
        <v>0</v>
      </c>
      <c r="T1019" s="3244"/>
      <c r="U1019" s="3244"/>
      <c r="V1019" s="3244"/>
      <c r="W1019" s="3240">
        <v>0</v>
      </c>
      <c r="X1019" s="3244"/>
      <c r="Y1019" s="3244"/>
      <c r="Z1019" s="3242" t="s">
        <v>3384</v>
      </c>
      <c r="AA1019" s="3243">
        <v>0</v>
      </c>
      <c r="AB1019" s="3242">
        <v>0</v>
      </c>
      <c r="AC1019" s="3244"/>
      <c r="AD1019" s="3244"/>
      <c r="AE1019" s="3242">
        <v>0</v>
      </c>
      <c r="AF1019" s="3259"/>
      <c r="AG1019" s="3260"/>
      <c r="AH1019" s="3260"/>
      <c r="AI1019" s="3260"/>
      <c r="AJ1019" s="3260"/>
      <c r="AK1019" s="3260"/>
      <c r="AL1019" s="3259"/>
      <c r="AM1019" s="3260"/>
      <c r="AN1019" s="3259"/>
      <c r="AO1019" s="3260"/>
      <c r="AP1019" s="3242">
        <v>0</v>
      </c>
      <c r="AQ1019" s="3244"/>
      <c r="AR1019" s="3244"/>
      <c r="AS1019" s="3242" t="s">
        <v>3384</v>
      </c>
      <c r="AT1019" s="3247">
        <f t="shared" si="83"/>
        <v>0</v>
      </c>
      <c r="AU1019" s="3248">
        <f t="shared" si="84"/>
        <v>0</v>
      </c>
      <c r="AV1019" s="3248">
        <v>0</v>
      </c>
      <c r="AW1019" s="3247">
        <v>0</v>
      </c>
      <c r="AX1019" s="3248">
        <v>0</v>
      </c>
      <c r="AY1019" s="3248">
        <v>0</v>
      </c>
      <c r="AZ1019" s="3247">
        <v>0</v>
      </c>
      <c r="BA1019" s="3248">
        <v>0</v>
      </c>
      <c r="BB1019" s="3248">
        <v>0</v>
      </c>
      <c r="BC1019" s="3247">
        <v>0</v>
      </c>
      <c r="BD1019" s="3248">
        <v>0</v>
      </c>
      <c r="BE1019" s="3248">
        <v>0</v>
      </c>
      <c r="BF1019" s="3248">
        <f t="shared" si="85"/>
        <v>0</v>
      </c>
      <c r="BG1019" s="3248">
        <f t="shared" si="86"/>
        <v>0</v>
      </c>
      <c r="BH1019" s="3249"/>
      <c r="BI1019" s="3249"/>
    </row>
    <row r="1020" spans="1:61" x14ac:dyDescent="0.3">
      <c r="A1020" s="4197" t="s">
        <v>3384</v>
      </c>
      <c r="B1020" s="3261"/>
      <c r="C1020" s="3243">
        <v>0</v>
      </c>
      <c r="D1020" s="3242">
        <v>0</v>
      </c>
      <c r="E1020" s="3244"/>
      <c r="F1020" s="3244"/>
      <c r="G1020" s="3242">
        <v>0</v>
      </c>
      <c r="H1020" s="3244"/>
      <c r="I1020" s="3244"/>
      <c r="J1020" s="3244"/>
      <c r="K1020" s="3242">
        <v>0</v>
      </c>
      <c r="L1020" s="3244"/>
      <c r="M1020" s="3244"/>
      <c r="N1020" s="3242" t="s">
        <v>3384</v>
      </c>
      <c r="O1020" s="3239">
        <v>0</v>
      </c>
      <c r="P1020" s="3242">
        <v>0</v>
      </c>
      <c r="Q1020" s="3244"/>
      <c r="R1020" s="3244"/>
      <c r="S1020" s="3242">
        <v>0</v>
      </c>
      <c r="T1020" s="3244"/>
      <c r="U1020" s="3244"/>
      <c r="V1020" s="3244"/>
      <c r="W1020" s="3240">
        <v>0</v>
      </c>
      <c r="X1020" s="3244"/>
      <c r="Y1020" s="3244"/>
      <c r="Z1020" s="3242" t="s">
        <v>3384</v>
      </c>
      <c r="AA1020" s="3243">
        <v>0</v>
      </c>
      <c r="AB1020" s="3242">
        <v>0</v>
      </c>
      <c r="AC1020" s="3244"/>
      <c r="AD1020" s="3244"/>
      <c r="AE1020" s="3242">
        <v>0</v>
      </c>
      <c r="AF1020" s="3259"/>
      <c r="AG1020" s="3260"/>
      <c r="AH1020" s="3260"/>
      <c r="AI1020" s="3260"/>
      <c r="AJ1020" s="3260"/>
      <c r="AK1020" s="3260"/>
      <c r="AL1020" s="3259"/>
      <c r="AM1020" s="3260"/>
      <c r="AN1020" s="3259"/>
      <c r="AO1020" s="3260"/>
      <c r="AP1020" s="3242">
        <v>0</v>
      </c>
      <c r="AQ1020" s="3244"/>
      <c r="AR1020" s="3244"/>
      <c r="AS1020" s="3242" t="s">
        <v>3384</v>
      </c>
      <c r="AT1020" s="3247">
        <f t="shared" si="83"/>
        <v>0</v>
      </c>
      <c r="AU1020" s="3248">
        <f t="shared" si="84"/>
        <v>0</v>
      </c>
      <c r="AV1020" s="3248">
        <v>0</v>
      </c>
      <c r="AW1020" s="3247">
        <v>0</v>
      </c>
      <c r="AX1020" s="3248">
        <v>0</v>
      </c>
      <c r="AY1020" s="3248">
        <v>0</v>
      </c>
      <c r="AZ1020" s="3247">
        <v>0</v>
      </c>
      <c r="BA1020" s="3248">
        <v>0</v>
      </c>
      <c r="BB1020" s="3248">
        <v>0</v>
      </c>
      <c r="BC1020" s="3247">
        <v>0</v>
      </c>
      <c r="BD1020" s="3248">
        <v>0</v>
      </c>
      <c r="BE1020" s="3248">
        <v>0</v>
      </c>
      <c r="BF1020" s="3248">
        <f t="shared" si="85"/>
        <v>0</v>
      </c>
      <c r="BG1020" s="3248">
        <f t="shared" si="86"/>
        <v>0</v>
      </c>
      <c r="BH1020" s="3249"/>
      <c r="BI1020" s="3249"/>
    </row>
    <row r="1021" spans="1:61" x14ac:dyDescent="0.3">
      <c r="A1021" s="4197" t="s">
        <v>3384</v>
      </c>
      <c r="B1021" s="3261"/>
      <c r="C1021" s="3243">
        <v>0</v>
      </c>
      <c r="D1021" s="3242">
        <v>0</v>
      </c>
      <c r="E1021" s="3244"/>
      <c r="F1021" s="3244"/>
      <c r="G1021" s="3242">
        <v>0</v>
      </c>
      <c r="H1021" s="3244"/>
      <c r="I1021" s="3244"/>
      <c r="J1021" s="3244"/>
      <c r="K1021" s="3242">
        <v>0</v>
      </c>
      <c r="L1021" s="3244"/>
      <c r="M1021" s="3244"/>
      <c r="N1021" s="3242" t="s">
        <v>3384</v>
      </c>
      <c r="O1021" s="3239">
        <v>0</v>
      </c>
      <c r="P1021" s="3242">
        <v>0</v>
      </c>
      <c r="Q1021" s="3244"/>
      <c r="R1021" s="3244"/>
      <c r="S1021" s="3242">
        <v>0</v>
      </c>
      <c r="T1021" s="3244"/>
      <c r="U1021" s="3244"/>
      <c r="V1021" s="3244"/>
      <c r="W1021" s="3240">
        <v>0</v>
      </c>
      <c r="X1021" s="3244"/>
      <c r="Y1021" s="3244"/>
      <c r="Z1021" s="3242" t="s">
        <v>3384</v>
      </c>
      <c r="AA1021" s="3243">
        <v>0</v>
      </c>
      <c r="AB1021" s="3242">
        <v>0</v>
      </c>
      <c r="AC1021" s="3244"/>
      <c r="AD1021" s="3244"/>
      <c r="AE1021" s="3242">
        <v>0</v>
      </c>
      <c r="AF1021" s="3259"/>
      <c r="AG1021" s="3260"/>
      <c r="AH1021" s="3260"/>
      <c r="AI1021" s="3260"/>
      <c r="AJ1021" s="3260"/>
      <c r="AK1021" s="3260"/>
      <c r="AL1021" s="3259"/>
      <c r="AM1021" s="3260"/>
      <c r="AN1021" s="3259"/>
      <c r="AO1021" s="3260"/>
      <c r="AP1021" s="3242">
        <v>0</v>
      </c>
      <c r="AQ1021" s="3244"/>
      <c r="AR1021" s="3244"/>
      <c r="AS1021" s="3242" t="s">
        <v>3384</v>
      </c>
      <c r="AT1021" s="3247">
        <f t="shared" si="83"/>
        <v>0</v>
      </c>
      <c r="AU1021" s="3248">
        <f t="shared" si="84"/>
        <v>0</v>
      </c>
      <c r="AV1021" s="3248">
        <v>0</v>
      </c>
      <c r="AW1021" s="3247">
        <v>0</v>
      </c>
      <c r="AX1021" s="3248">
        <v>0</v>
      </c>
      <c r="AY1021" s="3248">
        <v>0</v>
      </c>
      <c r="AZ1021" s="3247">
        <v>0</v>
      </c>
      <c r="BA1021" s="3248">
        <v>0</v>
      </c>
      <c r="BB1021" s="3248">
        <v>0</v>
      </c>
      <c r="BC1021" s="3247">
        <v>0</v>
      </c>
      <c r="BD1021" s="3248">
        <v>0</v>
      </c>
      <c r="BE1021" s="3248">
        <v>0</v>
      </c>
      <c r="BF1021" s="3248">
        <f t="shared" si="85"/>
        <v>0</v>
      </c>
      <c r="BG1021" s="3248">
        <f t="shared" si="86"/>
        <v>0</v>
      </c>
      <c r="BH1021" s="3249"/>
      <c r="BI1021" s="3249"/>
    </row>
    <row r="1022" spans="1:61" x14ac:dyDescent="0.3">
      <c r="A1022" s="4197" t="s">
        <v>3384</v>
      </c>
      <c r="B1022" s="3261"/>
      <c r="C1022" s="3243">
        <v>0</v>
      </c>
      <c r="D1022" s="3242">
        <v>0</v>
      </c>
      <c r="E1022" s="3244"/>
      <c r="F1022" s="3244"/>
      <c r="G1022" s="3242">
        <v>0</v>
      </c>
      <c r="H1022" s="3244"/>
      <c r="I1022" s="3244"/>
      <c r="J1022" s="3244"/>
      <c r="K1022" s="3242">
        <v>0</v>
      </c>
      <c r="L1022" s="3244"/>
      <c r="M1022" s="3244"/>
      <c r="N1022" s="3242" t="s">
        <v>3384</v>
      </c>
      <c r="O1022" s="3239">
        <v>0</v>
      </c>
      <c r="P1022" s="3242">
        <v>0</v>
      </c>
      <c r="Q1022" s="3244"/>
      <c r="R1022" s="3244"/>
      <c r="S1022" s="3242">
        <v>0</v>
      </c>
      <c r="T1022" s="3244"/>
      <c r="U1022" s="3244"/>
      <c r="V1022" s="3244"/>
      <c r="W1022" s="3240">
        <v>0</v>
      </c>
      <c r="X1022" s="3244"/>
      <c r="Y1022" s="3244"/>
      <c r="Z1022" s="3242" t="s">
        <v>3384</v>
      </c>
      <c r="AA1022" s="3243">
        <v>0</v>
      </c>
      <c r="AB1022" s="3242">
        <v>0</v>
      </c>
      <c r="AC1022" s="3244"/>
      <c r="AD1022" s="3244"/>
      <c r="AE1022" s="3242">
        <v>0</v>
      </c>
      <c r="AF1022" s="3259"/>
      <c r="AG1022" s="3260"/>
      <c r="AH1022" s="3260"/>
      <c r="AI1022" s="3260"/>
      <c r="AJ1022" s="3260"/>
      <c r="AK1022" s="3260"/>
      <c r="AL1022" s="3259"/>
      <c r="AM1022" s="3260"/>
      <c r="AN1022" s="3259"/>
      <c r="AO1022" s="3260"/>
      <c r="AP1022" s="3242">
        <v>0</v>
      </c>
      <c r="AQ1022" s="3244"/>
      <c r="AR1022" s="3244"/>
      <c r="AS1022" s="3242" t="s">
        <v>3384</v>
      </c>
      <c r="AT1022" s="3247">
        <f t="shared" si="83"/>
        <v>0</v>
      </c>
      <c r="AU1022" s="3248">
        <f t="shared" si="84"/>
        <v>0</v>
      </c>
      <c r="AV1022" s="3248">
        <v>0</v>
      </c>
      <c r="AW1022" s="3247">
        <v>0</v>
      </c>
      <c r="AX1022" s="3248">
        <v>0</v>
      </c>
      <c r="AY1022" s="3248">
        <v>0</v>
      </c>
      <c r="AZ1022" s="3247">
        <v>0</v>
      </c>
      <c r="BA1022" s="3248">
        <v>0</v>
      </c>
      <c r="BB1022" s="3248">
        <v>0</v>
      </c>
      <c r="BC1022" s="3247">
        <v>0</v>
      </c>
      <c r="BD1022" s="3248">
        <v>0</v>
      </c>
      <c r="BE1022" s="3248">
        <v>0</v>
      </c>
      <c r="BF1022" s="3248">
        <f t="shared" si="85"/>
        <v>0</v>
      </c>
      <c r="BG1022" s="3248">
        <f t="shared" si="86"/>
        <v>0</v>
      </c>
      <c r="BH1022" s="3249"/>
      <c r="BI1022" s="3249"/>
    </row>
    <row r="1023" spans="1:61" x14ac:dyDescent="0.3">
      <c r="A1023" s="4197" t="s">
        <v>3384</v>
      </c>
      <c r="B1023" s="3261"/>
      <c r="C1023" s="3243">
        <v>0</v>
      </c>
      <c r="D1023" s="3242">
        <v>0</v>
      </c>
      <c r="E1023" s="3244"/>
      <c r="F1023" s="3244"/>
      <c r="G1023" s="3242">
        <v>0</v>
      </c>
      <c r="H1023" s="3244"/>
      <c r="I1023" s="3244"/>
      <c r="J1023" s="3244"/>
      <c r="K1023" s="3242">
        <v>0</v>
      </c>
      <c r="L1023" s="3244"/>
      <c r="M1023" s="3244"/>
      <c r="N1023" s="3242" t="s">
        <v>3384</v>
      </c>
      <c r="O1023" s="3239">
        <v>0</v>
      </c>
      <c r="P1023" s="3242">
        <v>0</v>
      </c>
      <c r="Q1023" s="3244"/>
      <c r="R1023" s="3244"/>
      <c r="S1023" s="3242">
        <v>0</v>
      </c>
      <c r="T1023" s="3244"/>
      <c r="U1023" s="3244"/>
      <c r="V1023" s="3244"/>
      <c r="W1023" s="3240">
        <v>0</v>
      </c>
      <c r="X1023" s="3244"/>
      <c r="Y1023" s="3244"/>
      <c r="Z1023" s="3242" t="s">
        <v>3384</v>
      </c>
      <c r="AA1023" s="3243">
        <v>0</v>
      </c>
      <c r="AB1023" s="3242">
        <v>0</v>
      </c>
      <c r="AC1023" s="3244"/>
      <c r="AD1023" s="3244"/>
      <c r="AE1023" s="3242">
        <v>0</v>
      </c>
      <c r="AF1023" s="3259"/>
      <c r="AG1023" s="3260"/>
      <c r="AH1023" s="3260"/>
      <c r="AI1023" s="3260"/>
      <c r="AJ1023" s="3260"/>
      <c r="AK1023" s="3260"/>
      <c r="AL1023" s="3259"/>
      <c r="AM1023" s="3260"/>
      <c r="AN1023" s="3259"/>
      <c r="AO1023" s="3260"/>
      <c r="AP1023" s="3242">
        <v>0</v>
      </c>
      <c r="AQ1023" s="3244"/>
      <c r="AR1023" s="3244"/>
      <c r="AS1023" s="3242" t="s">
        <v>3384</v>
      </c>
      <c r="AT1023" s="3247">
        <f t="shared" si="83"/>
        <v>0</v>
      </c>
      <c r="AU1023" s="3248">
        <f t="shared" si="84"/>
        <v>0</v>
      </c>
      <c r="AV1023" s="3248">
        <v>0</v>
      </c>
      <c r="AW1023" s="3247">
        <v>0</v>
      </c>
      <c r="AX1023" s="3248">
        <v>0</v>
      </c>
      <c r="AY1023" s="3248">
        <v>0</v>
      </c>
      <c r="AZ1023" s="3247">
        <v>0</v>
      </c>
      <c r="BA1023" s="3248">
        <v>0</v>
      </c>
      <c r="BB1023" s="3248">
        <v>0</v>
      </c>
      <c r="BC1023" s="3247">
        <v>0</v>
      </c>
      <c r="BD1023" s="3248">
        <v>0</v>
      </c>
      <c r="BE1023" s="3248">
        <v>0</v>
      </c>
      <c r="BF1023" s="3248">
        <f t="shared" si="85"/>
        <v>0</v>
      </c>
      <c r="BG1023" s="3248">
        <f t="shared" si="86"/>
        <v>0</v>
      </c>
      <c r="BH1023" s="3249"/>
      <c r="BI1023" s="3249"/>
    </row>
    <row r="1024" spans="1:61" x14ac:dyDescent="0.3">
      <c r="A1024" s="4197" t="s">
        <v>3384</v>
      </c>
      <c r="B1024" s="3261"/>
      <c r="C1024" s="3243">
        <v>0</v>
      </c>
      <c r="D1024" s="3242">
        <v>0</v>
      </c>
      <c r="E1024" s="3244"/>
      <c r="F1024" s="3244"/>
      <c r="G1024" s="3242">
        <v>0</v>
      </c>
      <c r="H1024" s="3244"/>
      <c r="I1024" s="3244"/>
      <c r="J1024" s="3244"/>
      <c r="K1024" s="3242">
        <v>0</v>
      </c>
      <c r="L1024" s="3244"/>
      <c r="M1024" s="3244"/>
      <c r="N1024" s="3242" t="s">
        <v>3384</v>
      </c>
      <c r="O1024" s="3239">
        <v>0</v>
      </c>
      <c r="P1024" s="3242">
        <v>0</v>
      </c>
      <c r="Q1024" s="3244"/>
      <c r="R1024" s="3244"/>
      <c r="S1024" s="3242">
        <v>0</v>
      </c>
      <c r="T1024" s="3244"/>
      <c r="U1024" s="3244"/>
      <c r="V1024" s="3244"/>
      <c r="W1024" s="3240">
        <v>0</v>
      </c>
      <c r="X1024" s="3244"/>
      <c r="Y1024" s="3244"/>
      <c r="Z1024" s="3242" t="s">
        <v>3384</v>
      </c>
      <c r="AA1024" s="3243">
        <v>0</v>
      </c>
      <c r="AB1024" s="3242">
        <v>0</v>
      </c>
      <c r="AC1024" s="3244"/>
      <c r="AD1024" s="3244"/>
      <c r="AE1024" s="3242">
        <v>0</v>
      </c>
      <c r="AF1024" s="3259"/>
      <c r="AG1024" s="3260"/>
      <c r="AH1024" s="3260"/>
      <c r="AI1024" s="3260"/>
      <c r="AJ1024" s="3260"/>
      <c r="AK1024" s="3260"/>
      <c r="AL1024" s="3259"/>
      <c r="AM1024" s="3260"/>
      <c r="AN1024" s="3259"/>
      <c r="AO1024" s="3260"/>
      <c r="AP1024" s="3242">
        <v>0</v>
      </c>
      <c r="AQ1024" s="3244"/>
      <c r="AR1024" s="3244"/>
      <c r="AS1024" s="3242" t="s">
        <v>3384</v>
      </c>
      <c r="AT1024" s="3247">
        <f t="shared" si="83"/>
        <v>0</v>
      </c>
      <c r="AU1024" s="3248">
        <f t="shared" si="84"/>
        <v>0</v>
      </c>
      <c r="AV1024" s="3248">
        <v>0</v>
      </c>
      <c r="AW1024" s="3247">
        <v>0</v>
      </c>
      <c r="AX1024" s="3248">
        <v>0</v>
      </c>
      <c r="AY1024" s="3248">
        <v>0</v>
      </c>
      <c r="AZ1024" s="3247">
        <v>0</v>
      </c>
      <c r="BA1024" s="3248">
        <v>0</v>
      </c>
      <c r="BB1024" s="3248">
        <v>0</v>
      </c>
      <c r="BC1024" s="3247">
        <v>0</v>
      </c>
      <c r="BD1024" s="3248">
        <v>0</v>
      </c>
      <c r="BE1024" s="3248">
        <v>0</v>
      </c>
      <c r="BF1024" s="3248">
        <f t="shared" si="85"/>
        <v>0</v>
      </c>
      <c r="BG1024" s="3248">
        <f t="shared" si="86"/>
        <v>0</v>
      </c>
      <c r="BH1024" s="3249"/>
      <c r="BI1024" s="3249"/>
    </row>
    <row r="1025" spans="1:61" x14ac:dyDescent="0.3">
      <c r="A1025" s="4197" t="s">
        <v>3384</v>
      </c>
      <c r="B1025" s="3261"/>
      <c r="C1025" s="3243">
        <v>0</v>
      </c>
      <c r="D1025" s="3242">
        <v>0</v>
      </c>
      <c r="E1025" s="3244"/>
      <c r="F1025" s="3244"/>
      <c r="G1025" s="3242">
        <v>0</v>
      </c>
      <c r="H1025" s="3244"/>
      <c r="I1025" s="3244"/>
      <c r="J1025" s="3244"/>
      <c r="K1025" s="3242">
        <v>0</v>
      </c>
      <c r="L1025" s="3244"/>
      <c r="M1025" s="3244"/>
      <c r="N1025" s="3242" t="s">
        <v>3384</v>
      </c>
      <c r="O1025" s="3239">
        <v>0</v>
      </c>
      <c r="P1025" s="3242">
        <v>0</v>
      </c>
      <c r="Q1025" s="3244"/>
      <c r="R1025" s="3244"/>
      <c r="S1025" s="3242">
        <v>0</v>
      </c>
      <c r="T1025" s="3244"/>
      <c r="U1025" s="3244"/>
      <c r="V1025" s="3244"/>
      <c r="W1025" s="3240">
        <v>0</v>
      </c>
      <c r="X1025" s="3244"/>
      <c r="Y1025" s="3244"/>
      <c r="Z1025" s="3242" t="s">
        <v>3384</v>
      </c>
      <c r="AA1025" s="3243">
        <v>0</v>
      </c>
      <c r="AB1025" s="3242">
        <v>0</v>
      </c>
      <c r="AC1025" s="3244"/>
      <c r="AD1025" s="3244"/>
      <c r="AE1025" s="3242">
        <v>0</v>
      </c>
      <c r="AF1025" s="3259"/>
      <c r="AG1025" s="3260"/>
      <c r="AH1025" s="3260"/>
      <c r="AI1025" s="3260"/>
      <c r="AJ1025" s="3260"/>
      <c r="AK1025" s="3260"/>
      <c r="AL1025" s="3259"/>
      <c r="AM1025" s="3260"/>
      <c r="AN1025" s="3259"/>
      <c r="AO1025" s="3260"/>
      <c r="AP1025" s="3242">
        <v>0</v>
      </c>
      <c r="AQ1025" s="3244"/>
      <c r="AR1025" s="3244"/>
      <c r="AS1025" s="3242" t="s">
        <v>3384</v>
      </c>
      <c r="AT1025" s="3247">
        <f t="shared" si="83"/>
        <v>0</v>
      </c>
      <c r="AU1025" s="3248">
        <f t="shared" si="84"/>
        <v>0</v>
      </c>
      <c r="AV1025" s="3248">
        <v>0</v>
      </c>
      <c r="AW1025" s="3247">
        <v>0</v>
      </c>
      <c r="AX1025" s="3248">
        <v>0</v>
      </c>
      <c r="AY1025" s="3248">
        <v>0</v>
      </c>
      <c r="AZ1025" s="3247">
        <v>0</v>
      </c>
      <c r="BA1025" s="3248">
        <v>0</v>
      </c>
      <c r="BB1025" s="3248">
        <v>0</v>
      </c>
      <c r="BC1025" s="3247">
        <v>0</v>
      </c>
      <c r="BD1025" s="3248">
        <v>0</v>
      </c>
      <c r="BE1025" s="3248">
        <v>0</v>
      </c>
      <c r="BF1025" s="3248">
        <f t="shared" si="85"/>
        <v>0</v>
      </c>
      <c r="BG1025" s="3248">
        <f t="shared" si="86"/>
        <v>0</v>
      </c>
      <c r="BH1025" s="3249"/>
      <c r="BI1025" s="3249"/>
    </row>
    <row r="1026" spans="1:61" x14ac:dyDescent="0.3">
      <c r="A1026" s="4197" t="s">
        <v>3384</v>
      </c>
      <c r="B1026" s="3261"/>
      <c r="C1026" s="3243">
        <v>0</v>
      </c>
      <c r="D1026" s="3242">
        <v>0</v>
      </c>
      <c r="E1026" s="3244"/>
      <c r="F1026" s="3244"/>
      <c r="G1026" s="3242">
        <v>0</v>
      </c>
      <c r="H1026" s="3244"/>
      <c r="I1026" s="3244"/>
      <c r="J1026" s="3244"/>
      <c r="K1026" s="3242">
        <v>0</v>
      </c>
      <c r="L1026" s="3244"/>
      <c r="M1026" s="3244"/>
      <c r="N1026" s="3242" t="s">
        <v>3384</v>
      </c>
      <c r="O1026" s="3239">
        <v>0</v>
      </c>
      <c r="P1026" s="3242">
        <v>0</v>
      </c>
      <c r="Q1026" s="3244"/>
      <c r="R1026" s="3244"/>
      <c r="S1026" s="3242">
        <v>0</v>
      </c>
      <c r="T1026" s="3244"/>
      <c r="U1026" s="3244"/>
      <c r="V1026" s="3244"/>
      <c r="W1026" s="3240">
        <v>0</v>
      </c>
      <c r="X1026" s="3244"/>
      <c r="Y1026" s="3244"/>
      <c r="Z1026" s="3242" t="s">
        <v>3384</v>
      </c>
      <c r="AA1026" s="3243">
        <v>0</v>
      </c>
      <c r="AB1026" s="3242">
        <v>0</v>
      </c>
      <c r="AC1026" s="3244"/>
      <c r="AD1026" s="3244"/>
      <c r="AE1026" s="3242">
        <v>0</v>
      </c>
      <c r="AF1026" s="3259"/>
      <c r="AG1026" s="3260"/>
      <c r="AH1026" s="3260"/>
      <c r="AI1026" s="3260"/>
      <c r="AJ1026" s="3260"/>
      <c r="AK1026" s="3260"/>
      <c r="AL1026" s="3259"/>
      <c r="AM1026" s="3260"/>
      <c r="AN1026" s="3259"/>
      <c r="AO1026" s="3260"/>
      <c r="AP1026" s="3242">
        <v>0</v>
      </c>
      <c r="AQ1026" s="3244"/>
      <c r="AR1026" s="3244"/>
      <c r="AS1026" s="3242" t="s">
        <v>3384</v>
      </c>
      <c r="AT1026" s="3247">
        <f t="shared" si="83"/>
        <v>0</v>
      </c>
      <c r="AU1026" s="3248">
        <f t="shared" si="84"/>
        <v>0</v>
      </c>
      <c r="AV1026" s="3248">
        <v>0</v>
      </c>
      <c r="AW1026" s="3247">
        <v>0</v>
      </c>
      <c r="AX1026" s="3248">
        <v>0</v>
      </c>
      <c r="AY1026" s="3248">
        <v>0</v>
      </c>
      <c r="AZ1026" s="3247">
        <v>0</v>
      </c>
      <c r="BA1026" s="3248">
        <v>0</v>
      </c>
      <c r="BB1026" s="3248">
        <v>0</v>
      </c>
      <c r="BC1026" s="3247">
        <v>0</v>
      </c>
      <c r="BD1026" s="3248">
        <v>0</v>
      </c>
      <c r="BE1026" s="3248">
        <v>0</v>
      </c>
      <c r="BF1026" s="3248">
        <f t="shared" si="85"/>
        <v>0</v>
      </c>
      <c r="BG1026" s="3248">
        <f t="shared" si="86"/>
        <v>0</v>
      </c>
      <c r="BH1026" s="3249"/>
      <c r="BI1026" s="3249"/>
    </row>
    <row r="1027" spans="1:61" x14ac:dyDescent="0.3">
      <c r="A1027" s="4197" t="s">
        <v>3384</v>
      </c>
      <c r="B1027" s="3261"/>
      <c r="C1027" s="3243">
        <v>0</v>
      </c>
      <c r="D1027" s="3242">
        <v>0</v>
      </c>
      <c r="E1027" s="3244"/>
      <c r="F1027" s="3244"/>
      <c r="G1027" s="3242">
        <v>0</v>
      </c>
      <c r="H1027" s="3244"/>
      <c r="I1027" s="3244"/>
      <c r="J1027" s="3244"/>
      <c r="K1027" s="3242">
        <v>0</v>
      </c>
      <c r="L1027" s="3244"/>
      <c r="M1027" s="3244"/>
      <c r="N1027" s="3242" t="s">
        <v>3384</v>
      </c>
      <c r="O1027" s="3239">
        <v>0</v>
      </c>
      <c r="P1027" s="3242">
        <v>0</v>
      </c>
      <c r="Q1027" s="3244"/>
      <c r="R1027" s="3244"/>
      <c r="S1027" s="3242">
        <v>0</v>
      </c>
      <c r="T1027" s="3244"/>
      <c r="U1027" s="3244"/>
      <c r="V1027" s="3244"/>
      <c r="W1027" s="3240">
        <v>0</v>
      </c>
      <c r="X1027" s="3244"/>
      <c r="Y1027" s="3244"/>
      <c r="Z1027" s="3242" t="s">
        <v>3384</v>
      </c>
      <c r="AA1027" s="3243">
        <v>0</v>
      </c>
      <c r="AB1027" s="3242">
        <v>0</v>
      </c>
      <c r="AC1027" s="3244"/>
      <c r="AD1027" s="3244"/>
      <c r="AE1027" s="3242">
        <v>0</v>
      </c>
      <c r="AF1027" s="3259"/>
      <c r="AG1027" s="3260"/>
      <c r="AH1027" s="3260"/>
      <c r="AI1027" s="3260"/>
      <c r="AJ1027" s="3260"/>
      <c r="AK1027" s="3260"/>
      <c r="AL1027" s="3259"/>
      <c r="AM1027" s="3260"/>
      <c r="AN1027" s="3259"/>
      <c r="AO1027" s="3260"/>
      <c r="AP1027" s="3242">
        <v>0</v>
      </c>
      <c r="AQ1027" s="3244"/>
      <c r="AR1027" s="3244"/>
      <c r="AS1027" s="3242" t="s">
        <v>3384</v>
      </c>
      <c r="AT1027" s="3247">
        <f t="shared" si="83"/>
        <v>0</v>
      </c>
      <c r="AU1027" s="3248">
        <f t="shared" si="84"/>
        <v>0</v>
      </c>
      <c r="AV1027" s="3248">
        <v>0</v>
      </c>
      <c r="AW1027" s="3247">
        <v>0</v>
      </c>
      <c r="AX1027" s="3248">
        <v>0</v>
      </c>
      <c r="AY1027" s="3248">
        <v>0</v>
      </c>
      <c r="AZ1027" s="3247">
        <v>0</v>
      </c>
      <c r="BA1027" s="3248">
        <v>0</v>
      </c>
      <c r="BB1027" s="3248">
        <v>0</v>
      </c>
      <c r="BC1027" s="3247">
        <v>0</v>
      </c>
      <c r="BD1027" s="3248">
        <v>0</v>
      </c>
      <c r="BE1027" s="3248">
        <v>0</v>
      </c>
      <c r="BF1027" s="3248">
        <f t="shared" si="85"/>
        <v>0</v>
      </c>
      <c r="BG1027" s="3248">
        <f t="shared" si="86"/>
        <v>0</v>
      </c>
      <c r="BH1027" s="3249"/>
      <c r="BI1027" s="3249"/>
    </row>
    <row r="1028" spans="1:61" x14ac:dyDescent="0.3">
      <c r="A1028" s="4197" t="s">
        <v>3384</v>
      </c>
      <c r="B1028" s="3261"/>
      <c r="C1028" s="3243">
        <v>0</v>
      </c>
      <c r="D1028" s="3242">
        <v>0</v>
      </c>
      <c r="E1028" s="3244"/>
      <c r="F1028" s="3244"/>
      <c r="G1028" s="3242">
        <v>0</v>
      </c>
      <c r="H1028" s="3244"/>
      <c r="I1028" s="3244"/>
      <c r="J1028" s="3244"/>
      <c r="K1028" s="3242">
        <v>0</v>
      </c>
      <c r="L1028" s="3244"/>
      <c r="M1028" s="3244"/>
      <c r="N1028" s="3242" t="s">
        <v>3384</v>
      </c>
      <c r="O1028" s="3239">
        <v>0</v>
      </c>
      <c r="P1028" s="3242">
        <v>0</v>
      </c>
      <c r="Q1028" s="3244"/>
      <c r="R1028" s="3244"/>
      <c r="S1028" s="3242">
        <v>0</v>
      </c>
      <c r="T1028" s="3244"/>
      <c r="U1028" s="3244"/>
      <c r="V1028" s="3244"/>
      <c r="W1028" s="3240">
        <v>0</v>
      </c>
      <c r="X1028" s="3244"/>
      <c r="Y1028" s="3244"/>
      <c r="Z1028" s="3242" t="s">
        <v>3384</v>
      </c>
      <c r="AA1028" s="3243">
        <v>0</v>
      </c>
      <c r="AB1028" s="3242">
        <v>0</v>
      </c>
      <c r="AC1028" s="3244"/>
      <c r="AD1028" s="3244"/>
      <c r="AE1028" s="3242">
        <v>0</v>
      </c>
      <c r="AF1028" s="3259"/>
      <c r="AG1028" s="3260"/>
      <c r="AH1028" s="3260"/>
      <c r="AI1028" s="3260"/>
      <c r="AJ1028" s="3260"/>
      <c r="AK1028" s="3260"/>
      <c r="AL1028" s="3259"/>
      <c r="AM1028" s="3260"/>
      <c r="AN1028" s="3259"/>
      <c r="AO1028" s="3260"/>
      <c r="AP1028" s="3242">
        <v>0</v>
      </c>
      <c r="AQ1028" s="3244"/>
      <c r="AR1028" s="3244"/>
      <c r="AS1028" s="3242" t="s">
        <v>3384</v>
      </c>
      <c r="AT1028" s="3247">
        <f t="shared" si="83"/>
        <v>0</v>
      </c>
      <c r="AU1028" s="3248">
        <f t="shared" si="84"/>
        <v>0</v>
      </c>
      <c r="AV1028" s="3248">
        <v>0</v>
      </c>
      <c r="AW1028" s="3247">
        <v>0</v>
      </c>
      <c r="AX1028" s="3248">
        <v>0</v>
      </c>
      <c r="AY1028" s="3248">
        <v>0</v>
      </c>
      <c r="AZ1028" s="3247">
        <v>0</v>
      </c>
      <c r="BA1028" s="3248">
        <v>0</v>
      </c>
      <c r="BB1028" s="3248">
        <v>0</v>
      </c>
      <c r="BC1028" s="3247">
        <v>0</v>
      </c>
      <c r="BD1028" s="3248">
        <v>0</v>
      </c>
      <c r="BE1028" s="3248">
        <v>0</v>
      </c>
      <c r="BF1028" s="3248">
        <f t="shared" si="85"/>
        <v>0</v>
      </c>
      <c r="BG1028" s="3248">
        <f t="shared" si="86"/>
        <v>0</v>
      </c>
      <c r="BH1028" s="3249"/>
      <c r="BI1028" s="3249"/>
    </row>
    <row r="1029" spans="1:61" x14ac:dyDescent="0.3">
      <c r="A1029" s="4197" t="s">
        <v>3384</v>
      </c>
      <c r="B1029" s="3261"/>
      <c r="C1029" s="3243">
        <v>0</v>
      </c>
      <c r="D1029" s="3242">
        <v>0</v>
      </c>
      <c r="E1029" s="3244"/>
      <c r="F1029" s="3244"/>
      <c r="G1029" s="3242">
        <v>0</v>
      </c>
      <c r="H1029" s="3244"/>
      <c r="I1029" s="3244"/>
      <c r="J1029" s="3244"/>
      <c r="K1029" s="3242">
        <v>0</v>
      </c>
      <c r="L1029" s="3244"/>
      <c r="M1029" s="3244"/>
      <c r="N1029" s="3242" t="s">
        <v>3384</v>
      </c>
      <c r="O1029" s="3239">
        <v>0</v>
      </c>
      <c r="P1029" s="3242">
        <v>0</v>
      </c>
      <c r="Q1029" s="3244"/>
      <c r="R1029" s="3244"/>
      <c r="S1029" s="3242">
        <v>0</v>
      </c>
      <c r="T1029" s="3244"/>
      <c r="U1029" s="3244"/>
      <c r="V1029" s="3244"/>
      <c r="W1029" s="3240">
        <v>0</v>
      </c>
      <c r="X1029" s="3244"/>
      <c r="Y1029" s="3244"/>
      <c r="Z1029" s="3242" t="s">
        <v>3384</v>
      </c>
      <c r="AA1029" s="3243">
        <v>0</v>
      </c>
      <c r="AB1029" s="3242">
        <v>0</v>
      </c>
      <c r="AC1029" s="3244"/>
      <c r="AD1029" s="3244"/>
      <c r="AE1029" s="3242">
        <v>0</v>
      </c>
      <c r="AF1029" s="3259"/>
      <c r="AG1029" s="3260"/>
      <c r="AH1029" s="3260"/>
      <c r="AI1029" s="3260"/>
      <c r="AJ1029" s="3260"/>
      <c r="AK1029" s="3260"/>
      <c r="AL1029" s="3259"/>
      <c r="AM1029" s="3260"/>
      <c r="AN1029" s="3259"/>
      <c r="AO1029" s="3260"/>
      <c r="AP1029" s="3242">
        <v>0</v>
      </c>
      <c r="AQ1029" s="3244"/>
      <c r="AR1029" s="3244"/>
      <c r="AS1029" s="3242" t="s">
        <v>3384</v>
      </c>
      <c r="AT1029" s="3247">
        <f t="shared" si="83"/>
        <v>0</v>
      </c>
      <c r="AU1029" s="3248">
        <f t="shared" si="84"/>
        <v>0</v>
      </c>
      <c r="AV1029" s="3248">
        <v>0</v>
      </c>
      <c r="AW1029" s="3247">
        <v>0</v>
      </c>
      <c r="AX1029" s="3248">
        <v>0</v>
      </c>
      <c r="AY1029" s="3248">
        <v>0</v>
      </c>
      <c r="AZ1029" s="3247">
        <v>0</v>
      </c>
      <c r="BA1029" s="3248">
        <v>0</v>
      </c>
      <c r="BB1029" s="3248">
        <v>0</v>
      </c>
      <c r="BC1029" s="3247">
        <v>0</v>
      </c>
      <c r="BD1029" s="3248">
        <v>0</v>
      </c>
      <c r="BE1029" s="3248">
        <v>0</v>
      </c>
      <c r="BF1029" s="3248">
        <f t="shared" si="85"/>
        <v>0</v>
      </c>
      <c r="BG1029" s="3248">
        <f t="shared" si="86"/>
        <v>0</v>
      </c>
      <c r="BH1029" s="3249"/>
      <c r="BI1029" s="3249"/>
    </row>
    <row r="1030" spans="1:61" x14ac:dyDescent="0.3">
      <c r="A1030" s="4197" t="s">
        <v>3384</v>
      </c>
      <c r="B1030" s="3261"/>
      <c r="C1030" s="3243">
        <v>0</v>
      </c>
      <c r="D1030" s="3242">
        <v>0</v>
      </c>
      <c r="E1030" s="3244"/>
      <c r="F1030" s="3244"/>
      <c r="G1030" s="3242">
        <v>0</v>
      </c>
      <c r="H1030" s="3244"/>
      <c r="I1030" s="3244"/>
      <c r="J1030" s="3244"/>
      <c r="K1030" s="3242">
        <v>0</v>
      </c>
      <c r="L1030" s="3244"/>
      <c r="M1030" s="3244"/>
      <c r="N1030" s="3242" t="s">
        <v>3384</v>
      </c>
      <c r="O1030" s="3239">
        <v>0</v>
      </c>
      <c r="P1030" s="3242">
        <v>0</v>
      </c>
      <c r="Q1030" s="3244"/>
      <c r="R1030" s="3244"/>
      <c r="S1030" s="3242">
        <v>0</v>
      </c>
      <c r="T1030" s="3244"/>
      <c r="U1030" s="3244"/>
      <c r="V1030" s="3244"/>
      <c r="W1030" s="3240">
        <v>0</v>
      </c>
      <c r="X1030" s="3244"/>
      <c r="Y1030" s="3244"/>
      <c r="Z1030" s="3242" t="s">
        <v>3384</v>
      </c>
      <c r="AA1030" s="3243">
        <v>0</v>
      </c>
      <c r="AB1030" s="3242">
        <v>0</v>
      </c>
      <c r="AC1030" s="3244"/>
      <c r="AD1030" s="3244"/>
      <c r="AE1030" s="3242">
        <v>0</v>
      </c>
      <c r="AF1030" s="3259"/>
      <c r="AG1030" s="3260"/>
      <c r="AH1030" s="3260"/>
      <c r="AI1030" s="3260"/>
      <c r="AJ1030" s="3260"/>
      <c r="AK1030" s="3260"/>
      <c r="AL1030" s="3259"/>
      <c r="AM1030" s="3260"/>
      <c r="AN1030" s="3259"/>
      <c r="AO1030" s="3260"/>
      <c r="AP1030" s="3242">
        <v>0</v>
      </c>
      <c r="AQ1030" s="3244"/>
      <c r="AR1030" s="3244"/>
      <c r="AS1030" s="3242" t="s">
        <v>3384</v>
      </c>
      <c r="AT1030" s="3247">
        <f t="shared" si="83"/>
        <v>0</v>
      </c>
      <c r="AU1030" s="3248">
        <f t="shared" si="84"/>
        <v>0</v>
      </c>
      <c r="AV1030" s="3248">
        <v>0</v>
      </c>
      <c r="AW1030" s="3247">
        <v>0</v>
      </c>
      <c r="AX1030" s="3248">
        <v>0</v>
      </c>
      <c r="AY1030" s="3248">
        <v>0</v>
      </c>
      <c r="AZ1030" s="3247">
        <v>0</v>
      </c>
      <c r="BA1030" s="3248">
        <v>0</v>
      </c>
      <c r="BB1030" s="3248">
        <v>0</v>
      </c>
      <c r="BC1030" s="3247">
        <v>0</v>
      </c>
      <c r="BD1030" s="3248">
        <v>0</v>
      </c>
      <c r="BE1030" s="3248">
        <v>0</v>
      </c>
      <c r="BF1030" s="3248">
        <f t="shared" si="85"/>
        <v>0</v>
      </c>
      <c r="BG1030" s="3248">
        <f t="shared" si="86"/>
        <v>0</v>
      </c>
      <c r="BH1030" s="3249"/>
      <c r="BI1030" s="3249"/>
    </row>
    <row r="1031" spans="1:61" x14ac:dyDescent="0.3">
      <c r="A1031" s="4197" t="s">
        <v>3384</v>
      </c>
      <c r="B1031" s="3261"/>
      <c r="C1031" s="3243">
        <v>0</v>
      </c>
      <c r="D1031" s="3242">
        <v>0</v>
      </c>
      <c r="E1031" s="3244"/>
      <c r="F1031" s="3244"/>
      <c r="G1031" s="3242">
        <v>0</v>
      </c>
      <c r="H1031" s="3244"/>
      <c r="I1031" s="3244"/>
      <c r="J1031" s="3244"/>
      <c r="K1031" s="3242">
        <v>0</v>
      </c>
      <c r="L1031" s="3244"/>
      <c r="M1031" s="3244"/>
      <c r="N1031" s="3242" t="s">
        <v>3384</v>
      </c>
      <c r="O1031" s="3239">
        <v>0</v>
      </c>
      <c r="P1031" s="3242">
        <v>0</v>
      </c>
      <c r="Q1031" s="3244"/>
      <c r="R1031" s="3244"/>
      <c r="S1031" s="3242">
        <v>0</v>
      </c>
      <c r="T1031" s="3244"/>
      <c r="U1031" s="3244"/>
      <c r="V1031" s="3244"/>
      <c r="W1031" s="3240">
        <v>0</v>
      </c>
      <c r="X1031" s="3244"/>
      <c r="Y1031" s="3244"/>
      <c r="Z1031" s="3242" t="s">
        <v>3384</v>
      </c>
      <c r="AA1031" s="3243">
        <v>0</v>
      </c>
      <c r="AB1031" s="3242">
        <v>0</v>
      </c>
      <c r="AC1031" s="3244"/>
      <c r="AD1031" s="3244"/>
      <c r="AE1031" s="3242">
        <v>0</v>
      </c>
      <c r="AF1031" s="3259"/>
      <c r="AG1031" s="3260"/>
      <c r="AH1031" s="3260"/>
      <c r="AI1031" s="3260"/>
      <c r="AJ1031" s="3260"/>
      <c r="AK1031" s="3260"/>
      <c r="AL1031" s="3259"/>
      <c r="AM1031" s="3260"/>
      <c r="AN1031" s="3259"/>
      <c r="AO1031" s="3260"/>
      <c r="AP1031" s="3242">
        <v>0</v>
      </c>
      <c r="AQ1031" s="3244"/>
      <c r="AR1031" s="3244"/>
      <c r="AS1031" s="3242" t="s">
        <v>3384</v>
      </c>
      <c r="AT1031" s="3247">
        <f t="shared" si="83"/>
        <v>0</v>
      </c>
      <c r="AU1031" s="3248">
        <f t="shared" si="84"/>
        <v>0</v>
      </c>
      <c r="AV1031" s="3248">
        <v>0</v>
      </c>
      <c r="AW1031" s="3247">
        <v>0</v>
      </c>
      <c r="AX1031" s="3248">
        <v>0</v>
      </c>
      <c r="AY1031" s="3248">
        <v>0</v>
      </c>
      <c r="AZ1031" s="3247">
        <v>0</v>
      </c>
      <c r="BA1031" s="3248">
        <v>0</v>
      </c>
      <c r="BB1031" s="3248">
        <v>0</v>
      </c>
      <c r="BC1031" s="3247">
        <v>0</v>
      </c>
      <c r="BD1031" s="3248">
        <v>0</v>
      </c>
      <c r="BE1031" s="3248">
        <v>0</v>
      </c>
      <c r="BF1031" s="3248">
        <f t="shared" si="85"/>
        <v>0</v>
      </c>
      <c r="BG1031" s="3248">
        <f t="shared" si="86"/>
        <v>0</v>
      </c>
      <c r="BH1031" s="3249"/>
      <c r="BI1031" s="3249"/>
    </row>
    <row r="1032" spans="1:61" x14ac:dyDescent="0.3">
      <c r="A1032" s="4197" t="s">
        <v>3384</v>
      </c>
      <c r="B1032" s="3261"/>
      <c r="C1032" s="3243">
        <v>0</v>
      </c>
      <c r="D1032" s="3242">
        <v>0</v>
      </c>
      <c r="E1032" s="3244"/>
      <c r="F1032" s="3244"/>
      <c r="G1032" s="3242">
        <v>0</v>
      </c>
      <c r="H1032" s="3244"/>
      <c r="I1032" s="3244"/>
      <c r="J1032" s="3244"/>
      <c r="K1032" s="3242">
        <v>0</v>
      </c>
      <c r="L1032" s="3244"/>
      <c r="M1032" s="3244"/>
      <c r="N1032" s="3242" t="s">
        <v>3384</v>
      </c>
      <c r="O1032" s="3239">
        <v>0</v>
      </c>
      <c r="P1032" s="3242">
        <v>0</v>
      </c>
      <c r="Q1032" s="3244"/>
      <c r="R1032" s="3244"/>
      <c r="S1032" s="3242">
        <v>0</v>
      </c>
      <c r="T1032" s="3244"/>
      <c r="U1032" s="3244"/>
      <c r="V1032" s="3244"/>
      <c r="W1032" s="3240">
        <v>0</v>
      </c>
      <c r="X1032" s="3244"/>
      <c r="Y1032" s="3244"/>
      <c r="Z1032" s="3242" t="s">
        <v>3384</v>
      </c>
      <c r="AA1032" s="3243">
        <v>0</v>
      </c>
      <c r="AB1032" s="3242">
        <v>0</v>
      </c>
      <c r="AC1032" s="3244"/>
      <c r="AD1032" s="3244"/>
      <c r="AE1032" s="3242">
        <v>0</v>
      </c>
      <c r="AF1032" s="3259"/>
      <c r="AG1032" s="3260"/>
      <c r="AH1032" s="3260"/>
      <c r="AI1032" s="3260"/>
      <c r="AJ1032" s="3260"/>
      <c r="AK1032" s="3260"/>
      <c r="AL1032" s="3259"/>
      <c r="AM1032" s="3260"/>
      <c r="AN1032" s="3259"/>
      <c r="AO1032" s="3260"/>
      <c r="AP1032" s="3242">
        <v>0</v>
      </c>
      <c r="AQ1032" s="3244"/>
      <c r="AR1032" s="3244"/>
      <c r="AS1032" s="3242" t="s">
        <v>3384</v>
      </c>
      <c r="AT1032" s="3247">
        <f t="shared" si="83"/>
        <v>0</v>
      </c>
      <c r="AU1032" s="3248">
        <f t="shared" si="84"/>
        <v>0</v>
      </c>
      <c r="AV1032" s="3248">
        <v>0</v>
      </c>
      <c r="AW1032" s="3247">
        <v>0</v>
      </c>
      <c r="AX1032" s="3248">
        <v>0</v>
      </c>
      <c r="AY1032" s="3248">
        <v>0</v>
      </c>
      <c r="AZ1032" s="3247">
        <v>0</v>
      </c>
      <c r="BA1032" s="3248">
        <v>0</v>
      </c>
      <c r="BB1032" s="3248">
        <v>0</v>
      </c>
      <c r="BC1032" s="3247">
        <v>0</v>
      </c>
      <c r="BD1032" s="3248">
        <v>0</v>
      </c>
      <c r="BE1032" s="3248">
        <v>0</v>
      </c>
      <c r="BF1032" s="3248">
        <f t="shared" si="85"/>
        <v>0</v>
      </c>
      <c r="BG1032" s="3248">
        <f t="shared" si="86"/>
        <v>0</v>
      </c>
      <c r="BH1032" s="3249"/>
      <c r="BI1032" s="3249"/>
    </row>
    <row r="1033" spans="1:61" x14ac:dyDescent="0.3">
      <c r="A1033" s="4197" t="s">
        <v>3384</v>
      </c>
      <c r="B1033" s="3261"/>
      <c r="C1033" s="3243">
        <v>0</v>
      </c>
      <c r="D1033" s="3242">
        <v>0</v>
      </c>
      <c r="E1033" s="3244"/>
      <c r="F1033" s="3244"/>
      <c r="G1033" s="3242">
        <v>0</v>
      </c>
      <c r="H1033" s="3244"/>
      <c r="I1033" s="3244"/>
      <c r="J1033" s="3244"/>
      <c r="K1033" s="3242">
        <v>0</v>
      </c>
      <c r="L1033" s="3244"/>
      <c r="M1033" s="3244"/>
      <c r="N1033" s="3242" t="s">
        <v>3384</v>
      </c>
      <c r="O1033" s="3239">
        <v>0</v>
      </c>
      <c r="P1033" s="3242">
        <v>0</v>
      </c>
      <c r="Q1033" s="3244"/>
      <c r="R1033" s="3244"/>
      <c r="S1033" s="3242">
        <v>0</v>
      </c>
      <c r="T1033" s="3244"/>
      <c r="U1033" s="3244"/>
      <c r="V1033" s="3244"/>
      <c r="W1033" s="3240">
        <v>0</v>
      </c>
      <c r="X1033" s="3244"/>
      <c r="Y1033" s="3244"/>
      <c r="Z1033" s="3242" t="s">
        <v>3384</v>
      </c>
      <c r="AA1033" s="3243">
        <v>0</v>
      </c>
      <c r="AB1033" s="3242">
        <v>0</v>
      </c>
      <c r="AC1033" s="3244"/>
      <c r="AD1033" s="3244"/>
      <c r="AE1033" s="3242">
        <v>0</v>
      </c>
      <c r="AF1033" s="3259"/>
      <c r="AG1033" s="3260"/>
      <c r="AH1033" s="3260"/>
      <c r="AI1033" s="3260"/>
      <c r="AJ1033" s="3260"/>
      <c r="AK1033" s="3260"/>
      <c r="AL1033" s="3259"/>
      <c r="AM1033" s="3260"/>
      <c r="AN1033" s="3259"/>
      <c r="AO1033" s="3260"/>
      <c r="AP1033" s="3242">
        <v>0</v>
      </c>
      <c r="AQ1033" s="3244"/>
      <c r="AR1033" s="3244"/>
      <c r="AS1033" s="3242" t="s">
        <v>3384</v>
      </c>
      <c r="AT1033" s="3247">
        <f t="shared" si="83"/>
        <v>0</v>
      </c>
      <c r="AU1033" s="3248">
        <f t="shared" si="84"/>
        <v>0</v>
      </c>
      <c r="AV1033" s="3248">
        <v>0</v>
      </c>
      <c r="AW1033" s="3247">
        <v>0</v>
      </c>
      <c r="AX1033" s="3248">
        <v>0</v>
      </c>
      <c r="AY1033" s="3248">
        <v>0</v>
      </c>
      <c r="AZ1033" s="3247">
        <v>0</v>
      </c>
      <c r="BA1033" s="3248">
        <v>0</v>
      </c>
      <c r="BB1033" s="3248">
        <v>0</v>
      </c>
      <c r="BC1033" s="3247">
        <v>0</v>
      </c>
      <c r="BD1033" s="3248">
        <v>0</v>
      </c>
      <c r="BE1033" s="3248">
        <v>0</v>
      </c>
      <c r="BF1033" s="3248">
        <f t="shared" si="85"/>
        <v>0</v>
      </c>
      <c r="BG1033" s="3248">
        <f t="shared" si="86"/>
        <v>0</v>
      </c>
      <c r="BH1033" s="3249"/>
      <c r="BI1033" s="3249"/>
    </row>
    <row r="1034" spans="1:61" x14ac:dyDescent="0.3">
      <c r="A1034" s="4197" t="s">
        <v>3384</v>
      </c>
      <c r="B1034" s="3261"/>
      <c r="C1034" s="3243">
        <v>0</v>
      </c>
      <c r="D1034" s="3242">
        <v>0</v>
      </c>
      <c r="E1034" s="3244"/>
      <c r="F1034" s="3244"/>
      <c r="G1034" s="3242">
        <v>0</v>
      </c>
      <c r="H1034" s="3244"/>
      <c r="I1034" s="3244"/>
      <c r="J1034" s="3244"/>
      <c r="K1034" s="3242">
        <v>0</v>
      </c>
      <c r="L1034" s="3244"/>
      <c r="M1034" s="3244"/>
      <c r="N1034" s="3242" t="s">
        <v>3384</v>
      </c>
      <c r="O1034" s="3239">
        <v>0</v>
      </c>
      <c r="P1034" s="3242">
        <v>0</v>
      </c>
      <c r="Q1034" s="3244"/>
      <c r="R1034" s="3244"/>
      <c r="S1034" s="3242">
        <v>0</v>
      </c>
      <c r="T1034" s="3244"/>
      <c r="U1034" s="3244"/>
      <c r="V1034" s="3244"/>
      <c r="W1034" s="3240">
        <v>0</v>
      </c>
      <c r="X1034" s="3244"/>
      <c r="Y1034" s="3244"/>
      <c r="Z1034" s="3242" t="s">
        <v>3384</v>
      </c>
      <c r="AA1034" s="3243">
        <v>0</v>
      </c>
      <c r="AB1034" s="3242">
        <v>0</v>
      </c>
      <c r="AC1034" s="3244"/>
      <c r="AD1034" s="3244"/>
      <c r="AE1034" s="3242">
        <v>0</v>
      </c>
      <c r="AF1034" s="3259"/>
      <c r="AG1034" s="3260"/>
      <c r="AH1034" s="3260"/>
      <c r="AI1034" s="3260"/>
      <c r="AJ1034" s="3260"/>
      <c r="AK1034" s="3260"/>
      <c r="AL1034" s="3259"/>
      <c r="AM1034" s="3260"/>
      <c r="AN1034" s="3259"/>
      <c r="AO1034" s="3260"/>
      <c r="AP1034" s="3242">
        <v>0</v>
      </c>
      <c r="AQ1034" s="3244"/>
      <c r="AR1034" s="3244"/>
      <c r="AS1034" s="3242" t="s">
        <v>3384</v>
      </c>
      <c r="AT1034" s="3247">
        <f t="shared" si="83"/>
        <v>0</v>
      </c>
      <c r="AU1034" s="3248">
        <f t="shared" si="84"/>
        <v>0</v>
      </c>
      <c r="AV1034" s="3248">
        <v>0</v>
      </c>
      <c r="AW1034" s="3247">
        <v>0</v>
      </c>
      <c r="AX1034" s="3248">
        <v>0</v>
      </c>
      <c r="AY1034" s="3248">
        <v>0</v>
      </c>
      <c r="AZ1034" s="3247">
        <v>0</v>
      </c>
      <c r="BA1034" s="3248">
        <v>0</v>
      </c>
      <c r="BB1034" s="3248">
        <v>0</v>
      </c>
      <c r="BC1034" s="3247">
        <v>0</v>
      </c>
      <c r="BD1034" s="3248">
        <v>0</v>
      </c>
      <c r="BE1034" s="3248">
        <v>0</v>
      </c>
      <c r="BF1034" s="3248">
        <f t="shared" si="85"/>
        <v>0</v>
      </c>
      <c r="BG1034" s="3248">
        <f t="shared" si="86"/>
        <v>0</v>
      </c>
      <c r="BH1034" s="3249"/>
      <c r="BI1034" s="3249"/>
    </row>
    <row r="1035" spans="1:61" x14ac:dyDescent="0.3">
      <c r="A1035" s="4197" t="s">
        <v>3384</v>
      </c>
      <c r="B1035" s="3261"/>
      <c r="C1035" s="3243">
        <v>0</v>
      </c>
      <c r="D1035" s="3242">
        <v>0</v>
      </c>
      <c r="E1035" s="3244"/>
      <c r="F1035" s="3244"/>
      <c r="G1035" s="3242">
        <v>0</v>
      </c>
      <c r="H1035" s="3244"/>
      <c r="I1035" s="3244"/>
      <c r="J1035" s="3244"/>
      <c r="K1035" s="3242">
        <v>0</v>
      </c>
      <c r="L1035" s="3244"/>
      <c r="M1035" s="3244"/>
      <c r="N1035" s="3242" t="s">
        <v>3384</v>
      </c>
      <c r="O1035" s="3239">
        <v>0</v>
      </c>
      <c r="P1035" s="3242">
        <v>0</v>
      </c>
      <c r="Q1035" s="3244"/>
      <c r="R1035" s="3244"/>
      <c r="S1035" s="3242">
        <v>0</v>
      </c>
      <c r="T1035" s="3244"/>
      <c r="U1035" s="3244"/>
      <c r="V1035" s="3244"/>
      <c r="W1035" s="3240">
        <v>0</v>
      </c>
      <c r="X1035" s="3244"/>
      <c r="Y1035" s="3244"/>
      <c r="Z1035" s="3242" t="s">
        <v>3384</v>
      </c>
      <c r="AA1035" s="3243">
        <v>0</v>
      </c>
      <c r="AB1035" s="3242">
        <v>0</v>
      </c>
      <c r="AC1035" s="3244"/>
      <c r="AD1035" s="3244"/>
      <c r="AE1035" s="3242">
        <v>0</v>
      </c>
      <c r="AF1035" s="3259"/>
      <c r="AG1035" s="3260"/>
      <c r="AH1035" s="3260"/>
      <c r="AI1035" s="3260"/>
      <c r="AJ1035" s="3260"/>
      <c r="AK1035" s="3260"/>
      <c r="AL1035" s="3259"/>
      <c r="AM1035" s="3260"/>
      <c r="AN1035" s="3259"/>
      <c r="AO1035" s="3260"/>
      <c r="AP1035" s="3242">
        <v>0</v>
      </c>
      <c r="AQ1035" s="3244"/>
      <c r="AR1035" s="3244"/>
      <c r="AS1035" s="3242" t="s">
        <v>3384</v>
      </c>
      <c r="AT1035" s="3247">
        <f t="shared" si="83"/>
        <v>0</v>
      </c>
      <c r="AU1035" s="3248">
        <f t="shared" si="84"/>
        <v>0</v>
      </c>
      <c r="AV1035" s="3248">
        <v>0</v>
      </c>
      <c r="AW1035" s="3247">
        <v>0</v>
      </c>
      <c r="AX1035" s="3248">
        <v>0</v>
      </c>
      <c r="AY1035" s="3248">
        <v>0</v>
      </c>
      <c r="AZ1035" s="3247">
        <v>0</v>
      </c>
      <c r="BA1035" s="3248">
        <v>0</v>
      </c>
      <c r="BB1035" s="3248">
        <v>0</v>
      </c>
      <c r="BC1035" s="3247">
        <v>0</v>
      </c>
      <c r="BD1035" s="3248">
        <v>0</v>
      </c>
      <c r="BE1035" s="3248">
        <v>0</v>
      </c>
      <c r="BF1035" s="3248">
        <f t="shared" si="85"/>
        <v>0</v>
      </c>
      <c r="BG1035" s="3248">
        <f t="shared" si="86"/>
        <v>0</v>
      </c>
      <c r="BH1035" s="3249"/>
      <c r="BI1035" s="3249"/>
    </row>
    <row r="1036" spans="1:61" x14ac:dyDescent="0.3">
      <c r="A1036" s="4197" t="s">
        <v>3384</v>
      </c>
      <c r="B1036" s="3261"/>
      <c r="C1036" s="3243">
        <v>0</v>
      </c>
      <c r="D1036" s="3242">
        <v>0</v>
      </c>
      <c r="E1036" s="3244"/>
      <c r="F1036" s="3244"/>
      <c r="G1036" s="3242">
        <v>0</v>
      </c>
      <c r="H1036" s="3244"/>
      <c r="I1036" s="3244"/>
      <c r="J1036" s="3244"/>
      <c r="K1036" s="3242">
        <v>0</v>
      </c>
      <c r="L1036" s="3244"/>
      <c r="M1036" s="3244"/>
      <c r="N1036" s="3242" t="s">
        <v>3384</v>
      </c>
      <c r="O1036" s="3239">
        <v>0</v>
      </c>
      <c r="P1036" s="3242">
        <v>0</v>
      </c>
      <c r="Q1036" s="3244"/>
      <c r="R1036" s="3244"/>
      <c r="S1036" s="3242">
        <v>0</v>
      </c>
      <c r="T1036" s="3244"/>
      <c r="U1036" s="3244"/>
      <c r="V1036" s="3244"/>
      <c r="W1036" s="3240">
        <v>0</v>
      </c>
      <c r="X1036" s="3244"/>
      <c r="Y1036" s="3244"/>
      <c r="Z1036" s="3242" t="s">
        <v>3384</v>
      </c>
      <c r="AA1036" s="3243">
        <v>0</v>
      </c>
      <c r="AB1036" s="3242">
        <v>0</v>
      </c>
      <c r="AC1036" s="3244"/>
      <c r="AD1036" s="3244"/>
      <c r="AE1036" s="3242">
        <v>0</v>
      </c>
      <c r="AF1036" s="3259"/>
      <c r="AG1036" s="3260"/>
      <c r="AH1036" s="3260"/>
      <c r="AI1036" s="3260"/>
      <c r="AJ1036" s="3260"/>
      <c r="AK1036" s="3260"/>
      <c r="AL1036" s="3259"/>
      <c r="AM1036" s="3260"/>
      <c r="AN1036" s="3259"/>
      <c r="AO1036" s="3260"/>
      <c r="AP1036" s="3242">
        <v>0</v>
      </c>
      <c r="AQ1036" s="3244"/>
      <c r="AR1036" s="3244"/>
      <c r="AS1036" s="3242" t="s">
        <v>3384</v>
      </c>
      <c r="AT1036" s="3247">
        <f t="shared" si="83"/>
        <v>0</v>
      </c>
      <c r="AU1036" s="3248">
        <f t="shared" si="84"/>
        <v>0</v>
      </c>
      <c r="AV1036" s="3248">
        <v>0</v>
      </c>
      <c r="AW1036" s="3247">
        <v>0</v>
      </c>
      <c r="AX1036" s="3248">
        <v>0</v>
      </c>
      <c r="AY1036" s="3248">
        <v>0</v>
      </c>
      <c r="AZ1036" s="3247">
        <v>0</v>
      </c>
      <c r="BA1036" s="3248">
        <v>0</v>
      </c>
      <c r="BB1036" s="3248">
        <v>0</v>
      </c>
      <c r="BC1036" s="3247">
        <v>0</v>
      </c>
      <c r="BD1036" s="3248">
        <v>0</v>
      </c>
      <c r="BE1036" s="3248">
        <v>0</v>
      </c>
      <c r="BF1036" s="3248">
        <f t="shared" si="85"/>
        <v>0</v>
      </c>
      <c r="BG1036" s="3248">
        <f t="shared" si="86"/>
        <v>0</v>
      </c>
      <c r="BH1036" s="3249"/>
      <c r="BI1036" s="3249"/>
    </row>
    <row r="1037" spans="1:61" x14ac:dyDescent="0.3">
      <c r="A1037" s="4197" t="s">
        <v>3384</v>
      </c>
      <c r="B1037" s="3261"/>
      <c r="C1037" s="3243">
        <v>0</v>
      </c>
      <c r="D1037" s="3242">
        <v>0</v>
      </c>
      <c r="E1037" s="3244"/>
      <c r="F1037" s="3244"/>
      <c r="G1037" s="3242">
        <v>0</v>
      </c>
      <c r="H1037" s="3244"/>
      <c r="I1037" s="3244"/>
      <c r="J1037" s="3244"/>
      <c r="K1037" s="3242">
        <v>0</v>
      </c>
      <c r="L1037" s="3244"/>
      <c r="M1037" s="3244"/>
      <c r="N1037" s="3242" t="s">
        <v>3384</v>
      </c>
      <c r="O1037" s="3239">
        <v>0</v>
      </c>
      <c r="P1037" s="3242">
        <v>0</v>
      </c>
      <c r="Q1037" s="3244"/>
      <c r="R1037" s="3244"/>
      <c r="S1037" s="3242">
        <v>0</v>
      </c>
      <c r="T1037" s="3244"/>
      <c r="U1037" s="3244"/>
      <c r="V1037" s="3244"/>
      <c r="W1037" s="3240">
        <v>0</v>
      </c>
      <c r="X1037" s="3244"/>
      <c r="Y1037" s="3244"/>
      <c r="Z1037" s="3242" t="s">
        <v>3384</v>
      </c>
      <c r="AA1037" s="3243">
        <v>0</v>
      </c>
      <c r="AB1037" s="3242">
        <v>0</v>
      </c>
      <c r="AC1037" s="3244"/>
      <c r="AD1037" s="3244"/>
      <c r="AE1037" s="3242">
        <v>0</v>
      </c>
      <c r="AF1037" s="3259"/>
      <c r="AG1037" s="3260"/>
      <c r="AH1037" s="3260"/>
      <c r="AI1037" s="3260"/>
      <c r="AJ1037" s="3260"/>
      <c r="AK1037" s="3260"/>
      <c r="AL1037" s="3259"/>
      <c r="AM1037" s="3260"/>
      <c r="AN1037" s="3259"/>
      <c r="AO1037" s="3260"/>
      <c r="AP1037" s="3242">
        <v>0</v>
      </c>
      <c r="AQ1037" s="3244"/>
      <c r="AR1037" s="3244"/>
      <c r="AS1037" s="3242" t="s">
        <v>3384</v>
      </c>
      <c r="AT1037" s="3247">
        <f t="shared" si="83"/>
        <v>0</v>
      </c>
      <c r="AU1037" s="3248">
        <f t="shared" si="84"/>
        <v>0</v>
      </c>
      <c r="AV1037" s="3248">
        <v>0</v>
      </c>
      <c r="AW1037" s="3247">
        <v>0</v>
      </c>
      <c r="AX1037" s="3248">
        <v>0</v>
      </c>
      <c r="AY1037" s="3248">
        <v>0</v>
      </c>
      <c r="AZ1037" s="3247">
        <v>0</v>
      </c>
      <c r="BA1037" s="3248">
        <v>0</v>
      </c>
      <c r="BB1037" s="3248">
        <v>0</v>
      </c>
      <c r="BC1037" s="3247">
        <v>0</v>
      </c>
      <c r="BD1037" s="3248">
        <v>0</v>
      </c>
      <c r="BE1037" s="3248">
        <v>0</v>
      </c>
      <c r="BF1037" s="3248">
        <f t="shared" si="85"/>
        <v>0</v>
      </c>
      <c r="BG1037" s="3248">
        <f t="shared" si="86"/>
        <v>0</v>
      </c>
      <c r="BH1037" s="3249"/>
      <c r="BI1037" s="3249"/>
    </row>
    <row r="1038" spans="1:61" x14ac:dyDescent="0.3">
      <c r="A1038" s="4197" t="s">
        <v>3384</v>
      </c>
      <c r="B1038" s="3261"/>
      <c r="C1038" s="3243">
        <v>0</v>
      </c>
      <c r="D1038" s="3242">
        <v>0</v>
      </c>
      <c r="E1038" s="3244"/>
      <c r="F1038" s="3244"/>
      <c r="G1038" s="3242">
        <v>0</v>
      </c>
      <c r="H1038" s="3244"/>
      <c r="I1038" s="3244"/>
      <c r="J1038" s="3244"/>
      <c r="K1038" s="3242">
        <v>0</v>
      </c>
      <c r="L1038" s="3244"/>
      <c r="M1038" s="3244"/>
      <c r="N1038" s="3242" t="s">
        <v>3384</v>
      </c>
      <c r="O1038" s="3239">
        <v>0</v>
      </c>
      <c r="P1038" s="3242">
        <v>0</v>
      </c>
      <c r="Q1038" s="3244"/>
      <c r="R1038" s="3244"/>
      <c r="S1038" s="3242">
        <v>0</v>
      </c>
      <c r="T1038" s="3244"/>
      <c r="U1038" s="3244"/>
      <c r="V1038" s="3244"/>
      <c r="W1038" s="3240">
        <v>0</v>
      </c>
      <c r="X1038" s="3244"/>
      <c r="Y1038" s="3244"/>
      <c r="Z1038" s="3242" t="s">
        <v>3384</v>
      </c>
      <c r="AA1038" s="3243">
        <v>0</v>
      </c>
      <c r="AB1038" s="3242">
        <v>0</v>
      </c>
      <c r="AC1038" s="3244"/>
      <c r="AD1038" s="3244"/>
      <c r="AE1038" s="3242">
        <v>0</v>
      </c>
      <c r="AF1038" s="3259"/>
      <c r="AG1038" s="3260"/>
      <c r="AH1038" s="3260"/>
      <c r="AI1038" s="3260"/>
      <c r="AJ1038" s="3260"/>
      <c r="AK1038" s="3260"/>
      <c r="AL1038" s="3259"/>
      <c r="AM1038" s="3260"/>
      <c r="AN1038" s="3259"/>
      <c r="AO1038" s="3260"/>
      <c r="AP1038" s="3242">
        <v>0</v>
      </c>
      <c r="AQ1038" s="3244"/>
      <c r="AR1038" s="3244"/>
      <c r="AS1038" s="3242" t="s">
        <v>3384</v>
      </c>
      <c r="AT1038" s="3247">
        <f t="shared" si="83"/>
        <v>0</v>
      </c>
      <c r="AU1038" s="3248">
        <f t="shared" si="84"/>
        <v>0</v>
      </c>
      <c r="AV1038" s="3248">
        <v>0</v>
      </c>
      <c r="AW1038" s="3247">
        <v>0</v>
      </c>
      <c r="AX1038" s="3248">
        <v>0</v>
      </c>
      <c r="AY1038" s="3248">
        <v>0</v>
      </c>
      <c r="AZ1038" s="3247">
        <v>0</v>
      </c>
      <c r="BA1038" s="3248">
        <v>0</v>
      </c>
      <c r="BB1038" s="3248">
        <v>0</v>
      </c>
      <c r="BC1038" s="3247">
        <v>0</v>
      </c>
      <c r="BD1038" s="3248">
        <v>0</v>
      </c>
      <c r="BE1038" s="3248">
        <v>0</v>
      </c>
      <c r="BF1038" s="3248">
        <f t="shared" si="85"/>
        <v>0</v>
      </c>
      <c r="BG1038" s="3248">
        <f t="shared" si="86"/>
        <v>0</v>
      </c>
      <c r="BH1038" s="3249"/>
      <c r="BI1038" s="3249"/>
    </row>
    <row r="1039" spans="1:61" x14ac:dyDescent="0.3">
      <c r="A1039" s="4197" t="s">
        <v>3384</v>
      </c>
      <c r="B1039" s="3261"/>
      <c r="C1039" s="3243">
        <v>0</v>
      </c>
      <c r="D1039" s="3242">
        <v>0</v>
      </c>
      <c r="E1039" s="3244"/>
      <c r="F1039" s="3244"/>
      <c r="G1039" s="3242">
        <v>0</v>
      </c>
      <c r="H1039" s="3244"/>
      <c r="I1039" s="3244"/>
      <c r="J1039" s="3244"/>
      <c r="K1039" s="3242">
        <v>0</v>
      </c>
      <c r="L1039" s="3244"/>
      <c r="M1039" s="3244"/>
      <c r="N1039" s="3242" t="s">
        <v>3384</v>
      </c>
      <c r="O1039" s="3239">
        <v>0</v>
      </c>
      <c r="P1039" s="3242">
        <v>0</v>
      </c>
      <c r="Q1039" s="3244"/>
      <c r="R1039" s="3244"/>
      <c r="S1039" s="3242">
        <v>0</v>
      </c>
      <c r="T1039" s="3244"/>
      <c r="U1039" s="3244"/>
      <c r="V1039" s="3244"/>
      <c r="W1039" s="3240">
        <v>0</v>
      </c>
      <c r="X1039" s="3244"/>
      <c r="Y1039" s="3244"/>
      <c r="Z1039" s="3242" t="s">
        <v>3384</v>
      </c>
      <c r="AA1039" s="3243">
        <v>0</v>
      </c>
      <c r="AB1039" s="3242">
        <v>0</v>
      </c>
      <c r="AC1039" s="3244"/>
      <c r="AD1039" s="3244"/>
      <c r="AE1039" s="3242">
        <v>0</v>
      </c>
      <c r="AF1039" s="3259"/>
      <c r="AG1039" s="3260"/>
      <c r="AH1039" s="3260"/>
      <c r="AI1039" s="3260"/>
      <c r="AJ1039" s="3260"/>
      <c r="AK1039" s="3260"/>
      <c r="AL1039" s="3259"/>
      <c r="AM1039" s="3260"/>
      <c r="AN1039" s="3259"/>
      <c r="AO1039" s="3260"/>
      <c r="AP1039" s="3242">
        <v>0</v>
      </c>
      <c r="AQ1039" s="3244"/>
      <c r="AR1039" s="3244"/>
      <c r="AS1039" s="3242" t="s">
        <v>3384</v>
      </c>
      <c r="AT1039" s="3247">
        <f t="shared" si="83"/>
        <v>0</v>
      </c>
      <c r="AU1039" s="3248">
        <f t="shared" si="84"/>
        <v>0</v>
      </c>
      <c r="AV1039" s="3248">
        <v>0</v>
      </c>
      <c r="AW1039" s="3247">
        <v>0</v>
      </c>
      <c r="AX1039" s="3248">
        <v>0</v>
      </c>
      <c r="AY1039" s="3248">
        <v>0</v>
      </c>
      <c r="AZ1039" s="3247">
        <v>0</v>
      </c>
      <c r="BA1039" s="3248">
        <v>0</v>
      </c>
      <c r="BB1039" s="3248">
        <v>0</v>
      </c>
      <c r="BC1039" s="3247">
        <v>0</v>
      </c>
      <c r="BD1039" s="3248">
        <v>0</v>
      </c>
      <c r="BE1039" s="3248">
        <v>0</v>
      </c>
      <c r="BF1039" s="3248">
        <f t="shared" si="85"/>
        <v>0</v>
      </c>
      <c r="BG1039" s="3248">
        <f t="shared" si="86"/>
        <v>0</v>
      </c>
      <c r="BH1039" s="3249"/>
      <c r="BI1039" s="3249"/>
    </row>
    <row r="1040" spans="1:61" x14ac:dyDescent="0.3">
      <c r="A1040" s="4197" t="s">
        <v>3384</v>
      </c>
      <c r="B1040" s="3261"/>
      <c r="C1040" s="3243">
        <v>0</v>
      </c>
      <c r="D1040" s="3242">
        <v>0</v>
      </c>
      <c r="E1040" s="3244"/>
      <c r="F1040" s="3244"/>
      <c r="G1040" s="3242">
        <v>0</v>
      </c>
      <c r="H1040" s="3244"/>
      <c r="I1040" s="3244"/>
      <c r="J1040" s="3244"/>
      <c r="K1040" s="3242">
        <v>0</v>
      </c>
      <c r="L1040" s="3244"/>
      <c r="M1040" s="3244"/>
      <c r="N1040" s="3242" t="s">
        <v>3384</v>
      </c>
      <c r="O1040" s="3239">
        <v>0</v>
      </c>
      <c r="P1040" s="3242">
        <v>0</v>
      </c>
      <c r="Q1040" s="3244"/>
      <c r="R1040" s="3244"/>
      <c r="S1040" s="3242">
        <v>0</v>
      </c>
      <c r="T1040" s="3244"/>
      <c r="U1040" s="3244"/>
      <c r="V1040" s="3244"/>
      <c r="W1040" s="3240">
        <v>0</v>
      </c>
      <c r="X1040" s="3244"/>
      <c r="Y1040" s="3244"/>
      <c r="Z1040" s="3242" t="s">
        <v>3384</v>
      </c>
      <c r="AA1040" s="3243">
        <v>0</v>
      </c>
      <c r="AB1040" s="3242">
        <v>0</v>
      </c>
      <c r="AC1040" s="3244"/>
      <c r="AD1040" s="3244"/>
      <c r="AE1040" s="3242">
        <v>0</v>
      </c>
      <c r="AF1040" s="3259"/>
      <c r="AG1040" s="3260"/>
      <c r="AH1040" s="3260"/>
      <c r="AI1040" s="3260"/>
      <c r="AJ1040" s="3260"/>
      <c r="AK1040" s="3260"/>
      <c r="AL1040" s="3259"/>
      <c r="AM1040" s="3260"/>
      <c r="AN1040" s="3259"/>
      <c r="AO1040" s="3260"/>
      <c r="AP1040" s="3242">
        <v>0</v>
      </c>
      <c r="AQ1040" s="3244"/>
      <c r="AR1040" s="3244"/>
      <c r="AS1040" s="3242" t="s">
        <v>3384</v>
      </c>
      <c r="AT1040" s="3247">
        <f t="shared" ref="AT1040:AT1103" si="87">IFERROR(AE1040+(SUM(AC1040:AD1040)/100*($AE$14/$AB$14*100)),0)</f>
        <v>0</v>
      </c>
      <c r="AU1040" s="3248">
        <f t="shared" si="84"/>
        <v>0</v>
      </c>
      <c r="AV1040" s="3248">
        <v>0</v>
      </c>
      <c r="AW1040" s="3247">
        <v>0</v>
      </c>
      <c r="AX1040" s="3248">
        <v>0</v>
      </c>
      <c r="AY1040" s="3248">
        <v>0</v>
      </c>
      <c r="AZ1040" s="3247">
        <v>0</v>
      </c>
      <c r="BA1040" s="3248">
        <v>0</v>
      </c>
      <c r="BB1040" s="3248">
        <v>0</v>
      </c>
      <c r="BC1040" s="3247">
        <v>0</v>
      </c>
      <c r="BD1040" s="3248">
        <v>0</v>
      </c>
      <c r="BE1040" s="3248">
        <v>0</v>
      </c>
      <c r="BF1040" s="3248">
        <f t="shared" si="85"/>
        <v>0</v>
      </c>
      <c r="BG1040" s="3248">
        <f t="shared" si="86"/>
        <v>0</v>
      </c>
      <c r="BH1040" s="3249"/>
      <c r="BI1040" s="3249"/>
    </row>
    <row r="1041" spans="1:61" x14ac:dyDescent="0.3">
      <c r="A1041" s="4197" t="s">
        <v>3384</v>
      </c>
      <c r="B1041" s="3261"/>
      <c r="C1041" s="3243">
        <v>0</v>
      </c>
      <c r="D1041" s="3242">
        <v>0</v>
      </c>
      <c r="E1041" s="3244"/>
      <c r="F1041" s="3244"/>
      <c r="G1041" s="3242">
        <v>0</v>
      </c>
      <c r="H1041" s="3244"/>
      <c r="I1041" s="3244"/>
      <c r="J1041" s="3244"/>
      <c r="K1041" s="3242">
        <v>0</v>
      </c>
      <c r="L1041" s="3244"/>
      <c r="M1041" s="3244"/>
      <c r="N1041" s="3242" t="s">
        <v>3384</v>
      </c>
      <c r="O1041" s="3239">
        <v>0</v>
      </c>
      <c r="P1041" s="3242">
        <v>0</v>
      </c>
      <c r="Q1041" s="3244"/>
      <c r="R1041" s="3244"/>
      <c r="S1041" s="3242">
        <v>0</v>
      </c>
      <c r="T1041" s="3244"/>
      <c r="U1041" s="3244"/>
      <c r="V1041" s="3244"/>
      <c r="W1041" s="3240">
        <v>0</v>
      </c>
      <c r="X1041" s="3244"/>
      <c r="Y1041" s="3244"/>
      <c r="Z1041" s="3242" t="s">
        <v>3384</v>
      </c>
      <c r="AA1041" s="3243">
        <v>0</v>
      </c>
      <c r="AB1041" s="3242">
        <v>0</v>
      </c>
      <c r="AC1041" s="3244"/>
      <c r="AD1041" s="3244"/>
      <c r="AE1041" s="3242">
        <v>0</v>
      </c>
      <c r="AF1041" s="3259"/>
      <c r="AG1041" s="3260"/>
      <c r="AH1041" s="3260"/>
      <c r="AI1041" s="3260"/>
      <c r="AJ1041" s="3260"/>
      <c r="AK1041" s="3260"/>
      <c r="AL1041" s="3259"/>
      <c r="AM1041" s="3260"/>
      <c r="AN1041" s="3259"/>
      <c r="AO1041" s="3260"/>
      <c r="AP1041" s="3242">
        <v>0</v>
      </c>
      <c r="AQ1041" s="3244"/>
      <c r="AR1041" s="3244"/>
      <c r="AS1041" s="3242" t="s">
        <v>3384</v>
      </c>
      <c r="AT1041" s="3247">
        <f t="shared" si="87"/>
        <v>0</v>
      </c>
      <c r="AU1041" s="3248">
        <f t="shared" si="84"/>
        <v>0</v>
      </c>
      <c r="AV1041" s="3248">
        <v>0</v>
      </c>
      <c r="AW1041" s="3247">
        <v>0</v>
      </c>
      <c r="AX1041" s="3248">
        <v>0</v>
      </c>
      <c r="AY1041" s="3248">
        <v>0</v>
      </c>
      <c r="AZ1041" s="3247">
        <v>0</v>
      </c>
      <c r="BA1041" s="3248">
        <v>0</v>
      </c>
      <c r="BB1041" s="3248">
        <v>0</v>
      </c>
      <c r="BC1041" s="3247">
        <v>0</v>
      </c>
      <c r="BD1041" s="3248">
        <v>0</v>
      </c>
      <c r="BE1041" s="3248">
        <v>0</v>
      </c>
      <c r="BF1041" s="3248">
        <f t="shared" si="85"/>
        <v>0</v>
      </c>
      <c r="BG1041" s="3248">
        <f t="shared" si="86"/>
        <v>0</v>
      </c>
      <c r="BH1041" s="3249"/>
      <c r="BI1041" s="3249"/>
    </row>
    <row r="1042" spans="1:61" x14ac:dyDescent="0.3">
      <c r="A1042" s="4197" t="s">
        <v>3384</v>
      </c>
      <c r="B1042" s="3261"/>
      <c r="C1042" s="3243">
        <v>0</v>
      </c>
      <c r="D1042" s="3242">
        <v>0</v>
      </c>
      <c r="E1042" s="3244"/>
      <c r="F1042" s="3244"/>
      <c r="G1042" s="3242">
        <v>0</v>
      </c>
      <c r="H1042" s="3244"/>
      <c r="I1042" s="3244"/>
      <c r="J1042" s="3244"/>
      <c r="K1042" s="3242">
        <v>0</v>
      </c>
      <c r="L1042" s="3244"/>
      <c r="M1042" s="3244"/>
      <c r="N1042" s="3242" t="s">
        <v>3384</v>
      </c>
      <c r="O1042" s="3239">
        <v>0</v>
      </c>
      <c r="P1042" s="3242">
        <v>0</v>
      </c>
      <c r="Q1042" s="3244"/>
      <c r="R1042" s="3244"/>
      <c r="S1042" s="3242">
        <v>0</v>
      </c>
      <c r="T1042" s="3244"/>
      <c r="U1042" s="3244"/>
      <c r="V1042" s="3244"/>
      <c r="W1042" s="3240">
        <v>0</v>
      </c>
      <c r="X1042" s="3244"/>
      <c r="Y1042" s="3244"/>
      <c r="Z1042" s="3242" t="s">
        <v>3384</v>
      </c>
      <c r="AA1042" s="3243">
        <v>0</v>
      </c>
      <c r="AB1042" s="3242">
        <v>0</v>
      </c>
      <c r="AC1042" s="3244"/>
      <c r="AD1042" s="3244"/>
      <c r="AE1042" s="3242">
        <v>0</v>
      </c>
      <c r="AF1042" s="3259"/>
      <c r="AG1042" s="3260"/>
      <c r="AH1042" s="3260"/>
      <c r="AI1042" s="3260"/>
      <c r="AJ1042" s="3260"/>
      <c r="AK1042" s="3260"/>
      <c r="AL1042" s="3259"/>
      <c r="AM1042" s="3260"/>
      <c r="AN1042" s="3259"/>
      <c r="AO1042" s="3260"/>
      <c r="AP1042" s="3242">
        <v>0</v>
      </c>
      <c r="AQ1042" s="3244"/>
      <c r="AR1042" s="3244"/>
      <c r="AS1042" s="3242" t="s">
        <v>3384</v>
      </c>
      <c r="AT1042" s="3247">
        <f t="shared" si="87"/>
        <v>0</v>
      </c>
      <c r="AU1042" s="3248">
        <f t="shared" si="84"/>
        <v>0</v>
      </c>
      <c r="AV1042" s="3248">
        <v>0</v>
      </c>
      <c r="AW1042" s="3247">
        <v>0</v>
      </c>
      <c r="AX1042" s="3248">
        <v>0</v>
      </c>
      <c r="AY1042" s="3248">
        <v>0</v>
      </c>
      <c r="AZ1042" s="3247">
        <v>0</v>
      </c>
      <c r="BA1042" s="3248">
        <v>0</v>
      </c>
      <c r="BB1042" s="3248">
        <v>0</v>
      </c>
      <c r="BC1042" s="3247">
        <v>0</v>
      </c>
      <c r="BD1042" s="3248">
        <v>0</v>
      </c>
      <c r="BE1042" s="3248">
        <v>0</v>
      </c>
      <c r="BF1042" s="3248">
        <f t="shared" si="85"/>
        <v>0</v>
      </c>
      <c r="BG1042" s="3248">
        <f t="shared" si="86"/>
        <v>0</v>
      </c>
      <c r="BH1042" s="3249"/>
      <c r="BI1042" s="3249"/>
    </row>
    <row r="1043" spans="1:61" x14ac:dyDescent="0.3">
      <c r="A1043" s="4197" t="s">
        <v>3384</v>
      </c>
      <c r="B1043" s="3261"/>
      <c r="C1043" s="3243">
        <v>0</v>
      </c>
      <c r="D1043" s="3242">
        <v>0</v>
      </c>
      <c r="E1043" s="3244"/>
      <c r="F1043" s="3244"/>
      <c r="G1043" s="3242">
        <v>0</v>
      </c>
      <c r="H1043" s="3244"/>
      <c r="I1043" s="3244"/>
      <c r="J1043" s="3244"/>
      <c r="K1043" s="3242">
        <v>0</v>
      </c>
      <c r="L1043" s="3244"/>
      <c r="M1043" s="3244"/>
      <c r="N1043" s="3242" t="s">
        <v>3384</v>
      </c>
      <c r="O1043" s="3239">
        <v>0</v>
      </c>
      <c r="P1043" s="3242">
        <v>0</v>
      </c>
      <c r="Q1043" s="3244"/>
      <c r="R1043" s="3244"/>
      <c r="S1043" s="3242">
        <v>0</v>
      </c>
      <c r="T1043" s="3244"/>
      <c r="U1043" s="3244"/>
      <c r="V1043" s="3244"/>
      <c r="W1043" s="3240">
        <v>0</v>
      </c>
      <c r="X1043" s="3244"/>
      <c r="Y1043" s="3244"/>
      <c r="Z1043" s="3242" t="s">
        <v>3384</v>
      </c>
      <c r="AA1043" s="3243">
        <v>0</v>
      </c>
      <c r="AB1043" s="3242">
        <v>0</v>
      </c>
      <c r="AC1043" s="3244"/>
      <c r="AD1043" s="3244"/>
      <c r="AE1043" s="3242">
        <v>0</v>
      </c>
      <c r="AF1043" s="3259"/>
      <c r="AG1043" s="3260"/>
      <c r="AH1043" s="3260"/>
      <c r="AI1043" s="3260"/>
      <c r="AJ1043" s="3260"/>
      <c r="AK1043" s="3260"/>
      <c r="AL1043" s="3259"/>
      <c r="AM1043" s="3260"/>
      <c r="AN1043" s="3259"/>
      <c r="AO1043" s="3260"/>
      <c r="AP1043" s="3242">
        <v>0</v>
      </c>
      <c r="AQ1043" s="3244"/>
      <c r="AR1043" s="3244"/>
      <c r="AS1043" s="3242" t="s">
        <v>3384</v>
      </c>
      <c r="AT1043" s="3247">
        <f t="shared" si="87"/>
        <v>0</v>
      </c>
      <c r="AU1043" s="3248">
        <f t="shared" ref="AU1043:AU1106" si="88">AX1043+BA1043+BD1043</f>
        <v>0</v>
      </c>
      <c r="AV1043" s="3248">
        <v>0</v>
      </c>
      <c r="AW1043" s="3247">
        <v>0</v>
      </c>
      <c r="AX1043" s="3248">
        <v>0</v>
      </c>
      <c r="AY1043" s="3248">
        <v>0</v>
      </c>
      <c r="AZ1043" s="3247">
        <v>0</v>
      </c>
      <c r="BA1043" s="3248">
        <v>0</v>
      </c>
      <c r="BB1043" s="3248">
        <v>0</v>
      </c>
      <c r="BC1043" s="3247">
        <v>0</v>
      </c>
      <c r="BD1043" s="3248">
        <v>0</v>
      </c>
      <c r="BE1043" s="3248">
        <v>0</v>
      </c>
      <c r="BF1043" s="3248">
        <f t="shared" ref="BF1043:BF1106" si="89">IFERROR(ROUND(AE1043/S1043*100,2),0)</f>
        <v>0</v>
      </c>
      <c r="BG1043" s="3248">
        <f t="shared" ref="BG1043:BG1106" si="90">IFERROR(ROUND(AA1043/O1043*100,2),0)</f>
        <v>0</v>
      </c>
      <c r="BH1043" s="3249"/>
      <c r="BI1043" s="3249"/>
    </row>
    <row r="1044" spans="1:61" x14ac:dyDescent="0.3">
      <c r="A1044" s="4197" t="s">
        <v>3384</v>
      </c>
      <c r="B1044" s="3261"/>
      <c r="C1044" s="3243">
        <v>0</v>
      </c>
      <c r="D1044" s="3242">
        <v>0</v>
      </c>
      <c r="E1044" s="3244"/>
      <c r="F1044" s="3244"/>
      <c r="G1044" s="3242">
        <v>0</v>
      </c>
      <c r="H1044" s="3244"/>
      <c r="I1044" s="3244"/>
      <c r="J1044" s="3244"/>
      <c r="K1044" s="3242">
        <v>0</v>
      </c>
      <c r="L1044" s="3244"/>
      <c r="M1044" s="3244"/>
      <c r="N1044" s="3242" t="s">
        <v>3384</v>
      </c>
      <c r="O1044" s="3239">
        <v>0</v>
      </c>
      <c r="P1044" s="3242">
        <v>0</v>
      </c>
      <c r="Q1044" s="3244"/>
      <c r="R1044" s="3244"/>
      <c r="S1044" s="3242">
        <v>0</v>
      </c>
      <c r="T1044" s="3244"/>
      <c r="U1044" s="3244"/>
      <c r="V1044" s="3244"/>
      <c r="W1044" s="3240">
        <v>0</v>
      </c>
      <c r="X1044" s="3244"/>
      <c r="Y1044" s="3244"/>
      <c r="Z1044" s="3242" t="s">
        <v>3384</v>
      </c>
      <c r="AA1044" s="3243">
        <v>0</v>
      </c>
      <c r="AB1044" s="3242">
        <v>0</v>
      </c>
      <c r="AC1044" s="3244"/>
      <c r="AD1044" s="3244"/>
      <c r="AE1044" s="3242">
        <v>0</v>
      </c>
      <c r="AF1044" s="3259"/>
      <c r="AG1044" s="3260"/>
      <c r="AH1044" s="3260"/>
      <c r="AI1044" s="3260"/>
      <c r="AJ1044" s="3260"/>
      <c r="AK1044" s="3260"/>
      <c r="AL1044" s="3259"/>
      <c r="AM1044" s="3260"/>
      <c r="AN1044" s="3259"/>
      <c r="AO1044" s="3260"/>
      <c r="AP1044" s="3242">
        <v>0</v>
      </c>
      <c r="AQ1044" s="3244"/>
      <c r="AR1044" s="3244"/>
      <c r="AS1044" s="3242" t="s">
        <v>3384</v>
      </c>
      <c r="AT1044" s="3247">
        <f t="shared" si="87"/>
        <v>0</v>
      </c>
      <c r="AU1044" s="3248">
        <f t="shared" si="88"/>
        <v>0</v>
      </c>
      <c r="AV1044" s="3248">
        <v>0</v>
      </c>
      <c r="AW1044" s="3247">
        <v>0</v>
      </c>
      <c r="AX1044" s="3248">
        <v>0</v>
      </c>
      <c r="AY1044" s="3248">
        <v>0</v>
      </c>
      <c r="AZ1044" s="3247">
        <v>0</v>
      </c>
      <c r="BA1044" s="3248">
        <v>0</v>
      </c>
      <c r="BB1044" s="3248">
        <v>0</v>
      </c>
      <c r="BC1044" s="3247">
        <v>0</v>
      </c>
      <c r="BD1044" s="3248">
        <v>0</v>
      </c>
      <c r="BE1044" s="3248">
        <v>0</v>
      </c>
      <c r="BF1044" s="3248">
        <f t="shared" si="89"/>
        <v>0</v>
      </c>
      <c r="BG1044" s="3248">
        <f t="shared" si="90"/>
        <v>0</v>
      </c>
      <c r="BH1044" s="3249"/>
      <c r="BI1044" s="3249"/>
    </row>
    <row r="1045" spans="1:61" x14ac:dyDescent="0.3">
      <c r="A1045" s="4197" t="s">
        <v>3384</v>
      </c>
      <c r="B1045" s="3261"/>
      <c r="C1045" s="3243">
        <v>0</v>
      </c>
      <c r="D1045" s="3242">
        <v>0</v>
      </c>
      <c r="E1045" s="3244"/>
      <c r="F1045" s="3244"/>
      <c r="G1045" s="3242">
        <v>0</v>
      </c>
      <c r="H1045" s="3244"/>
      <c r="I1045" s="3244"/>
      <c r="J1045" s="3244"/>
      <c r="K1045" s="3242">
        <v>0</v>
      </c>
      <c r="L1045" s="3244"/>
      <c r="M1045" s="3244"/>
      <c r="N1045" s="3242" t="s">
        <v>3384</v>
      </c>
      <c r="O1045" s="3239">
        <v>0</v>
      </c>
      <c r="P1045" s="3242">
        <v>0</v>
      </c>
      <c r="Q1045" s="3244"/>
      <c r="R1045" s="3244"/>
      <c r="S1045" s="3242">
        <v>0</v>
      </c>
      <c r="T1045" s="3244"/>
      <c r="U1045" s="3244"/>
      <c r="V1045" s="3244"/>
      <c r="W1045" s="3240">
        <v>0</v>
      </c>
      <c r="X1045" s="3244"/>
      <c r="Y1045" s="3244"/>
      <c r="Z1045" s="3242" t="s">
        <v>3384</v>
      </c>
      <c r="AA1045" s="3243">
        <v>0</v>
      </c>
      <c r="AB1045" s="3242">
        <v>0</v>
      </c>
      <c r="AC1045" s="3244"/>
      <c r="AD1045" s="3244"/>
      <c r="AE1045" s="3242">
        <v>0</v>
      </c>
      <c r="AF1045" s="3259"/>
      <c r="AG1045" s="3260"/>
      <c r="AH1045" s="3260"/>
      <c r="AI1045" s="3260"/>
      <c r="AJ1045" s="3260"/>
      <c r="AK1045" s="3260"/>
      <c r="AL1045" s="3259"/>
      <c r="AM1045" s="3260"/>
      <c r="AN1045" s="3259"/>
      <c r="AO1045" s="3260"/>
      <c r="AP1045" s="3242">
        <v>0</v>
      </c>
      <c r="AQ1045" s="3244"/>
      <c r="AR1045" s="3244"/>
      <c r="AS1045" s="3242" t="s">
        <v>3384</v>
      </c>
      <c r="AT1045" s="3247">
        <f t="shared" si="87"/>
        <v>0</v>
      </c>
      <c r="AU1045" s="3248">
        <f t="shared" si="88"/>
        <v>0</v>
      </c>
      <c r="AV1045" s="3248">
        <v>0</v>
      </c>
      <c r="AW1045" s="3247">
        <v>0</v>
      </c>
      <c r="AX1045" s="3248">
        <v>0</v>
      </c>
      <c r="AY1045" s="3248">
        <v>0</v>
      </c>
      <c r="AZ1045" s="3247">
        <v>0</v>
      </c>
      <c r="BA1045" s="3248">
        <v>0</v>
      </c>
      <c r="BB1045" s="3248">
        <v>0</v>
      </c>
      <c r="BC1045" s="3247">
        <v>0</v>
      </c>
      <c r="BD1045" s="3248">
        <v>0</v>
      </c>
      <c r="BE1045" s="3248">
        <v>0</v>
      </c>
      <c r="BF1045" s="3248">
        <f t="shared" si="89"/>
        <v>0</v>
      </c>
      <c r="BG1045" s="3248">
        <f t="shared" si="90"/>
        <v>0</v>
      </c>
      <c r="BH1045" s="3249"/>
      <c r="BI1045" s="3249"/>
    </row>
    <row r="1046" spans="1:61" x14ac:dyDescent="0.3">
      <c r="A1046" s="4197" t="s">
        <v>3384</v>
      </c>
      <c r="B1046" s="3261"/>
      <c r="C1046" s="3243">
        <v>0</v>
      </c>
      <c r="D1046" s="3242">
        <v>0</v>
      </c>
      <c r="E1046" s="3244"/>
      <c r="F1046" s="3244"/>
      <c r="G1046" s="3242">
        <v>0</v>
      </c>
      <c r="H1046" s="3244"/>
      <c r="I1046" s="3244"/>
      <c r="J1046" s="3244"/>
      <c r="K1046" s="3242">
        <v>0</v>
      </c>
      <c r="L1046" s="3244"/>
      <c r="M1046" s="3244"/>
      <c r="N1046" s="3242" t="s">
        <v>3384</v>
      </c>
      <c r="O1046" s="3239">
        <v>0</v>
      </c>
      <c r="P1046" s="3242">
        <v>0</v>
      </c>
      <c r="Q1046" s="3244"/>
      <c r="R1046" s="3244"/>
      <c r="S1046" s="3242">
        <v>0</v>
      </c>
      <c r="T1046" s="3244"/>
      <c r="U1046" s="3244"/>
      <c r="V1046" s="3244"/>
      <c r="W1046" s="3240">
        <v>0</v>
      </c>
      <c r="X1046" s="3244"/>
      <c r="Y1046" s="3244"/>
      <c r="Z1046" s="3242" t="s">
        <v>3384</v>
      </c>
      <c r="AA1046" s="3243">
        <v>0</v>
      </c>
      <c r="AB1046" s="3242">
        <v>0</v>
      </c>
      <c r="AC1046" s="3244"/>
      <c r="AD1046" s="3244"/>
      <c r="AE1046" s="3242">
        <v>0</v>
      </c>
      <c r="AF1046" s="3259"/>
      <c r="AG1046" s="3260"/>
      <c r="AH1046" s="3260"/>
      <c r="AI1046" s="3260"/>
      <c r="AJ1046" s="3260"/>
      <c r="AK1046" s="3260"/>
      <c r="AL1046" s="3259"/>
      <c r="AM1046" s="3260"/>
      <c r="AN1046" s="3259"/>
      <c r="AO1046" s="3260"/>
      <c r="AP1046" s="3242">
        <v>0</v>
      </c>
      <c r="AQ1046" s="3244"/>
      <c r="AR1046" s="3244"/>
      <c r="AS1046" s="3242" t="s">
        <v>3384</v>
      </c>
      <c r="AT1046" s="3247">
        <f t="shared" si="87"/>
        <v>0</v>
      </c>
      <c r="AU1046" s="3248">
        <f t="shared" si="88"/>
        <v>0</v>
      </c>
      <c r="AV1046" s="3248">
        <v>0</v>
      </c>
      <c r="AW1046" s="3247">
        <v>0</v>
      </c>
      <c r="AX1046" s="3248">
        <v>0</v>
      </c>
      <c r="AY1046" s="3248">
        <v>0</v>
      </c>
      <c r="AZ1046" s="3247">
        <v>0</v>
      </c>
      <c r="BA1046" s="3248">
        <v>0</v>
      </c>
      <c r="BB1046" s="3248">
        <v>0</v>
      </c>
      <c r="BC1046" s="3247">
        <v>0</v>
      </c>
      <c r="BD1046" s="3248">
        <v>0</v>
      </c>
      <c r="BE1046" s="3248">
        <v>0</v>
      </c>
      <c r="BF1046" s="3248">
        <f t="shared" si="89"/>
        <v>0</v>
      </c>
      <c r="BG1046" s="3248">
        <f t="shared" si="90"/>
        <v>0</v>
      </c>
      <c r="BH1046" s="3249"/>
      <c r="BI1046" s="3249"/>
    </row>
    <row r="1047" spans="1:61" x14ac:dyDescent="0.3">
      <c r="A1047" s="4197" t="s">
        <v>3384</v>
      </c>
      <c r="B1047" s="3261"/>
      <c r="C1047" s="3243">
        <v>0</v>
      </c>
      <c r="D1047" s="3242">
        <v>0</v>
      </c>
      <c r="E1047" s="3244"/>
      <c r="F1047" s="3244"/>
      <c r="G1047" s="3242">
        <v>0</v>
      </c>
      <c r="H1047" s="3244"/>
      <c r="I1047" s="3244"/>
      <c r="J1047" s="3244"/>
      <c r="K1047" s="3242">
        <v>0</v>
      </c>
      <c r="L1047" s="3244"/>
      <c r="M1047" s="3244"/>
      <c r="N1047" s="3242" t="s">
        <v>3384</v>
      </c>
      <c r="O1047" s="3239">
        <v>0</v>
      </c>
      <c r="P1047" s="3242">
        <v>0</v>
      </c>
      <c r="Q1047" s="3244"/>
      <c r="R1047" s="3244"/>
      <c r="S1047" s="3242">
        <v>0</v>
      </c>
      <c r="T1047" s="3244"/>
      <c r="U1047" s="3244"/>
      <c r="V1047" s="3244"/>
      <c r="W1047" s="3240">
        <v>0</v>
      </c>
      <c r="X1047" s="3244"/>
      <c r="Y1047" s="3244"/>
      <c r="Z1047" s="3242" t="s">
        <v>3384</v>
      </c>
      <c r="AA1047" s="3243">
        <v>0</v>
      </c>
      <c r="AB1047" s="3242">
        <v>0</v>
      </c>
      <c r="AC1047" s="3244"/>
      <c r="AD1047" s="3244"/>
      <c r="AE1047" s="3242">
        <v>0</v>
      </c>
      <c r="AF1047" s="3259"/>
      <c r="AG1047" s="3260"/>
      <c r="AH1047" s="3260"/>
      <c r="AI1047" s="3260"/>
      <c r="AJ1047" s="3260"/>
      <c r="AK1047" s="3260"/>
      <c r="AL1047" s="3259"/>
      <c r="AM1047" s="3260"/>
      <c r="AN1047" s="3259"/>
      <c r="AO1047" s="3260"/>
      <c r="AP1047" s="3242">
        <v>0</v>
      </c>
      <c r="AQ1047" s="3244"/>
      <c r="AR1047" s="3244"/>
      <c r="AS1047" s="3242" t="s">
        <v>3384</v>
      </c>
      <c r="AT1047" s="3247">
        <f t="shared" si="87"/>
        <v>0</v>
      </c>
      <c r="AU1047" s="3248">
        <f t="shared" si="88"/>
        <v>0</v>
      </c>
      <c r="AV1047" s="3248">
        <v>0</v>
      </c>
      <c r="AW1047" s="3247">
        <v>0</v>
      </c>
      <c r="AX1047" s="3248">
        <v>0</v>
      </c>
      <c r="AY1047" s="3248">
        <v>0</v>
      </c>
      <c r="AZ1047" s="3247">
        <v>0</v>
      </c>
      <c r="BA1047" s="3248">
        <v>0</v>
      </c>
      <c r="BB1047" s="3248">
        <v>0</v>
      </c>
      <c r="BC1047" s="3247">
        <v>0</v>
      </c>
      <c r="BD1047" s="3248">
        <v>0</v>
      </c>
      <c r="BE1047" s="3248">
        <v>0</v>
      </c>
      <c r="BF1047" s="3248">
        <f t="shared" si="89"/>
        <v>0</v>
      </c>
      <c r="BG1047" s="3248">
        <f t="shared" si="90"/>
        <v>0</v>
      </c>
      <c r="BH1047" s="3249"/>
      <c r="BI1047" s="3249"/>
    </row>
    <row r="1048" spans="1:61" x14ac:dyDescent="0.3">
      <c r="A1048" s="4197" t="s">
        <v>3384</v>
      </c>
      <c r="B1048" s="3261"/>
      <c r="C1048" s="3243">
        <v>0</v>
      </c>
      <c r="D1048" s="3242">
        <v>0</v>
      </c>
      <c r="E1048" s="3244"/>
      <c r="F1048" s="3244"/>
      <c r="G1048" s="3242">
        <v>0</v>
      </c>
      <c r="H1048" s="3244"/>
      <c r="I1048" s="3244"/>
      <c r="J1048" s="3244"/>
      <c r="K1048" s="3242">
        <v>0</v>
      </c>
      <c r="L1048" s="3244"/>
      <c r="M1048" s="3244"/>
      <c r="N1048" s="3242" t="s">
        <v>3384</v>
      </c>
      <c r="O1048" s="3239">
        <v>0</v>
      </c>
      <c r="P1048" s="3242">
        <v>0</v>
      </c>
      <c r="Q1048" s="3244"/>
      <c r="R1048" s="3244"/>
      <c r="S1048" s="3242">
        <v>0</v>
      </c>
      <c r="T1048" s="3244"/>
      <c r="U1048" s="3244"/>
      <c r="V1048" s="3244"/>
      <c r="W1048" s="3240">
        <v>0</v>
      </c>
      <c r="X1048" s="3244"/>
      <c r="Y1048" s="3244"/>
      <c r="Z1048" s="3242" t="s">
        <v>3384</v>
      </c>
      <c r="AA1048" s="3243">
        <v>0</v>
      </c>
      <c r="AB1048" s="3242">
        <v>0</v>
      </c>
      <c r="AC1048" s="3244"/>
      <c r="AD1048" s="3244"/>
      <c r="AE1048" s="3242">
        <v>0</v>
      </c>
      <c r="AF1048" s="3259"/>
      <c r="AG1048" s="3260"/>
      <c r="AH1048" s="3260"/>
      <c r="AI1048" s="3260"/>
      <c r="AJ1048" s="3260"/>
      <c r="AK1048" s="3260"/>
      <c r="AL1048" s="3259"/>
      <c r="AM1048" s="3260"/>
      <c r="AN1048" s="3259"/>
      <c r="AO1048" s="3260"/>
      <c r="AP1048" s="3242">
        <v>0</v>
      </c>
      <c r="AQ1048" s="3244"/>
      <c r="AR1048" s="3244"/>
      <c r="AS1048" s="3242" t="s">
        <v>3384</v>
      </c>
      <c r="AT1048" s="3247">
        <f t="shared" si="87"/>
        <v>0</v>
      </c>
      <c r="AU1048" s="3248">
        <f t="shared" si="88"/>
        <v>0</v>
      </c>
      <c r="AV1048" s="3248">
        <v>0</v>
      </c>
      <c r="AW1048" s="3247">
        <v>0</v>
      </c>
      <c r="AX1048" s="3248">
        <v>0</v>
      </c>
      <c r="AY1048" s="3248">
        <v>0</v>
      </c>
      <c r="AZ1048" s="3247">
        <v>0</v>
      </c>
      <c r="BA1048" s="3248">
        <v>0</v>
      </c>
      <c r="BB1048" s="3248">
        <v>0</v>
      </c>
      <c r="BC1048" s="3247">
        <v>0</v>
      </c>
      <c r="BD1048" s="3248">
        <v>0</v>
      </c>
      <c r="BE1048" s="3248">
        <v>0</v>
      </c>
      <c r="BF1048" s="3248">
        <f t="shared" si="89"/>
        <v>0</v>
      </c>
      <c r="BG1048" s="3248">
        <f t="shared" si="90"/>
        <v>0</v>
      </c>
      <c r="BH1048" s="3249"/>
      <c r="BI1048" s="3249"/>
    </row>
    <row r="1049" spans="1:61" x14ac:dyDescent="0.3">
      <c r="A1049" s="4197" t="s">
        <v>3384</v>
      </c>
      <c r="B1049" s="3261"/>
      <c r="C1049" s="3243">
        <v>0</v>
      </c>
      <c r="D1049" s="3242">
        <v>0</v>
      </c>
      <c r="E1049" s="3244"/>
      <c r="F1049" s="3244"/>
      <c r="G1049" s="3242">
        <v>0</v>
      </c>
      <c r="H1049" s="3244"/>
      <c r="I1049" s="3244"/>
      <c r="J1049" s="3244"/>
      <c r="K1049" s="3242">
        <v>0</v>
      </c>
      <c r="L1049" s="3244"/>
      <c r="M1049" s="3244"/>
      <c r="N1049" s="3242" t="s">
        <v>3384</v>
      </c>
      <c r="O1049" s="3239">
        <v>0</v>
      </c>
      <c r="P1049" s="3242">
        <v>0</v>
      </c>
      <c r="Q1049" s="3244"/>
      <c r="R1049" s="3244"/>
      <c r="S1049" s="3242">
        <v>0</v>
      </c>
      <c r="T1049" s="3244"/>
      <c r="U1049" s="3244"/>
      <c r="V1049" s="3244"/>
      <c r="W1049" s="3240">
        <v>0</v>
      </c>
      <c r="X1049" s="3244"/>
      <c r="Y1049" s="3244"/>
      <c r="Z1049" s="3242" t="s">
        <v>3384</v>
      </c>
      <c r="AA1049" s="3243">
        <v>0</v>
      </c>
      <c r="AB1049" s="3242">
        <v>0</v>
      </c>
      <c r="AC1049" s="3244"/>
      <c r="AD1049" s="3244"/>
      <c r="AE1049" s="3242">
        <v>0</v>
      </c>
      <c r="AF1049" s="3259"/>
      <c r="AG1049" s="3260"/>
      <c r="AH1049" s="3260"/>
      <c r="AI1049" s="3260"/>
      <c r="AJ1049" s="3260"/>
      <c r="AK1049" s="3260"/>
      <c r="AL1049" s="3259"/>
      <c r="AM1049" s="3260"/>
      <c r="AN1049" s="3259"/>
      <c r="AO1049" s="3260"/>
      <c r="AP1049" s="3242">
        <v>0</v>
      </c>
      <c r="AQ1049" s="3244"/>
      <c r="AR1049" s="3244"/>
      <c r="AS1049" s="3242" t="s">
        <v>3384</v>
      </c>
      <c r="AT1049" s="3247">
        <f t="shared" si="87"/>
        <v>0</v>
      </c>
      <c r="AU1049" s="3248">
        <f t="shared" si="88"/>
        <v>0</v>
      </c>
      <c r="AV1049" s="3248">
        <v>0</v>
      </c>
      <c r="AW1049" s="3247">
        <v>0</v>
      </c>
      <c r="AX1049" s="3248">
        <v>0</v>
      </c>
      <c r="AY1049" s="3248">
        <v>0</v>
      </c>
      <c r="AZ1049" s="3247">
        <v>0</v>
      </c>
      <c r="BA1049" s="3248">
        <v>0</v>
      </c>
      <c r="BB1049" s="3248">
        <v>0</v>
      </c>
      <c r="BC1049" s="3247">
        <v>0</v>
      </c>
      <c r="BD1049" s="3248">
        <v>0</v>
      </c>
      <c r="BE1049" s="3248">
        <v>0</v>
      </c>
      <c r="BF1049" s="3248">
        <f t="shared" si="89"/>
        <v>0</v>
      </c>
      <c r="BG1049" s="3248">
        <f t="shared" si="90"/>
        <v>0</v>
      </c>
      <c r="BH1049" s="3249"/>
      <c r="BI1049" s="3249"/>
    </row>
    <row r="1050" spans="1:61" x14ac:dyDescent="0.3">
      <c r="A1050" s="4197" t="s">
        <v>3384</v>
      </c>
      <c r="B1050" s="3261"/>
      <c r="C1050" s="3243">
        <v>0</v>
      </c>
      <c r="D1050" s="3242">
        <v>0</v>
      </c>
      <c r="E1050" s="3244"/>
      <c r="F1050" s="3244"/>
      <c r="G1050" s="3242">
        <v>0</v>
      </c>
      <c r="H1050" s="3244"/>
      <c r="I1050" s="3244"/>
      <c r="J1050" s="3244"/>
      <c r="K1050" s="3242">
        <v>0</v>
      </c>
      <c r="L1050" s="3244"/>
      <c r="M1050" s="3244"/>
      <c r="N1050" s="3242" t="s">
        <v>3384</v>
      </c>
      <c r="O1050" s="3239">
        <v>0</v>
      </c>
      <c r="P1050" s="3242">
        <v>0</v>
      </c>
      <c r="Q1050" s="3244"/>
      <c r="R1050" s="3244"/>
      <c r="S1050" s="3242">
        <v>0</v>
      </c>
      <c r="T1050" s="3244"/>
      <c r="U1050" s="3244"/>
      <c r="V1050" s="3244"/>
      <c r="W1050" s="3240">
        <v>0</v>
      </c>
      <c r="X1050" s="3244"/>
      <c r="Y1050" s="3244"/>
      <c r="Z1050" s="3242" t="s">
        <v>3384</v>
      </c>
      <c r="AA1050" s="3243">
        <v>0</v>
      </c>
      <c r="AB1050" s="3242">
        <v>0</v>
      </c>
      <c r="AC1050" s="3244"/>
      <c r="AD1050" s="3244"/>
      <c r="AE1050" s="3242">
        <v>0</v>
      </c>
      <c r="AF1050" s="3259"/>
      <c r="AG1050" s="3260"/>
      <c r="AH1050" s="3260"/>
      <c r="AI1050" s="3260"/>
      <c r="AJ1050" s="3260"/>
      <c r="AK1050" s="3260"/>
      <c r="AL1050" s="3259"/>
      <c r="AM1050" s="3260"/>
      <c r="AN1050" s="3259"/>
      <c r="AO1050" s="3260"/>
      <c r="AP1050" s="3242">
        <v>0</v>
      </c>
      <c r="AQ1050" s="3244"/>
      <c r="AR1050" s="3244"/>
      <c r="AS1050" s="3242" t="s">
        <v>3384</v>
      </c>
      <c r="AT1050" s="3247">
        <f t="shared" si="87"/>
        <v>0</v>
      </c>
      <c r="AU1050" s="3248">
        <f t="shared" si="88"/>
        <v>0</v>
      </c>
      <c r="AV1050" s="3248">
        <v>0</v>
      </c>
      <c r="AW1050" s="3247">
        <v>0</v>
      </c>
      <c r="AX1050" s="3248">
        <v>0</v>
      </c>
      <c r="AY1050" s="3248">
        <v>0</v>
      </c>
      <c r="AZ1050" s="3247">
        <v>0</v>
      </c>
      <c r="BA1050" s="3248">
        <v>0</v>
      </c>
      <c r="BB1050" s="3248">
        <v>0</v>
      </c>
      <c r="BC1050" s="3247">
        <v>0</v>
      </c>
      <c r="BD1050" s="3248">
        <v>0</v>
      </c>
      <c r="BE1050" s="3248">
        <v>0</v>
      </c>
      <c r="BF1050" s="3248">
        <f t="shared" si="89"/>
        <v>0</v>
      </c>
      <c r="BG1050" s="3248">
        <f t="shared" si="90"/>
        <v>0</v>
      </c>
      <c r="BH1050" s="3249"/>
      <c r="BI1050" s="3249"/>
    </row>
    <row r="1051" spans="1:61" x14ac:dyDescent="0.3">
      <c r="A1051" s="4197" t="s">
        <v>3384</v>
      </c>
      <c r="B1051" s="3261"/>
      <c r="C1051" s="3243">
        <v>0</v>
      </c>
      <c r="D1051" s="3242">
        <v>0</v>
      </c>
      <c r="E1051" s="3244"/>
      <c r="F1051" s="3244"/>
      <c r="G1051" s="3242">
        <v>0</v>
      </c>
      <c r="H1051" s="3244"/>
      <c r="I1051" s="3244"/>
      <c r="J1051" s="3244"/>
      <c r="K1051" s="3242">
        <v>0</v>
      </c>
      <c r="L1051" s="3244"/>
      <c r="M1051" s="3244"/>
      <c r="N1051" s="3242" t="s">
        <v>3384</v>
      </c>
      <c r="O1051" s="3239">
        <v>0</v>
      </c>
      <c r="P1051" s="3242">
        <v>0</v>
      </c>
      <c r="Q1051" s="3244"/>
      <c r="R1051" s="3244"/>
      <c r="S1051" s="3242">
        <v>0</v>
      </c>
      <c r="T1051" s="3244"/>
      <c r="U1051" s="3244"/>
      <c r="V1051" s="3244"/>
      <c r="W1051" s="3240">
        <v>0</v>
      </c>
      <c r="X1051" s="3244"/>
      <c r="Y1051" s="3244"/>
      <c r="Z1051" s="3242" t="s">
        <v>3384</v>
      </c>
      <c r="AA1051" s="3243">
        <v>0</v>
      </c>
      <c r="AB1051" s="3242">
        <v>0</v>
      </c>
      <c r="AC1051" s="3244"/>
      <c r="AD1051" s="3244"/>
      <c r="AE1051" s="3242">
        <v>0</v>
      </c>
      <c r="AF1051" s="3259"/>
      <c r="AG1051" s="3260"/>
      <c r="AH1051" s="3260"/>
      <c r="AI1051" s="3260"/>
      <c r="AJ1051" s="3260"/>
      <c r="AK1051" s="3260"/>
      <c r="AL1051" s="3259"/>
      <c r="AM1051" s="3260"/>
      <c r="AN1051" s="3259"/>
      <c r="AO1051" s="3260"/>
      <c r="AP1051" s="3242">
        <v>0</v>
      </c>
      <c r="AQ1051" s="3244"/>
      <c r="AR1051" s="3244"/>
      <c r="AS1051" s="3242" t="s">
        <v>3384</v>
      </c>
      <c r="AT1051" s="3247">
        <f t="shared" si="87"/>
        <v>0</v>
      </c>
      <c r="AU1051" s="3248">
        <f t="shared" si="88"/>
        <v>0</v>
      </c>
      <c r="AV1051" s="3248">
        <v>0</v>
      </c>
      <c r="AW1051" s="3247">
        <v>0</v>
      </c>
      <c r="AX1051" s="3248">
        <v>0</v>
      </c>
      <c r="AY1051" s="3248">
        <v>0</v>
      </c>
      <c r="AZ1051" s="3247">
        <v>0</v>
      </c>
      <c r="BA1051" s="3248">
        <v>0</v>
      </c>
      <c r="BB1051" s="3248">
        <v>0</v>
      </c>
      <c r="BC1051" s="3247">
        <v>0</v>
      </c>
      <c r="BD1051" s="3248">
        <v>0</v>
      </c>
      <c r="BE1051" s="3248">
        <v>0</v>
      </c>
      <c r="BF1051" s="3248">
        <f t="shared" si="89"/>
        <v>0</v>
      </c>
      <c r="BG1051" s="3248">
        <f t="shared" si="90"/>
        <v>0</v>
      </c>
      <c r="BH1051" s="3249"/>
      <c r="BI1051" s="3249"/>
    </row>
    <row r="1052" spans="1:61" x14ac:dyDescent="0.3">
      <c r="A1052" s="4197" t="s">
        <v>3384</v>
      </c>
      <c r="B1052" s="3261"/>
      <c r="C1052" s="3243">
        <v>0</v>
      </c>
      <c r="D1052" s="3242">
        <v>0</v>
      </c>
      <c r="E1052" s="3244"/>
      <c r="F1052" s="3244"/>
      <c r="G1052" s="3242">
        <v>0</v>
      </c>
      <c r="H1052" s="3244"/>
      <c r="I1052" s="3244"/>
      <c r="J1052" s="3244"/>
      <c r="K1052" s="3242">
        <v>0</v>
      </c>
      <c r="L1052" s="3244"/>
      <c r="M1052" s="3244"/>
      <c r="N1052" s="3242" t="s">
        <v>3384</v>
      </c>
      <c r="O1052" s="3239">
        <v>0</v>
      </c>
      <c r="P1052" s="3242">
        <v>0</v>
      </c>
      <c r="Q1052" s="3244"/>
      <c r="R1052" s="3244"/>
      <c r="S1052" s="3242">
        <v>0</v>
      </c>
      <c r="T1052" s="3244"/>
      <c r="U1052" s="3244"/>
      <c r="V1052" s="3244"/>
      <c r="W1052" s="3240">
        <v>0</v>
      </c>
      <c r="X1052" s="3244"/>
      <c r="Y1052" s="3244"/>
      <c r="Z1052" s="3242" t="s">
        <v>3384</v>
      </c>
      <c r="AA1052" s="3243">
        <v>0</v>
      </c>
      <c r="AB1052" s="3242">
        <v>0</v>
      </c>
      <c r="AC1052" s="3244"/>
      <c r="AD1052" s="3244"/>
      <c r="AE1052" s="3242">
        <v>0</v>
      </c>
      <c r="AF1052" s="3259"/>
      <c r="AG1052" s="3260"/>
      <c r="AH1052" s="3260"/>
      <c r="AI1052" s="3260"/>
      <c r="AJ1052" s="3260"/>
      <c r="AK1052" s="3260"/>
      <c r="AL1052" s="3259"/>
      <c r="AM1052" s="3260"/>
      <c r="AN1052" s="3259"/>
      <c r="AO1052" s="3260"/>
      <c r="AP1052" s="3242">
        <v>0</v>
      </c>
      <c r="AQ1052" s="3244"/>
      <c r="AR1052" s="3244"/>
      <c r="AS1052" s="3242" t="s">
        <v>3384</v>
      </c>
      <c r="AT1052" s="3247">
        <f t="shared" si="87"/>
        <v>0</v>
      </c>
      <c r="AU1052" s="3248">
        <f t="shared" si="88"/>
        <v>0</v>
      </c>
      <c r="AV1052" s="3248">
        <v>0</v>
      </c>
      <c r="AW1052" s="3247">
        <v>0</v>
      </c>
      <c r="AX1052" s="3248">
        <v>0</v>
      </c>
      <c r="AY1052" s="3248">
        <v>0</v>
      </c>
      <c r="AZ1052" s="3247">
        <v>0</v>
      </c>
      <c r="BA1052" s="3248">
        <v>0</v>
      </c>
      <c r="BB1052" s="3248">
        <v>0</v>
      </c>
      <c r="BC1052" s="3247">
        <v>0</v>
      </c>
      <c r="BD1052" s="3248">
        <v>0</v>
      </c>
      <c r="BE1052" s="3248">
        <v>0</v>
      </c>
      <c r="BF1052" s="3248">
        <f t="shared" si="89"/>
        <v>0</v>
      </c>
      <c r="BG1052" s="3248">
        <f t="shared" si="90"/>
        <v>0</v>
      </c>
      <c r="BH1052" s="3249"/>
      <c r="BI1052" s="3249"/>
    </row>
    <row r="1053" spans="1:61" x14ac:dyDescent="0.3">
      <c r="A1053" s="4197" t="s">
        <v>3384</v>
      </c>
      <c r="B1053" s="3261"/>
      <c r="C1053" s="3243">
        <v>0</v>
      </c>
      <c r="D1053" s="3242">
        <v>0</v>
      </c>
      <c r="E1053" s="3244"/>
      <c r="F1053" s="3244"/>
      <c r="G1053" s="3242">
        <v>0</v>
      </c>
      <c r="H1053" s="3244"/>
      <c r="I1053" s="3244"/>
      <c r="J1053" s="3244"/>
      <c r="K1053" s="3242">
        <v>0</v>
      </c>
      <c r="L1053" s="3244"/>
      <c r="M1053" s="3244"/>
      <c r="N1053" s="3242" t="s">
        <v>3384</v>
      </c>
      <c r="O1053" s="3239">
        <v>0</v>
      </c>
      <c r="P1053" s="3242">
        <v>0</v>
      </c>
      <c r="Q1053" s="3244"/>
      <c r="R1053" s="3244"/>
      <c r="S1053" s="3242">
        <v>0</v>
      </c>
      <c r="T1053" s="3244"/>
      <c r="U1053" s="3244"/>
      <c r="V1053" s="3244"/>
      <c r="W1053" s="3240">
        <v>0</v>
      </c>
      <c r="X1053" s="3244"/>
      <c r="Y1053" s="3244"/>
      <c r="Z1053" s="3242" t="s">
        <v>3384</v>
      </c>
      <c r="AA1053" s="3243">
        <v>0</v>
      </c>
      <c r="AB1053" s="3242">
        <v>0</v>
      </c>
      <c r="AC1053" s="3244"/>
      <c r="AD1053" s="3244"/>
      <c r="AE1053" s="3242">
        <v>0</v>
      </c>
      <c r="AF1053" s="3259"/>
      <c r="AG1053" s="3260"/>
      <c r="AH1053" s="3260"/>
      <c r="AI1053" s="3260"/>
      <c r="AJ1053" s="3260"/>
      <c r="AK1053" s="3260"/>
      <c r="AL1053" s="3259"/>
      <c r="AM1053" s="3260"/>
      <c r="AN1053" s="3259"/>
      <c r="AO1053" s="3260"/>
      <c r="AP1053" s="3242">
        <v>0</v>
      </c>
      <c r="AQ1053" s="3244"/>
      <c r="AR1053" s="3244"/>
      <c r="AS1053" s="3242" t="s">
        <v>3384</v>
      </c>
      <c r="AT1053" s="3247">
        <f t="shared" si="87"/>
        <v>0</v>
      </c>
      <c r="AU1053" s="3248">
        <f t="shared" si="88"/>
        <v>0</v>
      </c>
      <c r="AV1053" s="3248">
        <v>0</v>
      </c>
      <c r="AW1053" s="3247">
        <v>0</v>
      </c>
      <c r="AX1053" s="3248">
        <v>0</v>
      </c>
      <c r="AY1053" s="3248">
        <v>0</v>
      </c>
      <c r="AZ1053" s="3247">
        <v>0</v>
      </c>
      <c r="BA1053" s="3248">
        <v>0</v>
      </c>
      <c r="BB1053" s="3248">
        <v>0</v>
      </c>
      <c r="BC1053" s="3247">
        <v>0</v>
      </c>
      <c r="BD1053" s="3248">
        <v>0</v>
      </c>
      <c r="BE1053" s="3248">
        <v>0</v>
      </c>
      <c r="BF1053" s="3248">
        <f t="shared" si="89"/>
        <v>0</v>
      </c>
      <c r="BG1053" s="3248">
        <f t="shared" si="90"/>
        <v>0</v>
      </c>
      <c r="BH1053" s="3249"/>
      <c r="BI1053" s="3249"/>
    </row>
    <row r="1054" spans="1:61" x14ac:dyDescent="0.3">
      <c r="A1054" s="4197" t="s">
        <v>3384</v>
      </c>
      <c r="B1054" s="3261"/>
      <c r="C1054" s="3243">
        <v>0</v>
      </c>
      <c r="D1054" s="3242">
        <v>0</v>
      </c>
      <c r="E1054" s="3244"/>
      <c r="F1054" s="3244"/>
      <c r="G1054" s="3242">
        <v>0</v>
      </c>
      <c r="H1054" s="3244"/>
      <c r="I1054" s="3244"/>
      <c r="J1054" s="3244"/>
      <c r="K1054" s="3242">
        <v>0</v>
      </c>
      <c r="L1054" s="3244"/>
      <c r="M1054" s="3244"/>
      <c r="N1054" s="3242" t="s">
        <v>3384</v>
      </c>
      <c r="O1054" s="3239">
        <v>0</v>
      </c>
      <c r="P1054" s="3242">
        <v>0</v>
      </c>
      <c r="Q1054" s="3244"/>
      <c r="R1054" s="3244"/>
      <c r="S1054" s="3242">
        <v>0</v>
      </c>
      <c r="T1054" s="3244"/>
      <c r="U1054" s="3244"/>
      <c r="V1054" s="3244"/>
      <c r="W1054" s="3240">
        <v>0</v>
      </c>
      <c r="X1054" s="3244"/>
      <c r="Y1054" s="3244"/>
      <c r="Z1054" s="3242" t="s">
        <v>3384</v>
      </c>
      <c r="AA1054" s="3243">
        <v>0</v>
      </c>
      <c r="AB1054" s="3242">
        <v>0</v>
      </c>
      <c r="AC1054" s="3244"/>
      <c r="AD1054" s="3244"/>
      <c r="AE1054" s="3242">
        <v>0</v>
      </c>
      <c r="AF1054" s="3259"/>
      <c r="AG1054" s="3260"/>
      <c r="AH1054" s="3260"/>
      <c r="AI1054" s="3260"/>
      <c r="AJ1054" s="3260"/>
      <c r="AK1054" s="3260"/>
      <c r="AL1054" s="3259"/>
      <c r="AM1054" s="3260"/>
      <c r="AN1054" s="3259"/>
      <c r="AO1054" s="3260"/>
      <c r="AP1054" s="3242">
        <v>0</v>
      </c>
      <c r="AQ1054" s="3244"/>
      <c r="AR1054" s="3244"/>
      <c r="AS1054" s="3242" t="s">
        <v>3384</v>
      </c>
      <c r="AT1054" s="3247">
        <f t="shared" si="87"/>
        <v>0</v>
      </c>
      <c r="AU1054" s="3248">
        <f t="shared" si="88"/>
        <v>0</v>
      </c>
      <c r="AV1054" s="3248">
        <v>0</v>
      </c>
      <c r="AW1054" s="3247">
        <v>0</v>
      </c>
      <c r="AX1054" s="3248">
        <v>0</v>
      </c>
      <c r="AY1054" s="3248">
        <v>0</v>
      </c>
      <c r="AZ1054" s="3247">
        <v>0</v>
      </c>
      <c r="BA1054" s="3248">
        <v>0</v>
      </c>
      <c r="BB1054" s="3248">
        <v>0</v>
      </c>
      <c r="BC1054" s="3247">
        <v>0</v>
      </c>
      <c r="BD1054" s="3248">
        <v>0</v>
      </c>
      <c r="BE1054" s="3248">
        <v>0</v>
      </c>
      <c r="BF1054" s="3248">
        <f t="shared" si="89"/>
        <v>0</v>
      </c>
      <c r="BG1054" s="3248">
        <f t="shared" si="90"/>
        <v>0</v>
      </c>
      <c r="BH1054" s="3249"/>
      <c r="BI1054" s="3249"/>
    </row>
    <row r="1055" spans="1:61" x14ac:dyDescent="0.3">
      <c r="A1055" s="4197" t="s">
        <v>3384</v>
      </c>
      <c r="B1055" s="3261"/>
      <c r="C1055" s="3243">
        <v>0</v>
      </c>
      <c r="D1055" s="3242">
        <v>0</v>
      </c>
      <c r="E1055" s="3244"/>
      <c r="F1055" s="3244"/>
      <c r="G1055" s="3242">
        <v>0</v>
      </c>
      <c r="H1055" s="3244"/>
      <c r="I1055" s="3244"/>
      <c r="J1055" s="3244"/>
      <c r="K1055" s="3242">
        <v>0</v>
      </c>
      <c r="L1055" s="3244"/>
      <c r="M1055" s="3244"/>
      <c r="N1055" s="3242" t="s">
        <v>3384</v>
      </c>
      <c r="O1055" s="3239">
        <v>0</v>
      </c>
      <c r="P1055" s="3242">
        <v>0</v>
      </c>
      <c r="Q1055" s="3244"/>
      <c r="R1055" s="3244"/>
      <c r="S1055" s="3242">
        <v>0</v>
      </c>
      <c r="T1055" s="3244"/>
      <c r="U1055" s="3244"/>
      <c r="V1055" s="3244"/>
      <c r="W1055" s="3240">
        <v>0</v>
      </c>
      <c r="X1055" s="3244"/>
      <c r="Y1055" s="3244"/>
      <c r="Z1055" s="3242" t="s">
        <v>3384</v>
      </c>
      <c r="AA1055" s="3243">
        <v>0</v>
      </c>
      <c r="AB1055" s="3242">
        <v>0</v>
      </c>
      <c r="AC1055" s="3244"/>
      <c r="AD1055" s="3244"/>
      <c r="AE1055" s="3242">
        <v>0</v>
      </c>
      <c r="AF1055" s="3259"/>
      <c r="AG1055" s="3260"/>
      <c r="AH1055" s="3260"/>
      <c r="AI1055" s="3260"/>
      <c r="AJ1055" s="3260"/>
      <c r="AK1055" s="3260"/>
      <c r="AL1055" s="3259"/>
      <c r="AM1055" s="3260"/>
      <c r="AN1055" s="3259"/>
      <c r="AO1055" s="3260"/>
      <c r="AP1055" s="3242">
        <v>0</v>
      </c>
      <c r="AQ1055" s="3244"/>
      <c r="AR1055" s="3244"/>
      <c r="AS1055" s="3242" t="s">
        <v>3384</v>
      </c>
      <c r="AT1055" s="3247">
        <f t="shared" si="87"/>
        <v>0</v>
      </c>
      <c r="AU1055" s="3248">
        <f t="shared" si="88"/>
        <v>0</v>
      </c>
      <c r="AV1055" s="3248">
        <v>0</v>
      </c>
      <c r="AW1055" s="3247">
        <v>0</v>
      </c>
      <c r="AX1055" s="3248">
        <v>0</v>
      </c>
      <c r="AY1055" s="3248">
        <v>0</v>
      </c>
      <c r="AZ1055" s="3247">
        <v>0</v>
      </c>
      <c r="BA1055" s="3248">
        <v>0</v>
      </c>
      <c r="BB1055" s="3248">
        <v>0</v>
      </c>
      <c r="BC1055" s="3247">
        <v>0</v>
      </c>
      <c r="BD1055" s="3248">
        <v>0</v>
      </c>
      <c r="BE1055" s="3248">
        <v>0</v>
      </c>
      <c r="BF1055" s="3248">
        <f t="shared" si="89"/>
        <v>0</v>
      </c>
      <c r="BG1055" s="3248">
        <f t="shared" si="90"/>
        <v>0</v>
      </c>
      <c r="BH1055" s="3249"/>
      <c r="BI1055" s="3249"/>
    </row>
    <row r="1056" spans="1:61" x14ac:dyDescent="0.3">
      <c r="A1056" s="4197" t="s">
        <v>3384</v>
      </c>
      <c r="B1056" s="3261"/>
      <c r="C1056" s="3243">
        <v>0</v>
      </c>
      <c r="D1056" s="3242">
        <v>0</v>
      </c>
      <c r="E1056" s="3244"/>
      <c r="F1056" s="3244"/>
      <c r="G1056" s="3242">
        <v>0</v>
      </c>
      <c r="H1056" s="3244"/>
      <c r="I1056" s="3244"/>
      <c r="J1056" s="3244"/>
      <c r="K1056" s="3242">
        <v>0</v>
      </c>
      <c r="L1056" s="3244"/>
      <c r="M1056" s="3244"/>
      <c r="N1056" s="3242" t="s">
        <v>3384</v>
      </c>
      <c r="O1056" s="3239">
        <v>0</v>
      </c>
      <c r="P1056" s="3242">
        <v>0</v>
      </c>
      <c r="Q1056" s="3244"/>
      <c r="R1056" s="3244"/>
      <c r="S1056" s="3242">
        <v>0</v>
      </c>
      <c r="T1056" s="3244"/>
      <c r="U1056" s="3244"/>
      <c r="V1056" s="3244"/>
      <c r="W1056" s="3240">
        <v>0</v>
      </c>
      <c r="X1056" s="3244"/>
      <c r="Y1056" s="3244"/>
      <c r="Z1056" s="3242" t="s">
        <v>3384</v>
      </c>
      <c r="AA1056" s="3243">
        <v>0</v>
      </c>
      <c r="AB1056" s="3242">
        <v>0</v>
      </c>
      <c r="AC1056" s="3244"/>
      <c r="AD1056" s="3244"/>
      <c r="AE1056" s="3242">
        <v>0</v>
      </c>
      <c r="AF1056" s="3259"/>
      <c r="AG1056" s="3260"/>
      <c r="AH1056" s="3260"/>
      <c r="AI1056" s="3260"/>
      <c r="AJ1056" s="3260"/>
      <c r="AK1056" s="3260"/>
      <c r="AL1056" s="3259"/>
      <c r="AM1056" s="3260"/>
      <c r="AN1056" s="3259"/>
      <c r="AO1056" s="3260"/>
      <c r="AP1056" s="3242">
        <v>0</v>
      </c>
      <c r="AQ1056" s="3244"/>
      <c r="AR1056" s="3244"/>
      <c r="AS1056" s="3242" t="s">
        <v>3384</v>
      </c>
      <c r="AT1056" s="3247">
        <f t="shared" si="87"/>
        <v>0</v>
      </c>
      <c r="AU1056" s="3248">
        <f t="shared" si="88"/>
        <v>0</v>
      </c>
      <c r="AV1056" s="3248">
        <v>0</v>
      </c>
      <c r="AW1056" s="3247">
        <v>0</v>
      </c>
      <c r="AX1056" s="3248">
        <v>0</v>
      </c>
      <c r="AY1056" s="3248">
        <v>0</v>
      </c>
      <c r="AZ1056" s="3247">
        <v>0</v>
      </c>
      <c r="BA1056" s="3248">
        <v>0</v>
      </c>
      <c r="BB1056" s="3248">
        <v>0</v>
      </c>
      <c r="BC1056" s="3247">
        <v>0</v>
      </c>
      <c r="BD1056" s="3248">
        <v>0</v>
      </c>
      <c r="BE1056" s="3248">
        <v>0</v>
      </c>
      <c r="BF1056" s="3248">
        <f t="shared" si="89"/>
        <v>0</v>
      </c>
      <c r="BG1056" s="3248">
        <f t="shared" si="90"/>
        <v>0</v>
      </c>
      <c r="BH1056" s="3249"/>
      <c r="BI1056" s="3249"/>
    </row>
    <row r="1057" spans="1:61" x14ac:dyDescent="0.3">
      <c r="A1057" s="4197" t="s">
        <v>3384</v>
      </c>
      <c r="B1057" s="3261"/>
      <c r="C1057" s="3243">
        <v>0</v>
      </c>
      <c r="D1057" s="3242">
        <v>0</v>
      </c>
      <c r="E1057" s="3244"/>
      <c r="F1057" s="3244"/>
      <c r="G1057" s="3242">
        <v>0</v>
      </c>
      <c r="H1057" s="3244"/>
      <c r="I1057" s="3244"/>
      <c r="J1057" s="3244"/>
      <c r="K1057" s="3242">
        <v>0</v>
      </c>
      <c r="L1057" s="3244"/>
      <c r="M1057" s="3244"/>
      <c r="N1057" s="3242" t="s">
        <v>3384</v>
      </c>
      <c r="O1057" s="3239">
        <v>0</v>
      </c>
      <c r="P1057" s="3242">
        <v>0</v>
      </c>
      <c r="Q1057" s="3244"/>
      <c r="R1057" s="3244"/>
      <c r="S1057" s="3242">
        <v>0</v>
      </c>
      <c r="T1057" s="3244"/>
      <c r="U1057" s="3244"/>
      <c r="V1057" s="3244"/>
      <c r="W1057" s="3240">
        <v>0</v>
      </c>
      <c r="X1057" s="3244"/>
      <c r="Y1057" s="3244"/>
      <c r="Z1057" s="3242" t="s">
        <v>3384</v>
      </c>
      <c r="AA1057" s="3243">
        <v>0</v>
      </c>
      <c r="AB1057" s="3242">
        <v>0</v>
      </c>
      <c r="AC1057" s="3244"/>
      <c r="AD1057" s="3244"/>
      <c r="AE1057" s="3242">
        <v>0</v>
      </c>
      <c r="AF1057" s="3259"/>
      <c r="AG1057" s="3260"/>
      <c r="AH1057" s="3260"/>
      <c r="AI1057" s="3260"/>
      <c r="AJ1057" s="3260"/>
      <c r="AK1057" s="3260"/>
      <c r="AL1057" s="3259"/>
      <c r="AM1057" s="3260"/>
      <c r="AN1057" s="3259"/>
      <c r="AO1057" s="3260"/>
      <c r="AP1057" s="3242">
        <v>0</v>
      </c>
      <c r="AQ1057" s="3244"/>
      <c r="AR1057" s="3244"/>
      <c r="AS1057" s="3242" t="s">
        <v>3384</v>
      </c>
      <c r="AT1057" s="3247">
        <f t="shared" si="87"/>
        <v>0</v>
      </c>
      <c r="AU1057" s="3248">
        <f t="shared" si="88"/>
        <v>0</v>
      </c>
      <c r="AV1057" s="3248">
        <v>0</v>
      </c>
      <c r="AW1057" s="3247">
        <v>0</v>
      </c>
      <c r="AX1057" s="3248">
        <v>0</v>
      </c>
      <c r="AY1057" s="3248">
        <v>0</v>
      </c>
      <c r="AZ1057" s="3247">
        <v>0</v>
      </c>
      <c r="BA1057" s="3248">
        <v>0</v>
      </c>
      <c r="BB1057" s="3248">
        <v>0</v>
      </c>
      <c r="BC1057" s="3247">
        <v>0</v>
      </c>
      <c r="BD1057" s="3248">
        <v>0</v>
      </c>
      <c r="BE1057" s="3248">
        <v>0</v>
      </c>
      <c r="BF1057" s="3248">
        <f t="shared" si="89"/>
        <v>0</v>
      </c>
      <c r="BG1057" s="3248">
        <f t="shared" si="90"/>
        <v>0</v>
      </c>
      <c r="BH1057" s="3249"/>
      <c r="BI1057" s="3249"/>
    </row>
    <row r="1058" spans="1:61" x14ac:dyDescent="0.3">
      <c r="A1058" s="4197" t="s">
        <v>3384</v>
      </c>
      <c r="B1058" s="3261"/>
      <c r="C1058" s="3243">
        <v>0</v>
      </c>
      <c r="D1058" s="3242">
        <v>0</v>
      </c>
      <c r="E1058" s="3244"/>
      <c r="F1058" s="3244"/>
      <c r="G1058" s="3242">
        <v>0</v>
      </c>
      <c r="H1058" s="3244"/>
      <c r="I1058" s="3244"/>
      <c r="J1058" s="3244"/>
      <c r="K1058" s="3242">
        <v>0</v>
      </c>
      <c r="L1058" s="3244"/>
      <c r="M1058" s="3244"/>
      <c r="N1058" s="3242" t="s">
        <v>3384</v>
      </c>
      <c r="O1058" s="3239">
        <v>0</v>
      </c>
      <c r="P1058" s="3242">
        <v>0</v>
      </c>
      <c r="Q1058" s="3244"/>
      <c r="R1058" s="3244"/>
      <c r="S1058" s="3242">
        <v>0</v>
      </c>
      <c r="T1058" s="3244"/>
      <c r="U1058" s="3244"/>
      <c r="V1058" s="3244"/>
      <c r="W1058" s="3240">
        <v>0</v>
      </c>
      <c r="X1058" s="3244"/>
      <c r="Y1058" s="3244"/>
      <c r="Z1058" s="3242" t="s">
        <v>3384</v>
      </c>
      <c r="AA1058" s="3243">
        <v>0</v>
      </c>
      <c r="AB1058" s="3242">
        <v>0</v>
      </c>
      <c r="AC1058" s="3244"/>
      <c r="AD1058" s="3244"/>
      <c r="AE1058" s="3242">
        <v>0</v>
      </c>
      <c r="AF1058" s="3259"/>
      <c r="AG1058" s="3260"/>
      <c r="AH1058" s="3260"/>
      <c r="AI1058" s="3260"/>
      <c r="AJ1058" s="3260"/>
      <c r="AK1058" s="3260"/>
      <c r="AL1058" s="3259"/>
      <c r="AM1058" s="3260"/>
      <c r="AN1058" s="3259"/>
      <c r="AO1058" s="3260"/>
      <c r="AP1058" s="3242">
        <v>0</v>
      </c>
      <c r="AQ1058" s="3244"/>
      <c r="AR1058" s="3244"/>
      <c r="AS1058" s="3242" t="s">
        <v>3384</v>
      </c>
      <c r="AT1058" s="3247">
        <f t="shared" si="87"/>
        <v>0</v>
      </c>
      <c r="AU1058" s="3248">
        <f t="shared" si="88"/>
        <v>0</v>
      </c>
      <c r="AV1058" s="3248">
        <v>0</v>
      </c>
      <c r="AW1058" s="3247">
        <v>0</v>
      </c>
      <c r="AX1058" s="3248">
        <v>0</v>
      </c>
      <c r="AY1058" s="3248">
        <v>0</v>
      </c>
      <c r="AZ1058" s="3247">
        <v>0</v>
      </c>
      <c r="BA1058" s="3248">
        <v>0</v>
      </c>
      <c r="BB1058" s="3248">
        <v>0</v>
      </c>
      <c r="BC1058" s="3247">
        <v>0</v>
      </c>
      <c r="BD1058" s="3248">
        <v>0</v>
      </c>
      <c r="BE1058" s="3248">
        <v>0</v>
      </c>
      <c r="BF1058" s="3248">
        <f t="shared" si="89"/>
        <v>0</v>
      </c>
      <c r="BG1058" s="3248">
        <f t="shared" si="90"/>
        <v>0</v>
      </c>
      <c r="BH1058" s="3249"/>
      <c r="BI1058" s="3249"/>
    </row>
    <row r="1059" spans="1:61" x14ac:dyDescent="0.3">
      <c r="A1059" s="4197" t="s">
        <v>3384</v>
      </c>
      <c r="B1059" s="3261"/>
      <c r="C1059" s="3243">
        <v>0</v>
      </c>
      <c r="D1059" s="3242">
        <v>0</v>
      </c>
      <c r="E1059" s="3244"/>
      <c r="F1059" s="3244"/>
      <c r="G1059" s="3242">
        <v>0</v>
      </c>
      <c r="H1059" s="3244"/>
      <c r="I1059" s="3244"/>
      <c r="J1059" s="3244"/>
      <c r="K1059" s="3242">
        <v>0</v>
      </c>
      <c r="L1059" s="3244"/>
      <c r="M1059" s="3244"/>
      <c r="N1059" s="3242" t="s">
        <v>3384</v>
      </c>
      <c r="O1059" s="3239">
        <v>0</v>
      </c>
      <c r="P1059" s="3242">
        <v>0</v>
      </c>
      <c r="Q1059" s="3244"/>
      <c r="R1059" s="3244"/>
      <c r="S1059" s="3242">
        <v>0</v>
      </c>
      <c r="T1059" s="3244"/>
      <c r="U1059" s="3244"/>
      <c r="V1059" s="3244"/>
      <c r="W1059" s="3240">
        <v>0</v>
      </c>
      <c r="X1059" s="3244"/>
      <c r="Y1059" s="3244"/>
      <c r="Z1059" s="3242" t="s">
        <v>3384</v>
      </c>
      <c r="AA1059" s="3243">
        <v>0</v>
      </c>
      <c r="AB1059" s="3242">
        <v>0</v>
      </c>
      <c r="AC1059" s="3244"/>
      <c r="AD1059" s="3244"/>
      <c r="AE1059" s="3242">
        <v>0</v>
      </c>
      <c r="AF1059" s="3259"/>
      <c r="AG1059" s="3260"/>
      <c r="AH1059" s="3260"/>
      <c r="AI1059" s="3260"/>
      <c r="AJ1059" s="3260"/>
      <c r="AK1059" s="3260"/>
      <c r="AL1059" s="3259"/>
      <c r="AM1059" s="3260"/>
      <c r="AN1059" s="3259"/>
      <c r="AO1059" s="3260"/>
      <c r="AP1059" s="3242">
        <v>0</v>
      </c>
      <c r="AQ1059" s="3244"/>
      <c r="AR1059" s="3244"/>
      <c r="AS1059" s="3242" t="s">
        <v>3384</v>
      </c>
      <c r="AT1059" s="3247">
        <f t="shared" si="87"/>
        <v>0</v>
      </c>
      <c r="AU1059" s="3248">
        <f t="shared" si="88"/>
        <v>0</v>
      </c>
      <c r="AV1059" s="3248">
        <v>0</v>
      </c>
      <c r="AW1059" s="3247">
        <v>0</v>
      </c>
      <c r="AX1059" s="3248">
        <v>0</v>
      </c>
      <c r="AY1059" s="3248">
        <v>0</v>
      </c>
      <c r="AZ1059" s="3247">
        <v>0</v>
      </c>
      <c r="BA1059" s="3248">
        <v>0</v>
      </c>
      <c r="BB1059" s="3248">
        <v>0</v>
      </c>
      <c r="BC1059" s="3247">
        <v>0</v>
      </c>
      <c r="BD1059" s="3248">
        <v>0</v>
      </c>
      <c r="BE1059" s="3248">
        <v>0</v>
      </c>
      <c r="BF1059" s="3248">
        <f t="shared" si="89"/>
        <v>0</v>
      </c>
      <c r="BG1059" s="3248">
        <f t="shared" si="90"/>
        <v>0</v>
      </c>
      <c r="BH1059" s="3249"/>
      <c r="BI1059" s="3249"/>
    </row>
    <row r="1060" spans="1:61" x14ac:dyDescent="0.3">
      <c r="A1060" s="4197" t="s">
        <v>3384</v>
      </c>
      <c r="B1060" s="3261"/>
      <c r="C1060" s="3243">
        <v>0</v>
      </c>
      <c r="D1060" s="3242">
        <v>0</v>
      </c>
      <c r="E1060" s="3244"/>
      <c r="F1060" s="3244"/>
      <c r="G1060" s="3242">
        <v>0</v>
      </c>
      <c r="H1060" s="3244"/>
      <c r="I1060" s="3244"/>
      <c r="J1060" s="3244"/>
      <c r="K1060" s="3242">
        <v>0</v>
      </c>
      <c r="L1060" s="3244"/>
      <c r="M1060" s="3244"/>
      <c r="N1060" s="3242" t="s">
        <v>3384</v>
      </c>
      <c r="O1060" s="3239">
        <v>0</v>
      </c>
      <c r="P1060" s="3242">
        <v>0</v>
      </c>
      <c r="Q1060" s="3244"/>
      <c r="R1060" s="3244"/>
      <c r="S1060" s="3242">
        <v>0</v>
      </c>
      <c r="T1060" s="3244"/>
      <c r="U1060" s="3244"/>
      <c r="V1060" s="3244"/>
      <c r="W1060" s="3240">
        <v>0</v>
      </c>
      <c r="X1060" s="3244"/>
      <c r="Y1060" s="3244"/>
      <c r="Z1060" s="3242" t="s">
        <v>3384</v>
      </c>
      <c r="AA1060" s="3243">
        <v>0</v>
      </c>
      <c r="AB1060" s="3242">
        <v>0</v>
      </c>
      <c r="AC1060" s="3244"/>
      <c r="AD1060" s="3244"/>
      <c r="AE1060" s="3242">
        <v>0</v>
      </c>
      <c r="AF1060" s="3259"/>
      <c r="AG1060" s="3260"/>
      <c r="AH1060" s="3260"/>
      <c r="AI1060" s="3260"/>
      <c r="AJ1060" s="3260"/>
      <c r="AK1060" s="3260"/>
      <c r="AL1060" s="3259"/>
      <c r="AM1060" s="3260"/>
      <c r="AN1060" s="3259"/>
      <c r="AO1060" s="3260"/>
      <c r="AP1060" s="3242">
        <v>0</v>
      </c>
      <c r="AQ1060" s="3244"/>
      <c r="AR1060" s="3244"/>
      <c r="AS1060" s="3242" t="s">
        <v>3384</v>
      </c>
      <c r="AT1060" s="3247">
        <f t="shared" si="87"/>
        <v>0</v>
      </c>
      <c r="AU1060" s="3248">
        <f t="shared" si="88"/>
        <v>0</v>
      </c>
      <c r="AV1060" s="3248">
        <v>0</v>
      </c>
      <c r="AW1060" s="3247">
        <v>0</v>
      </c>
      <c r="AX1060" s="3248">
        <v>0</v>
      </c>
      <c r="AY1060" s="3248">
        <v>0</v>
      </c>
      <c r="AZ1060" s="3247">
        <v>0</v>
      </c>
      <c r="BA1060" s="3248">
        <v>0</v>
      </c>
      <c r="BB1060" s="3248">
        <v>0</v>
      </c>
      <c r="BC1060" s="3247">
        <v>0</v>
      </c>
      <c r="BD1060" s="3248">
        <v>0</v>
      </c>
      <c r="BE1060" s="3248">
        <v>0</v>
      </c>
      <c r="BF1060" s="3248">
        <f t="shared" si="89"/>
        <v>0</v>
      </c>
      <c r="BG1060" s="3248">
        <f t="shared" si="90"/>
        <v>0</v>
      </c>
      <c r="BH1060" s="3249"/>
      <c r="BI1060" s="3249"/>
    </row>
    <row r="1061" spans="1:61" x14ac:dyDescent="0.3">
      <c r="A1061" s="4197" t="s">
        <v>3384</v>
      </c>
      <c r="B1061" s="3261"/>
      <c r="C1061" s="3243">
        <v>0</v>
      </c>
      <c r="D1061" s="3242">
        <v>0</v>
      </c>
      <c r="E1061" s="3244"/>
      <c r="F1061" s="3244"/>
      <c r="G1061" s="3242">
        <v>0</v>
      </c>
      <c r="H1061" s="3244"/>
      <c r="I1061" s="3244"/>
      <c r="J1061" s="3244"/>
      <c r="K1061" s="3242">
        <v>0</v>
      </c>
      <c r="L1061" s="3244"/>
      <c r="M1061" s="3244"/>
      <c r="N1061" s="3242" t="s">
        <v>3384</v>
      </c>
      <c r="O1061" s="3239">
        <v>0</v>
      </c>
      <c r="P1061" s="3242">
        <v>0</v>
      </c>
      <c r="Q1061" s="3244"/>
      <c r="R1061" s="3244"/>
      <c r="S1061" s="3242">
        <v>0</v>
      </c>
      <c r="T1061" s="3244"/>
      <c r="U1061" s="3244"/>
      <c r="V1061" s="3244"/>
      <c r="W1061" s="3240">
        <v>0</v>
      </c>
      <c r="X1061" s="3244"/>
      <c r="Y1061" s="3244"/>
      <c r="Z1061" s="3242" t="s">
        <v>3384</v>
      </c>
      <c r="AA1061" s="3243">
        <v>0</v>
      </c>
      <c r="AB1061" s="3242">
        <v>0</v>
      </c>
      <c r="AC1061" s="3244"/>
      <c r="AD1061" s="3244"/>
      <c r="AE1061" s="3242">
        <v>0</v>
      </c>
      <c r="AF1061" s="3259"/>
      <c r="AG1061" s="3260"/>
      <c r="AH1061" s="3260"/>
      <c r="AI1061" s="3260"/>
      <c r="AJ1061" s="3260"/>
      <c r="AK1061" s="3260"/>
      <c r="AL1061" s="3259"/>
      <c r="AM1061" s="3260"/>
      <c r="AN1061" s="3259"/>
      <c r="AO1061" s="3260"/>
      <c r="AP1061" s="3242">
        <v>0</v>
      </c>
      <c r="AQ1061" s="3244"/>
      <c r="AR1061" s="3244"/>
      <c r="AS1061" s="3242" t="s">
        <v>3384</v>
      </c>
      <c r="AT1061" s="3247">
        <f t="shared" si="87"/>
        <v>0</v>
      </c>
      <c r="AU1061" s="3248">
        <f t="shared" si="88"/>
        <v>0</v>
      </c>
      <c r="AV1061" s="3248">
        <v>0</v>
      </c>
      <c r="AW1061" s="3247">
        <v>0</v>
      </c>
      <c r="AX1061" s="3248">
        <v>0</v>
      </c>
      <c r="AY1061" s="3248">
        <v>0</v>
      </c>
      <c r="AZ1061" s="3247">
        <v>0</v>
      </c>
      <c r="BA1061" s="3248">
        <v>0</v>
      </c>
      <c r="BB1061" s="3248">
        <v>0</v>
      </c>
      <c r="BC1061" s="3247">
        <v>0</v>
      </c>
      <c r="BD1061" s="3248">
        <v>0</v>
      </c>
      <c r="BE1061" s="3248">
        <v>0</v>
      </c>
      <c r="BF1061" s="3248">
        <f t="shared" si="89"/>
        <v>0</v>
      </c>
      <c r="BG1061" s="3248">
        <f t="shared" si="90"/>
        <v>0</v>
      </c>
      <c r="BH1061" s="3249"/>
      <c r="BI1061" s="3249"/>
    </row>
    <row r="1062" spans="1:61" x14ac:dyDescent="0.3">
      <c r="A1062" s="4197" t="s">
        <v>3384</v>
      </c>
      <c r="B1062" s="3261"/>
      <c r="C1062" s="3243">
        <v>0</v>
      </c>
      <c r="D1062" s="3242">
        <v>0</v>
      </c>
      <c r="E1062" s="3244"/>
      <c r="F1062" s="3244"/>
      <c r="G1062" s="3242">
        <v>0</v>
      </c>
      <c r="H1062" s="3244"/>
      <c r="I1062" s="3244"/>
      <c r="J1062" s="3244"/>
      <c r="K1062" s="3242">
        <v>0</v>
      </c>
      <c r="L1062" s="3244"/>
      <c r="M1062" s="3244"/>
      <c r="N1062" s="3242" t="s">
        <v>3384</v>
      </c>
      <c r="O1062" s="3239">
        <v>0</v>
      </c>
      <c r="P1062" s="3242">
        <v>0</v>
      </c>
      <c r="Q1062" s="3244"/>
      <c r="R1062" s="3244"/>
      <c r="S1062" s="3242">
        <v>0</v>
      </c>
      <c r="T1062" s="3244"/>
      <c r="U1062" s="3244"/>
      <c r="V1062" s="3244"/>
      <c r="W1062" s="3240">
        <v>0</v>
      </c>
      <c r="X1062" s="3244"/>
      <c r="Y1062" s="3244"/>
      <c r="Z1062" s="3242" t="s">
        <v>3384</v>
      </c>
      <c r="AA1062" s="3243">
        <v>0</v>
      </c>
      <c r="AB1062" s="3242">
        <v>0</v>
      </c>
      <c r="AC1062" s="3244"/>
      <c r="AD1062" s="3244"/>
      <c r="AE1062" s="3242">
        <v>0</v>
      </c>
      <c r="AF1062" s="3259"/>
      <c r="AG1062" s="3260"/>
      <c r="AH1062" s="3260"/>
      <c r="AI1062" s="3260"/>
      <c r="AJ1062" s="3260"/>
      <c r="AK1062" s="3260"/>
      <c r="AL1062" s="3259"/>
      <c r="AM1062" s="3260"/>
      <c r="AN1062" s="3259"/>
      <c r="AO1062" s="3260"/>
      <c r="AP1062" s="3242">
        <v>0</v>
      </c>
      <c r="AQ1062" s="3244"/>
      <c r="AR1062" s="3244"/>
      <c r="AS1062" s="3242" t="s">
        <v>3384</v>
      </c>
      <c r="AT1062" s="3247">
        <f t="shared" si="87"/>
        <v>0</v>
      </c>
      <c r="AU1062" s="3248">
        <f t="shared" si="88"/>
        <v>0</v>
      </c>
      <c r="AV1062" s="3248">
        <v>0</v>
      </c>
      <c r="AW1062" s="3247">
        <v>0</v>
      </c>
      <c r="AX1062" s="3248">
        <v>0</v>
      </c>
      <c r="AY1062" s="3248">
        <v>0</v>
      </c>
      <c r="AZ1062" s="3247">
        <v>0</v>
      </c>
      <c r="BA1062" s="3248">
        <v>0</v>
      </c>
      <c r="BB1062" s="3248">
        <v>0</v>
      </c>
      <c r="BC1062" s="3247">
        <v>0</v>
      </c>
      <c r="BD1062" s="3248">
        <v>0</v>
      </c>
      <c r="BE1062" s="3248">
        <v>0</v>
      </c>
      <c r="BF1062" s="3248">
        <f t="shared" si="89"/>
        <v>0</v>
      </c>
      <c r="BG1062" s="3248">
        <f t="shared" si="90"/>
        <v>0</v>
      </c>
      <c r="BH1062" s="3249"/>
      <c r="BI1062" s="3249"/>
    </row>
    <row r="1063" spans="1:61" x14ac:dyDescent="0.3">
      <c r="A1063" s="4197" t="s">
        <v>3384</v>
      </c>
      <c r="B1063" s="3261"/>
      <c r="C1063" s="3243">
        <v>0</v>
      </c>
      <c r="D1063" s="3242">
        <v>0</v>
      </c>
      <c r="E1063" s="3244"/>
      <c r="F1063" s="3244"/>
      <c r="G1063" s="3242">
        <v>0</v>
      </c>
      <c r="H1063" s="3244"/>
      <c r="I1063" s="3244"/>
      <c r="J1063" s="3244"/>
      <c r="K1063" s="3242">
        <v>0</v>
      </c>
      <c r="L1063" s="3244"/>
      <c r="M1063" s="3244"/>
      <c r="N1063" s="3242" t="s">
        <v>3384</v>
      </c>
      <c r="O1063" s="3239">
        <v>0</v>
      </c>
      <c r="P1063" s="3242">
        <v>0</v>
      </c>
      <c r="Q1063" s="3244"/>
      <c r="R1063" s="3244"/>
      <c r="S1063" s="3242">
        <v>0</v>
      </c>
      <c r="T1063" s="3244"/>
      <c r="U1063" s="3244"/>
      <c r="V1063" s="3244"/>
      <c r="W1063" s="3240">
        <v>0</v>
      </c>
      <c r="X1063" s="3244"/>
      <c r="Y1063" s="3244"/>
      <c r="Z1063" s="3242" t="s">
        <v>3384</v>
      </c>
      <c r="AA1063" s="3243">
        <v>0</v>
      </c>
      <c r="AB1063" s="3242">
        <v>0</v>
      </c>
      <c r="AC1063" s="3244"/>
      <c r="AD1063" s="3244"/>
      <c r="AE1063" s="3242">
        <v>0</v>
      </c>
      <c r="AF1063" s="3259"/>
      <c r="AG1063" s="3260"/>
      <c r="AH1063" s="3260"/>
      <c r="AI1063" s="3260"/>
      <c r="AJ1063" s="3260"/>
      <c r="AK1063" s="3260"/>
      <c r="AL1063" s="3259"/>
      <c r="AM1063" s="3260"/>
      <c r="AN1063" s="3259"/>
      <c r="AO1063" s="3260"/>
      <c r="AP1063" s="3242">
        <v>0</v>
      </c>
      <c r="AQ1063" s="3244"/>
      <c r="AR1063" s="3244"/>
      <c r="AS1063" s="3242" t="s">
        <v>3384</v>
      </c>
      <c r="AT1063" s="3247">
        <f t="shared" si="87"/>
        <v>0</v>
      </c>
      <c r="AU1063" s="3248">
        <f t="shared" si="88"/>
        <v>0</v>
      </c>
      <c r="AV1063" s="3248">
        <v>0</v>
      </c>
      <c r="AW1063" s="3247">
        <v>0</v>
      </c>
      <c r="AX1063" s="3248">
        <v>0</v>
      </c>
      <c r="AY1063" s="3248">
        <v>0</v>
      </c>
      <c r="AZ1063" s="3247">
        <v>0</v>
      </c>
      <c r="BA1063" s="3248">
        <v>0</v>
      </c>
      <c r="BB1063" s="3248">
        <v>0</v>
      </c>
      <c r="BC1063" s="3247">
        <v>0</v>
      </c>
      <c r="BD1063" s="3248">
        <v>0</v>
      </c>
      <c r="BE1063" s="3248">
        <v>0</v>
      </c>
      <c r="BF1063" s="3248">
        <f t="shared" si="89"/>
        <v>0</v>
      </c>
      <c r="BG1063" s="3248">
        <f t="shared" si="90"/>
        <v>0</v>
      </c>
      <c r="BH1063" s="3249"/>
      <c r="BI1063" s="3249"/>
    </row>
    <row r="1064" spans="1:61" x14ac:dyDescent="0.3">
      <c r="A1064" s="4197" t="s">
        <v>3384</v>
      </c>
      <c r="B1064" s="3261"/>
      <c r="C1064" s="3243">
        <v>0</v>
      </c>
      <c r="D1064" s="3242">
        <v>0</v>
      </c>
      <c r="E1064" s="3244"/>
      <c r="F1064" s="3244"/>
      <c r="G1064" s="3242">
        <v>0</v>
      </c>
      <c r="H1064" s="3244"/>
      <c r="I1064" s="3244"/>
      <c r="J1064" s="3244"/>
      <c r="K1064" s="3242">
        <v>0</v>
      </c>
      <c r="L1064" s="3244"/>
      <c r="M1064" s="3244"/>
      <c r="N1064" s="3242" t="s">
        <v>3384</v>
      </c>
      <c r="O1064" s="3239">
        <v>0</v>
      </c>
      <c r="P1064" s="3242">
        <v>0</v>
      </c>
      <c r="Q1064" s="3244"/>
      <c r="R1064" s="3244"/>
      <c r="S1064" s="3242">
        <v>0</v>
      </c>
      <c r="T1064" s="3244"/>
      <c r="U1064" s="3244"/>
      <c r="V1064" s="3244"/>
      <c r="W1064" s="3240">
        <v>0</v>
      </c>
      <c r="X1064" s="3244"/>
      <c r="Y1064" s="3244"/>
      <c r="Z1064" s="3242" t="s">
        <v>3384</v>
      </c>
      <c r="AA1064" s="3243">
        <v>0</v>
      </c>
      <c r="AB1064" s="3242">
        <v>0</v>
      </c>
      <c r="AC1064" s="3244"/>
      <c r="AD1064" s="3244"/>
      <c r="AE1064" s="3242">
        <v>0</v>
      </c>
      <c r="AF1064" s="3259"/>
      <c r="AG1064" s="3260"/>
      <c r="AH1064" s="3260"/>
      <c r="AI1064" s="3260"/>
      <c r="AJ1064" s="3260"/>
      <c r="AK1064" s="3260"/>
      <c r="AL1064" s="3259"/>
      <c r="AM1064" s="3260"/>
      <c r="AN1064" s="3259"/>
      <c r="AO1064" s="3260"/>
      <c r="AP1064" s="3242">
        <v>0</v>
      </c>
      <c r="AQ1064" s="3244"/>
      <c r="AR1064" s="3244"/>
      <c r="AS1064" s="3242" t="s">
        <v>3384</v>
      </c>
      <c r="AT1064" s="3247">
        <f t="shared" si="87"/>
        <v>0</v>
      </c>
      <c r="AU1064" s="3248">
        <f t="shared" si="88"/>
        <v>0</v>
      </c>
      <c r="AV1064" s="3248">
        <v>0</v>
      </c>
      <c r="AW1064" s="3247">
        <v>0</v>
      </c>
      <c r="AX1064" s="3248">
        <v>0</v>
      </c>
      <c r="AY1064" s="3248">
        <v>0</v>
      </c>
      <c r="AZ1064" s="3247">
        <v>0</v>
      </c>
      <c r="BA1064" s="3248">
        <v>0</v>
      </c>
      <c r="BB1064" s="3248">
        <v>0</v>
      </c>
      <c r="BC1064" s="3247">
        <v>0</v>
      </c>
      <c r="BD1064" s="3248">
        <v>0</v>
      </c>
      <c r="BE1064" s="3248">
        <v>0</v>
      </c>
      <c r="BF1064" s="3248">
        <f t="shared" si="89"/>
        <v>0</v>
      </c>
      <c r="BG1064" s="3248">
        <f t="shared" si="90"/>
        <v>0</v>
      </c>
      <c r="BH1064" s="3249"/>
      <c r="BI1064" s="3249"/>
    </row>
    <row r="1065" spans="1:61" x14ac:dyDescent="0.3">
      <c r="A1065" s="4197" t="s">
        <v>3384</v>
      </c>
      <c r="B1065" s="3261"/>
      <c r="C1065" s="3243">
        <v>0</v>
      </c>
      <c r="D1065" s="3242">
        <v>0</v>
      </c>
      <c r="E1065" s="3244"/>
      <c r="F1065" s="3244"/>
      <c r="G1065" s="3242">
        <v>0</v>
      </c>
      <c r="H1065" s="3244"/>
      <c r="I1065" s="3244"/>
      <c r="J1065" s="3244"/>
      <c r="K1065" s="3242">
        <v>0</v>
      </c>
      <c r="L1065" s="3244"/>
      <c r="M1065" s="3244"/>
      <c r="N1065" s="3242" t="s">
        <v>3384</v>
      </c>
      <c r="O1065" s="3239">
        <v>0</v>
      </c>
      <c r="P1065" s="3242">
        <v>0</v>
      </c>
      <c r="Q1065" s="3244"/>
      <c r="R1065" s="3244"/>
      <c r="S1065" s="3242">
        <v>0</v>
      </c>
      <c r="T1065" s="3244"/>
      <c r="U1065" s="3244"/>
      <c r="V1065" s="3244"/>
      <c r="W1065" s="3240">
        <v>0</v>
      </c>
      <c r="X1065" s="3244"/>
      <c r="Y1065" s="3244"/>
      <c r="Z1065" s="3242" t="s">
        <v>3384</v>
      </c>
      <c r="AA1065" s="3243">
        <v>0</v>
      </c>
      <c r="AB1065" s="3242">
        <v>0</v>
      </c>
      <c r="AC1065" s="3244"/>
      <c r="AD1065" s="3244"/>
      <c r="AE1065" s="3242">
        <v>0</v>
      </c>
      <c r="AF1065" s="3259"/>
      <c r="AG1065" s="3260"/>
      <c r="AH1065" s="3260"/>
      <c r="AI1065" s="3260"/>
      <c r="AJ1065" s="3260"/>
      <c r="AK1065" s="3260"/>
      <c r="AL1065" s="3259"/>
      <c r="AM1065" s="3260"/>
      <c r="AN1065" s="3259"/>
      <c r="AO1065" s="3260"/>
      <c r="AP1065" s="3242">
        <v>0</v>
      </c>
      <c r="AQ1065" s="3244"/>
      <c r="AR1065" s="3244"/>
      <c r="AS1065" s="3242" t="s">
        <v>3384</v>
      </c>
      <c r="AT1065" s="3247">
        <f t="shared" si="87"/>
        <v>0</v>
      </c>
      <c r="AU1065" s="3248">
        <f t="shared" si="88"/>
        <v>0</v>
      </c>
      <c r="AV1065" s="3248">
        <v>0</v>
      </c>
      <c r="AW1065" s="3247">
        <v>0</v>
      </c>
      <c r="AX1065" s="3248">
        <v>0</v>
      </c>
      <c r="AY1065" s="3248">
        <v>0</v>
      </c>
      <c r="AZ1065" s="3247">
        <v>0</v>
      </c>
      <c r="BA1065" s="3248">
        <v>0</v>
      </c>
      <c r="BB1065" s="3248">
        <v>0</v>
      </c>
      <c r="BC1065" s="3247">
        <v>0</v>
      </c>
      <c r="BD1065" s="3248">
        <v>0</v>
      </c>
      <c r="BE1065" s="3248">
        <v>0</v>
      </c>
      <c r="BF1065" s="3248">
        <f t="shared" si="89"/>
        <v>0</v>
      </c>
      <c r="BG1065" s="3248">
        <f t="shared" si="90"/>
        <v>0</v>
      </c>
      <c r="BH1065" s="3249"/>
      <c r="BI1065" s="3249"/>
    </row>
    <row r="1066" spans="1:61" x14ac:dyDescent="0.3">
      <c r="A1066" s="4197" t="s">
        <v>3384</v>
      </c>
      <c r="B1066" s="3261"/>
      <c r="C1066" s="3243">
        <v>0</v>
      </c>
      <c r="D1066" s="3242">
        <v>0</v>
      </c>
      <c r="E1066" s="3244"/>
      <c r="F1066" s="3244"/>
      <c r="G1066" s="3242">
        <v>0</v>
      </c>
      <c r="H1066" s="3244"/>
      <c r="I1066" s="3244"/>
      <c r="J1066" s="3244"/>
      <c r="K1066" s="3242">
        <v>0</v>
      </c>
      <c r="L1066" s="3244"/>
      <c r="M1066" s="3244"/>
      <c r="N1066" s="3242" t="s">
        <v>3384</v>
      </c>
      <c r="O1066" s="3239">
        <v>0</v>
      </c>
      <c r="P1066" s="3242">
        <v>0</v>
      </c>
      <c r="Q1066" s="3244"/>
      <c r="R1066" s="3244"/>
      <c r="S1066" s="3242">
        <v>0</v>
      </c>
      <c r="T1066" s="3244"/>
      <c r="U1066" s="3244"/>
      <c r="V1066" s="3244"/>
      <c r="W1066" s="3240">
        <v>0</v>
      </c>
      <c r="X1066" s="3244"/>
      <c r="Y1066" s="3244"/>
      <c r="Z1066" s="3242" t="s">
        <v>3384</v>
      </c>
      <c r="AA1066" s="3243">
        <v>0</v>
      </c>
      <c r="AB1066" s="3242">
        <v>0</v>
      </c>
      <c r="AC1066" s="3244"/>
      <c r="AD1066" s="3244"/>
      <c r="AE1066" s="3242">
        <v>0</v>
      </c>
      <c r="AF1066" s="3259"/>
      <c r="AG1066" s="3260"/>
      <c r="AH1066" s="3260"/>
      <c r="AI1066" s="3260"/>
      <c r="AJ1066" s="3260"/>
      <c r="AK1066" s="3260"/>
      <c r="AL1066" s="3259"/>
      <c r="AM1066" s="3260"/>
      <c r="AN1066" s="3259"/>
      <c r="AO1066" s="3260"/>
      <c r="AP1066" s="3242">
        <v>0</v>
      </c>
      <c r="AQ1066" s="3244"/>
      <c r="AR1066" s="3244"/>
      <c r="AS1066" s="3242" t="s">
        <v>3384</v>
      </c>
      <c r="AT1066" s="3247">
        <f t="shared" si="87"/>
        <v>0</v>
      </c>
      <c r="AU1066" s="3248">
        <f t="shared" si="88"/>
        <v>0</v>
      </c>
      <c r="AV1066" s="3248">
        <v>0</v>
      </c>
      <c r="AW1066" s="3247">
        <v>0</v>
      </c>
      <c r="AX1066" s="3248">
        <v>0</v>
      </c>
      <c r="AY1066" s="3248">
        <v>0</v>
      </c>
      <c r="AZ1066" s="3247">
        <v>0</v>
      </c>
      <c r="BA1066" s="3248">
        <v>0</v>
      </c>
      <c r="BB1066" s="3248">
        <v>0</v>
      </c>
      <c r="BC1066" s="3247">
        <v>0</v>
      </c>
      <c r="BD1066" s="3248">
        <v>0</v>
      </c>
      <c r="BE1066" s="3248">
        <v>0</v>
      </c>
      <c r="BF1066" s="3248">
        <f t="shared" si="89"/>
        <v>0</v>
      </c>
      <c r="BG1066" s="3248">
        <f t="shared" si="90"/>
        <v>0</v>
      </c>
      <c r="BH1066" s="3249"/>
      <c r="BI1066" s="3249"/>
    </row>
    <row r="1067" spans="1:61" x14ac:dyDescent="0.3">
      <c r="A1067" s="4197" t="s">
        <v>3384</v>
      </c>
      <c r="B1067" s="3261"/>
      <c r="C1067" s="3243">
        <v>0</v>
      </c>
      <c r="D1067" s="3242">
        <v>0</v>
      </c>
      <c r="E1067" s="3244"/>
      <c r="F1067" s="3244"/>
      <c r="G1067" s="3242">
        <v>0</v>
      </c>
      <c r="H1067" s="3244"/>
      <c r="I1067" s="3244"/>
      <c r="J1067" s="3244"/>
      <c r="K1067" s="3242">
        <v>0</v>
      </c>
      <c r="L1067" s="3244"/>
      <c r="M1067" s="3244"/>
      <c r="N1067" s="3242" t="s">
        <v>3384</v>
      </c>
      <c r="O1067" s="3239">
        <v>0</v>
      </c>
      <c r="P1067" s="3242">
        <v>0</v>
      </c>
      <c r="Q1067" s="3244"/>
      <c r="R1067" s="3244"/>
      <c r="S1067" s="3242">
        <v>0</v>
      </c>
      <c r="T1067" s="3244"/>
      <c r="U1067" s="3244"/>
      <c r="V1067" s="3244"/>
      <c r="W1067" s="3240">
        <v>0</v>
      </c>
      <c r="X1067" s="3244"/>
      <c r="Y1067" s="3244"/>
      <c r="Z1067" s="3242" t="s">
        <v>3384</v>
      </c>
      <c r="AA1067" s="3243">
        <v>0</v>
      </c>
      <c r="AB1067" s="3242">
        <v>0</v>
      </c>
      <c r="AC1067" s="3244"/>
      <c r="AD1067" s="3244"/>
      <c r="AE1067" s="3242">
        <v>0</v>
      </c>
      <c r="AF1067" s="3259"/>
      <c r="AG1067" s="3260"/>
      <c r="AH1067" s="3260"/>
      <c r="AI1067" s="3260"/>
      <c r="AJ1067" s="3260"/>
      <c r="AK1067" s="3260"/>
      <c r="AL1067" s="3259"/>
      <c r="AM1067" s="3260"/>
      <c r="AN1067" s="3259"/>
      <c r="AO1067" s="3260"/>
      <c r="AP1067" s="3242">
        <v>0</v>
      </c>
      <c r="AQ1067" s="3244"/>
      <c r="AR1067" s="3244"/>
      <c r="AS1067" s="3242" t="s">
        <v>3384</v>
      </c>
      <c r="AT1067" s="3247">
        <f t="shared" si="87"/>
        <v>0</v>
      </c>
      <c r="AU1067" s="3248">
        <f t="shared" si="88"/>
        <v>0</v>
      </c>
      <c r="AV1067" s="3248">
        <v>0</v>
      </c>
      <c r="AW1067" s="3247">
        <v>0</v>
      </c>
      <c r="AX1067" s="3248">
        <v>0</v>
      </c>
      <c r="AY1067" s="3248">
        <v>0</v>
      </c>
      <c r="AZ1067" s="3247">
        <v>0</v>
      </c>
      <c r="BA1067" s="3248">
        <v>0</v>
      </c>
      <c r="BB1067" s="3248">
        <v>0</v>
      </c>
      <c r="BC1067" s="3247">
        <v>0</v>
      </c>
      <c r="BD1067" s="3248">
        <v>0</v>
      </c>
      <c r="BE1067" s="3248">
        <v>0</v>
      </c>
      <c r="BF1067" s="3248">
        <f t="shared" si="89"/>
        <v>0</v>
      </c>
      <c r="BG1067" s="3248">
        <f t="shared" si="90"/>
        <v>0</v>
      </c>
      <c r="BH1067" s="3249"/>
      <c r="BI1067" s="3249"/>
    </row>
    <row r="1068" spans="1:61" x14ac:dyDescent="0.3">
      <c r="A1068" s="4197" t="s">
        <v>3384</v>
      </c>
      <c r="B1068" s="3261"/>
      <c r="C1068" s="3243">
        <v>0</v>
      </c>
      <c r="D1068" s="3242">
        <v>0</v>
      </c>
      <c r="E1068" s="3244"/>
      <c r="F1068" s="3244"/>
      <c r="G1068" s="3242">
        <v>0</v>
      </c>
      <c r="H1068" s="3244"/>
      <c r="I1068" s="3244"/>
      <c r="J1068" s="3244"/>
      <c r="K1068" s="3242">
        <v>0</v>
      </c>
      <c r="L1068" s="3244"/>
      <c r="M1068" s="3244"/>
      <c r="N1068" s="3242" t="s">
        <v>3384</v>
      </c>
      <c r="O1068" s="3239">
        <v>0</v>
      </c>
      <c r="P1068" s="3242">
        <v>0</v>
      </c>
      <c r="Q1068" s="3244"/>
      <c r="R1068" s="3244"/>
      <c r="S1068" s="3242">
        <v>0</v>
      </c>
      <c r="T1068" s="3244"/>
      <c r="U1068" s="3244"/>
      <c r="V1068" s="3244"/>
      <c r="W1068" s="3240">
        <v>0</v>
      </c>
      <c r="X1068" s="3244"/>
      <c r="Y1068" s="3244"/>
      <c r="Z1068" s="3242" t="s">
        <v>3384</v>
      </c>
      <c r="AA1068" s="3243">
        <v>0</v>
      </c>
      <c r="AB1068" s="3242">
        <v>0</v>
      </c>
      <c r="AC1068" s="3244"/>
      <c r="AD1068" s="3244"/>
      <c r="AE1068" s="3242">
        <v>0</v>
      </c>
      <c r="AF1068" s="3259"/>
      <c r="AG1068" s="3260"/>
      <c r="AH1068" s="3260"/>
      <c r="AI1068" s="3260"/>
      <c r="AJ1068" s="3260"/>
      <c r="AK1068" s="3260"/>
      <c r="AL1068" s="3259"/>
      <c r="AM1068" s="3260"/>
      <c r="AN1068" s="3259"/>
      <c r="AO1068" s="3260"/>
      <c r="AP1068" s="3242">
        <v>0</v>
      </c>
      <c r="AQ1068" s="3244"/>
      <c r="AR1068" s="3244"/>
      <c r="AS1068" s="3242" t="s">
        <v>3384</v>
      </c>
      <c r="AT1068" s="3247">
        <f t="shared" si="87"/>
        <v>0</v>
      </c>
      <c r="AU1068" s="3248">
        <f t="shared" si="88"/>
        <v>0</v>
      </c>
      <c r="AV1068" s="3248">
        <v>0</v>
      </c>
      <c r="AW1068" s="3247">
        <v>0</v>
      </c>
      <c r="AX1068" s="3248">
        <v>0</v>
      </c>
      <c r="AY1068" s="3248">
        <v>0</v>
      </c>
      <c r="AZ1068" s="3247">
        <v>0</v>
      </c>
      <c r="BA1068" s="3248">
        <v>0</v>
      </c>
      <c r="BB1068" s="3248">
        <v>0</v>
      </c>
      <c r="BC1068" s="3247">
        <v>0</v>
      </c>
      <c r="BD1068" s="3248">
        <v>0</v>
      </c>
      <c r="BE1068" s="3248">
        <v>0</v>
      </c>
      <c r="BF1068" s="3248">
        <f t="shared" si="89"/>
        <v>0</v>
      </c>
      <c r="BG1068" s="3248">
        <f t="shared" si="90"/>
        <v>0</v>
      </c>
      <c r="BH1068" s="3249"/>
      <c r="BI1068" s="3249"/>
    </row>
    <row r="1069" spans="1:61" x14ac:dyDescent="0.3">
      <c r="A1069" s="4197" t="s">
        <v>3384</v>
      </c>
      <c r="B1069" s="3261"/>
      <c r="C1069" s="3243">
        <v>0</v>
      </c>
      <c r="D1069" s="3242">
        <v>0</v>
      </c>
      <c r="E1069" s="3244"/>
      <c r="F1069" s="3244"/>
      <c r="G1069" s="3242">
        <v>0</v>
      </c>
      <c r="H1069" s="3244"/>
      <c r="I1069" s="3244"/>
      <c r="J1069" s="3244"/>
      <c r="K1069" s="3242">
        <v>0</v>
      </c>
      <c r="L1069" s="3244"/>
      <c r="M1069" s="3244"/>
      <c r="N1069" s="3242" t="s">
        <v>3384</v>
      </c>
      <c r="O1069" s="3239">
        <v>0</v>
      </c>
      <c r="P1069" s="3242">
        <v>0</v>
      </c>
      <c r="Q1069" s="3244"/>
      <c r="R1069" s="3244"/>
      <c r="S1069" s="3242">
        <v>0</v>
      </c>
      <c r="T1069" s="3244"/>
      <c r="U1069" s="3244"/>
      <c r="V1069" s="3244"/>
      <c r="W1069" s="3240">
        <v>0</v>
      </c>
      <c r="X1069" s="3244"/>
      <c r="Y1069" s="3244"/>
      <c r="Z1069" s="3242" t="s">
        <v>3384</v>
      </c>
      <c r="AA1069" s="3243">
        <v>0</v>
      </c>
      <c r="AB1069" s="3242">
        <v>0</v>
      </c>
      <c r="AC1069" s="3244"/>
      <c r="AD1069" s="3244"/>
      <c r="AE1069" s="3242">
        <v>0</v>
      </c>
      <c r="AF1069" s="3259"/>
      <c r="AG1069" s="3260"/>
      <c r="AH1069" s="3260"/>
      <c r="AI1069" s="3260"/>
      <c r="AJ1069" s="3260"/>
      <c r="AK1069" s="3260"/>
      <c r="AL1069" s="3259"/>
      <c r="AM1069" s="3260"/>
      <c r="AN1069" s="3259"/>
      <c r="AO1069" s="3260"/>
      <c r="AP1069" s="3242">
        <v>0</v>
      </c>
      <c r="AQ1069" s="3244"/>
      <c r="AR1069" s="3244"/>
      <c r="AS1069" s="3242" t="s">
        <v>3384</v>
      </c>
      <c r="AT1069" s="3247">
        <f t="shared" si="87"/>
        <v>0</v>
      </c>
      <c r="AU1069" s="3248">
        <f t="shared" si="88"/>
        <v>0</v>
      </c>
      <c r="AV1069" s="3248">
        <v>0</v>
      </c>
      <c r="AW1069" s="3247">
        <v>0</v>
      </c>
      <c r="AX1069" s="3248">
        <v>0</v>
      </c>
      <c r="AY1069" s="3248">
        <v>0</v>
      </c>
      <c r="AZ1069" s="3247">
        <v>0</v>
      </c>
      <c r="BA1069" s="3248">
        <v>0</v>
      </c>
      <c r="BB1069" s="3248">
        <v>0</v>
      </c>
      <c r="BC1069" s="3247">
        <v>0</v>
      </c>
      <c r="BD1069" s="3248">
        <v>0</v>
      </c>
      <c r="BE1069" s="3248">
        <v>0</v>
      </c>
      <c r="BF1069" s="3248">
        <f t="shared" si="89"/>
        <v>0</v>
      </c>
      <c r="BG1069" s="3248">
        <f t="shared" si="90"/>
        <v>0</v>
      </c>
      <c r="BH1069" s="3249"/>
      <c r="BI1069" s="3249"/>
    </row>
    <row r="1070" spans="1:61" x14ac:dyDescent="0.3">
      <c r="A1070" s="4197" t="s">
        <v>3384</v>
      </c>
      <c r="B1070" s="3261"/>
      <c r="C1070" s="3243">
        <v>0</v>
      </c>
      <c r="D1070" s="3242">
        <v>0</v>
      </c>
      <c r="E1070" s="3244"/>
      <c r="F1070" s="3244"/>
      <c r="G1070" s="3242">
        <v>0</v>
      </c>
      <c r="H1070" s="3244"/>
      <c r="I1070" s="3244"/>
      <c r="J1070" s="3244"/>
      <c r="K1070" s="3242">
        <v>0</v>
      </c>
      <c r="L1070" s="3244"/>
      <c r="M1070" s="3244"/>
      <c r="N1070" s="3242" t="s">
        <v>3384</v>
      </c>
      <c r="O1070" s="3239">
        <v>0</v>
      </c>
      <c r="P1070" s="3242">
        <v>0</v>
      </c>
      <c r="Q1070" s="3244"/>
      <c r="R1070" s="3244"/>
      <c r="S1070" s="3242">
        <v>0</v>
      </c>
      <c r="T1070" s="3244"/>
      <c r="U1070" s="3244"/>
      <c r="V1070" s="3244"/>
      <c r="W1070" s="3240">
        <v>0</v>
      </c>
      <c r="X1070" s="3244"/>
      <c r="Y1070" s="3244"/>
      <c r="Z1070" s="3242" t="s">
        <v>3384</v>
      </c>
      <c r="AA1070" s="3243">
        <v>0</v>
      </c>
      <c r="AB1070" s="3242">
        <v>0</v>
      </c>
      <c r="AC1070" s="3244"/>
      <c r="AD1070" s="3244"/>
      <c r="AE1070" s="3242">
        <v>0</v>
      </c>
      <c r="AF1070" s="3259"/>
      <c r="AG1070" s="3260"/>
      <c r="AH1070" s="3260"/>
      <c r="AI1070" s="3260"/>
      <c r="AJ1070" s="3260"/>
      <c r="AK1070" s="3260"/>
      <c r="AL1070" s="3259"/>
      <c r="AM1070" s="3260"/>
      <c r="AN1070" s="3259"/>
      <c r="AO1070" s="3260"/>
      <c r="AP1070" s="3242">
        <v>0</v>
      </c>
      <c r="AQ1070" s="3244"/>
      <c r="AR1070" s="3244"/>
      <c r="AS1070" s="3242" t="s">
        <v>3384</v>
      </c>
      <c r="AT1070" s="3247">
        <f t="shared" si="87"/>
        <v>0</v>
      </c>
      <c r="AU1070" s="3248">
        <f t="shared" si="88"/>
        <v>0</v>
      </c>
      <c r="AV1070" s="3248">
        <v>0</v>
      </c>
      <c r="AW1070" s="3247">
        <v>0</v>
      </c>
      <c r="AX1070" s="3248">
        <v>0</v>
      </c>
      <c r="AY1070" s="3248">
        <v>0</v>
      </c>
      <c r="AZ1070" s="3247">
        <v>0</v>
      </c>
      <c r="BA1070" s="3248">
        <v>0</v>
      </c>
      <c r="BB1070" s="3248">
        <v>0</v>
      </c>
      <c r="BC1070" s="3247">
        <v>0</v>
      </c>
      <c r="BD1070" s="3248">
        <v>0</v>
      </c>
      <c r="BE1070" s="3248">
        <v>0</v>
      </c>
      <c r="BF1070" s="3248">
        <f t="shared" si="89"/>
        <v>0</v>
      </c>
      <c r="BG1070" s="3248">
        <f t="shared" si="90"/>
        <v>0</v>
      </c>
      <c r="BH1070" s="3249"/>
      <c r="BI1070" s="3249"/>
    </row>
    <row r="1071" spans="1:61" x14ac:dyDescent="0.3">
      <c r="A1071" s="4197" t="s">
        <v>3384</v>
      </c>
      <c r="B1071" s="3261"/>
      <c r="C1071" s="3243">
        <v>0</v>
      </c>
      <c r="D1071" s="3242">
        <v>0</v>
      </c>
      <c r="E1071" s="3244"/>
      <c r="F1071" s="3244"/>
      <c r="G1071" s="3242">
        <v>0</v>
      </c>
      <c r="H1071" s="3244"/>
      <c r="I1071" s="3244"/>
      <c r="J1071" s="3244"/>
      <c r="K1071" s="3242">
        <v>0</v>
      </c>
      <c r="L1071" s="3244"/>
      <c r="M1071" s="3244"/>
      <c r="N1071" s="3242" t="s">
        <v>3384</v>
      </c>
      <c r="O1071" s="3239">
        <v>0</v>
      </c>
      <c r="P1071" s="3242">
        <v>0</v>
      </c>
      <c r="Q1071" s="3244"/>
      <c r="R1071" s="3244"/>
      <c r="S1071" s="3242">
        <v>0</v>
      </c>
      <c r="T1071" s="3244"/>
      <c r="U1071" s="3244"/>
      <c r="V1071" s="3244"/>
      <c r="W1071" s="3240">
        <v>0</v>
      </c>
      <c r="X1071" s="3244"/>
      <c r="Y1071" s="3244"/>
      <c r="Z1071" s="3242" t="s">
        <v>3384</v>
      </c>
      <c r="AA1071" s="3243">
        <v>0</v>
      </c>
      <c r="AB1071" s="3242">
        <v>0</v>
      </c>
      <c r="AC1071" s="3244"/>
      <c r="AD1071" s="3244"/>
      <c r="AE1071" s="3242">
        <v>0</v>
      </c>
      <c r="AF1071" s="3259"/>
      <c r="AG1071" s="3260"/>
      <c r="AH1071" s="3260"/>
      <c r="AI1071" s="3260"/>
      <c r="AJ1071" s="3260"/>
      <c r="AK1071" s="3260"/>
      <c r="AL1071" s="3259"/>
      <c r="AM1071" s="3260"/>
      <c r="AN1071" s="3259"/>
      <c r="AO1071" s="3260"/>
      <c r="AP1071" s="3242">
        <v>0</v>
      </c>
      <c r="AQ1071" s="3244"/>
      <c r="AR1071" s="3244"/>
      <c r="AS1071" s="3242" t="s">
        <v>3384</v>
      </c>
      <c r="AT1071" s="3247">
        <f t="shared" si="87"/>
        <v>0</v>
      </c>
      <c r="AU1071" s="3248">
        <f t="shared" si="88"/>
        <v>0</v>
      </c>
      <c r="AV1071" s="3248">
        <v>0</v>
      </c>
      <c r="AW1071" s="3247">
        <v>0</v>
      </c>
      <c r="AX1071" s="3248">
        <v>0</v>
      </c>
      <c r="AY1071" s="3248">
        <v>0</v>
      </c>
      <c r="AZ1071" s="3247">
        <v>0</v>
      </c>
      <c r="BA1071" s="3248">
        <v>0</v>
      </c>
      <c r="BB1071" s="3248">
        <v>0</v>
      </c>
      <c r="BC1071" s="3247">
        <v>0</v>
      </c>
      <c r="BD1071" s="3248">
        <v>0</v>
      </c>
      <c r="BE1071" s="3248">
        <v>0</v>
      </c>
      <c r="BF1071" s="3248">
        <f t="shared" si="89"/>
        <v>0</v>
      </c>
      <c r="BG1071" s="3248">
        <f t="shared" si="90"/>
        <v>0</v>
      </c>
      <c r="BH1071" s="3249"/>
      <c r="BI1071" s="3249"/>
    </row>
    <row r="1072" spans="1:61" x14ac:dyDescent="0.3">
      <c r="A1072" s="4197" t="s">
        <v>3384</v>
      </c>
      <c r="B1072" s="3261"/>
      <c r="C1072" s="3243">
        <v>0</v>
      </c>
      <c r="D1072" s="3242">
        <v>0</v>
      </c>
      <c r="E1072" s="3244"/>
      <c r="F1072" s="3244"/>
      <c r="G1072" s="3242">
        <v>0</v>
      </c>
      <c r="H1072" s="3244"/>
      <c r="I1072" s="3244"/>
      <c r="J1072" s="3244"/>
      <c r="K1072" s="3242">
        <v>0</v>
      </c>
      <c r="L1072" s="3244"/>
      <c r="M1072" s="3244"/>
      <c r="N1072" s="3242" t="s">
        <v>3384</v>
      </c>
      <c r="O1072" s="3239">
        <v>0</v>
      </c>
      <c r="P1072" s="3242">
        <v>0</v>
      </c>
      <c r="Q1072" s="3244"/>
      <c r="R1072" s="3244"/>
      <c r="S1072" s="3242">
        <v>0</v>
      </c>
      <c r="T1072" s="3244"/>
      <c r="U1072" s="3244"/>
      <c r="V1072" s="3244"/>
      <c r="W1072" s="3240">
        <v>0</v>
      </c>
      <c r="X1072" s="3244"/>
      <c r="Y1072" s="3244"/>
      <c r="Z1072" s="3242" t="s">
        <v>3384</v>
      </c>
      <c r="AA1072" s="3243">
        <v>0</v>
      </c>
      <c r="AB1072" s="3242">
        <v>0</v>
      </c>
      <c r="AC1072" s="3244"/>
      <c r="AD1072" s="3244"/>
      <c r="AE1072" s="3242">
        <v>0</v>
      </c>
      <c r="AF1072" s="3259"/>
      <c r="AG1072" s="3260"/>
      <c r="AH1072" s="3260"/>
      <c r="AI1072" s="3260"/>
      <c r="AJ1072" s="3260"/>
      <c r="AK1072" s="3260"/>
      <c r="AL1072" s="3259"/>
      <c r="AM1072" s="3260"/>
      <c r="AN1072" s="3259"/>
      <c r="AO1072" s="3260"/>
      <c r="AP1072" s="3242">
        <v>0</v>
      </c>
      <c r="AQ1072" s="3244"/>
      <c r="AR1072" s="3244"/>
      <c r="AS1072" s="3242" t="s">
        <v>3384</v>
      </c>
      <c r="AT1072" s="3247">
        <f t="shared" si="87"/>
        <v>0</v>
      </c>
      <c r="AU1072" s="3248">
        <f t="shared" si="88"/>
        <v>0</v>
      </c>
      <c r="AV1072" s="3248">
        <v>0</v>
      </c>
      <c r="AW1072" s="3247">
        <v>0</v>
      </c>
      <c r="AX1072" s="3248">
        <v>0</v>
      </c>
      <c r="AY1072" s="3248">
        <v>0</v>
      </c>
      <c r="AZ1072" s="3247">
        <v>0</v>
      </c>
      <c r="BA1072" s="3248">
        <v>0</v>
      </c>
      <c r="BB1072" s="3248">
        <v>0</v>
      </c>
      <c r="BC1072" s="3247">
        <v>0</v>
      </c>
      <c r="BD1072" s="3248">
        <v>0</v>
      </c>
      <c r="BE1072" s="3248">
        <v>0</v>
      </c>
      <c r="BF1072" s="3248">
        <f t="shared" si="89"/>
        <v>0</v>
      </c>
      <c r="BG1072" s="3248">
        <f t="shared" si="90"/>
        <v>0</v>
      </c>
      <c r="BH1072" s="3249"/>
      <c r="BI1072" s="3249"/>
    </row>
    <row r="1073" spans="1:61" x14ac:dyDescent="0.3">
      <c r="A1073" s="4197" t="s">
        <v>3384</v>
      </c>
      <c r="B1073" s="3261"/>
      <c r="C1073" s="3243">
        <v>0</v>
      </c>
      <c r="D1073" s="3242">
        <v>0</v>
      </c>
      <c r="E1073" s="3244"/>
      <c r="F1073" s="3244"/>
      <c r="G1073" s="3242">
        <v>0</v>
      </c>
      <c r="H1073" s="3244"/>
      <c r="I1073" s="3244"/>
      <c r="J1073" s="3244"/>
      <c r="K1073" s="3242">
        <v>0</v>
      </c>
      <c r="L1073" s="3244"/>
      <c r="M1073" s="3244"/>
      <c r="N1073" s="3242" t="s">
        <v>3384</v>
      </c>
      <c r="O1073" s="3239">
        <v>0</v>
      </c>
      <c r="P1073" s="3242">
        <v>0</v>
      </c>
      <c r="Q1073" s="3244"/>
      <c r="R1073" s="3244"/>
      <c r="S1073" s="3242">
        <v>0</v>
      </c>
      <c r="T1073" s="3244"/>
      <c r="U1073" s="3244"/>
      <c r="V1073" s="3244"/>
      <c r="W1073" s="3240">
        <v>0</v>
      </c>
      <c r="X1073" s="3244"/>
      <c r="Y1073" s="3244"/>
      <c r="Z1073" s="3242" t="s">
        <v>3384</v>
      </c>
      <c r="AA1073" s="3243">
        <v>0</v>
      </c>
      <c r="AB1073" s="3242">
        <v>0</v>
      </c>
      <c r="AC1073" s="3244"/>
      <c r="AD1073" s="3244"/>
      <c r="AE1073" s="3242">
        <v>0</v>
      </c>
      <c r="AF1073" s="3259"/>
      <c r="AG1073" s="3260"/>
      <c r="AH1073" s="3260"/>
      <c r="AI1073" s="3260"/>
      <c r="AJ1073" s="3260"/>
      <c r="AK1073" s="3260"/>
      <c r="AL1073" s="3259"/>
      <c r="AM1073" s="3260"/>
      <c r="AN1073" s="3259"/>
      <c r="AO1073" s="3260"/>
      <c r="AP1073" s="3242">
        <v>0</v>
      </c>
      <c r="AQ1073" s="3244"/>
      <c r="AR1073" s="3244"/>
      <c r="AS1073" s="3242" t="s">
        <v>3384</v>
      </c>
      <c r="AT1073" s="3247">
        <f t="shared" si="87"/>
        <v>0</v>
      </c>
      <c r="AU1073" s="3248">
        <f t="shared" si="88"/>
        <v>0</v>
      </c>
      <c r="AV1073" s="3248">
        <v>0</v>
      </c>
      <c r="AW1073" s="3247">
        <v>0</v>
      </c>
      <c r="AX1073" s="3248">
        <v>0</v>
      </c>
      <c r="AY1073" s="3248">
        <v>0</v>
      </c>
      <c r="AZ1073" s="3247">
        <v>0</v>
      </c>
      <c r="BA1073" s="3248">
        <v>0</v>
      </c>
      <c r="BB1073" s="3248">
        <v>0</v>
      </c>
      <c r="BC1073" s="3247">
        <v>0</v>
      </c>
      <c r="BD1073" s="3248">
        <v>0</v>
      </c>
      <c r="BE1073" s="3248">
        <v>0</v>
      </c>
      <c r="BF1073" s="3248">
        <f t="shared" si="89"/>
        <v>0</v>
      </c>
      <c r="BG1073" s="3248">
        <f t="shared" si="90"/>
        <v>0</v>
      </c>
      <c r="BH1073" s="3249"/>
      <c r="BI1073" s="3249"/>
    </row>
    <row r="1074" spans="1:61" x14ac:dyDescent="0.3">
      <c r="A1074" s="4197" t="s">
        <v>3384</v>
      </c>
      <c r="B1074" s="3261"/>
      <c r="C1074" s="3243">
        <v>0</v>
      </c>
      <c r="D1074" s="3242">
        <v>0</v>
      </c>
      <c r="E1074" s="3244"/>
      <c r="F1074" s="3244"/>
      <c r="G1074" s="3242">
        <v>0</v>
      </c>
      <c r="H1074" s="3244"/>
      <c r="I1074" s="3244"/>
      <c r="J1074" s="3244"/>
      <c r="K1074" s="3242">
        <v>0</v>
      </c>
      <c r="L1074" s="3244"/>
      <c r="M1074" s="3244"/>
      <c r="N1074" s="3242" t="s">
        <v>3384</v>
      </c>
      <c r="O1074" s="3239">
        <v>0</v>
      </c>
      <c r="P1074" s="3242">
        <v>0</v>
      </c>
      <c r="Q1074" s="3244"/>
      <c r="R1074" s="3244"/>
      <c r="S1074" s="3242">
        <v>0</v>
      </c>
      <c r="T1074" s="3244"/>
      <c r="U1074" s="3244"/>
      <c r="V1074" s="3244"/>
      <c r="W1074" s="3240">
        <v>0</v>
      </c>
      <c r="X1074" s="3244"/>
      <c r="Y1074" s="3244"/>
      <c r="Z1074" s="3242" t="s">
        <v>3384</v>
      </c>
      <c r="AA1074" s="3243">
        <v>0</v>
      </c>
      <c r="AB1074" s="3242">
        <v>0</v>
      </c>
      <c r="AC1074" s="3244"/>
      <c r="AD1074" s="3244"/>
      <c r="AE1074" s="3242">
        <v>0</v>
      </c>
      <c r="AF1074" s="3259"/>
      <c r="AG1074" s="3260"/>
      <c r="AH1074" s="3260"/>
      <c r="AI1074" s="3260"/>
      <c r="AJ1074" s="3260"/>
      <c r="AK1074" s="3260"/>
      <c r="AL1074" s="3259"/>
      <c r="AM1074" s="3260"/>
      <c r="AN1074" s="3259"/>
      <c r="AO1074" s="3260"/>
      <c r="AP1074" s="3242">
        <v>0</v>
      </c>
      <c r="AQ1074" s="3244"/>
      <c r="AR1074" s="3244"/>
      <c r="AS1074" s="3242" t="s">
        <v>3384</v>
      </c>
      <c r="AT1074" s="3247">
        <f t="shared" si="87"/>
        <v>0</v>
      </c>
      <c r="AU1074" s="3248">
        <f t="shared" si="88"/>
        <v>0</v>
      </c>
      <c r="AV1074" s="3248">
        <v>0</v>
      </c>
      <c r="AW1074" s="3247">
        <v>0</v>
      </c>
      <c r="AX1074" s="3248">
        <v>0</v>
      </c>
      <c r="AY1074" s="3248">
        <v>0</v>
      </c>
      <c r="AZ1074" s="3247">
        <v>0</v>
      </c>
      <c r="BA1074" s="3248">
        <v>0</v>
      </c>
      <c r="BB1074" s="3248">
        <v>0</v>
      </c>
      <c r="BC1074" s="3247">
        <v>0</v>
      </c>
      <c r="BD1074" s="3248">
        <v>0</v>
      </c>
      <c r="BE1074" s="3248">
        <v>0</v>
      </c>
      <c r="BF1074" s="3248">
        <f t="shared" si="89"/>
        <v>0</v>
      </c>
      <c r="BG1074" s="3248">
        <f t="shared" si="90"/>
        <v>0</v>
      </c>
      <c r="BH1074" s="3249"/>
      <c r="BI1074" s="3249"/>
    </row>
    <row r="1075" spans="1:61" x14ac:dyDescent="0.3">
      <c r="A1075" s="4197" t="s">
        <v>3384</v>
      </c>
      <c r="B1075" s="3261"/>
      <c r="C1075" s="3243">
        <v>0</v>
      </c>
      <c r="D1075" s="3242">
        <v>0</v>
      </c>
      <c r="E1075" s="3244"/>
      <c r="F1075" s="3244"/>
      <c r="G1075" s="3242">
        <v>0</v>
      </c>
      <c r="H1075" s="3244"/>
      <c r="I1075" s="3244"/>
      <c r="J1075" s="3244"/>
      <c r="K1075" s="3242">
        <v>0</v>
      </c>
      <c r="L1075" s="3244"/>
      <c r="M1075" s="3244"/>
      <c r="N1075" s="3242" t="s">
        <v>3384</v>
      </c>
      <c r="O1075" s="3239">
        <v>0</v>
      </c>
      <c r="P1075" s="3242">
        <v>0</v>
      </c>
      <c r="Q1075" s="3244"/>
      <c r="R1075" s="3244"/>
      <c r="S1075" s="3242">
        <v>0</v>
      </c>
      <c r="T1075" s="3244"/>
      <c r="U1075" s="3244"/>
      <c r="V1075" s="3244"/>
      <c r="W1075" s="3240">
        <v>0</v>
      </c>
      <c r="X1075" s="3244"/>
      <c r="Y1075" s="3244"/>
      <c r="Z1075" s="3242" t="s">
        <v>3384</v>
      </c>
      <c r="AA1075" s="3243">
        <v>0</v>
      </c>
      <c r="AB1075" s="3242">
        <v>0</v>
      </c>
      <c r="AC1075" s="3244"/>
      <c r="AD1075" s="3244"/>
      <c r="AE1075" s="3242">
        <v>0</v>
      </c>
      <c r="AF1075" s="3259"/>
      <c r="AG1075" s="3260"/>
      <c r="AH1075" s="3260"/>
      <c r="AI1075" s="3260"/>
      <c r="AJ1075" s="3260"/>
      <c r="AK1075" s="3260"/>
      <c r="AL1075" s="3259"/>
      <c r="AM1075" s="3260"/>
      <c r="AN1075" s="3259"/>
      <c r="AO1075" s="3260"/>
      <c r="AP1075" s="3242">
        <v>0</v>
      </c>
      <c r="AQ1075" s="3244"/>
      <c r="AR1075" s="3244"/>
      <c r="AS1075" s="3242" t="s">
        <v>3384</v>
      </c>
      <c r="AT1075" s="3247">
        <f t="shared" si="87"/>
        <v>0</v>
      </c>
      <c r="AU1075" s="3248">
        <f t="shared" si="88"/>
        <v>0</v>
      </c>
      <c r="AV1075" s="3248">
        <v>0</v>
      </c>
      <c r="AW1075" s="3247">
        <v>0</v>
      </c>
      <c r="AX1075" s="3248">
        <v>0</v>
      </c>
      <c r="AY1075" s="3248">
        <v>0</v>
      </c>
      <c r="AZ1075" s="3247">
        <v>0</v>
      </c>
      <c r="BA1075" s="3248">
        <v>0</v>
      </c>
      <c r="BB1075" s="3248">
        <v>0</v>
      </c>
      <c r="BC1075" s="3247">
        <v>0</v>
      </c>
      <c r="BD1075" s="3248">
        <v>0</v>
      </c>
      <c r="BE1075" s="3248">
        <v>0</v>
      </c>
      <c r="BF1075" s="3248">
        <f t="shared" si="89"/>
        <v>0</v>
      </c>
      <c r="BG1075" s="3248">
        <f t="shared" si="90"/>
        <v>0</v>
      </c>
      <c r="BH1075" s="3249"/>
      <c r="BI1075" s="3249"/>
    </row>
    <row r="1076" spans="1:61" x14ac:dyDescent="0.3">
      <c r="A1076" s="4197" t="s">
        <v>3384</v>
      </c>
      <c r="B1076" s="3261"/>
      <c r="C1076" s="3243">
        <v>0</v>
      </c>
      <c r="D1076" s="3242">
        <v>0</v>
      </c>
      <c r="E1076" s="3244"/>
      <c r="F1076" s="3244"/>
      <c r="G1076" s="3242">
        <v>0</v>
      </c>
      <c r="H1076" s="3244"/>
      <c r="I1076" s="3244"/>
      <c r="J1076" s="3244"/>
      <c r="K1076" s="3242">
        <v>0</v>
      </c>
      <c r="L1076" s="3244"/>
      <c r="M1076" s="3244"/>
      <c r="N1076" s="3242" t="s">
        <v>3384</v>
      </c>
      <c r="O1076" s="3239">
        <v>0</v>
      </c>
      <c r="P1076" s="3242">
        <v>0</v>
      </c>
      <c r="Q1076" s="3244"/>
      <c r="R1076" s="3244"/>
      <c r="S1076" s="3242">
        <v>0</v>
      </c>
      <c r="T1076" s="3244"/>
      <c r="U1076" s="3244"/>
      <c r="V1076" s="3244"/>
      <c r="W1076" s="3240">
        <v>0</v>
      </c>
      <c r="X1076" s="3244"/>
      <c r="Y1076" s="3244"/>
      <c r="Z1076" s="3242" t="s">
        <v>3384</v>
      </c>
      <c r="AA1076" s="3243">
        <v>0</v>
      </c>
      <c r="AB1076" s="3242">
        <v>0</v>
      </c>
      <c r="AC1076" s="3244"/>
      <c r="AD1076" s="3244"/>
      <c r="AE1076" s="3242">
        <v>0</v>
      </c>
      <c r="AF1076" s="3259"/>
      <c r="AG1076" s="3260"/>
      <c r="AH1076" s="3260"/>
      <c r="AI1076" s="3260"/>
      <c r="AJ1076" s="3260"/>
      <c r="AK1076" s="3260"/>
      <c r="AL1076" s="3259"/>
      <c r="AM1076" s="3260"/>
      <c r="AN1076" s="3259"/>
      <c r="AO1076" s="3260"/>
      <c r="AP1076" s="3242">
        <v>0</v>
      </c>
      <c r="AQ1076" s="3244"/>
      <c r="AR1076" s="3244"/>
      <c r="AS1076" s="3242" t="s">
        <v>3384</v>
      </c>
      <c r="AT1076" s="3247">
        <f t="shared" si="87"/>
        <v>0</v>
      </c>
      <c r="AU1076" s="3248">
        <f t="shared" si="88"/>
        <v>0</v>
      </c>
      <c r="AV1076" s="3248">
        <v>0</v>
      </c>
      <c r="AW1076" s="3247">
        <v>0</v>
      </c>
      <c r="AX1076" s="3248">
        <v>0</v>
      </c>
      <c r="AY1076" s="3248">
        <v>0</v>
      </c>
      <c r="AZ1076" s="3247">
        <v>0</v>
      </c>
      <c r="BA1076" s="3248">
        <v>0</v>
      </c>
      <c r="BB1076" s="3248">
        <v>0</v>
      </c>
      <c r="BC1076" s="3247">
        <v>0</v>
      </c>
      <c r="BD1076" s="3248">
        <v>0</v>
      </c>
      <c r="BE1076" s="3248">
        <v>0</v>
      </c>
      <c r="BF1076" s="3248">
        <f t="shared" si="89"/>
        <v>0</v>
      </c>
      <c r="BG1076" s="3248">
        <f t="shared" si="90"/>
        <v>0</v>
      </c>
      <c r="BH1076" s="3249"/>
      <c r="BI1076" s="3249"/>
    </row>
    <row r="1077" spans="1:61" x14ac:dyDescent="0.3">
      <c r="A1077" s="4197" t="s">
        <v>3384</v>
      </c>
      <c r="B1077" s="3261"/>
      <c r="C1077" s="3243">
        <v>0</v>
      </c>
      <c r="D1077" s="3242">
        <v>0</v>
      </c>
      <c r="E1077" s="3244"/>
      <c r="F1077" s="3244"/>
      <c r="G1077" s="3242">
        <v>0</v>
      </c>
      <c r="H1077" s="3244"/>
      <c r="I1077" s="3244"/>
      <c r="J1077" s="3244"/>
      <c r="K1077" s="3242">
        <v>0</v>
      </c>
      <c r="L1077" s="3244"/>
      <c r="M1077" s="3244"/>
      <c r="N1077" s="3242" t="s">
        <v>3384</v>
      </c>
      <c r="O1077" s="3239">
        <v>0</v>
      </c>
      <c r="P1077" s="3242">
        <v>0</v>
      </c>
      <c r="Q1077" s="3244"/>
      <c r="R1077" s="3244"/>
      <c r="S1077" s="3242">
        <v>0</v>
      </c>
      <c r="T1077" s="3244"/>
      <c r="U1077" s="3244"/>
      <c r="V1077" s="3244"/>
      <c r="W1077" s="3240">
        <v>0</v>
      </c>
      <c r="X1077" s="3244"/>
      <c r="Y1077" s="3244"/>
      <c r="Z1077" s="3242" t="s">
        <v>3384</v>
      </c>
      <c r="AA1077" s="3243">
        <v>0</v>
      </c>
      <c r="AB1077" s="3242">
        <v>0</v>
      </c>
      <c r="AC1077" s="3244"/>
      <c r="AD1077" s="3244"/>
      <c r="AE1077" s="3242">
        <v>0</v>
      </c>
      <c r="AF1077" s="3259"/>
      <c r="AG1077" s="3260"/>
      <c r="AH1077" s="3260"/>
      <c r="AI1077" s="3260"/>
      <c r="AJ1077" s="3260"/>
      <c r="AK1077" s="3260"/>
      <c r="AL1077" s="3259"/>
      <c r="AM1077" s="3260"/>
      <c r="AN1077" s="3259"/>
      <c r="AO1077" s="3260"/>
      <c r="AP1077" s="3242">
        <v>0</v>
      </c>
      <c r="AQ1077" s="3244"/>
      <c r="AR1077" s="3244"/>
      <c r="AS1077" s="3242" t="s">
        <v>3384</v>
      </c>
      <c r="AT1077" s="3247">
        <f t="shared" si="87"/>
        <v>0</v>
      </c>
      <c r="AU1077" s="3248">
        <f t="shared" si="88"/>
        <v>0</v>
      </c>
      <c r="AV1077" s="3248">
        <v>0</v>
      </c>
      <c r="AW1077" s="3247">
        <v>0</v>
      </c>
      <c r="AX1077" s="3248">
        <v>0</v>
      </c>
      <c r="AY1077" s="3248">
        <v>0</v>
      </c>
      <c r="AZ1077" s="3247">
        <v>0</v>
      </c>
      <c r="BA1077" s="3248">
        <v>0</v>
      </c>
      <c r="BB1077" s="3248">
        <v>0</v>
      </c>
      <c r="BC1077" s="3247">
        <v>0</v>
      </c>
      <c r="BD1077" s="3248">
        <v>0</v>
      </c>
      <c r="BE1077" s="3248">
        <v>0</v>
      </c>
      <c r="BF1077" s="3248">
        <f t="shared" si="89"/>
        <v>0</v>
      </c>
      <c r="BG1077" s="3248">
        <f t="shared" si="90"/>
        <v>0</v>
      </c>
      <c r="BH1077" s="3249"/>
      <c r="BI1077" s="3249"/>
    </row>
    <row r="1078" spans="1:61" x14ac:dyDescent="0.3">
      <c r="A1078" s="4197" t="s">
        <v>3384</v>
      </c>
      <c r="B1078" s="3261"/>
      <c r="C1078" s="3243">
        <v>0</v>
      </c>
      <c r="D1078" s="3242">
        <v>0</v>
      </c>
      <c r="E1078" s="3244"/>
      <c r="F1078" s="3244"/>
      <c r="G1078" s="3242">
        <v>0</v>
      </c>
      <c r="H1078" s="3244"/>
      <c r="I1078" s="3244"/>
      <c r="J1078" s="3244"/>
      <c r="K1078" s="3242">
        <v>0</v>
      </c>
      <c r="L1078" s="3244"/>
      <c r="M1078" s="3244"/>
      <c r="N1078" s="3242" t="s">
        <v>3384</v>
      </c>
      <c r="O1078" s="3239">
        <v>0</v>
      </c>
      <c r="P1078" s="3242">
        <v>0</v>
      </c>
      <c r="Q1078" s="3244"/>
      <c r="R1078" s="3244"/>
      <c r="S1078" s="3242">
        <v>0</v>
      </c>
      <c r="T1078" s="3244"/>
      <c r="U1078" s="3244"/>
      <c r="V1078" s="3244"/>
      <c r="W1078" s="3240">
        <v>0</v>
      </c>
      <c r="X1078" s="3244"/>
      <c r="Y1078" s="3244"/>
      <c r="Z1078" s="3242" t="s">
        <v>3384</v>
      </c>
      <c r="AA1078" s="3243">
        <v>0</v>
      </c>
      <c r="AB1078" s="3242">
        <v>0</v>
      </c>
      <c r="AC1078" s="3244"/>
      <c r="AD1078" s="3244"/>
      <c r="AE1078" s="3242">
        <v>0</v>
      </c>
      <c r="AF1078" s="3259"/>
      <c r="AG1078" s="3260"/>
      <c r="AH1078" s="3260"/>
      <c r="AI1078" s="3260"/>
      <c r="AJ1078" s="3260"/>
      <c r="AK1078" s="3260"/>
      <c r="AL1078" s="3259"/>
      <c r="AM1078" s="3260"/>
      <c r="AN1078" s="3259"/>
      <c r="AO1078" s="3260"/>
      <c r="AP1078" s="3242">
        <v>0</v>
      </c>
      <c r="AQ1078" s="3244"/>
      <c r="AR1078" s="3244"/>
      <c r="AS1078" s="3242" t="s">
        <v>3384</v>
      </c>
      <c r="AT1078" s="3247">
        <f t="shared" si="87"/>
        <v>0</v>
      </c>
      <c r="AU1078" s="3248">
        <f t="shared" si="88"/>
        <v>0</v>
      </c>
      <c r="AV1078" s="3248">
        <v>0</v>
      </c>
      <c r="AW1078" s="3247">
        <v>0</v>
      </c>
      <c r="AX1078" s="3248">
        <v>0</v>
      </c>
      <c r="AY1078" s="3248">
        <v>0</v>
      </c>
      <c r="AZ1078" s="3247">
        <v>0</v>
      </c>
      <c r="BA1078" s="3248">
        <v>0</v>
      </c>
      <c r="BB1078" s="3248">
        <v>0</v>
      </c>
      <c r="BC1078" s="3247">
        <v>0</v>
      </c>
      <c r="BD1078" s="3248">
        <v>0</v>
      </c>
      <c r="BE1078" s="3248">
        <v>0</v>
      </c>
      <c r="BF1078" s="3248">
        <f t="shared" si="89"/>
        <v>0</v>
      </c>
      <c r="BG1078" s="3248">
        <f t="shared" si="90"/>
        <v>0</v>
      </c>
      <c r="BH1078" s="3249"/>
      <c r="BI1078" s="3249"/>
    </row>
    <row r="1079" spans="1:61" x14ac:dyDescent="0.3">
      <c r="A1079" s="4197" t="s">
        <v>3384</v>
      </c>
      <c r="B1079" s="3261"/>
      <c r="C1079" s="3243">
        <v>0</v>
      </c>
      <c r="D1079" s="3242">
        <v>0</v>
      </c>
      <c r="E1079" s="3244"/>
      <c r="F1079" s="3244"/>
      <c r="G1079" s="3242">
        <v>0</v>
      </c>
      <c r="H1079" s="3244"/>
      <c r="I1079" s="3244"/>
      <c r="J1079" s="3244"/>
      <c r="K1079" s="3242">
        <v>0</v>
      </c>
      <c r="L1079" s="3244"/>
      <c r="M1079" s="3244"/>
      <c r="N1079" s="3242" t="s">
        <v>3384</v>
      </c>
      <c r="O1079" s="3239">
        <v>0</v>
      </c>
      <c r="P1079" s="3242">
        <v>0</v>
      </c>
      <c r="Q1079" s="3244"/>
      <c r="R1079" s="3244"/>
      <c r="S1079" s="3242">
        <v>0</v>
      </c>
      <c r="T1079" s="3244"/>
      <c r="U1079" s="3244"/>
      <c r="V1079" s="3244"/>
      <c r="W1079" s="3240">
        <v>0</v>
      </c>
      <c r="X1079" s="3244"/>
      <c r="Y1079" s="3244"/>
      <c r="Z1079" s="3242" t="s">
        <v>3384</v>
      </c>
      <c r="AA1079" s="3243">
        <v>0</v>
      </c>
      <c r="AB1079" s="3242">
        <v>0</v>
      </c>
      <c r="AC1079" s="3244"/>
      <c r="AD1079" s="3244"/>
      <c r="AE1079" s="3242">
        <v>0</v>
      </c>
      <c r="AF1079" s="3259"/>
      <c r="AG1079" s="3260"/>
      <c r="AH1079" s="3260"/>
      <c r="AI1079" s="3260"/>
      <c r="AJ1079" s="3260"/>
      <c r="AK1079" s="3260"/>
      <c r="AL1079" s="3259"/>
      <c r="AM1079" s="3260"/>
      <c r="AN1079" s="3259"/>
      <c r="AO1079" s="3260"/>
      <c r="AP1079" s="3242">
        <v>0</v>
      </c>
      <c r="AQ1079" s="3244"/>
      <c r="AR1079" s="3244"/>
      <c r="AS1079" s="3242" t="s">
        <v>3384</v>
      </c>
      <c r="AT1079" s="3247">
        <f t="shared" si="87"/>
        <v>0</v>
      </c>
      <c r="AU1079" s="3248">
        <f t="shared" si="88"/>
        <v>0</v>
      </c>
      <c r="AV1079" s="3248">
        <v>0</v>
      </c>
      <c r="AW1079" s="3247">
        <v>0</v>
      </c>
      <c r="AX1079" s="3248">
        <v>0</v>
      </c>
      <c r="AY1079" s="3248">
        <v>0</v>
      </c>
      <c r="AZ1079" s="3247">
        <v>0</v>
      </c>
      <c r="BA1079" s="3248">
        <v>0</v>
      </c>
      <c r="BB1079" s="3248">
        <v>0</v>
      </c>
      <c r="BC1079" s="3247">
        <v>0</v>
      </c>
      <c r="BD1079" s="3248">
        <v>0</v>
      </c>
      <c r="BE1079" s="3248">
        <v>0</v>
      </c>
      <c r="BF1079" s="3248">
        <f t="shared" si="89"/>
        <v>0</v>
      </c>
      <c r="BG1079" s="3248">
        <f t="shared" si="90"/>
        <v>0</v>
      </c>
      <c r="BH1079" s="3249"/>
      <c r="BI1079" s="3249"/>
    </row>
    <row r="1080" spans="1:61" x14ac:dyDescent="0.3">
      <c r="A1080" s="4197" t="s">
        <v>3384</v>
      </c>
      <c r="B1080" s="3261"/>
      <c r="C1080" s="3243">
        <v>0</v>
      </c>
      <c r="D1080" s="3242">
        <v>0</v>
      </c>
      <c r="E1080" s="3244"/>
      <c r="F1080" s="3244"/>
      <c r="G1080" s="3242">
        <v>0</v>
      </c>
      <c r="H1080" s="3244"/>
      <c r="I1080" s="3244"/>
      <c r="J1080" s="3244"/>
      <c r="K1080" s="3242">
        <v>0</v>
      </c>
      <c r="L1080" s="3244"/>
      <c r="M1080" s="3244"/>
      <c r="N1080" s="3242" t="s">
        <v>3384</v>
      </c>
      <c r="O1080" s="3239">
        <v>0</v>
      </c>
      <c r="P1080" s="3242">
        <v>0</v>
      </c>
      <c r="Q1080" s="3244"/>
      <c r="R1080" s="3244"/>
      <c r="S1080" s="3242">
        <v>0</v>
      </c>
      <c r="T1080" s="3244"/>
      <c r="U1080" s="3244"/>
      <c r="V1080" s="3244"/>
      <c r="W1080" s="3240">
        <v>0</v>
      </c>
      <c r="X1080" s="3244"/>
      <c r="Y1080" s="3244"/>
      <c r="Z1080" s="3242" t="s">
        <v>3384</v>
      </c>
      <c r="AA1080" s="3243">
        <v>0</v>
      </c>
      <c r="AB1080" s="3242">
        <v>0</v>
      </c>
      <c r="AC1080" s="3244"/>
      <c r="AD1080" s="3244"/>
      <c r="AE1080" s="3242">
        <v>0</v>
      </c>
      <c r="AF1080" s="3259"/>
      <c r="AG1080" s="3260"/>
      <c r="AH1080" s="3260"/>
      <c r="AI1080" s="3260"/>
      <c r="AJ1080" s="3260"/>
      <c r="AK1080" s="3260"/>
      <c r="AL1080" s="3259"/>
      <c r="AM1080" s="3260"/>
      <c r="AN1080" s="3259"/>
      <c r="AO1080" s="3260"/>
      <c r="AP1080" s="3242">
        <v>0</v>
      </c>
      <c r="AQ1080" s="3244"/>
      <c r="AR1080" s="3244"/>
      <c r="AS1080" s="3242" t="s">
        <v>3384</v>
      </c>
      <c r="AT1080" s="3247">
        <f t="shared" si="87"/>
        <v>0</v>
      </c>
      <c r="AU1080" s="3248">
        <f t="shared" si="88"/>
        <v>0</v>
      </c>
      <c r="AV1080" s="3248">
        <v>0</v>
      </c>
      <c r="AW1080" s="3247">
        <v>0</v>
      </c>
      <c r="AX1080" s="3248">
        <v>0</v>
      </c>
      <c r="AY1080" s="3248">
        <v>0</v>
      </c>
      <c r="AZ1080" s="3247">
        <v>0</v>
      </c>
      <c r="BA1080" s="3248">
        <v>0</v>
      </c>
      <c r="BB1080" s="3248">
        <v>0</v>
      </c>
      <c r="BC1080" s="3247">
        <v>0</v>
      </c>
      <c r="BD1080" s="3248">
        <v>0</v>
      </c>
      <c r="BE1080" s="3248">
        <v>0</v>
      </c>
      <c r="BF1080" s="3248">
        <f t="shared" si="89"/>
        <v>0</v>
      </c>
      <c r="BG1080" s="3248">
        <f t="shared" si="90"/>
        <v>0</v>
      </c>
      <c r="BH1080" s="3249"/>
      <c r="BI1080" s="3249"/>
    </row>
    <row r="1081" spans="1:61" x14ac:dyDescent="0.3">
      <c r="A1081" s="4197" t="s">
        <v>3384</v>
      </c>
      <c r="B1081" s="3261"/>
      <c r="C1081" s="3243">
        <v>0</v>
      </c>
      <c r="D1081" s="3242">
        <v>0</v>
      </c>
      <c r="E1081" s="3244"/>
      <c r="F1081" s="3244"/>
      <c r="G1081" s="3242">
        <v>0</v>
      </c>
      <c r="H1081" s="3244"/>
      <c r="I1081" s="3244"/>
      <c r="J1081" s="3244"/>
      <c r="K1081" s="3242">
        <v>0</v>
      </c>
      <c r="L1081" s="3244"/>
      <c r="M1081" s="3244"/>
      <c r="N1081" s="3242" t="s">
        <v>3384</v>
      </c>
      <c r="O1081" s="3239">
        <v>0</v>
      </c>
      <c r="P1081" s="3242">
        <v>0</v>
      </c>
      <c r="Q1081" s="3244"/>
      <c r="R1081" s="3244"/>
      <c r="S1081" s="3242">
        <v>0</v>
      </c>
      <c r="T1081" s="3244"/>
      <c r="U1081" s="3244"/>
      <c r="V1081" s="3244"/>
      <c r="W1081" s="3240">
        <v>0</v>
      </c>
      <c r="X1081" s="3244"/>
      <c r="Y1081" s="3244"/>
      <c r="Z1081" s="3242" t="s">
        <v>3384</v>
      </c>
      <c r="AA1081" s="3243">
        <v>0</v>
      </c>
      <c r="AB1081" s="3242">
        <v>0</v>
      </c>
      <c r="AC1081" s="3244"/>
      <c r="AD1081" s="3244"/>
      <c r="AE1081" s="3242">
        <v>0</v>
      </c>
      <c r="AF1081" s="3259"/>
      <c r="AG1081" s="3260"/>
      <c r="AH1081" s="3260"/>
      <c r="AI1081" s="3260"/>
      <c r="AJ1081" s="3260"/>
      <c r="AK1081" s="3260"/>
      <c r="AL1081" s="3259"/>
      <c r="AM1081" s="3260"/>
      <c r="AN1081" s="3259"/>
      <c r="AO1081" s="3260"/>
      <c r="AP1081" s="3242">
        <v>0</v>
      </c>
      <c r="AQ1081" s="3244"/>
      <c r="AR1081" s="3244"/>
      <c r="AS1081" s="3242" t="s">
        <v>3384</v>
      </c>
      <c r="AT1081" s="3247">
        <f t="shared" si="87"/>
        <v>0</v>
      </c>
      <c r="AU1081" s="3248">
        <f t="shared" si="88"/>
        <v>0</v>
      </c>
      <c r="AV1081" s="3248">
        <v>0</v>
      </c>
      <c r="AW1081" s="3247">
        <v>0</v>
      </c>
      <c r="AX1081" s="3248">
        <v>0</v>
      </c>
      <c r="AY1081" s="3248">
        <v>0</v>
      </c>
      <c r="AZ1081" s="3247">
        <v>0</v>
      </c>
      <c r="BA1081" s="3248">
        <v>0</v>
      </c>
      <c r="BB1081" s="3248">
        <v>0</v>
      </c>
      <c r="BC1081" s="3247">
        <v>0</v>
      </c>
      <c r="BD1081" s="3248">
        <v>0</v>
      </c>
      <c r="BE1081" s="3248">
        <v>0</v>
      </c>
      <c r="BF1081" s="3248">
        <f t="shared" si="89"/>
        <v>0</v>
      </c>
      <c r="BG1081" s="3248">
        <f t="shared" si="90"/>
        <v>0</v>
      </c>
      <c r="BH1081" s="3249"/>
      <c r="BI1081" s="3249"/>
    </row>
    <row r="1082" spans="1:61" x14ac:dyDescent="0.3">
      <c r="A1082" s="4197" t="s">
        <v>3384</v>
      </c>
      <c r="B1082" s="3261"/>
      <c r="C1082" s="3243">
        <v>0</v>
      </c>
      <c r="D1082" s="3242">
        <v>0</v>
      </c>
      <c r="E1082" s="3244"/>
      <c r="F1082" s="3244"/>
      <c r="G1082" s="3242">
        <v>0</v>
      </c>
      <c r="H1082" s="3244"/>
      <c r="I1082" s="3244"/>
      <c r="J1082" s="3244"/>
      <c r="K1082" s="3242">
        <v>0</v>
      </c>
      <c r="L1082" s="3244"/>
      <c r="M1082" s="3244"/>
      <c r="N1082" s="3242" t="s">
        <v>3384</v>
      </c>
      <c r="O1082" s="3239">
        <v>0</v>
      </c>
      <c r="P1082" s="3242">
        <v>0</v>
      </c>
      <c r="Q1082" s="3244"/>
      <c r="R1082" s="3244"/>
      <c r="S1082" s="3242">
        <v>0</v>
      </c>
      <c r="T1082" s="3244"/>
      <c r="U1082" s="3244"/>
      <c r="V1082" s="3244"/>
      <c r="W1082" s="3240">
        <v>0</v>
      </c>
      <c r="X1082" s="3244"/>
      <c r="Y1082" s="3244"/>
      <c r="Z1082" s="3242" t="s">
        <v>3384</v>
      </c>
      <c r="AA1082" s="3243">
        <v>0</v>
      </c>
      <c r="AB1082" s="3242">
        <v>0</v>
      </c>
      <c r="AC1082" s="3244"/>
      <c r="AD1082" s="3244"/>
      <c r="AE1082" s="3242">
        <v>0</v>
      </c>
      <c r="AF1082" s="3259"/>
      <c r="AG1082" s="3260"/>
      <c r="AH1082" s="3260"/>
      <c r="AI1082" s="3260"/>
      <c r="AJ1082" s="3260"/>
      <c r="AK1082" s="3260"/>
      <c r="AL1082" s="3259"/>
      <c r="AM1082" s="3260"/>
      <c r="AN1082" s="3259"/>
      <c r="AO1082" s="3260"/>
      <c r="AP1082" s="3242">
        <v>0</v>
      </c>
      <c r="AQ1082" s="3244"/>
      <c r="AR1082" s="3244"/>
      <c r="AS1082" s="3242" t="s">
        <v>3384</v>
      </c>
      <c r="AT1082" s="3247">
        <f t="shared" si="87"/>
        <v>0</v>
      </c>
      <c r="AU1082" s="3248">
        <f t="shared" si="88"/>
        <v>0</v>
      </c>
      <c r="AV1082" s="3248">
        <v>0</v>
      </c>
      <c r="AW1082" s="3247">
        <v>0</v>
      </c>
      <c r="AX1082" s="3248">
        <v>0</v>
      </c>
      <c r="AY1082" s="3248">
        <v>0</v>
      </c>
      <c r="AZ1082" s="3247">
        <v>0</v>
      </c>
      <c r="BA1082" s="3248">
        <v>0</v>
      </c>
      <c r="BB1082" s="3248">
        <v>0</v>
      </c>
      <c r="BC1082" s="3247">
        <v>0</v>
      </c>
      <c r="BD1082" s="3248">
        <v>0</v>
      </c>
      <c r="BE1082" s="3248">
        <v>0</v>
      </c>
      <c r="BF1082" s="3248">
        <f t="shared" si="89"/>
        <v>0</v>
      </c>
      <c r="BG1082" s="3248">
        <f t="shared" si="90"/>
        <v>0</v>
      </c>
      <c r="BH1082" s="3249"/>
      <c r="BI1082" s="3249"/>
    </row>
    <row r="1083" spans="1:61" x14ac:dyDescent="0.3">
      <c r="A1083" s="4197" t="s">
        <v>3384</v>
      </c>
      <c r="B1083" s="3261"/>
      <c r="C1083" s="3243">
        <v>0</v>
      </c>
      <c r="D1083" s="3242">
        <v>0</v>
      </c>
      <c r="E1083" s="3244"/>
      <c r="F1083" s="3244"/>
      <c r="G1083" s="3242">
        <v>0</v>
      </c>
      <c r="H1083" s="3244"/>
      <c r="I1083" s="3244"/>
      <c r="J1083" s="3244"/>
      <c r="K1083" s="3242">
        <v>0</v>
      </c>
      <c r="L1083" s="3244"/>
      <c r="M1083" s="3244"/>
      <c r="N1083" s="3242" t="s">
        <v>3384</v>
      </c>
      <c r="O1083" s="3239">
        <v>0</v>
      </c>
      <c r="P1083" s="3242">
        <v>0</v>
      </c>
      <c r="Q1083" s="3244"/>
      <c r="R1083" s="3244"/>
      <c r="S1083" s="3242">
        <v>0</v>
      </c>
      <c r="T1083" s="3244"/>
      <c r="U1083" s="3244"/>
      <c r="V1083" s="3244"/>
      <c r="W1083" s="3240">
        <v>0</v>
      </c>
      <c r="X1083" s="3244"/>
      <c r="Y1083" s="3244"/>
      <c r="Z1083" s="3242" t="s">
        <v>3384</v>
      </c>
      <c r="AA1083" s="3243">
        <v>0</v>
      </c>
      <c r="AB1083" s="3242">
        <v>0</v>
      </c>
      <c r="AC1083" s="3244"/>
      <c r="AD1083" s="3244"/>
      <c r="AE1083" s="3242">
        <v>0</v>
      </c>
      <c r="AF1083" s="3259"/>
      <c r="AG1083" s="3260"/>
      <c r="AH1083" s="3260"/>
      <c r="AI1083" s="3260"/>
      <c r="AJ1083" s="3260"/>
      <c r="AK1083" s="3260"/>
      <c r="AL1083" s="3259"/>
      <c r="AM1083" s="3260"/>
      <c r="AN1083" s="3259"/>
      <c r="AO1083" s="3260"/>
      <c r="AP1083" s="3242">
        <v>0</v>
      </c>
      <c r="AQ1083" s="3244"/>
      <c r="AR1083" s="3244"/>
      <c r="AS1083" s="3242" t="s">
        <v>3384</v>
      </c>
      <c r="AT1083" s="3247">
        <f t="shared" si="87"/>
        <v>0</v>
      </c>
      <c r="AU1083" s="3248">
        <f t="shared" si="88"/>
        <v>0</v>
      </c>
      <c r="AV1083" s="3248">
        <v>0</v>
      </c>
      <c r="AW1083" s="3247">
        <v>0</v>
      </c>
      <c r="AX1083" s="3248">
        <v>0</v>
      </c>
      <c r="AY1083" s="3248">
        <v>0</v>
      </c>
      <c r="AZ1083" s="3247">
        <v>0</v>
      </c>
      <c r="BA1083" s="3248">
        <v>0</v>
      </c>
      <c r="BB1083" s="3248">
        <v>0</v>
      </c>
      <c r="BC1083" s="3247">
        <v>0</v>
      </c>
      <c r="BD1083" s="3248">
        <v>0</v>
      </c>
      <c r="BE1083" s="3248">
        <v>0</v>
      </c>
      <c r="BF1083" s="3248">
        <f t="shared" si="89"/>
        <v>0</v>
      </c>
      <c r="BG1083" s="3248">
        <f t="shared" si="90"/>
        <v>0</v>
      </c>
      <c r="BH1083" s="3249"/>
      <c r="BI1083" s="3249"/>
    </row>
    <row r="1084" spans="1:61" x14ac:dyDescent="0.3">
      <c r="A1084" s="4197" t="s">
        <v>3384</v>
      </c>
      <c r="B1084" s="3261"/>
      <c r="C1084" s="3243">
        <v>0</v>
      </c>
      <c r="D1084" s="3242">
        <v>0</v>
      </c>
      <c r="E1084" s="3244"/>
      <c r="F1084" s="3244"/>
      <c r="G1084" s="3242">
        <v>0</v>
      </c>
      <c r="H1084" s="3244"/>
      <c r="I1084" s="3244"/>
      <c r="J1084" s="3244"/>
      <c r="K1084" s="3242">
        <v>0</v>
      </c>
      <c r="L1084" s="3244"/>
      <c r="M1084" s="3244"/>
      <c r="N1084" s="3242" t="s">
        <v>3384</v>
      </c>
      <c r="O1084" s="3239">
        <v>0</v>
      </c>
      <c r="P1084" s="3242">
        <v>0</v>
      </c>
      <c r="Q1084" s="3244"/>
      <c r="R1084" s="3244"/>
      <c r="S1084" s="3242">
        <v>0</v>
      </c>
      <c r="T1084" s="3244"/>
      <c r="U1084" s="3244"/>
      <c r="V1084" s="3244"/>
      <c r="W1084" s="3240">
        <v>0</v>
      </c>
      <c r="X1084" s="3244"/>
      <c r="Y1084" s="3244"/>
      <c r="Z1084" s="3242" t="s">
        <v>3384</v>
      </c>
      <c r="AA1084" s="3243">
        <v>0</v>
      </c>
      <c r="AB1084" s="3242">
        <v>0</v>
      </c>
      <c r="AC1084" s="3244"/>
      <c r="AD1084" s="3244"/>
      <c r="AE1084" s="3242">
        <v>0</v>
      </c>
      <c r="AF1084" s="3259"/>
      <c r="AG1084" s="3260"/>
      <c r="AH1084" s="3260"/>
      <c r="AI1084" s="3260"/>
      <c r="AJ1084" s="3260"/>
      <c r="AK1084" s="3260"/>
      <c r="AL1084" s="3259"/>
      <c r="AM1084" s="3260"/>
      <c r="AN1084" s="3259"/>
      <c r="AO1084" s="3260"/>
      <c r="AP1084" s="3242">
        <v>0</v>
      </c>
      <c r="AQ1084" s="3244"/>
      <c r="AR1084" s="3244"/>
      <c r="AS1084" s="3242" t="s">
        <v>3384</v>
      </c>
      <c r="AT1084" s="3247">
        <f t="shared" si="87"/>
        <v>0</v>
      </c>
      <c r="AU1084" s="3248">
        <f t="shared" si="88"/>
        <v>0</v>
      </c>
      <c r="AV1084" s="3248">
        <v>0</v>
      </c>
      <c r="AW1084" s="3247">
        <v>0</v>
      </c>
      <c r="AX1084" s="3248">
        <v>0</v>
      </c>
      <c r="AY1084" s="3248">
        <v>0</v>
      </c>
      <c r="AZ1084" s="3247">
        <v>0</v>
      </c>
      <c r="BA1084" s="3248">
        <v>0</v>
      </c>
      <c r="BB1084" s="3248">
        <v>0</v>
      </c>
      <c r="BC1084" s="3247">
        <v>0</v>
      </c>
      <c r="BD1084" s="3248">
        <v>0</v>
      </c>
      <c r="BE1084" s="3248">
        <v>0</v>
      </c>
      <c r="BF1084" s="3248">
        <f t="shared" si="89"/>
        <v>0</v>
      </c>
      <c r="BG1084" s="3248">
        <f t="shared" si="90"/>
        <v>0</v>
      </c>
      <c r="BH1084" s="3249"/>
      <c r="BI1084" s="3249"/>
    </row>
    <row r="1085" spans="1:61" x14ac:dyDescent="0.3">
      <c r="A1085" s="4197" t="s">
        <v>3384</v>
      </c>
      <c r="B1085" s="3261"/>
      <c r="C1085" s="3243">
        <v>0</v>
      </c>
      <c r="D1085" s="3242">
        <v>0</v>
      </c>
      <c r="E1085" s="3244"/>
      <c r="F1085" s="3244"/>
      <c r="G1085" s="3242">
        <v>0</v>
      </c>
      <c r="H1085" s="3244"/>
      <c r="I1085" s="3244"/>
      <c r="J1085" s="3244"/>
      <c r="K1085" s="3242">
        <v>0</v>
      </c>
      <c r="L1085" s="3244"/>
      <c r="M1085" s="3244"/>
      <c r="N1085" s="3242" t="s">
        <v>3384</v>
      </c>
      <c r="O1085" s="3239">
        <v>0</v>
      </c>
      <c r="P1085" s="3242">
        <v>0</v>
      </c>
      <c r="Q1085" s="3244"/>
      <c r="R1085" s="3244"/>
      <c r="S1085" s="3242">
        <v>0</v>
      </c>
      <c r="T1085" s="3244"/>
      <c r="U1085" s="3244"/>
      <c r="V1085" s="3244"/>
      <c r="W1085" s="3240">
        <v>0</v>
      </c>
      <c r="X1085" s="3244"/>
      <c r="Y1085" s="3244"/>
      <c r="Z1085" s="3242" t="s">
        <v>3384</v>
      </c>
      <c r="AA1085" s="3243">
        <v>0</v>
      </c>
      <c r="AB1085" s="3242">
        <v>0</v>
      </c>
      <c r="AC1085" s="3244"/>
      <c r="AD1085" s="3244"/>
      <c r="AE1085" s="3242">
        <v>0</v>
      </c>
      <c r="AF1085" s="3259"/>
      <c r="AG1085" s="3260"/>
      <c r="AH1085" s="3260"/>
      <c r="AI1085" s="3260"/>
      <c r="AJ1085" s="3260"/>
      <c r="AK1085" s="3260"/>
      <c r="AL1085" s="3259"/>
      <c r="AM1085" s="3260"/>
      <c r="AN1085" s="3259"/>
      <c r="AO1085" s="3260"/>
      <c r="AP1085" s="3242">
        <v>0</v>
      </c>
      <c r="AQ1085" s="3244"/>
      <c r="AR1085" s="3244"/>
      <c r="AS1085" s="3242" t="s">
        <v>3384</v>
      </c>
      <c r="AT1085" s="3247">
        <f t="shared" si="87"/>
        <v>0</v>
      </c>
      <c r="AU1085" s="3248">
        <f t="shared" si="88"/>
        <v>0</v>
      </c>
      <c r="AV1085" s="3248">
        <v>0</v>
      </c>
      <c r="AW1085" s="3247">
        <v>0</v>
      </c>
      <c r="AX1085" s="3248">
        <v>0</v>
      </c>
      <c r="AY1085" s="3248">
        <v>0</v>
      </c>
      <c r="AZ1085" s="3247">
        <v>0</v>
      </c>
      <c r="BA1085" s="3248">
        <v>0</v>
      </c>
      <c r="BB1085" s="3248">
        <v>0</v>
      </c>
      <c r="BC1085" s="3247">
        <v>0</v>
      </c>
      <c r="BD1085" s="3248">
        <v>0</v>
      </c>
      <c r="BE1085" s="3248">
        <v>0</v>
      </c>
      <c r="BF1085" s="3248">
        <f t="shared" si="89"/>
        <v>0</v>
      </c>
      <c r="BG1085" s="3248">
        <f t="shared" si="90"/>
        <v>0</v>
      </c>
      <c r="BH1085" s="3249"/>
      <c r="BI1085" s="3249"/>
    </row>
    <row r="1086" spans="1:61" x14ac:dyDescent="0.3">
      <c r="A1086" s="4197" t="s">
        <v>3384</v>
      </c>
      <c r="B1086" s="3261"/>
      <c r="C1086" s="3243">
        <v>0</v>
      </c>
      <c r="D1086" s="3242">
        <v>0</v>
      </c>
      <c r="E1086" s="3244"/>
      <c r="F1086" s="3244"/>
      <c r="G1086" s="3242">
        <v>0</v>
      </c>
      <c r="H1086" s="3244"/>
      <c r="I1086" s="3244"/>
      <c r="J1086" s="3244"/>
      <c r="K1086" s="3242">
        <v>0</v>
      </c>
      <c r="L1086" s="3244"/>
      <c r="M1086" s="3244"/>
      <c r="N1086" s="3242" t="s">
        <v>3384</v>
      </c>
      <c r="O1086" s="3239">
        <v>0</v>
      </c>
      <c r="P1086" s="3242">
        <v>0</v>
      </c>
      <c r="Q1086" s="3244"/>
      <c r="R1086" s="3244"/>
      <c r="S1086" s="3242">
        <v>0</v>
      </c>
      <c r="T1086" s="3244"/>
      <c r="U1086" s="3244"/>
      <c r="V1086" s="3244"/>
      <c r="W1086" s="3240">
        <v>0</v>
      </c>
      <c r="X1086" s="3244"/>
      <c r="Y1086" s="3244"/>
      <c r="Z1086" s="3242" t="s">
        <v>3384</v>
      </c>
      <c r="AA1086" s="3243">
        <v>0</v>
      </c>
      <c r="AB1086" s="3242">
        <v>0</v>
      </c>
      <c r="AC1086" s="3244"/>
      <c r="AD1086" s="3244"/>
      <c r="AE1086" s="3242">
        <v>0</v>
      </c>
      <c r="AF1086" s="3259"/>
      <c r="AG1086" s="3260"/>
      <c r="AH1086" s="3260"/>
      <c r="AI1086" s="3260"/>
      <c r="AJ1086" s="3260"/>
      <c r="AK1086" s="3260"/>
      <c r="AL1086" s="3259"/>
      <c r="AM1086" s="3260"/>
      <c r="AN1086" s="3259"/>
      <c r="AO1086" s="3260"/>
      <c r="AP1086" s="3242">
        <v>0</v>
      </c>
      <c r="AQ1086" s="3244"/>
      <c r="AR1086" s="3244"/>
      <c r="AS1086" s="3242" t="s">
        <v>3384</v>
      </c>
      <c r="AT1086" s="3247">
        <f t="shared" si="87"/>
        <v>0</v>
      </c>
      <c r="AU1086" s="3248">
        <f t="shared" si="88"/>
        <v>0</v>
      </c>
      <c r="AV1086" s="3248">
        <v>0</v>
      </c>
      <c r="AW1086" s="3247">
        <v>0</v>
      </c>
      <c r="AX1086" s="3248">
        <v>0</v>
      </c>
      <c r="AY1086" s="3248">
        <v>0</v>
      </c>
      <c r="AZ1086" s="3247">
        <v>0</v>
      </c>
      <c r="BA1086" s="3248">
        <v>0</v>
      </c>
      <c r="BB1086" s="3248">
        <v>0</v>
      </c>
      <c r="BC1086" s="3247">
        <v>0</v>
      </c>
      <c r="BD1086" s="3248">
        <v>0</v>
      </c>
      <c r="BE1086" s="3248">
        <v>0</v>
      </c>
      <c r="BF1086" s="3248">
        <f t="shared" si="89"/>
        <v>0</v>
      </c>
      <c r="BG1086" s="3248">
        <f t="shared" si="90"/>
        <v>0</v>
      </c>
      <c r="BH1086" s="3249"/>
      <c r="BI1086" s="3249"/>
    </row>
    <row r="1087" spans="1:61" x14ac:dyDescent="0.3">
      <c r="A1087" s="4197" t="s">
        <v>3384</v>
      </c>
      <c r="B1087" s="3261"/>
      <c r="C1087" s="3243">
        <v>0</v>
      </c>
      <c r="D1087" s="3242">
        <v>0</v>
      </c>
      <c r="E1087" s="3244"/>
      <c r="F1087" s="3244"/>
      <c r="G1087" s="3242">
        <v>0</v>
      </c>
      <c r="H1087" s="3244"/>
      <c r="I1087" s="3244"/>
      <c r="J1087" s="3244"/>
      <c r="K1087" s="3242">
        <v>0</v>
      </c>
      <c r="L1087" s="3244"/>
      <c r="M1087" s="3244"/>
      <c r="N1087" s="3242" t="s">
        <v>3384</v>
      </c>
      <c r="O1087" s="3239">
        <v>0</v>
      </c>
      <c r="P1087" s="3242">
        <v>0</v>
      </c>
      <c r="Q1087" s="3244"/>
      <c r="R1087" s="3244"/>
      <c r="S1087" s="3242">
        <v>0</v>
      </c>
      <c r="T1087" s="3244"/>
      <c r="U1087" s="3244"/>
      <c r="V1087" s="3244"/>
      <c r="W1087" s="3240">
        <v>0</v>
      </c>
      <c r="X1087" s="3244"/>
      <c r="Y1087" s="3244"/>
      <c r="Z1087" s="3242" t="s">
        <v>3384</v>
      </c>
      <c r="AA1087" s="3243">
        <v>0</v>
      </c>
      <c r="AB1087" s="3242">
        <v>0</v>
      </c>
      <c r="AC1087" s="3244"/>
      <c r="AD1087" s="3244"/>
      <c r="AE1087" s="3242">
        <v>0</v>
      </c>
      <c r="AF1087" s="3259"/>
      <c r="AG1087" s="3260"/>
      <c r="AH1087" s="3260"/>
      <c r="AI1087" s="3260"/>
      <c r="AJ1087" s="3260"/>
      <c r="AK1087" s="3260"/>
      <c r="AL1087" s="3259"/>
      <c r="AM1087" s="3260"/>
      <c r="AN1087" s="3259"/>
      <c r="AO1087" s="3260"/>
      <c r="AP1087" s="3242">
        <v>0</v>
      </c>
      <c r="AQ1087" s="3244"/>
      <c r="AR1087" s="3244"/>
      <c r="AS1087" s="3242" t="s">
        <v>3384</v>
      </c>
      <c r="AT1087" s="3247">
        <f t="shared" si="87"/>
        <v>0</v>
      </c>
      <c r="AU1087" s="3248">
        <f t="shared" si="88"/>
        <v>0</v>
      </c>
      <c r="AV1087" s="3248">
        <v>0</v>
      </c>
      <c r="AW1087" s="3247">
        <v>0</v>
      </c>
      <c r="AX1087" s="3248">
        <v>0</v>
      </c>
      <c r="AY1087" s="3248">
        <v>0</v>
      </c>
      <c r="AZ1087" s="3247">
        <v>0</v>
      </c>
      <c r="BA1087" s="3248">
        <v>0</v>
      </c>
      <c r="BB1087" s="3248">
        <v>0</v>
      </c>
      <c r="BC1087" s="3247">
        <v>0</v>
      </c>
      <c r="BD1087" s="3248">
        <v>0</v>
      </c>
      <c r="BE1087" s="3248">
        <v>0</v>
      </c>
      <c r="BF1087" s="3248">
        <f t="shared" si="89"/>
        <v>0</v>
      </c>
      <c r="BG1087" s="3248">
        <f t="shared" si="90"/>
        <v>0</v>
      </c>
      <c r="BH1087" s="3249"/>
      <c r="BI1087" s="3249"/>
    </row>
    <row r="1088" spans="1:61" x14ac:dyDescent="0.3">
      <c r="A1088" s="4197" t="s">
        <v>3384</v>
      </c>
      <c r="B1088" s="3261"/>
      <c r="C1088" s="3243">
        <v>0</v>
      </c>
      <c r="D1088" s="3242">
        <v>0</v>
      </c>
      <c r="E1088" s="3244"/>
      <c r="F1088" s="3244"/>
      <c r="G1088" s="3242">
        <v>0</v>
      </c>
      <c r="H1088" s="3244"/>
      <c r="I1088" s="3244"/>
      <c r="J1088" s="3244"/>
      <c r="K1088" s="3242">
        <v>0</v>
      </c>
      <c r="L1088" s="3244"/>
      <c r="M1088" s="3244"/>
      <c r="N1088" s="3242" t="s">
        <v>3384</v>
      </c>
      <c r="O1088" s="3239">
        <v>0</v>
      </c>
      <c r="P1088" s="3242">
        <v>0</v>
      </c>
      <c r="Q1088" s="3244"/>
      <c r="R1088" s="3244"/>
      <c r="S1088" s="3242">
        <v>0</v>
      </c>
      <c r="T1088" s="3244"/>
      <c r="U1088" s="3244"/>
      <c r="V1088" s="3244"/>
      <c r="W1088" s="3240">
        <v>0</v>
      </c>
      <c r="X1088" s="3244"/>
      <c r="Y1088" s="3244"/>
      <c r="Z1088" s="3242" t="s">
        <v>3384</v>
      </c>
      <c r="AA1088" s="3243">
        <v>0</v>
      </c>
      <c r="AB1088" s="3242">
        <v>0</v>
      </c>
      <c r="AC1088" s="3244"/>
      <c r="AD1088" s="3244"/>
      <c r="AE1088" s="3242">
        <v>0</v>
      </c>
      <c r="AF1088" s="3259"/>
      <c r="AG1088" s="3260"/>
      <c r="AH1088" s="3260"/>
      <c r="AI1088" s="3260"/>
      <c r="AJ1088" s="3260"/>
      <c r="AK1088" s="3260"/>
      <c r="AL1088" s="3259"/>
      <c r="AM1088" s="3260"/>
      <c r="AN1088" s="3259"/>
      <c r="AO1088" s="3260"/>
      <c r="AP1088" s="3242">
        <v>0</v>
      </c>
      <c r="AQ1088" s="3244"/>
      <c r="AR1088" s="3244"/>
      <c r="AS1088" s="3242" t="s">
        <v>3384</v>
      </c>
      <c r="AT1088" s="3247">
        <f t="shared" si="87"/>
        <v>0</v>
      </c>
      <c r="AU1088" s="3248">
        <f t="shared" si="88"/>
        <v>0</v>
      </c>
      <c r="AV1088" s="3248">
        <v>0</v>
      </c>
      <c r="AW1088" s="3247">
        <v>0</v>
      </c>
      <c r="AX1088" s="3248">
        <v>0</v>
      </c>
      <c r="AY1088" s="3248">
        <v>0</v>
      </c>
      <c r="AZ1088" s="3247">
        <v>0</v>
      </c>
      <c r="BA1088" s="3248">
        <v>0</v>
      </c>
      <c r="BB1088" s="3248">
        <v>0</v>
      </c>
      <c r="BC1088" s="3247">
        <v>0</v>
      </c>
      <c r="BD1088" s="3248">
        <v>0</v>
      </c>
      <c r="BE1088" s="3248">
        <v>0</v>
      </c>
      <c r="BF1088" s="3248">
        <f t="shared" si="89"/>
        <v>0</v>
      </c>
      <c r="BG1088" s="3248">
        <f t="shared" si="90"/>
        <v>0</v>
      </c>
      <c r="BH1088" s="3249"/>
      <c r="BI1088" s="3249"/>
    </row>
    <row r="1089" spans="1:61" x14ac:dyDescent="0.3">
      <c r="A1089" s="4197" t="s">
        <v>3384</v>
      </c>
      <c r="B1089" s="3261"/>
      <c r="C1089" s="3243">
        <v>0</v>
      </c>
      <c r="D1089" s="3242">
        <v>0</v>
      </c>
      <c r="E1089" s="3244"/>
      <c r="F1089" s="3244"/>
      <c r="G1089" s="3242">
        <v>0</v>
      </c>
      <c r="H1089" s="3244"/>
      <c r="I1089" s="3244"/>
      <c r="J1089" s="3244"/>
      <c r="K1089" s="3242">
        <v>0</v>
      </c>
      <c r="L1089" s="3244"/>
      <c r="M1089" s="3244"/>
      <c r="N1089" s="3242" t="s">
        <v>3384</v>
      </c>
      <c r="O1089" s="3239">
        <v>0</v>
      </c>
      <c r="P1089" s="3242">
        <v>0</v>
      </c>
      <c r="Q1089" s="3244"/>
      <c r="R1089" s="3244"/>
      <c r="S1089" s="3242">
        <v>0</v>
      </c>
      <c r="T1089" s="3244"/>
      <c r="U1089" s="3244"/>
      <c r="V1089" s="3244"/>
      <c r="W1089" s="3240">
        <v>0</v>
      </c>
      <c r="X1089" s="3244"/>
      <c r="Y1089" s="3244"/>
      <c r="Z1089" s="3242" t="s">
        <v>3384</v>
      </c>
      <c r="AA1089" s="3243">
        <v>0</v>
      </c>
      <c r="AB1089" s="3242">
        <v>0</v>
      </c>
      <c r="AC1089" s="3244"/>
      <c r="AD1089" s="3244"/>
      <c r="AE1089" s="3242">
        <v>0</v>
      </c>
      <c r="AF1089" s="3259"/>
      <c r="AG1089" s="3260"/>
      <c r="AH1089" s="3260"/>
      <c r="AI1089" s="3260"/>
      <c r="AJ1089" s="3260"/>
      <c r="AK1089" s="3260"/>
      <c r="AL1089" s="3259"/>
      <c r="AM1089" s="3260"/>
      <c r="AN1089" s="3259"/>
      <c r="AO1089" s="3260"/>
      <c r="AP1089" s="3242">
        <v>0</v>
      </c>
      <c r="AQ1089" s="3244"/>
      <c r="AR1089" s="3244"/>
      <c r="AS1089" s="3242" t="s">
        <v>3384</v>
      </c>
      <c r="AT1089" s="3247">
        <f t="shared" si="87"/>
        <v>0</v>
      </c>
      <c r="AU1089" s="3248">
        <f t="shared" si="88"/>
        <v>0</v>
      </c>
      <c r="AV1089" s="3248">
        <v>0</v>
      </c>
      <c r="AW1089" s="3247">
        <v>0</v>
      </c>
      <c r="AX1089" s="3248">
        <v>0</v>
      </c>
      <c r="AY1089" s="3248">
        <v>0</v>
      </c>
      <c r="AZ1089" s="3247">
        <v>0</v>
      </c>
      <c r="BA1089" s="3248">
        <v>0</v>
      </c>
      <c r="BB1089" s="3248">
        <v>0</v>
      </c>
      <c r="BC1089" s="3247">
        <v>0</v>
      </c>
      <c r="BD1089" s="3248">
        <v>0</v>
      </c>
      <c r="BE1089" s="3248">
        <v>0</v>
      </c>
      <c r="BF1089" s="3248">
        <f t="shared" si="89"/>
        <v>0</v>
      </c>
      <c r="BG1089" s="3248">
        <f t="shared" si="90"/>
        <v>0</v>
      </c>
      <c r="BH1089" s="3249"/>
      <c r="BI1089" s="3249"/>
    </row>
    <row r="1090" spans="1:61" x14ac:dyDescent="0.3">
      <c r="A1090" s="4197" t="s">
        <v>3384</v>
      </c>
      <c r="B1090" s="3261"/>
      <c r="C1090" s="3243">
        <v>0</v>
      </c>
      <c r="D1090" s="3242">
        <v>0</v>
      </c>
      <c r="E1090" s="3244"/>
      <c r="F1090" s="3244"/>
      <c r="G1090" s="3242">
        <v>0</v>
      </c>
      <c r="H1090" s="3244"/>
      <c r="I1090" s="3244"/>
      <c r="J1090" s="3244"/>
      <c r="K1090" s="3242">
        <v>0</v>
      </c>
      <c r="L1090" s="3244"/>
      <c r="M1090" s="3244"/>
      <c r="N1090" s="3242" t="s">
        <v>3384</v>
      </c>
      <c r="O1090" s="3239">
        <v>0</v>
      </c>
      <c r="P1090" s="3242">
        <v>0</v>
      </c>
      <c r="Q1090" s="3244"/>
      <c r="R1090" s="3244"/>
      <c r="S1090" s="3242">
        <v>0</v>
      </c>
      <c r="T1090" s="3244"/>
      <c r="U1090" s="3244"/>
      <c r="V1090" s="3244"/>
      <c r="W1090" s="3240">
        <v>0</v>
      </c>
      <c r="X1090" s="3244"/>
      <c r="Y1090" s="3244"/>
      <c r="Z1090" s="3242" t="s">
        <v>3384</v>
      </c>
      <c r="AA1090" s="3243">
        <v>0</v>
      </c>
      <c r="AB1090" s="3242">
        <v>0</v>
      </c>
      <c r="AC1090" s="3244"/>
      <c r="AD1090" s="3244"/>
      <c r="AE1090" s="3242">
        <v>0</v>
      </c>
      <c r="AF1090" s="3259"/>
      <c r="AG1090" s="3260"/>
      <c r="AH1090" s="3260"/>
      <c r="AI1090" s="3260"/>
      <c r="AJ1090" s="3260"/>
      <c r="AK1090" s="3260"/>
      <c r="AL1090" s="3259"/>
      <c r="AM1090" s="3260"/>
      <c r="AN1090" s="3259"/>
      <c r="AO1090" s="3260"/>
      <c r="AP1090" s="3242">
        <v>0</v>
      </c>
      <c r="AQ1090" s="3244"/>
      <c r="AR1090" s="3244"/>
      <c r="AS1090" s="3242" t="s">
        <v>3384</v>
      </c>
      <c r="AT1090" s="3247">
        <f t="shared" si="87"/>
        <v>0</v>
      </c>
      <c r="AU1090" s="3248">
        <f t="shared" si="88"/>
        <v>0</v>
      </c>
      <c r="AV1090" s="3248">
        <v>0</v>
      </c>
      <c r="AW1090" s="3247">
        <v>0</v>
      </c>
      <c r="AX1090" s="3248">
        <v>0</v>
      </c>
      <c r="AY1090" s="3248">
        <v>0</v>
      </c>
      <c r="AZ1090" s="3247">
        <v>0</v>
      </c>
      <c r="BA1090" s="3248">
        <v>0</v>
      </c>
      <c r="BB1090" s="3248">
        <v>0</v>
      </c>
      <c r="BC1090" s="3247">
        <v>0</v>
      </c>
      <c r="BD1090" s="3248">
        <v>0</v>
      </c>
      <c r="BE1090" s="3248">
        <v>0</v>
      </c>
      <c r="BF1090" s="3248">
        <f t="shared" si="89"/>
        <v>0</v>
      </c>
      <c r="BG1090" s="3248">
        <f t="shared" si="90"/>
        <v>0</v>
      </c>
      <c r="BH1090" s="3249"/>
      <c r="BI1090" s="3249"/>
    </row>
    <row r="1091" spans="1:61" x14ac:dyDescent="0.3">
      <c r="A1091" s="4197" t="s">
        <v>3384</v>
      </c>
      <c r="B1091" s="3261"/>
      <c r="C1091" s="3243">
        <v>0</v>
      </c>
      <c r="D1091" s="3242">
        <v>0</v>
      </c>
      <c r="E1091" s="3244"/>
      <c r="F1091" s="3244"/>
      <c r="G1091" s="3242">
        <v>0</v>
      </c>
      <c r="H1091" s="3244"/>
      <c r="I1091" s="3244"/>
      <c r="J1091" s="3244"/>
      <c r="K1091" s="3242">
        <v>0</v>
      </c>
      <c r="L1091" s="3244"/>
      <c r="M1091" s="3244"/>
      <c r="N1091" s="3242" t="s">
        <v>3384</v>
      </c>
      <c r="O1091" s="3239">
        <v>0</v>
      </c>
      <c r="P1091" s="3242">
        <v>0</v>
      </c>
      <c r="Q1091" s="3244"/>
      <c r="R1091" s="3244"/>
      <c r="S1091" s="3242">
        <v>0</v>
      </c>
      <c r="T1091" s="3244"/>
      <c r="U1091" s="3244"/>
      <c r="V1091" s="3244"/>
      <c r="W1091" s="3240">
        <v>0</v>
      </c>
      <c r="X1091" s="3244"/>
      <c r="Y1091" s="3244"/>
      <c r="Z1091" s="3242" t="s">
        <v>3384</v>
      </c>
      <c r="AA1091" s="3243">
        <v>0</v>
      </c>
      <c r="AB1091" s="3242">
        <v>0</v>
      </c>
      <c r="AC1091" s="3244"/>
      <c r="AD1091" s="3244"/>
      <c r="AE1091" s="3242">
        <v>0</v>
      </c>
      <c r="AF1091" s="3259"/>
      <c r="AG1091" s="3260"/>
      <c r="AH1091" s="3260"/>
      <c r="AI1091" s="3260"/>
      <c r="AJ1091" s="3260"/>
      <c r="AK1091" s="3260"/>
      <c r="AL1091" s="3259"/>
      <c r="AM1091" s="3260"/>
      <c r="AN1091" s="3259"/>
      <c r="AO1091" s="3260"/>
      <c r="AP1091" s="3242">
        <v>0</v>
      </c>
      <c r="AQ1091" s="3244"/>
      <c r="AR1091" s="3244"/>
      <c r="AS1091" s="3242" t="s">
        <v>3384</v>
      </c>
      <c r="AT1091" s="3247">
        <f t="shared" si="87"/>
        <v>0</v>
      </c>
      <c r="AU1091" s="3248">
        <f t="shared" si="88"/>
        <v>0</v>
      </c>
      <c r="AV1091" s="3248">
        <v>0</v>
      </c>
      <c r="AW1091" s="3247">
        <v>0</v>
      </c>
      <c r="AX1091" s="3248">
        <v>0</v>
      </c>
      <c r="AY1091" s="3248">
        <v>0</v>
      </c>
      <c r="AZ1091" s="3247">
        <v>0</v>
      </c>
      <c r="BA1091" s="3248">
        <v>0</v>
      </c>
      <c r="BB1091" s="3248">
        <v>0</v>
      </c>
      <c r="BC1091" s="3247">
        <v>0</v>
      </c>
      <c r="BD1091" s="3248">
        <v>0</v>
      </c>
      <c r="BE1091" s="3248">
        <v>0</v>
      </c>
      <c r="BF1091" s="3248">
        <f t="shared" si="89"/>
        <v>0</v>
      </c>
      <c r="BG1091" s="3248">
        <f t="shared" si="90"/>
        <v>0</v>
      </c>
      <c r="BH1091" s="3249"/>
      <c r="BI1091" s="3249"/>
    </row>
    <row r="1092" spans="1:61" x14ac:dyDescent="0.3">
      <c r="A1092" s="4197" t="s">
        <v>3384</v>
      </c>
      <c r="B1092" s="3261"/>
      <c r="C1092" s="3243">
        <v>0</v>
      </c>
      <c r="D1092" s="3242">
        <v>0</v>
      </c>
      <c r="E1092" s="3244"/>
      <c r="F1092" s="3244"/>
      <c r="G1092" s="3242">
        <v>0</v>
      </c>
      <c r="H1092" s="3244"/>
      <c r="I1092" s="3244"/>
      <c r="J1092" s="3244"/>
      <c r="K1092" s="3242">
        <v>0</v>
      </c>
      <c r="L1092" s="3244"/>
      <c r="M1092" s="3244"/>
      <c r="N1092" s="3242" t="s">
        <v>3384</v>
      </c>
      <c r="O1092" s="3239">
        <v>0</v>
      </c>
      <c r="P1092" s="3242">
        <v>0</v>
      </c>
      <c r="Q1092" s="3244"/>
      <c r="R1092" s="3244"/>
      <c r="S1092" s="3242">
        <v>0</v>
      </c>
      <c r="T1092" s="3244"/>
      <c r="U1092" s="3244"/>
      <c r="V1092" s="3244"/>
      <c r="W1092" s="3240">
        <v>0</v>
      </c>
      <c r="X1092" s="3244"/>
      <c r="Y1092" s="3244"/>
      <c r="Z1092" s="3242" t="s">
        <v>3384</v>
      </c>
      <c r="AA1092" s="3243">
        <v>0</v>
      </c>
      <c r="AB1092" s="3242">
        <v>0</v>
      </c>
      <c r="AC1092" s="3244"/>
      <c r="AD1092" s="3244"/>
      <c r="AE1092" s="3242">
        <v>0</v>
      </c>
      <c r="AF1092" s="3259"/>
      <c r="AG1092" s="3260"/>
      <c r="AH1092" s="3260"/>
      <c r="AI1092" s="3260"/>
      <c r="AJ1092" s="3260"/>
      <c r="AK1092" s="3260"/>
      <c r="AL1092" s="3259"/>
      <c r="AM1092" s="3260"/>
      <c r="AN1092" s="3259"/>
      <c r="AO1092" s="3260"/>
      <c r="AP1092" s="3242">
        <v>0</v>
      </c>
      <c r="AQ1092" s="3244"/>
      <c r="AR1092" s="3244"/>
      <c r="AS1092" s="3242" t="s">
        <v>3384</v>
      </c>
      <c r="AT1092" s="3247">
        <f t="shared" si="87"/>
        <v>0</v>
      </c>
      <c r="AU1092" s="3248">
        <f t="shared" si="88"/>
        <v>0</v>
      </c>
      <c r="AV1092" s="3248">
        <v>0</v>
      </c>
      <c r="AW1092" s="3247">
        <v>0</v>
      </c>
      <c r="AX1092" s="3248">
        <v>0</v>
      </c>
      <c r="AY1092" s="3248">
        <v>0</v>
      </c>
      <c r="AZ1092" s="3247">
        <v>0</v>
      </c>
      <c r="BA1092" s="3248">
        <v>0</v>
      </c>
      <c r="BB1092" s="3248">
        <v>0</v>
      </c>
      <c r="BC1092" s="3247">
        <v>0</v>
      </c>
      <c r="BD1092" s="3248">
        <v>0</v>
      </c>
      <c r="BE1092" s="3248">
        <v>0</v>
      </c>
      <c r="BF1092" s="3248">
        <f t="shared" si="89"/>
        <v>0</v>
      </c>
      <c r="BG1092" s="3248">
        <f t="shared" si="90"/>
        <v>0</v>
      </c>
      <c r="BH1092" s="3249"/>
      <c r="BI1092" s="3249"/>
    </row>
    <row r="1093" spans="1:61" x14ac:dyDescent="0.3">
      <c r="A1093" s="4197" t="s">
        <v>3384</v>
      </c>
      <c r="B1093" s="3261"/>
      <c r="C1093" s="3243">
        <v>0</v>
      </c>
      <c r="D1093" s="3242">
        <v>0</v>
      </c>
      <c r="E1093" s="3244"/>
      <c r="F1093" s="3244"/>
      <c r="G1093" s="3242">
        <v>0</v>
      </c>
      <c r="H1093" s="3244"/>
      <c r="I1093" s="3244"/>
      <c r="J1093" s="3244"/>
      <c r="K1093" s="3242">
        <v>0</v>
      </c>
      <c r="L1093" s="3244"/>
      <c r="M1093" s="3244"/>
      <c r="N1093" s="3242" t="s">
        <v>3384</v>
      </c>
      <c r="O1093" s="3239">
        <v>0</v>
      </c>
      <c r="P1093" s="3242">
        <v>0</v>
      </c>
      <c r="Q1093" s="3244"/>
      <c r="R1093" s="3244"/>
      <c r="S1093" s="3242">
        <v>0</v>
      </c>
      <c r="T1093" s="3244"/>
      <c r="U1093" s="3244"/>
      <c r="V1093" s="3244"/>
      <c r="W1093" s="3240">
        <v>0</v>
      </c>
      <c r="X1093" s="3244"/>
      <c r="Y1093" s="3244"/>
      <c r="Z1093" s="3242" t="s">
        <v>3384</v>
      </c>
      <c r="AA1093" s="3243">
        <v>0</v>
      </c>
      <c r="AB1093" s="3242">
        <v>0</v>
      </c>
      <c r="AC1093" s="3244"/>
      <c r="AD1093" s="3244"/>
      <c r="AE1093" s="3242">
        <v>0</v>
      </c>
      <c r="AF1093" s="3259"/>
      <c r="AG1093" s="3260"/>
      <c r="AH1093" s="3260"/>
      <c r="AI1093" s="3260"/>
      <c r="AJ1093" s="3260"/>
      <c r="AK1093" s="3260"/>
      <c r="AL1093" s="3259"/>
      <c r="AM1093" s="3260"/>
      <c r="AN1093" s="3259"/>
      <c r="AO1093" s="3260"/>
      <c r="AP1093" s="3242">
        <v>0</v>
      </c>
      <c r="AQ1093" s="3244"/>
      <c r="AR1093" s="3244"/>
      <c r="AS1093" s="3242" t="s">
        <v>3384</v>
      </c>
      <c r="AT1093" s="3247">
        <f t="shared" si="87"/>
        <v>0</v>
      </c>
      <c r="AU1093" s="3248">
        <f t="shared" si="88"/>
        <v>0</v>
      </c>
      <c r="AV1093" s="3248">
        <v>0</v>
      </c>
      <c r="AW1093" s="3247">
        <v>0</v>
      </c>
      <c r="AX1093" s="3248">
        <v>0</v>
      </c>
      <c r="AY1093" s="3248">
        <v>0</v>
      </c>
      <c r="AZ1093" s="3247">
        <v>0</v>
      </c>
      <c r="BA1093" s="3248">
        <v>0</v>
      </c>
      <c r="BB1093" s="3248">
        <v>0</v>
      </c>
      <c r="BC1093" s="3247">
        <v>0</v>
      </c>
      <c r="BD1093" s="3248">
        <v>0</v>
      </c>
      <c r="BE1093" s="3248">
        <v>0</v>
      </c>
      <c r="BF1093" s="3248">
        <f t="shared" si="89"/>
        <v>0</v>
      </c>
      <c r="BG1093" s="3248">
        <f t="shared" si="90"/>
        <v>0</v>
      </c>
      <c r="BH1093" s="3249"/>
      <c r="BI1093" s="3249"/>
    </row>
    <row r="1094" spans="1:61" x14ac:dyDescent="0.3">
      <c r="A1094" s="4197" t="s">
        <v>3384</v>
      </c>
      <c r="B1094" s="3261"/>
      <c r="C1094" s="3243">
        <v>0</v>
      </c>
      <c r="D1094" s="3242">
        <v>0</v>
      </c>
      <c r="E1094" s="3244"/>
      <c r="F1094" s="3244"/>
      <c r="G1094" s="3242">
        <v>0</v>
      </c>
      <c r="H1094" s="3244"/>
      <c r="I1094" s="3244"/>
      <c r="J1094" s="3244"/>
      <c r="K1094" s="3242">
        <v>0</v>
      </c>
      <c r="L1094" s="3244"/>
      <c r="M1094" s="3244"/>
      <c r="N1094" s="3242" t="s">
        <v>3384</v>
      </c>
      <c r="O1094" s="3239">
        <v>0</v>
      </c>
      <c r="P1094" s="3242">
        <v>0</v>
      </c>
      <c r="Q1094" s="3244"/>
      <c r="R1094" s="3244"/>
      <c r="S1094" s="3242">
        <v>0</v>
      </c>
      <c r="T1094" s="3244"/>
      <c r="U1094" s="3244"/>
      <c r="V1094" s="3244"/>
      <c r="W1094" s="3240">
        <v>0</v>
      </c>
      <c r="X1094" s="3244"/>
      <c r="Y1094" s="3244"/>
      <c r="Z1094" s="3242" t="s">
        <v>3384</v>
      </c>
      <c r="AA1094" s="3243">
        <v>0</v>
      </c>
      <c r="AB1094" s="3242">
        <v>0</v>
      </c>
      <c r="AC1094" s="3244"/>
      <c r="AD1094" s="3244"/>
      <c r="AE1094" s="3242">
        <v>0</v>
      </c>
      <c r="AF1094" s="3259"/>
      <c r="AG1094" s="3260"/>
      <c r="AH1094" s="3260"/>
      <c r="AI1094" s="3260"/>
      <c r="AJ1094" s="3260"/>
      <c r="AK1094" s="3260"/>
      <c r="AL1094" s="3259"/>
      <c r="AM1094" s="3260"/>
      <c r="AN1094" s="3259"/>
      <c r="AO1094" s="3260"/>
      <c r="AP1094" s="3242">
        <v>0</v>
      </c>
      <c r="AQ1094" s="3244"/>
      <c r="AR1094" s="3244"/>
      <c r="AS1094" s="3242" t="s">
        <v>3384</v>
      </c>
      <c r="AT1094" s="3247">
        <f t="shared" si="87"/>
        <v>0</v>
      </c>
      <c r="AU1094" s="3248">
        <f t="shared" si="88"/>
        <v>0</v>
      </c>
      <c r="AV1094" s="3248">
        <v>0</v>
      </c>
      <c r="AW1094" s="3247">
        <v>0</v>
      </c>
      <c r="AX1094" s="3248">
        <v>0</v>
      </c>
      <c r="AY1094" s="3248">
        <v>0</v>
      </c>
      <c r="AZ1094" s="3247">
        <v>0</v>
      </c>
      <c r="BA1094" s="3248">
        <v>0</v>
      </c>
      <c r="BB1094" s="3248">
        <v>0</v>
      </c>
      <c r="BC1094" s="3247">
        <v>0</v>
      </c>
      <c r="BD1094" s="3248">
        <v>0</v>
      </c>
      <c r="BE1094" s="3248">
        <v>0</v>
      </c>
      <c r="BF1094" s="3248">
        <f t="shared" si="89"/>
        <v>0</v>
      </c>
      <c r="BG1094" s="3248">
        <f t="shared" si="90"/>
        <v>0</v>
      </c>
      <c r="BH1094" s="3249"/>
      <c r="BI1094" s="3249"/>
    </row>
    <row r="1095" spans="1:61" x14ac:dyDescent="0.3">
      <c r="A1095" s="4197" t="s">
        <v>3384</v>
      </c>
      <c r="B1095" s="3261"/>
      <c r="C1095" s="3243">
        <v>0</v>
      </c>
      <c r="D1095" s="3242">
        <v>0</v>
      </c>
      <c r="E1095" s="3244"/>
      <c r="F1095" s="3244"/>
      <c r="G1095" s="3242">
        <v>0</v>
      </c>
      <c r="H1095" s="3244"/>
      <c r="I1095" s="3244"/>
      <c r="J1095" s="3244"/>
      <c r="K1095" s="3242">
        <v>0</v>
      </c>
      <c r="L1095" s="3244"/>
      <c r="M1095" s="3244"/>
      <c r="N1095" s="3242" t="s">
        <v>3384</v>
      </c>
      <c r="O1095" s="3239">
        <v>0</v>
      </c>
      <c r="P1095" s="3242">
        <v>0</v>
      </c>
      <c r="Q1095" s="3244"/>
      <c r="R1095" s="3244"/>
      <c r="S1095" s="3242">
        <v>0</v>
      </c>
      <c r="T1095" s="3244"/>
      <c r="U1095" s="3244"/>
      <c r="V1095" s="3244"/>
      <c r="W1095" s="3240">
        <v>0</v>
      </c>
      <c r="X1095" s="3244"/>
      <c r="Y1095" s="3244"/>
      <c r="Z1095" s="3242" t="s">
        <v>3384</v>
      </c>
      <c r="AA1095" s="3243">
        <v>0</v>
      </c>
      <c r="AB1095" s="3242">
        <v>0</v>
      </c>
      <c r="AC1095" s="3244"/>
      <c r="AD1095" s="3244"/>
      <c r="AE1095" s="3242">
        <v>0</v>
      </c>
      <c r="AF1095" s="3259"/>
      <c r="AG1095" s="3260"/>
      <c r="AH1095" s="3260"/>
      <c r="AI1095" s="3260"/>
      <c r="AJ1095" s="3260"/>
      <c r="AK1095" s="3260"/>
      <c r="AL1095" s="3259"/>
      <c r="AM1095" s="3260"/>
      <c r="AN1095" s="3259"/>
      <c r="AO1095" s="3260"/>
      <c r="AP1095" s="3242">
        <v>0</v>
      </c>
      <c r="AQ1095" s="3244"/>
      <c r="AR1095" s="3244"/>
      <c r="AS1095" s="3242" t="s">
        <v>3384</v>
      </c>
      <c r="AT1095" s="3247">
        <f t="shared" si="87"/>
        <v>0</v>
      </c>
      <c r="AU1095" s="3248">
        <f t="shared" si="88"/>
        <v>0</v>
      </c>
      <c r="AV1095" s="3248">
        <v>0</v>
      </c>
      <c r="AW1095" s="3247">
        <v>0</v>
      </c>
      <c r="AX1095" s="3248">
        <v>0</v>
      </c>
      <c r="AY1095" s="3248">
        <v>0</v>
      </c>
      <c r="AZ1095" s="3247">
        <v>0</v>
      </c>
      <c r="BA1095" s="3248">
        <v>0</v>
      </c>
      <c r="BB1095" s="3248">
        <v>0</v>
      </c>
      <c r="BC1095" s="3247">
        <v>0</v>
      </c>
      <c r="BD1095" s="3248">
        <v>0</v>
      </c>
      <c r="BE1095" s="3248">
        <v>0</v>
      </c>
      <c r="BF1095" s="3248">
        <f t="shared" si="89"/>
        <v>0</v>
      </c>
      <c r="BG1095" s="3248">
        <f t="shared" si="90"/>
        <v>0</v>
      </c>
      <c r="BH1095" s="3249"/>
      <c r="BI1095" s="3249"/>
    </row>
    <row r="1096" spans="1:61" x14ac:dyDescent="0.3">
      <c r="A1096" s="4197" t="s">
        <v>3384</v>
      </c>
      <c r="B1096" s="3261"/>
      <c r="C1096" s="3243">
        <v>0</v>
      </c>
      <c r="D1096" s="3242">
        <v>0</v>
      </c>
      <c r="E1096" s="3244"/>
      <c r="F1096" s="3244"/>
      <c r="G1096" s="3242">
        <v>0</v>
      </c>
      <c r="H1096" s="3244"/>
      <c r="I1096" s="3244"/>
      <c r="J1096" s="3244"/>
      <c r="K1096" s="3242">
        <v>0</v>
      </c>
      <c r="L1096" s="3244"/>
      <c r="M1096" s="3244"/>
      <c r="N1096" s="3242" t="s">
        <v>3384</v>
      </c>
      <c r="O1096" s="3239">
        <v>0</v>
      </c>
      <c r="P1096" s="3242">
        <v>0</v>
      </c>
      <c r="Q1096" s="3244"/>
      <c r="R1096" s="3244"/>
      <c r="S1096" s="3242">
        <v>0</v>
      </c>
      <c r="T1096" s="3244"/>
      <c r="U1096" s="3244"/>
      <c r="V1096" s="3244"/>
      <c r="W1096" s="3240">
        <v>0</v>
      </c>
      <c r="X1096" s="3244"/>
      <c r="Y1096" s="3244"/>
      <c r="Z1096" s="3242" t="s">
        <v>3384</v>
      </c>
      <c r="AA1096" s="3243">
        <v>0</v>
      </c>
      <c r="AB1096" s="3242">
        <v>0</v>
      </c>
      <c r="AC1096" s="3244"/>
      <c r="AD1096" s="3244"/>
      <c r="AE1096" s="3242">
        <v>0</v>
      </c>
      <c r="AF1096" s="3259"/>
      <c r="AG1096" s="3260"/>
      <c r="AH1096" s="3260"/>
      <c r="AI1096" s="3260"/>
      <c r="AJ1096" s="3260"/>
      <c r="AK1096" s="3260"/>
      <c r="AL1096" s="3259"/>
      <c r="AM1096" s="3260"/>
      <c r="AN1096" s="3259"/>
      <c r="AO1096" s="3260"/>
      <c r="AP1096" s="3242">
        <v>0</v>
      </c>
      <c r="AQ1096" s="3244"/>
      <c r="AR1096" s="3244"/>
      <c r="AS1096" s="3242" t="s">
        <v>3384</v>
      </c>
      <c r="AT1096" s="3247">
        <f t="shared" si="87"/>
        <v>0</v>
      </c>
      <c r="AU1096" s="3248">
        <f t="shared" si="88"/>
        <v>0</v>
      </c>
      <c r="AV1096" s="3248">
        <v>0</v>
      </c>
      <c r="AW1096" s="3247">
        <v>0</v>
      </c>
      <c r="AX1096" s="3248">
        <v>0</v>
      </c>
      <c r="AY1096" s="3248">
        <v>0</v>
      </c>
      <c r="AZ1096" s="3247">
        <v>0</v>
      </c>
      <c r="BA1096" s="3248">
        <v>0</v>
      </c>
      <c r="BB1096" s="3248">
        <v>0</v>
      </c>
      <c r="BC1096" s="3247">
        <v>0</v>
      </c>
      <c r="BD1096" s="3248">
        <v>0</v>
      </c>
      <c r="BE1096" s="3248">
        <v>0</v>
      </c>
      <c r="BF1096" s="3248">
        <f t="shared" si="89"/>
        <v>0</v>
      </c>
      <c r="BG1096" s="3248">
        <f t="shared" si="90"/>
        <v>0</v>
      </c>
      <c r="BH1096" s="3249"/>
      <c r="BI1096" s="3249"/>
    </row>
    <row r="1097" spans="1:61" x14ac:dyDescent="0.3">
      <c r="A1097" s="4197" t="s">
        <v>3384</v>
      </c>
      <c r="B1097" s="3261"/>
      <c r="C1097" s="3243">
        <v>0</v>
      </c>
      <c r="D1097" s="3242">
        <v>0</v>
      </c>
      <c r="E1097" s="3244"/>
      <c r="F1097" s="3244"/>
      <c r="G1097" s="3242">
        <v>0</v>
      </c>
      <c r="H1097" s="3244"/>
      <c r="I1097" s="3244"/>
      <c r="J1097" s="3244"/>
      <c r="K1097" s="3242">
        <v>0</v>
      </c>
      <c r="L1097" s="3244"/>
      <c r="M1097" s="3244"/>
      <c r="N1097" s="3242" t="s">
        <v>3384</v>
      </c>
      <c r="O1097" s="3239">
        <v>0</v>
      </c>
      <c r="P1097" s="3242">
        <v>0</v>
      </c>
      <c r="Q1097" s="3244"/>
      <c r="R1097" s="3244"/>
      <c r="S1097" s="3242">
        <v>0</v>
      </c>
      <c r="T1097" s="3244"/>
      <c r="U1097" s="3244"/>
      <c r="V1097" s="3244"/>
      <c r="W1097" s="3240">
        <v>0</v>
      </c>
      <c r="X1097" s="3244"/>
      <c r="Y1097" s="3244"/>
      <c r="Z1097" s="3242" t="s">
        <v>3384</v>
      </c>
      <c r="AA1097" s="3243">
        <v>0</v>
      </c>
      <c r="AB1097" s="3242">
        <v>0</v>
      </c>
      <c r="AC1097" s="3244"/>
      <c r="AD1097" s="3244"/>
      <c r="AE1097" s="3242">
        <v>0</v>
      </c>
      <c r="AF1097" s="3259"/>
      <c r="AG1097" s="3260"/>
      <c r="AH1097" s="3260"/>
      <c r="AI1097" s="3260"/>
      <c r="AJ1097" s="3260"/>
      <c r="AK1097" s="3260"/>
      <c r="AL1097" s="3259"/>
      <c r="AM1097" s="3260"/>
      <c r="AN1097" s="3259"/>
      <c r="AO1097" s="3260"/>
      <c r="AP1097" s="3242">
        <v>0</v>
      </c>
      <c r="AQ1097" s="3244"/>
      <c r="AR1097" s="3244"/>
      <c r="AS1097" s="3242" t="s">
        <v>3384</v>
      </c>
      <c r="AT1097" s="3247">
        <f t="shared" si="87"/>
        <v>0</v>
      </c>
      <c r="AU1097" s="3248">
        <f t="shared" si="88"/>
        <v>0</v>
      </c>
      <c r="AV1097" s="3248">
        <v>0</v>
      </c>
      <c r="AW1097" s="3247">
        <v>0</v>
      </c>
      <c r="AX1097" s="3248">
        <v>0</v>
      </c>
      <c r="AY1097" s="3248">
        <v>0</v>
      </c>
      <c r="AZ1097" s="3247">
        <v>0</v>
      </c>
      <c r="BA1097" s="3248">
        <v>0</v>
      </c>
      <c r="BB1097" s="3248">
        <v>0</v>
      </c>
      <c r="BC1097" s="3247">
        <v>0</v>
      </c>
      <c r="BD1097" s="3248">
        <v>0</v>
      </c>
      <c r="BE1097" s="3248">
        <v>0</v>
      </c>
      <c r="BF1097" s="3248">
        <f t="shared" si="89"/>
        <v>0</v>
      </c>
      <c r="BG1097" s="3248">
        <f t="shared" si="90"/>
        <v>0</v>
      </c>
      <c r="BH1097" s="3249"/>
      <c r="BI1097" s="3249"/>
    </row>
    <row r="1098" spans="1:61" x14ac:dyDescent="0.3">
      <c r="A1098" s="4197" t="s">
        <v>3384</v>
      </c>
      <c r="B1098" s="3261"/>
      <c r="C1098" s="3243">
        <v>0</v>
      </c>
      <c r="D1098" s="3242">
        <v>0</v>
      </c>
      <c r="E1098" s="3244"/>
      <c r="F1098" s="3244"/>
      <c r="G1098" s="3242">
        <v>0</v>
      </c>
      <c r="H1098" s="3244"/>
      <c r="I1098" s="3244"/>
      <c r="J1098" s="3244"/>
      <c r="K1098" s="3242">
        <v>0</v>
      </c>
      <c r="L1098" s="3244"/>
      <c r="M1098" s="3244"/>
      <c r="N1098" s="3242" t="s">
        <v>3384</v>
      </c>
      <c r="O1098" s="3239">
        <v>0</v>
      </c>
      <c r="P1098" s="3242">
        <v>0</v>
      </c>
      <c r="Q1098" s="3244"/>
      <c r="R1098" s="3244"/>
      <c r="S1098" s="3242">
        <v>0</v>
      </c>
      <c r="T1098" s="3244"/>
      <c r="U1098" s="3244"/>
      <c r="V1098" s="3244"/>
      <c r="W1098" s="3240">
        <v>0</v>
      </c>
      <c r="X1098" s="3244"/>
      <c r="Y1098" s="3244"/>
      <c r="Z1098" s="3242" t="s">
        <v>3384</v>
      </c>
      <c r="AA1098" s="3243">
        <v>0</v>
      </c>
      <c r="AB1098" s="3242">
        <v>0</v>
      </c>
      <c r="AC1098" s="3244"/>
      <c r="AD1098" s="3244"/>
      <c r="AE1098" s="3242">
        <v>0</v>
      </c>
      <c r="AF1098" s="3259"/>
      <c r="AG1098" s="3260"/>
      <c r="AH1098" s="3260"/>
      <c r="AI1098" s="3260"/>
      <c r="AJ1098" s="3260"/>
      <c r="AK1098" s="3260"/>
      <c r="AL1098" s="3259"/>
      <c r="AM1098" s="3260"/>
      <c r="AN1098" s="3259"/>
      <c r="AO1098" s="3260"/>
      <c r="AP1098" s="3242">
        <v>0</v>
      </c>
      <c r="AQ1098" s="3244"/>
      <c r="AR1098" s="3244"/>
      <c r="AS1098" s="3242" t="s">
        <v>3384</v>
      </c>
      <c r="AT1098" s="3247">
        <f t="shared" si="87"/>
        <v>0</v>
      </c>
      <c r="AU1098" s="3248">
        <f t="shared" si="88"/>
        <v>0</v>
      </c>
      <c r="AV1098" s="3248">
        <v>0</v>
      </c>
      <c r="AW1098" s="3247">
        <v>0</v>
      </c>
      <c r="AX1098" s="3248">
        <v>0</v>
      </c>
      <c r="AY1098" s="3248">
        <v>0</v>
      </c>
      <c r="AZ1098" s="3247">
        <v>0</v>
      </c>
      <c r="BA1098" s="3248">
        <v>0</v>
      </c>
      <c r="BB1098" s="3248">
        <v>0</v>
      </c>
      <c r="BC1098" s="3247">
        <v>0</v>
      </c>
      <c r="BD1098" s="3248">
        <v>0</v>
      </c>
      <c r="BE1098" s="3248">
        <v>0</v>
      </c>
      <c r="BF1098" s="3248">
        <f t="shared" si="89"/>
        <v>0</v>
      </c>
      <c r="BG1098" s="3248">
        <f t="shared" si="90"/>
        <v>0</v>
      </c>
      <c r="BH1098" s="3249"/>
      <c r="BI1098" s="3249"/>
    </row>
    <row r="1099" spans="1:61" x14ac:dyDescent="0.3">
      <c r="A1099" s="4197" t="s">
        <v>3384</v>
      </c>
      <c r="B1099" s="3261"/>
      <c r="C1099" s="3243">
        <v>0</v>
      </c>
      <c r="D1099" s="3242">
        <v>0</v>
      </c>
      <c r="E1099" s="3244"/>
      <c r="F1099" s="3244"/>
      <c r="G1099" s="3242">
        <v>0</v>
      </c>
      <c r="H1099" s="3244"/>
      <c r="I1099" s="3244"/>
      <c r="J1099" s="3244"/>
      <c r="K1099" s="3242">
        <v>0</v>
      </c>
      <c r="L1099" s="3244"/>
      <c r="M1099" s="3244"/>
      <c r="N1099" s="3242" t="s">
        <v>3384</v>
      </c>
      <c r="O1099" s="3239">
        <v>0</v>
      </c>
      <c r="P1099" s="3242">
        <v>0</v>
      </c>
      <c r="Q1099" s="3244"/>
      <c r="R1099" s="3244"/>
      <c r="S1099" s="3242">
        <v>0</v>
      </c>
      <c r="T1099" s="3244"/>
      <c r="U1099" s="3244"/>
      <c r="V1099" s="3244"/>
      <c r="W1099" s="3240">
        <v>0</v>
      </c>
      <c r="X1099" s="3244"/>
      <c r="Y1099" s="3244"/>
      <c r="Z1099" s="3242" t="s">
        <v>3384</v>
      </c>
      <c r="AA1099" s="3243">
        <v>0</v>
      </c>
      <c r="AB1099" s="3242">
        <v>0</v>
      </c>
      <c r="AC1099" s="3244"/>
      <c r="AD1099" s="3244"/>
      <c r="AE1099" s="3242">
        <v>0</v>
      </c>
      <c r="AF1099" s="3259"/>
      <c r="AG1099" s="3260"/>
      <c r="AH1099" s="3260"/>
      <c r="AI1099" s="3260"/>
      <c r="AJ1099" s="3260"/>
      <c r="AK1099" s="3260"/>
      <c r="AL1099" s="3259"/>
      <c r="AM1099" s="3260"/>
      <c r="AN1099" s="3259"/>
      <c r="AO1099" s="3260"/>
      <c r="AP1099" s="3242">
        <v>0</v>
      </c>
      <c r="AQ1099" s="3244"/>
      <c r="AR1099" s="3244"/>
      <c r="AS1099" s="3242" t="s">
        <v>3384</v>
      </c>
      <c r="AT1099" s="3247">
        <f t="shared" si="87"/>
        <v>0</v>
      </c>
      <c r="AU1099" s="3248">
        <f t="shared" si="88"/>
        <v>0</v>
      </c>
      <c r="AV1099" s="3248">
        <v>0</v>
      </c>
      <c r="AW1099" s="3247">
        <v>0</v>
      </c>
      <c r="AX1099" s="3248">
        <v>0</v>
      </c>
      <c r="AY1099" s="3248">
        <v>0</v>
      </c>
      <c r="AZ1099" s="3247">
        <v>0</v>
      </c>
      <c r="BA1099" s="3248">
        <v>0</v>
      </c>
      <c r="BB1099" s="3248">
        <v>0</v>
      </c>
      <c r="BC1099" s="3247">
        <v>0</v>
      </c>
      <c r="BD1099" s="3248">
        <v>0</v>
      </c>
      <c r="BE1099" s="3248">
        <v>0</v>
      </c>
      <c r="BF1099" s="3248">
        <f t="shared" si="89"/>
        <v>0</v>
      </c>
      <c r="BG1099" s="3248">
        <f t="shared" si="90"/>
        <v>0</v>
      </c>
      <c r="BH1099" s="3249"/>
      <c r="BI1099" s="3249"/>
    </row>
    <row r="1100" spans="1:61" x14ac:dyDescent="0.3">
      <c r="A1100" s="4197" t="s">
        <v>3384</v>
      </c>
      <c r="B1100" s="3261"/>
      <c r="C1100" s="3243">
        <v>0</v>
      </c>
      <c r="D1100" s="3242">
        <v>0</v>
      </c>
      <c r="E1100" s="3244"/>
      <c r="F1100" s="3244"/>
      <c r="G1100" s="3242">
        <v>0</v>
      </c>
      <c r="H1100" s="3244"/>
      <c r="I1100" s="3244"/>
      <c r="J1100" s="3244"/>
      <c r="K1100" s="3242">
        <v>0</v>
      </c>
      <c r="L1100" s="3244"/>
      <c r="M1100" s="3244"/>
      <c r="N1100" s="3242" t="s">
        <v>3384</v>
      </c>
      <c r="O1100" s="3239">
        <v>0</v>
      </c>
      <c r="P1100" s="3242">
        <v>0</v>
      </c>
      <c r="Q1100" s="3244"/>
      <c r="R1100" s="3244"/>
      <c r="S1100" s="3242">
        <v>0</v>
      </c>
      <c r="T1100" s="3244"/>
      <c r="U1100" s="3244"/>
      <c r="V1100" s="3244"/>
      <c r="W1100" s="3240">
        <v>0</v>
      </c>
      <c r="X1100" s="3244"/>
      <c r="Y1100" s="3244"/>
      <c r="Z1100" s="3242" t="s">
        <v>3384</v>
      </c>
      <c r="AA1100" s="3243">
        <v>0</v>
      </c>
      <c r="AB1100" s="3242">
        <v>0</v>
      </c>
      <c r="AC1100" s="3244"/>
      <c r="AD1100" s="3244"/>
      <c r="AE1100" s="3242">
        <v>0</v>
      </c>
      <c r="AF1100" s="3259"/>
      <c r="AG1100" s="3260"/>
      <c r="AH1100" s="3260"/>
      <c r="AI1100" s="3260"/>
      <c r="AJ1100" s="3260"/>
      <c r="AK1100" s="3260"/>
      <c r="AL1100" s="3259"/>
      <c r="AM1100" s="3260"/>
      <c r="AN1100" s="3259"/>
      <c r="AO1100" s="3260"/>
      <c r="AP1100" s="3242">
        <v>0</v>
      </c>
      <c r="AQ1100" s="3244"/>
      <c r="AR1100" s="3244"/>
      <c r="AS1100" s="3242" t="s">
        <v>3384</v>
      </c>
      <c r="AT1100" s="3247">
        <f t="shared" si="87"/>
        <v>0</v>
      </c>
      <c r="AU1100" s="3248">
        <f t="shared" si="88"/>
        <v>0</v>
      </c>
      <c r="AV1100" s="3248">
        <v>0</v>
      </c>
      <c r="AW1100" s="3247">
        <v>0</v>
      </c>
      <c r="AX1100" s="3248">
        <v>0</v>
      </c>
      <c r="AY1100" s="3248">
        <v>0</v>
      </c>
      <c r="AZ1100" s="3247">
        <v>0</v>
      </c>
      <c r="BA1100" s="3248">
        <v>0</v>
      </c>
      <c r="BB1100" s="3248">
        <v>0</v>
      </c>
      <c r="BC1100" s="3247">
        <v>0</v>
      </c>
      <c r="BD1100" s="3248">
        <v>0</v>
      </c>
      <c r="BE1100" s="3248">
        <v>0</v>
      </c>
      <c r="BF1100" s="3248">
        <f t="shared" si="89"/>
        <v>0</v>
      </c>
      <c r="BG1100" s="3248">
        <f t="shared" si="90"/>
        <v>0</v>
      </c>
      <c r="BH1100" s="3249"/>
      <c r="BI1100" s="3249"/>
    </row>
    <row r="1101" spans="1:61" x14ac:dyDescent="0.3">
      <c r="A1101" s="4197" t="s">
        <v>3384</v>
      </c>
      <c r="B1101" s="3261"/>
      <c r="C1101" s="3243">
        <v>0</v>
      </c>
      <c r="D1101" s="3242">
        <v>0</v>
      </c>
      <c r="E1101" s="3244"/>
      <c r="F1101" s="3244"/>
      <c r="G1101" s="3242">
        <v>0</v>
      </c>
      <c r="H1101" s="3244"/>
      <c r="I1101" s="3244"/>
      <c r="J1101" s="3244"/>
      <c r="K1101" s="3242">
        <v>0</v>
      </c>
      <c r="L1101" s="3244"/>
      <c r="M1101" s="3244"/>
      <c r="N1101" s="3242" t="s">
        <v>3384</v>
      </c>
      <c r="O1101" s="3239">
        <v>0</v>
      </c>
      <c r="P1101" s="3242">
        <v>0</v>
      </c>
      <c r="Q1101" s="3244"/>
      <c r="R1101" s="3244"/>
      <c r="S1101" s="3242">
        <v>0</v>
      </c>
      <c r="T1101" s="3244"/>
      <c r="U1101" s="3244"/>
      <c r="V1101" s="3244"/>
      <c r="W1101" s="3240">
        <v>0</v>
      </c>
      <c r="X1101" s="3244"/>
      <c r="Y1101" s="3244"/>
      <c r="Z1101" s="3242" t="s">
        <v>3384</v>
      </c>
      <c r="AA1101" s="3243">
        <v>0</v>
      </c>
      <c r="AB1101" s="3242">
        <v>0</v>
      </c>
      <c r="AC1101" s="3244"/>
      <c r="AD1101" s="3244"/>
      <c r="AE1101" s="3242">
        <v>0</v>
      </c>
      <c r="AF1101" s="3259"/>
      <c r="AG1101" s="3260"/>
      <c r="AH1101" s="3260"/>
      <c r="AI1101" s="3260"/>
      <c r="AJ1101" s="3260"/>
      <c r="AK1101" s="3260"/>
      <c r="AL1101" s="3259"/>
      <c r="AM1101" s="3260"/>
      <c r="AN1101" s="3259"/>
      <c r="AO1101" s="3260"/>
      <c r="AP1101" s="3242">
        <v>0</v>
      </c>
      <c r="AQ1101" s="3244"/>
      <c r="AR1101" s="3244"/>
      <c r="AS1101" s="3242" t="s">
        <v>3384</v>
      </c>
      <c r="AT1101" s="3247">
        <f t="shared" si="87"/>
        <v>0</v>
      </c>
      <c r="AU1101" s="3248">
        <f t="shared" si="88"/>
        <v>0</v>
      </c>
      <c r="AV1101" s="3248">
        <v>0</v>
      </c>
      <c r="AW1101" s="3247">
        <v>0</v>
      </c>
      <c r="AX1101" s="3248">
        <v>0</v>
      </c>
      <c r="AY1101" s="3248">
        <v>0</v>
      </c>
      <c r="AZ1101" s="3247">
        <v>0</v>
      </c>
      <c r="BA1101" s="3248">
        <v>0</v>
      </c>
      <c r="BB1101" s="3248">
        <v>0</v>
      </c>
      <c r="BC1101" s="3247">
        <v>0</v>
      </c>
      <c r="BD1101" s="3248">
        <v>0</v>
      </c>
      <c r="BE1101" s="3248">
        <v>0</v>
      </c>
      <c r="BF1101" s="3248">
        <f t="shared" si="89"/>
        <v>0</v>
      </c>
      <c r="BG1101" s="3248">
        <f t="shared" si="90"/>
        <v>0</v>
      </c>
      <c r="BH1101" s="3249"/>
      <c r="BI1101" s="3249"/>
    </row>
    <row r="1102" spans="1:61" x14ac:dyDescent="0.3">
      <c r="A1102" s="4197" t="s">
        <v>3384</v>
      </c>
      <c r="B1102" s="3261"/>
      <c r="C1102" s="3243">
        <v>0</v>
      </c>
      <c r="D1102" s="3242">
        <v>0</v>
      </c>
      <c r="E1102" s="3244"/>
      <c r="F1102" s="3244"/>
      <c r="G1102" s="3242">
        <v>0</v>
      </c>
      <c r="H1102" s="3244"/>
      <c r="I1102" s="3244"/>
      <c r="J1102" s="3244"/>
      <c r="K1102" s="3242">
        <v>0</v>
      </c>
      <c r="L1102" s="3244"/>
      <c r="M1102" s="3244"/>
      <c r="N1102" s="3242" t="s">
        <v>3384</v>
      </c>
      <c r="O1102" s="3239">
        <v>0</v>
      </c>
      <c r="P1102" s="3242">
        <v>0</v>
      </c>
      <c r="Q1102" s="3244"/>
      <c r="R1102" s="3244"/>
      <c r="S1102" s="3242">
        <v>0</v>
      </c>
      <c r="T1102" s="3244"/>
      <c r="U1102" s="3244"/>
      <c r="V1102" s="3244"/>
      <c r="W1102" s="3240">
        <v>0</v>
      </c>
      <c r="X1102" s="3244"/>
      <c r="Y1102" s="3244"/>
      <c r="Z1102" s="3242" t="s">
        <v>3384</v>
      </c>
      <c r="AA1102" s="3243">
        <v>0</v>
      </c>
      <c r="AB1102" s="3242">
        <v>0</v>
      </c>
      <c r="AC1102" s="3244"/>
      <c r="AD1102" s="3244"/>
      <c r="AE1102" s="3242">
        <v>0</v>
      </c>
      <c r="AF1102" s="3259"/>
      <c r="AG1102" s="3260"/>
      <c r="AH1102" s="3260"/>
      <c r="AI1102" s="3260"/>
      <c r="AJ1102" s="3260"/>
      <c r="AK1102" s="3260"/>
      <c r="AL1102" s="3259"/>
      <c r="AM1102" s="3260"/>
      <c r="AN1102" s="3259"/>
      <c r="AO1102" s="3260"/>
      <c r="AP1102" s="3242">
        <v>0</v>
      </c>
      <c r="AQ1102" s="3244"/>
      <c r="AR1102" s="3244"/>
      <c r="AS1102" s="3242" t="s">
        <v>3384</v>
      </c>
      <c r="AT1102" s="3247">
        <f t="shared" si="87"/>
        <v>0</v>
      </c>
      <c r="AU1102" s="3248">
        <f t="shared" si="88"/>
        <v>0</v>
      </c>
      <c r="AV1102" s="3248">
        <v>0</v>
      </c>
      <c r="AW1102" s="3247">
        <v>0</v>
      </c>
      <c r="AX1102" s="3248">
        <v>0</v>
      </c>
      <c r="AY1102" s="3248">
        <v>0</v>
      </c>
      <c r="AZ1102" s="3247">
        <v>0</v>
      </c>
      <c r="BA1102" s="3248">
        <v>0</v>
      </c>
      <c r="BB1102" s="3248">
        <v>0</v>
      </c>
      <c r="BC1102" s="3247">
        <v>0</v>
      </c>
      <c r="BD1102" s="3248">
        <v>0</v>
      </c>
      <c r="BE1102" s="3248">
        <v>0</v>
      </c>
      <c r="BF1102" s="3248">
        <f t="shared" si="89"/>
        <v>0</v>
      </c>
      <c r="BG1102" s="3248">
        <f t="shared" si="90"/>
        <v>0</v>
      </c>
      <c r="BH1102" s="3249"/>
      <c r="BI1102" s="3249"/>
    </row>
    <row r="1103" spans="1:61" x14ac:dyDescent="0.3">
      <c r="A1103" s="4197" t="s">
        <v>3384</v>
      </c>
      <c r="B1103" s="3261"/>
      <c r="C1103" s="3243">
        <v>0</v>
      </c>
      <c r="D1103" s="3242">
        <v>0</v>
      </c>
      <c r="E1103" s="3244"/>
      <c r="F1103" s="3244"/>
      <c r="G1103" s="3242">
        <v>0</v>
      </c>
      <c r="H1103" s="3244"/>
      <c r="I1103" s="3244"/>
      <c r="J1103" s="3244"/>
      <c r="K1103" s="3242">
        <v>0</v>
      </c>
      <c r="L1103" s="3244"/>
      <c r="M1103" s="3244"/>
      <c r="N1103" s="3242" t="s">
        <v>3384</v>
      </c>
      <c r="O1103" s="3239">
        <v>0</v>
      </c>
      <c r="P1103" s="3242">
        <v>0</v>
      </c>
      <c r="Q1103" s="3244"/>
      <c r="R1103" s="3244"/>
      <c r="S1103" s="3242">
        <v>0</v>
      </c>
      <c r="T1103" s="3244"/>
      <c r="U1103" s="3244"/>
      <c r="V1103" s="3244"/>
      <c r="W1103" s="3240">
        <v>0</v>
      </c>
      <c r="X1103" s="3244"/>
      <c r="Y1103" s="3244"/>
      <c r="Z1103" s="3242" t="s">
        <v>3384</v>
      </c>
      <c r="AA1103" s="3243">
        <v>0</v>
      </c>
      <c r="AB1103" s="3242">
        <v>0</v>
      </c>
      <c r="AC1103" s="3244"/>
      <c r="AD1103" s="3244"/>
      <c r="AE1103" s="3242">
        <v>0</v>
      </c>
      <c r="AF1103" s="3259"/>
      <c r="AG1103" s="3260"/>
      <c r="AH1103" s="3260"/>
      <c r="AI1103" s="3260"/>
      <c r="AJ1103" s="3260"/>
      <c r="AK1103" s="3260"/>
      <c r="AL1103" s="3259"/>
      <c r="AM1103" s="3260"/>
      <c r="AN1103" s="3259"/>
      <c r="AO1103" s="3260"/>
      <c r="AP1103" s="3242">
        <v>0</v>
      </c>
      <c r="AQ1103" s="3244"/>
      <c r="AR1103" s="3244"/>
      <c r="AS1103" s="3242" t="s">
        <v>3384</v>
      </c>
      <c r="AT1103" s="3247">
        <f t="shared" si="87"/>
        <v>0</v>
      </c>
      <c r="AU1103" s="3248">
        <f t="shared" si="88"/>
        <v>0</v>
      </c>
      <c r="AV1103" s="3248">
        <v>0</v>
      </c>
      <c r="AW1103" s="3247">
        <v>0</v>
      </c>
      <c r="AX1103" s="3248">
        <v>0</v>
      </c>
      <c r="AY1103" s="3248">
        <v>0</v>
      </c>
      <c r="AZ1103" s="3247">
        <v>0</v>
      </c>
      <c r="BA1103" s="3248">
        <v>0</v>
      </c>
      <c r="BB1103" s="3248">
        <v>0</v>
      </c>
      <c r="BC1103" s="3247">
        <v>0</v>
      </c>
      <c r="BD1103" s="3248">
        <v>0</v>
      </c>
      <c r="BE1103" s="3248">
        <v>0</v>
      </c>
      <c r="BF1103" s="3248">
        <f t="shared" si="89"/>
        <v>0</v>
      </c>
      <c r="BG1103" s="3248">
        <f t="shared" si="90"/>
        <v>0</v>
      </c>
      <c r="BH1103" s="3249"/>
      <c r="BI1103" s="3249"/>
    </row>
    <row r="1104" spans="1:61" x14ac:dyDescent="0.3">
      <c r="A1104" s="4197" t="s">
        <v>3384</v>
      </c>
      <c r="B1104" s="3261"/>
      <c r="C1104" s="3243">
        <v>0</v>
      </c>
      <c r="D1104" s="3242">
        <v>0</v>
      </c>
      <c r="E1104" s="3244"/>
      <c r="F1104" s="3244"/>
      <c r="G1104" s="3242">
        <v>0</v>
      </c>
      <c r="H1104" s="3244"/>
      <c r="I1104" s="3244"/>
      <c r="J1104" s="3244"/>
      <c r="K1104" s="3242">
        <v>0</v>
      </c>
      <c r="L1104" s="3244"/>
      <c r="M1104" s="3244"/>
      <c r="N1104" s="3242" t="s">
        <v>3384</v>
      </c>
      <c r="O1104" s="3239">
        <v>0</v>
      </c>
      <c r="P1104" s="3242">
        <v>0</v>
      </c>
      <c r="Q1104" s="3244"/>
      <c r="R1104" s="3244"/>
      <c r="S1104" s="3242">
        <v>0</v>
      </c>
      <c r="T1104" s="3244"/>
      <c r="U1104" s="3244"/>
      <c r="V1104" s="3244"/>
      <c r="W1104" s="3240">
        <v>0</v>
      </c>
      <c r="X1104" s="3244"/>
      <c r="Y1104" s="3244"/>
      <c r="Z1104" s="3242" t="s">
        <v>3384</v>
      </c>
      <c r="AA1104" s="3243">
        <v>0</v>
      </c>
      <c r="AB1104" s="3242">
        <v>0</v>
      </c>
      <c r="AC1104" s="3244"/>
      <c r="AD1104" s="3244"/>
      <c r="AE1104" s="3242">
        <v>0</v>
      </c>
      <c r="AF1104" s="3259"/>
      <c r="AG1104" s="3260"/>
      <c r="AH1104" s="3260"/>
      <c r="AI1104" s="3260"/>
      <c r="AJ1104" s="3260"/>
      <c r="AK1104" s="3260"/>
      <c r="AL1104" s="3259"/>
      <c r="AM1104" s="3260"/>
      <c r="AN1104" s="3259"/>
      <c r="AO1104" s="3260"/>
      <c r="AP1104" s="3242">
        <v>0</v>
      </c>
      <c r="AQ1104" s="3244"/>
      <c r="AR1104" s="3244"/>
      <c r="AS1104" s="3242" t="s">
        <v>3384</v>
      </c>
      <c r="AT1104" s="3247">
        <f t="shared" ref="AT1104:AT1130" si="91">IFERROR(AE1104+(SUM(AC1104:AD1104)/100*($AE$14/$AB$14*100)),0)</f>
        <v>0</v>
      </c>
      <c r="AU1104" s="3248">
        <f t="shared" si="88"/>
        <v>0</v>
      </c>
      <c r="AV1104" s="3248">
        <v>0</v>
      </c>
      <c r="AW1104" s="3247">
        <v>0</v>
      </c>
      <c r="AX1104" s="3248">
        <v>0</v>
      </c>
      <c r="AY1104" s="3248">
        <v>0</v>
      </c>
      <c r="AZ1104" s="3247">
        <v>0</v>
      </c>
      <c r="BA1104" s="3248">
        <v>0</v>
      </c>
      <c r="BB1104" s="3248">
        <v>0</v>
      </c>
      <c r="BC1104" s="3247">
        <v>0</v>
      </c>
      <c r="BD1104" s="3248">
        <v>0</v>
      </c>
      <c r="BE1104" s="3248">
        <v>0</v>
      </c>
      <c r="BF1104" s="3248">
        <f t="shared" si="89"/>
        <v>0</v>
      </c>
      <c r="BG1104" s="3248">
        <f t="shared" si="90"/>
        <v>0</v>
      </c>
      <c r="BH1104" s="3249"/>
      <c r="BI1104" s="3249"/>
    </row>
    <row r="1105" spans="1:61" x14ac:dyDescent="0.3">
      <c r="A1105" s="4197" t="s">
        <v>3384</v>
      </c>
      <c r="B1105" s="3261"/>
      <c r="C1105" s="3243">
        <v>0</v>
      </c>
      <c r="D1105" s="3242">
        <v>0</v>
      </c>
      <c r="E1105" s="3244"/>
      <c r="F1105" s="3244"/>
      <c r="G1105" s="3242">
        <v>0</v>
      </c>
      <c r="H1105" s="3244"/>
      <c r="I1105" s="3244"/>
      <c r="J1105" s="3244"/>
      <c r="K1105" s="3242">
        <v>0</v>
      </c>
      <c r="L1105" s="3244"/>
      <c r="M1105" s="3244"/>
      <c r="N1105" s="3242" t="s">
        <v>3384</v>
      </c>
      <c r="O1105" s="3239">
        <v>0</v>
      </c>
      <c r="P1105" s="3242">
        <v>0</v>
      </c>
      <c r="Q1105" s="3244"/>
      <c r="R1105" s="3244"/>
      <c r="S1105" s="3242">
        <v>0</v>
      </c>
      <c r="T1105" s="3244"/>
      <c r="U1105" s="3244"/>
      <c r="V1105" s="3244"/>
      <c r="W1105" s="3240">
        <v>0</v>
      </c>
      <c r="X1105" s="3244"/>
      <c r="Y1105" s="3244"/>
      <c r="Z1105" s="3242" t="s">
        <v>3384</v>
      </c>
      <c r="AA1105" s="3243">
        <v>0</v>
      </c>
      <c r="AB1105" s="3242">
        <v>0</v>
      </c>
      <c r="AC1105" s="3244"/>
      <c r="AD1105" s="3244"/>
      <c r="AE1105" s="3242">
        <v>0</v>
      </c>
      <c r="AF1105" s="3259"/>
      <c r="AG1105" s="3260"/>
      <c r="AH1105" s="3260"/>
      <c r="AI1105" s="3260"/>
      <c r="AJ1105" s="3260"/>
      <c r="AK1105" s="3260"/>
      <c r="AL1105" s="3259"/>
      <c r="AM1105" s="3260"/>
      <c r="AN1105" s="3259"/>
      <c r="AO1105" s="3260"/>
      <c r="AP1105" s="3242">
        <v>0</v>
      </c>
      <c r="AQ1105" s="3244"/>
      <c r="AR1105" s="3244"/>
      <c r="AS1105" s="3242" t="s">
        <v>3384</v>
      </c>
      <c r="AT1105" s="3247">
        <f t="shared" si="91"/>
        <v>0</v>
      </c>
      <c r="AU1105" s="3248">
        <f t="shared" si="88"/>
        <v>0</v>
      </c>
      <c r="AV1105" s="3248">
        <v>0</v>
      </c>
      <c r="AW1105" s="3247">
        <v>0</v>
      </c>
      <c r="AX1105" s="3248">
        <v>0</v>
      </c>
      <c r="AY1105" s="3248">
        <v>0</v>
      </c>
      <c r="AZ1105" s="3247">
        <v>0</v>
      </c>
      <c r="BA1105" s="3248">
        <v>0</v>
      </c>
      <c r="BB1105" s="3248">
        <v>0</v>
      </c>
      <c r="BC1105" s="3247">
        <v>0</v>
      </c>
      <c r="BD1105" s="3248">
        <v>0</v>
      </c>
      <c r="BE1105" s="3248">
        <v>0</v>
      </c>
      <c r="BF1105" s="3248">
        <f t="shared" si="89"/>
        <v>0</v>
      </c>
      <c r="BG1105" s="3248">
        <f t="shared" si="90"/>
        <v>0</v>
      </c>
      <c r="BH1105" s="3249"/>
      <c r="BI1105" s="3249"/>
    </row>
    <row r="1106" spans="1:61" x14ac:dyDescent="0.3">
      <c r="A1106" s="4197" t="s">
        <v>3384</v>
      </c>
      <c r="B1106" s="3261"/>
      <c r="C1106" s="3243">
        <v>0</v>
      </c>
      <c r="D1106" s="3242">
        <v>0</v>
      </c>
      <c r="E1106" s="3244"/>
      <c r="F1106" s="3244"/>
      <c r="G1106" s="3242">
        <v>0</v>
      </c>
      <c r="H1106" s="3244"/>
      <c r="I1106" s="3244"/>
      <c r="J1106" s="3244"/>
      <c r="K1106" s="3242">
        <v>0</v>
      </c>
      <c r="L1106" s="3244"/>
      <c r="M1106" s="3244"/>
      <c r="N1106" s="3242" t="s">
        <v>3384</v>
      </c>
      <c r="O1106" s="3239">
        <v>0</v>
      </c>
      <c r="P1106" s="3242">
        <v>0</v>
      </c>
      <c r="Q1106" s="3244"/>
      <c r="R1106" s="3244"/>
      <c r="S1106" s="3242">
        <v>0</v>
      </c>
      <c r="T1106" s="3244"/>
      <c r="U1106" s="3244"/>
      <c r="V1106" s="3244"/>
      <c r="W1106" s="3240">
        <v>0</v>
      </c>
      <c r="X1106" s="3244"/>
      <c r="Y1106" s="3244"/>
      <c r="Z1106" s="3242" t="s">
        <v>3384</v>
      </c>
      <c r="AA1106" s="3243">
        <v>0</v>
      </c>
      <c r="AB1106" s="3242">
        <v>0</v>
      </c>
      <c r="AC1106" s="3244"/>
      <c r="AD1106" s="3244"/>
      <c r="AE1106" s="3242">
        <v>0</v>
      </c>
      <c r="AF1106" s="3259"/>
      <c r="AG1106" s="3260"/>
      <c r="AH1106" s="3260"/>
      <c r="AI1106" s="3260"/>
      <c r="AJ1106" s="3260"/>
      <c r="AK1106" s="3260"/>
      <c r="AL1106" s="3259"/>
      <c r="AM1106" s="3260"/>
      <c r="AN1106" s="3259"/>
      <c r="AO1106" s="3260"/>
      <c r="AP1106" s="3242">
        <v>0</v>
      </c>
      <c r="AQ1106" s="3244"/>
      <c r="AR1106" s="3244"/>
      <c r="AS1106" s="3242" t="s">
        <v>3384</v>
      </c>
      <c r="AT1106" s="3247">
        <f t="shared" si="91"/>
        <v>0</v>
      </c>
      <c r="AU1106" s="3248">
        <f t="shared" si="88"/>
        <v>0</v>
      </c>
      <c r="AV1106" s="3248">
        <v>0</v>
      </c>
      <c r="AW1106" s="3247">
        <v>0</v>
      </c>
      <c r="AX1106" s="3248">
        <v>0</v>
      </c>
      <c r="AY1106" s="3248">
        <v>0</v>
      </c>
      <c r="AZ1106" s="3247">
        <v>0</v>
      </c>
      <c r="BA1106" s="3248">
        <v>0</v>
      </c>
      <c r="BB1106" s="3248">
        <v>0</v>
      </c>
      <c r="BC1106" s="3247">
        <v>0</v>
      </c>
      <c r="BD1106" s="3248">
        <v>0</v>
      </c>
      <c r="BE1106" s="3248">
        <v>0</v>
      </c>
      <c r="BF1106" s="3248">
        <f t="shared" si="89"/>
        <v>0</v>
      </c>
      <c r="BG1106" s="3248">
        <f t="shared" si="90"/>
        <v>0</v>
      </c>
      <c r="BH1106" s="3249"/>
      <c r="BI1106" s="3249"/>
    </row>
    <row r="1107" spans="1:61" x14ac:dyDescent="0.3">
      <c r="A1107" s="4197" t="s">
        <v>3384</v>
      </c>
      <c r="B1107" s="3261"/>
      <c r="C1107" s="3243">
        <v>0</v>
      </c>
      <c r="D1107" s="3242">
        <v>0</v>
      </c>
      <c r="E1107" s="3244"/>
      <c r="F1107" s="3244"/>
      <c r="G1107" s="3242">
        <v>0</v>
      </c>
      <c r="H1107" s="3244"/>
      <c r="I1107" s="3244"/>
      <c r="J1107" s="3244"/>
      <c r="K1107" s="3242">
        <v>0</v>
      </c>
      <c r="L1107" s="3244"/>
      <c r="M1107" s="3244"/>
      <c r="N1107" s="3242" t="s">
        <v>3384</v>
      </c>
      <c r="O1107" s="3239">
        <v>0</v>
      </c>
      <c r="P1107" s="3242">
        <v>0</v>
      </c>
      <c r="Q1107" s="3244"/>
      <c r="R1107" s="3244"/>
      <c r="S1107" s="3242">
        <v>0</v>
      </c>
      <c r="T1107" s="3244"/>
      <c r="U1107" s="3244"/>
      <c r="V1107" s="3244"/>
      <c r="W1107" s="3240">
        <v>0</v>
      </c>
      <c r="X1107" s="3244"/>
      <c r="Y1107" s="3244"/>
      <c r="Z1107" s="3242" t="s">
        <v>3384</v>
      </c>
      <c r="AA1107" s="3243">
        <v>0</v>
      </c>
      <c r="AB1107" s="3242">
        <v>0</v>
      </c>
      <c r="AC1107" s="3244"/>
      <c r="AD1107" s="3244"/>
      <c r="AE1107" s="3242">
        <v>0</v>
      </c>
      <c r="AF1107" s="3259"/>
      <c r="AG1107" s="3260"/>
      <c r="AH1107" s="3260"/>
      <c r="AI1107" s="3260"/>
      <c r="AJ1107" s="3260"/>
      <c r="AK1107" s="3260"/>
      <c r="AL1107" s="3259"/>
      <c r="AM1107" s="3260"/>
      <c r="AN1107" s="3259"/>
      <c r="AO1107" s="3260"/>
      <c r="AP1107" s="3242">
        <v>0</v>
      </c>
      <c r="AQ1107" s="3244"/>
      <c r="AR1107" s="3244"/>
      <c r="AS1107" s="3242" t="s">
        <v>3384</v>
      </c>
      <c r="AT1107" s="3247">
        <f t="shared" si="91"/>
        <v>0</v>
      </c>
      <c r="AU1107" s="3248">
        <f t="shared" ref="AU1107:AU1130" si="92">AX1107+BA1107+BD1107</f>
        <v>0</v>
      </c>
      <c r="AV1107" s="3248">
        <v>0</v>
      </c>
      <c r="AW1107" s="3247">
        <v>0</v>
      </c>
      <c r="AX1107" s="3248">
        <v>0</v>
      </c>
      <c r="AY1107" s="3248">
        <v>0</v>
      </c>
      <c r="AZ1107" s="3247">
        <v>0</v>
      </c>
      <c r="BA1107" s="3248">
        <v>0</v>
      </c>
      <c r="BB1107" s="3248">
        <v>0</v>
      </c>
      <c r="BC1107" s="3247">
        <v>0</v>
      </c>
      <c r="BD1107" s="3248">
        <v>0</v>
      </c>
      <c r="BE1107" s="3248">
        <v>0</v>
      </c>
      <c r="BF1107" s="3248">
        <f t="shared" ref="BF1107:BF1130" si="93">IFERROR(ROUND(AE1107/S1107*100,2),0)</f>
        <v>0</v>
      </c>
      <c r="BG1107" s="3248">
        <f t="shared" ref="BG1107:BG1130" si="94">IFERROR(ROUND(AA1107/O1107*100,2),0)</f>
        <v>0</v>
      </c>
      <c r="BH1107" s="3249"/>
      <c r="BI1107" s="3249"/>
    </row>
    <row r="1108" spans="1:61" x14ac:dyDescent="0.3">
      <c r="A1108" s="4197" t="s">
        <v>3384</v>
      </c>
      <c r="B1108" s="3261"/>
      <c r="C1108" s="3243">
        <v>0</v>
      </c>
      <c r="D1108" s="3242">
        <v>0</v>
      </c>
      <c r="E1108" s="3244"/>
      <c r="F1108" s="3244"/>
      <c r="G1108" s="3242">
        <v>0</v>
      </c>
      <c r="H1108" s="3244"/>
      <c r="I1108" s="3244"/>
      <c r="J1108" s="3244"/>
      <c r="K1108" s="3242">
        <v>0</v>
      </c>
      <c r="L1108" s="3244"/>
      <c r="M1108" s="3244"/>
      <c r="N1108" s="3242" t="s">
        <v>3384</v>
      </c>
      <c r="O1108" s="3239">
        <v>0</v>
      </c>
      <c r="P1108" s="3242">
        <v>0</v>
      </c>
      <c r="Q1108" s="3244"/>
      <c r="R1108" s="3244"/>
      <c r="S1108" s="3242">
        <v>0</v>
      </c>
      <c r="T1108" s="3244"/>
      <c r="U1108" s="3244"/>
      <c r="V1108" s="3244"/>
      <c r="W1108" s="3240">
        <v>0</v>
      </c>
      <c r="X1108" s="3244"/>
      <c r="Y1108" s="3244"/>
      <c r="Z1108" s="3242" t="s">
        <v>3384</v>
      </c>
      <c r="AA1108" s="3243">
        <v>0</v>
      </c>
      <c r="AB1108" s="3242">
        <v>0</v>
      </c>
      <c r="AC1108" s="3244"/>
      <c r="AD1108" s="3244"/>
      <c r="AE1108" s="3242">
        <v>0</v>
      </c>
      <c r="AF1108" s="3259"/>
      <c r="AG1108" s="3260"/>
      <c r="AH1108" s="3260"/>
      <c r="AI1108" s="3260"/>
      <c r="AJ1108" s="3260"/>
      <c r="AK1108" s="3260"/>
      <c r="AL1108" s="3259"/>
      <c r="AM1108" s="3260"/>
      <c r="AN1108" s="3259"/>
      <c r="AO1108" s="3260"/>
      <c r="AP1108" s="3242">
        <v>0</v>
      </c>
      <c r="AQ1108" s="3244"/>
      <c r="AR1108" s="3244"/>
      <c r="AS1108" s="3242" t="s">
        <v>3384</v>
      </c>
      <c r="AT1108" s="3247">
        <f t="shared" si="91"/>
        <v>0</v>
      </c>
      <c r="AU1108" s="3248">
        <f t="shared" si="92"/>
        <v>0</v>
      </c>
      <c r="AV1108" s="3248">
        <v>0</v>
      </c>
      <c r="AW1108" s="3247">
        <v>0</v>
      </c>
      <c r="AX1108" s="3248">
        <v>0</v>
      </c>
      <c r="AY1108" s="3248">
        <v>0</v>
      </c>
      <c r="AZ1108" s="3247">
        <v>0</v>
      </c>
      <c r="BA1108" s="3248">
        <v>0</v>
      </c>
      <c r="BB1108" s="3248">
        <v>0</v>
      </c>
      <c r="BC1108" s="3247">
        <v>0</v>
      </c>
      <c r="BD1108" s="3248">
        <v>0</v>
      </c>
      <c r="BE1108" s="3248">
        <v>0</v>
      </c>
      <c r="BF1108" s="3248">
        <f t="shared" si="93"/>
        <v>0</v>
      </c>
      <c r="BG1108" s="3248">
        <f t="shared" si="94"/>
        <v>0</v>
      </c>
      <c r="BH1108" s="3249"/>
      <c r="BI1108" s="3249"/>
    </row>
    <row r="1109" spans="1:61" x14ac:dyDescent="0.3">
      <c r="A1109" s="4197" t="s">
        <v>3384</v>
      </c>
      <c r="B1109" s="3261"/>
      <c r="C1109" s="3243">
        <v>0</v>
      </c>
      <c r="D1109" s="3242">
        <v>0</v>
      </c>
      <c r="E1109" s="3244"/>
      <c r="F1109" s="3244"/>
      <c r="G1109" s="3242">
        <v>0</v>
      </c>
      <c r="H1109" s="3244"/>
      <c r="I1109" s="3244"/>
      <c r="J1109" s="3244"/>
      <c r="K1109" s="3242">
        <v>0</v>
      </c>
      <c r="L1109" s="3244"/>
      <c r="M1109" s="3244"/>
      <c r="N1109" s="3242" t="s">
        <v>3384</v>
      </c>
      <c r="O1109" s="3239">
        <v>0</v>
      </c>
      <c r="P1109" s="3242">
        <v>0</v>
      </c>
      <c r="Q1109" s="3244"/>
      <c r="R1109" s="3244"/>
      <c r="S1109" s="3242">
        <v>0</v>
      </c>
      <c r="T1109" s="3244"/>
      <c r="U1109" s="3244"/>
      <c r="V1109" s="3244"/>
      <c r="W1109" s="3240">
        <v>0</v>
      </c>
      <c r="X1109" s="3244"/>
      <c r="Y1109" s="3244"/>
      <c r="Z1109" s="3242" t="s">
        <v>3384</v>
      </c>
      <c r="AA1109" s="3243">
        <v>0</v>
      </c>
      <c r="AB1109" s="3242">
        <v>0</v>
      </c>
      <c r="AC1109" s="3244"/>
      <c r="AD1109" s="3244"/>
      <c r="AE1109" s="3242">
        <v>0</v>
      </c>
      <c r="AF1109" s="3259"/>
      <c r="AG1109" s="3260"/>
      <c r="AH1109" s="3260"/>
      <c r="AI1109" s="3260"/>
      <c r="AJ1109" s="3260"/>
      <c r="AK1109" s="3260"/>
      <c r="AL1109" s="3259"/>
      <c r="AM1109" s="3260"/>
      <c r="AN1109" s="3259"/>
      <c r="AO1109" s="3260"/>
      <c r="AP1109" s="3242">
        <v>0</v>
      </c>
      <c r="AQ1109" s="3244"/>
      <c r="AR1109" s="3244"/>
      <c r="AS1109" s="3242" t="s">
        <v>3384</v>
      </c>
      <c r="AT1109" s="3247">
        <f t="shared" si="91"/>
        <v>0</v>
      </c>
      <c r="AU1109" s="3248">
        <f t="shared" si="92"/>
        <v>0</v>
      </c>
      <c r="AV1109" s="3248">
        <v>0</v>
      </c>
      <c r="AW1109" s="3247">
        <v>0</v>
      </c>
      <c r="AX1109" s="3248">
        <v>0</v>
      </c>
      <c r="AY1109" s="3248">
        <v>0</v>
      </c>
      <c r="AZ1109" s="3247">
        <v>0</v>
      </c>
      <c r="BA1109" s="3248">
        <v>0</v>
      </c>
      <c r="BB1109" s="3248">
        <v>0</v>
      </c>
      <c r="BC1109" s="3247">
        <v>0</v>
      </c>
      <c r="BD1109" s="3248">
        <v>0</v>
      </c>
      <c r="BE1109" s="3248">
        <v>0</v>
      </c>
      <c r="BF1109" s="3248">
        <f t="shared" si="93"/>
        <v>0</v>
      </c>
      <c r="BG1109" s="3248">
        <f t="shared" si="94"/>
        <v>0</v>
      </c>
      <c r="BH1109" s="3249"/>
      <c r="BI1109" s="3249"/>
    </row>
    <row r="1110" spans="1:61" x14ac:dyDescent="0.3">
      <c r="A1110" s="4197" t="s">
        <v>3384</v>
      </c>
      <c r="B1110" s="3261"/>
      <c r="C1110" s="3243">
        <v>0</v>
      </c>
      <c r="D1110" s="3242">
        <v>0</v>
      </c>
      <c r="E1110" s="3244"/>
      <c r="F1110" s="3244"/>
      <c r="G1110" s="3242">
        <v>0</v>
      </c>
      <c r="H1110" s="3244"/>
      <c r="I1110" s="3244"/>
      <c r="J1110" s="3244"/>
      <c r="K1110" s="3242">
        <v>0</v>
      </c>
      <c r="L1110" s="3244"/>
      <c r="M1110" s="3244"/>
      <c r="N1110" s="3242" t="s">
        <v>3384</v>
      </c>
      <c r="O1110" s="3239">
        <v>0</v>
      </c>
      <c r="P1110" s="3242">
        <v>0</v>
      </c>
      <c r="Q1110" s="3244"/>
      <c r="R1110" s="3244"/>
      <c r="S1110" s="3242">
        <v>0</v>
      </c>
      <c r="T1110" s="3244"/>
      <c r="U1110" s="3244"/>
      <c r="V1110" s="3244"/>
      <c r="W1110" s="3240">
        <v>0</v>
      </c>
      <c r="X1110" s="3244"/>
      <c r="Y1110" s="3244"/>
      <c r="Z1110" s="3242" t="s">
        <v>3384</v>
      </c>
      <c r="AA1110" s="3243">
        <v>0</v>
      </c>
      <c r="AB1110" s="3242">
        <v>0</v>
      </c>
      <c r="AC1110" s="3244"/>
      <c r="AD1110" s="3244"/>
      <c r="AE1110" s="3242">
        <v>0</v>
      </c>
      <c r="AF1110" s="3259"/>
      <c r="AG1110" s="3260"/>
      <c r="AH1110" s="3260"/>
      <c r="AI1110" s="3260"/>
      <c r="AJ1110" s="3260"/>
      <c r="AK1110" s="3260"/>
      <c r="AL1110" s="3259"/>
      <c r="AM1110" s="3260"/>
      <c r="AN1110" s="3259"/>
      <c r="AO1110" s="3260"/>
      <c r="AP1110" s="3242">
        <v>0</v>
      </c>
      <c r="AQ1110" s="3244"/>
      <c r="AR1110" s="3244"/>
      <c r="AS1110" s="3242" t="s">
        <v>3384</v>
      </c>
      <c r="AT1110" s="3247">
        <f t="shared" si="91"/>
        <v>0</v>
      </c>
      <c r="AU1110" s="3248">
        <f t="shared" si="92"/>
        <v>0</v>
      </c>
      <c r="AV1110" s="3248">
        <v>0</v>
      </c>
      <c r="AW1110" s="3247">
        <v>0</v>
      </c>
      <c r="AX1110" s="3248">
        <v>0</v>
      </c>
      <c r="AY1110" s="3248">
        <v>0</v>
      </c>
      <c r="AZ1110" s="3247">
        <v>0</v>
      </c>
      <c r="BA1110" s="3248">
        <v>0</v>
      </c>
      <c r="BB1110" s="3248">
        <v>0</v>
      </c>
      <c r="BC1110" s="3247">
        <v>0</v>
      </c>
      <c r="BD1110" s="3248">
        <v>0</v>
      </c>
      <c r="BE1110" s="3248">
        <v>0</v>
      </c>
      <c r="BF1110" s="3248">
        <f t="shared" si="93"/>
        <v>0</v>
      </c>
      <c r="BG1110" s="3248">
        <f t="shared" si="94"/>
        <v>0</v>
      </c>
      <c r="BH1110" s="3249"/>
      <c r="BI1110" s="3249"/>
    </row>
    <row r="1111" spans="1:61" x14ac:dyDescent="0.3">
      <c r="A1111" s="4197" t="s">
        <v>3384</v>
      </c>
      <c r="B1111" s="3261"/>
      <c r="C1111" s="3243">
        <v>0</v>
      </c>
      <c r="D1111" s="3242">
        <v>0</v>
      </c>
      <c r="E1111" s="3244"/>
      <c r="F1111" s="3244"/>
      <c r="G1111" s="3242">
        <v>0</v>
      </c>
      <c r="H1111" s="3244"/>
      <c r="I1111" s="3244"/>
      <c r="J1111" s="3244"/>
      <c r="K1111" s="3242">
        <v>0</v>
      </c>
      <c r="L1111" s="3244"/>
      <c r="M1111" s="3244"/>
      <c r="N1111" s="3242" t="s">
        <v>3384</v>
      </c>
      <c r="O1111" s="3239">
        <v>0</v>
      </c>
      <c r="P1111" s="3242">
        <v>0</v>
      </c>
      <c r="Q1111" s="3244"/>
      <c r="R1111" s="3244"/>
      <c r="S1111" s="3242">
        <v>0</v>
      </c>
      <c r="T1111" s="3244"/>
      <c r="U1111" s="3244"/>
      <c r="V1111" s="3244"/>
      <c r="W1111" s="3240">
        <v>0</v>
      </c>
      <c r="X1111" s="3244"/>
      <c r="Y1111" s="3244"/>
      <c r="Z1111" s="3242" t="s">
        <v>3384</v>
      </c>
      <c r="AA1111" s="3243">
        <v>0</v>
      </c>
      <c r="AB1111" s="3242">
        <v>0</v>
      </c>
      <c r="AC1111" s="3244"/>
      <c r="AD1111" s="3244"/>
      <c r="AE1111" s="3242">
        <v>0</v>
      </c>
      <c r="AF1111" s="3259"/>
      <c r="AG1111" s="3260"/>
      <c r="AH1111" s="3260"/>
      <c r="AI1111" s="3260"/>
      <c r="AJ1111" s="3260"/>
      <c r="AK1111" s="3260"/>
      <c r="AL1111" s="3259"/>
      <c r="AM1111" s="3260"/>
      <c r="AN1111" s="3259"/>
      <c r="AO1111" s="3260"/>
      <c r="AP1111" s="3242">
        <v>0</v>
      </c>
      <c r="AQ1111" s="3244"/>
      <c r="AR1111" s="3244"/>
      <c r="AS1111" s="3242" t="s">
        <v>3384</v>
      </c>
      <c r="AT1111" s="3247">
        <f t="shared" si="91"/>
        <v>0</v>
      </c>
      <c r="AU1111" s="3248">
        <f t="shared" si="92"/>
        <v>0</v>
      </c>
      <c r="AV1111" s="3248">
        <v>0</v>
      </c>
      <c r="AW1111" s="3247">
        <v>0</v>
      </c>
      <c r="AX1111" s="3248">
        <v>0</v>
      </c>
      <c r="AY1111" s="3248">
        <v>0</v>
      </c>
      <c r="AZ1111" s="3247">
        <v>0</v>
      </c>
      <c r="BA1111" s="3248">
        <v>0</v>
      </c>
      <c r="BB1111" s="3248">
        <v>0</v>
      </c>
      <c r="BC1111" s="3247">
        <v>0</v>
      </c>
      <c r="BD1111" s="3248">
        <v>0</v>
      </c>
      <c r="BE1111" s="3248">
        <v>0</v>
      </c>
      <c r="BF1111" s="3248">
        <f t="shared" si="93"/>
        <v>0</v>
      </c>
      <c r="BG1111" s="3248">
        <f t="shared" si="94"/>
        <v>0</v>
      </c>
      <c r="BH1111" s="3249"/>
      <c r="BI1111" s="3249"/>
    </row>
    <row r="1112" spans="1:61" x14ac:dyDescent="0.3">
      <c r="A1112" s="4197" t="s">
        <v>3384</v>
      </c>
      <c r="B1112" s="3261"/>
      <c r="C1112" s="3243">
        <v>0</v>
      </c>
      <c r="D1112" s="3242">
        <v>0</v>
      </c>
      <c r="E1112" s="3244"/>
      <c r="F1112" s="3244"/>
      <c r="G1112" s="3242">
        <v>0</v>
      </c>
      <c r="H1112" s="3244"/>
      <c r="I1112" s="3244"/>
      <c r="J1112" s="3244"/>
      <c r="K1112" s="3242">
        <v>0</v>
      </c>
      <c r="L1112" s="3244"/>
      <c r="M1112" s="3244"/>
      <c r="N1112" s="3242" t="s">
        <v>3384</v>
      </c>
      <c r="O1112" s="3239">
        <v>0</v>
      </c>
      <c r="P1112" s="3242">
        <v>0</v>
      </c>
      <c r="Q1112" s="3244"/>
      <c r="R1112" s="3244"/>
      <c r="S1112" s="3242">
        <v>0</v>
      </c>
      <c r="T1112" s="3244"/>
      <c r="U1112" s="3244"/>
      <c r="V1112" s="3244"/>
      <c r="W1112" s="3240">
        <v>0</v>
      </c>
      <c r="X1112" s="3244"/>
      <c r="Y1112" s="3244"/>
      <c r="Z1112" s="3242" t="s">
        <v>3384</v>
      </c>
      <c r="AA1112" s="3243">
        <v>0</v>
      </c>
      <c r="AB1112" s="3242">
        <v>0</v>
      </c>
      <c r="AC1112" s="3244"/>
      <c r="AD1112" s="3244"/>
      <c r="AE1112" s="3242">
        <v>0</v>
      </c>
      <c r="AF1112" s="3259"/>
      <c r="AG1112" s="3260"/>
      <c r="AH1112" s="3260"/>
      <c r="AI1112" s="3260"/>
      <c r="AJ1112" s="3260"/>
      <c r="AK1112" s="3260"/>
      <c r="AL1112" s="3259"/>
      <c r="AM1112" s="3260"/>
      <c r="AN1112" s="3259"/>
      <c r="AO1112" s="3260"/>
      <c r="AP1112" s="3242">
        <v>0</v>
      </c>
      <c r="AQ1112" s="3244"/>
      <c r="AR1112" s="3244"/>
      <c r="AS1112" s="3242" t="s">
        <v>3384</v>
      </c>
      <c r="AT1112" s="3247">
        <f t="shared" si="91"/>
        <v>0</v>
      </c>
      <c r="AU1112" s="3248">
        <f t="shared" si="92"/>
        <v>0</v>
      </c>
      <c r="AV1112" s="3248">
        <v>0</v>
      </c>
      <c r="AW1112" s="3247">
        <v>0</v>
      </c>
      <c r="AX1112" s="3248">
        <v>0</v>
      </c>
      <c r="AY1112" s="3248">
        <v>0</v>
      </c>
      <c r="AZ1112" s="3247">
        <v>0</v>
      </c>
      <c r="BA1112" s="3248">
        <v>0</v>
      </c>
      <c r="BB1112" s="3248">
        <v>0</v>
      </c>
      <c r="BC1112" s="3247">
        <v>0</v>
      </c>
      <c r="BD1112" s="3248">
        <v>0</v>
      </c>
      <c r="BE1112" s="3248">
        <v>0</v>
      </c>
      <c r="BF1112" s="3248">
        <f t="shared" si="93"/>
        <v>0</v>
      </c>
      <c r="BG1112" s="3248">
        <f t="shared" si="94"/>
        <v>0</v>
      </c>
      <c r="BH1112" s="3249"/>
      <c r="BI1112" s="3249"/>
    </row>
    <row r="1113" spans="1:61" x14ac:dyDescent="0.3">
      <c r="A1113" s="4197" t="s">
        <v>3384</v>
      </c>
      <c r="B1113" s="3261"/>
      <c r="C1113" s="3243">
        <v>0</v>
      </c>
      <c r="D1113" s="3242">
        <v>0</v>
      </c>
      <c r="E1113" s="3244"/>
      <c r="F1113" s="3244"/>
      <c r="G1113" s="3242">
        <v>0</v>
      </c>
      <c r="H1113" s="3244"/>
      <c r="I1113" s="3244"/>
      <c r="J1113" s="3244"/>
      <c r="K1113" s="3242">
        <v>0</v>
      </c>
      <c r="L1113" s="3244"/>
      <c r="M1113" s="3244"/>
      <c r="N1113" s="3242" t="s">
        <v>3384</v>
      </c>
      <c r="O1113" s="3239">
        <v>0</v>
      </c>
      <c r="P1113" s="3242">
        <v>0</v>
      </c>
      <c r="Q1113" s="3244"/>
      <c r="R1113" s="3244"/>
      <c r="S1113" s="3242">
        <v>0</v>
      </c>
      <c r="T1113" s="3244"/>
      <c r="U1113" s="3244"/>
      <c r="V1113" s="3244"/>
      <c r="W1113" s="3240">
        <v>0</v>
      </c>
      <c r="X1113" s="3244"/>
      <c r="Y1113" s="3244"/>
      <c r="Z1113" s="3242" t="s">
        <v>3384</v>
      </c>
      <c r="AA1113" s="3243">
        <v>0</v>
      </c>
      <c r="AB1113" s="3242">
        <v>0</v>
      </c>
      <c r="AC1113" s="3244"/>
      <c r="AD1113" s="3244"/>
      <c r="AE1113" s="3242">
        <v>0</v>
      </c>
      <c r="AF1113" s="3259"/>
      <c r="AG1113" s="3260"/>
      <c r="AH1113" s="3260"/>
      <c r="AI1113" s="3260"/>
      <c r="AJ1113" s="3260"/>
      <c r="AK1113" s="3260"/>
      <c r="AL1113" s="3259"/>
      <c r="AM1113" s="3260"/>
      <c r="AN1113" s="3259"/>
      <c r="AO1113" s="3260"/>
      <c r="AP1113" s="3242">
        <v>0</v>
      </c>
      <c r="AQ1113" s="3244"/>
      <c r="AR1113" s="3244"/>
      <c r="AS1113" s="3242" t="s">
        <v>3384</v>
      </c>
      <c r="AT1113" s="3247">
        <f t="shared" si="91"/>
        <v>0</v>
      </c>
      <c r="AU1113" s="3248">
        <f t="shared" si="92"/>
        <v>0</v>
      </c>
      <c r="AV1113" s="3248">
        <v>0</v>
      </c>
      <c r="AW1113" s="3247">
        <v>0</v>
      </c>
      <c r="AX1113" s="3248">
        <v>0</v>
      </c>
      <c r="AY1113" s="3248">
        <v>0</v>
      </c>
      <c r="AZ1113" s="3247">
        <v>0</v>
      </c>
      <c r="BA1113" s="3248">
        <v>0</v>
      </c>
      <c r="BB1113" s="3248">
        <v>0</v>
      </c>
      <c r="BC1113" s="3247">
        <v>0</v>
      </c>
      <c r="BD1113" s="3248">
        <v>0</v>
      </c>
      <c r="BE1113" s="3248">
        <v>0</v>
      </c>
      <c r="BF1113" s="3248">
        <f t="shared" si="93"/>
        <v>0</v>
      </c>
      <c r="BG1113" s="3248">
        <f t="shared" si="94"/>
        <v>0</v>
      </c>
      <c r="BH1113" s="3249"/>
      <c r="BI1113" s="3249"/>
    </row>
    <row r="1114" spans="1:61" x14ac:dyDescent="0.3">
      <c r="A1114" s="4197" t="s">
        <v>3384</v>
      </c>
      <c r="B1114" s="3261"/>
      <c r="C1114" s="3243">
        <v>0</v>
      </c>
      <c r="D1114" s="3242">
        <v>0</v>
      </c>
      <c r="E1114" s="3244"/>
      <c r="F1114" s="3244"/>
      <c r="G1114" s="3242">
        <v>0</v>
      </c>
      <c r="H1114" s="3244"/>
      <c r="I1114" s="3244"/>
      <c r="J1114" s="3244"/>
      <c r="K1114" s="3242">
        <v>0</v>
      </c>
      <c r="L1114" s="3244"/>
      <c r="M1114" s="3244"/>
      <c r="N1114" s="3242" t="s">
        <v>3384</v>
      </c>
      <c r="O1114" s="3239">
        <v>0</v>
      </c>
      <c r="P1114" s="3242">
        <v>0</v>
      </c>
      <c r="Q1114" s="3244"/>
      <c r="R1114" s="3244"/>
      <c r="S1114" s="3242">
        <v>0</v>
      </c>
      <c r="T1114" s="3244"/>
      <c r="U1114" s="3244"/>
      <c r="V1114" s="3244"/>
      <c r="W1114" s="3240">
        <v>0</v>
      </c>
      <c r="X1114" s="3244"/>
      <c r="Y1114" s="3244"/>
      <c r="Z1114" s="3242" t="s">
        <v>3384</v>
      </c>
      <c r="AA1114" s="3243">
        <v>0</v>
      </c>
      <c r="AB1114" s="3242">
        <v>0</v>
      </c>
      <c r="AC1114" s="3244"/>
      <c r="AD1114" s="3244"/>
      <c r="AE1114" s="3242">
        <v>0</v>
      </c>
      <c r="AF1114" s="3259"/>
      <c r="AG1114" s="3260"/>
      <c r="AH1114" s="3260"/>
      <c r="AI1114" s="3260"/>
      <c r="AJ1114" s="3260"/>
      <c r="AK1114" s="3260"/>
      <c r="AL1114" s="3259"/>
      <c r="AM1114" s="3260"/>
      <c r="AN1114" s="3259"/>
      <c r="AO1114" s="3260"/>
      <c r="AP1114" s="3242">
        <v>0</v>
      </c>
      <c r="AQ1114" s="3244"/>
      <c r="AR1114" s="3244"/>
      <c r="AS1114" s="3242" t="s">
        <v>3384</v>
      </c>
      <c r="AT1114" s="3247">
        <f t="shared" si="91"/>
        <v>0</v>
      </c>
      <c r="AU1114" s="3248">
        <f t="shared" si="92"/>
        <v>0</v>
      </c>
      <c r="AV1114" s="3248">
        <v>0</v>
      </c>
      <c r="AW1114" s="3247">
        <v>0</v>
      </c>
      <c r="AX1114" s="3248">
        <v>0</v>
      </c>
      <c r="AY1114" s="3248">
        <v>0</v>
      </c>
      <c r="AZ1114" s="3247">
        <v>0</v>
      </c>
      <c r="BA1114" s="3248">
        <v>0</v>
      </c>
      <c r="BB1114" s="3248">
        <v>0</v>
      </c>
      <c r="BC1114" s="3247">
        <v>0</v>
      </c>
      <c r="BD1114" s="3248">
        <v>0</v>
      </c>
      <c r="BE1114" s="3248">
        <v>0</v>
      </c>
      <c r="BF1114" s="3248">
        <f t="shared" si="93"/>
        <v>0</v>
      </c>
      <c r="BG1114" s="3248">
        <f t="shared" si="94"/>
        <v>0</v>
      </c>
      <c r="BH1114" s="3249"/>
      <c r="BI1114" s="3249"/>
    </row>
    <row r="1115" spans="1:61" x14ac:dyDescent="0.3">
      <c r="A1115" s="4197" t="s">
        <v>3384</v>
      </c>
      <c r="B1115" s="3261"/>
      <c r="C1115" s="3243">
        <v>0</v>
      </c>
      <c r="D1115" s="3242">
        <v>0</v>
      </c>
      <c r="E1115" s="3244"/>
      <c r="F1115" s="3244"/>
      <c r="G1115" s="3242">
        <v>0</v>
      </c>
      <c r="H1115" s="3244"/>
      <c r="I1115" s="3244"/>
      <c r="J1115" s="3244"/>
      <c r="K1115" s="3242">
        <v>0</v>
      </c>
      <c r="L1115" s="3244"/>
      <c r="M1115" s="3244"/>
      <c r="N1115" s="3242" t="s">
        <v>3384</v>
      </c>
      <c r="O1115" s="3239">
        <v>0</v>
      </c>
      <c r="P1115" s="3242">
        <v>0</v>
      </c>
      <c r="Q1115" s="3244"/>
      <c r="R1115" s="3244"/>
      <c r="S1115" s="3242">
        <v>0</v>
      </c>
      <c r="T1115" s="3244"/>
      <c r="U1115" s="3244"/>
      <c r="V1115" s="3244"/>
      <c r="W1115" s="3240">
        <v>0</v>
      </c>
      <c r="X1115" s="3244"/>
      <c r="Y1115" s="3244"/>
      <c r="Z1115" s="3242" t="s">
        <v>3384</v>
      </c>
      <c r="AA1115" s="3243">
        <v>0</v>
      </c>
      <c r="AB1115" s="3242">
        <v>0</v>
      </c>
      <c r="AC1115" s="3244"/>
      <c r="AD1115" s="3244"/>
      <c r="AE1115" s="3242">
        <v>0</v>
      </c>
      <c r="AF1115" s="3259"/>
      <c r="AG1115" s="3260"/>
      <c r="AH1115" s="3260"/>
      <c r="AI1115" s="3260"/>
      <c r="AJ1115" s="3260"/>
      <c r="AK1115" s="3260"/>
      <c r="AL1115" s="3259"/>
      <c r="AM1115" s="3260"/>
      <c r="AN1115" s="3259"/>
      <c r="AO1115" s="3260"/>
      <c r="AP1115" s="3242">
        <v>0</v>
      </c>
      <c r="AQ1115" s="3244"/>
      <c r="AR1115" s="3244"/>
      <c r="AS1115" s="3242" t="s">
        <v>3384</v>
      </c>
      <c r="AT1115" s="3247">
        <f t="shared" si="91"/>
        <v>0</v>
      </c>
      <c r="AU1115" s="3248">
        <f t="shared" si="92"/>
        <v>0</v>
      </c>
      <c r="AV1115" s="3248">
        <v>0</v>
      </c>
      <c r="AW1115" s="3247">
        <v>0</v>
      </c>
      <c r="AX1115" s="3248">
        <v>0</v>
      </c>
      <c r="AY1115" s="3248">
        <v>0</v>
      </c>
      <c r="AZ1115" s="3247">
        <v>0</v>
      </c>
      <c r="BA1115" s="3248">
        <v>0</v>
      </c>
      <c r="BB1115" s="3248">
        <v>0</v>
      </c>
      <c r="BC1115" s="3247">
        <v>0</v>
      </c>
      <c r="BD1115" s="3248">
        <v>0</v>
      </c>
      <c r="BE1115" s="3248">
        <v>0</v>
      </c>
      <c r="BF1115" s="3248">
        <f t="shared" si="93"/>
        <v>0</v>
      </c>
      <c r="BG1115" s="3248">
        <f t="shared" si="94"/>
        <v>0</v>
      </c>
      <c r="BH1115" s="3249"/>
      <c r="BI1115" s="3249"/>
    </row>
    <row r="1116" spans="1:61" x14ac:dyDescent="0.3">
      <c r="A1116" s="4197" t="s">
        <v>3384</v>
      </c>
      <c r="B1116" s="3261"/>
      <c r="C1116" s="3243">
        <v>0</v>
      </c>
      <c r="D1116" s="3242">
        <v>0</v>
      </c>
      <c r="E1116" s="3244"/>
      <c r="F1116" s="3244"/>
      <c r="G1116" s="3242">
        <v>0</v>
      </c>
      <c r="H1116" s="3244"/>
      <c r="I1116" s="3244"/>
      <c r="J1116" s="3244"/>
      <c r="K1116" s="3242">
        <v>0</v>
      </c>
      <c r="L1116" s="3244"/>
      <c r="M1116" s="3244"/>
      <c r="N1116" s="3242" t="s">
        <v>3384</v>
      </c>
      <c r="O1116" s="3239">
        <v>0</v>
      </c>
      <c r="P1116" s="3242">
        <v>0</v>
      </c>
      <c r="Q1116" s="3244"/>
      <c r="R1116" s="3244"/>
      <c r="S1116" s="3242">
        <v>0</v>
      </c>
      <c r="T1116" s="3244"/>
      <c r="U1116" s="3244"/>
      <c r="V1116" s="3244"/>
      <c r="W1116" s="3240">
        <v>0</v>
      </c>
      <c r="X1116" s="3244"/>
      <c r="Y1116" s="3244"/>
      <c r="Z1116" s="3242" t="s">
        <v>3384</v>
      </c>
      <c r="AA1116" s="3243">
        <v>0</v>
      </c>
      <c r="AB1116" s="3242">
        <v>0</v>
      </c>
      <c r="AC1116" s="3244"/>
      <c r="AD1116" s="3244"/>
      <c r="AE1116" s="3242">
        <v>0</v>
      </c>
      <c r="AF1116" s="3259"/>
      <c r="AG1116" s="3260"/>
      <c r="AH1116" s="3260"/>
      <c r="AI1116" s="3260"/>
      <c r="AJ1116" s="3260"/>
      <c r="AK1116" s="3260"/>
      <c r="AL1116" s="3259"/>
      <c r="AM1116" s="3260"/>
      <c r="AN1116" s="3259"/>
      <c r="AO1116" s="3260"/>
      <c r="AP1116" s="3242">
        <v>0</v>
      </c>
      <c r="AQ1116" s="3244"/>
      <c r="AR1116" s="3244"/>
      <c r="AS1116" s="3242" t="s">
        <v>3384</v>
      </c>
      <c r="AT1116" s="3247">
        <f t="shared" si="91"/>
        <v>0</v>
      </c>
      <c r="AU1116" s="3248">
        <f t="shared" si="92"/>
        <v>0</v>
      </c>
      <c r="AV1116" s="3248">
        <v>0</v>
      </c>
      <c r="AW1116" s="3247">
        <v>0</v>
      </c>
      <c r="AX1116" s="3248">
        <v>0</v>
      </c>
      <c r="AY1116" s="3248">
        <v>0</v>
      </c>
      <c r="AZ1116" s="3247">
        <v>0</v>
      </c>
      <c r="BA1116" s="3248">
        <v>0</v>
      </c>
      <c r="BB1116" s="3248">
        <v>0</v>
      </c>
      <c r="BC1116" s="3247">
        <v>0</v>
      </c>
      <c r="BD1116" s="3248">
        <v>0</v>
      </c>
      <c r="BE1116" s="3248">
        <v>0</v>
      </c>
      <c r="BF1116" s="3248">
        <f t="shared" si="93"/>
        <v>0</v>
      </c>
      <c r="BG1116" s="3248">
        <f t="shared" si="94"/>
        <v>0</v>
      </c>
      <c r="BH1116" s="3249"/>
      <c r="BI1116" s="3249"/>
    </row>
    <row r="1117" spans="1:61" x14ac:dyDescent="0.3">
      <c r="A1117" s="4197" t="s">
        <v>3384</v>
      </c>
      <c r="B1117" s="3261"/>
      <c r="C1117" s="3243">
        <v>0</v>
      </c>
      <c r="D1117" s="3242">
        <v>0</v>
      </c>
      <c r="E1117" s="3244"/>
      <c r="F1117" s="3244"/>
      <c r="G1117" s="3242">
        <v>0</v>
      </c>
      <c r="H1117" s="3244"/>
      <c r="I1117" s="3244"/>
      <c r="J1117" s="3244"/>
      <c r="K1117" s="3242">
        <v>0</v>
      </c>
      <c r="L1117" s="3244"/>
      <c r="M1117" s="3244"/>
      <c r="N1117" s="3242" t="s">
        <v>3384</v>
      </c>
      <c r="O1117" s="3239">
        <v>0</v>
      </c>
      <c r="P1117" s="3242">
        <v>0</v>
      </c>
      <c r="Q1117" s="3244"/>
      <c r="R1117" s="3244"/>
      <c r="S1117" s="3242">
        <v>0</v>
      </c>
      <c r="T1117" s="3244"/>
      <c r="U1117" s="3244"/>
      <c r="V1117" s="3244"/>
      <c r="W1117" s="3240">
        <v>0</v>
      </c>
      <c r="X1117" s="3244"/>
      <c r="Y1117" s="3244"/>
      <c r="Z1117" s="3242" t="s">
        <v>3384</v>
      </c>
      <c r="AA1117" s="3243">
        <v>0</v>
      </c>
      <c r="AB1117" s="3242">
        <v>0</v>
      </c>
      <c r="AC1117" s="3244"/>
      <c r="AD1117" s="3244"/>
      <c r="AE1117" s="3242">
        <v>0</v>
      </c>
      <c r="AF1117" s="3259"/>
      <c r="AG1117" s="3260"/>
      <c r="AH1117" s="3260"/>
      <c r="AI1117" s="3260"/>
      <c r="AJ1117" s="3260"/>
      <c r="AK1117" s="3260"/>
      <c r="AL1117" s="3259"/>
      <c r="AM1117" s="3260"/>
      <c r="AN1117" s="3259"/>
      <c r="AO1117" s="3260"/>
      <c r="AP1117" s="3242">
        <v>0</v>
      </c>
      <c r="AQ1117" s="3244"/>
      <c r="AR1117" s="3244"/>
      <c r="AS1117" s="3242" t="s">
        <v>3384</v>
      </c>
      <c r="AT1117" s="3247">
        <f t="shared" si="91"/>
        <v>0</v>
      </c>
      <c r="AU1117" s="3248">
        <f t="shared" si="92"/>
        <v>0</v>
      </c>
      <c r="AV1117" s="3248">
        <v>0</v>
      </c>
      <c r="AW1117" s="3247">
        <v>0</v>
      </c>
      <c r="AX1117" s="3248">
        <v>0</v>
      </c>
      <c r="AY1117" s="3248">
        <v>0</v>
      </c>
      <c r="AZ1117" s="3247">
        <v>0</v>
      </c>
      <c r="BA1117" s="3248">
        <v>0</v>
      </c>
      <c r="BB1117" s="3248">
        <v>0</v>
      </c>
      <c r="BC1117" s="3247">
        <v>0</v>
      </c>
      <c r="BD1117" s="3248">
        <v>0</v>
      </c>
      <c r="BE1117" s="3248">
        <v>0</v>
      </c>
      <c r="BF1117" s="3248">
        <f t="shared" si="93"/>
        <v>0</v>
      </c>
      <c r="BG1117" s="3248">
        <f t="shared" si="94"/>
        <v>0</v>
      </c>
      <c r="BH1117" s="3249"/>
      <c r="BI1117" s="3249"/>
    </row>
    <row r="1118" spans="1:61" x14ac:dyDescent="0.3">
      <c r="A1118" s="4197" t="s">
        <v>3384</v>
      </c>
      <c r="B1118" s="3261"/>
      <c r="C1118" s="3243">
        <v>0</v>
      </c>
      <c r="D1118" s="3242">
        <v>0</v>
      </c>
      <c r="E1118" s="3244"/>
      <c r="F1118" s="3244"/>
      <c r="G1118" s="3242">
        <v>0</v>
      </c>
      <c r="H1118" s="3244"/>
      <c r="I1118" s="3244"/>
      <c r="J1118" s="3244"/>
      <c r="K1118" s="3242">
        <v>0</v>
      </c>
      <c r="L1118" s="3244"/>
      <c r="M1118" s="3244"/>
      <c r="N1118" s="3242" t="s">
        <v>3384</v>
      </c>
      <c r="O1118" s="3239">
        <v>0</v>
      </c>
      <c r="P1118" s="3242">
        <v>0</v>
      </c>
      <c r="Q1118" s="3244"/>
      <c r="R1118" s="3244"/>
      <c r="S1118" s="3242">
        <v>0</v>
      </c>
      <c r="T1118" s="3244"/>
      <c r="U1118" s="3244"/>
      <c r="V1118" s="3244"/>
      <c r="W1118" s="3240">
        <v>0</v>
      </c>
      <c r="X1118" s="3244"/>
      <c r="Y1118" s="3244"/>
      <c r="Z1118" s="3242" t="s">
        <v>3384</v>
      </c>
      <c r="AA1118" s="3243">
        <v>0</v>
      </c>
      <c r="AB1118" s="3242">
        <v>0</v>
      </c>
      <c r="AC1118" s="3244"/>
      <c r="AD1118" s="3244"/>
      <c r="AE1118" s="3242">
        <v>0</v>
      </c>
      <c r="AF1118" s="3259"/>
      <c r="AG1118" s="3260"/>
      <c r="AH1118" s="3260"/>
      <c r="AI1118" s="3260"/>
      <c r="AJ1118" s="3260"/>
      <c r="AK1118" s="3260"/>
      <c r="AL1118" s="3259"/>
      <c r="AM1118" s="3260"/>
      <c r="AN1118" s="3259"/>
      <c r="AO1118" s="3260"/>
      <c r="AP1118" s="3242">
        <v>0</v>
      </c>
      <c r="AQ1118" s="3244"/>
      <c r="AR1118" s="3244"/>
      <c r="AS1118" s="3242" t="s">
        <v>3384</v>
      </c>
      <c r="AT1118" s="3247">
        <f t="shared" si="91"/>
        <v>0</v>
      </c>
      <c r="AU1118" s="3248">
        <f t="shared" si="92"/>
        <v>0</v>
      </c>
      <c r="AV1118" s="3248">
        <v>0</v>
      </c>
      <c r="AW1118" s="3247">
        <v>0</v>
      </c>
      <c r="AX1118" s="3248">
        <v>0</v>
      </c>
      <c r="AY1118" s="3248">
        <v>0</v>
      </c>
      <c r="AZ1118" s="3247">
        <v>0</v>
      </c>
      <c r="BA1118" s="3248">
        <v>0</v>
      </c>
      <c r="BB1118" s="3248">
        <v>0</v>
      </c>
      <c r="BC1118" s="3247">
        <v>0</v>
      </c>
      <c r="BD1118" s="3248">
        <v>0</v>
      </c>
      <c r="BE1118" s="3248">
        <v>0</v>
      </c>
      <c r="BF1118" s="3248">
        <f t="shared" si="93"/>
        <v>0</v>
      </c>
      <c r="BG1118" s="3248">
        <f t="shared" si="94"/>
        <v>0</v>
      </c>
      <c r="BH1118" s="3249"/>
      <c r="BI1118" s="3249"/>
    </row>
    <row r="1119" spans="1:61" x14ac:dyDescent="0.3">
      <c r="A1119" s="4197" t="s">
        <v>3384</v>
      </c>
      <c r="B1119" s="3261"/>
      <c r="C1119" s="3243">
        <v>0</v>
      </c>
      <c r="D1119" s="3242">
        <v>0</v>
      </c>
      <c r="E1119" s="3244"/>
      <c r="F1119" s="3244"/>
      <c r="G1119" s="3242">
        <v>0</v>
      </c>
      <c r="H1119" s="3244"/>
      <c r="I1119" s="3244"/>
      <c r="J1119" s="3244"/>
      <c r="K1119" s="3242">
        <v>0</v>
      </c>
      <c r="L1119" s="3244"/>
      <c r="M1119" s="3244"/>
      <c r="N1119" s="3242" t="s">
        <v>3384</v>
      </c>
      <c r="O1119" s="3239">
        <v>0</v>
      </c>
      <c r="P1119" s="3242">
        <v>0</v>
      </c>
      <c r="Q1119" s="3244"/>
      <c r="R1119" s="3244"/>
      <c r="S1119" s="3242">
        <v>0</v>
      </c>
      <c r="T1119" s="3244"/>
      <c r="U1119" s="3244"/>
      <c r="V1119" s="3244"/>
      <c r="W1119" s="3240">
        <v>0</v>
      </c>
      <c r="X1119" s="3244"/>
      <c r="Y1119" s="3244"/>
      <c r="Z1119" s="3242" t="s">
        <v>3384</v>
      </c>
      <c r="AA1119" s="3243">
        <v>0</v>
      </c>
      <c r="AB1119" s="3242">
        <v>0</v>
      </c>
      <c r="AC1119" s="3244"/>
      <c r="AD1119" s="3244"/>
      <c r="AE1119" s="3242">
        <v>0</v>
      </c>
      <c r="AF1119" s="3259"/>
      <c r="AG1119" s="3260"/>
      <c r="AH1119" s="3260"/>
      <c r="AI1119" s="3260"/>
      <c r="AJ1119" s="3260"/>
      <c r="AK1119" s="3260"/>
      <c r="AL1119" s="3259"/>
      <c r="AM1119" s="3260"/>
      <c r="AN1119" s="3259"/>
      <c r="AO1119" s="3260"/>
      <c r="AP1119" s="3242">
        <v>0</v>
      </c>
      <c r="AQ1119" s="3244"/>
      <c r="AR1119" s="3244"/>
      <c r="AS1119" s="3242" t="s">
        <v>3384</v>
      </c>
      <c r="AT1119" s="3247">
        <f t="shared" si="91"/>
        <v>0</v>
      </c>
      <c r="AU1119" s="3248">
        <f t="shared" si="92"/>
        <v>0</v>
      </c>
      <c r="AV1119" s="3248">
        <v>0</v>
      </c>
      <c r="AW1119" s="3247">
        <v>0</v>
      </c>
      <c r="AX1119" s="3248">
        <v>0</v>
      </c>
      <c r="AY1119" s="3248">
        <v>0</v>
      </c>
      <c r="AZ1119" s="3247">
        <v>0</v>
      </c>
      <c r="BA1119" s="3248">
        <v>0</v>
      </c>
      <c r="BB1119" s="3248">
        <v>0</v>
      </c>
      <c r="BC1119" s="3247">
        <v>0</v>
      </c>
      <c r="BD1119" s="3248">
        <v>0</v>
      </c>
      <c r="BE1119" s="3248">
        <v>0</v>
      </c>
      <c r="BF1119" s="3248">
        <f t="shared" si="93"/>
        <v>0</v>
      </c>
      <c r="BG1119" s="3248">
        <f t="shared" si="94"/>
        <v>0</v>
      </c>
      <c r="BH1119" s="3249"/>
      <c r="BI1119" s="3249"/>
    </row>
    <row r="1120" spans="1:61" x14ac:dyDescent="0.3">
      <c r="A1120" s="4197" t="s">
        <v>3384</v>
      </c>
      <c r="B1120" s="3261"/>
      <c r="C1120" s="3243">
        <v>0</v>
      </c>
      <c r="D1120" s="3242">
        <v>0</v>
      </c>
      <c r="E1120" s="3244"/>
      <c r="F1120" s="3244"/>
      <c r="G1120" s="3242">
        <v>0</v>
      </c>
      <c r="H1120" s="3244"/>
      <c r="I1120" s="3244"/>
      <c r="J1120" s="3244"/>
      <c r="K1120" s="3242">
        <v>0</v>
      </c>
      <c r="L1120" s="3244"/>
      <c r="M1120" s="3244"/>
      <c r="N1120" s="3242" t="s">
        <v>3384</v>
      </c>
      <c r="O1120" s="3239">
        <v>0</v>
      </c>
      <c r="P1120" s="3242">
        <v>0</v>
      </c>
      <c r="Q1120" s="3244"/>
      <c r="R1120" s="3244"/>
      <c r="S1120" s="3242">
        <v>0</v>
      </c>
      <c r="T1120" s="3244"/>
      <c r="U1120" s="3244"/>
      <c r="V1120" s="3244"/>
      <c r="W1120" s="3240">
        <v>0</v>
      </c>
      <c r="X1120" s="3244"/>
      <c r="Y1120" s="3244"/>
      <c r="Z1120" s="3242" t="s">
        <v>3384</v>
      </c>
      <c r="AA1120" s="3243">
        <v>0</v>
      </c>
      <c r="AB1120" s="3242">
        <v>0</v>
      </c>
      <c r="AC1120" s="3244"/>
      <c r="AD1120" s="3244"/>
      <c r="AE1120" s="3242">
        <v>0</v>
      </c>
      <c r="AF1120" s="3259"/>
      <c r="AG1120" s="3260"/>
      <c r="AH1120" s="3260"/>
      <c r="AI1120" s="3260"/>
      <c r="AJ1120" s="3260"/>
      <c r="AK1120" s="3260"/>
      <c r="AL1120" s="3259"/>
      <c r="AM1120" s="3260"/>
      <c r="AN1120" s="3259"/>
      <c r="AO1120" s="3260"/>
      <c r="AP1120" s="3242">
        <v>0</v>
      </c>
      <c r="AQ1120" s="3244"/>
      <c r="AR1120" s="3244"/>
      <c r="AS1120" s="3242" t="s">
        <v>3384</v>
      </c>
      <c r="AT1120" s="3247">
        <f t="shared" si="91"/>
        <v>0</v>
      </c>
      <c r="AU1120" s="3248">
        <f t="shared" si="92"/>
        <v>0</v>
      </c>
      <c r="AV1120" s="3248">
        <v>0</v>
      </c>
      <c r="AW1120" s="3247">
        <v>0</v>
      </c>
      <c r="AX1120" s="3248">
        <v>0</v>
      </c>
      <c r="AY1120" s="3248">
        <v>0</v>
      </c>
      <c r="AZ1120" s="3247">
        <v>0</v>
      </c>
      <c r="BA1120" s="3248">
        <v>0</v>
      </c>
      <c r="BB1120" s="3248">
        <v>0</v>
      </c>
      <c r="BC1120" s="3247">
        <v>0</v>
      </c>
      <c r="BD1120" s="3248">
        <v>0</v>
      </c>
      <c r="BE1120" s="3248">
        <v>0</v>
      </c>
      <c r="BF1120" s="3248">
        <f t="shared" si="93"/>
        <v>0</v>
      </c>
      <c r="BG1120" s="3248">
        <f t="shared" si="94"/>
        <v>0</v>
      </c>
      <c r="BH1120" s="3249"/>
      <c r="BI1120" s="3249"/>
    </row>
    <row r="1121" spans="1:61" x14ac:dyDescent="0.3">
      <c r="A1121" s="4197" t="s">
        <v>3384</v>
      </c>
      <c r="B1121" s="3261"/>
      <c r="C1121" s="3243">
        <v>0</v>
      </c>
      <c r="D1121" s="3242">
        <v>0</v>
      </c>
      <c r="E1121" s="3244"/>
      <c r="F1121" s="3244"/>
      <c r="G1121" s="3242">
        <v>0</v>
      </c>
      <c r="H1121" s="3244"/>
      <c r="I1121" s="3244"/>
      <c r="J1121" s="3244"/>
      <c r="K1121" s="3242">
        <v>0</v>
      </c>
      <c r="L1121" s="3244"/>
      <c r="M1121" s="3244"/>
      <c r="N1121" s="3242" t="s">
        <v>3384</v>
      </c>
      <c r="O1121" s="3239">
        <v>0</v>
      </c>
      <c r="P1121" s="3242">
        <v>0</v>
      </c>
      <c r="Q1121" s="3244"/>
      <c r="R1121" s="3244"/>
      <c r="S1121" s="3242">
        <v>0</v>
      </c>
      <c r="T1121" s="3244"/>
      <c r="U1121" s="3244"/>
      <c r="V1121" s="3244"/>
      <c r="W1121" s="3240">
        <v>0</v>
      </c>
      <c r="X1121" s="3244"/>
      <c r="Y1121" s="3244"/>
      <c r="Z1121" s="3242" t="s">
        <v>3384</v>
      </c>
      <c r="AA1121" s="3243">
        <v>0</v>
      </c>
      <c r="AB1121" s="3242">
        <v>0</v>
      </c>
      <c r="AC1121" s="3244"/>
      <c r="AD1121" s="3244"/>
      <c r="AE1121" s="3242">
        <v>0</v>
      </c>
      <c r="AF1121" s="3259"/>
      <c r="AG1121" s="3260"/>
      <c r="AH1121" s="3260"/>
      <c r="AI1121" s="3260"/>
      <c r="AJ1121" s="3260"/>
      <c r="AK1121" s="3260"/>
      <c r="AL1121" s="3259"/>
      <c r="AM1121" s="3260"/>
      <c r="AN1121" s="3259"/>
      <c r="AO1121" s="3260"/>
      <c r="AP1121" s="3242">
        <v>0</v>
      </c>
      <c r="AQ1121" s="3244"/>
      <c r="AR1121" s="3244"/>
      <c r="AS1121" s="3242" t="s">
        <v>3384</v>
      </c>
      <c r="AT1121" s="3247">
        <f t="shared" si="91"/>
        <v>0</v>
      </c>
      <c r="AU1121" s="3248">
        <f t="shared" si="92"/>
        <v>0</v>
      </c>
      <c r="AV1121" s="3248">
        <v>0</v>
      </c>
      <c r="AW1121" s="3247">
        <v>0</v>
      </c>
      <c r="AX1121" s="3248">
        <v>0</v>
      </c>
      <c r="AY1121" s="3248">
        <v>0</v>
      </c>
      <c r="AZ1121" s="3247">
        <v>0</v>
      </c>
      <c r="BA1121" s="3248">
        <v>0</v>
      </c>
      <c r="BB1121" s="3248">
        <v>0</v>
      </c>
      <c r="BC1121" s="3247">
        <v>0</v>
      </c>
      <c r="BD1121" s="3248">
        <v>0</v>
      </c>
      <c r="BE1121" s="3248">
        <v>0</v>
      </c>
      <c r="BF1121" s="3248">
        <f t="shared" si="93"/>
        <v>0</v>
      </c>
      <c r="BG1121" s="3248">
        <f t="shared" si="94"/>
        <v>0</v>
      </c>
      <c r="BH1121" s="3249"/>
      <c r="BI1121" s="3249"/>
    </row>
    <row r="1122" spans="1:61" x14ac:dyDescent="0.3">
      <c r="A1122" s="4197" t="s">
        <v>3384</v>
      </c>
      <c r="B1122" s="3261"/>
      <c r="C1122" s="3243">
        <v>0</v>
      </c>
      <c r="D1122" s="3242">
        <v>0</v>
      </c>
      <c r="E1122" s="3244"/>
      <c r="F1122" s="3244"/>
      <c r="G1122" s="3242">
        <v>0</v>
      </c>
      <c r="H1122" s="3244"/>
      <c r="I1122" s="3244"/>
      <c r="J1122" s="3244"/>
      <c r="K1122" s="3242">
        <v>0</v>
      </c>
      <c r="L1122" s="3244"/>
      <c r="M1122" s="3244"/>
      <c r="N1122" s="3242" t="s">
        <v>3384</v>
      </c>
      <c r="O1122" s="3239">
        <v>0</v>
      </c>
      <c r="P1122" s="3242">
        <v>0</v>
      </c>
      <c r="Q1122" s="3244"/>
      <c r="R1122" s="3244"/>
      <c r="S1122" s="3242">
        <v>0</v>
      </c>
      <c r="T1122" s="3244"/>
      <c r="U1122" s="3244"/>
      <c r="V1122" s="3244"/>
      <c r="W1122" s="3240">
        <v>0</v>
      </c>
      <c r="X1122" s="3244"/>
      <c r="Y1122" s="3244"/>
      <c r="Z1122" s="3242" t="s">
        <v>3384</v>
      </c>
      <c r="AA1122" s="3243">
        <v>0</v>
      </c>
      <c r="AB1122" s="3242">
        <v>0</v>
      </c>
      <c r="AC1122" s="3244"/>
      <c r="AD1122" s="3244"/>
      <c r="AE1122" s="3242">
        <v>0</v>
      </c>
      <c r="AF1122" s="3259"/>
      <c r="AG1122" s="3260"/>
      <c r="AH1122" s="3260"/>
      <c r="AI1122" s="3260"/>
      <c r="AJ1122" s="3260"/>
      <c r="AK1122" s="3260"/>
      <c r="AL1122" s="3259"/>
      <c r="AM1122" s="3260"/>
      <c r="AN1122" s="3259"/>
      <c r="AO1122" s="3260"/>
      <c r="AP1122" s="3242">
        <v>0</v>
      </c>
      <c r="AQ1122" s="3244"/>
      <c r="AR1122" s="3244"/>
      <c r="AS1122" s="3242" t="s">
        <v>3384</v>
      </c>
      <c r="AT1122" s="3247">
        <f t="shared" si="91"/>
        <v>0</v>
      </c>
      <c r="AU1122" s="3248">
        <f t="shared" si="92"/>
        <v>0</v>
      </c>
      <c r="AV1122" s="3248">
        <v>0</v>
      </c>
      <c r="AW1122" s="3247">
        <v>0</v>
      </c>
      <c r="AX1122" s="3248">
        <v>0</v>
      </c>
      <c r="AY1122" s="3248">
        <v>0</v>
      </c>
      <c r="AZ1122" s="3247">
        <v>0</v>
      </c>
      <c r="BA1122" s="3248">
        <v>0</v>
      </c>
      <c r="BB1122" s="3248">
        <v>0</v>
      </c>
      <c r="BC1122" s="3247">
        <v>0</v>
      </c>
      <c r="BD1122" s="3248">
        <v>0</v>
      </c>
      <c r="BE1122" s="3248">
        <v>0</v>
      </c>
      <c r="BF1122" s="3248">
        <f t="shared" si="93"/>
        <v>0</v>
      </c>
      <c r="BG1122" s="3248">
        <f t="shared" si="94"/>
        <v>0</v>
      </c>
      <c r="BH1122" s="3249"/>
      <c r="BI1122" s="3249"/>
    </row>
    <row r="1123" spans="1:61" x14ac:dyDescent="0.3">
      <c r="A1123" s="4197" t="s">
        <v>3384</v>
      </c>
      <c r="B1123" s="3261"/>
      <c r="C1123" s="3243">
        <v>0</v>
      </c>
      <c r="D1123" s="3242">
        <v>0</v>
      </c>
      <c r="E1123" s="3244"/>
      <c r="F1123" s="3244"/>
      <c r="G1123" s="3242">
        <v>0</v>
      </c>
      <c r="H1123" s="3244"/>
      <c r="I1123" s="3244"/>
      <c r="J1123" s="3244"/>
      <c r="K1123" s="3242">
        <v>0</v>
      </c>
      <c r="L1123" s="3244"/>
      <c r="M1123" s="3244"/>
      <c r="N1123" s="3242" t="s">
        <v>3384</v>
      </c>
      <c r="O1123" s="3239">
        <v>0</v>
      </c>
      <c r="P1123" s="3242">
        <v>0</v>
      </c>
      <c r="Q1123" s="3244"/>
      <c r="R1123" s="3244"/>
      <c r="S1123" s="3242">
        <v>0</v>
      </c>
      <c r="T1123" s="3244"/>
      <c r="U1123" s="3244"/>
      <c r="V1123" s="3244"/>
      <c r="W1123" s="3240">
        <v>0</v>
      </c>
      <c r="X1123" s="3244"/>
      <c r="Y1123" s="3244"/>
      <c r="Z1123" s="3242" t="s">
        <v>3384</v>
      </c>
      <c r="AA1123" s="3243">
        <v>0</v>
      </c>
      <c r="AB1123" s="3242">
        <v>0</v>
      </c>
      <c r="AC1123" s="3244"/>
      <c r="AD1123" s="3244"/>
      <c r="AE1123" s="3242">
        <v>0</v>
      </c>
      <c r="AF1123" s="3259"/>
      <c r="AG1123" s="3260"/>
      <c r="AH1123" s="3260"/>
      <c r="AI1123" s="3260"/>
      <c r="AJ1123" s="3260"/>
      <c r="AK1123" s="3260"/>
      <c r="AL1123" s="3259"/>
      <c r="AM1123" s="3260"/>
      <c r="AN1123" s="3259"/>
      <c r="AO1123" s="3260"/>
      <c r="AP1123" s="3242">
        <v>0</v>
      </c>
      <c r="AQ1123" s="3244"/>
      <c r="AR1123" s="3244"/>
      <c r="AS1123" s="3242" t="s">
        <v>3384</v>
      </c>
      <c r="AT1123" s="3247">
        <f t="shared" si="91"/>
        <v>0</v>
      </c>
      <c r="AU1123" s="3248">
        <f t="shared" si="92"/>
        <v>0</v>
      </c>
      <c r="AV1123" s="3248">
        <v>0</v>
      </c>
      <c r="AW1123" s="3247">
        <v>0</v>
      </c>
      <c r="AX1123" s="3248">
        <v>0</v>
      </c>
      <c r="AY1123" s="3248">
        <v>0</v>
      </c>
      <c r="AZ1123" s="3247">
        <v>0</v>
      </c>
      <c r="BA1123" s="3248">
        <v>0</v>
      </c>
      <c r="BB1123" s="3248">
        <v>0</v>
      </c>
      <c r="BC1123" s="3247">
        <v>0</v>
      </c>
      <c r="BD1123" s="3248">
        <v>0</v>
      </c>
      <c r="BE1123" s="3248">
        <v>0</v>
      </c>
      <c r="BF1123" s="3248">
        <f t="shared" si="93"/>
        <v>0</v>
      </c>
      <c r="BG1123" s="3248">
        <f t="shared" si="94"/>
        <v>0</v>
      </c>
      <c r="BH1123" s="3249"/>
      <c r="BI1123" s="3249"/>
    </row>
    <row r="1124" spans="1:61" x14ac:dyDescent="0.3">
      <c r="A1124" s="4197" t="s">
        <v>3384</v>
      </c>
      <c r="B1124" s="3261"/>
      <c r="C1124" s="3243">
        <v>0</v>
      </c>
      <c r="D1124" s="3242">
        <v>0</v>
      </c>
      <c r="E1124" s="3244"/>
      <c r="F1124" s="3244"/>
      <c r="G1124" s="3242">
        <v>0</v>
      </c>
      <c r="H1124" s="3244"/>
      <c r="I1124" s="3244"/>
      <c r="J1124" s="3244"/>
      <c r="K1124" s="3242">
        <v>0</v>
      </c>
      <c r="L1124" s="3244"/>
      <c r="M1124" s="3244"/>
      <c r="N1124" s="3242" t="s">
        <v>3384</v>
      </c>
      <c r="O1124" s="3239">
        <v>0</v>
      </c>
      <c r="P1124" s="3242">
        <v>0</v>
      </c>
      <c r="Q1124" s="3244"/>
      <c r="R1124" s="3244"/>
      <c r="S1124" s="3242">
        <v>0</v>
      </c>
      <c r="T1124" s="3244"/>
      <c r="U1124" s="3244"/>
      <c r="V1124" s="3244"/>
      <c r="W1124" s="3240">
        <v>0</v>
      </c>
      <c r="X1124" s="3244"/>
      <c r="Y1124" s="3244"/>
      <c r="Z1124" s="3242" t="s">
        <v>3384</v>
      </c>
      <c r="AA1124" s="3243">
        <v>0</v>
      </c>
      <c r="AB1124" s="3242">
        <v>0</v>
      </c>
      <c r="AC1124" s="3244"/>
      <c r="AD1124" s="3244"/>
      <c r="AE1124" s="3242">
        <v>0</v>
      </c>
      <c r="AF1124" s="3259"/>
      <c r="AG1124" s="3260"/>
      <c r="AH1124" s="3260"/>
      <c r="AI1124" s="3260"/>
      <c r="AJ1124" s="3260"/>
      <c r="AK1124" s="3260"/>
      <c r="AL1124" s="3259"/>
      <c r="AM1124" s="3260"/>
      <c r="AN1124" s="3259"/>
      <c r="AO1124" s="3260"/>
      <c r="AP1124" s="3242">
        <v>0</v>
      </c>
      <c r="AQ1124" s="3244"/>
      <c r="AR1124" s="3244"/>
      <c r="AS1124" s="3242" t="s">
        <v>3384</v>
      </c>
      <c r="AT1124" s="3247">
        <f t="shared" si="91"/>
        <v>0</v>
      </c>
      <c r="AU1124" s="3248">
        <f t="shared" si="92"/>
        <v>0</v>
      </c>
      <c r="AV1124" s="3248">
        <v>0</v>
      </c>
      <c r="AW1124" s="3247">
        <v>0</v>
      </c>
      <c r="AX1124" s="3248">
        <v>0</v>
      </c>
      <c r="AY1124" s="3248">
        <v>0</v>
      </c>
      <c r="AZ1124" s="3247">
        <v>0</v>
      </c>
      <c r="BA1124" s="3248">
        <v>0</v>
      </c>
      <c r="BB1124" s="3248">
        <v>0</v>
      </c>
      <c r="BC1124" s="3247">
        <v>0</v>
      </c>
      <c r="BD1124" s="3248">
        <v>0</v>
      </c>
      <c r="BE1124" s="3248">
        <v>0</v>
      </c>
      <c r="BF1124" s="3248">
        <f t="shared" si="93"/>
        <v>0</v>
      </c>
      <c r="BG1124" s="3248">
        <f t="shared" si="94"/>
        <v>0</v>
      </c>
      <c r="BH1124" s="3249"/>
      <c r="BI1124" s="3249"/>
    </row>
    <row r="1125" spans="1:61" x14ac:dyDescent="0.3">
      <c r="A1125" s="4197" t="s">
        <v>3384</v>
      </c>
      <c r="B1125" s="3261"/>
      <c r="C1125" s="3243">
        <v>0</v>
      </c>
      <c r="D1125" s="3242">
        <v>0</v>
      </c>
      <c r="E1125" s="3244"/>
      <c r="F1125" s="3244"/>
      <c r="G1125" s="3242">
        <v>0</v>
      </c>
      <c r="H1125" s="3244"/>
      <c r="I1125" s="3244"/>
      <c r="J1125" s="3244"/>
      <c r="K1125" s="3242">
        <v>0</v>
      </c>
      <c r="L1125" s="3244"/>
      <c r="M1125" s="3244"/>
      <c r="N1125" s="3242" t="s">
        <v>3384</v>
      </c>
      <c r="O1125" s="3239">
        <v>0</v>
      </c>
      <c r="P1125" s="3242">
        <v>0</v>
      </c>
      <c r="Q1125" s="3244"/>
      <c r="R1125" s="3244"/>
      <c r="S1125" s="3242">
        <v>0</v>
      </c>
      <c r="T1125" s="3244"/>
      <c r="U1125" s="3244"/>
      <c r="V1125" s="3244"/>
      <c r="W1125" s="3240">
        <v>0</v>
      </c>
      <c r="X1125" s="3244"/>
      <c r="Y1125" s="3244"/>
      <c r="Z1125" s="3242" t="s">
        <v>3384</v>
      </c>
      <c r="AA1125" s="3243">
        <v>0</v>
      </c>
      <c r="AB1125" s="3242">
        <v>0</v>
      </c>
      <c r="AC1125" s="3244"/>
      <c r="AD1125" s="3244"/>
      <c r="AE1125" s="3242">
        <v>0</v>
      </c>
      <c r="AF1125" s="3259"/>
      <c r="AG1125" s="3260"/>
      <c r="AH1125" s="3260"/>
      <c r="AI1125" s="3260"/>
      <c r="AJ1125" s="3260"/>
      <c r="AK1125" s="3260"/>
      <c r="AL1125" s="3259"/>
      <c r="AM1125" s="3260"/>
      <c r="AN1125" s="3259"/>
      <c r="AO1125" s="3260"/>
      <c r="AP1125" s="3242">
        <v>0</v>
      </c>
      <c r="AQ1125" s="3244"/>
      <c r="AR1125" s="3244"/>
      <c r="AS1125" s="3242" t="s">
        <v>3384</v>
      </c>
      <c r="AT1125" s="3247">
        <f t="shared" si="91"/>
        <v>0</v>
      </c>
      <c r="AU1125" s="3248">
        <f t="shared" si="92"/>
        <v>0</v>
      </c>
      <c r="AV1125" s="3248">
        <v>0</v>
      </c>
      <c r="AW1125" s="3247">
        <v>0</v>
      </c>
      <c r="AX1125" s="3248">
        <v>0</v>
      </c>
      <c r="AY1125" s="3248">
        <v>0</v>
      </c>
      <c r="AZ1125" s="3247">
        <v>0</v>
      </c>
      <c r="BA1125" s="3248">
        <v>0</v>
      </c>
      <c r="BB1125" s="3248">
        <v>0</v>
      </c>
      <c r="BC1125" s="3247">
        <v>0</v>
      </c>
      <c r="BD1125" s="3248">
        <v>0</v>
      </c>
      <c r="BE1125" s="3248">
        <v>0</v>
      </c>
      <c r="BF1125" s="3248">
        <f t="shared" si="93"/>
        <v>0</v>
      </c>
      <c r="BG1125" s="3248">
        <f t="shared" si="94"/>
        <v>0</v>
      </c>
      <c r="BH1125" s="3249"/>
      <c r="BI1125" s="3249"/>
    </row>
    <row r="1126" spans="1:61" x14ac:dyDescent="0.3">
      <c r="A1126" s="4197" t="s">
        <v>3384</v>
      </c>
      <c r="B1126" s="3261"/>
      <c r="C1126" s="3243">
        <v>0</v>
      </c>
      <c r="D1126" s="3242">
        <v>0</v>
      </c>
      <c r="E1126" s="3244"/>
      <c r="F1126" s="3244"/>
      <c r="G1126" s="3242">
        <v>0</v>
      </c>
      <c r="H1126" s="3244"/>
      <c r="I1126" s="3244"/>
      <c r="J1126" s="3244"/>
      <c r="K1126" s="3242">
        <v>0</v>
      </c>
      <c r="L1126" s="3244"/>
      <c r="M1126" s="3244"/>
      <c r="N1126" s="3242" t="s">
        <v>3384</v>
      </c>
      <c r="O1126" s="3239">
        <v>0</v>
      </c>
      <c r="P1126" s="3242">
        <v>0</v>
      </c>
      <c r="Q1126" s="3244"/>
      <c r="R1126" s="3244"/>
      <c r="S1126" s="3242">
        <v>0</v>
      </c>
      <c r="T1126" s="3244"/>
      <c r="U1126" s="3244"/>
      <c r="V1126" s="3244"/>
      <c r="W1126" s="3240">
        <v>0</v>
      </c>
      <c r="X1126" s="3244"/>
      <c r="Y1126" s="3244"/>
      <c r="Z1126" s="3242" t="s">
        <v>3384</v>
      </c>
      <c r="AA1126" s="3243">
        <v>0</v>
      </c>
      <c r="AB1126" s="3242">
        <v>0</v>
      </c>
      <c r="AC1126" s="3244"/>
      <c r="AD1126" s="3244"/>
      <c r="AE1126" s="3242">
        <v>0</v>
      </c>
      <c r="AF1126" s="3259"/>
      <c r="AG1126" s="3260"/>
      <c r="AH1126" s="3260"/>
      <c r="AI1126" s="3260"/>
      <c r="AJ1126" s="3260"/>
      <c r="AK1126" s="3260"/>
      <c r="AL1126" s="3259"/>
      <c r="AM1126" s="3260"/>
      <c r="AN1126" s="3259"/>
      <c r="AO1126" s="3260"/>
      <c r="AP1126" s="3242">
        <v>0</v>
      </c>
      <c r="AQ1126" s="3244"/>
      <c r="AR1126" s="3244"/>
      <c r="AS1126" s="3242" t="s">
        <v>3384</v>
      </c>
      <c r="AT1126" s="3247">
        <f t="shared" si="91"/>
        <v>0</v>
      </c>
      <c r="AU1126" s="3248">
        <f t="shared" si="92"/>
        <v>0</v>
      </c>
      <c r="AV1126" s="3248">
        <v>0</v>
      </c>
      <c r="AW1126" s="3247">
        <v>0</v>
      </c>
      <c r="AX1126" s="3248">
        <v>0</v>
      </c>
      <c r="AY1126" s="3248">
        <v>0</v>
      </c>
      <c r="AZ1126" s="3247">
        <v>0</v>
      </c>
      <c r="BA1126" s="3248">
        <v>0</v>
      </c>
      <c r="BB1126" s="3248">
        <v>0</v>
      </c>
      <c r="BC1126" s="3247">
        <v>0</v>
      </c>
      <c r="BD1126" s="3248">
        <v>0</v>
      </c>
      <c r="BE1126" s="3248">
        <v>0</v>
      </c>
      <c r="BF1126" s="3248">
        <f t="shared" si="93"/>
        <v>0</v>
      </c>
      <c r="BG1126" s="3248">
        <f t="shared" si="94"/>
        <v>0</v>
      </c>
      <c r="BH1126" s="3249"/>
      <c r="BI1126" s="3249"/>
    </row>
    <row r="1127" spans="1:61" x14ac:dyDescent="0.3">
      <c r="A1127" s="4197" t="s">
        <v>3384</v>
      </c>
      <c r="B1127" s="3261"/>
      <c r="C1127" s="3243">
        <v>0</v>
      </c>
      <c r="D1127" s="3242">
        <v>0</v>
      </c>
      <c r="E1127" s="3244"/>
      <c r="F1127" s="3244"/>
      <c r="G1127" s="3242">
        <v>0</v>
      </c>
      <c r="H1127" s="3244"/>
      <c r="I1127" s="3244"/>
      <c r="J1127" s="3244"/>
      <c r="K1127" s="3242">
        <v>0</v>
      </c>
      <c r="L1127" s="3244"/>
      <c r="M1127" s="3244"/>
      <c r="N1127" s="3242" t="s">
        <v>3384</v>
      </c>
      <c r="O1127" s="3239">
        <v>0</v>
      </c>
      <c r="P1127" s="3242">
        <v>0</v>
      </c>
      <c r="Q1127" s="3244"/>
      <c r="R1127" s="3244"/>
      <c r="S1127" s="3242">
        <v>0</v>
      </c>
      <c r="T1127" s="3244"/>
      <c r="U1127" s="3244"/>
      <c r="V1127" s="3244"/>
      <c r="W1127" s="3240">
        <v>0</v>
      </c>
      <c r="X1127" s="3244"/>
      <c r="Y1127" s="3244"/>
      <c r="Z1127" s="3242" t="s">
        <v>3384</v>
      </c>
      <c r="AA1127" s="3243">
        <v>0</v>
      </c>
      <c r="AB1127" s="3242">
        <v>0</v>
      </c>
      <c r="AC1127" s="3244"/>
      <c r="AD1127" s="3244"/>
      <c r="AE1127" s="3242">
        <v>0</v>
      </c>
      <c r="AF1127" s="3259"/>
      <c r="AG1127" s="3260"/>
      <c r="AH1127" s="3260"/>
      <c r="AI1127" s="3260"/>
      <c r="AJ1127" s="3260"/>
      <c r="AK1127" s="3260"/>
      <c r="AL1127" s="3259"/>
      <c r="AM1127" s="3260"/>
      <c r="AN1127" s="3259"/>
      <c r="AO1127" s="3260"/>
      <c r="AP1127" s="3242">
        <v>0</v>
      </c>
      <c r="AQ1127" s="3244"/>
      <c r="AR1127" s="3244"/>
      <c r="AS1127" s="3242" t="s">
        <v>3384</v>
      </c>
      <c r="AT1127" s="3247">
        <f t="shared" si="91"/>
        <v>0</v>
      </c>
      <c r="AU1127" s="3248">
        <f t="shared" si="92"/>
        <v>0</v>
      </c>
      <c r="AV1127" s="3248">
        <v>0</v>
      </c>
      <c r="AW1127" s="3247">
        <v>0</v>
      </c>
      <c r="AX1127" s="3248">
        <v>0</v>
      </c>
      <c r="AY1127" s="3248">
        <v>0</v>
      </c>
      <c r="AZ1127" s="3247">
        <v>0</v>
      </c>
      <c r="BA1127" s="3248">
        <v>0</v>
      </c>
      <c r="BB1127" s="3248">
        <v>0</v>
      </c>
      <c r="BC1127" s="3247">
        <v>0</v>
      </c>
      <c r="BD1127" s="3248">
        <v>0</v>
      </c>
      <c r="BE1127" s="3248">
        <v>0</v>
      </c>
      <c r="BF1127" s="3248">
        <f t="shared" si="93"/>
        <v>0</v>
      </c>
      <c r="BG1127" s="3248">
        <f t="shared" si="94"/>
        <v>0</v>
      </c>
      <c r="BH1127" s="3249"/>
      <c r="BI1127" s="3249"/>
    </row>
    <row r="1128" spans="1:61" x14ac:dyDescent="0.3">
      <c r="A1128" s="4197" t="s">
        <v>3384</v>
      </c>
      <c r="B1128" s="3261"/>
      <c r="C1128" s="3243">
        <v>0</v>
      </c>
      <c r="D1128" s="3242">
        <v>0</v>
      </c>
      <c r="E1128" s="3244"/>
      <c r="F1128" s="3244"/>
      <c r="G1128" s="3242">
        <v>0</v>
      </c>
      <c r="H1128" s="3244"/>
      <c r="I1128" s="3244"/>
      <c r="J1128" s="3244"/>
      <c r="K1128" s="3242">
        <v>0</v>
      </c>
      <c r="L1128" s="3244"/>
      <c r="M1128" s="3244"/>
      <c r="N1128" s="3242" t="s">
        <v>3384</v>
      </c>
      <c r="O1128" s="3239">
        <v>0</v>
      </c>
      <c r="P1128" s="3242">
        <v>0</v>
      </c>
      <c r="Q1128" s="3244"/>
      <c r="R1128" s="3244"/>
      <c r="S1128" s="3242">
        <v>0</v>
      </c>
      <c r="T1128" s="3244"/>
      <c r="U1128" s="3244"/>
      <c r="V1128" s="3244"/>
      <c r="W1128" s="3240">
        <v>0</v>
      </c>
      <c r="X1128" s="3244"/>
      <c r="Y1128" s="3244"/>
      <c r="Z1128" s="3242" t="s">
        <v>3384</v>
      </c>
      <c r="AA1128" s="3243">
        <v>0</v>
      </c>
      <c r="AB1128" s="3242">
        <v>0</v>
      </c>
      <c r="AC1128" s="3244"/>
      <c r="AD1128" s="3244"/>
      <c r="AE1128" s="3242">
        <v>0</v>
      </c>
      <c r="AF1128" s="3259"/>
      <c r="AG1128" s="3260"/>
      <c r="AH1128" s="3260"/>
      <c r="AI1128" s="3260"/>
      <c r="AJ1128" s="3260"/>
      <c r="AK1128" s="3260"/>
      <c r="AL1128" s="3259"/>
      <c r="AM1128" s="3260"/>
      <c r="AN1128" s="3259"/>
      <c r="AO1128" s="3260"/>
      <c r="AP1128" s="3242">
        <v>0</v>
      </c>
      <c r="AQ1128" s="3244"/>
      <c r="AR1128" s="3244"/>
      <c r="AS1128" s="3242" t="s">
        <v>3384</v>
      </c>
      <c r="AT1128" s="3247">
        <f t="shared" si="91"/>
        <v>0</v>
      </c>
      <c r="AU1128" s="3248">
        <f t="shared" si="92"/>
        <v>0</v>
      </c>
      <c r="AV1128" s="3248">
        <v>0</v>
      </c>
      <c r="AW1128" s="3247">
        <v>0</v>
      </c>
      <c r="AX1128" s="3248">
        <v>0</v>
      </c>
      <c r="AY1128" s="3248">
        <v>0</v>
      </c>
      <c r="AZ1128" s="3247">
        <v>0</v>
      </c>
      <c r="BA1128" s="3248">
        <v>0</v>
      </c>
      <c r="BB1128" s="3248">
        <v>0</v>
      </c>
      <c r="BC1128" s="3247">
        <v>0</v>
      </c>
      <c r="BD1128" s="3248">
        <v>0</v>
      </c>
      <c r="BE1128" s="3248">
        <v>0</v>
      </c>
      <c r="BF1128" s="3248">
        <f t="shared" si="93"/>
        <v>0</v>
      </c>
      <c r="BG1128" s="3248">
        <f t="shared" si="94"/>
        <v>0</v>
      </c>
      <c r="BH1128" s="3249"/>
      <c r="BI1128" s="3249"/>
    </row>
    <row r="1129" spans="1:61" x14ac:dyDescent="0.3">
      <c r="A1129" s="4197" t="s">
        <v>3384</v>
      </c>
      <c r="B1129" s="3261"/>
      <c r="C1129" s="3243">
        <v>0</v>
      </c>
      <c r="D1129" s="3242">
        <v>0</v>
      </c>
      <c r="E1129" s="3244"/>
      <c r="F1129" s="3244"/>
      <c r="G1129" s="3242">
        <v>0</v>
      </c>
      <c r="H1129" s="3244"/>
      <c r="I1129" s="3244"/>
      <c r="J1129" s="3244"/>
      <c r="K1129" s="3242">
        <v>0</v>
      </c>
      <c r="L1129" s="3244"/>
      <c r="M1129" s="3244"/>
      <c r="N1129" s="3242" t="s">
        <v>3384</v>
      </c>
      <c r="O1129" s="3239">
        <v>0</v>
      </c>
      <c r="P1129" s="3242">
        <v>0</v>
      </c>
      <c r="Q1129" s="3244"/>
      <c r="R1129" s="3244"/>
      <c r="S1129" s="3242">
        <v>0</v>
      </c>
      <c r="T1129" s="3244"/>
      <c r="U1129" s="3244"/>
      <c r="V1129" s="3244"/>
      <c r="W1129" s="3240">
        <v>0</v>
      </c>
      <c r="X1129" s="3244"/>
      <c r="Y1129" s="3244"/>
      <c r="Z1129" s="3242" t="s">
        <v>3384</v>
      </c>
      <c r="AA1129" s="3243">
        <v>0</v>
      </c>
      <c r="AB1129" s="3242">
        <v>0</v>
      </c>
      <c r="AC1129" s="3244"/>
      <c r="AD1129" s="3244"/>
      <c r="AE1129" s="3242">
        <v>0</v>
      </c>
      <c r="AF1129" s="3259"/>
      <c r="AG1129" s="3260"/>
      <c r="AH1129" s="3260"/>
      <c r="AI1129" s="3260"/>
      <c r="AJ1129" s="3260"/>
      <c r="AK1129" s="3260"/>
      <c r="AL1129" s="3259"/>
      <c r="AM1129" s="3260"/>
      <c r="AN1129" s="3259"/>
      <c r="AO1129" s="3260"/>
      <c r="AP1129" s="3242">
        <v>0</v>
      </c>
      <c r="AQ1129" s="3244"/>
      <c r="AR1129" s="3244"/>
      <c r="AS1129" s="3242" t="s">
        <v>3384</v>
      </c>
      <c r="AT1129" s="3247">
        <f t="shared" si="91"/>
        <v>0</v>
      </c>
      <c r="AU1129" s="3248">
        <f t="shared" si="92"/>
        <v>0</v>
      </c>
      <c r="AV1129" s="3248">
        <v>0</v>
      </c>
      <c r="AW1129" s="3247">
        <v>0</v>
      </c>
      <c r="AX1129" s="3248">
        <v>0</v>
      </c>
      <c r="AY1129" s="3248">
        <v>0</v>
      </c>
      <c r="AZ1129" s="3247">
        <v>0</v>
      </c>
      <c r="BA1129" s="3248">
        <v>0</v>
      </c>
      <c r="BB1129" s="3248">
        <v>0</v>
      </c>
      <c r="BC1129" s="3247">
        <v>0</v>
      </c>
      <c r="BD1129" s="3248">
        <v>0</v>
      </c>
      <c r="BE1129" s="3248">
        <v>0</v>
      </c>
      <c r="BF1129" s="3248">
        <f t="shared" si="93"/>
        <v>0</v>
      </c>
      <c r="BG1129" s="3248">
        <f t="shared" si="94"/>
        <v>0</v>
      </c>
      <c r="BH1129" s="3249"/>
      <c r="BI1129" s="3249"/>
    </row>
    <row r="1130" spans="1:61" x14ac:dyDescent="0.3">
      <c r="A1130" s="4197" t="s">
        <v>3384</v>
      </c>
      <c r="B1130" s="3261"/>
      <c r="C1130" s="3243">
        <v>0</v>
      </c>
      <c r="D1130" s="3242">
        <v>0</v>
      </c>
      <c r="E1130" s="3244"/>
      <c r="F1130" s="3244"/>
      <c r="G1130" s="3242">
        <v>0</v>
      </c>
      <c r="H1130" s="3244"/>
      <c r="I1130" s="3244"/>
      <c r="J1130" s="3244"/>
      <c r="K1130" s="3242">
        <v>0</v>
      </c>
      <c r="L1130" s="3244"/>
      <c r="M1130" s="3244"/>
      <c r="N1130" s="3242" t="s">
        <v>3384</v>
      </c>
      <c r="O1130" s="3239">
        <v>0</v>
      </c>
      <c r="P1130" s="3242">
        <v>0</v>
      </c>
      <c r="Q1130" s="3244"/>
      <c r="R1130" s="3244"/>
      <c r="S1130" s="3242">
        <v>0</v>
      </c>
      <c r="T1130" s="3244"/>
      <c r="U1130" s="3244"/>
      <c r="V1130" s="3244"/>
      <c r="W1130" s="3240">
        <v>0</v>
      </c>
      <c r="X1130" s="3244"/>
      <c r="Y1130" s="3244"/>
      <c r="Z1130" s="3242" t="s">
        <v>3384</v>
      </c>
      <c r="AA1130" s="3243">
        <v>0</v>
      </c>
      <c r="AB1130" s="3242">
        <v>0</v>
      </c>
      <c r="AC1130" s="3244"/>
      <c r="AD1130" s="3244"/>
      <c r="AE1130" s="3242">
        <v>0</v>
      </c>
      <c r="AF1130" s="3259"/>
      <c r="AG1130" s="3260"/>
      <c r="AH1130" s="3260"/>
      <c r="AI1130" s="3260"/>
      <c r="AJ1130" s="3260"/>
      <c r="AK1130" s="3260"/>
      <c r="AL1130" s="3259"/>
      <c r="AM1130" s="3260"/>
      <c r="AN1130" s="3259"/>
      <c r="AO1130" s="3260"/>
      <c r="AP1130" s="3242">
        <v>0</v>
      </c>
      <c r="AQ1130" s="3244"/>
      <c r="AR1130" s="3244"/>
      <c r="AS1130" s="3242" t="s">
        <v>3384</v>
      </c>
      <c r="AT1130" s="3247">
        <f t="shared" si="91"/>
        <v>0</v>
      </c>
      <c r="AU1130" s="3248">
        <f t="shared" si="92"/>
        <v>0</v>
      </c>
      <c r="AV1130" s="3248">
        <v>0</v>
      </c>
      <c r="AW1130" s="3247">
        <v>0</v>
      </c>
      <c r="AX1130" s="3248">
        <v>0</v>
      </c>
      <c r="AY1130" s="3248">
        <v>0</v>
      </c>
      <c r="AZ1130" s="3247">
        <v>0</v>
      </c>
      <c r="BA1130" s="3248">
        <v>0</v>
      </c>
      <c r="BB1130" s="3248">
        <v>0</v>
      </c>
      <c r="BC1130" s="3247">
        <v>0</v>
      </c>
      <c r="BD1130" s="3248">
        <v>0</v>
      </c>
      <c r="BE1130" s="3248">
        <v>0</v>
      </c>
      <c r="BF1130" s="3248">
        <f t="shared" si="93"/>
        <v>0</v>
      </c>
      <c r="BG1130" s="3248">
        <f t="shared" si="94"/>
        <v>0</v>
      </c>
      <c r="BH1130" s="3249"/>
      <c r="BI1130" s="3249"/>
    </row>
    <row r="1131" spans="1:61" x14ac:dyDescent="0.3">
      <c r="O1131" s="3239">
        <v>0</v>
      </c>
      <c r="W1131" s="3240">
        <v>0</v>
      </c>
    </row>
    <row r="1132" spans="1:61" x14ac:dyDescent="0.3">
      <c r="O1132" s="3239">
        <v>0</v>
      </c>
      <c r="W1132" s="3240">
        <v>0</v>
      </c>
    </row>
    <row r="1133" spans="1:61" x14ac:dyDescent="0.3">
      <c r="O1133" s="3239">
        <v>0</v>
      </c>
      <c r="W1133" s="3240">
        <v>0</v>
      </c>
    </row>
    <row r="1134" spans="1:61" x14ac:dyDescent="0.3">
      <c r="O1134" s="3239">
        <v>0</v>
      </c>
      <c r="W1134" s="3240">
        <v>0</v>
      </c>
    </row>
    <row r="1135" spans="1:61" x14ac:dyDescent="0.3">
      <c r="O1135" s="3239">
        <v>0</v>
      </c>
      <c r="W1135" s="3240">
        <v>0</v>
      </c>
    </row>
    <row r="1136" spans="1:61" x14ac:dyDescent="0.3">
      <c r="O1136" s="3239">
        <v>0</v>
      </c>
      <c r="W1136" s="3240">
        <v>0</v>
      </c>
    </row>
    <row r="1137" spans="15:23" x14ac:dyDescent="0.3">
      <c r="O1137" s="3239">
        <v>0</v>
      </c>
      <c r="W1137" s="3240">
        <v>0</v>
      </c>
    </row>
    <row r="1138" spans="15:23" x14ac:dyDescent="0.3">
      <c r="O1138" s="3239">
        <v>0</v>
      </c>
      <c r="W1138" s="3240">
        <v>0</v>
      </c>
    </row>
    <row r="1139" spans="15:23" x14ac:dyDescent="0.3">
      <c r="O1139" s="3239">
        <v>0</v>
      </c>
      <c r="W1139" s="3240">
        <v>0</v>
      </c>
    </row>
    <row r="1140" spans="15:23" x14ac:dyDescent="0.3">
      <c r="O1140" s="3239">
        <v>0</v>
      </c>
      <c r="W1140" s="3240">
        <v>0</v>
      </c>
    </row>
    <row r="1141" spans="15:23" x14ac:dyDescent="0.3">
      <c r="O1141" s="3239">
        <v>0</v>
      </c>
      <c r="W1141" s="3240">
        <v>0</v>
      </c>
    </row>
    <row r="1142" spans="15:23" x14ac:dyDescent="0.3">
      <c r="O1142" s="3239">
        <v>0</v>
      </c>
      <c r="W1142" s="3240">
        <v>0</v>
      </c>
    </row>
    <row r="1143" spans="15:23" x14ac:dyDescent="0.3">
      <c r="O1143" s="3239">
        <v>0</v>
      </c>
      <c r="W1143" s="3240">
        <v>0</v>
      </c>
    </row>
    <row r="1144" spans="15:23" x14ac:dyDescent="0.3">
      <c r="O1144" s="3239">
        <v>0</v>
      </c>
      <c r="W1144" s="3240">
        <v>0</v>
      </c>
    </row>
    <row r="1145" spans="15:23" x14ac:dyDescent="0.3">
      <c r="O1145" s="3239">
        <v>0</v>
      </c>
      <c r="W1145" s="3240">
        <v>0</v>
      </c>
    </row>
    <row r="1146" spans="15:23" x14ac:dyDescent="0.3">
      <c r="O1146" s="3239">
        <v>0</v>
      </c>
      <c r="W1146" s="3240">
        <v>0</v>
      </c>
    </row>
    <row r="1147" spans="15:23" x14ac:dyDescent="0.3">
      <c r="O1147" s="3239">
        <v>0</v>
      </c>
      <c r="W1147" s="3240">
        <v>0</v>
      </c>
    </row>
    <row r="1148" spans="15:23" x14ac:dyDescent="0.3">
      <c r="O1148" s="3239">
        <v>0</v>
      </c>
      <c r="W1148" s="3240">
        <v>0</v>
      </c>
    </row>
    <row r="1149" spans="15:23" x14ac:dyDescent="0.3">
      <c r="O1149" s="3239">
        <v>0</v>
      </c>
      <c r="W1149" s="3240">
        <v>0</v>
      </c>
    </row>
    <row r="1150" spans="15:23" x14ac:dyDescent="0.3">
      <c r="O1150" s="3239">
        <v>0</v>
      </c>
      <c r="W1150" s="3240">
        <v>0</v>
      </c>
    </row>
    <row r="1151" spans="15:23" x14ac:dyDescent="0.3">
      <c r="O1151" s="3239">
        <v>0</v>
      </c>
      <c r="W1151" s="3240">
        <v>0</v>
      </c>
    </row>
    <row r="1152" spans="15:23" x14ac:dyDescent="0.3">
      <c r="O1152" s="3239">
        <v>0</v>
      </c>
      <c r="W1152" s="3240">
        <v>0</v>
      </c>
    </row>
    <row r="1153" spans="15:23" x14ac:dyDescent="0.3">
      <c r="O1153" s="3239">
        <v>0</v>
      </c>
      <c r="W1153" s="3240">
        <v>0</v>
      </c>
    </row>
    <row r="1154" spans="15:23" x14ac:dyDescent="0.3">
      <c r="O1154" s="3239">
        <v>0</v>
      </c>
      <c r="W1154" s="3240">
        <v>0</v>
      </c>
    </row>
    <row r="1155" spans="15:23" x14ac:dyDescent="0.3">
      <c r="O1155" s="3239">
        <v>0</v>
      </c>
      <c r="W1155" s="3240">
        <v>0</v>
      </c>
    </row>
    <row r="1156" spans="15:23" x14ac:dyDescent="0.3">
      <c r="O1156" s="3239">
        <v>0</v>
      </c>
      <c r="W1156" s="3240">
        <v>0</v>
      </c>
    </row>
    <row r="1157" spans="15:23" x14ac:dyDescent="0.3">
      <c r="O1157" s="3239">
        <v>0</v>
      </c>
      <c r="W1157" s="3240">
        <v>0</v>
      </c>
    </row>
    <row r="1158" spans="15:23" x14ac:dyDescent="0.3">
      <c r="O1158" s="3239">
        <v>0</v>
      </c>
      <c r="W1158" s="3240">
        <v>0</v>
      </c>
    </row>
    <row r="1159" spans="15:23" x14ac:dyDescent="0.3">
      <c r="O1159" s="3239">
        <v>0</v>
      </c>
      <c r="W1159" s="3240">
        <v>0</v>
      </c>
    </row>
    <row r="1160" spans="15:23" x14ac:dyDescent="0.3">
      <c r="O1160" s="3239">
        <v>0</v>
      </c>
      <c r="W1160" s="3240">
        <v>0</v>
      </c>
    </row>
    <row r="1161" spans="15:23" x14ac:dyDescent="0.3">
      <c r="O1161" s="3239">
        <v>0</v>
      </c>
      <c r="W1161" s="3240">
        <v>0</v>
      </c>
    </row>
    <row r="1162" spans="15:23" x14ac:dyDescent="0.3">
      <c r="O1162" s="3239">
        <v>0</v>
      </c>
      <c r="W1162" s="3240">
        <v>0</v>
      </c>
    </row>
    <row r="1163" spans="15:23" x14ac:dyDescent="0.3">
      <c r="O1163" s="3239">
        <v>0</v>
      </c>
      <c r="W1163" s="3240">
        <v>0</v>
      </c>
    </row>
    <row r="1164" spans="15:23" x14ac:dyDescent="0.3">
      <c r="O1164" s="3239">
        <v>0</v>
      </c>
      <c r="W1164" s="3240">
        <v>0</v>
      </c>
    </row>
    <row r="1165" spans="15:23" x14ac:dyDescent="0.3">
      <c r="O1165" s="3239">
        <v>0</v>
      </c>
      <c r="W1165" s="3240">
        <v>0</v>
      </c>
    </row>
    <row r="1166" spans="15:23" x14ac:dyDescent="0.3">
      <c r="O1166" s="3239">
        <v>0</v>
      </c>
      <c r="W1166" s="3240">
        <v>0</v>
      </c>
    </row>
    <row r="1167" spans="15:23" x14ac:dyDescent="0.3">
      <c r="O1167" s="3239">
        <v>0</v>
      </c>
      <c r="W1167" s="3240">
        <v>0</v>
      </c>
    </row>
    <row r="1168" spans="15:23" x14ac:dyDescent="0.3">
      <c r="O1168" s="3239">
        <v>0</v>
      </c>
      <c r="W1168" s="3240">
        <v>0</v>
      </c>
    </row>
    <row r="1169" spans="15:23" x14ac:dyDescent="0.3">
      <c r="O1169" s="3239">
        <v>0</v>
      </c>
      <c r="W1169" s="3240">
        <v>0</v>
      </c>
    </row>
    <row r="1170" spans="15:23" x14ac:dyDescent="0.3">
      <c r="O1170" s="3239">
        <v>0</v>
      </c>
      <c r="W1170" s="3240">
        <v>0</v>
      </c>
    </row>
    <row r="1171" spans="15:23" x14ac:dyDescent="0.3">
      <c r="O1171" s="3239">
        <v>0</v>
      </c>
      <c r="W1171" s="3240">
        <v>0</v>
      </c>
    </row>
    <row r="1172" spans="15:23" x14ac:dyDescent="0.3">
      <c r="O1172" s="3239">
        <v>0</v>
      </c>
      <c r="W1172" s="3240">
        <v>0</v>
      </c>
    </row>
    <row r="1173" spans="15:23" x14ac:dyDescent="0.3">
      <c r="O1173" s="3239">
        <v>0</v>
      </c>
      <c r="W1173" s="3240">
        <v>0</v>
      </c>
    </row>
    <row r="1174" spans="15:23" x14ac:dyDescent="0.3">
      <c r="O1174" s="3239">
        <v>0</v>
      </c>
      <c r="W1174" s="3240">
        <v>0</v>
      </c>
    </row>
    <row r="1175" spans="15:23" x14ac:dyDescent="0.3">
      <c r="O1175" s="3239">
        <v>0</v>
      </c>
      <c r="W1175" s="3240">
        <v>0</v>
      </c>
    </row>
    <row r="1176" spans="15:23" x14ac:dyDescent="0.3">
      <c r="O1176" s="3239">
        <v>0</v>
      </c>
      <c r="W1176" s="3240">
        <v>0</v>
      </c>
    </row>
    <row r="1177" spans="15:23" x14ac:dyDescent="0.3">
      <c r="O1177" s="3239">
        <v>0</v>
      </c>
      <c r="W1177" s="3240">
        <v>0</v>
      </c>
    </row>
    <row r="1178" spans="15:23" x14ac:dyDescent="0.3">
      <c r="O1178" s="3239">
        <v>0</v>
      </c>
      <c r="W1178" s="3240">
        <v>0</v>
      </c>
    </row>
    <row r="1179" spans="15:23" x14ac:dyDescent="0.3">
      <c r="O1179" s="3239">
        <v>0</v>
      </c>
      <c r="W1179" s="3240">
        <v>0</v>
      </c>
    </row>
    <row r="1180" spans="15:23" x14ac:dyDescent="0.3">
      <c r="O1180" s="3239">
        <v>0</v>
      </c>
      <c r="W1180" s="3240">
        <v>0</v>
      </c>
    </row>
    <row r="1181" spans="15:23" x14ac:dyDescent="0.3">
      <c r="O1181" s="3239">
        <v>0</v>
      </c>
      <c r="W1181" s="3240">
        <v>0</v>
      </c>
    </row>
    <row r="1182" spans="15:23" x14ac:dyDescent="0.3">
      <c r="O1182" s="3239">
        <v>0</v>
      </c>
      <c r="W1182" s="3240">
        <v>0</v>
      </c>
    </row>
    <row r="1183" spans="15:23" x14ac:dyDescent="0.3">
      <c r="O1183" s="3239">
        <v>0</v>
      </c>
      <c r="W1183" s="3240">
        <v>0</v>
      </c>
    </row>
    <row r="1184" spans="15:23" x14ac:dyDescent="0.3">
      <c r="O1184" s="3239">
        <v>0</v>
      </c>
      <c r="W1184" s="3240">
        <v>0</v>
      </c>
    </row>
    <row r="1185" spans="15:23" x14ac:dyDescent="0.3">
      <c r="O1185" s="3239">
        <v>0</v>
      </c>
      <c r="W1185" s="3240">
        <v>0</v>
      </c>
    </row>
    <row r="1186" spans="15:23" x14ac:dyDescent="0.3">
      <c r="O1186" s="3239">
        <v>0</v>
      </c>
      <c r="W1186" s="3240">
        <v>0</v>
      </c>
    </row>
    <row r="1187" spans="15:23" x14ac:dyDescent="0.3">
      <c r="O1187" s="3239">
        <v>0</v>
      </c>
      <c r="W1187" s="3240">
        <v>0</v>
      </c>
    </row>
    <row r="1188" spans="15:23" x14ac:dyDescent="0.3">
      <c r="O1188" s="3239">
        <v>0</v>
      </c>
      <c r="W1188" s="3240">
        <v>0</v>
      </c>
    </row>
    <row r="1189" spans="15:23" x14ac:dyDescent="0.3">
      <c r="O1189" s="3239">
        <v>0</v>
      </c>
      <c r="W1189" s="3240">
        <v>0</v>
      </c>
    </row>
    <row r="1190" spans="15:23" x14ac:dyDescent="0.3">
      <c r="O1190" s="3239">
        <v>0</v>
      </c>
      <c r="W1190" s="3240">
        <v>0</v>
      </c>
    </row>
    <row r="1191" spans="15:23" x14ac:dyDescent="0.3">
      <c r="O1191" s="3239">
        <v>0</v>
      </c>
      <c r="W1191" s="3240">
        <v>0</v>
      </c>
    </row>
    <row r="1192" spans="15:23" x14ac:dyDescent="0.3">
      <c r="O1192" s="3239">
        <v>0</v>
      </c>
      <c r="W1192" s="3240">
        <v>0</v>
      </c>
    </row>
    <row r="1193" spans="15:23" x14ac:dyDescent="0.3">
      <c r="O1193" s="3239">
        <v>0</v>
      </c>
      <c r="W1193" s="3240">
        <v>0</v>
      </c>
    </row>
    <row r="1194" spans="15:23" x14ac:dyDescent="0.3">
      <c r="O1194" s="3239">
        <v>0</v>
      </c>
      <c r="W1194" s="3240">
        <v>0</v>
      </c>
    </row>
    <row r="1195" spans="15:23" x14ac:dyDescent="0.3">
      <c r="O1195" s="3239">
        <v>0</v>
      </c>
      <c r="W1195" s="3240">
        <v>0</v>
      </c>
    </row>
    <row r="1196" spans="15:23" x14ac:dyDescent="0.3">
      <c r="O1196" s="3239">
        <v>0</v>
      </c>
      <c r="W1196" s="3240">
        <v>0</v>
      </c>
    </row>
    <row r="1197" spans="15:23" x14ac:dyDescent="0.3">
      <c r="O1197" s="3239">
        <v>0</v>
      </c>
      <c r="W1197" s="3240">
        <v>0</v>
      </c>
    </row>
    <row r="1198" spans="15:23" x14ac:dyDescent="0.3">
      <c r="O1198" s="3239">
        <v>0</v>
      </c>
      <c r="W1198" s="3240">
        <v>0</v>
      </c>
    </row>
    <row r="1199" spans="15:23" x14ac:dyDescent="0.3">
      <c r="O1199" s="3239">
        <v>0</v>
      </c>
      <c r="W1199" s="3240">
        <v>0</v>
      </c>
    </row>
    <row r="1200" spans="15:23" x14ac:dyDescent="0.3">
      <c r="O1200" s="3239">
        <v>0</v>
      </c>
      <c r="W1200" s="3240">
        <v>0</v>
      </c>
    </row>
    <row r="1201" spans="15:23" x14ac:dyDescent="0.3">
      <c r="O1201" s="3239">
        <v>0</v>
      </c>
      <c r="W1201" s="3240">
        <v>0</v>
      </c>
    </row>
    <row r="1202" spans="15:23" x14ac:dyDescent="0.3">
      <c r="O1202" s="3239">
        <v>0</v>
      </c>
      <c r="W1202" s="3240">
        <v>0</v>
      </c>
    </row>
    <row r="1203" spans="15:23" x14ac:dyDescent="0.3">
      <c r="O1203" s="3239">
        <v>0</v>
      </c>
      <c r="W1203" s="3240">
        <v>0</v>
      </c>
    </row>
    <row r="1204" spans="15:23" x14ac:dyDescent="0.3">
      <c r="O1204" s="3239">
        <v>0</v>
      </c>
      <c r="W1204" s="3240">
        <v>0</v>
      </c>
    </row>
    <row r="1205" spans="15:23" x14ac:dyDescent="0.3">
      <c r="O1205" s="3239">
        <v>0</v>
      </c>
      <c r="W1205" s="3240">
        <v>0</v>
      </c>
    </row>
    <row r="1206" spans="15:23" x14ac:dyDescent="0.3">
      <c r="O1206" s="3239">
        <v>0</v>
      </c>
      <c r="W1206" s="3240">
        <v>0</v>
      </c>
    </row>
    <row r="1207" spans="15:23" x14ac:dyDescent="0.3">
      <c r="O1207" s="3239">
        <v>0</v>
      </c>
      <c r="W1207" s="3240">
        <v>0</v>
      </c>
    </row>
    <row r="1208" spans="15:23" x14ac:dyDescent="0.3">
      <c r="O1208" s="3239">
        <v>0</v>
      </c>
      <c r="W1208" s="3240">
        <v>0</v>
      </c>
    </row>
    <row r="1209" spans="15:23" x14ac:dyDescent="0.3">
      <c r="O1209" s="3239">
        <v>0</v>
      </c>
      <c r="W1209" s="3240">
        <v>0</v>
      </c>
    </row>
    <row r="1210" spans="15:23" x14ac:dyDescent="0.3">
      <c r="O1210" s="3239">
        <v>0</v>
      </c>
      <c r="W1210" s="3240">
        <v>0</v>
      </c>
    </row>
    <row r="1211" spans="15:23" x14ac:dyDescent="0.3">
      <c r="O1211" s="3239">
        <v>0</v>
      </c>
      <c r="W1211" s="3240">
        <v>0</v>
      </c>
    </row>
    <row r="1212" spans="15:23" x14ac:dyDescent="0.3">
      <c r="O1212" s="3239">
        <v>0</v>
      </c>
      <c r="W1212" s="3240">
        <v>0</v>
      </c>
    </row>
    <row r="1213" spans="15:23" x14ac:dyDescent="0.3">
      <c r="O1213" s="3239">
        <v>0</v>
      </c>
      <c r="W1213" s="3240">
        <v>0</v>
      </c>
    </row>
    <row r="1214" spans="15:23" x14ac:dyDescent="0.3">
      <c r="O1214" s="3239">
        <v>0</v>
      </c>
      <c r="W1214" s="3240">
        <v>0</v>
      </c>
    </row>
    <row r="1215" spans="15:23" x14ac:dyDescent="0.3">
      <c r="O1215" s="3239">
        <v>0</v>
      </c>
      <c r="W1215" s="3240">
        <v>0</v>
      </c>
    </row>
    <row r="1216" spans="15:23" x14ac:dyDescent="0.3">
      <c r="O1216" s="3239">
        <v>0</v>
      </c>
      <c r="W1216" s="3240">
        <v>0</v>
      </c>
    </row>
    <row r="1217" spans="15:23" x14ac:dyDescent="0.3">
      <c r="O1217" s="3239">
        <v>0</v>
      </c>
      <c r="W1217" s="3240">
        <v>0</v>
      </c>
    </row>
    <row r="1218" spans="15:23" x14ac:dyDescent="0.3">
      <c r="O1218" s="3239">
        <v>0</v>
      </c>
      <c r="W1218" s="3240">
        <v>0</v>
      </c>
    </row>
    <row r="1219" spans="15:23" x14ac:dyDescent="0.3">
      <c r="O1219" s="3239">
        <v>0</v>
      </c>
      <c r="W1219" s="3240">
        <v>0</v>
      </c>
    </row>
    <row r="1220" spans="15:23" x14ac:dyDescent="0.3">
      <c r="O1220" s="3239">
        <v>0</v>
      </c>
      <c r="W1220" s="3240">
        <v>0</v>
      </c>
    </row>
    <row r="1221" spans="15:23" x14ac:dyDescent="0.3">
      <c r="O1221" s="3239">
        <v>0</v>
      </c>
      <c r="W1221" s="3240">
        <v>0</v>
      </c>
    </row>
    <row r="1222" spans="15:23" x14ac:dyDescent="0.3">
      <c r="O1222" s="3239">
        <v>0</v>
      </c>
      <c r="W1222" s="3240">
        <v>0</v>
      </c>
    </row>
    <row r="1223" spans="15:23" x14ac:dyDescent="0.3">
      <c r="O1223" s="3239">
        <v>0</v>
      </c>
      <c r="W1223" s="3240">
        <v>0</v>
      </c>
    </row>
    <row r="1224" spans="15:23" x14ac:dyDescent="0.3">
      <c r="O1224" s="3239">
        <v>0</v>
      </c>
      <c r="W1224" s="3240">
        <v>0</v>
      </c>
    </row>
    <row r="1225" spans="15:23" x14ac:dyDescent="0.3">
      <c r="O1225" s="3239">
        <v>0</v>
      </c>
      <c r="W1225" s="3240">
        <v>0</v>
      </c>
    </row>
    <row r="1226" spans="15:23" x14ac:dyDescent="0.3">
      <c r="O1226" s="3239">
        <v>0</v>
      </c>
      <c r="W1226" s="3240">
        <v>0</v>
      </c>
    </row>
    <row r="1227" spans="15:23" x14ac:dyDescent="0.3">
      <c r="O1227" s="3239">
        <v>0</v>
      </c>
      <c r="W1227" s="3240">
        <v>0</v>
      </c>
    </row>
    <row r="1228" spans="15:23" x14ac:dyDescent="0.3">
      <c r="O1228" s="3239">
        <v>0</v>
      </c>
      <c r="W1228" s="3240">
        <v>0</v>
      </c>
    </row>
    <row r="1229" spans="15:23" x14ac:dyDescent="0.3">
      <c r="O1229" s="3239">
        <v>0</v>
      </c>
      <c r="W1229" s="3240">
        <v>0</v>
      </c>
    </row>
    <row r="1230" spans="15:23" x14ac:dyDescent="0.3">
      <c r="O1230" s="3239">
        <v>0</v>
      </c>
      <c r="W1230" s="3240">
        <v>0</v>
      </c>
    </row>
    <row r="1231" spans="15:23" x14ac:dyDescent="0.3">
      <c r="O1231" s="3239">
        <v>0</v>
      </c>
      <c r="W1231" s="3240">
        <v>0</v>
      </c>
    </row>
    <row r="1232" spans="15:23" x14ac:dyDescent="0.3">
      <c r="O1232" s="3239">
        <v>0</v>
      </c>
      <c r="W1232" s="3240">
        <v>0</v>
      </c>
    </row>
    <row r="1233" spans="15:23" x14ac:dyDescent="0.3">
      <c r="O1233" s="3239">
        <v>0</v>
      </c>
      <c r="W1233" s="3240">
        <v>0</v>
      </c>
    </row>
    <row r="1234" spans="15:23" x14ac:dyDescent="0.3">
      <c r="O1234" s="3239">
        <v>0</v>
      </c>
      <c r="W1234" s="3240">
        <v>0</v>
      </c>
    </row>
    <row r="1235" spans="15:23" x14ac:dyDescent="0.3">
      <c r="O1235" s="3239">
        <v>0</v>
      </c>
      <c r="W1235" s="3240">
        <v>0</v>
      </c>
    </row>
    <row r="1236" spans="15:23" x14ac:dyDescent="0.3">
      <c r="O1236" s="3239">
        <v>0</v>
      </c>
      <c r="W1236" s="3240">
        <v>0</v>
      </c>
    </row>
    <row r="1237" spans="15:23" x14ac:dyDescent="0.3">
      <c r="O1237" s="3239">
        <v>0</v>
      </c>
      <c r="W1237" s="3240">
        <v>0</v>
      </c>
    </row>
    <row r="1238" spans="15:23" x14ac:dyDescent="0.3">
      <c r="O1238" s="3239">
        <v>0</v>
      </c>
      <c r="W1238" s="3240">
        <v>0</v>
      </c>
    </row>
    <row r="1239" spans="15:23" x14ac:dyDescent="0.3">
      <c r="O1239" s="3239">
        <v>0</v>
      </c>
      <c r="W1239" s="3240">
        <v>0</v>
      </c>
    </row>
    <row r="1240" spans="15:23" x14ac:dyDescent="0.3">
      <c r="O1240" s="3239">
        <v>0</v>
      </c>
      <c r="W1240" s="3240">
        <v>0</v>
      </c>
    </row>
    <row r="1241" spans="15:23" x14ac:dyDescent="0.3">
      <c r="O1241" s="3239">
        <v>0</v>
      </c>
      <c r="W1241" s="3240">
        <v>0</v>
      </c>
    </row>
    <row r="1242" spans="15:23" x14ac:dyDescent="0.3">
      <c r="O1242" s="3239">
        <v>0</v>
      </c>
      <c r="W1242" s="3240">
        <v>0</v>
      </c>
    </row>
    <row r="1243" spans="15:23" x14ac:dyDescent="0.3">
      <c r="O1243" s="3239">
        <v>0</v>
      </c>
      <c r="W1243" s="3240">
        <v>0</v>
      </c>
    </row>
    <row r="1244" spans="15:23" x14ac:dyDescent="0.3">
      <c r="O1244" s="3239">
        <v>0</v>
      </c>
      <c r="W1244" s="3240">
        <v>0</v>
      </c>
    </row>
    <row r="1245" spans="15:23" x14ac:dyDescent="0.3">
      <c r="O1245" s="3239">
        <v>0</v>
      </c>
      <c r="W1245" s="3240">
        <v>0</v>
      </c>
    </row>
    <row r="1246" spans="15:23" x14ac:dyDescent="0.3">
      <c r="O1246" s="3239">
        <v>0</v>
      </c>
      <c r="W1246" s="3240">
        <v>0</v>
      </c>
    </row>
    <row r="1247" spans="15:23" x14ac:dyDescent="0.3">
      <c r="O1247" s="3239">
        <v>0</v>
      </c>
      <c r="W1247" s="3240">
        <v>0</v>
      </c>
    </row>
    <row r="1248" spans="15:23" x14ac:dyDescent="0.3">
      <c r="O1248" s="3239">
        <v>0</v>
      </c>
      <c r="W1248" s="3240">
        <v>0</v>
      </c>
    </row>
    <row r="1249" spans="15:23" x14ac:dyDescent="0.3">
      <c r="O1249" s="3239">
        <v>0</v>
      </c>
      <c r="W1249" s="3240">
        <v>0</v>
      </c>
    </row>
    <row r="1250" spans="15:23" x14ac:dyDescent="0.3">
      <c r="O1250" s="3239">
        <v>0</v>
      </c>
      <c r="W1250" s="3240">
        <v>0</v>
      </c>
    </row>
    <row r="1251" spans="15:23" x14ac:dyDescent="0.3">
      <c r="O1251" s="3239">
        <v>0</v>
      </c>
      <c r="W1251" s="3240">
        <v>0</v>
      </c>
    </row>
    <row r="1252" spans="15:23" x14ac:dyDescent="0.3">
      <c r="O1252" s="3239">
        <v>0</v>
      </c>
      <c r="W1252" s="3240">
        <v>0</v>
      </c>
    </row>
    <row r="1253" spans="15:23" x14ac:dyDescent="0.3">
      <c r="O1253" s="3239">
        <v>0</v>
      </c>
      <c r="W1253" s="3240">
        <v>0</v>
      </c>
    </row>
    <row r="1254" spans="15:23" x14ac:dyDescent="0.3">
      <c r="O1254" s="3239">
        <v>0</v>
      </c>
      <c r="W1254" s="3240">
        <v>0</v>
      </c>
    </row>
    <row r="1255" spans="15:23" x14ac:dyDescent="0.3">
      <c r="O1255" s="3239">
        <v>0</v>
      </c>
      <c r="W1255" s="3240">
        <v>0</v>
      </c>
    </row>
    <row r="1256" spans="15:23" x14ac:dyDescent="0.3">
      <c r="O1256" s="3239">
        <v>0</v>
      </c>
      <c r="W1256" s="3240">
        <v>0</v>
      </c>
    </row>
    <row r="1257" spans="15:23" x14ac:dyDescent="0.3">
      <c r="O1257" s="3239">
        <v>0</v>
      </c>
      <c r="W1257" s="3240">
        <v>0</v>
      </c>
    </row>
    <row r="1258" spans="15:23" x14ac:dyDescent="0.3">
      <c r="O1258" s="3239">
        <v>0</v>
      </c>
      <c r="W1258" s="3240">
        <v>0</v>
      </c>
    </row>
    <row r="1259" spans="15:23" x14ac:dyDescent="0.3">
      <c r="O1259" s="3239">
        <v>0</v>
      </c>
      <c r="W1259" s="3240">
        <v>0</v>
      </c>
    </row>
    <row r="1260" spans="15:23" x14ac:dyDescent="0.3">
      <c r="O1260" s="3239">
        <v>0</v>
      </c>
      <c r="W1260" s="3240">
        <v>0</v>
      </c>
    </row>
    <row r="1261" spans="15:23" x14ac:dyDescent="0.3">
      <c r="O1261" s="3239">
        <v>0</v>
      </c>
      <c r="W1261" s="3240">
        <v>0</v>
      </c>
    </row>
    <row r="1262" spans="15:23" x14ac:dyDescent="0.3">
      <c r="O1262" s="3239">
        <v>0</v>
      </c>
      <c r="W1262" s="3240">
        <v>0</v>
      </c>
    </row>
    <row r="1263" spans="15:23" x14ac:dyDescent="0.3">
      <c r="O1263" s="3239">
        <v>0</v>
      </c>
      <c r="W1263" s="3240">
        <v>0</v>
      </c>
    </row>
    <row r="1264" spans="15:23" x14ac:dyDescent="0.3">
      <c r="O1264" s="3239">
        <v>0</v>
      </c>
      <c r="W1264" s="3240">
        <v>0</v>
      </c>
    </row>
    <row r="1265" spans="15:23" x14ac:dyDescent="0.3">
      <c r="O1265" s="3239">
        <v>0</v>
      </c>
      <c r="W1265" s="3240">
        <v>0</v>
      </c>
    </row>
    <row r="1266" spans="15:23" x14ac:dyDescent="0.3">
      <c r="O1266" s="3239">
        <v>0</v>
      </c>
      <c r="W1266" s="3240">
        <v>0</v>
      </c>
    </row>
    <row r="1267" spans="15:23" x14ac:dyDescent="0.3">
      <c r="O1267" s="3239">
        <v>0</v>
      </c>
      <c r="W1267" s="3240">
        <v>0</v>
      </c>
    </row>
    <row r="1268" spans="15:23" x14ac:dyDescent="0.3">
      <c r="O1268" s="3239">
        <v>0</v>
      </c>
      <c r="W1268" s="3240">
        <v>0</v>
      </c>
    </row>
    <row r="1269" spans="15:23" x14ac:dyDescent="0.3">
      <c r="O1269" s="3239">
        <v>0</v>
      </c>
      <c r="W1269" s="3240">
        <v>0</v>
      </c>
    </row>
    <row r="1270" spans="15:23" x14ac:dyDescent="0.3">
      <c r="O1270" s="3239">
        <v>0</v>
      </c>
      <c r="W1270" s="3240">
        <v>0</v>
      </c>
    </row>
    <row r="1271" spans="15:23" x14ac:dyDescent="0.3">
      <c r="O1271" s="3239">
        <v>0</v>
      </c>
      <c r="W1271" s="3240">
        <v>0</v>
      </c>
    </row>
    <row r="1272" spans="15:23" x14ac:dyDescent="0.3">
      <c r="O1272" s="3239">
        <v>0</v>
      </c>
      <c r="W1272" s="3240">
        <v>0</v>
      </c>
    </row>
    <row r="1273" spans="15:23" x14ac:dyDescent="0.3">
      <c r="O1273" s="3239">
        <v>0</v>
      </c>
      <c r="W1273" s="3240">
        <v>0</v>
      </c>
    </row>
    <row r="1274" spans="15:23" x14ac:dyDescent="0.3">
      <c r="O1274" s="3239">
        <v>0</v>
      </c>
      <c r="W1274" s="3240">
        <v>0</v>
      </c>
    </row>
    <row r="1275" spans="15:23" x14ac:dyDescent="0.3">
      <c r="O1275" s="3239">
        <v>0</v>
      </c>
      <c r="W1275" s="3240">
        <v>0</v>
      </c>
    </row>
    <row r="1276" spans="15:23" x14ac:dyDescent="0.3">
      <c r="O1276" s="3239">
        <v>0</v>
      </c>
      <c r="W1276" s="3240">
        <v>0</v>
      </c>
    </row>
    <row r="1277" spans="15:23" x14ac:dyDescent="0.3">
      <c r="O1277" s="3239">
        <v>0</v>
      </c>
      <c r="W1277" s="3240">
        <v>0</v>
      </c>
    </row>
    <row r="1278" spans="15:23" x14ac:dyDescent="0.3">
      <c r="O1278" s="3239">
        <v>0</v>
      </c>
      <c r="W1278" s="3240">
        <v>0</v>
      </c>
    </row>
    <row r="1279" spans="15:23" x14ac:dyDescent="0.3">
      <c r="O1279" s="3239">
        <v>0</v>
      </c>
      <c r="W1279" s="3240">
        <v>0</v>
      </c>
    </row>
    <row r="1280" spans="15:23" x14ac:dyDescent="0.3">
      <c r="O1280" s="3239">
        <v>0</v>
      </c>
      <c r="W1280" s="3240">
        <v>0</v>
      </c>
    </row>
    <row r="1281" spans="15:23" x14ac:dyDescent="0.3">
      <c r="O1281" s="3239">
        <v>0</v>
      </c>
      <c r="W1281" s="3240">
        <v>0</v>
      </c>
    </row>
    <row r="1282" spans="15:23" x14ac:dyDescent="0.3">
      <c r="O1282" s="3239">
        <v>0</v>
      </c>
      <c r="W1282" s="3240">
        <v>0</v>
      </c>
    </row>
    <row r="1283" spans="15:23" x14ac:dyDescent="0.3">
      <c r="O1283" s="3239">
        <v>0</v>
      </c>
      <c r="W1283" s="3240">
        <v>0</v>
      </c>
    </row>
    <row r="1284" spans="15:23" x14ac:dyDescent="0.3">
      <c r="O1284" s="3239">
        <v>0</v>
      </c>
      <c r="W1284" s="3240">
        <v>0</v>
      </c>
    </row>
    <row r="1285" spans="15:23" x14ac:dyDescent="0.3">
      <c r="O1285" s="3239">
        <v>0</v>
      </c>
      <c r="W1285" s="3240">
        <v>0</v>
      </c>
    </row>
    <row r="1286" spans="15:23" x14ac:dyDescent="0.3">
      <c r="O1286" s="3239">
        <v>0</v>
      </c>
      <c r="W1286" s="3240">
        <v>0</v>
      </c>
    </row>
    <row r="1287" spans="15:23" x14ac:dyDescent="0.3">
      <c r="O1287" s="3239">
        <v>0</v>
      </c>
      <c r="W1287" s="3240">
        <v>0</v>
      </c>
    </row>
    <row r="1288" spans="15:23" x14ac:dyDescent="0.3">
      <c r="O1288" s="3239">
        <v>0</v>
      </c>
      <c r="W1288" s="3240">
        <v>0</v>
      </c>
    </row>
    <row r="1289" spans="15:23" x14ac:dyDescent="0.3">
      <c r="O1289" s="3239">
        <v>0</v>
      </c>
      <c r="W1289" s="3240">
        <v>0</v>
      </c>
    </row>
    <row r="1290" spans="15:23" x14ac:dyDescent="0.3">
      <c r="O1290" s="3239">
        <v>0</v>
      </c>
      <c r="W1290" s="3240">
        <v>0</v>
      </c>
    </row>
    <row r="1291" spans="15:23" x14ac:dyDescent="0.3">
      <c r="O1291" s="3239">
        <v>0</v>
      </c>
      <c r="W1291" s="3240">
        <v>0</v>
      </c>
    </row>
    <row r="1292" spans="15:23" x14ac:dyDescent="0.3">
      <c r="O1292" s="3239">
        <v>0</v>
      </c>
      <c r="W1292" s="3240">
        <v>0</v>
      </c>
    </row>
    <row r="1293" spans="15:23" x14ac:dyDescent="0.3">
      <c r="O1293" s="3239">
        <v>0</v>
      </c>
      <c r="W1293" s="3240">
        <v>0</v>
      </c>
    </row>
    <row r="1294" spans="15:23" x14ac:dyDescent="0.3">
      <c r="O1294" s="3239">
        <v>0</v>
      </c>
      <c r="W1294" s="3240">
        <v>0</v>
      </c>
    </row>
    <row r="1295" spans="15:23" x14ac:dyDescent="0.3">
      <c r="O1295" s="3239">
        <v>0</v>
      </c>
      <c r="W1295" s="3240">
        <v>0</v>
      </c>
    </row>
    <row r="1296" spans="15:23" x14ac:dyDescent="0.3">
      <c r="O1296" s="3239">
        <v>0</v>
      </c>
      <c r="W1296" s="3240">
        <v>0</v>
      </c>
    </row>
    <row r="1297" spans="15:23" x14ac:dyDescent="0.3">
      <c r="O1297" s="3239">
        <v>0</v>
      </c>
      <c r="W1297" s="3240">
        <v>0</v>
      </c>
    </row>
    <row r="1298" spans="15:23" x14ac:dyDescent="0.3">
      <c r="O1298" s="3239">
        <v>0</v>
      </c>
      <c r="W1298" s="3240">
        <v>0</v>
      </c>
    </row>
    <row r="1299" spans="15:23" x14ac:dyDescent="0.3">
      <c r="O1299" s="3239">
        <v>0</v>
      </c>
      <c r="W1299" s="3240">
        <v>0</v>
      </c>
    </row>
    <row r="1300" spans="15:23" x14ac:dyDescent="0.3">
      <c r="O1300" s="3239">
        <v>0</v>
      </c>
      <c r="W1300" s="3240">
        <v>0</v>
      </c>
    </row>
    <row r="1301" spans="15:23" x14ac:dyDescent="0.3">
      <c r="O1301" s="3239">
        <v>0</v>
      </c>
      <c r="W1301" s="3240">
        <v>0</v>
      </c>
    </row>
    <row r="1302" spans="15:23" x14ac:dyDescent="0.3">
      <c r="O1302" s="3239">
        <v>0</v>
      </c>
      <c r="W1302" s="3240">
        <v>0</v>
      </c>
    </row>
    <row r="1303" spans="15:23" x14ac:dyDescent="0.3">
      <c r="O1303" s="3239">
        <v>0</v>
      </c>
      <c r="W1303" s="3240">
        <v>0</v>
      </c>
    </row>
    <row r="1304" spans="15:23" x14ac:dyDescent="0.3">
      <c r="O1304" s="3239">
        <v>0</v>
      </c>
      <c r="W1304" s="3240">
        <v>0</v>
      </c>
    </row>
    <row r="1305" spans="15:23" x14ac:dyDescent="0.3">
      <c r="O1305" s="3239">
        <v>0</v>
      </c>
      <c r="W1305" s="3240">
        <v>0</v>
      </c>
    </row>
    <row r="1306" spans="15:23" x14ac:dyDescent="0.3">
      <c r="O1306" s="3239">
        <v>0</v>
      </c>
      <c r="W1306" s="3240">
        <v>0</v>
      </c>
    </row>
    <row r="1307" spans="15:23" x14ac:dyDescent="0.3">
      <c r="O1307" s="3239">
        <v>0</v>
      </c>
      <c r="W1307" s="3240">
        <v>0</v>
      </c>
    </row>
    <row r="1308" spans="15:23" x14ac:dyDescent="0.3">
      <c r="O1308" s="3239">
        <v>0</v>
      </c>
      <c r="W1308" s="3240">
        <v>0</v>
      </c>
    </row>
    <row r="1309" spans="15:23" x14ac:dyDescent="0.3">
      <c r="O1309" s="3239">
        <v>0</v>
      </c>
      <c r="W1309" s="3240">
        <v>0</v>
      </c>
    </row>
    <row r="1310" spans="15:23" x14ac:dyDescent="0.3">
      <c r="O1310" s="3239">
        <v>0</v>
      </c>
      <c r="W1310" s="3240">
        <v>0</v>
      </c>
    </row>
    <row r="1311" spans="15:23" x14ac:dyDescent="0.3">
      <c r="O1311" s="3239">
        <v>0</v>
      </c>
      <c r="W1311" s="3240">
        <v>0</v>
      </c>
    </row>
    <row r="1312" spans="15:23" x14ac:dyDescent="0.3">
      <c r="O1312" s="3239">
        <v>0</v>
      </c>
      <c r="W1312" s="3240">
        <v>0</v>
      </c>
    </row>
    <row r="1313" spans="15:23" x14ac:dyDescent="0.3">
      <c r="O1313" s="3239">
        <v>0</v>
      </c>
      <c r="W1313" s="3240">
        <v>0</v>
      </c>
    </row>
    <row r="1314" spans="15:23" x14ac:dyDescent="0.3">
      <c r="O1314" s="3239">
        <v>0</v>
      </c>
      <c r="W1314" s="3240">
        <v>0</v>
      </c>
    </row>
    <row r="1315" spans="15:23" x14ac:dyDescent="0.3">
      <c r="O1315" s="3239">
        <v>0</v>
      </c>
      <c r="W1315" s="3240">
        <v>0</v>
      </c>
    </row>
    <row r="1316" spans="15:23" x14ac:dyDescent="0.3">
      <c r="O1316" s="3239">
        <v>0</v>
      </c>
      <c r="W1316" s="3240">
        <v>0</v>
      </c>
    </row>
    <row r="1317" spans="15:23" x14ac:dyDescent="0.3">
      <c r="O1317" s="3239">
        <v>0</v>
      </c>
      <c r="W1317" s="3240">
        <v>0</v>
      </c>
    </row>
    <row r="1318" spans="15:23" x14ac:dyDescent="0.3">
      <c r="O1318" s="3239">
        <v>0</v>
      </c>
      <c r="W1318" s="3240">
        <v>0</v>
      </c>
    </row>
    <row r="1319" spans="15:23" x14ac:dyDescent="0.3">
      <c r="O1319" s="3239">
        <v>0</v>
      </c>
      <c r="W1319" s="3240">
        <v>0</v>
      </c>
    </row>
    <row r="1320" spans="15:23" x14ac:dyDescent="0.3">
      <c r="O1320" s="3239">
        <v>0</v>
      </c>
      <c r="W1320" s="3240">
        <v>0</v>
      </c>
    </row>
    <row r="1321" spans="15:23" x14ac:dyDescent="0.3">
      <c r="O1321" s="3239">
        <v>0</v>
      </c>
      <c r="W1321" s="3240">
        <v>0</v>
      </c>
    </row>
    <row r="1322" spans="15:23" x14ac:dyDescent="0.3">
      <c r="O1322" s="3239">
        <v>0</v>
      </c>
      <c r="W1322" s="3240">
        <v>0</v>
      </c>
    </row>
    <row r="1323" spans="15:23" x14ac:dyDescent="0.3">
      <c r="O1323" s="3239">
        <v>0</v>
      </c>
      <c r="W1323" s="3240">
        <v>0</v>
      </c>
    </row>
    <row r="1324" spans="15:23" x14ac:dyDescent="0.3">
      <c r="O1324" s="3239">
        <v>0</v>
      </c>
      <c r="W1324" s="3240">
        <v>0</v>
      </c>
    </row>
    <row r="1325" spans="15:23" x14ac:dyDescent="0.3">
      <c r="O1325" s="3239">
        <v>0</v>
      </c>
      <c r="W1325" s="3240">
        <v>0</v>
      </c>
    </row>
    <row r="1326" spans="15:23" x14ac:dyDescent="0.3">
      <c r="O1326" s="3239">
        <v>0</v>
      </c>
      <c r="W1326" s="3240">
        <v>0</v>
      </c>
    </row>
    <row r="1327" spans="15:23" x14ac:dyDescent="0.3">
      <c r="O1327" s="3239">
        <v>0</v>
      </c>
      <c r="W1327" s="3240">
        <v>0</v>
      </c>
    </row>
    <row r="1328" spans="15:23" x14ac:dyDescent="0.3">
      <c r="O1328" s="3239">
        <v>0</v>
      </c>
      <c r="W1328" s="3240">
        <v>0</v>
      </c>
    </row>
    <row r="1329" spans="15:23" x14ac:dyDescent="0.3">
      <c r="O1329" s="3239">
        <v>0</v>
      </c>
      <c r="W1329" s="3240">
        <v>0</v>
      </c>
    </row>
    <row r="1330" spans="15:23" x14ac:dyDescent="0.3">
      <c r="O1330" s="3239">
        <v>0</v>
      </c>
      <c r="W1330" s="3240">
        <v>0</v>
      </c>
    </row>
    <row r="1331" spans="15:23" x14ac:dyDescent="0.3">
      <c r="O1331" s="3239">
        <v>0</v>
      </c>
      <c r="W1331" s="3240">
        <v>0</v>
      </c>
    </row>
    <row r="1332" spans="15:23" x14ac:dyDescent="0.3">
      <c r="O1332" s="3239">
        <v>0</v>
      </c>
      <c r="W1332" s="3240">
        <v>0</v>
      </c>
    </row>
    <row r="1333" spans="15:23" x14ac:dyDescent="0.3">
      <c r="O1333" s="3239">
        <v>0</v>
      </c>
      <c r="W1333" s="3240">
        <v>0</v>
      </c>
    </row>
    <row r="1334" spans="15:23" x14ac:dyDescent="0.3">
      <c r="O1334" s="3239">
        <v>0</v>
      </c>
      <c r="W1334" s="3240">
        <v>0</v>
      </c>
    </row>
    <row r="1335" spans="15:23" x14ac:dyDescent="0.3">
      <c r="O1335" s="3239">
        <v>0</v>
      </c>
      <c r="W1335" s="3240">
        <v>0</v>
      </c>
    </row>
    <row r="1336" spans="15:23" x14ac:dyDescent="0.3">
      <c r="O1336" s="3239">
        <v>0</v>
      </c>
      <c r="W1336" s="3240">
        <v>0</v>
      </c>
    </row>
    <row r="1337" spans="15:23" x14ac:dyDescent="0.3">
      <c r="O1337" s="3239">
        <v>0</v>
      </c>
      <c r="W1337" s="3240">
        <v>0</v>
      </c>
    </row>
    <row r="1338" spans="15:23" x14ac:dyDescent="0.3">
      <c r="O1338" s="3239">
        <v>0</v>
      </c>
      <c r="W1338" s="3240">
        <v>0</v>
      </c>
    </row>
    <row r="1339" spans="15:23" x14ac:dyDescent="0.3">
      <c r="O1339" s="3239">
        <v>0</v>
      </c>
      <c r="W1339" s="3240">
        <v>0</v>
      </c>
    </row>
    <row r="1340" spans="15:23" x14ac:dyDescent="0.3">
      <c r="O1340" s="3239">
        <v>0</v>
      </c>
      <c r="W1340" s="3240">
        <v>0</v>
      </c>
    </row>
    <row r="1341" spans="15:23" x14ac:dyDescent="0.3">
      <c r="O1341" s="3239">
        <v>0</v>
      </c>
      <c r="W1341" s="3240">
        <v>0</v>
      </c>
    </row>
    <row r="1342" spans="15:23" x14ac:dyDescent="0.3">
      <c r="O1342" s="3239">
        <v>0</v>
      </c>
      <c r="W1342" s="3240">
        <v>0</v>
      </c>
    </row>
    <row r="1343" spans="15:23" x14ac:dyDescent="0.3">
      <c r="O1343" s="3239">
        <v>0</v>
      </c>
      <c r="W1343" s="3240">
        <v>0</v>
      </c>
    </row>
    <row r="1344" spans="15:23" x14ac:dyDescent="0.3">
      <c r="O1344" s="3239">
        <v>0</v>
      </c>
      <c r="W1344" s="3240">
        <v>0</v>
      </c>
    </row>
    <row r="1345" spans="15:23" x14ac:dyDescent="0.3">
      <c r="O1345" s="3239">
        <v>0</v>
      </c>
      <c r="W1345" s="3240">
        <v>0</v>
      </c>
    </row>
    <row r="1346" spans="15:23" x14ac:dyDescent="0.3">
      <c r="O1346" s="3239">
        <v>0</v>
      </c>
      <c r="W1346" s="3240">
        <v>0</v>
      </c>
    </row>
    <row r="1347" spans="15:23" x14ac:dyDescent="0.3">
      <c r="O1347" s="3239">
        <v>0</v>
      </c>
      <c r="W1347" s="3240">
        <v>0</v>
      </c>
    </row>
    <row r="1348" spans="15:23" x14ac:dyDescent="0.3">
      <c r="O1348" s="3239">
        <v>0</v>
      </c>
      <c r="W1348" s="3240">
        <v>0</v>
      </c>
    </row>
    <row r="1349" spans="15:23" x14ac:dyDescent="0.3">
      <c r="O1349" s="3239">
        <v>0</v>
      </c>
      <c r="W1349" s="3240">
        <v>0</v>
      </c>
    </row>
    <row r="1350" spans="15:23" x14ac:dyDescent="0.3">
      <c r="O1350" s="3239">
        <v>0</v>
      </c>
      <c r="W1350" s="3240">
        <v>0</v>
      </c>
    </row>
    <row r="1351" spans="15:23" x14ac:dyDescent="0.3">
      <c r="O1351" s="3239">
        <v>0</v>
      </c>
      <c r="W1351" s="3240">
        <v>0</v>
      </c>
    </row>
    <row r="1352" spans="15:23" x14ac:dyDescent="0.3">
      <c r="O1352" s="3239">
        <v>0</v>
      </c>
      <c r="W1352" s="3240">
        <v>0</v>
      </c>
    </row>
    <row r="1353" spans="15:23" x14ac:dyDescent="0.3">
      <c r="O1353" s="3239">
        <v>0</v>
      </c>
      <c r="W1353" s="3240">
        <v>0</v>
      </c>
    </row>
    <row r="1354" spans="15:23" x14ac:dyDescent="0.3">
      <c r="O1354" s="3239">
        <v>0</v>
      </c>
      <c r="W1354" s="3240">
        <v>0</v>
      </c>
    </row>
    <row r="1355" spans="15:23" x14ac:dyDescent="0.3">
      <c r="O1355" s="3239">
        <v>0</v>
      </c>
      <c r="W1355" s="3240">
        <v>0</v>
      </c>
    </row>
    <row r="1356" spans="15:23" x14ac:dyDescent="0.3">
      <c r="O1356" s="3239">
        <v>0</v>
      </c>
      <c r="W1356" s="3240">
        <v>0</v>
      </c>
    </row>
    <row r="1357" spans="15:23" x14ac:dyDescent="0.3">
      <c r="O1357" s="3239">
        <v>0</v>
      </c>
      <c r="W1357" s="3240">
        <v>0</v>
      </c>
    </row>
    <row r="1358" spans="15:23" x14ac:dyDescent="0.3">
      <c r="O1358" s="3239">
        <v>0</v>
      </c>
      <c r="W1358" s="3240">
        <v>0</v>
      </c>
    </row>
    <row r="1359" spans="15:23" x14ac:dyDescent="0.3">
      <c r="O1359" s="3239">
        <v>0</v>
      </c>
      <c r="W1359" s="3240">
        <v>0</v>
      </c>
    </row>
    <row r="1360" spans="15:23" x14ac:dyDescent="0.3">
      <c r="O1360" s="3239">
        <v>0</v>
      </c>
      <c r="W1360" s="3240">
        <v>0</v>
      </c>
    </row>
    <row r="1361" spans="15:23" x14ac:dyDescent="0.3">
      <c r="O1361" s="3239">
        <v>0</v>
      </c>
      <c r="W1361" s="3240">
        <v>0</v>
      </c>
    </row>
    <row r="1362" spans="15:23" x14ac:dyDescent="0.3">
      <c r="O1362" s="3239">
        <v>0</v>
      </c>
      <c r="W1362" s="3240">
        <v>0</v>
      </c>
    </row>
    <row r="1363" spans="15:23" x14ac:dyDescent="0.3">
      <c r="O1363" s="3239">
        <v>0</v>
      </c>
      <c r="W1363" s="3240">
        <v>0</v>
      </c>
    </row>
    <row r="1364" spans="15:23" x14ac:dyDescent="0.3">
      <c r="O1364" s="3239">
        <v>0</v>
      </c>
      <c r="W1364" s="3240">
        <v>0</v>
      </c>
    </row>
    <row r="1365" spans="15:23" x14ac:dyDescent="0.3">
      <c r="O1365" s="3239">
        <v>0</v>
      </c>
      <c r="W1365" s="3240">
        <v>0</v>
      </c>
    </row>
    <row r="1366" spans="15:23" x14ac:dyDescent="0.3">
      <c r="O1366" s="3239">
        <v>0</v>
      </c>
      <c r="W1366" s="3240">
        <v>0</v>
      </c>
    </row>
    <row r="1367" spans="15:23" x14ac:dyDescent="0.3">
      <c r="O1367" s="3239">
        <v>0</v>
      </c>
      <c r="W1367" s="3240">
        <v>0</v>
      </c>
    </row>
    <row r="1368" spans="15:23" x14ac:dyDescent="0.3">
      <c r="O1368" s="3239">
        <v>0</v>
      </c>
      <c r="W1368" s="3240">
        <v>0</v>
      </c>
    </row>
    <row r="1369" spans="15:23" x14ac:dyDescent="0.3">
      <c r="O1369" s="3239">
        <v>0</v>
      </c>
      <c r="W1369" s="3240">
        <v>0</v>
      </c>
    </row>
    <row r="1370" spans="15:23" x14ac:dyDescent="0.3">
      <c r="O1370" s="3239">
        <v>0</v>
      </c>
      <c r="W1370" s="3240">
        <v>0</v>
      </c>
    </row>
    <row r="1371" spans="15:23" x14ac:dyDescent="0.3">
      <c r="O1371" s="3239">
        <v>0</v>
      </c>
      <c r="W1371" s="3240">
        <v>0</v>
      </c>
    </row>
    <row r="1372" spans="15:23" x14ac:dyDescent="0.3">
      <c r="O1372" s="3239">
        <v>0</v>
      </c>
      <c r="W1372" s="3240">
        <v>0</v>
      </c>
    </row>
    <row r="1373" spans="15:23" x14ac:dyDescent="0.3">
      <c r="O1373" s="3239">
        <v>0</v>
      </c>
      <c r="W1373" s="3240">
        <v>0</v>
      </c>
    </row>
    <row r="1374" spans="15:23" x14ac:dyDescent="0.3">
      <c r="O1374" s="3239">
        <v>0</v>
      </c>
      <c r="W1374" s="3240">
        <v>0</v>
      </c>
    </row>
    <row r="1375" spans="15:23" x14ac:dyDescent="0.3">
      <c r="O1375" s="3239">
        <v>0</v>
      </c>
      <c r="W1375" s="3240">
        <v>0</v>
      </c>
    </row>
    <row r="1376" spans="15:23" x14ac:dyDescent="0.3">
      <c r="O1376" s="3239">
        <v>0</v>
      </c>
      <c r="W1376" s="3240">
        <v>0</v>
      </c>
    </row>
    <row r="1377" spans="15:23" x14ac:dyDescent="0.3">
      <c r="O1377" s="3239">
        <v>0</v>
      </c>
      <c r="W1377" s="3240">
        <v>0</v>
      </c>
    </row>
    <row r="1378" spans="15:23" x14ac:dyDescent="0.3">
      <c r="O1378" s="3239">
        <v>0</v>
      </c>
      <c r="W1378" s="3240">
        <v>0</v>
      </c>
    </row>
    <row r="1379" spans="15:23" x14ac:dyDescent="0.3">
      <c r="O1379" s="3239">
        <v>0</v>
      </c>
      <c r="W1379" s="3240">
        <v>0</v>
      </c>
    </row>
    <row r="1380" spans="15:23" x14ac:dyDescent="0.3">
      <c r="O1380" s="3239">
        <v>0</v>
      </c>
      <c r="W1380" s="3240">
        <v>0</v>
      </c>
    </row>
    <row r="1381" spans="15:23" x14ac:dyDescent="0.3">
      <c r="O1381" s="3239">
        <v>0</v>
      </c>
      <c r="W1381" s="3240">
        <v>0</v>
      </c>
    </row>
    <row r="1382" spans="15:23" x14ac:dyDescent="0.3">
      <c r="O1382" s="3239">
        <v>0</v>
      </c>
      <c r="W1382" s="3240">
        <v>0</v>
      </c>
    </row>
    <row r="1383" spans="15:23" x14ac:dyDescent="0.3">
      <c r="O1383" s="3239">
        <v>0</v>
      </c>
      <c r="W1383" s="3240">
        <v>0</v>
      </c>
    </row>
    <row r="1384" spans="15:23" x14ac:dyDescent="0.3">
      <c r="O1384" s="3239">
        <v>0</v>
      </c>
      <c r="W1384" s="3240">
        <v>0</v>
      </c>
    </row>
    <row r="1385" spans="15:23" x14ac:dyDescent="0.3">
      <c r="O1385" s="3239">
        <v>0</v>
      </c>
      <c r="W1385" s="3240">
        <v>0</v>
      </c>
    </row>
    <row r="1386" spans="15:23" x14ac:dyDescent="0.3">
      <c r="O1386" s="3239">
        <v>0</v>
      </c>
      <c r="W1386" s="3240">
        <v>0</v>
      </c>
    </row>
    <row r="1387" spans="15:23" x14ac:dyDescent="0.3">
      <c r="O1387" s="3239">
        <v>0</v>
      </c>
      <c r="W1387" s="3240">
        <v>0</v>
      </c>
    </row>
    <row r="1388" spans="15:23" x14ac:dyDescent="0.3">
      <c r="O1388" s="3239">
        <v>0</v>
      </c>
      <c r="W1388" s="3240">
        <v>0</v>
      </c>
    </row>
    <row r="1389" spans="15:23" x14ac:dyDescent="0.3">
      <c r="O1389" s="3239">
        <v>0</v>
      </c>
      <c r="W1389" s="3240">
        <v>0</v>
      </c>
    </row>
    <row r="1390" spans="15:23" x14ac:dyDescent="0.3">
      <c r="O1390" s="3239">
        <v>0</v>
      </c>
      <c r="W1390" s="3240">
        <v>0</v>
      </c>
    </row>
    <row r="1391" spans="15:23" x14ac:dyDescent="0.3">
      <c r="O1391" s="3239">
        <v>0</v>
      </c>
      <c r="W1391" s="3240">
        <v>0</v>
      </c>
    </row>
    <row r="1392" spans="15:23" x14ac:dyDescent="0.3">
      <c r="O1392" s="3239">
        <v>0</v>
      </c>
      <c r="W1392" s="3240">
        <v>0</v>
      </c>
    </row>
    <row r="1393" spans="15:23" x14ac:dyDescent="0.3">
      <c r="O1393" s="3239">
        <v>0</v>
      </c>
      <c r="W1393" s="3240">
        <v>0</v>
      </c>
    </row>
    <row r="1394" spans="15:23" x14ac:dyDescent="0.3">
      <c r="O1394" s="3239">
        <v>0</v>
      </c>
      <c r="W1394" s="3240">
        <v>0</v>
      </c>
    </row>
    <row r="1395" spans="15:23" x14ac:dyDescent="0.3">
      <c r="O1395" s="3239">
        <v>0</v>
      </c>
      <c r="W1395" s="3240">
        <v>0</v>
      </c>
    </row>
    <row r="1396" spans="15:23" x14ac:dyDescent="0.3">
      <c r="O1396" s="3239">
        <v>0</v>
      </c>
      <c r="W1396" s="3240">
        <v>0</v>
      </c>
    </row>
    <row r="1397" spans="15:23" x14ac:dyDescent="0.3">
      <c r="O1397" s="3239">
        <v>0</v>
      </c>
      <c r="W1397" s="3240">
        <v>0</v>
      </c>
    </row>
    <row r="1398" spans="15:23" x14ac:dyDescent="0.3">
      <c r="O1398" s="3239">
        <v>0</v>
      </c>
      <c r="W1398" s="3240">
        <v>0</v>
      </c>
    </row>
    <row r="1399" spans="15:23" x14ac:dyDescent="0.3">
      <c r="O1399" s="3239">
        <v>0</v>
      </c>
      <c r="W1399" s="3240">
        <v>0</v>
      </c>
    </row>
    <row r="1400" spans="15:23" x14ac:dyDescent="0.3">
      <c r="O1400" s="3239">
        <v>0</v>
      </c>
      <c r="W1400" s="3240">
        <v>0</v>
      </c>
    </row>
    <row r="1401" spans="15:23" x14ac:dyDescent="0.3">
      <c r="O1401" s="3239">
        <v>0</v>
      </c>
      <c r="W1401" s="3240">
        <v>0</v>
      </c>
    </row>
    <row r="1402" spans="15:23" x14ac:dyDescent="0.3">
      <c r="O1402" s="3239">
        <v>0</v>
      </c>
      <c r="W1402" s="3240">
        <v>0</v>
      </c>
    </row>
    <row r="1403" spans="15:23" x14ac:dyDescent="0.3">
      <c r="O1403" s="3239">
        <v>0</v>
      </c>
      <c r="W1403" s="3240">
        <v>0</v>
      </c>
    </row>
    <row r="1404" spans="15:23" x14ac:dyDescent="0.3">
      <c r="O1404" s="3239">
        <v>0</v>
      </c>
      <c r="W1404" s="3240">
        <v>0</v>
      </c>
    </row>
    <row r="1405" spans="15:23" x14ac:dyDescent="0.3">
      <c r="O1405" s="3239">
        <v>0</v>
      </c>
      <c r="W1405" s="3240">
        <v>0</v>
      </c>
    </row>
    <row r="1406" spans="15:23" x14ac:dyDescent="0.3">
      <c r="O1406" s="3239">
        <v>0</v>
      </c>
      <c r="W1406" s="3240">
        <v>0</v>
      </c>
    </row>
    <row r="1407" spans="15:23" x14ac:dyDescent="0.3">
      <c r="O1407" s="3239">
        <v>0</v>
      </c>
      <c r="W1407" s="3240">
        <v>0</v>
      </c>
    </row>
    <row r="1408" spans="15:23" x14ac:dyDescent="0.3">
      <c r="O1408" s="3239">
        <v>0</v>
      </c>
      <c r="W1408" s="3240">
        <v>0</v>
      </c>
    </row>
    <row r="1409" spans="15:23" x14ac:dyDescent="0.3">
      <c r="O1409" s="3239">
        <v>0</v>
      </c>
      <c r="W1409" s="3240">
        <v>0</v>
      </c>
    </row>
    <row r="1410" spans="15:23" x14ac:dyDescent="0.3">
      <c r="O1410" s="3239">
        <v>0</v>
      </c>
      <c r="W1410" s="3240">
        <v>0</v>
      </c>
    </row>
    <row r="1411" spans="15:23" x14ac:dyDescent="0.3">
      <c r="O1411" s="3239">
        <v>0</v>
      </c>
      <c r="W1411" s="3240">
        <v>0</v>
      </c>
    </row>
    <row r="1412" spans="15:23" x14ac:dyDescent="0.3">
      <c r="O1412" s="3239">
        <v>0</v>
      </c>
      <c r="W1412" s="3240">
        <v>0</v>
      </c>
    </row>
    <row r="1413" spans="15:23" x14ac:dyDescent="0.3">
      <c r="O1413" s="3239">
        <v>0</v>
      </c>
      <c r="W1413" s="3240">
        <v>0</v>
      </c>
    </row>
    <row r="1414" spans="15:23" x14ac:dyDescent="0.3">
      <c r="O1414" s="3239">
        <v>0</v>
      </c>
      <c r="W1414" s="3240">
        <v>0</v>
      </c>
    </row>
    <row r="1415" spans="15:23" x14ac:dyDescent="0.3">
      <c r="O1415" s="3239">
        <v>0</v>
      </c>
      <c r="W1415" s="3240">
        <v>0</v>
      </c>
    </row>
    <row r="1416" spans="15:23" x14ac:dyDescent="0.3">
      <c r="O1416" s="3239">
        <v>0</v>
      </c>
      <c r="W1416" s="3240">
        <v>0</v>
      </c>
    </row>
    <row r="1417" spans="15:23" x14ac:dyDescent="0.3">
      <c r="O1417" s="3239">
        <v>0</v>
      </c>
      <c r="W1417" s="3240">
        <v>0</v>
      </c>
    </row>
    <row r="1418" spans="15:23" x14ac:dyDescent="0.3">
      <c r="O1418" s="3239">
        <v>0</v>
      </c>
      <c r="W1418" s="3240">
        <v>0</v>
      </c>
    </row>
    <row r="1419" spans="15:23" x14ac:dyDescent="0.3">
      <c r="O1419" s="3239">
        <v>0</v>
      </c>
      <c r="W1419" s="3240">
        <v>0</v>
      </c>
    </row>
    <row r="1420" spans="15:23" x14ac:dyDescent="0.3">
      <c r="O1420" s="3239">
        <v>0</v>
      </c>
      <c r="W1420" s="3240">
        <v>0</v>
      </c>
    </row>
    <row r="1421" spans="15:23" x14ac:dyDescent="0.3">
      <c r="O1421" s="3239">
        <v>0</v>
      </c>
      <c r="W1421" s="3240">
        <v>0</v>
      </c>
    </row>
    <row r="1422" spans="15:23" x14ac:dyDescent="0.3">
      <c r="O1422" s="3239">
        <v>0</v>
      </c>
      <c r="W1422" s="3240">
        <v>0</v>
      </c>
    </row>
    <row r="1423" spans="15:23" x14ac:dyDescent="0.3">
      <c r="O1423" s="3239">
        <v>0</v>
      </c>
      <c r="W1423" s="3240">
        <v>0</v>
      </c>
    </row>
    <row r="1424" spans="15:23" x14ac:dyDescent="0.3">
      <c r="O1424" s="3239">
        <v>0</v>
      </c>
      <c r="W1424" s="3240">
        <v>0</v>
      </c>
    </row>
    <row r="1425" spans="15:23" x14ac:dyDescent="0.3">
      <c r="O1425" s="3239">
        <v>0</v>
      </c>
      <c r="W1425" s="3240">
        <v>0</v>
      </c>
    </row>
    <row r="1426" spans="15:23" x14ac:dyDescent="0.3">
      <c r="O1426" s="3239">
        <v>0</v>
      </c>
      <c r="W1426" s="3240">
        <v>0</v>
      </c>
    </row>
    <row r="1427" spans="15:23" x14ac:dyDescent="0.3">
      <c r="O1427" s="3239">
        <v>0</v>
      </c>
      <c r="W1427" s="3240">
        <v>0</v>
      </c>
    </row>
    <row r="1428" spans="15:23" x14ac:dyDescent="0.3">
      <c r="O1428" s="3239">
        <v>0</v>
      </c>
      <c r="W1428" s="3240">
        <v>0</v>
      </c>
    </row>
    <row r="1429" spans="15:23" x14ac:dyDescent="0.3">
      <c r="O1429" s="3239">
        <v>0</v>
      </c>
      <c r="W1429" s="3240">
        <v>0</v>
      </c>
    </row>
    <row r="1430" spans="15:23" x14ac:dyDescent="0.3">
      <c r="O1430" s="3239">
        <v>0</v>
      </c>
      <c r="W1430" s="3240">
        <v>0</v>
      </c>
    </row>
    <row r="1431" spans="15:23" x14ac:dyDescent="0.3">
      <c r="O1431" s="3239">
        <v>0</v>
      </c>
      <c r="W1431" s="3240">
        <v>0</v>
      </c>
    </row>
    <row r="1432" spans="15:23" x14ac:dyDescent="0.3">
      <c r="O1432" s="3239">
        <v>0</v>
      </c>
      <c r="W1432" s="3240">
        <v>0</v>
      </c>
    </row>
    <row r="1433" spans="15:23" x14ac:dyDescent="0.3">
      <c r="O1433" s="3239">
        <v>0</v>
      </c>
      <c r="W1433" s="3240">
        <v>0</v>
      </c>
    </row>
    <row r="1434" spans="15:23" x14ac:dyDescent="0.3">
      <c r="O1434" s="3239">
        <v>0</v>
      </c>
      <c r="W1434" s="3240">
        <v>0</v>
      </c>
    </row>
    <row r="1435" spans="15:23" x14ac:dyDescent="0.3">
      <c r="O1435" s="3239">
        <v>0</v>
      </c>
      <c r="W1435" s="3240">
        <v>0</v>
      </c>
    </row>
    <row r="1436" spans="15:23" x14ac:dyDescent="0.3">
      <c r="O1436" s="3239">
        <v>0</v>
      </c>
      <c r="W1436" s="3240">
        <v>0</v>
      </c>
    </row>
    <row r="1437" spans="15:23" x14ac:dyDescent="0.3">
      <c r="O1437" s="3239">
        <v>0</v>
      </c>
      <c r="W1437" s="3240">
        <v>0</v>
      </c>
    </row>
    <row r="1438" spans="15:23" x14ac:dyDescent="0.3">
      <c r="O1438" s="3239">
        <v>0</v>
      </c>
      <c r="W1438" s="3240">
        <v>0</v>
      </c>
    </row>
    <row r="1439" spans="15:23" x14ac:dyDescent="0.3">
      <c r="O1439" s="3239">
        <v>0</v>
      </c>
      <c r="W1439" s="3240">
        <v>0</v>
      </c>
    </row>
    <row r="1440" spans="15:23" x14ac:dyDescent="0.3">
      <c r="O1440" s="3239">
        <v>0</v>
      </c>
      <c r="W1440" s="3240">
        <v>0</v>
      </c>
    </row>
    <row r="1441" spans="15:23" x14ac:dyDescent="0.3">
      <c r="O1441" s="3239">
        <v>0</v>
      </c>
      <c r="W1441" s="3240">
        <v>0</v>
      </c>
    </row>
    <row r="1442" spans="15:23" x14ac:dyDescent="0.3">
      <c r="O1442" s="3239">
        <v>0</v>
      </c>
      <c r="W1442" s="3240">
        <v>0</v>
      </c>
    </row>
    <row r="1443" spans="15:23" x14ac:dyDescent="0.3">
      <c r="O1443" s="3239">
        <v>0</v>
      </c>
      <c r="W1443" s="3240">
        <v>0</v>
      </c>
    </row>
    <row r="1444" spans="15:23" x14ac:dyDescent="0.3">
      <c r="O1444" s="3239">
        <v>0</v>
      </c>
      <c r="W1444" s="3240">
        <v>0</v>
      </c>
    </row>
    <row r="1445" spans="15:23" x14ac:dyDescent="0.3">
      <c r="O1445" s="3239">
        <v>0</v>
      </c>
      <c r="W1445" s="3240">
        <v>0</v>
      </c>
    </row>
    <row r="1446" spans="15:23" x14ac:dyDescent="0.3">
      <c r="O1446" s="3239">
        <v>0</v>
      </c>
      <c r="W1446" s="3240">
        <v>0</v>
      </c>
    </row>
    <row r="1447" spans="15:23" x14ac:dyDescent="0.3">
      <c r="O1447" s="3239">
        <v>0</v>
      </c>
      <c r="W1447" s="3240">
        <v>0</v>
      </c>
    </row>
    <row r="1448" spans="15:23" x14ac:dyDescent="0.3">
      <c r="O1448" s="3239">
        <v>0</v>
      </c>
      <c r="W1448" s="3240">
        <v>0</v>
      </c>
    </row>
    <row r="1449" spans="15:23" x14ac:dyDescent="0.3">
      <c r="O1449" s="3239">
        <v>0</v>
      </c>
      <c r="W1449" s="3240">
        <v>0</v>
      </c>
    </row>
    <row r="1450" spans="15:23" x14ac:dyDescent="0.3">
      <c r="O1450" s="3239">
        <v>0</v>
      </c>
      <c r="W1450" s="3240">
        <v>0</v>
      </c>
    </row>
    <row r="1451" spans="15:23" x14ac:dyDescent="0.3">
      <c r="O1451" s="3239">
        <v>0</v>
      </c>
      <c r="W1451" s="3240">
        <v>0</v>
      </c>
    </row>
    <row r="1452" spans="15:23" x14ac:dyDescent="0.3">
      <c r="O1452" s="3239">
        <v>0</v>
      </c>
      <c r="W1452" s="3240">
        <v>0</v>
      </c>
    </row>
    <row r="1453" spans="15:23" x14ac:dyDescent="0.3">
      <c r="O1453" s="3239">
        <v>0</v>
      </c>
      <c r="W1453" s="3240">
        <v>0</v>
      </c>
    </row>
    <row r="1454" spans="15:23" x14ac:dyDescent="0.3">
      <c r="O1454" s="3239">
        <v>0</v>
      </c>
      <c r="W1454" s="3240">
        <v>0</v>
      </c>
    </row>
    <row r="1455" spans="15:23" x14ac:dyDescent="0.3">
      <c r="O1455" s="3239">
        <v>0</v>
      </c>
      <c r="W1455" s="3240">
        <v>0</v>
      </c>
    </row>
    <row r="1456" spans="15:23" x14ac:dyDescent="0.3">
      <c r="O1456" s="3239">
        <v>0</v>
      </c>
      <c r="W1456" s="3240">
        <v>0</v>
      </c>
    </row>
    <row r="1457" spans="15:23" x14ac:dyDescent="0.3">
      <c r="O1457" s="3239">
        <v>0</v>
      </c>
      <c r="W1457" s="3240">
        <v>0</v>
      </c>
    </row>
    <row r="1458" spans="15:23" x14ac:dyDescent="0.3">
      <c r="O1458" s="3239">
        <v>0</v>
      </c>
      <c r="W1458" s="3240">
        <v>0</v>
      </c>
    </row>
    <row r="1459" spans="15:23" x14ac:dyDescent="0.3">
      <c r="O1459" s="3239">
        <v>0</v>
      </c>
      <c r="W1459" s="3240">
        <v>0</v>
      </c>
    </row>
    <row r="1460" spans="15:23" x14ac:dyDescent="0.3">
      <c r="O1460" s="3239">
        <v>0</v>
      </c>
      <c r="W1460" s="3240">
        <v>0</v>
      </c>
    </row>
    <row r="1461" spans="15:23" x14ac:dyDescent="0.3">
      <c r="O1461" s="3239">
        <v>0</v>
      </c>
      <c r="W1461" s="3240">
        <v>0</v>
      </c>
    </row>
    <row r="1462" spans="15:23" x14ac:dyDescent="0.3">
      <c r="O1462" s="3239">
        <v>0</v>
      </c>
      <c r="W1462" s="3240">
        <v>0</v>
      </c>
    </row>
    <row r="1463" spans="15:23" x14ac:dyDescent="0.3">
      <c r="O1463" s="3239">
        <v>0</v>
      </c>
      <c r="W1463" s="3240">
        <v>0</v>
      </c>
    </row>
    <row r="1464" spans="15:23" x14ac:dyDescent="0.3">
      <c r="O1464" s="3239">
        <v>0</v>
      </c>
      <c r="W1464" s="3240">
        <v>0</v>
      </c>
    </row>
    <row r="1465" spans="15:23" x14ac:dyDescent="0.3">
      <c r="O1465" s="3239">
        <v>0</v>
      </c>
      <c r="W1465" s="3240">
        <v>0</v>
      </c>
    </row>
    <row r="1466" spans="15:23" x14ac:dyDescent="0.3">
      <c r="O1466" s="3239">
        <v>0</v>
      </c>
      <c r="W1466" s="3240">
        <v>0</v>
      </c>
    </row>
    <row r="1467" spans="15:23" x14ac:dyDescent="0.3">
      <c r="O1467" s="3239">
        <v>0</v>
      </c>
      <c r="W1467" s="3240">
        <v>0</v>
      </c>
    </row>
    <row r="1468" spans="15:23" x14ac:dyDescent="0.3">
      <c r="O1468" s="3239">
        <v>0</v>
      </c>
      <c r="W1468" s="3240">
        <v>0</v>
      </c>
    </row>
    <row r="1469" spans="15:23" x14ac:dyDescent="0.3">
      <c r="O1469" s="3239">
        <v>0</v>
      </c>
      <c r="W1469" s="3240">
        <v>0</v>
      </c>
    </row>
    <row r="1470" spans="15:23" x14ac:dyDescent="0.3">
      <c r="O1470" s="3239">
        <v>0</v>
      </c>
      <c r="W1470" s="3240">
        <v>0</v>
      </c>
    </row>
    <row r="1471" spans="15:23" x14ac:dyDescent="0.3">
      <c r="O1471" s="3239">
        <v>0</v>
      </c>
      <c r="W1471" s="3240">
        <v>0</v>
      </c>
    </row>
    <row r="1472" spans="15:23" x14ac:dyDescent="0.3">
      <c r="O1472" s="3239">
        <v>0</v>
      </c>
      <c r="W1472" s="3240">
        <v>0</v>
      </c>
    </row>
    <row r="1473" spans="15:23" x14ac:dyDescent="0.3">
      <c r="O1473" s="3239">
        <v>0</v>
      </c>
      <c r="W1473" s="3240">
        <v>0</v>
      </c>
    </row>
    <row r="1474" spans="15:23" x14ac:dyDescent="0.3">
      <c r="O1474" s="3239">
        <v>0</v>
      </c>
      <c r="W1474" s="3240">
        <v>0</v>
      </c>
    </row>
    <row r="1475" spans="15:23" x14ac:dyDescent="0.3">
      <c r="O1475" s="3239">
        <v>0</v>
      </c>
      <c r="W1475" s="3240">
        <v>0</v>
      </c>
    </row>
    <row r="1476" spans="15:23" x14ac:dyDescent="0.3">
      <c r="O1476" s="3239">
        <v>0</v>
      </c>
      <c r="W1476" s="3240">
        <v>0</v>
      </c>
    </row>
    <row r="1477" spans="15:23" x14ac:dyDescent="0.3">
      <c r="O1477" s="3239">
        <v>0</v>
      </c>
      <c r="W1477" s="3240">
        <v>0</v>
      </c>
    </row>
    <row r="1478" spans="15:23" x14ac:dyDescent="0.3">
      <c r="O1478" s="3239">
        <v>0</v>
      </c>
      <c r="W1478" s="3240">
        <v>0</v>
      </c>
    </row>
    <row r="1479" spans="15:23" x14ac:dyDescent="0.3">
      <c r="O1479" s="3239">
        <v>0</v>
      </c>
      <c r="W1479" s="3240">
        <v>0</v>
      </c>
    </row>
    <row r="1480" spans="15:23" x14ac:dyDescent="0.3">
      <c r="O1480" s="3239">
        <v>0</v>
      </c>
      <c r="W1480" s="3240">
        <v>0</v>
      </c>
    </row>
    <row r="1481" spans="15:23" x14ac:dyDescent="0.3">
      <c r="O1481" s="3239">
        <v>0</v>
      </c>
      <c r="W1481" s="3240">
        <v>0</v>
      </c>
    </row>
    <row r="1482" spans="15:23" x14ac:dyDescent="0.3">
      <c r="O1482" s="3239">
        <v>0</v>
      </c>
      <c r="W1482" s="3240">
        <v>0</v>
      </c>
    </row>
    <row r="1483" spans="15:23" x14ac:dyDescent="0.3">
      <c r="O1483" s="3239">
        <v>0</v>
      </c>
      <c r="W1483" s="3240">
        <v>0</v>
      </c>
    </row>
    <row r="1484" spans="15:23" x14ac:dyDescent="0.3">
      <c r="O1484" s="3239">
        <v>0</v>
      </c>
      <c r="W1484" s="3240">
        <v>0</v>
      </c>
    </row>
    <row r="1485" spans="15:23" x14ac:dyDescent="0.3">
      <c r="O1485" s="3239">
        <v>0</v>
      </c>
      <c r="W1485" s="3240">
        <v>0</v>
      </c>
    </row>
    <row r="1486" spans="15:23" x14ac:dyDescent="0.3">
      <c r="O1486" s="3239">
        <v>0</v>
      </c>
      <c r="W1486" s="3240">
        <v>0</v>
      </c>
    </row>
    <row r="1487" spans="15:23" x14ac:dyDescent="0.3">
      <c r="O1487" s="3239">
        <v>0</v>
      </c>
      <c r="W1487" s="3240">
        <v>0</v>
      </c>
    </row>
    <row r="1488" spans="15:23" x14ac:dyDescent="0.3">
      <c r="O1488" s="3239">
        <v>0</v>
      </c>
      <c r="W1488" s="3240">
        <v>0</v>
      </c>
    </row>
    <row r="1489" spans="15:23" x14ac:dyDescent="0.3">
      <c r="O1489" s="3239">
        <v>0</v>
      </c>
      <c r="W1489" s="3240">
        <v>0</v>
      </c>
    </row>
    <row r="1490" spans="15:23" x14ac:dyDescent="0.3">
      <c r="O1490" s="3239">
        <v>0</v>
      </c>
      <c r="W1490" s="3240">
        <v>0</v>
      </c>
    </row>
    <row r="1491" spans="15:23" x14ac:dyDescent="0.3">
      <c r="O1491" s="3239">
        <v>0</v>
      </c>
      <c r="W1491" s="3240">
        <v>0</v>
      </c>
    </row>
    <row r="1492" spans="15:23" x14ac:dyDescent="0.3">
      <c r="O1492" s="3239">
        <v>0</v>
      </c>
      <c r="W1492" s="3240">
        <v>0</v>
      </c>
    </row>
    <row r="1493" spans="15:23" x14ac:dyDescent="0.3">
      <c r="O1493" s="3239">
        <v>0</v>
      </c>
      <c r="W1493" s="3240">
        <v>0</v>
      </c>
    </row>
    <row r="1494" spans="15:23" x14ac:dyDescent="0.3">
      <c r="O1494" s="3239">
        <v>0</v>
      </c>
      <c r="W1494" s="3240">
        <v>0</v>
      </c>
    </row>
    <row r="1495" spans="15:23" x14ac:dyDescent="0.3">
      <c r="O1495" s="3239">
        <v>0</v>
      </c>
      <c r="W1495" s="3240">
        <v>0</v>
      </c>
    </row>
    <row r="1496" spans="15:23" x14ac:dyDescent="0.3">
      <c r="O1496" s="3239">
        <v>0</v>
      </c>
      <c r="W1496" s="3240">
        <v>0</v>
      </c>
    </row>
    <row r="1497" spans="15:23" x14ac:dyDescent="0.3">
      <c r="O1497" s="3239">
        <v>0</v>
      </c>
      <c r="W1497" s="3240">
        <v>0</v>
      </c>
    </row>
    <row r="1498" spans="15:23" x14ac:dyDescent="0.3">
      <c r="O1498" s="3239">
        <v>0</v>
      </c>
      <c r="W1498" s="3240">
        <v>0</v>
      </c>
    </row>
    <row r="1499" spans="15:23" x14ac:dyDescent="0.3">
      <c r="O1499" s="3239">
        <v>0</v>
      </c>
      <c r="W1499" s="3240">
        <v>0</v>
      </c>
    </row>
    <row r="1500" spans="15:23" x14ac:dyDescent="0.3">
      <c r="O1500" s="3239">
        <v>0</v>
      </c>
      <c r="W1500" s="3240">
        <v>0</v>
      </c>
    </row>
    <row r="1501" spans="15:23" x14ac:dyDescent="0.3">
      <c r="O1501" s="3239">
        <v>0</v>
      </c>
      <c r="W1501" s="3240">
        <v>0</v>
      </c>
    </row>
    <row r="1502" spans="15:23" x14ac:dyDescent="0.3">
      <c r="O1502" s="3239">
        <v>0</v>
      </c>
      <c r="W1502" s="3240">
        <v>0</v>
      </c>
    </row>
    <row r="1503" spans="15:23" x14ac:dyDescent="0.3">
      <c r="O1503" s="3239">
        <v>0</v>
      </c>
      <c r="W1503" s="3240">
        <v>0</v>
      </c>
    </row>
    <row r="1504" spans="15:23" x14ac:dyDescent="0.3">
      <c r="O1504" s="3239">
        <v>0</v>
      </c>
      <c r="W1504" s="3240">
        <v>0</v>
      </c>
    </row>
    <row r="1505" spans="15:23" x14ac:dyDescent="0.3">
      <c r="O1505" s="3239">
        <v>0</v>
      </c>
      <c r="W1505" s="3240">
        <v>0</v>
      </c>
    </row>
    <row r="1506" spans="15:23" x14ac:dyDescent="0.3">
      <c r="O1506" s="3239">
        <v>0</v>
      </c>
      <c r="W1506" s="3240">
        <v>0</v>
      </c>
    </row>
    <row r="1507" spans="15:23" x14ac:dyDescent="0.3">
      <c r="O1507" s="3239">
        <v>0</v>
      </c>
      <c r="W1507" s="3240">
        <v>0</v>
      </c>
    </row>
    <row r="1508" spans="15:23" x14ac:dyDescent="0.3">
      <c r="O1508" s="3239">
        <v>0</v>
      </c>
      <c r="W1508" s="3240">
        <v>0</v>
      </c>
    </row>
    <row r="1509" spans="15:23" x14ac:dyDescent="0.3">
      <c r="O1509" s="3239">
        <v>0</v>
      </c>
      <c r="W1509" s="3240">
        <v>0</v>
      </c>
    </row>
    <row r="1510" spans="15:23" x14ac:dyDescent="0.3">
      <c r="O1510" s="3239">
        <v>0</v>
      </c>
      <c r="W1510" s="3240">
        <v>0</v>
      </c>
    </row>
    <row r="1511" spans="15:23" x14ac:dyDescent="0.3">
      <c r="O1511" s="3239">
        <v>0</v>
      </c>
      <c r="W1511" s="3240">
        <v>0</v>
      </c>
    </row>
    <row r="1512" spans="15:23" x14ac:dyDescent="0.3">
      <c r="O1512" s="3239">
        <v>0</v>
      </c>
      <c r="W1512" s="3240">
        <v>0</v>
      </c>
    </row>
    <row r="1513" spans="15:23" x14ac:dyDescent="0.3">
      <c r="O1513" s="3239">
        <v>0</v>
      </c>
      <c r="W1513" s="3240">
        <v>0</v>
      </c>
    </row>
    <row r="1514" spans="15:23" x14ac:dyDescent="0.3">
      <c r="O1514" s="3239">
        <v>0</v>
      </c>
      <c r="W1514" s="3240">
        <v>0</v>
      </c>
    </row>
    <row r="1515" spans="15:23" x14ac:dyDescent="0.3">
      <c r="O1515" s="3239">
        <v>0</v>
      </c>
      <c r="W1515" s="3240">
        <v>0</v>
      </c>
    </row>
    <row r="1516" spans="15:23" x14ac:dyDescent="0.3">
      <c r="O1516" s="3239">
        <v>0</v>
      </c>
      <c r="W1516" s="3240">
        <v>0</v>
      </c>
    </row>
    <row r="1517" spans="15:23" x14ac:dyDescent="0.3">
      <c r="O1517" s="3239">
        <v>0</v>
      </c>
      <c r="W1517" s="3240">
        <v>0</v>
      </c>
    </row>
    <row r="1518" spans="15:23" x14ac:dyDescent="0.3">
      <c r="O1518" s="3239">
        <v>0</v>
      </c>
      <c r="W1518" s="3240">
        <v>0</v>
      </c>
    </row>
    <row r="1519" spans="15:23" x14ac:dyDescent="0.3">
      <c r="O1519" s="3239">
        <v>0</v>
      </c>
      <c r="W1519" s="3240">
        <v>0</v>
      </c>
    </row>
    <row r="1520" spans="15:23" x14ac:dyDescent="0.3">
      <c r="O1520" s="3239">
        <v>0</v>
      </c>
      <c r="W1520" s="3240">
        <v>0</v>
      </c>
    </row>
    <row r="1521" spans="15:23" x14ac:dyDescent="0.3">
      <c r="O1521" s="3239">
        <v>0</v>
      </c>
      <c r="W1521" s="3240">
        <v>0</v>
      </c>
    </row>
    <row r="1522" spans="15:23" x14ac:dyDescent="0.3">
      <c r="O1522" s="3239">
        <v>0</v>
      </c>
      <c r="W1522" s="3240">
        <v>0</v>
      </c>
    </row>
    <row r="1523" spans="15:23" x14ac:dyDescent="0.3">
      <c r="O1523" s="3239">
        <v>0</v>
      </c>
      <c r="W1523" s="3240">
        <v>0</v>
      </c>
    </row>
    <row r="1524" spans="15:23" x14ac:dyDescent="0.3">
      <c r="O1524" s="3239">
        <v>0</v>
      </c>
      <c r="W1524" s="3240">
        <v>0</v>
      </c>
    </row>
    <row r="1525" spans="15:23" x14ac:dyDescent="0.3">
      <c r="O1525" s="3239">
        <v>0</v>
      </c>
      <c r="W1525" s="3240">
        <v>0</v>
      </c>
    </row>
    <row r="1526" spans="15:23" x14ac:dyDescent="0.3">
      <c r="O1526" s="3239">
        <v>0</v>
      </c>
      <c r="W1526" s="3240">
        <v>0</v>
      </c>
    </row>
    <row r="1527" spans="15:23" x14ac:dyDescent="0.3">
      <c r="O1527" s="3239">
        <v>0</v>
      </c>
      <c r="W1527" s="3240">
        <v>0</v>
      </c>
    </row>
    <row r="1528" spans="15:23" x14ac:dyDescent="0.3">
      <c r="O1528" s="3239">
        <v>0</v>
      </c>
      <c r="W1528" s="3240">
        <v>0</v>
      </c>
    </row>
    <row r="1529" spans="15:23" x14ac:dyDescent="0.3">
      <c r="O1529" s="3239">
        <v>0</v>
      </c>
      <c r="W1529" s="3240">
        <v>0</v>
      </c>
    </row>
    <row r="1530" spans="15:23" x14ac:dyDescent="0.3">
      <c r="O1530" s="3239">
        <v>0</v>
      </c>
      <c r="W1530" s="3240">
        <v>0</v>
      </c>
    </row>
    <row r="1531" spans="15:23" x14ac:dyDescent="0.3">
      <c r="O1531" s="3239">
        <v>0</v>
      </c>
      <c r="W1531" s="3240">
        <v>0</v>
      </c>
    </row>
    <row r="1532" spans="15:23" x14ac:dyDescent="0.3">
      <c r="O1532" s="3239">
        <v>0</v>
      </c>
      <c r="W1532" s="3240">
        <v>0</v>
      </c>
    </row>
    <row r="1533" spans="15:23" x14ac:dyDescent="0.3">
      <c r="O1533" s="3239">
        <v>0</v>
      </c>
      <c r="W1533" s="3240">
        <v>0</v>
      </c>
    </row>
    <row r="1534" spans="15:23" x14ac:dyDescent="0.3">
      <c r="O1534" s="3239">
        <v>0</v>
      </c>
      <c r="W1534" s="3240">
        <v>0</v>
      </c>
    </row>
    <row r="1535" spans="15:23" x14ac:dyDescent="0.3">
      <c r="O1535" s="3239">
        <v>0</v>
      </c>
      <c r="W1535" s="3240">
        <v>0</v>
      </c>
    </row>
    <row r="1536" spans="15:23" x14ac:dyDescent="0.3">
      <c r="O1536" s="3239">
        <v>0</v>
      </c>
      <c r="W1536" s="3240">
        <v>0</v>
      </c>
    </row>
    <row r="1537" spans="15:23" x14ac:dyDescent="0.3">
      <c r="O1537" s="3239">
        <v>0</v>
      </c>
      <c r="W1537" s="3240">
        <v>0</v>
      </c>
    </row>
    <row r="1538" spans="15:23" x14ac:dyDescent="0.3">
      <c r="O1538" s="3239">
        <v>0</v>
      </c>
      <c r="W1538" s="3240">
        <v>0</v>
      </c>
    </row>
    <row r="1539" spans="15:23" x14ac:dyDescent="0.3">
      <c r="O1539" s="3239">
        <v>0</v>
      </c>
      <c r="W1539" s="3240">
        <v>0</v>
      </c>
    </row>
    <row r="1540" spans="15:23" x14ac:dyDescent="0.3">
      <c r="O1540" s="3239">
        <v>0</v>
      </c>
      <c r="W1540" s="3240">
        <v>0</v>
      </c>
    </row>
    <row r="1541" spans="15:23" x14ac:dyDescent="0.3">
      <c r="O1541" s="3239">
        <v>0</v>
      </c>
      <c r="W1541" s="3240">
        <v>0</v>
      </c>
    </row>
    <row r="1542" spans="15:23" x14ac:dyDescent="0.3">
      <c r="O1542" s="3239">
        <v>0</v>
      </c>
      <c r="W1542" s="3240">
        <v>0</v>
      </c>
    </row>
    <row r="1543" spans="15:23" x14ac:dyDescent="0.3">
      <c r="O1543" s="3239">
        <v>0</v>
      </c>
      <c r="W1543" s="3240">
        <v>0</v>
      </c>
    </row>
    <row r="1544" spans="15:23" x14ac:dyDescent="0.3">
      <c r="O1544" s="3239">
        <v>0</v>
      </c>
      <c r="W1544" s="3240">
        <v>0</v>
      </c>
    </row>
    <row r="1545" spans="15:23" x14ac:dyDescent="0.3">
      <c r="O1545" s="3239">
        <v>0</v>
      </c>
      <c r="W1545" s="3240">
        <v>0</v>
      </c>
    </row>
    <row r="1546" spans="15:23" x14ac:dyDescent="0.3">
      <c r="O1546" s="3239">
        <v>0</v>
      </c>
      <c r="W1546" s="3240">
        <v>0</v>
      </c>
    </row>
    <row r="1547" spans="15:23" x14ac:dyDescent="0.3">
      <c r="O1547" s="3239">
        <v>0</v>
      </c>
      <c r="W1547" s="3240">
        <v>0</v>
      </c>
    </row>
    <row r="1548" spans="15:23" x14ac:dyDescent="0.3">
      <c r="O1548" s="3239">
        <v>0</v>
      </c>
      <c r="W1548" s="3240">
        <v>0</v>
      </c>
    </row>
    <row r="1549" spans="15:23" x14ac:dyDescent="0.3">
      <c r="O1549" s="3239">
        <v>0</v>
      </c>
      <c r="W1549" s="3240">
        <v>0</v>
      </c>
    </row>
    <row r="1550" spans="15:23" x14ac:dyDescent="0.3">
      <c r="O1550" s="3239">
        <v>0</v>
      </c>
      <c r="W1550" s="3240">
        <v>0</v>
      </c>
    </row>
    <row r="1551" spans="15:23" x14ac:dyDescent="0.3">
      <c r="O1551" s="3239">
        <v>0</v>
      </c>
      <c r="W1551" s="3240">
        <v>0</v>
      </c>
    </row>
    <row r="1552" spans="15:23" x14ac:dyDescent="0.3">
      <c r="O1552" s="3239">
        <v>0</v>
      </c>
      <c r="W1552" s="3240">
        <v>0</v>
      </c>
    </row>
    <row r="1553" spans="15:23" x14ac:dyDescent="0.3">
      <c r="O1553" s="3239">
        <v>0</v>
      </c>
      <c r="W1553" s="3240">
        <v>0</v>
      </c>
    </row>
    <row r="1554" spans="15:23" x14ac:dyDescent="0.3">
      <c r="O1554" s="3239">
        <v>0</v>
      </c>
      <c r="W1554" s="3240">
        <v>0</v>
      </c>
    </row>
    <row r="1555" spans="15:23" x14ac:dyDescent="0.3">
      <c r="O1555" s="3239">
        <v>0</v>
      </c>
      <c r="W1555" s="3240">
        <v>0</v>
      </c>
    </row>
    <row r="1556" spans="15:23" x14ac:dyDescent="0.3">
      <c r="O1556" s="3239">
        <v>0</v>
      </c>
      <c r="W1556" s="3240">
        <v>0</v>
      </c>
    </row>
    <row r="1557" spans="15:23" x14ac:dyDescent="0.3">
      <c r="O1557" s="3239">
        <v>0</v>
      </c>
      <c r="W1557" s="3240">
        <v>0</v>
      </c>
    </row>
    <row r="1558" spans="15:23" x14ac:dyDescent="0.3">
      <c r="O1558" s="3239">
        <v>0</v>
      </c>
      <c r="W1558" s="3240">
        <v>0</v>
      </c>
    </row>
    <row r="1559" spans="15:23" x14ac:dyDescent="0.3">
      <c r="O1559" s="3239">
        <v>0</v>
      </c>
      <c r="W1559" s="3240">
        <v>0</v>
      </c>
    </row>
    <row r="1560" spans="15:23" x14ac:dyDescent="0.3">
      <c r="O1560" s="3239">
        <v>0</v>
      </c>
      <c r="W1560" s="3240">
        <v>0</v>
      </c>
    </row>
    <row r="1561" spans="15:23" x14ac:dyDescent="0.3">
      <c r="O1561" s="3239">
        <v>0</v>
      </c>
      <c r="W1561" s="3240">
        <v>0</v>
      </c>
    </row>
    <row r="1562" spans="15:23" x14ac:dyDescent="0.3">
      <c r="O1562" s="3239">
        <v>0</v>
      </c>
      <c r="W1562" s="3240">
        <v>0</v>
      </c>
    </row>
    <row r="1563" spans="15:23" x14ac:dyDescent="0.3">
      <c r="O1563" s="3239">
        <v>0</v>
      </c>
      <c r="W1563" s="3240">
        <v>0</v>
      </c>
    </row>
    <row r="1564" spans="15:23" x14ac:dyDescent="0.3">
      <c r="O1564" s="3239">
        <v>0</v>
      </c>
      <c r="W1564" s="3240">
        <v>0</v>
      </c>
    </row>
    <row r="1565" spans="15:23" x14ac:dyDescent="0.3">
      <c r="O1565" s="3239">
        <v>0</v>
      </c>
      <c r="W1565" s="3240">
        <v>0</v>
      </c>
    </row>
    <row r="1566" spans="15:23" x14ac:dyDescent="0.3">
      <c r="O1566" s="3239">
        <v>0</v>
      </c>
      <c r="W1566" s="3240">
        <v>0</v>
      </c>
    </row>
    <row r="1567" spans="15:23" x14ac:dyDescent="0.3">
      <c r="O1567" s="3239">
        <v>0</v>
      </c>
      <c r="W1567" s="3240">
        <v>0</v>
      </c>
    </row>
    <row r="1568" spans="15:23" x14ac:dyDescent="0.3">
      <c r="O1568" s="3239">
        <v>0</v>
      </c>
      <c r="W1568" s="3240">
        <v>0</v>
      </c>
    </row>
    <row r="1569" spans="15:23" x14ac:dyDescent="0.3">
      <c r="O1569" s="3239">
        <v>0</v>
      </c>
      <c r="W1569" s="3240">
        <v>0</v>
      </c>
    </row>
    <row r="1570" spans="15:23" x14ac:dyDescent="0.3">
      <c r="O1570" s="3239">
        <v>0</v>
      </c>
      <c r="W1570" s="3240">
        <v>0</v>
      </c>
    </row>
    <row r="1571" spans="15:23" x14ac:dyDescent="0.3">
      <c r="O1571" s="3239">
        <v>0</v>
      </c>
      <c r="W1571" s="3240">
        <v>0</v>
      </c>
    </row>
    <row r="1572" spans="15:23" x14ac:dyDescent="0.3">
      <c r="O1572" s="3239">
        <v>0</v>
      </c>
      <c r="W1572" s="3240">
        <v>0</v>
      </c>
    </row>
    <row r="1573" spans="15:23" x14ac:dyDescent="0.3">
      <c r="O1573" s="3239">
        <v>0</v>
      </c>
      <c r="W1573" s="3240">
        <v>0</v>
      </c>
    </row>
    <row r="1574" spans="15:23" x14ac:dyDescent="0.3">
      <c r="O1574" s="3239">
        <v>0</v>
      </c>
      <c r="W1574" s="3240">
        <v>0</v>
      </c>
    </row>
    <row r="1575" spans="15:23" x14ac:dyDescent="0.3">
      <c r="O1575" s="3239">
        <v>0</v>
      </c>
      <c r="W1575" s="3240">
        <v>0</v>
      </c>
    </row>
    <row r="1576" spans="15:23" x14ac:dyDescent="0.3">
      <c r="O1576" s="3239">
        <v>0</v>
      </c>
      <c r="W1576" s="3240">
        <v>0</v>
      </c>
    </row>
    <row r="1577" spans="15:23" x14ac:dyDescent="0.3">
      <c r="O1577" s="3239">
        <v>0</v>
      </c>
      <c r="W1577" s="3240">
        <v>0</v>
      </c>
    </row>
    <row r="1578" spans="15:23" x14ac:dyDescent="0.3">
      <c r="O1578" s="3239">
        <v>0</v>
      </c>
      <c r="W1578" s="3240">
        <v>0</v>
      </c>
    </row>
    <row r="1579" spans="15:23" x14ac:dyDescent="0.3">
      <c r="O1579" s="3239">
        <v>0</v>
      </c>
      <c r="W1579" s="3240">
        <v>0</v>
      </c>
    </row>
    <row r="1580" spans="15:23" x14ac:dyDescent="0.3">
      <c r="O1580" s="3239">
        <v>0</v>
      </c>
      <c r="W1580" s="3240">
        <v>0</v>
      </c>
    </row>
    <row r="1581" spans="15:23" x14ac:dyDescent="0.3">
      <c r="O1581" s="3239">
        <v>0</v>
      </c>
      <c r="W1581" s="3240">
        <v>0</v>
      </c>
    </row>
    <row r="1582" spans="15:23" x14ac:dyDescent="0.3">
      <c r="O1582" s="3239">
        <v>0</v>
      </c>
      <c r="W1582" s="3240">
        <v>0</v>
      </c>
    </row>
    <row r="1583" spans="15:23" x14ac:dyDescent="0.3">
      <c r="O1583" s="3239">
        <v>0</v>
      </c>
      <c r="W1583" s="3240">
        <v>0</v>
      </c>
    </row>
    <row r="1584" spans="15:23" x14ac:dyDescent="0.3">
      <c r="O1584" s="3239">
        <v>0</v>
      </c>
      <c r="W1584" s="3240">
        <v>0</v>
      </c>
    </row>
    <row r="1585" spans="15:23" x14ac:dyDescent="0.3">
      <c r="O1585" s="3239">
        <v>0</v>
      </c>
      <c r="W1585" s="3240">
        <v>0</v>
      </c>
    </row>
    <row r="1586" spans="15:23" x14ac:dyDescent="0.3">
      <c r="O1586" s="3239">
        <v>0</v>
      </c>
      <c r="W1586" s="3240">
        <v>0</v>
      </c>
    </row>
    <row r="1587" spans="15:23" x14ac:dyDescent="0.3">
      <c r="O1587" s="3239">
        <v>0</v>
      </c>
      <c r="W1587" s="3240">
        <v>0</v>
      </c>
    </row>
    <row r="1588" spans="15:23" x14ac:dyDescent="0.3">
      <c r="O1588" s="3239">
        <v>0</v>
      </c>
      <c r="W1588" s="3240">
        <v>0</v>
      </c>
    </row>
    <row r="1589" spans="15:23" x14ac:dyDescent="0.3">
      <c r="O1589" s="3239">
        <v>0</v>
      </c>
      <c r="W1589" s="3240">
        <v>0</v>
      </c>
    </row>
    <row r="1590" spans="15:23" x14ac:dyDescent="0.3">
      <c r="O1590" s="3239">
        <v>0</v>
      </c>
      <c r="W1590" s="3240">
        <v>0</v>
      </c>
    </row>
    <row r="1591" spans="15:23" x14ac:dyDescent="0.3">
      <c r="O1591" s="3239">
        <v>0</v>
      </c>
      <c r="W1591" s="3240">
        <v>0</v>
      </c>
    </row>
    <row r="1592" spans="15:23" x14ac:dyDescent="0.3">
      <c r="O1592" s="3239">
        <v>0</v>
      </c>
      <c r="W1592" s="3240">
        <v>0</v>
      </c>
    </row>
    <row r="1593" spans="15:23" x14ac:dyDescent="0.3">
      <c r="O1593" s="3239">
        <v>0</v>
      </c>
      <c r="W1593" s="3240">
        <v>0</v>
      </c>
    </row>
    <row r="1594" spans="15:23" x14ac:dyDescent="0.3">
      <c r="O1594" s="3239">
        <v>0</v>
      </c>
      <c r="W1594" s="3240">
        <v>0</v>
      </c>
    </row>
    <row r="1595" spans="15:23" x14ac:dyDescent="0.3">
      <c r="O1595" s="3239">
        <v>0</v>
      </c>
      <c r="W1595" s="3240">
        <v>0</v>
      </c>
    </row>
    <row r="1596" spans="15:23" x14ac:dyDescent="0.3">
      <c r="O1596" s="3239">
        <v>0</v>
      </c>
      <c r="W1596" s="3240">
        <v>0</v>
      </c>
    </row>
    <row r="1597" spans="15:23" x14ac:dyDescent="0.3">
      <c r="O1597" s="3239">
        <v>0</v>
      </c>
      <c r="W1597" s="3240">
        <v>0</v>
      </c>
    </row>
    <row r="1598" spans="15:23" x14ac:dyDescent="0.3">
      <c r="O1598" s="3239">
        <v>0</v>
      </c>
      <c r="W1598" s="3240">
        <v>0</v>
      </c>
    </row>
    <row r="1599" spans="15:23" x14ac:dyDescent="0.3">
      <c r="O1599" s="3239">
        <v>0</v>
      </c>
      <c r="W1599" s="3240">
        <v>0</v>
      </c>
    </row>
    <row r="1600" spans="15:23" x14ac:dyDescent="0.3">
      <c r="O1600" s="3239">
        <v>0</v>
      </c>
      <c r="W1600" s="3240">
        <v>0</v>
      </c>
    </row>
    <row r="1601" spans="15:23" x14ac:dyDescent="0.3">
      <c r="O1601" s="3239">
        <v>0</v>
      </c>
      <c r="W1601" s="3240">
        <v>0</v>
      </c>
    </row>
    <row r="1602" spans="15:23" x14ac:dyDescent="0.3">
      <c r="O1602" s="3239">
        <v>0</v>
      </c>
      <c r="W1602" s="3240">
        <v>0</v>
      </c>
    </row>
    <row r="1603" spans="15:23" x14ac:dyDescent="0.3">
      <c r="O1603" s="3239">
        <v>0</v>
      </c>
      <c r="W1603" s="3240">
        <v>0</v>
      </c>
    </row>
    <row r="1604" spans="15:23" x14ac:dyDescent="0.3">
      <c r="O1604" s="3239">
        <v>0</v>
      </c>
      <c r="W1604" s="3240">
        <v>0</v>
      </c>
    </row>
    <row r="1605" spans="15:23" x14ac:dyDescent="0.3">
      <c r="O1605" s="3239">
        <v>0</v>
      </c>
      <c r="W1605" s="3240">
        <v>0</v>
      </c>
    </row>
    <row r="1606" spans="15:23" x14ac:dyDescent="0.3">
      <c r="O1606" s="3239">
        <v>0</v>
      </c>
      <c r="W1606" s="3240">
        <v>0</v>
      </c>
    </row>
    <row r="1607" spans="15:23" x14ac:dyDescent="0.3">
      <c r="O1607" s="3239">
        <v>0</v>
      </c>
      <c r="W1607" s="3240">
        <v>0</v>
      </c>
    </row>
    <row r="1608" spans="15:23" x14ac:dyDescent="0.3">
      <c r="O1608" s="3239">
        <v>0</v>
      </c>
      <c r="W1608" s="3240">
        <v>0</v>
      </c>
    </row>
    <row r="1609" spans="15:23" x14ac:dyDescent="0.3">
      <c r="O1609" s="3239">
        <v>0</v>
      </c>
      <c r="W1609" s="3240">
        <v>0</v>
      </c>
    </row>
    <row r="1610" spans="15:23" x14ac:dyDescent="0.3">
      <c r="O1610" s="3239">
        <v>0</v>
      </c>
      <c r="W1610" s="3240">
        <v>0</v>
      </c>
    </row>
    <row r="1611" spans="15:23" x14ac:dyDescent="0.3">
      <c r="O1611" s="3239">
        <v>0</v>
      </c>
      <c r="W1611" s="3240">
        <v>0</v>
      </c>
    </row>
    <row r="1612" spans="15:23" x14ac:dyDescent="0.3">
      <c r="O1612" s="3239">
        <v>0</v>
      </c>
      <c r="W1612" s="3240">
        <v>0</v>
      </c>
    </row>
    <row r="1613" spans="15:23" x14ac:dyDescent="0.3">
      <c r="O1613" s="3239">
        <v>0</v>
      </c>
      <c r="W1613" s="3240">
        <v>0</v>
      </c>
    </row>
    <row r="1614" spans="15:23" x14ac:dyDescent="0.3">
      <c r="O1614" s="3239">
        <v>0</v>
      </c>
      <c r="W1614" s="3240">
        <v>0</v>
      </c>
    </row>
    <row r="1615" spans="15:23" x14ac:dyDescent="0.3">
      <c r="O1615" s="3239">
        <v>0</v>
      </c>
      <c r="W1615" s="3240">
        <v>0</v>
      </c>
    </row>
    <row r="1616" spans="15:23" x14ac:dyDescent="0.3">
      <c r="O1616" s="3239">
        <v>0</v>
      </c>
      <c r="W1616" s="3240">
        <v>0</v>
      </c>
    </row>
    <row r="1617" spans="15:23" x14ac:dyDescent="0.3">
      <c r="O1617" s="3239">
        <v>0</v>
      </c>
      <c r="W1617" s="3240">
        <v>0</v>
      </c>
    </row>
    <row r="1618" spans="15:23" x14ac:dyDescent="0.3">
      <c r="O1618" s="3239">
        <v>0</v>
      </c>
      <c r="W1618" s="3240">
        <v>0</v>
      </c>
    </row>
    <row r="1619" spans="15:23" x14ac:dyDescent="0.3">
      <c r="O1619" s="3239">
        <v>0</v>
      </c>
      <c r="W1619" s="3240">
        <v>0</v>
      </c>
    </row>
    <row r="1620" spans="15:23" x14ac:dyDescent="0.3">
      <c r="O1620" s="3239">
        <v>0</v>
      </c>
      <c r="W1620" s="3240">
        <v>0</v>
      </c>
    </row>
    <row r="1621" spans="15:23" x14ac:dyDescent="0.3">
      <c r="O1621" s="3239">
        <v>0</v>
      </c>
      <c r="W1621" s="3240">
        <v>0</v>
      </c>
    </row>
    <row r="1622" spans="15:23" x14ac:dyDescent="0.3">
      <c r="O1622" s="3239">
        <v>0</v>
      </c>
      <c r="W1622" s="3240">
        <v>0</v>
      </c>
    </row>
    <row r="1623" spans="15:23" x14ac:dyDescent="0.3">
      <c r="O1623" s="3239">
        <v>0</v>
      </c>
      <c r="W1623" s="3240">
        <v>0</v>
      </c>
    </row>
    <row r="1624" spans="15:23" x14ac:dyDescent="0.3">
      <c r="O1624" s="3239">
        <v>0</v>
      </c>
      <c r="W1624" s="3240">
        <v>0</v>
      </c>
    </row>
    <row r="1625" spans="15:23" x14ac:dyDescent="0.3">
      <c r="O1625" s="3239">
        <v>0</v>
      </c>
      <c r="W1625" s="3240">
        <v>0</v>
      </c>
    </row>
    <row r="1626" spans="15:23" x14ac:dyDescent="0.3">
      <c r="O1626" s="3239">
        <v>0</v>
      </c>
      <c r="W1626" s="3240">
        <v>0</v>
      </c>
    </row>
    <row r="1627" spans="15:23" x14ac:dyDescent="0.3">
      <c r="O1627" s="3239">
        <v>0</v>
      </c>
      <c r="W1627" s="3240">
        <v>0</v>
      </c>
    </row>
    <row r="1628" spans="15:23" x14ac:dyDescent="0.3">
      <c r="O1628" s="3239">
        <v>0</v>
      </c>
      <c r="W1628" s="3240">
        <v>0</v>
      </c>
    </row>
    <row r="1629" spans="15:23" x14ac:dyDescent="0.3">
      <c r="O1629" s="3239">
        <v>0</v>
      </c>
      <c r="W1629" s="3240">
        <v>0</v>
      </c>
    </row>
    <row r="1630" spans="15:23" x14ac:dyDescent="0.3">
      <c r="O1630" s="3239">
        <v>0</v>
      </c>
      <c r="W1630" s="3240">
        <v>0</v>
      </c>
    </row>
    <row r="1631" spans="15:23" x14ac:dyDescent="0.3">
      <c r="O1631" s="3239">
        <v>0</v>
      </c>
      <c r="W1631" s="3240">
        <v>0</v>
      </c>
    </row>
    <row r="1632" spans="15:23" x14ac:dyDescent="0.3">
      <c r="O1632" s="3239">
        <v>0</v>
      </c>
      <c r="W1632" s="3240">
        <v>0</v>
      </c>
    </row>
    <row r="1633" spans="15:23" x14ac:dyDescent="0.3">
      <c r="O1633" s="3239">
        <v>0</v>
      </c>
      <c r="W1633" s="3240">
        <v>0</v>
      </c>
    </row>
    <row r="1634" spans="15:23" x14ac:dyDescent="0.3">
      <c r="O1634" s="3239">
        <v>0</v>
      </c>
      <c r="W1634" s="3240">
        <v>0</v>
      </c>
    </row>
    <row r="1635" spans="15:23" x14ac:dyDescent="0.3">
      <c r="O1635" s="3239">
        <v>0</v>
      </c>
      <c r="W1635" s="3240">
        <v>0</v>
      </c>
    </row>
    <row r="1636" spans="15:23" x14ac:dyDescent="0.3">
      <c r="O1636" s="3239">
        <v>0</v>
      </c>
      <c r="W1636" s="3240">
        <v>0</v>
      </c>
    </row>
    <row r="1637" spans="15:23" x14ac:dyDescent="0.3">
      <c r="O1637" s="3239">
        <v>0</v>
      </c>
      <c r="W1637" s="3240">
        <v>0</v>
      </c>
    </row>
    <row r="1638" spans="15:23" x14ac:dyDescent="0.3">
      <c r="O1638" s="3239">
        <v>0</v>
      </c>
      <c r="W1638" s="3240">
        <v>0</v>
      </c>
    </row>
    <row r="1639" spans="15:23" x14ac:dyDescent="0.3">
      <c r="O1639" s="3239">
        <v>0</v>
      </c>
      <c r="W1639" s="3240">
        <v>0</v>
      </c>
    </row>
    <row r="1640" spans="15:23" x14ac:dyDescent="0.3">
      <c r="O1640" s="3239">
        <v>0</v>
      </c>
      <c r="W1640" s="3240">
        <v>0</v>
      </c>
    </row>
    <row r="1641" spans="15:23" x14ac:dyDescent="0.3">
      <c r="O1641" s="3239">
        <v>0</v>
      </c>
      <c r="W1641" s="3240">
        <v>0</v>
      </c>
    </row>
    <row r="1642" spans="15:23" x14ac:dyDescent="0.3">
      <c r="O1642" s="3239">
        <v>0</v>
      </c>
      <c r="W1642" s="3240">
        <v>0</v>
      </c>
    </row>
    <row r="1643" spans="15:23" x14ac:dyDescent="0.3">
      <c r="O1643" s="3239">
        <v>0</v>
      </c>
      <c r="W1643" s="3240">
        <v>0</v>
      </c>
    </row>
    <row r="1644" spans="15:23" x14ac:dyDescent="0.3">
      <c r="O1644" s="3239">
        <v>0</v>
      </c>
      <c r="W1644" s="3240">
        <v>0</v>
      </c>
    </row>
    <row r="1645" spans="15:23" x14ac:dyDescent="0.3">
      <c r="O1645" s="3239">
        <v>0</v>
      </c>
      <c r="W1645" s="3240">
        <v>0</v>
      </c>
    </row>
    <row r="1646" spans="15:23" x14ac:dyDescent="0.3">
      <c r="O1646" s="3239">
        <v>0</v>
      </c>
      <c r="W1646" s="3240">
        <v>0</v>
      </c>
    </row>
    <row r="1647" spans="15:23" x14ac:dyDescent="0.3">
      <c r="O1647" s="3239">
        <v>0</v>
      </c>
      <c r="W1647" s="3240">
        <v>0</v>
      </c>
    </row>
    <row r="1648" spans="15:23" x14ac:dyDescent="0.3">
      <c r="O1648" s="3239">
        <v>0</v>
      </c>
      <c r="W1648" s="3240">
        <v>0</v>
      </c>
    </row>
    <row r="1649" spans="15:23" x14ac:dyDescent="0.3">
      <c r="O1649" s="3239">
        <v>0</v>
      </c>
      <c r="W1649" s="3240">
        <v>0</v>
      </c>
    </row>
    <row r="1650" spans="15:23" x14ac:dyDescent="0.3">
      <c r="O1650" s="3239">
        <v>0</v>
      </c>
      <c r="W1650" s="3240">
        <v>0</v>
      </c>
    </row>
    <row r="1651" spans="15:23" x14ac:dyDescent="0.3">
      <c r="O1651" s="3239">
        <v>0</v>
      </c>
      <c r="W1651" s="3240">
        <v>0</v>
      </c>
    </row>
    <row r="1652" spans="15:23" x14ac:dyDescent="0.3">
      <c r="O1652" s="3239">
        <v>0</v>
      </c>
      <c r="W1652" s="3240">
        <v>0</v>
      </c>
    </row>
    <row r="1653" spans="15:23" x14ac:dyDescent="0.3">
      <c r="O1653" s="3239">
        <v>0</v>
      </c>
      <c r="W1653" s="3240">
        <v>0</v>
      </c>
    </row>
    <row r="1654" spans="15:23" x14ac:dyDescent="0.3">
      <c r="O1654" s="3239">
        <v>0</v>
      </c>
      <c r="W1654" s="3240">
        <v>0</v>
      </c>
    </row>
    <row r="1655" spans="15:23" x14ac:dyDescent="0.3">
      <c r="O1655" s="3239">
        <v>0</v>
      </c>
      <c r="W1655" s="3240">
        <v>0</v>
      </c>
    </row>
    <row r="1656" spans="15:23" x14ac:dyDescent="0.3">
      <c r="O1656" s="3239">
        <v>0</v>
      </c>
      <c r="W1656" s="3240">
        <v>0</v>
      </c>
    </row>
    <row r="1657" spans="15:23" x14ac:dyDescent="0.3">
      <c r="O1657" s="3239">
        <v>0</v>
      </c>
      <c r="W1657" s="3240">
        <v>0</v>
      </c>
    </row>
    <row r="1658" spans="15:23" x14ac:dyDescent="0.3">
      <c r="O1658" s="3239">
        <v>0</v>
      </c>
      <c r="W1658" s="3240">
        <v>0</v>
      </c>
    </row>
    <row r="1659" spans="15:23" x14ac:dyDescent="0.3">
      <c r="O1659" s="3239">
        <v>0</v>
      </c>
      <c r="W1659" s="3240">
        <v>0</v>
      </c>
    </row>
    <row r="1660" spans="15:23" x14ac:dyDescent="0.3">
      <c r="O1660" s="3239">
        <v>0</v>
      </c>
      <c r="W1660" s="3240">
        <v>0</v>
      </c>
    </row>
    <row r="1661" spans="15:23" x14ac:dyDescent="0.3">
      <c r="O1661" s="3239">
        <v>0</v>
      </c>
      <c r="W1661" s="3240">
        <v>0</v>
      </c>
    </row>
    <row r="1662" spans="15:23" x14ac:dyDescent="0.3">
      <c r="O1662" s="3239">
        <v>0</v>
      </c>
      <c r="W1662" s="3240">
        <v>0</v>
      </c>
    </row>
    <row r="1663" spans="15:23" x14ac:dyDescent="0.3">
      <c r="O1663" s="3239">
        <v>0</v>
      </c>
      <c r="W1663" s="3240">
        <v>0</v>
      </c>
    </row>
    <row r="1664" spans="15:23" x14ac:dyDescent="0.3">
      <c r="O1664" s="3239">
        <v>0</v>
      </c>
      <c r="W1664" s="3240">
        <v>0</v>
      </c>
    </row>
    <row r="1665" spans="15:23" x14ac:dyDescent="0.3">
      <c r="O1665" s="3239">
        <v>0</v>
      </c>
      <c r="W1665" s="3240">
        <v>0</v>
      </c>
    </row>
    <row r="1666" spans="15:23" x14ac:dyDescent="0.3">
      <c r="O1666" s="3239">
        <v>0</v>
      </c>
      <c r="W1666" s="3240">
        <v>0</v>
      </c>
    </row>
    <row r="1667" spans="15:23" x14ac:dyDescent="0.3">
      <c r="O1667" s="3239">
        <v>0</v>
      </c>
      <c r="W1667" s="3240">
        <v>0</v>
      </c>
    </row>
    <row r="1668" spans="15:23" x14ac:dyDescent="0.3">
      <c r="O1668" s="3239">
        <v>0</v>
      </c>
      <c r="W1668" s="3240">
        <v>0</v>
      </c>
    </row>
    <row r="1669" spans="15:23" x14ac:dyDescent="0.3">
      <c r="O1669" s="3239">
        <v>0</v>
      </c>
      <c r="W1669" s="3240">
        <v>0</v>
      </c>
    </row>
    <row r="1670" spans="15:23" x14ac:dyDescent="0.3">
      <c r="O1670" s="3239">
        <v>0</v>
      </c>
      <c r="W1670" s="3240">
        <v>0</v>
      </c>
    </row>
    <row r="1671" spans="15:23" x14ac:dyDescent="0.3">
      <c r="O1671" s="3239">
        <v>0</v>
      </c>
      <c r="W1671" s="3240">
        <v>0</v>
      </c>
    </row>
    <row r="1672" spans="15:23" x14ac:dyDescent="0.3">
      <c r="O1672" s="3239">
        <v>0</v>
      </c>
      <c r="W1672" s="3240">
        <v>0</v>
      </c>
    </row>
    <row r="1673" spans="15:23" x14ac:dyDescent="0.3">
      <c r="O1673" s="3239">
        <v>0</v>
      </c>
      <c r="W1673" s="3240">
        <v>0</v>
      </c>
    </row>
    <row r="1674" spans="15:23" x14ac:dyDescent="0.3">
      <c r="O1674" s="3239">
        <v>0</v>
      </c>
      <c r="W1674" s="3240">
        <v>0</v>
      </c>
    </row>
    <row r="1675" spans="15:23" x14ac:dyDescent="0.3">
      <c r="O1675" s="3239">
        <v>0</v>
      </c>
      <c r="W1675" s="3240">
        <v>0</v>
      </c>
    </row>
    <row r="1676" spans="15:23" x14ac:dyDescent="0.3">
      <c r="O1676" s="3239">
        <v>0</v>
      </c>
      <c r="W1676" s="3240">
        <v>0</v>
      </c>
    </row>
    <row r="1677" spans="15:23" x14ac:dyDescent="0.3">
      <c r="O1677" s="3239">
        <v>0</v>
      </c>
      <c r="W1677" s="3240">
        <v>0</v>
      </c>
    </row>
    <row r="1678" spans="15:23" x14ac:dyDescent="0.3">
      <c r="O1678" s="3239">
        <v>0</v>
      </c>
      <c r="W1678" s="3240">
        <v>0</v>
      </c>
    </row>
    <row r="1679" spans="15:23" x14ac:dyDescent="0.3">
      <c r="O1679" s="3239">
        <v>0</v>
      </c>
      <c r="W1679" s="3240">
        <v>0</v>
      </c>
    </row>
    <row r="1680" spans="15:23" x14ac:dyDescent="0.3">
      <c r="O1680" s="3239">
        <v>0</v>
      </c>
      <c r="W1680" s="3240">
        <v>0</v>
      </c>
    </row>
    <row r="1681" spans="15:23" x14ac:dyDescent="0.3">
      <c r="O1681" s="3239">
        <v>0</v>
      </c>
      <c r="W1681" s="3240">
        <v>0</v>
      </c>
    </row>
    <row r="1682" spans="15:23" x14ac:dyDescent="0.3">
      <c r="O1682" s="3239">
        <v>0</v>
      </c>
      <c r="W1682" s="3240">
        <v>0</v>
      </c>
    </row>
    <row r="1683" spans="15:23" x14ac:dyDescent="0.3">
      <c r="O1683" s="3239">
        <v>0</v>
      </c>
      <c r="W1683" s="3240">
        <v>0</v>
      </c>
    </row>
    <row r="1684" spans="15:23" x14ac:dyDescent="0.3">
      <c r="O1684" s="3239">
        <v>0</v>
      </c>
      <c r="W1684" s="3240">
        <v>0</v>
      </c>
    </row>
    <row r="1685" spans="15:23" x14ac:dyDescent="0.3">
      <c r="O1685" s="3239">
        <v>0</v>
      </c>
      <c r="W1685" s="3240">
        <v>0</v>
      </c>
    </row>
    <row r="1686" spans="15:23" x14ac:dyDescent="0.3">
      <c r="O1686" s="3239">
        <v>0</v>
      </c>
      <c r="W1686" s="3240">
        <v>0</v>
      </c>
    </row>
    <row r="1687" spans="15:23" x14ac:dyDescent="0.3">
      <c r="O1687" s="3239">
        <v>0</v>
      </c>
      <c r="W1687" s="3240">
        <v>0</v>
      </c>
    </row>
    <row r="1688" spans="15:23" x14ac:dyDescent="0.3">
      <c r="O1688" s="3239">
        <v>0</v>
      </c>
      <c r="W1688" s="3240">
        <v>0</v>
      </c>
    </row>
    <row r="1689" spans="15:23" x14ac:dyDescent="0.3">
      <c r="O1689" s="3239">
        <v>0</v>
      </c>
      <c r="W1689" s="3240">
        <v>0</v>
      </c>
    </row>
    <row r="1690" spans="15:23" x14ac:dyDescent="0.3">
      <c r="O1690" s="3239">
        <v>0</v>
      </c>
      <c r="W1690" s="3240">
        <v>0</v>
      </c>
    </row>
    <row r="1691" spans="15:23" x14ac:dyDescent="0.3">
      <c r="O1691" s="3239">
        <v>0</v>
      </c>
      <c r="W1691" s="3240">
        <v>0</v>
      </c>
    </row>
    <row r="1692" spans="15:23" x14ac:dyDescent="0.3">
      <c r="O1692" s="3239">
        <v>0</v>
      </c>
      <c r="W1692" s="3240">
        <v>0</v>
      </c>
    </row>
    <row r="1693" spans="15:23" x14ac:dyDescent="0.3">
      <c r="O1693" s="3239">
        <v>0</v>
      </c>
      <c r="W1693" s="3240">
        <v>0</v>
      </c>
    </row>
    <row r="1694" spans="15:23" x14ac:dyDescent="0.3">
      <c r="O1694" s="3239">
        <v>0</v>
      </c>
      <c r="W1694" s="3240">
        <v>0</v>
      </c>
    </row>
    <row r="1695" spans="15:23" x14ac:dyDescent="0.3">
      <c r="O1695" s="3239">
        <v>0</v>
      </c>
      <c r="W1695" s="3240">
        <v>0</v>
      </c>
    </row>
    <row r="1696" spans="15:23" x14ac:dyDescent="0.3">
      <c r="O1696" s="3239">
        <v>0</v>
      </c>
      <c r="W1696" s="3240">
        <v>0</v>
      </c>
    </row>
    <row r="1697" spans="1:38" x14ac:dyDescent="0.3">
      <c r="O1697" s="3239">
        <v>0</v>
      </c>
      <c r="W1697" s="3240">
        <v>0</v>
      </c>
    </row>
    <row r="1698" spans="1:38" x14ac:dyDescent="0.3">
      <c r="O1698" s="3239">
        <v>0</v>
      </c>
      <c r="W1698" s="3240">
        <v>0</v>
      </c>
    </row>
    <row r="1699" spans="1:38" x14ac:dyDescent="0.3">
      <c r="O1699" s="3239">
        <v>0</v>
      </c>
      <c r="W1699" s="3240">
        <v>0</v>
      </c>
    </row>
    <row r="1700" spans="1:38" x14ac:dyDescent="0.3">
      <c r="O1700" s="3239">
        <v>0</v>
      </c>
      <c r="W1700" s="3240">
        <v>0</v>
      </c>
    </row>
    <row r="1701" spans="1:38" x14ac:dyDescent="0.3">
      <c r="O1701" s="3239">
        <v>0</v>
      </c>
      <c r="W1701" s="3240">
        <v>0</v>
      </c>
    </row>
    <row r="1702" spans="1:38" x14ac:dyDescent="0.3">
      <c r="O1702" s="3239">
        <v>0</v>
      </c>
      <c r="W1702" s="3240">
        <v>0</v>
      </c>
    </row>
    <row r="1703" spans="1:38" x14ac:dyDescent="0.3">
      <c r="O1703" s="3239">
        <v>0</v>
      </c>
      <c r="W1703" s="3240">
        <v>0</v>
      </c>
    </row>
    <row r="1704" spans="1:38" x14ac:dyDescent="0.3">
      <c r="O1704" s="3239">
        <v>0</v>
      </c>
      <c r="W1704" s="3240">
        <v>0</v>
      </c>
    </row>
    <row r="1705" spans="1:38" x14ac:dyDescent="0.3">
      <c r="O1705" s="3239">
        <v>0</v>
      </c>
      <c r="W1705" s="3240">
        <v>0</v>
      </c>
    </row>
    <row r="1706" spans="1:38" x14ac:dyDescent="0.3">
      <c r="O1706" s="3239">
        <v>0</v>
      </c>
      <c r="W1706" s="3240">
        <v>0</v>
      </c>
    </row>
    <row r="1707" spans="1:38" x14ac:dyDescent="0.3">
      <c r="O1707" s="3239">
        <v>0</v>
      </c>
      <c r="W1707" s="3240">
        <v>0</v>
      </c>
    </row>
    <row r="1708" spans="1:38" x14ac:dyDescent="0.3"/>
    <row r="1709" spans="1:38" x14ac:dyDescent="0.3"/>
    <row r="1710" spans="1:38" x14ac:dyDescent="0.3"/>
    <row r="1711" spans="1:38" ht="13.8" x14ac:dyDescent="0.25">
      <c r="A1711" s="3262"/>
      <c r="B1711" s="4265" t="str">
        <f>'Вхідні дані'!B13</f>
        <v>Директор підприємства</v>
      </c>
      <c r="C1711" s="3222"/>
      <c r="D1711" s="3222"/>
      <c r="E1711" s="3222"/>
      <c r="F1711" s="3222"/>
      <c r="G1711" s="3222"/>
      <c r="H1711" s="3222"/>
      <c r="I1711" s="3222"/>
      <c r="J1711" s="3223" t="s">
        <v>2455</v>
      </c>
      <c r="K1711" s="3223"/>
      <c r="L1711" s="3223"/>
      <c r="M1711" s="3223"/>
      <c r="N1711" s="3223"/>
      <c r="O1711" s="3223"/>
      <c r="P1711" s="3223"/>
      <c r="Q1711" s="3223"/>
      <c r="R1711" s="3223"/>
      <c r="S1711" s="3223"/>
      <c r="U1711" s="3223" t="s">
        <v>2455</v>
      </c>
      <c r="AB1711" s="4266"/>
      <c r="AC1711" s="4266"/>
      <c r="AD1711" s="4266"/>
      <c r="AG1711" s="5545" t="str">
        <f>'Вхідні дані'!F12</f>
        <v>Анатолій ПАНШИН</v>
      </c>
      <c r="AH1711" s="5545"/>
      <c r="AI1711" s="5545"/>
      <c r="AJ1711" s="5545"/>
      <c r="AK1711" s="5545"/>
      <c r="AL1711" s="5545"/>
    </row>
    <row r="1712" spans="1:38" ht="13.8" x14ac:dyDescent="0.25">
      <c r="A1712" s="3262"/>
      <c r="B1712" s="3224" t="s">
        <v>4101</v>
      </c>
      <c r="C1712" s="3224"/>
      <c r="D1712" s="3224"/>
      <c r="E1712" s="3224"/>
      <c r="F1712" s="3224"/>
      <c r="G1712" s="3224"/>
      <c r="H1712" s="3224"/>
      <c r="I1712" s="3224"/>
      <c r="J1712" s="3224"/>
      <c r="K1712" s="3224"/>
      <c r="L1712" s="3223"/>
      <c r="M1712" s="3223"/>
      <c r="N1712" s="3223"/>
      <c r="O1712" s="3223"/>
      <c r="P1712" s="3223"/>
      <c r="Q1712" s="3223"/>
      <c r="R1712" s="3223"/>
      <c r="S1712" s="3223"/>
      <c r="AB1712" s="5547" t="s">
        <v>4102</v>
      </c>
      <c r="AC1712" s="5547"/>
      <c r="AD1712" s="5547"/>
      <c r="AG1712" s="5546" t="s">
        <v>101</v>
      </c>
      <c r="AH1712" s="5546"/>
      <c r="AI1712" s="5546"/>
      <c r="AJ1712" s="5546"/>
      <c r="AK1712" s="5546"/>
      <c r="AL1712" s="5546"/>
    </row>
    <row r="1713" x14ac:dyDescent="0.3"/>
    <row r="1714" x14ac:dyDescent="0.3"/>
    <row r="1715" x14ac:dyDescent="0.3"/>
    <row r="1716" ht="12" customHeight="1" x14ac:dyDescent="0.3"/>
  </sheetData>
  <autoFilter ref="A10:BS1707" xr:uid="{00000000-0009-0000-0000-000042000000}"/>
  <mergeCells count="71">
    <mergeCell ref="AH2:AI2"/>
    <mergeCell ref="AJ2:AK2"/>
    <mergeCell ref="AL2:AM2"/>
    <mergeCell ref="C8:C9"/>
    <mergeCell ref="D8:F8"/>
    <mergeCell ref="O8:O9"/>
    <mergeCell ref="P8:R8"/>
    <mergeCell ref="AA8:AA9"/>
    <mergeCell ref="H7:H9"/>
    <mergeCell ref="I7:I9"/>
    <mergeCell ref="J7:J9"/>
    <mergeCell ref="L7:L9"/>
    <mergeCell ref="M7:M9"/>
    <mergeCell ref="T7:T9"/>
    <mergeCell ref="S6:S9"/>
    <mergeCell ref="X6:Y6"/>
    <mergeCell ref="BH4:BH9"/>
    <mergeCell ref="AE6:AE9"/>
    <mergeCell ref="AF6:AO6"/>
    <mergeCell ref="U7:U9"/>
    <mergeCell ref="V7:V9"/>
    <mergeCell ref="X7:X9"/>
    <mergeCell ref="Y7:Y9"/>
    <mergeCell ref="AN7:AO9"/>
    <mergeCell ref="AH7:AM8"/>
    <mergeCell ref="AJ9:AK9"/>
    <mergeCell ref="AL9:AM9"/>
    <mergeCell ref="AQ7:AQ9"/>
    <mergeCell ref="AR7:AR9"/>
    <mergeCell ref="AB8:AD8"/>
    <mergeCell ref="AH9:AI9"/>
    <mergeCell ref="O4:Y4"/>
    <mergeCell ref="BI4:BI9"/>
    <mergeCell ref="C5:F7"/>
    <mergeCell ref="G5:M5"/>
    <mergeCell ref="O5:R7"/>
    <mergeCell ref="S5:Y5"/>
    <mergeCell ref="AA5:AD7"/>
    <mergeCell ref="AE5:AR5"/>
    <mergeCell ref="AW5:AY8"/>
    <mergeCell ref="AZ5:BB8"/>
    <mergeCell ref="BC5:BE8"/>
    <mergeCell ref="AA4:AR4"/>
    <mergeCell ref="AS4:AS9"/>
    <mergeCell ref="AT4:AV8"/>
    <mergeCell ref="AW4:BE4"/>
    <mergeCell ref="BF4:BG8"/>
    <mergeCell ref="N4:N9"/>
    <mergeCell ref="Z4:Z9"/>
    <mergeCell ref="G6:G9"/>
    <mergeCell ref="H6:J6"/>
    <mergeCell ref="K6:K9"/>
    <mergeCell ref="L6:M6"/>
    <mergeCell ref="T6:V6"/>
    <mergeCell ref="W6:W9"/>
    <mergeCell ref="AG1711:AL1711"/>
    <mergeCell ref="AG1712:AL1712"/>
    <mergeCell ref="AB1712:AD1712"/>
    <mergeCell ref="A3:B3"/>
    <mergeCell ref="A1:AR1"/>
    <mergeCell ref="A2:B2"/>
    <mergeCell ref="AF2:AG2"/>
    <mergeCell ref="AN2:AO2"/>
    <mergeCell ref="AF3:AG3"/>
    <mergeCell ref="AN3:AO3"/>
    <mergeCell ref="AP6:AP9"/>
    <mergeCell ref="AQ6:AR6"/>
    <mergeCell ref="AF7:AG9"/>
    <mergeCell ref="A4:A9"/>
    <mergeCell ref="B4:B9"/>
    <mergeCell ref="C4:M4"/>
  </mergeCells>
  <conditionalFormatting sqref="A1:AR1 AS1:BI77 AH2 AJ2 AL2 AN2 A2:AF7 AP2:AR9 AH3:AN5 AG4:AG5 AO4:AO5 K6:M9 W6:Y9 AN7 A8:AE9 A10:AR10 AI10:AI18 AK10:AK500 AA11:AR11 AH11:AH18 C11:Z30 A11:A251 AA12:AM17 AN12:AR21 N12:N79 Z12:AB79 AE12:AE87 AP12:AP238 AG13:AG211 AM15:AM211 AO15:AO211 AJ18:AM21 AJ18:AJ29 AA18:AE77 AH20:AI26 AJ22:AR77 AH29:AH67 AI29:AI79 C31:M77 O31:Y77 AB40:AB87 AA41:AA305 AH69:AH77 AJ77:AJ153 AS78 AB79:AE87 C79:AA119 AJ79:AR192 AH79:AI626 AS79:BI1130 AB91:AE119 AE91:AE255 AB91:AB263 T120:Y192 C120:J194 AA120:AE194 L120:M199 O120:O199 K120:K210 P120:S245 N120:N247 Z120:Z247 AG193:AO225 AP193:AR226 T193:V245 X193:Y251 W193:W1707 H195:J210 E195:G216 AC195:AD217 C195:D219 L200:O200 L201:N210 O201:O1707 H211:N216 E217:N219 AA218:AD221 B219:B251 C220:N251 AA222:AE225 AN226:AO226 Z226:AE251 AG226:AM1130 AN227:AR1130 P246:V1130 A252:N1130 X252:AE1130">
    <cfRule type="cellIs" dxfId="23" priority="99" operator="equal">
      <formula>0</formula>
    </cfRule>
  </conditionalFormatting>
  <conditionalFormatting sqref="AC112">
    <cfRule type="cellIs" dxfId="22" priority="1" operator="equal">
      <formula>0</formula>
    </cfRule>
  </conditionalFormatting>
  <conditionalFormatting sqref="AF18:AF29 AL18:AL29 AN18:AN29">
    <cfRule type="expression" dxfId="21" priority="65">
      <formula>AND(AF18&gt;0,AG18=0)</formula>
    </cfRule>
  </conditionalFormatting>
  <conditionalFormatting sqref="AF53:AF54">
    <cfRule type="cellIs" dxfId="20" priority="4" operator="equal">
      <formula>0</formula>
    </cfRule>
  </conditionalFormatting>
  <conditionalFormatting sqref="AF73">
    <cfRule type="cellIs" dxfId="19" priority="2" operator="equal">
      <formula>0</formula>
    </cfRule>
  </conditionalFormatting>
  <conditionalFormatting sqref="AF112">
    <cfRule type="cellIs" dxfId="18" priority="3" operator="equal">
      <formula>0</formula>
    </cfRule>
  </conditionalFormatting>
  <conditionalFormatting sqref="AF172:AF187 AL172:AL187 AN172:AN187">
    <cfRule type="expression" dxfId="17" priority="67">
      <formula>AND(AF172&gt;0,AG172=0)</formula>
    </cfRule>
  </conditionalFormatting>
  <conditionalFormatting sqref="AF200:AF203 AL200:AL203 AN200:AN203">
    <cfRule type="expression" dxfId="16" priority="64">
      <formula>AND(AF200&gt;0,AG200=0)</formula>
    </cfRule>
  </conditionalFormatting>
  <conditionalFormatting sqref="AF206:AF225 AL206:AL1130 AN206:AN1130">
    <cfRule type="expression" dxfId="15" priority="62">
      <formula>AND(AF206&gt;0,AG206=0)</formula>
    </cfRule>
  </conditionalFormatting>
  <conditionalFormatting sqref="AH18">
    <cfRule type="expression" dxfId="14" priority="23">
      <formula>AND(AH18&gt;0,AI18=0)</formula>
    </cfRule>
  </conditionalFormatting>
  <conditionalFormatting sqref="AH20:AH26">
    <cfRule type="expression" dxfId="13" priority="21">
      <formula>AND(AH20&gt;0,AI20=0)</formula>
    </cfRule>
  </conditionalFormatting>
  <conditionalFormatting sqref="AH29">
    <cfRule type="expression" dxfId="12" priority="22">
      <formula>AND(AH29&gt;0,AI29=0)</formula>
    </cfRule>
  </conditionalFormatting>
  <conditionalFormatting sqref="AH32:AH35">
    <cfRule type="expression" dxfId="11" priority="16">
      <formula>AND(AH32&gt;0,AI32=0)</formula>
    </cfRule>
  </conditionalFormatting>
  <conditionalFormatting sqref="AH70">
    <cfRule type="expression" dxfId="10" priority="7">
      <formula>AND(AH70&gt;0,AI70=0)</formula>
    </cfRule>
  </conditionalFormatting>
  <conditionalFormatting sqref="AH77">
    <cfRule type="expression" dxfId="9" priority="172">
      <formula>AND(AH77&gt;0,AM77=0)</formula>
    </cfRule>
  </conditionalFormatting>
  <conditionalFormatting sqref="AH79">
    <cfRule type="expression" dxfId="8" priority="5">
      <formula>AND(AH79&gt;0,AM79=0)</formula>
    </cfRule>
  </conditionalFormatting>
  <conditionalFormatting sqref="AH90">
    <cfRule type="expression" dxfId="7" priority="6">
      <formula>AND(AH90&gt;0,AI90=0)</formula>
    </cfRule>
  </conditionalFormatting>
  <conditionalFormatting sqref="AJ18:AJ29">
    <cfRule type="expression" dxfId="6" priority="24">
      <formula>AND(AJ18&gt;0,AK18=0)</formula>
    </cfRule>
  </conditionalFormatting>
  <conditionalFormatting sqref="AJ32:AJ153">
    <cfRule type="expression" dxfId="5" priority="8">
      <formula>AND(AJ32&gt;0,AK32=0)</formula>
    </cfRule>
  </conditionalFormatting>
  <conditionalFormatting sqref="AJ20:AK20">
    <cfRule type="expression" dxfId="4" priority="35">
      <formula>AND(AJ20&gt;0,AL20=0)</formula>
    </cfRule>
  </conditionalFormatting>
  <dataValidations xWindow="1573" yWindow="296" count="3">
    <dataValidation type="list" allowBlank="1" showInputMessage="1" showErrorMessage="1" error="Виберіть елемент витрат із розкриваємого списку" promptTitle="Виберіть елемент  із списку:" prompt="ел - технологічна електроенергія_x000a_вода - вода для технологічних потреб та водовідведення_x000a_мат - матеріали, запасні частини та інші матеріальні ресурси_x000a_іп - інші прямі витрати" sqref="AK212:AK1130 AJ154:AJ1130 AM212:AM1130 AH579:AI1130 AI212:AI500 AG212:AG1130" xr:uid="{00000000-0002-0000-4200-000000000000}">
      <formula1>$BJ$11:$BJ$14</formula1>
    </dataValidation>
    <dataValidation type="list" allowBlank="1" showInputMessage="1" showErrorMessage="1" error="Виберіть елемент витрат із розкриваємого списку" promptTitle="Виберіть елемент із списку:" prompt="пмв - прямі матеріальні витрати_x000a_іп - інші прямі витрати" sqref="AO212:AO1130" xr:uid="{00000000-0002-0000-4200-000001000000}">
      <formula1>$BK$11:$BK$12</formula1>
    </dataValidation>
    <dataValidation type="list" allowBlank="1" showInputMessage="1" showErrorMessage="1" error="Виберіть елемент витрат із розкриваємого списку" promptTitle="Виберіть елемент  із списку:" prompt="ел - технологічна електроенергія_x000a_вода - вода для технологічних потреб та водовідведення_x000a_мат - матеріали, запасні частини та інші матеріальні ресурси_x000a_іп - інші прямі витрати" sqref="AG12:AG211 AK15:AK211 AO15:AO211 AM15:AM211 AI12:AI211" xr:uid="{00000000-0002-0000-4200-000002000000}">
      <formula1>$BJ$11:$BJ$20</formula1>
    </dataValidation>
  </dataValidations>
  <pageMargins left="0.15748031496062992" right="0.15748031496062992" top="0.74803149606299213" bottom="0.51181102362204722" header="0.31496062992125984" footer="0.23622047244094491"/>
  <pageSetup paperSize="9" scale="93" fitToHeight="8" orientation="landscape" horizontalDpi="0" verticalDpi="0" r:id="rId1"/>
  <headerFooter>
    <oddFooter>&amp;RСтор. &amp;P з &amp;N</oddFooter>
  </headerFooter>
  <ignoredErrors>
    <ignoredError sqref="AJ32 AG1711 B1711" unlockedFormula="1"/>
  </ignoredErrors>
  <legacyDrawing r:id="rId2"/>
</worksheet>
</file>

<file path=xl/worksheets/sheet6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300-000000000000}">
  <sheetPr codeName="Лист65">
    <tabColor rgb="FF92D050"/>
    <pageSetUpPr fitToPage="1"/>
  </sheetPr>
  <dimension ref="A1:K12"/>
  <sheetViews>
    <sheetView zoomScale="75" zoomScaleNormal="75" workbookViewId="0">
      <selection activeCell="D7" sqref="D7"/>
    </sheetView>
  </sheetViews>
  <sheetFormatPr defaultColWidth="8.88671875" defaultRowHeight="15.6" x14ac:dyDescent="0.3"/>
  <cols>
    <col min="1" max="1" width="8.88671875" style="379"/>
    <col min="2" max="2" width="6.6640625" style="380" customWidth="1"/>
    <col min="3" max="3" width="33.44140625" style="381" customWidth="1"/>
    <col min="4" max="4" width="12.33203125" style="382" customWidth="1"/>
    <col min="5" max="6" width="10.6640625" style="382" customWidth="1"/>
    <col min="7" max="10" width="12.6640625" style="382" customWidth="1"/>
    <col min="11" max="11" width="24.5546875" style="2412" customWidth="1"/>
    <col min="12" max="16384" width="8.88671875" style="382"/>
  </cols>
  <sheetData>
    <row r="1" spans="1:11" s="2416" customFormat="1" x14ac:dyDescent="0.3">
      <c r="A1" s="2413"/>
      <c r="B1" s="5537" t="s">
        <v>2529</v>
      </c>
      <c r="C1" s="5537"/>
      <c r="D1" s="5537"/>
      <c r="E1" s="5537"/>
      <c r="F1" s="2415"/>
      <c r="G1" s="2411"/>
      <c r="H1" s="2416" t="str">
        <f>'Вхідні дані'!F6</f>
        <v>2023-2024</v>
      </c>
      <c r="I1" s="2411"/>
      <c r="J1" s="2411"/>
    </row>
    <row r="2" spans="1:11" s="2416" customFormat="1" ht="16.2" thickBot="1" x14ac:dyDescent="0.35">
      <c r="A2" s="379"/>
      <c r="B2" s="380"/>
      <c r="C2" s="381"/>
      <c r="D2" s="382"/>
      <c r="E2" s="382"/>
      <c r="F2" s="382"/>
      <c r="G2" s="382"/>
      <c r="H2" s="382"/>
      <c r="I2" s="382"/>
      <c r="J2" s="382" t="s">
        <v>967</v>
      </c>
    </row>
    <row r="3" spans="1:11" s="2416" customFormat="1" ht="36.6" customHeight="1" thickBot="1" x14ac:dyDescent="0.35">
      <c r="A3" s="379"/>
      <c r="B3" s="2417" t="s">
        <v>968</v>
      </c>
      <c r="C3" s="2418" t="s">
        <v>2468</v>
      </c>
      <c r="D3" s="2419" t="s">
        <v>869</v>
      </c>
      <c r="E3" s="2419" t="s">
        <v>928</v>
      </c>
      <c r="F3" s="2419" t="s">
        <v>902</v>
      </c>
      <c r="G3" s="2419" t="s">
        <v>970</v>
      </c>
      <c r="H3" s="2419" t="s">
        <v>971</v>
      </c>
      <c r="I3" s="2419" t="s">
        <v>972</v>
      </c>
      <c r="J3" s="2420" t="s">
        <v>973</v>
      </c>
    </row>
    <row r="4" spans="1:11" s="2416" customFormat="1" x14ac:dyDescent="0.3">
      <c r="B4" s="2421">
        <v>1</v>
      </c>
      <c r="C4" s="3852" t="s">
        <v>969</v>
      </c>
      <c r="D4" s="2423">
        <v>20.826779999999999</v>
      </c>
      <c r="E4" s="2423">
        <v>23.812699999999996</v>
      </c>
      <c r="F4" s="2423">
        <v>1.2658</v>
      </c>
      <c r="G4" s="2423">
        <v>4.4302999999999999</v>
      </c>
      <c r="H4" s="2424">
        <v>8.0015800000000006</v>
      </c>
      <c r="I4" s="2425">
        <v>4.3256199999999998</v>
      </c>
      <c r="J4" s="2429">
        <f>SUM(D4:I4)</f>
        <v>62.662779999999998</v>
      </c>
    </row>
    <row r="5" spans="1:11" x14ac:dyDescent="0.3">
      <c r="B5" s="2410">
        <f>B4+1</f>
        <v>2</v>
      </c>
      <c r="C5" s="3851" t="s">
        <v>3221</v>
      </c>
      <c r="D5" s="2428">
        <v>0.35549999999999998</v>
      </c>
      <c r="E5" s="2428">
        <v>3.8664999999999998</v>
      </c>
      <c r="F5" s="2428">
        <v>0</v>
      </c>
      <c r="G5" s="2428">
        <v>0.35549999999999998</v>
      </c>
      <c r="H5" s="2428">
        <v>9.9600000000000009</v>
      </c>
      <c r="I5" s="2428">
        <v>22.08</v>
      </c>
      <c r="J5" s="2429">
        <f>SUM(D5:I5)</f>
        <v>36.6175</v>
      </c>
    </row>
    <row r="6" spans="1:11" x14ac:dyDescent="0.3">
      <c r="B6" s="2410">
        <f>B5+1</f>
        <v>3</v>
      </c>
      <c r="C6" s="3851" t="s">
        <v>3222</v>
      </c>
      <c r="D6" s="2428">
        <v>139.53451999999999</v>
      </c>
      <c r="E6" s="2428">
        <v>190.24850000000006</v>
      </c>
      <c r="F6" s="2428">
        <v>0</v>
      </c>
      <c r="G6" s="2428">
        <v>46.829499999999989</v>
      </c>
      <c r="H6" s="2428">
        <v>36.379869999999997</v>
      </c>
      <c r="I6" s="2428">
        <v>8.2819900000000004</v>
      </c>
      <c r="J6" s="2429">
        <f>SUM(D6:I6)</f>
        <v>421.27438000000006</v>
      </c>
    </row>
    <row r="7" spans="1:11" x14ac:dyDescent="0.3">
      <c r="B7" s="2410">
        <f>B6+1</f>
        <v>4</v>
      </c>
      <c r="C7" s="3851" t="s">
        <v>3223</v>
      </c>
      <c r="D7" s="2428">
        <v>2.4</v>
      </c>
      <c r="E7" s="2428">
        <v>2.4</v>
      </c>
      <c r="F7" s="2428">
        <v>0</v>
      </c>
      <c r="G7" s="2428">
        <v>0</v>
      </c>
      <c r="H7" s="2428">
        <v>0</v>
      </c>
      <c r="I7" s="2428">
        <v>0</v>
      </c>
      <c r="J7" s="2429">
        <f>SUM(D7:I7)</f>
        <v>4.8</v>
      </c>
    </row>
    <row r="8" spans="1:11" x14ac:dyDescent="0.3">
      <c r="B8" s="2410">
        <f>B7+1</f>
        <v>5</v>
      </c>
      <c r="C8" s="3851" t="s">
        <v>3224</v>
      </c>
      <c r="D8" s="2428">
        <v>37.106920000000002</v>
      </c>
      <c r="E8" s="2428">
        <v>24.863100000000003</v>
      </c>
      <c r="F8" s="2428">
        <v>0</v>
      </c>
      <c r="G8" s="2428">
        <v>0.81347000000000003</v>
      </c>
      <c r="H8" s="2428">
        <v>4.6513999999999998</v>
      </c>
      <c r="I8" s="2428">
        <v>0</v>
      </c>
      <c r="J8" s="2429">
        <f>SUM(D8:I8)</f>
        <v>67.43489000000001</v>
      </c>
    </row>
    <row r="9" spans="1:11" s="384" customFormat="1" x14ac:dyDescent="0.3">
      <c r="A9" s="2413"/>
      <c r="B9" s="2430"/>
      <c r="C9" s="2431" t="s">
        <v>973</v>
      </c>
      <c r="D9" s="2432">
        <f>SUM(D4:D8)</f>
        <v>200.22371999999999</v>
      </c>
      <c r="E9" s="2432">
        <f t="shared" ref="E9:J9" si="0">SUM(E4:E8)</f>
        <v>245.19080000000008</v>
      </c>
      <c r="F9" s="2432">
        <f t="shared" si="0"/>
        <v>1.2658</v>
      </c>
      <c r="G9" s="2432">
        <f t="shared" si="0"/>
        <v>52.428769999999993</v>
      </c>
      <c r="H9" s="2432">
        <f t="shared" si="0"/>
        <v>58.992849999999997</v>
      </c>
      <c r="I9" s="2432">
        <f t="shared" si="0"/>
        <v>34.687609999999999</v>
      </c>
      <c r="J9" s="2432">
        <f t="shared" si="0"/>
        <v>592.78954999999996</v>
      </c>
      <c r="K9" s="383"/>
    </row>
    <row r="10" spans="1:11" ht="16.2" thickBot="1" x14ac:dyDescent="0.35">
      <c r="B10" s="2433"/>
      <c r="C10" s="2434"/>
      <c r="D10" s="2435"/>
      <c r="E10" s="2435"/>
      <c r="F10" s="2435"/>
      <c r="G10" s="2435"/>
      <c r="H10" s="2435"/>
      <c r="I10" s="2435"/>
      <c r="J10" s="2436"/>
    </row>
    <row r="12" spans="1:11" ht="31.2" x14ac:dyDescent="0.3">
      <c r="C12" s="381" t="s">
        <v>3687</v>
      </c>
    </row>
  </sheetData>
  <mergeCells count="1">
    <mergeCell ref="B1:E1"/>
  </mergeCells>
  <pageMargins left="0.15748031496062992" right="0.19685039370078741" top="0.85" bottom="0.31" header="0.19685039370078741" footer="0.23"/>
  <pageSetup paperSize="9" scale="80" fitToHeight="4" orientation="landscape" horizontalDpi="300" verticalDpi="300" r:id="rId1"/>
</worksheet>
</file>

<file path=xl/worksheets/sheet6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400-000000000000}">
  <sheetPr codeName="Лист66">
    <tabColor rgb="FF92D050"/>
    <pageSetUpPr fitToPage="1"/>
  </sheetPr>
  <dimension ref="A1:O66"/>
  <sheetViews>
    <sheetView topLeftCell="A15" zoomScaleNormal="100" workbookViewId="0">
      <selection activeCell="J22" sqref="J22"/>
    </sheetView>
  </sheetViews>
  <sheetFormatPr defaultRowHeight="13.8" x14ac:dyDescent="0.25"/>
  <cols>
    <col min="1" max="1" width="7" style="421" bestFit="1" customWidth="1"/>
    <col min="2" max="2" width="44.109375" style="421" customWidth="1"/>
    <col min="3" max="3" width="12.44140625" style="421" bestFit="1" customWidth="1"/>
    <col min="4" max="4" width="14.33203125" style="421" bestFit="1" customWidth="1"/>
    <col min="5" max="5" width="15" style="421" customWidth="1"/>
    <col min="6" max="6" width="18.5546875" style="421" customWidth="1"/>
    <col min="7" max="7" width="14.109375" style="421" customWidth="1"/>
    <col min="8" max="8" width="15.33203125" style="421" customWidth="1"/>
    <col min="9" max="9" width="12.6640625" style="421" customWidth="1"/>
    <col min="10" max="10" width="13.109375" style="582" bestFit="1" customWidth="1"/>
    <col min="11" max="11" width="10.6640625" style="421" bestFit="1" customWidth="1"/>
    <col min="12" max="12" width="10.6640625" style="421" customWidth="1"/>
    <col min="13" max="238" width="9.109375" style="421"/>
    <col min="239" max="239" width="7" style="421" bestFit="1" customWidth="1"/>
    <col min="240" max="240" width="40.6640625" style="421" customWidth="1"/>
    <col min="241" max="241" width="13.44140625" style="421" customWidth="1"/>
    <col min="242" max="242" width="12.6640625" style="421" customWidth="1"/>
    <col min="243" max="243" width="13.6640625" style="421" customWidth="1"/>
    <col min="244" max="244" width="12.6640625" style="421" customWidth="1"/>
    <col min="245" max="245" width="20.109375" style="421" bestFit="1" customWidth="1"/>
    <col min="246" max="246" width="13.6640625" style="421" customWidth="1"/>
    <col min="247" max="247" width="15.5546875" style="421" customWidth="1"/>
    <col min="248" max="494" width="9.109375" style="421"/>
    <col min="495" max="495" width="7" style="421" bestFit="1" customWidth="1"/>
    <col min="496" max="496" width="40.6640625" style="421" customWidth="1"/>
    <col min="497" max="497" width="13.44140625" style="421" customWidth="1"/>
    <col min="498" max="498" width="12.6640625" style="421" customWidth="1"/>
    <col min="499" max="499" width="13.6640625" style="421" customWidth="1"/>
    <col min="500" max="500" width="12.6640625" style="421" customWidth="1"/>
    <col min="501" max="501" width="20.109375" style="421" bestFit="1" customWidth="1"/>
    <col min="502" max="502" width="13.6640625" style="421" customWidth="1"/>
    <col min="503" max="503" width="15.5546875" style="421" customWidth="1"/>
    <col min="504" max="750" width="9.109375" style="421"/>
    <col min="751" max="751" width="7" style="421" bestFit="1" customWidth="1"/>
    <col min="752" max="752" width="40.6640625" style="421" customWidth="1"/>
    <col min="753" max="753" width="13.44140625" style="421" customWidth="1"/>
    <col min="754" max="754" width="12.6640625" style="421" customWidth="1"/>
    <col min="755" max="755" width="13.6640625" style="421" customWidth="1"/>
    <col min="756" max="756" width="12.6640625" style="421" customWidth="1"/>
    <col min="757" max="757" width="20.109375" style="421" bestFit="1" customWidth="1"/>
    <col min="758" max="758" width="13.6640625" style="421" customWidth="1"/>
    <col min="759" max="759" width="15.5546875" style="421" customWidth="1"/>
    <col min="760" max="1006" width="9.109375" style="421"/>
    <col min="1007" max="1007" width="7" style="421" bestFit="1" customWidth="1"/>
    <col min="1008" max="1008" width="40.6640625" style="421" customWidth="1"/>
    <col min="1009" max="1009" width="13.44140625" style="421" customWidth="1"/>
    <col min="1010" max="1010" width="12.6640625" style="421" customWidth="1"/>
    <col min="1011" max="1011" width="13.6640625" style="421" customWidth="1"/>
    <col min="1012" max="1012" width="12.6640625" style="421" customWidth="1"/>
    <col min="1013" max="1013" width="20.109375" style="421" bestFit="1" customWidth="1"/>
    <col min="1014" max="1014" width="13.6640625" style="421" customWidth="1"/>
    <col min="1015" max="1015" width="15.5546875" style="421" customWidth="1"/>
    <col min="1016" max="1262" width="9.109375" style="421"/>
    <col min="1263" max="1263" width="7" style="421" bestFit="1" customWidth="1"/>
    <col min="1264" max="1264" width="40.6640625" style="421" customWidth="1"/>
    <col min="1265" max="1265" width="13.44140625" style="421" customWidth="1"/>
    <col min="1266" max="1266" width="12.6640625" style="421" customWidth="1"/>
    <col min="1267" max="1267" width="13.6640625" style="421" customWidth="1"/>
    <col min="1268" max="1268" width="12.6640625" style="421" customWidth="1"/>
    <col min="1269" max="1269" width="20.109375" style="421" bestFit="1" customWidth="1"/>
    <col min="1270" max="1270" width="13.6640625" style="421" customWidth="1"/>
    <col min="1271" max="1271" width="15.5546875" style="421" customWidth="1"/>
    <col min="1272" max="1518" width="9.109375" style="421"/>
    <col min="1519" max="1519" width="7" style="421" bestFit="1" customWidth="1"/>
    <col min="1520" max="1520" width="40.6640625" style="421" customWidth="1"/>
    <col min="1521" max="1521" width="13.44140625" style="421" customWidth="1"/>
    <col min="1522" max="1522" width="12.6640625" style="421" customWidth="1"/>
    <col min="1523" max="1523" width="13.6640625" style="421" customWidth="1"/>
    <col min="1524" max="1524" width="12.6640625" style="421" customWidth="1"/>
    <col min="1525" max="1525" width="20.109375" style="421" bestFit="1" customWidth="1"/>
    <col min="1526" max="1526" width="13.6640625" style="421" customWidth="1"/>
    <col min="1527" max="1527" width="15.5546875" style="421" customWidth="1"/>
    <col min="1528" max="1774" width="9.109375" style="421"/>
    <col min="1775" max="1775" width="7" style="421" bestFit="1" customWidth="1"/>
    <col min="1776" max="1776" width="40.6640625" style="421" customWidth="1"/>
    <col min="1777" max="1777" width="13.44140625" style="421" customWidth="1"/>
    <col min="1778" max="1778" width="12.6640625" style="421" customWidth="1"/>
    <col min="1779" max="1779" width="13.6640625" style="421" customWidth="1"/>
    <col min="1780" max="1780" width="12.6640625" style="421" customWidth="1"/>
    <col min="1781" max="1781" width="20.109375" style="421" bestFit="1" customWidth="1"/>
    <col min="1782" max="1782" width="13.6640625" style="421" customWidth="1"/>
    <col min="1783" max="1783" width="15.5546875" style="421" customWidth="1"/>
    <col min="1784" max="2030" width="9.109375" style="421"/>
    <col min="2031" max="2031" width="7" style="421" bestFit="1" customWidth="1"/>
    <col min="2032" max="2032" width="40.6640625" style="421" customWidth="1"/>
    <col min="2033" max="2033" width="13.44140625" style="421" customWidth="1"/>
    <col min="2034" max="2034" width="12.6640625" style="421" customWidth="1"/>
    <col min="2035" max="2035" width="13.6640625" style="421" customWidth="1"/>
    <col min="2036" max="2036" width="12.6640625" style="421" customWidth="1"/>
    <col min="2037" max="2037" width="20.109375" style="421" bestFit="1" customWidth="1"/>
    <col min="2038" max="2038" width="13.6640625" style="421" customWidth="1"/>
    <col min="2039" max="2039" width="15.5546875" style="421" customWidth="1"/>
    <col min="2040" max="2286" width="9.109375" style="421"/>
    <col min="2287" max="2287" width="7" style="421" bestFit="1" customWidth="1"/>
    <col min="2288" max="2288" width="40.6640625" style="421" customWidth="1"/>
    <col min="2289" max="2289" width="13.44140625" style="421" customWidth="1"/>
    <col min="2290" max="2290" width="12.6640625" style="421" customWidth="1"/>
    <col min="2291" max="2291" width="13.6640625" style="421" customWidth="1"/>
    <col min="2292" max="2292" width="12.6640625" style="421" customWidth="1"/>
    <col min="2293" max="2293" width="20.109375" style="421" bestFit="1" customWidth="1"/>
    <col min="2294" max="2294" width="13.6640625" style="421" customWidth="1"/>
    <col min="2295" max="2295" width="15.5546875" style="421" customWidth="1"/>
    <col min="2296" max="2542" width="9.109375" style="421"/>
    <col min="2543" max="2543" width="7" style="421" bestFit="1" customWidth="1"/>
    <col min="2544" max="2544" width="40.6640625" style="421" customWidth="1"/>
    <col min="2545" max="2545" width="13.44140625" style="421" customWidth="1"/>
    <col min="2546" max="2546" width="12.6640625" style="421" customWidth="1"/>
    <col min="2547" max="2547" width="13.6640625" style="421" customWidth="1"/>
    <col min="2548" max="2548" width="12.6640625" style="421" customWidth="1"/>
    <col min="2549" max="2549" width="20.109375" style="421" bestFit="1" customWidth="1"/>
    <col min="2550" max="2550" width="13.6640625" style="421" customWidth="1"/>
    <col min="2551" max="2551" width="15.5546875" style="421" customWidth="1"/>
    <col min="2552" max="2798" width="9.109375" style="421"/>
    <col min="2799" max="2799" width="7" style="421" bestFit="1" customWidth="1"/>
    <col min="2800" max="2800" width="40.6640625" style="421" customWidth="1"/>
    <col min="2801" max="2801" width="13.44140625" style="421" customWidth="1"/>
    <col min="2802" max="2802" width="12.6640625" style="421" customWidth="1"/>
    <col min="2803" max="2803" width="13.6640625" style="421" customWidth="1"/>
    <col min="2804" max="2804" width="12.6640625" style="421" customWidth="1"/>
    <col min="2805" max="2805" width="20.109375" style="421" bestFit="1" customWidth="1"/>
    <col min="2806" max="2806" width="13.6640625" style="421" customWidth="1"/>
    <col min="2807" max="2807" width="15.5546875" style="421" customWidth="1"/>
    <col min="2808" max="3054" width="9.109375" style="421"/>
    <col min="3055" max="3055" width="7" style="421" bestFit="1" customWidth="1"/>
    <col min="3056" max="3056" width="40.6640625" style="421" customWidth="1"/>
    <col min="3057" max="3057" width="13.44140625" style="421" customWidth="1"/>
    <col min="3058" max="3058" width="12.6640625" style="421" customWidth="1"/>
    <col min="3059" max="3059" width="13.6640625" style="421" customWidth="1"/>
    <col min="3060" max="3060" width="12.6640625" style="421" customWidth="1"/>
    <col min="3061" max="3061" width="20.109375" style="421" bestFit="1" customWidth="1"/>
    <col min="3062" max="3062" width="13.6640625" style="421" customWidth="1"/>
    <col min="3063" max="3063" width="15.5546875" style="421" customWidth="1"/>
    <col min="3064" max="3310" width="9.109375" style="421"/>
    <col min="3311" max="3311" width="7" style="421" bestFit="1" customWidth="1"/>
    <col min="3312" max="3312" width="40.6640625" style="421" customWidth="1"/>
    <col min="3313" max="3313" width="13.44140625" style="421" customWidth="1"/>
    <col min="3314" max="3314" width="12.6640625" style="421" customWidth="1"/>
    <col min="3315" max="3315" width="13.6640625" style="421" customWidth="1"/>
    <col min="3316" max="3316" width="12.6640625" style="421" customWidth="1"/>
    <col min="3317" max="3317" width="20.109375" style="421" bestFit="1" customWidth="1"/>
    <col min="3318" max="3318" width="13.6640625" style="421" customWidth="1"/>
    <col min="3319" max="3319" width="15.5546875" style="421" customWidth="1"/>
    <col min="3320" max="3566" width="9.109375" style="421"/>
    <col min="3567" max="3567" width="7" style="421" bestFit="1" customWidth="1"/>
    <col min="3568" max="3568" width="40.6640625" style="421" customWidth="1"/>
    <col min="3569" max="3569" width="13.44140625" style="421" customWidth="1"/>
    <col min="3570" max="3570" width="12.6640625" style="421" customWidth="1"/>
    <col min="3571" max="3571" width="13.6640625" style="421" customWidth="1"/>
    <col min="3572" max="3572" width="12.6640625" style="421" customWidth="1"/>
    <col min="3573" max="3573" width="20.109375" style="421" bestFit="1" customWidth="1"/>
    <col min="3574" max="3574" width="13.6640625" style="421" customWidth="1"/>
    <col min="3575" max="3575" width="15.5546875" style="421" customWidth="1"/>
    <col min="3576" max="3822" width="9.109375" style="421"/>
    <col min="3823" max="3823" width="7" style="421" bestFit="1" customWidth="1"/>
    <col min="3824" max="3824" width="40.6640625" style="421" customWidth="1"/>
    <col min="3825" max="3825" width="13.44140625" style="421" customWidth="1"/>
    <col min="3826" max="3826" width="12.6640625" style="421" customWidth="1"/>
    <col min="3827" max="3827" width="13.6640625" style="421" customWidth="1"/>
    <col min="3828" max="3828" width="12.6640625" style="421" customWidth="1"/>
    <col min="3829" max="3829" width="20.109375" style="421" bestFit="1" customWidth="1"/>
    <col min="3830" max="3830" width="13.6640625" style="421" customWidth="1"/>
    <col min="3831" max="3831" width="15.5546875" style="421" customWidth="1"/>
    <col min="3832" max="4078" width="9.109375" style="421"/>
    <col min="4079" max="4079" width="7" style="421" bestFit="1" customWidth="1"/>
    <col min="4080" max="4080" width="40.6640625" style="421" customWidth="1"/>
    <col min="4081" max="4081" width="13.44140625" style="421" customWidth="1"/>
    <col min="4082" max="4082" width="12.6640625" style="421" customWidth="1"/>
    <col min="4083" max="4083" width="13.6640625" style="421" customWidth="1"/>
    <col min="4084" max="4084" width="12.6640625" style="421" customWidth="1"/>
    <col min="4085" max="4085" width="20.109375" style="421" bestFit="1" customWidth="1"/>
    <col min="4086" max="4086" width="13.6640625" style="421" customWidth="1"/>
    <col min="4087" max="4087" width="15.5546875" style="421" customWidth="1"/>
    <col min="4088" max="4334" width="9.109375" style="421"/>
    <col min="4335" max="4335" width="7" style="421" bestFit="1" customWidth="1"/>
    <col min="4336" max="4336" width="40.6640625" style="421" customWidth="1"/>
    <col min="4337" max="4337" width="13.44140625" style="421" customWidth="1"/>
    <col min="4338" max="4338" width="12.6640625" style="421" customWidth="1"/>
    <col min="4339" max="4339" width="13.6640625" style="421" customWidth="1"/>
    <col min="4340" max="4340" width="12.6640625" style="421" customWidth="1"/>
    <col min="4341" max="4341" width="20.109375" style="421" bestFit="1" customWidth="1"/>
    <col min="4342" max="4342" width="13.6640625" style="421" customWidth="1"/>
    <col min="4343" max="4343" width="15.5546875" style="421" customWidth="1"/>
    <col min="4344" max="4590" width="9.109375" style="421"/>
    <col min="4591" max="4591" width="7" style="421" bestFit="1" customWidth="1"/>
    <col min="4592" max="4592" width="40.6640625" style="421" customWidth="1"/>
    <col min="4593" max="4593" width="13.44140625" style="421" customWidth="1"/>
    <col min="4594" max="4594" width="12.6640625" style="421" customWidth="1"/>
    <col min="4595" max="4595" width="13.6640625" style="421" customWidth="1"/>
    <col min="4596" max="4596" width="12.6640625" style="421" customWidth="1"/>
    <col min="4597" max="4597" width="20.109375" style="421" bestFit="1" customWidth="1"/>
    <col min="4598" max="4598" width="13.6640625" style="421" customWidth="1"/>
    <col min="4599" max="4599" width="15.5546875" style="421" customWidth="1"/>
    <col min="4600" max="4846" width="9.109375" style="421"/>
    <col min="4847" max="4847" width="7" style="421" bestFit="1" customWidth="1"/>
    <col min="4848" max="4848" width="40.6640625" style="421" customWidth="1"/>
    <col min="4849" max="4849" width="13.44140625" style="421" customWidth="1"/>
    <col min="4850" max="4850" width="12.6640625" style="421" customWidth="1"/>
    <col min="4851" max="4851" width="13.6640625" style="421" customWidth="1"/>
    <col min="4852" max="4852" width="12.6640625" style="421" customWidth="1"/>
    <col min="4853" max="4853" width="20.109375" style="421" bestFit="1" customWidth="1"/>
    <col min="4854" max="4854" width="13.6640625" style="421" customWidth="1"/>
    <col min="4855" max="4855" width="15.5546875" style="421" customWidth="1"/>
    <col min="4856" max="5102" width="9.109375" style="421"/>
    <col min="5103" max="5103" width="7" style="421" bestFit="1" customWidth="1"/>
    <col min="5104" max="5104" width="40.6640625" style="421" customWidth="1"/>
    <col min="5105" max="5105" width="13.44140625" style="421" customWidth="1"/>
    <col min="5106" max="5106" width="12.6640625" style="421" customWidth="1"/>
    <col min="5107" max="5107" width="13.6640625" style="421" customWidth="1"/>
    <col min="5108" max="5108" width="12.6640625" style="421" customWidth="1"/>
    <col min="5109" max="5109" width="20.109375" style="421" bestFit="1" customWidth="1"/>
    <col min="5110" max="5110" width="13.6640625" style="421" customWidth="1"/>
    <col min="5111" max="5111" width="15.5546875" style="421" customWidth="1"/>
    <col min="5112" max="5358" width="9.109375" style="421"/>
    <col min="5359" max="5359" width="7" style="421" bestFit="1" customWidth="1"/>
    <col min="5360" max="5360" width="40.6640625" style="421" customWidth="1"/>
    <col min="5361" max="5361" width="13.44140625" style="421" customWidth="1"/>
    <col min="5362" max="5362" width="12.6640625" style="421" customWidth="1"/>
    <col min="5363" max="5363" width="13.6640625" style="421" customWidth="1"/>
    <col min="5364" max="5364" width="12.6640625" style="421" customWidth="1"/>
    <col min="5365" max="5365" width="20.109375" style="421" bestFit="1" customWidth="1"/>
    <col min="5366" max="5366" width="13.6640625" style="421" customWidth="1"/>
    <col min="5367" max="5367" width="15.5546875" style="421" customWidth="1"/>
    <col min="5368" max="5614" width="9.109375" style="421"/>
    <col min="5615" max="5615" width="7" style="421" bestFit="1" customWidth="1"/>
    <col min="5616" max="5616" width="40.6640625" style="421" customWidth="1"/>
    <col min="5617" max="5617" width="13.44140625" style="421" customWidth="1"/>
    <col min="5618" max="5618" width="12.6640625" style="421" customWidth="1"/>
    <col min="5619" max="5619" width="13.6640625" style="421" customWidth="1"/>
    <col min="5620" max="5620" width="12.6640625" style="421" customWidth="1"/>
    <col min="5621" max="5621" width="20.109375" style="421" bestFit="1" customWidth="1"/>
    <col min="5622" max="5622" width="13.6640625" style="421" customWidth="1"/>
    <col min="5623" max="5623" width="15.5546875" style="421" customWidth="1"/>
    <col min="5624" max="5870" width="9.109375" style="421"/>
    <col min="5871" max="5871" width="7" style="421" bestFit="1" customWidth="1"/>
    <col min="5872" max="5872" width="40.6640625" style="421" customWidth="1"/>
    <col min="5873" max="5873" width="13.44140625" style="421" customWidth="1"/>
    <col min="5874" max="5874" width="12.6640625" style="421" customWidth="1"/>
    <col min="5875" max="5875" width="13.6640625" style="421" customWidth="1"/>
    <col min="5876" max="5876" width="12.6640625" style="421" customWidth="1"/>
    <col min="5877" max="5877" width="20.109375" style="421" bestFit="1" customWidth="1"/>
    <col min="5878" max="5878" width="13.6640625" style="421" customWidth="1"/>
    <col min="5879" max="5879" width="15.5546875" style="421" customWidth="1"/>
    <col min="5880" max="6126" width="9.109375" style="421"/>
    <col min="6127" max="6127" width="7" style="421" bestFit="1" customWidth="1"/>
    <col min="6128" max="6128" width="40.6640625" style="421" customWidth="1"/>
    <col min="6129" max="6129" width="13.44140625" style="421" customWidth="1"/>
    <col min="6130" max="6130" width="12.6640625" style="421" customWidth="1"/>
    <col min="6131" max="6131" width="13.6640625" style="421" customWidth="1"/>
    <col min="6132" max="6132" width="12.6640625" style="421" customWidth="1"/>
    <col min="6133" max="6133" width="20.109375" style="421" bestFit="1" customWidth="1"/>
    <col min="6134" max="6134" width="13.6640625" style="421" customWidth="1"/>
    <col min="6135" max="6135" width="15.5546875" style="421" customWidth="1"/>
    <col min="6136" max="6382" width="9.109375" style="421"/>
    <col min="6383" max="6383" width="7" style="421" bestFit="1" customWidth="1"/>
    <col min="6384" max="6384" width="40.6640625" style="421" customWidth="1"/>
    <col min="6385" max="6385" width="13.44140625" style="421" customWidth="1"/>
    <col min="6386" max="6386" width="12.6640625" style="421" customWidth="1"/>
    <col min="6387" max="6387" width="13.6640625" style="421" customWidth="1"/>
    <col min="6388" max="6388" width="12.6640625" style="421" customWidth="1"/>
    <col min="6389" max="6389" width="20.109375" style="421" bestFit="1" customWidth="1"/>
    <col min="6390" max="6390" width="13.6640625" style="421" customWidth="1"/>
    <col min="6391" max="6391" width="15.5546875" style="421" customWidth="1"/>
    <col min="6392" max="6638" width="9.109375" style="421"/>
    <col min="6639" max="6639" width="7" style="421" bestFit="1" customWidth="1"/>
    <col min="6640" max="6640" width="40.6640625" style="421" customWidth="1"/>
    <col min="6641" max="6641" width="13.44140625" style="421" customWidth="1"/>
    <col min="6642" max="6642" width="12.6640625" style="421" customWidth="1"/>
    <col min="6643" max="6643" width="13.6640625" style="421" customWidth="1"/>
    <col min="6644" max="6644" width="12.6640625" style="421" customWidth="1"/>
    <col min="6645" max="6645" width="20.109375" style="421" bestFit="1" customWidth="1"/>
    <col min="6646" max="6646" width="13.6640625" style="421" customWidth="1"/>
    <col min="6647" max="6647" width="15.5546875" style="421" customWidth="1"/>
    <col min="6648" max="6894" width="9.109375" style="421"/>
    <col min="6895" max="6895" width="7" style="421" bestFit="1" customWidth="1"/>
    <col min="6896" max="6896" width="40.6640625" style="421" customWidth="1"/>
    <col min="6897" max="6897" width="13.44140625" style="421" customWidth="1"/>
    <col min="6898" max="6898" width="12.6640625" style="421" customWidth="1"/>
    <col min="6899" max="6899" width="13.6640625" style="421" customWidth="1"/>
    <col min="6900" max="6900" width="12.6640625" style="421" customWidth="1"/>
    <col min="6901" max="6901" width="20.109375" style="421" bestFit="1" customWidth="1"/>
    <col min="6902" max="6902" width="13.6640625" style="421" customWidth="1"/>
    <col min="6903" max="6903" width="15.5546875" style="421" customWidth="1"/>
    <col min="6904" max="7150" width="9.109375" style="421"/>
    <col min="7151" max="7151" width="7" style="421" bestFit="1" customWidth="1"/>
    <col min="7152" max="7152" width="40.6640625" style="421" customWidth="1"/>
    <col min="7153" max="7153" width="13.44140625" style="421" customWidth="1"/>
    <col min="7154" max="7154" width="12.6640625" style="421" customWidth="1"/>
    <col min="7155" max="7155" width="13.6640625" style="421" customWidth="1"/>
    <col min="7156" max="7156" width="12.6640625" style="421" customWidth="1"/>
    <col min="7157" max="7157" width="20.109375" style="421" bestFit="1" customWidth="1"/>
    <col min="7158" max="7158" width="13.6640625" style="421" customWidth="1"/>
    <col min="7159" max="7159" width="15.5546875" style="421" customWidth="1"/>
    <col min="7160" max="7406" width="9.109375" style="421"/>
    <col min="7407" max="7407" width="7" style="421" bestFit="1" customWidth="1"/>
    <col min="7408" max="7408" width="40.6640625" style="421" customWidth="1"/>
    <col min="7409" max="7409" width="13.44140625" style="421" customWidth="1"/>
    <col min="7410" max="7410" width="12.6640625" style="421" customWidth="1"/>
    <col min="7411" max="7411" width="13.6640625" style="421" customWidth="1"/>
    <col min="7412" max="7412" width="12.6640625" style="421" customWidth="1"/>
    <col min="7413" max="7413" width="20.109375" style="421" bestFit="1" customWidth="1"/>
    <col min="7414" max="7414" width="13.6640625" style="421" customWidth="1"/>
    <col min="7415" max="7415" width="15.5546875" style="421" customWidth="1"/>
    <col min="7416" max="7662" width="9.109375" style="421"/>
    <col min="7663" max="7663" width="7" style="421" bestFit="1" customWidth="1"/>
    <col min="7664" max="7664" width="40.6640625" style="421" customWidth="1"/>
    <col min="7665" max="7665" width="13.44140625" style="421" customWidth="1"/>
    <col min="7666" max="7666" width="12.6640625" style="421" customWidth="1"/>
    <col min="7667" max="7667" width="13.6640625" style="421" customWidth="1"/>
    <col min="7668" max="7668" width="12.6640625" style="421" customWidth="1"/>
    <col min="7669" max="7669" width="20.109375" style="421" bestFit="1" customWidth="1"/>
    <col min="7670" max="7670" width="13.6640625" style="421" customWidth="1"/>
    <col min="7671" max="7671" width="15.5546875" style="421" customWidth="1"/>
    <col min="7672" max="7918" width="9.109375" style="421"/>
    <col min="7919" max="7919" width="7" style="421" bestFit="1" customWidth="1"/>
    <col min="7920" max="7920" width="40.6640625" style="421" customWidth="1"/>
    <col min="7921" max="7921" width="13.44140625" style="421" customWidth="1"/>
    <col min="7922" max="7922" width="12.6640625" style="421" customWidth="1"/>
    <col min="7923" max="7923" width="13.6640625" style="421" customWidth="1"/>
    <col min="7924" max="7924" width="12.6640625" style="421" customWidth="1"/>
    <col min="7925" max="7925" width="20.109375" style="421" bestFit="1" customWidth="1"/>
    <col min="7926" max="7926" width="13.6640625" style="421" customWidth="1"/>
    <col min="7927" max="7927" width="15.5546875" style="421" customWidth="1"/>
    <col min="7928" max="8174" width="9.109375" style="421"/>
    <col min="8175" max="8175" width="7" style="421" bestFit="1" customWidth="1"/>
    <col min="8176" max="8176" width="40.6640625" style="421" customWidth="1"/>
    <col min="8177" max="8177" width="13.44140625" style="421" customWidth="1"/>
    <col min="8178" max="8178" width="12.6640625" style="421" customWidth="1"/>
    <col min="8179" max="8179" width="13.6640625" style="421" customWidth="1"/>
    <col min="8180" max="8180" width="12.6640625" style="421" customWidth="1"/>
    <col min="8181" max="8181" width="20.109375" style="421" bestFit="1" customWidth="1"/>
    <col min="8182" max="8182" width="13.6640625" style="421" customWidth="1"/>
    <col min="8183" max="8183" width="15.5546875" style="421" customWidth="1"/>
    <col min="8184" max="8430" width="9.109375" style="421"/>
    <col min="8431" max="8431" width="7" style="421" bestFit="1" customWidth="1"/>
    <col min="8432" max="8432" width="40.6640625" style="421" customWidth="1"/>
    <col min="8433" max="8433" width="13.44140625" style="421" customWidth="1"/>
    <col min="8434" max="8434" width="12.6640625" style="421" customWidth="1"/>
    <col min="8435" max="8435" width="13.6640625" style="421" customWidth="1"/>
    <col min="8436" max="8436" width="12.6640625" style="421" customWidth="1"/>
    <col min="8437" max="8437" width="20.109375" style="421" bestFit="1" customWidth="1"/>
    <col min="8438" max="8438" width="13.6640625" style="421" customWidth="1"/>
    <col min="8439" max="8439" width="15.5546875" style="421" customWidth="1"/>
    <col min="8440" max="8686" width="9.109375" style="421"/>
    <col min="8687" max="8687" width="7" style="421" bestFit="1" customWidth="1"/>
    <col min="8688" max="8688" width="40.6640625" style="421" customWidth="1"/>
    <col min="8689" max="8689" width="13.44140625" style="421" customWidth="1"/>
    <col min="8690" max="8690" width="12.6640625" style="421" customWidth="1"/>
    <col min="8691" max="8691" width="13.6640625" style="421" customWidth="1"/>
    <col min="8692" max="8692" width="12.6640625" style="421" customWidth="1"/>
    <col min="8693" max="8693" width="20.109375" style="421" bestFit="1" customWidth="1"/>
    <col min="8694" max="8694" width="13.6640625" style="421" customWidth="1"/>
    <col min="8695" max="8695" width="15.5546875" style="421" customWidth="1"/>
    <col min="8696" max="8942" width="9.109375" style="421"/>
    <col min="8943" max="8943" width="7" style="421" bestFit="1" customWidth="1"/>
    <col min="8944" max="8944" width="40.6640625" style="421" customWidth="1"/>
    <col min="8945" max="8945" width="13.44140625" style="421" customWidth="1"/>
    <col min="8946" max="8946" width="12.6640625" style="421" customWidth="1"/>
    <col min="8947" max="8947" width="13.6640625" style="421" customWidth="1"/>
    <col min="8948" max="8948" width="12.6640625" style="421" customWidth="1"/>
    <col min="8949" max="8949" width="20.109375" style="421" bestFit="1" customWidth="1"/>
    <col min="8950" max="8950" width="13.6640625" style="421" customWidth="1"/>
    <col min="8951" max="8951" width="15.5546875" style="421" customWidth="1"/>
    <col min="8952" max="9198" width="9.109375" style="421"/>
    <col min="9199" max="9199" width="7" style="421" bestFit="1" customWidth="1"/>
    <col min="9200" max="9200" width="40.6640625" style="421" customWidth="1"/>
    <col min="9201" max="9201" width="13.44140625" style="421" customWidth="1"/>
    <col min="9202" max="9202" width="12.6640625" style="421" customWidth="1"/>
    <col min="9203" max="9203" width="13.6640625" style="421" customWidth="1"/>
    <col min="9204" max="9204" width="12.6640625" style="421" customWidth="1"/>
    <col min="9205" max="9205" width="20.109375" style="421" bestFit="1" customWidth="1"/>
    <col min="9206" max="9206" width="13.6640625" style="421" customWidth="1"/>
    <col min="9207" max="9207" width="15.5546875" style="421" customWidth="1"/>
    <col min="9208" max="9454" width="9.109375" style="421"/>
    <col min="9455" max="9455" width="7" style="421" bestFit="1" customWidth="1"/>
    <col min="9456" max="9456" width="40.6640625" style="421" customWidth="1"/>
    <col min="9457" max="9457" width="13.44140625" style="421" customWidth="1"/>
    <col min="9458" max="9458" width="12.6640625" style="421" customWidth="1"/>
    <col min="9459" max="9459" width="13.6640625" style="421" customWidth="1"/>
    <col min="9460" max="9460" width="12.6640625" style="421" customWidth="1"/>
    <col min="9461" max="9461" width="20.109375" style="421" bestFit="1" customWidth="1"/>
    <col min="9462" max="9462" width="13.6640625" style="421" customWidth="1"/>
    <col min="9463" max="9463" width="15.5546875" style="421" customWidth="1"/>
    <col min="9464" max="9710" width="9.109375" style="421"/>
    <col min="9711" max="9711" width="7" style="421" bestFit="1" customWidth="1"/>
    <col min="9712" max="9712" width="40.6640625" style="421" customWidth="1"/>
    <col min="9713" max="9713" width="13.44140625" style="421" customWidth="1"/>
    <col min="9714" max="9714" width="12.6640625" style="421" customWidth="1"/>
    <col min="9715" max="9715" width="13.6640625" style="421" customWidth="1"/>
    <col min="9716" max="9716" width="12.6640625" style="421" customWidth="1"/>
    <col min="9717" max="9717" width="20.109375" style="421" bestFit="1" customWidth="1"/>
    <col min="9718" max="9718" width="13.6640625" style="421" customWidth="1"/>
    <col min="9719" max="9719" width="15.5546875" style="421" customWidth="1"/>
    <col min="9720" max="9966" width="9.109375" style="421"/>
    <col min="9967" max="9967" width="7" style="421" bestFit="1" customWidth="1"/>
    <col min="9968" max="9968" width="40.6640625" style="421" customWidth="1"/>
    <col min="9969" max="9969" width="13.44140625" style="421" customWidth="1"/>
    <col min="9970" max="9970" width="12.6640625" style="421" customWidth="1"/>
    <col min="9971" max="9971" width="13.6640625" style="421" customWidth="1"/>
    <col min="9972" max="9972" width="12.6640625" style="421" customWidth="1"/>
    <col min="9973" max="9973" width="20.109375" style="421" bestFit="1" customWidth="1"/>
    <col min="9974" max="9974" width="13.6640625" style="421" customWidth="1"/>
    <col min="9975" max="9975" width="15.5546875" style="421" customWidth="1"/>
    <col min="9976" max="10222" width="9.109375" style="421"/>
    <col min="10223" max="10223" width="7" style="421" bestFit="1" customWidth="1"/>
    <col min="10224" max="10224" width="40.6640625" style="421" customWidth="1"/>
    <col min="10225" max="10225" width="13.44140625" style="421" customWidth="1"/>
    <col min="10226" max="10226" width="12.6640625" style="421" customWidth="1"/>
    <col min="10227" max="10227" width="13.6640625" style="421" customWidth="1"/>
    <col min="10228" max="10228" width="12.6640625" style="421" customWidth="1"/>
    <col min="10229" max="10229" width="20.109375" style="421" bestFit="1" customWidth="1"/>
    <col min="10230" max="10230" width="13.6640625" style="421" customWidth="1"/>
    <col min="10231" max="10231" width="15.5546875" style="421" customWidth="1"/>
    <col min="10232" max="10478" width="9.109375" style="421"/>
    <col min="10479" max="10479" width="7" style="421" bestFit="1" customWidth="1"/>
    <col min="10480" max="10480" width="40.6640625" style="421" customWidth="1"/>
    <col min="10481" max="10481" width="13.44140625" style="421" customWidth="1"/>
    <col min="10482" max="10482" width="12.6640625" style="421" customWidth="1"/>
    <col min="10483" max="10483" width="13.6640625" style="421" customWidth="1"/>
    <col min="10484" max="10484" width="12.6640625" style="421" customWidth="1"/>
    <col min="10485" max="10485" width="20.109375" style="421" bestFit="1" customWidth="1"/>
    <col min="10486" max="10486" width="13.6640625" style="421" customWidth="1"/>
    <col min="10487" max="10487" width="15.5546875" style="421" customWidth="1"/>
    <col min="10488" max="10734" width="9.109375" style="421"/>
    <col min="10735" max="10735" width="7" style="421" bestFit="1" customWidth="1"/>
    <col min="10736" max="10736" width="40.6640625" style="421" customWidth="1"/>
    <col min="10737" max="10737" width="13.44140625" style="421" customWidth="1"/>
    <col min="10738" max="10738" width="12.6640625" style="421" customWidth="1"/>
    <col min="10739" max="10739" width="13.6640625" style="421" customWidth="1"/>
    <col min="10740" max="10740" width="12.6640625" style="421" customWidth="1"/>
    <col min="10741" max="10741" width="20.109375" style="421" bestFit="1" customWidth="1"/>
    <col min="10742" max="10742" width="13.6640625" style="421" customWidth="1"/>
    <col min="10743" max="10743" width="15.5546875" style="421" customWidth="1"/>
    <col min="10744" max="10990" width="9.109375" style="421"/>
    <col min="10991" max="10991" width="7" style="421" bestFit="1" customWidth="1"/>
    <col min="10992" max="10992" width="40.6640625" style="421" customWidth="1"/>
    <col min="10993" max="10993" width="13.44140625" style="421" customWidth="1"/>
    <col min="10994" max="10994" width="12.6640625" style="421" customWidth="1"/>
    <col min="10995" max="10995" width="13.6640625" style="421" customWidth="1"/>
    <col min="10996" max="10996" width="12.6640625" style="421" customWidth="1"/>
    <col min="10997" max="10997" width="20.109375" style="421" bestFit="1" customWidth="1"/>
    <col min="10998" max="10998" width="13.6640625" style="421" customWidth="1"/>
    <col min="10999" max="10999" width="15.5546875" style="421" customWidth="1"/>
    <col min="11000" max="11246" width="9.109375" style="421"/>
    <col min="11247" max="11247" width="7" style="421" bestFit="1" customWidth="1"/>
    <col min="11248" max="11248" width="40.6640625" style="421" customWidth="1"/>
    <col min="11249" max="11249" width="13.44140625" style="421" customWidth="1"/>
    <col min="11250" max="11250" width="12.6640625" style="421" customWidth="1"/>
    <col min="11251" max="11251" width="13.6640625" style="421" customWidth="1"/>
    <col min="11252" max="11252" width="12.6640625" style="421" customWidth="1"/>
    <col min="11253" max="11253" width="20.109375" style="421" bestFit="1" customWidth="1"/>
    <col min="11254" max="11254" width="13.6640625" style="421" customWidth="1"/>
    <col min="11255" max="11255" width="15.5546875" style="421" customWidth="1"/>
    <col min="11256" max="11502" width="9.109375" style="421"/>
    <col min="11503" max="11503" width="7" style="421" bestFit="1" customWidth="1"/>
    <col min="11504" max="11504" width="40.6640625" style="421" customWidth="1"/>
    <col min="11505" max="11505" width="13.44140625" style="421" customWidth="1"/>
    <col min="11506" max="11506" width="12.6640625" style="421" customWidth="1"/>
    <col min="11507" max="11507" width="13.6640625" style="421" customWidth="1"/>
    <col min="11508" max="11508" width="12.6640625" style="421" customWidth="1"/>
    <col min="11509" max="11509" width="20.109375" style="421" bestFit="1" customWidth="1"/>
    <col min="11510" max="11510" width="13.6640625" style="421" customWidth="1"/>
    <col min="11511" max="11511" width="15.5546875" style="421" customWidth="1"/>
    <col min="11512" max="11758" width="9.109375" style="421"/>
    <col min="11759" max="11759" width="7" style="421" bestFit="1" customWidth="1"/>
    <col min="11760" max="11760" width="40.6640625" style="421" customWidth="1"/>
    <col min="11761" max="11761" width="13.44140625" style="421" customWidth="1"/>
    <col min="11762" max="11762" width="12.6640625" style="421" customWidth="1"/>
    <col min="11763" max="11763" width="13.6640625" style="421" customWidth="1"/>
    <col min="11764" max="11764" width="12.6640625" style="421" customWidth="1"/>
    <col min="11765" max="11765" width="20.109375" style="421" bestFit="1" customWidth="1"/>
    <col min="11766" max="11766" width="13.6640625" style="421" customWidth="1"/>
    <col min="11767" max="11767" width="15.5546875" style="421" customWidth="1"/>
    <col min="11768" max="12014" width="9.109375" style="421"/>
    <col min="12015" max="12015" width="7" style="421" bestFit="1" customWidth="1"/>
    <col min="12016" max="12016" width="40.6640625" style="421" customWidth="1"/>
    <col min="12017" max="12017" width="13.44140625" style="421" customWidth="1"/>
    <col min="12018" max="12018" width="12.6640625" style="421" customWidth="1"/>
    <col min="12019" max="12019" width="13.6640625" style="421" customWidth="1"/>
    <col min="12020" max="12020" width="12.6640625" style="421" customWidth="1"/>
    <col min="12021" max="12021" width="20.109375" style="421" bestFit="1" customWidth="1"/>
    <col min="12022" max="12022" width="13.6640625" style="421" customWidth="1"/>
    <col min="12023" max="12023" width="15.5546875" style="421" customWidth="1"/>
    <col min="12024" max="12270" width="9.109375" style="421"/>
    <col min="12271" max="12271" width="7" style="421" bestFit="1" customWidth="1"/>
    <col min="12272" max="12272" width="40.6640625" style="421" customWidth="1"/>
    <col min="12273" max="12273" width="13.44140625" style="421" customWidth="1"/>
    <col min="12274" max="12274" width="12.6640625" style="421" customWidth="1"/>
    <col min="12275" max="12275" width="13.6640625" style="421" customWidth="1"/>
    <col min="12276" max="12276" width="12.6640625" style="421" customWidth="1"/>
    <col min="12277" max="12277" width="20.109375" style="421" bestFit="1" customWidth="1"/>
    <col min="12278" max="12278" width="13.6640625" style="421" customWidth="1"/>
    <col min="12279" max="12279" width="15.5546875" style="421" customWidth="1"/>
    <col min="12280" max="12526" width="9.109375" style="421"/>
    <col min="12527" max="12527" width="7" style="421" bestFit="1" customWidth="1"/>
    <col min="12528" max="12528" width="40.6640625" style="421" customWidth="1"/>
    <col min="12529" max="12529" width="13.44140625" style="421" customWidth="1"/>
    <col min="12530" max="12530" width="12.6640625" style="421" customWidth="1"/>
    <col min="12531" max="12531" width="13.6640625" style="421" customWidth="1"/>
    <col min="12532" max="12532" width="12.6640625" style="421" customWidth="1"/>
    <col min="12533" max="12533" width="20.109375" style="421" bestFit="1" customWidth="1"/>
    <col min="12534" max="12534" width="13.6640625" style="421" customWidth="1"/>
    <col min="12535" max="12535" width="15.5546875" style="421" customWidth="1"/>
    <col min="12536" max="12782" width="9.109375" style="421"/>
    <col min="12783" max="12783" width="7" style="421" bestFit="1" customWidth="1"/>
    <col min="12784" max="12784" width="40.6640625" style="421" customWidth="1"/>
    <col min="12785" max="12785" width="13.44140625" style="421" customWidth="1"/>
    <col min="12786" max="12786" width="12.6640625" style="421" customWidth="1"/>
    <col min="12787" max="12787" width="13.6640625" style="421" customWidth="1"/>
    <col min="12788" max="12788" width="12.6640625" style="421" customWidth="1"/>
    <col min="12789" max="12789" width="20.109375" style="421" bestFit="1" customWidth="1"/>
    <col min="12790" max="12790" width="13.6640625" style="421" customWidth="1"/>
    <col min="12791" max="12791" width="15.5546875" style="421" customWidth="1"/>
    <col min="12792" max="13038" width="9.109375" style="421"/>
    <col min="13039" max="13039" width="7" style="421" bestFit="1" customWidth="1"/>
    <col min="13040" max="13040" width="40.6640625" style="421" customWidth="1"/>
    <col min="13041" max="13041" width="13.44140625" style="421" customWidth="1"/>
    <col min="13042" max="13042" width="12.6640625" style="421" customWidth="1"/>
    <col min="13043" max="13043" width="13.6640625" style="421" customWidth="1"/>
    <col min="13044" max="13044" width="12.6640625" style="421" customWidth="1"/>
    <col min="13045" max="13045" width="20.109375" style="421" bestFit="1" customWidth="1"/>
    <col min="13046" max="13046" width="13.6640625" style="421" customWidth="1"/>
    <col min="13047" max="13047" width="15.5546875" style="421" customWidth="1"/>
    <col min="13048" max="13294" width="9.109375" style="421"/>
    <col min="13295" max="13295" width="7" style="421" bestFit="1" customWidth="1"/>
    <col min="13296" max="13296" width="40.6640625" style="421" customWidth="1"/>
    <col min="13297" max="13297" width="13.44140625" style="421" customWidth="1"/>
    <col min="13298" max="13298" width="12.6640625" style="421" customWidth="1"/>
    <col min="13299" max="13299" width="13.6640625" style="421" customWidth="1"/>
    <col min="13300" max="13300" width="12.6640625" style="421" customWidth="1"/>
    <col min="13301" max="13301" width="20.109375" style="421" bestFit="1" customWidth="1"/>
    <col min="13302" max="13302" width="13.6640625" style="421" customWidth="1"/>
    <col min="13303" max="13303" width="15.5546875" style="421" customWidth="1"/>
    <col min="13304" max="13550" width="9.109375" style="421"/>
    <col min="13551" max="13551" width="7" style="421" bestFit="1" customWidth="1"/>
    <col min="13552" max="13552" width="40.6640625" style="421" customWidth="1"/>
    <col min="13553" max="13553" width="13.44140625" style="421" customWidth="1"/>
    <col min="13554" max="13554" width="12.6640625" style="421" customWidth="1"/>
    <col min="13555" max="13555" width="13.6640625" style="421" customWidth="1"/>
    <col min="13556" max="13556" width="12.6640625" style="421" customWidth="1"/>
    <col min="13557" max="13557" width="20.109375" style="421" bestFit="1" customWidth="1"/>
    <col min="13558" max="13558" width="13.6640625" style="421" customWidth="1"/>
    <col min="13559" max="13559" width="15.5546875" style="421" customWidth="1"/>
    <col min="13560" max="13806" width="9.109375" style="421"/>
    <col min="13807" max="13807" width="7" style="421" bestFit="1" customWidth="1"/>
    <col min="13808" max="13808" width="40.6640625" style="421" customWidth="1"/>
    <col min="13809" max="13809" width="13.44140625" style="421" customWidth="1"/>
    <col min="13810" max="13810" width="12.6640625" style="421" customWidth="1"/>
    <col min="13811" max="13811" width="13.6640625" style="421" customWidth="1"/>
    <col min="13812" max="13812" width="12.6640625" style="421" customWidth="1"/>
    <col min="13813" max="13813" width="20.109375" style="421" bestFit="1" customWidth="1"/>
    <col min="13814" max="13814" width="13.6640625" style="421" customWidth="1"/>
    <col min="13815" max="13815" width="15.5546875" style="421" customWidth="1"/>
    <col min="13816" max="14062" width="9.109375" style="421"/>
    <col min="14063" max="14063" width="7" style="421" bestFit="1" customWidth="1"/>
    <col min="14064" max="14064" width="40.6640625" style="421" customWidth="1"/>
    <col min="14065" max="14065" width="13.44140625" style="421" customWidth="1"/>
    <col min="14066" max="14066" width="12.6640625" style="421" customWidth="1"/>
    <col min="14067" max="14067" width="13.6640625" style="421" customWidth="1"/>
    <col min="14068" max="14068" width="12.6640625" style="421" customWidth="1"/>
    <col min="14069" max="14069" width="20.109375" style="421" bestFit="1" customWidth="1"/>
    <col min="14070" max="14070" width="13.6640625" style="421" customWidth="1"/>
    <col min="14071" max="14071" width="15.5546875" style="421" customWidth="1"/>
    <col min="14072" max="14318" width="9.109375" style="421"/>
    <col min="14319" max="14319" width="7" style="421" bestFit="1" customWidth="1"/>
    <col min="14320" max="14320" width="40.6640625" style="421" customWidth="1"/>
    <col min="14321" max="14321" width="13.44140625" style="421" customWidth="1"/>
    <col min="14322" max="14322" width="12.6640625" style="421" customWidth="1"/>
    <col min="14323" max="14323" width="13.6640625" style="421" customWidth="1"/>
    <col min="14324" max="14324" width="12.6640625" style="421" customWidth="1"/>
    <col min="14325" max="14325" width="20.109375" style="421" bestFit="1" customWidth="1"/>
    <col min="14326" max="14326" width="13.6640625" style="421" customWidth="1"/>
    <col min="14327" max="14327" width="15.5546875" style="421" customWidth="1"/>
    <col min="14328" max="14574" width="9.109375" style="421"/>
    <col min="14575" max="14575" width="7" style="421" bestFit="1" customWidth="1"/>
    <col min="14576" max="14576" width="40.6640625" style="421" customWidth="1"/>
    <col min="14577" max="14577" width="13.44140625" style="421" customWidth="1"/>
    <col min="14578" max="14578" width="12.6640625" style="421" customWidth="1"/>
    <col min="14579" max="14579" width="13.6640625" style="421" customWidth="1"/>
    <col min="14580" max="14580" width="12.6640625" style="421" customWidth="1"/>
    <col min="14581" max="14581" width="20.109375" style="421" bestFit="1" customWidth="1"/>
    <col min="14582" max="14582" width="13.6640625" style="421" customWidth="1"/>
    <col min="14583" max="14583" width="15.5546875" style="421" customWidth="1"/>
    <col min="14584" max="14830" width="9.109375" style="421"/>
    <col min="14831" max="14831" width="7" style="421" bestFit="1" customWidth="1"/>
    <col min="14832" max="14832" width="40.6640625" style="421" customWidth="1"/>
    <col min="14833" max="14833" width="13.44140625" style="421" customWidth="1"/>
    <col min="14834" max="14834" width="12.6640625" style="421" customWidth="1"/>
    <col min="14835" max="14835" width="13.6640625" style="421" customWidth="1"/>
    <col min="14836" max="14836" width="12.6640625" style="421" customWidth="1"/>
    <col min="14837" max="14837" width="20.109375" style="421" bestFit="1" customWidth="1"/>
    <col min="14838" max="14838" width="13.6640625" style="421" customWidth="1"/>
    <col min="14839" max="14839" width="15.5546875" style="421" customWidth="1"/>
    <col min="14840" max="15086" width="9.109375" style="421"/>
    <col min="15087" max="15087" width="7" style="421" bestFit="1" customWidth="1"/>
    <col min="15088" max="15088" width="40.6640625" style="421" customWidth="1"/>
    <col min="15089" max="15089" width="13.44140625" style="421" customWidth="1"/>
    <col min="15090" max="15090" width="12.6640625" style="421" customWidth="1"/>
    <col min="15091" max="15091" width="13.6640625" style="421" customWidth="1"/>
    <col min="15092" max="15092" width="12.6640625" style="421" customWidth="1"/>
    <col min="15093" max="15093" width="20.109375" style="421" bestFit="1" customWidth="1"/>
    <col min="15094" max="15094" width="13.6640625" style="421" customWidth="1"/>
    <col min="15095" max="15095" width="15.5546875" style="421" customWidth="1"/>
    <col min="15096" max="15342" width="9.109375" style="421"/>
    <col min="15343" max="15343" width="7" style="421" bestFit="1" customWidth="1"/>
    <col min="15344" max="15344" width="40.6640625" style="421" customWidth="1"/>
    <col min="15345" max="15345" width="13.44140625" style="421" customWidth="1"/>
    <col min="15346" max="15346" width="12.6640625" style="421" customWidth="1"/>
    <col min="15347" max="15347" width="13.6640625" style="421" customWidth="1"/>
    <col min="15348" max="15348" width="12.6640625" style="421" customWidth="1"/>
    <col min="15349" max="15349" width="20.109375" style="421" bestFit="1" customWidth="1"/>
    <col min="15350" max="15350" width="13.6640625" style="421" customWidth="1"/>
    <col min="15351" max="15351" width="15.5546875" style="421" customWidth="1"/>
    <col min="15352" max="15598" width="9.109375" style="421"/>
    <col min="15599" max="15599" width="7" style="421" bestFit="1" customWidth="1"/>
    <col min="15600" max="15600" width="40.6640625" style="421" customWidth="1"/>
    <col min="15601" max="15601" width="13.44140625" style="421" customWidth="1"/>
    <col min="15602" max="15602" width="12.6640625" style="421" customWidth="1"/>
    <col min="15603" max="15603" width="13.6640625" style="421" customWidth="1"/>
    <col min="15604" max="15604" width="12.6640625" style="421" customWidth="1"/>
    <col min="15605" max="15605" width="20.109375" style="421" bestFit="1" customWidth="1"/>
    <col min="15606" max="15606" width="13.6640625" style="421" customWidth="1"/>
    <col min="15607" max="15607" width="15.5546875" style="421" customWidth="1"/>
    <col min="15608" max="15854" width="9.109375" style="421"/>
    <col min="15855" max="15855" width="7" style="421" bestFit="1" customWidth="1"/>
    <col min="15856" max="15856" width="40.6640625" style="421" customWidth="1"/>
    <col min="15857" max="15857" width="13.44140625" style="421" customWidth="1"/>
    <col min="15858" max="15858" width="12.6640625" style="421" customWidth="1"/>
    <col min="15859" max="15859" width="13.6640625" style="421" customWidth="1"/>
    <col min="15860" max="15860" width="12.6640625" style="421" customWidth="1"/>
    <col min="15861" max="15861" width="20.109375" style="421" bestFit="1" customWidth="1"/>
    <col min="15862" max="15862" width="13.6640625" style="421" customWidth="1"/>
    <col min="15863" max="15863" width="15.5546875" style="421" customWidth="1"/>
    <col min="15864" max="16110" width="9.109375" style="421"/>
    <col min="16111" max="16111" width="7" style="421" bestFit="1" customWidth="1"/>
    <col min="16112" max="16112" width="40.6640625" style="421" customWidth="1"/>
    <col min="16113" max="16113" width="13.44140625" style="421" customWidth="1"/>
    <col min="16114" max="16114" width="12.6640625" style="421" customWidth="1"/>
    <col min="16115" max="16115" width="13.6640625" style="421" customWidth="1"/>
    <col min="16116" max="16116" width="12.6640625" style="421" customWidth="1"/>
    <col min="16117" max="16117" width="20.109375" style="421" bestFit="1" customWidth="1"/>
    <col min="16118" max="16118" width="13.6640625" style="421" customWidth="1"/>
    <col min="16119" max="16119" width="15.5546875" style="421" customWidth="1"/>
    <col min="16120" max="16366" width="9.109375" style="421"/>
    <col min="16367" max="16384" width="9.109375" style="421" customWidth="1"/>
  </cols>
  <sheetData>
    <row r="1" spans="1:13" ht="14.4" customHeight="1" x14ac:dyDescent="0.25">
      <c r="G1" s="5581" t="s">
        <v>979</v>
      </c>
      <c r="H1" s="5581"/>
    </row>
    <row r="4" spans="1:13" ht="36.75" customHeight="1" x14ac:dyDescent="0.25">
      <c r="A4" s="5582" t="s">
        <v>1982</v>
      </c>
      <c r="B4" s="5582"/>
      <c r="C4" s="5582"/>
      <c r="D4" s="5582"/>
      <c r="E4" s="5583" t="str">
        <f>'Вхідні дані'!F5</f>
        <v>КП «КТЕ"</v>
      </c>
      <c r="F4" s="5583"/>
      <c r="G4" s="4234" t="s">
        <v>461</v>
      </c>
      <c r="H4" s="4234" t="str">
        <f>'Вхідні дані'!F6</f>
        <v>2023-2024</v>
      </c>
    </row>
    <row r="5" spans="1:13" ht="14.4" thickBot="1" x14ac:dyDescent="0.3"/>
    <row r="6" spans="1:13" ht="16.2" thickBot="1" x14ac:dyDescent="0.3">
      <c r="A6" s="5584" t="s">
        <v>968</v>
      </c>
      <c r="B6" s="5584" t="s">
        <v>980</v>
      </c>
      <c r="C6" s="5586" t="s">
        <v>981</v>
      </c>
      <c r="D6" s="5586"/>
      <c r="E6" s="5586" t="s">
        <v>982</v>
      </c>
      <c r="F6" s="5586"/>
      <c r="G6" s="5586" t="s">
        <v>983</v>
      </c>
      <c r="H6" s="5586"/>
    </row>
    <row r="7" spans="1:13" ht="47.4" thickBot="1" x14ac:dyDescent="0.3">
      <c r="A7" s="5585"/>
      <c r="B7" s="5585"/>
      <c r="C7" s="543" t="s">
        <v>984</v>
      </c>
      <c r="D7" s="969" t="s">
        <v>985</v>
      </c>
      <c r="E7" s="969" t="s">
        <v>984</v>
      </c>
      <c r="F7" s="969" t="s">
        <v>985</v>
      </c>
      <c r="G7" s="543" t="s">
        <v>984</v>
      </c>
      <c r="H7" s="969" t="s">
        <v>985</v>
      </c>
      <c r="K7" s="1272" t="s">
        <v>2386</v>
      </c>
      <c r="L7" s="1272" t="s">
        <v>2387</v>
      </c>
    </row>
    <row r="8" spans="1:13" ht="16.8" thickBot="1" x14ac:dyDescent="0.35">
      <c r="A8" s="544">
        <v>1</v>
      </c>
      <c r="B8" s="545">
        <v>2</v>
      </c>
      <c r="C8" s="546">
        <v>3</v>
      </c>
      <c r="D8" s="546">
        <v>4</v>
      </c>
      <c r="E8" s="546">
        <v>5</v>
      </c>
      <c r="F8" s="546">
        <v>6</v>
      </c>
      <c r="G8" s="546">
        <v>7</v>
      </c>
      <c r="H8" s="546">
        <v>8</v>
      </c>
      <c r="I8" t="s">
        <v>4063</v>
      </c>
      <c r="K8" s="1272" t="s">
        <v>2388</v>
      </c>
      <c r="L8" s="1272" t="s">
        <v>2388</v>
      </c>
    </row>
    <row r="9" spans="1:13" s="550" customFormat="1" ht="36.75" customHeight="1" x14ac:dyDescent="0.3">
      <c r="A9" s="547" t="s">
        <v>986</v>
      </c>
      <c r="B9" s="548" t="s">
        <v>987</v>
      </c>
      <c r="C9" s="548">
        <v>38.6</v>
      </c>
      <c r="D9" s="549">
        <v>4384255.7434591772</v>
      </c>
      <c r="E9" s="548">
        <v>38.6</v>
      </c>
      <c r="F9" s="549">
        <v>6844683.6118467581</v>
      </c>
      <c r="G9" s="548">
        <v>38.6</v>
      </c>
      <c r="H9" s="549">
        <f>D9+F9</f>
        <v>11228939.355305936</v>
      </c>
      <c r="I9" s="4256">
        <v>10245089.37717717</v>
      </c>
      <c r="J9" s="4257">
        <f>H9-I9</f>
        <v>983849.97812876664</v>
      </c>
      <c r="K9" s="45">
        <f>'[41]Літо (виробництво)'!$I$37</f>
        <v>149</v>
      </c>
      <c r="L9" s="45">
        <f>'[41]Літо (виробництво)'!$I$38</f>
        <v>216</v>
      </c>
      <c r="M9" s="550">
        <v>365</v>
      </c>
    </row>
    <row r="10" spans="1:13" ht="15.6" x14ac:dyDescent="0.3">
      <c r="A10" s="551"/>
      <c r="B10" s="552" t="s">
        <v>988</v>
      </c>
      <c r="C10" s="552">
        <v>0</v>
      </c>
      <c r="D10" s="553">
        <v>0</v>
      </c>
      <c r="E10" s="552">
        <v>0</v>
      </c>
      <c r="F10" s="553">
        <v>0</v>
      </c>
      <c r="G10" s="971">
        <f>C10*K9/366+E10*L9/366</f>
        <v>0</v>
      </c>
      <c r="H10" s="972">
        <f>D10+F10</f>
        <v>0</v>
      </c>
      <c r="I10"/>
    </row>
    <row r="11" spans="1:13" s="550" customFormat="1" ht="17.25" customHeight="1" x14ac:dyDescent="0.25">
      <c r="A11" s="551"/>
      <c r="B11" s="554" t="s">
        <v>989</v>
      </c>
      <c r="C11" s="555"/>
      <c r="D11" s="556">
        <f>SUM(D12:D13)</f>
        <v>964536.26356101898</v>
      </c>
      <c r="E11" s="555"/>
      <c r="F11" s="556">
        <f>SUM(F12:F13)</f>
        <v>1505830.3946062869</v>
      </c>
      <c r="G11" s="973"/>
      <c r="H11" s="974">
        <f>H12+H13</f>
        <v>2470366.6581673059</v>
      </c>
      <c r="I11" s="2447"/>
      <c r="J11" s="3853"/>
    </row>
    <row r="12" spans="1:13" ht="15.6" x14ac:dyDescent="0.3">
      <c r="A12" s="551"/>
      <c r="B12" s="557" t="s">
        <v>990</v>
      </c>
      <c r="C12" s="558">
        <f>'Вхідні дані'!D$43</f>
        <v>0.22</v>
      </c>
      <c r="D12" s="559">
        <f>(D9-D10)*C12</f>
        <v>964536.26356101898</v>
      </c>
      <c r="E12" s="559"/>
      <c r="F12" s="559">
        <f>(F9-F10)*C12</f>
        <v>1505830.3946062869</v>
      </c>
      <c r="G12" s="975"/>
      <c r="H12" s="976">
        <f>D12+F12</f>
        <v>2470366.6581673059</v>
      </c>
      <c r="I12"/>
    </row>
    <row r="13" spans="1:13" ht="15.6" x14ac:dyDescent="0.3">
      <c r="A13" s="551"/>
      <c r="B13" s="557" t="s">
        <v>991</v>
      </c>
      <c r="C13" s="560">
        <f>'Вхідні дані'!D$44</f>
        <v>8.4099999999999994E-2</v>
      </c>
      <c r="D13" s="559">
        <f>D10*C13</f>
        <v>0</v>
      </c>
      <c r="E13" s="559"/>
      <c r="F13" s="559">
        <f>F10*C13</f>
        <v>0</v>
      </c>
      <c r="G13" s="975"/>
      <c r="H13" s="976">
        <f>D13+F13</f>
        <v>0</v>
      </c>
      <c r="I13"/>
    </row>
    <row r="14" spans="1:13" s="550" customFormat="1" ht="27.6" x14ac:dyDescent="0.25">
      <c r="A14" s="584" t="s">
        <v>992</v>
      </c>
      <c r="B14" s="562" t="s">
        <v>4069</v>
      </c>
      <c r="C14" s="573">
        <v>49.2</v>
      </c>
      <c r="D14" s="564">
        <v>4857575.0226030536</v>
      </c>
      <c r="E14" s="573">
        <v>44.2</v>
      </c>
      <c r="F14" s="564">
        <v>7301297.7347898344</v>
      </c>
      <c r="G14" s="1463">
        <v>46.241095890410968</v>
      </c>
      <c r="H14" s="977">
        <f>D14+F14</f>
        <v>12158872.757392887</v>
      </c>
      <c r="I14" s="2448">
        <f>H14+H19</f>
        <v>14520984.55295453</v>
      </c>
      <c r="J14" s="3853"/>
    </row>
    <row r="15" spans="1:13" ht="15.6" x14ac:dyDescent="0.3">
      <c r="A15" s="551"/>
      <c r="B15" s="552" t="s">
        <v>988</v>
      </c>
      <c r="C15" s="552">
        <v>1</v>
      </c>
      <c r="D15" s="553">
        <v>103274.93878356165</v>
      </c>
      <c r="E15" s="552">
        <v>1</v>
      </c>
      <c r="F15" s="553">
        <v>162890.51521643839</v>
      </c>
      <c r="G15" s="978">
        <v>1</v>
      </c>
      <c r="H15" s="979">
        <f>D15+F15</f>
        <v>266165.45400000003</v>
      </c>
      <c r="I15"/>
    </row>
    <row r="16" spans="1:13" s="550" customFormat="1" ht="16.5" customHeight="1" x14ac:dyDescent="0.25">
      <c r="A16" s="551"/>
      <c r="B16" s="554" t="s">
        <v>989</v>
      </c>
      <c r="C16" s="555"/>
      <c r="D16" s="556">
        <f>SUM(D17:D18)</f>
        <v>1054631.4407919857</v>
      </c>
      <c r="E16" s="555"/>
      <c r="F16" s="556">
        <f>SUM(F17:F18)</f>
        <v>1584148.6806358497</v>
      </c>
      <c r="G16" s="980"/>
      <c r="H16" s="981">
        <f>H17+H18</f>
        <v>2638780.121427835</v>
      </c>
      <c r="I16" s="2447"/>
      <c r="J16" s="3853"/>
    </row>
    <row r="17" spans="1:15" ht="18" customHeight="1" x14ac:dyDescent="0.3">
      <c r="A17" s="551"/>
      <c r="B17" s="557" t="s">
        <v>990</v>
      </c>
      <c r="C17" s="558">
        <f>'Вхідні дані'!D$43</f>
        <v>0.22</v>
      </c>
      <c r="D17" s="559">
        <f>(D14-D15)*C17</f>
        <v>1045946.0184402881</v>
      </c>
      <c r="E17" s="559"/>
      <c r="F17" s="559">
        <f>(F14-F15)*C17</f>
        <v>1570449.5883061471</v>
      </c>
      <c r="G17" s="982"/>
      <c r="H17" s="983">
        <f>D17+F17</f>
        <v>2616395.6067464352</v>
      </c>
      <c r="I17" s="3857" t="s">
        <v>3234</v>
      </c>
    </row>
    <row r="18" spans="1:15" ht="15.6" x14ac:dyDescent="0.3">
      <c r="A18" s="551"/>
      <c r="B18" s="557" t="s">
        <v>991</v>
      </c>
      <c r="C18" s="560">
        <f>'Вхідні дані'!D$44</f>
        <v>8.4099999999999994E-2</v>
      </c>
      <c r="D18" s="559">
        <f>D15*C18</f>
        <v>8685.4223516975344</v>
      </c>
      <c r="E18" s="559"/>
      <c r="F18" s="559">
        <f>F15*C18</f>
        <v>13699.092329702467</v>
      </c>
      <c r="G18" s="982"/>
      <c r="H18" s="983">
        <f>D18+F18</f>
        <v>22384.514681400004</v>
      </c>
      <c r="I18" s="2449" t="s">
        <v>3235</v>
      </c>
    </row>
    <row r="19" spans="1:15" s="550" customFormat="1" ht="41.4" x14ac:dyDescent="0.3">
      <c r="A19" s="584" t="s">
        <v>993</v>
      </c>
      <c r="B19" s="562" t="s">
        <v>2435</v>
      </c>
      <c r="C19" s="563">
        <v>14.5</v>
      </c>
      <c r="D19" s="564">
        <v>1169950.1082071231</v>
      </c>
      <c r="E19" s="563">
        <v>8.5</v>
      </c>
      <c r="F19" s="564">
        <v>1192161.6873545207</v>
      </c>
      <c r="G19" s="1463">
        <v>10.949315068493151</v>
      </c>
      <c r="H19" s="977">
        <f>D19+F19</f>
        <v>2362111.7955616438</v>
      </c>
      <c r="I19" s="2450" t="s">
        <v>3236</v>
      </c>
      <c r="J19" s="3853" t="s">
        <v>4061</v>
      </c>
    </row>
    <row r="20" spans="1:15" ht="15.6" x14ac:dyDescent="0.3">
      <c r="A20" s="551"/>
      <c r="B20" s="552" t="s">
        <v>988</v>
      </c>
      <c r="C20" s="552">
        <v>0</v>
      </c>
      <c r="D20" s="553">
        <v>0</v>
      </c>
      <c r="E20" s="552">
        <v>0</v>
      </c>
      <c r="F20" s="553">
        <v>0</v>
      </c>
      <c r="G20" s="978">
        <f>C20*157/366+E20*209/366</f>
        <v>0</v>
      </c>
      <c r="H20" s="979">
        <f>D20+F20</f>
        <v>0</v>
      </c>
      <c r="I20" s="2451"/>
    </row>
    <row r="21" spans="1:15" s="550" customFormat="1" ht="16.5" customHeight="1" x14ac:dyDescent="0.25">
      <c r="A21" s="551"/>
      <c r="B21" s="554" t="s">
        <v>989</v>
      </c>
      <c r="C21" s="555"/>
      <c r="D21" s="556">
        <f>SUM(D22:D23)</f>
        <v>257389.02380556709</v>
      </c>
      <c r="E21" s="555"/>
      <c r="F21" s="556">
        <f>SUM(F22:F23)</f>
        <v>262275.57121799455</v>
      </c>
      <c r="G21" s="980"/>
      <c r="H21" s="981">
        <f>H22+H23</f>
        <v>519664.59502356162</v>
      </c>
      <c r="I21" s="2447"/>
      <c r="J21" s="3853">
        <f>H9+H14+H19+H24+H29</f>
        <v>30506830.602360468</v>
      </c>
    </row>
    <row r="22" spans="1:15" ht="15.6" x14ac:dyDescent="0.3">
      <c r="A22" s="551"/>
      <c r="B22" s="557" t="s">
        <v>990</v>
      </c>
      <c r="C22" s="558">
        <f>'Вхідні дані'!D$43</f>
        <v>0.22</v>
      </c>
      <c r="D22" s="559">
        <f>(D19-D20)*C22</f>
        <v>257389.02380556709</v>
      </c>
      <c r="E22" s="559"/>
      <c r="F22" s="559">
        <f>(F19-F20)*C22</f>
        <v>262275.57121799455</v>
      </c>
      <c r="G22" s="982"/>
      <c r="H22" s="983">
        <f>D22+F22</f>
        <v>519664.59502356162</v>
      </c>
      <c r="I22" s="2452"/>
    </row>
    <row r="23" spans="1:15" ht="15.6" x14ac:dyDescent="0.3">
      <c r="A23" s="551"/>
      <c r="B23" s="557" t="s">
        <v>991</v>
      </c>
      <c r="C23" s="560">
        <f>'Вхідні дані'!D$44</f>
        <v>8.4099999999999994E-2</v>
      </c>
      <c r="D23" s="559">
        <f>D20*C23</f>
        <v>0</v>
      </c>
      <c r="E23" s="559"/>
      <c r="F23" s="559">
        <f>F20*C23</f>
        <v>0</v>
      </c>
      <c r="G23" s="982"/>
      <c r="H23" s="983">
        <f>D23+F23</f>
        <v>0</v>
      </c>
      <c r="I23" s="2452"/>
    </row>
    <row r="24" spans="1:15" s="550" customFormat="1" ht="27.6" x14ac:dyDescent="0.25">
      <c r="A24" s="561" t="s">
        <v>994</v>
      </c>
      <c r="B24" s="562" t="s">
        <v>995</v>
      </c>
      <c r="C24" s="563">
        <v>2</v>
      </c>
      <c r="D24" s="564">
        <v>283173.39290958899</v>
      </c>
      <c r="E24" s="563">
        <v>2</v>
      </c>
      <c r="F24" s="564">
        <v>471307.24509041093</v>
      </c>
      <c r="G24" s="548">
        <v>2</v>
      </c>
      <c r="H24" s="984">
        <f>D24+F24</f>
        <v>754480.63799999992</v>
      </c>
      <c r="I24" s="2447"/>
      <c r="J24" s="3853"/>
    </row>
    <row r="25" spans="1:15" ht="15.6" x14ac:dyDescent="0.3">
      <c r="A25" s="551"/>
      <c r="B25" s="552" t="s">
        <v>988</v>
      </c>
      <c r="C25" s="552">
        <v>0</v>
      </c>
      <c r="D25" s="553">
        <v>0</v>
      </c>
      <c r="E25" s="552">
        <v>0</v>
      </c>
      <c r="F25" s="553">
        <v>0</v>
      </c>
      <c r="G25" s="971">
        <f>C25*157/366+E25*209/366</f>
        <v>0</v>
      </c>
      <c r="H25" s="972">
        <f>D25+F25</f>
        <v>0</v>
      </c>
      <c r="I25" s="2451"/>
    </row>
    <row r="26" spans="1:15" s="550" customFormat="1" ht="17.25" customHeight="1" x14ac:dyDescent="0.25">
      <c r="A26" s="551"/>
      <c r="B26" s="554" t="s">
        <v>989</v>
      </c>
      <c r="C26" s="555"/>
      <c r="D26" s="556">
        <f>SUM(D27:D28)</f>
        <v>62298.14644010958</v>
      </c>
      <c r="E26" s="555"/>
      <c r="F26" s="556">
        <f>SUM(F27:F28)</f>
        <v>103687.59391989041</v>
      </c>
      <c r="G26" s="973"/>
      <c r="H26" s="974">
        <f>H27+H28</f>
        <v>165985.74036</v>
      </c>
      <c r="I26" s="2447"/>
      <c r="J26" s="3853"/>
    </row>
    <row r="27" spans="1:15" ht="15.6" x14ac:dyDescent="0.3">
      <c r="A27" s="551"/>
      <c r="B27" s="557" t="s">
        <v>990</v>
      </c>
      <c r="C27" s="558">
        <f>'Вхідні дані'!D$43</f>
        <v>0.22</v>
      </c>
      <c r="D27" s="559">
        <f>(D24-D25)*C27</f>
        <v>62298.14644010958</v>
      </c>
      <c r="E27" s="559"/>
      <c r="F27" s="559">
        <f>(F24-F25)*C27</f>
        <v>103687.59391989041</v>
      </c>
      <c r="G27" s="975"/>
      <c r="H27" s="976">
        <f>D27+F27</f>
        <v>165985.74036</v>
      </c>
      <c r="I27" s="2451"/>
    </row>
    <row r="28" spans="1:15" ht="15.6" x14ac:dyDescent="0.3">
      <c r="A28" s="551"/>
      <c r="B28" s="557" t="s">
        <v>991</v>
      </c>
      <c r="C28" s="560">
        <f>'Вхідні дані'!D$44</f>
        <v>8.4099999999999994E-2</v>
      </c>
      <c r="D28" s="559">
        <f>D25*C28</f>
        <v>0</v>
      </c>
      <c r="E28" s="559"/>
      <c r="F28" s="559">
        <f>F25*C28</f>
        <v>0</v>
      </c>
      <c r="G28" s="975"/>
      <c r="H28" s="976">
        <f>D28+F28</f>
        <v>0</v>
      </c>
      <c r="I28"/>
    </row>
    <row r="29" spans="1:15" s="550" customFormat="1" ht="27.6" x14ac:dyDescent="0.25">
      <c r="A29" s="561" t="s">
        <v>996</v>
      </c>
      <c r="B29" s="565" t="s">
        <v>997</v>
      </c>
      <c r="C29" s="563">
        <v>17</v>
      </c>
      <c r="D29" s="564">
        <v>1519886.25716137</v>
      </c>
      <c r="E29" s="563">
        <v>17</v>
      </c>
      <c r="F29" s="564">
        <v>2482539.7989386301</v>
      </c>
      <c r="G29" s="548">
        <f>(C29*$K$9+E29*$L$9)/$M$9</f>
        <v>17</v>
      </c>
      <c r="H29" s="984">
        <f>D29+F29</f>
        <v>4002426.0561000002</v>
      </c>
      <c r="I29" s="2447"/>
      <c r="J29" s="3854"/>
      <c r="O29" s="3855"/>
    </row>
    <row r="30" spans="1:15" ht="15.6" x14ac:dyDescent="0.3">
      <c r="A30" s="551"/>
      <c r="B30" s="552" t="s">
        <v>988</v>
      </c>
      <c r="C30" s="552">
        <v>4</v>
      </c>
      <c r="D30" s="553">
        <v>336132.91649212327</v>
      </c>
      <c r="E30" s="552">
        <v>4</v>
      </c>
      <c r="F30" s="553">
        <v>546548.29013287672</v>
      </c>
      <c r="G30" s="971">
        <f>C30*157/366+E30*209/366</f>
        <v>4</v>
      </c>
      <c r="H30" s="972">
        <f>D30+F30</f>
        <v>882681.20662499999</v>
      </c>
      <c r="I30" s="3858" t="s">
        <v>3237</v>
      </c>
    </row>
    <row r="31" spans="1:15" s="550" customFormat="1" ht="15" customHeight="1" x14ac:dyDescent="0.3">
      <c r="A31" s="551"/>
      <c r="B31" s="554" t="s">
        <v>989</v>
      </c>
      <c r="C31" s="555"/>
      <c r="D31" s="556">
        <f>SUM(D32:D33)</f>
        <v>288694.51322422188</v>
      </c>
      <c r="E31" s="555"/>
      <c r="F31" s="556">
        <f>SUM(F32:F33)</f>
        <v>471882.84313744068</v>
      </c>
      <c r="G31" s="973"/>
      <c r="H31" s="974">
        <f>H32+H33</f>
        <v>760577.3563616625</v>
      </c>
      <c r="I31" s="3858" t="s">
        <v>3238</v>
      </c>
      <c r="J31" s="3853"/>
    </row>
    <row r="32" spans="1:15" ht="15.6" x14ac:dyDescent="0.3">
      <c r="A32" s="551"/>
      <c r="B32" s="557" t="s">
        <v>990</v>
      </c>
      <c r="C32" s="558">
        <f>'Вхідні дані'!D$43</f>
        <v>0.22</v>
      </c>
      <c r="D32" s="559">
        <f>(D29-D30)*C32</f>
        <v>260425.7349472343</v>
      </c>
      <c r="E32" s="559"/>
      <c r="F32" s="559">
        <f>(F29-F30)*C32</f>
        <v>425918.13193726575</v>
      </c>
      <c r="G32" s="975"/>
      <c r="H32" s="976">
        <f>D32+F32</f>
        <v>686343.86688450002</v>
      </c>
      <c r="I32" s="3859" t="s">
        <v>3239</v>
      </c>
    </row>
    <row r="33" spans="1:11" ht="15.6" x14ac:dyDescent="0.3">
      <c r="A33" s="551"/>
      <c r="B33" s="557" t="s">
        <v>991</v>
      </c>
      <c r="C33" s="560">
        <f>'Вхідні дані'!D$44</f>
        <v>8.4099999999999994E-2</v>
      </c>
      <c r="D33" s="559">
        <f>D30*C33</f>
        <v>28268.778276987567</v>
      </c>
      <c r="E33" s="559"/>
      <c r="F33" s="559">
        <f>F30*C33</f>
        <v>45964.711200174926</v>
      </c>
      <c r="G33" s="975"/>
      <c r="H33" s="976">
        <f>D33+F33</f>
        <v>74233.489477162497</v>
      </c>
      <c r="I33" s="3859" t="s">
        <v>4062</v>
      </c>
    </row>
    <row r="34" spans="1:11" s="550" customFormat="1" ht="27.6" hidden="1" x14ac:dyDescent="0.25">
      <c r="A34" s="561" t="s">
        <v>998</v>
      </c>
      <c r="B34" s="565" t="s">
        <v>999</v>
      </c>
      <c r="C34" s="563"/>
      <c r="D34" s="564"/>
      <c r="E34" s="566"/>
      <c r="F34" s="564"/>
      <c r="G34" s="548">
        <f>(C34*$K$9+E34*$L$9)/$M$9</f>
        <v>0</v>
      </c>
      <c r="H34" s="984">
        <f>D34+F34</f>
        <v>0</v>
      </c>
      <c r="I34" s="2447"/>
      <c r="J34" s="3853"/>
    </row>
    <row r="35" spans="1:11" s="550" customFormat="1" ht="15.6" hidden="1" x14ac:dyDescent="0.25">
      <c r="A35" s="567"/>
      <c r="B35" s="552" t="s">
        <v>988</v>
      </c>
      <c r="C35" s="568"/>
      <c r="D35" s="569"/>
      <c r="E35" s="568"/>
      <c r="F35" s="569"/>
      <c r="G35" s="971">
        <f>C35*157/366+E35*209/366</f>
        <v>0</v>
      </c>
      <c r="H35" s="985"/>
      <c r="I35" s="2447"/>
      <c r="J35" s="3853"/>
      <c r="K35" s="3856"/>
    </row>
    <row r="36" spans="1:11" s="550" customFormat="1" ht="15.6" hidden="1" x14ac:dyDescent="0.25">
      <c r="A36" s="567"/>
      <c r="B36" s="554" t="s">
        <v>989</v>
      </c>
      <c r="C36" s="555"/>
      <c r="D36" s="556">
        <f>SUM(D37:D38)</f>
        <v>0</v>
      </c>
      <c r="E36" s="555"/>
      <c r="F36" s="556">
        <f>SUM(F37:F38)</f>
        <v>0</v>
      </c>
      <c r="G36" s="973"/>
      <c r="H36" s="974">
        <f>H37+H38</f>
        <v>0</v>
      </c>
      <c r="I36" s="2447"/>
      <c r="J36" s="3853"/>
    </row>
    <row r="37" spans="1:11" s="550" customFormat="1" ht="15.6" hidden="1" x14ac:dyDescent="0.25">
      <c r="A37" s="567"/>
      <c r="B37" s="557" t="s">
        <v>990</v>
      </c>
      <c r="C37" s="558">
        <f>'Вхідні дані'!D$43</f>
        <v>0.22</v>
      </c>
      <c r="D37" s="559">
        <f>(D34-D35)*C37</f>
        <v>0</v>
      </c>
      <c r="E37" s="570"/>
      <c r="F37" s="559">
        <f>(F34-F35)*C37</f>
        <v>0</v>
      </c>
      <c r="G37" s="986"/>
      <c r="H37" s="974">
        <f>D37+F37</f>
        <v>0</v>
      </c>
      <c r="I37" s="2447"/>
      <c r="J37" s="3853"/>
    </row>
    <row r="38" spans="1:11" s="550" customFormat="1" ht="15.6" hidden="1" x14ac:dyDescent="0.25">
      <c r="A38" s="567"/>
      <c r="B38" s="557" t="s">
        <v>991</v>
      </c>
      <c r="C38" s="560">
        <f>'Вхідні дані'!D$44</f>
        <v>8.4099999999999994E-2</v>
      </c>
      <c r="D38" s="559">
        <f>D35*C38</f>
        <v>0</v>
      </c>
      <c r="E38" s="570"/>
      <c r="F38" s="559">
        <f>F35*C38</f>
        <v>0</v>
      </c>
      <c r="G38" s="986"/>
      <c r="H38" s="974">
        <f>D38+F38</f>
        <v>0</v>
      </c>
      <c r="I38" s="2447"/>
      <c r="J38" s="3853"/>
    </row>
    <row r="39" spans="1:11" s="550" customFormat="1" ht="41.4" hidden="1" x14ac:dyDescent="0.25">
      <c r="A39" s="561" t="s">
        <v>1000</v>
      </c>
      <c r="B39" s="562" t="s">
        <v>1001</v>
      </c>
      <c r="C39" s="563">
        <f>8-8</f>
        <v>0</v>
      </c>
      <c r="D39" s="564">
        <f>619486.726290411-619486.726290411</f>
        <v>0</v>
      </c>
      <c r="E39" s="563">
        <f>8-8</f>
        <v>0</v>
      </c>
      <c r="F39" s="564">
        <f>940632.061909589-940632.061909589</f>
        <v>0</v>
      </c>
      <c r="G39" s="548">
        <f>(C39*$K$9+E39*$L$9)/$M$9</f>
        <v>0</v>
      </c>
      <c r="H39" s="984">
        <f>D39+F39</f>
        <v>0</v>
      </c>
      <c r="I39" s="2447"/>
      <c r="J39" s="3853"/>
    </row>
    <row r="40" spans="1:11" s="550" customFormat="1" ht="15.6" hidden="1" x14ac:dyDescent="0.25">
      <c r="A40" s="567"/>
      <c r="B40" s="552" t="s">
        <v>988</v>
      </c>
      <c r="C40" s="568">
        <f>1-1</f>
        <v>0</v>
      </c>
      <c r="D40" s="569">
        <f>75919.2867287671-75919.2867287671</f>
        <v>0</v>
      </c>
      <c r="E40" s="568">
        <f>1-1</f>
        <v>0</v>
      </c>
      <c r="F40" s="569">
        <f>113276.668471233-113276.668471233</f>
        <v>0</v>
      </c>
      <c r="G40" s="971">
        <f>C40*157/366+E40*209/366</f>
        <v>0</v>
      </c>
      <c r="H40" s="985">
        <f>D40+F40</f>
        <v>0</v>
      </c>
      <c r="I40" s="2447" t="s">
        <v>3688</v>
      </c>
      <c r="J40" s="3853"/>
    </row>
    <row r="41" spans="1:11" s="550" customFormat="1" ht="15.6" hidden="1" x14ac:dyDescent="0.25">
      <c r="A41" s="567"/>
      <c r="B41" s="554" t="s">
        <v>989</v>
      </c>
      <c r="C41" s="555"/>
      <c r="D41" s="556">
        <f>SUM(D42:D43)</f>
        <v>0</v>
      </c>
      <c r="E41" s="555"/>
      <c r="F41" s="556">
        <f>SUM(F42:F43)</f>
        <v>0</v>
      </c>
      <c r="G41" s="973"/>
      <c r="H41" s="974">
        <f>H42+H43</f>
        <v>0</v>
      </c>
      <c r="I41" s="3860" t="s">
        <v>3240</v>
      </c>
      <c r="J41" s="3853"/>
    </row>
    <row r="42" spans="1:11" s="550" customFormat="1" ht="15.6" hidden="1" x14ac:dyDescent="0.25">
      <c r="A42" s="567"/>
      <c r="B42" s="557" t="s">
        <v>990</v>
      </c>
      <c r="C42" s="558">
        <f>'Вхідні дані'!D$43</f>
        <v>0.22</v>
      </c>
      <c r="D42" s="559">
        <f>(D39-D40)*C42</f>
        <v>0</v>
      </c>
      <c r="E42" s="571"/>
      <c r="F42" s="559">
        <f>(F39-F40)*C42</f>
        <v>0</v>
      </c>
      <c r="G42" s="986"/>
      <c r="H42" s="974">
        <f>D42+F42</f>
        <v>0</v>
      </c>
      <c r="I42" s="3861" t="s">
        <v>3241</v>
      </c>
      <c r="J42" s="3853"/>
    </row>
    <row r="43" spans="1:11" s="550" customFormat="1" ht="15.6" hidden="1" x14ac:dyDescent="0.25">
      <c r="A43" s="567"/>
      <c r="B43" s="557" t="s">
        <v>991</v>
      </c>
      <c r="C43" s="560">
        <f>'Вхідні дані'!D$44</f>
        <v>8.4099999999999994E-2</v>
      </c>
      <c r="D43" s="559">
        <f>D40*C43</f>
        <v>0</v>
      </c>
      <c r="E43" s="571"/>
      <c r="F43" s="559">
        <f>F40*C43</f>
        <v>0</v>
      </c>
      <c r="G43" s="986"/>
      <c r="H43" s="974">
        <f>D43+F43</f>
        <v>0</v>
      </c>
      <c r="I43" s="2447"/>
      <c r="J43" s="3853"/>
    </row>
    <row r="44" spans="1:11" ht="15.6" x14ac:dyDescent="0.3">
      <c r="A44" s="561" t="s">
        <v>998</v>
      </c>
      <c r="B44" s="562" t="s">
        <v>1002</v>
      </c>
      <c r="C44" s="563">
        <v>20.5</v>
      </c>
      <c r="D44" s="564">
        <v>2283974.1561315064</v>
      </c>
      <c r="E44" s="572">
        <v>20.5</v>
      </c>
      <c r="F44" s="564">
        <v>3707860.7258684933</v>
      </c>
      <c r="G44" s="548">
        <v>20.5</v>
      </c>
      <c r="H44" s="984">
        <f>D44+F44</f>
        <v>5991834.8819999993</v>
      </c>
      <c r="I44" s="2451"/>
    </row>
    <row r="45" spans="1:11" ht="15.6" x14ac:dyDescent="0.3">
      <c r="A45" s="551"/>
      <c r="B45" s="552" t="s">
        <v>988</v>
      </c>
      <c r="C45" s="552">
        <v>1</v>
      </c>
      <c r="D45" s="553">
        <v>111562.23550684933</v>
      </c>
      <c r="E45" s="552">
        <v>1</v>
      </c>
      <c r="F45" s="553">
        <v>177115.75449315071</v>
      </c>
      <c r="G45" s="971">
        <v>1</v>
      </c>
      <c r="H45" s="972">
        <f>D45+F45</f>
        <v>288677.99000000005</v>
      </c>
      <c r="I45" s="3859" t="s">
        <v>3689</v>
      </c>
    </row>
    <row r="46" spans="1:11" s="550" customFormat="1" ht="15.6" x14ac:dyDescent="0.3">
      <c r="A46" s="551"/>
      <c r="B46" s="554" t="s">
        <v>989</v>
      </c>
      <c r="C46" s="555"/>
      <c r="D46" s="556">
        <f>SUM(D47:D48)</f>
        <v>487313.00654355058</v>
      </c>
      <c r="E46" s="555"/>
      <c r="F46" s="556">
        <f>SUM(F47:F48)</f>
        <v>791659.32865544932</v>
      </c>
      <c r="G46" s="973"/>
      <c r="H46" s="974">
        <f>H47+H48</f>
        <v>1278972.3351989998</v>
      </c>
      <c r="I46" s="3862" t="s">
        <v>3242</v>
      </c>
      <c r="J46" s="3853"/>
    </row>
    <row r="47" spans="1:11" ht="15.6" x14ac:dyDescent="0.3">
      <c r="A47" s="551"/>
      <c r="B47" s="557" t="s">
        <v>990</v>
      </c>
      <c r="C47" s="558">
        <f>'Вхідні дані'!D$43</f>
        <v>0.22</v>
      </c>
      <c r="D47" s="559">
        <f>(D44-D45)*C47</f>
        <v>477930.62253742456</v>
      </c>
      <c r="E47" s="559"/>
      <c r="F47" s="559">
        <f>(F44-F45)*C47</f>
        <v>776763.89370257535</v>
      </c>
      <c r="G47" s="975"/>
      <c r="H47" s="976">
        <f>D47+F47</f>
        <v>1254694.5162399998</v>
      </c>
      <c r="I47" s="3862" t="s">
        <v>3690</v>
      </c>
    </row>
    <row r="48" spans="1:11" ht="15.6" x14ac:dyDescent="0.3">
      <c r="A48" s="551"/>
      <c r="B48" s="557" t="s">
        <v>991</v>
      </c>
      <c r="C48" s="560">
        <f>'Вхідні дані'!D$44</f>
        <v>8.4099999999999994E-2</v>
      </c>
      <c r="D48" s="559">
        <f>D45*C48</f>
        <v>9382.3840061260289</v>
      </c>
      <c r="E48" s="559"/>
      <c r="F48" s="559">
        <f>F45*C48</f>
        <v>14895.434952873975</v>
      </c>
      <c r="G48" s="975"/>
      <c r="H48" s="976">
        <f>D48+F48</f>
        <v>24277.818959000004</v>
      </c>
      <c r="I48" s="2451"/>
    </row>
    <row r="49" spans="1:11" ht="15.6" x14ac:dyDescent="0.3">
      <c r="A49" s="561" t="s">
        <v>1000</v>
      </c>
      <c r="B49" s="562" t="s">
        <v>1003</v>
      </c>
      <c r="C49" s="573">
        <v>15</v>
      </c>
      <c r="D49" s="564">
        <v>3060479.9434712324</v>
      </c>
      <c r="E49" s="573">
        <v>15</v>
      </c>
      <c r="F49" s="564">
        <v>4078505.1658027396</v>
      </c>
      <c r="G49" s="548">
        <v>15</v>
      </c>
      <c r="H49" s="984">
        <f>D49+F49</f>
        <v>7138985.109273972</v>
      </c>
      <c r="I49" s="2451"/>
    </row>
    <row r="50" spans="1:11" ht="15.6" x14ac:dyDescent="0.3">
      <c r="A50" s="551"/>
      <c r="B50" s="552" t="s">
        <v>988</v>
      </c>
      <c r="C50" s="552">
        <v>0</v>
      </c>
      <c r="D50" s="553">
        <v>0</v>
      </c>
      <c r="E50" s="552">
        <v>0</v>
      </c>
      <c r="F50" s="553">
        <v>0</v>
      </c>
      <c r="G50" s="971">
        <v>0</v>
      </c>
      <c r="H50" s="972">
        <f>D50+F50</f>
        <v>0</v>
      </c>
      <c r="I50" s="2451"/>
    </row>
    <row r="51" spans="1:11" s="550" customFormat="1" ht="15.6" x14ac:dyDescent="0.25">
      <c r="A51" s="551"/>
      <c r="B51" s="554" t="s">
        <v>989</v>
      </c>
      <c r="C51" s="555"/>
      <c r="D51" s="556">
        <f>SUM(D52:D53)</f>
        <v>673305.58756367117</v>
      </c>
      <c r="E51" s="555"/>
      <c r="F51" s="556">
        <f>SUM(F52:F53)</f>
        <v>897271.13647660275</v>
      </c>
      <c r="G51" s="973"/>
      <c r="H51" s="974">
        <f>H52+H53</f>
        <v>1570576.724040274</v>
      </c>
      <c r="I51" s="2447"/>
      <c r="J51" s="3853"/>
    </row>
    <row r="52" spans="1:11" ht="15.6" x14ac:dyDescent="0.3">
      <c r="A52" s="551"/>
      <c r="B52" s="557" t="s">
        <v>990</v>
      </c>
      <c r="C52" s="558">
        <f>'Вхідні дані'!D$43</f>
        <v>0.22</v>
      </c>
      <c r="D52" s="559">
        <f>(D49-D50)*C52</f>
        <v>673305.58756367117</v>
      </c>
      <c r="E52" s="559"/>
      <c r="F52" s="559">
        <f>(F49-F50)*C52</f>
        <v>897271.13647660275</v>
      </c>
      <c r="G52" s="975"/>
      <c r="H52" s="976">
        <f>D52+F52</f>
        <v>1570576.724040274</v>
      </c>
      <c r="I52" s="2451"/>
    </row>
    <row r="53" spans="1:11" ht="16.2" thickBot="1" x14ac:dyDescent="0.35">
      <c r="A53" s="574"/>
      <c r="B53" s="575" t="s">
        <v>991</v>
      </c>
      <c r="C53" s="560">
        <f>'Вхідні дані'!D$44</f>
        <v>8.4099999999999994E-2</v>
      </c>
      <c r="D53" s="559">
        <f>D50*C53</f>
        <v>0</v>
      </c>
      <c r="E53" s="576"/>
      <c r="F53" s="559">
        <f>F50*C53</f>
        <v>0</v>
      </c>
      <c r="G53" s="987"/>
      <c r="H53" s="988">
        <f>D53+F53</f>
        <v>0</v>
      </c>
      <c r="I53" s="2451"/>
    </row>
    <row r="54" spans="1:11" ht="16.2" thickBot="1" x14ac:dyDescent="0.35">
      <c r="A54" s="577" t="s">
        <v>4064</v>
      </c>
      <c r="B54" s="578" t="s">
        <v>1004</v>
      </c>
      <c r="C54" s="579">
        <f t="shared" ref="C54:G55" si="0">C9+C14+C19+C24+C29+C34+C39+C44+C49</f>
        <v>156.80000000000001</v>
      </c>
      <c r="D54" s="579">
        <f t="shared" si="0"/>
        <v>17559294.623943049</v>
      </c>
      <c r="E54" s="579">
        <f t="shared" si="0"/>
        <v>145.80000000000001</v>
      </c>
      <c r="F54" s="579">
        <f t="shared" si="0"/>
        <v>26078355.969691388</v>
      </c>
      <c r="G54" s="1424">
        <f t="shared" si="0"/>
        <v>150.29041095890412</v>
      </c>
      <c r="H54" s="989">
        <f>H49+H44+H29+H39+H24+H14+H9+H19</f>
        <v>43637650.593634441</v>
      </c>
      <c r="I54" s="4232">
        <v>43637650.593634441</v>
      </c>
      <c r="J54" s="4233">
        <f>H54-I54</f>
        <v>0</v>
      </c>
      <c r="K54" s="421">
        <f>H54/G54/12</f>
        <v>24196.293426845699</v>
      </c>
    </row>
    <row r="55" spans="1:11" ht="15" thickBot="1" x14ac:dyDescent="0.35">
      <c r="A55" s="585"/>
      <c r="B55" s="580" t="s">
        <v>988</v>
      </c>
      <c r="C55" s="1271">
        <f t="shared" si="0"/>
        <v>6</v>
      </c>
      <c r="D55" s="1271">
        <f t="shared" si="0"/>
        <v>550970.09078253421</v>
      </c>
      <c r="E55" s="1271">
        <f t="shared" si="0"/>
        <v>6</v>
      </c>
      <c r="F55" s="1271">
        <f t="shared" si="0"/>
        <v>886554.55984246579</v>
      </c>
      <c r="G55" s="1285">
        <f t="shared" si="0"/>
        <v>6</v>
      </c>
      <c r="H55" s="2446">
        <f>H10+H15+H20+H25+H30+H35+H40+H45+H50</f>
        <v>1437524.650625</v>
      </c>
      <c r="I55" s="4232">
        <v>1437524.650625</v>
      </c>
      <c r="J55" s="4233">
        <f t="shared" ref="J55:J56" si="1">H55-I55</f>
        <v>0</v>
      </c>
    </row>
    <row r="56" spans="1:11" ht="15" thickBot="1" x14ac:dyDescent="0.35">
      <c r="A56" s="578"/>
      <c r="B56" s="578" t="s">
        <v>1005</v>
      </c>
      <c r="C56" s="578"/>
      <c r="D56" s="581">
        <f>D11+D16+D21+D26+D31+D36+D41+D46+D51</f>
        <v>3788167.981930125</v>
      </c>
      <c r="E56" s="578"/>
      <c r="F56" s="581">
        <f>F11+F16+F21+F26+F31+F36+F41+F46+F51</f>
        <v>5616755.5486495141</v>
      </c>
      <c r="G56" s="990"/>
      <c r="H56" s="991">
        <f>H11+H16+H21+H26+H31+H36+H41+H46+H51</f>
        <v>9404923.5305796377</v>
      </c>
      <c r="I56" s="4232">
        <v>9404923.5305796377</v>
      </c>
      <c r="J56" s="4233">
        <f t="shared" si="1"/>
        <v>0</v>
      </c>
    </row>
    <row r="58" spans="1:11" x14ac:dyDescent="0.25">
      <c r="H58" s="582"/>
    </row>
    <row r="59" spans="1:11" ht="18" x14ac:dyDescent="0.35">
      <c r="B59" s="4235" t="str">
        <f>'Вхідні дані'!B13</f>
        <v>Директор підприємства</v>
      </c>
      <c r="C59" s="583"/>
      <c r="D59" s="4236" t="s">
        <v>370</v>
      </c>
      <c r="E59" s="4237"/>
      <c r="F59" s="4238" t="str">
        <f>'Вхідні дані'!F13</f>
        <v>Анатолій ПАНШИН</v>
      </c>
      <c r="G59" s="4238"/>
      <c r="H59" s="583"/>
    </row>
    <row r="60" spans="1:11" ht="15.6" x14ac:dyDescent="0.25">
      <c r="B60" s="530" t="s">
        <v>1007</v>
      </c>
      <c r="C60" s="583"/>
      <c r="D60" s="530" t="s">
        <v>209</v>
      </c>
      <c r="E60" s="5205" t="s">
        <v>1985</v>
      </c>
      <c r="F60" s="5205"/>
      <c r="G60" s="5205"/>
      <c r="H60" s="583"/>
    </row>
    <row r="61" spans="1:11" x14ac:dyDescent="0.25">
      <c r="B61" s="385" t="s">
        <v>1006</v>
      </c>
    </row>
    <row r="62" spans="1:11" x14ac:dyDescent="0.25">
      <c r="I62" s="4022" t="s">
        <v>2835</v>
      </c>
      <c r="J62" s="4083" t="s">
        <v>1436</v>
      </c>
    </row>
    <row r="63" spans="1:11" x14ac:dyDescent="0.25">
      <c r="G63" s="1464"/>
      <c r="H63" s="1510">
        <f>SUM(H64:H66)</f>
        <v>43637650.593634441</v>
      </c>
    </row>
    <row r="64" spans="1:11" x14ac:dyDescent="0.25">
      <c r="G64" s="1464" t="s">
        <v>2005</v>
      </c>
      <c r="H64" s="1465">
        <f>H9+H14+H19+H24+H29+H39</f>
        <v>30506830.602360468</v>
      </c>
      <c r="I64" s="582">
        <f>H9+H14+H19+H24</f>
        <v>26504404.546260469</v>
      </c>
      <c r="J64" s="582">
        <f>H29</f>
        <v>4002426.0561000002</v>
      </c>
      <c r="K64" s="582">
        <f>I64+J64-H64</f>
        <v>0</v>
      </c>
    </row>
    <row r="65" spans="7:11" x14ac:dyDescent="0.25">
      <c r="G65" s="1464" t="s">
        <v>1437</v>
      </c>
      <c r="H65" s="1465">
        <f>H44</f>
        <v>5991834.8819999993</v>
      </c>
      <c r="I65" s="421">
        <f>H65/H64*I64</f>
        <v>5205719.9175136508</v>
      </c>
      <c r="J65" s="582">
        <f>H65/H64*J64</f>
        <v>786114.96448634914</v>
      </c>
      <c r="K65" s="582">
        <f>I65+J65-H65</f>
        <v>0</v>
      </c>
    </row>
    <row r="66" spans="7:11" x14ac:dyDescent="0.25">
      <c r="G66" s="1464" t="s">
        <v>2246</v>
      </c>
      <c r="H66" s="1465">
        <f>H49</f>
        <v>7138985.109273972</v>
      </c>
      <c r="I66" s="421">
        <f>H66/H64*I64</f>
        <v>6202366.6716557033</v>
      </c>
      <c r="J66" s="582">
        <f>H66/H64*J64</f>
        <v>936618.43761826889</v>
      </c>
      <c r="K66" s="582">
        <f>I66+J66-H66</f>
        <v>0</v>
      </c>
    </row>
  </sheetData>
  <mergeCells count="9">
    <mergeCell ref="G1:H1"/>
    <mergeCell ref="A4:D4"/>
    <mergeCell ref="E4:F4"/>
    <mergeCell ref="E60:G60"/>
    <mergeCell ref="A6:A7"/>
    <mergeCell ref="B6:B7"/>
    <mergeCell ref="C6:D6"/>
    <mergeCell ref="E6:F6"/>
    <mergeCell ref="G6:H6"/>
  </mergeCells>
  <pageMargins left="0.70866141732283472" right="0.21" top="0.5" bottom="0.47" header="0.31496062992125984" footer="0.31496062992125984"/>
  <pageSetup paperSize="9" scale="66" orientation="portrait" horizontalDpi="0" verticalDpi="0"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Лист11">
    <tabColor rgb="FF0000FF"/>
    <pageSetUpPr fitToPage="1"/>
  </sheetPr>
  <dimension ref="A1:F244"/>
  <sheetViews>
    <sheetView topLeftCell="A196" workbookViewId="0">
      <selection activeCell="C250" sqref="C250"/>
    </sheetView>
  </sheetViews>
  <sheetFormatPr defaultColWidth="8.88671875" defaultRowHeight="15.6" x14ac:dyDescent="0.3"/>
  <cols>
    <col min="1" max="2" width="8.88671875" style="45"/>
    <col min="3" max="3" width="31.33203125" style="45" customWidth="1"/>
    <col min="4" max="4" width="24.6640625" style="45" customWidth="1"/>
    <col min="5" max="5" width="22.44140625" style="45" customWidth="1"/>
    <col min="6" max="16384" width="8.88671875" style="45"/>
  </cols>
  <sheetData>
    <row r="1" spans="1:6" ht="80.400000000000006" customHeight="1" x14ac:dyDescent="0.3">
      <c r="A1" s="1732"/>
      <c r="B1" s="1732"/>
      <c r="C1" s="2059"/>
      <c r="D1" s="2060"/>
      <c r="E1" s="3149" t="s">
        <v>3471</v>
      </c>
      <c r="F1" s="2060"/>
    </row>
    <row r="2" spans="1:6" ht="21" x14ac:dyDescent="0.4">
      <c r="B2" s="4940" t="s">
        <v>472</v>
      </c>
      <c r="C2" s="4940"/>
      <c r="D2" s="4940"/>
      <c r="E2" s="4940"/>
    </row>
    <row r="3" spans="1:6" x14ac:dyDescent="0.3">
      <c r="B3" s="4941" t="s">
        <v>3103</v>
      </c>
      <c r="C3" s="4941"/>
      <c r="D3" s="4941"/>
      <c r="E3" s="4941"/>
    </row>
    <row r="4" spans="1:6" ht="28.95" customHeight="1" x14ac:dyDescent="0.3">
      <c r="B4" s="4942" t="s">
        <v>3104</v>
      </c>
      <c r="C4" s="4942"/>
      <c r="D4" s="4942"/>
      <c r="E4" s="4942"/>
    </row>
    <row r="5" spans="1:6" x14ac:dyDescent="0.3">
      <c r="B5" s="4939" t="s">
        <v>369</v>
      </c>
      <c r="C5" s="4939"/>
      <c r="D5" s="4939"/>
      <c r="E5" s="4939"/>
    </row>
    <row r="6" spans="1:6" x14ac:dyDescent="0.3">
      <c r="B6" s="4943" t="s">
        <v>3105</v>
      </c>
      <c r="C6" s="4943"/>
      <c r="D6" s="4943"/>
      <c r="E6" s="4943"/>
    </row>
    <row r="7" spans="1:6" ht="16.2" thickBot="1" x14ac:dyDescent="0.35">
      <c r="B7" s="4939" t="s">
        <v>1024</v>
      </c>
      <c r="C7" s="4939"/>
      <c r="D7" s="4939"/>
      <c r="E7" s="4939"/>
    </row>
    <row r="8" spans="1:6" ht="0.6" customHeight="1" thickBot="1" x14ac:dyDescent="0.35"/>
    <row r="9" spans="1:6" ht="80.400000000000006" customHeight="1" thickBot="1" x14ac:dyDescent="0.35">
      <c r="B9" s="2014" t="s">
        <v>7</v>
      </c>
      <c r="C9" s="1508" t="s">
        <v>353</v>
      </c>
      <c r="D9" s="1508" t="s">
        <v>354</v>
      </c>
      <c r="E9" s="1508" t="s">
        <v>3068</v>
      </c>
    </row>
    <row r="10" spans="1:6" s="4" customFormat="1" ht="12.6" thickBot="1" x14ac:dyDescent="0.3">
      <c r="B10" s="2061">
        <v>1</v>
      </c>
      <c r="C10" s="2062">
        <v>2</v>
      </c>
      <c r="D10" s="2062">
        <v>3</v>
      </c>
      <c r="E10" s="2061">
        <v>4</v>
      </c>
    </row>
    <row r="11" spans="1:6" ht="15.6" customHeight="1" thickBot="1" x14ac:dyDescent="0.35">
      <c r="B11" s="2017">
        <v>1</v>
      </c>
      <c r="C11" s="2018" t="s">
        <v>1034</v>
      </c>
      <c r="D11" s="2019" t="s">
        <v>1036</v>
      </c>
      <c r="E11" s="2017" t="s">
        <v>3069</v>
      </c>
    </row>
    <row r="12" spans="1:6" ht="15.6" customHeight="1" thickBot="1" x14ac:dyDescent="0.35">
      <c r="B12" s="2020">
        <v>2</v>
      </c>
      <c r="C12" s="2018" t="s">
        <v>1037</v>
      </c>
      <c r="D12" s="2019" t="s">
        <v>1036</v>
      </c>
      <c r="E12" s="2017" t="s">
        <v>3069</v>
      </c>
    </row>
    <row r="13" spans="1:6" ht="15.6" customHeight="1" thickBot="1" x14ac:dyDescent="0.35">
      <c r="B13" s="2020">
        <v>3</v>
      </c>
      <c r="C13" s="2018" t="s">
        <v>1039</v>
      </c>
      <c r="D13" s="2019" t="s">
        <v>1036</v>
      </c>
      <c r="E13" s="2017" t="s">
        <v>3069</v>
      </c>
    </row>
    <row r="14" spans="1:6" ht="15.6" customHeight="1" thickBot="1" x14ac:dyDescent="0.35">
      <c r="B14" s="2020">
        <v>4</v>
      </c>
      <c r="C14" s="2018" t="s">
        <v>1041</v>
      </c>
      <c r="D14" s="2019" t="s">
        <v>1036</v>
      </c>
      <c r="E14" s="2017" t="s">
        <v>3069</v>
      </c>
    </row>
    <row r="15" spans="1:6" ht="15.6" customHeight="1" thickBot="1" x14ac:dyDescent="0.35">
      <c r="B15" s="2020">
        <v>5</v>
      </c>
      <c r="C15" s="2018" t="s">
        <v>1043</v>
      </c>
      <c r="D15" s="2019" t="s">
        <v>1036</v>
      </c>
      <c r="E15" s="2017" t="s">
        <v>3069</v>
      </c>
    </row>
    <row r="16" spans="1:6" ht="15.6" customHeight="1" thickBot="1" x14ac:dyDescent="0.35">
      <c r="B16" s="2020">
        <v>6</v>
      </c>
      <c r="C16" s="2018" t="s">
        <v>1045</v>
      </c>
      <c r="D16" s="2019" t="s">
        <v>1036</v>
      </c>
      <c r="E16" s="2017" t="s">
        <v>3069</v>
      </c>
    </row>
    <row r="17" spans="2:5" ht="15.6" customHeight="1" thickBot="1" x14ac:dyDescent="0.35">
      <c r="B17" s="2020">
        <v>7</v>
      </c>
      <c r="C17" s="2018" t="s">
        <v>1047</v>
      </c>
      <c r="D17" s="2019" t="s">
        <v>1036</v>
      </c>
      <c r="E17" s="2017" t="s">
        <v>3069</v>
      </c>
    </row>
    <row r="18" spans="2:5" ht="15.6" customHeight="1" thickBot="1" x14ac:dyDescent="0.35">
      <c r="B18" s="2020">
        <v>8</v>
      </c>
      <c r="C18" s="2018" t="s">
        <v>1049</v>
      </c>
      <c r="D18" s="2019" t="s">
        <v>1036</v>
      </c>
      <c r="E18" s="2017" t="s">
        <v>3069</v>
      </c>
    </row>
    <row r="19" spans="2:5" ht="15.6" customHeight="1" thickBot="1" x14ac:dyDescent="0.35">
      <c r="B19" s="2020">
        <v>10</v>
      </c>
      <c r="C19" s="2018" t="s">
        <v>1052</v>
      </c>
      <c r="D19" s="2019" t="s">
        <v>1036</v>
      </c>
      <c r="E19" s="2017" t="s">
        <v>3069</v>
      </c>
    </row>
    <row r="20" spans="2:5" ht="15.6" customHeight="1" thickBot="1" x14ac:dyDescent="0.35">
      <c r="B20" s="2020">
        <v>11</v>
      </c>
      <c r="C20" s="2018" t="s">
        <v>1053</v>
      </c>
      <c r="D20" s="2019" t="s">
        <v>1036</v>
      </c>
      <c r="E20" s="2017" t="s">
        <v>3069</v>
      </c>
    </row>
    <row r="21" spans="2:5" ht="15.6" customHeight="1" thickBot="1" x14ac:dyDescent="0.35">
      <c r="B21" s="2020">
        <v>13</v>
      </c>
      <c r="C21" s="2018" t="s">
        <v>1056</v>
      </c>
      <c r="D21" s="2019" t="s">
        <v>1036</v>
      </c>
      <c r="E21" s="2017" t="s">
        <v>3069</v>
      </c>
    </row>
    <row r="22" spans="2:5" ht="15.6" customHeight="1" thickBot="1" x14ac:dyDescent="0.35">
      <c r="B22" s="2020">
        <v>14</v>
      </c>
      <c r="C22" s="2018" t="s">
        <v>1057</v>
      </c>
      <c r="D22" s="2019" t="s">
        <v>1036</v>
      </c>
      <c r="E22" s="2017" t="s">
        <v>3069</v>
      </c>
    </row>
    <row r="23" spans="2:5" ht="15.6" customHeight="1" thickBot="1" x14ac:dyDescent="0.35">
      <c r="B23" s="2020">
        <v>15</v>
      </c>
      <c r="C23" s="2018" t="s">
        <v>1058</v>
      </c>
      <c r="D23" s="2019" t="s">
        <v>1036</v>
      </c>
      <c r="E23" s="2017" t="s">
        <v>3069</v>
      </c>
    </row>
    <row r="24" spans="2:5" ht="15.6" customHeight="1" thickBot="1" x14ac:dyDescent="0.35">
      <c r="B24" s="2020">
        <v>16</v>
      </c>
      <c r="C24" s="2018" t="s">
        <v>1060</v>
      </c>
      <c r="D24" s="2019" t="s">
        <v>1036</v>
      </c>
      <c r="E24" s="2017" t="s">
        <v>3069</v>
      </c>
    </row>
    <row r="25" spans="2:5" ht="15.6" customHeight="1" thickBot="1" x14ac:dyDescent="0.35">
      <c r="B25" s="2020">
        <v>17</v>
      </c>
      <c r="C25" s="2018" t="s">
        <v>1062</v>
      </c>
      <c r="D25" s="2019" t="s">
        <v>1036</v>
      </c>
      <c r="E25" s="2017" t="s">
        <v>3069</v>
      </c>
    </row>
    <row r="26" spans="2:5" ht="15.6" customHeight="1" thickBot="1" x14ac:dyDescent="0.35">
      <c r="B26" s="2020">
        <v>18</v>
      </c>
      <c r="C26" s="2018" t="s">
        <v>1064</v>
      </c>
      <c r="D26" s="2019" t="s">
        <v>1036</v>
      </c>
      <c r="E26" s="2017" t="s">
        <v>3069</v>
      </c>
    </row>
    <row r="27" spans="2:5" ht="15.6" customHeight="1" thickBot="1" x14ac:dyDescent="0.35">
      <c r="B27" s="2020">
        <v>19</v>
      </c>
      <c r="C27" s="2018" t="s">
        <v>1066</v>
      </c>
      <c r="D27" s="2019" t="s">
        <v>1036</v>
      </c>
      <c r="E27" s="2017" t="s">
        <v>3069</v>
      </c>
    </row>
    <row r="28" spans="2:5" ht="15.6" customHeight="1" thickBot="1" x14ac:dyDescent="0.35">
      <c r="B28" s="2020">
        <v>20</v>
      </c>
      <c r="C28" s="2018" t="s">
        <v>1068</v>
      </c>
      <c r="D28" s="2019" t="s">
        <v>1036</v>
      </c>
      <c r="E28" s="2017" t="s">
        <v>3070</v>
      </c>
    </row>
    <row r="29" spans="2:5" ht="15.6" customHeight="1" thickBot="1" x14ac:dyDescent="0.35">
      <c r="B29" s="2020">
        <v>21</v>
      </c>
      <c r="C29" s="2018" t="s">
        <v>1070</v>
      </c>
      <c r="D29" s="2019" t="s">
        <v>1036</v>
      </c>
      <c r="E29" s="2017" t="s">
        <v>3069</v>
      </c>
    </row>
    <row r="30" spans="2:5" ht="15.6" customHeight="1" thickBot="1" x14ac:dyDescent="0.35">
      <c r="B30" s="2020">
        <v>22</v>
      </c>
      <c r="C30" s="2018" t="s">
        <v>1071</v>
      </c>
      <c r="D30" s="2019" t="s">
        <v>1036</v>
      </c>
      <c r="E30" s="2017" t="s">
        <v>3070</v>
      </c>
    </row>
    <row r="31" spans="2:5" ht="15.6" customHeight="1" thickBot="1" x14ac:dyDescent="0.35">
      <c r="B31" s="2020">
        <v>23</v>
      </c>
      <c r="C31" s="2018" t="s">
        <v>1073</v>
      </c>
      <c r="D31" s="2019" t="s">
        <v>1036</v>
      </c>
      <c r="E31" s="2017" t="s">
        <v>3069</v>
      </c>
    </row>
    <row r="32" spans="2:5" ht="15.6" customHeight="1" thickBot="1" x14ac:dyDescent="0.35">
      <c r="B32" s="2020">
        <v>24</v>
      </c>
      <c r="C32" s="2018" t="s">
        <v>1075</v>
      </c>
      <c r="D32" s="2019" t="s">
        <v>1036</v>
      </c>
      <c r="E32" s="2017" t="s">
        <v>3069</v>
      </c>
    </row>
    <row r="33" spans="2:5" ht="15.6" customHeight="1" thickBot="1" x14ac:dyDescent="0.35">
      <c r="B33" s="2020">
        <v>25</v>
      </c>
      <c r="C33" s="2018" t="s">
        <v>1076</v>
      </c>
      <c r="D33" s="2019" t="s">
        <v>1036</v>
      </c>
      <c r="E33" s="2017" t="s">
        <v>3069</v>
      </c>
    </row>
    <row r="34" spans="2:5" ht="15.6" customHeight="1" thickBot="1" x14ac:dyDescent="0.35">
      <c r="B34" s="2020">
        <v>26</v>
      </c>
      <c r="C34" s="2018" t="s">
        <v>1077</v>
      </c>
      <c r="D34" s="2019" t="s">
        <v>1036</v>
      </c>
      <c r="E34" s="2017" t="s">
        <v>3069</v>
      </c>
    </row>
    <row r="35" spans="2:5" ht="15.6" customHeight="1" thickBot="1" x14ac:dyDescent="0.35">
      <c r="B35" s="2020">
        <v>27</v>
      </c>
      <c r="C35" s="2018" t="s">
        <v>1079</v>
      </c>
      <c r="D35" s="2019" t="s">
        <v>1036</v>
      </c>
      <c r="E35" s="2017" t="s">
        <v>3070</v>
      </c>
    </row>
    <row r="36" spans="2:5" ht="15.6" customHeight="1" thickBot="1" x14ac:dyDescent="0.35">
      <c r="B36" s="2020">
        <v>28</v>
      </c>
      <c r="C36" s="2018" t="s">
        <v>1081</v>
      </c>
      <c r="D36" s="2019" t="s">
        <v>1036</v>
      </c>
      <c r="E36" s="2017" t="s">
        <v>3069</v>
      </c>
    </row>
    <row r="37" spans="2:5" ht="15.6" customHeight="1" thickBot="1" x14ac:dyDescent="0.35">
      <c r="B37" s="2020">
        <v>29</v>
      </c>
      <c r="C37" s="2018" t="s">
        <v>1082</v>
      </c>
      <c r="D37" s="2019" t="s">
        <v>1036</v>
      </c>
      <c r="E37" s="2017" t="s">
        <v>3070</v>
      </c>
    </row>
    <row r="38" spans="2:5" ht="15.6" customHeight="1" thickBot="1" x14ac:dyDescent="0.35">
      <c r="B38" s="2020">
        <v>30</v>
      </c>
      <c r="C38" s="2018" t="s">
        <v>1083</v>
      </c>
      <c r="D38" s="2019" t="s">
        <v>1036</v>
      </c>
      <c r="E38" s="2017" t="s">
        <v>3070</v>
      </c>
    </row>
    <row r="39" spans="2:5" ht="15.6" customHeight="1" thickBot="1" x14ac:dyDescent="0.35">
      <c r="B39" s="2020">
        <v>31</v>
      </c>
      <c r="C39" s="2018" t="s">
        <v>1084</v>
      </c>
      <c r="D39" s="2019" t="s">
        <v>1036</v>
      </c>
      <c r="E39" s="2017" t="s">
        <v>3070</v>
      </c>
    </row>
    <row r="40" spans="2:5" ht="15.6" customHeight="1" thickBot="1" x14ac:dyDescent="0.35">
      <c r="B40" s="2020">
        <v>32</v>
      </c>
      <c r="C40" s="2018" t="s">
        <v>1085</v>
      </c>
      <c r="D40" s="2019" t="s">
        <v>1036</v>
      </c>
      <c r="E40" s="2017" t="s">
        <v>3069</v>
      </c>
    </row>
    <row r="41" spans="2:5" ht="15.6" customHeight="1" thickBot="1" x14ac:dyDescent="0.35">
      <c r="B41" s="2020">
        <v>33</v>
      </c>
      <c r="C41" s="2018" t="s">
        <v>1087</v>
      </c>
      <c r="D41" s="2019" t="s">
        <v>1036</v>
      </c>
      <c r="E41" s="2017" t="s">
        <v>3069</v>
      </c>
    </row>
    <row r="42" spans="2:5" ht="15.6" customHeight="1" thickBot="1" x14ac:dyDescent="0.35">
      <c r="B42" s="2020">
        <v>34</v>
      </c>
      <c r="C42" s="2018" t="s">
        <v>1089</v>
      </c>
      <c r="D42" s="2019" t="s">
        <v>1036</v>
      </c>
      <c r="E42" s="2017" t="s">
        <v>3069</v>
      </c>
    </row>
    <row r="43" spans="2:5" ht="15.6" customHeight="1" thickBot="1" x14ac:dyDescent="0.35">
      <c r="B43" s="2020">
        <v>35</v>
      </c>
      <c r="C43" s="2018" t="s">
        <v>1091</v>
      </c>
      <c r="D43" s="2019" t="s">
        <v>1036</v>
      </c>
      <c r="E43" s="2017" t="s">
        <v>3069</v>
      </c>
    </row>
    <row r="44" spans="2:5" ht="15.6" customHeight="1" thickBot="1" x14ac:dyDescent="0.35">
      <c r="B44" s="2020">
        <v>36</v>
      </c>
      <c r="C44" s="2018" t="s">
        <v>1092</v>
      </c>
      <c r="D44" s="2019" t="s">
        <v>1036</v>
      </c>
      <c r="E44" s="2017" t="s">
        <v>3070</v>
      </c>
    </row>
    <row r="45" spans="2:5" ht="15.6" customHeight="1" thickBot="1" x14ac:dyDescent="0.35">
      <c r="B45" s="2020">
        <v>37</v>
      </c>
      <c r="C45" s="2018" t="s">
        <v>1093</v>
      </c>
      <c r="D45" s="2019" t="s">
        <v>1036</v>
      </c>
      <c r="E45" s="2017" t="s">
        <v>3069</v>
      </c>
    </row>
    <row r="46" spans="2:5" ht="15.6" customHeight="1" thickBot="1" x14ac:dyDescent="0.35">
      <c r="B46" s="2020">
        <v>38</v>
      </c>
      <c r="C46" s="2018" t="s">
        <v>1094</v>
      </c>
      <c r="D46" s="2019" t="s">
        <v>1036</v>
      </c>
      <c r="E46" s="2017" t="s">
        <v>3069</v>
      </c>
    </row>
    <row r="47" spans="2:5" ht="15.6" customHeight="1" thickBot="1" x14ac:dyDescent="0.35">
      <c r="B47" s="2020">
        <v>39</v>
      </c>
      <c r="C47" s="2018" t="s">
        <v>1987</v>
      </c>
      <c r="D47" s="2019" t="s">
        <v>1036</v>
      </c>
      <c r="E47" s="2017" t="s">
        <v>3070</v>
      </c>
    </row>
    <row r="48" spans="2:5" ht="15.6" customHeight="1" thickBot="1" x14ac:dyDescent="0.35">
      <c r="B48" s="2020">
        <v>40</v>
      </c>
      <c r="C48" s="2018" t="s">
        <v>1095</v>
      </c>
      <c r="D48" s="2019" t="s">
        <v>1036</v>
      </c>
      <c r="E48" s="2017" t="s">
        <v>3069</v>
      </c>
    </row>
    <row r="49" spans="2:5" ht="15.6" customHeight="1" thickBot="1" x14ac:dyDescent="0.35">
      <c r="B49" s="2020">
        <v>41</v>
      </c>
      <c r="C49" s="2018" t="s">
        <v>1096</v>
      </c>
      <c r="D49" s="2019" t="s">
        <v>1036</v>
      </c>
      <c r="E49" s="2017" t="s">
        <v>3070</v>
      </c>
    </row>
    <row r="50" spans="2:5" ht="15.6" customHeight="1" thickBot="1" x14ac:dyDescent="0.35">
      <c r="B50" s="2020">
        <v>42</v>
      </c>
      <c r="C50" s="2018" t="s">
        <v>1097</v>
      </c>
      <c r="D50" s="2019" t="s">
        <v>1036</v>
      </c>
      <c r="E50" s="2017" t="s">
        <v>3069</v>
      </c>
    </row>
    <row r="51" spans="2:5" ht="15.6" customHeight="1" thickBot="1" x14ac:dyDescent="0.35">
      <c r="B51" s="2020">
        <v>44</v>
      </c>
      <c r="C51" s="2018" t="s">
        <v>1099</v>
      </c>
      <c r="D51" s="2019" t="s">
        <v>1036</v>
      </c>
      <c r="E51" s="2017" t="s">
        <v>3069</v>
      </c>
    </row>
    <row r="52" spans="2:5" ht="15.6" customHeight="1" thickBot="1" x14ac:dyDescent="0.35">
      <c r="B52" s="2020">
        <v>47</v>
      </c>
      <c r="C52" s="2018" t="s">
        <v>1104</v>
      </c>
      <c r="D52" s="2019" t="s">
        <v>1036</v>
      </c>
      <c r="E52" s="2017" t="s">
        <v>3070</v>
      </c>
    </row>
    <row r="53" spans="2:5" ht="15.6" customHeight="1" thickBot="1" x14ac:dyDescent="0.35">
      <c r="B53" s="2020">
        <v>48</v>
      </c>
      <c r="C53" s="2018" t="s">
        <v>1106</v>
      </c>
      <c r="D53" s="2019" t="s">
        <v>1036</v>
      </c>
      <c r="E53" s="2021" t="s">
        <v>3070</v>
      </c>
    </row>
    <row r="54" spans="2:5" ht="15.6" customHeight="1" thickBot="1" x14ac:dyDescent="0.35">
      <c r="B54" s="2020">
        <v>49</v>
      </c>
      <c r="C54" s="2018" t="s">
        <v>1107</v>
      </c>
      <c r="D54" s="2019" t="s">
        <v>1036</v>
      </c>
      <c r="E54" s="2017" t="s">
        <v>3070</v>
      </c>
    </row>
    <row r="55" spans="2:5" ht="15.6" customHeight="1" thickBot="1" x14ac:dyDescent="0.35">
      <c r="B55" s="2020">
        <v>50</v>
      </c>
      <c r="C55" s="2018" t="s">
        <v>1108</v>
      </c>
      <c r="D55" s="2019" t="s">
        <v>1036</v>
      </c>
      <c r="E55" s="2021" t="s">
        <v>3070</v>
      </c>
    </row>
    <row r="56" spans="2:5" ht="15.6" customHeight="1" thickBot="1" x14ac:dyDescent="0.35">
      <c r="B56" s="2020">
        <v>51</v>
      </c>
      <c r="C56" s="2018" t="s">
        <v>1109</v>
      </c>
      <c r="D56" s="2019" t="s">
        <v>1036</v>
      </c>
      <c r="E56" s="2021" t="s">
        <v>3070</v>
      </c>
    </row>
    <row r="57" spans="2:5" ht="15.6" customHeight="1" thickBot="1" x14ac:dyDescent="0.35">
      <c r="B57" s="2020">
        <v>52</v>
      </c>
      <c r="C57" s="2018" t="s">
        <v>1110</v>
      </c>
      <c r="D57" s="2019" t="s">
        <v>1036</v>
      </c>
      <c r="E57" s="2021" t="s">
        <v>3070</v>
      </c>
    </row>
    <row r="58" spans="2:5" ht="15.6" customHeight="1" thickBot="1" x14ac:dyDescent="0.35">
      <c r="B58" s="2020">
        <v>53</v>
      </c>
      <c r="C58" s="2018" t="s">
        <v>1112</v>
      </c>
      <c r="D58" s="2019" t="s">
        <v>1036</v>
      </c>
      <c r="E58" s="2021" t="s">
        <v>3070</v>
      </c>
    </row>
    <row r="59" spans="2:5" ht="15.6" customHeight="1" thickBot="1" x14ac:dyDescent="0.35">
      <c r="B59" s="2020">
        <v>54</v>
      </c>
      <c r="C59" s="2018" t="s">
        <v>1113</v>
      </c>
      <c r="D59" s="2019" t="s">
        <v>1036</v>
      </c>
      <c r="E59" s="2021" t="s">
        <v>3070</v>
      </c>
    </row>
    <row r="60" spans="2:5" ht="15.6" customHeight="1" thickBot="1" x14ac:dyDescent="0.35">
      <c r="B60" s="2020">
        <v>55</v>
      </c>
      <c r="C60" s="2018" t="s">
        <v>1115</v>
      </c>
      <c r="D60" s="2019" t="s">
        <v>1036</v>
      </c>
      <c r="E60" s="2021" t="s">
        <v>3070</v>
      </c>
    </row>
    <row r="61" spans="2:5" ht="15.6" customHeight="1" thickBot="1" x14ac:dyDescent="0.35">
      <c r="B61" s="2020">
        <v>56</v>
      </c>
      <c r="C61" s="2018" t="s">
        <v>1116</v>
      </c>
      <c r="D61" s="2019" t="s">
        <v>1036</v>
      </c>
      <c r="E61" s="2021" t="s">
        <v>3070</v>
      </c>
    </row>
    <row r="62" spans="2:5" ht="15.6" customHeight="1" thickBot="1" x14ac:dyDescent="0.35">
      <c r="B62" s="2020">
        <v>57</v>
      </c>
      <c r="C62" s="2018" t="s">
        <v>1117</v>
      </c>
      <c r="D62" s="2019" t="s">
        <v>1036</v>
      </c>
      <c r="E62" s="2021" t="s">
        <v>3070</v>
      </c>
    </row>
    <row r="63" spans="2:5" ht="15.6" customHeight="1" thickBot="1" x14ac:dyDescent="0.35">
      <c r="B63" s="2020">
        <v>58</v>
      </c>
      <c r="C63" s="2018" t="s">
        <v>1118</v>
      </c>
      <c r="D63" s="2019" t="s">
        <v>1036</v>
      </c>
      <c r="E63" s="2021" t="s">
        <v>3070</v>
      </c>
    </row>
    <row r="64" spans="2:5" ht="15.6" customHeight="1" thickBot="1" x14ac:dyDescent="0.35">
      <c r="B64" s="2020">
        <v>59</v>
      </c>
      <c r="C64" s="2018" t="s">
        <v>1119</v>
      </c>
      <c r="D64" s="2019" t="s">
        <v>1036</v>
      </c>
      <c r="E64" s="2021" t="s">
        <v>3070</v>
      </c>
    </row>
    <row r="65" spans="2:5" ht="15.6" customHeight="1" thickBot="1" x14ac:dyDescent="0.35">
      <c r="B65" s="2020">
        <v>60</v>
      </c>
      <c r="C65" s="2018" t="s">
        <v>1120</v>
      </c>
      <c r="D65" s="2019" t="s">
        <v>1036</v>
      </c>
      <c r="E65" s="2021" t="s">
        <v>3070</v>
      </c>
    </row>
    <row r="66" spans="2:5" ht="15.6" customHeight="1" thickBot="1" x14ac:dyDescent="0.35">
      <c r="B66" s="2020">
        <v>61</v>
      </c>
      <c r="C66" s="2018" t="s">
        <v>1121</v>
      </c>
      <c r="D66" s="2019" t="s">
        <v>1036</v>
      </c>
      <c r="E66" s="2017" t="s">
        <v>3069</v>
      </c>
    </row>
    <row r="67" spans="2:5" ht="15.6" customHeight="1" thickBot="1" x14ac:dyDescent="0.35">
      <c r="B67" s="2020">
        <v>62</v>
      </c>
      <c r="C67" s="2018" t="s">
        <v>1122</v>
      </c>
      <c r="D67" s="2019" t="s">
        <v>1036</v>
      </c>
      <c r="E67" s="2017" t="s">
        <v>3069</v>
      </c>
    </row>
    <row r="68" spans="2:5" ht="15.6" customHeight="1" thickBot="1" x14ac:dyDescent="0.35">
      <c r="B68" s="2020">
        <v>63</v>
      </c>
      <c r="C68" s="2018" t="s">
        <v>1123</v>
      </c>
      <c r="D68" s="2019" t="s">
        <v>1036</v>
      </c>
      <c r="E68" s="2017" t="s">
        <v>3069</v>
      </c>
    </row>
    <row r="69" spans="2:5" ht="15.6" customHeight="1" thickBot="1" x14ac:dyDescent="0.35">
      <c r="B69" s="2020">
        <v>64</v>
      </c>
      <c r="C69" s="2018" t="s">
        <v>1125</v>
      </c>
      <c r="D69" s="2019" t="s">
        <v>1036</v>
      </c>
      <c r="E69" s="2017" t="s">
        <v>3069</v>
      </c>
    </row>
    <row r="70" spans="2:5" ht="15.6" customHeight="1" thickBot="1" x14ac:dyDescent="0.35">
      <c r="B70" s="2020">
        <v>65</v>
      </c>
      <c r="C70" s="2018" t="s">
        <v>1127</v>
      </c>
      <c r="D70" s="2019" t="s">
        <v>1036</v>
      </c>
      <c r="E70" s="2017" t="s">
        <v>3069</v>
      </c>
    </row>
    <row r="71" spans="2:5" ht="15.6" customHeight="1" thickBot="1" x14ac:dyDescent="0.35">
      <c r="B71" s="2020">
        <v>66</v>
      </c>
      <c r="C71" s="2018" t="s">
        <v>1128</v>
      </c>
      <c r="D71" s="2019" t="s">
        <v>1036</v>
      </c>
      <c r="E71" s="2017" t="s">
        <v>3069</v>
      </c>
    </row>
    <row r="72" spans="2:5" ht="15.6" customHeight="1" thickBot="1" x14ac:dyDescent="0.35">
      <c r="B72" s="2020">
        <v>67</v>
      </c>
      <c r="C72" s="2018" t="s">
        <v>1129</v>
      </c>
      <c r="D72" s="2019" t="s">
        <v>1036</v>
      </c>
      <c r="E72" s="2017" t="s">
        <v>3069</v>
      </c>
    </row>
    <row r="73" spans="2:5" ht="15.6" customHeight="1" thickBot="1" x14ac:dyDescent="0.35">
      <c r="B73" s="2020">
        <v>68</v>
      </c>
      <c r="C73" s="2018" t="s">
        <v>1131</v>
      </c>
      <c r="D73" s="2019" t="s">
        <v>1036</v>
      </c>
      <c r="E73" s="2017" t="s">
        <v>3069</v>
      </c>
    </row>
    <row r="74" spans="2:5" ht="15.6" customHeight="1" thickBot="1" x14ac:dyDescent="0.35">
      <c r="B74" s="2020">
        <v>70</v>
      </c>
      <c r="C74" s="2018" t="s">
        <v>1134</v>
      </c>
      <c r="D74" s="2019" t="s">
        <v>1036</v>
      </c>
      <c r="E74" s="2017" t="s">
        <v>3069</v>
      </c>
    </row>
    <row r="75" spans="2:5" ht="15.6" customHeight="1" thickBot="1" x14ac:dyDescent="0.35">
      <c r="B75" s="2020">
        <v>72</v>
      </c>
      <c r="C75" s="2018" t="s">
        <v>1138</v>
      </c>
      <c r="D75" s="2019" t="s">
        <v>1036</v>
      </c>
      <c r="E75" s="2017" t="s">
        <v>3069</v>
      </c>
    </row>
    <row r="76" spans="2:5" ht="15.6" customHeight="1" thickBot="1" x14ac:dyDescent="0.35">
      <c r="B76" s="2020">
        <v>73</v>
      </c>
      <c r="C76" s="2018" t="s">
        <v>1139</v>
      </c>
      <c r="D76" s="2019" t="s">
        <v>1036</v>
      </c>
      <c r="E76" s="2017" t="s">
        <v>3069</v>
      </c>
    </row>
    <row r="77" spans="2:5" ht="15.6" customHeight="1" thickBot="1" x14ac:dyDescent="0.35">
      <c r="B77" s="2020">
        <v>74</v>
      </c>
      <c r="C77" s="2018" t="s">
        <v>1141</v>
      </c>
      <c r="D77" s="2019" t="s">
        <v>1036</v>
      </c>
      <c r="E77" s="2017" t="s">
        <v>3069</v>
      </c>
    </row>
    <row r="78" spans="2:5" ht="15.6" customHeight="1" thickBot="1" x14ac:dyDescent="0.35">
      <c r="B78" s="2020">
        <v>76</v>
      </c>
      <c r="C78" s="2018" t="s">
        <v>1142</v>
      </c>
      <c r="D78" s="2019" t="s">
        <v>1036</v>
      </c>
      <c r="E78" s="2017" t="s">
        <v>3069</v>
      </c>
    </row>
    <row r="79" spans="2:5" ht="15.6" customHeight="1" thickBot="1" x14ac:dyDescent="0.35">
      <c r="B79" s="2020">
        <v>77</v>
      </c>
      <c r="C79" s="2018" t="s">
        <v>1143</v>
      </c>
      <c r="D79" s="2019" t="s">
        <v>1036</v>
      </c>
      <c r="E79" s="2017" t="s">
        <v>3069</v>
      </c>
    </row>
    <row r="80" spans="2:5" ht="15.6" customHeight="1" thickBot="1" x14ac:dyDescent="0.35">
      <c r="B80" s="2020">
        <v>78</v>
      </c>
      <c r="C80" s="2018" t="s">
        <v>1144</v>
      </c>
      <c r="D80" s="2019" t="s">
        <v>1036</v>
      </c>
      <c r="E80" s="2017" t="s">
        <v>3069</v>
      </c>
    </row>
    <row r="81" spans="2:5" ht="15.6" customHeight="1" thickBot="1" x14ac:dyDescent="0.35">
      <c r="B81" s="2020">
        <v>80</v>
      </c>
      <c r="C81" s="2018" t="s">
        <v>1146</v>
      </c>
      <c r="D81" s="2019" t="s">
        <v>1036</v>
      </c>
      <c r="E81" s="2017" t="s">
        <v>3069</v>
      </c>
    </row>
    <row r="82" spans="2:5" ht="15.6" customHeight="1" thickBot="1" x14ac:dyDescent="0.35">
      <c r="B82" s="2020">
        <v>81</v>
      </c>
      <c r="C82" s="2018" t="s">
        <v>1148</v>
      </c>
      <c r="D82" s="2019" t="s">
        <v>1036</v>
      </c>
      <c r="E82" s="2017" t="s">
        <v>3069</v>
      </c>
    </row>
    <row r="83" spans="2:5" ht="15.6" customHeight="1" thickBot="1" x14ac:dyDescent="0.35">
      <c r="B83" s="2020">
        <v>82</v>
      </c>
      <c r="C83" s="2018" t="s">
        <v>1150</v>
      </c>
      <c r="D83" s="2019" t="s">
        <v>1036</v>
      </c>
      <c r="E83" s="2017" t="s">
        <v>3069</v>
      </c>
    </row>
    <row r="84" spans="2:5" ht="15.6" customHeight="1" thickBot="1" x14ac:dyDescent="0.35">
      <c r="B84" s="2020">
        <v>83</v>
      </c>
      <c r="C84" s="2018" t="s">
        <v>1151</v>
      </c>
      <c r="D84" s="2019" t="s">
        <v>1036</v>
      </c>
      <c r="E84" s="2017" t="s">
        <v>3069</v>
      </c>
    </row>
    <row r="85" spans="2:5" ht="15.6" customHeight="1" thickBot="1" x14ac:dyDescent="0.35">
      <c r="B85" s="2020">
        <v>84</v>
      </c>
      <c r="C85" s="2018" t="s">
        <v>1153</v>
      </c>
      <c r="D85" s="2019" t="s">
        <v>1036</v>
      </c>
      <c r="E85" s="2017" t="s">
        <v>3069</v>
      </c>
    </row>
    <row r="86" spans="2:5" ht="15.6" customHeight="1" thickBot="1" x14ac:dyDescent="0.35">
      <c r="B86" s="2020">
        <v>85</v>
      </c>
      <c r="C86" s="2018" t="s">
        <v>1155</v>
      </c>
      <c r="D86" s="2019" t="s">
        <v>1036</v>
      </c>
      <c r="E86" s="2017" t="s">
        <v>3069</v>
      </c>
    </row>
    <row r="87" spans="2:5" ht="15.6" customHeight="1" thickBot="1" x14ac:dyDescent="0.35">
      <c r="B87" s="2020">
        <v>86</v>
      </c>
      <c r="C87" s="2018" t="s">
        <v>1156</v>
      </c>
      <c r="D87" s="2019" t="s">
        <v>1036</v>
      </c>
      <c r="E87" s="2017" t="s">
        <v>3069</v>
      </c>
    </row>
    <row r="88" spans="2:5" ht="15.6" customHeight="1" thickBot="1" x14ac:dyDescent="0.35">
      <c r="B88" s="2020">
        <v>87</v>
      </c>
      <c r="C88" s="2018" t="s">
        <v>1157</v>
      </c>
      <c r="D88" s="2019" t="s">
        <v>1036</v>
      </c>
      <c r="E88" s="2017" t="s">
        <v>3069</v>
      </c>
    </row>
    <row r="89" spans="2:5" ht="15.6" customHeight="1" thickBot="1" x14ac:dyDescent="0.35">
      <c r="B89" s="2020">
        <v>89</v>
      </c>
      <c r="C89" s="2018" t="s">
        <v>1159</v>
      </c>
      <c r="D89" s="2019" t="s">
        <v>1036</v>
      </c>
      <c r="E89" s="2017" t="s">
        <v>3069</v>
      </c>
    </row>
    <row r="90" spans="2:5" ht="15.6" customHeight="1" thickBot="1" x14ac:dyDescent="0.35">
      <c r="B90" s="2020">
        <v>90</v>
      </c>
      <c r="C90" s="2018" t="s">
        <v>1160</v>
      </c>
      <c r="D90" s="2019" t="s">
        <v>1036</v>
      </c>
      <c r="E90" s="2017" t="s">
        <v>3069</v>
      </c>
    </row>
    <row r="91" spans="2:5" ht="15.6" customHeight="1" thickBot="1" x14ac:dyDescent="0.35">
      <c r="B91" s="2020">
        <v>91</v>
      </c>
      <c r="C91" s="2018" t="s">
        <v>1161</v>
      </c>
      <c r="D91" s="2019" t="s">
        <v>1036</v>
      </c>
      <c r="E91" s="2021" t="s">
        <v>3070</v>
      </c>
    </row>
    <row r="92" spans="2:5" ht="15.6" customHeight="1" thickBot="1" x14ac:dyDescent="0.35">
      <c r="B92" s="2020">
        <v>92</v>
      </c>
      <c r="C92" s="2018" t="s">
        <v>1163</v>
      </c>
      <c r="D92" s="2019" t="s">
        <v>1036</v>
      </c>
      <c r="E92" s="2017" t="s">
        <v>3069</v>
      </c>
    </row>
    <row r="93" spans="2:5" ht="15.6" customHeight="1" thickBot="1" x14ac:dyDescent="0.35">
      <c r="B93" s="2020">
        <v>94</v>
      </c>
      <c r="C93" s="2018" t="s">
        <v>1165</v>
      </c>
      <c r="D93" s="2019" t="s">
        <v>1036</v>
      </c>
      <c r="E93" s="2017" t="s">
        <v>3069</v>
      </c>
    </row>
    <row r="94" spans="2:5" ht="15.6" customHeight="1" thickBot="1" x14ac:dyDescent="0.35">
      <c r="B94" s="2020">
        <v>95</v>
      </c>
      <c r="C94" s="2018" t="s">
        <v>1166</v>
      </c>
      <c r="D94" s="2019" t="s">
        <v>1036</v>
      </c>
      <c r="E94" s="2017" t="s">
        <v>3069</v>
      </c>
    </row>
    <row r="95" spans="2:5" ht="15.6" customHeight="1" thickBot="1" x14ac:dyDescent="0.35">
      <c r="B95" s="2020">
        <v>96</v>
      </c>
      <c r="C95" s="2018" t="s">
        <v>1167</v>
      </c>
      <c r="D95" s="2019" t="s">
        <v>1036</v>
      </c>
      <c r="E95" s="2017" t="s">
        <v>3069</v>
      </c>
    </row>
    <row r="96" spans="2:5" ht="15.6" customHeight="1" thickBot="1" x14ac:dyDescent="0.35">
      <c r="B96" s="2020">
        <v>98</v>
      </c>
      <c r="C96" s="2018" t="s">
        <v>1169</v>
      </c>
      <c r="D96" s="2019" t="s">
        <v>1036</v>
      </c>
      <c r="E96" s="2017" t="s">
        <v>3069</v>
      </c>
    </row>
    <row r="97" spans="2:5" ht="15.6" customHeight="1" thickBot="1" x14ac:dyDescent="0.35">
      <c r="B97" s="2020">
        <v>99</v>
      </c>
      <c r="C97" s="2018" t="s">
        <v>1170</v>
      </c>
      <c r="D97" s="2019" t="s">
        <v>1036</v>
      </c>
      <c r="E97" s="2017" t="s">
        <v>3069</v>
      </c>
    </row>
    <row r="98" spans="2:5" ht="15.6" customHeight="1" thickBot="1" x14ac:dyDescent="0.35">
      <c r="B98" s="2020">
        <v>100</v>
      </c>
      <c r="C98" s="2018" t="s">
        <v>1171</v>
      </c>
      <c r="D98" s="2019" t="s">
        <v>1036</v>
      </c>
      <c r="E98" s="2017" t="s">
        <v>3069</v>
      </c>
    </row>
    <row r="99" spans="2:5" ht="15.6" customHeight="1" thickBot="1" x14ac:dyDescent="0.35">
      <c r="B99" s="2020">
        <v>101</v>
      </c>
      <c r="C99" s="2018" t="s">
        <v>1172</v>
      </c>
      <c r="D99" s="2019" t="s">
        <v>1036</v>
      </c>
      <c r="E99" s="2017" t="s">
        <v>3069</v>
      </c>
    </row>
    <row r="100" spans="2:5" ht="15.6" customHeight="1" thickBot="1" x14ac:dyDescent="0.35">
      <c r="B100" s="2020">
        <v>102</v>
      </c>
      <c r="C100" s="2018" t="s">
        <v>1173</v>
      </c>
      <c r="D100" s="2019" t="s">
        <v>1036</v>
      </c>
      <c r="E100" s="2017" t="s">
        <v>3069</v>
      </c>
    </row>
    <row r="101" spans="2:5" ht="15.6" customHeight="1" thickBot="1" x14ac:dyDescent="0.35">
      <c r="B101" s="2020">
        <v>104</v>
      </c>
      <c r="C101" s="2018" t="s">
        <v>1175</v>
      </c>
      <c r="D101" s="2019" t="s">
        <v>1036</v>
      </c>
      <c r="E101" s="2017" t="s">
        <v>3069</v>
      </c>
    </row>
    <row r="102" spans="2:5" ht="15.6" customHeight="1" thickBot="1" x14ac:dyDescent="0.35">
      <c r="B102" s="2020">
        <v>105</v>
      </c>
      <c r="C102" s="2018" t="s">
        <v>1177</v>
      </c>
      <c r="D102" s="2019" t="s">
        <v>1036</v>
      </c>
      <c r="E102" s="2017" t="s">
        <v>3069</v>
      </c>
    </row>
    <row r="103" spans="2:5" ht="15.6" customHeight="1" thickBot="1" x14ac:dyDescent="0.35">
      <c r="B103" s="2020">
        <v>106</v>
      </c>
      <c r="C103" s="2018" t="s">
        <v>1179</v>
      </c>
      <c r="D103" s="2019" t="s">
        <v>1036</v>
      </c>
      <c r="E103" s="2017" t="s">
        <v>3069</v>
      </c>
    </row>
    <row r="104" spans="2:5" ht="15.6" customHeight="1" thickBot="1" x14ac:dyDescent="0.35">
      <c r="B104" s="2020">
        <v>107</v>
      </c>
      <c r="C104" s="2018" t="s">
        <v>1180</v>
      </c>
      <c r="D104" s="2019" t="s">
        <v>1036</v>
      </c>
      <c r="E104" s="2017" t="s">
        <v>3069</v>
      </c>
    </row>
    <row r="105" spans="2:5" ht="15.6" customHeight="1" thickBot="1" x14ac:dyDescent="0.35">
      <c r="B105" s="2020">
        <v>108</v>
      </c>
      <c r="C105" s="2018" t="s">
        <v>1181</v>
      </c>
      <c r="D105" s="2019" t="s">
        <v>1036</v>
      </c>
      <c r="E105" s="2017" t="s">
        <v>3069</v>
      </c>
    </row>
    <row r="106" spans="2:5" ht="15.6" customHeight="1" thickBot="1" x14ac:dyDescent="0.35">
      <c r="B106" s="2020">
        <v>109</v>
      </c>
      <c r="C106" s="2018" t="s">
        <v>1182</v>
      </c>
      <c r="D106" s="2019" t="s">
        <v>1036</v>
      </c>
      <c r="E106" s="2017" t="s">
        <v>3069</v>
      </c>
    </row>
    <row r="107" spans="2:5" ht="15.6" customHeight="1" thickBot="1" x14ac:dyDescent="0.35">
      <c r="B107" s="2020">
        <v>110</v>
      </c>
      <c r="C107" s="2018" t="s">
        <v>1183</v>
      </c>
      <c r="D107" s="2019" t="s">
        <v>1036</v>
      </c>
      <c r="E107" s="2017" t="s">
        <v>3069</v>
      </c>
    </row>
    <row r="108" spans="2:5" ht="15.6" customHeight="1" thickBot="1" x14ac:dyDescent="0.35">
      <c r="B108" s="2020">
        <v>111</v>
      </c>
      <c r="C108" s="2018" t="s">
        <v>1184</v>
      </c>
      <c r="D108" s="2019" t="s">
        <v>1036</v>
      </c>
      <c r="E108" s="2017" t="s">
        <v>3069</v>
      </c>
    </row>
    <row r="109" spans="2:5" ht="15.6" customHeight="1" thickBot="1" x14ac:dyDescent="0.35">
      <c r="B109" s="2020">
        <v>113</v>
      </c>
      <c r="C109" s="2018" t="s">
        <v>1186</v>
      </c>
      <c r="D109" s="2019" t="s">
        <v>1036</v>
      </c>
      <c r="E109" s="2017" t="s">
        <v>3069</v>
      </c>
    </row>
    <row r="110" spans="2:5" ht="15.6" customHeight="1" thickBot="1" x14ac:dyDescent="0.35">
      <c r="B110" s="2020">
        <v>114</v>
      </c>
      <c r="C110" s="2018" t="s">
        <v>1188</v>
      </c>
      <c r="D110" s="2019" t="s">
        <v>1036</v>
      </c>
      <c r="E110" s="2017" t="s">
        <v>3069</v>
      </c>
    </row>
    <row r="111" spans="2:5" ht="15.6" customHeight="1" thickBot="1" x14ac:dyDescent="0.35">
      <c r="B111" s="2020">
        <v>115</v>
      </c>
      <c r="C111" s="2018" t="s">
        <v>1189</v>
      </c>
      <c r="D111" s="2019" t="s">
        <v>1036</v>
      </c>
      <c r="E111" s="2017" t="s">
        <v>3069</v>
      </c>
    </row>
    <row r="112" spans="2:5" ht="15.6" customHeight="1" thickBot="1" x14ac:dyDescent="0.35">
      <c r="B112" s="2020">
        <v>116</v>
      </c>
      <c r="C112" s="2018" t="s">
        <v>1190</v>
      </c>
      <c r="D112" s="2019" t="s">
        <v>1036</v>
      </c>
      <c r="E112" s="2021" t="s">
        <v>3070</v>
      </c>
    </row>
    <row r="113" spans="2:5" ht="15.6" customHeight="1" thickBot="1" x14ac:dyDescent="0.35">
      <c r="B113" s="2020">
        <v>117</v>
      </c>
      <c r="C113" s="2018" t="s">
        <v>1192</v>
      </c>
      <c r="D113" s="2019" t="s">
        <v>1036</v>
      </c>
      <c r="E113" s="2021" t="s">
        <v>3070</v>
      </c>
    </row>
    <row r="114" spans="2:5" ht="15.6" customHeight="1" thickBot="1" x14ac:dyDescent="0.35">
      <c r="B114" s="2020">
        <v>118</v>
      </c>
      <c r="C114" s="2018" t="s">
        <v>1194</v>
      </c>
      <c r="D114" s="2019" t="s">
        <v>1036</v>
      </c>
      <c r="E114" s="2021" t="s">
        <v>3070</v>
      </c>
    </row>
    <row r="115" spans="2:5" ht="15.6" customHeight="1" thickBot="1" x14ac:dyDescent="0.35">
      <c r="B115" s="2020">
        <v>119</v>
      </c>
      <c r="C115" s="2018" t="s">
        <v>1195</v>
      </c>
      <c r="D115" s="2019" t="s">
        <v>1036</v>
      </c>
      <c r="E115" s="2017" t="s">
        <v>3069</v>
      </c>
    </row>
    <row r="116" spans="2:5" ht="15.6" customHeight="1" thickBot="1" x14ac:dyDescent="0.35">
      <c r="B116" s="2020">
        <v>121</v>
      </c>
      <c r="C116" s="2018" t="s">
        <v>1197</v>
      </c>
      <c r="D116" s="2019" t="s">
        <v>1036</v>
      </c>
      <c r="E116" s="2017" t="s">
        <v>3069</v>
      </c>
    </row>
    <row r="117" spans="2:5" ht="15.6" customHeight="1" thickBot="1" x14ac:dyDescent="0.35">
      <c r="B117" s="2020">
        <v>122</v>
      </c>
      <c r="C117" s="2018" t="s">
        <v>1198</v>
      </c>
      <c r="D117" s="2019" t="s">
        <v>1036</v>
      </c>
      <c r="E117" s="2017" t="s">
        <v>3069</v>
      </c>
    </row>
    <row r="118" spans="2:5" ht="15.6" customHeight="1" thickBot="1" x14ac:dyDescent="0.35">
      <c r="B118" s="2020">
        <v>123</v>
      </c>
      <c r="C118" s="2018" t="s">
        <v>1199</v>
      </c>
      <c r="D118" s="2019" t="s">
        <v>1036</v>
      </c>
      <c r="E118" s="2017" t="s">
        <v>3069</v>
      </c>
    </row>
    <row r="119" spans="2:5" ht="15.6" customHeight="1" thickBot="1" x14ac:dyDescent="0.35">
      <c r="B119" s="2020">
        <v>125</v>
      </c>
      <c r="C119" s="2018" t="s">
        <v>1201</v>
      </c>
      <c r="D119" s="2019" t="s">
        <v>1036</v>
      </c>
      <c r="E119" s="2021" t="s">
        <v>3070</v>
      </c>
    </row>
    <row r="120" spans="2:5" ht="15.6" customHeight="1" thickBot="1" x14ac:dyDescent="0.35">
      <c r="B120" s="2020">
        <v>126</v>
      </c>
      <c r="C120" s="2018" t="s">
        <v>1203</v>
      </c>
      <c r="D120" s="2019" t="s">
        <v>1036</v>
      </c>
      <c r="E120" s="2017" t="s">
        <v>3069</v>
      </c>
    </row>
    <row r="121" spans="2:5" ht="15.6" customHeight="1" thickBot="1" x14ac:dyDescent="0.35">
      <c r="B121" s="2020">
        <v>127</v>
      </c>
      <c r="C121" s="2018" t="s">
        <v>1204</v>
      </c>
      <c r="D121" s="2019" t="s">
        <v>1036</v>
      </c>
      <c r="E121" s="2021" t="s">
        <v>3070</v>
      </c>
    </row>
    <row r="122" spans="2:5" ht="15.6" customHeight="1" thickBot="1" x14ac:dyDescent="0.35">
      <c r="B122" s="2020">
        <v>128</v>
      </c>
      <c r="C122" s="2018" t="s">
        <v>1205</v>
      </c>
      <c r="D122" s="2019" t="s">
        <v>1036</v>
      </c>
      <c r="E122" s="2021" t="s">
        <v>3070</v>
      </c>
    </row>
    <row r="123" spans="2:5" ht="15.6" customHeight="1" thickBot="1" x14ac:dyDescent="0.35">
      <c r="B123" s="2020">
        <v>129</v>
      </c>
      <c r="C123" s="2018" t="s">
        <v>1206</v>
      </c>
      <c r="D123" s="2019" t="s">
        <v>1036</v>
      </c>
      <c r="E123" s="2017" t="s">
        <v>3069</v>
      </c>
    </row>
    <row r="124" spans="2:5" ht="15.6" customHeight="1" thickBot="1" x14ac:dyDescent="0.35">
      <c r="B124" s="2020">
        <v>130</v>
      </c>
      <c r="C124" s="2018" t="s">
        <v>1207</v>
      </c>
      <c r="D124" s="2019" t="s">
        <v>1036</v>
      </c>
      <c r="E124" s="2017" t="s">
        <v>3069</v>
      </c>
    </row>
    <row r="125" spans="2:5" ht="15.6" customHeight="1" thickBot="1" x14ac:dyDescent="0.35">
      <c r="B125" s="2020">
        <v>131</v>
      </c>
      <c r="C125" s="2018" t="s">
        <v>1208</v>
      </c>
      <c r="D125" s="2019" t="s">
        <v>1036</v>
      </c>
      <c r="E125" s="2017" t="s">
        <v>3069</v>
      </c>
    </row>
    <row r="126" spans="2:5" ht="15.6" customHeight="1" thickBot="1" x14ac:dyDescent="0.35">
      <c r="B126" s="2020">
        <v>132</v>
      </c>
      <c r="C126" s="2018" t="s">
        <v>1209</v>
      </c>
      <c r="D126" s="2019" t="s">
        <v>1036</v>
      </c>
      <c r="E126" s="2017" t="s">
        <v>3069</v>
      </c>
    </row>
    <row r="127" spans="2:5" ht="15.6" customHeight="1" thickBot="1" x14ac:dyDescent="0.35">
      <c r="B127" s="2020">
        <v>135</v>
      </c>
      <c r="C127" s="2018" t="s">
        <v>1212</v>
      </c>
      <c r="D127" s="2019" t="s">
        <v>1036</v>
      </c>
      <c r="E127" s="2017" t="s">
        <v>3069</v>
      </c>
    </row>
    <row r="128" spans="2:5" ht="15.6" customHeight="1" thickBot="1" x14ac:dyDescent="0.35">
      <c r="B128" s="2020">
        <v>136</v>
      </c>
      <c r="C128" s="2018" t="s">
        <v>1213</v>
      </c>
      <c r="D128" s="2019" t="s">
        <v>1036</v>
      </c>
      <c r="E128" s="2017" t="s">
        <v>3069</v>
      </c>
    </row>
    <row r="129" spans="2:5" ht="15.6" customHeight="1" thickBot="1" x14ac:dyDescent="0.35">
      <c r="B129" s="2020">
        <v>137</v>
      </c>
      <c r="C129" s="2018" t="s">
        <v>1214</v>
      </c>
      <c r="D129" s="2019" t="s">
        <v>1036</v>
      </c>
      <c r="E129" s="2017" t="s">
        <v>3069</v>
      </c>
    </row>
    <row r="130" spans="2:5" ht="15.6" customHeight="1" thickBot="1" x14ac:dyDescent="0.35">
      <c r="B130" s="2020">
        <v>138</v>
      </c>
      <c r="C130" s="2018" t="s">
        <v>1215</v>
      </c>
      <c r="D130" s="2019" t="s">
        <v>1036</v>
      </c>
      <c r="E130" s="2021" t="s">
        <v>3070</v>
      </c>
    </row>
    <row r="131" spans="2:5" ht="15.6" customHeight="1" thickBot="1" x14ac:dyDescent="0.35">
      <c r="B131" s="2020">
        <v>139</v>
      </c>
      <c r="C131" s="2018" t="s">
        <v>1216</v>
      </c>
      <c r="D131" s="2019" t="s">
        <v>1036</v>
      </c>
      <c r="E131" s="2017" t="s">
        <v>3069</v>
      </c>
    </row>
    <row r="132" spans="2:5" ht="15.6" customHeight="1" thickBot="1" x14ac:dyDescent="0.35">
      <c r="B132" s="2020">
        <v>140</v>
      </c>
      <c r="C132" s="2018" t="s">
        <v>1217</v>
      </c>
      <c r="D132" s="2019" t="s">
        <v>1036</v>
      </c>
      <c r="E132" s="2021" t="s">
        <v>3070</v>
      </c>
    </row>
    <row r="133" spans="2:5" ht="15.6" customHeight="1" thickBot="1" x14ac:dyDescent="0.35">
      <c r="B133" s="2020">
        <v>141</v>
      </c>
      <c r="C133" s="2018" t="s">
        <v>1218</v>
      </c>
      <c r="D133" s="2019" t="s">
        <v>1036</v>
      </c>
      <c r="E133" s="2017" t="s">
        <v>3069</v>
      </c>
    </row>
    <row r="134" spans="2:5" ht="15.6" customHeight="1" thickBot="1" x14ac:dyDescent="0.35">
      <c r="B134" s="2020">
        <v>142</v>
      </c>
      <c r="C134" s="2018" t="s">
        <v>1219</v>
      </c>
      <c r="D134" s="2019" t="s">
        <v>1036</v>
      </c>
      <c r="E134" s="2021" t="s">
        <v>3070</v>
      </c>
    </row>
    <row r="135" spans="2:5" ht="15.6" customHeight="1" thickBot="1" x14ac:dyDescent="0.35">
      <c r="B135" s="2020">
        <v>146</v>
      </c>
      <c r="C135" s="2018" t="s">
        <v>3071</v>
      </c>
      <c r="D135" s="2019" t="s">
        <v>1036</v>
      </c>
      <c r="E135" s="2017" t="s">
        <v>3069</v>
      </c>
    </row>
    <row r="136" spans="2:5" ht="15.6" customHeight="1" thickBot="1" x14ac:dyDescent="0.35">
      <c r="B136" s="2020">
        <v>148</v>
      </c>
      <c r="C136" s="2018" t="s">
        <v>1226</v>
      </c>
      <c r="D136" s="2019" t="s">
        <v>1036</v>
      </c>
      <c r="E136" s="2021" t="s">
        <v>3070</v>
      </c>
    </row>
    <row r="137" spans="2:5" ht="15.6" customHeight="1" thickBot="1" x14ac:dyDescent="0.35">
      <c r="B137" s="2020">
        <v>149</v>
      </c>
      <c r="C137" s="2018" t="s">
        <v>1227</v>
      </c>
      <c r="D137" s="2019" t="s">
        <v>1036</v>
      </c>
      <c r="E137" s="2021" t="s">
        <v>3070</v>
      </c>
    </row>
    <row r="138" spans="2:5" ht="15.6" customHeight="1" thickBot="1" x14ac:dyDescent="0.35">
      <c r="B138" s="2020">
        <v>150</v>
      </c>
      <c r="C138" s="2022" t="s">
        <v>1228</v>
      </c>
      <c r="D138" s="2019" t="s">
        <v>1036</v>
      </c>
      <c r="E138" s="2017" t="s">
        <v>3069</v>
      </c>
    </row>
    <row r="139" spans="2:5" ht="15.6" customHeight="1" thickBot="1" x14ac:dyDescent="0.35">
      <c r="B139" s="2020">
        <v>152</v>
      </c>
      <c r="C139" s="2018" t="s">
        <v>1230</v>
      </c>
      <c r="D139" s="2019" t="s">
        <v>1036</v>
      </c>
      <c r="E139" s="2017" t="s">
        <v>3069</v>
      </c>
    </row>
    <row r="140" spans="2:5" ht="15.6" customHeight="1" thickBot="1" x14ac:dyDescent="0.35">
      <c r="B140" s="2020">
        <v>153</v>
      </c>
      <c r="C140" s="2018" t="s">
        <v>1232</v>
      </c>
      <c r="D140" s="2019" t="s">
        <v>1036</v>
      </c>
      <c r="E140" s="2017" t="s">
        <v>3069</v>
      </c>
    </row>
    <row r="141" spans="2:5" ht="15.6" customHeight="1" thickBot="1" x14ac:dyDescent="0.35">
      <c r="B141" s="2020">
        <v>155</v>
      </c>
      <c r="C141" s="2018" t="s">
        <v>1235</v>
      </c>
      <c r="D141" s="2019" t="s">
        <v>1036</v>
      </c>
      <c r="E141" s="2017" t="s">
        <v>3069</v>
      </c>
    </row>
    <row r="142" spans="2:5" ht="15.6" customHeight="1" thickBot="1" x14ac:dyDescent="0.35">
      <c r="B142" s="2020">
        <v>156</v>
      </c>
      <c r="C142" s="2018" t="s">
        <v>1236</v>
      </c>
      <c r="D142" s="2019" t="s">
        <v>1036</v>
      </c>
      <c r="E142" s="2017" t="s">
        <v>3069</v>
      </c>
    </row>
    <row r="143" spans="2:5" ht="15.6" customHeight="1" thickBot="1" x14ac:dyDescent="0.35">
      <c r="B143" s="2020">
        <v>157</v>
      </c>
      <c r="C143" s="2018" t="s">
        <v>1237</v>
      </c>
      <c r="D143" s="2019" t="s">
        <v>1036</v>
      </c>
      <c r="E143" s="2017" t="s">
        <v>3069</v>
      </c>
    </row>
    <row r="144" spans="2:5" ht="15.6" customHeight="1" thickBot="1" x14ac:dyDescent="0.35">
      <c r="B144" s="2020">
        <v>159</v>
      </c>
      <c r="C144" s="2018" t="s">
        <v>1239</v>
      </c>
      <c r="D144" s="2019" t="s">
        <v>1036</v>
      </c>
      <c r="E144" s="2017" t="s">
        <v>3069</v>
      </c>
    </row>
    <row r="145" spans="2:5" ht="15.6" customHeight="1" thickBot="1" x14ac:dyDescent="0.35">
      <c r="B145" s="2020">
        <v>160</v>
      </c>
      <c r="C145" s="2018" t="s">
        <v>3072</v>
      </c>
      <c r="D145" s="2019" t="s">
        <v>1036</v>
      </c>
      <c r="E145" s="2017" t="s">
        <v>3069</v>
      </c>
    </row>
    <row r="146" spans="2:5" ht="15.6" customHeight="1" thickBot="1" x14ac:dyDescent="0.35">
      <c r="B146" s="2020">
        <v>161</v>
      </c>
      <c r="C146" s="2018" t="s">
        <v>3073</v>
      </c>
      <c r="D146" s="2019" t="s">
        <v>1036</v>
      </c>
      <c r="E146" s="2017" t="s">
        <v>3069</v>
      </c>
    </row>
    <row r="147" spans="2:5" ht="15.6" customHeight="1" thickBot="1" x14ac:dyDescent="0.35">
      <c r="B147" s="2020">
        <v>162</v>
      </c>
      <c r="C147" s="2018" t="s">
        <v>3074</v>
      </c>
      <c r="D147" s="2019" t="s">
        <v>1036</v>
      </c>
      <c r="E147" s="2017" t="s">
        <v>3069</v>
      </c>
    </row>
    <row r="148" spans="2:5" ht="15.6" customHeight="1" thickBot="1" x14ac:dyDescent="0.35">
      <c r="B148" s="2020">
        <v>163</v>
      </c>
      <c r="C148" s="2018" t="s">
        <v>3075</v>
      </c>
      <c r="D148" s="2019" t="s">
        <v>1036</v>
      </c>
      <c r="E148" s="2017" t="s">
        <v>3069</v>
      </c>
    </row>
    <row r="149" spans="2:5" ht="15.6" customHeight="1" thickBot="1" x14ac:dyDescent="0.35">
      <c r="B149" s="2020">
        <f>B148+1</f>
        <v>164</v>
      </c>
      <c r="C149" s="2018" t="s">
        <v>3205</v>
      </c>
      <c r="D149" s="2019" t="s">
        <v>1036</v>
      </c>
      <c r="E149" s="2017" t="s">
        <v>3069</v>
      </c>
    </row>
    <row r="150" spans="2:5" ht="15.6" customHeight="1" thickBot="1" x14ac:dyDescent="0.35">
      <c r="B150" s="2020">
        <f t="shared" ref="B150:B213" si="0">B149+1</f>
        <v>165</v>
      </c>
      <c r="C150" s="2018" t="s">
        <v>1242</v>
      </c>
      <c r="D150" s="2019" t="s">
        <v>1036</v>
      </c>
      <c r="E150" s="2017" t="s">
        <v>3069</v>
      </c>
    </row>
    <row r="151" spans="2:5" ht="15.6" customHeight="1" thickBot="1" x14ac:dyDescent="0.35">
      <c r="B151" s="2020">
        <f t="shared" si="0"/>
        <v>166</v>
      </c>
      <c r="C151" s="2018" t="s">
        <v>1244</v>
      </c>
      <c r="D151" s="2019" t="s">
        <v>1036</v>
      </c>
      <c r="E151" s="2017" t="s">
        <v>3069</v>
      </c>
    </row>
    <row r="152" spans="2:5" ht="15.6" customHeight="1" thickBot="1" x14ac:dyDescent="0.35">
      <c r="B152" s="2020">
        <f t="shared" si="0"/>
        <v>167</v>
      </c>
      <c r="C152" s="2018" t="s">
        <v>1245</v>
      </c>
      <c r="D152" s="2019" t="s">
        <v>1036</v>
      </c>
      <c r="E152" s="2017" t="s">
        <v>3069</v>
      </c>
    </row>
    <row r="153" spans="2:5" ht="15.6" customHeight="1" thickBot="1" x14ac:dyDescent="0.35">
      <c r="B153" s="2020">
        <f t="shared" si="0"/>
        <v>168</v>
      </c>
      <c r="C153" s="2018" t="s">
        <v>1247</v>
      </c>
      <c r="D153" s="2019" t="s">
        <v>1036</v>
      </c>
      <c r="E153" s="2017" t="s">
        <v>3069</v>
      </c>
    </row>
    <row r="154" spans="2:5" ht="15.6" customHeight="1" thickBot="1" x14ac:dyDescent="0.35">
      <c r="B154" s="2020">
        <f t="shared" si="0"/>
        <v>169</v>
      </c>
      <c r="C154" s="2022" t="s">
        <v>1249</v>
      </c>
      <c r="D154" s="2019" t="s">
        <v>1036</v>
      </c>
      <c r="E154" s="2017" t="s">
        <v>3069</v>
      </c>
    </row>
    <row r="155" spans="2:5" ht="15.6" customHeight="1" thickBot="1" x14ac:dyDescent="0.35">
      <c r="B155" s="2020">
        <f t="shared" si="0"/>
        <v>170</v>
      </c>
      <c r="C155" s="2018" t="s">
        <v>1250</v>
      </c>
      <c r="D155" s="2019" t="s">
        <v>1036</v>
      </c>
      <c r="E155" s="2017" t="s">
        <v>3069</v>
      </c>
    </row>
    <row r="156" spans="2:5" ht="15.6" customHeight="1" thickBot="1" x14ac:dyDescent="0.35">
      <c r="B156" s="2020">
        <f t="shared" si="0"/>
        <v>171</v>
      </c>
      <c r="C156" s="2018" t="s">
        <v>1251</v>
      </c>
      <c r="D156" s="2019" t="s">
        <v>1036</v>
      </c>
      <c r="E156" s="2021" t="s">
        <v>3070</v>
      </c>
    </row>
    <row r="157" spans="2:5" ht="15.6" customHeight="1" thickBot="1" x14ac:dyDescent="0.35">
      <c r="B157" s="2020">
        <f t="shared" si="0"/>
        <v>172</v>
      </c>
      <c r="C157" s="2018" t="s">
        <v>1252</v>
      </c>
      <c r="D157" s="2019" t="s">
        <v>1036</v>
      </c>
      <c r="E157" s="2021" t="s">
        <v>3070</v>
      </c>
    </row>
    <row r="158" spans="2:5" ht="15.6" customHeight="1" thickBot="1" x14ac:dyDescent="0.35">
      <c r="B158" s="2020">
        <f t="shared" si="0"/>
        <v>173</v>
      </c>
      <c r="C158" s="2018" t="s">
        <v>1255</v>
      </c>
      <c r="D158" s="2019" t="s">
        <v>1036</v>
      </c>
      <c r="E158" s="2017" t="s">
        <v>3069</v>
      </c>
    </row>
    <row r="159" spans="2:5" ht="15.6" customHeight="1" thickBot="1" x14ac:dyDescent="0.35">
      <c r="B159" s="2020">
        <f t="shared" si="0"/>
        <v>174</v>
      </c>
      <c r="C159" s="2018" t="s">
        <v>1259</v>
      </c>
      <c r="D159" s="2019" t="s">
        <v>1036</v>
      </c>
      <c r="E159" s="2021" t="s">
        <v>3070</v>
      </c>
    </row>
    <row r="160" spans="2:5" ht="15.6" customHeight="1" thickBot="1" x14ac:dyDescent="0.35">
      <c r="B160" s="2020">
        <f t="shared" si="0"/>
        <v>175</v>
      </c>
      <c r="C160" s="2018" t="s">
        <v>1260</v>
      </c>
      <c r="D160" s="2019" t="s">
        <v>1036</v>
      </c>
      <c r="E160" s="2021" t="s">
        <v>3070</v>
      </c>
    </row>
    <row r="161" spans="2:5" ht="15.6" customHeight="1" thickBot="1" x14ac:dyDescent="0.35">
      <c r="B161" s="2020">
        <f t="shared" si="0"/>
        <v>176</v>
      </c>
      <c r="C161" s="2018" t="s">
        <v>1263</v>
      </c>
      <c r="D161" s="2019" t="s">
        <v>1036</v>
      </c>
      <c r="E161" s="2021" t="s">
        <v>3070</v>
      </c>
    </row>
    <row r="162" spans="2:5" ht="15.6" customHeight="1" thickBot="1" x14ac:dyDescent="0.35">
      <c r="B162" s="2020">
        <f t="shared" si="0"/>
        <v>177</v>
      </c>
      <c r="C162" s="2018" t="s">
        <v>1264</v>
      </c>
      <c r="D162" s="2019" t="s">
        <v>1036</v>
      </c>
      <c r="E162" s="2021" t="s">
        <v>3070</v>
      </c>
    </row>
    <row r="163" spans="2:5" ht="15.6" customHeight="1" thickBot="1" x14ac:dyDescent="0.35">
      <c r="B163" s="2020">
        <f t="shared" si="0"/>
        <v>178</v>
      </c>
      <c r="C163" s="2018" t="s">
        <v>1266</v>
      </c>
      <c r="D163" s="2019" t="s">
        <v>1036</v>
      </c>
      <c r="E163" s="2021" t="s">
        <v>3070</v>
      </c>
    </row>
    <row r="164" spans="2:5" ht="15.6" customHeight="1" thickBot="1" x14ac:dyDescent="0.35">
      <c r="B164" s="2020">
        <f t="shared" si="0"/>
        <v>179</v>
      </c>
      <c r="C164" s="2018" t="s">
        <v>1268</v>
      </c>
      <c r="D164" s="2019" t="s">
        <v>1036</v>
      </c>
      <c r="E164" s="2021" t="s">
        <v>3070</v>
      </c>
    </row>
    <row r="165" spans="2:5" ht="15.6" customHeight="1" thickBot="1" x14ac:dyDescent="0.35">
      <c r="B165" s="2020">
        <f t="shared" si="0"/>
        <v>180</v>
      </c>
      <c r="C165" s="2018" t="s">
        <v>1270</v>
      </c>
      <c r="D165" s="2019" t="s">
        <v>1036</v>
      </c>
      <c r="E165" s="2017" t="s">
        <v>3069</v>
      </c>
    </row>
    <row r="166" spans="2:5" ht="15.6" customHeight="1" thickBot="1" x14ac:dyDescent="0.35">
      <c r="B166" s="2020">
        <f t="shared" si="0"/>
        <v>181</v>
      </c>
      <c r="C166" s="2018" t="s">
        <v>1272</v>
      </c>
      <c r="D166" s="2019" t="s">
        <v>1036</v>
      </c>
      <c r="E166" s="2021" t="s">
        <v>3070</v>
      </c>
    </row>
    <row r="167" spans="2:5" ht="15.6" customHeight="1" thickBot="1" x14ac:dyDescent="0.35">
      <c r="B167" s="2020">
        <f t="shared" si="0"/>
        <v>182</v>
      </c>
      <c r="C167" s="2018" t="s">
        <v>1273</v>
      </c>
      <c r="D167" s="2019" t="s">
        <v>1036</v>
      </c>
      <c r="E167" s="2017" t="s">
        <v>3069</v>
      </c>
    </row>
    <row r="168" spans="2:5" ht="15.6" customHeight="1" thickBot="1" x14ac:dyDescent="0.35">
      <c r="B168" s="2020">
        <f t="shared" si="0"/>
        <v>183</v>
      </c>
      <c r="C168" s="2018" t="s">
        <v>1274</v>
      </c>
      <c r="D168" s="2019" t="s">
        <v>1036</v>
      </c>
      <c r="E168" s="2017" t="s">
        <v>3069</v>
      </c>
    </row>
    <row r="169" spans="2:5" ht="15.6" customHeight="1" thickBot="1" x14ac:dyDescent="0.35">
      <c r="B169" s="2020">
        <f t="shared" si="0"/>
        <v>184</v>
      </c>
      <c r="C169" s="2018" t="s">
        <v>1275</v>
      </c>
      <c r="D169" s="2019" t="s">
        <v>1036</v>
      </c>
      <c r="E169" s="2017" t="s">
        <v>3069</v>
      </c>
    </row>
    <row r="170" spans="2:5" ht="15.6" customHeight="1" thickBot="1" x14ac:dyDescent="0.35">
      <c r="B170" s="2020">
        <f t="shared" si="0"/>
        <v>185</v>
      </c>
      <c r="C170" s="2018" t="s">
        <v>1276</v>
      </c>
      <c r="D170" s="2019" t="s">
        <v>1036</v>
      </c>
      <c r="E170" s="2017" t="s">
        <v>3069</v>
      </c>
    </row>
    <row r="171" spans="2:5" ht="15.6" customHeight="1" thickBot="1" x14ac:dyDescent="0.35">
      <c r="B171" s="2020">
        <f t="shared" si="0"/>
        <v>186</v>
      </c>
      <c r="C171" s="2018" t="s">
        <v>1277</v>
      </c>
      <c r="D171" s="2019" t="s">
        <v>1036</v>
      </c>
      <c r="E171" s="2017" t="s">
        <v>3069</v>
      </c>
    </row>
    <row r="172" spans="2:5" ht="15.6" customHeight="1" thickBot="1" x14ac:dyDescent="0.35">
      <c r="B172" s="2020">
        <f t="shared" si="0"/>
        <v>187</v>
      </c>
      <c r="C172" s="2018" t="s">
        <v>1278</v>
      </c>
      <c r="D172" s="2019" t="s">
        <v>1036</v>
      </c>
      <c r="E172" s="2017" t="s">
        <v>3069</v>
      </c>
    </row>
    <row r="173" spans="2:5" ht="15.6" customHeight="1" thickBot="1" x14ac:dyDescent="0.35">
      <c r="B173" s="2020">
        <f t="shared" si="0"/>
        <v>188</v>
      </c>
      <c r="C173" s="2018" t="s">
        <v>1279</v>
      </c>
      <c r="D173" s="2019" t="s">
        <v>1036</v>
      </c>
      <c r="E173" s="2017" t="s">
        <v>3069</v>
      </c>
    </row>
    <row r="174" spans="2:5" ht="15.6" customHeight="1" thickBot="1" x14ac:dyDescent="0.35">
      <c r="B174" s="2020">
        <f t="shared" si="0"/>
        <v>189</v>
      </c>
      <c r="C174" s="2018" t="s">
        <v>1280</v>
      </c>
      <c r="D174" s="2019" t="s">
        <v>1036</v>
      </c>
      <c r="E174" s="2017" t="s">
        <v>3069</v>
      </c>
    </row>
    <row r="175" spans="2:5" ht="15.6" customHeight="1" thickBot="1" x14ac:dyDescent="0.35">
      <c r="B175" s="2020">
        <f t="shared" si="0"/>
        <v>190</v>
      </c>
      <c r="C175" s="2018" t="s">
        <v>1282</v>
      </c>
      <c r="D175" s="2019" t="s">
        <v>1036</v>
      </c>
      <c r="E175" s="2017" t="s">
        <v>3069</v>
      </c>
    </row>
    <row r="176" spans="2:5" ht="15.6" customHeight="1" thickBot="1" x14ac:dyDescent="0.35">
      <c r="B176" s="2020">
        <f t="shared" si="0"/>
        <v>191</v>
      </c>
      <c r="C176" s="2018" t="s">
        <v>1283</v>
      </c>
      <c r="D176" s="2019" t="s">
        <v>1036</v>
      </c>
      <c r="E176" s="2017" t="s">
        <v>3069</v>
      </c>
    </row>
    <row r="177" spans="2:5" ht="15.6" customHeight="1" thickBot="1" x14ac:dyDescent="0.35">
      <c r="B177" s="2020">
        <f t="shared" si="0"/>
        <v>192</v>
      </c>
      <c r="C177" s="2018" t="s">
        <v>1285</v>
      </c>
      <c r="D177" s="2019" t="s">
        <v>1036</v>
      </c>
      <c r="E177" s="2017" t="s">
        <v>3069</v>
      </c>
    </row>
    <row r="178" spans="2:5" ht="15.6" customHeight="1" thickBot="1" x14ac:dyDescent="0.35">
      <c r="B178" s="2020">
        <f t="shared" si="0"/>
        <v>193</v>
      </c>
      <c r="C178" s="2018" t="s">
        <v>1286</v>
      </c>
      <c r="D178" s="2019" t="s">
        <v>1036</v>
      </c>
      <c r="E178" s="2017" t="s">
        <v>3069</v>
      </c>
    </row>
    <row r="179" spans="2:5" ht="15.6" customHeight="1" thickBot="1" x14ac:dyDescent="0.35">
      <c r="B179" s="2020">
        <f t="shared" si="0"/>
        <v>194</v>
      </c>
      <c r="C179" s="2018" t="s">
        <v>1289</v>
      </c>
      <c r="D179" s="2019" t="s">
        <v>1036</v>
      </c>
      <c r="E179" s="2017" t="s">
        <v>3069</v>
      </c>
    </row>
    <row r="180" spans="2:5" ht="15.6" customHeight="1" thickBot="1" x14ac:dyDescent="0.35">
      <c r="B180" s="2020">
        <f t="shared" si="0"/>
        <v>195</v>
      </c>
      <c r="C180" s="2018" t="s">
        <v>1290</v>
      </c>
      <c r="D180" s="2019" t="s">
        <v>1036</v>
      </c>
      <c r="E180" s="2021" t="s">
        <v>3070</v>
      </c>
    </row>
    <row r="181" spans="2:5" ht="15.6" customHeight="1" thickBot="1" x14ac:dyDescent="0.35">
      <c r="B181" s="2020">
        <f t="shared" si="0"/>
        <v>196</v>
      </c>
      <c r="C181" s="2018" t="s">
        <v>1292</v>
      </c>
      <c r="D181" s="2019" t="s">
        <v>1036</v>
      </c>
      <c r="E181" s="2017" t="s">
        <v>3069</v>
      </c>
    </row>
    <row r="182" spans="2:5" ht="15.6" customHeight="1" thickBot="1" x14ac:dyDescent="0.35">
      <c r="B182" s="2020">
        <f t="shared" si="0"/>
        <v>197</v>
      </c>
      <c r="C182" s="2018" t="s">
        <v>1293</v>
      </c>
      <c r="D182" s="2019" t="s">
        <v>1036</v>
      </c>
      <c r="E182" s="2017" t="s">
        <v>3069</v>
      </c>
    </row>
    <row r="183" spans="2:5" ht="15.6" customHeight="1" thickBot="1" x14ac:dyDescent="0.35">
      <c r="B183" s="2020">
        <f t="shared" si="0"/>
        <v>198</v>
      </c>
      <c r="C183" s="2018" t="s">
        <v>1294</v>
      </c>
      <c r="D183" s="2019" t="s">
        <v>1036</v>
      </c>
      <c r="E183" s="2017" t="s">
        <v>3069</v>
      </c>
    </row>
    <row r="184" spans="2:5" ht="15.6" customHeight="1" thickBot="1" x14ac:dyDescent="0.35">
      <c r="B184" s="2020">
        <f t="shared" si="0"/>
        <v>199</v>
      </c>
      <c r="C184" s="2018" t="s">
        <v>1295</v>
      </c>
      <c r="D184" s="2019" t="s">
        <v>1036</v>
      </c>
      <c r="E184" s="2017" t="s">
        <v>3069</v>
      </c>
    </row>
    <row r="185" spans="2:5" ht="15.6" customHeight="1" thickBot="1" x14ac:dyDescent="0.35">
      <c r="B185" s="2020">
        <f t="shared" si="0"/>
        <v>200</v>
      </c>
      <c r="C185" s="2018" t="s">
        <v>1296</v>
      </c>
      <c r="D185" s="2019" t="s">
        <v>1036</v>
      </c>
      <c r="E185" s="2017" t="s">
        <v>3069</v>
      </c>
    </row>
    <row r="186" spans="2:5" ht="15.6" customHeight="1" thickBot="1" x14ac:dyDescent="0.35">
      <c r="B186" s="2020">
        <f t="shared" si="0"/>
        <v>201</v>
      </c>
      <c r="C186" s="2018" t="s">
        <v>1298</v>
      </c>
      <c r="D186" s="2019" t="s">
        <v>1036</v>
      </c>
      <c r="E186" s="2017" t="s">
        <v>3069</v>
      </c>
    </row>
    <row r="187" spans="2:5" ht="15.6" customHeight="1" thickBot="1" x14ac:dyDescent="0.35">
      <c r="B187" s="2020">
        <f t="shared" si="0"/>
        <v>202</v>
      </c>
      <c r="C187" s="2018" t="s">
        <v>1299</v>
      </c>
      <c r="D187" s="2019" t="s">
        <v>1036</v>
      </c>
      <c r="E187" s="2017" t="s">
        <v>3069</v>
      </c>
    </row>
    <row r="188" spans="2:5" ht="15.6" customHeight="1" thickBot="1" x14ac:dyDescent="0.35">
      <c r="B188" s="2020">
        <f t="shared" si="0"/>
        <v>203</v>
      </c>
      <c r="C188" s="2018" t="s">
        <v>1300</v>
      </c>
      <c r="D188" s="2019" t="s">
        <v>1036</v>
      </c>
      <c r="E188" s="2021" t="s">
        <v>3070</v>
      </c>
    </row>
    <row r="189" spans="2:5" ht="15.6" customHeight="1" thickBot="1" x14ac:dyDescent="0.35">
      <c r="B189" s="2020">
        <f t="shared" si="0"/>
        <v>204</v>
      </c>
      <c r="C189" s="2018" t="s">
        <v>1301</v>
      </c>
      <c r="D189" s="2019" t="s">
        <v>1036</v>
      </c>
      <c r="E189" s="2017" t="s">
        <v>3069</v>
      </c>
    </row>
    <row r="190" spans="2:5" ht="15.6" customHeight="1" thickBot="1" x14ac:dyDescent="0.35">
      <c r="B190" s="2020">
        <f t="shared" si="0"/>
        <v>205</v>
      </c>
      <c r="C190" s="2018" t="s">
        <v>1302</v>
      </c>
      <c r="D190" s="2019" t="s">
        <v>1036</v>
      </c>
      <c r="E190" s="2021" t="s">
        <v>3070</v>
      </c>
    </row>
    <row r="191" spans="2:5" ht="15.6" customHeight="1" thickBot="1" x14ac:dyDescent="0.35">
      <c r="B191" s="2020">
        <f t="shared" si="0"/>
        <v>206</v>
      </c>
      <c r="C191" s="2018" t="s">
        <v>1303</v>
      </c>
      <c r="D191" s="2019" t="s">
        <v>1036</v>
      </c>
      <c r="E191" s="2021" t="s">
        <v>3070</v>
      </c>
    </row>
    <row r="192" spans="2:5" ht="15.6" customHeight="1" thickBot="1" x14ac:dyDescent="0.35">
      <c r="B192" s="2020">
        <f t="shared" si="0"/>
        <v>207</v>
      </c>
      <c r="C192" s="2018" t="s">
        <v>1304</v>
      </c>
      <c r="D192" s="2019" t="s">
        <v>1036</v>
      </c>
      <c r="E192" s="2017" t="s">
        <v>3069</v>
      </c>
    </row>
    <row r="193" spans="2:5" ht="15.6" customHeight="1" thickBot="1" x14ac:dyDescent="0.35">
      <c r="B193" s="2020">
        <f t="shared" si="0"/>
        <v>208</v>
      </c>
      <c r="C193" s="2018" t="s">
        <v>1305</v>
      </c>
      <c r="D193" s="2019" t="s">
        <v>1036</v>
      </c>
      <c r="E193" s="2017" t="s">
        <v>3069</v>
      </c>
    </row>
    <row r="194" spans="2:5" ht="15.6" customHeight="1" thickBot="1" x14ac:dyDescent="0.35">
      <c r="B194" s="2020">
        <f t="shared" si="0"/>
        <v>209</v>
      </c>
      <c r="C194" s="2018" t="s">
        <v>1307</v>
      </c>
      <c r="D194" s="2019" t="s">
        <v>1036</v>
      </c>
      <c r="E194" s="2017" t="s">
        <v>3070</v>
      </c>
    </row>
    <row r="195" spans="2:5" ht="15.6" customHeight="1" thickBot="1" x14ac:dyDescent="0.35">
      <c r="B195" s="2020">
        <f t="shared" si="0"/>
        <v>210</v>
      </c>
      <c r="C195" s="2018" t="s">
        <v>1309</v>
      </c>
      <c r="D195" s="2019" t="s">
        <v>1036</v>
      </c>
      <c r="E195" s="2017" t="s">
        <v>3070</v>
      </c>
    </row>
    <row r="196" spans="2:5" ht="15.6" customHeight="1" thickBot="1" x14ac:dyDescent="0.35">
      <c r="B196" s="2020">
        <f t="shared" si="0"/>
        <v>211</v>
      </c>
      <c r="C196" s="2018" t="s">
        <v>1311</v>
      </c>
      <c r="D196" s="2019" t="s">
        <v>1036</v>
      </c>
      <c r="E196" s="2017" t="s">
        <v>3070</v>
      </c>
    </row>
    <row r="197" spans="2:5" ht="15.6" customHeight="1" thickBot="1" x14ac:dyDescent="0.35">
      <c r="B197" s="2020">
        <f t="shared" si="0"/>
        <v>212</v>
      </c>
      <c r="C197" s="2018" t="s">
        <v>1312</v>
      </c>
      <c r="D197" s="2019" t="s">
        <v>1036</v>
      </c>
      <c r="E197" s="2017" t="s">
        <v>3069</v>
      </c>
    </row>
    <row r="198" spans="2:5" ht="15.6" customHeight="1" thickBot="1" x14ac:dyDescent="0.35">
      <c r="B198" s="2020">
        <f t="shared" si="0"/>
        <v>213</v>
      </c>
      <c r="C198" s="2018" t="s">
        <v>1313</v>
      </c>
      <c r="D198" s="2019" t="s">
        <v>1036</v>
      </c>
      <c r="E198" s="2021" t="s">
        <v>3070</v>
      </c>
    </row>
    <row r="199" spans="2:5" ht="15.6" customHeight="1" thickBot="1" x14ac:dyDescent="0.35">
      <c r="B199" s="2020">
        <f t="shared" si="0"/>
        <v>214</v>
      </c>
      <c r="C199" s="2018" t="s">
        <v>1314</v>
      </c>
      <c r="D199" s="2019" t="s">
        <v>1036</v>
      </c>
      <c r="E199" s="2021" t="s">
        <v>3070</v>
      </c>
    </row>
    <row r="200" spans="2:5" ht="15.6" customHeight="1" thickBot="1" x14ac:dyDescent="0.35">
      <c r="B200" s="2020">
        <f t="shared" si="0"/>
        <v>215</v>
      </c>
      <c r="C200" s="2018" t="s">
        <v>1315</v>
      </c>
      <c r="D200" s="2019" t="s">
        <v>1036</v>
      </c>
      <c r="E200" s="2017" t="s">
        <v>3069</v>
      </c>
    </row>
    <row r="201" spans="2:5" ht="15.6" customHeight="1" thickBot="1" x14ac:dyDescent="0.35">
      <c r="B201" s="2020">
        <f t="shared" si="0"/>
        <v>216</v>
      </c>
      <c r="C201" s="2018" t="s">
        <v>1317</v>
      </c>
      <c r="D201" s="2019" t="s">
        <v>1036</v>
      </c>
      <c r="E201" s="2017" t="s">
        <v>3069</v>
      </c>
    </row>
    <row r="202" spans="2:5" ht="15.6" customHeight="1" thickBot="1" x14ac:dyDescent="0.35">
      <c r="B202" s="2020">
        <f t="shared" si="0"/>
        <v>217</v>
      </c>
      <c r="C202" s="2018" t="s">
        <v>1319</v>
      </c>
      <c r="D202" s="2019" t="s">
        <v>1036</v>
      </c>
      <c r="E202" s="2021" t="s">
        <v>3070</v>
      </c>
    </row>
    <row r="203" spans="2:5" ht="15.6" customHeight="1" thickBot="1" x14ac:dyDescent="0.35">
      <c r="B203" s="2020">
        <f t="shared" si="0"/>
        <v>218</v>
      </c>
      <c r="C203" s="2018" t="s">
        <v>1320</v>
      </c>
      <c r="D203" s="2019" t="s">
        <v>1036</v>
      </c>
      <c r="E203" s="2021" t="s">
        <v>3070</v>
      </c>
    </row>
    <row r="204" spans="2:5" ht="15.6" customHeight="1" thickBot="1" x14ac:dyDescent="0.35">
      <c r="B204" s="2020">
        <f t="shared" si="0"/>
        <v>219</v>
      </c>
      <c r="C204" s="2018" t="s">
        <v>1321</v>
      </c>
      <c r="D204" s="2019" t="s">
        <v>1036</v>
      </c>
      <c r="E204" s="2021" t="s">
        <v>3070</v>
      </c>
    </row>
    <row r="205" spans="2:5" ht="15.6" customHeight="1" thickBot="1" x14ac:dyDescent="0.35">
      <c r="B205" s="2020">
        <f t="shared" si="0"/>
        <v>220</v>
      </c>
      <c r="C205" s="2018" t="s">
        <v>1322</v>
      </c>
      <c r="D205" s="2019" t="s">
        <v>1036</v>
      </c>
      <c r="E205" s="2021" t="s">
        <v>3070</v>
      </c>
    </row>
    <row r="206" spans="2:5" ht="15.6" customHeight="1" thickBot="1" x14ac:dyDescent="0.35">
      <c r="B206" s="2020">
        <f t="shared" si="0"/>
        <v>221</v>
      </c>
      <c r="C206" s="2018" t="s">
        <v>1323</v>
      </c>
      <c r="D206" s="2019" t="s">
        <v>1036</v>
      </c>
      <c r="E206" s="2021" t="s">
        <v>3070</v>
      </c>
    </row>
    <row r="207" spans="2:5" ht="15.6" customHeight="1" thickBot="1" x14ac:dyDescent="0.35">
      <c r="B207" s="2020">
        <f t="shared" si="0"/>
        <v>222</v>
      </c>
      <c r="C207" s="2018" t="s">
        <v>1324</v>
      </c>
      <c r="D207" s="2019" t="s">
        <v>1036</v>
      </c>
      <c r="E207" s="2021" t="s">
        <v>3070</v>
      </c>
    </row>
    <row r="208" spans="2:5" ht="15.6" customHeight="1" thickBot="1" x14ac:dyDescent="0.35">
      <c r="B208" s="2020">
        <f t="shared" si="0"/>
        <v>223</v>
      </c>
      <c r="C208" s="2018" t="s">
        <v>1325</v>
      </c>
      <c r="D208" s="2019" t="s">
        <v>1036</v>
      </c>
      <c r="E208" s="2021" t="s">
        <v>3070</v>
      </c>
    </row>
    <row r="209" spans="2:5" ht="15.6" customHeight="1" thickBot="1" x14ac:dyDescent="0.35">
      <c r="B209" s="2020">
        <f t="shared" si="0"/>
        <v>224</v>
      </c>
      <c r="C209" s="2018" t="s">
        <v>1326</v>
      </c>
      <c r="D209" s="2019" t="s">
        <v>1036</v>
      </c>
      <c r="E209" s="2021" t="s">
        <v>3070</v>
      </c>
    </row>
    <row r="210" spans="2:5" ht="15.6" customHeight="1" thickBot="1" x14ac:dyDescent="0.35">
      <c r="B210" s="2020">
        <f t="shared" si="0"/>
        <v>225</v>
      </c>
      <c r="C210" s="2018" t="s">
        <v>1327</v>
      </c>
      <c r="D210" s="2019" t="s">
        <v>1036</v>
      </c>
      <c r="E210" s="2017" t="s">
        <v>3069</v>
      </c>
    </row>
    <row r="211" spans="2:5" ht="15.6" customHeight="1" thickBot="1" x14ac:dyDescent="0.35">
      <c r="B211" s="2020">
        <f t="shared" si="0"/>
        <v>226</v>
      </c>
      <c r="C211" s="2018" t="s">
        <v>1330</v>
      </c>
      <c r="D211" s="2019" t="s">
        <v>1036</v>
      </c>
      <c r="E211" s="2017" t="s">
        <v>3069</v>
      </c>
    </row>
    <row r="212" spans="2:5" ht="15.6" customHeight="1" thickBot="1" x14ac:dyDescent="0.35">
      <c r="B212" s="2020">
        <f t="shared" si="0"/>
        <v>227</v>
      </c>
      <c r="C212" s="2018" t="s">
        <v>1331</v>
      </c>
      <c r="D212" s="2019" t="s">
        <v>1036</v>
      </c>
      <c r="E212" s="2017" t="s">
        <v>3069</v>
      </c>
    </row>
    <row r="213" spans="2:5" ht="15.6" customHeight="1" thickBot="1" x14ac:dyDescent="0.35">
      <c r="B213" s="2020">
        <f t="shared" si="0"/>
        <v>228</v>
      </c>
      <c r="C213" s="2018" t="s">
        <v>1332</v>
      </c>
      <c r="D213" s="2019" t="s">
        <v>1036</v>
      </c>
      <c r="E213" s="2017" t="s">
        <v>3069</v>
      </c>
    </row>
    <row r="214" spans="2:5" ht="15.6" customHeight="1" thickBot="1" x14ac:dyDescent="0.35">
      <c r="B214" s="2020">
        <f t="shared" ref="B214:B242" si="1">B213+1</f>
        <v>229</v>
      </c>
      <c r="C214" s="2018" t="s">
        <v>1333</v>
      </c>
      <c r="D214" s="2019" t="s">
        <v>1036</v>
      </c>
      <c r="E214" s="2017" t="s">
        <v>3069</v>
      </c>
    </row>
    <row r="215" spans="2:5" ht="15.6" customHeight="1" thickBot="1" x14ac:dyDescent="0.35">
      <c r="B215" s="2020">
        <f t="shared" si="1"/>
        <v>230</v>
      </c>
      <c r="C215" s="2018" t="s">
        <v>1334</v>
      </c>
      <c r="D215" s="2019" t="s">
        <v>1036</v>
      </c>
      <c r="E215" s="2017" t="s">
        <v>3069</v>
      </c>
    </row>
    <row r="216" spans="2:5" ht="15.6" customHeight="1" thickBot="1" x14ac:dyDescent="0.35">
      <c r="B216" s="2020">
        <f t="shared" si="1"/>
        <v>231</v>
      </c>
      <c r="C216" s="2018" t="s">
        <v>1336</v>
      </c>
      <c r="D216" s="2019" t="s">
        <v>1036</v>
      </c>
      <c r="E216" s="2017" t="s">
        <v>3069</v>
      </c>
    </row>
    <row r="217" spans="2:5" ht="15.6" customHeight="1" thickBot="1" x14ac:dyDescent="0.35">
      <c r="B217" s="2020">
        <f t="shared" si="1"/>
        <v>232</v>
      </c>
      <c r="C217" s="2018" t="s">
        <v>1337</v>
      </c>
      <c r="D217" s="2019" t="s">
        <v>1036</v>
      </c>
      <c r="E217" s="2017" t="s">
        <v>3069</v>
      </c>
    </row>
    <row r="218" spans="2:5" ht="15.6" customHeight="1" thickBot="1" x14ac:dyDescent="0.35">
      <c r="B218" s="2020">
        <f t="shared" si="1"/>
        <v>233</v>
      </c>
      <c r="C218" s="2018" t="s">
        <v>1339</v>
      </c>
      <c r="D218" s="2019" t="s">
        <v>1036</v>
      </c>
      <c r="E218" s="2017" t="s">
        <v>3069</v>
      </c>
    </row>
    <row r="219" spans="2:5" ht="15.6" customHeight="1" thickBot="1" x14ac:dyDescent="0.35">
      <c r="B219" s="2020">
        <f t="shared" si="1"/>
        <v>234</v>
      </c>
      <c r="C219" s="2018" t="s">
        <v>1340</v>
      </c>
      <c r="D219" s="2019" t="s">
        <v>1036</v>
      </c>
      <c r="E219" s="2017" t="s">
        <v>3069</v>
      </c>
    </row>
    <row r="220" spans="2:5" ht="15.6" customHeight="1" thickBot="1" x14ac:dyDescent="0.35">
      <c r="B220" s="2020">
        <f t="shared" si="1"/>
        <v>235</v>
      </c>
      <c r="C220" s="2018" t="s">
        <v>1341</v>
      </c>
      <c r="D220" s="2019" t="s">
        <v>1036</v>
      </c>
      <c r="E220" s="2017" t="s">
        <v>3069</v>
      </c>
    </row>
    <row r="221" spans="2:5" ht="15.6" customHeight="1" thickBot="1" x14ac:dyDescent="0.35">
      <c r="B221" s="2020">
        <f t="shared" si="1"/>
        <v>236</v>
      </c>
      <c r="C221" s="2018" t="s">
        <v>1342</v>
      </c>
      <c r="D221" s="2019" t="s">
        <v>1036</v>
      </c>
      <c r="E221" s="2021" t="s">
        <v>3070</v>
      </c>
    </row>
    <row r="222" spans="2:5" ht="15.6" customHeight="1" thickBot="1" x14ac:dyDescent="0.35">
      <c r="B222" s="2020">
        <f t="shared" si="1"/>
        <v>237</v>
      </c>
      <c r="C222" s="2018" t="s">
        <v>1344</v>
      </c>
      <c r="D222" s="2019" t="s">
        <v>1036</v>
      </c>
      <c r="E222" s="2021" t="s">
        <v>3070</v>
      </c>
    </row>
    <row r="223" spans="2:5" ht="15.6" customHeight="1" thickBot="1" x14ac:dyDescent="0.35">
      <c r="B223" s="2020">
        <f t="shared" si="1"/>
        <v>238</v>
      </c>
      <c r="C223" s="2018" t="s">
        <v>1347</v>
      </c>
      <c r="D223" s="2019" t="s">
        <v>1036</v>
      </c>
      <c r="E223" s="2021" t="s">
        <v>3070</v>
      </c>
    </row>
    <row r="224" spans="2:5" ht="15.6" customHeight="1" thickBot="1" x14ac:dyDescent="0.35">
      <c r="B224" s="2020">
        <f t="shared" si="1"/>
        <v>239</v>
      </c>
      <c r="C224" s="2018" t="s">
        <v>1348</v>
      </c>
      <c r="D224" s="2019" t="s">
        <v>1036</v>
      </c>
      <c r="E224" s="2021" t="s">
        <v>3070</v>
      </c>
    </row>
    <row r="225" spans="2:5" ht="15.6" customHeight="1" thickBot="1" x14ac:dyDescent="0.35">
      <c r="B225" s="2020">
        <f t="shared" si="1"/>
        <v>240</v>
      </c>
      <c r="C225" s="2018" t="s">
        <v>1349</v>
      </c>
      <c r="D225" s="2019" t="s">
        <v>1036</v>
      </c>
      <c r="E225" s="2021" t="s">
        <v>3070</v>
      </c>
    </row>
    <row r="226" spans="2:5" ht="15.6" customHeight="1" thickBot="1" x14ac:dyDescent="0.35">
      <c r="B226" s="2020">
        <f t="shared" si="1"/>
        <v>241</v>
      </c>
      <c r="C226" s="2018" t="s">
        <v>1351</v>
      </c>
      <c r="D226" s="2019" t="s">
        <v>1036</v>
      </c>
      <c r="E226" s="2021" t="s">
        <v>3070</v>
      </c>
    </row>
    <row r="227" spans="2:5" ht="15.6" customHeight="1" thickBot="1" x14ac:dyDescent="0.35">
      <c r="B227" s="2020">
        <f t="shared" si="1"/>
        <v>242</v>
      </c>
      <c r="C227" s="2018" t="s">
        <v>1354</v>
      </c>
      <c r="D227" s="2019" t="s">
        <v>1036</v>
      </c>
      <c r="E227" s="2017" t="s">
        <v>3069</v>
      </c>
    </row>
    <row r="228" spans="2:5" ht="15.6" customHeight="1" thickBot="1" x14ac:dyDescent="0.35">
      <c r="B228" s="2020">
        <f t="shared" si="1"/>
        <v>243</v>
      </c>
      <c r="C228" s="2018" t="s">
        <v>1357</v>
      </c>
      <c r="D228" s="2019" t="s">
        <v>1036</v>
      </c>
      <c r="E228" s="2021" t="s">
        <v>3070</v>
      </c>
    </row>
    <row r="229" spans="2:5" ht="15.6" customHeight="1" thickBot="1" x14ac:dyDescent="0.35">
      <c r="B229" s="2020">
        <f t="shared" si="1"/>
        <v>244</v>
      </c>
      <c r="C229" s="2018" t="s">
        <v>1358</v>
      </c>
      <c r="D229" s="2019" t="s">
        <v>1036</v>
      </c>
      <c r="E229" s="2021" t="s">
        <v>3070</v>
      </c>
    </row>
    <row r="230" spans="2:5" ht="15.6" customHeight="1" thickBot="1" x14ac:dyDescent="0.35">
      <c r="B230" s="2020">
        <f t="shared" si="1"/>
        <v>245</v>
      </c>
      <c r="C230" s="2018" t="s">
        <v>1360</v>
      </c>
      <c r="D230" s="2019" t="s">
        <v>1036</v>
      </c>
      <c r="E230" s="2021" t="s">
        <v>3070</v>
      </c>
    </row>
    <row r="231" spans="2:5" ht="15.6" customHeight="1" thickBot="1" x14ac:dyDescent="0.35">
      <c r="B231" s="2020">
        <f t="shared" si="1"/>
        <v>246</v>
      </c>
      <c r="C231" s="2018" t="s">
        <v>1363</v>
      </c>
      <c r="D231" s="2019" t="s">
        <v>1036</v>
      </c>
      <c r="E231" s="2021" t="s">
        <v>3070</v>
      </c>
    </row>
    <row r="232" spans="2:5" ht="15.6" customHeight="1" thickBot="1" x14ac:dyDescent="0.35">
      <c r="B232" s="2020">
        <f t="shared" si="1"/>
        <v>247</v>
      </c>
      <c r="C232" s="2018" t="s">
        <v>1364</v>
      </c>
      <c r="D232" s="2019" t="s">
        <v>1036</v>
      </c>
      <c r="E232" s="2021" t="s">
        <v>3070</v>
      </c>
    </row>
    <row r="233" spans="2:5" ht="15.6" customHeight="1" thickBot="1" x14ac:dyDescent="0.35">
      <c r="B233" s="2020">
        <f t="shared" si="1"/>
        <v>248</v>
      </c>
      <c r="C233" s="2018" t="s">
        <v>1365</v>
      </c>
      <c r="D233" s="2019" t="s">
        <v>1036</v>
      </c>
      <c r="E233" s="2021" t="s">
        <v>3070</v>
      </c>
    </row>
    <row r="234" spans="2:5" ht="15.6" customHeight="1" thickBot="1" x14ac:dyDescent="0.35">
      <c r="B234" s="2020">
        <f t="shared" si="1"/>
        <v>249</v>
      </c>
      <c r="C234" s="2018" t="s">
        <v>1367</v>
      </c>
      <c r="D234" s="2019" t="s">
        <v>1036</v>
      </c>
      <c r="E234" s="2021" t="s">
        <v>3070</v>
      </c>
    </row>
    <row r="235" spans="2:5" ht="15.6" customHeight="1" thickBot="1" x14ac:dyDescent="0.35">
      <c r="B235" s="2020">
        <f t="shared" si="1"/>
        <v>250</v>
      </c>
      <c r="C235" s="2018" t="s">
        <v>1368</v>
      </c>
      <c r="D235" s="2019" t="s">
        <v>1036</v>
      </c>
      <c r="E235" s="2021" t="s">
        <v>3070</v>
      </c>
    </row>
    <row r="236" spans="2:5" ht="15.6" customHeight="1" thickBot="1" x14ac:dyDescent="0.35">
      <c r="B236" s="2020">
        <f t="shared" si="1"/>
        <v>251</v>
      </c>
      <c r="C236" s="2018" t="s">
        <v>1369</v>
      </c>
      <c r="D236" s="2019" t="s">
        <v>1036</v>
      </c>
      <c r="E236" s="2021" t="s">
        <v>3070</v>
      </c>
    </row>
    <row r="237" spans="2:5" ht="15.6" customHeight="1" thickBot="1" x14ac:dyDescent="0.35">
      <c r="B237" s="2020">
        <f t="shared" si="1"/>
        <v>252</v>
      </c>
      <c r="C237" s="2018" t="s">
        <v>1370</v>
      </c>
      <c r="D237" s="2019" t="s">
        <v>1036</v>
      </c>
      <c r="E237" s="2021" t="s">
        <v>3070</v>
      </c>
    </row>
    <row r="238" spans="2:5" ht="15.6" customHeight="1" thickBot="1" x14ac:dyDescent="0.35">
      <c r="B238" s="2020">
        <f t="shared" si="1"/>
        <v>253</v>
      </c>
      <c r="C238" s="2018" t="s">
        <v>1372</v>
      </c>
      <c r="D238" s="2019" t="s">
        <v>1036</v>
      </c>
      <c r="E238" s="2019" t="s">
        <v>3069</v>
      </c>
    </row>
    <row r="239" spans="2:5" ht="15.6" customHeight="1" thickBot="1" x14ac:dyDescent="0.35">
      <c r="B239" s="2020">
        <f t="shared" si="1"/>
        <v>254</v>
      </c>
      <c r="C239" s="2018" t="s">
        <v>1373</v>
      </c>
      <c r="D239" s="2019" t="s">
        <v>1036</v>
      </c>
      <c r="E239" s="2019" t="s">
        <v>3069</v>
      </c>
    </row>
    <row r="240" spans="2:5" ht="15.6" customHeight="1" thickBot="1" x14ac:dyDescent="0.35">
      <c r="B240" s="2020">
        <f t="shared" si="1"/>
        <v>255</v>
      </c>
      <c r="C240" s="2018" t="s">
        <v>1374</v>
      </c>
      <c r="D240" s="2019" t="s">
        <v>1036</v>
      </c>
      <c r="E240" s="2019" t="s">
        <v>3069</v>
      </c>
    </row>
    <row r="241" spans="2:5" ht="15.6" customHeight="1" thickBot="1" x14ac:dyDescent="0.35">
      <c r="B241" s="2020">
        <f t="shared" si="1"/>
        <v>256</v>
      </c>
      <c r="C241" s="2018" t="s">
        <v>1375</v>
      </c>
      <c r="D241" s="2019" t="s">
        <v>1036</v>
      </c>
      <c r="E241" s="2019" t="s">
        <v>3069</v>
      </c>
    </row>
    <row r="242" spans="2:5" ht="15.6" customHeight="1" thickBot="1" x14ac:dyDescent="0.35">
      <c r="B242" s="2020">
        <f t="shared" si="1"/>
        <v>257</v>
      </c>
      <c r="C242" s="2018" t="s">
        <v>1376</v>
      </c>
      <c r="D242" s="2019" t="s">
        <v>1036</v>
      </c>
      <c r="E242" s="2019" t="s">
        <v>3069</v>
      </c>
    </row>
    <row r="244" spans="2:5" ht="29.4" customHeight="1" x14ac:dyDescent="0.3">
      <c r="B244" s="4928" t="str">
        <f>'D1_2023-2024'!B108</f>
        <v>Начальник управління економічного
розвитку та торгівлі</v>
      </c>
      <c r="C244" s="4928"/>
      <c r="D244" s="1467"/>
      <c r="E244" s="4167" t="str">
        <f>'D1_2023-2024'!F108</f>
        <v>Наталія ГЄНЧЕВА</v>
      </c>
    </row>
  </sheetData>
  <mergeCells count="7">
    <mergeCell ref="B7:E7"/>
    <mergeCell ref="B244:C244"/>
    <mergeCell ref="B2:E2"/>
    <mergeCell ref="B3:E3"/>
    <mergeCell ref="B4:E4"/>
    <mergeCell ref="B5:E5"/>
    <mergeCell ref="B6:E6"/>
  </mergeCells>
  <pageMargins left="0.94488188976377963" right="0.23622047244094491" top="0.56999999999999995" bottom="0.49" header="0.31496062992125984" footer="0.25"/>
  <pageSetup paperSize="9" scale="93" fitToHeight="5" orientation="portrait" r:id="rId1"/>
  <headerFooter differentFirst="1">
    <oddHeader>&amp;RПродовження Додатку 6</oddHeader>
    <oddFooter>&amp;Rстор. &amp;P з &amp;N</oddFooter>
  </headerFooter>
</worksheet>
</file>

<file path=xl/worksheets/sheet7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500-000000000000}">
  <sheetPr codeName="Лист67">
    <tabColor rgb="FF92D050"/>
    <pageSetUpPr fitToPage="1"/>
  </sheetPr>
  <dimension ref="A1:R52"/>
  <sheetViews>
    <sheetView workbookViewId="0">
      <selection activeCell="H34" sqref="H34"/>
    </sheetView>
  </sheetViews>
  <sheetFormatPr defaultRowHeight="14.4" x14ac:dyDescent="0.3"/>
  <cols>
    <col min="1" max="1" width="3.6640625" customWidth="1"/>
    <col min="2" max="2" width="29.88671875" customWidth="1"/>
    <col min="3" max="3" width="5.33203125" customWidth="1"/>
    <col min="4" max="4" width="14.33203125" customWidth="1"/>
    <col min="5" max="5" width="13.6640625" customWidth="1"/>
    <col min="6" max="6" width="13.44140625" customWidth="1"/>
    <col min="7" max="7" width="4.88671875" customWidth="1"/>
    <col min="8" max="8" width="13.6640625" customWidth="1"/>
    <col min="9" max="9" width="13.5546875" customWidth="1"/>
    <col min="10" max="10" width="13" customWidth="1"/>
    <col min="11" max="11" width="5.33203125" customWidth="1"/>
    <col min="12" max="12" width="13.88671875" bestFit="1" customWidth="1"/>
    <col min="13" max="13" width="13.5546875" customWidth="1"/>
    <col min="14" max="14" width="12.5546875" customWidth="1"/>
    <col min="16" max="16" width="10.33203125" customWidth="1"/>
    <col min="17" max="17" width="9.6640625" customWidth="1"/>
    <col min="18" max="18" width="10.33203125" customWidth="1"/>
  </cols>
  <sheetData>
    <row r="1" spans="1:18" ht="33" customHeight="1" x14ac:dyDescent="0.3">
      <c r="A1" s="5591" t="s">
        <v>3562</v>
      </c>
      <c r="B1" s="5591"/>
      <c r="C1" s="5591"/>
      <c r="D1" s="5591"/>
      <c r="E1" s="5591"/>
      <c r="F1" s="5591"/>
      <c r="G1" s="5591"/>
      <c r="H1" s="5591"/>
      <c r="I1" s="5591"/>
      <c r="J1" s="5591"/>
    </row>
    <row r="2" spans="1:18" ht="3" customHeight="1" x14ac:dyDescent="0.3"/>
    <row r="3" spans="1:18" ht="16.2" customHeight="1" x14ac:dyDescent="0.3">
      <c r="A3" s="5592" t="s">
        <v>968</v>
      </c>
      <c r="B3" s="5592" t="s">
        <v>980</v>
      </c>
      <c r="C3" s="5593" t="str">
        <f>"ФАКТ "&amp;'Вхідні дані'!F8</f>
        <v>ФАКТ 2021</v>
      </c>
      <c r="D3" s="5593"/>
      <c r="E3" s="5593"/>
      <c r="F3" s="3863"/>
      <c r="G3" s="5594" t="str">
        <f>"ФАКТ "&amp;'Вхідні дані'!F7</f>
        <v>ФАКТ 2022</v>
      </c>
      <c r="H3" s="5595"/>
      <c r="I3" s="5595"/>
      <c r="J3" s="5596"/>
      <c r="K3" s="5587" t="str">
        <f>"ПЛАН "&amp;'Вхідні дані'!F6</f>
        <v>ПЛАН 2023-2024</v>
      </c>
      <c r="L3" s="5588"/>
      <c r="M3" s="5588"/>
      <c r="N3" s="5589"/>
      <c r="P3" s="1493">
        <v>2021</v>
      </c>
      <c r="Q3" s="1493">
        <v>2022</v>
      </c>
      <c r="R3" s="1493" t="s">
        <v>3481</v>
      </c>
    </row>
    <row r="4" spans="1:18" x14ac:dyDescent="0.3">
      <c r="A4" s="5592"/>
      <c r="B4" s="5592"/>
      <c r="C4" s="3594" t="s">
        <v>144</v>
      </c>
      <c r="D4" s="3594" t="s">
        <v>3546</v>
      </c>
      <c r="E4" s="3594" t="s">
        <v>985</v>
      </c>
      <c r="F4" s="3594" t="s">
        <v>3545</v>
      </c>
      <c r="G4" s="3594" t="s">
        <v>144</v>
      </c>
      <c r="H4" s="3594" t="s">
        <v>3546</v>
      </c>
      <c r="I4" s="3594" t="s">
        <v>985</v>
      </c>
      <c r="J4" s="3594" t="s">
        <v>3545</v>
      </c>
      <c r="K4" s="3594" t="s">
        <v>144</v>
      </c>
      <c r="L4" s="3594" t="s">
        <v>3546</v>
      </c>
      <c r="M4" s="3594" t="s">
        <v>985</v>
      </c>
      <c r="N4" s="3594" t="s">
        <v>3545</v>
      </c>
    </row>
    <row r="5" spans="1:18" ht="15.6" x14ac:dyDescent="0.3">
      <c r="A5" s="5590">
        <v>1</v>
      </c>
      <c r="B5" s="3935" t="s">
        <v>3544</v>
      </c>
      <c r="C5" s="3924"/>
      <c r="D5" s="3925">
        <f t="shared" ref="D5:D24" si="0">E5+F5</f>
        <v>15315759.57</v>
      </c>
      <c r="E5" s="3925">
        <f>SUM(E6:E8)</f>
        <v>12586725.07</v>
      </c>
      <c r="F5" s="3925">
        <f>SUM(F6:F8)</f>
        <v>2729034.5</v>
      </c>
      <c r="G5" s="3924"/>
      <c r="H5" s="3925">
        <f t="shared" ref="H5:H24" si="1">I5+J5</f>
        <v>17249300.746025149</v>
      </c>
      <c r="I5" s="3925">
        <f>SUM(I6:I8)</f>
        <v>14254338.52</v>
      </c>
      <c r="J5" s="3925">
        <f>SUM(J6:J8)</f>
        <v>2994962.2260251502</v>
      </c>
      <c r="K5" s="3924"/>
      <c r="L5" s="3925">
        <f t="shared" ref="L5:L24" si="2">M5+N5</f>
        <v>24318517.476277582</v>
      </c>
      <c r="M5" s="3925">
        <f>SUM(M6:M8)</f>
        <v>19954579.778665155</v>
      </c>
      <c r="N5" s="3925">
        <f>SUM(N6:N8)</f>
        <v>4363937.6976124272</v>
      </c>
    </row>
    <row r="6" spans="1:18" ht="43.95" customHeight="1" x14ac:dyDescent="0.3">
      <c r="A6" s="5590"/>
      <c r="B6" s="3592" t="s">
        <v>987</v>
      </c>
      <c r="C6" s="3926">
        <v>51</v>
      </c>
      <c r="D6" s="3927">
        <f t="shared" si="0"/>
        <v>8943191.3200000003</v>
      </c>
      <c r="E6" s="3928">
        <v>7334833.9500000002</v>
      </c>
      <c r="F6" s="3928">
        <v>1608357.37</v>
      </c>
      <c r="G6" s="3926">
        <v>51</v>
      </c>
      <c r="H6" s="3927">
        <f t="shared" si="1"/>
        <v>9894804.9699999988</v>
      </c>
      <c r="I6" s="3928">
        <v>8106689.3399999999</v>
      </c>
      <c r="J6" s="3928">
        <v>1788115.63</v>
      </c>
      <c r="K6" s="3929">
        <f>ФОП!G9+K$25*'БАЗИ РОЗПОДІЛУ'!$F$15+K$26*'БАЗИ РОЗПОДІЛУ'!$F$22</f>
        <v>62.190319205891335</v>
      </c>
      <c r="L6" s="3927">
        <f t="shared" si="2"/>
        <v>13699306.013473243</v>
      </c>
      <c r="M6" s="3930">
        <f>ФОП!H9</f>
        <v>11228939.355305936</v>
      </c>
      <c r="N6" s="3930">
        <f>ФОП!H11</f>
        <v>2470366.6581673059</v>
      </c>
      <c r="P6">
        <f>E5/12/C6</f>
        <v>20566.544232026143</v>
      </c>
      <c r="Q6">
        <f>I5/12/G6</f>
        <v>23291.402810457515</v>
      </c>
      <c r="R6">
        <f>M5/12/K6</f>
        <v>26738.593232121089</v>
      </c>
    </row>
    <row r="7" spans="1:18" ht="15.6" x14ac:dyDescent="0.3">
      <c r="A7" s="5590"/>
      <c r="B7" s="24" t="s">
        <v>3542</v>
      </c>
      <c r="C7" s="3931"/>
      <c r="D7" s="3927">
        <f t="shared" si="0"/>
        <v>2689043.71</v>
      </c>
      <c r="E7" s="3928">
        <v>2227823.2200000002</v>
      </c>
      <c r="F7" s="3928">
        <v>461220.49</v>
      </c>
      <c r="G7" s="3931"/>
      <c r="H7" s="3927">
        <f t="shared" si="1"/>
        <v>1946585.8506856998</v>
      </c>
      <c r="I7" s="3928">
        <v>1620439.91</v>
      </c>
      <c r="J7" s="3928">
        <f>I7*0.20127</f>
        <v>326145.94068569998</v>
      </c>
      <c r="K7" s="3931"/>
      <c r="L7" s="3927">
        <f t="shared" si="2"/>
        <v>4831567.9757245881</v>
      </c>
      <c r="M7" s="3930">
        <f>M$25*'БАЗИ РОЗПОДІЛУ'!$F$15</f>
        <v>3981670.3519823728</v>
      </c>
      <c r="N7" s="3930">
        <f>N$25*'БАЗИ РОЗПОДІЛУ'!$F$15</f>
        <v>849897.62374221568</v>
      </c>
    </row>
    <row r="8" spans="1:18" ht="15.6" x14ac:dyDescent="0.3">
      <c r="A8" s="5590"/>
      <c r="B8" s="24" t="s">
        <v>3543</v>
      </c>
      <c r="C8" s="3931"/>
      <c r="D8" s="3927">
        <f t="shared" si="0"/>
        <v>3683524.54</v>
      </c>
      <c r="E8" s="3928">
        <v>3024067.9</v>
      </c>
      <c r="F8" s="3928">
        <v>659456.64</v>
      </c>
      <c r="G8" s="3931"/>
      <c r="H8" s="3927">
        <f t="shared" si="1"/>
        <v>5407909.9253394492</v>
      </c>
      <c r="I8" s="3928">
        <v>4527209.2699999996</v>
      </c>
      <c r="J8" s="3928">
        <f>I8*0.194535</f>
        <v>880700.65533944999</v>
      </c>
      <c r="K8" s="3931"/>
      <c r="L8" s="3927">
        <f t="shared" si="2"/>
        <v>5787643.4870797507</v>
      </c>
      <c r="M8" s="3930">
        <f>M$26*'БАЗИ РОЗПОДІЛУ'!$F$22</f>
        <v>4743970.0713768443</v>
      </c>
      <c r="N8" s="3930">
        <f>N$26*'БАЗИ РОЗПОДІЛУ'!$F$22</f>
        <v>1043673.415702906</v>
      </c>
    </row>
    <row r="9" spans="1:18" ht="31.2" x14ac:dyDescent="0.3">
      <c r="A9" s="5590">
        <v>2</v>
      </c>
      <c r="B9" s="3935" t="s">
        <v>3547</v>
      </c>
      <c r="C9" s="3924"/>
      <c r="D9" s="3925">
        <f t="shared" si="0"/>
        <v>12709811.4</v>
      </c>
      <c r="E9" s="3925">
        <f>SUM(E10:E12)</f>
        <v>10471354.33</v>
      </c>
      <c r="F9" s="3925">
        <f>SUM(F10:F12)</f>
        <v>2238457.0700000003</v>
      </c>
      <c r="G9" s="3924"/>
      <c r="H9" s="3925">
        <f t="shared" si="1"/>
        <v>14641608.684280252</v>
      </c>
      <c r="I9" s="3925">
        <f>SUM(I10:I12)</f>
        <v>12092318.52</v>
      </c>
      <c r="J9" s="3925">
        <f>SUM(J10:J12)</f>
        <v>2549290.1642802521</v>
      </c>
      <c r="K9" s="3924"/>
      <c r="L9" s="3925">
        <f t="shared" si="2"/>
        <v>20809901.481938627</v>
      </c>
      <c r="M9" s="3925">
        <f>SUM(M10:M12)</f>
        <v>17093244.741722312</v>
      </c>
      <c r="N9" s="3925">
        <f>SUM(N10:N12)</f>
        <v>3716656.7402163139</v>
      </c>
    </row>
    <row r="10" spans="1:18" ht="44.4" customHeight="1" x14ac:dyDescent="0.3">
      <c r="A10" s="5590"/>
      <c r="B10" s="3592" t="s">
        <v>3555</v>
      </c>
      <c r="C10" s="3926">
        <v>43</v>
      </c>
      <c r="D10" s="3927">
        <f t="shared" si="0"/>
        <v>10362313.449999999</v>
      </c>
      <c r="E10" s="3928">
        <v>8537361.6899999995</v>
      </c>
      <c r="F10" s="3928">
        <v>1824951.76</v>
      </c>
      <c r="G10" s="3926">
        <v>48</v>
      </c>
      <c r="H10" s="3927">
        <f t="shared" si="1"/>
        <v>10970197.98</v>
      </c>
      <c r="I10" s="3928">
        <v>9028991.4800000004</v>
      </c>
      <c r="J10" s="3928">
        <v>1941206.5</v>
      </c>
      <c r="K10" s="3929">
        <f>ФОП!G14+ФОП!G19+K$25*'БАЗИ РОЗПОДІЛУ'!$G$15+K$26*'БАЗИ РОЗПОДІЛУ'!$G$22</f>
        <v>64.144678610272379</v>
      </c>
      <c r="L10" s="3927">
        <f t="shared" si="2"/>
        <v>17679429.269405928</v>
      </c>
      <c r="M10" s="3930">
        <f>ФОП!H14+ФОП!H19</f>
        <v>14520984.55295453</v>
      </c>
      <c r="N10" s="3930">
        <f>ФОП!H16+ФОП!H21</f>
        <v>3158444.7164513967</v>
      </c>
      <c r="P10">
        <f>E9/12/C10</f>
        <v>20293.322344961241</v>
      </c>
      <c r="Q10">
        <f>I9/12/G10</f>
        <v>20993.608541666665</v>
      </c>
      <c r="R10">
        <f>M9/12/K10</f>
        <v>22206.628712955742</v>
      </c>
    </row>
    <row r="11" spans="1:18" ht="15.6" x14ac:dyDescent="0.3">
      <c r="A11" s="5590"/>
      <c r="B11" s="24" t="s">
        <v>3548</v>
      </c>
      <c r="C11" s="3931"/>
      <c r="D11" s="3927">
        <f t="shared" si="0"/>
        <v>990490.12000000011</v>
      </c>
      <c r="E11" s="3928">
        <v>820462.05</v>
      </c>
      <c r="F11" s="3928">
        <v>170028.07</v>
      </c>
      <c r="G11" s="3931"/>
      <c r="H11" s="3927">
        <f t="shared" si="1"/>
        <v>2168051.9605548019</v>
      </c>
      <c r="I11" s="3928">
        <v>1804798.17</v>
      </c>
      <c r="J11" s="3928">
        <f>I11*0.2012706+0.98</f>
        <v>363253.79055480193</v>
      </c>
      <c r="K11" s="3931"/>
      <c r="L11" s="3927">
        <f t="shared" si="2"/>
        <v>1424313.7867577998</v>
      </c>
      <c r="M11" s="3930">
        <f>M$25*'БАЗИ РОЗПОДІЛУ'!$G$15</f>
        <v>1173769.675837537</v>
      </c>
      <c r="N11" s="3930">
        <f>N$25*'БАЗИ РОЗПОДІЛУ'!$G$15</f>
        <v>250544.11092026287</v>
      </c>
    </row>
    <row r="12" spans="1:18" ht="15.6" x14ac:dyDescent="0.3">
      <c r="A12" s="5590"/>
      <c r="B12" s="24" t="s">
        <v>3549</v>
      </c>
      <c r="C12" s="3931"/>
      <c r="D12" s="3927">
        <f t="shared" si="0"/>
        <v>1357007.83</v>
      </c>
      <c r="E12" s="3928">
        <v>1113530.5900000001</v>
      </c>
      <c r="F12" s="3928">
        <v>243477.24</v>
      </c>
      <c r="G12" s="3931"/>
      <c r="H12" s="3927">
        <f t="shared" si="1"/>
        <v>1503358.7437254502</v>
      </c>
      <c r="I12" s="3928">
        <v>1258528.8700000001</v>
      </c>
      <c r="J12" s="3928">
        <f>I12*0.194535+1.96</f>
        <v>244829.87372545004</v>
      </c>
      <c r="K12" s="3931"/>
      <c r="L12" s="3927">
        <f t="shared" si="2"/>
        <v>1706158.4257748991</v>
      </c>
      <c r="M12" s="3930">
        <f>M$26*'БАЗИ РОЗПОДІЛУ'!$G$22</f>
        <v>1398490.5129302451</v>
      </c>
      <c r="N12" s="3930">
        <f>N$26*'БАЗИ РОЗПОДІЛУ'!$G$22</f>
        <v>307667.91284465394</v>
      </c>
    </row>
    <row r="13" spans="1:18" ht="15.6" x14ac:dyDescent="0.3">
      <c r="A13" s="5590">
        <v>3</v>
      </c>
      <c r="B13" s="3935" t="s">
        <v>3550</v>
      </c>
      <c r="C13" s="3924"/>
      <c r="D13" s="3925">
        <f t="shared" si="0"/>
        <v>809104.79</v>
      </c>
      <c r="E13" s="3925">
        <f>SUM(E14:E16)</f>
        <v>665040.6</v>
      </c>
      <c r="F13" s="3925">
        <f>SUM(F14:F16)</f>
        <v>144064.19</v>
      </c>
      <c r="G13" s="3924"/>
      <c r="H13" s="3925">
        <f t="shared" si="1"/>
        <v>915986.01125873008</v>
      </c>
      <c r="I13" s="3925">
        <f>SUM(I14:I16)</f>
        <v>754050.19000000006</v>
      </c>
      <c r="J13" s="3925">
        <f>SUM(J14:J16)</f>
        <v>161935.82125872999</v>
      </c>
      <c r="K13" s="3924"/>
      <c r="L13" s="3925">
        <f t="shared" si="2"/>
        <v>1054564.0644525921</v>
      </c>
      <c r="M13" s="3925">
        <f>SUM(M14:M16)</f>
        <v>864666.61504235351</v>
      </c>
      <c r="N13" s="3925">
        <f>SUM(N14:N16)</f>
        <v>189897.44941023854</v>
      </c>
    </row>
    <row r="14" spans="1:18" ht="27.6" x14ac:dyDescent="0.3">
      <c r="A14" s="5590"/>
      <c r="B14" s="3592" t="s">
        <v>3554</v>
      </c>
      <c r="C14" s="3926">
        <v>2</v>
      </c>
      <c r="D14" s="3927">
        <f t="shared" si="0"/>
        <v>714287.88000000012</v>
      </c>
      <c r="E14" s="3928">
        <v>586928.31000000006</v>
      </c>
      <c r="F14" s="3928">
        <v>127359.57</v>
      </c>
      <c r="G14" s="3926">
        <v>2</v>
      </c>
      <c r="H14" s="3927">
        <f t="shared" si="1"/>
        <v>690091.46</v>
      </c>
      <c r="I14" s="3928">
        <v>565580.98</v>
      </c>
      <c r="J14" s="3928">
        <v>124510.48</v>
      </c>
      <c r="K14" s="3929">
        <f>ФОП!G24+K$25*'БАЗИ РОЗПОДІЛУ'!$J$15+K$26*'БАЗИ РОЗПОДІЛУ'!$J$22</f>
        <v>2.2978947383029387</v>
      </c>
      <c r="L14" s="3927">
        <f t="shared" si="2"/>
        <v>920466.37835999997</v>
      </c>
      <c r="M14" s="3930">
        <f>ФОП!H24</f>
        <v>754480.63799999992</v>
      </c>
      <c r="N14" s="3930">
        <f>ФОП!H26</f>
        <v>165985.74036</v>
      </c>
      <c r="P14">
        <f>E13/12/C14</f>
        <v>27710.024999999998</v>
      </c>
      <c r="Q14">
        <f>I13/12/G14</f>
        <v>31418.757916666669</v>
      </c>
      <c r="R14">
        <f>M13/12/K14</f>
        <v>31357.202770195014</v>
      </c>
    </row>
    <row r="15" spans="1:18" ht="15.6" x14ac:dyDescent="0.3">
      <c r="A15" s="5590"/>
      <c r="B15" s="24" t="s">
        <v>3551</v>
      </c>
      <c r="C15" s="3931"/>
      <c r="D15" s="3927">
        <f t="shared" si="0"/>
        <v>40082.42</v>
      </c>
      <c r="E15" s="3928">
        <v>33202.19</v>
      </c>
      <c r="F15" s="3928">
        <v>6880.23</v>
      </c>
      <c r="G15" s="3931"/>
      <c r="H15" s="3927">
        <f t="shared" si="1"/>
        <v>135807.90584063</v>
      </c>
      <c r="I15" s="3928">
        <v>113053.55</v>
      </c>
      <c r="J15" s="3928">
        <f>I15*0.2012706</f>
        <v>22754.35584063</v>
      </c>
      <c r="K15" s="3931"/>
      <c r="L15" s="3927">
        <f t="shared" si="2"/>
        <v>61012.259527284863</v>
      </c>
      <c r="M15" s="3930">
        <f>M$25*'БАЗИ РОЗПОДІЛУ'!$J$15</f>
        <v>50279.889693741083</v>
      </c>
      <c r="N15" s="3930">
        <f>N$25*'БАЗИ РОЗПОДІЛУ'!$J$15</f>
        <v>10732.369833543782</v>
      </c>
    </row>
    <row r="16" spans="1:18" ht="15.6" x14ac:dyDescent="0.3">
      <c r="A16" s="5590"/>
      <c r="B16" s="24" t="s">
        <v>3552</v>
      </c>
      <c r="C16" s="3931"/>
      <c r="D16" s="3927">
        <f t="shared" si="0"/>
        <v>54734.49</v>
      </c>
      <c r="E16" s="3928">
        <v>44910.1</v>
      </c>
      <c r="F16" s="3928">
        <v>9824.39</v>
      </c>
      <c r="G16" s="3931"/>
      <c r="H16" s="3927">
        <f t="shared" si="1"/>
        <v>90086.645418100001</v>
      </c>
      <c r="I16" s="3928">
        <v>75415.66</v>
      </c>
      <c r="J16" s="3928">
        <f>I16*0.194535</f>
        <v>14670.985418100001</v>
      </c>
      <c r="K16" s="3931"/>
      <c r="L16" s="3927">
        <f t="shared" si="2"/>
        <v>73085.42656530728</v>
      </c>
      <c r="M16" s="3930">
        <f>M$26*'БАЗИ РОЗПОДІЛУ'!$J$22</f>
        <v>59906.08734861252</v>
      </c>
      <c r="N16" s="3930">
        <f>N$26*'БАЗИ РОЗПОДІЛУ'!$J$22</f>
        <v>13179.339216694756</v>
      </c>
    </row>
    <row r="17" spans="1:18" ht="15.6" x14ac:dyDescent="0.3">
      <c r="A17" s="5590">
        <v>4</v>
      </c>
      <c r="B17" s="3935" t="s">
        <v>3553</v>
      </c>
      <c r="C17" s="3924"/>
      <c r="D17" s="3925">
        <f t="shared" si="0"/>
        <v>4804558.32</v>
      </c>
      <c r="E17" s="3925">
        <f>SUM(E18:E20)</f>
        <v>3986501.9699999997</v>
      </c>
      <c r="F17" s="3925">
        <f>SUM(F18:F20)</f>
        <v>818056.35000000009</v>
      </c>
      <c r="G17" s="3924"/>
      <c r="H17" s="3925">
        <f t="shared" si="1"/>
        <v>4547517.4062368842</v>
      </c>
      <c r="I17" s="3925">
        <f>SUM(I18:I20)</f>
        <v>3793185.54</v>
      </c>
      <c r="J17" s="3925">
        <f>SUM(J18:J20)</f>
        <v>754331.86623688403</v>
      </c>
      <c r="K17" s="3924"/>
      <c r="L17" s="3925">
        <f t="shared" si="2"/>
        <v>6859591.1015452771</v>
      </c>
      <c r="M17" s="3925">
        <f>SUM(M18:M20)</f>
        <v>5725159.4582046177</v>
      </c>
      <c r="N17" s="3925">
        <f>SUM(N18:N20)</f>
        <v>1134431.6433406593</v>
      </c>
    </row>
    <row r="18" spans="1:18" ht="28.95" customHeight="1" x14ac:dyDescent="0.3">
      <c r="A18" s="5590"/>
      <c r="B18" s="3592" t="s">
        <v>3724</v>
      </c>
      <c r="C18" s="3926">
        <v>21</v>
      </c>
      <c r="D18" s="3927">
        <f t="shared" si="0"/>
        <v>3323738.99</v>
      </c>
      <c r="E18" s="3928">
        <f>1742736.3+1023537.95</f>
        <v>2766274.25</v>
      </c>
      <c r="F18" s="3928">
        <f>349857.5+207607.24</f>
        <v>557464.74</v>
      </c>
      <c r="G18" s="3926">
        <v>22</v>
      </c>
      <c r="H18" s="3927">
        <f t="shared" si="1"/>
        <v>3611309.3</v>
      </c>
      <c r="I18" s="3928">
        <v>3012594</v>
      </c>
      <c r="J18" s="3928">
        <v>598715.30000000005</v>
      </c>
      <c r="K18" s="3929">
        <f>ФОП!G29+K$25*'БАЗИ РОЗПОДІЛУ'!$K$15+K$26*'БАЗИ РОЗПОДІЛУ'!$K$22</f>
        <v>21.657518404437468</v>
      </c>
      <c r="L18" s="3927">
        <f t="shared" si="2"/>
        <v>4763003.4124616627</v>
      </c>
      <c r="M18" s="3930">
        <f>ФОП!H29</f>
        <v>4002426.0561000002</v>
      </c>
      <c r="N18" s="3930">
        <f>ФОП!H31</f>
        <v>760577.3563616625</v>
      </c>
      <c r="P18">
        <f>E17/12/C18</f>
        <v>15819.452261904762</v>
      </c>
      <c r="Q18">
        <f>I17/12/G18</f>
        <v>14368.127045454545</v>
      </c>
      <c r="R18">
        <f>M17/12/K18</f>
        <v>22029.145380723668</v>
      </c>
    </row>
    <row r="19" spans="1:18" ht="15.6" x14ac:dyDescent="0.3">
      <c r="A19" s="5590"/>
      <c r="B19" s="24" t="s">
        <v>3556</v>
      </c>
      <c r="C19" s="3931"/>
      <c r="D19" s="3927">
        <f t="shared" si="0"/>
        <v>626433.79</v>
      </c>
      <c r="E19" s="3928">
        <f>355474.61+163459.37</f>
        <v>518933.98</v>
      </c>
      <c r="F19" s="3928">
        <f>73536.33+33963.48</f>
        <v>107499.81</v>
      </c>
      <c r="G19" s="3931"/>
      <c r="H19" s="3927">
        <f t="shared" si="1"/>
        <v>671330.24298788398</v>
      </c>
      <c r="I19" s="3928">
        <v>558850.14</v>
      </c>
      <c r="J19" s="3928">
        <f>I19*0.2012706</f>
        <v>112480.10298788401</v>
      </c>
      <c r="K19" s="3931"/>
      <c r="L19" s="3927">
        <f t="shared" si="2"/>
        <v>953913.19518932665</v>
      </c>
      <c r="M19" s="3930">
        <f>M$25*'БАЗИ РОЗПОДІЛУ'!$K$15</f>
        <v>786114.96448634902</v>
      </c>
      <c r="N19" s="3930">
        <f>N$25*'БАЗИ РОЗПОДІЛУ'!$K$15</f>
        <v>167798.23070297763</v>
      </c>
    </row>
    <row r="20" spans="1:18" ht="15.6" x14ac:dyDescent="0.3">
      <c r="A20" s="5590"/>
      <c r="B20" s="24" t="s">
        <v>3557</v>
      </c>
      <c r="C20" s="3931"/>
      <c r="D20" s="3927">
        <f t="shared" si="0"/>
        <v>854385.54</v>
      </c>
      <c r="E20" s="3928">
        <f>487539.1+213754.64</f>
        <v>701293.74</v>
      </c>
      <c r="F20" s="3928">
        <f>106152.54+46939.26</f>
        <v>153091.79999999999</v>
      </c>
      <c r="G20" s="3931"/>
      <c r="H20" s="3927">
        <f t="shared" si="1"/>
        <v>264877.86324899999</v>
      </c>
      <c r="I20" s="3928">
        <v>221741.4</v>
      </c>
      <c r="J20" s="3928">
        <f>I20*0.194535</f>
        <v>43136.463249</v>
      </c>
      <c r="K20" s="3931"/>
      <c r="L20" s="3927">
        <f t="shared" si="2"/>
        <v>1142674.4938942879</v>
      </c>
      <c r="M20" s="3930">
        <f>M$26*'БАЗИ РОЗПОДІЛУ'!$K$22</f>
        <v>936618.43761826877</v>
      </c>
      <c r="N20" s="3930">
        <f>N$26*'БАЗИ РОЗПОДІЛУ'!$K$22</f>
        <v>206056.05627601917</v>
      </c>
    </row>
    <row r="21" spans="1:18" ht="31.2" x14ac:dyDescent="0.3">
      <c r="A21" s="5590">
        <v>5</v>
      </c>
      <c r="B21" s="3935" t="s">
        <v>3558</v>
      </c>
      <c r="C21" s="3924"/>
      <c r="D21" s="3925">
        <f t="shared" si="0"/>
        <v>632620.87</v>
      </c>
      <c r="E21" s="3925">
        <f>SUM(E22:E24)</f>
        <v>505498.03</v>
      </c>
      <c r="F21" s="3925">
        <f>SUM(F22:F24)</f>
        <v>127122.84</v>
      </c>
      <c r="G21" s="3924"/>
      <c r="H21" s="3925">
        <f t="shared" si="1"/>
        <v>670267.51000000013</v>
      </c>
      <c r="I21" s="3925">
        <f>SUM(I22:I24)</f>
        <v>529233.2300000001</v>
      </c>
      <c r="J21" s="3925">
        <f>SUM(J22:J24)</f>
        <v>141034.28</v>
      </c>
      <c r="K21" s="3924"/>
      <c r="L21" s="3925">
        <f t="shared" si="2"/>
        <v>0</v>
      </c>
      <c r="M21" s="3925">
        <f>SUM(M22:M24)</f>
        <v>0</v>
      </c>
      <c r="N21" s="3925">
        <f>SUM(N22:N24)</f>
        <v>0</v>
      </c>
    </row>
    <row r="22" spans="1:18" ht="15.6" x14ac:dyDescent="0.3">
      <c r="A22" s="5590"/>
      <c r="B22" s="3592" t="s">
        <v>2339</v>
      </c>
      <c r="C22" s="3926"/>
      <c r="D22" s="3927">
        <f t="shared" si="0"/>
        <v>632620.87</v>
      </c>
      <c r="E22" s="3928">
        <f>265482.8+240015.23</f>
        <v>505498.03</v>
      </c>
      <c r="F22" s="3928">
        <v>127122.84</v>
      </c>
      <c r="G22" s="3926"/>
      <c r="H22" s="3927">
        <f t="shared" si="1"/>
        <v>670267.51000000013</v>
      </c>
      <c r="I22" s="3928">
        <f>529223.56+9.67</f>
        <v>529233.2300000001</v>
      </c>
      <c r="J22" s="3928">
        <f>137867.72+3166.56</f>
        <v>141034.28</v>
      </c>
      <c r="K22" s="3926"/>
      <c r="L22" s="3927">
        <f t="shared" si="2"/>
        <v>0</v>
      </c>
      <c r="M22" s="3930"/>
      <c r="N22" s="3930"/>
    </row>
    <row r="23" spans="1:18" ht="15.6" x14ac:dyDescent="0.3">
      <c r="A23" s="5590"/>
      <c r="B23" s="24" t="s">
        <v>3559</v>
      </c>
      <c r="C23" s="3931"/>
      <c r="D23" s="3927">
        <f t="shared" si="0"/>
        <v>0</v>
      </c>
      <c r="E23" s="3928"/>
      <c r="F23" s="3928"/>
      <c r="G23" s="3931"/>
      <c r="H23" s="3927">
        <f t="shared" si="1"/>
        <v>0</v>
      </c>
      <c r="I23" s="3928"/>
      <c r="J23" s="3928"/>
      <c r="K23" s="3931"/>
      <c r="L23" s="3927">
        <f t="shared" si="2"/>
        <v>0</v>
      </c>
      <c r="M23" s="3930"/>
      <c r="N23" s="3930"/>
    </row>
    <row r="24" spans="1:18" ht="15.6" x14ac:dyDescent="0.3">
      <c r="A24" s="5590"/>
      <c r="B24" s="24" t="s">
        <v>3560</v>
      </c>
      <c r="C24" s="3931"/>
      <c r="D24" s="3927">
        <f t="shared" si="0"/>
        <v>0</v>
      </c>
      <c r="E24" s="3928"/>
      <c r="F24" s="3928"/>
      <c r="G24" s="3931"/>
      <c r="H24" s="3927">
        <f t="shared" si="1"/>
        <v>0</v>
      </c>
      <c r="I24" s="3928"/>
      <c r="J24" s="3928"/>
      <c r="K24" s="3931"/>
      <c r="L24" s="3927">
        <f t="shared" si="2"/>
        <v>0</v>
      </c>
      <c r="M24" s="3930"/>
      <c r="N24" s="3930"/>
    </row>
    <row r="25" spans="1:18" ht="27.6" x14ac:dyDescent="0.3">
      <c r="A25" s="24">
        <v>6</v>
      </c>
      <c r="B25" s="3593" t="s">
        <v>1002</v>
      </c>
      <c r="C25" s="3926">
        <v>17</v>
      </c>
      <c r="D25" s="3927">
        <f>D7+D11+D15+D19+D23</f>
        <v>4346050.04</v>
      </c>
      <c r="E25" s="3927">
        <f t="shared" ref="E25:J26" si="3">E7+E11+E15+E19+E23</f>
        <v>3600421.4400000004</v>
      </c>
      <c r="F25" s="3927">
        <f t="shared" si="3"/>
        <v>745628.60000000009</v>
      </c>
      <c r="G25" s="3932">
        <v>18</v>
      </c>
      <c r="H25" s="3927">
        <f t="shared" si="3"/>
        <v>4921775.9600690156</v>
      </c>
      <c r="I25" s="3927">
        <f t="shared" si="3"/>
        <v>4097141.77</v>
      </c>
      <c r="J25" s="3927">
        <f t="shared" si="3"/>
        <v>824634.19006901584</v>
      </c>
      <c r="K25" s="3932">
        <f>ФОП!G44</f>
        <v>20.5</v>
      </c>
      <c r="L25" s="3927">
        <f>L7+L11+L15+L19+L23</f>
        <v>7270807.2171989996</v>
      </c>
      <c r="M25" s="3927">
        <f>ФОП!H44</f>
        <v>5991834.8819999993</v>
      </c>
      <c r="N25" s="3927">
        <f>ФОП!H46</f>
        <v>1278972.3351989998</v>
      </c>
      <c r="P25" s="3936">
        <f>E25/12/C25</f>
        <v>17649.124705882357</v>
      </c>
      <c r="Q25" s="10">
        <f>I25/12/G25</f>
        <v>18968.248935185184</v>
      </c>
      <c r="R25" s="10">
        <f>M25/12/K25</f>
        <v>24357.052365853655</v>
      </c>
    </row>
    <row r="26" spans="1:18" ht="27.6" x14ac:dyDescent="0.3">
      <c r="A26" s="24">
        <v>7</v>
      </c>
      <c r="B26" s="3593" t="s">
        <v>1003</v>
      </c>
      <c r="C26" s="3926">
        <v>14</v>
      </c>
      <c r="D26" s="3927">
        <f>D8+D12+D16+D20+D24</f>
        <v>5949652.4000000004</v>
      </c>
      <c r="E26" s="3927">
        <f t="shared" si="3"/>
        <v>4883802.33</v>
      </c>
      <c r="F26" s="3927">
        <f t="shared" si="3"/>
        <v>1065850.07</v>
      </c>
      <c r="G26" s="3932">
        <v>16</v>
      </c>
      <c r="H26" s="3927">
        <f t="shared" si="3"/>
        <v>7266233.1777320001</v>
      </c>
      <c r="I26" s="3927">
        <f t="shared" si="3"/>
        <v>6082895.2000000002</v>
      </c>
      <c r="J26" s="3927">
        <f t="shared" si="3"/>
        <v>1183337.9777319999</v>
      </c>
      <c r="K26" s="3932">
        <f>ФОП!G49</f>
        <v>15</v>
      </c>
      <c r="L26" s="3927">
        <f>L8+L12+L16+L20+L24</f>
        <v>8709561.8333142456</v>
      </c>
      <c r="M26" s="3927">
        <f>ФОП!H49</f>
        <v>7138985.109273972</v>
      </c>
      <c r="N26" s="3927">
        <f>ФОП!H51</f>
        <v>1570576.724040274</v>
      </c>
      <c r="P26" s="3936">
        <f>E26/12/C26</f>
        <v>29070.251964285715</v>
      </c>
      <c r="Q26" s="10">
        <f>I26/12/G26</f>
        <v>31681.745833333334</v>
      </c>
      <c r="R26" s="10">
        <f>M26/12/K26</f>
        <v>39661.028384855395</v>
      </c>
    </row>
    <row r="27" spans="1:18" s="15" customFormat="1" x14ac:dyDescent="0.3">
      <c r="A27" s="1238"/>
      <c r="B27" s="1238" t="s">
        <v>3561</v>
      </c>
      <c r="C27" s="2633">
        <f>C6+C10+C14+C18+C22</f>
        <v>117</v>
      </c>
      <c r="D27" s="3933">
        <f>D5+D9+D13+D17+D21</f>
        <v>34271854.949999996</v>
      </c>
      <c r="E27" s="3933">
        <f>E5+E9+E13+E17+E21</f>
        <v>28215120</v>
      </c>
      <c r="F27" s="3933">
        <f>F5+F9+F13+F17+F21</f>
        <v>6056734.9500000011</v>
      </c>
      <c r="G27" s="2633">
        <f>G6+G10+G14+G18+G22</f>
        <v>123</v>
      </c>
      <c r="H27" s="3933">
        <f>H5+H9+H13+H17+H21</f>
        <v>38024680.357801013</v>
      </c>
      <c r="I27" s="3933">
        <f>I5+I9+I13+I17+I21</f>
        <v>31423126</v>
      </c>
      <c r="J27" s="3933">
        <f>J5+J9+J13+J17+J21</f>
        <v>6601554.3578010164</v>
      </c>
      <c r="K27" s="3934">
        <f>K6+K10+K14+K18+K22</f>
        <v>150.29041095890412</v>
      </c>
      <c r="L27" s="3933">
        <f>L5+L9+L13+L17+L21</f>
        <v>53042574.124214068</v>
      </c>
      <c r="M27" s="3933">
        <f>M5+M9+M13+M17+M21</f>
        <v>43637650.593634441</v>
      </c>
      <c r="N27" s="3933">
        <f>N5+N9+N13+N17+N21</f>
        <v>9404923.5305796377</v>
      </c>
      <c r="P27" s="1466">
        <f>E27/12/C27</f>
        <v>20096.239316239316</v>
      </c>
      <c r="Q27" s="15">
        <f>I27/12/G27</f>
        <v>21289.380758807591</v>
      </c>
      <c r="R27" s="15">
        <f>M27/12/K27</f>
        <v>24196.293426845696</v>
      </c>
    </row>
    <row r="28" spans="1:18" s="1205" customFormat="1" ht="13.8" x14ac:dyDescent="0.25">
      <c r="B28" s="1205" t="s">
        <v>3721</v>
      </c>
      <c r="C28" s="3909"/>
      <c r="E28" s="3910">
        <v>28215120</v>
      </c>
      <c r="F28" s="3910"/>
      <c r="G28" s="3909"/>
      <c r="H28" s="3910"/>
      <c r="I28" s="3910">
        <v>31423126</v>
      </c>
      <c r="J28" s="3910"/>
    </row>
    <row r="29" spans="1:18" ht="15.6" x14ac:dyDescent="0.3">
      <c r="B29" s="3911" t="s">
        <v>2372</v>
      </c>
      <c r="E29" s="3912">
        <f>E27-E28</f>
        <v>0</v>
      </c>
      <c r="I29" s="3912">
        <f>I27-I28</f>
        <v>0</v>
      </c>
      <c r="K29" s="3923">
        <f>ФОП!G54</f>
        <v>150.29041095890412</v>
      </c>
      <c r="L29" s="3922">
        <f>M29+N29</f>
        <v>53042574.124214083</v>
      </c>
      <c r="M29" s="3922">
        <f>ФОП!H54</f>
        <v>43637650.593634441</v>
      </c>
      <c r="N29" s="3922">
        <f>ФОП!H56</f>
        <v>9404923.5305796377</v>
      </c>
    </row>
    <row r="30" spans="1:18" x14ac:dyDescent="0.3">
      <c r="B30" s="3913" t="s">
        <v>1002</v>
      </c>
      <c r="E30" s="1679">
        <v>3826055.75</v>
      </c>
      <c r="F30" s="1679">
        <v>791431.32</v>
      </c>
      <c r="I30" s="1679">
        <f>I7+I11+I15+I19</f>
        <v>4097141.77</v>
      </c>
      <c r="J30" s="1679">
        <f>J7+J11+J15+J19</f>
        <v>824634.19006901584</v>
      </c>
      <c r="M30" s="3922">
        <f>M25-M7-M11-M15-M19</f>
        <v>0</v>
      </c>
      <c r="N30" s="3922">
        <f>N25-N7-N11-N15-N19</f>
        <v>0</v>
      </c>
    </row>
    <row r="31" spans="1:18" ht="27.6" x14ac:dyDescent="0.3">
      <c r="B31" s="3913" t="s">
        <v>1003</v>
      </c>
      <c r="E31" s="1679">
        <v>5098054.82</v>
      </c>
      <c r="F31" s="1679">
        <v>1112985.6200000001</v>
      </c>
      <c r="I31" s="1679">
        <f>I8+I12+I16+I20</f>
        <v>6082895.2000000002</v>
      </c>
      <c r="J31" s="1679">
        <f>J8+J12+J16+J20</f>
        <v>1183337.9777319999</v>
      </c>
      <c r="M31" s="3922">
        <f>M26-M8-M12-M16-M20</f>
        <v>1.280568540096283E-9</v>
      </c>
      <c r="N31" s="3922">
        <f>N26-N8-N12-N16-N20</f>
        <v>0</v>
      </c>
    </row>
    <row r="33" spans="4:13" x14ac:dyDescent="0.3">
      <c r="D33" s="1679"/>
      <c r="E33" s="1679">
        <f>E25-E30</f>
        <v>-225634.30999999959</v>
      </c>
      <c r="H33" s="1679"/>
      <c r="I33" s="1679"/>
      <c r="J33" s="1679"/>
    </row>
    <row r="34" spans="4:13" x14ac:dyDescent="0.3">
      <c r="E34" s="1679">
        <f>E26-E31</f>
        <v>-214252.49000000022</v>
      </c>
      <c r="H34" s="1679"/>
      <c r="I34" s="1679"/>
      <c r="J34" s="1679"/>
      <c r="K34" s="1679"/>
    </row>
    <row r="35" spans="4:13" x14ac:dyDescent="0.3">
      <c r="E35" s="1679"/>
      <c r="G35">
        <v>235</v>
      </c>
      <c r="H35" s="3914">
        <v>471</v>
      </c>
      <c r="I35" s="1679" t="s">
        <v>3722</v>
      </c>
      <c r="J35" s="1679" t="s">
        <v>3723</v>
      </c>
      <c r="K35" s="1679"/>
    </row>
    <row r="36" spans="4:13" x14ac:dyDescent="0.3">
      <c r="D36" s="1679"/>
      <c r="E36" s="3915">
        <v>2311</v>
      </c>
      <c r="F36" s="3916">
        <v>6862847.04</v>
      </c>
      <c r="G36" s="3916">
        <v>4693.49</v>
      </c>
      <c r="H36" s="3917">
        <v>625932.22</v>
      </c>
      <c r="I36" s="3917">
        <v>467293.42</v>
      </c>
      <c r="J36" s="3917">
        <v>102804.54</v>
      </c>
      <c r="K36" s="3918">
        <v>45356.849999999977</v>
      </c>
      <c r="L36" s="1679">
        <f>F36+G36+K36</f>
        <v>6912897.3799999999</v>
      </c>
      <c r="M36" s="1679">
        <f>L36-E6</f>
        <v>-421936.5700000003</v>
      </c>
    </row>
    <row r="37" spans="4:13" x14ac:dyDescent="0.3">
      <c r="E37" s="3919">
        <v>2312</v>
      </c>
      <c r="F37" s="3916">
        <v>8025599.8899999997</v>
      </c>
      <c r="G37" s="3916">
        <v>15713.11</v>
      </c>
      <c r="H37" s="3917">
        <v>661056.61</v>
      </c>
      <c r="I37" s="3917">
        <v>496048.69</v>
      </c>
      <c r="J37" s="3917">
        <v>105047.02</v>
      </c>
      <c r="K37" s="3918">
        <v>53803.610000000044</v>
      </c>
      <c r="L37" s="1679">
        <f>F37+G37+K37</f>
        <v>8095116.6100000003</v>
      </c>
    </row>
    <row r="38" spans="4:13" x14ac:dyDescent="0.3">
      <c r="E38" s="3919">
        <v>2313</v>
      </c>
      <c r="F38" s="3916">
        <v>547590.98</v>
      </c>
      <c r="H38" s="3917">
        <v>57506.58</v>
      </c>
      <c r="I38" s="3917">
        <v>31316.17</v>
      </c>
      <c r="J38">
        <v>6889.5599999999995</v>
      </c>
      <c r="K38" s="3918">
        <v>15820.370000000003</v>
      </c>
      <c r="L38" s="1679">
        <f>F38+G38+K38</f>
        <v>563411.35</v>
      </c>
    </row>
    <row r="39" spans="4:13" x14ac:dyDescent="0.3">
      <c r="E39" s="3915">
        <v>2314</v>
      </c>
      <c r="F39" s="3916"/>
      <c r="I39" s="1679">
        <v>173767.71</v>
      </c>
      <c r="J39">
        <v>34624.1</v>
      </c>
      <c r="K39" s="3918">
        <v>29084.170000000013</v>
      </c>
      <c r="L39" s="1679">
        <f>F39+G39+K39+F40+F41</f>
        <v>2517815.0099999998</v>
      </c>
    </row>
    <row r="40" spans="4:13" x14ac:dyDescent="0.3">
      <c r="E40" s="3919">
        <v>2315</v>
      </c>
      <c r="F40" s="3916">
        <v>1651145.62</v>
      </c>
      <c r="H40" s="3917">
        <v>150305.13</v>
      </c>
      <c r="I40" s="3917"/>
    </row>
    <row r="41" spans="4:13" x14ac:dyDescent="0.3">
      <c r="E41" s="3919">
        <v>2316</v>
      </c>
      <c r="F41" s="3916">
        <v>837585.22</v>
      </c>
      <c r="H41" s="3917">
        <v>92304.87</v>
      </c>
      <c r="I41" s="3917"/>
    </row>
    <row r="42" spans="4:13" x14ac:dyDescent="0.3">
      <c r="E42" s="3920">
        <v>911</v>
      </c>
      <c r="F42" s="3916">
        <v>2174512.08</v>
      </c>
      <c r="H42" s="3917">
        <v>233521.02</v>
      </c>
    </row>
    <row r="43" spans="4:13" x14ac:dyDescent="0.3">
      <c r="E43" s="3920">
        <v>912</v>
      </c>
      <c r="F43" s="3916">
        <v>804727.41</v>
      </c>
      <c r="H43" s="3917">
        <v>80383.62</v>
      </c>
    </row>
    <row r="44" spans="4:13" x14ac:dyDescent="0.3">
      <c r="E44" s="3920">
        <v>913</v>
      </c>
      <c r="F44" s="3916">
        <v>32583.71</v>
      </c>
      <c r="H44" s="3917">
        <v>3115.05</v>
      </c>
    </row>
    <row r="45" spans="4:13" x14ac:dyDescent="0.3">
      <c r="E45" s="3920">
        <v>915</v>
      </c>
      <c r="F45" s="3916">
        <v>347972.16</v>
      </c>
      <c r="H45" s="3917">
        <v>36645.129999999997</v>
      </c>
    </row>
    <row r="46" spans="4:13" x14ac:dyDescent="0.3">
      <c r="E46" s="3920">
        <v>916</v>
      </c>
      <c r="F46" s="3916">
        <v>158542.56</v>
      </c>
      <c r="H46" s="3917">
        <v>15093.24</v>
      </c>
    </row>
    <row r="47" spans="4:13" x14ac:dyDescent="0.3">
      <c r="E47" s="3921">
        <v>921</v>
      </c>
      <c r="F47" s="3916">
        <v>2962527.42</v>
      </c>
      <c r="H47" s="3917">
        <v>392249.82</v>
      </c>
    </row>
    <row r="48" spans="4:13" x14ac:dyDescent="0.3">
      <c r="E48" s="3921">
        <v>922</v>
      </c>
      <c r="F48" s="3916">
        <v>1098765.07</v>
      </c>
      <c r="H48" s="3917">
        <v>126243.73</v>
      </c>
    </row>
    <row r="49" spans="3:8" x14ac:dyDescent="0.3">
      <c r="E49" s="3921">
        <v>923</v>
      </c>
      <c r="F49" s="3916">
        <v>44386.23</v>
      </c>
      <c r="H49" s="3917">
        <v>4765.38</v>
      </c>
    </row>
    <row r="50" spans="3:8" x14ac:dyDescent="0.3">
      <c r="E50" s="3921">
        <v>925</v>
      </c>
      <c r="F50" s="3916">
        <v>479264.96</v>
      </c>
      <c r="H50" s="3917">
        <v>64149.120000000003</v>
      </c>
    </row>
    <row r="51" spans="3:8" x14ac:dyDescent="0.3">
      <c r="E51" s="3921">
        <v>926</v>
      </c>
      <c r="F51" s="3916">
        <v>208332.09</v>
      </c>
      <c r="H51" s="3917">
        <v>20332.27</v>
      </c>
    </row>
    <row r="52" spans="3:8" x14ac:dyDescent="0.3">
      <c r="C52">
        <v>901</v>
      </c>
      <c r="D52" s="3917">
        <v>11727.36</v>
      </c>
      <c r="E52" s="3921">
        <v>901</v>
      </c>
      <c r="F52" s="3916">
        <v>11727.36</v>
      </c>
    </row>
  </sheetData>
  <mergeCells count="11">
    <mergeCell ref="A1:J1"/>
    <mergeCell ref="A3:A4"/>
    <mergeCell ref="B3:B4"/>
    <mergeCell ref="C3:E3"/>
    <mergeCell ref="A5:A8"/>
    <mergeCell ref="G3:J3"/>
    <mergeCell ref="K3:N3"/>
    <mergeCell ref="A9:A12"/>
    <mergeCell ref="A13:A16"/>
    <mergeCell ref="A17:A20"/>
    <mergeCell ref="A21:A24"/>
  </mergeCells>
  <pageMargins left="0.19685039370078741" right="0.15748031496062992" top="0.55118110236220474" bottom="0.19685039370078741" header="0.59055118110236227" footer="0.15748031496062992"/>
  <pageSetup paperSize="9" scale="84" orientation="landscape" horizontalDpi="0" verticalDpi="0" r:id="rId1"/>
</worksheet>
</file>

<file path=xl/worksheets/sheet7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600-000000000000}">
  <sheetPr codeName="Лист68">
    <tabColor rgb="FF92D050"/>
    <pageSetUpPr fitToPage="1"/>
  </sheetPr>
  <dimension ref="A1:T46"/>
  <sheetViews>
    <sheetView topLeftCell="A6" zoomScaleNormal="100" workbookViewId="0">
      <selection activeCell="G10" sqref="G10:G11"/>
    </sheetView>
  </sheetViews>
  <sheetFormatPr defaultColWidth="9.109375" defaultRowHeight="12" x14ac:dyDescent="0.3"/>
  <cols>
    <col min="1" max="1" width="27.33203125" style="370" customWidth="1"/>
    <col min="2" max="2" width="12.88671875" style="3994" customWidth="1"/>
    <col min="3" max="3" width="13.109375" style="3994" customWidth="1"/>
    <col min="4" max="4" width="12.6640625" style="3995" hidden="1" customWidth="1"/>
    <col min="5" max="5" width="14.44140625" style="370" hidden="1" customWidth="1"/>
    <col min="6" max="6" width="15.33203125" style="370" customWidth="1"/>
    <col min="7" max="7" width="13" style="370" customWidth="1"/>
    <col min="8" max="8" width="12.44140625" style="367" customWidth="1"/>
    <col min="9" max="18" width="11" style="367" bestFit="1" customWidth="1"/>
    <col min="19" max="19" width="10.88671875" style="367" customWidth="1"/>
    <col min="20" max="20" width="14.6640625" style="367" customWidth="1"/>
    <col min="21" max="21" width="10" style="370" bestFit="1" customWidth="1"/>
    <col min="22" max="259" width="9.109375" style="370"/>
    <col min="260" max="260" width="23.5546875" style="370" customWidth="1"/>
    <col min="261" max="261" width="14.33203125" style="370" customWidth="1"/>
    <col min="262" max="273" width="11.33203125" style="370" customWidth="1"/>
    <col min="274" max="274" width="10.109375" style="370" customWidth="1"/>
    <col min="275" max="515" width="9.109375" style="370"/>
    <col min="516" max="516" width="23.5546875" style="370" customWidth="1"/>
    <col min="517" max="517" width="14.33203125" style="370" customWidth="1"/>
    <col min="518" max="529" width="11.33203125" style="370" customWidth="1"/>
    <col min="530" max="530" width="10.109375" style="370" customWidth="1"/>
    <col min="531" max="771" width="9.109375" style="370"/>
    <col min="772" max="772" width="23.5546875" style="370" customWidth="1"/>
    <col min="773" max="773" width="14.33203125" style="370" customWidth="1"/>
    <col min="774" max="785" width="11.33203125" style="370" customWidth="1"/>
    <col min="786" max="786" width="10.109375" style="370" customWidth="1"/>
    <col min="787" max="1027" width="9.109375" style="370"/>
    <col min="1028" max="1028" width="23.5546875" style="370" customWidth="1"/>
    <col min="1029" max="1029" width="14.33203125" style="370" customWidth="1"/>
    <col min="1030" max="1041" width="11.33203125" style="370" customWidth="1"/>
    <col min="1042" max="1042" width="10.109375" style="370" customWidth="1"/>
    <col min="1043" max="1283" width="9.109375" style="370"/>
    <col min="1284" max="1284" width="23.5546875" style="370" customWidth="1"/>
    <col min="1285" max="1285" width="14.33203125" style="370" customWidth="1"/>
    <col min="1286" max="1297" width="11.33203125" style="370" customWidth="1"/>
    <col min="1298" max="1298" width="10.109375" style="370" customWidth="1"/>
    <col min="1299" max="1539" width="9.109375" style="370"/>
    <col min="1540" max="1540" width="23.5546875" style="370" customWidth="1"/>
    <col min="1541" max="1541" width="14.33203125" style="370" customWidth="1"/>
    <col min="1542" max="1553" width="11.33203125" style="370" customWidth="1"/>
    <col min="1554" max="1554" width="10.109375" style="370" customWidth="1"/>
    <col min="1555" max="1795" width="9.109375" style="370"/>
    <col min="1796" max="1796" width="23.5546875" style="370" customWidth="1"/>
    <col min="1797" max="1797" width="14.33203125" style="370" customWidth="1"/>
    <col min="1798" max="1809" width="11.33203125" style="370" customWidth="1"/>
    <col min="1810" max="1810" width="10.109375" style="370" customWidth="1"/>
    <col min="1811" max="2051" width="9.109375" style="370"/>
    <col min="2052" max="2052" width="23.5546875" style="370" customWidth="1"/>
    <col min="2053" max="2053" width="14.33203125" style="370" customWidth="1"/>
    <col min="2054" max="2065" width="11.33203125" style="370" customWidth="1"/>
    <col min="2066" max="2066" width="10.109375" style="370" customWidth="1"/>
    <col min="2067" max="2307" width="9.109375" style="370"/>
    <col min="2308" max="2308" width="23.5546875" style="370" customWidth="1"/>
    <col min="2309" max="2309" width="14.33203125" style="370" customWidth="1"/>
    <col min="2310" max="2321" width="11.33203125" style="370" customWidth="1"/>
    <col min="2322" max="2322" width="10.109375" style="370" customWidth="1"/>
    <col min="2323" max="2563" width="9.109375" style="370"/>
    <col min="2564" max="2564" width="23.5546875" style="370" customWidth="1"/>
    <col min="2565" max="2565" width="14.33203125" style="370" customWidth="1"/>
    <col min="2566" max="2577" width="11.33203125" style="370" customWidth="1"/>
    <col min="2578" max="2578" width="10.109375" style="370" customWidth="1"/>
    <col min="2579" max="2819" width="9.109375" style="370"/>
    <col min="2820" max="2820" width="23.5546875" style="370" customWidth="1"/>
    <col min="2821" max="2821" width="14.33203125" style="370" customWidth="1"/>
    <col min="2822" max="2833" width="11.33203125" style="370" customWidth="1"/>
    <col min="2834" max="2834" width="10.109375" style="370" customWidth="1"/>
    <col min="2835" max="3075" width="9.109375" style="370"/>
    <col min="3076" max="3076" width="23.5546875" style="370" customWidth="1"/>
    <col min="3077" max="3077" width="14.33203125" style="370" customWidth="1"/>
    <col min="3078" max="3089" width="11.33203125" style="370" customWidth="1"/>
    <col min="3090" max="3090" width="10.109375" style="370" customWidth="1"/>
    <col min="3091" max="3331" width="9.109375" style="370"/>
    <col min="3332" max="3332" width="23.5546875" style="370" customWidth="1"/>
    <col min="3333" max="3333" width="14.33203125" style="370" customWidth="1"/>
    <col min="3334" max="3345" width="11.33203125" style="370" customWidth="1"/>
    <col min="3346" max="3346" width="10.109375" style="370" customWidth="1"/>
    <col min="3347" max="3587" width="9.109375" style="370"/>
    <col min="3588" max="3588" width="23.5546875" style="370" customWidth="1"/>
    <col min="3589" max="3589" width="14.33203125" style="370" customWidth="1"/>
    <col min="3590" max="3601" width="11.33203125" style="370" customWidth="1"/>
    <col min="3602" max="3602" width="10.109375" style="370" customWidth="1"/>
    <col min="3603" max="3843" width="9.109375" style="370"/>
    <col min="3844" max="3844" width="23.5546875" style="370" customWidth="1"/>
    <col min="3845" max="3845" width="14.33203125" style="370" customWidth="1"/>
    <col min="3846" max="3857" width="11.33203125" style="370" customWidth="1"/>
    <col min="3858" max="3858" width="10.109375" style="370" customWidth="1"/>
    <col min="3859" max="4099" width="9.109375" style="370"/>
    <col min="4100" max="4100" width="23.5546875" style="370" customWidth="1"/>
    <col min="4101" max="4101" width="14.33203125" style="370" customWidth="1"/>
    <col min="4102" max="4113" width="11.33203125" style="370" customWidth="1"/>
    <col min="4114" max="4114" width="10.109375" style="370" customWidth="1"/>
    <col min="4115" max="4355" width="9.109375" style="370"/>
    <col min="4356" max="4356" width="23.5546875" style="370" customWidth="1"/>
    <col min="4357" max="4357" width="14.33203125" style="370" customWidth="1"/>
    <col min="4358" max="4369" width="11.33203125" style="370" customWidth="1"/>
    <col min="4370" max="4370" width="10.109375" style="370" customWidth="1"/>
    <col min="4371" max="4611" width="9.109375" style="370"/>
    <col min="4612" max="4612" width="23.5546875" style="370" customWidth="1"/>
    <col min="4613" max="4613" width="14.33203125" style="370" customWidth="1"/>
    <col min="4614" max="4625" width="11.33203125" style="370" customWidth="1"/>
    <col min="4626" max="4626" width="10.109375" style="370" customWidth="1"/>
    <col min="4627" max="4867" width="9.109375" style="370"/>
    <col min="4868" max="4868" width="23.5546875" style="370" customWidth="1"/>
    <col min="4869" max="4869" width="14.33203125" style="370" customWidth="1"/>
    <col min="4870" max="4881" width="11.33203125" style="370" customWidth="1"/>
    <col min="4882" max="4882" width="10.109375" style="370" customWidth="1"/>
    <col min="4883" max="5123" width="9.109375" style="370"/>
    <col min="5124" max="5124" width="23.5546875" style="370" customWidth="1"/>
    <col min="5125" max="5125" width="14.33203125" style="370" customWidth="1"/>
    <col min="5126" max="5137" width="11.33203125" style="370" customWidth="1"/>
    <col min="5138" max="5138" width="10.109375" style="370" customWidth="1"/>
    <col min="5139" max="5379" width="9.109375" style="370"/>
    <col min="5380" max="5380" width="23.5546875" style="370" customWidth="1"/>
    <col min="5381" max="5381" width="14.33203125" style="370" customWidth="1"/>
    <col min="5382" max="5393" width="11.33203125" style="370" customWidth="1"/>
    <col min="5394" max="5394" width="10.109375" style="370" customWidth="1"/>
    <col min="5395" max="5635" width="9.109375" style="370"/>
    <col min="5636" max="5636" width="23.5546875" style="370" customWidth="1"/>
    <col min="5637" max="5637" width="14.33203125" style="370" customWidth="1"/>
    <col min="5638" max="5649" width="11.33203125" style="370" customWidth="1"/>
    <col min="5650" max="5650" width="10.109375" style="370" customWidth="1"/>
    <col min="5651" max="5891" width="9.109375" style="370"/>
    <col min="5892" max="5892" width="23.5546875" style="370" customWidth="1"/>
    <col min="5893" max="5893" width="14.33203125" style="370" customWidth="1"/>
    <col min="5894" max="5905" width="11.33203125" style="370" customWidth="1"/>
    <col min="5906" max="5906" width="10.109375" style="370" customWidth="1"/>
    <col min="5907" max="6147" width="9.109375" style="370"/>
    <col min="6148" max="6148" width="23.5546875" style="370" customWidth="1"/>
    <col min="6149" max="6149" width="14.33203125" style="370" customWidth="1"/>
    <col min="6150" max="6161" width="11.33203125" style="370" customWidth="1"/>
    <col min="6162" max="6162" width="10.109375" style="370" customWidth="1"/>
    <col min="6163" max="6403" width="9.109375" style="370"/>
    <col min="6404" max="6404" width="23.5546875" style="370" customWidth="1"/>
    <col min="6405" max="6405" width="14.33203125" style="370" customWidth="1"/>
    <col min="6406" max="6417" width="11.33203125" style="370" customWidth="1"/>
    <col min="6418" max="6418" width="10.109375" style="370" customWidth="1"/>
    <col min="6419" max="6659" width="9.109375" style="370"/>
    <col min="6660" max="6660" width="23.5546875" style="370" customWidth="1"/>
    <col min="6661" max="6661" width="14.33203125" style="370" customWidth="1"/>
    <col min="6662" max="6673" width="11.33203125" style="370" customWidth="1"/>
    <col min="6674" max="6674" width="10.109375" style="370" customWidth="1"/>
    <col min="6675" max="6915" width="9.109375" style="370"/>
    <col min="6916" max="6916" width="23.5546875" style="370" customWidth="1"/>
    <col min="6917" max="6917" width="14.33203125" style="370" customWidth="1"/>
    <col min="6918" max="6929" width="11.33203125" style="370" customWidth="1"/>
    <col min="6930" max="6930" width="10.109375" style="370" customWidth="1"/>
    <col min="6931" max="7171" width="9.109375" style="370"/>
    <col min="7172" max="7172" width="23.5546875" style="370" customWidth="1"/>
    <col min="7173" max="7173" width="14.33203125" style="370" customWidth="1"/>
    <col min="7174" max="7185" width="11.33203125" style="370" customWidth="1"/>
    <col min="7186" max="7186" width="10.109375" style="370" customWidth="1"/>
    <col min="7187" max="7427" width="9.109375" style="370"/>
    <col min="7428" max="7428" width="23.5546875" style="370" customWidth="1"/>
    <col min="7429" max="7429" width="14.33203125" style="370" customWidth="1"/>
    <col min="7430" max="7441" width="11.33203125" style="370" customWidth="1"/>
    <col min="7442" max="7442" width="10.109375" style="370" customWidth="1"/>
    <col min="7443" max="7683" width="9.109375" style="370"/>
    <col min="7684" max="7684" width="23.5546875" style="370" customWidth="1"/>
    <col min="7685" max="7685" width="14.33203125" style="370" customWidth="1"/>
    <col min="7686" max="7697" width="11.33203125" style="370" customWidth="1"/>
    <col min="7698" max="7698" width="10.109375" style="370" customWidth="1"/>
    <col min="7699" max="7939" width="9.109375" style="370"/>
    <col min="7940" max="7940" width="23.5546875" style="370" customWidth="1"/>
    <col min="7941" max="7941" width="14.33203125" style="370" customWidth="1"/>
    <col min="7942" max="7953" width="11.33203125" style="370" customWidth="1"/>
    <col min="7954" max="7954" width="10.109375" style="370" customWidth="1"/>
    <col min="7955" max="8195" width="9.109375" style="370"/>
    <col min="8196" max="8196" width="23.5546875" style="370" customWidth="1"/>
    <col min="8197" max="8197" width="14.33203125" style="370" customWidth="1"/>
    <col min="8198" max="8209" width="11.33203125" style="370" customWidth="1"/>
    <col min="8210" max="8210" width="10.109375" style="370" customWidth="1"/>
    <col min="8211" max="8451" width="9.109375" style="370"/>
    <col min="8452" max="8452" width="23.5546875" style="370" customWidth="1"/>
    <col min="8453" max="8453" width="14.33203125" style="370" customWidth="1"/>
    <col min="8454" max="8465" width="11.33203125" style="370" customWidth="1"/>
    <col min="8466" max="8466" width="10.109375" style="370" customWidth="1"/>
    <col min="8467" max="8707" width="9.109375" style="370"/>
    <col min="8708" max="8708" width="23.5546875" style="370" customWidth="1"/>
    <col min="8709" max="8709" width="14.33203125" style="370" customWidth="1"/>
    <col min="8710" max="8721" width="11.33203125" style="370" customWidth="1"/>
    <col min="8722" max="8722" width="10.109375" style="370" customWidth="1"/>
    <col min="8723" max="8963" width="9.109375" style="370"/>
    <col min="8964" max="8964" width="23.5546875" style="370" customWidth="1"/>
    <col min="8965" max="8965" width="14.33203125" style="370" customWidth="1"/>
    <col min="8966" max="8977" width="11.33203125" style="370" customWidth="1"/>
    <col min="8978" max="8978" width="10.109375" style="370" customWidth="1"/>
    <col min="8979" max="9219" width="9.109375" style="370"/>
    <col min="9220" max="9220" width="23.5546875" style="370" customWidth="1"/>
    <col min="9221" max="9221" width="14.33203125" style="370" customWidth="1"/>
    <col min="9222" max="9233" width="11.33203125" style="370" customWidth="1"/>
    <col min="9234" max="9234" width="10.109375" style="370" customWidth="1"/>
    <col min="9235" max="9475" width="9.109375" style="370"/>
    <col min="9476" max="9476" width="23.5546875" style="370" customWidth="1"/>
    <col min="9477" max="9477" width="14.33203125" style="370" customWidth="1"/>
    <col min="9478" max="9489" width="11.33203125" style="370" customWidth="1"/>
    <col min="9490" max="9490" width="10.109375" style="370" customWidth="1"/>
    <col min="9491" max="9731" width="9.109375" style="370"/>
    <col min="9732" max="9732" width="23.5546875" style="370" customWidth="1"/>
    <col min="9733" max="9733" width="14.33203125" style="370" customWidth="1"/>
    <col min="9734" max="9745" width="11.33203125" style="370" customWidth="1"/>
    <col min="9746" max="9746" width="10.109375" style="370" customWidth="1"/>
    <col min="9747" max="9987" width="9.109375" style="370"/>
    <col min="9988" max="9988" width="23.5546875" style="370" customWidth="1"/>
    <col min="9989" max="9989" width="14.33203125" style="370" customWidth="1"/>
    <col min="9990" max="10001" width="11.33203125" style="370" customWidth="1"/>
    <col min="10002" max="10002" width="10.109375" style="370" customWidth="1"/>
    <col min="10003" max="10243" width="9.109375" style="370"/>
    <col min="10244" max="10244" width="23.5546875" style="370" customWidth="1"/>
    <col min="10245" max="10245" width="14.33203125" style="370" customWidth="1"/>
    <col min="10246" max="10257" width="11.33203125" style="370" customWidth="1"/>
    <col min="10258" max="10258" width="10.109375" style="370" customWidth="1"/>
    <col min="10259" max="10499" width="9.109375" style="370"/>
    <col min="10500" max="10500" width="23.5546875" style="370" customWidth="1"/>
    <col min="10501" max="10501" width="14.33203125" style="370" customWidth="1"/>
    <col min="10502" max="10513" width="11.33203125" style="370" customWidth="1"/>
    <col min="10514" max="10514" width="10.109375" style="370" customWidth="1"/>
    <col min="10515" max="10755" width="9.109375" style="370"/>
    <col min="10756" max="10756" width="23.5546875" style="370" customWidth="1"/>
    <col min="10757" max="10757" width="14.33203125" style="370" customWidth="1"/>
    <col min="10758" max="10769" width="11.33203125" style="370" customWidth="1"/>
    <col min="10770" max="10770" width="10.109375" style="370" customWidth="1"/>
    <col min="10771" max="11011" width="9.109375" style="370"/>
    <col min="11012" max="11012" width="23.5546875" style="370" customWidth="1"/>
    <col min="11013" max="11013" width="14.33203125" style="370" customWidth="1"/>
    <col min="11014" max="11025" width="11.33203125" style="370" customWidth="1"/>
    <col min="11026" max="11026" width="10.109375" style="370" customWidth="1"/>
    <col min="11027" max="11267" width="9.109375" style="370"/>
    <col min="11268" max="11268" width="23.5546875" style="370" customWidth="1"/>
    <col min="11269" max="11269" width="14.33203125" style="370" customWidth="1"/>
    <col min="11270" max="11281" width="11.33203125" style="370" customWidth="1"/>
    <col min="11282" max="11282" width="10.109375" style="370" customWidth="1"/>
    <col min="11283" max="11523" width="9.109375" style="370"/>
    <col min="11524" max="11524" width="23.5546875" style="370" customWidth="1"/>
    <col min="11525" max="11525" width="14.33203125" style="370" customWidth="1"/>
    <col min="11526" max="11537" width="11.33203125" style="370" customWidth="1"/>
    <col min="11538" max="11538" width="10.109375" style="370" customWidth="1"/>
    <col min="11539" max="11779" width="9.109375" style="370"/>
    <col min="11780" max="11780" width="23.5546875" style="370" customWidth="1"/>
    <col min="11781" max="11781" width="14.33203125" style="370" customWidth="1"/>
    <col min="11782" max="11793" width="11.33203125" style="370" customWidth="1"/>
    <col min="11794" max="11794" width="10.109375" style="370" customWidth="1"/>
    <col min="11795" max="12035" width="9.109375" style="370"/>
    <col min="12036" max="12036" width="23.5546875" style="370" customWidth="1"/>
    <col min="12037" max="12037" width="14.33203125" style="370" customWidth="1"/>
    <col min="12038" max="12049" width="11.33203125" style="370" customWidth="1"/>
    <col min="12050" max="12050" width="10.109375" style="370" customWidth="1"/>
    <col min="12051" max="12291" width="9.109375" style="370"/>
    <col min="12292" max="12292" width="23.5546875" style="370" customWidth="1"/>
    <col min="12293" max="12293" width="14.33203125" style="370" customWidth="1"/>
    <col min="12294" max="12305" width="11.33203125" style="370" customWidth="1"/>
    <col min="12306" max="12306" width="10.109375" style="370" customWidth="1"/>
    <col min="12307" max="12547" width="9.109375" style="370"/>
    <col min="12548" max="12548" width="23.5546875" style="370" customWidth="1"/>
    <col min="12549" max="12549" width="14.33203125" style="370" customWidth="1"/>
    <col min="12550" max="12561" width="11.33203125" style="370" customWidth="1"/>
    <col min="12562" max="12562" width="10.109375" style="370" customWidth="1"/>
    <col min="12563" max="12803" width="9.109375" style="370"/>
    <col min="12804" max="12804" width="23.5546875" style="370" customWidth="1"/>
    <col min="12805" max="12805" width="14.33203125" style="370" customWidth="1"/>
    <col min="12806" max="12817" width="11.33203125" style="370" customWidth="1"/>
    <col min="12818" max="12818" width="10.109375" style="370" customWidth="1"/>
    <col min="12819" max="13059" width="9.109375" style="370"/>
    <col min="13060" max="13060" width="23.5546875" style="370" customWidth="1"/>
    <col min="13061" max="13061" width="14.33203125" style="370" customWidth="1"/>
    <col min="13062" max="13073" width="11.33203125" style="370" customWidth="1"/>
    <col min="13074" max="13074" width="10.109375" style="370" customWidth="1"/>
    <col min="13075" max="13315" width="9.109375" style="370"/>
    <col min="13316" max="13316" width="23.5546875" style="370" customWidth="1"/>
    <col min="13317" max="13317" width="14.33203125" style="370" customWidth="1"/>
    <col min="13318" max="13329" width="11.33203125" style="370" customWidth="1"/>
    <col min="13330" max="13330" width="10.109375" style="370" customWidth="1"/>
    <col min="13331" max="13571" width="9.109375" style="370"/>
    <col min="13572" max="13572" width="23.5546875" style="370" customWidth="1"/>
    <col min="13573" max="13573" width="14.33203125" style="370" customWidth="1"/>
    <col min="13574" max="13585" width="11.33203125" style="370" customWidth="1"/>
    <col min="13586" max="13586" width="10.109375" style="370" customWidth="1"/>
    <col min="13587" max="13827" width="9.109375" style="370"/>
    <col min="13828" max="13828" width="23.5546875" style="370" customWidth="1"/>
    <col min="13829" max="13829" width="14.33203125" style="370" customWidth="1"/>
    <col min="13830" max="13841" width="11.33203125" style="370" customWidth="1"/>
    <col min="13842" max="13842" width="10.109375" style="370" customWidth="1"/>
    <col min="13843" max="14083" width="9.109375" style="370"/>
    <col min="14084" max="14084" width="23.5546875" style="370" customWidth="1"/>
    <col min="14085" max="14085" width="14.33203125" style="370" customWidth="1"/>
    <col min="14086" max="14097" width="11.33203125" style="370" customWidth="1"/>
    <col min="14098" max="14098" width="10.109375" style="370" customWidth="1"/>
    <col min="14099" max="14339" width="9.109375" style="370"/>
    <col min="14340" max="14340" width="23.5546875" style="370" customWidth="1"/>
    <col min="14341" max="14341" width="14.33203125" style="370" customWidth="1"/>
    <col min="14342" max="14353" width="11.33203125" style="370" customWidth="1"/>
    <col min="14354" max="14354" width="10.109375" style="370" customWidth="1"/>
    <col min="14355" max="14595" width="9.109375" style="370"/>
    <col min="14596" max="14596" width="23.5546875" style="370" customWidth="1"/>
    <col min="14597" max="14597" width="14.33203125" style="370" customWidth="1"/>
    <col min="14598" max="14609" width="11.33203125" style="370" customWidth="1"/>
    <col min="14610" max="14610" width="10.109375" style="370" customWidth="1"/>
    <col min="14611" max="14851" width="9.109375" style="370"/>
    <col min="14852" max="14852" width="23.5546875" style="370" customWidth="1"/>
    <col min="14853" max="14853" width="14.33203125" style="370" customWidth="1"/>
    <col min="14854" max="14865" width="11.33203125" style="370" customWidth="1"/>
    <col min="14866" max="14866" width="10.109375" style="370" customWidth="1"/>
    <col min="14867" max="15107" width="9.109375" style="370"/>
    <col min="15108" max="15108" width="23.5546875" style="370" customWidth="1"/>
    <col min="15109" max="15109" width="14.33203125" style="370" customWidth="1"/>
    <col min="15110" max="15121" width="11.33203125" style="370" customWidth="1"/>
    <col min="15122" max="15122" width="10.109375" style="370" customWidth="1"/>
    <col min="15123" max="15363" width="9.109375" style="370"/>
    <col min="15364" max="15364" width="23.5546875" style="370" customWidth="1"/>
    <col min="15365" max="15365" width="14.33203125" style="370" customWidth="1"/>
    <col min="15366" max="15377" width="11.33203125" style="370" customWidth="1"/>
    <col min="15378" max="15378" width="10.109375" style="370" customWidth="1"/>
    <col min="15379" max="15619" width="9.109375" style="370"/>
    <col min="15620" max="15620" width="23.5546875" style="370" customWidth="1"/>
    <col min="15621" max="15621" width="14.33203125" style="370" customWidth="1"/>
    <col min="15622" max="15633" width="11.33203125" style="370" customWidth="1"/>
    <col min="15634" max="15634" width="10.109375" style="370" customWidth="1"/>
    <col min="15635" max="15875" width="9.109375" style="370"/>
    <col min="15876" max="15876" width="23.5546875" style="370" customWidth="1"/>
    <col min="15877" max="15877" width="14.33203125" style="370" customWidth="1"/>
    <col min="15878" max="15889" width="11.33203125" style="370" customWidth="1"/>
    <col min="15890" max="15890" width="10.109375" style="370" customWidth="1"/>
    <col min="15891" max="16131" width="9.109375" style="370"/>
    <col min="16132" max="16132" width="23.5546875" style="370" customWidth="1"/>
    <col min="16133" max="16133" width="14.33203125" style="370" customWidth="1"/>
    <col min="16134" max="16145" width="11.33203125" style="370" customWidth="1"/>
    <col min="16146" max="16146" width="10.109375" style="370" customWidth="1"/>
    <col min="16147" max="16384" width="9.109375" style="370"/>
  </cols>
  <sheetData>
    <row r="1" spans="1:20" ht="15.6" x14ac:dyDescent="0.3">
      <c r="R1" s="5597" t="s">
        <v>1011</v>
      </c>
      <c r="S1" s="5597"/>
      <c r="T1" s="3996"/>
    </row>
    <row r="2" spans="1:20" x14ac:dyDescent="0.3">
      <c r="A2" s="4020"/>
    </row>
    <row r="3" spans="1:20" s="3997" customFormat="1" ht="15" customHeight="1" x14ac:dyDescent="0.3">
      <c r="B3" s="3998"/>
      <c r="C3" s="3998"/>
      <c r="D3" s="3999"/>
      <c r="E3" s="5598" t="s">
        <v>1010</v>
      </c>
      <c r="F3" s="5598"/>
      <c r="G3" s="5598"/>
      <c r="H3" s="5598"/>
      <c r="I3" s="5598"/>
      <c r="J3" s="5599" t="str">
        <f>'Вхідні дані'!F5&amp;" на плановий період "&amp;'Вхідні дані'!F6</f>
        <v>КП «КТЕ" на плановий період 2023-2024</v>
      </c>
      <c r="K3" s="5599"/>
      <c r="L3" s="5599"/>
      <c r="M3" s="5599"/>
      <c r="N3" s="5599" t="s">
        <v>661</v>
      </c>
      <c r="O3" s="5599"/>
      <c r="P3" s="5599"/>
      <c r="Q3" s="4000" t="str">
        <f>'Вхідні дані'!F6</f>
        <v>2023-2024</v>
      </c>
      <c r="R3" s="4000" t="s">
        <v>661</v>
      </c>
      <c r="S3" s="4001"/>
      <c r="T3" s="4001"/>
    </row>
    <row r="4" spans="1:20" s="3997" customFormat="1" ht="15" thickBot="1" x14ac:dyDescent="0.35">
      <c r="A4" s="4002"/>
      <c r="B4" s="4003"/>
      <c r="C4" s="4003"/>
      <c r="D4" s="4004"/>
      <c r="E4" s="4002"/>
      <c r="F4" s="4002"/>
      <c r="G4" s="4002"/>
      <c r="H4" s="4002"/>
      <c r="I4" s="4002"/>
      <c r="J4" s="4002"/>
      <c r="K4" s="4002"/>
      <c r="L4" s="4001"/>
      <c r="M4" s="4001"/>
      <c r="N4" s="4001"/>
      <c r="O4" s="4001"/>
      <c r="P4" s="4001"/>
      <c r="Q4" s="4001"/>
      <c r="R4" s="4001"/>
      <c r="S4" s="4001"/>
      <c r="T4" s="4005"/>
    </row>
    <row r="5" spans="1:20" s="3997" customFormat="1" ht="31.95" customHeight="1" thickBot="1" x14ac:dyDescent="0.35">
      <c r="A5" s="5600" t="s">
        <v>1015</v>
      </c>
      <c r="B5" s="3011" t="s">
        <v>932</v>
      </c>
      <c r="C5" s="3011" t="s">
        <v>932</v>
      </c>
      <c r="D5" s="5091" t="str">
        <f>"Тариф "&amp;'Вхідні дані'!$F$9</f>
        <v>Тариф Ріш. №296 від 25.10.2022</v>
      </c>
      <c r="E5" s="5093"/>
      <c r="F5" s="5608" t="s">
        <v>3797</v>
      </c>
      <c r="G5" s="5606" t="s">
        <v>3799</v>
      </c>
      <c r="H5" s="5602" t="s">
        <v>3798</v>
      </c>
      <c r="I5" s="5602"/>
      <c r="J5" s="5602"/>
      <c r="K5" s="5602"/>
      <c r="L5" s="5602"/>
      <c r="M5" s="5602"/>
      <c r="N5" s="5602"/>
      <c r="O5" s="5602"/>
      <c r="P5" s="5602"/>
      <c r="Q5" s="5602"/>
      <c r="R5" s="5602"/>
      <c r="S5" s="5603"/>
      <c r="T5" s="5605" t="s">
        <v>1012</v>
      </c>
    </row>
    <row r="6" spans="1:20" s="3997" customFormat="1" ht="79.2" customHeight="1" thickBot="1" x14ac:dyDescent="0.35">
      <c r="A6" s="5601"/>
      <c r="B6" s="3012">
        <f>'Вхідні дані'!$F$8</f>
        <v>2021</v>
      </c>
      <c r="C6" s="3012">
        <f>'Вхідні дані'!$F$7</f>
        <v>2022</v>
      </c>
      <c r="D6" s="3011" t="s">
        <v>3191</v>
      </c>
      <c r="E6" s="4006" t="s">
        <v>3800</v>
      </c>
      <c r="F6" s="5609"/>
      <c r="G6" s="5607"/>
      <c r="H6" s="4007">
        <v>45200</v>
      </c>
      <c r="I6" s="4007">
        <v>45231</v>
      </c>
      <c r="J6" s="4007">
        <v>45261</v>
      </c>
      <c r="K6" s="4007">
        <v>45292</v>
      </c>
      <c r="L6" s="4007">
        <v>45323</v>
      </c>
      <c r="M6" s="4007">
        <v>45352</v>
      </c>
      <c r="N6" s="4007">
        <v>45383</v>
      </c>
      <c r="O6" s="4007">
        <v>45413</v>
      </c>
      <c r="P6" s="4007">
        <v>45444</v>
      </c>
      <c r="Q6" s="4007">
        <v>45474</v>
      </c>
      <c r="R6" s="4007">
        <v>45505</v>
      </c>
      <c r="S6" s="4008">
        <v>44805</v>
      </c>
      <c r="T6" s="5605"/>
    </row>
    <row r="7" spans="1:20" s="4009" customFormat="1" ht="15.6" x14ac:dyDescent="0.3">
      <c r="A7" s="3993">
        <v>1</v>
      </c>
      <c r="B7" s="1504"/>
      <c r="C7" s="1504"/>
      <c r="D7" s="3582"/>
      <c r="E7" s="3993">
        <v>2</v>
      </c>
      <c r="F7" s="3993"/>
      <c r="G7" s="3993"/>
      <c r="H7" s="3993">
        <v>3</v>
      </c>
      <c r="I7" s="3993">
        <v>4</v>
      </c>
      <c r="J7" s="3993">
        <v>5</v>
      </c>
      <c r="K7" s="3993">
        <v>6</v>
      </c>
      <c r="L7" s="3993">
        <v>7</v>
      </c>
      <c r="M7" s="3993">
        <v>8</v>
      </c>
      <c r="N7" s="3993">
        <v>9</v>
      </c>
      <c r="O7" s="3993">
        <v>10</v>
      </c>
      <c r="P7" s="3993">
        <v>11</v>
      </c>
      <c r="Q7" s="3993">
        <v>12</v>
      </c>
      <c r="R7" s="3993">
        <v>13</v>
      </c>
      <c r="S7" s="3993">
        <v>14</v>
      </c>
      <c r="T7" s="881">
        <v>15</v>
      </c>
    </row>
    <row r="8" spans="1:20" s="4010" customFormat="1" ht="15.6" x14ac:dyDescent="0.3">
      <c r="A8" s="881" t="s">
        <v>962</v>
      </c>
      <c r="B8" s="1504">
        <f>B9+B13+B14+B15+B18+B24</f>
        <v>6948845.1900000013</v>
      </c>
      <c r="C8" s="1504">
        <f t="shared" ref="C8:S8" si="0">C9+C13+C14+C15+C18+C24+C17</f>
        <v>8797832.6499999985</v>
      </c>
      <c r="D8" s="1504">
        <f t="shared" si="0"/>
        <v>7450080.5999999996</v>
      </c>
      <c r="E8" s="1504">
        <f t="shared" si="0"/>
        <v>51738060.720000014</v>
      </c>
      <c r="F8" s="1504">
        <f t="shared" si="0"/>
        <v>47448358.81000001</v>
      </c>
      <c r="G8" s="1504">
        <f t="shared" si="0"/>
        <v>8011012.9599999953</v>
      </c>
      <c r="H8" s="1504">
        <f t="shared" si="0"/>
        <v>672954.66999999969</v>
      </c>
      <c r="I8" s="1504">
        <f t="shared" si="0"/>
        <v>672212.33999999962</v>
      </c>
      <c r="J8" s="1504">
        <f t="shared" si="0"/>
        <v>672211.35999999975</v>
      </c>
      <c r="K8" s="1504">
        <f t="shared" si="0"/>
        <v>669042.55999999959</v>
      </c>
      <c r="L8" s="1504">
        <f t="shared" si="0"/>
        <v>668366.37999999919</v>
      </c>
      <c r="M8" s="1504">
        <f t="shared" si="0"/>
        <v>665809.77999999956</v>
      </c>
      <c r="N8" s="1504">
        <f t="shared" si="0"/>
        <v>665424.19999999972</v>
      </c>
      <c r="O8" s="1504">
        <f t="shared" si="0"/>
        <v>665423.70999999961</v>
      </c>
      <c r="P8" s="1504">
        <f t="shared" si="0"/>
        <v>665246.48999999964</v>
      </c>
      <c r="Q8" s="1504">
        <f t="shared" si="0"/>
        <v>664935.9499999996</v>
      </c>
      <c r="R8" s="1504">
        <f t="shared" si="0"/>
        <v>664692.75999999966</v>
      </c>
      <c r="S8" s="1504">
        <f t="shared" si="0"/>
        <v>664692.75999999966</v>
      </c>
      <c r="T8" s="1504">
        <f>G8</f>
        <v>8011012.9599999953</v>
      </c>
    </row>
    <row r="9" spans="1:20" s="4010" customFormat="1" ht="15.6" x14ac:dyDescent="0.3">
      <c r="A9" s="3992" t="s">
        <v>3796</v>
      </c>
      <c r="B9" s="1504">
        <f>Виробництво_1ст!C33*1000+Виробництво_1ст!C34*1000</f>
        <v>2065882.02</v>
      </c>
      <c r="C9" s="1504">
        <f>Виробництво_1ст!D33*1000+Виробництво_1ст!D34*1000</f>
        <v>2301161.44</v>
      </c>
      <c r="D9" s="1504">
        <v>2166000.48</v>
      </c>
      <c r="E9" s="1504">
        <v>15930971.230000002</v>
      </c>
      <c r="F9" s="1504">
        <v>12606673.690000001</v>
      </c>
      <c r="G9" s="1504">
        <f>SUM(H9:S9)</f>
        <v>2122962.86</v>
      </c>
      <c r="H9" s="1504">
        <v>178719.05</v>
      </c>
      <c r="I9" s="1504">
        <v>178719.05</v>
      </c>
      <c r="J9" s="1504">
        <v>178719.05</v>
      </c>
      <c r="K9" s="1504">
        <v>178719.05</v>
      </c>
      <c r="L9" s="1504">
        <v>178247.57999999964</v>
      </c>
      <c r="M9" s="1504">
        <v>175691.31999999998</v>
      </c>
      <c r="N9" s="1504">
        <v>175691.30999999997</v>
      </c>
      <c r="O9" s="1504">
        <v>175691.28999999998</v>
      </c>
      <c r="P9" s="1504">
        <v>175691.28999999998</v>
      </c>
      <c r="Q9" s="1504">
        <v>175691.28999999998</v>
      </c>
      <c r="R9" s="1504">
        <v>175691.28999999998</v>
      </c>
      <c r="S9" s="1504">
        <v>175691.28999999998</v>
      </c>
      <c r="T9" s="1504">
        <f t="shared" ref="T9:T29" si="1">G9</f>
        <v>2122962.86</v>
      </c>
    </row>
    <row r="10" spans="1:20" ht="31.2" x14ac:dyDescent="0.3">
      <c r="A10" s="882" t="s">
        <v>3336</v>
      </c>
      <c r="B10" s="1503"/>
      <c r="C10" s="1503"/>
      <c r="D10" s="1503">
        <v>993947.52</v>
      </c>
      <c r="E10" s="1503">
        <v>5964232.8700000001</v>
      </c>
      <c r="F10" s="4011">
        <v>6528122</v>
      </c>
      <c r="G10" s="1504">
        <f t="shared" ref="G10:G29" si="2">SUM(H10:S10)</f>
        <v>1115760.2400000002</v>
      </c>
      <c r="H10" s="1503">
        <v>92980.020000000019</v>
      </c>
      <c r="I10" s="1503">
        <v>92980.020000000019</v>
      </c>
      <c r="J10" s="1503">
        <v>92980.020000000019</v>
      </c>
      <c r="K10" s="1503">
        <v>92980.020000000019</v>
      </c>
      <c r="L10" s="1503">
        <v>92980.020000000019</v>
      </c>
      <c r="M10" s="1503">
        <v>92980.020000000019</v>
      </c>
      <c r="N10" s="1503">
        <v>92980.020000000019</v>
      </c>
      <c r="O10" s="1503">
        <v>92980.020000000019</v>
      </c>
      <c r="P10" s="1503">
        <v>92980.020000000019</v>
      </c>
      <c r="Q10" s="1503">
        <v>92980.020000000019</v>
      </c>
      <c r="R10" s="1503">
        <v>92980.020000000019</v>
      </c>
      <c r="S10" s="1503">
        <v>92980.020000000019</v>
      </c>
      <c r="T10" s="1504">
        <f t="shared" si="1"/>
        <v>1115760.2400000002</v>
      </c>
    </row>
    <row r="11" spans="1:20" ht="30" customHeight="1" x14ac:dyDescent="0.3">
      <c r="A11" s="882" t="s">
        <v>3801</v>
      </c>
      <c r="B11" s="1503"/>
      <c r="C11" s="1503"/>
      <c r="D11" s="1503">
        <v>268019.40000000002</v>
      </c>
      <c r="E11" s="1503">
        <v>2969428.84</v>
      </c>
      <c r="F11" s="1503">
        <f>F13-F12-F10</f>
        <v>15413975.210000001</v>
      </c>
      <c r="G11" s="1503">
        <f t="shared" ref="G11:S11" si="3">G13-G12-G10</f>
        <v>2229439.1999999946</v>
      </c>
      <c r="H11" s="1503">
        <f t="shared" si="3"/>
        <v>185786.59999999963</v>
      </c>
      <c r="I11" s="1503">
        <f t="shared" si="3"/>
        <v>185786.59999999963</v>
      </c>
      <c r="J11" s="1503">
        <f t="shared" si="3"/>
        <v>185786.59999999963</v>
      </c>
      <c r="K11" s="1503">
        <f t="shared" si="3"/>
        <v>185786.59999999963</v>
      </c>
      <c r="L11" s="1503">
        <f t="shared" si="3"/>
        <v>185786.59999999963</v>
      </c>
      <c r="M11" s="1503">
        <f t="shared" si="3"/>
        <v>185786.59999999957</v>
      </c>
      <c r="N11" s="1503">
        <f t="shared" si="3"/>
        <v>185786.59999999957</v>
      </c>
      <c r="O11" s="1503">
        <f t="shared" si="3"/>
        <v>185786.59999999957</v>
      </c>
      <c r="P11" s="1503">
        <f t="shared" si="3"/>
        <v>185786.59999999957</v>
      </c>
      <c r="Q11" s="1503">
        <f t="shared" si="3"/>
        <v>185786.59999999957</v>
      </c>
      <c r="R11" s="1503">
        <f t="shared" si="3"/>
        <v>185786.59999999957</v>
      </c>
      <c r="S11" s="1503">
        <f t="shared" si="3"/>
        <v>185786.59999999957</v>
      </c>
      <c r="T11" s="1504">
        <f t="shared" si="1"/>
        <v>2229439.1999999946</v>
      </c>
    </row>
    <row r="12" spans="1:20" ht="30" customHeight="1" x14ac:dyDescent="0.3">
      <c r="A12" s="882" t="s">
        <v>3317</v>
      </c>
      <c r="B12" s="1503"/>
      <c r="C12" s="1503"/>
      <c r="D12" s="1503">
        <v>2899997.88</v>
      </c>
      <c r="E12" s="1503">
        <v>21870811.160000011</v>
      </c>
      <c r="F12" s="1503">
        <v>9283423.7200000007</v>
      </c>
      <c r="G12" s="1504">
        <f t="shared" si="2"/>
        <v>1547929.9999999998</v>
      </c>
      <c r="H12" s="1503">
        <v>129807.20999999999</v>
      </c>
      <c r="I12" s="1503">
        <v>129064.87999999996</v>
      </c>
      <c r="J12" s="1503">
        <v>129064.87999999996</v>
      </c>
      <c r="K12" s="1503">
        <v>129064.87999999996</v>
      </c>
      <c r="L12" s="1503">
        <v>128866.07999999996</v>
      </c>
      <c r="M12" s="1503">
        <v>128866.01</v>
      </c>
      <c r="N12" s="1503">
        <v>128866.01</v>
      </c>
      <c r="O12" s="1503">
        <v>128866.01</v>
      </c>
      <c r="P12" s="1503">
        <v>128866.01</v>
      </c>
      <c r="Q12" s="1503">
        <v>128866.01</v>
      </c>
      <c r="R12" s="1503">
        <v>128866.01</v>
      </c>
      <c r="S12" s="1503">
        <v>128866.01</v>
      </c>
      <c r="T12" s="1504">
        <f t="shared" si="1"/>
        <v>1547929.9999999998</v>
      </c>
    </row>
    <row r="13" spans="1:20" s="4010" customFormat="1" ht="31.2" x14ac:dyDescent="0.3">
      <c r="A13" s="3992" t="s">
        <v>3802</v>
      </c>
      <c r="B13" s="1504">
        <f>(Транспортування_1ст!C31+Транспортування_1ст!C32+Транспортування_1ст!C33)*1000</f>
        <v>4551586.3500000006</v>
      </c>
      <c r="C13" s="1504">
        <f>(Транспортування_1ст!D31+Транспортування_1ст!D32+Транспортування_1ст!D33)*1000</f>
        <v>5346549.9999999991</v>
      </c>
      <c r="D13" s="1504">
        <f>D10+D11+D12</f>
        <v>4161964.8</v>
      </c>
      <c r="E13" s="1504">
        <f>E10+E11+E12</f>
        <v>30804472.870000012</v>
      </c>
      <c r="F13" s="4012">
        <v>31225520.93</v>
      </c>
      <c r="G13" s="1504">
        <f t="shared" si="2"/>
        <v>4893129.4399999948</v>
      </c>
      <c r="H13" s="1504">
        <v>408573.82999999961</v>
      </c>
      <c r="I13" s="1504">
        <v>407831.49999999959</v>
      </c>
      <c r="J13" s="1504">
        <v>407831.49999999959</v>
      </c>
      <c r="K13" s="1504">
        <v>407831.49999999959</v>
      </c>
      <c r="L13" s="1504">
        <v>407632.6999999996</v>
      </c>
      <c r="M13" s="1504">
        <v>407632.6299999996</v>
      </c>
      <c r="N13" s="1504">
        <v>407632.6299999996</v>
      </c>
      <c r="O13" s="1504">
        <v>407632.6299999996</v>
      </c>
      <c r="P13" s="1504">
        <v>407632.6299999996</v>
      </c>
      <c r="Q13" s="1504">
        <v>407632.6299999996</v>
      </c>
      <c r="R13" s="1504">
        <v>407632.6299999996</v>
      </c>
      <c r="S13" s="1504">
        <v>407632.6299999996</v>
      </c>
      <c r="T13" s="1504">
        <f t="shared" si="1"/>
        <v>4893129.4399999948</v>
      </c>
    </row>
    <row r="14" spans="1:20" s="4010" customFormat="1" ht="15.6" x14ac:dyDescent="0.3">
      <c r="A14" s="3992" t="s">
        <v>1013</v>
      </c>
      <c r="B14" s="1504">
        <f>(Постачання_1ст!C25+Постачання_1ст!C26)*1000</f>
        <v>28322.400000000001</v>
      </c>
      <c r="C14" s="1504">
        <f>(Постачання_1ст!D25+Постачання_1ст!D26)*1000</f>
        <v>887729.99999999988</v>
      </c>
      <c r="D14" s="1504">
        <v>807411.60000000056</v>
      </c>
      <c r="E14" s="1504">
        <v>3303829.8099999959</v>
      </c>
      <c r="F14" s="1504">
        <v>2364076.3199999998</v>
      </c>
      <c r="G14" s="1504">
        <f t="shared" si="2"/>
        <v>843993.35000000068</v>
      </c>
      <c r="H14" s="1504">
        <v>72288.730000000127</v>
      </c>
      <c r="I14" s="1504">
        <v>72288.730000000127</v>
      </c>
      <c r="J14" s="1504">
        <v>72287.950000000143</v>
      </c>
      <c r="K14" s="1504">
        <v>69830.849999999948</v>
      </c>
      <c r="L14" s="1504">
        <v>69825.290000000037</v>
      </c>
      <c r="M14" s="1504">
        <v>69825.020000000033</v>
      </c>
      <c r="N14" s="1504">
        <v>69648.23000000004</v>
      </c>
      <c r="O14" s="1504">
        <v>69648.23000000004</v>
      </c>
      <c r="P14" s="1504">
        <v>69648.030000000028</v>
      </c>
      <c r="Q14" s="1504">
        <v>69567.430000000051</v>
      </c>
      <c r="R14" s="1504">
        <v>69567.430000000051</v>
      </c>
      <c r="S14" s="1504">
        <v>69567.430000000051</v>
      </c>
      <c r="T14" s="1504">
        <f t="shared" si="1"/>
        <v>843993.35000000068</v>
      </c>
    </row>
    <row r="15" spans="1:20" s="4010" customFormat="1" ht="33.75" customHeight="1" x14ac:dyDescent="0.3">
      <c r="A15" s="3992" t="s">
        <v>958</v>
      </c>
      <c r="B15" s="1504">
        <f>('[36]2314-2315-2316'!E$25+'[36]2314-2315-2316'!E$26)*1000</f>
        <v>46800</v>
      </c>
      <c r="C15" s="1504">
        <f>('[36]2314-2315-2316'!F$25+'[36]2314-2315-2316'!F$26)*1000</f>
        <v>40310</v>
      </c>
      <c r="D15" s="1504">
        <v>15710.519999999995</v>
      </c>
      <c r="E15" s="1504">
        <v>44625.919999999998</v>
      </c>
      <c r="F15" s="1504">
        <v>27606.19</v>
      </c>
      <c r="G15" s="1504">
        <f t="shared" si="2"/>
        <v>13824.890000000021</v>
      </c>
      <c r="H15" s="1504">
        <v>1309.2099999999998</v>
      </c>
      <c r="I15" s="1504">
        <v>1309.2099999999998</v>
      </c>
      <c r="J15" s="1504">
        <v>1309.2099999999998</v>
      </c>
      <c r="K15" s="1504">
        <v>1309.2099999999998</v>
      </c>
      <c r="L15" s="1504">
        <v>1309.2099999999998</v>
      </c>
      <c r="M15" s="1504">
        <v>1309.2099999999998</v>
      </c>
      <c r="N15" s="1504">
        <v>1309.2099999999998</v>
      </c>
      <c r="O15" s="1504">
        <v>1308.9399999999971</v>
      </c>
      <c r="P15" s="1504">
        <v>1131.9200000000089</v>
      </c>
      <c r="Q15" s="1504">
        <v>901.98000000001321</v>
      </c>
      <c r="R15" s="1504">
        <v>658.79</v>
      </c>
      <c r="S15" s="1504">
        <v>658.79</v>
      </c>
      <c r="T15" s="1504">
        <f t="shared" si="1"/>
        <v>13824.890000000021</v>
      </c>
    </row>
    <row r="16" spans="1:20" s="4010" customFormat="1" ht="30.75" hidden="1" customHeight="1" x14ac:dyDescent="0.3">
      <c r="A16" s="3992" t="s">
        <v>1014</v>
      </c>
      <c r="B16" s="1504"/>
      <c r="C16" s="1504"/>
      <c r="D16" s="1504">
        <v>0</v>
      </c>
      <c r="E16" s="1504"/>
      <c r="F16" s="1504"/>
      <c r="G16" s="1504">
        <f t="shared" si="2"/>
        <v>0</v>
      </c>
      <c r="H16" s="1504"/>
      <c r="I16" s="1504"/>
      <c r="J16" s="1504"/>
      <c r="K16" s="1504"/>
      <c r="L16" s="1504"/>
      <c r="M16" s="1504"/>
      <c r="N16" s="1504"/>
      <c r="O16" s="1504"/>
      <c r="P16" s="1504"/>
      <c r="Q16" s="1504"/>
      <c r="R16" s="1504"/>
      <c r="S16" s="1504"/>
      <c r="T16" s="1504">
        <f t="shared" si="1"/>
        <v>0</v>
      </c>
    </row>
    <row r="17" spans="1:20" s="4010" customFormat="1" ht="15.6" x14ac:dyDescent="0.3">
      <c r="A17" s="3992" t="s">
        <v>2615</v>
      </c>
      <c r="B17" s="1504"/>
      <c r="C17" s="1504"/>
      <c r="D17" s="1504">
        <v>164413.32</v>
      </c>
      <c r="E17" s="1504">
        <v>841122.97</v>
      </c>
      <c r="F17" s="1504">
        <f>102317+454921.63</f>
        <v>557238.63</v>
      </c>
      <c r="G17" s="1504">
        <f t="shared" si="2"/>
        <v>10186.32</v>
      </c>
      <c r="H17" s="1504">
        <v>848.86</v>
      </c>
      <c r="I17" s="1504">
        <v>848.86</v>
      </c>
      <c r="J17" s="1504">
        <v>848.86</v>
      </c>
      <c r="K17" s="1504">
        <v>848.86</v>
      </c>
      <c r="L17" s="1504">
        <v>848.86</v>
      </c>
      <c r="M17" s="1504">
        <v>848.86</v>
      </c>
      <c r="N17" s="1504">
        <v>848.86</v>
      </c>
      <c r="O17" s="1504">
        <v>848.86</v>
      </c>
      <c r="P17" s="1504">
        <v>848.86</v>
      </c>
      <c r="Q17" s="1504">
        <v>848.86</v>
      </c>
      <c r="R17" s="1504">
        <v>848.86</v>
      </c>
      <c r="S17" s="1504">
        <v>848.86</v>
      </c>
      <c r="T17" s="1504">
        <f t="shared" si="1"/>
        <v>10186.32</v>
      </c>
    </row>
    <row r="18" spans="1:20" s="4010" customFormat="1" ht="15.6" x14ac:dyDescent="0.3">
      <c r="A18" s="3992" t="s">
        <v>972</v>
      </c>
      <c r="B18" s="1504">
        <f>SUM(B19:B23)</f>
        <v>122690.38</v>
      </c>
      <c r="C18" s="1504">
        <f>SUM(C19:C23)</f>
        <v>153495.52000000002</v>
      </c>
      <c r="D18" s="1504">
        <v>94087.079999999973</v>
      </c>
      <c r="E18" s="1504">
        <v>646911.63000000012</v>
      </c>
      <c r="F18" s="1504">
        <v>544983.96</v>
      </c>
      <c r="G18" s="1504">
        <f t="shared" si="2"/>
        <v>90049.830000000016</v>
      </c>
      <c r="H18" s="1504">
        <v>7840.59</v>
      </c>
      <c r="I18" s="1504">
        <v>7840.59</v>
      </c>
      <c r="J18" s="1504">
        <v>7840.3900000000103</v>
      </c>
      <c r="K18" s="1504">
        <v>7531.3800000000028</v>
      </c>
      <c r="L18" s="1504">
        <v>7531.32</v>
      </c>
      <c r="M18" s="1504">
        <v>7531.32</v>
      </c>
      <c r="N18" s="1504">
        <v>7322.5400000000145</v>
      </c>
      <c r="O18" s="1504">
        <v>7322.3399999999992</v>
      </c>
      <c r="P18" s="1504">
        <v>7322.3399999999992</v>
      </c>
      <c r="Q18" s="1504">
        <v>7322.3399999999992</v>
      </c>
      <c r="R18" s="1504">
        <v>7322.3399999999992</v>
      </c>
      <c r="S18" s="1504">
        <v>7322.3399999999992</v>
      </c>
      <c r="T18" s="1504">
        <f t="shared" si="1"/>
        <v>90049.830000000016</v>
      </c>
    </row>
    <row r="19" spans="1:20" ht="15.6" hidden="1" x14ac:dyDescent="0.3">
      <c r="A19" s="3583" t="s">
        <v>3531</v>
      </c>
      <c r="B19" s="1503">
        <v>73059.39</v>
      </c>
      <c r="C19" s="1503">
        <v>92102.91</v>
      </c>
      <c r="D19" s="1503"/>
      <c r="E19" s="1503"/>
      <c r="F19" s="1503"/>
      <c r="G19" s="1504">
        <f t="shared" si="2"/>
        <v>0</v>
      </c>
      <c r="H19" s="1503"/>
      <c r="I19" s="1503"/>
      <c r="J19" s="1503"/>
      <c r="K19" s="1503"/>
      <c r="L19" s="1503"/>
      <c r="M19" s="1503"/>
      <c r="N19" s="1503"/>
      <c r="O19" s="1503"/>
      <c r="P19" s="1503"/>
      <c r="Q19" s="1503"/>
      <c r="R19" s="1503"/>
      <c r="S19" s="1503"/>
      <c r="T19" s="1504">
        <f t="shared" si="1"/>
        <v>0</v>
      </c>
    </row>
    <row r="20" spans="1:20" ht="15.6" hidden="1" x14ac:dyDescent="0.3">
      <c r="A20" s="3583" t="s">
        <v>3532</v>
      </c>
      <c r="B20" s="1503">
        <v>30292.36</v>
      </c>
      <c r="C20" s="1503">
        <v>37153.31</v>
      </c>
      <c r="D20" s="1503"/>
      <c r="E20" s="1503"/>
      <c r="F20" s="1503"/>
      <c r="G20" s="1504">
        <f t="shared" si="2"/>
        <v>0</v>
      </c>
      <c r="H20" s="1503"/>
      <c r="I20" s="1503"/>
      <c r="J20" s="1503"/>
      <c r="K20" s="1503"/>
      <c r="L20" s="1503"/>
      <c r="M20" s="1503"/>
      <c r="N20" s="1503"/>
      <c r="O20" s="1503"/>
      <c r="P20" s="1503"/>
      <c r="Q20" s="1503"/>
      <c r="R20" s="1503"/>
      <c r="S20" s="1503"/>
      <c r="T20" s="1504">
        <f t="shared" si="1"/>
        <v>0</v>
      </c>
    </row>
    <row r="21" spans="1:20" ht="15.6" hidden="1" x14ac:dyDescent="0.3">
      <c r="A21" s="3583" t="s">
        <v>3533</v>
      </c>
      <c r="B21" s="1503">
        <v>1292.3899999999999</v>
      </c>
      <c r="C21" s="4013">
        <v>3302.48</v>
      </c>
      <c r="D21" s="1503"/>
      <c r="E21" s="1503"/>
      <c r="F21" s="1503"/>
      <c r="G21" s="1504">
        <f t="shared" si="2"/>
        <v>0</v>
      </c>
      <c r="H21" s="1503"/>
      <c r="I21" s="1503"/>
      <c r="J21" s="1503"/>
      <c r="K21" s="1503"/>
      <c r="L21" s="1503"/>
      <c r="M21" s="1503"/>
      <c r="N21" s="1503"/>
      <c r="O21" s="1503"/>
      <c r="P21" s="1503"/>
      <c r="Q21" s="1503"/>
      <c r="R21" s="1503"/>
      <c r="S21" s="1503"/>
      <c r="T21" s="1504">
        <f t="shared" si="1"/>
        <v>0</v>
      </c>
    </row>
    <row r="22" spans="1:20" ht="15.6" hidden="1" x14ac:dyDescent="0.3">
      <c r="A22" s="3583" t="s">
        <v>3534</v>
      </c>
      <c r="B22" s="1503">
        <v>18046.239999999998</v>
      </c>
      <c r="C22" s="1503">
        <v>20936.82</v>
      </c>
      <c r="D22" s="1503"/>
      <c r="E22" s="1503"/>
      <c r="F22" s="1503"/>
      <c r="G22" s="1504">
        <f t="shared" si="2"/>
        <v>0</v>
      </c>
      <c r="H22" s="1503"/>
      <c r="I22" s="1503"/>
      <c r="J22" s="1503"/>
      <c r="K22" s="1503"/>
      <c r="L22" s="1503"/>
      <c r="M22" s="1503"/>
      <c r="N22" s="1503"/>
      <c r="O22" s="1503"/>
      <c r="P22" s="1503"/>
      <c r="Q22" s="1503"/>
      <c r="R22" s="1503"/>
      <c r="S22" s="1503"/>
      <c r="T22" s="1504">
        <f t="shared" si="1"/>
        <v>0</v>
      </c>
    </row>
    <row r="23" spans="1:20" ht="15.6" hidden="1" x14ac:dyDescent="0.3">
      <c r="A23" s="3583" t="s">
        <v>3535</v>
      </c>
      <c r="B23" s="1503">
        <v>0</v>
      </c>
      <c r="C23" s="1503">
        <v>0</v>
      </c>
      <c r="D23" s="1503"/>
      <c r="E23" s="1503"/>
      <c r="F23" s="1503"/>
      <c r="G23" s="1504">
        <f t="shared" si="2"/>
        <v>0</v>
      </c>
      <c r="H23" s="1503"/>
      <c r="I23" s="1503"/>
      <c r="J23" s="1503"/>
      <c r="K23" s="1503"/>
      <c r="L23" s="1503"/>
      <c r="M23" s="1503"/>
      <c r="N23" s="1503"/>
      <c r="O23" s="1503"/>
      <c r="P23" s="1503"/>
      <c r="Q23" s="1503"/>
      <c r="R23" s="1503"/>
      <c r="S23" s="1503"/>
      <c r="T23" s="1504">
        <f t="shared" si="1"/>
        <v>0</v>
      </c>
    </row>
    <row r="24" spans="1:20" s="4010" customFormat="1" ht="15.6" x14ac:dyDescent="0.3">
      <c r="A24" s="3992" t="s">
        <v>1009</v>
      </c>
      <c r="B24" s="1504">
        <f>SUM(B25:B29)</f>
        <v>133564.04</v>
      </c>
      <c r="C24" s="1504">
        <f>SUM(C25:C29)</f>
        <v>68585.69</v>
      </c>
      <c r="D24" s="1504">
        <v>40492.80000000001</v>
      </c>
      <c r="E24" s="1504">
        <v>166126.29</v>
      </c>
      <c r="F24" s="1504">
        <v>122259.09</v>
      </c>
      <c r="G24" s="1504">
        <f t="shared" si="2"/>
        <v>36866.270000000011</v>
      </c>
      <c r="H24" s="1504">
        <v>3374.3999999999996</v>
      </c>
      <c r="I24" s="1504">
        <v>3374.3999999999996</v>
      </c>
      <c r="J24" s="1504">
        <v>3374.3999999999996</v>
      </c>
      <c r="K24" s="1504">
        <v>2971.7100000000228</v>
      </c>
      <c r="L24" s="1504">
        <v>2971.42</v>
      </c>
      <c r="M24" s="1504">
        <v>2971.42</v>
      </c>
      <c r="N24" s="1504">
        <v>2971.42</v>
      </c>
      <c r="O24" s="1504">
        <v>2971.42</v>
      </c>
      <c r="P24" s="1504">
        <v>2971.42</v>
      </c>
      <c r="Q24" s="1504">
        <v>2971.42</v>
      </c>
      <c r="R24" s="1504">
        <v>2971.42</v>
      </c>
      <c r="S24" s="1504">
        <v>2971.42</v>
      </c>
      <c r="T24" s="1504">
        <f t="shared" si="1"/>
        <v>36866.270000000011</v>
      </c>
    </row>
    <row r="25" spans="1:20" ht="15.6" hidden="1" x14ac:dyDescent="0.3">
      <c r="A25" s="3583" t="s">
        <v>3531</v>
      </c>
      <c r="B25" s="1503">
        <v>82514.990000000005</v>
      </c>
      <c r="C25" s="1503">
        <v>40575.42</v>
      </c>
      <c r="D25" s="1503"/>
      <c r="E25" s="1503"/>
      <c r="F25" s="1503"/>
      <c r="G25" s="1504">
        <f t="shared" si="2"/>
        <v>0</v>
      </c>
      <c r="H25" s="1503"/>
      <c r="I25" s="1503"/>
      <c r="J25" s="1503"/>
      <c r="K25" s="1503"/>
      <c r="L25" s="1503"/>
      <c r="M25" s="1503"/>
      <c r="N25" s="1503"/>
      <c r="O25" s="1503"/>
      <c r="P25" s="1503"/>
      <c r="Q25" s="1503"/>
      <c r="R25" s="1503"/>
      <c r="S25" s="1503"/>
      <c r="T25" s="1504">
        <f t="shared" si="1"/>
        <v>0</v>
      </c>
    </row>
    <row r="26" spans="1:20" ht="15.6" hidden="1" x14ac:dyDescent="0.3">
      <c r="A26" s="3583" t="s">
        <v>3532</v>
      </c>
      <c r="B26" s="1503">
        <v>30013.629999999997</v>
      </c>
      <c r="C26" s="1503">
        <v>17203.39</v>
      </c>
      <c r="D26" s="1503"/>
      <c r="E26" s="1503"/>
      <c r="F26" s="1503"/>
      <c r="G26" s="1504">
        <f t="shared" si="2"/>
        <v>0</v>
      </c>
      <c r="H26" s="1503"/>
      <c r="I26" s="1503"/>
      <c r="J26" s="1503"/>
      <c r="K26" s="1503"/>
      <c r="L26" s="1503"/>
      <c r="M26" s="1503"/>
      <c r="N26" s="1503"/>
      <c r="O26" s="1503"/>
      <c r="P26" s="1503"/>
      <c r="Q26" s="1503"/>
      <c r="R26" s="1503"/>
      <c r="S26" s="1503"/>
      <c r="T26" s="1504">
        <f t="shared" si="1"/>
        <v>0</v>
      </c>
    </row>
    <row r="27" spans="1:20" ht="15.6" hidden="1" x14ac:dyDescent="0.3">
      <c r="A27" s="3583" t="s">
        <v>3533</v>
      </c>
      <c r="B27" s="1503">
        <v>1270.33</v>
      </c>
      <c r="C27" s="1503">
        <v>1451.73</v>
      </c>
      <c r="D27" s="1503"/>
      <c r="E27" s="1503"/>
      <c r="F27" s="1503"/>
      <c r="G27" s="1504">
        <f t="shared" si="2"/>
        <v>0</v>
      </c>
      <c r="H27" s="1503"/>
      <c r="I27" s="1503"/>
      <c r="J27" s="1503"/>
      <c r="K27" s="1503"/>
      <c r="L27" s="1503"/>
      <c r="M27" s="1503"/>
      <c r="N27" s="1503"/>
      <c r="O27" s="1503"/>
      <c r="P27" s="1503"/>
      <c r="Q27" s="1503"/>
      <c r="R27" s="1503"/>
      <c r="S27" s="1503"/>
      <c r="T27" s="1504">
        <f t="shared" si="1"/>
        <v>0</v>
      </c>
    </row>
    <row r="28" spans="1:20" ht="15.6" hidden="1" x14ac:dyDescent="0.3">
      <c r="A28" s="3583" t="s">
        <v>3534</v>
      </c>
      <c r="B28" s="1503">
        <v>19765.09</v>
      </c>
      <c r="C28" s="1503">
        <v>9355.15</v>
      </c>
      <c r="D28" s="1503"/>
      <c r="E28" s="1503"/>
      <c r="F28" s="1503"/>
      <c r="G28" s="1504">
        <f t="shared" si="2"/>
        <v>0</v>
      </c>
      <c r="H28" s="1503"/>
      <c r="I28" s="1503"/>
      <c r="J28" s="1503"/>
      <c r="K28" s="1503"/>
      <c r="L28" s="1503"/>
      <c r="M28" s="1503"/>
      <c r="N28" s="1503"/>
      <c r="O28" s="1503"/>
      <c r="P28" s="1503"/>
      <c r="Q28" s="1503"/>
      <c r="R28" s="1503"/>
      <c r="S28" s="1503"/>
      <c r="T28" s="1504">
        <f t="shared" si="1"/>
        <v>0</v>
      </c>
    </row>
    <row r="29" spans="1:20" ht="15.6" hidden="1" x14ac:dyDescent="0.3">
      <c r="A29" s="3583" t="s">
        <v>3535</v>
      </c>
      <c r="B29" s="1503">
        <v>0</v>
      </c>
      <c r="C29" s="1503">
        <v>0</v>
      </c>
      <c r="D29" s="1503"/>
      <c r="E29" s="1503"/>
      <c r="F29" s="1503"/>
      <c r="G29" s="1504">
        <f t="shared" si="2"/>
        <v>0</v>
      </c>
      <c r="H29" s="1503"/>
      <c r="I29" s="1503"/>
      <c r="J29" s="1503"/>
      <c r="K29" s="1503"/>
      <c r="L29" s="1503"/>
      <c r="M29" s="1503"/>
      <c r="N29" s="1503"/>
      <c r="O29" s="1503"/>
      <c r="P29" s="1503"/>
      <c r="Q29" s="1503"/>
      <c r="R29" s="1503"/>
      <c r="S29" s="1503"/>
      <c r="T29" s="1504">
        <f t="shared" si="1"/>
        <v>0</v>
      </c>
    </row>
    <row r="31" spans="1:20" ht="23.25" customHeight="1" x14ac:dyDescent="0.3">
      <c r="R31" s="4014"/>
      <c r="S31" s="4014"/>
      <c r="T31" s="4014"/>
    </row>
    <row r="32" spans="1:20" ht="18" x14ac:dyDescent="0.3">
      <c r="A32" s="5610" t="str">
        <f>'Вхідні дані'!B13</f>
        <v>Директор підприємства</v>
      </c>
      <c r="B32" s="5610"/>
      <c r="E32" s="4015"/>
      <c r="F32" s="4015"/>
      <c r="G32" s="4015"/>
      <c r="H32" s="368" t="s">
        <v>370</v>
      </c>
      <c r="O32" s="5122" t="str">
        <f>'Вхідні дані'!F13</f>
        <v>Анатолій ПАНШИН</v>
      </c>
      <c r="P32" s="5122"/>
      <c r="Q32" s="5122"/>
      <c r="R32" s="370"/>
      <c r="S32" s="370"/>
      <c r="T32" s="370"/>
    </row>
    <row r="33" spans="1:20" ht="15.6" x14ac:dyDescent="0.3">
      <c r="E33" s="369"/>
      <c r="F33" s="369"/>
      <c r="G33" s="369"/>
      <c r="H33" s="371" t="s">
        <v>209</v>
      </c>
      <c r="O33" s="5205" t="s">
        <v>1985</v>
      </c>
      <c r="P33" s="5205"/>
      <c r="Q33" s="5205"/>
      <c r="R33" s="370"/>
      <c r="S33" s="370"/>
      <c r="T33" s="370"/>
    </row>
    <row r="34" spans="1:20" s="367" customFormat="1" ht="18" x14ac:dyDescent="0.3">
      <c r="A34" s="5604" t="str">
        <f>'Вхідні дані'!B15</f>
        <v>Заступник директора з економіки</v>
      </c>
      <c r="B34" s="5604"/>
      <c r="C34" s="3994"/>
      <c r="D34" s="4016"/>
      <c r="E34" s="4015"/>
      <c r="F34" s="4015"/>
      <c r="G34" s="4015"/>
      <c r="H34" s="368" t="s">
        <v>370</v>
      </c>
      <c r="O34" s="5122" t="str">
        <f>'Вхідні дані'!F15</f>
        <v>Олена ЛАВРОВА</v>
      </c>
      <c r="P34" s="5122"/>
      <c r="Q34" s="5122"/>
    </row>
    <row r="35" spans="1:20" s="367" customFormat="1" ht="15.6" x14ac:dyDescent="0.3">
      <c r="A35" s="373" t="s">
        <v>1006</v>
      </c>
      <c r="B35" s="3994"/>
      <c r="C35" s="3994"/>
      <c r="D35" s="4016"/>
      <c r="F35" s="373"/>
      <c r="G35" s="373"/>
      <c r="H35" s="371" t="s">
        <v>209</v>
      </c>
      <c r="O35" s="5205" t="s">
        <v>1985</v>
      </c>
      <c r="P35" s="5205"/>
      <c r="Q35" s="5205"/>
    </row>
    <row r="36" spans="1:20" s="367" customFormat="1" x14ac:dyDescent="0.3">
      <c r="A36" s="4017"/>
      <c r="B36" s="4018"/>
      <c r="C36" s="4018"/>
      <c r="D36" s="4019"/>
      <c r="E36" s="370"/>
      <c r="F36" s="370"/>
      <c r="G36" s="370"/>
    </row>
    <row r="46" spans="1:20" x14ac:dyDescent="0.3">
      <c r="T46" s="3994"/>
    </row>
  </sheetData>
  <mergeCells count="16">
    <mergeCell ref="T5:T6"/>
    <mergeCell ref="G5:G6"/>
    <mergeCell ref="D5:E5"/>
    <mergeCell ref="F5:F6"/>
    <mergeCell ref="A32:B32"/>
    <mergeCell ref="O34:Q34"/>
    <mergeCell ref="O33:Q33"/>
    <mergeCell ref="O35:Q35"/>
    <mergeCell ref="A5:A6"/>
    <mergeCell ref="H5:S5"/>
    <mergeCell ref="A34:B34"/>
    <mergeCell ref="R1:S1"/>
    <mergeCell ref="E3:I3"/>
    <mergeCell ref="J3:M3"/>
    <mergeCell ref="N3:P3"/>
    <mergeCell ref="O32:Q32"/>
  </mergeCells>
  <pageMargins left="0.28999999999999998" right="0.15748031496062992" top="0.98" bottom="0.27559055118110237" header="0.31496062992125984" footer="0.19685039370078741"/>
  <pageSetup paperSize="9" scale="66" orientation="landscape" horizontalDpi="300" verticalDpi="300" r:id="rId1"/>
  <legacyDrawing r:id="rId2"/>
</worksheet>
</file>

<file path=xl/worksheets/sheet7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700-000000000000}">
  <sheetPr codeName="Лист69">
    <tabColor rgb="FF92D050"/>
  </sheetPr>
  <dimension ref="B1:N34"/>
  <sheetViews>
    <sheetView topLeftCell="A16" workbookViewId="0">
      <selection activeCell="C34" sqref="C34"/>
    </sheetView>
  </sheetViews>
  <sheetFormatPr defaultColWidth="8.88671875" defaultRowHeight="15.6" x14ac:dyDescent="0.3"/>
  <cols>
    <col min="1" max="1" width="6.5546875" style="433" customWidth="1"/>
    <col min="2" max="2" width="5.5546875" style="433" bestFit="1" customWidth="1"/>
    <col min="3" max="3" width="30.5546875" style="433" bestFit="1" customWidth="1"/>
    <col min="4" max="4" width="11" style="433" customWidth="1"/>
    <col min="5" max="5" width="10" style="433" customWidth="1"/>
    <col min="6" max="6" width="15.88671875" style="433" customWidth="1"/>
    <col min="7" max="7" width="17.6640625" style="433" bestFit="1" customWidth="1"/>
    <col min="8" max="8" width="19.33203125" style="433" customWidth="1"/>
    <col min="9" max="9" width="19.88671875" style="433" bestFit="1" customWidth="1"/>
    <col min="10" max="16384" width="8.88671875" style="433"/>
  </cols>
  <sheetData>
    <row r="1" spans="2:9" x14ac:dyDescent="0.3">
      <c r="H1" s="433" t="s">
        <v>1428</v>
      </c>
    </row>
    <row r="3" spans="2:9" ht="15.75" customHeight="1" x14ac:dyDescent="0.3">
      <c r="B3" s="5611" t="s">
        <v>1429</v>
      </c>
      <c r="C3" s="5611"/>
      <c r="D3" s="5611"/>
      <c r="E3" s="5611"/>
      <c r="F3" s="5611"/>
      <c r="G3" s="5611"/>
      <c r="H3" s="5611"/>
    </row>
    <row r="4" spans="2:9" ht="15.75" customHeight="1" x14ac:dyDescent="0.3">
      <c r="B4" s="531"/>
      <c r="C4" s="5612" t="str">
        <f>'Вхідні дані'!$F$5</f>
        <v>КП «КТЕ"</v>
      </c>
      <c r="D4" s="5612"/>
      <c r="E4" s="5612"/>
      <c r="F4" s="531" t="s">
        <v>461</v>
      </c>
      <c r="G4" s="876" t="str">
        <f>'Вхідні дані'!$F$6</f>
        <v>2023-2024</v>
      </c>
      <c r="H4" s="531" t="s">
        <v>661</v>
      </c>
    </row>
    <row r="5" spans="2:9" ht="16.2" thickBot="1" x14ac:dyDescent="0.35"/>
    <row r="6" spans="2:9" s="434" customFormat="1" ht="31.8" thickBot="1" x14ac:dyDescent="0.35">
      <c r="B6" s="438" t="s">
        <v>975</v>
      </c>
      <c r="C6" s="445" t="s">
        <v>1412</v>
      </c>
      <c r="D6" s="441" t="s">
        <v>1413</v>
      </c>
      <c r="E6" s="437" t="s">
        <v>1414</v>
      </c>
      <c r="F6" s="437" t="s">
        <v>1432</v>
      </c>
      <c r="G6" s="596" t="s">
        <v>1415</v>
      </c>
      <c r="H6" s="450" t="s">
        <v>1430</v>
      </c>
      <c r="I6" s="599" t="s">
        <v>1431</v>
      </c>
    </row>
    <row r="7" spans="2:9" x14ac:dyDescent="0.3">
      <c r="B7" s="439">
        <v>1</v>
      </c>
      <c r="C7" s="446"/>
      <c r="D7" s="442"/>
      <c r="E7" s="436">
        <v>0</v>
      </c>
      <c r="F7" s="613"/>
      <c r="G7" s="597" t="s">
        <v>1417</v>
      </c>
      <c r="H7" s="446" t="s">
        <v>1418</v>
      </c>
      <c r="I7" s="600" t="s">
        <v>1009</v>
      </c>
    </row>
    <row r="8" spans="2:9" x14ac:dyDescent="0.3">
      <c r="B8" s="440">
        <v>2</v>
      </c>
      <c r="C8" s="447"/>
      <c r="D8" s="443"/>
      <c r="E8" s="435">
        <v>0</v>
      </c>
      <c r="F8" s="614"/>
      <c r="G8" s="598" t="s">
        <v>1417</v>
      </c>
      <c r="H8" s="447" t="s">
        <v>1419</v>
      </c>
      <c r="I8" s="600" t="s">
        <v>972</v>
      </c>
    </row>
    <row r="9" spans="2:9" x14ac:dyDescent="0.3">
      <c r="B9" s="440">
        <v>3</v>
      </c>
      <c r="C9" s="447"/>
      <c r="D9" s="443"/>
      <c r="E9" s="435">
        <v>0</v>
      </c>
      <c r="F9" s="614"/>
      <c r="G9" s="598" t="s">
        <v>1417</v>
      </c>
      <c r="H9" s="447" t="s">
        <v>1420</v>
      </c>
      <c r="I9" s="600" t="s">
        <v>972</v>
      </c>
    </row>
    <row r="10" spans="2:9" x14ac:dyDescent="0.3">
      <c r="B10" s="440">
        <v>4</v>
      </c>
      <c r="C10" s="447"/>
      <c r="D10" s="443"/>
      <c r="E10" s="435">
        <v>0</v>
      </c>
      <c r="F10" s="614"/>
      <c r="G10" s="598" t="s">
        <v>1417</v>
      </c>
      <c r="H10" s="447" t="s">
        <v>1418</v>
      </c>
      <c r="I10" s="601" t="s">
        <v>971</v>
      </c>
    </row>
    <row r="11" spans="2:9" x14ac:dyDescent="0.3">
      <c r="B11" s="440">
        <v>5</v>
      </c>
      <c r="C11" s="447"/>
      <c r="D11" s="443"/>
      <c r="E11" s="435">
        <v>0</v>
      </c>
      <c r="F11" s="614"/>
      <c r="G11" s="598" t="s">
        <v>1417</v>
      </c>
      <c r="H11" s="447" t="s">
        <v>1421</v>
      </c>
      <c r="I11" s="601" t="s">
        <v>902</v>
      </c>
    </row>
    <row r="12" spans="2:9" x14ac:dyDescent="0.3">
      <c r="B12" s="440">
        <v>6</v>
      </c>
      <c r="C12" s="447"/>
      <c r="D12" s="443"/>
      <c r="E12" s="435">
        <v>0</v>
      </c>
      <c r="F12" s="614"/>
      <c r="G12" s="598" t="s">
        <v>1417</v>
      </c>
      <c r="H12" s="447" t="s">
        <v>1423</v>
      </c>
      <c r="I12" s="601" t="s">
        <v>869</v>
      </c>
    </row>
    <row r="13" spans="2:9" x14ac:dyDescent="0.3">
      <c r="B13" s="440">
        <v>7</v>
      </c>
      <c r="C13" s="447"/>
      <c r="D13" s="443"/>
      <c r="E13" s="435">
        <v>0</v>
      </c>
      <c r="F13" s="614"/>
      <c r="G13" s="598" t="s">
        <v>1417</v>
      </c>
      <c r="H13" s="447" t="s">
        <v>1424</v>
      </c>
      <c r="I13" s="601" t="s">
        <v>1425</v>
      </c>
    </row>
    <row r="14" spans="2:9" x14ac:dyDescent="0.3">
      <c r="B14" s="440">
        <v>8</v>
      </c>
      <c r="C14" s="447"/>
      <c r="D14" s="443"/>
      <c r="E14" s="435">
        <v>0</v>
      </c>
      <c r="F14" s="614"/>
      <c r="G14" s="598" t="s">
        <v>1417</v>
      </c>
      <c r="H14" s="447" t="s">
        <v>1424</v>
      </c>
      <c r="I14" s="601" t="s">
        <v>1425</v>
      </c>
    </row>
    <row r="15" spans="2:9" x14ac:dyDescent="0.3">
      <c r="B15" s="440">
        <v>9</v>
      </c>
      <c r="C15" s="447"/>
      <c r="D15" s="443"/>
      <c r="E15" s="435">
        <v>0</v>
      </c>
      <c r="F15" s="614"/>
      <c r="G15" s="598" t="s">
        <v>1417</v>
      </c>
      <c r="H15" s="447" t="s">
        <v>1426</v>
      </c>
      <c r="I15" s="600" t="s">
        <v>972</v>
      </c>
    </row>
    <row r="16" spans="2:9" x14ac:dyDescent="0.3">
      <c r="B16" s="440">
        <v>10</v>
      </c>
      <c r="C16" s="447"/>
      <c r="D16" s="444"/>
      <c r="E16" s="435">
        <v>0</v>
      </c>
      <c r="F16" s="614"/>
      <c r="G16" s="598" t="s">
        <v>1417</v>
      </c>
      <c r="H16" s="447" t="s">
        <v>1418</v>
      </c>
      <c r="I16" s="600" t="s">
        <v>1009</v>
      </c>
    </row>
    <row r="17" spans="2:11" ht="16.2" thickBot="1" x14ac:dyDescent="0.35">
      <c r="B17" s="844">
        <v>11</v>
      </c>
      <c r="C17" s="603"/>
      <c r="D17" s="845"/>
      <c r="E17" s="846">
        <v>0</v>
      </c>
      <c r="F17" s="847"/>
      <c r="G17" s="848" t="s">
        <v>1417</v>
      </c>
      <c r="H17" s="603" t="s">
        <v>1418</v>
      </c>
      <c r="I17" s="604" t="s">
        <v>1009</v>
      </c>
    </row>
    <row r="18" spans="2:11" ht="16.2" thickBot="1" x14ac:dyDescent="0.35">
      <c r="B18" s="849"/>
      <c r="C18" s="850"/>
      <c r="D18" s="851"/>
      <c r="E18" s="852"/>
      <c r="F18" s="852"/>
      <c r="G18" s="853"/>
      <c r="H18" s="605" t="s">
        <v>1878</v>
      </c>
      <c r="I18" s="610">
        <f>SUM(I19:I25)</f>
        <v>0</v>
      </c>
    </row>
    <row r="19" spans="2:11" x14ac:dyDescent="0.3">
      <c r="B19" s="439"/>
      <c r="C19" s="446"/>
      <c r="D19" s="442"/>
      <c r="E19" s="436"/>
      <c r="F19" s="436"/>
      <c r="G19" s="597"/>
      <c r="H19" s="446" t="s">
        <v>869</v>
      </c>
      <c r="I19" s="611">
        <f>F12</f>
        <v>0</v>
      </c>
    </row>
    <row r="20" spans="2:11" x14ac:dyDescent="0.3">
      <c r="B20" s="440"/>
      <c r="C20" s="447"/>
      <c r="D20" s="443"/>
      <c r="E20" s="435"/>
      <c r="F20" s="435"/>
      <c r="G20" s="449"/>
      <c r="H20" s="447" t="s">
        <v>928</v>
      </c>
      <c r="I20" s="612"/>
    </row>
    <row r="21" spans="2:11" x14ac:dyDescent="0.3">
      <c r="B21" s="440"/>
      <c r="C21" s="447"/>
      <c r="D21" s="443"/>
      <c r="E21" s="435"/>
      <c r="F21" s="435"/>
      <c r="G21" s="449"/>
      <c r="H21" s="447" t="s">
        <v>902</v>
      </c>
      <c r="I21" s="612">
        <f>F11</f>
        <v>0</v>
      </c>
    </row>
    <row r="22" spans="2:11" x14ac:dyDescent="0.3">
      <c r="B22" s="440"/>
      <c r="C22" s="447"/>
      <c r="D22" s="443"/>
      <c r="E22" s="435"/>
      <c r="F22" s="435"/>
      <c r="G22" s="449"/>
      <c r="H22" s="447" t="s">
        <v>1427</v>
      </c>
      <c r="I22" s="612"/>
    </row>
    <row r="23" spans="2:11" x14ac:dyDescent="0.3">
      <c r="B23" s="440"/>
      <c r="C23" s="447"/>
      <c r="D23" s="443"/>
      <c r="E23" s="435"/>
      <c r="F23" s="435"/>
      <c r="G23" s="449"/>
      <c r="H23" s="447" t="s">
        <v>1425</v>
      </c>
      <c r="I23" s="612">
        <f>F13+F14</f>
        <v>0</v>
      </c>
    </row>
    <row r="24" spans="2:11" x14ac:dyDescent="0.3">
      <c r="B24" s="440"/>
      <c r="C24" s="447"/>
      <c r="D24" s="443"/>
      <c r="E24" s="435"/>
      <c r="F24" s="435"/>
      <c r="G24" s="449"/>
      <c r="H24" s="602" t="s">
        <v>1009</v>
      </c>
      <c r="I24" s="612">
        <f>F7+F10+F16+F17</f>
        <v>0</v>
      </c>
    </row>
    <row r="25" spans="2:11" ht="16.2" thickBot="1" x14ac:dyDescent="0.35">
      <c r="B25" s="606"/>
      <c r="C25" s="448"/>
      <c r="D25" s="607"/>
      <c r="E25" s="608"/>
      <c r="F25" s="608"/>
      <c r="G25" s="609"/>
      <c r="H25" s="854" t="s">
        <v>972</v>
      </c>
      <c r="I25" s="855">
        <f>F8+F9+F15</f>
        <v>0</v>
      </c>
    </row>
    <row r="28" spans="2:11" ht="15.75" customHeight="1" x14ac:dyDescent="0.3">
      <c r="B28" s="5613" t="s">
        <v>1981</v>
      </c>
      <c r="C28" s="5613"/>
      <c r="D28" s="5613"/>
      <c r="E28" s="5613"/>
      <c r="F28" s="5614" t="str">
        <f>'Вхідні дані'!$F$5</f>
        <v>КП «КТЕ"</v>
      </c>
      <c r="G28" s="5614"/>
      <c r="H28" s="768" t="s">
        <v>461</v>
      </c>
      <c r="I28" s="880" t="str">
        <f>'Вхідні дані'!$F$6</f>
        <v>2023-2024</v>
      </c>
      <c r="J28" s="768" t="s">
        <v>661</v>
      </c>
    </row>
    <row r="29" spans="2:11" ht="16.2" thickBot="1" x14ac:dyDescent="0.35">
      <c r="C29"/>
      <c r="D29"/>
      <c r="E29"/>
      <c r="F29"/>
      <c r="G29"/>
      <c r="H29"/>
      <c r="I29"/>
      <c r="J29"/>
      <c r="K29"/>
    </row>
    <row r="30" spans="2:11" ht="31.8" thickBot="1" x14ac:dyDescent="0.35">
      <c r="B30" s="862" t="s">
        <v>1439</v>
      </c>
      <c r="C30" s="859" t="s">
        <v>869</v>
      </c>
      <c r="D30" s="859" t="s">
        <v>870</v>
      </c>
      <c r="E30" s="859" t="s">
        <v>902</v>
      </c>
      <c r="F30" s="859" t="s">
        <v>1440</v>
      </c>
      <c r="G30" s="859" t="s">
        <v>1425</v>
      </c>
      <c r="H30" s="860" t="s">
        <v>1009</v>
      </c>
      <c r="I30" s="860" t="s">
        <v>972</v>
      </c>
      <c r="J30" s="861" t="s">
        <v>1438</v>
      </c>
    </row>
    <row r="31" spans="2:11" ht="16.2" thickBot="1" x14ac:dyDescent="0.35">
      <c r="B31" s="863">
        <v>2021</v>
      </c>
      <c r="C31" s="857">
        <v>492.5</v>
      </c>
      <c r="D31" s="857">
        <v>280</v>
      </c>
      <c r="E31" s="857">
        <v>10</v>
      </c>
      <c r="F31" s="857"/>
      <c r="G31" s="857">
        <v>25</v>
      </c>
      <c r="H31" s="857">
        <v>60</v>
      </c>
      <c r="I31" s="857">
        <v>158.5</v>
      </c>
      <c r="J31" s="858">
        <f>SUM(C31:I31)</f>
        <v>1026</v>
      </c>
      <c r="K31" s="1571" t="s">
        <v>2611</v>
      </c>
    </row>
    <row r="32" spans="2:11" ht="16.2" thickBot="1" x14ac:dyDescent="0.35">
      <c r="B32" s="863">
        <v>2022</v>
      </c>
      <c r="C32" s="3849">
        <f>Виробництво_1ст!D52</f>
        <v>0</v>
      </c>
      <c r="D32" s="3849">
        <f>Транспортування_1ст!D45*1000</f>
        <v>0</v>
      </c>
      <c r="E32" s="3849">
        <f>Постачання_1ст!D37</f>
        <v>0</v>
      </c>
      <c r="F32" s="3849">
        <f>'АО-прямые'!D27*1000</f>
        <v>0</v>
      </c>
      <c r="G32" s="3849"/>
      <c r="H32" s="3849">
        <f>ЗВВ_1ст!D45*1000</f>
        <v>0</v>
      </c>
      <c r="I32" s="3849">
        <f>Адміністративні_1ст!D42*1000</f>
        <v>0</v>
      </c>
      <c r="J32" s="3850">
        <f>SUM(C32:I32)</f>
        <v>0</v>
      </c>
      <c r="K32" s="1571"/>
    </row>
    <row r="33" spans="2:14" ht="16.2" thickBot="1" x14ac:dyDescent="0.35">
      <c r="B33" s="863" t="s">
        <v>3256</v>
      </c>
      <c r="C33" s="451">
        <f>C31</f>
        <v>492.5</v>
      </c>
      <c r="D33" s="451">
        <f t="shared" ref="D33:I33" si="0">D31</f>
        <v>280</v>
      </c>
      <c r="E33" s="451">
        <f t="shared" si="0"/>
        <v>10</v>
      </c>
      <c r="F33" s="451">
        <f t="shared" si="0"/>
        <v>0</v>
      </c>
      <c r="G33" s="451">
        <f t="shared" si="0"/>
        <v>25</v>
      </c>
      <c r="H33" s="451">
        <f t="shared" si="0"/>
        <v>60</v>
      </c>
      <c r="I33" s="451">
        <f t="shared" si="0"/>
        <v>158.5</v>
      </c>
      <c r="J33" s="856">
        <f>SUM(C33:I33)</f>
        <v>1026</v>
      </c>
      <c r="K33" s="1571"/>
    </row>
    <row r="34" spans="2:14" ht="16.2" thickBot="1" x14ac:dyDescent="0.35">
      <c r="B34" s="2505" t="s">
        <v>3686</v>
      </c>
      <c r="C34" s="3937">
        <f>1315.2/1.2+198/1.2+36*9/1.2</f>
        <v>1531</v>
      </c>
      <c r="D34" s="3937">
        <f>1044/1.2+759/1.2+136.8/1.2+6.9/1.2+2*9/1.2</f>
        <v>1637.25</v>
      </c>
      <c r="E34" s="3937">
        <f>1*9/1.2</f>
        <v>7.5</v>
      </c>
      <c r="F34" s="3937">
        <f>1*9/1.2</f>
        <v>7.5</v>
      </c>
      <c r="G34" s="3937">
        <v>0</v>
      </c>
      <c r="H34" s="3937">
        <f>10*9/1.2</f>
        <v>75</v>
      </c>
      <c r="I34" s="3937">
        <f>0*9/1.2</f>
        <v>0</v>
      </c>
      <c r="J34" s="3938">
        <f>SUM(C34:I34)</f>
        <v>3258.25</v>
      </c>
      <c r="K34" s="433" t="s">
        <v>3726</v>
      </c>
      <c r="N34" s="433">
        <f>3909.9/1.2</f>
        <v>3258.25</v>
      </c>
    </row>
  </sheetData>
  <mergeCells count="4">
    <mergeCell ref="B3:H3"/>
    <mergeCell ref="C4:E4"/>
    <mergeCell ref="B28:E28"/>
    <mergeCell ref="F28:G28"/>
  </mergeCells>
  <pageMargins left="0.7" right="0.33" top="0.75" bottom="0.75" header="0.3" footer="0.3"/>
  <pageSetup paperSize="9" orientation="portrait" horizontalDpi="0" verticalDpi="0" r:id="rId1"/>
  <legacyDrawing r:id="rId2"/>
</worksheet>
</file>

<file path=xl/worksheets/sheet7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800-000000000000}">
  <sheetPr codeName="Лист70">
    <tabColor rgb="FF92D050"/>
  </sheetPr>
  <dimension ref="A1:V25"/>
  <sheetViews>
    <sheetView topLeftCell="A4" zoomScale="75" zoomScaleNormal="75" workbookViewId="0">
      <selection activeCell="G23" sqref="G23"/>
    </sheetView>
  </sheetViews>
  <sheetFormatPr defaultColWidth="12.5546875" defaultRowHeight="13.8" x14ac:dyDescent="0.25"/>
  <cols>
    <col min="1" max="1" width="12.5546875" style="753"/>
    <col min="2" max="2" width="6.109375" style="753" customWidth="1"/>
    <col min="3" max="3" width="27.44140625" style="753" customWidth="1"/>
    <col min="4" max="4" width="5.5546875" style="753" customWidth="1"/>
    <col min="5" max="5" width="12.5546875" style="753"/>
    <col min="6" max="6" width="5.6640625" style="753" customWidth="1"/>
    <col min="7" max="7" width="12.5546875" style="753"/>
    <col min="8" max="8" width="5.109375" style="753" customWidth="1"/>
    <col min="9" max="9" width="12.5546875" style="753"/>
    <col min="10" max="10" width="5.109375" style="753" customWidth="1"/>
    <col min="11" max="11" width="12.5546875" style="753"/>
    <col min="12" max="12" width="5" style="753" customWidth="1"/>
    <col min="13" max="13" width="12.5546875" style="753"/>
    <col min="14" max="14" width="5.6640625" style="753" customWidth="1"/>
    <col min="15" max="15" width="12.5546875" style="753"/>
    <col min="16" max="16" width="5" style="753" customWidth="1"/>
    <col min="17" max="17" width="12.5546875" style="753"/>
    <col min="18" max="18" width="12.5546875" style="754"/>
    <col min="19" max="16384" width="12.5546875" style="753"/>
  </cols>
  <sheetData>
    <row r="1" spans="2:18" ht="15.6" x14ac:dyDescent="0.3">
      <c r="R1" s="837" t="s">
        <v>1011</v>
      </c>
    </row>
    <row r="3" spans="2:18" s="686" customFormat="1" ht="21" customHeight="1" x14ac:dyDescent="0.35">
      <c r="B3" s="5624" t="s">
        <v>1970</v>
      </c>
      <c r="C3" s="5624"/>
      <c r="D3" s="5624"/>
      <c r="E3" s="5624"/>
      <c r="F3" s="5624"/>
      <c r="G3" s="5624"/>
      <c r="I3" s="874" t="str">
        <f>'Вхідні дані'!F5</f>
        <v>КП «КТЕ"</v>
      </c>
      <c r="J3" s="874"/>
      <c r="K3" s="874"/>
      <c r="L3" s="874"/>
      <c r="M3" s="874"/>
      <c r="N3" s="686" t="s">
        <v>461</v>
      </c>
      <c r="O3" s="874" t="str">
        <f>'Вхідні дані'!F6</f>
        <v>2023-2024</v>
      </c>
      <c r="P3" s="686" t="s">
        <v>661</v>
      </c>
      <c r="R3" s="757"/>
    </row>
    <row r="4" spans="2:18" x14ac:dyDescent="0.25">
      <c r="C4" s="753" t="s">
        <v>846</v>
      </c>
    </row>
    <row r="5" spans="2:18" ht="14.4" thickBot="1" x14ac:dyDescent="0.3"/>
    <row r="6" spans="2:18" ht="15.6" x14ac:dyDescent="0.25">
      <c r="B6" s="5618" t="s">
        <v>968</v>
      </c>
      <c r="C6" s="5620" t="s">
        <v>1595</v>
      </c>
      <c r="D6" s="5617" t="s">
        <v>869</v>
      </c>
      <c r="E6" s="5617"/>
      <c r="F6" s="5617" t="s">
        <v>928</v>
      </c>
      <c r="G6" s="5617"/>
      <c r="H6" s="5617" t="s">
        <v>902</v>
      </c>
      <c r="I6" s="5617"/>
      <c r="J6" s="5617" t="s">
        <v>970</v>
      </c>
      <c r="K6" s="5617"/>
      <c r="L6" s="5617" t="s">
        <v>871</v>
      </c>
      <c r="M6" s="5617"/>
      <c r="N6" s="5617" t="s">
        <v>971</v>
      </c>
      <c r="O6" s="5625"/>
      <c r="P6" s="5626" t="s">
        <v>972</v>
      </c>
      <c r="Q6" s="5627"/>
      <c r="R6" s="5615" t="s">
        <v>973</v>
      </c>
    </row>
    <row r="7" spans="2:18" ht="16.2" thickBot="1" x14ac:dyDescent="0.3">
      <c r="B7" s="5619"/>
      <c r="C7" s="5621"/>
      <c r="D7" s="831" t="s">
        <v>876</v>
      </c>
      <c r="E7" s="831" t="s">
        <v>976</v>
      </c>
      <c r="F7" s="831" t="s">
        <v>876</v>
      </c>
      <c r="G7" s="831" t="s">
        <v>976</v>
      </c>
      <c r="H7" s="831" t="s">
        <v>876</v>
      </c>
      <c r="I7" s="831" t="s">
        <v>976</v>
      </c>
      <c r="J7" s="831" t="s">
        <v>876</v>
      </c>
      <c r="K7" s="831" t="s">
        <v>976</v>
      </c>
      <c r="L7" s="831" t="s">
        <v>876</v>
      </c>
      <c r="M7" s="831" t="s">
        <v>976</v>
      </c>
      <c r="N7" s="831" t="s">
        <v>876</v>
      </c>
      <c r="O7" s="832" t="s">
        <v>976</v>
      </c>
      <c r="P7" s="2524" t="s">
        <v>876</v>
      </c>
      <c r="Q7" s="2525" t="s">
        <v>976</v>
      </c>
      <c r="R7" s="5616"/>
    </row>
    <row r="8" spans="2:18" ht="16.2" thickBot="1" x14ac:dyDescent="0.3">
      <c r="B8" s="5629">
        <v>1</v>
      </c>
      <c r="C8" s="5631" t="s">
        <v>1596</v>
      </c>
      <c r="D8" s="681"/>
      <c r="E8" s="681"/>
      <c r="F8" s="681">
        <v>1</v>
      </c>
      <c r="G8" s="681">
        <v>2260</v>
      </c>
      <c r="H8" s="681"/>
      <c r="I8" s="681"/>
      <c r="J8" s="681"/>
      <c r="K8" s="681"/>
      <c r="L8" s="681"/>
      <c r="M8" s="681"/>
      <c r="N8" s="681">
        <v>1</v>
      </c>
      <c r="O8" s="681">
        <v>1171</v>
      </c>
      <c r="P8" s="2523"/>
      <c r="Q8" s="2526"/>
      <c r="R8" s="2529">
        <f>D8*E8+F8*G8+H8*I8+J8*K8+L8*M8+N8*O8+P8*Q8</f>
        <v>3431</v>
      </c>
    </row>
    <row r="9" spans="2:18" ht="16.2" thickBot="1" x14ac:dyDescent="0.3">
      <c r="B9" s="5629"/>
      <c r="C9" s="5631"/>
      <c r="D9" s="681"/>
      <c r="E9" s="681"/>
      <c r="F9" s="681">
        <v>1</v>
      </c>
      <c r="G9" s="681">
        <v>2260</v>
      </c>
      <c r="H9" s="681"/>
      <c r="I9" s="681"/>
      <c r="J9" s="681"/>
      <c r="K9" s="681"/>
      <c r="L9" s="681"/>
      <c r="M9" s="681"/>
      <c r="N9" s="681">
        <v>1</v>
      </c>
      <c r="O9" s="681">
        <v>1335</v>
      </c>
      <c r="P9" s="2522">
        <v>1</v>
      </c>
      <c r="Q9" s="2527">
        <v>1103</v>
      </c>
      <c r="R9" s="2529">
        <f t="shared" ref="R9:R19" si="0">D9*E9+F9*G9+H9*I9+J9*K9+L9*M9+N9*O9+P9*Q9</f>
        <v>4698</v>
      </c>
    </row>
    <row r="10" spans="2:18" ht="16.2" thickBot="1" x14ac:dyDescent="0.3">
      <c r="B10" s="5629"/>
      <c r="C10" s="5631"/>
      <c r="D10" s="681"/>
      <c r="E10" s="681"/>
      <c r="F10" s="681">
        <v>1</v>
      </c>
      <c r="G10" s="681">
        <v>2260</v>
      </c>
      <c r="H10" s="681"/>
      <c r="I10" s="681"/>
      <c r="J10" s="681"/>
      <c r="K10" s="681"/>
      <c r="L10" s="681"/>
      <c r="M10" s="681"/>
      <c r="N10" s="681">
        <v>1</v>
      </c>
      <c r="O10" s="682">
        <v>1335</v>
      </c>
      <c r="P10" s="681"/>
      <c r="Q10" s="682"/>
      <c r="R10" s="2529">
        <f t="shared" si="0"/>
        <v>3595</v>
      </c>
    </row>
    <row r="11" spans="2:18" ht="16.2" thickBot="1" x14ac:dyDescent="0.3">
      <c r="B11" s="5629"/>
      <c r="C11" s="5631"/>
      <c r="D11" s="681"/>
      <c r="E11" s="681"/>
      <c r="F11" s="681">
        <v>1</v>
      </c>
      <c r="G11" s="681">
        <v>2260</v>
      </c>
      <c r="H11" s="681"/>
      <c r="I11" s="681"/>
      <c r="J11" s="681"/>
      <c r="K11" s="681"/>
      <c r="L11" s="681"/>
      <c r="M11" s="681"/>
      <c r="N11" s="681"/>
      <c r="O11" s="681"/>
      <c r="P11" s="681"/>
      <c r="Q11" s="682"/>
      <c r="R11" s="2529">
        <f t="shared" si="0"/>
        <v>2260</v>
      </c>
    </row>
    <row r="12" spans="2:18" ht="16.2" thickBot="1" x14ac:dyDescent="0.3">
      <c r="B12" s="5629"/>
      <c r="C12" s="5631"/>
      <c r="D12" s="681"/>
      <c r="E12" s="681"/>
      <c r="F12" s="681">
        <v>1</v>
      </c>
      <c r="G12" s="681">
        <v>2260</v>
      </c>
      <c r="H12" s="681"/>
      <c r="I12" s="681"/>
      <c r="J12" s="681"/>
      <c r="K12" s="681"/>
      <c r="L12" s="681"/>
      <c r="M12" s="681"/>
      <c r="N12" s="681"/>
      <c r="O12" s="681"/>
      <c r="P12" s="681"/>
      <c r="Q12" s="682"/>
      <c r="R12" s="2529">
        <f t="shared" si="0"/>
        <v>2260</v>
      </c>
    </row>
    <row r="13" spans="2:18" ht="16.2" thickBot="1" x14ac:dyDescent="0.3">
      <c r="B13" s="5629"/>
      <c r="C13" s="5631"/>
      <c r="D13" s="681"/>
      <c r="E13" s="681"/>
      <c r="F13" s="681">
        <v>1</v>
      </c>
      <c r="G13" s="681">
        <v>1956</v>
      </c>
      <c r="H13" s="681"/>
      <c r="I13" s="681"/>
      <c r="J13" s="681"/>
      <c r="K13" s="681"/>
      <c r="L13" s="681"/>
      <c r="M13" s="681"/>
      <c r="N13" s="681"/>
      <c r="O13" s="681"/>
      <c r="P13" s="681"/>
      <c r="Q13" s="682"/>
      <c r="R13" s="2529">
        <f t="shared" si="0"/>
        <v>1956</v>
      </c>
    </row>
    <row r="14" spans="2:18" ht="16.2" thickBot="1" x14ac:dyDescent="0.3">
      <c r="B14" s="5629"/>
      <c r="C14" s="5631"/>
      <c r="D14" s="681"/>
      <c r="E14" s="681"/>
      <c r="F14" s="681"/>
      <c r="G14" s="681"/>
      <c r="H14" s="681"/>
      <c r="I14" s="681"/>
      <c r="J14" s="681"/>
      <c r="K14" s="681"/>
      <c r="L14" s="681"/>
      <c r="M14" s="681"/>
      <c r="N14" s="681"/>
      <c r="O14" s="681"/>
      <c r="P14" s="681"/>
      <c r="Q14" s="682"/>
      <c r="R14" s="2529">
        <f t="shared" si="0"/>
        <v>0</v>
      </c>
    </row>
    <row r="15" spans="2:18" ht="16.2" thickBot="1" x14ac:dyDescent="0.3">
      <c r="B15" s="5629"/>
      <c r="C15" s="5631"/>
      <c r="D15" s="681"/>
      <c r="E15" s="681"/>
      <c r="F15" s="681">
        <v>1</v>
      </c>
      <c r="G15" s="681">
        <v>1956</v>
      </c>
      <c r="H15" s="681"/>
      <c r="I15" s="681"/>
      <c r="J15" s="681"/>
      <c r="K15" s="681"/>
      <c r="L15" s="681"/>
      <c r="M15" s="681"/>
      <c r="N15" s="681"/>
      <c r="O15" s="681"/>
      <c r="P15" s="681"/>
      <c r="Q15" s="682"/>
      <c r="R15" s="2529">
        <f t="shared" si="0"/>
        <v>1956</v>
      </c>
    </row>
    <row r="16" spans="2:18" ht="16.2" thickBot="1" x14ac:dyDescent="0.3">
      <c r="B16" s="5629"/>
      <c r="C16" s="5631"/>
      <c r="D16" s="681"/>
      <c r="E16" s="681"/>
      <c r="F16" s="681">
        <v>1</v>
      </c>
      <c r="G16" s="681">
        <v>2260</v>
      </c>
      <c r="H16" s="681"/>
      <c r="I16" s="681"/>
      <c r="J16" s="681"/>
      <c r="K16" s="681"/>
      <c r="L16" s="681"/>
      <c r="M16" s="681"/>
      <c r="N16" s="681"/>
      <c r="O16" s="681"/>
      <c r="P16" s="681"/>
      <c r="Q16" s="682"/>
      <c r="R16" s="2529">
        <f t="shared" si="0"/>
        <v>2260</v>
      </c>
    </row>
    <row r="17" spans="1:22" ht="16.2" thickBot="1" x14ac:dyDescent="0.3">
      <c r="B17" s="5629"/>
      <c r="C17" s="5631"/>
      <c r="D17" s="681"/>
      <c r="E17" s="681"/>
      <c r="F17" s="681"/>
      <c r="G17" s="681"/>
      <c r="H17" s="681"/>
      <c r="I17" s="681"/>
      <c r="J17" s="681"/>
      <c r="K17" s="681"/>
      <c r="L17" s="681"/>
      <c r="M17" s="681"/>
      <c r="N17" s="681"/>
      <c r="O17" s="681"/>
      <c r="P17" s="681"/>
      <c r="Q17" s="682"/>
      <c r="R17" s="2529">
        <f t="shared" si="0"/>
        <v>0</v>
      </c>
    </row>
    <row r="18" spans="1:22" ht="16.2" thickBot="1" x14ac:dyDescent="0.3">
      <c r="B18" s="5629"/>
      <c r="C18" s="5631"/>
      <c r="D18" s="681"/>
      <c r="E18" s="681"/>
      <c r="F18" s="681"/>
      <c r="G18" s="681"/>
      <c r="H18" s="681"/>
      <c r="I18" s="681"/>
      <c r="J18" s="681"/>
      <c r="K18" s="681"/>
      <c r="L18" s="681"/>
      <c r="M18" s="681"/>
      <c r="N18" s="681"/>
      <c r="O18" s="681"/>
      <c r="P18" s="681"/>
      <c r="Q18" s="682"/>
      <c r="R18" s="2529">
        <f t="shared" si="0"/>
        <v>0</v>
      </c>
    </row>
    <row r="19" spans="1:22" ht="18" customHeight="1" x14ac:dyDescent="0.3">
      <c r="A19" s="755" t="s">
        <v>1597</v>
      </c>
      <c r="B19" s="5629"/>
      <c r="C19" s="5632"/>
      <c r="D19" s="752"/>
      <c r="E19" s="752"/>
      <c r="F19" s="752"/>
      <c r="G19" s="752"/>
      <c r="H19" s="752"/>
      <c r="I19" s="752"/>
      <c r="J19" s="752"/>
      <c r="K19" s="752"/>
      <c r="L19" s="752"/>
      <c r="M19" s="752"/>
      <c r="N19" s="752"/>
      <c r="O19" s="752"/>
      <c r="P19" s="752"/>
      <c r="Q19" s="836"/>
      <c r="R19" s="2529">
        <f t="shared" si="0"/>
        <v>0</v>
      </c>
      <c r="S19" s="756">
        <f>S20-R20</f>
        <v>-9391</v>
      </c>
    </row>
    <row r="20" spans="1:22" ht="18.600000000000001" customHeight="1" x14ac:dyDescent="0.25">
      <c r="B20" s="5630"/>
      <c r="C20" s="683" t="s">
        <v>977</v>
      </c>
      <c r="D20" s="5622">
        <f>D8*E8+D9*E9+D10*E10+D11*E11+D12*E12+D13*E13+D14*E14+D15*E15+D16*E16+D17*E17+D18*E18+D19*E19</f>
        <v>0</v>
      </c>
      <c r="E20" s="5623"/>
      <c r="F20" s="5622">
        <f>F8*G8+F9*G9+F10*G10+F11*G11+F12*G12+F13*G13+F14*G14+F15*G15+F16*G16+F17*G17+F18*G18+F19*G19</f>
        <v>17472</v>
      </c>
      <c r="G20" s="5623"/>
      <c r="H20" s="5622">
        <f>H8*I8+H9*I9+H10*I10+H11*I11+H12*I12+H13*I13+H14*I14+H15*I15+H16*I16+H17*I17+H18*I18+H19*I19</f>
        <v>0</v>
      </c>
      <c r="I20" s="5623"/>
      <c r="J20" s="5622">
        <f>J8*K8+J9*K9+J10*K10+J11*K11+J12*K12+J13*K13+J14*K14+J15*K15+J16*K16+J17*K17+J18*K18+J19*K19</f>
        <v>0</v>
      </c>
      <c r="K20" s="5623"/>
      <c r="L20" s="5622">
        <f>L8*M8+L9*M9+L10*M10+L11*M11+L12*M12+L13*M13+L14*M14+L15*M15+L16*M16+L17*M17+L18*M18+L19*M19</f>
        <v>0</v>
      </c>
      <c r="M20" s="5623"/>
      <c r="N20" s="5622">
        <f>N8*O8+N9*O9+N10*O10+N11*O11+N12*O12+N13*O13+N14*O14+N15*O15+N16*O16+N17*O17+N18*O18+N19*O19</f>
        <v>3841</v>
      </c>
      <c r="O20" s="5623"/>
      <c r="P20" s="5622">
        <f>P8*Q8+P9*Q9+P10*Q10+P11*Q11+P12*Q12+P13*Q13+P14*Q14+P15*Q15+P16*Q16+P17*Q17+P18*Q18+P19*Q19</f>
        <v>1103</v>
      </c>
      <c r="Q20" s="5628"/>
      <c r="R20" s="3873">
        <f>SUM(R8:R19)</f>
        <v>22416</v>
      </c>
      <c r="S20" s="753">
        <f>1106+9161+2758</f>
        <v>13025</v>
      </c>
    </row>
    <row r="21" spans="1:22" ht="45" customHeight="1" x14ac:dyDescent="0.3">
      <c r="A21" s="755" t="s">
        <v>1598</v>
      </c>
      <c r="B21" s="5633">
        <v>2</v>
      </c>
      <c r="C21" s="687" t="s">
        <v>1599</v>
      </c>
      <c r="D21" s="684">
        <v>1</v>
      </c>
      <c r="E21" s="684">
        <f>(2400+3000)-G21</f>
        <v>1000</v>
      </c>
      <c r="F21" s="684">
        <v>1</v>
      </c>
      <c r="G21" s="684">
        <v>4400</v>
      </c>
      <c r="H21" s="684"/>
      <c r="I21" s="684"/>
      <c r="J21" s="684"/>
      <c r="K21" s="684"/>
      <c r="L21" s="684"/>
      <c r="M21" s="684"/>
      <c r="N21" s="685"/>
      <c r="O21" s="685"/>
      <c r="P21" s="684"/>
      <c r="Q21" s="833"/>
      <c r="R21" s="834">
        <f>D21*E21+F21*G21+H21*I21+J21*K21+L21*M21+N21*O21+P21*Q21</f>
        <v>5400</v>
      </c>
      <c r="S21" s="2528" t="s">
        <v>2549</v>
      </c>
      <c r="T21" s="753" t="s">
        <v>3698</v>
      </c>
    </row>
    <row r="22" spans="1:22" ht="15.6" x14ac:dyDescent="0.25">
      <c r="B22" s="5630"/>
      <c r="C22" s="683" t="s">
        <v>977</v>
      </c>
      <c r="D22" s="5634">
        <f>D21*E21</f>
        <v>1000</v>
      </c>
      <c r="E22" s="5635"/>
      <c r="F22" s="5634">
        <f>F21*G21</f>
        <v>4400</v>
      </c>
      <c r="G22" s="5635"/>
      <c r="H22" s="5634"/>
      <c r="I22" s="5635"/>
      <c r="J22" s="5634"/>
      <c r="K22" s="5635"/>
      <c r="L22" s="5634"/>
      <c r="M22" s="5635"/>
      <c r="N22" s="5634"/>
      <c r="O22" s="5635"/>
      <c r="P22" s="5634"/>
      <c r="Q22" s="5636"/>
      <c r="R22" s="835">
        <f>SUM(R21)</f>
        <v>5400</v>
      </c>
    </row>
    <row r="23" spans="1:22" ht="73.95" customHeight="1" x14ac:dyDescent="0.3">
      <c r="B23" s="5637">
        <v>3</v>
      </c>
      <c r="C23" s="687" t="s">
        <v>1600</v>
      </c>
      <c r="D23" s="684">
        <v>1</v>
      </c>
      <c r="E23" s="3880">
        <v>6069</v>
      </c>
      <c r="F23" s="684">
        <v>1</v>
      </c>
      <c r="G23" s="684"/>
      <c r="H23" s="684"/>
      <c r="I23" s="684"/>
      <c r="J23" s="685"/>
      <c r="K23" s="685"/>
      <c r="L23" s="684"/>
      <c r="M23" s="684"/>
      <c r="N23" s="684"/>
      <c r="O23" s="684"/>
      <c r="P23" s="684"/>
      <c r="Q23" s="833"/>
      <c r="R23" s="834">
        <f>D23*E23+F23*G23+H23*I23+J23*K23+L23*M23+N23*O23+P23*Q23</f>
        <v>6069</v>
      </c>
      <c r="S23" s="2528" t="s">
        <v>2549</v>
      </c>
      <c r="T23" s="753" t="s">
        <v>3695</v>
      </c>
    </row>
    <row r="24" spans="1:22" ht="16.2" thickBot="1" x14ac:dyDescent="0.3">
      <c r="B24" s="5638"/>
      <c r="C24" s="683" t="s">
        <v>977</v>
      </c>
      <c r="D24" s="5634">
        <f>D23*E23</f>
        <v>6069</v>
      </c>
      <c r="E24" s="5635"/>
      <c r="F24" s="5634">
        <f>F23*G23</f>
        <v>0</v>
      </c>
      <c r="G24" s="5635"/>
      <c r="H24" s="5634">
        <f>H23*I23</f>
        <v>0</v>
      </c>
      <c r="I24" s="5635"/>
      <c r="J24" s="5634">
        <f>J23*K23</f>
        <v>0</v>
      </c>
      <c r="K24" s="5635"/>
      <c r="L24" s="5634">
        <f>L23*M23</f>
        <v>0</v>
      </c>
      <c r="M24" s="5635"/>
      <c r="N24" s="5634">
        <f>N23*O23</f>
        <v>0</v>
      </c>
      <c r="O24" s="5635"/>
      <c r="P24" s="5634">
        <f>P23*Q23</f>
        <v>0</v>
      </c>
      <c r="Q24" s="5636"/>
      <c r="R24" s="2530">
        <f>SUM(R23)</f>
        <v>6069</v>
      </c>
    </row>
    <row r="25" spans="1:22" ht="16.2" thickBot="1" x14ac:dyDescent="0.3">
      <c r="B25" s="3877"/>
      <c r="C25" s="3878" t="s">
        <v>978</v>
      </c>
      <c r="D25" s="5639">
        <f>D20+D22+D24</f>
        <v>7069</v>
      </c>
      <c r="E25" s="5640"/>
      <c r="F25" s="5639">
        <f>F20+F22+F24</f>
        <v>21872</v>
      </c>
      <c r="G25" s="5640"/>
      <c r="H25" s="5639">
        <f>H20+H22+H24</f>
        <v>0</v>
      </c>
      <c r="I25" s="5640"/>
      <c r="J25" s="5639">
        <f>J20+J22+J24</f>
        <v>0</v>
      </c>
      <c r="K25" s="5640"/>
      <c r="L25" s="5639">
        <f>L20+L22+L24</f>
        <v>0</v>
      </c>
      <c r="M25" s="5640"/>
      <c r="N25" s="5639">
        <f>N20+N22+N24</f>
        <v>3841</v>
      </c>
      <c r="O25" s="5640"/>
      <c r="P25" s="5639">
        <f>P20+P22+P24</f>
        <v>1103</v>
      </c>
      <c r="Q25" s="5641"/>
      <c r="R25" s="3879">
        <f>R20+R22+R24</f>
        <v>33885</v>
      </c>
      <c r="V25" s="753" t="s">
        <v>1898</v>
      </c>
    </row>
  </sheetData>
  <mergeCells count="43">
    <mergeCell ref="N24:O24"/>
    <mergeCell ref="P24:Q24"/>
    <mergeCell ref="D25:E25"/>
    <mergeCell ref="F25:G25"/>
    <mergeCell ref="H25:I25"/>
    <mergeCell ref="J25:K25"/>
    <mergeCell ref="L25:M25"/>
    <mergeCell ref="N25:O25"/>
    <mergeCell ref="P25:Q25"/>
    <mergeCell ref="L24:M24"/>
    <mergeCell ref="B23:B24"/>
    <mergeCell ref="D24:E24"/>
    <mergeCell ref="F24:G24"/>
    <mergeCell ref="H24:I24"/>
    <mergeCell ref="J24:K24"/>
    <mergeCell ref="L22:M22"/>
    <mergeCell ref="N22:O22"/>
    <mergeCell ref="P22:Q22"/>
    <mergeCell ref="J20:K20"/>
    <mergeCell ref="L20:M20"/>
    <mergeCell ref="B21:B22"/>
    <mergeCell ref="D22:E22"/>
    <mergeCell ref="F22:G22"/>
    <mergeCell ref="H22:I22"/>
    <mergeCell ref="J22:K22"/>
    <mergeCell ref="H20:I20"/>
    <mergeCell ref="L6:M6"/>
    <mergeCell ref="B3:G3"/>
    <mergeCell ref="N6:O6"/>
    <mergeCell ref="P6:Q6"/>
    <mergeCell ref="N20:O20"/>
    <mergeCell ref="P20:Q20"/>
    <mergeCell ref="B8:B20"/>
    <mergeCell ref="C8:C19"/>
    <mergeCell ref="D20:E20"/>
    <mergeCell ref="F20:G20"/>
    <mergeCell ref="R6:R7"/>
    <mergeCell ref="J6:K6"/>
    <mergeCell ref="B6:B7"/>
    <mergeCell ref="C6:C7"/>
    <mergeCell ref="D6:E6"/>
    <mergeCell ref="F6:G6"/>
    <mergeCell ref="H6:I6"/>
  </mergeCells>
  <pageMargins left="0.7" right="0.7" top="0.75" bottom="0.75" header="0.3" footer="0.3"/>
  <pageSetup paperSize="9" orientation="portrait" verticalDpi="0" r:id="rId1"/>
  <legacyDrawing r:id="rId2"/>
</worksheet>
</file>

<file path=xl/worksheets/sheet7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900-000000000000}">
  <sheetPr codeName="Лист71">
    <tabColor theme="2" tint="-0.499984740745262"/>
    <pageSetUpPr fitToPage="1"/>
  </sheetPr>
  <dimension ref="A1:S59"/>
  <sheetViews>
    <sheetView topLeftCell="A40" workbookViewId="0">
      <selection activeCell="E50" sqref="E50"/>
    </sheetView>
  </sheetViews>
  <sheetFormatPr defaultColWidth="9.109375" defaultRowHeight="15.6" x14ac:dyDescent="0.3"/>
  <cols>
    <col min="1" max="1" width="7.6640625" style="709" customWidth="1"/>
    <col min="2" max="2" width="5.5546875" style="707" customWidth="1"/>
    <col min="3" max="3" width="56.6640625" style="708" customWidth="1"/>
    <col min="4" max="4" width="4.6640625" style="709" customWidth="1"/>
    <col min="5" max="5" width="11.6640625" style="709" bestFit="1" customWidth="1"/>
    <col min="6" max="6" width="8.44140625" style="709" customWidth="1"/>
    <col min="7" max="7" width="10.109375" style="709" bestFit="1" customWidth="1"/>
    <col min="8" max="8" width="4.33203125" style="709" customWidth="1"/>
    <col min="9" max="9" width="10.88671875" style="709" customWidth="1"/>
    <col min="10" max="10" width="4.44140625" style="709" customWidth="1"/>
    <col min="11" max="11" width="12" style="709" customWidth="1"/>
    <col min="12" max="12" width="4.6640625" style="709" customWidth="1"/>
    <col min="13" max="13" width="10.109375" style="709" customWidth="1"/>
    <col min="14" max="14" width="4.109375" style="709" customWidth="1"/>
    <col min="15" max="15" width="9.33203125" style="709" customWidth="1"/>
    <col min="16" max="16" width="4.6640625" style="709" customWidth="1"/>
    <col min="17" max="17" width="12.88671875" style="709" customWidth="1"/>
    <col min="18" max="18" width="11.33203125" style="709" bestFit="1" customWidth="1"/>
    <col min="19" max="19" width="21" style="1478" customWidth="1"/>
    <col min="20" max="20" width="10.33203125" style="709" customWidth="1"/>
    <col min="21" max="16384" width="9.109375" style="709"/>
  </cols>
  <sheetData>
    <row r="1" spans="1:19" x14ac:dyDescent="0.3">
      <c r="R1" s="709" t="s">
        <v>1011</v>
      </c>
    </row>
    <row r="3" spans="1:19" s="708" customFormat="1" x14ac:dyDescent="0.3">
      <c r="B3" s="5644" t="s">
        <v>1978</v>
      </c>
      <c r="C3" s="5644"/>
      <c r="D3" s="5644"/>
      <c r="E3" s="5644"/>
      <c r="F3" s="5644"/>
      <c r="H3" s="864" t="str">
        <f>'Вхідні дані'!$F$5</f>
        <v>КП «КТЕ"</v>
      </c>
      <c r="I3" s="864"/>
      <c r="J3" s="864"/>
      <c r="K3" s="864"/>
      <c r="L3" s="864"/>
      <c r="M3" s="1480" t="s">
        <v>461</v>
      </c>
      <c r="N3" s="865" t="str">
        <f>'Вхідні дані'!$F$6</f>
        <v>2023-2024</v>
      </c>
      <c r="O3" s="866"/>
      <c r="P3" s="793" t="s">
        <v>661</v>
      </c>
      <c r="Q3" s="793"/>
      <c r="R3" s="793"/>
      <c r="S3" s="1478"/>
    </row>
    <row r="5" spans="1:19" ht="16.2" thickBot="1" x14ac:dyDescent="0.35">
      <c r="R5" s="709" t="s">
        <v>967</v>
      </c>
    </row>
    <row r="6" spans="1:19" ht="13.8" x14ac:dyDescent="0.25">
      <c r="B6" s="5645" t="s">
        <v>968</v>
      </c>
      <c r="C6" s="5647" t="s">
        <v>1595</v>
      </c>
      <c r="D6" s="5642" t="s">
        <v>869</v>
      </c>
      <c r="E6" s="5642"/>
      <c r="F6" s="5642" t="s">
        <v>928</v>
      </c>
      <c r="G6" s="5642"/>
      <c r="H6" s="5642" t="s">
        <v>902</v>
      </c>
      <c r="I6" s="5642"/>
      <c r="J6" s="5642" t="s">
        <v>970</v>
      </c>
      <c r="K6" s="5642"/>
      <c r="L6" s="5642" t="s">
        <v>871</v>
      </c>
      <c r="M6" s="5642"/>
      <c r="N6" s="5642" t="s">
        <v>971</v>
      </c>
      <c r="O6" s="5642"/>
      <c r="P6" s="5642" t="s">
        <v>972</v>
      </c>
      <c r="Q6" s="5643"/>
      <c r="R6" s="805" t="s">
        <v>973</v>
      </c>
    </row>
    <row r="7" spans="1:19" ht="14.4" thickBot="1" x14ac:dyDescent="0.3">
      <c r="B7" s="5646"/>
      <c r="C7" s="5648"/>
      <c r="D7" s="796" t="s">
        <v>876</v>
      </c>
      <c r="E7" s="796" t="s">
        <v>976</v>
      </c>
      <c r="F7" s="796" t="s">
        <v>876</v>
      </c>
      <c r="G7" s="796" t="s">
        <v>976</v>
      </c>
      <c r="H7" s="796" t="s">
        <v>876</v>
      </c>
      <c r="I7" s="796" t="s">
        <v>976</v>
      </c>
      <c r="J7" s="796" t="s">
        <v>876</v>
      </c>
      <c r="K7" s="796" t="s">
        <v>976</v>
      </c>
      <c r="L7" s="796" t="s">
        <v>876</v>
      </c>
      <c r="M7" s="796" t="s">
        <v>976</v>
      </c>
      <c r="N7" s="796" t="s">
        <v>876</v>
      </c>
      <c r="O7" s="796" t="s">
        <v>976</v>
      </c>
      <c r="P7" s="796" t="s">
        <v>876</v>
      </c>
      <c r="Q7" s="804" t="s">
        <v>976</v>
      </c>
      <c r="R7" s="806" t="s">
        <v>447</v>
      </c>
    </row>
    <row r="8" spans="1:19" ht="14.4" thickBot="1" x14ac:dyDescent="0.3">
      <c r="B8" s="946"/>
      <c r="C8" s="943" t="s">
        <v>80</v>
      </c>
      <c r="D8" s="809"/>
      <c r="E8" s="810">
        <f>D9*E9+D10*E10+D11*E11+D12*E12+D13*E13+D14*E14+D15*E15+D16*E16+D17*E17+D18*E18+D19*E19</f>
        <v>59095.780000000006</v>
      </c>
      <c r="F8" s="809"/>
      <c r="G8" s="810">
        <f>F9*G9+F10*G10+F11*G11+F12*G12+F13*G13+F14*G14+F15*G15+F16*G16+F17*G17+F18*G18+F19*G19</f>
        <v>10200</v>
      </c>
      <c r="H8" s="810"/>
      <c r="I8" s="2510">
        <f>H9*I9+H10*I10+H11*I11+H12*I12+H13*I13+H14*I14+H15*I15+H16*I16+H17*I17+H18*I18+H19*I19</f>
        <v>0</v>
      </c>
      <c r="J8" s="2509"/>
      <c r="K8" s="2510">
        <f>J9*K9+J10*K10+J11*K11+J12*K12+J13*K13+J14*K14+J15*K15+J16*K16+J17*K17+J18*K18+J19*K19</f>
        <v>0</v>
      </c>
      <c r="L8" s="2509"/>
      <c r="M8" s="2510">
        <f>L9*M9+L10*M10+L11*M11+L12*M12+L13*M13+L14*M14+L15*M15+L16*M16+L17*M17+L18*M18+L19*M19</f>
        <v>0</v>
      </c>
      <c r="N8" s="809"/>
      <c r="O8" s="810">
        <f>N9*O9+N10*O10+N11*O11+N12*O12+N13*O13+N14*O14+N15*O15+N16*O16+N17*O17+N18*O18+N19*O19</f>
        <v>0</v>
      </c>
      <c r="P8" s="2509"/>
      <c r="Q8" s="2511">
        <f>P9*Q9+P10*Q10+P11*Q11+P12*Q12+P13*Q13+P14*Q14+P15*Q15+P16*Q16+P17*Q17+P18*Q18+P19*Q19</f>
        <v>0</v>
      </c>
      <c r="R8" s="811">
        <f>SUM(R9:R19)</f>
        <v>69295.78</v>
      </c>
    </row>
    <row r="9" spans="1:19" ht="27.6" x14ac:dyDescent="0.25">
      <c r="A9" s="1530" t="s">
        <v>2561</v>
      </c>
      <c r="B9" s="944">
        <v>1</v>
      </c>
      <c r="C9" s="3893" t="s">
        <v>1907</v>
      </c>
      <c r="D9" s="1286">
        <v>1</v>
      </c>
      <c r="E9" s="2506">
        <f>12000/1.2</f>
        <v>10000</v>
      </c>
      <c r="F9" s="1286"/>
      <c r="G9" s="1286"/>
      <c r="H9" s="1286"/>
      <c r="I9" s="1286"/>
      <c r="J9" s="1286"/>
      <c r="K9" s="1286"/>
      <c r="L9" s="1286"/>
      <c r="M9" s="1286"/>
      <c r="N9" s="1286"/>
      <c r="O9" s="1286"/>
      <c r="P9" s="1286"/>
      <c r="Q9" s="1287"/>
      <c r="R9" s="2499">
        <f>D9*E9+F9*G9+H9*I9+J9*K9+L9*M9+N9*O9+P9*Q9</f>
        <v>10000</v>
      </c>
      <c r="S9" s="1478" t="s">
        <v>3713</v>
      </c>
    </row>
    <row r="10" spans="1:19" ht="13.8" x14ac:dyDescent="0.25">
      <c r="B10" s="945">
        <f>B9+1</f>
        <v>2</v>
      </c>
      <c r="C10" s="2503" t="s">
        <v>3711</v>
      </c>
      <c r="D10" s="1288">
        <v>1</v>
      </c>
      <c r="E10" s="2506">
        <f>3000/1.2</f>
        <v>2500</v>
      </c>
      <c r="F10" s="1288"/>
      <c r="G10" s="1288"/>
      <c r="H10" s="1288"/>
      <c r="I10" s="1288"/>
      <c r="J10" s="1288"/>
      <c r="K10" s="1288"/>
      <c r="L10" s="1288"/>
      <c r="M10" s="1288"/>
      <c r="N10" s="1288"/>
      <c r="O10" s="1288"/>
      <c r="P10" s="1288"/>
      <c r="Q10" s="1289"/>
      <c r="R10" s="2500">
        <f t="shared" ref="R10:R19" si="0">D10*E10+F10*G10+H10*I10+J10*K10+L10*M10+N10*O10+P10*Q10</f>
        <v>2500</v>
      </c>
      <c r="S10" s="1478" t="s">
        <v>3712</v>
      </c>
    </row>
    <row r="11" spans="1:19" ht="13.8" x14ac:dyDescent="0.25">
      <c r="B11" s="945">
        <f t="shared" ref="B11:B19" si="1">B10+1</f>
        <v>3</v>
      </c>
      <c r="C11" s="2503" t="s">
        <v>1908</v>
      </c>
      <c r="D11" s="1288">
        <v>1</v>
      </c>
      <c r="E11" s="2506">
        <v>17606.580000000002</v>
      </c>
      <c r="F11" s="1288"/>
      <c r="G11" s="1288"/>
      <c r="H11" s="1288"/>
      <c r="I11" s="1288"/>
      <c r="J11" s="1288"/>
      <c r="K11" s="1288"/>
      <c r="L11" s="1288"/>
      <c r="M11" s="1288"/>
      <c r="N11" s="1288"/>
      <c r="O11" s="1288"/>
      <c r="P11" s="1288"/>
      <c r="Q11" s="1289"/>
      <c r="R11" s="2500">
        <f t="shared" si="0"/>
        <v>17606.580000000002</v>
      </c>
      <c r="S11" s="1478" t="s">
        <v>3704</v>
      </c>
    </row>
    <row r="12" spans="1:19" ht="15" customHeight="1" x14ac:dyDescent="0.25">
      <c r="B12" s="945">
        <f t="shared" si="1"/>
        <v>4</v>
      </c>
      <c r="C12" s="2503" t="s">
        <v>3255</v>
      </c>
      <c r="D12" s="1288">
        <v>1</v>
      </c>
      <c r="E12" s="2506">
        <v>16335.76</v>
      </c>
      <c r="F12" s="1288"/>
      <c r="G12" s="1288"/>
      <c r="H12" s="1288"/>
      <c r="I12" s="1288"/>
      <c r="J12" s="1288"/>
      <c r="K12" s="1288"/>
      <c r="L12" s="1288"/>
      <c r="M12" s="1288"/>
      <c r="N12" s="1288"/>
      <c r="O12" s="1288"/>
      <c r="P12" s="1288"/>
      <c r="Q12" s="1289"/>
      <c r="R12" s="2500">
        <f t="shared" si="0"/>
        <v>16335.76</v>
      </c>
      <c r="S12" s="1478" t="s">
        <v>3703</v>
      </c>
    </row>
    <row r="13" spans="1:19" ht="27.6" x14ac:dyDescent="0.25">
      <c r="B13" s="945">
        <f t="shared" si="1"/>
        <v>5</v>
      </c>
      <c r="C13" s="2503" t="s">
        <v>3701</v>
      </c>
      <c r="D13" s="1288">
        <v>1</v>
      </c>
      <c r="E13" s="2506">
        <v>12053.44</v>
      </c>
      <c r="F13" s="1288"/>
      <c r="G13" s="1288"/>
      <c r="H13" s="1288"/>
      <c r="I13" s="1288"/>
      <c r="J13" s="1288"/>
      <c r="K13" s="1288"/>
      <c r="L13" s="1288"/>
      <c r="M13" s="1288"/>
      <c r="N13" s="1288"/>
      <c r="O13" s="1288"/>
      <c r="P13" s="1288"/>
      <c r="Q13" s="1289"/>
      <c r="R13" s="2500">
        <f t="shared" si="0"/>
        <v>12053.44</v>
      </c>
      <c r="S13" s="1478" t="s">
        <v>3702</v>
      </c>
    </row>
    <row r="14" spans="1:19" ht="13.8" x14ac:dyDescent="0.25">
      <c r="B14" s="945">
        <f t="shared" si="1"/>
        <v>6</v>
      </c>
      <c r="C14" s="942" t="s">
        <v>1909</v>
      </c>
      <c r="D14" s="1288"/>
      <c r="E14" s="2501"/>
      <c r="F14" s="1288">
        <v>1</v>
      </c>
      <c r="G14" s="2502">
        <f>10800/1.2</f>
        <v>9000</v>
      </c>
      <c r="H14" s="1288"/>
      <c r="I14" s="1288"/>
      <c r="J14" s="1288"/>
      <c r="K14" s="1288"/>
      <c r="L14" s="1288"/>
      <c r="M14" s="1288"/>
      <c r="N14" s="1288"/>
      <c r="O14" s="1288"/>
      <c r="P14" s="1288"/>
      <c r="Q14" s="1289"/>
      <c r="R14" s="2500">
        <f t="shared" si="0"/>
        <v>9000</v>
      </c>
    </row>
    <row r="15" spans="1:19" ht="13.8" x14ac:dyDescent="0.25">
      <c r="B15" s="945">
        <f t="shared" si="1"/>
        <v>7</v>
      </c>
      <c r="C15" s="942" t="s">
        <v>1910</v>
      </c>
      <c r="D15" s="1288"/>
      <c r="E15" s="2501"/>
      <c r="F15" s="1288"/>
      <c r="G15" s="1288"/>
      <c r="H15" s="1288"/>
      <c r="I15" s="1288"/>
      <c r="J15" s="1288"/>
      <c r="K15" s="1288"/>
      <c r="L15" s="1288"/>
      <c r="M15" s="1288"/>
      <c r="N15" s="1288"/>
      <c r="O15" s="1288"/>
      <c r="P15" s="1288"/>
      <c r="Q15" s="1289"/>
      <c r="R15" s="2500">
        <f t="shared" si="0"/>
        <v>0</v>
      </c>
    </row>
    <row r="16" spans="1:19" ht="13.8" x14ac:dyDescent="0.25">
      <c r="B16" s="945">
        <f t="shared" si="1"/>
        <v>8</v>
      </c>
      <c r="C16" s="942" t="s">
        <v>1911</v>
      </c>
      <c r="D16" s="1288"/>
      <c r="E16" s="2501"/>
      <c r="F16" s="1288"/>
      <c r="G16" s="1288"/>
      <c r="H16" s="1288"/>
      <c r="I16" s="1288"/>
      <c r="J16" s="1288"/>
      <c r="K16" s="1288"/>
      <c r="L16" s="1288"/>
      <c r="M16" s="1288"/>
      <c r="N16" s="1288"/>
      <c r="O16" s="1288"/>
      <c r="P16" s="1288"/>
      <c r="Q16" s="1289"/>
      <c r="R16" s="2500">
        <f t="shared" si="0"/>
        <v>0</v>
      </c>
    </row>
    <row r="17" spans="1:19" ht="13.8" x14ac:dyDescent="0.25">
      <c r="A17" s="709" t="s">
        <v>2544</v>
      </c>
      <c r="B17" s="945">
        <f t="shared" si="1"/>
        <v>9</v>
      </c>
      <c r="C17" s="942" t="s">
        <v>1912</v>
      </c>
      <c r="D17" s="1288"/>
      <c r="E17" s="2501"/>
      <c r="F17" s="1288"/>
      <c r="G17" s="1288"/>
      <c r="H17" s="1288"/>
      <c r="I17" s="1288"/>
      <c r="J17" s="1288"/>
      <c r="K17" s="1288"/>
      <c r="L17" s="1288"/>
      <c r="M17" s="1288"/>
      <c r="N17" s="1288"/>
      <c r="O17" s="1288"/>
      <c r="P17" s="1288"/>
      <c r="Q17" s="1289"/>
      <c r="R17" s="2500">
        <f t="shared" si="0"/>
        <v>0</v>
      </c>
    </row>
    <row r="18" spans="1:19" ht="27.6" x14ac:dyDescent="0.25">
      <c r="B18" s="945">
        <f t="shared" si="1"/>
        <v>10</v>
      </c>
      <c r="C18" s="2503" t="s">
        <v>3303</v>
      </c>
      <c r="D18" s="1288">
        <v>1</v>
      </c>
      <c r="E18" s="2506">
        <v>600</v>
      </c>
      <c r="F18" s="1288">
        <v>2</v>
      </c>
      <c r="G18" s="1288">
        <v>600</v>
      </c>
      <c r="H18" s="1288"/>
      <c r="I18" s="1288"/>
      <c r="J18" s="1288"/>
      <c r="K18" s="1288"/>
      <c r="L18" s="1288"/>
      <c r="M18" s="1288"/>
      <c r="N18" s="1288"/>
      <c r="O18" s="1288"/>
      <c r="P18" s="1288"/>
      <c r="Q18" s="1289"/>
      <c r="R18" s="2500">
        <f t="shared" si="0"/>
        <v>1800</v>
      </c>
      <c r="S18" s="1478" t="s">
        <v>3728</v>
      </c>
    </row>
    <row r="19" spans="1:19" ht="13.8" x14ac:dyDescent="0.25">
      <c r="B19" s="945">
        <f t="shared" si="1"/>
        <v>11</v>
      </c>
      <c r="C19" s="942" t="s">
        <v>1913</v>
      </c>
      <c r="D19" s="1288"/>
      <c r="E19" s="2501"/>
      <c r="F19" s="1288"/>
      <c r="G19" s="1288"/>
      <c r="H19" s="1288"/>
      <c r="I19" s="1288"/>
      <c r="J19" s="1288"/>
      <c r="K19" s="1288"/>
      <c r="L19" s="1288"/>
      <c r="M19" s="1288"/>
      <c r="N19" s="1288"/>
      <c r="O19" s="1288"/>
      <c r="P19" s="1288"/>
      <c r="Q19" s="1289"/>
      <c r="R19" s="2500">
        <f t="shared" si="0"/>
        <v>0</v>
      </c>
    </row>
    <row r="20" spans="1:19" x14ac:dyDescent="0.3">
      <c r="G20" s="1528"/>
    </row>
    <row r="24" spans="1:19" x14ac:dyDescent="0.3">
      <c r="R24" s="709" t="s">
        <v>1011</v>
      </c>
    </row>
    <row r="25" spans="1:19" ht="13.8" x14ac:dyDescent="0.25">
      <c r="B25" s="709"/>
      <c r="C25" s="709"/>
    </row>
    <row r="26" spans="1:19" ht="32.4" customHeight="1" x14ac:dyDescent="0.3">
      <c r="B26" s="5649" t="s">
        <v>1918</v>
      </c>
      <c r="C26" s="5649"/>
      <c r="D26" s="5649"/>
      <c r="E26" s="5649"/>
      <c r="F26" s="5649"/>
      <c r="G26" s="792"/>
      <c r="H26" s="3882" t="str">
        <f>'Вхідні дані'!$F$5</f>
        <v>КП «КТЕ"</v>
      </c>
      <c r="I26" s="864"/>
      <c r="J26" s="864"/>
      <c r="K26" s="864"/>
      <c r="L26" s="864"/>
      <c r="M26" s="3883" t="s">
        <v>461</v>
      </c>
      <c r="N26" s="3884" t="str">
        <f>'Вхідні дані'!$F$6</f>
        <v>2023-2024</v>
      </c>
      <c r="O26" s="866"/>
      <c r="P26" s="793" t="s">
        <v>661</v>
      </c>
    </row>
    <row r="27" spans="1:19" ht="14.4" thickBot="1" x14ac:dyDescent="0.3">
      <c r="B27" s="709"/>
      <c r="C27" s="709"/>
    </row>
    <row r="28" spans="1:19" x14ac:dyDescent="0.25">
      <c r="B28" s="5650" t="s">
        <v>968</v>
      </c>
      <c r="C28" s="5652" t="s">
        <v>1915</v>
      </c>
      <c r="D28" s="5654" t="s">
        <v>869</v>
      </c>
      <c r="E28" s="5654"/>
      <c r="F28" s="5654" t="s">
        <v>928</v>
      </c>
      <c r="G28" s="5654"/>
      <c r="H28" s="5654" t="s">
        <v>902</v>
      </c>
      <c r="I28" s="5654"/>
      <c r="J28" s="5654" t="s">
        <v>970</v>
      </c>
      <c r="K28" s="5654"/>
      <c r="L28" s="5654" t="s">
        <v>871</v>
      </c>
      <c r="M28" s="5654"/>
      <c r="N28" s="5654" t="s">
        <v>971</v>
      </c>
      <c r="O28" s="5654"/>
      <c r="P28" s="5654" t="s">
        <v>972</v>
      </c>
      <c r="Q28" s="5655"/>
      <c r="R28" s="801" t="s">
        <v>973</v>
      </c>
    </row>
    <row r="29" spans="1:19" ht="16.2" thickBot="1" x14ac:dyDescent="0.3">
      <c r="B29" s="5651"/>
      <c r="C29" s="5653"/>
      <c r="D29" s="799" t="s">
        <v>876</v>
      </c>
      <c r="E29" s="799" t="s">
        <v>976</v>
      </c>
      <c r="F29" s="799" t="s">
        <v>876</v>
      </c>
      <c r="G29" s="799" t="s">
        <v>976</v>
      </c>
      <c r="H29" s="799" t="s">
        <v>876</v>
      </c>
      <c r="I29" s="799" t="s">
        <v>976</v>
      </c>
      <c r="J29" s="799" t="s">
        <v>876</v>
      </c>
      <c r="K29" s="799" t="s">
        <v>976</v>
      </c>
      <c r="L29" s="799" t="s">
        <v>876</v>
      </c>
      <c r="M29" s="799" t="s">
        <v>976</v>
      </c>
      <c r="N29" s="799" t="s">
        <v>876</v>
      </c>
      <c r="O29" s="799" t="s">
        <v>976</v>
      </c>
      <c r="P29" s="799" t="s">
        <v>876</v>
      </c>
      <c r="Q29" s="800" t="s">
        <v>976</v>
      </c>
      <c r="R29" s="802" t="s">
        <v>447</v>
      </c>
    </row>
    <row r="30" spans="1:19" ht="16.2" thickBot="1" x14ac:dyDescent="0.35">
      <c r="B30" s="807"/>
      <c r="C30" s="2513" t="s">
        <v>80</v>
      </c>
      <c r="D30" s="2515"/>
      <c r="E30" s="2516">
        <f>SUMPRODUCT(D31:D59,E31:E59)</f>
        <v>180797.83166666667</v>
      </c>
      <c r="F30" s="2515"/>
      <c r="G30" s="2516">
        <f>SUMPRODUCT(F31:F59,G31:G59)</f>
        <v>26613.84</v>
      </c>
      <c r="H30" s="2514"/>
      <c r="I30" s="2514">
        <f>SUMPRODUCT(H31:H59,I31:I59)</f>
        <v>0</v>
      </c>
      <c r="J30" s="2515"/>
      <c r="K30" s="2516">
        <f>SUMPRODUCT(J31:J59,K31:K59)</f>
        <v>0</v>
      </c>
      <c r="L30" s="2515"/>
      <c r="M30" s="2516">
        <f>SUMPRODUCT(L31:L59,M31:M59)</f>
        <v>0</v>
      </c>
      <c r="N30" s="2514"/>
      <c r="O30" s="2514">
        <f>SUMPRODUCT(N31:N59,O31:O59)</f>
        <v>0</v>
      </c>
      <c r="P30" s="2515"/>
      <c r="Q30" s="2516">
        <f>SUMPRODUCT(P31:P59,Q31:Q59)</f>
        <v>200</v>
      </c>
      <c r="R30" s="808">
        <f>SUM(R31:R59)</f>
        <v>207611.67166666669</v>
      </c>
    </row>
    <row r="31" spans="1:19" x14ac:dyDescent="0.3">
      <c r="B31" s="797">
        <v>1</v>
      </c>
      <c r="C31" s="3888" t="s">
        <v>2602</v>
      </c>
      <c r="D31" s="798">
        <v>1</v>
      </c>
      <c r="E31" s="3889">
        <f>47977/1.2</f>
        <v>39980.833333333336</v>
      </c>
      <c r="F31" s="1565"/>
      <c r="G31" s="1566"/>
      <c r="H31" s="1565"/>
      <c r="I31" s="1566"/>
      <c r="J31" s="1565"/>
      <c r="K31" s="1566"/>
      <c r="L31" s="1565"/>
      <c r="M31" s="1566"/>
      <c r="N31" s="1565"/>
      <c r="O31" s="1566"/>
      <c r="P31" s="1565"/>
      <c r="Q31" s="1567"/>
      <c r="R31" s="803">
        <f>D31*E31+F31*G31+H31*I31+J31*K31+L31*M31+N31*O31+P31*Q31</f>
        <v>39980.833333333336</v>
      </c>
      <c r="S31" s="1478" t="s">
        <v>3706</v>
      </c>
    </row>
    <row r="32" spans="1:19" s="2520" customFormat="1" ht="19.2" customHeight="1" x14ac:dyDescent="0.3">
      <c r="B32" s="795">
        <f>B31+1</f>
        <v>2</v>
      </c>
      <c r="C32" s="4258" t="s">
        <v>2603</v>
      </c>
      <c r="D32" s="786">
        <v>1</v>
      </c>
      <c r="E32" s="3889">
        <f>25200/1.2</f>
        <v>21000</v>
      </c>
      <c r="F32" s="2517"/>
      <c r="G32" s="2518"/>
      <c r="H32" s="2517"/>
      <c r="I32" s="2518"/>
      <c r="J32" s="2517"/>
      <c r="K32" s="2518"/>
      <c r="L32" s="2517"/>
      <c r="M32" s="2518"/>
      <c r="N32" s="2517"/>
      <c r="O32" s="2518"/>
      <c r="P32" s="2517"/>
      <c r="Q32" s="2519"/>
      <c r="R32" s="803">
        <f t="shared" ref="R32:R59" si="2">D32*E32+F32*G32+H32*I32+J32*K32+L32*M32+N32*O32+P32*Q32</f>
        <v>21000</v>
      </c>
      <c r="S32" s="2521" t="s">
        <v>3708</v>
      </c>
    </row>
    <row r="33" spans="1:19" x14ac:dyDescent="0.25">
      <c r="B33" s="795">
        <f t="shared" ref="B33:B59" si="3">B32+1</f>
        <v>3</v>
      </c>
      <c r="C33" s="3890" t="s">
        <v>2491</v>
      </c>
      <c r="D33" s="710">
        <v>5</v>
      </c>
      <c r="E33" s="3891">
        <f>1500/1.2</f>
        <v>1250</v>
      </c>
      <c r="F33" s="1561"/>
      <c r="G33" s="1561"/>
      <c r="H33" s="1561"/>
      <c r="I33" s="1561"/>
      <c r="J33" s="1561"/>
      <c r="K33" s="1561"/>
      <c r="L33" s="1561"/>
      <c r="M33" s="1561"/>
      <c r="N33" s="1561"/>
      <c r="O33" s="1561"/>
      <c r="P33" s="1561"/>
      <c r="Q33" s="1562"/>
      <c r="R33" s="803">
        <f t="shared" si="2"/>
        <v>6250</v>
      </c>
      <c r="S33" s="2568" t="s">
        <v>3707</v>
      </c>
    </row>
    <row r="34" spans="1:19" x14ac:dyDescent="0.25">
      <c r="B34" s="795">
        <f t="shared" si="3"/>
        <v>4</v>
      </c>
      <c r="C34" s="2497" t="s">
        <v>2606</v>
      </c>
      <c r="D34" s="940"/>
      <c r="E34" s="941"/>
      <c r="F34" s="1563"/>
      <c r="G34" s="1563"/>
      <c r="H34" s="1563"/>
      <c r="I34" s="1563"/>
      <c r="J34" s="1563"/>
      <c r="K34" s="1563"/>
      <c r="L34" s="1563"/>
      <c r="M34" s="1563"/>
      <c r="N34" s="1563"/>
      <c r="O34" s="1563"/>
      <c r="P34" s="1563"/>
      <c r="Q34" s="1564"/>
      <c r="R34" s="803">
        <f t="shared" si="2"/>
        <v>0</v>
      </c>
    </row>
    <row r="35" spans="1:19" ht="33.6" customHeight="1" x14ac:dyDescent="0.3">
      <c r="A35" s="1529"/>
      <c r="B35" s="795">
        <f t="shared" si="3"/>
        <v>5</v>
      </c>
      <c r="C35" s="2495" t="s">
        <v>2563</v>
      </c>
      <c r="D35" s="786"/>
      <c r="E35" s="711"/>
      <c r="F35" s="1558"/>
      <c r="G35" s="1559"/>
      <c r="H35" s="1558"/>
      <c r="I35" s="1559"/>
      <c r="J35" s="1558"/>
      <c r="K35" s="1559"/>
      <c r="L35" s="1558"/>
      <c r="M35" s="1559"/>
      <c r="N35" s="1558"/>
      <c r="O35" s="1559"/>
      <c r="P35" s="1558"/>
      <c r="Q35" s="1560"/>
      <c r="R35" s="803">
        <f t="shared" si="2"/>
        <v>0</v>
      </c>
      <c r="S35" s="1526"/>
    </row>
    <row r="36" spans="1:19" ht="33" customHeight="1" x14ac:dyDescent="0.3">
      <c r="A36" s="1529"/>
      <c r="B36" s="795">
        <f t="shared" si="3"/>
        <v>6</v>
      </c>
      <c r="C36" s="3732" t="s">
        <v>2564</v>
      </c>
      <c r="D36" s="786">
        <v>1</v>
      </c>
      <c r="E36" s="3887">
        <f>2478.16/1.2</f>
        <v>2065.1333333333332</v>
      </c>
      <c r="F36" s="1558"/>
      <c r="G36" s="1559"/>
      <c r="H36" s="1558"/>
      <c r="I36" s="1559"/>
      <c r="J36" s="1558"/>
      <c r="K36" s="1559"/>
      <c r="L36" s="1558"/>
      <c r="M36" s="1559"/>
      <c r="N36" s="1558"/>
      <c r="O36" s="1559"/>
      <c r="P36" s="1558"/>
      <c r="Q36" s="1560"/>
      <c r="R36" s="803">
        <f t="shared" si="2"/>
        <v>2065.1333333333332</v>
      </c>
      <c r="S36" s="1526" t="s">
        <v>3705</v>
      </c>
    </row>
    <row r="37" spans="1:19" ht="33.6" customHeight="1" x14ac:dyDescent="0.3">
      <c r="A37" s="1529"/>
      <c r="B37" s="795">
        <f t="shared" si="3"/>
        <v>7</v>
      </c>
      <c r="C37" s="2495" t="s">
        <v>2607</v>
      </c>
      <c r="D37" s="786"/>
      <c r="E37" s="787"/>
      <c r="F37" s="1558"/>
      <c r="G37" s="1559"/>
      <c r="H37" s="1558"/>
      <c r="I37" s="1559"/>
      <c r="J37" s="1558"/>
      <c r="K37" s="1559"/>
      <c r="L37" s="1558"/>
      <c r="M37" s="1559"/>
      <c r="N37" s="1558"/>
      <c r="O37" s="1559"/>
      <c r="P37" s="1558"/>
      <c r="Q37" s="1560"/>
      <c r="R37" s="803">
        <f t="shared" si="2"/>
        <v>0</v>
      </c>
      <c r="S37" s="1526"/>
    </row>
    <row r="38" spans="1:19" ht="30" customHeight="1" x14ac:dyDescent="0.3">
      <c r="A38" s="1529"/>
      <c r="B38" s="795">
        <f t="shared" si="3"/>
        <v>8</v>
      </c>
      <c r="C38" s="3894" t="s">
        <v>2608</v>
      </c>
      <c r="D38" s="786">
        <v>1</v>
      </c>
      <c r="E38" s="3895">
        <f>16760/1.2</f>
        <v>13966.666666666668</v>
      </c>
      <c r="F38" s="1558"/>
      <c r="G38" s="1559"/>
      <c r="H38" s="1558"/>
      <c r="I38" s="1559"/>
      <c r="J38" s="1558"/>
      <c r="K38" s="1559"/>
      <c r="L38" s="1558"/>
      <c r="M38" s="1559"/>
      <c r="N38" s="1558"/>
      <c r="O38" s="1559"/>
      <c r="P38" s="1558"/>
      <c r="Q38" s="1560"/>
      <c r="R38" s="803">
        <f t="shared" si="2"/>
        <v>13966.666666666668</v>
      </c>
      <c r="S38" s="1478" t="s">
        <v>3714</v>
      </c>
    </row>
    <row r="39" spans="1:19" ht="27.6" x14ac:dyDescent="0.25">
      <c r="B39" s="795">
        <f t="shared" si="3"/>
        <v>9</v>
      </c>
      <c r="C39" s="2496" t="s">
        <v>2605</v>
      </c>
      <c r="D39" s="712"/>
      <c r="E39" s="711"/>
      <c r="F39" s="710"/>
      <c r="G39" s="711"/>
      <c r="H39" s="712"/>
      <c r="I39" s="712"/>
      <c r="J39" s="712"/>
      <c r="K39" s="712"/>
      <c r="L39" s="712"/>
      <c r="M39" s="712"/>
      <c r="N39" s="712"/>
      <c r="O39" s="712"/>
      <c r="P39" s="712"/>
      <c r="Q39" s="712"/>
      <c r="R39" s="803">
        <f t="shared" si="2"/>
        <v>0</v>
      </c>
    </row>
    <row r="40" spans="1:19" ht="30" customHeight="1" x14ac:dyDescent="0.25">
      <c r="A40" s="1529"/>
      <c r="B40" s="795">
        <f t="shared" si="3"/>
        <v>10</v>
      </c>
      <c r="C40" s="2496" t="s">
        <v>2610</v>
      </c>
      <c r="D40" s="786"/>
      <c r="E40" s="787"/>
      <c r="F40" s="1568"/>
      <c r="G40" s="1569"/>
      <c r="H40" s="1568"/>
      <c r="I40" s="1569"/>
      <c r="J40" s="1568"/>
      <c r="K40" s="1569"/>
      <c r="L40" s="1568"/>
      <c r="M40" s="1569"/>
      <c r="N40" s="1568"/>
      <c r="O40" s="1569"/>
      <c r="P40" s="1568"/>
      <c r="Q40" s="1570"/>
      <c r="R40" s="803">
        <f t="shared" si="2"/>
        <v>0</v>
      </c>
      <c r="S40" s="1526"/>
    </row>
    <row r="41" spans="1:19" x14ac:dyDescent="0.3">
      <c r="A41" s="709" t="s">
        <v>3641</v>
      </c>
      <c r="B41" s="795">
        <f t="shared" si="3"/>
        <v>11</v>
      </c>
      <c r="C41" s="3732" t="s">
        <v>2506</v>
      </c>
      <c r="D41" s="1479"/>
      <c r="E41" s="1479"/>
      <c r="F41" s="3939">
        <f>2*4</f>
        <v>8</v>
      </c>
      <c r="G41" s="3889">
        <v>2342.98</v>
      </c>
      <c r="H41" s="788"/>
      <c r="I41" s="787"/>
      <c r="J41" s="788"/>
      <c r="K41" s="787"/>
      <c r="L41" s="788"/>
      <c r="M41" s="787"/>
      <c r="N41" s="788"/>
      <c r="O41" s="787"/>
      <c r="P41" s="788"/>
      <c r="Q41" s="791"/>
      <c r="R41" s="3881">
        <f t="shared" si="2"/>
        <v>18743.84</v>
      </c>
      <c r="S41" s="1478" t="s">
        <v>3643</v>
      </c>
    </row>
    <row r="42" spans="1:19" ht="46.2" customHeight="1" x14ac:dyDescent="0.3">
      <c r="A42" s="1529" t="s">
        <v>2544</v>
      </c>
      <c r="B42" s="795">
        <f t="shared" si="3"/>
        <v>12</v>
      </c>
      <c r="C42" s="2495" t="s">
        <v>2604</v>
      </c>
      <c r="D42" s="786"/>
      <c r="E42" s="787"/>
      <c r="F42" s="788"/>
      <c r="G42" s="787"/>
      <c r="H42" s="788"/>
      <c r="I42" s="787"/>
      <c r="J42" s="788"/>
      <c r="K42" s="787"/>
      <c r="L42" s="788"/>
      <c r="M42" s="787"/>
      <c r="N42" s="788"/>
      <c r="O42" s="787"/>
      <c r="P42" s="788"/>
      <c r="Q42" s="791"/>
      <c r="R42" s="803">
        <f t="shared" si="2"/>
        <v>0</v>
      </c>
    </row>
    <row r="43" spans="1:19" ht="49.95" customHeight="1" x14ac:dyDescent="0.3">
      <c r="B43" s="795">
        <f t="shared" si="3"/>
        <v>13</v>
      </c>
      <c r="C43" s="4253" t="s">
        <v>3262</v>
      </c>
      <c r="D43" s="12">
        <v>1</v>
      </c>
      <c r="E43" s="4254">
        <f>2350/1.2</f>
        <v>1958.3333333333335</v>
      </c>
      <c r="F43" s="788"/>
      <c r="G43" s="790"/>
      <c r="H43" s="788"/>
      <c r="I43" s="787"/>
      <c r="J43" s="788"/>
      <c r="K43" s="787"/>
      <c r="L43" s="788"/>
      <c r="M43" s="787"/>
      <c r="N43" s="788"/>
      <c r="O43" s="787"/>
      <c r="P43" s="788"/>
      <c r="Q43" s="791"/>
      <c r="R43" s="803">
        <f t="shared" si="2"/>
        <v>1958.3333333333335</v>
      </c>
    </row>
    <row r="44" spans="1:19" x14ac:dyDescent="0.25">
      <c r="B44" s="795">
        <f t="shared" si="3"/>
        <v>14</v>
      </c>
      <c r="C44" s="1468"/>
      <c r="D44" s="786"/>
      <c r="E44" s="1487"/>
      <c r="F44" s="788"/>
      <c r="G44" s="787"/>
      <c r="H44" s="788"/>
      <c r="I44" s="787"/>
      <c r="J44" s="788"/>
      <c r="K44" s="787"/>
      <c r="L44" s="788"/>
      <c r="M44" s="787"/>
      <c r="N44" s="788"/>
      <c r="O44" s="787"/>
      <c r="P44" s="788"/>
      <c r="Q44" s="791"/>
      <c r="R44" s="803">
        <f t="shared" si="2"/>
        <v>0</v>
      </c>
      <c r="S44" s="1469"/>
    </row>
    <row r="45" spans="1:19" ht="31.2" x14ac:dyDescent="0.3">
      <c r="B45" s="795">
        <f t="shared" si="3"/>
        <v>15</v>
      </c>
      <c r="C45" s="3732" t="s">
        <v>3263</v>
      </c>
      <c r="D45" s="786"/>
      <c r="E45" s="787"/>
      <c r="F45" s="788">
        <v>1</v>
      </c>
      <c r="G45" s="3889">
        <f>5880/1.2</f>
        <v>4900</v>
      </c>
      <c r="H45" s="788"/>
      <c r="I45" s="787"/>
      <c r="J45" s="788"/>
      <c r="K45" s="787"/>
      <c r="L45" s="788"/>
      <c r="M45" s="787"/>
      <c r="N45" s="788"/>
      <c r="O45" s="787"/>
      <c r="P45" s="788"/>
      <c r="Q45" s="791"/>
      <c r="R45" s="3881">
        <f t="shared" si="2"/>
        <v>4900</v>
      </c>
      <c r="S45" s="1478" t="s">
        <v>3729</v>
      </c>
    </row>
    <row r="46" spans="1:19" ht="27.6" x14ac:dyDescent="0.25">
      <c r="B46" s="795">
        <f t="shared" si="3"/>
        <v>16</v>
      </c>
      <c r="C46" s="4255" t="s">
        <v>3300</v>
      </c>
      <c r="D46" s="786">
        <v>1</v>
      </c>
      <c r="E46" s="3889">
        <v>21008.27</v>
      </c>
      <c r="F46" s="788"/>
      <c r="G46" s="787"/>
      <c r="H46" s="788"/>
      <c r="I46" s="787"/>
      <c r="J46" s="788"/>
      <c r="K46" s="787"/>
      <c r="L46" s="788"/>
      <c r="M46" s="787"/>
      <c r="N46" s="788"/>
      <c r="O46" s="787"/>
      <c r="P46" s="788"/>
      <c r="Q46" s="791"/>
      <c r="R46" s="803">
        <f t="shared" si="2"/>
        <v>21008.27</v>
      </c>
      <c r="S46" s="1478" t="s">
        <v>3301</v>
      </c>
    </row>
    <row r="47" spans="1:19" ht="41.4" x14ac:dyDescent="0.25">
      <c r="B47" s="795">
        <f t="shared" si="3"/>
        <v>17</v>
      </c>
      <c r="C47" s="4255" t="s">
        <v>3302</v>
      </c>
      <c r="D47" s="786">
        <v>1</v>
      </c>
      <c r="E47" s="3889">
        <v>7752.07</v>
      </c>
      <c r="F47" s="788"/>
      <c r="G47" s="787"/>
      <c r="H47" s="788"/>
      <c r="I47" s="787"/>
      <c r="J47" s="788"/>
      <c r="K47" s="787"/>
      <c r="L47" s="788"/>
      <c r="M47" s="787"/>
      <c r="N47" s="788"/>
      <c r="O47" s="787"/>
      <c r="P47" s="788"/>
      <c r="Q47" s="791"/>
      <c r="R47" s="803">
        <f t="shared" si="2"/>
        <v>7752.07</v>
      </c>
      <c r="S47" s="1478" t="s">
        <v>3301</v>
      </c>
    </row>
    <row r="48" spans="1:19" ht="32.4" customHeight="1" x14ac:dyDescent="0.25">
      <c r="B48" s="795">
        <f t="shared" si="3"/>
        <v>18</v>
      </c>
      <c r="C48" s="4255" t="s">
        <v>3891</v>
      </c>
      <c r="D48" s="786">
        <v>1</v>
      </c>
      <c r="E48" s="3889">
        <f>7013.83/1.2</f>
        <v>5844.8583333333336</v>
      </c>
      <c r="F48" s="788"/>
      <c r="G48" s="787"/>
      <c r="H48" s="788"/>
      <c r="I48" s="787"/>
      <c r="J48" s="788"/>
      <c r="K48" s="787"/>
      <c r="L48" s="788"/>
      <c r="M48" s="787"/>
      <c r="N48" s="788"/>
      <c r="O48" s="787"/>
      <c r="P48" s="788"/>
      <c r="Q48" s="791"/>
      <c r="R48" s="803">
        <f t="shared" si="2"/>
        <v>5844.8583333333336</v>
      </c>
      <c r="S48" s="1478" t="s">
        <v>3892</v>
      </c>
    </row>
    <row r="49" spans="1:19" x14ac:dyDescent="0.3">
      <c r="B49" s="795">
        <f t="shared" si="3"/>
        <v>19</v>
      </c>
      <c r="C49" s="3732" t="s">
        <v>4110</v>
      </c>
      <c r="D49" s="786">
        <v>1</v>
      </c>
      <c r="E49" s="3889">
        <f>69992/1.2</f>
        <v>58326.666666666672</v>
      </c>
      <c r="F49" s="788"/>
      <c r="G49" s="787"/>
      <c r="H49" s="788"/>
      <c r="I49" s="787"/>
      <c r="J49" s="788"/>
      <c r="K49" s="787"/>
      <c r="L49" s="788"/>
      <c r="M49" s="787"/>
      <c r="N49" s="788"/>
      <c r="O49" s="787"/>
      <c r="P49" s="788"/>
      <c r="Q49" s="791"/>
      <c r="R49" s="803">
        <f t="shared" si="2"/>
        <v>58326.666666666672</v>
      </c>
    </row>
    <row r="50" spans="1:19" ht="31.95" customHeight="1" x14ac:dyDescent="0.3">
      <c r="B50" s="795">
        <f t="shared" si="3"/>
        <v>20</v>
      </c>
      <c r="C50" s="2495" t="s">
        <v>2613</v>
      </c>
      <c r="D50" s="786"/>
      <c r="E50" s="787"/>
      <c r="F50" s="788"/>
      <c r="G50" s="787"/>
      <c r="H50" s="788"/>
      <c r="I50" s="787"/>
      <c r="J50" s="788"/>
      <c r="K50" s="787"/>
      <c r="L50" s="788"/>
      <c r="M50" s="787"/>
      <c r="N50" s="788"/>
      <c r="O50" s="787"/>
      <c r="P50" s="788"/>
      <c r="Q50" s="791"/>
      <c r="R50" s="803">
        <f t="shared" si="2"/>
        <v>0</v>
      </c>
    </row>
    <row r="51" spans="1:19" ht="46.5" customHeight="1" x14ac:dyDescent="0.3">
      <c r="B51" s="795">
        <f t="shared" si="3"/>
        <v>21</v>
      </c>
      <c r="C51" s="2495" t="s">
        <v>2614</v>
      </c>
      <c r="D51" s="786"/>
      <c r="E51" s="787"/>
      <c r="F51" s="788"/>
      <c r="G51" s="787"/>
      <c r="H51" s="788"/>
      <c r="I51" s="787"/>
      <c r="J51" s="788"/>
      <c r="K51" s="787"/>
      <c r="L51" s="788"/>
      <c r="M51" s="787"/>
      <c r="N51" s="788"/>
      <c r="O51" s="787"/>
      <c r="P51" s="788"/>
      <c r="Q51" s="791"/>
      <c r="R51" s="803">
        <f t="shared" si="2"/>
        <v>0</v>
      </c>
      <c r="S51" s="1572"/>
    </row>
    <row r="52" spans="1:19" x14ac:dyDescent="0.3">
      <c r="B52" s="795">
        <f t="shared" si="3"/>
        <v>22</v>
      </c>
      <c r="C52" s="3732" t="s">
        <v>1916</v>
      </c>
      <c r="D52" s="786">
        <v>1</v>
      </c>
      <c r="E52" s="3889">
        <f>670.5+600+110+87+1177.5</f>
        <v>2645</v>
      </c>
      <c r="F52" s="788">
        <v>1</v>
      </c>
      <c r="G52" s="787">
        <f>100+110+100+200+200+165+495</f>
        <v>1370</v>
      </c>
      <c r="H52" s="788"/>
      <c r="I52" s="787"/>
      <c r="J52" s="788"/>
      <c r="K52" s="787"/>
      <c r="L52" s="788"/>
      <c r="M52" s="787"/>
      <c r="N52" s="788"/>
      <c r="O52" s="787"/>
      <c r="P52" s="788">
        <v>1</v>
      </c>
      <c r="Q52" s="791">
        <v>200</v>
      </c>
      <c r="R52" s="3881">
        <f t="shared" si="2"/>
        <v>4215</v>
      </c>
      <c r="S52" s="1478" t="s">
        <v>3700</v>
      </c>
    </row>
    <row r="53" spans="1:19" x14ac:dyDescent="0.3">
      <c r="B53" s="795">
        <f t="shared" si="3"/>
        <v>23</v>
      </c>
      <c r="C53" s="2495"/>
      <c r="D53" s="786"/>
      <c r="E53" s="787"/>
      <c r="F53" s="788"/>
      <c r="G53" s="787"/>
      <c r="H53" s="788"/>
      <c r="I53" s="787"/>
      <c r="J53" s="788"/>
      <c r="K53" s="787"/>
      <c r="L53" s="788"/>
      <c r="M53" s="787"/>
      <c r="N53" s="788"/>
      <c r="O53" s="787"/>
      <c r="P53" s="788"/>
      <c r="Q53" s="791"/>
      <c r="R53" s="803">
        <f t="shared" si="2"/>
        <v>0</v>
      </c>
    </row>
    <row r="54" spans="1:19" x14ac:dyDescent="0.3">
      <c r="B54" s="795">
        <f t="shared" si="3"/>
        <v>24</v>
      </c>
      <c r="C54" s="2495"/>
      <c r="D54" s="786"/>
      <c r="E54" s="787"/>
      <c r="F54" s="788"/>
      <c r="G54" s="787"/>
      <c r="H54" s="788"/>
      <c r="I54" s="787"/>
      <c r="J54" s="788"/>
      <c r="K54" s="787"/>
      <c r="L54" s="788"/>
      <c r="M54" s="787"/>
      <c r="N54" s="788"/>
      <c r="O54" s="787"/>
      <c r="P54" s="788"/>
      <c r="Q54" s="791"/>
      <c r="R54" s="803">
        <f t="shared" si="2"/>
        <v>0</v>
      </c>
    </row>
    <row r="55" spans="1:19" ht="62.4" x14ac:dyDescent="0.3">
      <c r="A55" s="1529" t="s">
        <v>2544</v>
      </c>
      <c r="B55" s="795">
        <f t="shared" si="3"/>
        <v>25</v>
      </c>
      <c r="C55" s="2495" t="s">
        <v>1917</v>
      </c>
      <c r="D55" s="786"/>
      <c r="E55" s="787"/>
      <c r="F55" s="788"/>
      <c r="G55" s="787"/>
      <c r="H55" s="788"/>
      <c r="I55" s="787"/>
      <c r="J55" s="788"/>
      <c r="K55" s="787"/>
      <c r="L55" s="788"/>
      <c r="M55" s="787"/>
      <c r="N55" s="788"/>
      <c r="O55" s="787"/>
      <c r="P55" s="788"/>
      <c r="Q55" s="791"/>
      <c r="R55" s="803">
        <f t="shared" si="2"/>
        <v>0</v>
      </c>
      <c r="S55" s="1526"/>
    </row>
    <row r="56" spans="1:19" ht="46.8" x14ac:dyDescent="0.3">
      <c r="B56" s="795">
        <f t="shared" si="3"/>
        <v>26</v>
      </c>
      <c r="C56" s="2498" t="s">
        <v>2466</v>
      </c>
      <c r="D56" s="712"/>
      <c r="E56" s="712"/>
      <c r="F56" s="712"/>
      <c r="G56" s="712"/>
      <c r="H56" s="712"/>
      <c r="I56" s="712"/>
      <c r="J56" s="712"/>
      <c r="K56" s="712"/>
      <c r="L56" s="712"/>
      <c r="M56" s="712"/>
      <c r="N56" s="712"/>
      <c r="O56" s="712"/>
      <c r="P56" s="712"/>
      <c r="Q56" s="712"/>
      <c r="R56" s="803">
        <f t="shared" si="2"/>
        <v>0</v>
      </c>
    </row>
    <row r="57" spans="1:19" ht="16.95" customHeight="1" x14ac:dyDescent="0.3">
      <c r="B57" s="795">
        <f t="shared" si="3"/>
        <v>27</v>
      </c>
      <c r="C57" s="3940" t="s">
        <v>2494</v>
      </c>
      <c r="D57" s="712"/>
      <c r="E57" s="712"/>
      <c r="F57" s="3941">
        <v>1</v>
      </c>
      <c r="G57" s="3941">
        <v>1600</v>
      </c>
      <c r="H57" s="712"/>
      <c r="I57" s="712"/>
      <c r="J57" s="712"/>
      <c r="K57" s="712"/>
      <c r="L57" s="712"/>
      <c r="M57" s="712"/>
      <c r="N57" s="712"/>
      <c r="O57" s="712"/>
      <c r="P57" s="712"/>
      <c r="Q57" s="712"/>
      <c r="R57" s="3881">
        <f t="shared" si="2"/>
        <v>1600</v>
      </c>
      <c r="S57" s="1478" t="s">
        <v>3727</v>
      </c>
    </row>
    <row r="58" spans="1:19" ht="31.2" x14ac:dyDescent="0.3">
      <c r="B58" s="795">
        <f t="shared" si="3"/>
        <v>28</v>
      </c>
      <c r="C58" s="2498" t="s">
        <v>2495</v>
      </c>
      <c r="D58" s="712"/>
      <c r="E58" s="712"/>
      <c r="F58" s="712"/>
      <c r="G58" s="712"/>
      <c r="H58" s="712"/>
      <c r="I58" s="712"/>
      <c r="J58" s="712"/>
      <c r="K58" s="712"/>
      <c r="L58" s="712"/>
      <c r="M58" s="712"/>
      <c r="N58" s="712"/>
      <c r="O58" s="712"/>
      <c r="P58" s="712"/>
      <c r="Q58" s="712"/>
      <c r="R58" s="803">
        <f t="shared" si="2"/>
        <v>0</v>
      </c>
    </row>
    <row r="59" spans="1:19" x14ac:dyDescent="0.25">
      <c r="B59" s="795">
        <f t="shared" si="3"/>
        <v>29</v>
      </c>
      <c r="C59" s="2496" t="s">
        <v>2492</v>
      </c>
      <c r="D59" s="712"/>
      <c r="E59" s="711"/>
      <c r="F59" s="712"/>
      <c r="G59" s="712"/>
      <c r="H59" s="712"/>
      <c r="I59" s="712"/>
      <c r="J59" s="712"/>
      <c r="K59" s="712"/>
      <c r="L59" s="712"/>
      <c r="M59" s="712"/>
      <c r="N59" s="712"/>
      <c r="O59" s="712"/>
      <c r="P59" s="712"/>
      <c r="Q59" s="712"/>
      <c r="R59" s="803">
        <f t="shared" si="2"/>
        <v>0</v>
      </c>
    </row>
  </sheetData>
  <mergeCells count="20">
    <mergeCell ref="H28:I28"/>
    <mergeCell ref="J28:K28"/>
    <mergeCell ref="L28:M28"/>
    <mergeCell ref="N28:O28"/>
    <mergeCell ref="P28:Q28"/>
    <mergeCell ref="B26:F26"/>
    <mergeCell ref="B28:B29"/>
    <mergeCell ref="C28:C29"/>
    <mergeCell ref="D28:E28"/>
    <mergeCell ref="F28:G28"/>
    <mergeCell ref="J6:K6"/>
    <mergeCell ref="L6:M6"/>
    <mergeCell ref="N6:O6"/>
    <mergeCell ref="P6:Q6"/>
    <mergeCell ref="B3:F3"/>
    <mergeCell ref="B6:B7"/>
    <mergeCell ref="C6:C7"/>
    <mergeCell ref="D6:E6"/>
    <mergeCell ref="F6:G6"/>
    <mergeCell ref="H6:I6"/>
  </mergeCells>
  <pageMargins left="0.70866141732283472" right="0.70866141732283472" top="0.31496062992125984" bottom="0.31496062992125984" header="0.31496062992125984" footer="0.31496062992125984"/>
  <pageSetup paperSize="9" scale="79" orientation="portrait" verticalDpi="0" r:id="rId1"/>
  <legacyDrawing r:id="rId2"/>
</worksheet>
</file>

<file path=xl/worksheets/sheet7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A00-000000000000}">
  <sheetPr codeName="Лист72">
    <tabColor rgb="FF92D050"/>
    <pageSetUpPr fitToPage="1"/>
  </sheetPr>
  <dimension ref="A1:M23"/>
  <sheetViews>
    <sheetView workbookViewId="0">
      <selection activeCell="A22" sqref="A22"/>
    </sheetView>
  </sheetViews>
  <sheetFormatPr defaultColWidth="9.109375" defaultRowHeight="13.8" x14ac:dyDescent="0.25"/>
  <cols>
    <col min="1" max="1" width="34.44140625" style="1492" customWidth="1"/>
    <col min="2" max="2" width="8.88671875" style="10" customWidth="1"/>
    <col min="3" max="3" width="9.5546875" style="10" customWidth="1"/>
    <col min="4" max="4" width="12.6640625" style="10" customWidth="1"/>
    <col min="5" max="5" width="9.109375" style="10" customWidth="1"/>
    <col min="6" max="6" width="8.6640625" style="10" customWidth="1"/>
    <col min="7" max="7" width="10.44140625" style="10" customWidth="1"/>
    <col min="8" max="8" width="11.109375" style="10" customWidth="1"/>
    <col min="9" max="9" width="11.6640625" style="693" customWidth="1"/>
    <col min="10" max="10" width="11.88671875" style="10" customWidth="1"/>
    <col min="11" max="11" width="9.6640625" style="10" customWidth="1"/>
    <col min="12" max="16384" width="9.109375" style="10"/>
  </cols>
  <sheetData>
    <row r="1" spans="1:13" ht="43.5" customHeight="1" thickBot="1" x14ac:dyDescent="0.3">
      <c r="A1" s="5656" t="str">
        <f>"Розрахунок витрат на періодичні видання по КП ЧТЕ на планований період  "&amp;'Вхідні дані'!F6</f>
        <v>Розрахунок витрат на періодичні видання по КП ЧТЕ на планований період  2023-2024</v>
      </c>
      <c r="B1" s="5656"/>
      <c r="C1" s="5656"/>
      <c r="D1" s="5656"/>
      <c r="E1" s="5656"/>
      <c r="F1" s="5656"/>
      <c r="G1" s="5656"/>
      <c r="H1" s="5656"/>
      <c r="I1" s="5656"/>
    </row>
    <row r="2" spans="1:13" s="100" customFormat="1" ht="35.25" customHeight="1" thickBot="1" x14ac:dyDescent="0.3">
      <c r="A2" s="1682" t="s">
        <v>2468</v>
      </c>
      <c r="B2" s="1508" t="s">
        <v>2520</v>
      </c>
      <c r="C2" s="1508" t="s">
        <v>2521</v>
      </c>
      <c r="D2" s="1508" t="s">
        <v>902</v>
      </c>
      <c r="E2" s="1508" t="s">
        <v>1427</v>
      </c>
      <c r="F2" s="1508"/>
      <c r="G2" s="1508" t="s">
        <v>971</v>
      </c>
      <c r="H2" s="1508" t="s">
        <v>2522</v>
      </c>
      <c r="I2" s="1508" t="s">
        <v>3636</v>
      </c>
      <c r="J2" s="1508" t="s">
        <v>4100</v>
      </c>
      <c r="K2" s="1508" t="s">
        <v>3637</v>
      </c>
      <c r="L2" s="3729" t="s">
        <v>973</v>
      </c>
    </row>
    <row r="3" spans="1:13" s="1490" customFormat="1" ht="23.25" customHeight="1" thickBot="1" x14ac:dyDescent="0.3">
      <c r="A3" s="3730" t="s">
        <v>2523</v>
      </c>
      <c r="B3" s="1500">
        <f t="shared" ref="B3:I3" si="0">SUM(B4:B17)</f>
        <v>0</v>
      </c>
      <c r="C3" s="1500">
        <f t="shared" si="0"/>
        <v>9943.376085144364</v>
      </c>
      <c r="D3" s="1500">
        <f t="shared" si="0"/>
        <v>0</v>
      </c>
      <c r="E3" s="1500">
        <f t="shared" si="0"/>
        <v>0</v>
      </c>
      <c r="F3" s="1500">
        <f t="shared" si="0"/>
        <v>0</v>
      </c>
      <c r="G3" s="1500">
        <f t="shared" si="0"/>
        <v>25324.695210882179</v>
      </c>
      <c r="H3" s="1500">
        <f t="shared" si="0"/>
        <v>37411.088703973466</v>
      </c>
      <c r="I3" s="3714">
        <f t="shared" si="0"/>
        <v>71421.440000000002</v>
      </c>
      <c r="J3" s="3715">
        <f>SUM(J4:J17)</f>
        <v>220</v>
      </c>
      <c r="K3" s="3715">
        <v>1037.72</v>
      </c>
      <c r="L3" s="1500">
        <f>I3+J3+K3</f>
        <v>72679.16</v>
      </c>
      <c r="M3" s="4248">
        <f>L3-B3-C3-D3-E3-F3-G3-H3</f>
        <v>0</v>
      </c>
    </row>
    <row r="4" spans="1:13" ht="14.4" thickBot="1" x14ac:dyDescent="0.3">
      <c r="A4" s="3725" t="s">
        <v>2524</v>
      </c>
      <c r="B4" s="1958"/>
      <c r="C4" s="1958"/>
      <c r="D4" s="1958"/>
      <c r="E4" s="1958"/>
      <c r="F4" s="1958"/>
      <c r="G4" s="1958"/>
      <c r="H4" s="1686">
        <f t="shared" ref="H4:H14" si="1">L4</f>
        <v>2710.0575600144825</v>
      </c>
      <c r="I4" s="3720">
        <v>2640</v>
      </c>
      <c r="J4" s="3716">
        <v>22</v>
      </c>
      <c r="K4" s="3716">
        <f>K$3/(I$3-I$12-I$17)*I4</f>
        <v>48.057560014482618</v>
      </c>
      <c r="L4" s="1500">
        <f t="shared" ref="L4:L17" si="2">I4+J4+K4</f>
        <v>2710.0575600144825</v>
      </c>
    </row>
    <row r="5" spans="1:13" ht="14.4" thickBot="1" x14ac:dyDescent="0.3">
      <c r="A5" s="3726" t="s">
        <v>2525</v>
      </c>
      <c r="B5" s="1696"/>
      <c r="C5" s="1696"/>
      <c r="D5" s="1696"/>
      <c r="E5" s="1696"/>
      <c r="F5" s="1696"/>
      <c r="G5" s="1696"/>
      <c r="H5" s="3723">
        <f t="shared" si="1"/>
        <v>7157.5709774929901</v>
      </c>
      <c r="I5" s="3721">
        <v>7008</v>
      </c>
      <c r="J5" s="3717">
        <v>22</v>
      </c>
      <c r="K5" s="3716">
        <f t="shared" ref="K5:K16" si="3">K$3/(I$3-I$12-I$17)*I5</f>
        <v>127.57097749299024</v>
      </c>
      <c r="L5" s="1500">
        <f t="shared" si="2"/>
        <v>7157.5709774929901</v>
      </c>
    </row>
    <row r="6" spans="1:13" ht="15.75" customHeight="1" thickBot="1" x14ac:dyDescent="0.3">
      <c r="A6" s="3726" t="s">
        <v>2526</v>
      </c>
      <c r="B6" s="1696"/>
      <c r="C6" s="1696"/>
      <c r="D6" s="1696"/>
      <c r="E6" s="1696"/>
      <c r="F6" s="1696"/>
      <c r="G6" s="1696"/>
      <c r="H6" s="3723">
        <f t="shared" si="1"/>
        <v>855.29104182278991</v>
      </c>
      <c r="I6" s="3721">
        <v>840</v>
      </c>
      <c r="J6" s="3717"/>
      <c r="K6" s="3716">
        <f t="shared" si="3"/>
        <v>15.291041822789925</v>
      </c>
      <c r="L6" s="1500">
        <f t="shared" si="2"/>
        <v>855.29104182278991</v>
      </c>
    </row>
    <row r="7" spans="1:13" ht="14.4" thickBot="1" x14ac:dyDescent="0.3">
      <c r="A7" s="3726" t="s">
        <v>2527</v>
      </c>
      <c r="B7" s="1696"/>
      <c r="C7" s="1696"/>
      <c r="D7" s="1696"/>
      <c r="E7" s="1696"/>
      <c r="F7" s="1696"/>
      <c r="G7" s="1696"/>
      <c r="H7" s="3723">
        <f t="shared" si="1"/>
        <v>351.89797327450469</v>
      </c>
      <c r="I7" s="3721">
        <v>324</v>
      </c>
      <c r="J7" s="3717">
        <v>22</v>
      </c>
      <c r="K7" s="3716">
        <f t="shared" si="3"/>
        <v>5.8979732745046851</v>
      </c>
      <c r="L7" s="1500">
        <f t="shared" si="2"/>
        <v>351.89797327450469</v>
      </c>
    </row>
    <row r="8" spans="1:13" ht="14.4" thickBot="1" x14ac:dyDescent="0.3">
      <c r="A8" s="3726" t="s">
        <v>3638</v>
      </c>
      <c r="B8" s="1696"/>
      <c r="C8" s="1696"/>
      <c r="D8" s="1696"/>
      <c r="E8" s="1696"/>
      <c r="F8" s="1696"/>
      <c r="G8" s="1696"/>
      <c r="H8" s="3723">
        <f t="shared" si="1"/>
        <v>977.47547636890272</v>
      </c>
      <c r="I8" s="3721">
        <v>960</v>
      </c>
      <c r="J8" s="3717"/>
      <c r="K8" s="3716">
        <f t="shared" si="3"/>
        <v>17.475476368902772</v>
      </c>
      <c r="L8" s="1500">
        <f t="shared" si="2"/>
        <v>977.47547636890272</v>
      </c>
    </row>
    <row r="9" spans="1:13" ht="14.4" thickBot="1" x14ac:dyDescent="0.3">
      <c r="A9" s="3726" t="s">
        <v>3639</v>
      </c>
      <c r="B9" s="1696"/>
      <c r="C9" s="1696"/>
      <c r="D9" s="1696"/>
      <c r="E9" s="1696"/>
      <c r="F9" s="1696"/>
      <c r="G9" s="1696"/>
      <c r="H9" s="3723">
        <f t="shared" si="1"/>
        <v>2465.6886909222571</v>
      </c>
      <c r="I9" s="3721">
        <v>2400</v>
      </c>
      <c r="J9" s="3717">
        <v>22</v>
      </c>
      <c r="K9" s="3716">
        <f t="shared" si="3"/>
        <v>43.688690922256932</v>
      </c>
      <c r="L9" s="1500">
        <f t="shared" si="2"/>
        <v>2465.6886909222571</v>
      </c>
    </row>
    <row r="10" spans="1:13" ht="14.4" thickBot="1" x14ac:dyDescent="0.3">
      <c r="A10" s="3726" t="s">
        <v>2528</v>
      </c>
      <c r="B10" s="1696"/>
      <c r="C10" s="1696"/>
      <c r="D10" s="1696"/>
      <c r="E10" s="1696"/>
      <c r="F10" s="1696"/>
      <c r="G10" s="1696"/>
      <c r="H10" s="3723">
        <f t="shared" si="1"/>
        <v>9296.6538730917873</v>
      </c>
      <c r="I10" s="3721">
        <v>9108.84</v>
      </c>
      <c r="J10" s="3717">
        <v>22</v>
      </c>
      <c r="K10" s="3716">
        <f t="shared" si="3"/>
        <v>165.81387309178783</v>
      </c>
      <c r="L10" s="1500">
        <f t="shared" si="2"/>
        <v>9296.6538730917873</v>
      </c>
    </row>
    <row r="11" spans="1:13" ht="14.4" thickBot="1" x14ac:dyDescent="0.3">
      <c r="A11" s="3726" t="s">
        <v>2529</v>
      </c>
      <c r="B11" s="1696"/>
      <c r="C11" s="1696"/>
      <c r="D11" s="1696"/>
      <c r="E11" s="1696"/>
      <c r="F11" s="1696"/>
      <c r="G11" s="1690">
        <f>L11</f>
        <v>6194.7576332696208</v>
      </c>
      <c r="H11" s="3723"/>
      <c r="I11" s="3721">
        <v>6062.4</v>
      </c>
      <c r="J11" s="3717">
        <v>22</v>
      </c>
      <c r="K11" s="3716">
        <f t="shared" si="3"/>
        <v>110.35763326962099</v>
      </c>
      <c r="L11" s="1500">
        <f t="shared" si="2"/>
        <v>6194.7576332696208</v>
      </c>
    </row>
    <row r="12" spans="1:13" ht="14.4" thickBot="1" x14ac:dyDescent="0.3">
      <c r="A12" s="3726" t="s">
        <v>2530</v>
      </c>
      <c r="B12" s="1696"/>
      <c r="C12" s="1696"/>
      <c r="D12" s="1696"/>
      <c r="E12" s="1696"/>
      <c r="F12" s="1696"/>
      <c r="G12" s="1690">
        <f>L12</f>
        <v>6200</v>
      </c>
      <c r="H12" s="3723"/>
      <c r="I12" s="3721">
        <v>6200</v>
      </c>
      <c r="J12" s="3717"/>
      <c r="K12" s="3716"/>
      <c r="L12" s="1500">
        <f t="shared" si="2"/>
        <v>6200</v>
      </c>
    </row>
    <row r="13" spans="1:13" ht="42" thickBot="1" x14ac:dyDescent="0.3">
      <c r="A13" s="3726" t="s">
        <v>2531</v>
      </c>
      <c r="B13" s="1696"/>
      <c r="C13" s="1696"/>
      <c r="D13" s="1696"/>
      <c r="E13" s="1696"/>
      <c r="F13" s="1696"/>
      <c r="G13" s="1690">
        <f>L13</f>
        <v>4714.7375776125564</v>
      </c>
      <c r="H13" s="3723"/>
      <c r="I13" s="3721">
        <v>4608.84</v>
      </c>
      <c r="J13" s="3717">
        <v>22</v>
      </c>
      <c r="K13" s="3716">
        <f t="shared" si="3"/>
        <v>83.897577612556091</v>
      </c>
      <c r="L13" s="1500">
        <f t="shared" si="2"/>
        <v>4714.7375776125564</v>
      </c>
    </row>
    <row r="14" spans="1:13" ht="14.4" thickBot="1" x14ac:dyDescent="0.3">
      <c r="A14" s="3726" t="s">
        <v>2532</v>
      </c>
      <c r="B14" s="1696"/>
      <c r="C14" s="1696"/>
      <c r="D14" s="1696"/>
      <c r="E14" s="1696"/>
      <c r="F14" s="1696"/>
      <c r="G14" s="1696"/>
      <c r="H14" s="3723">
        <f t="shared" si="1"/>
        <v>9943.376085144364</v>
      </c>
      <c r="I14" s="3721">
        <v>9744</v>
      </c>
      <c r="J14" s="3717">
        <v>22</v>
      </c>
      <c r="K14" s="3716">
        <f t="shared" si="3"/>
        <v>177.37608514436312</v>
      </c>
      <c r="L14" s="1500">
        <f t="shared" si="2"/>
        <v>9943.376085144364</v>
      </c>
    </row>
    <row r="15" spans="1:13" ht="14.4" thickBot="1" x14ac:dyDescent="0.3">
      <c r="A15" s="3726" t="s">
        <v>2533</v>
      </c>
      <c r="B15" s="1696"/>
      <c r="C15" s="1690">
        <f>L15</f>
        <v>9943.376085144364</v>
      </c>
      <c r="D15" s="1696"/>
      <c r="E15" s="1696"/>
      <c r="F15" s="1696"/>
      <c r="G15" s="1696"/>
      <c r="H15" s="3723"/>
      <c r="I15" s="3721">
        <v>9744</v>
      </c>
      <c r="J15" s="3717">
        <v>22</v>
      </c>
      <c r="K15" s="3716">
        <f t="shared" si="3"/>
        <v>177.37608514436312</v>
      </c>
      <c r="L15" s="1500">
        <f t="shared" si="2"/>
        <v>9943.376085144364</v>
      </c>
    </row>
    <row r="16" spans="1:13" ht="28.2" customHeight="1" thickBot="1" x14ac:dyDescent="0.3">
      <c r="A16" s="3727" t="s">
        <v>2534</v>
      </c>
      <c r="B16" s="1715"/>
      <c r="C16" s="1715"/>
      <c r="D16" s="1715"/>
      <c r="E16" s="1715"/>
      <c r="F16" s="1715"/>
      <c r="G16" s="1715"/>
      <c r="H16" s="3724">
        <f>L16</f>
        <v>3653.0770258413813</v>
      </c>
      <c r="I16" s="3722">
        <v>3566.16</v>
      </c>
      <c r="J16" s="3718">
        <v>22</v>
      </c>
      <c r="K16" s="3716">
        <f t="shared" si="3"/>
        <v>64.917025841381573</v>
      </c>
      <c r="L16" s="3713">
        <f t="shared" si="2"/>
        <v>3653.0770258413813</v>
      </c>
    </row>
    <row r="17" spans="1:13" ht="14.4" thickBot="1" x14ac:dyDescent="0.3">
      <c r="A17" s="3728" t="s">
        <v>2535</v>
      </c>
      <c r="B17" s="1717"/>
      <c r="C17" s="1717"/>
      <c r="D17" s="1717"/>
      <c r="E17" s="1717"/>
      <c r="F17" s="1717"/>
      <c r="G17" s="1693">
        <f>L17</f>
        <v>8215.2000000000007</v>
      </c>
      <c r="H17" s="1693"/>
      <c r="I17" s="3721">
        <v>8215.2000000000007</v>
      </c>
      <c r="J17" s="3719"/>
      <c r="K17" s="3716"/>
      <c r="L17" s="3731">
        <f t="shared" si="2"/>
        <v>8215.2000000000007</v>
      </c>
    </row>
    <row r="19" spans="1:13" s="362" customFormat="1" ht="15.6" customHeight="1" x14ac:dyDescent="0.3">
      <c r="A19" s="5532" t="str">
        <f>'Вхідні дані'!B13</f>
        <v>Директор підприємства</v>
      </c>
      <c r="B19" s="5532"/>
      <c r="C19" s="1512"/>
      <c r="D19" s="368" t="s">
        <v>370</v>
      </c>
      <c r="E19" s="1512"/>
      <c r="F19" s="5535" t="str">
        <f>'Вхідні дані'!$F$13</f>
        <v>Анатолій ПАНШИН</v>
      </c>
      <c r="G19" s="5535"/>
      <c r="H19" s="5535"/>
      <c r="I19" s="367"/>
      <c r="J19" s="367"/>
      <c r="K19" s="367"/>
      <c r="L19" s="367"/>
      <c r="M19" s="367"/>
    </row>
    <row r="20" spans="1:13" s="362" customFormat="1" x14ac:dyDescent="0.3">
      <c r="B20" s="369"/>
      <c r="C20" s="370"/>
      <c r="D20" s="371" t="s">
        <v>209</v>
      </c>
      <c r="E20" s="367"/>
      <c r="F20" s="5521" t="s">
        <v>1985</v>
      </c>
      <c r="G20" s="5521"/>
      <c r="H20" s="5521"/>
      <c r="I20" s="367"/>
      <c r="J20" s="367"/>
      <c r="K20" s="367"/>
      <c r="L20" s="367"/>
      <c r="M20" s="367"/>
    </row>
    <row r="21" spans="1:13" s="362" customFormat="1" ht="15.6" x14ac:dyDescent="0.3">
      <c r="A21" s="5532" t="str">
        <f>'Вхідні дані'!B15</f>
        <v>Заступник директора з економіки</v>
      </c>
      <c r="B21" s="5532"/>
      <c r="C21" s="1512"/>
      <c r="D21" s="368" t="s">
        <v>370</v>
      </c>
      <c r="E21" s="1512"/>
      <c r="F21" s="5535" t="str">
        <f>'Вхідні дані'!$F$15</f>
        <v>Олена ЛАВРОВА</v>
      </c>
      <c r="G21" s="5535"/>
      <c r="H21" s="5535"/>
      <c r="I21" s="367"/>
      <c r="J21" s="367"/>
      <c r="K21" s="367"/>
      <c r="L21" s="367"/>
      <c r="M21" s="367"/>
    </row>
    <row r="22" spans="1:13" s="362" customFormat="1" ht="15.6" x14ac:dyDescent="0.3">
      <c r="B22" s="373"/>
      <c r="C22" s="370"/>
      <c r="D22" s="371" t="s">
        <v>209</v>
      </c>
      <c r="E22" s="367"/>
      <c r="F22" s="5521" t="s">
        <v>1985</v>
      </c>
      <c r="G22" s="5521"/>
      <c r="H22" s="5521"/>
      <c r="I22" s="367"/>
      <c r="J22" s="367"/>
      <c r="K22" s="367"/>
      <c r="L22" s="367"/>
      <c r="M22" s="367"/>
    </row>
    <row r="23" spans="1:13" s="362" customFormat="1" x14ac:dyDescent="0.3">
      <c r="A23" s="1511" t="s">
        <v>3640</v>
      </c>
      <c r="B23" s="1511"/>
      <c r="C23" s="1511"/>
      <c r="D23" s="1511"/>
      <c r="E23" s="1511"/>
    </row>
  </sheetData>
  <mergeCells count="7">
    <mergeCell ref="F22:H22"/>
    <mergeCell ref="A19:B19"/>
    <mergeCell ref="A21:B21"/>
    <mergeCell ref="A1:I1"/>
    <mergeCell ref="F19:H19"/>
    <mergeCell ref="F20:H20"/>
    <mergeCell ref="F21:H21"/>
  </mergeCells>
  <pageMargins left="0.32" right="0.3" top="0.74803149606299213" bottom="0.74803149606299213" header="0.31496062992125984" footer="0.31496062992125984"/>
  <pageSetup paperSize="9" scale="95" orientation="landscape" horizontalDpi="0" verticalDpi="0" r:id="rId1"/>
</worksheet>
</file>

<file path=xl/worksheets/sheet7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B00-000000000000}">
  <sheetPr codeName="Лист73">
    <tabColor rgb="FF92D050"/>
  </sheetPr>
  <dimension ref="A1:H100"/>
  <sheetViews>
    <sheetView topLeftCell="A88" workbookViewId="0">
      <selection activeCell="G111" sqref="G111"/>
    </sheetView>
  </sheetViews>
  <sheetFormatPr defaultRowHeight="14.4" x14ac:dyDescent="0.3"/>
  <cols>
    <col min="1" max="1" width="4.6640625" customWidth="1"/>
    <col min="2" max="2" width="31.109375" customWidth="1"/>
    <col min="3" max="3" width="16.6640625" customWidth="1"/>
    <col min="5" max="6" width="8.88671875" style="3585"/>
  </cols>
  <sheetData>
    <row r="1" spans="1:7" ht="41.4" x14ac:dyDescent="0.3">
      <c r="A1" s="3959" t="s">
        <v>7</v>
      </c>
      <c r="B1" s="5666" t="s">
        <v>3615</v>
      </c>
      <c r="C1" s="5666" t="s">
        <v>2813</v>
      </c>
      <c r="D1" s="5666" t="s">
        <v>3743</v>
      </c>
      <c r="E1" s="3960" t="s">
        <v>3744</v>
      </c>
      <c r="F1" s="3961" t="s">
        <v>3746</v>
      </c>
    </row>
    <row r="2" spans="1:7" ht="27.6" x14ac:dyDescent="0.3">
      <c r="A2" s="3962"/>
      <c r="B2" s="5667"/>
      <c r="C2" s="5667"/>
      <c r="D2" s="5667"/>
      <c r="E2" s="11" t="s">
        <v>3745</v>
      </c>
      <c r="F2" s="3963" t="s">
        <v>3745</v>
      </c>
    </row>
    <row r="3" spans="1:7" x14ac:dyDescent="0.3">
      <c r="A3" s="3964">
        <v>1</v>
      </c>
      <c r="B3" s="1506" t="s">
        <v>3747</v>
      </c>
      <c r="C3" s="1810"/>
      <c r="D3" s="3955">
        <v>1</v>
      </c>
      <c r="E3" s="27">
        <v>2606.7800000000002</v>
      </c>
      <c r="F3" s="3965">
        <v>2606.7800000000002</v>
      </c>
      <c r="G3" t="s">
        <v>1436</v>
      </c>
    </row>
    <row r="4" spans="1:7" x14ac:dyDescent="0.3">
      <c r="A4" s="3964">
        <v>2</v>
      </c>
      <c r="B4" s="1506" t="s">
        <v>3747</v>
      </c>
      <c r="C4" s="1810"/>
      <c r="D4" s="3955">
        <v>1</v>
      </c>
      <c r="E4" s="27">
        <v>2606.7800000000002</v>
      </c>
      <c r="F4" s="3965">
        <v>2606.7800000000002</v>
      </c>
      <c r="G4" t="s">
        <v>1436</v>
      </c>
    </row>
    <row r="5" spans="1:7" x14ac:dyDescent="0.3">
      <c r="A5" s="3964">
        <v>3</v>
      </c>
      <c r="B5" s="1506" t="s">
        <v>3747</v>
      </c>
      <c r="C5" s="1810"/>
      <c r="D5" s="3955">
        <v>1</v>
      </c>
      <c r="E5" s="27">
        <v>2606.7800000000002</v>
      </c>
      <c r="F5" s="3965">
        <v>2606.7800000000002</v>
      </c>
      <c r="G5" t="s">
        <v>1436</v>
      </c>
    </row>
    <row r="6" spans="1:7" x14ac:dyDescent="0.3">
      <c r="A6" s="3964">
        <v>4</v>
      </c>
      <c r="B6" s="1506" t="s">
        <v>3747</v>
      </c>
      <c r="C6" s="1810"/>
      <c r="D6" s="3955">
        <v>1</v>
      </c>
      <c r="E6" s="27">
        <v>2606.7800000000002</v>
      </c>
      <c r="F6" s="3965">
        <v>2606.7800000000002</v>
      </c>
      <c r="G6" t="s">
        <v>1436</v>
      </c>
    </row>
    <row r="7" spans="1:7" x14ac:dyDescent="0.3">
      <c r="A7" s="3964">
        <v>5</v>
      </c>
      <c r="B7" s="1506" t="s">
        <v>3747</v>
      </c>
      <c r="C7" s="1810"/>
      <c r="D7" s="3955">
        <v>1</v>
      </c>
      <c r="E7" s="27">
        <v>2606.7800000000002</v>
      </c>
      <c r="F7" s="3965">
        <v>2606.7800000000002</v>
      </c>
      <c r="G7" t="s">
        <v>1436</v>
      </c>
    </row>
    <row r="8" spans="1:7" x14ac:dyDescent="0.3">
      <c r="A8" s="3964">
        <v>6</v>
      </c>
      <c r="B8" s="1506" t="s">
        <v>3747</v>
      </c>
      <c r="C8" s="1810"/>
      <c r="D8" s="3955">
        <v>1</v>
      </c>
      <c r="E8" s="27">
        <v>2606.7800000000002</v>
      </c>
      <c r="F8" s="3965">
        <v>2606.7800000000002</v>
      </c>
      <c r="G8" t="s">
        <v>1436</v>
      </c>
    </row>
    <row r="9" spans="1:7" x14ac:dyDescent="0.3">
      <c r="A9" s="3964">
        <v>7</v>
      </c>
      <c r="B9" s="1506" t="s">
        <v>3747</v>
      </c>
      <c r="C9" s="1810"/>
      <c r="D9" s="3955">
        <v>1</v>
      </c>
      <c r="E9" s="27">
        <v>2606.7800000000002</v>
      </c>
      <c r="F9" s="3965">
        <v>2606.7800000000002</v>
      </c>
      <c r="G9" t="s">
        <v>1436</v>
      </c>
    </row>
    <row r="10" spans="1:7" x14ac:dyDescent="0.3">
      <c r="A10" s="3964">
        <v>8</v>
      </c>
      <c r="B10" s="1506" t="s">
        <v>3747</v>
      </c>
      <c r="C10" s="1810"/>
      <c r="D10" s="3955">
        <v>1</v>
      </c>
      <c r="E10" s="27">
        <v>2606.7800000000002</v>
      </c>
      <c r="F10" s="3965">
        <v>2606.7800000000002</v>
      </c>
      <c r="G10" t="s">
        <v>1436</v>
      </c>
    </row>
    <row r="11" spans="1:7" x14ac:dyDescent="0.3">
      <c r="A11" s="3964">
        <v>9</v>
      </c>
      <c r="B11" s="1506" t="s">
        <v>3747</v>
      </c>
      <c r="C11" s="1810"/>
      <c r="D11" s="3955">
        <v>1</v>
      </c>
      <c r="E11" s="27">
        <v>1600</v>
      </c>
      <c r="F11" s="3965">
        <v>1600</v>
      </c>
      <c r="G11" t="s">
        <v>1436</v>
      </c>
    </row>
    <row r="12" spans="1:7" x14ac:dyDescent="0.3">
      <c r="A12" s="3964">
        <v>10</v>
      </c>
      <c r="B12" s="1506" t="s">
        <v>3747</v>
      </c>
      <c r="C12" s="1810"/>
      <c r="D12" s="3955">
        <v>1</v>
      </c>
      <c r="E12" s="27">
        <v>1600</v>
      </c>
      <c r="F12" s="3965">
        <v>1600</v>
      </c>
      <c r="G12" t="s">
        <v>1436</v>
      </c>
    </row>
    <row r="13" spans="1:7" x14ac:dyDescent="0.3">
      <c r="A13" s="3964">
        <v>11</v>
      </c>
      <c r="B13" s="1506" t="s">
        <v>3747</v>
      </c>
      <c r="C13" s="1810"/>
      <c r="D13" s="3955">
        <v>1</v>
      </c>
      <c r="E13" s="27">
        <v>1600</v>
      </c>
      <c r="F13" s="3965">
        <v>1600</v>
      </c>
      <c r="G13" t="s">
        <v>1436</v>
      </c>
    </row>
    <row r="14" spans="1:7" x14ac:dyDescent="0.3">
      <c r="A14" s="3964">
        <v>12</v>
      </c>
      <c r="B14" s="1506" t="s">
        <v>3747</v>
      </c>
      <c r="C14" s="1810"/>
      <c r="D14" s="3955">
        <v>1</v>
      </c>
      <c r="E14" s="27">
        <v>2606.7800000000002</v>
      </c>
      <c r="F14" s="3965">
        <v>2606.7800000000002</v>
      </c>
      <c r="G14" t="s">
        <v>1436</v>
      </c>
    </row>
    <row r="15" spans="1:7" x14ac:dyDescent="0.3">
      <c r="A15" s="3964">
        <v>13</v>
      </c>
      <c r="B15" s="1506" t="s">
        <v>3747</v>
      </c>
      <c r="C15" s="1810"/>
      <c r="D15" s="3955">
        <v>1</v>
      </c>
      <c r="E15" s="27">
        <v>1600</v>
      </c>
      <c r="F15" s="3965">
        <v>1600</v>
      </c>
      <c r="G15" t="s">
        <v>1436</v>
      </c>
    </row>
    <row r="16" spans="1:7" x14ac:dyDescent="0.3">
      <c r="A16" s="3964">
        <v>14</v>
      </c>
      <c r="B16" s="1506" t="s">
        <v>3748</v>
      </c>
      <c r="C16" s="1810"/>
      <c r="D16" s="3955">
        <v>1</v>
      </c>
      <c r="E16" s="27">
        <v>1600</v>
      </c>
      <c r="F16" s="3965">
        <v>1600</v>
      </c>
      <c r="G16" t="s">
        <v>1436</v>
      </c>
    </row>
    <row r="17" spans="1:7" x14ac:dyDescent="0.3">
      <c r="A17" s="3964">
        <v>15</v>
      </c>
      <c r="B17" s="1506" t="s">
        <v>3749</v>
      </c>
      <c r="C17" s="1810"/>
      <c r="D17" s="3955">
        <v>1</v>
      </c>
      <c r="E17" s="27">
        <v>2606.7800000000002</v>
      </c>
      <c r="F17" s="3965">
        <v>2606.7800000000002</v>
      </c>
      <c r="G17" t="s">
        <v>1436</v>
      </c>
    </row>
    <row r="18" spans="1:7" x14ac:dyDescent="0.3">
      <c r="A18" s="3964">
        <v>16</v>
      </c>
      <c r="B18" s="1506" t="s">
        <v>3749</v>
      </c>
      <c r="C18" s="1810"/>
      <c r="D18" s="3955">
        <v>1</v>
      </c>
      <c r="E18" s="27">
        <v>2606.7800000000002</v>
      </c>
      <c r="F18" s="3965">
        <v>2606.7800000000002</v>
      </c>
      <c r="G18" t="s">
        <v>1436</v>
      </c>
    </row>
    <row r="19" spans="1:7" x14ac:dyDescent="0.3">
      <c r="A19" s="3964">
        <v>17</v>
      </c>
      <c r="B19" s="1506" t="s">
        <v>3749</v>
      </c>
      <c r="C19" s="1810"/>
      <c r="D19" s="3955">
        <v>1</v>
      </c>
      <c r="E19" s="27">
        <v>2606.7800000000002</v>
      </c>
      <c r="F19" s="3965">
        <v>2606.7800000000002</v>
      </c>
      <c r="G19" t="s">
        <v>1436</v>
      </c>
    </row>
    <row r="20" spans="1:7" x14ac:dyDescent="0.3">
      <c r="A20" s="3964">
        <v>18</v>
      </c>
      <c r="B20" s="1506" t="s">
        <v>3749</v>
      </c>
      <c r="C20" s="1810"/>
      <c r="D20" s="3955">
        <v>1</v>
      </c>
      <c r="E20" s="27">
        <v>2606.7800000000002</v>
      </c>
      <c r="F20" s="3965">
        <v>2606.7800000000002</v>
      </c>
      <c r="G20" t="s">
        <v>1436</v>
      </c>
    </row>
    <row r="21" spans="1:7" x14ac:dyDescent="0.3">
      <c r="A21" s="3964">
        <v>19</v>
      </c>
      <c r="B21" s="1506" t="s">
        <v>3749</v>
      </c>
      <c r="C21" s="1810"/>
      <c r="D21" s="3955">
        <v>1</v>
      </c>
      <c r="E21" s="27">
        <v>2606.7800000000002</v>
      </c>
      <c r="F21" s="3965">
        <v>2606.7800000000002</v>
      </c>
      <c r="G21" t="s">
        <v>1436</v>
      </c>
    </row>
    <row r="22" spans="1:7" x14ac:dyDescent="0.3">
      <c r="A22" s="3964">
        <v>20</v>
      </c>
      <c r="B22" s="1506" t="s">
        <v>3749</v>
      </c>
      <c r="C22" s="1810"/>
      <c r="D22" s="3955">
        <v>1</v>
      </c>
      <c r="E22" s="27">
        <v>2606.7800000000002</v>
      </c>
      <c r="F22" s="3965">
        <v>2606.7800000000002</v>
      </c>
      <c r="G22" t="s">
        <v>1436</v>
      </c>
    </row>
    <row r="23" spans="1:7" x14ac:dyDescent="0.3">
      <c r="A23" s="3964">
        <v>21</v>
      </c>
      <c r="B23" s="1506" t="s">
        <v>3749</v>
      </c>
      <c r="C23" s="1810"/>
      <c r="D23" s="3955">
        <v>1</v>
      </c>
      <c r="E23" s="27">
        <v>2606.7800000000002</v>
      </c>
      <c r="F23" s="3965">
        <v>2606.7800000000002</v>
      </c>
      <c r="G23" t="s">
        <v>1436</v>
      </c>
    </row>
    <row r="24" spans="1:7" x14ac:dyDescent="0.3">
      <c r="A24" s="3964">
        <v>22</v>
      </c>
      <c r="B24" s="1506" t="s">
        <v>3749</v>
      </c>
      <c r="C24" s="1810"/>
      <c r="D24" s="3955">
        <v>1</v>
      </c>
      <c r="E24" s="27">
        <v>2606.7800000000002</v>
      </c>
      <c r="F24" s="3965">
        <v>2606.7800000000002</v>
      </c>
      <c r="G24" t="s">
        <v>1436</v>
      </c>
    </row>
    <row r="25" spans="1:7" x14ac:dyDescent="0.3">
      <c r="A25" s="3964">
        <v>23</v>
      </c>
      <c r="B25" s="1506" t="s">
        <v>3749</v>
      </c>
      <c r="C25" s="1810"/>
      <c r="D25" s="3955">
        <v>1</v>
      </c>
      <c r="E25" s="27">
        <v>2606.7800000000002</v>
      </c>
      <c r="F25" s="3965">
        <v>2606.7800000000002</v>
      </c>
      <c r="G25" t="s">
        <v>1436</v>
      </c>
    </row>
    <row r="26" spans="1:7" x14ac:dyDescent="0.3">
      <c r="A26" s="3964">
        <v>24</v>
      </c>
      <c r="B26" s="1506" t="s">
        <v>3749</v>
      </c>
      <c r="C26" s="1810"/>
      <c r="D26" s="3955">
        <v>1</v>
      </c>
      <c r="E26" s="27">
        <v>2606.7800000000002</v>
      </c>
      <c r="F26" s="3965">
        <v>2606.7800000000002</v>
      </c>
      <c r="G26" t="s">
        <v>1436</v>
      </c>
    </row>
    <row r="27" spans="1:7" x14ac:dyDescent="0.3">
      <c r="A27" s="3964">
        <v>25</v>
      </c>
      <c r="B27" s="1506" t="s">
        <v>3749</v>
      </c>
      <c r="C27" s="1810"/>
      <c r="D27" s="3955">
        <v>1</v>
      </c>
      <c r="E27" s="27">
        <v>2606.7800000000002</v>
      </c>
      <c r="F27" s="3965">
        <v>2606.7800000000002</v>
      </c>
      <c r="G27" t="s">
        <v>1436</v>
      </c>
    </row>
    <row r="28" spans="1:7" x14ac:dyDescent="0.3">
      <c r="A28" s="3964">
        <v>26</v>
      </c>
      <c r="B28" s="1506" t="s">
        <v>3749</v>
      </c>
      <c r="C28" s="1810"/>
      <c r="D28" s="3955">
        <v>1</v>
      </c>
      <c r="E28" s="27">
        <v>2606.7800000000002</v>
      </c>
      <c r="F28" s="3965">
        <v>2606.7800000000002</v>
      </c>
      <c r="G28" t="s">
        <v>1436</v>
      </c>
    </row>
    <row r="29" spans="1:7" x14ac:dyDescent="0.3">
      <c r="A29" s="3964">
        <v>27</v>
      </c>
      <c r="B29" s="1506" t="s">
        <v>3749</v>
      </c>
      <c r="C29" s="1810"/>
      <c r="D29" s="3955">
        <v>1</v>
      </c>
      <c r="E29" s="27">
        <v>2606.7800000000002</v>
      </c>
      <c r="F29" s="3965">
        <v>2606.7800000000002</v>
      </c>
      <c r="G29" t="s">
        <v>1436</v>
      </c>
    </row>
    <row r="30" spans="1:7" x14ac:dyDescent="0.3">
      <c r="A30" s="3964">
        <v>28</v>
      </c>
      <c r="B30" s="1506" t="s">
        <v>3749</v>
      </c>
      <c r="C30" s="1810"/>
      <c r="D30" s="3955">
        <v>1</v>
      </c>
      <c r="E30" s="27">
        <v>2606.7800000000002</v>
      </c>
      <c r="F30" s="3965">
        <v>2606.7800000000002</v>
      </c>
      <c r="G30" t="s">
        <v>1436</v>
      </c>
    </row>
    <row r="31" spans="1:7" x14ac:dyDescent="0.3">
      <c r="A31" s="3964">
        <v>29</v>
      </c>
      <c r="B31" s="1506" t="s">
        <v>3749</v>
      </c>
      <c r="C31" s="1810"/>
      <c r="D31" s="3955">
        <v>1</v>
      </c>
      <c r="E31" s="27">
        <v>2606.7800000000002</v>
      </c>
      <c r="F31" s="3965">
        <v>2606.7800000000002</v>
      </c>
      <c r="G31" t="s">
        <v>1436</v>
      </c>
    </row>
    <row r="32" spans="1:7" x14ac:dyDescent="0.3">
      <c r="A32" s="3964">
        <v>30</v>
      </c>
      <c r="B32" s="1506" t="s">
        <v>3749</v>
      </c>
      <c r="C32" s="1810"/>
      <c r="D32" s="3955">
        <v>1</v>
      </c>
      <c r="E32" s="27">
        <v>2606.7800000000002</v>
      </c>
      <c r="F32" s="3965">
        <v>2606.7800000000002</v>
      </c>
      <c r="G32" t="s">
        <v>1436</v>
      </c>
    </row>
    <row r="33" spans="1:7" x14ac:dyDescent="0.3">
      <c r="A33" s="3964">
        <v>31</v>
      </c>
      <c r="B33" s="1506" t="s">
        <v>3749</v>
      </c>
      <c r="C33" s="1810"/>
      <c r="D33" s="3955">
        <v>1</v>
      </c>
      <c r="E33" s="27">
        <v>2606.7800000000002</v>
      </c>
      <c r="F33" s="3965">
        <v>2606.7800000000002</v>
      </c>
      <c r="G33" t="s">
        <v>1436</v>
      </c>
    </row>
    <row r="34" spans="1:7" x14ac:dyDescent="0.3">
      <c r="A34" s="3964">
        <v>32</v>
      </c>
      <c r="B34" s="1506" t="s">
        <v>3749</v>
      </c>
      <c r="C34" s="1810"/>
      <c r="D34" s="3955">
        <v>1</v>
      </c>
      <c r="E34" s="27">
        <v>2606.7800000000002</v>
      </c>
      <c r="F34" s="3965">
        <v>2606.7800000000002</v>
      </c>
      <c r="G34" t="s">
        <v>1436</v>
      </c>
    </row>
    <row r="35" spans="1:7" x14ac:dyDescent="0.3">
      <c r="A35" s="3964">
        <v>33</v>
      </c>
      <c r="B35" s="1506" t="s">
        <v>3749</v>
      </c>
      <c r="C35" s="1810"/>
      <c r="D35" s="3955">
        <v>1</v>
      </c>
      <c r="E35" s="27">
        <v>2606.7800000000002</v>
      </c>
      <c r="F35" s="3965">
        <v>2606.7800000000002</v>
      </c>
      <c r="G35" t="s">
        <v>1436</v>
      </c>
    </row>
    <row r="36" spans="1:7" x14ac:dyDescent="0.3">
      <c r="A36" s="3964">
        <v>34</v>
      </c>
      <c r="B36" s="1506" t="s">
        <v>3749</v>
      </c>
      <c r="C36" s="1810"/>
      <c r="D36" s="3955">
        <v>1</v>
      </c>
      <c r="E36" s="27">
        <v>2606.7800000000002</v>
      </c>
      <c r="F36" s="3965">
        <v>2606.7800000000002</v>
      </c>
      <c r="G36" t="s">
        <v>1436</v>
      </c>
    </row>
    <row r="37" spans="1:7" x14ac:dyDescent="0.3">
      <c r="A37" s="3964">
        <v>35</v>
      </c>
      <c r="B37" s="1506" t="s">
        <v>3749</v>
      </c>
      <c r="C37" s="1810"/>
      <c r="D37" s="3955">
        <v>1</v>
      </c>
      <c r="E37" s="27">
        <v>2606.7800000000002</v>
      </c>
      <c r="F37" s="3965">
        <v>2606.7800000000002</v>
      </c>
      <c r="G37" t="s">
        <v>1436</v>
      </c>
    </row>
    <row r="38" spans="1:7" x14ac:dyDescent="0.3">
      <c r="A38" s="3964">
        <v>36</v>
      </c>
      <c r="B38" s="1506" t="s">
        <v>3749</v>
      </c>
      <c r="C38" s="1810"/>
      <c r="D38" s="3955">
        <v>1</v>
      </c>
      <c r="E38" s="27">
        <v>2606.7800000000002</v>
      </c>
      <c r="F38" s="3965">
        <v>2606.7800000000002</v>
      </c>
      <c r="G38" t="s">
        <v>1436</v>
      </c>
    </row>
    <row r="39" spans="1:7" x14ac:dyDescent="0.3">
      <c r="A39" s="3964">
        <v>37</v>
      </c>
      <c r="B39" s="1506" t="s">
        <v>3750</v>
      </c>
      <c r="C39" s="1810"/>
      <c r="D39" s="3955">
        <v>1</v>
      </c>
      <c r="E39" s="27">
        <v>2606.7800000000002</v>
      </c>
      <c r="F39" s="3965">
        <v>2606.7800000000002</v>
      </c>
      <c r="G39" t="s">
        <v>1436</v>
      </c>
    </row>
    <row r="40" spans="1:7" x14ac:dyDescent="0.3">
      <c r="A40" s="3964">
        <v>38</v>
      </c>
      <c r="B40" s="1506" t="s">
        <v>3751</v>
      </c>
      <c r="C40" s="1810"/>
      <c r="D40" s="3955">
        <v>1</v>
      </c>
      <c r="E40" s="27">
        <v>2606.7800000000002</v>
      </c>
      <c r="F40" s="3965">
        <v>2606.7800000000002</v>
      </c>
      <c r="G40" t="s">
        <v>1436</v>
      </c>
    </row>
    <row r="41" spans="1:7" x14ac:dyDescent="0.3">
      <c r="A41" s="3964">
        <v>39</v>
      </c>
      <c r="B41" s="1506" t="s">
        <v>3750</v>
      </c>
      <c r="C41" s="1810"/>
      <c r="D41" s="3955">
        <v>1</v>
      </c>
      <c r="E41" s="27">
        <v>2606.7800000000002</v>
      </c>
      <c r="F41" s="3965">
        <v>2606.7800000000002</v>
      </c>
      <c r="G41" t="s">
        <v>1436</v>
      </c>
    </row>
    <row r="42" spans="1:7" x14ac:dyDescent="0.3">
      <c r="A42" s="3964">
        <v>40</v>
      </c>
      <c r="B42" s="1506" t="s">
        <v>3750</v>
      </c>
      <c r="C42" s="1810"/>
      <c r="D42" s="3955">
        <v>1</v>
      </c>
      <c r="E42" s="27">
        <v>2606.7800000000002</v>
      </c>
      <c r="F42" s="3965">
        <v>2606.7800000000002</v>
      </c>
      <c r="G42" t="s">
        <v>1436</v>
      </c>
    </row>
    <row r="43" spans="1:7" x14ac:dyDescent="0.3">
      <c r="A43" s="3964">
        <v>41</v>
      </c>
      <c r="B43" s="1506" t="s">
        <v>3750</v>
      </c>
      <c r="C43" s="1810"/>
      <c r="D43" s="3955">
        <v>1</v>
      </c>
      <c r="E43" s="27">
        <v>2606.7800000000002</v>
      </c>
      <c r="F43" s="3965">
        <v>2606.7800000000002</v>
      </c>
      <c r="G43" t="s">
        <v>1436</v>
      </c>
    </row>
    <row r="44" spans="1:7" x14ac:dyDescent="0.3">
      <c r="A44" s="3964">
        <v>42</v>
      </c>
      <c r="B44" s="1506" t="s">
        <v>3750</v>
      </c>
      <c r="C44" s="1810"/>
      <c r="D44" s="3955">
        <v>1</v>
      </c>
      <c r="E44" s="27">
        <v>2606.7800000000002</v>
      </c>
      <c r="F44" s="3965">
        <v>2606.7800000000002</v>
      </c>
      <c r="G44" t="s">
        <v>1436</v>
      </c>
    </row>
    <row r="45" spans="1:7" x14ac:dyDescent="0.3">
      <c r="A45" s="3964">
        <v>43</v>
      </c>
      <c r="B45" s="1506" t="s">
        <v>3750</v>
      </c>
      <c r="C45" s="1810"/>
      <c r="D45" s="3955">
        <v>1</v>
      </c>
      <c r="E45" s="27">
        <v>2606.7800000000002</v>
      </c>
      <c r="F45" s="3965">
        <v>2606.7800000000002</v>
      </c>
      <c r="G45" t="s">
        <v>1436</v>
      </c>
    </row>
    <row r="46" spans="1:7" x14ac:dyDescent="0.3">
      <c r="A46" s="3964">
        <v>44</v>
      </c>
      <c r="B46" s="1506" t="s">
        <v>3750</v>
      </c>
      <c r="C46" s="1810"/>
      <c r="D46" s="3955">
        <v>1</v>
      </c>
      <c r="E46" s="27">
        <v>2606.7800000000002</v>
      </c>
      <c r="F46" s="3965">
        <v>2606.7800000000002</v>
      </c>
      <c r="G46" t="s">
        <v>1436</v>
      </c>
    </row>
    <row r="47" spans="1:7" x14ac:dyDescent="0.3">
      <c r="A47" s="3964">
        <v>45</v>
      </c>
      <c r="B47" s="1506" t="s">
        <v>3750</v>
      </c>
      <c r="C47" s="1810"/>
      <c r="D47" s="3955">
        <v>1</v>
      </c>
      <c r="E47" s="27">
        <v>2606.7800000000002</v>
      </c>
      <c r="F47" s="3965">
        <v>2606.7800000000002</v>
      </c>
      <c r="G47" t="s">
        <v>1436</v>
      </c>
    </row>
    <row r="48" spans="1:7" x14ac:dyDescent="0.3">
      <c r="A48" s="3964">
        <v>46</v>
      </c>
      <c r="B48" s="1506" t="s">
        <v>3750</v>
      </c>
      <c r="C48" s="1810"/>
      <c r="D48" s="3955">
        <v>1</v>
      </c>
      <c r="E48" s="27">
        <v>2606.7800000000002</v>
      </c>
      <c r="F48" s="3965">
        <v>2606.7800000000002</v>
      </c>
      <c r="G48" t="s">
        <v>1436</v>
      </c>
    </row>
    <row r="49" spans="1:7" x14ac:dyDescent="0.3">
      <c r="A49" s="3964">
        <v>47</v>
      </c>
      <c r="B49" s="1506" t="s">
        <v>3750</v>
      </c>
      <c r="C49" s="1810"/>
      <c r="D49" s="3955">
        <v>1</v>
      </c>
      <c r="E49" s="27">
        <v>2606.7800000000002</v>
      </c>
      <c r="F49" s="3965">
        <v>2606.7800000000002</v>
      </c>
      <c r="G49" t="s">
        <v>1436</v>
      </c>
    </row>
    <row r="50" spans="1:7" x14ac:dyDescent="0.3">
      <c r="A50" s="3964">
        <v>48</v>
      </c>
      <c r="B50" s="1506" t="s">
        <v>3750</v>
      </c>
      <c r="C50" s="1810"/>
      <c r="D50" s="3955">
        <v>1</v>
      </c>
      <c r="E50" s="27">
        <v>2606.7800000000002</v>
      </c>
      <c r="F50" s="3965">
        <v>2606.7800000000002</v>
      </c>
      <c r="G50" t="s">
        <v>1436</v>
      </c>
    </row>
    <row r="51" spans="1:7" x14ac:dyDescent="0.3">
      <c r="A51" s="3964">
        <v>49</v>
      </c>
      <c r="B51" s="1506" t="s">
        <v>3750</v>
      </c>
      <c r="C51" s="1810"/>
      <c r="D51" s="3955">
        <v>1</v>
      </c>
      <c r="E51" s="27">
        <v>1600</v>
      </c>
      <c r="F51" s="3965">
        <v>1600</v>
      </c>
      <c r="G51" t="s">
        <v>1436</v>
      </c>
    </row>
    <row r="52" spans="1:7" x14ac:dyDescent="0.3">
      <c r="A52" s="3964">
        <v>50</v>
      </c>
      <c r="B52" s="1506" t="s">
        <v>3750</v>
      </c>
      <c r="C52" s="1810"/>
      <c r="D52" s="3955">
        <v>1</v>
      </c>
      <c r="E52" s="27">
        <v>2606.7800000000002</v>
      </c>
      <c r="F52" s="3965">
        <v>2606.7800000000002</v>
      </c>
      <c r="G52" t="s">
        <v>1436</v>
      </c>
    </row>
    <row r="53" spans="1:7" x14ac:dyDescent="0.3">
      <c r="A53" s="3964">
        <v>51</v>
      </c>
      <c r="B53" s="1506" t="s">
        <v>3750</v>
      </c>
      <c r="C53" s="1810"/>
      <c r="D53" s="3955">
        <v>1</v>
      </c>
      <c r="E53" s="27">
        <v>2606.7800000000002</v>
      </c>
      <c r="F53" s="3965">
        <v>2606.7800000000002</v>
      </c>
      <c r="G53" t="s">
        <v>1436</v>
      </c>
    </row>
    <row r="54" spans="1:7" x14ac:dyDescent="0.3">
      <c r="A54" s="3964">
        <v>52</v>
      </c>
      <c r="B54" s="1506" t="s">
        <v>3750</v>
      </c>
      <c r="C54" s="1810"/>
      <c r="D54" s="3955">
        <v>1</v>
      </c>
      <c r="E54" s="27">
        <v>2606.7800000000002</v>
      </c>
      <c r="F54" s="3965">
        <v>2606.7800000000002</v>
      </c>
      <c r="G54" t="s">
        <v>1436</v>
      </c>
    </row>
    <row r="55" spans="1:7" x14ac:dyDescent="0.3">
      <c r="A55" s="3964">
        <v>53</v>
      </c>
      <c r="B55" s="1506" t="s">
        <v>3750</v>
      </c>
      <c r="C55" s="1810"/>
      <c r="D55" s="3955">
        <v>1</v>
      </c>
      <c r="E55" s="27">
        <v>2606.7800000000002</v>
      </c>
      <c r="F55" s="3965">
        <v>2606.7800000000002</v>
      </c>
      <c r="G55" t="s">
        <v>1436</v>
      </c>
    </row>
    <row r="56" spans="1:7" x14ac:dyDescent="0.3">
      <c r="A56" s="3964">
        <v>54</v>
      </c>
      <c r="B56" s="1506" t="s">
        <v>3750</v>
      </c>
      <c r="C56" s="1810"/>
      <c r="D56" s="3955">
        <v>1</v>
      </c>
      <c r="E56" s="27">
        <v>2606.7800000000002</v>
      </c>
      <c r="F56" s="3965">
        <v>2606.7800000000002</v>
      </c>
      <c r="G56" t="s">
        <v>1436</v>
      </c>
    </row>
    <row r="57" spans="1:7" x14ac:dyDescent="0.3">
      <c r="A57" s="3964">
        <v>55</v>
      </c>
      <c r="B57" s="1506" t="s">
        <v>3750</v>
      </c>
      <c r="C57" s="1810"/>
      <c r="D57" s="3955">
        <v>1</v>
      </c>
      <c r="E57" s="27">
        <v>2606.7800000000002</v>
      </c>
      <c r="F57" s="3965">
        <v>2606.7800000000002</v>
      </c>
      <c r="G57" t="s">
        <v>1436</v>
      </c>
    </row>
    <row r="58" spans="1:7" x14ac:dyDescent="0.3">
      <c r="A58" s="3964">
        <v>56</v>
      </c>
      <c r="B58" s="3956" t="s">
        <v>3752</v>
      </c>
      <c r="C58" s="3957" t="s">
        <v>3753</v>
      </c>
      <c r="D58" s="3957">
        <v>6</v>
      </c>
      <c r="E58" s="3958">
        <v>2590</v>
      </c>
      <c r="F58" s="3966">
        <v>15540</v>
      </c>
      <c r="G58" t="s">
        <v>1435</v>
      </c>
    </row>
    <row r="59" spans="1:7" x14ac:dyDescent="0.3">
      <c r="A59" s="3964">
        <v>57</v>
      </c>
      <c r="B59" s="3956" t="s">
        <v>3754</v>
      </c>
      <c r="C59" s="3957" t="s">
        <v>3753</v>
      </c>
      <c r="D59" s="3957">
        <v>1</v>
      </c>
      <c r="E59" s="3958">
        <v>521.46</v>
      </c>
      <c r="F59" s="3967">
        <v>521.46</v>
      </c>
      <c r="G59" t="s">
        <v>1435</v>
      </c>
    </row>
    <row r="60" spans="1:7" x14ac:dyDescent="0.3">
      <c r="A60" s="3964">
        <v>58</v>
      </c>
      <c r="B60" s="3956" t="s">
        <v>3755</v>
      </c>
      <c r="C60" s="3957" t="s">
        <v>3753</v>
      </c>
      <c r="D60" s="3957">
        <v>12</v>
      </c>
      <c r="E60" s="3958">
        <v>72.86</v>
      </c>
      <c r="F60" s="3966">
        <v>874.32</v>
      </c>
      <c r="G60" t="s">
        <v>1435</v>
      </c>
    </row>
    <row r="61" spans="1:7" x14ac:dyDescent="0.3">
      <c r="A61" s="3964">
        <v>59</v>
      </c>
      <c r="B61" s="3956" t="s">
        <v>3756</v>
      </c>
      <c r="C61" s="3957" t="s">
        <v>3753</v>
      </c>
      <c r="D61" s="3957">
        <v>14</v>
      </c>
      <c r="E61" s="3958">
        <v>249.17</v>
      </c>
      <c r="F61" s="3966">
        <v>3488.38</v>
      </c>
      <c r="G61" t="s">
        <v>1435</v>
      </c>
    </row>
    <row r="62" spans="1:7" x14ac:dyDescent="0.3">
      <c r="A62" s="3964">
        <v>60</v>
      </c>
      <c r="B62" s="3956" t="s">
        <v>3757</v>
      </c>
      <c r="C62" s="3957" t="s">
        <v>3753</v>
      </c>
      <c r="D62" s="3957">
        <v>4</v>
      </c>
      <c r="E62" s="3958">
        <v>346.67</v>
      </c>
      <c r="F62" s="3966">
        <v>1386.68</v>
      </c>
      <c r="G62" t="s">
        <v>1435</v>
      </c>
    </row>
    <row r="63" spans="1:7" x14ac:dyDescent="0.3">
      <c r="A63" s="3964">
        <v>61</v>
      </c>
      <c r="B63" s="3956" t="s">
        <v>3610</v>
      </c>
      <c r="C63" s="3957" t="s">
        <v>3753</v>
      </c>
      <c r="D63" s="3957">
        <v>34</v>
      </c>
      <c r="E63" s="3958">
        <v>862.5</v>
      </c>
      <c r="F63" s="3966">
        <v>29325</v>
      </c>
      <c r="G63" t="s">
        <v>1435</v>
      </c>
    </row>
    <row r="64" spans="1:7" x14ac:dyDescent="0.3">
      <c r="A64" s="3964">
        <v>62</v>
      </c>
      <c r="B64" s="3956" t="s">
        <v>3758</v>
      </c>
      <c r="C64" s="3957" t="s">
        <v>3753</v>
      </c>
      <c r="D64" s="3957">
        <v>5</v>
      </c>
      <c r="E64" s="3958">
        <v>2250</v>
      </c>
      <c r="F64" s="3966">
        <v>11250</v>
      </c>
      <c r="G64" t="s">
        <v>1435</v>
      </c>
    </row>
    <row r="65" spans="1:7" x14ac:dyDescent="0.3">
      <c r="A65" s="3964">
        <v>63</v>
      </c>
      <c r="B65" s="3956" t="s">
        <v>3759</v>
      </c>
      <c r="C65" s="3957" t="s">
        <v>3753</v>
      </c>
      <c r="D65" s="3957">
        <v>5</v>
      </c>
      <c r="E65" s="3958">
        <v>2250</v>
      </c>
      <c r="F65" s="3966">
        <v>11250</v>
      </c>
      <c r="G65" t="s">
        <v>1435</v>
      </c>
    </row>
    <row r="66" spans="1:7" x14ac:dyDescent="0.3">
      <c r="A66" s="3964">
        <v>64</v>
      </c>
      <c r="B66" s="3956" t="s">
        <v>3760</v>
      </c>
      <c r="C66" s="3957" t="s">
        <v>3753</v>
      </c>
      <c r="D66" s="3957">
        <v>10</v>
      </c>
      <c r="E66" s="3958">
        <v>862.5</v>
      </c>
      <c r="F66" s="3966">
        <v>8625</v>
      </c>
      <c r="G66" t="s">
        <v>1435</v>
      </c>
    </row>
    <row r="67" spans="1:7" x14ac:dyDescent="0.3">
      <c r="A67" s="3964">
        <v>65</v>
      </c>
      <c r="B67" s="3956" t="s">
        <v>3761</v>
      </c>
      <c r="C67" s="3957" t="s">
        <v>3753</v>
      </c>
      <c r="D67" s="3957">
        <v>2</v>
      </c>
      <c r="E67" s="3958">
        <v>521.46</v>
      </c>
      <c r="F67" s="3966">
        <v>1042.92</v>
      </c>
      <c r="G67" t="s">
        <v>1435</v>
      </c>
    </row>
    <row r="68" spans="1:7" x14ac:dyDescent="0.3">
      <c r="A68" s="3964">
        <v>66</v>
      </c>
      <c r="B68" s="3956" t="s">
        <v>3762</v>
      </c>
      <c r="C68" s="3957" t="s">
        <v>3753</v>
      </c>
      <c r="D68" s="3957">
        <v>5</v>
      </c>
      <c r="E68" s="3958">
        <v>521.46</v>
      </c>
      <c r="F68" s="3966">
        <v>2607.29</v>
      </c>
      <c r="G68" t="s">
        <v>1435</v>
      </c>
    </row>
    <row r="69" spans="1:7" x14ac:dyDescent="0.3">
      <c r="A69" s="3964">
        <v>67</v>
      </c>
      <c r="B69" s="3956" t="s">
        <v>3763</v>
      </c>
      <c r="C69" s="3957" t="s">
        <v>3753</v>
      </c>
      <c r="D69" s="3957">
        <v>2</v>
      </c>
      <c r="E69" s="3958">
        <v>632.5</v>
      </c>
      <c r="F69" s="3966">
        <v>1265</v>
      </c>
      <c r="G69" t="s">
        <v>1435</v>
      </c>
    </row>
    <row r="70" spans="1:7" x14ac:dyDescent="0.3">
      <c r="A70" s="3964">
        <v>68</v>
      </c>
      <c r="B70" s="3956" t="s">
        <v>3764</v>
      </c>
      <c r="C70" s="3957" t="s">
        <v>3753</v>
      </c>
      <c r="D70" s="3957">
        <v>2</v>
      </c>
      <c r="E70" s="3958">
        <v>632.5</v>
      </c>
      <c r="F70" s="3966">
        <v>1265</v>
      </c>
      <c r="G70" t="s">
        <v>1435</v>
      </c>
    </row>
    <row r="71" spans="1:7" ht="26.4" x14ac:dyDescent="0.3">
      <c r="A71" s="3964">
        <v>69</v>
      </c>
      <c r="B71" s="3956" t="s">
        <v>3765</v>
      </c>
      <c r="C71" s="3957" t="s">
        <v>3766</v>
      </c>
      <c r="D71" s="3957">
        <v>296</v>
      </c>
      <c r="E71" s="3958">
        <v>55.36</v>
      </c>
      <c r="F71" s="3966">
        <v>16386.560000000001</v>
      </c>
    </row>
    <row r="72" spans="1:7" x14ac:dyDescent="0.3">
      <c r="A72" s="3964"/>
      <c r="B72" s="3956" t="s">
        <v>3765</v>
      </c>
      <c r="C72" s="3957"/>
      <c r="D72" s="3957">
        <v>150</v>
      </c>
      <c r="E72" s="3958">
        <v>55.36</v>
      </c>
      <c r="F72" s="3966">
        <f>D72*E72</f>
        <v>8304</v>
      </c>
      <c r="G72" t="s">
        <v>1434</v>
      </c>
    </row>
    <row r="73" spans="1:7" x14ac:dyDescent="0.3">
      <c r="A73" s="3964"/>
      <c r="B73" s="3956" t="s">
        <v>3765</v>
      </c>
      <c r="C73" s="3957"/>
      <c r="D73" s="3957">
        <v>146</v>
      </c>
      <c r="E73" s="3958">
        <v>55.36</v>
      </c>
      <c r="F73" s="3966">
        <f>D73*E73</f>
        <v>8082.5599999999995</v>
      </c>
      <c r="G73" t="s">
        <v>1435</v>
      </c>
    </row>
    <row r="74" spans="1:7" x14ac:dyDescent="0.3">
      <c r="A74" s="3964">
        <v>70</v>
      </c>
      <c r="B74" s="3956" t="s">
        <v>3595</v>
      </c>
      <c r="C74" s="3957" t="s">
        <v>3753</v>
      </c>
      <c r="D74" s="3957">
        <v>2</v>
      </c>
      <c r="E74" s="3958">
        <v>521.46</v>
      </c>
      <c r="F74" s="3966">
        <v>1042.92</v>
      </c>
      <c r="G74" t="s">
        <v>1435</v>
      </c>
    </row>
    <row r="75" spans="1:7" x14ac:dyDescent="0.3">
      <c r="A75" s="3964">
        <v>71</v>
      </c>
      <c r="B75" s="3956" t="s">
        <v>3767</v>
      </c>
      <c r="C75" s="3957" t="s">
        <v>3753</v>
      </c>
      <c r="D75" s="3957">
        <v>1</v>
      </c>
      <c r="E75" s="3958">
        <v>200</v>
      </c>
      <c r="F75" s="3967">
        <v>200</v>
      </c>
      <c r="G75" t="s">
        <v>1435</v>
      </c>
    </row>
    <row r="76" spans="1:7" x14ac:dyDescent="0.3">
      <c r="A76" s="3964">
        <v>72</v>
      </c>
      <c r="B76" s="3956" t="s">
        <v>3768</v>
      </c>
      <c r="C76" s="3957" t="s">
        <v>3753</v>
      </c>
      <c r="D76" s="3957">
        <v>1</v>
      </c>
      <c r="E76" s="3958">
        <v>100</v>
      </c>
      <c r="F76" s="3967">
        <v>100</v>
      </c>
      <c r="G76" t="s">
        <v>1435</v>
      </c>
    </row>
    <row r="77" spans="1:7" x14ac:dyDescent="0.3">
      <c r="A77" s="3964">
        <v>73</v>
      </c>
      <c r="B77" s="3956" t="s">
        <v>3769</v>
      </c>
      <c r="C77" s="3957" t="s">
        <v>3753</v>
      </c>
      <c r="D77" s="3957">
        <v>14</v>
      </c>
      <c r="E77" s="3958">
        <v>75.36</v>
      </c>
      <c r="F77" s="3966">
        <v>1055.04</v>
      </c>
      <c r="G77" t="s">
        <v>1435</v>
      </c>
    </row>
    <row r="78" spans="1:7" x14ac:dyDescent="0.3">
      <c r="A78" s="3964">
        <v>74</v>
      </c>
      <c r="B78" s="3956" t="s">
        <v>3770</v>
      </c>
      <c r="C78" s="3957" t="s">
        <v>3771</v>
      </c>
      <c r="D78" s="3957">
        <v>12</v>
      </c>
      <c r="E78" s="3958">
        <v>72.86</v>
      </c>
      <c r="F78" s="3966">
        <v>874.32</v>
      </c>
      <c r="G78" t="s">
        <v>1435</v>
      </c>
    </row>
    <row r="79" spans="1:7" x14ac:dyDescent="0.3">
      <c r="A79" s="3964">
        <v>75</v>
      </c>
      <c r="B79" s="3956" t="s">
        <v>3772</v>
      </c>
      <c r="C79" s="3957" t="s">
        <v>3773</v>
      </c>
      <c r="D79" s="3957">
        <v>4</v>
      </c>
      <c r="E79" s="3958">
        <v>60</v>
      </c>
      <c r="F79" s="3966">
        <v>240</v>
      </c>
      <c r="G79" t="s">
        <v>1434</v>
      </c>
    </row>
    <row r="80" spans="1:7" x14ac:dyDescent="0.3">
      <c r="A80" s="3964">
        <v>76</v>
      </c>
      <c r="B80" s="3956" t="s">
        <v>3774</v>
      </c>
      <c r="C80" s="3957" t="s">
        <v>3753</v>
      </c>
      <c r="D80" s="3957">
        <v>5</v>
      </c>
      <c r="E80" s="3958">
        <v>55.36</v>
      </c>
      <c r="F80" s="3966">
        <v>276.8</v>
      </c>
      <c r="G80" t="s">
        <v>1435</v>
      </c>
    </row>
    <row r="81" spans="1:8" ht="19.2" customHeight="1" x14ac:dyDescent="0.3">
      <c r="A81" s="3964">
        <v>77</v>
      </c>
      <c r="B81" s="3956" t="s">
        <v>3775</v>
      </c>
      <c r="C81" s="3957" t="s">
        <v>3776</v>
      </c>
      <c r="D81" s="3957">
        <v>1</v>
      </c>
      <c r="E81" s="3958">
        <v>77.5</v>
      </c>
      <c r="F81" s="3966">
        <v>77.5</v>
      </c>
      <c r="G81" t="s">
        <v>1435</v>
      </c>
    </row>
    <row r="82" spans="1:8" ht="19.2" customHeight="1" x14ac:dyDescent="0.3">
      <c r="A82" s="3964">
        <v>78</v>
      </c>
      <c r="B82" s="3956" t="s">
        <v>3777</v>
      </c>
      <c r="C82" s="3957" t="s">
        <v>3776</v>
      </c>
      <c r="D82" s="3957">
        <v>1</v>
      </c>
      <c r="E82" s="3958">
        <v>77.5</v>
      </c>
      <c r="F82" s="3966">
        <v>77.5</v>
      </c>
      <c r="G82" t="s">
        <v>1435</v>
      </c>
    </row>
    <row r="83" spans="1:8" ht="27.6" customHeight="1" x14ac:dyDescent="0.3">
      <c r="A83" s="3968">
        <v>79</v>
      </c>
      <c r="B83" s="3956" t="s">
        <v>3778</v>
      </c>
      <c r="C83" s="3957" t="s">
        <v>3779</v>
      </c>
      <c r="D83" s="3957">
        <v>8</v>
      </c>
      <c r="E83" s="3958">
        <v>80.36</v>
      </c>
      <c r="F83" s="3966">
        <v>642.88</v>
      </c>
    </row>
    <row r="84" spans="1:8" ht="27.6" customHeight="1" x14ac:dyDescent="0.3">
      <c r="A84" s="3968"/>
      <c r="B84" s="3956"/>
      <c r="C84" s="3957"/>
      <c r="D84" s="3957">
        <v>6</v>
      </c>
      <c r="E84" s="3958">
        <v>80.36</v>
      </c>
      <c r="F84" s="3966">
        <f>E84*D84</f>
        <v>482.15999999999997</v>
      </c>
      <c r="G84" t="s">
        <v>1435</v>
      </c>
    </row>
    <row r="85" spans="1:8" ht="27.6" customHeight="1" x14ac:dyDescent="0.3">
      <c r="A85" s="3968"/>
      <c r="B85" s="3956"/>
      <c r="C85" s="3957"/>
      <c r="D85" s="3957">
        <v>2</v>
      </c>
      <c r="E85" s="3958">
        <v>80.36</v>
      </c>
      <c r="F85" s="3966">
        <f>E85*D85</f>
        <v>160.72</v>
      </c>
      <c r="G85" t="s">
        <v>1434</v>
      </c>
    </row>
    <row r="86" spans="1:8" ht="26.4" customHeight="1" x14ac:dyDescent="0.3">
      <c r="A86" s="3968">
        <v>80</v>
      </c>
      <c r="B86" s="3956" t="s">
        <v>3780</v>
      </c>
      <c r="C86" s="3957" t="s">
        <v>3781</v>
      </c>
      <c r="D86" s="3957">
        <v>2</v>
      </c>
      <c r="E86" s="3958">
        <v>521.46</v>
      </c>
      <c r="F86" s="3966">
        <v>1042.92</v>
      </c>
    </row>
    <row r="87" spans="1:8" ht="19.95" customHeight="1" x14ac:dyDescent="0.3">
      <c r="A87" s="3968"/>
      <c r="B87" s="3956"/>
      <c r="C87" s="3957"/>
      <c r="D87" s="3957">
        <v>1</v>
      </c>
      <c r="E87" s="3958">
        <v>521.46</v>
      </c>
      <c r="F87" s="3966">
        <f>E87*D87</f>
        <v>521.46</v>
      </c>
      <c r="G87" t="s">
        <v>1435</v>
      </c>
    </row>
    <row r="88" spans="1:8" ht="19.95" customHeight="1" x14ac:dyDescent="0.3">
      <c r="A88" s="3968"/>
      <c r="B88" s="3956"/>
      <c r="C88" s="3957"/>
      <c r="D88" s="3957">
        <v>1</v>
      </c>
      <c r="E88" s="3958">
        <v>521.46</v>
      </c>
      <c r="F88" s="3966">
        <f>E88*D88</f>
        <v>521.46</v>
      </c>
      <c r="G88" t="s">
        <v>1434</v>
      </c>
    </row>
    <row r="89" spans="1:8" ht="19.95" customHeight="1" x14ac:dyDescent="0.3">
      <c r="A89" s="3968">
        <v>81</v>
      </c>
      <c r="B89" s="3956" t="s">
        <v>3782</v>
      </c>
      <c r="C89" s="3957" t="s">
        <v>3753</v>
      </c>
      <c r="D89" s="3957">
        <v>2</v>
      </c>
      <c r="E89" s="3958">
        <v>249.17</v>
      </c>
      <c r="F89" s="3966">
        <v>498.34</v>
      </c>
      <c r="G89" t="s">
        <v>1435</v>
      </c>
    </row>
    <row r="90" spans="1:8" ht="16.2" customHeight="1" x14ac:dyDescent="0.3">
      <c r="A90" s="3968">
        <v>82</v>
      </c>
      <c r="B90" s="3956" t="s">
        <v>3783</v>
      </c>
      <c r="C90" s="3957" t="s">
        <v>3784</v>
      </c>
      <c r="D90" s="3957">
        <v>1</v>
      </c>
      <c r="E90" s="3958">
        <v>1230</v>
      </c>
      <c r="F90" s="3966">
        <v>1230</v>
      </c>
      <c r="G90" t="s">
        <v>1434</v>
      </c>
    </row>
    <row r="91" spans="1:8" ht="27" thickBot="1" x14ac:dyDescent="0.35">
      <c r="A91" s="3969">
        <v>83</v>
      </c>
      <c r="B91" s="3970" t="s">
        <v>3785</v>
      </c>
      <c r="C91" s="3971" t="s">
        <v>3776</v>
      </c>
      <c r="D91" s="3971">
        <v>2</v>
      </c>
      <c r="E91" s="3972">
        <v>1077.5</v>
      </c>
      <c r="F91" s="3973">
        <v>2155</v>
      </c>
      <c r="G91" t="s">
        <v>1434</v>
      </c>
    </row>
    <row r="92" spans="1:8" ht="15" customHeight="1" thickBot="1" x14ac:dyDescent="0.35">
      <c r="B92" s="5660" t="s">
        <v>3786</v>
      </c>
      <c r="C92" s="5661"/>
      <c r="D92" s="5661"/>
      <c r="E92" s="5661"/>
      <c r="F92" s="5662"/>
    </row>
    <row r="93" spans="1:8" ht="15" customHeight="1" thickBot="1" x14ac:dyDescent="0.35">
      <c r="B93" s="5663" t="s">
        <v>3787</v>
      </c>
      <c r="C93" s="5664"/>
      <c r="D93" s="5664"/>
      <c r="E93" s="5664"/>
      <c r="F93" s="5665"/>
    </row>
    <row r="94" spans="1:8" x14ac:dyDescent="0.3">
      <c r="B94" s="5657" t="s">
        <v>3788</v>
      </c>
      <c r="C94" s="5658"/>
      <c r="D94" s="5658"/>
      <c r="E94" s="5658"/>
      <c r="F94" s="5659"/>
    </row>
    <row r="95" spans="1:8" ht="16.95" customHeight="1" x14ac:dyDescent="0.3">
      <c r="F95" s="3585">
        <f>SUM(F96:F97)</f>
        <v>114340.82999999999</v>
      </c>
      <c r="H95">
        <f>SUM(H96:H97)</f>
        <v>100702.48000000001</v>
      </c>
    </row>
    <row r="96" spans="1:8" x14ac:dyDescent="0.3">
      <c r="C96" s="1466" t="s">
        <v>1894</v>
      </c>
      <c r="D96" s="1466" t="s">
        <v>1435</v>
      </c>
      <c r="E96" s="3974"/>
      <c r="F96" s="3974">
        <f>SUMIF(G$3:G$91,D96,F$3:F$91)</f>
        <v>101729.65</v>
      </c>
      <c r="G96" s="1590" t="s">
        <v>2260</v>
      </c>
      <c r="H96">
        <f>'Котел-повірка Юст'!N27</f>
        <v>84305.02</v>
      </c>
    </row>
    <row r="97" spans="3:8" x14ac:dyDescent="0.3">
      <c r="C97" s="1466" t="s">
        <v>1895</v>
      </c>
      <c r="D97" s="1466" t="s">
        <v>1434</v>
      </c>
      <c r="E97" s="3974"/>
      <c r="F97" s="3974">
        <f>SUMIF(G$3:G$91,D97,F$3:F$91)</f>
        <v>12611.18</v>
      </c>
      <c r="G97" s="1590" t="s">
        <v>2260</v>
      </c>
      <c r="H97">
        <f>'Котел-повірка Юст'!N28</f>
        <v>16397.46</v>
      </c>
    </row>
    <row r="98" spans="3:8" x14ac:dyDescent="0.3">
      <c r="C98" s="1466" t="s">
        <v>1436</v>
      </c>
      <c r="D98" s="1466" t="s">
        <v>1436</v>
      </c>
      <c r="E98" s="3974"/>
      <c r="F98" s="3974">
        <f>SUMIF(G$3:G$91,D98,F$3:F$91)</f>
        <v>137332.21999999997</v>
      </c>
      <c r="G98" s="1590" t="s">
        <v>2260</v>
      </c>
    </row>
    <row r="99" spans="3:8" x14ac:dyDescent="0.3">
      <c r="C99" s="1466"/>
      <c r="D99" s="1466" t="s">
        <v>3789</v>
      </c>
      <c r="E99" s="3974"/>
      <c r="F99" s="3974">
        <f>SUMIF(G$3:G$91,D99,F$3:F$91)</f>
        <v>0</v>
      </c>
      <c r="G99" s="1590" t="s">
        <v>2260</v>
      </c>
    </row>
    <row r="100" spans="3:8" x14ac:dyDescent="0.3">
      <c r="C100" s="1466"/>
      <c r="D100" s="1466"/>
      <c r="E100" s="3974"/>
      <c r="F100" s="3974">
        <f>SUM(F96:F99)</f>
        <v>251673.04999999996</v>
      </c>
      <c r="G100" s="1590" t="s">
        <v>2260</v>
      </c>
    </row>
  </sheetData>
  <mergeCells count="6">
    <mergeCell ref="B94:F94"/>
    <mergeCell ref="B92:F92"/>
    <mergeCell ref="B93:F93"/>
    <mergeCell ref="B1:B2"/>
    <mergeCell ref="C1:C2"/>
    <mergeCell ref="D1:D2"/>
  </mergeCells>
  <pageMargins left="0.7" right="0.25" top="0.34" bottom="0.28999999999999998" header="0.3" footer="0.3"/>
  <pageSetup paperSize="9" orientation="portrait" horizontalDpi="0" verticalDpi="0" r:id="rId1"/>
</worksheet>
</file>

<file path=xl/worksheets/sheet7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C00-000000000000}">
  <sheetPr codeName="Лист74">
    <tabColor rgb="FF92D050"/>
    <pageSetUpPr fitToPage="1"/>
  </sheetPr>
  <dimension ref="A1:R112"/>
  <sheetViews>
    <sheetView topLeftCell="A4" workbookViewId="0">
      <selection activeCell="L35" sqref="L35"/>
    </sheetView>
  </sheetViews>
  <sheetFormatPr defaultRowHeight="14.4" x14ac:dyDescent="0.3"/>
  <cols>
    <col min="6" max="6" width="10.88671875" customWidth="1"/>
    <col min="8" max="8" width="10.88671875" customWidth="1"/>
    <col min="10" max="10" width="11" customWidth="1"/>
    <col min="13" max="13" width="10.6640625" customWidth="1"/>
    <col min="14" max="14" width="11" customWidth="1"/>
  </cols>
  <sheetData>
    <row r="1" spans="1:17" ht="15.6" x14ac:dyDescent="0.3">
      <c r="A1" s="794"/>
      <c r="B1" s="794"/>
      <c r="C1" s="794"/>
      <c r="D1" s="794"/>
      <c r="E1" s="794"/>
      <c r="F1" s="794"/>
      <c r="G1" s="794"/>
      <c r="H1" s="794"/>
      <c r="I1" s="794" t="s">
        <v>925</v>
      </c>
      <c r="J1" s="794"/>
      <c r="K1" s="794"/>
      <c r="L1" s="794" t="s">
        <v>2601</v>
      </c>
      <c r="O1" s="794"/>
      <c r="P1" s="794"/>
    </row>
    <row r="2" spans="1:17" ht="15.6" x14ac:dyDescent="0.3">
      <c r="A2" s="794"/>
      <c r="B2" s="794"/>
      <c r="C2" s="794"/>
      <c r="D2" s="794"/>
      <c r="E2" s="794"/>
      <c r="F2" s="794"/>
      <c r="G2" s="794"/>
      <c r="H2" s="794"/>
      <c r="I2" s="794"/>
      <c r="J2" s="794"/>
      <c r="K2" s="794"/>
      <c r="L2" s="794"/>
      <c r="N2" s="1557">
        <f>SUM(N3:N4)</f>
        <v>78.632000000000005</v>
      </c>
      <c r="O2" s="794"/>
      <c r="P2" s="794"/>
    </row>
    <row r="3" spans="1:17" ht="15.6" x14ac:dyDescent="0.3">
      <c r="A3" s="794"/>
      <c r="B3" s="5675" t="s">
        <v>1977</v>
      </c>
      <c r="C3" s="5675"/>
      <c r="D3" s="5675"/>
      <c r="E3" s="5675"/>
      <c r="F3" s="5675"/>
      <c r="G3" s="5682" t="str">
        <f>'Вхідні дані'!$F$5</f>
        <v>КП «КТЕ"</v>
      </c>
      <c r="H3" s="5682"/>
      <c r="I3" s="1531" t="s">
        <v>461</v>
      </c>
      <c r="J3" s="1531" t="str">
        <f>'Вхідні дані'!$F$6</f>
        <v>2023-2024</v>
      </c>
      <c r="K3" s="1531"/>
      <c r="L3" s="794" t="s">
        <v>1894</v>
      </c>
      <c r="N3">
        <f>68726/1000</f>
        <v>68.725999999999999</v>
      </c>
      <c r="O3" s="794"/>
      <c r="P3" s="794"/>
    </row>
    <row r="4" spans="1:17" ht="15.6" x14ac:dyDescent="0.3">
      <c r="A4" s="794"/>
      <c r="B4" s="769"/>
      <c r="C4" s="769"/>
      <c r="D4" s="769"/>
      <c r="E4" s="769"/>
      <c r="F4" s="769"/>
      <c r="G4" s="769"/>
      <c r="H4" s="769"/>
      <c r="I4" s="769"/>
      <c r="J4" s="769"/>
      <c r="K4" s="769"/>
      <c r="L4" s="794" t="s">
        <v>1895</v>
      </c>
      <c r="N4">
        <f>9906/1000</f>
        <v>9.9060000000000006</v>
      </c>
      <c r="O4" s="794"/>
      <c r="P4" s="794"/>
    </row>
    <row r="5" spans="1:17" ht="15.6" x14ac:dyDescent="0.3">
      <c r="A5" s="794"/>
      <c r="B5" s="794"/>
      <c r="C5" s="1532" t="s">
        <v>869</v>
      </c>
      <c r="D5" s="794"/>
      <c r="E5" s="794"/>
      <c r="F5" s="794"/>
      <c r="G5" s="794"/>
      <c r="H5" s="794"/>
      <c r="I5" s="794" t="s">
        <v>1919</v>
      </c>
      <c r="J5" s="1533"/>
      <c r="K5" s="794"/>
      <c r="L5" s="794"/>
      <c r="O5" s="794"/>
      <c r="P5" s="794"/>
    </row>
    <row r="6" spans="1:17" ht="15.6" x14ac:dyDescent="0.3">
      <c r="A6" s="794"/>
      <c r="B6" s="5590" t="s">
        <v>968</v>
      </c>
      <c r="C6" s="5590" t="s">
        <v>1920</v>
      </c>
      <c r="D6" s="5590"/>
      <c r="E6" s="5590"/>
      <c r="F6" s="5590"/>
      <c r="G6" s="5673" t="s">
        <v>1921</v>
      </c>
      <c r="H6" s="5674" t="s">
        <v>3592</v>
      </c>
      <c r="I6" s="5674" t="s">
        <v>1922</v>
      </c>
      <c r="J6" s="5674" t="s">
        <v>1923</v>
      </c>
      <c r="K6" s="5670"/>
      <c r="L6" s="794" t="s">
        <v>3590</v>
      </c>
      <c r="O6" s="794"/>
      <c r="P6" s="794"/>
    </row>
    <row r="7" spans="1:17" ht="15.6" x14ac:dyDescent="0.3">
      <c r="A7" s="794"/>
      <c r="B7" s="5590"/>
      <c r="C7" s="5590" t="s">
        <v>1924</v>
      </c>
      <c r="D7" s="5590"/>
      <c r="E7" s="5590"/>
      <c r="F7" s="5590"/>
      <c r="G7" s="5673"/>
      <c r="H7" s="5674"/>
      <c r="I7" s="5590"/>
      <c r="J7" s="5590"/>
      <c r="K7" s="5670"/>
      <c r="L7" s="794"/>
      <c r="N7" s="1557">
        <f>SUM(N8:N9)</f>
        <v>86.39734</v>
      </c>
      <c r="O7" s="794"/>
      <c r="P7" s="794"/>
    </row>
    <row r="8" spans="1:17" ht="15.6" x14ac:dyDescent="0.3">
      <c r="A8" s="794"/>
      <c r="B8" s="3661" t="s">
        <v>1747</v>
      </c>
      <c r="C8" s="5679" t="s">
        <v>2565</v>
      </c>
      <c r="D8" s="5680"/>
      <c r="E8" s="5680"/>
      <c r="F8" s="5681"/>
      <c r="G8" s="24">
        <v>5</v>
      </c>
      <c r="H8" s="24" t="s">
        <v>1930</v>
      </c>
      <c r="I8" s="24">
        <v>521.46</v>
      </c>
      <c r="J8" s="24">
        <v>4855.76</v>
      </c>
      <c r="K8" s="794"/>
      <c r="L8" s="794" t="s">
        <v>1894</v>
      </c>
      <c r="N8" s="1679">
        <f>Виробництво_1ст!C47</f>
        <v>77.480779999999996</v>
      </c>
      <c r="O8" s="794"/>
      <c r="P8" s="794"/>
    </row>
    <row r="9" spans="1:17" ht="15.6" x14ac:dyDescent="0.3">
      <c r="A9" s="794"/>
      <c r="B9" s="3661" t="s">
        <v>1768</v>
      </c>
      <c r="C9" s="5679" t="s">
        <v>3593</v>
      </c>
      <c r="D9" s="5680"/>
      <c r="E9" s="5680"/>
      <c r="F9" s="5681"/>
      <c r="G9" s="24">
        <v>1</v>
      </c>
      <c r="H9" s="24" t="s">
        <v>1925</v>
      </c>
      <c r="I9" s="24">
        <v>346.84</v>
      </c>
      <c r="J9" s="24">
        <v>346.84</v>
      </c>
      <c r="K9" s="794"/>
      <c r="L9" s="794" t="s">
        <v>1895</v>
      </c>
      <c r="N9" s="68">
        <f>Транспортування_1ст!C53</f>
        <v>8.9165599999999987</v>
      </c>
      <c r="O9" s="794"/>
      <c r="P9" s="794"/>
    </row>
    <row r="10" spans="1:17" ht="15.6" x14ac:dyDescent="0.3">
      <c r="A10" s="794"/>
      <c r="B10" s="3661" t="s">
        <v>1770</v>
      </c>
      <c r="C10" s="5679" t="s">
        <v>3594</v>
      </c>
      <c r="D10" s="5680"/>
      <c r="E10" s="5680"/>
      <c r="F10" s="5681"/>
      <c r="G10" s="24">
        <v>2</v>
      </c>
      <c r="H10" s="24" t="s">
        <v>1930</v>
      </c>
      <c r="I10" s="24">
        <v>521.46</v>
      </c>
      <c r="J10" s="24">
        <v>1042.92</v>
      </c>
      <c r="K10" s="794"/>
      <c r="L10" s="794"/>
      <c r="O10" s="794"/>
      <c r="P10" s="794"/>
    </row>
    <row r="11" spans="1:17" ht="15.6" x14ac:dyDescent="0.3">
      <c r="A11" s="794"/>
      <c r="B11" s="3661" t="s">
        <v>1773</v>
      </c>
      <c r="C11" s="5679" t="s">
        <v>3595</v>
      </c>
      <c r="D11" s="5680"/>
      <c r="E11" s="5680"/>
      <c r="F11" s="5681"/>
      <c r="G11" s="24">
        <v>2</v>
      </c>
      <c r="H11" s="24" t="s">
        <v>1930</v>
      </c>
      <c r="I11" s="24">
        <v>521.46</v>
      </c>
      <c r="J11" s="24">
        <v>1042.92</v>
      </c>
      <c r="K11" s="794"/>
      <c r="L11" s="794" t="s">
        <v>3591</v>
      </c>
      <c r="O11" s="794"/>
      <c r="P11" s="794"/>
    </row>
    <row r="12" spans="1:17" ht="15.6" x14ac:dyDescent="0.3">
      <c r="A12" s="794"/>
      <c r="B12" s="3661" t="s">
        <v>1845</v>
      </c>
      <c r="C12" s="5679" t="s">
        <v>1933</v>
      </c>
      <c r="D12" s="5680"/>
      <c r="E12" s="5680"/>
      <c r="F12" s="5681"/>
      <c r="G12" s="24">
        <v>2</v>
      </c>
      <c r="H12" s="24" t="s">
        <v>3596</v>
      </c>
      <c r="I12" s="24">
        <v>63.8</v>
      </c>
      <c r="J12" s="24">
        <v>95.7</v>
      </c>
      <c r="K12" s="794"/>
      <c r="L12" s="794"/>
      <c r="N12" s="1557">
        <f>SUM(N13:N14)</f>
        <v>124.45767000000001</v>
      </c>
      <c r="O12" s="794"/>
      <c r="P12" s="794"/>
    </row>
    <row r="13" spans="1:17" ht="15.6" x14ac:dyDescent="0.3">
      <c r="A13" s="794"/>
      <c r="B13" s="3661" t="s">
        <v>1851</v>
      </c>
      <c r="C13" s="5679" t="s">
        <v>3597</v>
      </c>
      <c r="D13" s="5680"/>
      <c r="E13" s="5680"/>
      <c r="F13" s="5681"/>
      <c r="G13" s="24">
        <v>3</v>
      </c>
      <c r="H13" s="24" t="s">
        <v>3596</v>
      </c>
      <c r="I13" s="24"/>
      <c r="J13" s="24"/>
      <c r="K13" s="794"/>
      <c r="L13" s="794" t="s">
        <v>1894</v>
      </c>
      <c r="N13" s="1679">
        <f>Виробництво_1ст!D47</f>
        <v>111.68705</v>
      </c>
      <c r="O13" s="794"/>
      <c r="P13" s="794"/>
    </row>
    <row r="14" spans="1:17" ht="15.6" x14ac:dyDescent="0.3">
      <c r="A14" s="794"/>
      <c r="B14" s="3661" t="s">
        <v>1857</v>
      </c>
      <c r="C14" s="5679" t="s">
        <v>3598</v>
      </c>
      <c r="D14" s="5680"/>
      <c r="E14" s="5680"/>
      <c r="F14" s="5681"/>
      <c r="G14" s="24">
        <v>6</v>
      </c>
      <c r="H14" s="24" t="s">
        <v>1930</v>
      </c>
      <c r="I14" s="24">
        <v>2590</v>
      </c>
      <c r="J14" s="24">
        <v>15540</v>
      </c>
      <c r="K14" s="794"/>
      <c r="L14" s="794" t="s">
        <v>1895</v>
      </c>
      <c r="N14" s="68">
        <f>Транспортування_1ст!D53</f>
        <v>12.770620000000001</v>
      </c>
      <c r="O14" s="794"/>
      <c r="P14" s="794"/>
    </row>
    <row r="15" spans="1:17" ht="15.6" x14ac:dyDescent="0.3">
      <c r="A15" s="794"/>
      <c r="B15" s="3661" t="s">
        <v>1859</v>
      </c>
      <c r="C15" s="5679" t="s">
        <v>3599</v>
      </c>
      <c r="D15" s="5680"/>
      <c r="E15" s="5680"/>
      <c r="F15" s="5681"/>
      <c r="G15" s="24">
        <v>1</v>
      </c>
      <c r="H15" s="24" t="s">
        <v>1930</v>
      </c>
      <c r="I15" s="24">
        <v>521.46</v>
      </c>
      <c r="J15" s="24">
        <v>521.46</v>
      </c>
      <c r="K15" s="794"/>
      <c r="L15" s="794"/>
      <c r="M15" s="794"/>
      <c r="N15" s="2532"/>
      <c r="O15" s="794"/>
      <c r="P15" s="794"/>
      <c r="Q15" s="794"/>
    </row>
    <row r="16" spans="1:17" ht="15.6" x14ac:dyDescent="0.3">
      <c r="A16" s="794"/>
      <c r="B16" s="3661" t="s">
        <v>1861</v>
      </c>
      <c r="C16" s="5679" t="s">
        <v>3600</v>
      </c>
      <c r="D16" s="5680"/>
      <c r="E16" s="5680"/>
      <c r="F16" s="5681"/>
      <c r="G16" s="24">
        <v>8</v>
      </c>
      <c r="H16" s="24" t="s">
        <v>1930</v>
      </c>
      <c r="I16" s="24">
        <v>80.36</v>
      </c>
      <c r="J16" s="24">
        <f>I16*G16</f>
        <v>642.88</v>
      </c>
      <c r="K16" s="794"/>
      <c r="L16" s="3897" t="s">
        <v>3715</v>
      </c>
      <c r="M16" s="3897"/>
      <c r="N16" s="3898"/>
      <c r="O16" s="3897"/>
      <c r="P16" s="3897"/>
      <c r="Q16" s="794"/>
    </row>
    <row r="17" spans="1:17" ht="15.6" x14ac:dyDescent="0.3">
      <c r="A17" s="794"/>
      <c r="B17" s="3661" t="s">
        <v>1865</v>
      </c>
      <c r="C17" s="5679" t="s">
        <v>3601</v>
      </c>
      <c r="D17" s="5680"/>
      <c r="E17" s="5680"/>
      <c r="F17" s="5681"/>
      <c r="G17" s="24">
        <v>146</v>
      </c>
      <c r="H17" s="24" t="s">
        <v>1925</v>
      </c>
      <c r="I17" s="24">
        <v>55.68</v>
      </c>
      <c r="J17" s="24">
        <v>8129</v>
      </c>
      <c r="K17" s="794"/>
      <c r="L17" s="3897" t="s">
        <v>3717</v>
      </c>
      <c r="M17" s="3897"/>
      <c r="N17" s="3898"/>
      <c r="O17" s="3897"/>
      <c r="P17" s="3897"/>
      <c r="Q17" s="794"/>
    </row>
    <row r="18" spans="1:17" ht="15.6" x14ac:dyDescent="0.3">
      <c r="A18" s="794"/>
      <c r="B18" s="3661" t="s">
        <v>1867</v>
      </c>
      <c r="C18" s="5679" t="s">
        <v>3602</v>
      </c>
      <c r="D18" s="5680"/>
      <c r="E18" s="5680"/>
      <c r="F18" s="5681"/>
      <c r="G18" s="24">
        <v>14</v>
      </c>
      <c r="H18" s="24" t="s">
        <v>1925</v>
      </c>
      <c r="I18" s="24">
        <v>75.36</v>
      </c>
      <c r="J18" s="24">
        <v>1055.04</v>
      </c>
      <c r="K18" s="794"/>
      <c r="L18" s="794"/>
      <c r="M18" s="794"/>
      <c r="N18" s="2532"/>
      <c r="O18" s="794"/>
      <c r="P18" s="794"/>
      <c r="Q18" s="794"/>
    </row>
    <row r="19" spans="1:17" ht="15.6" x14ac:dyDescent="0.3">
      <c r="A19" s="794"/>
      <c r="B19" s="3661" t="s">
        <v>1869</v>
      </c>
      <c r="C19" s="5679" t="s">
        <v>3603</v>
      </c>
      <c r="D19" s="5680"/>
      <c r="E19" s="5680"/>
      <c r="F19" s="5681"/>
      <c r="G19" s="24">
        <v>12</v>
      </c>
      <c r="H19" s="24" t="s">
        <v>1925</v>
      </c>
      <c r="I19" s="24">
        <v>72.86</v>
      </c>
      <c r="J19" s="24">
        <v>874.32</v>
      </c>
      <c r="K19" s="794"/>
      <c r="L19" s="794" t="s">
        <v>3716</v>
      </c>
      <c r="M19" s="794"/>
      <c r="N19" s="2532"/>
      <c r="O19" s="794"/>
      <c r="P19" s="794"/>
      <c r="Q19" s="794"/>
    </row>
    <row r="20" spans="1:17" ht="15.6" x14ac:dyDescent="0.3">
      <c r="A20" s="794"/>
      <c r="B20" s="3661" t="s">
        <v>1871</v>
      </c>
      <c r="C20" s="5679" t="s">
        <v>1926</v>
      </c>
      <c r="D20" s="5680"/>
      <c r="E20" s="5680"/>
      <c r="F20" s="5681"/>
      <c r="G20" s="24">
        <v>12</v>
      </c>
      <c r="H20" s="24" t="s">
        <v>1925</v>
      </c>
      <c r="I20" s="24">
        <v>72.86</v>
      </c>
      <c r="J20" s="24">
        <v>874.32</v>
      </c>
      <c r="K20" s="794"/>
      <c r="L20" s="794"/>
      <c r="N20" s="1557">
        <f>SUM(N21:N22)</f>
        <v>109.76562833333332</v>
      </c>
      <c r="O20" s="794"/>
      <c r="P20" s="794"/>
      <c r="Q20" s="794"/>
    </row>
    <row r="21" spans="1:17" ht="15.6" x14ac:dyDescent="0.3">
      <c r="A21" s="794"/>
      <c r="B21" s="3661" t="s">
        <v>1873</v>
      </c>
      <c r="C21" s="5679" t="s">
        <v>3604</v>
      </c>
      <c r="D21" s="5680"/>
      <c r="E21" s="5680"/>
      <c r="F21" s="5681"/>
      <c r="G21" s="24">
        <v>1</v>
      </c>
      <c r="H21" s="24" t="s">
        <v>3605</v>
      </c>
      <c r="I21" s="24"/>
      <c r="J21" s="24"/>
      <c r="K21" s="794"/>
      <c r="L21" s="794" t="s">
        <v>1894</v>
      </c>
      <c r="N21" s="1679">
        <f>Виробництво_1ст!E47</f>
        <v>104.39480833333333</v>
      </c>
      <c r="O21" s="794"/>
      <c r="P21" s="794"/>
      <c r="Q21" s="794"/>
    </row>
    <row r="22" spans="1:17" ht="15.6" x14ac:dyDescent="0.3">
      <c r="A22" s="794"/>
      <c r="B22" s="3661" t="s">
        <v>2075</v>
      </c>
      <c r="C22" s="5679" t="s">
        <v>1927</v>
      </c>
      <c r="D22" s="5680"/>
      <c r="E22" s="5680"/>
      <c r="F22" s="5681"/>
      <c r="G22" s="24">
        <v>1</v>
      </c>
      <c r="H22" s="24" t="s">
        <v>1925</v>
      </c>
      <c r="I22" s="24">
        <v>100</v>
      </c>
      <c r="J22" s="24">
        <v>380.48</v>
      </c>
      <c r="K22" s="794"/>
      <c r="L22" s="794" t="s">
        <v>1895</v>
      </c>
      <c r="N22" s="68">
        <f>Транспортування_1ст!E53</f>
        <v>5.3708200000000001</v>
      </c>
      <c r="O22" s="794"/>
      <c r="P22" s="794"/>
      <c r="Q22" s="794"/>
    </row>
    <row r="23" spans="1:17" ht="15.6" x14ac:dyDescent="0.3">
      <c r="A23" s="794"/>
      <c r="B23" s="3661" t="s">
        <v>2078</v>
      </c>
      <c r="C23" s="5679" t="s">
        <v>3606</v>
      </c>
      <c r="D23" s="5680"/>
      <c r="E23" s="5680"/>
      <c r="F23" s="5681"/>
      <c r="G23" s="24">
        <v>1</v>
      </c>
      <c r="H23" s="24" t="s">
        <v>3607</v>
      </c>
      <c r="I23" s="24">
        <v>521.46</v>
      </c>
      <c r="J23" s="24">
        <v>521.46</v>
      </c>
      <c r="K23" s="794"/>
      <c r="L23" s="794"/>
      <c r="M23" s="794"/>
      <c r="N23" s="2532"/>
      <c r="O23" s="794"/>
      <c r="P23" s="794"/>
      <c r="Q23" s="794"/>
    </row>
    <row r="24" spans="1:17" ht="15.6" x14ac:dyDescent="0.3">
      <c r="A24" s="794"/>
      <c r="B24" s="3661" t="s">
        <v>2080</v>
      </c>
      <c r="C24" s="5679" t="s">
        <v>3608</v>
      </c>
      <c r="D24" s="5680"/>
      <c r="E24" s="5680"/>
      <c r="F24" s="5681"/>
      <c r="G24" s="24">
        <v>4</v>
      </c>
      <c r="H24" s="24" t="s">
        <v>1925</v>
      </c>
      <c r="I24" s="24">
        <v>95.12</v>
      </c>
      <c r="J24" s="24">
        <v>475.6</v>
      </c>
      <c r="K24" s="794"/>
      <c r="L24" s="794"/>
      <c r="M24" s="794"/>
      <c r="N24" s="794"/>
      <c r="O24" s="794"/>
      <c r="P24" s="794"/>
      <c r="Q24" s="794"/>
    </row>
    <row r="25" spans="1:17" ht="15.6" x14ac:dyDescent="0.3">
      <c r="A25" s="794"/>
      <c r="B25" s="3661" t="s">
        <v>2083</v>
      </c>
      <c r="C25" s="5679" t="s">
        <v>3609</v>
      </c>
      <c r="D25" s="5680"/>
      <c r="E25" s="5680"/>
      <c r="F25" s="5681"/>
      <c r="G25" s="24">
        <v>4</v>
      </c>
      <c r="H25" s="24" t="s">
        <v>1925</v>
      </c>
      <c r="I25" s="24">
        <v>95.12</v>
      </c>
      <c r="J25" s="24">
        <v>190.24</v>
      </c>
      <c r="K25" s="1531"/>
      <c r="L25" s="1531" t="s">
        <v>3390</v>
      </c>
      <c r="M25" s="1531" t="str">
        <f>J3</f>
        <v>2023-2024</v>
      </c>
      <c r="N25" s="3709"/>
      <c r="O25" s="794"/>
      <c r="P25" s="794"/>
      <c r="Q25" s="794"/>
    </row>
    <row r="26" spans="1:17" ht="15.6" x14ac:dyDescent="0.3">
      <c r="A26" s="794"/>
      <c r="B26" s="3661" t="s">
        <v>2085</v>
      </c>
      <c r="C26" s="5683" t="s">
        <v>3610</v>
      </c>
      <c r="D26" s="5683"/>
      <c r="E26" s="5683"/>
      <c r="F26" s="5683"/>
      <c r="G26" s="24">
        <v>34</v>
      </c>
      <c r="H26" s="24" t="s">
        <v>1925</v>
      </c>
      <c r="I26" s="24">
        <v>95.12</v>
      </c>
      <c r="J26" s="24">
        <v>3234.08</v>
      </c>
      <c r="K26" s="794"/>
      <c r="L26" s="794"/>
      <c r="M26" s="794"/>
      <c r="N26" s="3899">
        <f>SUM(N27:N28)</f>
        <v>100702.48000000001</v>
      </c>
      <c r="O26" s="794"/>
      <c r="P26" s="794"/>
      <c r="Q26" s="794"/>
    </row>
    <row r="27" spans="1:17" ht="15.6" x14ac:dyDescent="0.3">
      <c r="A27" s="794"/>
      <c r="B27" s="3661" t="s">
        <v>2088</v>
      </c>
      <c r="C27" s="5683" t="s">
        <v>1929</v>
      </c>
      <c r="D27" s="5683"/>
      <c r="E27" s="5683"/>
      <c r="F27" s="5683"/>
      <c r="G27" s="24">
        <v>5</v>
      </c>
      <c r="H27" s="24" t="s">
        <v>1930</v>
      </c>
      <c r="I27" s="24">
        <v>2250</v>
      </c>
      <c r="J27" s="24">
        <v>570.72</v>
      </c>
      <c r="K27" s="794"/>
      <c r="L27" s="794" t="s">
        <v>1894</v>
      </c>
      <c r="M27" s="794"/>
      <c r="N27" s="794">
        <f>J34+J45</f>
        <v>84305.02</v>
      </c>
      <c r="O27" s="794"/>
      <c r="P27" s="794"/>
      <c r="Q27" s="794"/>
    </row>
    <row r="28" spans="1:17" ht="15.6" x14ac:dyDescent="0.3">
      <c r="A28" s="794"/>
      <c r="B28" s="3661" t="s">
        <v>2090</v>
      </c>
      <c r="C28" s="5683" t="s">
        <v>1931</v>
      </c>
      <c r="D28" s="5683"/>
      <c r="E28" s="5683"/>
      <c r="F28" s="5683"/>
      <c r="G28" s="24">
        <v>5</v>
      </c>
      <c r="H28" s="24" t="s">
        <v>1925</v>
      </c>
      <c r="I28" s="24">
        <v>2250</v>
      </c>
      <c r="J28" s="24">
        <v>856.08</v>
      </c>
      <c r="K28" s="794"/>
      <c r="L28" s="794" t="s">
        <v>1895</v>
      </c>
      <c r="M28" s="794"/>
      <c r="N28" s="794">
        <f>J58</f>
        <v>16397.46</v>
      </c>
      <c r="O28" s="794"/>
      <c r="P28" s="794"/>
      <c r="Q28" s="794"/>
    </row>
    <row r="29" spans="1:17" ht="15.6" x14ac:dyDescent="0.3">
      <c r="A29" s="794"/>
      <c r="B29" s="3661" t="s">
        <v>2092</v>
      </c>
      <c r="C29" s="5683" t="s">
        <v>3611</v>
      </c>
      <c r="D29" s="5683"/>
      <c r="E29" s="5683"/>
      <c r="F29" s="5683"/>
      <c r="G29" s="24">
        <v>5</v>
      </c>
      <c r="H29" s="24" t="s">
        <v>1925</v>
      </c>
      <c r="I29" s="24">
        <v>55.36</v>
      </c>
      <c r="J29" s="24">
        <v>874.32</v>
      </c>
      <c r="K29" s="794"/>
      <c r="L29" s="794"/>
      <c r="M29" s="794"/>
      <c r="N29" s="794"/>
      <c r="O29" s="794"/>
      <c r="P29" s="794"/>
      <c r="Q29" s="794"/>
    </row>
    <row r="30" spans="1:17" ht="15.6" x14ac:dyDescent="0.3">
      <c r="A30" s="794"/>
      <c r="B30" s="3661" t="s">
        <v>2094</v>
      </c>
      <c r="C30" s="5683" t="s">
        <v>1933</v>
      </c>
      <c r="D30" s="5683"/>
      <c r="E30" s="5683"/>
      <c r="F30" s="5683"/>
      <c r="G30" s="24">
        <v>14</v>
      </c>
      <c r="H30" s="24" t="s">
        <v>1925</v>
      </c>
      <c r="I30" s="24">
        <v>249.17</v>
      </c>
      <c r="J30" s="24">
        <v>3486</v>
      </c>
      <c r="K30" s="794"/>
      <c r="L30" s="794"/>
      <c r="M30" s="794"/>
      <c r="N30" s="794"/>
      <c r="O30" s="794"/>
      <c r="P30" s="794"/>
      <c r="Q30" s="794"/>
    </row>
    <row r="31" spans="1:17" ht="15.6" x14ac:dyDescent="0.3">
      <c r="A31" s="794"/>
      <c r="B31" s="3661" t="s">
        <v>2104</v>
      </c>
      <c r="C31" s="5683" t="s">
        <v>3612</v>
      </c>
      <c r="D31" s="5683"/>
      <c r="E31" s="5683"/>
      <c r="F31" s="5683"/>
      <c r="G31" s="24">
        <v>4</v>
      </c>
      <c r="H31" s="24" t="s">
        <v>1925</v>
      </c>
      <c r="I31" s="24">
        <v>346.67</v>
      </c>
      <c r="J31" s="24">
        <v>1384</v>
      </c>
      <c r="K31" s="794"/>
      <c r="L31" s="794"/>
      <c r="M31" s="794"/>
      <c r="N31" s="794"/>
      <c r="O31" s="794"/>
      <c r="P31" s="794"/>
      <c r="Q31" s="794"/>
    </row>
    <row r="32" spans="1:17" ht="15.6" x14ac:dyDescent="0.3">
      <c r="A32" s="794"/>
      <c r="B32" s="3661" t="s">
        <v>2107</v>
      </c>
      <c r="C32" s="5683" t="s">
        <v>1932</v>
      </c>
      <c r="D32" s="5683"/>
      <c r="E32" s="5683"/>
      <c r="F32" s="5683"/>
      <c r="G32" s="24">
        <v>2</v>
      </c>
      <c r="H32" s="24" t="s">
        <v>1925</v>
      </c>
      <c r="I32" s="24">
        <v>632.5</v>
      </c>
      <c r="J32" s="24">
        <v>1315.44</v>
      </c>
      <c r="K32" s="794"/>
      <c r="L32" s="794"/>
      <c r="M32" s="794"/>
      <c r="N32" s="794"/>
      <c r="O32" s="794"/>
      <c r="P32" s="794"/>
      <c r="Q32" s="794"/>
    </row>
    <row r="33" spans="1:18" ht="15.6" x14ac:dyDescent="0.3">
      <c r="A33" s="794"/>
      <c r="B33" s="3661" t="s">
        <v>2110</v>
      </c>
      <c r="C33" s="5683" t="s">
        <v>1928</v>
      </c>
      <c r="D33" s="5683"/>
      <c r="E33" s="5683"/>
      <c r="F33" s="5683"/>
      <c r="G33" s="24">
        <v>2</v>
      </c>
      <c r="H33" s="24" t="s">
        <v>1925</v>
      </c>
      <c r="I33" s="24">
        <v>632.5</v>
      </c>
      <c r="J33" s="24">
        <v>1315.44</v>
      </c>
      <c r="K33" s="794"/>
      <c r="L33" s="794"/>
      <c r="M33" s="794"/>
      <c r="N33" s="794"/>
      <c r="O33" s="794"/>
      <c r="P33" s="794"/>
      <c r="Q33" s="794"/>
    </row>
    <row r="34" spans="1:18" ht="15.6" x14ac:dyDescent="0.3">
      <c r="A34" s="794"/>
      <c r="B34" s="3708"/>
      <c r="C34" s="3708"/>
      <c r="D34" s="3708"/>
      <c r="E34" s="3708"/>
      <c r="F34" s="3708"/>
      <c r="G34" s="794"/>
      <c r="H34" s="794"/>
      <c r="I34" s="794"/>
      <c r="J34" s="1531">
        <f>SUM(J8:J33)</f>
        <v>49625.020000000004</v>
      </c>
      <c r="K34" s="794"/>
      <c r="L34" s="794"/>
      <c r="M34" s="794"/>
      <c r="N34" s="794"/>
      <c r="O34" s="794"/>
      <c r="P34" s="794"/>
      <c r="Q34" s="794"/>
    </row>
    <row r="35" spans="1:18" ht="15.6" x14ac:dyDescent="0.3">
      <c r="A35" s="794"/>
      <c r="B35" s="3708"/>
      <c r="C35" s="3708"/>
      <c r="D35" s="3708"/>
      <c r="E35" s="3708"/>
      <c r="F35" s="3708"/>
      <c r="G35" s="794"/>
      <c r="H35" s="794"/>
      <c r="I35" s="794"/>
      <c r="J35" s="794"/>
      <c r="K35" s="794"/>
      <c r="L35" s="794"/>
      <c r="M35" s="794"/>
      <c r="N35" s="794"/>
      <c r="O35" s="794"/>
      <c r="P35" s="794"/>
      <c r="Q35" s="794"/>
    </row>
    <row r="36" spans="1:18" ht="30" customHeight="1" x14ac:dyDescent="0.3">
      <c r="A36" s="794"/>
      <c r="B36" s="5670" t="s">
        <v>1935</v>
      </c>
      <c r="C36" s="5670"/>
      <c r="D36" s="5670"/>
      <c r="E36" s="5670"/>
      <c r="F36" s="5670"/>
      <c r="G36" s="794"/>
      <c r="H36" s="794"/>
      <c r="I36" s="3712" t="s">
        <v>1936</v>
      </c>
      <c r="J36" s="794"/>
      <c r="K36" s="794"/>
      <c r="M36" s="794"/>
      <c r="N36" s="794"/>
      <c r="O36" s="794"/>
      <c r="P36" s="794"/>
      <c r="Q36" s="794"/>
    </row>
    <row r="37" spans="1:18" ht="15.6" x14ac:dyDescent="0.3">
      <c r="A37" s="794"/>
      <c r="B37" s="794"/>
      <c r="C37" s="794"/>
      <c r="D37" s="794"/>
      <c r="E37" s="794"/>
      <c r="F37" s="794"/>
      <c r="G37" s="794"/>
      <c r="H37" s="794"/>
      <c r="I37" s="794"/>
      <c r="J37" s="794"/>
      <c r="K37" s="794"/>
      <c r="L37" s="794"/>
      <c r="M37" s="794"/>
      <c r="N37" s="794"/>
      <c r="O37" s="794"/>
      <c r="P37" s="794"/>
      <c r="Q37" s="794"/>
    </row>
    <row r="38" spans="1:18" ht="15.6" x14ac:dyDescent="0.3">
      <c r="A38" s="794"/>
      <c r="B38" s="794"/>
      <c r="C38" s="794"/>
      <c r="D38" s="794"/>
      <c r="E38" s="794"/>
      <c r="F38" s="794"/>
      <c r="G38" s="794"/>
      <c r="H38" s="794"/>
      <c r="I38" s="794"/>
      <c r="J38" s="794"/>
      <c r="K38" s="794"/>
      <c r="L38" s="794"/>
      <c r="M38" s="794"/>
      <c r="N38" s="794"/>
      <c r="O38" s="794"/>
      <c r="P38" s="794"/>
      <c r="Q38" s="794"/>
    </row>
    <row r="39" spans="1:18" ht="15.6" x14ac:dyDescent="0.3">
      <c r="A39" s="794"/>
      <c r="B39" s="794"/>
      <c r="C39" s="794"/>
      <c r="D39" s="794"/>
      <c r="E39" s="794"/>
      <c r="F39" s="794"/>
      <c r="G39" s="794"/>
      <c r="H39" s="794" t="s">
        <v>3622</v>
      </c>
      <c r="I39" s="794"/>
      <c r="J39" s="794"/>
      <c r="K39" s="794"/>
      <c r="L39" s="794"/>
      <c r="M39" s="794"/>
      <c r="N39" s="794"/>
      <c r="O39" s="794"/>
      <c r="P39" s="794"/>
      <c r="Q39" s="794"/>
    </row>
    <row r="40" spans="1:18" ht="15.6" x14ac:dyDescent="0.3">
      <c r="C40" t="s">
        <v>869</v>
      </c>
      <c r="K40" s="794"/>
      <c r="L40" s="794"/>
      <c r="M40" s="794"/>
      <c r="N40" s="794"/>
      <c r="O40" s="794"/>
      <c r="P40" s="794"/>
      <c r="Q40" s="794"/>
      <c r="R40" s="794"/>
    </row>
    <row r="41" spans="1:18" ht="15.6" x14ac:dyDescent="0.3">
      <c r="B41" s="5671" t="s">
        <v>968</v>
      </c>
      <c r="C41" s="5671" t="s">
        <v>3615</v>
      </c>
      <c r="D41" s="5671"/>
      <c r="E41" s="5671"/>
      <c r="F41" s="5671"/>
      <c r="G41" s="5671" t="s">
        <v>3616</v>
      </c>
      <c r="H41" s="5672" t="s">
        <v>3617</v>
      </c>
      <c r="I41" s="5672" t="s">
        <v>3618</v>
      </c>
      <c r="J41" s="5672" t="s">
        <v>3619</v>
      </c>
      <c r="K41" s="794"/>
      <c r="L41" s="794"/>
      <c r="M41" s="794"/>
      <c r="N41" s="794"/>
      <c r="O41" s="794"/>
      <c r="P41" s="794"/>
      <c r="Q41" s="794"/>
      <c r="R41" s="794"/>
    </row>
    <row r="42" spans="1:18" ht="15.6" x14ac:dyDescent="0.3">
      <c r="B42" s="5671"/>
      <c r="C42" s="5671" t="s">
        <v>3620</v>
      </c>
      <c r="D42" s="5671"/>
      <c r="E42" s="5671"/>
      <c r="F42" s="5671"/>
      <c r="G42" s="5671"/>
      <c r="H42" s="5671"/>
      <c r="I42" s="5672"/>
      <c r="J42" s="5671"/>
      <c r="K42" s="794"/>
      <c r="L42" s="794"/>
      <c r="M42" s="794"/>
      <c r="N42" s="794"/>
      <c r="O42" s="794"/>
      <c r="P42" s="794"/>
      <c r="Q42" s="794"/>
      <c r="R42" s="794"/>
    </row>
    <row r="43" spans="1:18" ht="15.6" x14ac:dyDescent="0.3">
      <c r="B43" s="3661" t="s">
        <v>1747</v>
      </c>
      <c r="C43" s="5671" t="s">
        <v>3613</v>
      </c>
      <c r="D43" s="5671"/>
      <c r="E43" s="5671"/>
      <c r="F43" s="5671"/>
      <c r="G43" s="24">
        <v>1</v>
      </c>
      <c r="H43" s="24" t="s">
        <v>3614</v>
      </c>
      <c r="I43" s="24"/>
      <c r="J43" s="24"/>
      <c r="K43" s="794"/>
      <c r="L43" s="794"/>
      <c r="M43" s="794"/>
      <c r="N43" s="794"/>
      <c r="O43" s="794"/>
      <c r="P43" s="794"/>
      <c r="Q43" s="794"/>
      <c r="R43" s="794"/>
    </row>
    <row r="44" spans="1:18" ht="15.6" x14ac:dyDescent="0.3">
      <c r="B44" s="3661" t="s">
        <v>1768</v>
      </c>
      <c r="C44" s="5671" t="s">
        <v>3613</v>
      </c>
      <c r="D44" s="5671"/>
      <c r="E44" s="5671"/>
      <c r="F44" s="5671"/>
      <c r="G44" s="24">
        <v>4</v>
      </c>
      <c r="H44" s="24" t="s">
        <v>3614</v>
      </c>
      <c r="I44" s="24">
        <v>8670</v>
      </c>
      <c r="J44" s="24">
        <f>I44*G44</f>
        <v>34680</v>
      </c>
      <c r="K44" s="794"/>
      <c r="L44" s="794"/>
      <c r="M44" s="794"/>
      <c r="N44" s="794"/>
      <c r="O44" s="794"/>
      <c r="P44" s="794"/>
      <c r="Q44" s="794"/>
      <c r="R44" s="794"/>
    </row>
    <row r="45" spans="1:18" ht="15.6" x14ac:dyDescent="0.3">
      <c r="B45" s="24"/>
      <c r="C45" s="24"/>
      <c r="D45" s="24"/>
      <c r="E45" s="5671" t="s">
        <v>3621</v>
      </c>
      <c r="F45" s="5671"/>
      <c r="G45" s="24"/>
      <c r="H45" s="24"/>
      <c r="I45" s="24"/>
      <c r="J45" s="24">
        <f>J44</f>
        <v>34680</v>
      </c>
      <c r="K45" s="794"/>
      <c r="L45" s="794"/>
      <c r="M45" s="794"/>
      <c r="N45" s="794"/>
      <c r="O45" s="794"/>
      <c r="P45" s="794"/>
      <c r="Q45" s="794"/>
      <c r="R45" s="794"/>
    </row>
    <row r="46" spans="1:18" ht="15.6" x14ac:dyDescent="0.3">
      <c r="A46" s="794"/>
      <c r="B46" s="794"/>
      <c r="C46" s="794"/>
      <c r="D46" s="794"/>
      <c r="E46" s="794"/>
      <c r="F46" s="794"/>
      <c r="G46" s="794"/>
      <c r="H46" s="794"/>
      <c r="I46" s="794"/>
      <c r="J46" s="794"/>
      <c r="K46" s="794"/>
      <c r="L46" s="794"/>
      <c r="M46" s="794"/>
      <c r="N46" s="794"/>
      <c r="O46" s="794"/>
      <c r="P46" s="794"/>
      <c r="Q46" s="794"/>
    </row>
    <row r="47" spans="1:18" ht="15.6" x14ac:dyDescent="0.3">
      <c r="A47" s="794"/>
      <c r="H47" t="s">
        <v>928</v>
      </c>
      <c r="K47" s="794"/>
      <c r="L47" s="794"/>
      <c r="M47" s="794"/>
      <c r="N47" s="794"/>
      <c r="O47" s="794"/>
      <c r="P47" s="794"/>
      <c r="Q47" s="794"/>
    </row>
    <row r="48" spans="1:18" ht="15.6" x14ac:dyDescent="0.3">
      <c r="A48" s="794"/>
      <c r="B48" s="5671" t="s">
        <v>968</v>
      </c>
      <c r="C48" s="5671" t="s">
        <v>3623</v>
      </c>
      <c r="D48" s="5671"/>
      <c r="E48" s="5671"/>
      <c r="F48" s="5671"/>
      <c r="G48" s="5672" t="s">
        <v>3624</v>
      </c>
      <c r="H48" s="5672" t="s">
        <v>3617</v>
      </c>
      <c r="I48" s="5672" t="s">
        <v>3625</v>
      </c>
      <c r="J48" s="5672" t="s">
        <v>1923</v>
      </c>
      <c r="K48" s="794"/>
      <c r="L48" s="794"/>
      <c r="M48" s="794"/>
      <c r="N48" s="794"/>
      <c r="O48" s="794"/>
      <c r="P48" s="794"/>
      <c r="Q48" s="794"/>
    </row>
    <row r="49" spans="1:17" ht="15.6" x14ac:dyDescent="0.3">
      <c r="A49" s="794"/>
      <c r="B49" s="5671"/>
      <c r="C49" s="5671" t="s">
        <v>1924</v>
      </c>
      <c r="D49" s="5671"/>
      <c r="E49" s="5671"/>
      <c r="F49" s="5671"/>
      <c r="G49" s="5672"/>
      <c r="H49" s="5672"/>
      <c r="I49" s="5672"/>
      <c r="J49" s="5672"/>
      <c r="K49" s="794"/>
      <c r="L49" s="794"/>
      <c r="M49" s="794"/>
      <c r="N49" s="794"/>
      <c r="O49" s="794"/>
      <c r="P49" s="794"/>
      <c r="Q49" s="794"/>
    </row>
    <row r="50" spans="1:17" ht="15.6" x14ac:dyDescent="0.3">
      <c r="A50" s="794"/>
      <c r="B50" s="3661" t="s">
        <v>1747</v>
      </c>
      <c r="C50" s="5671" t="s">
        <v>3626</v>
      </c>
      <c r="D50" s="5671"/>
      <c r="E50" s="5671"/>
      <c r="F50" s="5671"/>
      <c r="G50" s="24">
        <v>2</v>
      </c>
      <c r="H50" s="24" t="s">
        <v>3627</v>
      </c>
      <c r="I50" s="24">
        <v>1293</v>
      </c>
      <c r="J50" s="24">
        <f t="shared" ref="J50:J56" si="0">G50*I50</f>
        <v>2586</v>
      </c>
      <c r="K50" s="794"/>
      <c r="L50" s="794"/>
      <c r="M50" s="794"/>
      <c r="N50" s="794"/>
      <c r="O50" s="794"/>
      <c r="P50" s="794"/>
      <c r="Q50" s="794"/>
    </row>
    <row r="51" spans="1:17" ht="15.6" x14ac:dyDescent="0.3">
      <c r="A51" s="794"/>
      <c r="B51" s="3661" t="s">
        <v>1768</v>
      </c>
      <c r="C51" s="5671" t="s">
        <v>3628</v>
      </c>
      <c r="D51" s="5671"/>
      <c r="E51" s="5671"/>
      <c r="F51" s="5671"/>
      <c r="G51" s="24">
        <v>2</v>
      </c>
      <c r="H51" s="24" t="s">
        <v>3627</v>
      </c>
      <c r="I51" s="24">
        <v>1293</v>
      </c>
      <c r="J51" s="24">
        <f t="shared" si="0"/>
        <v>2586</v>
      </c>
      <c r="K51" s="794"/>
      <c r="L51" s="794"/>
      <c r="M51" s="794"/>
      <c r="N51" s="794"/>
      <c r="O51" s="794"/>
      <c r="P51" s="794"/>
      <c r="Q51" s="794"/>
    </row>
    <row r="52" spans="1:17" ht="15.6" x14ac:dyDescent="0.3">
      <c r="A52" s="794"/>
      <c r="B52" s="3661" t="s">
        <v>1770</v>
      </c>
      <c r="C52" s="5671" t="s">
        <v>3629</v>
      </c>
      <c r="D52" s="5671"/>
      <c r="E52" s="5671"/>
      <c r="F52" s="5671"/>
      <c r="G52" s="24"/>
      <c r="H52" s="24"/>
      <c r="I52" s="24"/>
      <c r="J52" s="24">
        <f t="shared" si="0"/>
        <v>0</v>
      </c>
      <c r="K52" s="794"/>
      <c r="L52" s="794"/>
      <c r="M52" s="794"/>
      <c r="N52" s="794"/>
      <c r="O52" s="794"/>
      <c r="P52" s="794"/>
      <c r="Q52" s="794"/>
    </row>
    <row r="53" spans="1:17" ht="15.6" x14ac:dyDescent="0.3">
      <c r="A53" s="794"/>
      <c r="B53" s="3661"/>
      <c r="C53" s="5671" t="s">
        <v>3630</v>
      </c>
      <c r="D53" s="5671"/>
      <c r="E53" s="5671"/>
      <c r="F53" s="5671"/>
      <c r="G53" s="24">
        <v>6</v>
      </c>
      <c r="H53" s="24" t="s">
        <v>3614</v>
      </c>
      <c r="I53" s="24">
        <v>200</v>
      </c>
      <c r="J53" s="24">
        <f t="shared" si="0"/>
        <v>1200</v>
      </c>
      <c r="K53" s="794"/>
      <c r="L53" s="794"/>
      <c r="M53" s="794"/>
      <c r="N53" s="794"/>
      <c r="O53" s="794"/>
      <c r="P53" s="794"/>
      <c r="Q53" s="794"/>
    </row>
    <row r="54" spans="1:17" ht="15.6" x14ac:dyDescent="0.3">
      <c r="A54" s="794"/>
      <c r="B54" s="3661" t="s">
        <v>1773</v>
      </c>
      <c r="C54" s="5671" t="s">
        <v>3629</v>
      </c>
      <c r="D54" s="5671"/>
      <c r="E54" s="5671"/>
      <c r="F54" s="5671"/>
      <c r="G54" s="24"/>
      <c r="H54" s="24"/>
      <c r="I54" s="24"/>
      <c r="J54" s="24">
        <f t="shared" si="0"/>
        <v>0</v>
      </c>
      <c r="K54" s="794"/>
      <c r="L54" s="794"/>
      <c r="M54" s="794"/>
      <c r="N54" s="794"/>
      <c r="O54" s="794"/>
      <c r="P54" s="794"/>
      <c r="Q54" s="794"/>
    </row>
    <row r="55" spans="1:17" ht="15.6" x14ac:dyDescent="0.3">
      <c r="A55" s="794"/>
      <c r="B55" s="3661"/>
      <c r="C55" s="5671" t="s">
        <v>3631</v>
      </c>
      <c r="D55" s="5671"/>
      <c r="E55" s="5671"/>
      <c r="F55" s="5671"/>
      <c r="G55" s="24">
        <v>6</v>
      </c>
      <c r="H55" s="24" t="s">
        <v>3632</v>
      </c>
      <c r="I55" s="24">
        <v>200</v>
      </c>
      <c r="J55" s="24">
        <f t="shared" si="0"/>
        <v>1200</v>
      </c>
      <c r="K55" s="794"/>
      <c r="L55" s="794"/>
      <c r="M55" s="794"/>
      <c r="N55" s="794"/>
      <c r="O55" s="794"/>
      <c r="P55" s="794"/>
      <c r="Q55" s="794"/>
    </row>
    <row r="56" spans="1:17" ht="15.6" x14ac:dyDescent="0.3">
      <c r="A56" s="794"/>
      <c r="B56" s="3661" t="s">
        <v>1857</v>
      </c>
      <c r="C56" s="5671" t="s">
        <v>3606</v>
      </c>
      <c r="D56" s="5671"/>
      <c r="E56" s="5671"/>
      <c r="F56" s="5671"/>
      <c r="G56" s="24">
        <v>1</v>
      </c>
      <c r="H56" s="24" t="s">
        <v>1930</v>
      </c>
      <c r="I56" s="24">
        <v>521.46</v>
      </c>
      <c r="J56" s="24">
        <f t="shared" si="0"/>
        <v>521.46</v>
      </c>
      <c r="K56" s="794"/>
      <c r="L56" s="794"/>
      <c r="M56" s="794"/>
      <c r="N56" s="794"/>
      <c r="O56" s="794"/>
      <c r="P56" s="794"/>
      <c r="Q56" s="794"/>
    </row>
    <row r="57" spans="1:17" ht="15.6" x14ac:dyDescent="0.3">
      <c r="A57" s="794"/>
      <c r="B57" s="3661" t="s">
        <v>1859</v>
      </c>
      <c r="C57" s="5671" t="s">
        <v>3633</v>
      </c>
      <c r="D57" s="5671"/>
      <c r="E57" s="5671"/>
      <c r="F57" s="5671"/>
      <c r="G57" s="24">
        <v>150</v>
      </c>
      <c r="H57" s="24" t="s">
        <v>3634</v>
      </c>
      <c r="I57" s="24">
        <v>55.36</v>
      </c>
      <c r="J57" s="24">
        <f>G57*I57</f>
        <v>8304</v>
      </c>
      <c r="K57" s="794"/>
      <c r="L57" s="794"/>
      <c r="M57" s="794"/>
      <c r="N57" s="794"/>
      <c r="O57" s="794"/>
      <c r="P57" s="794"/>
      <c r="Q57" s="794"/>
    </row>
    <row r="58" spans="1:17" ht="15.6" x14ac:dyDescent="0.3">
      <c r="A58" s="794"/>
      <c r="B58" s="24"/>
      <c r="C58" s="24"/>
      <c r="D58" s="24"/>
      <c r="E58" s="5668" t="s">
        <v>3621</v>
      </c>
      <c r="F58" s="5669"/>
      <c r="G58" s="24"/>
      <c r="H58" s="24"/>
      <c r="I58" s="24"/>
      <c r="J58" s="24">
        <f>SUM(J50:J57)</f>
        <v>16397.46</v>
      </c>
      <c r="K58" s="794"/>
      <c r="L58" s="794"/>
      <c r="M58" s="794"/>
      <c r="N58" s="794"/>
      <c r="O58" s="794"/>
      <c r="P58" s="794"/>
      <c r="Q58" s="794"/>
    </row>
    <row r="59" spans="1:17" ht="15.6" x14ac:dyDescent="0.3">
      <c r="A59" s="794"/>
      <c r="B59" s="794"/>
      <c r="C59" s="794"/>
      <c r="D59" s="794"/>
      <c r="E59" s="794"/>
      <c r="F59" s="794"/>
      <c r="G59" s="794"/>
      <c r="H59" s="794"/>
      <c r="I59" s="794"/>
      <c r="J59" s="794"/>
      <c r="K59" s="794"/>
      <c r="L59" s="794"/>
      <c r="M59" s="794"/>
      <c r="N59" s="794"/>
      <c r="O59" s="794"/>
      <c r="P59" s="794"/>
      <c r="Q59" s="794"/>
    </row>
    <row r="60" spans="1:17" ht="30" customHeight="1" x14ac:dyDescent="0.3">
      <c r="A60" s="794"/>
      <c r="B60" s="5670" t="s">
        <v>1935</v>
      </c>
      <c r="C60" s="5670"/>
      <c r="D60" s="5670"/>
      <c r="E60" s="5670"/>
      <c r="F60" s="5670"/>
      <c r="G60" s="794"/>
      <c r="H60" s="794"/>
      <c r="I60" s="3712" t="s">
        <v>1936</v>
      </c>
      <c r="J60" s="794"/>
      <c r="K60" s="794"/>
      <c r="M60" s="794"/>
      <c r="N60" s="794"/>
      <c r="O60" s="794"/>
      <c r="P60" s="794"/>
      <c r="Q60" s="794"/>
    </row>
    <row r="61" spans="1:17" ht="15.6" x14ac:dyDescent="0.3">
      <c r="A61" s="794"/>
      <c r="B61" s="794"/>
      <c r="C61" s="794"/>
      <c r="D61" s="794"/>
      <c r="E61" s="794"/>
      <c r="F61" s="794"/>
      <c r="G61" s="794"/>
      <c r="H61" s="794"/>
      <c r="I61" s="794"/>
      <c r="J61" s="794"/>
      <c r="K61" s="794"/>
      <c r="L61" s="794"/>
      <c r="M61" s="794"/>
      <c r="N61" s="794"/>
      <c r="O61" s="794"/>
      <c r="P61" s="794"/>
      <c r="Q61" s="794"/>
    </row>
    <row r="62" spans="1:17" ht="16.2" thickBot="1" x14ac:dyDescent="0.35">
      <c r="A62" s="794"/>
      <c r="B62" s="794"/>
      <c r="C62" s="794"/>
      <c r="D62" s="794"/>
      <c r="E62" s="794"/>
      <c r="F62" s="794"/>
      <c r="G62" s="794"/>
      <c r="H62" s="794"/>
      <c r="I62" s="794"/>
      <c r="J62" s="794"/>
      <c r="K62" s="794"/>
      <c r="L62" s="794"/>
      <c r="M62" s="794"/>
      <c r="N62" s="2532"/>
      <c r="O62" s="794"/>
      <c r="P62" s="794"/>
      <c r="Q62" s="794"/>
    </row>
    <row r="63" spans="1:17" ht="15.6" x14ac:dyDescent="0.3">
      <c r="A63" s="794"/>
      <c r="B63" s="794"/>
      <c r="C63" s="1534" t="s">
        <v>2566</v>
      </c>
      <c r="D63" s="1535"/>
      <c r="E63" s="1535"/>
      <c r="F63" s="1535"/>
      <c r="G63" s="1535"/>
      <c r="H63" s="1535"/>
      <c r="I63" s="1535"/>
      <c r="J63" s="1536"/>
      <c r="K63" s="1537"/>
      <c r="L63" s="794"/>
      <c r="M63" s="794"/>
      <c r="N63" s="794"/>
      <c r="O63" s="794"/>
      <c r="P63" s="794"/>
      <c r="Q63" s="794"/>
    </row>
    <row r="64" spans="1:17" ht="15.6" x14ac:dyDescent="0.3">
      <c r="A64" s="794"/>
      <c r="B64" s="794"/>
      <c r="C64" s="5676" t="s">
        <v>2383</v>
      </c>
      <c r="D64" s="5677"/>
      <c r="E64" s="5677"/>
      <c r="F64" s="5677"/>
      <c r="G64" s="5677"/>
      <c r="H64" s="5677"/>
      <c r="I64" s="5677"/>
      <c r="J64" s="5678"/>
      <c r="K64" s="1537"/>
      <c r="L64" s="794"/>
      <c r="M64" s="794"/>
      <c r="N64" s="794"/>
      <c r="O64" s="794"/>
      <c r="P64" s="794"/>
      <c r="Q64" s="794"/>
    </row>
    <row r="65" spans="1:17" ht="15.6" x14ac:dyDescent="0.3">
      <c r="A65" s="794"/>
      <c r="B65" s="794"/>
      <c r="C65" s="1538" t="s">
        <v>2567</v>
      </c>
      <c r="D65" s="1539"/>
      <c r="E65" s="1539"/>
      <c r="F65" s="1539"/>
      <c r="G65" s="1539"/>
      <c r="H65" s="1539"/>
      <c r="I65" s="1537"/>
      <c r="J65" s="1540"/>
      <c r="K65" s="1537"/>
      <c r="L65" s="1537"/>
      <c r="M65" s="794"/>
      <c r="N65" s="794"/>
      <c r="O65" s="794"/>
      <c r="P65" s="794"/>
      <c r="Q65" s="794"/>
    </row>
    <row r="66" spans="1:17" ht="15.6" x14ac:dyDescent="0.3">
      <c r="A66" s="794"/>
      <c r="B66" s="794"/>
      <c r="C66" s="1538" t="s">
        <v>2568</v>
      </c>
      <c r="D66" s="1539"/>
      <c r="E66" s="1539"/>
      <c r="F66" s="1539"/>
      <c r="G66" s="1539"/>
      <c r="H66" s="1539"/>
      <c r="I66" s="1537"/>
      <c r="J66" s="1540"/>
      <c r="K66" s="1537"/>
      <c r="L66" s="1537"/>
      <c r="M66" s="794"/>
      <c r="N66" s="794"/>
      <c r="O66" s="794"/>
      <c r="P66" s="794"/>
      <c r="Q66" s="794"/>
    </row>
    <row r="67" spans="1:17" ht="15.6" x14ac:dyDescent="0.3">
      <c r="A67" s="794"/>
      <c r="B67" s="794"/>
      <c r="C67" s="1538" t="s">
        <v>2569</v>
      </c>
      <c r="D67" s="1539"/>
      <c r="E67" s="1539"/>
      <c r="F67" s="1539"/>
      <c r="G67" s="1539"/>
      <c r="H67" s="1539"/>
      <c r="I67" s="1537"/>
      <c r="J67" s="1540"/>
      <c r="K67" s="1537"/>
      <c r="L67" s="1537"/>
      <c r="M67" s="794"/>
      <c r="N67" s="794"/>
      <c r="O67" s="794"/>
      <c r="P67" s="794"/>
      <c r="Q67" s="794"/>
    </row>
    <row r="68" spans="1:17" ht="15.6" x14ac:dyDescent="0.3">
      <c r="A68" s="794"/>
      <c r="B68" s="794"/>
      <c r="C68" s="1538" t="s">
        <v>2570</v>
      </c>
      <c r="D68" s="1539"/>
      <c r="E68" s="1539"/>
      <c r="F68" s="1539"/>
      <c r="G68" s="1539"/>
      <c r="H68" s="1539"/>
      <c r="I68" s="1537"/>
      <c r="J68" s="1540"/>
      <c r="K68" s="1537"/>
      <c r="L68" s="1537"/>
      <c r="M68" s="794"/>
      <c r="N68" s="794"/>
      <c r="O68" s="794"/>
      <c r="P68" s="794"/>
      <c r="Q68" s="794"/>
    </row>
    <row r="69" spans="1:17" ht="15.6" x14ac:dyDescent="0.3">
      <c r="A69" s="794"/>
      <c r="B69" s="794"/>
      <c r="C69" s="1538" t="s">
        <v>2571</v>
      </c>
      <c r="D69" s="1539"/>
      <c r="E69" s="1539"/>
      <c r="F69" s="1539"/>
      <c r="G69" s="1539"/>
      <c r="H69" s="1539"/>
      <c r="I69" s="1537"/>
      <c r="J69" s="1540"/>
      <c r="K69" s="1537"/>
      <c r="L69" s="1537"/>
      <c r="M69" s="794"/>
      <c r="N69" s="794"/>
      <c r="O69" s="794"/>
      <c r="P69" s="794"/>
      <c r="Q69" s="794"/>
    </row>
    <row r="70" spans="1:17" ht="15.6" x14ac:dyDescent="0.3">
      <c r="A70" s="794"/>
      <c r="B70" s="794"/>
      <c r="C70" s="1538" t="s">
        <v>2572</v>
      </c>
      <c r="D70" s="1539"/>
      <c r="E70" s="1539"/>
      <c r="F70" s="1539"/>
      <c r="G70" s="1539"/>
      <c r="H70" s="1539"/>
      <c r="I70" s="1537"/>
      <c r="J70" s="1540"/>
      <c r="K70" s="1537"/>
      <c r="L70" s="1537"/>
      <c r="M70" s="794"/>
      <c r="N70" s="794"/>
      <c r="O70" s="794"/>
      <c r="P70" s="794"/>
      <c r="Q70" s="794"/>
    </row>
    <row r="71" spans="1:17" ht="15.6" x14ac:dyDescent="0.3">
      <c r="A71" s="794"/>
      <c r="B71" s="794"/>
      <c r="C71" s="1538" t="s">
        <v>2573</v>
      </c>
      <c r="D71" s="1539"/>
      <c r="E71" s="1539"/>
      <c r="F71" s="1539"/>
      <c r="G71" s="1539"/>
      <c r="H71" s="1539"/>
      <c r="I71" s="1537"/>
      <c r="J71" s="1540"/>
      <c r="K71" s="1537"/>
      <c r="L71" s="1537"/>
      <c r="M71" s="794"/>
      <c r="N71" s="794"/>
      <c r="O71" s="794"/>
      <c r="P71" s="794"/>
      <c r="Q71" s="794"/>
    </row>
    <row r="72" spans="1:17" ht="15.6" x14ac:dyDescent="0.3">
      <c r="A72" s="794"/>
      <c r="B72" s="794"/>
      <c r="C72" s="1538" t="s">
        <v>2574</v>
      </c>
      <c r="D72" s="1539"/>
      <c r="E72" s="1539"/>
      <c r="F72" s="1539"/>
      <c r="G72" s="1539"/>
      <c r="H72" s="1539"/>
      <c r="I72" s="1537"/>
      <c r="J72" s="1540"/>
      <c r="K72" s="1537"/>
      <c r="L72" s="1537"/>
      <c r="M72" s="794"/>
      <c r="N72" s="794"/>
      <c r="O72" s="794"/>
      <c r="P72" s="794"/>
      <c r="Q72" s="794"/>
    </row>
    <row r="73" spans="1:17" ht="15.6" x14ac:dyDescent="0.3">
      <c r="A73" s="794"/>
      <c r="B73" s="794"/>
      <c r="C73" s="1538" t="s">
        <v>2575</v>
      </c>
      <c r="D73" s="1539"/>
      <c r="E73" s="1539"/>
      <c r="F73" s="1539"/>
      <c r="G73" s="1539"/>
      <c r="H73" s="1539"/>
      <c r="I73" s="1537"/>
      <c r="J73" s="1540"/>
      <c r="K73" s="1537"/>
      <c r="L73" s="1537"/>
      <c r="M73" s="794"/>
      <c r="N73" s="794"/>
      <c r="O73" s="794"/>
      <c r="P73" s="794"/>
      <c r="Q73" s="794"/>
    </row>
    <row r="74" spans="1:17" ht="15.6" x14ac:dyDescent="0.3">
      <c r="A74" s="794"/>
      <c r="B74" s="794"/>
      <c r="C74" s="1538" t="s">
        <v>2576</v>
      </c>
      <c r="D74" s="1539"/>
      <c r="E74" s="1539"/>
      <c r="F74" s="1539"/>
      <c r="G74" s="1539"/>
      <c r="H74" s="1539"/>
      <c r="I74" s="1537"/>
      <c r="J74" s="1540"/>
      <c r="K74" s="1537"/>
      <c r="L74" s="1537"/>
      <c r="M74" s="794"/>
      <c r="N74" s="794"/>
      <c r="O74" s="794"/>
      <c r="P74" s="794"/>
      <c r="Q74" s="794"/>
    </row>
    <row r="75" spans="1:17" ht="15.6" x14ac:dyDescent="0.3">
      <c r="A75" s="794"/>
      <c r="B75" s="794"/>
      <c r="C75" s="1538" t="s">
        <v>2577</v>
      </c>
      <c r="D75" s="1539"/>
      <c r="E75" s="1539"/>
      <c r="F75" s="1539"/>
      <c r="G75" s="1539"/>
      <c r="H75" s="1539"/>
      <c r="I75" s="1537"/>
      <c r="J75" s="1540"/>
      <c r="K75" s="1537"/>
      <c r="L75" s="1537"/>
      <c r="M75" s="794"/>
      <c r="N75" s="794"/>
      <c r="O75" s="794"/>
      <c r="P75" s="794"/>
      <c r="Q75" s="794"/>
    </row>
    <row r="76" spans="1:17" ht="15.6" x14ac:dyDescent="0.3">
      <c r="A76" s="794"/>
      <c r="B76" s="794"/>
      <c r="C76" s="1538" t="s">
        <v>2578</v>
      </c>
      <c r="D76" s="1539"/>
      <c r="E76" s="1539"/>
      <c r="F76" s="1539"/>
      <c r="G76" s="1539"/>
      <c r="H76" s="1539"/>
      <c r="I76" s="1537"/>
      <c r="J76" s="1540"/>
      <c r="K76" s="1537"/>
      <c r="L76" s="1537"/>
      <c r="M76" s="794"/>
      <c r="N76" s="794"/>
      <c r="O76" s="794"/>
      <c r="P76" s="794"/>
      <c r="Q76" s="794"/>
    </row>
    <row r="77" spans="1:17" ht="15.6" x14ac:dyDescent="0.3">
      <c r="A77" s="794"/>
      <c r="B77" s="794"/>
      <c r="C77" s="1538" t="s">
        <v>2579</v>
      </c>
      <c r="D77" s="1539"/>
      <c r="E77" s="1539"/>
      <c r="F77" s="1539"/>
      <c r="G77" s="1539"/>
      <c r="H77" s="1539"/>
      <c r="I77" s="1537"/>
      <c r="J77" s="1540"/>
      <c r="K77" s="1537"/>
      <c r="L77" s="1537"/>
      <c r="M77" s="794"/>
      <c r="N77" s="794"/>
      <c r="O77" s="794"/>
      <c r="P77" s="794"/>
      <c r="Q77" s="794"/>
    </row>
    <row r="78" spans="1:17" ht="15.6" x14ac:dyDescent="0.3">
      <c r="A78" s="794"/>
      <c r="B78" s="794"/>
      <c r="C78" s="1538" t="s">
        <v>2580</v>
      </c>
      <c r="D78" s="1539"/>
      <c r="E78" s="1539"/>
      <c r="F78" s="1539"/>
      <c r="G78" s="1539"/>
      <c r="H78" s="1539"/>
      <c r="I78" s="1537"/>
      <c r="J78" s="1540"/>
      <c r="K78" s="1537"/>
      <c r="L78" s="1537"/>
      <c r="M78" s="794"/>
      <c r="N78" s="794"/>
      <c r="O78" s="794"/>
      <c r="P78" s="794"/>
      <c r="Q78" s="794"/>
    </row>
    <row r="79" spans="1:17" ht="15.6" x14ac:dyDescent="0.3">
      <c r="A79" s="794"/>
      <c r="B79" s="794"/>
      <c r="C79" s="1538" t="s">
        <v>2581</v>
      </c>
      <c r="D79" s="1539"/>
      <c r="E79" s="1537"/>
      <c r="F79" s="1537"/>
      <c r="G79" s="1537"/>
      <c r="H79" s="1537"/>
      <c r="I79" s="1537"/>
      <c r="J79" s="1540"/>
      <c r="K79" s="1537"/>
      <c r="L79" s="1537"/>
      <c r="M79" s="794"/>
      <c r="N79" s="794"/>
      <c r="O79" s="794"/>
      <c r="P79" s="794"/>
      <c r="Q79" s="794"/>
    </row>
    <row r="80" spans="1:17" ht="15.6" x14ac:dyDescent="0.3">
      <c r="A80" s="794"/>
      <c r="B80" s="794"/>
      <c r="C80" s="1538" t="s">
        <v>2582</v>
      </c>
      <c r="D80" s="1537"/>
      <c r="E80" s="1537"/>
      <c r="F80" s="1537"/>
      <c r="G80" s="1537"/>
      <c r="H80" s="1537"/>
      <c r="I80" s="1537"/>
      <c r="J80" s="1540"/>
      <c r="K80" s="1537"/>
      <c r="L80" s="1537"/>
      <c r="M80" s="794"/>
      <c r="N80" s="794"/>
      <c r="O80" s="794"/>
      <c r="P80" s="794"/>
      <c r="Q80" s="794"/>
    </row>
    <row r="81" spans="1:17" ht="15.6" x14ac:dyDescent="0.3">
      <c r="A81" s="794"/>
      <c r="B81" s="794"/>
      <c r="C81" s="1538" t="s">
        <v>2583</v>
      </c>
      <c r="D81" s="1537"/>
      <c r="E81" s="1537"/>
      <c r="F81" s="1537"/>
      <c r="G81" s="1537"/>
      <c r="H81" s="1537"/>
      <c r="I81" s="1537"/>
      <c r="J81" s="1540"/>
      <c r="K81" s="1537"/>
      <c r="L81" s="1537"/>
      <c r="M81" s="794"/>
      <c r="N81" s="794"/>
      <c r="O81" s="794"/>
      <c r="P81" s="794"/>
      <c r="Q81" s="794"/>
    </row>
    <row r="82" spans="1:17" ht="15.6" x14ac:dyDescent="0.3">
      <c r="A82" s="794"/>
      <c r="B82" s="794"/>
      <c r="C82" s="1538" t="s">
        <v>2584</v>
      </c>
      <c r="D82" s="1537"/>
      <c r="E82" s="1537"/>
      <c r="F82" s="1537"/>
      <c r="G82" s="1537"/>
      <c r="H82" s="1537"/>
      <c r="I82" s="1537"/>
      <c r="J82" s="1540"/>
      <c r="K82" s="1537"/>
      <c r="L82" s="1537"/>
      <c r="M82" s="794"/>
      <c r="N82" s="794"/>
      <c r="O82" s="794"/>
      <c r="P82" s="794"/>
      <c r="Q82" s="794"/>
    </row>
    <row r="83" spans="1:17" ht="15.6" x14ac:dyDescent="0.3">
      <c r="A83" s="794"/>
      <c r="B83" s="794"/>
      <c r="C83" s="1538" t="s">
        <v>2585</v>
      </c>
      <c r="D83" s="1537"/>
      <c r="E83" s="1537"/>
      <c r="F83" s="1537"/>
      <c r="G83" s="1537"/>
      <c r="H83" s="1537"/>
      <c r="I83" s="1537"/>
      <c r="J83" s="1540"/>
      <c r="K83" s="1537"/>
      <c r="L83" s="1537"/>
      <c r="M83" s="794"/>
      <c r="N83" s="794"/>
      <c r="O83" s="794"/>
      <c r="P83" s="794"/>
      <c r="Q83" s="794"/>
    </row>
    <row r="84" spans="1:17" ht="15.6" x14ac:dyDescent="0.3">
      <c r="A84" s="794"/>
      <c r="B84" s="794"/>
      <c r="C84" s="1538" t="s">
        <v>2586</v>
      </c>
      <c r="D84" s="1537"/>
      <c r="E84" s="1537"/>
      <c r="F84" s="1537"/>
      <c r="G84" s="1537"/>
      <c r="H84" s="1537"/>
      <c r="I84" s="1537"/>
      <c r="J84" s="1540"/>
      <c r="K84" s="1537"/>
      <c r="L84" s="1537"/>
      <c r="M84" s="794"/>
      <c r="N84" s="794"/>
      <c r="O84" s="794"/>
      <c r="P84" s="794"/>
      <c r="Q84" s="794"/>
    </row>
    <row r="85" spans="1:17" ht="15.6" x14ac:dyDescent="0.3">
      <c r="A85" s="794"/>
      <c r="B85" s="794"/>
      <c r="C85" s="1538" t="s">
        <v>2587</v>
      </c>
      <c r="D85" s="1537"/>
      <c r="E85" s="1537"/>
      <c r="F85" s="1537"/>
      <c r="G85" s="1537"/>
      <c r="H85" s="1537"/>
      <c r="I85" s="1537"/>
      <c r="J85" s="1540"/>
      <c r="K85" s="1537"/>
      <c r="L85" s="1537"/>
      <c r="M85" s="794"/>
      <c r="N85" s="794"/>
      <c r="O85" s="794"/>
      <c r="P85" s="794"/>
      <c r="Q85" s="794"/>
    </row>
    <row r="86" spans="1:17" ht="15.6" x14ac:dyDescent="0.3">
      <c r="A86" s="794"/>
      <c r="B86" s="794"/>
      <c r="C86" s="1538" t="s">
        <v>2588</v>
      </c>
      <c r="D86" s="1537"/>
      <c r="E86" s="1537"/>
      <c r="F86" s="1537"/>
      <c r="G86" s="1537"/>
      <c r="H86" s="1537"/>
      <c r="I86" s="1537"/>
      <c r="J86" s="1540"/>
      <c r="K86" s="1537"/>
      <c r="L86" s="1537"/>
      <c r="M86" s="794"/>
      <c r="N86" s="794"/>
      <c r="O86" s="794"/>
      <c r="P86" s="794"/>
      <c r="Q86" s="794"/>
    </row>
    <row r="87" spans="1:17" ht="15.6" x14ac:dyDescent="0.3">
      <c r="A87" s="794"/>
      <c r="B87" s="794"/>
      <c r="C87" s="1538" t="s">
        <v>2589</v>
      </c>
      <c r="D87" s="1537"/>
      <c r="E87" s="1537"/>
      <c r="F87" s="1537"/>
      <c r="G87" s="1537"/>
      <c r="H87" s="1537"/>
      <c r="I87" s="1537"/>
      <c r="J87" s="1540"/>
      <c r="K87" s="1537"/>
      <c r="L87" s="1537"/>
      <c r="M87" s="794"/>
      <c r="N87" s="794"/>
      <c r="O87" s="794"/>
      <c r="P87" s="794"/>
      <c r="Q87" s="794"/>
    </row>
    <row r="88" spans="1:17" ht="15.6" x14ac:dyDescent="0.3">
      <c r="A88" s="794"/>
      <c r="B88" s="794"/>
      <c r="C88" s="1538" t="s">
        <v>2590</v>
      </c>
      <c r="D88" s="1537"/>
      <c r="E88" s="1537"/>
      <c r="F88" s="1537"/>
      <c r="G88" s="1537"/>
      <c r="H88" s="1537"/>
      <c r="I88" s="1537"/>
      <c r="J88" s="1540"/>
      <c r="K88" s="1537"/>
      <c r="L88" s="1537"/>
      <c r="M88" s="794"/>
      <c r="N88" s="794"/>
      <c r="O88" s="794"/>
      <c r="P88" s="794"/>
      <c r="Q88" s="794"/>
    </row>
    <row r="89" spans="1:17" ht="15.6" x14ac:dyDescent="0.3">
      <c r="A89" s="794"/>
      <c r="B89" s="794"/>
      <c r="C89" s="1538" t="s">
        <v>2591</v>
      </c>
      <c r="D89" s="1537"/>
      <c r="E89" s="1537"/>
      <c r="F89" s="1537"/>
      <c r="G89" s="1537"/>
      <c r="H89" s="1537"/>
      <c r="I89" s="1537"/>
      <c r="J89" s="1540"/>
      <c r="K89" s="1537"/>
      <c r="L89" s="1537"/>
      <c r="M89" s="794"/>
      <c r="N89" s="794"/>
      <c r="O89" s="794"/>
      <c r="P89" s="794"/>
      <c r="Q89" s="794"/>
    </row>
    <row r="90" spans="1:17" ht="15.6" x14ac:dyDescent="0.3">
      <c r="A90" s="794"/>
      <c r="B90" s="794"/>
      <c r="C90" s="934" t="s">
        <v>2592</v>
      </c>
      <c r="D90" s="1537"/>
      <c r="E90" s="1537"/>
      <c r="F90" s="1537"/>
      <c r="G90" s="1537"/>
      <c r="H90" s="1537"/>
      <c r="I90" s="1537"/>
      <c r="J90" s="1540"/>
      <c r="K90" s="1537"/>
      <c r="L90" s="1537"/>
      <c r="M90" s="794"/>
      <c r="N90" s="794"/>
      <c r="O90" s="794"/>
      <c r="P90" s="794"/>
      <c r="Q90" s="794"/>
    </row>
    <row r="91" spans="1:17" ht="16.2" thickBot="1" x14ac:dyDescent="0.35">
      <c r="A91" s="794"/>
      <c r="B91" s="794"/>
      <c r="C91" s="935" t="s">
        <v>2593</v>
      </c>
      <c r="D91" s="1541"/>
      <c r="E91" s="1541"/>
      <c r="F91" s="1541"/>
      <c r="G91" s="1541"/>
      <c r="H91" s="1541"/>
      <c r="I91" s="1541"/>
      <c r="J91" s="1542"/>
      <c r="K91" s="1537"/>
      <c r="L91" s="1537"/>
      <c r="M91" s="794"/>
      <c r="N91" s="794"/>
      <c r="O91" s="794"/>
      <c r="P91" s="794"/>
      <c r="Q91" s="794"/>
    </row>
    <row r="92" spans="1:17" ht="15.6" x14ac:dyDescent="0.3">
      <c r="A92" s="794"/>
      <c r="B92" s="794"/>
      <c r="C92" s="1543"/>
      <c r="D92" s="1544"/>
      <c r="E92" s="1544"/>
      <c r="F92" s="1544"/>
      <c r="G92" s="1544"/>
      <c r="H92" s="1544"/>
      <c r="I92" s="1544"/>
      <c r="J92" s="1545"/>
      <c r="K92" s="794"/>
      <c r="L92" s="794"/>
      <c r="M92" s="794"/>
      <c r="N92" s="794"/>
      <c r="O92" s="794"/>
      <c r="P92" s="794"/>
      <c r="Q92" s="794"/>
    </row>
    <row r="93" spans="1:17" ht="16.2" thickBot="1" x14ac:dyDescent="0.35">
      <c r="A93" s="794"/>
      <c r="B93" s="794"/>
      <c r="C93" s="1546"/>
      <c r="D93" s="1547" t="s">
        <v>2010</v>
      </c>
      <c r="E93" s="1547"/>
      <c r="F93" s="1547"/>
      <c r="G93" s="1547"/>
      <c r="H93" s="1547"/>
      <c r="I93" s="1547"/>
      <c r="J93" s="1548">
        <f>N25+J63</f>
        <v>0</v>
      </c>
      <c r="K93" s="794"/>
      <c r="L93" s="794"/>
      <c r="M93" s="794"/>
      <c r="N93" s="794"/>
      <c r="O93" s="794"/>
      <c r="P93" s="794"/>
      <c r="Q93" s="794"/>
    </row>
    <row r="94" spans="1:17" ht="15.6" x14ac:dyDescent="0.3">
      <c r="A94" s="794"/>
      <c r="B94" s="794"/>
      <c r="C94" s="794"/>
      <c r="D94" s="794"/>
      <c r="E94" s="794"/>
      <c r="F94" s="794"/>
      <c r="G94" s="794"/>
      <c r="H94" s="794"/>
      <c r="I94" s="794"/>
      <c r="J94" s="794"/>
      <c r="K94" s="794"/>
      <c r="L94" s="794"/>
      <c r="M94" s="794"/>
      <c r="N94" s="794"/>
      <c r="O94" s="794"/>
      <c r="P94" s="794"/>
      <c r="Q94" s="794"/>
    </row>
    <row r="95" spans="1:17" ht="16.2" thickBot="1" x14ac:dyDescent="0.35">
      <c r="A95" s="794"/>
      <c r="B95" s="794"/>
      <c r="C95" s="794"/>
      <c r="D95" s="794"/>
      <c r="E95" s="794"/>
      <c r="F95" s="794"/>
      <c r="G95" s="794"/>
      <c r="H95" s="794"/>
      <c r="I95" s="794"/>
      <c r="J95" s="794"/>
      <c r="K95" s="794"/>
      <c r="L95" s="794"/>
      <c r="M95" s="794"/>
      <c r="N95" s="794"/>
      <c r="O95" s="794"/>
      <c r="P95" s="794"/>
      <c r="Q95" s="794"/>
    </row>
    <row r="96" spans="1:17" ht="15.6" x14ac:dyDescent="0.3">
      <c r="A96" s="794"/>
      <c r="B96" s="794"/>
      <c r="C96" s="1543"/>
      <c r="D96" s="1544"/>
      <c r="E96" s="1544"/>
      <c r="F96" s="1549" t="s">
        <v>2007</v>
      </c>
      <c r="G96" s="1550"/>
      <c r="H96" s="1550"/>
      <c r="I96" s="1550"/>
      <c r="J96" s="3711"/>
      <c r="K96" s="1537"/>
      <c r="L96" s="1537"/>
      <c r="M96" s="1537"/>
      <c r="N96" s="794"/>
      <c r="O96" s="794"/>
      <c r="P96" s="794"/>
      <c r="Q96" s="794"/>
    </row>
    <row r="97" spans="1:17" ht="15.6" x14ac:dyDescent="0.3">
      <c r="A97" s="794"/>
      <c r="B97" s="794"/>
      <c r="C97" s="1551"/>
      <c r="D97" s="1537"/>
      <c r="E97" s="1537"/>
      <c r="F97" s="1537"/>
      <c r="G97" s="1537"/>
      <c r="H97" s="1537"/>
      <c r="I97" s="1537"/>
      <c r="J97" s="1540"/>
      <c r="K97" s="1537"/>
      <c r="L97" s="1537"/>
      <c r="M97" s="1537"/>
      <c r="N97" s="794"/>
      <c r="O97" s="794"/>
      <c r="P97" s="794"/>
      <c r="Q97" s="794"/>
    </row>
    <row r="98" spans="1:17" ht="15.6" x14ac:dyDescent="0.3">
      <c r="A98" s="794"/>
      <c r="B98" s="794"/>
      <c r="C98" s="1552"/>
      <c r="D98" s="1537"/>
      <c r="E98" s="1537"/>
      <c r="F98" s="1537"/>
      <c r="G98" s="1537"/>
      <c r="H98" s="1537"/>
      <c r="I98" s="1537"/>
      <c r="J98" s="1540"/>
      <c r="K98" s="1537"/>
      <c r="L98" s="1537"/>
      <c r="M98" s="1537"/>
      <c r="N98" s="794"/>
      <c r="O98" s="794"/>
      <c r="P98" s="794"/>
      <c r="Q98" s="794"/>
    </row>
    <row r="99" spans="1:17" ht="15.6" x14ac:dyDescent="0.3">
      <c r="A99" s="794"/>
      <c r="B99" s="794"/>
      <c r="C99" s="1553" t="s">
        <v>2594</v>
      </c>
      <c r="D99" s="1537"/>
      <c r="E99" s="1537"/>
      <c r="F99" s="1537"/>
      <c r="G99" s="1537"/>
      <c r="H99" s="1537"/>
      <c r="I99" s="1537"/>
      <c r="J99" s="1540"/>
      <c r="K99" s="1537" t="s">
        <v>2543</v>
      </c>
      <c r="L99" s="1537" t="s">
        <v>2609</v>
      </c>
      <c r="M99" s="1537"/>
      <c r="N99" s="794"/>
      <c r="O99" s="794"/>
      <c r="P99" s="794"/>
      <c r="Q99" s="794"/>
    </row>
    <row r="100" spans="1:17" ht="15.6" x14ac:dyDescent="0.3">
      <c r="A100" s="794"/>
      <c r="B100" s="794"/>
      <c r="C100" s="1553" t="s">
        <v>2595</v>
      </c>
      <c r="D100" s="1537"/>
      <c r="E100" s="1537"/>
      <c r="F100" s="1537"/>
      <c r="G100" s="1537"/>
      <c r="H100" s="1537"/>
      <c r="I100" s="1537"/>
      <c r="J100" s="1540"/>
      <c r="K100" s="1537"/>
      <c r="L100" s="1537"/>
      <c r="M100" s="1537"/>
      <c r="N100" s="794"/>
      <c r="O100" s="794"/>
      <c r="P100" s="794"/>
      <c r="Q100" s="794"/>
    </row>
    <row r="101" spans="1:17" ht="15.6" x14ac:dyDescent="0.3">
      <c r="A101" s="794"/>
      <c r="B101" s="794"/>
      <c r="C101" s="1553" t="s">
        <v>2596</v>
      </c>
      <c r="D101" s="1537"/>
      <c r="E101" s="1537"/>
      <c r="F101" s="1537"/>
      <c r="G101" s="1537"/>
      <c r="H101" s="1537"/>
      <c r="I101" s="1537"/>
      <c r="J101" s="1540"/>
      <c r="K101" s="1537"/>
      <c r="L101" s="1537"/>
      <c r="M101" s="1537"/>
      <c r="N101" s="794"/>
      <c r="O101" s="794"/>
      <c r="P101" s="794"/>
      <c r="Q101" s="794"/>
    </row>
    <row r="102" spans="1:17" ht="15.6" x14ac:dyDescent="0.3">
      <c r="A102" s="794"/>
      <c r="B102" s="794"/>
      <c r="C102" s="1553" t="s">
        <v>2597</v>
      </c>
      <c r="D102" s="1537"/>
      <c r="E102" s="1537"/>
      <c r="F102" s="1537"/>
      <c r="G102" s="1537"/>
      <c r="H102" s="1537"/>
      <c r="I102" s="1537"/>
      <c r="J102" s="1540"/>
      <c r="K102" s="1537"/>
      <c r="L102" s="1537"/>
      <c r="M102" s="1537"/>
      <c r="N102" s="794"/>
      <c r="O102" s="794"/>
      <c r="P102" s="794"/>
      <c r="Q102" s="794"/>
    </row>
    <row r="103" spans="1:17" ht="15.6" x14ac:dyDescent="0.3">
      <c r="A103" s="794"/>
      <c r="B103" s="794"/>
      <c r="C103" s="1553" t="s">
        <v>2598</v>
      </c>
      <c r="D103" s="1537"/>
      <c r="E103" s="1537"/>
      <c r="F103" s="1537"/>
      <c r="G103" s="1537"/>
      <c r="H103" s="1537"/>
      <c r="I103" s="1537"/>
      <c r="J103" s="1540"/>
      <c r="K103" s="1537"/>
      <c r="L103" s="1537"/>
      <c r="M103" s="1537"/>
      <c r="N103" s="794"/>
      <c r="O103" s="794"/>
      <c r="P103" s="794"/>
      <c r="Q103" s="794"/>
    </row>
    <row r="104" spans="1:17" ht="15.6" x14ac:dyDescent="0.3">
      <c r="A104" s="794"/>
      <c r="B104" s="794"/>
      <c r="C104" s="1553" t="s">
        <v>2599</v>
      </c>
      <c r="D104" s="1537"/>
      <c r="E104" s="1537"/>
      <c r="F104" s="1537"/>
      <c r="G104" s="1537"/>
      <c r="H104" s="1537"/>
      <c r="I104" s="1537"/>
      <c r="J104" s="1540"/>
      <c r="K104" s="1537"/>
      <c r="L104" s="1537"/>
      <c r="M104" s="1537"/>
      <c r="N104" s="794"/>
      <c r="O104" s="794"/>
      <c r="P104" s="794"/>
      <c r="Q104" s="794"/>
    </row>
    <row r="105" spans="1:17" ht="16.2" thickBot="1" x14ac:dyDescent="0.35">
      <c r="A105" s="794"/>
      <c r="B105" s="794"/>
      <c r="C105" s="1554" t="s">
        <v>2600</v>
      </c>
      <c r="D105" s="1541"/>
      <c r="E105" s="1541"/>
      <c r="F105" s="1541"/>
      <c r="G105" s="1541"/>
      <c r="H105" s="1541"/>
      <c r="I105" s="1537"/>
      <c r="J105" s="1540"/>
      <c r="K105" s="1537"/>
      <c r="L105" s="1537"/>
      <c r="M105" s="1537"/>
      <c r="N105" s="794"/>
      <c r="O105" s="794"/>
      <c r="P105" s="794"/>
      <c r="Q105" s="794"/>
    </row>
    <row r="106" spans="1:17" ht="16.2" thickBot="1" x14ac:dyDescent="0.35">
      <c r="A106" s="794"/>
      <c r="B106" s="794"/>
      <c r="C106" s="1554" t="s">
        <v>2008</v>
      </c>
      <c r="D106" s="1541"/>
      <c r="E106" s="1541"/>
      <c r="F106" s="1541"/>
      <c r="G106" s="1541"/>
      <c r="H106" s="1541"/>
      <c r="I106" s="1541"/>
      <c r="J106" s="3710"/>
      <c r="K106" s="1537"/>
      <c r="L106" s="1537"/>
      <c r="M106" s="1537"/>
      <c r="N106" s="794"/>
      <c r="O106" s="794"/>
      <c r="P106" s="794"/>
      <c r="Q106" s="794"/>
    </row>
    <row r="107" spans="1:17" ht="15.6" x14ac:dyDescent="0.3">
      <c r="A107" s="794"/>
      <c r="B107" s="794"/>
      <c r="C107" s="1555"/>
      <c r="D107" s="794"/>
      <c r="E107" s="794"/>
      <c r="F107" s="794"/>
      <c r="G107" s="794"/>
      <c r="H107" s="794"/>
      <c r="I107" s="794"/>
      <c r="J107" s="1556"/>
      <c r="K107" s="794"/>
      <c r="L107" s="1537"/>
      <c r="M107" s="794"/>
      <c r="N107" s="794"/>
      <c r="O107" s="794"/>
      <c r="P107" s="794"/>
      <c r="Q107" s="794"/>
    </row>
    <row r="108" spans="1:17" ht="16.2" thickBot="1" x14ac:dyDescent="0.35">
      <c r="A108" s="794"/>
      <c r="B108" s="794"/>
      <c r="C108" s="1546"/>
      <c r="D108" s="1547" t="s">
        <v>2009</v>
      </c>
      <c r="E108" s="1547"/>
      <c r="F108" s="1547"/>
      <c r="G108" s="1547"/>
      <c r="H108" s="1547"/>
      <c r="I108" s="1547"/>
      <c r="J108" s="1548">
        <f>SUM(J96:J106)</f>
        <v>0</v>
      </c>
      <c r="K108" s="794"/>
      <c r="L108" s="1537"/>
      <c r="M108" s="794"/>
      <c r="N108" s="794"/>
      <c r="O108" s="794"/>
      <c r="P108" s="794"/>
      <c r="Q108" s="794"/>
    </row>
    <row r="109" spans="1:17" ht="15.6" x14ac:dyDescent="0.3">
      <c r="A109" s="794"/>
      <c r="B109" s="794"/>
      <c r="C109" s="794"/>
      <c r="D109" s="794"/>
      <c r="E109" s="794"/>
      <c r="F109" s="794"/>
      <c r="G109" s="794"/>
      <c r="H109" s="794"/>
      <c r="I109" s="794"/>
      <c r="J109" s="794"/>
      <c r="K109" s="794"/>
      <c r="L109" s="794"/>
      <c r="M109" s="794"/>
      <c r="N109" s="794"/>
      <c r="O109" s="794"/>
      <c r="P109" s="794"/>
      <c r="Q109" s="794"/>
    </row>
    <row r="110" spans="1:17" ht="15.6" x14ac:dyDescent="0.3">
      <c r="A110" s="794"/>
      <c r="B110" s="794"/>
      <c r="C110" s="794"/>
      <c r="D110" s="794"/>
      <c r="E110" s="794"/>
      <c r="F110" s="794"/>
      <c r="G110" s="794"/>
      <c r="H110" s="794"/>
      <c r="I110" s="794"/>
      <c r="J110" s="794"/>
      <c r="K110" s="794"/>
      <c r="L110" s="794"/>
      <c r="M110" s="794"/>
      <c r="N110" s="794"/>
      <c r="O110" s="794"/>
      <c r="P110" s="794"/>
      <c r="Q110" s="794"/>
    </row>
    <row r="111" spans="1:17" ht="15.6" x14ac:dyDescent="0.3">
      <c r="A111" s="794"/>
      <c r="B111" s="794"/>
      <c r="C111" s="794"/>
      <c r="D111" s="794"/>
      <c r="E111" s="794"/>
      <c r="F111" s="794"/>
      <c r="G111" s="794"/>
      <c r="H111" s="794"/>
      <c r="I111" s="794"/>
      <c r="J111" s="794"/>
      <c r="K111" s="794"/>
      <c r="L111" s="794"/>
      <c r="M111" s="794"/>
      <c r="N111" s="794"/>
      <c r="O111" s="794"/>
      <c r="P111" s="794"/>
      <c r="Q111" s="794"/>
    </row>
    <row r="112" spans="1:17" ht="15.6" x14ac:dyDescent="0.3">
      <c r="A112" s="794"/>
      <c r="B112" s="794"/>
      <c r="C112" s="794"/>
      <c r="D112" s="794"/>
      <c r="E112" s="794"/>
      <c r="F112" s="794"/>
      <c r="G112" s="794"/>
      <c r="H112" s="794"/>
      <c r="I112" s="794"/>
      <c r="J112" s="794"/>
      <c r="K112" s="794"/>
      <c r="L112" s="794"/>
      <c r="M112" s="794"/>
      <c r="N112" s="794"/>
      <c r="O112" s="794"/>
      <c r="P112" s="794"/>
      <c r="Q112" s="794"/>
    </row>
  </sheetData>
  <mergeCells count="65">
    <mergeCell ref="G3:H3"/>
    <mergeCell ref="B36:F36"/>
    <mergeCell ref="C29:F29"/>
    <mergeCell ref="C30:F30"/>
    <mergeCell ref="C31:F31"/>
    <mergeCell ref="C32:F32"/>
    <mergeCell ref="C33:F33"/>
    <mergeCell ref="C24:F24"/>
    <mergeCell ref="C25:F25"/>
    <mergeCell ref="C26:F26"/>
    <mergeCell ref="C27:F27"/>
    <mergeCell ref="C28:F28"/>
    <mergeCell ref="C19:F19"/>
    <mergeCell ref="C20:F20"/>
    <mergeCell ref="C21:F21"/>
    <mergeCell ref="C22:F22"/>
    <mergeCell ref="C23:F23"/>
    <mergeCell ref="C13:F13"/>
    <mergeCell ref="C14:F14"/>
    <mergeCell ref="C15:F15"/>
    <mergeCell ref="C16:F16"/>
    <mergeCell ref="C17:F17"/>
    <mergeCell ref="C8:F8"/>
    <mergeCell ref="C9:F9"/>
    <mergeCell ref="C10:F10"/>
    <mergeCell ref="C11:F11"/>
    <mergeCell ref="C12:F12"/>
    <mergeCell ref="B3:F3"/>
    <mergeCell ref="C64:J64"/>
    <mergeCell ref="C18:F18"/>
    <mergeCell ref="C7:F7"/>
    <mergeCell ref="J6:J7"/>
    <mergeCell ref="H41:H42"/>
    <mergeCell ref="I41:I42"/>
    <mergeCell ref="J41:J42"/>
    <mergeCell ref="H48:H49"/>
    <mergeCell ref="I48:I49"/>
    <mergeCell ref="J48:J49"/>
    <mergeCell ref="C49:F49"/>
    <mergeCell ref="C50:F50"/>
    <mergeCell ref="C51:F51"/>
    <mergeCell ref="C52:F52"/>
    <mergeCell ref="C53:F53"/>
    <mergeCell ref="K6:K7"/>
    <mergeCell ref="B6:B7"/>
    <mergeCell ref="C6:F6"/>
    <mergeCell ref="G6:G7"/>
    <mergeCell ref="H6:H7"/>
    <mergeCell ref="I6:I7"/>
    <mergeCell ref="C44:F44"/>
    <mergeCell ref="E45:F45"/>
    <mergeCell ref="B48:B49"/>
    <mergeCell ref="C48:F48"/>
    <mergeCell ref="G48:G49"/>
    <mergeCell ref="B41:B42"/>
    <mergeCell ref="C41:F41"/>
    <mergeCell ref="G41:G42"/>
    <mergeCell ref="C42:F42"/>
    <mergeCell ref="C43:F43"/>
    <mergeCell ref="E58:F58"/>
    <mergeCell ref="B60:F60"/>
    <mergeCell ref="C54:F54"/>
    <mergeCell ref="C55:F55"/>
    <mergeCell ref="C56:F56"/>
    <mergeCell ref="C57:F57"/>
  </mergeCells>
  <pageMargins left="0.70866141732283472" right="0.18" top="0.74803149606299213" bottom="0.23622047244094491" header="0.31496062992125984" footer="0.23622047244094491"/>
  <pageSetup paperSize="9" orientation="portrait" horizontalDpi="0" verticalDpi="0" r:id="rId1"/>
</worksheet>
</file>

<file path=xl/worksheets/sheet7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D00-000000000000}">
  <sheetPr codeName="Лист75">
    <tabColor theme="8" tint="-0.249977111117893"/>
    <pageSetUpPr fitToPage="1"/>
  </sheetPr>
  <dimension ref="A1:O41"/>
  <sheetViews>
    <sheetView workbookViewId="0">
      <selection activeCell="B39" sqref="B39:J40"/>
    </sheetView>
  </sheetViews>
  <sheetFormatPr defaultColWidth="8.88671875" defaultRowHeight="14.4" x14ac:dyDescent="0.3"/>
  <cols>
    <col min="1" max="1" width="6.6640625" customWidth="1"/>
    <col min="2" max="2" width="33.6640625" customWidth="1"/>
    <col min="4" max="5" width="11.6640625" hidden="1" customWidth="1"/>
    <col min="6" max="9" width="11.6640625" customWidth="1"/>
    <col min="10" max="10" width="13.6640625" customWidth="1"/>
    <col min="12" max="12" width="10" customWidth="1"/>
    <col min="13" max="13" width="10.44140625" customWidth="1"/>
    <col min="14" max="14" width="9.6640625" customWidth="1"/>
    <col min="15" max="15" width="10.6640625" customWidth="1"/>
  </cols>
  <sheetData>
    <row r="1" spans="1:15" ht="50.4" customHeight="1" x14ac:dyDescent="0.3">
      <c r="A1" s="5591" t="s">
        <v>3885</v>
      </c>
      <c r="B1" s="5591"/>
      <c r="C1" s="5591"/>
      <c r="D1" s="5591"/>
      <c r="E1" s="5591"/>
      <c r="F1" s="5591"/>
      <c r="G1" s="5591"/>
      <c r="H1" s="5591"/>
      <c r="I1" s="5591"/>
      <c r="J1" s="5591"/>
    </row>
    <row r="2" spans="1:15" ht="15.6" x14ac:dyDescent="0.3">
      <c r="I2" s="1489"/>
      <c r="J2" s="1586" t="s">
        <v>967</v>
      </c>
    </row>
    <row r="3" spans="1:15" s="1493" customFormat="1" ht="15.6" customHeight="1" x14ac:dyDescent="0.3">
      <c r="A3" s="5688" t="s">
        <v>2263</v>
      </c>
      <c r="B3" s="5493" t="s">
        <v>8</v>
      </c>
      <c r="C3" s="5493" t="s">
        <v>2264</v>
      </c>
      <c r="D3" s="5493" t="s">
        <v>2620</v>
      </c>
      <c r="E3" s="5493" t="s">
        <v>2384</v>
      </c>
      <c r="F3" s="5493" t="s">
        <v>3257</v>
      </c>
      <c r="G3" s="5493" t="s">
        <v>3635</v>
      </c>
      <c r="H3" s="5493" t="s">
        <v>2621</v>
      </c>
      <c r="I3" s="5689" t="s">
        <v>3310</v>
      </c>
      <c r="J3" s="5689" t="s">
        <v>2439</v>
      </c>
    </row>
    <row r="4" spans="1:15" s="1493" customFormat="1" ht="14.4" customHeight="1" x14ac:dyDescent="0.3">
      <c r="A4" s="5688"/>
      <c r="B4" s="5493"/>
      <c r="C4" s="5493"/>
      <c r="D4" s="5493"/>
      <c r="E4" s="5493"/>
      <c r="F4" s="5493"/>
      <c r="G4" s="5493"/>
      <c r="H4" s="5493"/>
      <c r="I4" s="5689"/>
      <c r="J4" s="5689"/>
    </row>
    <row r="5" spans="1:15" s="1493" customFormat="1" ht="14.4" customHeight="1" x14ac:dyDescent="0.3">
      <c r="A5" s="5688"/>
      <c r="B5" s="5493"/>
      <c r="C5" s="5493"/>
      <c r="D5" s="5493"/>
      <c r="E5" s="5493"/>
      <c r="F5" s="5493"/>
      <c r="G5" s="5493"/>
      <c r="H5" s="5493"/>
      <c r="I5" s="5689" t="str">
        <f>'Вхідні дані'!F6</f>
        <v>2023-2024</v>
      </c>
      <c r="J5" s="5689"/>
    </row>
    <row r="6" spans="1:15" s="1493" customFormat="1" ht="15" customHeight="1" x14ac:dyDescent="0.3">
      <c r="A6" s="5688"/>
      <c r="B6" s="5493"/>
      <c r="C6" s="5493"/>
      <c r="D6" s="5493"/>
      <c r="E6" s="5493"/>
      <c r="F6" s="5493"/>
      <c r="G6" s="5493"/>
      <c r="H6" s="5493"/>
      <c r="I6" s="5689"/>
      <c r="J6" s="5689"/>
    </row>
    <row r="7" spans="1:15" s="1493" customFormat="1" x14ac:dyDescent="0.3">
      <c r="A7" s="2608">
        <v>1</v>
      </c>
      <c r="B7" s="2608">
        <f t="shared" ref="B7:J7" si="0">A7+1</f>
        <v>2</v>
      </c>
      <c r="C7" s="2608">
        <f t="shared" si="0"/>
        <v>3</v>
      </c>
      <c r="D7" s="2608">
        <f t="shared" si="0"/>
        <v>4</v>
      </c>
      <c r="E7" s="2608">
        <f t="shared" si="0"/>
        <v>5</v>
      </c>
      <c r="F7" s="2608">
        <f t="shared" si="0"/>
        <v>6</v>
      </c>
      <c r="G7" s="2608">
        <f t="shared" si="0"/>
        <v>7</v>
      </c>
      <c r="H7" s="2608">
        <f t="shared" si="0"/>
        <v>8</v>
      </c>
      <c r="I7" s="2608">
        <f t="shared" si="0"/>
        <v>9</v>
      </c>
      <c r="J7" s="2608">
        <f t="shared" si="0"/>
        <v>10</v>
      </c>
    </row>
    <row r="8" spans="1:15" ht="15.6" x14ac:dyDescent="0.3">
      <c r="A8" s="2609">
        <v>1</v>
      </c>
      <c r="B8" s="1439" t="s">
        <v>2269</v>
      </c>
      <c r="C8" s="1439" t="s">
        <v>40</v>
      </c>
      <c r="D8" s="4117">
        <f t="shared" ref="D8:J8" si="1">D9+D10+D11+D15</f>
        <v>1387.2179100000001</v>
      </c>
      <c r="E8" s="4117">
        <f t="shared" si="1"/>
        <v>3153.84</v>
      </c>
      <c r="F8" s="4117">
        <f t="shared" si="1"/>
        <v>4651.2629999999999</v>
      </c>
      <c r="G8" s="4117">
        <f t="shared" si="1"/>
        <v>5025.3217099999993</v>
      </c>
      <c r="H8" s="4117">
        <f t="shared" si="1"/>
        <v>5535.9198399999996</v>
      </c>
      <c r="I8" s="4117">
        <f t="shared" si="1"/>
        <v>6590.892687734844</v>
      </c>
      <c r="J8" s="4117">
        <f t="shared" si="1"/>
        <v>29.026585842471036</v>
      </c>
    </row>
    <row r="9" spans="1:15" ht="15.6" x14ac:dyDescent="0.3">
      <c r="A9" s="2609" t="s">
        <v>23</v>
      </c>
      <c r="B9" s="1439" t="s">
        <v>102</v>
      </c>
      <c r="C9" s="1439" t="s">
        <v>40</v>
      </c>
      <c r="D9" s="1487">
        <v>114.29572000000002</v>
      </c>
      <c r="E9" s="1487">
        <f>49.42+36.01+78.29</f>
        <v>163.72000000000003</v>
      </c>
      <c r="F9" s="1487">
        <f>61.735+82.615</f>
        <v>144.35</v>
      </c>
      <c r="G9" s="1487">
        <f>'АО-прямые'!D6</f>
        <v>141.41</v>
      </c>
      <c r="H9" s="1487">
        <v>140.33000000000001</v>
      </c>
      <c r="I9" s="1487">
        <f>'АО-прямые'!F6</f>
        <v>190.52788499999997</v>
      </c>
      <c r="J9" s="1487">
        <f>I9/$I$33/12*1000</f>
        <v>0.83909331730261072</v>
      </c>
      <c r="L9" s="1679"/>
      <c r="M9" s="1679"/>
    </row>
    <row r="10" spans="1:15" ht="15.6" x14ac:dyDescent="0.3">
      <c r="A10" s="2609" t="s">
        <v>24</v>
      </c>
      <c r="B10" s="1439" t="s">
        <v>47</v>
      </c>
      <c r="C10" s="1439" t="s">
        <v>40</v>
      </c>
      <c r="D10" s="1487">
        <v>861.74115000000006</v>
      </c>
      <c r="E10" s="1487">
        <f>1138.59+494.34+367.4</f>
        <v>2000.33</v>
      </c>
      <c r="F10" s="1487">
        <f>1742.74+914.26</f>
        <v>2657</v>
      </c>
      <c r="G10" s="1487">
        <f>'АО-прямые'!D15</f>
        <v>3010.64</v>
      </c>
      <c r="H10" s="4118">
        <v>3099.79</v>
      </c>
      <c r="I10" s="1487">
        <f>ФОП!H29/1000+ФОП!H39/1000</f>
        <v>4002.4260561000001</v>
      </c>
      <c r="J10" s="1487">
        <f>I10/$I$33/12*1000</f>
        <v>17.626863157964276</v>
      </c>
    </row>
    <row r="11" spans="1:15" ht="15.6" x14ac:dyDescent="0.3">
      <c r="A11" s="2609" t="s">
        <v>48</v>
      </c>
      <c r="B11" s="1439" t="s">
        <v>2274</v>
      </c>
      <c r="C11" s="1439" t="s">
        <v>40</v>
      </c>
      <c r="D11" s="4117">
        <f t="shared" ref="D11:I11" si="2">SUM(D12:D14)</f>
        <v>411.18103999999994</v>
      </c>
      <c r="E11" s="4117">
        <f t="shared" si="2"/>
        <v>989.79</v>
      </c>
      <c r="F11" s="4117">
        <f t="shared" si="2"/>
        <v>1130.3130000000001</v>
      </c>
      <c r="G11" s="4117">
        <f>'АО-прямые'!D18</f>
        <v>1153.6400000000001</v>
      </c>
      <c r="H11" s="4117">
        <f t="shared" si="2"/>
        <v>1414.46984</v>
      </c>
      <c r="I11" s="4117">
        <f t="shared" si="2"/>
        <v>1369.16163219648</v>
      </c>
      <c r="J11" s="4117">
        <f>SUM(J12:J14)</f>
        <v>6.0298489949815028</v>
      </c>
    </row>
    <row r="12" spans="1:15" ht="15.6" x14ac:dyDescent="0.3">
      <c r="A12" s="2610" t="s">
        <v>49</v>
      </c>
      <c r="B12" s="1440" t="s">
        <v>2275</v>
      </c>
      <c r="C12" s="1440" t="s">
        <v>40</v>
      </c>
      <c r="D12" s="1487">
        <v>171.24695000000003</v>
      </c>
      <c r="E12" s="1487">
        <f>234.08+97.56+73.69</f>
        <v>405.33</v>
      </c>
      <c r="F12" s="1487">
        <f>349.86+186.2</f>
        <v>536.05999999999995</v>
      </c>
      <c r="G12" s="1487">
        <f>'АО-прямые'!D19</f>
        <v>598.72</v>
      </c>
      <c r="H12" s="4118">
        <v>622.78</v>
      </c>
      <c r="I12" s="1487">
        <f>ФОП!H31/1000+ФОП!H41/1000</f>
        <v>760.57735636166251</v>
      </c>
      <c r="J12" s="1487">
        <f>I12/$I$33/12*1000</f>
        <v>3.3496166559281191</v>
      </c>
    </row>
    <row r="13" spans="1:15" ht="15.6" x14ac:dyDescent="0.3">
      <c r="A13" s="2610" t="s">
        <v>50</v>
      </c>
      <c r="B13" s="1440" t="s">
        <v>2276</v>
      </c>
      <c r="C13" s="1440" t="s">
        <v>40</v>
      </c>
      <c r="D13" s="1487">
        <v>5.2420800000000005</v>
      </c>
      <c r="E13" s="1487">
        <f>16.23+4.2+1.04</f>
        <v>21.47</v>
      </c>
      <c r="F13" s="1487">
        <f>37.3+9.5</f>
        <v>46.8</v>
      </c>
      <c r="G13" s="1487">
        <f>'АО-прямые'!D20+'АО-прямые'!D21</f>
        <v>40.31</v>
      </c>
      <c r="H13" s="1487">
        <v>39.59984</v>
      </c>
      <c r="I13" s="1487">
        <f>'АО-прямые'!F20</f>
        <v>13.824890000000021</v>
      </c>
      <c r="J13" s="1487">
        <f>I13/$I$33/12*1000</f>
        <v>6.0885433181834286E-2</v>
      </c>
    </row>
    <row r="14" spans="1:15" ht="15.6" x14ac:dyDescent="0.3">
      <c r="A14" s="2610" t="s">
        <v>51</v>
      </c>
      <c r="B14" s="1440" t="s">
        <v>81</v>
      </c>
      <c r="C14" s="1440" t="s">
        <v>40</v>
      </c>
      <c r="D14" s="1487">
        <v>234.69200999999993</v>
      </c>
      <c r="E14" s="1487">
        <f>578.61+276.73+134.45-E13-E12</f>
        <v>562.99</v>
      </c>
      <c r="F14" s="1487">
        <f>868.69+261.623-F13-F12</f>
        <v>547.4530000000002</v>
      </c>
      <c r="G14" s="1487">
        <f>G11-G12-G13</f>
        <v>514.61000000000013</v>
      </c>
      <c r="H14" s="1487">
        <v>752.09</v>
      </c>
      <c r="I14" s="1487">
        <f>'АО-прямые'!F18-'АО-прямые'!F19-'АО-прямые'!F20-'АО-прямые'!F21</f>
        <v>594.75938583481752</v>
      </c>
      <c r="J14" s="1487">
        <f>I14/$I$33/12*1000</f>
        <v>2.6193469058715495</v>
      </c>
      <c r="N14" s="1679"/>
      <c r="O14" s="68"/>
    </row>
    <row r="15" spans="1:15" ht="31.2" x14ac:dyDescent="0.3">
      <c r="A15" s="2609" t="s">
        <v>53</v>
      </c>
      <c r="B15" s="1439" t="s">
        <v>2622</v>
      </c>
      <c r="C15" s="2606" t="s">
        <v>40</v>
      </c>
      <c r="D15" s="4117">
        <f t="shared" ref="D15:J15" si="3">SUM(D16:D18)</f>
        <v>0</v>
      </c>
      <c r="E15" s="4117">
        <f t="shared" si="3"/>
        <v>0</v>
      </c>
      <c r="F15" s="4117">
        <f t="shared" si="3"/>
        <v>719.6</v>
      </c>
      <c r="G15" s="4117">
        <f t="shared" si="3"/>
        <v>719.63171</v>
      </c>
      <c r="H15" s="4117">
        <f t="shared" si="3"/>
        <v>881.32999999999993</v>
      </c>
      <c r="I15" s="4117">
        <f t="shared" si="3"/>
        <v>1028.777114438363</v>
      </c>
      <c r="J15" s="4117">
        <f t="shared" si="3"/>
        <v>4.5307803722226465</v>
      </c>
    </row>
    <row r="16" spans="1:15" ht="15.6" x14ac:dyDescent="0.3">
      <c r="A16" s="2610" t="s">
        <v>54</v>
      </c>
      <c r="B16" s="1440" t="s">
        <v>55</v>
      </c>
      <c r="C16" s="1440" t="s">
        <v>40</v>
      </c>
      <c r="D16" s="1440"/>
      <c r="E16" s="1440"/>
      <c r="F16" s="1440">
        <v>518.9</v>
      </c>
      <c r="G16" s="3991">
        <v>518.93398354350711</v>
      </c>
      <c r="H16" s="1440">
        <v>655.76</v>
      </c>
      <c r="I16" s="1487">
        <f>ЗВВ_1ст!L21+ЗВВ_1ст!M21</f>
        <v>786.11496448634898</v>
      </c>
      <c r="J16" s="1487">
        <f>I16/$I$33/12*1000</f>
        <v>3.4620854229924118</v>
      </c>
      <c r="N16" s="68"/>
    </row>
    <row r="17" spans="1:15" ht="15.6" x14ac:dyDescent="0.3">
      <c r="A17" s="2610" t="s">
        <v>56</v>
      </c>
      <c r="B17" s="1440" t="s">
        <v>2275</v>
      </c>
      <c r="C17" s="1440" t="s">
        <v>40</v>
      </c>
      <c r="D17" s="1440"/>
      <c r="E17" s="1440"/>
      <c r="F17" s="1440">
        <v>107.5</v>
      </c>
      <c r="G17" s="3991">
        <v>107.49981065159069</v>
      </c>
      <c r="H17" s="3991">
        <v>137.92500000000001</v>
      </c>
      <c r="I17" s="1487">
        <f>ЗВВ_1ст!M23+ЗВВ_1ст!L23</f>
        <v>167.79823070297761</v>
      </c>
      <c r="J17" s="1487">
        <f>I17/$I$33/12*1000</f>
        <v>0.73899090433964698</v>
      </c>
      <c r="N17" s="68"/>
    </row>
    <row r="18" spans="1:15" ht="15.6" x14ac:dyDescent="0.3">
      <c r="A18" s="2610" t="s">
        <v>57</v>
      </c>
      <c r="B18" s="1440" t="s">
        <v>58</v>
      </c>
      <c r="C18" s="1440" t="s">
        <v>40</v>
      </c>
      <c r="D18" s="1440"/>
      <c r="E18" s="1440"/>
      <c r="F18" s="1440">
        <v>93.2</v>
      </c>
      <c r="G18" s="3991">
        <v>93.197915804902209</v>
      </c>
      <c r="H18" s="3991">
        <v>87.644999999999996</v>
      </c>
      <c r="I18" s="1487">
        <f>ЗВВ_1ст!L8+ЗВВ_1ст!M8-ЗВВ_1ст!L20-ЗВВ_1ст!M20</f>
        <v>74.863919249036371</v>
      </c>
      <c r="J18" s="1487">
        <f>I18/$I$33/12*1000</f>
        <v>0.32970404489058752</v>
      </c>
      <c r="N18" s="68"/>
    </row>
    <row r="19" spans="1:15" ht="17.399999999999999" customHeight="1" x14ac:dyDescent="0.3">
      <c r="A19" s="2609">
        <v>2</v>
      </c>
      <c r="B19" s="1439" t="s">
        <v>2278</v>
      </c>
      <c r="C19" s="1439" t="s">
        <v>40</v>
      </c>
      <c r="D19" s="4117">
        <f t="shared" ref="D19:J19" si="4">D20+D21+D22</f>
        <v>0</v>
      </c>
      <c r="E19" s="4117">
        <f t="shared" si="4"/>
        <v>0</v>
      </c>
      <c r="F19" s="4117">
        <f t="shared" si="4"/>
        <v>1150.51</v>
      </c>
      <c r="G19" s="4117">
        <f t="shared" si="4"/>
        <v>1150.50739</v>
      </c>
      <c r="H19" s="4117">
        <f t="shared" si="4"/>
        <v>1040.52</v>
      </c>
      <c r="I19" s="4117">
        <f t="shared" si="4"/>
        <v>1250.7187842675887</v>
      </c>
      <c r="J19" s="4117">
        <f t="shared" si="4"/>
        <v>5.5082214013123556</v>
      </c>
      <c r="K19" s="1679"/>
      <c r="N19" s="4119"/>
      <c r="O19" s="333"/>
    </row>
    <row r="20" spans="1:15" ht="15.6" x14ac:dyDescent="0.3">
      <c r="A20" s="2610" t="s">
        <v>25</v>
      </c>
      <c r="B20" s="1440" t="s">
        <v>55</v>
      </c>
      <c r="C20" s="1440" t="s">
        <v>40</v>
      </c>
      <c r="D20" s="1440"/>
      <c r="E20" s="1440"/>
      <c r="F20" s="1440">
        <v>701.29</v>
      </c>
      <c r="G20" s="3991">
        <v>701.29373619929368</v>
      </c>
      <c r="H20" s="1440">
        <v>770.07</v>
      </c>
      <c r="I20" s="1487">
        <f>Адміністративні_1ст!L21+Адміністративні_1ст!M21</f>
        <v>936.61843761826879</v>
      </c>
      <c r="J20" s="1487">
        <f>I20/$I$33/12*1000</f>
        <v>4.124909442352239</v>
      </c>
      <c r="N20" s="1590"/>
      <c r="O20" s="333"/>
    </row>
    <row r="21" spans="1:15" ht="15.6" x14ac:dyDescent="0.3">
      <c r="A21" s="2610" t="s">
        <v>26</v>
      </c>
      <c r="B21" s="1440" t="s">
        <v>2275</v>
      </c>
      <c r="C21" s="1440" t="s">
        <v>40</v>
      </c>
      <c r="D21" s="1440"/>
      <c r="E21" s="1440"/>
      <c r="F21" s="1440">
        <v>153.1</v>
      </c>
      <c r="G21" s="3991">
        <v>153.0917997941045</v>
      </c>
      <c r="H21" s="1440">
        <v>169.42</v>
      </c>
      <c r="I21" s="1487">
        <f>Адміністративні_1ст!L23+Адміністративні_1ст!M23</f>
        <v>206.05605627601912</v>
      </c>
      <c r="J21" s="1487">
        <f>I21/$I$33/12*1000</f>
        <v>0.90748007731749258</v>
      </c>
    </row>
    <row r="22" spans="1:15" ht="15.6" x14ac:dyDescent="0.3">
      <c r="A22" s="2610" t="s">
        <v>59</v>
      </c>
      <c r="B22" s="1440" t="s">
        <v>58</v>
      </c>
      <c r="C22" s="1440" t="s">
        <v>40</v>
      </c>
      <c r="D22" s="1440"/>
      <c r="E22" s="1440"/>
      <c r="F22" s="1440">
        <v>296.12</v>
      </c>
      <c r="G22" s="3991">
        <v>296.12185400660178</v>
      </c>
      <c r="H22" s="1440">
        <v>101.03</v>
      </c>
      <c r="I22" s="1487">
        <f>Адміністративні_1ст!L8+Адміністративні_1ст!M8-Адміністративні_1ст!L20-Адміністративні_1ст!M20</f>
        <v>108.04429037330078</v>
      </c>
      <c r="J22" s="1487">
        <f>I22/$I$33/12*1000</f>
        <v>0.47583188164262408</v>
      </c>
    </row>
    <row r="23" spans="1:15" ht="15.6" x14ac:dyDescent="0.3">
      <c r="A23" s="2609" t="s">
        <v>173</v>
      </c>
      <c r="B23" s="1439" t="s">
        <v>2441</v>
      </c>
      <c r="C23" s="1439" t="s">
        <v>40</v>
      </c>
      <c r="D23" s="1439"/>
      <c r="E23" s="4117">
        <v>0</v>
      </c>
      <c r="F23" s="4117">
        <v>0</v>
      </c>
      <c r="G23" s="4117">
        <v>0</v>
      </c>
      <c r="H23" s="4117">
        <v>0</v>
      </c>
      <c r="I23" s="4117">
        <v>0</v>
      </c>
      <c r="J23" s="4117">
        <f>I23/$I$33/12*1000</f>
        <v>0</v>
      </c>
      <c r="M23" s="1679"/>
    </row>
    <row r="24" spans="1:15" ht="15.6" x14ac:dyDescent="0.3">
      <c r="A24" s="2610" t="s">
        <v>174</v>
      </c>
      <c r="B24" s="1440" t="s">
        <v>2636</v>
      </c>
      <c r="C24" s="1440" t="s">
        <v>40</v>
      </c>
      <c r="D24" s="1440"/>
      <c r="E24" s="1440"/>
      <c r="F24" s="1440"/>
      <c r="G24" s="1440"/>
      <c r="H24" s="1440"/>
      <c r="I24" s="4120"/>
      <c r="J24" s="1487">
        <f>I24/$I$33/12*1000</f>
        <v>0</v>
      </c>
    </row>
    <row r="25" spans="1:15" ht="15.6" x14ac:dyDescent="0.3">
      <c r="A25" s="2609" t="s">
        <v>169</v>
      </c>
      <c r="B25" s="1439" t="s">
        <v>2442</v>
      </c>
      <c r="C25" s="1439" t="s">
        <v>40</v>
      </c>
      <c r="D25" s="1439"/>
      <c r="E25" s="4117">
        <f t="shared" ref="E25:J25" si="5">E8+E19+E23+E24</f>
        <v>3153.84</v>
      </c>
      <c r="F25" s="4117">
        <f t="shared" si="5"/>
        <v>5801.7730000000001</v>
      </c>
      <c r="G25" s="4117">
        <f t="shared" si="5"/>
        <v>6175.829099999999</v>
      </c>
      <c r="H25" s="4117">
        <f t="shared" si="5"/>
        <v>6576.4398399999991</v>
      </c>
      <c r="I25" s="4117">
        <f t="shared" si="5"/>
        <v>7841.6114720024325</v>
      </c>
      <c r="J25" s="4117">
        <f t="shared" si="5"/>
        <v>34.534807243783391</v>
      </c>
    </row>
    <row r="26" spans="1:15" ht="31.2" x14ac:dyDescent="0.3">
      <c r="A26" s="2609" t="s">
        <v>170</v>
      </c>
      <c r="B26" s="1439" t="s">
        <v>2443</v>
      </c>
      <c r="C26" s="2607" t="s">
        <v>40</v>
      </c>
      <c r="D26" s="2607"/>
      <c r="E26" s="2607"/>
      <c r="F26" s="2607"/>
      <c r="G26" s="2607"/>
      <c r="H26" s="2607">
        <v>0</v>
      </c>
      <c r="I26" s="2605">
        <f>I27+I28+I29+I30+I31</f>
        <v>0</v>
      </c>
      <c r="J26" s="2605">
        <f>J27+J28+J29+J30+J31</f>
        <v>0</v>
      </c>
    </row>
    <row r="27" spans="1:15" ht="15.6" x14ac:dyDescent="0.3">
      <c r="A27" s="2610" t="s">
        <v>32</v>
      </c>
      <c r="B27" s="1440" t="s">
        <v>65</v>
      </c>
      <c r="C27" s="1440" t="s">
        <v>40</v>
      </c>
      <c r="D27" s="1440"/>
      <c r="E27" s="1440"/>
      <c r="F27" s="1440"/>
      <c r="G27" s="1440"/>
      <c r="H27" s="1440"/>
      <c r="I27" s="1487"/>
      <c r="J27" s="1487">
        <f>I27/$I$33/12*1000</f>
        <v>0</v>
      </c>
    </row>
    <row r="28" spans="1:15" ht="15.6" x14ac:dyDescent="0.3">
      <c r="A28" s="2610" t="s">
        <v>33</v>
      </c>
      <c r="B28" s="1440" t="s">
        <v>84</v>
      </c>
      <c r="C28" s="1440" t="s">
        <v>40</v>
      </c>
      <c r="D28" s="1440"/>
      <c r="E28" s="1440"/>
      <c r="F28" s="1440"/>
      <c r="G28" s="1440"/>
      <c r="H28" s="1440"/>
      <c r="I28" s="1487"/>
      <c r="J28" s="1487">
        <f>I28/$I$33/12*1000</f>
        <v>0</v>
      </c>
    </row>
    <row r="29" spans="1:15" ht="15.6" x14ac:dyDescent="0.3">
      <c r="A29" s="2610" t="s">
        <v>34</v>
      </c>
      <c r="B29" s="1440" t="s">
        <v>85</v>
      </c>
      <c r="C29" s="1440" t="s">
        <v>40</v>
      </c>
      <c r="D29" s="1440"/>
      <c r="E29" s="1440"/>
      <c r="F29" s="1440"/>
      <c r="G29" s="1440"/>
      <c r="H29" s="1440"/>
      <c r="I29" s="1487"/>
      <c r="J29" s="1487">
        <f>I29/$I$33/12*1000</f>
        <v>0</v>
      </c>
    </row>
    <row r="30" spans="1:15" ht="31.2" x14ac:dyDescent="0.3">
      <c r="A30" s="2610" t="s">
        <v>2444</v>
      </c>
      <c r="B30" s="1440" t="s">
        <v>71</v>
      </c>
      <c r="C30" s="1440" t="s">
        <v>40</v>
      </c>
      <c r="D30" s="1440"/>
      <c r="E30" s="1440"/>
      <c r="F30" s="1440"/>
      <c r="G30" s="1440"/>
      <c r="H30" s="1440"/>
      <c r="I30" s="1487"/>
      <c r="J30" s="1487">
        <f>I30/$I$33/12*1000</f>
        <v>0</v>
      </c>
    </row>
    <row r="31" spans="1:15" ht="15.6" x14ac:dyDescent="0.3">
      <c r="A31" s="2610" t="s">
        <v>2445</v>
      </c>
      <c r="B31" s="1440" t="s">
        <v>2446</v>
      </c>
      <c r="C31" s="1440" t="s">
        <v>40</v>
      </c>
      <c r="D31" s="1440"/>
      <c r="E31" s="1440"/>
      <c r="F31" s="1440"/>
      <c r="G31" s="1440"/>
      <c r="H31" s="1440"/>
      <c r="I31" s="1487"/>
      <c r="J31" s="1487">
        <f>I31/$I$33/12*1000</f>
        <v>0</v>
      </c>
    </row>
    <row r="32" spans="1:15" ht="31.2" x14ac:dyDescent="0.3">
      <c r="A32" s="2609" t="s">
        <v>171</v>
      </c>
      <c r="B32" s="1439" t="s">
        <v>2283</v>
      </c>
      <c r="C32" s="2607" t="s">
        <v>40</v>
      </c>
      <c r="D32" s="2605">
        <f t="shared" ref="D32:J32" si="6">D25+D26</f>
        <v>0</v>
      </c>
      <c r="E32" s="2605">
        <f t="shared" si="6"/>
        <v>3153.84</v>
      </c>
      <c r="F32" s="2605">
        <f t="shared" si="6"/>
        <v>5801.7730000000001</v>
      </c>
      <c r="G32" s="2605">
        <f t="shared" si="6"/>
        <v>6175.829099999999</v>
      </c>
      <c r="H32" s="2605">
        <f t="shared" si="6"/>
        <v>6576.4398399999991</v>
      </c>
      <c r="I32" s="2605">
        <f t="shared" si="6"/>
        <v>7841.6114720024325</v>
      </c>
      <c r="J32" s="2605">
        <f t="shared" si="6"/>
        <v>34.534807243783391</v>
      </c>
    </row>
    <row r="33" spans="1:13" ht="15.6" x14ac:dyDescent="0.3">
      <c r="A33" s="2610" t="s">
        <v>172</v>
      </c>
      <c r="B33" s="1440" t="s">
        <v>2447</v>
      </c>
      <c r="C33" s="1844" t="s">
        <v>876</v>
      </c>
      <c r="D33" s="1440"/>
      <c r="E33" s="1440"/>
      <c r="F33" s="1440"/>
      <c r="G33" s="1440"/>
      <c r="H33" s="1440">
        <v>18890</v>
      </c>
      <c r="I33" s="4121">
        <f>18614+308</f>
        <v>18922</v>
      </c>
      <c r="J33" s="3892">
        <v>1</v>
      </c>
      <c r="L33">
        <f>0.1*12*I33/1000</f>
        <v>22.706400000000006</v>
      </c>
    </row>
    <row r="34" spans="1:13" ht="31.2" x14ac:dyDescent="0.3">
      <c r="A34" s="2609" t="s">
        <v>187</v>
      </c>
      <c r="B34" s="1439" t="s">
        <v>3794</v>
      </c>
      <c r="C34" s="3095" t="s">
        <v>2449</v>
      </c>
      <c r="D34" s="1439"/>
      <c r="E34" s="1439"/>
      <c r="F34" s="1439"/>
      <c r="G34" s="1439"/>
      <c r="H34" s="2606">
        <v>29.01</v>
      </c>
      <c r="I34" s="1487">
        <f>ROUND(I32/I33*1000/12,2)</f>
        <v>34.53</v>
      </c>
      <c r="J34" s="3892"/>
    </row>
    <row r="35" spans="1:13" ht="31.2" x14ac:dyDescent="0.3">
      <c r="A35" s="2609" t="s">
        <v>188</v>
      </c>
      <c r="B35" s="1439" t="s">
        <v>3795</v>
      </c>
      <c r="C35" s="3095" t="s">
        <v>2449</v>
      </c>
      <c r="D35" s="1439"/>
      <c r="E35" s="1439"/>
      <c r="F35" s="1439"/>
      <c r="G35" s="1439"/>
      <c r="H35" s="2606">
        <v>34.81</v>
      </c>
      <c r="I35" s="4122">
        <f>I34*1.2</f>
        <v>41.436</v>
      </c>
      <c r="J35" s="3892"/>
    </row>
    <row r="36" spans="1:13" ht="15.6" x14ac:dyDescent="0.3">
      <c r="A36" s="2609"/>
      <c r="B36" s="1441" t="s">
        <v>2451</v>
      </c>
      <c r="C36" s="1439"/>
      <c r="D36" s="1439"/>
      <c r="E36" s="1439"/>
      <c r="F36" s="1439"/>
      <c r="G36" s="1439"/>
      <c r="H36" s="1439"/>
      <c r="I36" s="4122"/>
      <c r="J36" s="3892"/>
      <c r="L36">
        <f>L37*I33*12/1000</f>
        <v>1260.1302688799999</v>
      </c>
    </row>
    <row r="37" spans="1:13" ht="31.2" x14ac:dyDescent="0.3">
      <c r="A37" s="2609" t="s">
        <v>189</v>
      </c>
      <c r="B37" s="1439" t="s">
        <v>2452</v>
      </c>
      <c r="C37" s="1439" t="s">
        <v>2449</v>
      </c>
      <c r="D37" s="1439"/>
      <c r="E37" s="1439"/>
      <c r="F37" s="1439"/>
      <c r="G37" s="1439"/>
      <c r="H37" s="2611">
        <v>35.191457999999997</v>
      </c>
      <c r="I37" s="4117">
        <f>'гран розмір'!B4</f>
        <v>46.985669999999999</v>
      </c>
      <c r="J37" s="3892"/>
      <c r="L37" s="1679">
        <f>I37-I35</f>
        <v>5.549669999999999</v>
      </c>
      <c r="M37">
        <f>(I35*I33)/1.2/1000*12-(I37*I33)/1.2/1000*12</f>
        <v>-1050.1085574000008</v>
      </c>
    </row>
    <row r="38" spans="1:13" ht="15.6" x14ac:dyDescent="0.3">
      <c r="A38" s="1593"/>
      <c r="B38" s="5684"/>
      <c r="C38" s="5685"/>
      <c r="D38" s="5685"/>
      <c r="E38" s="5685"/>
      <c r="F38" s="5685"/>
      <c r="G38" s="5685"/>
      <c r="H38" s="5685"/>
      <c r="I38" s="5685"/>
      <c r="J38" s="5685"/>
    </row>
    <row r="39" spans="1:13" ht="15.6" x14ac:dyDescent="0.3">
      <c r="B39" s="3208" t="s">
        <v>614</v>
      </c>
      <c r="C39" s="4123"/>
      <c r="D39" s="4123"/>
      <c r="E39" s="4123"/>
      <c r="F39" s="4123"/>
      <c r="I39" s="5686" t="s">
        <v>2455</v>
      </c>
      <c r="J39" s="5686"/>
    </row>
    <row r="40" spans="1:13" ht="15.6" x14ac:dyDescent="0.3">
      <c r="I40" s="1489"/>
      <c r="J40" s="1489"/>
    </row>
    <row r="41" spans="1:13" ht="31.2" x14ac:dyDescent="0.3">
      <c r="A41" s="3208"/>
      <c r="B41" s="3208" t="s">
        <v>904</v>
      </c>
      <c r="C41" s="4123"/>
      <c r="D41" s="4123"/>
      <c r="E41" s="4123"/>
      <c r="F41" s="4123"/>
      <c r="I41" s="5687" t="s">
        <v>2456</v>
      </c>
      <c r="J41" s="5687"/>
    </row>
  </sheetData>
  <mergeCells count="15">
    <mergeCell ref="B38:J38"/>
    <mergeCell ref="I39:J39"/>
    <mergeCell ref="I41:J41"/>
    <mergeCell ref="A1:J1"/>
    <mergeCell ref="A3:A6"/>
    <mergeCell ref="B3:B6"/>
    <mergeCell ref="C3:C6"/>
    <mergeCell ref="D3:D6"/>
    <mergeCell ref="E3:E6"/>
    <mergeCell ref="H3:H6"/>
    <mergeCell ref="J3:J6"/>
    <mergeCell ref="F3:F6"/>
    <mergeCell ref="I3:I4"/>
    <mergeCell ref="G3:G6"/>
    <mergeCell ref="I5:I6"/>
  </mergeCells>
  <pageMargins left="0.70866141732283472" right="0.70866141732283472" top="0.74803149606299213" bottom="0.74803149606299213" header="0.31496062992125984" footer="0.31496062992125984"/>
  <pageSetup paperSize="9" scale="62" orientation="portrait" horizontalDpi="0" verticalDpi="0" r:id="rId1"/>
</worksheet>
</file>

<file path=xl/worksheets/sheet7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E00-000000000000}">
  <sheetPr codeName="Лист76">
    <tabColor theme="8" tint="-0.249977111117893"/>
    <pageSetUpPr fitToPage="1"/>
  </sheetPr>
  <dimension ref="B1:J43"/>
  <sheetViews>
    <sheetView workbookViewId="0">
      <pane xSplit="2" ySplit="4" topLeftCell="C26" activePane="bottomRight" state="frozen"/>
      <selection pane="topRight" activeCell="C1" sqref="C1"/>
      <selection pane="bottomLeft" activeCell="A5" sqref="A5"/>
      <selection pane="bottomRight" activeCell="E11" sqref="E11"/>
    </sheetView>
  </sheetViews>
  <sheetFormatPr defaultColWidth="8.88671875" defaultRowHeight="15.6" x14ac:dyDescent="0.3"/>
  <cols>
    <col min="2" max="2" width="46.88671875" style="45" customWidth="1"/>
    <col min="3" max="5" width="14.6640625" style="45" customWidth="1"/>
    <col min="6" max="6" width="16" style="4146" customWidth="1"/>
    <col min="8" max="8" width="18.33203125" customWidth="1"/>
  </cols>
  <sheetData>
    <row r="1" spans="2:6" x14ac:dyDescent="0.3">
      <c r="B1" s="4941" t="str">
        <f>"Прямі витрати на абонентське обслуговування "&amp;'Вхідні дані'!F5</f>
        <v>Прямі витрати на абонентське обслуговування КП «КТЕ"</v>
      </c>
      <c r="C1" s="4941"/>
      <c r="D1" s="4941"/>
      <c r="E1" s="4941"/>
      <c r="F1" s="4941"/>
    </row>
    <row r="2" spans="2:6" ht="16.2" thickBot="1" x14ac:dyDescent="0.35">
      <c r="F2" s="4124" t="s">
        <v>1919</v>
      </c>
    </row>
    <row r="3" spans="2:6" x14ac:dyDescent="0.3">
      <c r="B3" s="5690" t="s">
        <v>8</v>
      </c>
      <c r="C3" s="2626" t="s">
        <v>932</v>
      </c>
      <c r="D3" s="2626" t="s">
        <v>932</v>
      </c>
      <c r="E3" s="2626" t="s">
        <v>3792</v>
      </c>
      <c r="F3" s="4125" t="s">
        <v>933</v>
      </c>
    </row>
    <row r="4" spans="2:6" ht="16.2" thickBot="1" x14ac:dyDescent="0.35">
      <c r="B4" s="5691"/>
      <c r="C4" s="2627">
        <f>'Вхідні дані'!F8</f>
        <v>2021</v>
      </c>
      <c r="D4" s="2627">
        <f>'Вхідні дані'!F7</f>
        <v>2022</v>
      </c>
      <c r="E4" s="2627" t="s">
        <v>3793</v>
      </c>
      <c r="F4" s="4126" t="str">
        <f>'Вхідні дані'!F6</f>
        <v>2023-2024</v>
      </c>
    </row>
    <row r="5" spans="2:6" ht="16.2" thickBot="1" x14ac:dyDescent="0.35">
      <c r="B5" s="4127" t="s">
        <v>3321</v>
      </c>
      <c r="C5" s="4128">
        <f>C6+C15+C18</f>
        <v>3931.66</v>
      </c>
      <c r="D5" s="4129">
        <f>D6+D15+D18</f>
        <v>4305.6899999999996</v>
      </c>
      <c r="E5" s="4130">
        <f>E6+E15+E18</f>
        <v>4379.6453700000002</v>
      </c>
      <c r="F5" s="4130">
        <f>F6+F15+F18</f>
        <v>5562.1155732964808</v>
      </c>
    </row>
    <row r="6" spans="2:6" ht="16.2" thickBot="1" x14ac:dyDescent="0.35">
      <c r="B6" s="4131" t="s">
        <v>1657</v>
      </c>
      <c r="C6" s="4128">
        <f>SUM(C7:C13)</f>
        <v>144.35000000000002</v>
      </c>
      <c r="D6" s="4129">
        <f>SUM(D7:D13)</f>
        <v>141.41</v>
      </c>
      <c r="E6" s="4130">
        <f>SUM(E7:E13)</f>
        <v>140.33333000000002</v>
      </c>
      <c r="F6" s="4130">
        <f>SUM(F7:F14)</f>
        <v>190.52788499999997</v>
      </c>
    </row>
    <row r="7" spans="2:6" x14ac:dyDescent="0.3">
      <c r="B7" s="4132" t="s">
        <v>3322</v>
      </c>
      <c r="C7" s="3976">
        <v>64.44</v>
      </c>
      <c r="D7" s="2628">
        <v>53.34</v>
      </c>
      <c r="E7" s="3981">
        <v>69.531270000000006</v>
      </c>
      <c r="F7" s="4133">
        <f>D7*'Вхідні дані'!$D$71</f>
        <v>56.447054999999999</v>
      </c>
    </row>
    <row r="8" spans="2:6" x14ac:dyDescent="0.3">
      <c r="B8" s="2621" t="s">
        <v>936</v>
      </c>
      <c r="C8" s="3977">
        <v>14.01</v>
      </c>
      <c r="D8" s="2621">
        <v>4.67</v>
      </c>
      <c r="E8" s="3982">
        <v>14.010999999999999</v>
      </c>
      <c r="F8" s="4133">
        <f>D8*'Вхідні дані'!$D$71</f>
        <v>4.9420274999999991</v>
      </c>
    </row>
    <row r="9" spans="2:6" x14ac:dyDescent="0.3">
      <c r="B9" s="2621" t="s">
        <v>937</v>
      </c>
      <c r="C9" s="3977">
        <v>33.06</v>
      </c>
      <c r="D9" s="2621">
        <v>62.64</v>
      </c>
      <c r="E9" s="3982">
        <v>36.384980000000006</v>
      </c>
      <c r="F9" s="4133">
        <f>D9*'Вхідні дані'!$D$71</f>
        <v>66.288779999999988</v>
      </c>
    </row>
    <row r="10" spans="2:6" x14ac:dyDescent="0.3">
      <c r="B10" s="2621" t="s">
        <v>938</v>
      </c>
      <c r="C10" s="3977">
        <v>16.53</v>
      </c>
      <c r="D10" s="2621">
        <v>10.68</v>
      </c>
      <c r="E10" s="3982">
        <v>17.189520000000002</v>
      </c>
      <c r="F10" s="4133">
        <f>D10*'Вхідні дані'!$D$71</f>
        <v>11.302109999999999</v>
      </c>
    </row>
    <row r="11" spans="2:6" x14ac:dyDescent="0.3">
      <c r="B11" s="2621" t="s">
        <v>939</v>
      </c>
      <c r="C11" s="3977">
        <v>4.58</v>
      </c>
      <c r="D11" s="2621">
        <v>3.69</v>
      </c>
      <c r="E11" s="3982">
        <v>0.49167</v>
      </c>
      <c r="F11" s="4133">
        <f>D11*'Вхідні дані'!$D$71</f>
        <v>3.9049424999999998</v>
      </c>
    </row>
    <row r="12" spans="2:6" x14ac:dyDescent="0.3">
      <c r="B12" s="2621" t="s">
        <v>940</v>
      </c>
      <c r="C12" s="3977">
        <v>11.73</v>
      </c>
      <c r="D12" s="2621">
        <v>5.69</v>
      </c>
      <c r="E12" s="3982">
        <v>2.7248899999999998</v>
      </c>
      <c r="F12" s="4134">
        <f>ОП!G6</f>
        <v>46.829499999999989</v>
      </c>
    </row>
    <row r="13" spans="2:6" x14ac:dyDescent="0.3">
      <c r="B13" s="2621" t="s">
        <v>941</v>
      </c>
      <c r="C13" s="3977">
        <v>0</v>
      </c>
      <c r="D13" s="2621">
        <v>0.7</v>
      </c>
      <c r="E13" s="3982"/>
      <c r="F13" s="4134">
        <f>ОП!G8</f>
        <v>0.81347000000000003</v>
      </c>
    </row>
    <row r="14" spans="2:6" ht="16.2" thickBot="1" x14ac:dyDescent="0.35">
      <c r="B14" s="2623" t="s">
        <v>915</v>
      </c>
      <c r="C14" s="3978"/>
      <c r="D14" s="2623"/>
      <c r="E14" s="3983"/>
      <c r="F14" s="4135"/>
    </row>
    <row r="15" spans="2:6" ht="18.600000000000001" customHeight="1" thickBot="1" x14ac:dyDescent="0.35">
      <c r="B15" s="2629" t="s">
        <v>1659</v>
      </c>
      <c r="C15" s="3990">
        <v>2657</v>
      </c>
      <c r="D15" s="2629">
        <v>3010.64</v>
      </c>
      <c r="E15" s="3984">
        <v>3099.7867700000002</v>
      </c>
      <c r="F15" s="4130">
        <f>ФОП!H29/1000</f>
        <v>4002.4260561000001</v>
      </c>
    </row>
    <row r="16" spans="2:6" x14ac:dyDescent="0.3">
      <c r="B16" s="2624" t="s">
        <v>3323</v>
      </c>
      <c r="C16" s="3979">
        <v>266.88</v>
      </c>
      <c r="D16" s="2624">
        <v>154.79</v>
      </c>
      <c r="E16" s="3985">
        <v>126.23394</v>
      </c>
      <c r="F16" s="4133">
        <f>ФОП!H30/1000</f>
        <v>882.68120662499996</v>
      </c>
    </row>
    <row r="17" spans="2:8" ht="16.2" thickBot="1" x14ac:dyDescent="0.35">
      <c r="B17" s="2623" t="s">
        <v>3324</v>
      </c>
      <c r="C17" s="3978"/>
      <c r="D17" s="2623"/>
      <c r="E17" s="3983"/>
      <c r="F17" s="4135"/>
    </row>
    <row r="18" spans="2:8" ht="16.2" thickBot="1" x14ac:dyDescent="0.35">
      <c r="B18" s="2629" t="s">
        <v>1660</v>
      </c>
      <c r="C18" s="4136">
        <f>SUM(C19:C37)</f>
        <v>1130.3099999999997</v>
      </c>
      <c r="D18" s="4129">
        <f>SUM(D19:D37)</f>
        <v>1153.6400000000001</v>
      </c>
      <c r="E18" s="4129">
        <f>SUM(E19:E37)</f>
        <v>1139.5252700000003</v>
      </c>
      <c r="F18" s="4129">
        <f>SUM(F19:F37)</f>
        <v>1369.16163219648</v>
      </c>
    </row>
    <row r="19" spans="2:8" x14ac:dyDescent="0.3">
      <c r="B19" s="4137" t="s">
        <v>3325</v>
      </c>
      <c r="C19" s="3988">
        <v>536.05999999999995</v>
      </c>
      <c r="D19" s="2625">
        <v>598.72</v>
      </c>
      <c r="E19" s="3989">
        <v>622.77770999999996</v>
      </c>
      <c r="F19" s="4138">
        <f>ФОП!H31/1000</f>
        <v>760.57735636166251</v>
      </c>
      <c r="H19" s="4139"/>
    </row>
    <row r="20" spans="2:8" x14ac:dyDescent="0.3">
      <c r="B20" s="3977" t="s">
        <v>460</v>
      </c>
      <c r="C20" s="2621">
        <v>46.8</v>
      </c>
      <c r="D20" s="2621">
        <v>40.31</v>
      </c>
      <c r="E20" s="2621">
        <v>39.599839999999993</v>
      </c>
      <c r="F20" s="4140">
        <f>Амортизація!G15/1000</f>
        <v>13.824890000000021</v>
      </c>
      <c r="H20" s="4139"/>
    </row>
    <row r="21" spans="2:8" ht="31.2" x14ac:dyDescent="0.3">
      <c r="B21" s="3987" t="s">
        <v>3335</v>
      </c>
      <c r="C21" s="2621"/>
      <c r="D21" s="2621"/>
      <c r="E21" s="2621"/>
      <c r="F21" s="4141"/>
      <c r="H21" s="4139"/>
    </row>
    <row r="22" spans="2:8" x14ac:dyDescent="0.3">
      <c r="B22" s="3977" t="s">
        <v>3326</v>
      </c>
      <c r="C22" s="2621">
        <v>12.52</v>
      </c>
      <c r="D22" s="2621">
        <v>16.37</v>
      </c>
      <c r="E22" s="2621">
        <v>11.70383</v>
      </c>
      <c r="F22" s="4141">
        <f>'Д 9_ЕЕ'!D275</f>
        <v>39.083402008416009</v>
      </c>
      <c r="H22" s="4139"/>
    </row>
    <row r="23" spans="2:8" x14ac:dyDescent="0.3">
      <c r="B23" s="3977" t="s">
        <v>3327</v>
      </c>
      <c r="C23" s="2621">
        <v>2.63</v>
      </c>
      <c r="D23" s="2621">
        <v>3.22</v>
      </c>
      <c r="E23" s="2621">
        <v>2.6755</v>
      </c>
      <c r="F23" s="4141">
        <f>ВОДА!T88+ВОДА!U88+ВОДА!V88+ВОДА!W88</f>
        <v>3.7531722437928079</v>
      </c>
      <c r="H23" s="4139"/>
    </row>
    <row r="24" spans="2:8" x14ac:dyDescent="0.3">
      <c r="B24" s="3977" t="s">
        <v>1392</v>
      </c>
      <c r="C24" s="2621">
        <v>27.26</v>
      </c>
      <c r="D24" s="2621">
        <v>24.07</v>
      </c>
      <c r="E24" s="2621">
        <v>28.697299999999998</v>
      </c>
      <c r="F24" s="4141">
        <f>'Зв''язок'!J8/1000</f>
        <v>48.3064465826087</v>
      </c>
      <c r="H24" s="4139"/>
    </row>
    <row r="25" spans="2:8" x14ac:dyDescent="0.3">
      <c r="B25" s="3977" t="s">
        <v>1408</v>
      </c>
      <c r="C25" s="2621">
        <v>2.2200000000000002</v>
      </c>
      <c r="D25" s="2621">
        <v>2.67</v>
      </c>
      <c r="E25" s="2621">
        <v>1.6665399999999999</v>
      </c>
      <c r="F25" s="4141">
        <f>ОП!G4</f>
        <v>4.4302999999999999</v>
      </c>
      <c r="H25" s="4139"/>
    </row>
    <row r="26" spans="2:8" x14ac:dyDescent="0.3">
      <c r="B26" s="3977" t="s">
        <v>3328</v>
      </c>
      <c r="C26" s="2621">
        <v>1.18</v>
      </c>
      <c r="D26" s="2621"/>
      <c r="E26" s="2621">
        <v>0.61</v>
      </c>
      <c r="F26" s="4141">
        <f>ОП!G5</f>
        <v>0.35549999999999998</v>
      </c>
      <c r="H26" s="4139"/>
    </row>
    <row r="27" spans="2:8" x14ac:dyDescent="0.3">
      <c r="B27" s="3977" t="s">
        <v>3329</v>
      </c>
      <c r="C27" s="2621">
        <v>0.01</v>
      </c>
      <c r="D27" s="2621"/>
      <c r="E27" s="2621"/>
      <c r="F27" s="4141">
        <f>(Утилизація!F34+Утилизація!G34)/1000</f>
        <v>7.4999999999999997E-3</v>
      </c>
      <c r="H27" s="4139"/>
    </row>
    <row r="28" spans="2:8" x14ac:dyDescent="0.3">
      <c r="B28" s="3977" t="s">
        <v>3330</v>
      </c>
      <c r="C28" s="2621">
        <v>11.28</v>
      </c>
      <c r="D28" s="2621">
        <v>13.56</v>
      </c>
      <c r="E28" s="2621">
        <v>12.745850000000001</v>
      </c>
      <c r="F28" s="4141">
        <f>D28*'Вхідні дані'!D71</f>
        <v>14.349869999999999</v>
      </c>
      <c r="H28" s="4139"/>
    </row>
    <row r="29" spans="2:8" x14ac:dyDescent="0.3">
      <c r="B29" s="3977" t="s">
        <v>1540</v>
      </c>
      <c r="C29" s="2621"/>
      <c r="D29" s="2621"/>
      <c r="E29" s="2621"/>
      <c r="F29" s="4141"/>
      <c r="H29" s="4139"/>
    </row>
    <row r="30" spans="2:8" x14ac:dyDescent="0.3">
      <c r="B30" s="3977" t="s">
        <v>924</v>
      </c>
      <c r="C30" s="2621"/>
      <c r="D30" s="2621"/>
      <c r="E30" s="2621"/>
      <c r="F30" s="4141">
        <f>'Періодичні видання'!E3/1000</f>
        <v>0</v>
      </c>
      <c r="H30" s="4139"/>
    </row>
    <row r="31" spans="2:8" ht="31.2" x14ac:dyDescent="0.3">
      <c r="B31" s="3977" t="s">
        <v>3331</v>
      </c>
      <c r="C31" s="2621"/>
      <c r="D31" s="2621"/>
      <c r="E31" s="2621"/>
      <c r="F31" s="4141"/>
      <c r="H31" s="4139"/>
    </row>
    <row r="32" spans="2:8" ht="31.2" x14ac:dyDescent="0.3">
      <c r="B32" s="3977" t="s">
        <v>3332</v>
      </c>
      <c r="C32" s="2621">
        <v>418.58</v>
      </c>
      <c r="D32" s="2621">
        <v>362.62</v>
      </c>
      <c r="E32" s="2621">
        <v>389.89846</v>
      </c>
      <c r="F32" s="4141">
        <f>387.24666+8.083</f>
        <v>395.32966000000005</v>
      </c>
      <c r="H32" s="4139"/>
    </row>
    <row r="33" spans="2:10" x14ac:dyDescent="0.3">
      <c r="B33" s="3980" t="s">
        <v>3333</v>
      </c>
      <c r="C33" s="2622">
        <v>2.4500000000000002</v>
      </c>
      <c r="D33" s="3975">
        <v>3.58</v>
      </c>
      <c r="E33" s="2622">
        <v>2.5350000000000001</v>
      </c>
      <c r="F33" s="4141">
        <f>(D33)*'Вхідні дані'!D71</f>
        <v>3.7885349999999995</v>
      </c>
    </row>
    <row r="34" spans="2:10" x14ac:dyDescent="0.3">
      <c r="B34" s="3980" t="s">
        <v>1594</v>
      </c>
      <c r="C34" s="2622"/>
      <c r="D34" s="2622"/>
      <c r="E34" s="2622"/>
      <c r="F34" s="4141">
        <f>ОП!G7</f>
        <v>0</v>
      </c>
    </row>
    <row r="35" spans="2:10" x14ac:dyDescent="0.3">
      <c r="B35" s="4142" t="s">
        <v>3334</v>
      </c>
      <c r="C35" s="3069">
        <v>19.62</v>
      </c>
      <c r="D35" s="3069">
        <v>3.38</v>
      </c>
      <c r="E35" s="4084">
        <v>26.61524</v>
      </c>
      <c r="F35" s="4143">
        <f>19615/1000</f>
        <v>19.614999999999998</v>
      </c>
      <c r="G35" s="243" t="s">
        <v>3790</v>
      </c>
    </row>
    <row r="36" spans="2:10" x14ac:dyDescent="0.3">
      <c r="B36" s="4142" t="s">
        <v>3791</v>
      </c>
      <c r="C36" s="3069">
        <v>9.2799999999999994</v>
      </c>
      <c r="D36" s="3069">
        <v>65.739999999999995</v>
      </c>
      <c r="E36" s="3069"/>
      <c r="F36" s="4143">
        <f>D36</f>
        <v>65.739999999999995</v>
      </c>
      <c r="G36" s="243"/>
    </row>
    <row r="37" spans="2:10" ht="16.2" thickBot="1" x14ac:dyDescent="0.35">
      <c r="B37" s="4144" t="s">
        <v>2776</v>
      </c>
      <c r="C37" s="3986">
        <v>40.42</v>
      </c>
      <c r="D37" s="3986">
        <v>19.399999999999999</v>
      </c>
      <c r="E37" s="3986"/>
      <c r="F37" s="4145"/>
    </row>
    <row r="38" spans="2:10" x14ac:dyDescent="0.3">
      <c r="D38" s="3070"/>
    </row>
    <row r="39" spans="2:10" x14ac:dyDescent="0.3">
      <c r="B39" s="3208" t="s">
        <v>614</v>
      </c>
      <c r="C39" s="4123"/>
      <c r="D39"/>
      <c r="E39" s="5686" t="s">
        <v>2374</v>
      </c>
      <c r="F39" s="5686"/>
    </row>
    <row r="40" spans="2:10" x14ac:dyDescent="0.3">
      <c r="B40"/>
      <c r="C40"/>
      <c r="D40"/>
      <c r="E40"/>
      <c r="F40"/>
      <c r="I40" s="1489"/>
      <c r="J40" s="1489"/>
    </row>
    <row r="43" spans="2:10" x14ac:dyDescent="0.3">
      <c r="B43" s="3164" t="s">
        <v>3886</v>
      </c>
    </row>
  </sheetData>
  <mergeCells count="3">
    <mergeCell ref="B3:B4"/>
    <mergeCell ref="B1:F1"/>
    <mergeCell ref="E39:F39"/>
  </mergeCells>
  <pageMargins left="0.70866141732283472" right="0.70866141732283472" top="0.74803149606299213" bottom="0.74803149606299213" header="0.31496062992125984" footer="0.31496062992125984"/>
  <pageSetup paperSize="9" scale="81" orientation="portrait" horizontalDpi="0" verticalDpi="0"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Лист12">
    <tabColor rgb="FF0000FF"/>
    <pageSetUpPr fitToPage="1"/>
  </sheetPr>
  <dimension ref="A1:K26"/>
  <sheetViews>
    <sheetView workbookViewId="0">
      <selection activeCell="J18" sqref="J18"/>
    </sheetView>
  </sheetViews>
  <sheetFormatPr defaultColWidth="8.88671875" defaultRowHeight="15.6" x14ac:dyDescent="0.3"/>
  <cols>
    <col min="1" max="1" width="8.88671875" style="45"/>
    <col min="2" max="2" width="29.88671875" style="45" customWidth="1"/>
    <col min="3" max="3" width="19.44140625" style="45" customWidth="1"/>
    <col min="4" max="4" width="17.6640625" style="45" customWidth="1"/>
    <col min="5" max="5" width="12.5546875" style="45" customWidth="1"/>
    <col min="6" max="6" width="14.33203125" style="45" customWidth="1"/>
    <col min="7" max="7" width="8.88671875" style="45"/>
    <col min="8" max="8" width="0" style="45" hidden="1" customWidth="1"/>
    <col min="9" max="9" width="8.88671875" style="45"/>
    <col min="10" max="11" width="11.5546875" style="45" customWidth="1"/>
    <col min="12" max="16384" width="8.88671875" style="45"/>
  </cols>
  <sheetData>
    <row r="1" spans="1:8" ht="92.4" customHeight="1" x14ac:dyDescent="0.3">
      <c r="A1" s="2093"/>
      <c r="B1" s="1732"/>
      <c r="C1" s="1732"/>
      <c r="D1" s="2059"/>
      <c r="E1" s="4944" t="s">
        <v>4175</v>
      </c>
      <c r="F1" s="4944"/>
    </row>
    <row r="2" spans="1:8" ht="4.95" customHeight="1" x14ac:dyDescent="0.3"/>
    <row r="3" spans="1:8" x14ac:dyDescent="0.3">
      <c r="B3" s="4911" t="s">
        <v>4177</v>
      </c>
      <c r="C3" s="4911"/>
      <c r="D3" s="4911"/>
      <c r="E3" s="4911"/>
      <c r="F3" s="4911"/>
    </row>
    <row r="4" spans="1:8" ht="37.200000000000003" customHeight="1" x14ac:dyDescent="0.3">
      <c r="B4" s="4938" t="s">
        <v>4178</v>
      </c>
      <c r="C4" s="4938"/>
      <c r="D4" s="4938"/>
      <c r="E4" s="4938"/>
      <c r="F4" s="4938"/>
    </row>
    <row r="5" spans="1:8" ht="4.95" customHeight="1" thickBot="1" x14ac:dyDescent="0.35"/>
    <row r="6" spans="1:8" s="1489" customFormat="1" ht="31.8" thickBot="1" x14ac:dyDescent="0.35">
      <c r="B6" s="3085" t="s">
        <v>1544</v>
      </c>
      <c r="C6" s="3086" t="s">
        <v>259</v>
      </c>
      <c r="D6" s="3086" t="s">
        <v>2813</v>
      </c>
      <c r="E6" s="3086" t="s">
        <v>2824</v>
      </c>
      <c r="F6" s="3087" t="s">
        <v>2825</v>
      </c>
    </row>
    <row r="7" spans="1:8" ht="18" customHeight="1" thickBot="1" x14ac:dyDescent="0.35">
      <c r="B7" s="4929" t="s">
        <v>4141</v>
      </c>
      <c r="C7" s="4930"/>
      <c r="D7" s="4930"/>
      <c r="E7" s="4930"/>
      <c r="F7" s="4931"/>
    </row>
    <row r="8" spans="1:8" ht="31.2" customHeight="1" x14ac:dyDescent="0.3">
      <c r="B8" s="4936" t="s">
        <v>3425</v>
      </c>
      <c r="C8" s="2046" t="s">
        <v>3427</v>
      </c>
      <c r="D8" s="2046" t="s">
        <v>2815</v>
      </c>
      <c r="E8" s="3090">
        <v>672.16</v>
      </c>
      <c r="F8" s="2095">
        <f>E8*1.2</f>
        <v>806.59199999999998</v>
      </c>
      <c r="H8" s="45">
        <f>E8*1.2-F8</f>
        <v>0</v>
      </c>
    </row>
    <row r="9" spans="1:8" ht="31.2" customHeight="1" thickBot="1" x14ac:dyDescent="0.35">
      <c r="B9" s="4937"/>
      <c r="C9" s="2048" t="s">
        <v>3428</v>
      </c>
      <c r="D9" s="2048" t="s">
        <v>2817</v>
      </c>
      <c r="E9" s="2049">
        <v>92050.08</v>
      </c>
      <c r="F9" s="3158">
        <f>E9*1.2</f>
        <v>110460.09600000001</v>
      </c>
      <c r="H9" s="45">
        <f>E9*1.2-F9</f>
        <v>0</v>
      </c>
    </row>
    <row r="10" spans="1:8" ht="31.2" customHeight="1" x14ac:dyDescent="0.3">
      <c r="B10" s="4936" t="s">
        <v>3426</v>
      </c>
      <c r="C10" s="2046" t="s">
        <v>3427</v>
      </c>
      <c r="D10" s="2046" t="s">
        <v>2815</v>
      </c>
      <c r="E10" s="2047">
        <v>626.29999999999995</v>
      </c>
      <c r="F10" s="2095">
        <f>E10*1.2</f>
        <v>751.56</v>
      </c>
      <c r="H10" s="45">
        <f>E10*1.2-F10</f>
        <v>0</v>
      </c>
    </row>
    <row r="11" spans="1:8" ht="31.2" customHeight="1" thickBot="1" x14ac:dyDescent="0.35">
      <c r="B11" s="4937"/>
      <c r="C11" s="2048" t="s">
        <v>3428</v>
      </c>
      <c r="D11" s="2048" t="s">
        <v>2817</v>
      </c>
      <c r="E11" s="2049">
        <v>71097.759999999995</v>
      </c>
      <c r="F11" s="3158">
        <f>E11*1.2</f>
        <v>85317.311999999991</v>
      </c>
      <c r="H11" s="45">
        <f>E11*1.2-F11</f>
        <v>0</v>
      </c>
    </row>
    <row r="12" spans="1:8" ht="20.399999999999999" customHeight="1" thickBot="1" x14ac:dyDescent="0.35">
      <c r="B12" s="4929" t="s">
        <v>2738</v>
      </c>
      <c r="C12" s="4930"/>
      <c r="D12" s="4930"/>
      <c r="E12" s="4930"/>
      <c r="F12" s="4931"/>
    </row>
    <row r="13" spans="1:8" ht="31.2" customHeight="1" thickBot="1" x14ac:dyDescent="0.35">
      <c r="B13" s="4936" t="s">
        <v>3425</v>
      </c>
      <c r="C13" s="2046" t="s">
        <v>3427</v>
      </c>
      <c r="D13" s="2046" t="s">
        <v>2815</v>
      </c>
      <c r="E13" s="3090">
        <f>'D5_2023-2024'!E13</f>
        <v>2130.2600000000002</v>
      </c>
      <c r="F13" s="2095">
        <f>E13*1.2</f>
        <v>2556.3120000000004</v>
      </c>
      <c r="H13" s="45">
        <f>E13*1.2-F13</f>
        <v>0</v>
      </c>
    </row>
    <row r="14" spans="1:8" ht="31.2" customHeight="1" thickBot="1" x14ac:dyDescent="0.35">
      <c r="B14" s="4937"/>
      <c r="C14" s="2048" t="s">
        <v>3428</v>
      </c>
      <c r="D14" s="2048" t="s">
        <v>2817</v>
      </c>
      <c r="E14" s="3090">
        <f>'D5_2023-2024'!E14</f>
        <v>150830.23000000001</v>
      </c>
      <c r="F14" s="3158">
        <f>E14*1.2</f>
        <v>180996.27600000001</v>
      </c>
      <c r="H14" s="45">
        <f>E14*1.2-F14</f>
        <v>0</v>
      </c>
    </row>
    <row r="15" spans="1:8" ht="31.2" customHeight="1" thickBot="1" x14ac:dyDescent="0.35">
      <c r="B15" s="4936" t="s">
        <v>3426</v>
      </c>
      <c r="C15" s="2046" t="s">
        <v>3427</v>
      </c>
      <c r="D15" s="2046" t="s">
        <v>2815</v>
      </c>
      <c r="E15" s="3090">
        <f>'D5_2023-2024'!E15</f>
        <v>2009.91</v>
      </c>
      <c r="F15" s="2095">
        <f>E15*1.2</f>
        <v>2411.8919999999998</v>
      </c>
      <c r="H15" s="45">
        <f>E15*1.2-F15</f>
        <v>0</v>
      </c>
    </row>
    <row r="16" spans="1:8" ht="31.2" customHeight="1" thickBot="1" x14ac:dyDescent="0.35">
      <c r="B16" s="4937"/>
      <c r="C16" s="2048" t="s">
        <v>3428</v>
      </c>
      <c r="D16" s="2048" t="s">
        <v>2817</v>
      </c>
      <c r="E16" s="3090">
        <f>'D5_2023-2024'!E16</f>
        <v>117803.48</v>
      </c>
      <c r="F16" s="3158">
        <f>E16*1.2</f>
        <v>141364.17599999998</v>
      </c>
      <c r="H16" s="45">
        <f>E16*1.2-F16</f>
        <v>0</v>
      </c>
    </row>
    <row r="17" spans="1:11" ht="21" customHeight="1" thickBot="1" x14ac:dyDescent="0.35">
      <c r="B17" s="4929" t="s">
        <v>4142</v>
      </c>
      <c r="C17" s="4930"/>
      <c r="D17" s="4930"/>
      <c r="E17" s="4930"/>
      <c r="F17" s="4931"/>
    </row>
    <row r="18" spans="1:11" ht="30.6" customHeight="1" thickBot="1" x14ac:dyDescent="0.35">
      <c r="A18" s="1320"/>
      <c r="B18" s="4932" t="s">
        <v>3425</v>
      </c>
      <c r="C18" s="2046" t="s">
        <v>3427</v>
      </c>
      <c r="D18" s="3091" t="s">
        <v>2815</v>
      </c>
      <c r="E18" s="3090">
        <f>'D5_2023-2024'!E18</f>
        <v>2130.2600000000002</v>
      </c>
      <c r="F18" s="2095">
        <f>E18*1.2</f>
        <v>2556.3120000000004</v>
      </c>
      <c r="G18" s="1320"/>
      <c r="H18" s="1320">
        <v>0</v>
      </c>
      <c r="I18" s="1320"/>
      <c r="J18" s="1320"/>
      <c r="K18" s="1320"/>
    </row>
    <row r="19" spans="1:11" ht="31.95" customHeight="1" thickBot="1" x14ac:dyDescent="0.35">
      <c r="A19" s="1320"/>
      <c r="B19" s="4933"/>
      <c r="C19" s="2048" t="s">
        <v>3428</v>
      </c>
      <c r="D19" s="3092" t="s">
        <v>2817</v>
      </c>
      <c r="E19" s="3090">
        <f>'D5_2023-2024'!E19</f>
        <v>150830.23000000001</v>
      </c>
      <c r="F19" s="3158">
        <f>E19*1.2</f>
        <v>180996.27600000001</v>
      </c>
      <c r="G19" s="1320"/>
      <c r="H19" s="1320">
        <v>0</v>
      </c>
      <c r="I19" s="1320"/>
      <c r="J19" s="1320"/>
      <c r="K19" s="1320"/>
    </row>
    <row r="20" spans="1:11" ht="31.95" customHeight="1" thickBot="1" x14ac:dyDescent="0.35">
      <c r="A20" s="1320"/>
      <c r="B20" s="4934" t="s">
        <v>3426</v>
      </c>
      <c r="C20" s="2050" t="s">
        <v>3427</v>
      </c>
      <c r="D20" s="3089" t="s">
        <v>2815</v>
      </c>
      <c r="E20" s="3090">
        <f>'D5_2023-2024'!E20</f>
        <v>2009.91</v>
      </c>
      <c r="F20" s="2095">
        <f>E20*1.2</f>
        <v>2411.8919999999998</v>
      </c>
      <c r="G20" s="1320"/>
      <c r="H20" s="1320">
        <v>0</v>
      </c>
      <c r="I20" s="1320"/>
      <c r="J20" s="1320"/>
      <c r="K20" s="1320"/>
    </row>
    <row r="21" spans="1:11" ht="31.95" customHeight="1" thickBot="1" x14ac:dyDescent="0.35">
      <c r="A21" s="1320"/>
      <c r="B21" s="4935"/>
      <c r="C21" s="2052" t="s">
        <v>3428</v>
      </c>
      <c r="D21" s="3088" t="s">
        <v>2817</v>
      </c>
      <c r="E21" s="3090">
        <f>'D5_2023-2024'!E21</f>
        <v>117803.48</v>
      </c>
      <c r="F21" s="3158">
        <f>E21*1.2</f>
        <v>141364.17599999998</v>
      </c>
      <c r="G21" s="1320"/>
      <c r="H21" s="1320">
        <v>0</v>
      </c>
      <c r="I21" s="1320"/>
      <c r="J21" s="1320"/>
      <c r="K21" s="1320"/>
    </row>
    <row r="22" spans="1:11" ht="21" customHeight="1" thickBot="1" x14ac:dyDescent="0.35">
      <c r="B22" s="4929" t="s">
        <v>2737</v>
      </c>
      <c r="C22" s="4930"/>
      <c r="D22" s="4930"/>
      <c r="E22" s="4930"/>
      <c r="F22" s="4931"/>
    </row>
    <row r="23" spans="1:11" ht="31.2" customHeight="1" thickBot="1" x14ac:dyDescent="0.35">
      <c r="B23" s="4936" t="s">
        <v>3426</v>
      </c>
      <c r="C23" s="2046" t="s">
        <v>3427</v>
      </c>
      <c r="D23" s="2046" t="s">
        <v>2815</v>
      </c>
      <c r="E23" s="2047">
        <f>'D5_2023-2024'!E23</f>
        <v>2009.91</v>
      </c>
      <c r="F23" s="2095">
        <f>E23*1.2</f>
        <v>2411.8919999999998</v>
      </c>
      <c r="H23" s="45">
        <f>E23*1.2-F23</f>
        <v>0</v>
      </c>
    </row>
    <row r="24" spans="1:11" ht="31.2" customHeight="1" thickBot="1" x14ac:dyDescent="0.35">
      <c r="B24" s="4937"/>
      <c r="C24" s="2048" t="s">
        <v>3428</v>
      </c>
      <c r="D24" s="2048" t="s">
        <v>2817</v>
      </c>
      <c r="E24" s="2047">
        <f>'D5_2023-2024'!E24</f>
        <v>117803.48</v>
      </c>
      <c r="F24" s="3158">
        <f>E24*1.2</f>
        <v>141364.17599999998</v>
      </c>
      <c r="H24" s="45">
        <f>E24*1.2-F24</f>
        <v>0</v>
      </c>
    </row>
    <row r="25" spans="1:11" ht="26.4" customHeight="1" x14ac:dyDescent="0.3">
      <c r="B25" s="4945" t="s">
        <v>4176</v>
      </c>
      <c r="C25" s="4945"/>
      <c r="D25" s="4945"/>
      <c r="E25" s="4945"/>
      <c r="F25" s="4945"/>
    </row>
    <row r="26" spans="1:11" ht="40.200000000000003" customHeight="1" x14ac:dyDescent="0.3">
      <c r="B26" s="4928" t="str">
        <f>'D1_2023-2024'!B108</f>
        <v>Начальник управління економічного
розвитку та торгівлі</v>
      </c>
      <c r="C26" s="4928"/>
      <c r="D26" s="887"/>
      <c r="E26" s="4403" t="str">
        <f>'D1_2023-2024'!F108</f>
        <v>Наталія ГЄНЧЕВА</v>
      </c>
      <c r="F26" s="887"/>
      <c r="G26" s="887"/>
      <c r="H26" s="887"/>
    </row>
  </sheetData>
  <mergeCells count="16">
    <mergeCell ref="B26:C26"/>
    <mergeCell ref="B10:B11"/>
    <mergeCell ref="E1:F1"/>
    <mergeCell ref="B3:F3"/>
    <mergeCell ref="B4:F4"/>
    <mergeCell ref="B7:F7"/>
    <mergeCell ref="B8:B9"/>
    <mergeCell ref="B22:F22"/>
    <mergeCell ref="B23:B24"/>
    <mergeCell ref="B12:F12"/>
    <mergeCell ref="B13:B14"/>
    <mergeCell ref="B15:B16"/>
    <mergeCell ref="B17:F17"/>
    <mergeCell ref="B18:B19"/>
    <mergeCell ref="B20:B21"/>
    <mergeCell ref="B25:F25"/>
  </mergeCells>
  <pageMargins left="0.70866141732283472" right="0.43" top="0.74803149606299213" bottom="0.74803149606299213" header="0.31496062992125984" footer="0.31496062992125984"/>
  <pageSetup paperSize="9" scale="94" orientation="portrait" r:id="rId1"/>
</worksheet>
</file>

<file path=xl/worksheets/sheet8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4F00-000000000000}">
  <sheetPr codeName="Лист77">
    <tabColor theme="8" tint="-0.249977111117893"/>
  </sheetPr>
  <dimension ref="A1:G14"/>
  <sheetViews>
    <sheetView workbookViewId="0">
      <selection activeCell="E8" sqref="E8"/>
    </sheetView>
  </sheetViews>
  <sheetFormatPr defaultRowHeight="14.4" x14ac:dyDescent="0.3"/>
  <cols>
    <col min="1" max="1" width="89.6640625" customWidth="1"/>
    <col min="2" max="2" width="19.88671875" customWidth="1"/>
    <col min="3" max="3" width="6.5546875" customWidth="1"/>
    <col min="4" max="4" width="14.5546875" customWidth="1"/>
    <col min="7" max="7" width="13.33203125" customWidth="1"/>
    <col min="8" max="11" width="22.33203125" customWidth="1"/>
  </cols>
  <sheetData>
    <row r="1" spans="1:7" ht="18.600000000000001" customHeight="1" x14ac:dyDescent="0.3">
      <c r="A1" s="5696" t="s">
        <v>2623</v>
      </c>
      <c r="B1" s="5696"/>
      <c r="C1" s="45"/>
      <c r="D1" s="45"/>
      <c r="E1" s="45"/>
    </row>
    <row r="2" spans="1:7" ht="34.950000000000003" customHeight="1" x14ac:dyDescent="0.3">
      <c r="A2" s="5692" t="s">
        <v>2624</v>
      </c>
      <c r="B2" s="5692"/>
      <c r="C2" s="1592"/>
      <c r="D2" s="1592"/>
      <c r="E2" s="1592"/>
    </row>
    <row r="3" spans="1:7" ht="15.6" x14ac:dyDescent="0.3">
      <c r="A3" s="1587"/>
      <c r="B3" s="1587"/>
      <c r="C3" s="1587"/>
      <c r="D3" s="1587"/>
      <c r="E3" s="40"/>
    </row>
    <row r="4" spans="1:7" ht="18" x14ac:dyDescent="0.4">
      <c r="A4" s="1588" t="s">
        <v>2625</v>
      </c>
      <c r="B4" s="1589">
        <f>B7*B8*B9*B10*B11</f>
        <v>46.985669999999999</v>
      </c>
      <c r="D4" s="5693" t="s">
        <v>3389</v>
      </c>
      <c r="E4" s="24" t="s">
        <v>4128</v>
      </c>
      <c r="F4" s="24"/>
      <c r="G4" s="24"/>
    </row>
    <row r="5" spans="1:7" ht="15.6" x14ac:dyDescent="0.3">
      <c r="A5" s="1587"/>
      <c r="B5" s="40"/>
      <c r="D5" s="5694"/>
      <c r="E5" s="5671" t="s">
        <v>2638</v>
      </c>
      <c r="F5" s="5671"/>
      <c r="G5" s="5671"/>
    </row>
    <row r="6" spans="1:7" ht="33.6" customHeight="1" x14ac:dyDescent="0.3">
      <c r="A6" s="1591" t="s">
        <v>2626</v>
      </c>
      <c r="B6" s="40"/>
      <c r="D6" s="5695"/>
      <c r="E6" s="1222" t="s">
        <v>2639</v>
      </c>
      <c r="F6" s="1222" t="s">
        <v>2640</v>
      </c>
      <c r="G6" s="1222" t="s">
        <v>2641</v>
      </c>
    </row>
    <row r="7" spans="1:7" ht="35.4" customHeight="1" x14ac:dyDescent="0.3">
      <c r="A7" s="1591" t="s">
        <v>2627</v>
      </c>
      <c r="B7" s="40">
        <f>E7</f>
        <v>3195</v>
      </c>
      <c r="D7" s="1425" t="s">
        <v>2637</v>
      </c>
      <c r="E7" s="4400">
        <v>3195</v>
      </c>
      <c r="F7" s="1425"/>
      <c r="G7" s="1425"/>
    </row>
    <row r="8" spans="1:7" ht="19.2" customHeight="1" x14ac:dyDescent="0.3">
      <c r="A8" s="1591" t="s">
        <v>2628</v>
      </c>
      <c r="B8" s="40">
        <v>2.58</v>
      </c>
    </row>
    <row r="9" spans="1:7" ht="51" customHeight="1" x14ac:dyDescent="0.3">
      <c r="A9" s="1591" t="s">
        <v>2629</v>
      </c>
      <c r="B9" s="40">
        <v>2</v>
      </c>
    </row>
    <row r="10" spans="1:7" ht="36.6" customHeight="1" x14ac:dyDescent="0.3">
      <c r="A10" s="1591" t="s">
        <v>2630</v>
      </c>
      <c r="B10" s="40">
        <v>0.15</v>
      </c>
    </row>
    <row r="11" spans="1:7" ht="49.2" customHeight="1" x14ac:dyDescent="0.3">
      <c r="A11" s="1591" t="s">
        <v>2631</v>
      </c>
      <c r="B11" s="40">
        <v>1.9E-2</v>
      </c>
    </row>
    <row r="12" spans="1:7" ht="33" customHeight="1" x14ac:dyDescent="0.3">
      <c r="A12" s="1591" t="s">
        <v>2632</v>
      </c>
      <c r="B12" s="40"/>
    </row>
    <row r="13" spans="1:7" ht="15.6" x14ac:dyDescent="0.3">
      <c r="C13" s="40"/>
      <c r="D13" s="40"/>
      <c r="E13" s="40"/>
    </row>
    <row r="14" spans="1:7" ht="15.6" x14ac:dyDescent="0.3">
      <c r="A14" s="45" t="s">
        <v>904</v>
      </c>
      <c r="B14" s="40" t="s">
        <v>2456</v>
      </c>
      <c r="C14" s="40"/>
      <c r="D14" s="40"/>
      <c r="E14" s="40"/>
    </row>
  </sheetData>
  <mergeCells count="4">
    <mergeCell ref="A2:B2"/>
    <mergeCell ref="E5:G5"/>
    <mergeCell ref="D4:D6"/>
    <mergeCell ref="A1:B1"/>
  </mergeCells>
  <pageMargins left="0.7" right="0.7" top="0.75" bottom="0.75" header="0.3" footer="0.3"/>
</worksheet>
</file>

<file path=xl/worksheets/sheet8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000-000000000000}">
  <sheetPr codeName="Лист78">
    <tabColor rgb="FFFF0000"/>
  </sheetPr>
  <dimension ref="A2:O28"/>
  <sheetViews>
    <sheetView topLeftCell="A2" workbookViewId="0">
      <pane xSplit="2" ySplit="4" topLeftCell="C6" activePane="bottomRight" state="frozen"/>
      <selection activeCell="A2" sqref="A2"/>
      <selection pane="topRight" activeCell="C2" sqref="C2"/>
      <selection pane="bottomLeft" activeCell="A6" sqref="A6"/>
      <selection pane="bottomRight" activeCell="D15" sqref="D15:L15"/>
    </sheetView>
  </sheetViews>
  <sheetFormatPr defaultColWidth="8.88671875" defaultRowHeight="15.6" x14ac:dyDescent="0.3"/>
  <cols>
    <col min="1" max="1" width="8.88671875" style="45"/>
    <col min="2" max="2" width="59.109375" style="45" customWidth="1"/>
    <col min="3" max="3" width="11.88671875" style="45" customWidth="1"/>
    <col min="4" max="4" width="12.33203125" style="45" customWidth="1"/>
    <col min="5" max="12" width="10.44140625" style="45" customWidth="1"/>
    <col min="13" max="13" width="26.33203125" style="1469" customWidth="1"/>
    <col min="14" max="16384" width="8.88671875" style="45"/>
  </cols>
  <sheetData>
    <row r="2" spans="1:15" s="1467" customFormat="1" ht="16.95" customHeight="1" x14ac:dyDescent="0.3">
      <c r="B2" s="5697" t="s">
        <v>2415</v>
      </c>
      <c r="C2" s="5697" t="s">
        <v>786</v>
      </c>
      <c r="D2" s="5697" t="s">
        <v>869</v>
      </c>
      <c r="E2" s="5699" t="s">
        <v>928</v>
      </c>
      <c r="F2" s="5700"/>
      <c r="G2" s="5699" t="s">
        <v>902</v>
      </c>
      <c r="H2" s="5700"/>
      <c r="I2" s="1470" t="s">
        <v>1427</v>
      </c>
      <c r="J2" s="1470" t="s">
        <v>871</v>
      </c>
      <c r="K2" s="1470" t="s">
        <v>971</v>
      </c>
      <c r="L2" s="713" t="s">
        <v>2417</v>
      </c>
      <c r="M2" s="1471"/>
    </row>
    <row r="3" spans="1:15" s="49" customFormat="1" ht="31.2" x14ac:dyDescent="0.3">
      <c r="B3" s="5701"/>
      <c r="C3" s="5701"/>
      <c r="D3" s="5698"/>
      <c r="E3" s="1472" t="s">
        <v>2479</v>
      </c>
      <c r="F3" s="1472" t="s">
        <v>2480</v>
      </c>
      <c r="G3" s="1472" t="s">
        <v>2479</v>
      </c>
      <c r="H3" s="1472" t="s">
        <v>2481</v>
      </c>
      <c r="I3" s="1472"/>
      <c r="J3" s="1472"/>
      <c r="K3" s="1472"/>
      <c r="L3" s="7"/>
      <c r="M3" s="1473"/>
    </row>
    <row r="4" spans="1:15" s="42" customFormat="1" ht="33.6" customHeight="1" x14ac:dyDescent="0.3">
      <c r="B4" s="5698"/>
      <c r="C4" s="1475" t="s">
        <v>2416</v>
      </c>
      <c r="D4" s="1475" t="s">
        <v>2416</v>
      </c>
      <c r="E4" s="1475" t="s">
        <v>2416</v>
      </c>
      <c r="F4" s="1475" t="s">
        <v>2416</v>
      </c>
      <c r="G4" s="1475" t="s">
        <v>2416</v>
      </c>
      <c r="H4" s="1475" t="s">
        <v>2416</v>
      </c>
      <c r="I4" s="1475" t="s">
        <v>2416</v>
      </c>
      <c r="J4" s="1475" t="s">
        <v>2416</v>
      </c>
      <c r="K4" s="1475" t="s">
        <v>2416</v>
      </c>
      <c r="L4" s="1475" t="s">
        <v>2416</v>
      </c>
      <c r="M4" s="1474"/>
    </row>
    <row r="5" spans="1:15" x14ac:dyDescent="0.3">
      <c r="B5" s="1468" t="s">
        <v>1934</v>
      </c>
      <c r="C5" s="1308">
        <f t="shared" ref="C5:L5" si="0">SUM(C6:C28)</f>
        <v>89660</v>
      </c>
      <c r="D5" s="1308">
        <f t="shared" si="0"/>
        <v>60138.260869565223</v>
      </c>
      <c r="E5" s="1308">
        <f t="shared" si="0"/>
        <v>4217.391304347826</v>
      </c>
      <c r="F5" s="1308">
        <f t="shared" si="0"/>
        <v>452.89855072463774</v>
      </c>
      <c r="G5" s="1308">
        <f t="shared" si="0"/>
        <v>2405.7971014492755</v>
      </c>
      <c r="H5" s="1308">
        <f t="shared" si="0"/>
        <v>0</v>
      </c>
      <c r="I5" s="1308">
        <f t="shared" si="0"/>
        <v>1811.594202898551</v>
      </c>
      <c r="J5" s="1308">
        <f t="shared" si="0"/>
        <v>905.79710144927549</v>
      </c>
      <c r="K5" s="1308">
        <f t="shared" si="0"/>
        <v>8887.6811594202918</v>
      </c>
      <c r="L5" s="1308">
        <f t="shared" si="0"/>
        <v>10840.579710144928</v>
      </c>
    </row>
    <row r="6" spans="1:15" s="1124" customFormat="1" x14ac:dyDescent="0.3">
      <c r="A6" s="1124" t="s">
        <v>3641</v>
      </c>
      <c r="B6" s="1440"/>
      <c r="C6" s="1486"/>
      <c r="D6" s="1486"/>
      <c r="E6" s="1486"/>
      <c r="F6" s="1486"/>
      <c r="G6" s="1486"/>
      <c r="H6" s="1486"/>
      <c r="I6" s="1486"/>
      <c r="J6" s="1486"/>
      <c r="K6" s="1486"/>
      <c r="L6" s="1486"/>
      <c r="M6" s="3942"/>
    </row>
    <row r="7" spans="1:15" s="1499" customFormat="1" ht="31.2" x14ac:dyDescent="0.3">
      <c r="B7" s="3906" t="s">
        <v>3719</v>
      </c>
      <c r="C7" s="1486">
        <f>SUM(D7:L7)</f>
        <v>58326.666666666672</v>
      </c>
      <c r="D7" s="3908">
        <f>69992/1.2</f>
        <v>58326.666666666672</v>
      </c>
      <c r="E7" s="1497"/>
      <c r="F7" s="1497"/>
      <c r="G7" s="1497"/>
      <c r="H7" s="1497"/>
      <c r="I7" s="1497"/>
      <c r="J7" s="1497"/>
      <c r="K7" s="1497"/>
      <c r="L7" s="1497"/>
      <c r="M7" s="3907" t="s">
        <v>3720</v>
      </c>
    </row>
    <row r="8" spans="1:15" s="1499" customFormat="1" x14ac:dyDescent="0.3">
      <c r="B8" s="1496"/>
      <c r="C8" s="1486">
        <f>SUM(D8:L8)</f>
        <v>0</v>
      </c>
      <c r="D8" s="1497"/>
      <c r="E8" s="1497"/>
      <c r="F8" s="1497"/>
      <c r="G8" s="1497"/>
      <c r="H8" s="1497"/>
      <c r="I8" s="1497"/>
      <c r="J8" s="1497"/>
      <c r="K8" s="1497"/>
      <c r="L8" s="1497"/>
      <c r="M8" s="1498"/>
    </row>
    <row r="9" spans="1:15" x14ac:dyDescent="0.3">
      <c r="A9" s="40"/>
      <c r="B9" s="1468"/>
      <c r="C9" s="1486">
        <f>SUM(D9:L9)</f>
        <v>0</v>
      </c>
      <c r="D9" s="1308"/>
      <c r="E9" s="1308"/>
      <c r="F9" s="1308"/>
      <c r="G9" s="1308"/>
      <c r="H9" s="1308"/>
      <c r="I9" s="1308"/>
      <c r="J9" s="1308"/>
      <c r="K9" s="1308"/>
      <c r="L9" s="1308"/>
    </row>
    <row r="10" spans="1:15" x14ac:dyDescent="0.3">
      <c r="B10" s="1468"/>
      <c r="C10" s="1486">
        <f>SUM(D10:L10)</f>
        <v>0</v>
      </c>
      <c r="D10" s="1308"/>
      <c r="E10" s="1308"/>
      <c r="F10" s="1308"/>
      <c r="G10" s="1308"/>
      <c r="H10" s="1308"/>
      <c r="I10" s="1308"/>
      <c r="J10" s="1308"/>
      <c r="K10" s="1308"/>
      <c r="L10" s="1308"/>
    </row>
    <row r="11" spans="1:15" x14ac:dyDescent="0.3">
      <c r="B11" s="1468"/>
      <c r="C11" s="1486">
        <f>SUM(D11:L11)</f>
        <v>0</v>
      </c>
      <c r="D11" s="1308"/>
      <c r="E11" s="1308"/>
      <c r="F11" s="1308"/>
      <c r="G11" s="1308"/>
      <c r="H11" s="1308"/>
      <c r="I11" s="1308"/>
      <c r="J11" s="1308"/>
      <c r="K11" s="1308"/>
      <c r="L11" s="1308"/>
    </row>
    <row r="12" spans="1:15" ht="31.2" x14ac:dyDescent="0.3">
      <c r="A12" s="45" t="s">
        <v>3642</v>
      </c>
      <c r="B12" s="3678" t="s">
        <v>2476</v>
      </c>
      <c r="C12" s="3679">
        <f t="shared" ref="C12:C28" si="1">SUM(D12:L12)</f>
        <v>10500</v>
      </c>
      <c r="D12" s="3680"/>
      <c r="E12" s="3680">
        <f>1000+500</f>
        <v>1500</v>
      </c>
      <c r="F12" s="3680"/>
      <c r="G12" s="3680">
        <f>1000+500</f>
        <v>1500</v>
      </c>
      <c r="H12" s="3680"/>
      <c r="I12" s="3680"/>
      <c r="J12" s="3680"/>
      <c r="K12" s="3680">
        <f>1000+1000+500+500</f>
        <v>3000</v>
      </c>
      <c r="L12" s="3680">
        <f>1000+1000+1000+500+500+500</f>
        <v>4500</v>
      </c>
      <c r="N12" s="45">
        <f>2200</f>
        <v>2200</v>
      </c>
      <c r="O12" s="45" t="s">
        <v>2260</v>
      </c>
    </row>
    <row r="13" spans="1:15" x14ac:dyDescent="0.3">
      <c r="B13" s="1468"/>
      <c r="C13" s="1486">
        <f t="shared" si="1"/>
        <v>0</v>
      </c>
      <c r="D13" s="1308"/>
      <c r="E13" s="1308"/>
      <c r="F13" s="1308"/>
      <c r="G13" s="1308"/>
      <c r="H13" s="1308"/>
      <c r="I13" s="1308"/>
      <c r="J13" s="1308"/>
      <c r="K13" s="1308"/>
      <c r="L13" s="1308"/>
    </row>
    <row r="14" spans="1:15" s="1489" customFormat="1" ht="33" customHeight="1" x14ac:dyDescent="0.3">
      <c r="B14" s="8" t="s">
        <v>2482</v>
      </c>
      <c r="C14" s="1487">
        <f t="shared" si="1"/>
        <v>0</v>
      </c>
      <c r="D14" s="1487"/>
      <c r="E14" s="1487"/>
      <c r="F14" s="1487"/>
      <c r="G14" s="1487"/>
      <c r="H14" s="1487"/>
      <c r="I14" s="1487"/>
      <c r="J14" s="1487"/>
      <c r="K14" s="1487"/>
      <c r="L14" s="1487"/>
      <c r="M14" s="1488"/>
    </row>
    <row r="15" spans="1:15" x14ac:dyDescent="0.3">
      <c r="B15" s="460" t="s">
        <v>2486</v>
      </c>
      <c r="C15" s="1308">
        <f t="shared" si="1"/>
        <v>20833.333333333336</v>
      </c>
      <c r="D15" s="1308">
        <f>25000/1.2/46*4</f>
        <v>1811.594202898551</v>
      </c>
      <c r="E15" s="1308">
        <f>25000/1.2/46*6</f>
        <v>2717.3913043478265</v>
      </c>
      <c r="F15" s="1308">
        <f>25000/1.2/46*1</f>
        <v>452.89855072463774</v>
      </c>
      <c r="G15" s="1308">
        <f>25000/1.2/46*2</f>
        <v>905.79710144927549</v>
      </c>
      <c r="H15" s="1308">
        <f>25000/1.2/46*0</f>
        <v>0</v>
      </c>
      <c r="I15" s="1308">
        <f>25000/1.2/46*4</f>
        <v>1811.594202898551</v>
      </c>
      <c r="J15" s="1308">
        <f>25000/1.2/46*2</f>
        <v>905.79710144927549</v>
      </c>
      <c r="K15" s="1308">
        <f>25000/1.2/46*13</f>
        <v>5887.6811594202909</v>
      </c>
      <c r="L15" s="1308">
        <f>25000/1.2/46*14</f>
        <v>6340.579710144928</v>
      </c>
      <c r="M15" s="4268"/>
      <c r="N15" s="45">
        <v>25000</v>
      </c>
      <c r="O15" s="45">
        <f>N15/1.2-C15</f>
        <v>0</v>
      </c>
    </row>
    <row r="16" spans="1:15" x14ac:dyDescent="0.3">
      <c r="B16" s="1468"/>
      <c r="C16" s="1308">
        <f t="shared" si="1"/>
        <v>0</v>
      </c>
      <c r="D16" s="1308"/>
      <c r="E16" s="1308"/>
      <c r="F16" s="1308"/>
      <c r="G16" s="1308"/>
      <c r="H16" s="1308"/>
      <c r="I16" s="1308"/>
      <c r="J16" s="1308"/>
      <c r="K16" s="1308"/>
      <c r="L16" s="1308"/>
    </row>
    <row r="17" spans="2:12" x14ac:dyDescent="0.3">
      <c r="B17" s="1468"/>
      <c r="C17" s="1308">
        <f t="shared" si="1"/>
        <v>0</v>
      </c>
      <c r="D17" s="1308"/>
      <c r="E17" s="1308"/>
      <c r="F17" s="1308"/>
      <c r="G17" s="1308"/>
      <c r="H17" s="1308"/>
      <c r="I17" s="1308"/>
      <c r="J17" s="1308"/>
      <c r="K17" s="1308"/>
      <c r="L17" s="1308"/>
    </row>
    <row r="18" spans="2:12" x14ac:dyDescent="0.3">
      <c r="B18" s="1468"/>
      <c r="C18" s="1308">
        <f t="shared" si="1"/>
        <v>0</v>
      </c>
      <c r="D18" s="1308"/>
      <c r="E18" s="1308"/>
      <c r="F18" s="1308"/>
      <c r="G18" s="1308"/>
      <c r="H18" s="1308"/>
      <c r="I18" s="1308"/>
      <c r="J18" s="1308"/>
      <c r="K18" s="1308"/>
      <c r="L18" s="1308"/>
    </row>
    <row r="19" spans="2:12" x14ac:dyDescent="0.3">
      <c r="B19" s="1468"/>
      <c r="C19" s="1308">
        <f t="shared" si="1"/>
        <v>0</v>
      </c>
      <c r="D19" s="1308"/>
      <c r="E19" s="1308"/>
      <c r="F19" s="1308"/>
      <c r="G19" s="1308"/>
      <c r="H19" s="1308"/>
      <c r="I19" s="1308"/>
      <c r="J19" s="1308"/>
      <c r="K19" s="1308"/>
      <c r="L19" s="1308"/>
    </row>
    <row r="20" spans="2:12" x14ac:dyDescent="0.3">
      <c r="B20" s="1468"/>
      <c r="C20" s="1308">
        <f t="shared" si="1"/>
        <v>0</v>
      </c>
      <c r="D20" s="1308"/>
      <c r="E20" s="1308"/>
      <c r="F20" s="1308"/>
      <c r="G20" s="1308"/>
      <c r="H20" s="1308"/>
      <c r="I20" s="1308"/>
      <c r="J20" s="1308"/>
      <c r="K20" s="1308"/>
      <c r="L20" s="1308"/>
    </row>
    <row r="21" spans="2:12" x14ac:dyDescent="0.3">
      <c r="B21" s="1468"/>
      <c r="C21" s="1308">
        <f t="shared" si="1"/>
        <v>0</v>
      </c>
      <c r="D21" s="1308"/>
      <c r="E21" s="1308"/>
      <c r="F21" s="1308"/>
      <c r="G21" s="1308"/>
      <c r="H21" s="1308"/>
      <c r="I21" s="1308"/>
      <c r="J21" s="1308"/>
      <c r="K21" s="1308"/>
      <c r="L21" s="1308"/>
    </row>
    <row r="22" spans="2:12" x14ac:dyDescent="0.3">
      <c r="B22" s="1468"/>
      <c r="C22" s="1308">
        <f t="shared" si="1"/>
        <v>0</v>
      </c>
      <c r="D22" s="1308"/>
      <c r="E22" s="1308"/>
      <c r="F22" s="1308"/>
      <c r="G22" s="1308"/>
      <c r="H22" s="1308"/>
      <c r="I22" s="1308"/>
      <c r="J22" s="1308"/>
      <c r="K22" s="1308"/>
      <c r="L22" s="1308"/>
    </row>
    <row r="23" spans="2:12" x14ac:dyDescent="0.3">
      <c r="B23" s="1468"/>
      <c r="C23" s="1308">
        <f t="shared" si="1"/>
        <v>0</v>
      </c>
      <c r="D23" s="1308"/>
      <c r="E23" s="1308"/>
      <c r="F23" s="1308"/>
      <c r="G23" s="1308"/>
      <c r="H23" s="1308"/>
      <c r="I23" s="1308"/>
      <c r="J23" s="1308"/>
      <c r="K23" s="1308"/>
      <c r="L23" s="1308"/>
    </row>
    <row r="24" spans="2:12" x14ac:dyDescent="0.3">
      <c r="B24" s="1468"/>
      <c r="C24" s="1308">
        <f t="shared" si="1"/>
        <v>0</v>
      </c>
      <c r="D24" s="1308"/>
      <c r="E24" s="1308"/>
      <c r="F24" s="1308"/>
      <c r="G24" s="1308"/>
      <c r="H24" s="1308"/>
      <c r="I24" s="1308"/>
      <c r="J24" s="1308"/>
      <c r="K24" s="1308"/>
      <c r="L24" s="1308"/>
    </row>
    <row r="25" spans="2:12" x14ac:dyDescent="0.3">
      <c r="B25" s="1468"/>
      <c r="C25" s="1308">
        <f t="shared" si="1"/>
        <v>0</v>
      </c>
      <c r="D25" s="1308"/>
      <c r="E25" s="1308"/>
      <c r="F25" s="1308"/>
      <c r="G25" s="1308"/>
      <c r="H25" s="1308"/>
      <c r="I25" s="1308"/>
      <c r="J25" s="1308"/>
      <c r="K25" s="1308"/>
      <c r="L25" s="1308"/>
    </row>
    <row r="26" spans="2:12" x14ac:dyDescent="0.3">
      <c r="B26" s="1468"/>
      <c r="C26" s="1308">
        <f t="shared" si="1"/>
        <v>0</v>
      </c>
      <c r="D26" s="1308"/>
      <c r="E26" s="1308"/>
      <c r="F26" s="1308"/>
      <c r="G26" s="1308"/>
      <c r="H26" s="1308"/>
      <c r="I26" s="1308"/>
      <c r="J26" s="1308"/>
      <c r="K26" s="1308"/>
      <c r="L26" s="1308"/>
    </row>
    <row r="27" spans="2:12" x14ac:dyDescent="0.3">
      <c r="B27" s="1468"/>
      <c r="C27" s="1308">
        <f t="shared" si="1"/>
        <v>0</v>
      </c>
      <c r="D27" s="1308"/>
      <c r="E27" s="1308"/>
      <c r="F27" s="1308"/>
      <c r="G27" s="1308"/>
      <c r="H27" s="1308"/>
      <c r="I27" s="1308"/>
      <c r="J27" s="1308"/>
      <c r="K27" s="1308"/>
      <c r="L27" s="1308"/>
    </row>
    <row r="28" spans="2:12" x14ac:dyDescent="0.3">
      <c r="B28" s="1468"/>
      <c r="C28" s="1308">
        <f t="shared" si="1"/>
        <v>0</v>
      </c>
      <c r="D28" s="1308"/>
      <c r="E28" s="1308"/>
      <c r="F28" s="1308"/>
      <c r="G28" s="1308"/>
      <c r="H28" s="1308"/>
      <c r="I28" s="1308"/>
      <c r="J28" s="1308"/>
      <c r="K28" s="1308"/>
      <c r="L28" s="1308"/>
    </row>
  </sheetData>
  <mergeCells count="5">
    <mergeCell ref="D2:D3"/>
    <mergeCell ref="E2:F2"/>
    <mergeCell ref="G2:H2"/>
    <mergeCell ref="B2:B4"/>
    <mergeCell ref="C2:C3"/>
  </mergeCells>
  <pageMargins left="0.7" right="0.7" top="0.75" bottom="0.75" header="0.3" footer="0.3"/>
  <pageSetup paperSize="9" orientation="portrait" horizontalDpi="0" verticalDpi="0" r:id="rId1"/>
  <legacyDrawing r:id="rId2"/>
</worksheet>
</file>

<file path=xl/worksheets/sheet8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100-000000000000}">
  <sheetPr codeName="Лист79">
    <tabColor rgb="FFEC20C5"/>
  </sheetPr>
  <dimension ref="B2:M28"/>
  <sheetViews>
    <sheetView topLeftCell="A4" workbookViewId="0">
      <selection activeCell="D15" sqref="D15"/>
    </sheetView>
  </sheetViews>
  <sheetFormatPr defaultColWidth="8.88671875" defaultRowHeight="15.6" x14ac:dyDescent="0.3"/>
  <cols>
    <col min="1" max="1" width="8.88671875" style="45"/>
    <col min="2" max="2" width="35" style="45" customWidth="1"/>
    <col min="3" max="3" width="11.5546875" style="45" customWidth="1"/>
    <col min="4" max="4" width="11.33203125" style="45" customWidth="1"/>
    <col min="5" max="12" width="10.44140625" style="45" customWidth="1"/>
    <col min="13" max="13" width="35.109375" style="1469" customWidth="1"/>
    <col min="14" max="16384" width="8.88671875" style="45"/>
  </cols>
  <sheetData>
    <row r="2" spans="2:13" s="40" customFormat="1" x14ac:dyDescent="0.3">
      <c r="B2" s="5697" t="s">
        <v>2468</v>
      </c>
      <c r="C2" s="5697" t="s">
        <v>786</v>
      </c>
      <c r="D2" s="5697" t="s">
        <v>869</v>
      </c>
      <c r="E2" s="5702" t="s">
        <v>928</v>
      </c>
      <c r="F2" s="5703"/>
      <c r="G2" s="5702" t="s">
        <v>902</v>
      </c>
      <c r="H2" s="5703"/>
      <c r="I2" s="5697" t="s">
        <v>1427</v>
      </c>
      <c r="J2" s="5697" t="s">
        <v>871</v>
      </c>
      <c r="K2" s="5697" t="s">
        <v>971</v>
      </c>
      <c r="L2" s="5697" t="s">
        <v>2417</v>
      </c>
      <c r="M2" s="1474"/>
    </row>
    <row r="3" spans="2:13" s="40" customFormat="1" ht="31.2" x14ac:dyDescent="0.3">
      <c r="B3" s="5701"/>
      <c r="C3" s="5701"/>
      <c r="D3" s="5698"/>
      <c r="E3" s="1472" t="s">
        <v>2479</v>
      </c>
      <c r="F3" s="1472" t="s">
        <v>2480</v>
      </c>
      <c r="G3" s="1472" t="s">
        <v>2479</v>
      </c>
      <c r="H3" s="1472" t="s">
        <v>2481</v>
      </c>
      <c r="I3" s="5698"/>
      <c r="J3" s="5698"/>
      <c r="K3" s="5698"/>
      <c r="L3" s="5698"/>
      <c r="M3" s="1474"/>
    </row>
    <row r="4" spans="2:13" s="40" customFormat="1" ht="26.4" x14ac:dyDescent="0.3">
      <c r="B4" s="5698"/>
      <c r="C4" s="1475" t="s">
        <v>2416</v>
      </c>
      <c r="D4" s="1475" t="s">
        <v>2416</v>
      </c>
      <c r="E4" s="1475" t="s">
        <v>2416</v>
      </c>
      <c r="F4" s="1475" t="s">
        <v>2416</v>
      </c>
      <c r="G4" s="1475" t="s">
        <v>2416</v>
      </c>
      <c r="H4" s="1475" t="s">
        <v>2416</v>
      </c>
      <c r="I4" s="1475" t="s">
        <v>2416</v>
      </c>
      <c r="J4" s="1475" t="s">
        <v>2416</v>
      </c>
      <c r="K4" s="1475" t="s">
        <v>2416</v>
      </c>
      <c r="L4" s="1475" t="s">
        <v>2416</v>
      </c>
      <c r="M4" s="1474"/>
    </row>
    <row r="5" spans="2:13" x14ac:dyDescent="0.3">
      <c r="B5" s="2533" t="s">
        <v>1934</v>
      </c>
      <c r="C5" s="1321">
        <f t="shared" ref="C5:L5" si="0">SUM(C6:C28)</f>
        <v>0</v>
      </c>
      <c r="D5" s="1321">
        <f t="shared" si="0"/>
        <v>0</v>
      </c>
      <c r="E5" s="1321">
        <f t="shared" si="0"/>
        <v>0</v>
      </c>
      <c r="F5" s="1321"/>
      <c r="G5" s="1321">
        <f t="shared" si="0"/>
        <v>0</v>
      </c>
      <c r="H5" s="1321"/>
      <c r="I5" s="1321">
        <f t="shared" si="0"/>
        <v>0</v>
      </c>
      <c r="J5" s="1321">
        <f t="shared" si="0"/>
        <v>0</v>
      </c>
      <c r="K5" s="1321">
        <f t="shared" si="0"/>
        <v>0</v>
      </c>
      <c r="L5" s="1321">
        <f t="shared" si="0"/>
        <v>0</v>
      </c>
    </row>
    <row r="6" spans="2:13" x14ac:dyDescent="0.3">
      <c r="B6" s="1468" t="s">
        <v>2470</v>
      </c>
      <c r="C6" s="1308">
        <f>SUM(D6:L6)</f>
        <v>0</v>
      </c>
      <c r="D6" s="778"/>
      <c r="E6" s="778"/>
      <c r="F6" s="778"/>
      <c r="G6" s="778"/>
      <c r="H6" s="778"/>
      <c r="I6" s="778"/>
      <c r="J6" s="778"/>
      <c r="K6" s="778"/>
      <c r="L6" s="778"/>
      <c r="M6" s="1469" t="s">
        <v>2469</v>
      </c>
    </row>
    <row r="7" spans="2:13" x14ac:dyDescent="0.3">
      <c r="B7" s="1468" t="s">
        <v>2504</v>
      </c>
      <c r="C7" s="1308">
        <f>SUM(D7:L7)</f>
        <v>0</v>
      </c>
      <c r="D7" s="778"/>
      <c r="E7" s="778"/>
      <c r="F7" s="778"/>
      <c r="G7" s="778"/>
      <c r="H7" s="778"/>
      <c r="I7" s="778"/>
      <c r="J7" s="778"/>
      <c r="K7" s="778"/>
      <c r="L7" s="778"/>
      <c r="M7" s="1469" t="s">
        <v>2471</v>
      </c>
    </row>
    <row r="8" spans="2:13" ht="31.2" x14ac:dyDescent="0.3">
      <c r="B8" s="1468" t="s">
        <v>2490</v>
      </c>
      <c r="C8" s="1308">
        <f t="shared" ref="C8:C28" si="1">SUM(D8:L8)</f>
        <v>0</v>
      </c>
      <c r="D8" s="778"/>
      <c r="E8" s="778"/>
      <c r="F8" s="778"/>
      <c r="G8" s="778"/>
      <c r="H8" s="778"/>
      <c r="I8" s="778"/>
      <c r="J8" s="778"/>
      <c r="K8" s="778"/>
      <c r="L8" s="778"/>
      <c r="M8" s="1469" t="s">
        <v>2472</v>
      </c>
    </row>
    <row r="9" spans="2:13" ht="31.2" x14ac:dyDescent="0.3">
      <c r="B9" s="1468" t="s">
        <v>2477</v>
      </c>
      <c r="C9" s="1308">
        <f t="shared" si="1"/>
        <v>0</v>
      </c>
      <c r="D9" s="778"/>
      <c r="E9" s="778"/>
      <c r="F9" s="778"/>
      <c r="G9" s="778"/>
      <c r="H9" s="778"/>
      <c r="I9" s="778"/>
      <c r="J9" s="778"/>
      <c r="K9" s="778"/>
      <c r="L9" s="778"/>
      <c r="M9" s="1469" t="s">
        <v>2478</v>
      </c>
    </row>
    <row r="10" spans="2:13" x14ac:dyDescent="0.3">
      <c r="B10" s="1468" t="s">
        <v>2483</v>
      </c>
      <c r="C10" s="1308">
        <f t="shared" si="1"/>
        <v>0</v>
      </c>
      <c r="D10" s="778"/>
      <c r="E10" s="778"/>
      <c r="F10" s="778"/>
      <c r="G10" s="778"/>
      <c r="H10" s="778"/>
      <c r="I10" s="778"/>
      <c r="J10" s="778"/>
      <c r="K10" s="778"/>
      <c r="L10" s="778"/>
      <c r="M10" s="1469" t="s">
        <v>2484</v>
      </c>
    </row>
    <row r="11" spans="2:13" ht="31.2" x14ac:dyDescent="0.3">
      <c r="B11" s="1468" t="s">
        <v>2485</v>
      </c>
      <c r="C11" s="1308">
        <f t="shared" si="1"/>
        <v>0</v>
      </c>
      <c r="D11" s="778"/>
      <c r="E11" s="778"/>
      <c r="F11" s="778"/>
      <c r="G11" s="778"/>
      <c r="H11" s="778"/>
      <c r="I11" s="778"/>
      <c r="J11" s="778"/>
      <c r="K11" s="778"/>
      <c r="L11" s="778"/>
      <c r="M11" s="1469" t="s">
        <v>2498</v>
      </c>
    </row>
    <row r="12" spans="2:13" x14ac:dyDescent="0.3">
      <c r="B12" s="1468" t="s">
        <v>2496</v>
      </c>
      <c r="C12" s="1308">
        <f t="shared" si="1"/>
        <v>0</v>
      </c>
      <c r="D12" s="778"/>
      <c r="E12" s="778"/>
      <c r="F12" s="778"/>
      <c r="G12" s="778"/>
      <c r="H12" s="778"/>
      <c r="I12" s="778"/>
      <c r="J12" s="778"/>
      <c r="K12" s="778"/>
      <c r="L12" s="778"/>
      <c r="M12" s="1469" t="s">
        <v>2497</v>
      </c>
    </row>
    <row r="13" spans="2:13" x14ac:dyDescent="0.3">
      <c r="B13" s="1468" t="s">
        <v>2499</v>
      </c>
      <c r="C13" s="1308">
        <f t="shared" si="1"/>
        <v>0</v>
      </c>
      <c r="D13" s="778"/>
      <c r="E13" s="778"/>
      <c r="F13" s="778"/>
      <c r="G13" s="778"/>
      <c r="H13" s="778"/>
      <c r="I13" s="778"/>
      <c r="J13" s="778"/>
      <c r="K13" s="778"/>
      <c r="L13" s="778"/>
      <c r="M13" s="1469" t="s">
        <v>2500</v>
      </c>
    </row>
    <row r="14" spans="2:13" x14ac:dyDescent="0.3">
      <c r="B14" s="1468" t="s">
        <v>2502</v>
      </c>
      <c r="C14" s="1308">
        <f t="shared" si="1"/>
        <v>0</v>
      </c>
      <c r="D14" s="778"/>
      <c r="E14" s="778"/>
      <c r="F14" s="778"/>
      <c r="G14" s="778"/>
      <c r="H14" s="778"/>
      <c r="I14" s="778"/>
      <c r="J14" s="778"/>
      <c r="K14" s="778"/>
      <c r="L14" s="778"/>
      <c r="M14" s="1469" t="s">
        <v>2503</v>
      </c>
    </row>
    <row r="15" spans="2:13" x14ac:dyDescent="0.3">
      <c r="B15" s="1468" t="s">
        <v>2504</v>
      </c>
      <c r="C15" s="1308">
        <f t="shared" si="1"/>
        <v>0</v>
      </c>
      <c r="D15" s="778"/>
      <c r="E15" s="778"/>
      <c r="F15" s="778"/>
      <c r="G15" s="778"/>
      <c r="H15" s="778"/>
      <c r="I15" s="778"/>
      <c r="J15" s="778"/>
      <c r="K15" s="778"/>
      <c r="L15" s="778"/>
      <c r="M15" s="1469" t="s">
        <v>2505</v>
      </c>
    </row>
    <row r="16" spans="2:13" x14ac:dyDescent="0.3">
      <c r="B16" s="1468"/>
      <c r="C16" s="1308">
        <f t="shared" si="1"/>
        <v>0</v>
      </c>
      <c r="D16" s="778"/>
      <c r="E16" s="778"/>
      <c r="F16" s="778"/>
      <c r="G16" s="778"/>
      <c r="H16" s="778"/>
      <c r="I16" s="778"/>
      <c r="J16" s="778"/>
      <c r="K16" s="778"/>
      <c r="L16" s="778"/>
    </row>
    <row r="17" spans="2:12" x14ac:dyDescent="0.3">
      <c r="B17" s="1468"/>
      <c r="C17" s="1308">
        <f t="shared" si="1"/>
        <v>0</v>
      </c>
      <c r="D17" s="778"/>
      <c r="E17" s="778"/>
      <c r="F17" s="778"/>
      <c r="G17" s="778"/>
      <c r="H17" s="778"/>
      <c r="I17" s="778"/>
      <c r="J17" s="778"/>
      <c r="K17" s="778"/>
      <c r="L17" s="778"/>
    </row>
    <row r="18" spans="2:12" x14ac:dyDescent="0.3">
      <c r="B18" s="1468"/>
      <c r="C18" s="1308">
        <f t="shared" si="1"/>
        <v>0</v>
      </c>
      <c r="D18" s="778"/>
      <c r="E18" s="778"/>
      <c r="F18" s="778"/>
      <c r="G18" s="778"/>
      <c r="H18" s="778"/>
      <c r="I18" s="778"/>
      <c r="J18" s="778"/>
      <c r="K18" s="778"/>
      <c r="L18" s="778"/>
    </row>
    <row r="19" spans="2:12" x14ac:dyDescent="0.3">
      <c r="B19" s="1468"/>
      <c r="C19" s="1308">
        <f t="shared" si="1"/>
        <v>0</v>
      </c>
      <c r="D19" s="778"/>
      <c r="E19" s="778"/>
      <c r="F19" s="778"/>
      <c r="G19" s="778"/>
      <c r="H19" s="778"/>
      <c r="I19" s="778"/>
      <c r="J19" s="778"/>
      <c r="K19" s="778"/>
      <c r="L19" s="778"/>
    </row>
    <row r="20" spans="2:12" x14ac:dyDescent="0.3">
      <c r="B20" s="1468"/>
      <c r="C20" s="1308">
        <f t="shared" si="1"/>
        <v>0</v>
      </c>
      <c r="D20" s="778"/>
      <c r="E20" s="778"/>
      <c r="F20" s="778"/>
      <c r="G20" s="778"/>
      <c r="H20" s="778"/>
      <c r="I20" s="778"/>
      <c r="J20" s="778"/>
      <c r="K20" s="778"/>
      <c r="L20" s="778"/>
    </row>
    <row r="21" spans="2:12" x14ac:dyDescent="0.3">
      <c r="B21" s="1468"/>
      <c r="C21" s="1308">
        <f t="shared" si="1"/>
        <v>0</v>
      </c>
      <c r="D21" s="778"/>
      <c r="E21" s="778"/>
      <c r="F21" s="778"/>
      <c r="G21" s="778"/>
      <c r="H21" s="778"/>
      <c r="I21" s="778"/>
      <c r="J21" s="778"/>
      <c r="K21" s="778"/>
      <c r="L21" s="778"/>
    </row>
    <row r="22" spans="2:12" x14ac:dyDescent="0.3">
      <c r="B22" s="1468"/>
      <c r="C22" s="1308">
        <f t="shared" si="1"/>
        <v>0</v>
      </c>
      <c r="D22" s="778"/>
      <c r="E22" s="778"/>
      <c r="F22" s="778"/>
      <c r="G22" s="778"/>
      <c r="H22" s="778"/>
      <c r="I22" s="778"/>
      <c r="J22" s="778"/>
      <c r="K22" s="778"/>
      <c r="L22" s="778"/>
    </row>
    <row r="23" spans="2:12" x14ac:dyDescent="0.3">
      <c r="B23" s="1468"/>
      <c r="C23" s="1308">
        <f t="shared" si="1"/>
        <v>0</v>
      </c>
      <c r="D23" s="778"/>
      <c r="E23" s="778"/>
      <c r="F23" s="778"/>
      <c r="G23" s="778"/>
      <c r="H23" s="778"/>
      <c r="I23" s="778"/>
      <c r="J23" s="778"/>
      <c r="K23" s="778"/>
      <c r="L23" s="778"/>
    </row>
    <row r="24" spans="2:12" x14ac:dyDescent="0.3">
      <c r="B24" s="1468"/>
      <c r="C24" s="1308">
        <f t="shared" si="1"/>
        <v>0</v>
      </c>
      <c r="D24" s="778"/>
      <c r="E24" s="778"/>
      <c r="F24" s="778"/>
      <c r="G24" s="778"/>
      <c r="H24" s="778"/>
      <c r="I24" s="778"/>
      <c r="J24" s="778"/>
      <c r="K24" s="778"/>
      <c r="L24" s="778"/>
    </row>
    <row r="25" spans="2:12" x14ac:dyDescent="0.3">
      <c r="B25" s="1468"/>
      <c r="C25" s="1308">
        <f t="shared" si="1"/>
        <v>0</v>
      </c>
      <c r="D25" s="778"/>
      <c r="E25" s="778"/>
      <c r="F25" s="778"/>
      <c r="G25" s="778"/>
      <c r="H25" s="778"/>
      <c r="I25" s="778"/>
      <c r="J25" s="778"/>
      <c r="K25" s="778"/>
      <c r="L25" s="778"/>
    </row>
    <row r="26" spans="2:12" x14ac:dyDescent="0.3">
      <c r="B26" s="1468"/>
      <c r="C26" s="1308">
        <f t="shared" si="1"/>
        <v>0</v>
      </c>
      <c r="D26" s="778"/>
      <c r="E26" s="778"/>
      <c r="F26" s="778"/>
      <c r="G26" s="778"/>
      <c r="H26" s="778"/>
      <c r="I26" s="778"/>
      <c r="J26" s="778"/>
      <c r="K26" s="778"/>
      <c r="L26" s="778"/>
    </row>
    <row r="27" spans="2:12" x14ac:dyDescent="0.3">
      <c r="B27" s="1468"/>
      <c r="C27" s="1308">
        <f t="shared" si="1"/>
        <v>0</v>
      </c>
      <c r="D27" s="778"/>
      <c r="E27" s="778"/>
      <c r="F27" s="778"/>
      <c r="G27" s="778"/>
      <c r="H27" s="778"/>
      <c r="I27" s="778"/>
      <c r="J27" s="778"/>
      <c r="K27" s="778"/>
      <c r="L27" s="778"/>
    </row>
    <row r="28" spans="2:12" x14ac:dyDescent="0.3">
      <c r="B28" s="1468"/>
      <c r="C28" s="1308">
        <f t="shared" si="1"/>
        <v>0</v>
      </c>
      <c r="D28" s="778"/>
      <c r="E28" s="778"/>
      <c r="F28" s="778"/>
      <c r="G28" s="778"/>
      <c r="H28" s="778"/>
      <c r="I28" s="778"/>
      <c r="J28" s="778"/>
      <c r="K28" s="778"/>
      <c r="L28" s="778"/>
    </row>
  </sheetData>
  <mergeCells count="9">
    <mergeCell ref="L2:L3"/>
    <mergeCell ref="E2:F2"/>
    <mergeCell ref="G2:H2"/>
    <mergeCell ref="C2:C3"/>
    <mergeCell ref="B2:B4"/>
    <mergeCell ref="D2:D3"/>
    <mergeCell ref="I2:I3"/>
    <mergeCell ref="J2:J3"/>
    <mergeCell ref="K2:K3"/>
  </mergeCells>
  <pageMargins left="0.7" right="0.7" top="0.75" bottom="0.75" header="0.3" footer="0.3"/>
</worksheet>
</file>

<file path=xl/worksheets/sheet8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200-000000000000}">
  <sheetPr codeName="Лист80">
    <pageSetUpPr fitToPage="1"/>
  </sheetPr>
  <dimension ref="A1:K32"/>
  <sheetViews>
    <sheetView topLeftCell="A19" workbookViewId="0">
      <selection activeCell="D26" sqref="D26"/>
    </sheetView>
  </sheetViews>
  <sheetFormatPr defaultColWidth="8.88671875" defaultRowHeight="13.8" x14ac:dyDescent="0.25"/>
  <cols>
    <col min="1" max="1" width="33.44140625" style="10" customWidth="1"/>
    <col min="2" max="2" width="16.6640625" style="10" customWidth="1"/>
    <col min="3" max="3" width="17" style="10" customWidth="1"/>
    <col min="4" max="5" width="11.6640625" style="10" customWidth="1"/>
    <col min="6" max="7" width="11.88671875" style="10" customWidth="1"/>
    <col min="8" max="8" width="11.44140625" style="10" customWidth="1"/>
    <col min="9" max="9" width="10.33203125" style="10" customWidth="1"/>
    <col min="10" max="16384" width="8.88671875" style="10"/>
  </cols>
  <sheetData>
    <row r="1" spans="1:11" ht="55.2" customHeight="1" x14ac:dyDescent="0.35">
      <c r="A1" s="5719" t="s">
        <v>3020</v>
      </c>
      <c r="B1" s="5719"/>
      <c r="C1" s="5719"/>
      <c r="D1" s="5719"/>
      <c r="E1" s="5719"/>
      <c r="F1" s="5719"/>
      <c r="G1" s="1852"/>
      <c r="H1" s="1852"/>
      <c r="I1" s="1852"/>
      <c r="J1" s="1852"/>
      <c r="K1" s="1852"/>
    </row>
    <row r="3" spans="1:11" ht="46.8" x14ac:dyDescent="0.25">
      <c r="A3" s="1307" t="s">
        <v>3007</v>
      </c>
      <c r="B3" s="7" t="s">
        <v>3011</v>
      </c>
      <c r="C3" s="7" t="s">
        <v>3012</v>
      </c>
      <c r="D3" s="5702" t="s">
        <v>3013</v>
      </c>
      <c r="E3" s="5703"/>
      <c r="F3" s="5689" t="s">
        <v>3014</v>
      </c>
      <c r="G3" s="5689"/>
      <c r="H3" s="5704" t="s">
        <v>3023</v>
      </c>
      <c r="I3" s="5705"/>
    </row>
    <row r="5" spans="1:11" s="1859" customFormat="1" ht="29.4" customHeight="1" x14ac:dyDescent="0.3">
      <c r="A5" s="1857" t="s">
        <v>2638</v>
      </c>
      <c r="B5" s="1858" t="s">
        <v>3015</v>
      </c>
      <c r="C5" s="1858" t="s">
        <v>3015</v>
      </c>
      <c r="D5" s="5715" t="s">
        <v>3015</v>
      </c>
      <c r="E5" s="5716"/>
      <c r="F5" s="5714" t="s">
        <v>3016</v>
      </c>
      <c r="G5" s="5714"/>
    </row>
    <row r="6" spans="1:11" s="1862" customFormat="1" ht="31.95" customHeight="1" x14ac:dyDescent="0.3">
      <c r="A6" s="1860" t="s">
        <v>3021</v>
      </c>
      <c r="B6" s="1861">
        <v>6235.51</v>
      </c>
      <c r="C6" s="1861">
        <v>6235.51</v>
      </c>
      <c r="D6" s="5708">
        <v>6235.51</v>
      </c>
      <c r="E6" s="5709"/>
      <c r="F6" s="5711">
        <v>6235.51</v>
      </c>
      <c r="G6" s="5711"/>
    </row>
    <row r="7" spans="1:11" ht="15.6" x14ac:dyDescent="0.3">
      <c r="A7" s="778" t="s">
        <v>3008</v>
      </c>
      <c r="B7" s="1307">
        <v>1394.9</v>
      </c>
      <c r="C7" s="1307">
        <v>1273.4000000000001</v>
      </c>
      <c r="D7" s="5704">
        <v>1341.02</v>
      </c>
      <c r="E7" s="5705"/>
      <c r="F7" s="5712">
        <v>1390.28</v>
      </c>
      <c r="G7" s="5712"/>
      <c r="H7" s="45"/>
      <c r="I7" s="45"/>
      <c r="J7" s="45"/>
      <c r="K7" s="45"/>
    </row>
    <row r="8" spans="1:11" ht="15.6" x14ac:dyDescent="0.3">
      <c r="A8" s="778" t="s">
        <v>3009</v>
      </c>
      <c r="B8" s="1307">
        <v>55670.12</v>
      </c>
      <c r="C8" s="1307">
        <v>73289.89</v>
      </c>
      <c r="D8" s="5704">
        <v>88163</v>
      </c>
      <c r="E8" s="5705"/>
      <c r="F8" s="5712">
        <v>48205.98</v>
      </c>
      <c r="G8" s="5712"/>
      <c r="H8" s="45"/>
      <c r="I8" s="45"/>
      <c r="J8" s="45"/>
      <c r="K8" s="45"/>
    </row>
    <row r="9" spans="1:11" ht="54" x14ac:dyDescent="0.35">
      <c r="A9" s="1849" t="s">
        <v>3010</v>
      </c>
      <c r="B9" s="1850">
        <v>1923.08</v>
      </c>
      <c r="C9" s="1850">
        <v>1794.28</v>
      </c>
      <c r="D9" s="5720">
        <v>2013.34</v>
      </c>
      <c r="E9" s="5721"/>
      <c r="F9" s="5713">
        <v>1759.01</v>
      </c>
      <c r="G9" s="5713"/>
      <c r="H9" s="1851"/>
      <c r="I9" s="1851"/>
      <c r="J9" s="1851"/>
      <c r="K9" s="1851"/>
    </row>
    <row r="10" spans="1:11" s="1863" customFormat="1" ht="33.6" customHeight="1" x14ac:dyDescent="0.3">
      <c r="A10" s="1857" t="s">
        <v>2638</v>
      </c>
      <c r="B10" s="1858" t="s">
        <v>3015</v>
      </c>
      <c r="C10" s="1858" t="s">
        <v>3015</v>
      </c>
      <c r="D10" s="5715" t="s">
        <v>3015</v>
      </c>
      <c r="E10" s="5716"/>
      <c r="F10" s="5714" t="s">
        <v>3017</v>
      </c>
      <c r="G10" s="5714"/>
    </row>
    <row r="11" spans="1:11" s="1862" customFormat="1" ht="32.4" customHeight="1" x14ac:dyDescent="0.3">
      <c r="A11" s="1860" t="s">
        <v>3021</v>
      </c>
      <c r="B11" s="1861">
        <v>6235.51</v>
      </c>
      <c r="C11" s="1861">
        <v>6235.51</v>
      </c>
      <c r="D11" s="5708">
        <v>6235.51</v>
      </c>
      <c r="E11" s="5709"/>
      <c r="F11" s="5711">
        <v>4011.12</v>
      </c>
      <c r="G11" s="5711"/>
    </row>
    <row r="12" spans="1:11" s="1098" customFormat="1" ht="26.4" x14ac:dyDescent="0.25">
      <c r="A12" s="1855" t="s">
        <v>3018</v>
      </c>
      <c r="B12" s="1475"/>
      <c r="C12" s="1475"/>
      <c r="D12" s="5717"/>
      <c r="E12" s="5718"/>
      <c r="F12" s="1856" t="s">
        <v>644</v>
      </c>
      <c r="G12" s="1856" t="s">
        <v>643</v>
      </c>
    </row>
    <row r="13" spans="1:11" ht="15.6" x14ac:dyDescent="0.3">
      <c r="A13" s="778" t="s">
        <v>3008</v>
      </c>
      <c r="B13" s="1307">
        <v>1394.9</v>
      </c>
      <c r="C13" s="1307">
        <v>1273.4000000000001</v>
      </c>
      <c r="D13" s="5704">
        <v>1341.02</v>
      </c>
      <c r="E13" s="5705"/>
      <c r="F13" s="1853">
        <v>806.59</v>
      </c>
      <c r="G13" s="778">
        <v>806.59</v>
      </c>
      <c r="H13" s="45"/>
      <c r="I13" s="45"/>
      <c r="J13" s="45"/>
      <c r="K13" s="45"/>
    </row>
    <row r="14" spans="1:11" ht="15.6" x14ac:dyDescent="0.3">
      <c r="A14" s="778" t="s">
        <v>3009</v>
      </c>
      <c r="B14" s="1307">
        <v>55670.12</v>
      </c>
      <c r="C14" s="1307">
        <v>73289.89</v>
      </c>
      <c r="D14" s="5704">
        <v>91163</v>
      </c>
      <c r="E14" s="5705"/>
      <c r="F14" s="1853">
        <v>110460.1</v>
      </c>
      <c r="G14" s="778">
        <v>85317.31</v>
      </c>
      <c r="H14" s="45"/>
      <c r="I14" s="45"/>
      <c r="J14" s="45"/>
      <c r="K14" s="45"/>
    </row>
    <row r="15" spans="1:11" ht="54" x14ac:dyDescent="0.35">
      <c r="A15" s="1849" t="s">
        <v>3010</v>
      </c>
      <c r="B15" s="1850">
        <v>1923.08</v>
      </c>
      <c r="C15" s="1850">
        <v>1794.28</v>
      </c>
      <c r="D15" s="5720">
        <v>2013.34</v>
      </c>
      <c r="E15" s="5721"/>
      <c r="F15" s="1850">
        <v>1626.66</v>
      </c>
      <c r="G15" s="1854">
        <v>1377.58</v>
      </c>
      <c r="H15" s="1851"/>
      <c r="I15" s="1851"/>
      <c r="J15" s="1851"/>
      <c r="K15" s="1851"/>
    </row>
    <row r="16" spans="1:11" s="1859" customFormat="1" ht="33.6" customHeight="1" x14ac:dyDescent="0.3">
      <c r="A16" s="1864" t="s">
        <v>3019</v>
      </c>
      <c r="B16" s="1858" t="s">
        <v>593</v>
      </c>
      <c r="C16" s="1858" t="s">
        <v>593</v>
      </c>
      <c r="D16" s="5706" t="s">
        <v>3099</v>
      </c>
      <c r="E16" s="5707"/>
      <c r="F16" s="5714" t="s">
        <v>3022</v>
      </c>
      <c r="G16" s="5714"/>
      <c r="H16" s="5706" t="s">
        <v>4151</v>
      </c>
      <c r="I16" s="5707"/>
    </row>
    <row r="17" spans="1:11" s="1862" customFormat="1" ht="32.4" customHeight="1" x14ac:dyDescent="0.3">
      <c r="A17" s="1860" t="s">
        <v>3021</v>
      </c>
      <c r="B17" s="1861"/>
      <c r="C17" s="1861"/>
      <c r="D17" s="5708">
        <v>6408</v>
      </c>
      <c r="E17" s="5709"/>
      <c r="F17" s="5711">
        <v>6183.33</v>
      </c>
      <c r="G17" s="5711"/>
      <c r="H17" s="5708"/>
      <c r="I17" s="5709"/>
    </row>
    <row r="18" spans="1:11" s="1098" customFormat="1" ht="26.4" x14ac:dyDescent="0.25">
      <c r="A18" s="1855" t="s">
        <v>3018</v>
      </c>
      <c r="B18" s="1475"/>
      <c r="C18" s="1475"/>
      <c r="D18" s="1856" t="s">
        <v>644</v>
      </c>
      <c r="E18" s="1856" t="s">
        <v>643</v>
      </c>
      <c r="F18" s="1856" t="s">
        <v>644</v>
      </c>
      <c r="G18" s="1856" t="s">
        <v>643</v>
      </c>
      <c r="H18" s="1856" t="s">
        <v>644</v>
      </c>
      <c r="I18" s="1856" t="s">
        <v>643</v>
      </c>
    </row>
    <row r="19" spans="1:11" ht="15.6" x14ac:dyDescent="0.3">
      <c r="A19" s="778" t="s">
        <v>3008</v>
      </c>
      <c r="B19" s="1307"/>
      <c r="C19" s="1307"/>
      <c r="D19" s="1307"/>
      <c r="E19" s="1307"/>
      <c r="F19" s="1853">
        <v>1173.58</v>
      </c>
      <c r="G19" s="1459">
        <v>1111</v>
      </c>
      <c r="H19" s="1307"/>
      <c r="I19" s="1307"/>
      <c r="J19" s="45"/>
      <c r="K19" s="45"/>
    </row>
    <row r="20" spans="1:11" ht="15.6" x14ac:dyDescent="0.3">
      <c r="A20" s="778" t="s">
        <v>3009</v>
      </c>
      <c r="B20" s="1307"/>
      <c r="C20" s="1307"/>
      <c r="D20" s="1307"/>
      <c r="E20" s="1307"/>
      <c r="F20" s="1853">
        <v>152112.18</v>
      </c>
      <c r="G20" s="1308">
        <v>119319.37</v>
      </c>
      <c r="H20" s="1307"/>
      <c r="I20" s="1307"/>
      <c r="J20" s="45"/>
      <c r="K20" s="45"/>
    </row>
    <row r="21" spans="1:11" ht="54" x14ac:dyDescent="0.35">
      <c r="A21" s="1849" t="s">
        <v>3010</v>
      </c>
      <c r="B21" s="1850"/>
      <c r="C21" s="1850"/>
      <c r="D21" s="1865">
        <v>2453.5</v>
      </c>
      <c r="E21" s="1850">
        <v>2446.64</v>
      </c>
      <c r="F21" s="1850">
        <v>2419.3200000000002</v>
      </c>
      <c r="G21" s="1854">
        <v>2078.83</v>
      </c>
      <c r="H21" s="1865">
        <v>2256.23</v>
      </c>
      <c r="I21" s="1850">
        <v>2217.7199999999998</v>
      </c>
      <c r="J21" s="1851"/>
      <c r="K21" s="1851"/>
    </row>
    <row r="22" spans="1:11" ht="18" x14ac:dyDescent="0.35">
      <c r="A22" s="4612"/>
      <c r="B22" s="4613"/>
      <c r="C22" s="4613"/>
      <c r="D22" s="4614"/>
      <c r="E22" s="4613"/>
      <c r="F22" s="4613"/>
      <c r="G22" s="4615"/>
      <c r="H22" s="4614"/>
      <c r="I22" s="4613"/>
      <c r="J22" s="1851"/>
      <c r="K22" s="1851"/>
    </row>
    <row r="23" spans="1:11" ht="18" x14ac:dyDescent="0.35">
      <c r="A23" s="4612"/>
      <c r="B23" s="4613"/>
      <c r="C23" s="4613"/>
      <c r="D23" s="4614"/>
      <c r="E23" s="4613"/>
      <c r="F23" s="4613"/>
      <c r="G23" s="4615"/>
      <c r="H23" s="4614"/>
      <c r="I23" s="4613"/>
      <c r="J23" s="1851"/>
      <c r="K23" s="1851"/>
    </row>
    <row r="24" spans="1:11" ht="18" x14ac:dyDescent="0.35">
      <c r="A24" s="4612"/>
      <c r="B24" s="4613"/>
      <c r="C24" s="4613"/>
      <c r="D24" s="4614"/>
      <c r="E24" s="4613"/>
      <c r="F24" s="4613"/>
      <c r="G24" s="4615"/>
      <c r="H24" s="4614"/>
      <c r="I24" s="4613"/>
      <c r="J24" s="1851"/>
      <c r="K24" s="1851"/>
    </row>
    <row r="25" spans="1:11" ht="18" x14ac:dyDescent="0.35">
      <c r="A25" s="4612"/>
      <c r="B25" s="4613"/>
      <c r="C25" s="4613"/>
      <c r="D25" s="4614"/>
      <c r="E25" s="4613"/>
      <c r="F25" s="4613"/>
      <c r="G25" s="4615"/>
      <c r="H25" s="4614"/>
      <c r="I25" s="4613"/>
      <c r="J25" s="1851"/>
      <c r="K25" s="1851"/>
    </row>
    <row r="26" spans="1:11" ht="18" x14ac:dyDescent="0.35">
      <c r="A26" s="4612"/>
      <c r="B26" s="4613"/>
      <c r="C26" s="4613"/>
      <c r="D26" s="4614"/>
      <c r="E26" s="4613"/>
      <c r="F26" s="4613"/>
      <c r="G26" s="4615"/>
      <c r="H26" s="4614"/>
      <c r="I26" s="4613"/>
      <c r="J26" s="1851"/>
      <c r="K26" s="1851"/>
    </row>
    <row r="27" spans="1:11" ht="18" x14ac:dyDescent="0.35">
      <c r="A27" s="4612"/>
      <c r="B27" s="4613"/>
      <c r="C27" s="4613"/>
      <c r="D27" s="4614"/>
      <c r="E27" s="4613"/>
      <c r="F27" s="4613"/>
      <c r="G27" s="4615"/>
      <c r="H27" s="4614"/>
      <c r="I27" s="4613"/>
      <c r="J27" s="1851"/>
      <c r="K27" s="1851"/>
    </row>
    <row r="29" spans="1:11" ht="46.8" x14ac:dyDescent="0.3">
      <c r="A29" s="1467" t="s">
        <v>3000</v>
      </c>
    </row>
    <row r="30" spans="1:11" ht="15.6" x14ac:dyDescent="0.3">
      <c r="A30" s="5710"/>
      <c r="B30" s="5710"/>
      <c r="C30" s="5710"/>
      <c r="D30" s="5710"/>
      <c r="E30" s="5710"/>
      <c r="F30" s="5710"/>
      <c r="G30" s="5710"/>
      <c r="H30" s="5710"/>
      <c r="I30" s="5710"/>
    </row>
    <row r="31" spans="1:11" s="45" customFormat="1" ht="15.6" x14ac:dyDescent="0.3"/>
    <row r="32" spans="1:11" s="45" customFormat="1" ht="15.6" x14ac:dyDescent="0.3"/>
  </sheetData>
  <mergeCells count="29">
    <mergeCell ref="D15:E15"/>
    <mergeCell ref="D16:E16"/>
    <mergeCell ref="D9:E9"/>
    <mergeCell ref="D8:E8"/>
    <mergeCell ref="D7:E7"/>
    <mergeCell ref="A1:F1"/>
    <mergeCell ref="F3:G3"/>
    <mergeCell ref="F5:G5"/>
    <mergeCell ref="F6:G6"/>
    <mergeCell ref="F7:G7"/>
    <mergeCell ref="D3:E3"/>
    <mergeCell ref="D6:E6"/>
    <mergeCell ref="D5:E5"/>
    <mergeCell ref="H3:I3"/>
    <mergeCell ref="H16:I16"/>
    <mergeCell ref="H17:I17"/>
    <mergeCell ref="A30:I30"/>
    <mergeCell ref="F17:G17"/>
    <mergeCell ref="F8:G8"/>
    <mergeCell ref="F9:G9"/>
    <mergeCell ref="F10:G10"/>
    <mergeCell ref="F11:G11"/>
    <mergeCell ref="F16:G16"/>
    <mergeCell ref="D17:E17"/>
    <mergeCell ref="D10:E10"/>
    <mergeCell ref="D11:E11"/>
    <mergeCell ref="D12:E12"/>
    <mergeCell ref="D13:E13"/>
    <mergeCell ref="D14:E14"/>
  </mergeCells>
  <pageMargins left="0.70866141732283472" right="0.23622047244094491" top="0.74803149606299213" bottom="0.74803149606299213" header="0.31496062992125984" footer="0.31496062992125984"/>
  <pageSetup paperSize="9" scale="81" orientation="portrait" horizontalDpi="0" verticalDpi="0" r:id="rId1"/>
</worksheet>
</file>

<file path=xl/worksheets/sheet8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300-000000000000}">
  <sheetPr codeName="Лист81">
    <pageSetUpPr fitToPage="1"/>
  </sheetPr>
  <dimension ref="A1:J32"/>
  <sheetViews>
    <sheetView workbookViewId="0">
      <selection activeCell="G11" sqref="G11"/>
    </sheetView>
  </sheetViews>
  <sheetFormatPr defaultColWidth="8.88671875" defaultRowHeight="15.6" x14ac:dyDescent="0.3"/>
  <cols>
    <col min="1" max="1" width="19.5546875" style="45" customWidth="1"/>
    <col min="2" max="2" width="11.44140625" style="45" customWidth="1"/>
    <col min="3" max="3" width="11" style="45" customWidth="1"/>
    <col min="4" max="4" width="11.88671875" style="45" customWidth="1"/>
    <col min="5" max="5" width="11.33203125" style="45" customWidth="1"/>
    <col min="6" max="6" width="10.6640625" style="45" customWidth="1"/>
    <col min="7" max="7" width="11.5546875" style="45" customWidth="1"/>
    <col min="8" max="8" width="12.6640625" style="45" customWidth="1"/>
    <col min="9" max="16384" width="8.88671875" style="45"/>
  </cols>
  <sheetData>
    <row r="1" spans="1:10" x14ac:dyDescent="0.3">
      <c r="A1" s="5244"/>
      <c r="B1" s="5244"/>
      <c r="C1" s="5244"/>
      <c r="D1" s="5244"/>
      <c r="E1" s="5244"/>
      <c r="F1" s="5244"/>
      <c r="G1" s="5244"/>
      <c r="H1" s="5244"/>
    </row>
    <row r="3" spans="1:10" x14ac:dyDescent="0.3">
      <c r="H3" s="45" t="s">
        <v>2023</v>
      </c>
    </row>
    <row r="4" spans="1:10" ht="13.95" customHeight="1" x14ac:dyDescent="0.3">
      <c r="A4" s="5697" t="s">
        <v>2999</v>
      </c>
      <c r="B4" s="5725" t="s">
        <v>3382</v>
      </c>
      <c r="C4" s="5725"/>
      <c r="D4" s="5725"/>
      <c r="E4" s="5725" t="s">
        <v>3383</v>
      </c>
      <c r="F4" s="5725"/>
      <c r="G4" s="5725"/>
      <c r="H4" s="5726" t="s">
        <v>3001</v>
      </c>
    </row>
    <row r="5" spans="1:10" x14ac:dyDescent="0.3">
      <c r="A5" s="5701"/>
      <c r="B5" s="5726" t="s">
        <v>2840</v>
      </c>
      <c r="C5" s="5727" t="s">
        <v>2837</v>
      </c>
      <c r="D5" s="5727"/>
      <c r="E5" s="5726" t="s">
        <v>2840</v>
      </c>
      <c r="F5" s="5727" t="s">
        <v>2837</v>
      </c>
      <c r="G5" s="5727"/>
      <c r="H5" s="5726"/>
    </row>
    <row r="6" spans="1:10" ht="46.8" x14ac:dyDescent="0.3">
      <c r="A6" s="5701"/>
      <c r="B6" s="5726"/>
      <c r="C6" s="1844" t="s">
        <v>2838</v>
      </c>
      <c r="D6" s="1844" t="s">
        <v>2839</v>
      </c>
      <c r="E6" s="5726"/>
      <c r="F6" s="1844" t="s">
        <v>2838</v>
      </c>
      <c r="G6" s="1844" t="s">
        <v>2839</v>
      </c>
      <c r="H6" s="5726"/>
    </row>
    <row r="7" spans="1:10" x14ac:dyDescent="0.3">
      <c r="A7" s="5698"/>
      <c r="B7" s="1491" t="s">
        <v>74</v>
      </c>
      <c r="C7" s="1491" t="s">
        <v>74</v>
      </c>
      <c r="D7" s="1491" t="s">
        <v>2841</v>
      </c>
      <c r="E7" s="1491" t="s">
        <v>74</v>
      </c>
      <c r="F7" s="1491" t="s">
        <v>74</v>
      </c>
      <c r="G7" s="1491" t="s">
        <v>2841</v>
      </c>
      <c r="H7" s="1307" t="s">
        <v>4</v>
      </c>
    </row>
    <row r="8" spans="1:10" ht="17.399999999999999" x14ac:dyDescent="0.3">
      <c r="A8" s="5733" t="s">
        <v>3003</v>
      </c>
      <c r="B8" s="5734"/>
      <c r="C8" s="5734"/>
      <c r="D8" s="5734"/>
      <c r="E8" s="5734"/>
      <c r="F8" s="5734"/>
      <c r="G8" s="5734"/>
      <c r="H8" s="5735"/>
    </row>
    <row r="9" spans="1:10" s="1847" customFormat="1" ht="46.8" x14ac:dyDescent="0.3">
      <c r="A9" s="1846" t="s">
        <v>3002</v>
      </c>
      <c r="B9" s="5728">
        <v>7420</v>
      </c>
      <c r="C9" s="5728"/>
      <c r="D9" s="5728"/>
      <c r="E9" s="5729">
        <f>4011.12*1.2</f>
        <v>4813.3440000000001</v>
      </c>
      <c r="F9" s="5729"/>
      <c r="G9" s="5729"/>
      <c r="H9" s="2080">
        <f>B9/E9-1</f>
        <v>0.54154783036491883</v>
      </c>
      <c r="J9" s="1847">
        <f>B9/E9</f>
        <v>1.5415478303649188</v>
      </c>
    </row>
    <row r="10" spans="1:10" s="1124" customFormat="1" ht="17.399999999999999" customHeight="1" x14ac:dyDescent="0.3">
      <c r="A10" s="5730" t="s">
        <v>3004</v>
      </c>
      <c r="B10" s="5731"/>
      <c r="C10" s="5731"/>
      <c r="D10" s="5731"/>
      <c r="E10" s="5731"/>
      <c r="F10" s="5731"/>
      <c r="G10" s="5731"/>
      <c r="H10" s="5732"/>
    </row>
    <row r="11" spans="1:10" x14ac:dyDescent="0.3">
      <c r="A11" s="1763" t="s">
        <v>2659</v>
      </c>
      <c r="B11" s="1848">
        <f>'сведено-економ'!B178</f>
        <v>2749.9305105178664</v>
      </c>
      <c r="C11" s="1834">
        <f>'сведено-економ'!C178</f>
        <v>1371.9</v>
      </c>
      <c r="D11" s="1834">
        <f>'сведено-економ'!D178</f>
        <v>158564.15999999997</v>
      </c>
      <c r="E11" s="1848">
        <f>'сведено-економ'!E178</f>
        <v>1626.6599999999999</v>
      </c>
      <c r="F11" s="1834">
        <f>'сведено-економ'!F178</f>
        <v>806.59000000000015</v>
      </c>
      <c r="G11" s="1834">
        <f>'сведено-економ'!G178</f>
        <v>110460.10000000002</v>
      </c>
      <c r="H11" s="1845">
        <f>'сведено-економ'!H178</f>
        <v>0.69053797998221311</v>
      </c>
    </row>
    <row r="12" spans="1:10" s="1124" customFormat="1" ht="17.399999999999999" customHeight="1" x14ac:dyDescent="0.3">
      <c r="A12" s="5730" t="s">
        <v>3005</v>
      </c>
      <c r="B12" s="5731"/>
      <c r="C12" s="5731"/>
      <c r="D12" s="5731"/>
      <c r="E12" s="5731"/>
      <c r="F12" s="5731"/>
      <c r="G12" s="5731"/>
      <c r="H12" s="5732"/>
    </row>
    <row r="13" spans="1:10" x14ac:dyDescent="0.3">
      <c r="A13" s="1763" t="s">
        <v>2659</v>
      </c>
      <c r="B13" s="1848">
        <f>'сведено-економ'!B184</f>
        <v>2272.160510517866</v>
      </c>
      <c r="C13" s="1834">
        <f>'сведено-економ'!C184</f>
        <v>1227.48</v>
      </c>
      <c r="D13" s="1834">
        <f>'сведено-економ'!D184</f>
        <v>120784.82</v>
      </c>
      <c r="E13" s="1848">
        <f>'сведено-економ'!E184</f>
        <v>1377.58</v>
      </c>
      <c r="F13" s="1834">
        <f>'сведено-економ'!F184</f>
        <v>751.56000000000006</v>
      </c>
      <c r="G13" s="1834">
        <f>'сведено-економ'!G184</f>
        <v>85317.310000000012</v>
      </c>
      <c r="H13" s="1845">
        <f>'сведено-економ'!H184</f>
        <v>0.64938552426564411</v>
      </c>
    </row>
    <row r="14" spans="1:10" x14ac:dyDescent="0.3">
      <c r="A14" s="1467"/>
      <c r="C14" s="1499"/>
    </row>
    <row r="15" spans="1:10" ht="17.399999999999999" x14ac:dyDescent="0.3">
      <c r="A15" s="5733" t="s">
        <v>2738</v>
      </c>
      <c r="B15" s="5734"/>
      <c r="C15" s="5734"/>
      <c r="D15" s="5734"/>
      <c r="E15" s="5734"/>
      <c r="F15" s="5734"/>
      <c r="G15" s="5734"/>
      <c r="H15" s="5735"/>
    </row>
    <row r="16" spans="1:10" s="1847" customFormat="1" ht="46.8" x14ac:dyDescent="0.3">
      <c r="A16" s="1846" t="s">
        <v>3002</v>
      </c>
      <c r="B16" s="5728">
        <f>13659.63*1.2</f>
        <v>16391.555999999997</v>
      </c>
      <c r="C16" s="5728"/>
      <c r="D16" s="5728"/>
      <c r="E16" s="5729">
        <f>4011.12*1.2</f>
        <v>4813.3440000000001</v>
      </c>
      <c r="F16" s="5729"/>
      <c r="G16" s="5729"/>
      <c r="H16" s="2080">
        <f>B16/E16-1</f>
        <v>2.4054403757553993</v>
      </c>
      <c r="J16" s="1847">
        <f>B16/E16</f>
        <v>3.4054403757553993</v>
      </c>
    </row>
    <row r="17" spans="1:10" s="1847" customFormat="1" ht="16.2" x14ac:dyDescent="0.3">
      <c r="A17" s="5730" t="s">
        <v>3004</v>
      </c>
      <c r="B17" s="5731"/>
      <c r="C17" s="5731"/>
      <c r="D17" s="5731"/>
      <c r="E17" s="5731"/>
      <c r="F17" s="5731"/>
      <c r="G17" s="5731"/>
      <c r="H17" s="5732"/>
    </row>
    <row r="18" spans="1:10" x14ac:dyDescent="0.3">
      <c r="A18" s="1763" t="s">
        <v>2659</v>
      </c>
      <c r="B18" s="1848">
        <f>'сведено-економ'!B191</f>
        <v>4124.0505105178663</v>
      </c>
      <c r="C18" s="1834">
        <f>'сведено-економ'!C191</f>
        <v>2556.3100000000004</v>
      </c>
      <c r="D18" s="1834">
        <f>'сведено-економ'!D191</f>
        <v>180996.27999999997</v>
      </c>
      <c r="E18" s="1848">
        <f>'сведено-економ'!E191</f>
        <v>4647.17</v>
      </c>
      <c r="F18" s="1834">
        <f>'сведено-економ'!F191</f>
        <v>3105.91</v>
      </c>
      <c r="G18" s="1834">
        <f>'сведено-економ'!G191</f>
        <v>182299.31</v>
      </c>
      <c r="H18" s="1845">
        <f>B18/E18-1</f>
        <v>-0.11256732365765265</v>
      </c>
    </row>
    <row r="19" spans="1:10" ht="15.6" customHeight="1" x14ac:dyDescent="0.3">
      <c r="A19" s="5730" t="s">
        <v>3005</v>
      </c>
      <c r="B19" s="5731"/>
      <c r="C19" s="5731"/>
      <c r="D19" s="5731"/>
      <c r="E19" s="5731"/>
      <c r="F19" s="5731"/>
      <c r="G19" s="5731"/>
      <c r="H19" s="5732"/>
    </row>
    <row r="20" spans="1:10" x14ac:dyDescent="0.3">
      <c r="A20" s="1763" t="s">
        <v>2659</v>
      </c>
      <c r="B20" s="1848">
        <f>'сведено-економ'!B197</f>
        <v>3629.4805105178662</v>
      </c>
      <c r="C20" s="1834">
        <f>'сведено-економ'!C197</f>
        <v>2411.8900000000003</v>
      </c>
      <c r="D20" s="1834">
        <f>'сведено-економ'!D197</f>
        <v>141364.18</v>
      </c>
      <c r="E20" s="1848">
        <f>'сведено-економ'!E197</f>
        <v>4317.9172854247417</v>
      </c>
      <c r="F20" s="1834">
        <f>'сведено-економ'!F197</f>
        <v>3028.8516298396244</v>
      </c>
      <c r="G20" s="1834">
        <f>'сведено-економ'!G197</f>
        <v>153233.95770520929</v>
      </c>
      <c r="H20" s="1845">
        <f>B20/E20-1</f>
        <v>-0.15943723082207117</v>
      </c>
    </row>
    <row r="21" spans="1:10" x14ac:dyDescent="0.3">
      <c r="A21" s="1467"/>
      <c r="C21" s="1499"/>
    </row>
    <row r="22" spans="1:10" x14ac:dyDescent="0.3">
      <c r="A22" s="5722" t="s">
        <v>2854</v>
      </c>
      <c r="B22" s="5723"/>
      <c r="C22" s="5723"/>
      <c r="D22" s="5723"/>
      <c r="E22" s="5723"/>
      <c r="F22" s="5723"/>
      <c r="G22" s="5723"/>
      <c r="H22" s="5724"/>
    </row>
    <row r="23" spans="1:10" s="1847" customFormat="1" ht="46.8" x14ac:dyDescent="0.3">
      <c r="A23" s="1846" t="s">
        <v>3002</v>
      </c>
      <c r="B23" s="5728">
        <v>24933.69</v>
      </c>
      <c r="C23" s="5728"/>
      <c r="D23" s="5728"/>
      <c r="E23" s="5729">
        <f>4011.12*1.2</f>
        <v>4813.3440000000001</v>
      </c>
      <c r="F23" s="5729"/>
      <c r="G23" s="5729"/>
      <c r="H23" s="2080">
        <f>B23/E23-1</f>
        <v>4.1801180218991201</v>
      </c>
      <c r="J23" s="1847">
        <f>B23/E23</f>
        <v>5.1801180218991201</v>
      </c>
    </row>
    <row r="24" spans="1:10" x14ac:dyDescent="0.3">
      <c r="A24" s="1763" t="s">
        <v>2659</v>
      </c>
      <c r="B24" s="1848">
        <f>'сведено-економ'!B204</f>
        <v>4124.0505105178663</v>
      </c>
      <c r="C24" s="1834">
        <f>'сведено-економ'!C204</f>
        <v>2556.3100000000004</v>
      </c>
      <c r="D24" s="1834">
        <f>'сведено-економ'!D204</f>
        <v>180996.27999999997</v>
      </c>
      <c r="E24" s="1848">
        <f>'сведено-економ'!E204</f>
        <v>7186.8507459837037</v>
      </c>
      <c r="F24" s="1834">
        <f>'сведено-економ'!F204</f>
        <v>5298.9659970600087</v>
      </c>
      <c r="G24" s="1834">
        <f>'сведено-економ'!G204</f>
        <v>223466.58651318116</v>
      </c>
      <c r="H24" s="1845">
        <f>B24/E24-1</f>
        <v>-0.42616722452145694</v>
      </c>
    </row>
    <row r="25" spans="1:10" x14ac:dyDescent="0.3">
      <c r="A25" s="5722" t="s">
        <v>2855</v>
      </c>
      <c r="B25" s="5723"/>
      <c r="C25" s="5723"/>
      <c r="D25" s="5723"/>
      <c r="E25" s="5723"/>
      <c r="F25" s="5723"/>
      <c r="G25" s="5723"/>
      <c r="H25" s="5724"/>
    </row>
    <row r="26" spans="1:10" x14ac:dyDescent="0.3">
      <c r="A26" s="1763" t="s">
        <v>2659</v>
      </c>
      <c r="B26" s="1848">
        <f>'сведено-економ'!B210</f>
        <v>3629.4805105178662</v>
      </c>
      <c r="C26" s="1834">
        <f>'сведено-економ'!C210</f>
        <v>2411.8900000000003</v>
      </c>
      <c r="D26" s="1834">
        <f>'сведено-економ'!D210</f>
        <v>141364.18</v>
      </c>
      <c r="E26" s="1848">
        <f>'сведено-економ'!E210</f>
        <v>6908.176174673682</v>
      </c>
      <c r="F26" s="1834">
        <f>'сведено-економ'!F210</f>
        <v>5287.1808323422274</v>
      </c>
      <c r="G26" s="1834">
        <f>'сведено-економ'!G210</f>
        <v>192561.29430364288</v>
      </c>
      <c r="H26" s="1845">
        <f>B26/E26-1</f>
        <v>-0.47461089312921145</v>
      </c>
    </row>
    <row r="27" spans="1:10" x14ac:dyDescent="0.3">
      <c r="A27" s="1467"/>
      <c r="C27" s="1499"/>
    </row>
    <row r="28" spans="1:10" x14ac:dyDescent="0.3">
      <c r="A28" s="5722" t="s">
        <v>3006</v>
      </c>
      <c r="B28" s="5723"/>
      <c r="C28" s="5723"/>
      <c r="D28" s="5723"/>
      <c r="E28" s="5723"/>
      <c r="F28" s="5723"/>
      <c r="G28" s="5723"/>
      <c r="H28" s="5724"/>
    </row>
    <row r="29" spans="1:10" s="1847" customFormat="1" ht="46.8" x14ac:dyDescent="0.3">
      <c r="A29" s="1846" t="s">
        <v>3002</v>
      </c>
      <c r="B29" s="5728">
        <f>B16</f>
        <v>16391.555999999997</v>
      </c>
      <c r="C29" s="5728"/>
      <c r="D29" s="5728"/>
      <c r="E29" s="5729">
        <f>4011.12*1.2</f>
        <v>4813.3440000000001</v>
      </c>
      <c r="F29" s="5729"/>
      <c r="G29" s="5729"/>
      <c r="H29" s="2080">
        <f>B29/E29-1</f>
        <v>2.4054403757553993</v>
      </c>
    </row>
    <row r="30" spans="1:10" x14ac:dyDescent="0.3">
      <c r="A30" s="1763" t="s">
        <v>2659</v>
      </c>
      <c r="B30" s="1848">
        <f>'сведено-економ'!B217</f>
        <v>3629.4805105178666</v>
      </c>
      <c r="C30" s="1834">
        <f>'сведено-економ'!C217</f>
        <v>2411.8900000000003</v>
      </c>
      <c r="D30" s="1834">
        <f>'сведено-економ'!D217</f>
        <v>141364.18</v>
      </c>
      <c r="E30" s="1848">
        <f>'сведено-економ'!E217</f>
        <v>4685.5284447071936</v>
      </c>
      <c r="F30" s="1834">
        <f>'сведено-економ'!F217</f>
        <v>3354.2316298396249</v>
      </c>
      <c r="G30" s="1834">
        <f>'сведено-економ'!G217</f>
        <v>158091.12983587469</v>
      </c>
      <c r="H30" s="1845">
        <f>B30/E30-1</f>
        <v>-0.22538502255433879</v>
      </c>
    </row>
    <row r="31" spans="1:10" x14ac:dyDescent="0.3">
      <c r="A31" s="1467"/>
      <c r="C31" s="1499"/>
    </row>
    <row r="32" spans="1:10" ht="62.4" customHeight="1" x14ac:dyDescent="0.3">
      <c r="A32" s="4928" t="s">
        <v>3000</v>
      </c>
      <c r="B32" s="4928"/>
      <c r="C32" s="4928"/>
      <c r="D32" s="4928"/>
    </row>
  </sheetData>
  <mergeCells count="27">
    <mergeCell ref="A1:H1"/>
    <mergeCell ref="A10:H10"/>
    <mergeCell ref="A17:H17"/>
    <mergeCell ref="A28:H28"/>
    <mergeCell ref="B9:D9"/>
    <mergeCell ref="E9:G9"/>
    <mergeCell ref="B16:D16"/>
    <mergeCell ref="E16:G16"/>
    <mergeCell ref="B23:D23"/>
    <mergeCell ref="E23:G23"/>
    <mergeCell ref="A8:H8"/>
    <mergeCell ref="A12:H12"/>
    <mergeCell ref="A15:H15"/>
    <mergeCell ref="A19:H19"/>
    <mergeCell ref="A32:D32"/>
    <mergeCell ref="A22:H22"/>
    <mergeCell ref="A25:H25"/>
    <mergeCell ref="A4:A7"/>
    <mergeCell ref="B4:D4"/>
    <mergeCell ref="E4:G4"/>
    <mergeCell ref="H4:H6"/>
    <mergeCell ref="B5:B6"/>
    <mergeCell ref="C5:D5"/>
    <mergeCell ref="E5:E6"/>
    <mergeCell ref="F5:G5"/>
    <mergeCell ref="B29:D29"/>
    <mergeCell ref="E29:G29"/>
  </mergeCells>
  <pageMargins left="0.70866141732283472" right="0.18" top="0.74803149606299213" bottom="0.74803149606299213" header="0.31496062992125984" footer="0.31496062992125984"/>
  <pageSetup paperSize="9" scale="93" orientation="portrait" horizontalDpi="0" verticalDpi="0" r:id="rId1"/>
</worksheet>
</file>

<file path=xl/worksheets/sheet8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400-000000000000}">
  <dimension ref="A1"/>
  <sheetViews>
    <sheetView workbookViewId="0"/>
  </sheetViews>
  <sheetFormatPr defaultRowHeight="14.4" x14ac:dyDescent="0.3"/>
  <sheetData/>
  <pageMargins left="0.7" right="0.7" top="0.75" bottom="0.75" header="0.3" footer="0.3"/>
</worksheet>
</file>

<file path=xl/worksheets/sheet8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500-000000000000}">
  <sheetPr codeName="Лист82">
    <pageSetUpPr fitToPage="1"/>
  </sheetPr>
  <dimension ref="A1:L219"/>
  <sheetViews>
    <sheetView topLeftCell="A21" zoomScale="150" zoomScaleNormal="150" workbookViewId="0">
      <pane xSplit="1" topLeftCell="B1" activePane="topRight" state="frozen"/>
      <selection pane="topRight" activeCell="A219" sqref="A219"/>
    </sheetView>
  </sheetViews>
  <sheetFormatPr defaultColWidth="8.88671875" defaultRowHeight="13.8" x14ac:dyDescent="0.25"/>
  <cols>
    <col min="1" max="1" width="20" style="100" customWidth="1"/>
    <col min="2" max="2" width="9" style="10" customWidth="1"/>
    <col min="3" max="3" width="11" style="1121" customWidth="1"/>
    <col min="4" max="4" width="11.33203125" style="10" customWidth="1"/>
    <col min="5" max="5" width="11" style="10" customWidth="1"/>
    <col min="6" max="6" width="11.109375" style="10" customWidth="1"/>
    <col min="7" max="7" width="11" style="10" customWidth="1"/>
    <col min="8" max="8" width="10.33203125" style="10" bestFit="1" customWidth="1"/>
    <col min="9" max="9" width="10.5546875" style="10" customWidth="1"/>
    <col min="10" max="10" width="10.109375" style="10" customWidth="1"/>
    <col min="11" max="16384" width="8.88671875" style="10"/>
  </cols>
  <sheetData>
    <row r="1" spans="1:12" x14ac:dyDescent="0.25">
      <c r="A1" s="100" t="s">
        <v>3122</v>
      </c>
      <c r="C1" s="1121">
        <v>4100.5928551737597</v>
      </c>
      <c r="D1" s="10">
        <v>255.64631342292705</v>
      </c>
      <c r="E1" s="10">
        <v>760.12012130471101</v>
      </c>
      <c r="F1" s="10">
        <v>18.63303712012496</v>
      </c>
      <c r="G1" s="10">
        <v>5134.9923270215222</v>
      </c>
      <c r="J1" s="2102"/>
      <c r="K1" s="2103"/>
    </row>
    <row r="2" spans="1:12" x14ac:dyDescent="0.25">
      <c r="A2" s="100" t="s">
        <v>3420</v>
      </c>
      <c r="J2" s="3075"/>
      <c r="K2" s="3076"/>
    </row>
    <row r="3" spans="1:12" x14ac:dyDescent="0.25">
      <c r="A3" s="100" t="s">
        <v>3421</v>
      </c>
      <c r="J3" s="3075">
        <f>G10</f>
        <v>217294.50821288631</v>
      </c>
      <c r="K3" s="3076">
        <f t="shared" ref="K3:K8" si="0">J3/J$8</f>
        <v>0.95643074195182021</v>
      </c>
    </row>
    <row r="4" spans="1:12" x14ac:dyDescent="0.25">
      <c r="A4" s="100" t="s">
        <v>3123</v>
      </c>
      <c r="C4" s="1121">
        <f>(C11-C3)*1.2</f>
        <v>8642.1041922902823</v>
      </c>
      <c r="D4" s="1121">
        <f>(D11-D1)*1.2</f>
        <v>502.63056641952608</v>
      </c>
      <c r="E4" s="1121">
        <f>(E11-E1)*1.2</f>
        <v>1405.5785367265846</v>
      </c>
      <c r="F4" s="1121">
        <f>(F11-F1)*1.2</f>
        <v>86.771450473255044</v>
      </c>
      <c r="G4" s="1121">
        <f>(G11-G1)*1.2</f>
        <v>5716.3733197011361</v>
      </c>
      <c r="J4" s="2104">
        <f>G14</f>
        <v>8116.8821432867589</v>
      </c>
      <c r="K4" s="2105">
        <f t="shared" si="0"/>
        <v>3.5726791599507389E-2</v>
      </c>
    </row>
    <row r="5" spans="1:12" x14ac:dyDescent="0.25">
      <c r="J5" s="2104">
        <f>G12+G13</f>
        <v>1781.7546168190443</v>
      </c>
      <c r="K5" s="2105">
        <f t="shared" si="0"/>
        <v>7.8424664486723521E-3</v>
      </c>
    </row>
    <row r="6" spans="1:12" s="693" customFormat="1" x14ac:dyDescent="0.25">
      <c r="A6" s="2106"/>
      <c r="B6" s="71"/>
      <c r="C6" s="2107" t="s">
        <v>1433</v>
      </c>
      <c r="D6" s="71" t="s">
        <v>2248</v>
      </c>
      <c r="E6" s="71" t="s">
        <v>2249</v>
      </c>
      <c r="F6" s="71" t="s">
        <v>1435</v>
      </c>
      <c r="G6" s="71" t="s">
        <v>2250</v>
      </c>
      <c r="J6" s="2108">
        <f>G11</f>
        <v>9898.6367601058028</v>
      </c>
      <c r="K6" s="2105">
        <f t="shared" si="0"/>
        <v>4.3569258048179738E-2</v>
      </c>
    </row>
    <row r="7" spans="1:12" x14ac:dyDescent="0.25">
      <c r="A7" s="23" t="s">
        <v>2382</v>
      </c>
      <c r="B7" s="12" t="s">
        <v>40</v>
      </c>
      <c r="C7" s="2109">
        <f>Виробництво_2ст!F10+'ТЕ_2ст_тариф_з ЦТП'!G67</f>
        <v>143860.61850577858</v>
      </c>
      <c r="D7" s="789">
        <f>Транспортування_1ст!G12</f>
        <v>14282.776766384053</v>
      </c>
      <c r="E7" s="789">
        <f>Транспортування_1ст!H12</f>
        <v>42239.449273862476</v>
      </c>
      <c r="F7" s="789">
        <f>Постачання_2ст!F9</f>
        <v>1816.6486399715736</v>
      </c>
      <c r="G7" s="789">
        <f t="shared" ref="G7:G16" si="1">SUM(C7:F7)</f>
        <v>202199.49318599666</v>
      </c>
      <c r="I7" s="729"/>
      <c r="J7" s="2104">
        <f>G15</f>
        <v>0</v>
      </c>
      <c r="K7" s="2105">
        <f t="shared" si="0"/>
        <v>0</v>
      </c>
    </row>
    <row r="8" spans="1:12" ht="14.4" thickBot="1" x14ac:dyDescent="0.3">
      <c r="A8" s="23" t="s">
        <v>1009</v>
      </c>
      <c r="B8" s="12" t="s">
        <v>40</v>
      </c>
      <c r="C8" s="2109">
        <f>'БАЗИ РОЗПОДІЛУ_2ст'!F13</f>
        <v>5210.7535416702249</v>
      </c>
      <c r="D8" s="789">
        <f>'БАЗИ РОЗПОДІЛУ_2ст'!H13</f>
        <v>424.68631957159039</v>
      </c>
      <c r="E8" s="789">
        <f>'БАЗИ РОЗПОДІЛУ_2ст'!I13</f>
        <v>1111.4088251282831</v>
      </c>
      <c r="F8" s="789">
        <f>'БАЗИ РОЗПОДІЛУ_2ст'!J13</f>
        <v>65.800553570691349</v>
      </c>
      <c r="G8" s="789">
        <f t="shared" si="1"/>
        <v>6812.6492399407898</v>
      </c>
      <c r="I8" s="729"/>
      <c r="J8" s="2110">
        <f>G16</f>
        <v>227193.14497299213</v>
      </c>
      <c r="K8" s="2111">
        <f t="shared" si="0"/>
        <v>1</v>
      </c>
    </row>
    <row r="9" spans="1:12" x14ac:dyDescent="0.25">
      <c r="A9" s="23" t="s">
        <v>2660</v>
      </c>
      <c r="B9" s="12" t="s">
        <v>40</v>
      </c>
      <c r="C9" s="2109">
        <f>'БАЗИ РОЗПОДІЛУ_2ст'!F20</f>
        <v>6334.8875507536141</v>
      </c>
      <c r="D9" s="789">
        <f>'БАЗИ РОЗПОДІЛУ_2ст'!H20</f>
        <v>516.30537835168718</v>
      </c>
      <c r="E9" s="789">
        <f>'БАЗИ РОЗПОДІЛУ_2ст'!I20</f>
        <v>1351.176921686857</v>
      </c>
      <c r="F9" s="789">
        <f>'БАЗИ РОЗПОДІЛУ_2ст'!J20</f>
        <v>79.995936156684493</v>
      </c>
      <c r="G9" s="789">
        <f t="shared" si="1"/>
        <v>8282.3657869488434</v>
      </c>
      <c r="I9" s="729"/>
    </row>
    <row r="10" spans="1:12" s="15" customFormat="1" x14ac:dyDescent="0.25">
      <c r="A10" s="2112" t="s">
        <v>2442</v>
      </c>
      <c r="B10" s="1238" t="s">
        <v>40</v>
      </c>
      <c r="C10" s="2113">
        <f>SUM(C7:C9)</f>
        <v>155406.25959820242</v>
      </c>
      <c r="D10" s="1292">
        <f>SUM(D7:D9)</f>
        <v>15223.768464307332</v>
      </c>
      <c r="E10" s="1292">
        <f>SUM(E7:E9)</f>
        <v>44702.035020677613</v>
      </c>
      <c r="F10" s="1292">
        <f>SUM(F7:F9)</f>
        <v>1962.4451296989496</v>
      </c>
      <c r="G10" s="1292">
        <f t="shared" si="1"/>
        <v>217294.50821288631</v>
      </c>
      <c r="H10" s="2114">
        <f>'КОНТРОЛЬ 1'!N12</f>
        <v>217294.50821288623</v>
      </c>
      <c r="I10" s="1622"/>
      <c r="J10" s="2114">
        <f>C10-I10</f>
        <v>155406.25959820242</v>
      </c>
      <c r="K10" s="15" t="s">
        <v>2262</v>
      </c>
    </row>
    <row r="11" spans="1:12" x14ac:dyDescent="0.25">
      <c r="A11" s="23" t="s">
        <v>2661</v>
      </c>
      <c r="B11" s="12" t="s">
        <v>40</v>
      </c>
      <c r="C11" s="789">
        <f>SUM(C12:C14)</f>
        <v>7201.7534935752356</v>
      </c>
      <c r="D11" s="789">
        <f>SUM(D12:D14)</f>
        <v>674.50511877253211</v>
      </c>
      <c r="E11" s="789">
        <f>SUM(E12:E14)</f>
        <v>1931.4355685768649</v>
      </c>
      <c r="F11" s="789">
        <f>SUM(F12:F14)</f>
        <v>90.942579181170828</v>
      </c>
      <c r="G11" s="789">
        <f t="shared" si="1"/>
        <v>9898.6367601058028</v>
      </c>
      <c r="I11" s="729"/>
      <c r="J11" s="2115">
        <f>C11-I11</f>
        <v>7201.7534935752356</v>
      </c>
    </row>
    <row r="12" spans="1:12" x14ac:dyDescent="0.25">
      <c r="A12" s="2116" t="s">
        <v>2662</v>
      </c>
      <c r="B12" s="12" t="s">
        <v>40</v>
      </c>
      <c r="C12" s="2109">
        <f>'ТЕ_2ст_тариф_з ЦТП'!E71</f>
        <v>1296.3156288435421</v>
      </c>
      <c r="D12" s="789">
        <f>'ТЕ_2ст_тариф_з ЦТП'!E115</f>
        <v>121.41092137905571</v>
      </c>
      <c r="E12" s="789">
        <f>'ТЕ_2ст_тариф_без ЦТП'!E115</f>
        <v>347.65840234383563</v>
      </c>
      <c r="F12" s="789">
        <f>'ТЕ_2ст_тариф_без ЦТП'!E154</f>
        <v>16.369664252610747</v>
      </c>
      <c r="G12" s="789">
        <f>F12+E12+D12+C12</f>
        <v>1781.7546168190443</v>
      </c>
      <c r="I12" s="729"/>
      <c r="J12" s="2115"/>
    </row>
    <row r="13" spans="1:12" x14ac:dyDescent="0.25">
      <c r="A13" s="2116" t="s">
        <v>2663</v>
      </c>
      <c r="B13" s="12" t="s">
        <v>40</v>
      </c>
      <c r="C13" s="2109">
        <f>'ТЕ_2ст_тариф_з ЦТП'!E72</f>
        <v>0</v>
      </c>
      <c r="D13" s="789">
        <f>'ТЕ_2ст_тариф_з ЦТП'!E116</f>
        <v>0</v>
      </c>
      <c r="E13" s="789">
        <f>'ТЕ_2ст_тариф_без ЦТП'!E116</f>
        <v>0</v>
      </c>
      <c r="F13" s="789">
        <f>'ТЕ_2ст_тариф_без ЦТП'!E155</f>
        <v>0</v>
      </c>
      <c r="G13" s="789">
        <f>F13+E13+D13+C13</f>
        <v>0</v>
      </c>
      <c r="I13" s="729"/>
      <c r="J13" s="2115"/>
    </row>
    <row r="14" spans="1:12" x14ac:dyDescent="0.25">
      <c r="A14" s="2116" t="s">
        <v>2310</v>
      </c>
      <c r="B14" s="12" t="s">
        <v>40</v>
      </c>
      <c r="C14" s="2109">
        <f>'ТЕ_2ст_тариф_з ЦТП'!E74+'ТЕ_2ст_тариф_з ЦТП'!E75</f>
        <v>5905.4378647316935</v>
      </c>
      <c r="D14" s="789">
        <f>'ТЕ_2ст_тариф_з ЦТП'!E119</f>
        <v>553.09419739347641</v>
      </c>
      <c r="E14" s="789">
        <f>'ТЕ_2ст_тариф_без ЦТП'!E119</f>
        <v>1583.7771662330292</v>
      </c>
      <c r="F14" s="789">
        <f>'ТЕ_2ст_тариф_без ЦТП'!E158</f>
        <v>74.572914928560081</v>
      </c>
      <c r="G14" s="789">
        <f>F14+E14+D14+C14</f>
        <v>8116.8821432867589</v>
      </c>
      <c r="H14" s="2115"/>
      <c r="I14" s="729"/>
      <c r="J14" s="2115"/>
    </row>
    <row r="15" spans="1:12" ht="24" customHeight="1" x14ac:dyDescent="0.25">
      <c r="A15" s="2117" t="str">
        <f>'ТЕ_2ст_тариф_з ЦТП'!C69</f>
        <v>Витрати на відшкодування втрат, коригування витрат</v>
      </c>
      <c r="B15" s="12" t="s">
        <v>40</v>
      </c>
      <c r="C15" s="2109">
        <f>'ТЕ_2ст_тариф_з ЦТП'!E69</f>
        <v>0</v>
      </c>
      <c r="D15" s="789"/>
      <c r="E15" s="789"/>
      <c r="F15" s="789"/>
      <c r="G15" s="789">
        <f>F15+E15+D15+C15</f>
        <v>0</v>
      </c>
      <c r="H15" s="2115"/>
      <c r="I15" s="729"/>
      <c r="J15" s="2115"/>
    </row>
    <row r="16" spans="1:12" s="15" customFormat="1" ht="27.6" x14ac:dyDescent="0.25">
      <c r="A16" s="2112" t="s">
        <v>2664</v>
      </c>
      <c r="B16" s="1238"/>
      <c r="C16" s="2113">
        <f>C10+C11+C15</f>
        <v>162608.01309177766</v>
      </c>
      <c r="D16" s="1292">
        <f>D10+D11</f>
        <v>15898.273583079863</v>
      </c>
      <c r="E16" s="1292">
        <f>E10+E11</f>
        <v>46633.470589254481</v>
      </c>
      <c r="F16" s="1292">
        <f>F10+F11</f>
        <v>2053.3877088801205</v>
      </c>
      <c r="G16" s="1292">
        <f t="shared" si="1"/>
        <v>227193.14497299213</v>
      </c>
      <c r="H16" s="2118">
        <f>G10+G11+G15</f>
        <v>227193.14497299213</v>
      </c>
      <c r="I16" s="1622">
        <f>'ТЕ_2ст_тариф_з ЦТП'!E76</f>
        <v>162608.01309177774</v>
      </c>
      <c r="J16" s="2114">
        <f>C16-I16</f>
        <v>0</v>
      </c>
      <c r="L16" s="15">
        <v>170</v>
      </c>
    </row>
    <row r="17" spans="1:9" hidden="1" x14ac:dyDescent="0.25">
      <c r="A17" s="1122" t="s">
        <v>2004</v>
      </c>
      <c r="B17" s="1121"/>
    </row>
    <row r="18" spans="1:9" hidden="1" x14ac:dyDescent="0.25">
      <c r="A18" s="23" t="s">
        <v>2247</v>
      </c>
      <c r="C18" s="2119">
        <f>C11-'ТЕ_2ст_тариф_без ЦТП'!E70</f>
        <v>0</v>
      </c>
    </row>
    <row r="19" spans="1:9" hidden="1" x14ac:dyDescent="0.25">
      <c r="A19" s="23" t="s">
        <v>1433</v>
      </c>
      <c r="C19" s="2119">
        <f>C16-'ТЕ_2ст_тариф_без ЦТП'!E76</f>
        <v>0</v>
      </c>
    </row>
    <row r="20" spans="1:9" ht="14.4" customHeight="1" x14ac:dyDescent="0.25">
      <c r="A20" s="5743" t="s">
        <v>3422</v>
      </c>
      <c r="B20" s="5743"/>
      <c r="C20" s="5743"/>
      <c r="D20" s="5743"/>
      <c r="E20" s="5743"/>
      <c r="F20" s="5744" t="str">
        <f>'Вхідні дані'!F1</f>
        <v>станом на 01.09.2023 року</v>
      </c>
      <c r="G20" s="5744"/>
    </row>
    <row r="21" spans="1:9" s="20" customFormat="1" ht="14.4" customHeight="1" x14ac:dyDescent="0.3">
      <c r="A21" s="5214" t="s">
        <v>942</v>
      </c>
      <c r="B21" s="5214" t="s">
        <v>2255</v>
      </c>
      <c r="C21" s="5736" t="s">
        <v>2254</v>
      </c>
      <c r="D21" s="5738" t="s">
        <v>2154</v>
      </c>
      <c r="E21" s="5739"/>
      <c r="F21" s="5739"/>
      <c r="G21" s="5740"/>
    </row>
    <row r="22" spans="1:9" s="1113" customFormat="1" ht="26.4" x14ac:dyDescent="0.3">
      <c r="A22" s="5214"/>
      <c r="B22" s="5214"/>
      <c r="C22" s="5737"/>
      <c r="D22" s="2120" t="s">
        <v>3</v>
      </c>
      <c r="E22" s="2120" t="s">
        <v>166</v>
      </c>
      <c r="F22" s="2120" t="s">
        <v>2256</v>
      </c>
      <c r="G22" s="2120" t="s">
        <v>98</v>
      </c>
    </row>
    <row r="23" spans="1:9" s="4" customFormat="1" ht="12" x14ac:dyDescent="0.25">
      <c r="A23" s="1222" t="s">
        <v>1894</v>
      </c>
      <c r="B23" s="2121" t="s">
        <v>2190</v>
      </c>
      <c r="C23" s="2122">
        <f>'Д 5 Т на ТЕ з ЦТП'!D10</f>
        <v>1496.27</v>
      </c>
      <c r="D23" s="2122">
        <f>'Д 5 Т на ТЕ з ЦТП'!E10</f>
        <v>1321.37</v>
      </c>
      <c r="E23" s="2122">
        <f>'Д 5.1 Т на ТЕ без ЦТП'!F10</f>
        <v>2354.1200000000003</v>
      </c>
      <c r="F23" s="2122">
        <f>'Д 5 Т на ТЕ з ЦТП'!G10</f>
        <v>2354.12</v>
      </c>
      <c r="G23" s="2122">
        <f>'Д 5 Т на ТЕ з ЦТП'!H10</f>
        <v>2354.12</v>
      </c>
    </row>
    <row r="24" spans="1:9" x14ac:dyDescent="0.25">
      <c r="A24" s="9" t="s">
        <v>2251</v>
      </c>
      <c r="B24" s="2123" t="s">
        <v>2190</v>
      </c>
      <c r="C24" s="2124">
        <f>'ТЕ_2ст_тариф_без ЦТП'!E80</f>
        <v>1056.28</v>
      </c>
      <c r="D24" s="2124">
        <f>'ТЕ_2ст_тариф_без ЦТП'!H80</f>
        <v>889.12</v>
      </c>
      <c r="E24" s="2124">
        <f>'ТЕ_2ст_тариф_без ЦТП'!K80</f>
        <v>1876.13</v>
      </c>
      <c r="F24" s="2124">
        <f>'ТЕ_2ст_тариф_без ЦТП'!N80</f>
        <v>1876.13</v>
      </c>
      <c r="G24" s="2124">
        <f>'ТЕ_2ст_тариф_без ЦТП'!Q80</f>
        <v>1876.13</v>
      </c>
    </row>
    <row r="25" spans="1:9" x14ac:dyDescent="0.25">
      <c r="A25" s="9" t="s">
        <v>2252</v>
      </c>
      <c r="B25" s="2123" t="s">
        <v>2194</v>
      </c>
      <c r="C25" s="2124">
        <f>'ТЕ_2ст_тариф_без ЦТП'!E81</f>
        <v>55657.13</v>
      </c>
      <c r="D25" s="2124">
        <f>'ТЕ_2ст_тариф_без ЦТП'!H81</f>
        <v>54678.239999999998</v>
      </c>
      <c r="E25" s="2124">
        <f>'ТЕ_2ст_тариф_без ЦТП'!K81</f>
        <v>60453.2</v>
      </c>
      <c r="F25" s="2124">
        <f>'ТЕ_2ст_тариф_без ЦТП'!N81</f>
        <v>60453.2</v>
      </c>
      <c r="G25" s="2124">
        <f>'ТЕ_2ст_тариф_без ЦТП'!Q81</f>
        <v>60453.2</v>
      </c>
      <c r="I25" s="2125">
        <f>'ТЕ_2ст_тариф_з ЦТП'!N81/12</f>
        <v>5037.7666666666664</v>
      </c>
    </row>
    <row r="26" spans="1:9" ht="5.4" customHeight="1" x14ac:dyDescent="0.25">
      <c r="A26" s="20"/>
      <c r="B26" s="1445"/>
      <c r="C26" s="2126"/>
      <c r="D26" s="2126"/>
      <c r="E26" s="2126"/>
      <c r="F26" s="2126"/>
      <c r="G26" s="2126"/>
    </row>
    <row r="27" spans="1:9" s="4" customFormat="1" ht="12" x14ac:dyDescent="0.25">
      <c r="A27" s="1222" t="s">
        <v>2648</v>
      </c>
      <c r="B27" s="2121" t="s">
        <v>2190</v>
      </c>
      <c r="C27" s="2127">
        <f>'Д 5 Т на ТЕ з ЦТП'!D14</f>
        <v>968.45</v>
      </c>
      <c r="D27" s="2127">
        <f>'Д 5 Т на ТЕ з ЦТП'!E14</f>
        <v>949.46</v>
      </c>
      <c r="E27" s="2127">
        <v>0</v>
      </c>
      <c r="F27" s="2127">
        <f>'Д 5 Т на ТЕ з ЦТП'!G14</f>
        <v>1061.81</v>
      </c>
      <c r="G27" s="2127">
        <f>'Д 5 Т на ТЕ з ЦТП'!H14</f>
        <v>1061.81</v>
      </c>
    </row>
    <row r="28" spans="1:9" x14ac:dyDescent="0.25">
      <c r="A28" s="9" t="s">
        <v>2251</v>
      </c>
      <c r="B28" s="2123" t="s">
        <v>2190</v>
      </c>
      <c r="C28" s="2124">
        <f>'ТЕ_2ст_тариф_з ЦТП'!E124</f>
        <v>254.13</v>
      </c>
      <c r="D28" s="2124">
        <f>'ТЕ_2ст_тариф_з ЦТП'!H124</f>
        <v>254.13</v>
      </c>
      <c r="E28" s="2124">
        <v>0</v>
      </c>
      <c r="F28" s="2124">
        <f>'ТЕ_2ст_тариф_з ЦТП'!N124</f>
        <v>254.13</v>
      </c>
      <c r="G28" s="2124">
        <f>'ТЕ_2ст_тариф_з ЦТП'!Q124</f>
        <v>254.13</v>
      </c>
    </row>
    <row r="29" spans="1:9" x14ac:dyDescent="0.25">
      <c r="A29" s="9" t="s">
        <v>2252</v>
      </c>
      <c r="B29" s="2123" t="s">
        <v>2194</v>
      </c>
      <c r="C29" s="2124">
        <f>'ТЕ_2ст_тариф_з ЦТП'!E125</f>
        <v>77251.66</v>
      </c>
      <c r="D29" s="2124">
        <f>'ТЕ_2ст_тариф_з ЦТП'!H125</f>
        <v>75068.479999999996</v>
      </c>
      <c r="E29" s="2124">
        <f>'ТЕ_2ст_тариф_з ЦТП'!K125</f>
        <v>0</v>
      </c>
      <c r="F29" s="2124">
        <f>'ТЕ_2ст_тариф_з ЦТП'!N125</f>
        <v>87986.95</v>
      </c>
      <c r="G29" s="2124">
        <f>'ТЕ_2ст_тариф_з ЦТП'!Q125</f>
        <v>87986.95</v>
      </c>
    </row>
    <row r="30" spans="1:9" ht="6" customHeight="1" x14ac:dyDescent="0.25">
      <c r="A30" s="20"/>
      <c r="B30" s="1445"/>
      <c r="C30" s="2126"/>
      <c r="D30" s="2126"/>
      <c r="E30" s="2126"/>
      <c r="F30" s="2126"/>
      <c r="G30" s="2126"/>
    </row>
    <row r="31" spans="1:9" s="4" customFormat="1" ht="12" x14ac:dyDescent="0.25">
      <c r="A31" s="1222" t="s">
        <v>2257</v>
      </c>
      <c r="B31" s="2121" t="s">
        <v>2190</v>
      </c>
      <c r="C31" s="2127">
        <f>'Д 5.1 Т на ТЕ без ЦТП'!D14</f>
        <v>568.01</v>
      </c>
      <c r="D31" s="2127">
        <f>'Д 5.1 Т на ТЕ без ЦТП'!E14</f>
        <v>551.31999999999994</v>
      </c>
      <c r="E31" s="2127">
        <f>'Д 5.1 Т на ТЕ без ЦТП'!F14</f>
        <v>649.66999999999996</v>
      </c>
      <c r="F31" s="2127">
        <f>'Д 5.1 Т на ТЕ без ЦТП'!G14</f>
        <v>649.66999999999996</v>
      </c>
      <c r="G31" s="2127">
        <f>'Д 5.1 Т на ТЕ без ЦТП'!H14</f>
        <v>649.66999999999996</v>
      </c>
    </row>
    <row r="32" spans="1:9" x14ac:dyDescent="0.25">
      <c r="A32" s="9" t="s">
        <v>2251</v>
      </c>
      <c r="B32" s="2123" t="s">
        <v>2190</v>
      </c>
      <c r="C32" s="2124">
        <f>'ТЕ_2ст_тариф_без ЦТП'!E124</f>
        <v>133.78</v>
      </c>
      <c r="D32" s="2124">
        <f>'ТЕ_2ст_тариф_без ЦТП'!H124</f>
        <v>133.78</v>
      </c>
      <c r="E32" s="2124">
        <f>'ТЕ_2ст_тариф_без ЦТП'!K124</f>
        <v>133.78</v>
      </c>
      <c r="F32" s="2124">
        <f>'ТЕ_2ст_тариф_без ЦТП'!N124</f>
        <v>133.78</v>
      </c>
      <c r="G32" s="2124">
        <f>'ТЕ_2ст_тариф_без ЦТП'!Q124</f>
        <v>133.78</v>
      </c>
    </row>
    <row r="33" spans="1:9" x14ac:dyDescent="0.25">
      <c r="A33" s="9" t="s">
        <v>2252</v>
      </c>
      <c r="B33" s="2123" t="s">
        <v>2194</v>
      </c>
      <c r="C33" s="2124">
        <f>'ТЕ_2ст_тариф_без ЦТП'!E125</f>
        <v>45514.89</v>
      </c>
      <c r="D33" s="2124">
        <f>'ТЕ_2ст_тариф_без ЦТП'!H125</f>
        <v>43585.7</v>
      </c>
      <c r="E33" s="2124">
        <f>'ТЕ_2ст_тариф_без ЦТП'!K125</f>
        <v>54960.2</v>
      </c>
      <c r="F33" s="2124">
        <f>'ТЕ_2ст_тариф_без ЦТП'!N125</f>
        <v>54960.2</v>
      </c>
      <c r="G33" s="2124">
        <f>'ТЕ_2ст_тариф_без ЦТП'!Q125</f>
        <v>54960.2</v>
      </c>
    </row>
    <row r="34" spans="1:9" ht="6" customHeight="1" x14ac:dyDescent="0.25">
      <c r="A34" s="20"/>
      <c r="B34" s="1445"/>
      <c r="C34" s="2126"/>
      <c r="D34" s="2126"/>
      <c r="E34" s="2126"/>
      <c r="F34" s="2126"/>
      <c r="G34" s="2126"/>
    </row>
    <row r="35" spans="1:9" s="4" customFormat="1" ht="12" x14ac:dyDescent="0.25">
      <c r="A35" s="1222" t="s">
        <v>2233</v>
      </c>
      <c r="B35" s="2121" t="s">
        <v>2190</v>
      </c>
      <c r="C35" s="2128">
        <f>'Д 5.1 Т на ТЕ без ЦТП'!D18</f>
        <v>20.780510517866194</v>
      </c>
      <c r="D35" s="2128">
        <f>'Д 5.1 Т на ТЕ без ЦТП'!E18</f>
        <v>20.780510517866194</v>
      </c>
      <c r="E35" s="2128">
        <f>'Д 5.1 Т на ТЕ без ЦТП'!F18</f>
        <v>20.780510517866194</v>
      </c>
      <c r="F35" s="2128">
        <f>'Д 5.1 Т на ТЕ без ЦТП'!G18</f>
        <v>20.780510517866194</v>
      </c>
      <c r="G35" s="2128">
        <f>'Д 5.1 Т на ТЕ без ЦТП'!H18</f>
        <v>20.780510517866194</v>
      </c>
    </row>
    <row r="36" spans="1:9" x14ac:dyDescent="0.25">
      <c r="A36" s="9" t="s">
        <v>2251</v>
      </c>
      <c r="B36" s="2123" t="s">
        <v>2190</v>
      </c>
      <c r="C36" s="2124">
        <v>0</v>
      </c>
      <c r="D36" s="2124">
        <v>0</v>
      </c>
      <c r="E36" s="2124">
        <v>0</v>
      </c>
      <c r="F36" s="2124">
        <v>0</v>
      </c>
      <c r="G36" s="2124">
        <v>0</v>
      </c>
    </row>
    <row r="37" spans="1:9" x14ac:dyDescent="0.25">
      <c r="A37" s="9" t="s">
        <v>2252</v>
      </c>
      <c r="B37" s="2123" t="s">
        <v>2194</v>
      </c>
      <c r="C37" s="2124">
        <f>'ТЕ_2ст_тариф_без ЦТП'!E164</f>
        <v>2390.08</v>
      </c>
      <c r="D37" s="2124">
        <f>'ТЕ_2ст_тариф_без ЦТП'!H164</f>
        <v>2390.08</v>
      </c>
      <c r="E37" s="2124">
        <f>'ТЕ_2ст_тариф_без ЦТП'!K164</f>
        <v>2390.08</v>
      </c>
      <c r="F37" s="2124">
        <f>'ТЕ_2ст_тариф_без ЦТП'!N164</f>
        <v>2390.08</v>
      </c>
      <c r="G37" s="2124">
        <f>'ТЕ_2ст_тариф_без ЦТП'!Q164</f>
        <v>2390.08</v>
      </c>
    </row>
    <row r="38" spans="1:9" ht="4.95" customHeight="1" x14ac:dyDescent="0.25">
      <c r="C38" s="2126"/>
      <c r="D38" s="2126"/>
      <c r="E38" s="2126"/>
      <c r="F38" s="2126"/>
      <c r="G38" s="2126"/>
    </row>
    <row r="39" spans="1:9" x14ac:dyDescent="0.25">
      <c r="A39" s="2129" t="s">
        <v>2258</v>
      </c>
      <c r="B39" s="2121" t="s">
        <v>2190</v>
      </c>
      <c r="C39" s="2127">
        <f>C23+C27+C35</f>
        <v>2485.5005105178666</v>
      </c>
      <c r="D39" s="2127">
        <f>D23+D27+D35</f>
        <v>2291.6105105178663</v>
      </c>
      <c r="E39" s="2127">
        <v>0</v>
      </c>
      <c r="F39" s="2127">
        <f>F23+F27+F35</f>
        <v>3436.7105105178662</v>
      </c>
      <c r="G39" s="2127">
        <f>G23+G27+G35</f>
        <v>3436.7105105178662</v>
      </c>
      <c r="H39" s="729">
        <f>'Д 5 Т на ТЕ з ЦТП'!D22</f>
        <v>2485.5000000000005</v>
      </c>
      <c r="I39" s="1223">
        <f>'ТЕ_2ст_тариф_з ЦТП'!E220-C39</f>
        <v>-5.1051786613243166E-4</v>
      </c>
    </row>
    <row r="40" spans="1:9" x14ac:dyDescent="0.25">
      <c r="A40" s="9" t="s">
        <v>2251</v>
      </c>
      <c r="B40" s="2123" t="s">
        <v>2190</v>
      </c>
      <c r="C40" s="2124">
        <f t="shared" ref="C40:G41" si="2">C24+C28+C36</f>
        <v>1310.4099999999999</v>
      </c>
      <c r="D40" s="2124">
        <f t="shared" si="2"/>
        <v>1143.25</v>
      </c>
      <c r="E40" s="2124">
        <v>0</v>
      </c>
      <c r="F40" s="2124">
        <f t="shared" si="2"/>
        <v>2130.2600000000002</v>
      </c>
      <c r="G40" s="2124">
        <f t="shared" si="2"/>
        <v>2130.2600000000002</v>
      </c>
      <c r="I40" s="1223">
        <f>'ТЕ_2ст_тариф_з ЦТП'!E223-C40</f>
        <v>0</v>
      </c>
    </row>
    <row r="41" spans="1:9" x14ac:dyDescent="0.25">
      <c r="A41" s="9" t="s">
        <v>2252</v>
      </c>
      <c r="B41" s="2123" t="s">
        <v>2194</v>
      </c>
      <c r="C41" s="2124">
        <f t="shared" si="2"/>
        <v>135298.87</v>
      </c>
      <c r="D41" s="2124">
        <f t="shared" si="2"/>
        <v>132136.79999999999</v>
      </c>
      <c r="E41" s="2124">
        <v>0</v>
      </c>
      <c r="F41" s="2124">
        <f t="shared" si="2"/>
        <v>150830.22999999998</v>
      </c>
      <c r="G41" s="2124">
        <f t="shared" si="2"/>
        <v>150830.22999999998</v>
      </c>
      <c r="I41" s="1223">
        <f>'ТЕ_2ст_тариф_з ЦТП'!E224/12-C41</f>
        <v>-124023.96416666666</v>
      </c>
    </row>
    <row r="42" spans="1:9" ht="6" customHeight="1" x14ac:dyDescent="0.25">
      <c r="C42" s="2126"/>
      <c r="D42" s="2126"/>
      <c r="E42" s="2126"/>
      <c r="F42" s="2126"/>
      <c r="G42" s="2126"/>
      <c r="I42" s="1121"/>
    </row>
    <row r="43" spans="1:9" x14ac:dyDescent="0.25">
      <c r="A43" s="1222" t="s">
        <v>2259</v>
      </c>
      <c r="B43" s="2121" t="s">
        <v>2190</v>
      </c>
      <c r="C43" s="2127">
        <f>C23+C31+C35</f>
        <v>2085.0605105178661</v>
      </c>
      <c r="D43" s="2127">
        <f>D23+D31+D35</f>
        <v>1893.4705105178659</v>
      </c>
      <c r="E43" s="2127">
        <f>E23+E31+E35</f>
        <v>3024.5705105178668</v>
      </c>
      <c r="F43" s="2127">
        <f>F23+F31+F35</f>
        <v>3024.5705105178663</v>
      </c>
      <c r="G43" s="2127">
        <f>G23+G31+G35</f>
        <v>3024.5705105178663</v>
      </c>
      <c r="I43" s="1223">
        <f>'ТЕ_2ст_тариф_без ЦТП'!E220-C43</f>
        <v>0</v>
      </c>
    </row>
    <row r="44" spans="1:9" x14ac:dyDescent="0.25">
      <c r="A44" s="9" t="s">
        <v>2251</v>
      </c>
      <c r="B44" s="2123" t="s">
        <v>2190</v>
      </c>
      <c r="C44" s="2124">
        <f t="shared" ref="C44:G45" si="3">C24+C32+C36</f>
        <v>1190.06</v>
      </c>
      <c r="D44" s="2124">
        <f t="shared" si="3"/>
        <v>1022.9</v>
      </c>
      <c r="E44" s="2124">
        <f t="shared" si="3"/>
        <v>2009.91</v>
      </c>
      <c r="F44" s="2124">
        <f t="shared" si="3"/>
        <v>2009.91</v>
      </c>
      <c r="G44" s="2124">
        <f t="shared" si="3"/>
        <v>2009.91</v>
      </c>
      <c r="I44" s="1223">
        <f>'ТЕ_2ст_тариф_без ЦТП'!E223-C44</f>
        <v>0</v>
      </c>
    </row>
    <row r="45" spans="1:9" x14ac:dyDescent="0.25">
      <c r="A45" s="9" t="s">
        <v>2252</v>
      </c>
      <c r="B45" s="2123" t="s">
        <v>2194</v>
      </c>
      <c r="C45" s="2124">
        <f t="shared" si="3"/>
        <v>103562.09999999999</v>
      </c>
      <c r="D45" s="2124">
        <f t="shared" si="3"/>
        <v>100654.02</v>
      </c>
      <c r="E45" s="2124">
        <f t="shared" si="3"/>
        <v>117803.48</v>
      </c>
      <c r="F45" s="2124">
        <f t="shared" si="3"/>
        <v>117803.48</v>
      </c>
      <c r="G45" s="2124">
        <f t="shared" si="3"/>
        <v>117803.48</v>
      </c>
      <c r="I45" s="1223">
        <f>'ТЕ_2ст_тариф_без ЦТП'!E224/12-C45</f>
        <v>-94931.924999999988</v>
      </c>
    </row>
    <row r="46" spans="1:9" hidden="1" x14ac:dyDescent="0.25"/>
    <row r="47" spans="1:9" ht="4.95" hidden="1" customHeight="1" x14ac:dyDescent="0.25"/>
    <row r="48" spans="1:9" hidden="1" x14ac:dyDescent="0.25"/>
    <row r="49" spans="1:11" x14ac:dyDescent="0.25">
      <c r="C49" s="2119"/>
      <c r="F49" s="1789" t="s">
        <v>2261</v>
      </c>
    </row>
    <row r="50" spans="1:11" x14ac:dyDescent="0.25">
      <c r="A50" s="5214" t="s">
        <v>2253</v>
      </c>
      <c r="B50" s="5214" t="s">
        <v>2255</v>
      </c>
      <c r="C50" s="5736" t="s">
        <v>2254</v>
      </c>
      <c r="D50" s="5738" t="s">
        <v>2154</v>
      </c>
      <c r="E50" s="5739"/>
      <c r="F50" s="5739"/>
      <c r="G50" s="5740"/>
    </row>
    <row r="51" spans="1:11" ht="26.4" x14ac:dyDescent="0.25">
      <c r="A51" s="5214"/>
      <c r="B51" s="5214"/>
      <c r="C51" s="5737"/>
      <c r="D51" s="2120" t="s">
        <v>3</v>
      </c>
      <c r="E51" s="2120" t="s">
        <v>166</v>
      </c>
      <c r="F51" s="2120" t="s">
        <v>2256</v>
      </c>
      <c r="G51" s="2120" t="s">
        <v>98</v>
      </c>
      <c r="I51" s="10" t="s">
        <v>2328</v>
      </c>
    </row>
    <row r="52" spans="1:11" ht="14.4" thickBot="1" x14ac:dyDescent="0.3">
      <c r="A52" s="1222" t="s">
        <v>1894</v>
      </c>
      <c r="B52" s="2121" t="s">
        <v>2190</v>
      </c>
      <c r="C52" s="2127">
        <f>C23*1.2</f>
        <v>1795.5239999999999</v>
      </c>
      <c r="D52" s="2127">
        <f>D23*1.2</f>
        <v>1585.6439999999998</v>
      </c>
      <c r="E52" s="2127">
        <f>E23*1.2</f>
        <v>2824.9440000000004</v>
      </c>
      <c r="F52" s="2127">
        <f>F23*1.2</f>
        <v>2824.944</v>
      </c>
      <c r="G52" s="2127">
        <f>G23*1.2</f>
        <v>2824.944</v>
      </c>
      <c r="I52" s="726">
        <v>1032.27</v>
      </c>
      <c r="J52" s="2115">
        <f>C52-I52</f>
        <v>763.25399999999991</v>
      </c>
      <c r="K52" s="2130">
        <f>J52/I52</f>
        <v>0.73939376325961226</v>
      </c>
    </row>
    <row r="53" spans="1:11" ht="14.4" thickBot="1" x14ac:dyDescent="0.3">
      <c r="A53" s="9" t="s">
        <v>2251</v>
      </c>
      <c r="B53" s="2123" t="s">
        <v>2190</v>
      </c>
      <c r="C53" s="2131">
        <f>C24*1.2</f>
        <v>1267.5359999999998</v>
      </c>
      <c r="D53" s="2131">
        <f t="shared" ref="D53:G54" si="4">D24*1.2</f>
        <v>1066.944</v>
      </c>
      <c r="E53" s="2131">
        <f t="shared" si="4"/>
        <v>2251.3560000000002</v>
      </c>
      <c r="F53" s="2131">
        <f t="shared" si="4"/>
        <v>2251.3560000000002</v>
      </c>
      <c r="G53" s="2131">
        <f t="shared" si="4"/>
        <v>2251.3560000000002</v>
      </c>
      <c r="I53" s="726">
        <v>694.58</v>
      </c>
      <c r="J53" s="2115">
        <f t="shared" ref="J53:J74" si="5">C53-I53</f>
        <v>572.95599999999979</v>
      </c>
      <c r="K53" s="2130">
        <f t="shared" ref="K53:K74" si="6">J53/I53</f>
        <v>0.82489562037490249</v>
      </c>
    </row>
    <row r="54" spans="1:11" ht="14.4" thickBot="1" x14ac:dyDescent="0.3">
      <c r="A54" s="9" t="s">
        <v>2252</v>
      </c>
      <c r="B54" s="2123" t="s">
        <v>2194</v>
      </c>
      <c r="C54" s="2131">
        <f>C25*1.2</f>
        <v>66788.555999999997</v>
      </c>
      <c r="D54" s="2131">
        <f t="shared" si="4"/>
        <v>65613.887999999992</v>
      </c>
      <c r="E54" s="2131">
        <f t="shared" si="4"/>
        <v>72543.839999999997</v>
      </c>
      <c r="F54" s="2131">
        <f t="shared" si="4"/>
        <v>72543.839999999997</v>
      </c>
      <c r="G54" s="2131">
        <f t="shared" si="4"/>
        <v>72543.839999999997</v>
      </c>
      <c r="I54" s="726">
        <v>47997.77</v>
      </c>
      <c r="J54" s="2115">
        <f t="shared" si="5"/>
        <v>18790.786</v>
      </c>
      <c r="K54" s="2130">
        <f t="shared" si="6"/>
        <v>0.39149289644081386</v>
      </c>
    </row>
    <row r="55" spans="1:11" ht="6" customHeight="1" thickBot="1" x14ac:dyDescent="0.35">
      <c r="A55" s="20"/>
      <c r="B55" s="1445"/>
      <c r="C55" s="2126"/>
      <c r="D55" s="2126"/>
      <c r="E55" s="2126"/>
      <c r="F55" s="2126"/>
      <c r="G55" s="2126"/>
      <c r="I55" s="2132"/>
      <c r="J55" s="2115"/>
      <c r="K55" s="2130"/>
    </row>
    <row r="56" spans="1:11" ht="16.95" customHeight="1" thickBot="1" x14ac:dyDescent="0.3">
      <c r="A56" s="1222" t="s">
        <v>2648</v>
      </c>
      <c r="B56" s="2121" t="s">
        <v>2190</v>
      </c>
      <c r="C56" s="2127">
        <f t="shared" ref="C56:G58" si="7">C27*1.2</f>
        <v>1162.1400000000001</v>
      </c>
      <c r="D56" s="2127">
        <f t="shared" si="7"/>
        <v>1139.3520000000001</v>
      </c>
      <c r="E56" s="2127">
        <f t="shared" si="7"/>
        <v>0</v>
      </c>
      <c r="F56" s="2127">
        <f t="shared" si="7"/>
        <v>1274.1719999999998</v>
      </c>
      <c r="G56" s="2127">
        <f t="shared" si="7"/>
        <v>1274.1719999999998</v>
      </c>
      <c r="I56" s="2133">
        <v>591.69000000000005</v>
      </c>
      <c r="J56" s="2115">
        <f t="shared" si="5"/>
        <v>570.45000000000005</v>
      </c>
      <c r="K56" s="2130">
        <f t="shared" si="6"/>
        <v>0.96410282411397863</v>
      </c>
    </row>
    <row r="57" spans="1:11" ht="14.4" thickBot="1" x14ac:dyDescent="0.3">
      <c r="A57" s="9" t="s">
        <v>2251</v>
      </c>
      <c r="B57" s="2123" t="s">
        <v>2190</v>
      </c>
      <c r="C57" s="2131">
        <f t="shared" si="7"/>
        <v>304.95599999999996</v>
      </c>
      <c r="D57" s="2131">
        <f t="shared" si="7"/>
        <v>304.95599999999996</v>
      </c>
      <c r="E57" s="2131">
        <f t="shared" si="7"/>
        <v>0</v>
      </c>
      <c r="F57" s="2131">
        <f t="shared" si="7"/>
        <v>304.95599999999996</v>
      </c>
      <c r="G57" s="2131">
        <f t="shared" si="7"/>
        <v>304.95599999999996</v>
      </c>
      <c r="I57" s="726">
        <v>112.87</v>
      </c>
      <c r="J57" s="2115">
        <f t="shared" si="5"/>
        <v>192.08599999999996</v>
      </c>
      <c r="K57" s="2130">
        <f t="shared" si="6"/>
        <v>1.701833968282094</v>
      </c>
    </row>
    <row r="58" spans="1:11" ht="14.4" thickBot="1" x14ac:dyDescent="0.3">
      <c r="A58" s="9" t="s">
        <v>2252</v>
      </c>
      <c r="B58" s="2123" t="s">
        <v>2194</v>
      </c>
      <c r="C58" s="2131">
        <f t="shared" si="7"/>
        <v>92701.991999999998</v>
      </c>
      <c r="D58" s="2131">
        <f t="shared" si="7"/>
        <v>90082.175999999992</v>
      </c>
      <c r="E58" s="2131">
        <f t="shared" si="7"/>
        <v>0</v>
      </c>
      <c r="F58" s="2131">
        <f t="shared" si="7"/>
        <v>105584.34</v>
      </c>
      <c r="G58" s="2131">
        <f t="shared" si="7"/>
        <v>105584.34</v>
      </c>
      <c r="I58" s="726">
        <v>62038.19</v>
      </c>
      <c r="J58" s="2115">
        <f t="shared" si="5"/>
        <v>30663.801999999996</v>
      </c>
      <c r="K58" s="2130">
        <f t="shared" si="6"/>
        <v>0.49427299539203184</v>
      </c>
    </row>
    <row r="59" spans="1:11" ht="6" customHeight="1" thickBot="1" x14ac:dyDescent="0.35">
      <c r="A59" s="20"/>
      <c r="B59" s="1445"/>
      <c r="C59" s="2126"/>
      <c r="D59" s="2126"/>
      <c r="E59" s="2126"/>
      <c r="F59" s="2126"/>
      <c r="G59" s="2126"/>
      <c r="I59" s="2132"/>
      <c r="J59" s="2115"/>
      <c r="K59" s="2130"/>
    </row>
    <row r="60" spans="1:11" ht="16.2" customHeight="1" thickBot="1" x14ac:dyDescent="0.3">
      <c r="A60" s="1222" t="s">
        <v>2257</v>
      </c>
      <c r="B60" s="2121" t="s">
        <v>2190</v>
      </c>
      <c r="C60" s="2127">
        <f t="shared" ref="C60:G62" si="8">C31*1.2</f>
        <v>681.61199999999997</v>
      </c>
      <c r="D60" s="2127">
        <f t="shared" si="8"/>
        <v>661.58399999999995</v>
      </c>
      <c r="E60" s="2127">
        <f t="shared" si="8"/>
        <v>779.60399999999993</v>
      </c>
      <c r="F60" s="2127">
        <f t="shared" si="8"/>
        <v>779.60399999999993</v>
      </c>
      <c r="G60" s="2127">
        <f t="shared" si="8"/>
        <v>779.60399999999993</v>
      </c>
      <c r="I60" s="2133">
        <v>342.18</v>
      </c>
      <c r="J60" s="2115">
        <f t="shared" si="5"/>
        <v>339.43199999999996</v>
      </c>
      <c r="K60" s="2130">
        <f t="shared" si="6"/>
        <v>0.99196913904962292</v>
      </c>
    </row>
    <row r="61" spans="1:11" ht="14.4" thickBot="1" x14ac:dyDescent="0.3">
      <c r="A61" s="9" t="s">
        <v>2251</v>
      </c>
      <c r="B61" s="2123" t="s">
        <v>2190</v>
      </c>
      <c r="C61" s="2131">
        <f t="shared" si="8"/>
        <v>160.536</v>
      </c>
      <c r="D61" s="2131">
        <f t="shared" si="8"/>
        <v>160.536</v>
      </c>
      <c r="E61" s="2131">
        <f t="shared" si="8"/>
        <v>160.536</v>
      </c>
      <c r="F61" s="2131">
        <f t="shared" si="8"/>
        <v>160.536</v>
      </c>
      <c r="G61" s="2131">
        <f t="shared" si="8"/>
        <v>160.536</v>
      </c>
      <c r="I61" s="726">
        <v>57.5</v>
      </c>
      <c r="J61" s="2115">
        <f t="shared" si="5"/>
        <v>103.036</v>
      </c>
      <c r="K61" s="2130">
        <f t="shared" si="6"/>
        <v>1.7919304347826088</v>
      </c>
    </row>
    <row r="62" spans="1:11" ht="14.4" thickBot="1" x14ac:dyDescent="0.3">
      <c r="A62" s="9" t="s">
        <v>2252</v>
      </c>
      <c r="B62" s="2123" t="s">
        <v>2194</v>
      </c>
      <c r="C62" s="2131">
        <f t="shared" si="8"/>
        <v>54617.867999999995</v>
      </c>
      <c r="D62" s="2131">
        <f t="shared" si="8"/>
        <v>52302.84</v>
      </c>
      <c r="E62" s="2131">
        <f t="shared" si="8"/>
        <v>65952.239999999991</v>
      </c>
      <c r="F62" s="2131">
        <f t="shared" si="8"/>
        <v>65952.239999999991</v>
      </c>
      <c r="G62" s="2131">
        <f t="shared" si="8"/>
        <v>65952.239999999991</v>
      </c>
      <c r="I62" s="726">
        <v>36885.879999999997</v>
      </c>
      <c r="J62" s="2115">
        <f t="shared" si="5"/>
        <v>17731.987999999998</v>
      </c>
      <c r="K62" s="2130">
        <f t="shared" si="6"/>
        <v>0.48072563268112345</v>
      </c>
    </row>
    <row r="63" spans="1:11" ht="6" customHeight="1" thickBot="1" x14ac:dyDescent="0.35">
      <c r="A63" s="20"/>
      <c r="B63" s="1445"/>
      <c r="C63" s="2126"/>
      <c r="D63" s="2126"/>
      <c r="E63" s="2126"/>
      <c r="F63" s="2126"/>
      <c r="G63" s="2126"/>
      <c r="I63" s="2132"/>
      <c r="J63" s="2115"/>
      <c r="K63" s="2130"/>
    </row>
    <row r="64" spans="1:11" ht="14.4" thickBot="1" x14ac:dyDescent="0.3">
      <c r="A64" s="1222" t="s">
        <v>2233</v>
      </c>
      <c r="B64" s="2121" t="s">
        <v>2190</v>
      </c>
      <c r="C64" s="2127">
        <f t="shared" ref="C64:G66" si="9">C35*1.2</f>
        <v>24.936612621439433</v>
      </c>
      <c r="D64" s="2127">
        <f t="shared" si="9"/>
        <v>24.936612621439433</v>
      </c>
      <c r="E64" s="2127">
        <f t="shared" si="9"/>
        <v>24.936612621439433</v>
      </c>
      <c r="F64" s="2127">
        <f t="shared" si="9"/>
        <v>24.936612621439433</v>
      </c>
      <c r="G64" s="2127">
        <f t="shared" si="9"/>
        <v>24.936612621439433</v>
      </c>
      <c r="I64" s="2133">
        <v>7.01</v>
      </c>
      <c r="J64" s="2115">
        <f t="shared" si="5"/>
        <v>17.926612621439432</v>
      </c>
      <c r="K64" s="2130">
        <f t="shared" si="6"/>
        <v>2.5572913867959248</v>
      </c>
    </row>
    <row r="65" spans="1:11" ht="14.4" thickBot="1" x14ac:dyDescent="0.3">
      <c r="A65" s="9" t="s">
        <v>2251</v>
      </c>
      <c r="B65" s="2123" t="s">
        <v>2190</v>
      </c>
      <c r="C65" s="2131">
        <f t="shared" si="9"/>
        <v>0</v>
      </c>
      <c r="D65" s="2131">
        <f t="shared" si="9"/>
        <v>0</v>
      </c>
      <c r="E65" s="2131">
        <f t="shared" si="9"/>
        <v>0</v>
      </c>
      <c r="F65" s="2131">
        <f t="shared" si="9"/>
        <v>0</v>
      </c>
      <c r="G65" s="2131">
        <f t="shared" si="9"/>
        <v>0</v>
      </c>
      <c r="I65" s="726">
        <v>0</v>
      </c>
      <c r="J65" s="2115">
        <f t="shared" si="5"/>
        <v>0</v>
      </c>
      <c r="K65" s="2130">
        <v>0</v>
      </c>
    </row>
    <row r="66" spans="1:11" ht="14.4" thickBot="1" x14ac:dyDescent="0.3">
      <c r="A66" s="9" t="s">
        <v>2252</v>
      </c>
      <c r="B66" s="2123" t="s">
        <v>2194</v>
      </c>
      <c r="C66" s="2131">
        <f t="shared" si="9"/>
        <v>2868.096</v>
      </c>
      <c r="D66" s="2131">
        <f t="shared" si="9"/>
        <v>2868.096</v>
      </c>
      <c r="E66" s="2131">
        <f t="shared" si="9"/>
        <v>2868.096</v>
      </c>
      <c r="F66" s="2131">
        <f t="shared" si="9"/>
        <v>2868.096</v>
      </c>
      <c r="G66" s="2131">
        <f t="shared" si="9"/>
        <v>2868.096</v>
      </c>
      <c r="I66" s="726">
        <v>908.73</v>
      </c>
      <c r="J66" s="2115">
        <f t="shared" si="5"/>
        <v>1959.366</v>
      </c>
      <c r="K66" s="2130">
        <f t="shared" si="6"/>
        <v>2.1561585949622</v>
      </c>
    </row>
    <row r="67" spans="1:11" ht="6" customHeight="1" thickBot="1" x14ac:dyDescent="0.35">
      <c r="C67" s="2126"/>
      <c r="D67" s="2126"/>
      <c r="E67" s="2126"/>
      <c r="F67" s="2126"/>
      <c r="G67" s="2126"/>
      <c r="I67" s="2132"/>
      <c r="J67" s="2115"/>
      <c r="K67" s="2130"/>
    </row>
    <row r="68" spans="1:11" ht="14.4" thickBot="1" x14ac:dyDescent="0.3">
      <c r="A68" s="1222" t="s">
        <v>2258</v>
      </c>
      <c r="B68" s="2121" t="s">
        <v>2190</v>
      </c>
      <c r="C68" s="2127">
        <f t="shared" ref="C68:D70" si="10">C52+C56+C64</f>
        <v>2982.6006126214393</v>
      </c>
      <c r="D68" s="2127">
        <f t="shared" si="10"/>
        <v>2749.9326126214396</v>
      </c>
      <c r="E68" s="2127">
        <v>0</v>
      </c>
      <c r="F68" s="2127">
        <f t="shared" ref="F68:G70" si="11">F52+F56+F64</f>
        <v>4124.052612621439</v>
      </c>
      <c r="G68" s="2127">
        <f t="shared" si="11"/>
        <v>4124.052612621439</v>
      </c>
      <c r="I68" s="2133">
        <v>1630.97</v>
      </c>
      <c r="J68" s="2115">
        <f t="shared" si="5"/>
        <v>1351.6306126214392</v>
      </c>
      <c r="K68" s="2130">
        <f t="shared" si="6"/>
        <v>0.82872806527492182</v>
      </c>
    </row>
    <row r="69" spans="1:11" ht="14.4" thickBot="1" x14ac:dyDescent="0.3">
      <c r="A69" s="9" t="s">
        <v>2251</v>
      </c>
      <c r="B69" s="2123" t="s">
        <v>2190</v>
      </c>
      <c r="C69" s="2109">
        <f t="shared" si="10"/>
        <v>1572.4919999999997</v>
      </c>
      <c r="D69" s="2109">
        <f t="shared" si="10"/>
        <v>1371.8999999999999</v>
      </c>
      <c r="E69" s="2109">
        <v>0</v>
      </c>
      <c r="F69" s="2109">
        <f t="shared" si="11"/>
        <v>2556.3120000000004</v>
      </c>
      <c r="G69" s="2109">
        <f t="shared" si="11"/>
        <v>2556.3120000000004</v>
      </c>
      <c r="I69" s="726">
        <v>807.45</v>
      </c>
      <c r="J69" s="2115">
        <f t="shared" si="5"/>
        <v>765.04199999999969</v>
      </c>
      <c r="K69" s="2130">
        <f t="shared" si="6"/>
        <v>0.9474791008731186</v>
      </c>
    </row>
    <row r="70" spans="1:11" ht="14.4" thickBot="1" x14ac:dyDescent="0.3">
      <c r="A70" s="9" t="s">
        <v>2252</v>
      </c>
      <c r="B70" s="2123" t="s">
        <v>2194</v>
      </c>
      <c r="C70" s="2109">
        <f t="shared" si="10"/>
        <v>162358.644</v>
      </c>
      <c r="D70" s="2109">
        <f t="shared" si="10"/>
        <v>158564.15999999997</v>
      </c>
      <c r="E70" s="2109">
        <v>0</v>
      </c>
      <c r="F70" s="2109">
        <f t="shared" si="11"/>
        <v>180996.27599999998</v>
      </c>
      <c r="G70" s="2109">
        <f t="shared" si="11"/>
        <v>180996.27599999998</v>
      </c>
      <c r="I70" s="726">
        <v>110944.69</v>
      </c>
      <c r="J70" s="2115">
        <f t="shared" si="5"/>
        <v>51413.953999999998</v>
      </c>
      <c r="K70" s="2130">
        <f t="shared" si="6"/>
        <v>0.46341969137955136</v>
      </c>
    </row>
    <row r="71" spans="1:11" ht="4.95" customHeight="1" thickBot="1" x14ac:dyDescent="0.35">
      <c r="C71" s="2126"/>
      <c r="D71" s="2126"/>
      <c r="E71" s="2126"/>
      <c r="F71" s="2126"/>
      <c r="G71" s="2126"/>
      <c r="I71" s="2132"/>
      <c r="J71" s="2115"/>
      <c r="K71" s="2130"/>
    </row>
    <row r="72" spans="1:11" ht="16.2" customHeight="1" thickBot="1" x14ac:dyDescent="0.3">
      <c r="A72" s="1222" t="s">
        <v>2259</v>
      </c>
      <c r="B72" s="2121" t="s">
        <v>2190</v>
      </c>
      <c r="C72" s="2127">
        <f t="shared" ref="C72:G74" si="12">C52+C60+C64</f>
        <v>2502.0726126214395</v>
      </c>
      <c r="D72" s="2127">
        <f t="shared" si="12"/>
        <v>2272.1646126214391</v>
      </c>
      <c r="E72" s="2127">
        <f t="shared" si="12"/>
        <v>3629.4846126214397</v>
      </c>
      <c r="F72" s="2127">
        <f t="shared" si="12"/>
        <v>3629.4846126214393</v>
      </c>
      <c r="G72" s="2127">
        <f t="shared" si="12"/>
        <v>3629.4846126214393</v>
      </c>
      <c r="I72" s="2133">
        <v>1381.47</v>
      </c>
      <c r="J72" s="2115">
        <f t="shared" si="5"/>
        <v>1120.6026126214394</v>
      </c>
      <c r="K72" s="2130">
        <f t="shared" si="6"/>
        <v>0.8111668097182273</v>
      </c>
    </row>
    <row r="73" spans="1:11" ht="14.4" thickBot="1" x14ac:dyDescent="0.3">
      <c r="A73" s="9" t="s">
        <v>2251</v>
      </c>
      <c r="B73" s="2123" t="s">
        <v>2190</v>
      </c>
      <c r="C73" s="2109">
        <f t="shared" si="12"/>
        <v>1428.0719999999999</v>
      </c>
      <c r="D73" s="2109">
        <f t="shared" si="12"/>
        <v>1227.48</v>
      </c>
      <c r="E73" s="2109">
        <f t="shared" si="12"/>
        <v>2411.8920000000003</v>
      </c>
      <c r="F73" s="2109">
        <f t="shared" si="12"/>
        <v>2411.8920000000003</v>
      </c>
      <c r="G73" s="2109">
        <f t="shared" si="12"/>
        <v>2411.8920000000003</v>
      </c>
      <c r="I73" s="726">
        <v>752.08</v>
      </c>
      <c r="J73" s="2115">
        <f t="shared" si="5"/>
        <v>675.99199999999985</v>
      </c>
      <c r="K73" s="2130">
        <f t="shared" si="6"/>
        <v>0.89882991171151982</v>
      </c>
    </row>
    <row r="74" spans="1:11" ht="14.4" thickBot="1" x14ac:dyDescent="0.3">
      <c r="A74" s="9" t="s">
        <v>2252</v>
      </c>
      <c r="B74" s="2123" t="s">
        <v>2194</v>
      </c>
      <c r="C74" s="2109">
        <f t="shared" si="12"/>
        <v>124274.52</v>
      </c>
      <c r="D74" s="2109">
        <f t="shared" si="12"/>
        <v>120784.82399999999</v>
      </c>
      <c r="E74" s="2109">
        <f t="shared" si="12"/>
        <v>141364.17599999998</v>
      </c>
      <c r="F74" s="2109">
        <f t="shared" si="12"/>
        <v>141364.17599999998</v>
      </c>
      <c r="G74" s="2109">
        <f t="shared" si="12"/>
        <v>141364.17599999998</v>
      </c>
      <c r="I74" s="726">
        <v>85792.38</v>
      </c>
      <c r="J74" s="2115">
        <f t="shared" si="5"/>
        <v>38482.14</v>
      </c>
      <c r="K74" s="2130">
        <f t="shared" si="6"/>
        <v>0.44854962643535473</v>
      </c>
    </row>
    <row r="77" spans="1:11" ht="15.6" customHeight="1" x14ac:dyDescent="0.25">
      <c r="A77" s="5741" t="s">
        <v>2658</v>
      </c>
      <c r="B77" s="5742"/>
      <c r="C77" s="5742"/>
      <c r="D77" s="5742"/>
      <c r="E77" s="5742"/>
      <c r="F77" s="10" t="s">
        <v>2260</v>
      </c>
    </row>
    <row r="78" spans="1:11" x14ac:dyDescent="0.25">
      <c r="A78" s="5214" t="s">
        <v>942</v>
      </c>
      <c r="B78" s="5214" t="s">
        <v>2255</v>
      </c>
      <c r="C78" s="5736" t="s">
        <v>2254</v>
      </c>
      <c r="D78" s="5738" t="s">
        <v>2154</v>
      </c>
      <c r="E78" s="5739"/>
      <c r="F78" s="5739"/>
      <c r="G78" s="5740"/>
    </row>
    <row r="79" spans="1:11" ht="26.4" x14ac:dyDescent="0.25">
      <c r="A79" s="5214"/>
      <c r="B79" s="5214"/>
      <c r="C79" s="5737"/>
      <c r="D79" s="2120" t="s">
        <v>3</v>
      </c>
      <c r="E79" s="2120" t="s">
        <v>166</v>
      </c>
      <c r="F79" s="2120" t="s">
        <v>2256</v>
      </c>
      <c r="G79" s="2120" t="s">
        <v>98</v>
      </c>
    </row>
    <row r="80" spans="1:11" x14ac:dyDescent="0.25">
      <c r="A80" s="1222" t="s">
        <v>1894</v>
      </c>
      <c r="B80" s="2121" t="s">
        <v>2190</v>
      </c>
      <c r="C80" s="2122">
        <f t="shared" ref="C80:G82" si="13">C23</f>
        <v>1496.27</v>
      </c>
      <c r="D80" s="2122">
        <f t="shared" si="13"/>
        <v>1321.37</v>
      </c>
      <c r="E80" s="2122">
        <f t="shared" si="13"/>
        <v>2354.1200000000003</v>
      </c>
      <c r="F80" s="2122">
        <f t="shared" si="13"/>
        <v>2354.12</v>
      </c>
      <c r="G80" s="2122">
        <f t="shared" si="13"/>
        <v>2354.12</v>
      </c>
    </row>
    <row r="81" spans="1:7" x14ac:dyDescent="0.25">
      <c r="A81" s="9" t="s">
        <v>2251</v>
      </c>
      <c r="B81" s="2123" t="s">
        <v>2190</v>
      </c>
      <c r="C81" s="2124">
        <f t="shared" si="13"/>
        <v>1056.28</v>
      </c>
      <c r="D81" s="2124">
        <f t="shared" si="13"/>
        <v>889.12</v>
      </c>
      <c r="E81" s="2124">
        <f t="shared" si="13"/>
        <v>1876.13</v>
      </c>
      <c r="F81" s="2124">
        <f t="shared" si="13"/>
        <v>1876.13</v>
      </c>
      <c r="G81" s="2124">
        <f t="shared" si="13"/>
        <v>1876.13</v>
      </c>
    </row>
    <row r="82" spans="1:7" x14ac:dyDescent="0.25">
      <c r="A82" s="9" t="s">
        <v>2252</v>
      </c>
      <c r="B82" s="2123" t="s">
        <v>2194</v>
      </c>
      <c r="C82" s="2124">
        <f t="shared" si="13"/>
        <v>55657.13</v>
      </c>
      <c r="D82" s="2124">
        <f t="shared" si="13"/>
        <v>54678.239999999998</v>
      </c>
      <c r="E82" s="2124">
        <f t="shared" si="13"/>
        <v>60453.2</v>
      </c>
      <c r="F82" s="2124">
        <f t="shared" si="13"/>
        <v>60453.2</v>
      </c>
      <c r="G82" s="2124">
        <f t="shared" si="13"/>
        <v>60453.2</v>
      </c>
    </row>
    <row r="83" spans="1:7" x14ac:dyDescent="0.25">
      <c r="A83" s="20"/>
      <c r="B83" s="1445"/>
      <c r="C83" s="2126"/>
      <c r="D83" s="2126"/>
      <c r="E83" s="2126"/>
      <c r="F83" s="2126"/>
      <c r="G83" s="2126"/>
    </row>
    <row r="84" spans="1:7" ht="24" x14ac:dyDescent="0.25">
      <c r="A84" s="1222" t="s">
        <v>2329</v>
      </c>
      <c r="B84" s="2121" t="s">
        <v>2190</v>
      </c>
      <c r="C84" s="2127">
        <f t="shared" ref="C84:G86" si="14">C27</f>
        <v>968.45</v>
      </c>
      <c r="D84" s="2127">
        <f t="shared" si="14"/>
        <v>949.46</v>
      </c>
      <c r="E84" s="2127">
        <f t="shared" si="14"/>
        <v>0</v>
      </c>
      <c r="F84" s="2127">
        <f t="shared" si="14"/>
        <v>1061.81</v>
      </c>
      <c r="G84" s="2127">
        <f t="shared" si="14"/>
        <v>1061.81</v>
      </c>
    </row>
    <row r="85" spans="1:7" x14ac:dyDescent="0.25">
      <c r="A85" s="9" t="s">
        <v>2251</v>
      </c>
      <c r="B85" s="2123" t="s">
        <v>2190</v>
      </c>
      <c r="C85" s="2124">
        <f t="shared" si="14"/>
        <v>254.13</v>
      </c>
      <c r="D85" s="2124">
        <f t="shared" si="14"/>
        <v>254.13</v>
      </c>
      <c r="E85" s="2124">
        <f t="shared" si="14"/>
        <v>0</v>
      </c>
      <c r="F85" s="2124">
        <f t="shared" si="14"/>
        <v>254.13</v>
      </c>
      <c r="G85" s="2124">
        <f t="shared" si="14"/>
        <v>254.13</v>
      </c>
    </row>
    <row r="86" spans="1:7" x14ac:dyDescent="0.25">
      <c r="A86" s="9" t="s">
        <v>2252</v>
      </c>
      <c r="B86" s="2123" t="s">
        <v>2194</v>
      </c>
      <c r="C86" s="2124">
        <f t="shared" si="14"/>
        <v>77251.66</v>
      </c>
      <c r="D86" s="2124">
        <f t="shared" si="14"/>
        <v>75068.479999999996</v>
      </c>
      <c r="E86" s="2124">
        <f t="shared" si="14"/>
        <v>0</v>
      </c>
      <c r="F86" s="2124">
        <f t="shared" si="14"/>
        <v>87986.95</v>
      </c>
      <c r="G86" s="2124">
        <f t="shared" si="14"/>
        <v>87986.95</v>
      </c>
    </row>
    <row r="87" spans="1:7" x14ac:dyDescent="0.25">
      <c r="A87" s="20"/>
      <c r="B87" s="1445"/>
      <c r="C87" s="2126"/>
      <c r="D87" s="2126"/>
      <c r="E87" s="2126"/>
      <c r="F87" s="2126"/>
      <c r="G87" s="2126"/>
    </row>
    <row r="88" spans="1:7" x14ac:dyDescent="0.25">
      <c r="A88" s="1222" t="s">
        <v>2257</v>
      </c>
      <c r="B88" s="2121" t="s">
        <v>2190</v>
      </c>
      <c r="C88" s="2127">
        <f t="shared" ref="C88:G90" si="15">C31</f>
        <v>568.01</v>
      </c>
      <c r="D88" s="2127">
        <f t="shared" si="15"/>
        <v>551.31999999999994</v>
      </c>
      <c r="E88" s="2127">
        <f t="shared" si="15"/>
        <v>649.66999999999996</v>
      </c>
      <c r="F88" s="2127">
        <f t="shared" si="15"/>
        <v>649.66999999999996</v>
      </c>
      <c r="G88" s="2127">
        <f t="shared" si="15"/>
        <v>649.66999999999996</v>
      </c>
    </row>
    <row r="89" spans="1:7" x14ac:dyDescent="0.25">
      <c r="A89" s="9" t="s">
        <v>2251</v>
      </c>
      <c r="B89" s="2123" t="s">
        <v>2190</v>
      </c>
      <c r="C89" s="2124">
        <f t="shared" si="15"/>
        <v>133.78</v>
      </c>
      <c r="D89" s="2124">
        <f t="shared" si="15"/>
        <v>133.78</v>
      </c>
      <c r="E89" s="2124">
        <f t="shared" si="15"/>
        <v>133.78</v>
      </c>
      <c r="F89" s="2124">
        <f t="shared" si="15"/>
        <v>133.78</v>
      </c>
      <c r="G89" s="2124">
        <f t="shared" si="15"/>
        <v>133.78</v>
      </c>
    </row>
    <row r="90" spans="1:7" x14ac:dyDescent="0.25">
      <c r="A90" s="9" t="s">
        <v>2252</v>
      </c>
      <c r="B90" s="2123" t="s">
        <v>2194</v>
      </c>
      <c r="C90" s="2124">
        <f t="shared" si="15"/>
        <v>45514.89</v>
      </c>
      <c r="D90" s="2124">
        <f t="shared" si="15"/>
        <v>43585.7</v>
      </c>
      <c r="E90" s="2124">
        <f t="shared" si="15"/>
        <v>54960.2</v>
      </c>
      <c r="F90" s="2124">
        <f t="shared" si="15"/>
        <v>54960.2</v>
      </c>
      <c r="G90" s="2124">
        <f t="shared" si="15"/>
        <v>54960.2</v>
      </c>
    </row>
    <row r="91" spans="1:7" x14ac:dyDescent="0.25">
      <c r="A91" s="20"/>
      <c r="B91" s="1445"/>
      <c r="C91" s="2126"/>
      <c r="D91" s="2126"/>
      <c r="E91" s="2126"/>
      <c r="F91" s="2126"/>
      <c r="G91" s="2126"/>
    </row>
    <row r="92" spans="1:7" x14ac:dyDescent="0.25">
      <c r="A92" s="1222" t="s">
        <v>2233</v>
      </c>
      <c r="B92" s="2121" t="s">
        <v>2190</v>
      </c>
      <c r="C92" s="2128">
        <f t="shared" ref="C92:G94" si="16">C35</f>
        <v>20.780510517866194</v>
      </c>
      <c r="D92" s="2128">
        <f t="shared" si="16"/>
        <v>20.780510517866194</v>
      </c>
      <c r="E92" s="2128">
        <f t="shared" si="16"/>
        <v>20.780510517866194</v>
      </c>
      <c r="F92" s="2128">
        <f t="shared" si="16"/>
        <v>20.780510517866194</v>
      </c>
      <c r="G92" s="2128">
        <f t="shared" si="16"/>
        <v>20.780510517866194</v>
      </c>
    </row>
    <row r="93" spans="1:7" x14ac:dyDescent="0.25">
      <c r="A93" s="9" t="s">
        <v>2251</v>
      </c>
      <c r="B93" s="2123" t="s">
        <v>2190</v>
      </c>
      <c r="C93" s="2124">
        <f t="shared" si="16"/>
        <v>0</v>
      </c>
      <c r="D93" s="2124">
        <f t="shared" si="16"/>
        <v>0</v>
      </c>
      <c r="E93" s="2124">
        <f t="shared" si="16"/>
        <v>0</v>
      </c>
      <c r="F93" s="2124">
        <f t="shared" si="16"/>
        <v>0</v>
      </c>
      <c r="G93" s="2124">
        <f t="shared" si="16"/>
        <v>0</v>
      </c>
    </row>
    <row r="94" spans="1:7" x14ac:dyDescent="0.25">
      <c r="A94" s="9" t="s">
        <v>2252</v>
      </c>
      <c r="B94" s="2123" t="s">
        <v>2194</v>
      </c>
      <c r="C94" s="2124">
        <f t="shared" si="16"/>
        <v>2390.08</v>
      </c>
      <c r="D94" s="2124">
        <f t="shared" si="16"/>
        <v>2390.08</v>
      </c>
      <c r="E94" s="2124">
        <f t="shared" si="16"/>
        <v>2390.08</v>
      </c>
      <c r="F94" s="2124">
        <f t="shared" si="16"/>
        <v>2390.08</v>
      </c>
      <c r="G94" s="2124">
        <f t="shared" si="16"/>
        <v>2390.08</v>
      </c>
    </row>
    <row r="95" spans="1:7" x14ac:dyDescent="0.25">
      <c r="C95" s="2126"/>
      <c r="D95" s="2126"/>
      <c r="E95" s="2126"/>
      <c r="F95" s="2126"/>
      <c r="G95" s="2126"/>
    </row>
    <row r="96" spans="1:7" x14ac:dyDescent="0.25">
      <c r="A96" s="2117" t="s">
        <v>2258</v>
      </c>
      <c r="B96" s="2121" t="s">
        <v>2190</v>
      </c>
      <c r="C96" s="2127">
        <f t="shared" ref="C96:D98" si="17">C80+C84+C92</f>
        <v>2485.5005105178666</v>
      </c>
      <c r="D96" s="2127">
        <f t="shared" si="17"/>
        <v>2291.6105105178663</v>
      </c>
      <c r="E96" s="2127">
        <v>0</v>
      </c>
      <c r="F96" s="2127">
        <f t="shared" ref="F96:G98" si="18">F80+F84+F92</f>
        <v>3436.7105105178662</v>
      </c>
      <c r="G96" s="2127">
        <f t="shared" si="18"/>
        <v>3436.7105105178662</v>
      </c>
    </row>
    <row r="97" spans="1:7" x14ac:dyDescent="0.25">
      <c r="A97" s="9" t="s">
        <v>2251</v>
      </c>
      <c r="B97" s="2123" t="s">
        <v>2190</v>
      </c>
      <c r="C97" s="2124">
        <f t="shared" si="17"/>
        <v>1310.4099999999999</v>
      </c>
      <c r="D97" s="2124">
        <f t="shared" si="17"/>
        <v>1143.25</v>
      </c>
      <c r="E97" s="2124">
        <v>0</v>
      </c>
      <c r="F97" s="2124">
        <f t="shared" si="18"/>
        <v>2130.2600000000002</v>
      </c>
      <c r="G97" s="2124">
        <f t="shared" si="18"/>
        <v>2130.2600000000002</v>
      </c>
    </row>
    <row r="98" spans="1:7" x14ac:dyDescent="0.25">
      <c r="A98" s="9" t="s">
        <v>2252</v>
      </c>
      <c r="B98" s="2123" t="s">
        <v>2194</v>
      </c>
      <c r="C98" s="2124">
        <f t="shared" si="17"/>
        <v>135298.87</v>
      </c>
      <c r="D98" s="2124">
        <f t="shared" si="17"/>
        <v>132136.79999999999</v>
      </c>
      <c r="E98" s="2124">
        <v>0</v>
      </c>
      <c r="F98" s="2124">
        <f t="shared" si="18"/>
        <v>150830.22999999998</v>
      </c>
      <c r="G98" s="2124">
        <f t="shared" si="18"/>
        <v>150830.22999999998</v>
      </c>
    </row>
    <row r="99" spans="1:7" x14ac:dyDescent="0.25">
      <c r="C99" s="2126"/>
      <c r="D99" s="2126"/>
      <c r="E99" s="2126"/>
      <c r="F99" s="2126"/>
      <c r="G99" s="2126"/>
    </row>
    <row r="100" spans="1:7" x14ac:dyDescent="0.25">
      <c r="A100" s="1222" t="s">
        <v>2259</v>
      </c>
      <c r="B100" s="2121" t="s">
        <v>2190</v>
      </c>
      <c r="C100" s="2127">
        <f t="shared" ref="C100:G102" si="19">C80+C88+C92</f>
        <v>2085.0605105178661</v>
      </c>
      <c r="D100" s="2127">
        <f t="shared" si="19"/>
        <v>1893.4705105178659</v>
      </c>
      <c r="E100" s="2127">
        <f t="shared" si="19"/>
        <v>3024.5705105178668</v>
      </c>
      <c r="F100" s="2127">
        <f t="shared" si="19"/>
        <v>3024.5705105178663</v>
      </c>
      <c r="G100" s="2127">
        <f t="shared" si="19"/>
        <v>3024.5705105178663</v>
      </c>
    </row>
    <row r="101" spans="1:7" x14ac:dyDescent="0.25">
      <c r="A101" s="9" t="s">
        <v>2251</v>
      </c>
      <c r="B101" s="2123" t="s">
        <v>2190</v>
      </c>
      <c r="C101" s="2124">
        <f t="shared" si="19"/>
        <v>1190.06</v>
      </c>
      <c r="D101" s="2124">
        <f t="shared" si="19"/>
        <v>1022.9</v>
      </c>
      <c r="E101" s="2124">
        <f t="shared" si="19"/>
        <v>2009.91</v>
      </c>
      <c r="F101" s="2124">
        <f t="shared" si="19"/>
        <v>2009.91</v>
      </c>
      <c r="G101" s="2124">
        <f t="shared" si="19"/>
        <v>2009.91</v>
      </c>
    </row>
    <row r="102" spans="1:7" x14ac:dyDescent="0.25">
      <c r="A102" s="9" t="s">
        <v>2252</v>
      </c>
      <c r="B102" s="2123" t="s">
        <v>2194</v>
      </c>
      <c r="C102" s="2124">
        <f t="shared" si="19"/>
        <v>103562.09999999999</v>
      </c>
      <c r="D102" s="2124">
        <f t="shared" si="19"/>
        <v>100654.02</v>
      </c>
      <c r="E102" s="2124">
        <f t="shared" si="19"/>
        <v>117803.48</v>
      </c>
      <c r="F102" s="2124">
        <f t="shared" si="19"/>
        <v>117803.48</v>
      </c>
      <c r="G102" s="2124">
        <f t="shared" si="19"/>
        <v>117803.48</v>
      </c>
    </row>
    <row r="103" spans="1:7" hidden="1" x14ac:dyDescent="0.25"/>
    <row r="104" spans="1:7" hidden="1" x14ac:dyDescent="0.25"/>
    <row r="105" spans="1:7" hidden="1" x14ac:dyDescent="0.25"/>
    <row r="106" spans="1:7" x14ac:dyDescent="0.25">
      <c r="C106" s="2119"/>
      <c r="F106" s="1789" t="s">
        <v>2261</v>
      </c>
    </row>
    <row r="107" spans="1:7" x14ac:dyDescent="0.25">
      <c r="A107" s="5214" t="s">
        <v>2253</v>
      </c>
      <c r="B107" s="5214" t="s">
        <v>2255</v>
      </c>
      <c r="C107" s="5736" t="s">
        <v>2254</v>
      </c>
      <c r="D107" s="5738" t="s">
        <v>2154</v>
      </c>
      <c r="E107" s="5739"/>
      <c r="F107" s="5739"/>
      <c r="G107" s="5740"/>
    </row>
    <row r="108" spans="1:7" ht="26.4" x14ac:dyDescent="0.25">
      <c r="A108" s="5214"/>
      <c r="B108" s="5214"/>
      <c r="C108" s="5737"/>
      <c r="D108" s="2120" t="s">
        <v>3</v>
      </c>
      <c r="E108" s="2120" t="s">
        <v>166</v>
      </c>
      <c r="F108" s="2120" t="s">
        <v>2256</v>
      </c>
      <c r="G108" s="2120" t="s">
        <v>98</v>
      </c>
    </row>
    <row r="109" spans="1:7" x14ac:dyDescent="0.25">
      <c r="A109" s="1222" t="s">
        <v>1894</v>
      </c>
      <c r="B109" s="2121" t="s">
        <v>2190</v>
      </c>
      <c r="C109" s="2127">
        <f t="shared" ref="C109:G111" si="20">C80*1.2</f>
        <v>1795.5239999999999</v>
      </c>
      <c r="D109" s="2127">
        <f t="shared" si="20"/>
        <v>1585.6439999999998</v>
      </c>
      <c r="E109" s="2127">
        <f t="shared" si="20"/>
        <v>2824.9440000000004</v>
      </c>
      <c r="F109" s="2127">
        <f t="shared" si="20"/>
        <v>2824.944</v>
      </c>
      <c r="G109" s="2127">
        <f t="shared" si="20"/>
        <v>2824.944</v>
      </c>
    </row>
    <row r="110" spans="1:7" x14ac:dyDescent="0.25">
      <c r="A110" s="9" t="s">
        <v>2251</v>
      </c>
      <c r="B110" s="2123" t="s">
        <v>2190</v>
      </c>
      <c r="C110" s="2131">
        <f t="shared" si="20"/>
        <v>1267.5359999999998</v>
      </c>
      <c r="D110" s="2131">
        <f t="shared" si="20"/>
        <v>1066.944</v>
      </c>
      <c r="E110" s="2131">
        <f t="shared" si="20"/>
        <v>2251.3560000000002</v>
      </c>
      <c r="F110" s="2131">
        <f t="shared" si="20"/>
        <v>2251.3560000000002</v>
      </c>
      <c r="G110" s="2131">
        <f t="shared" si="20"/>
        <v>2251.3560000000002</v>
      </c>
    </row>
    <row r="111" spans="1:7" x14ac:dyDescent="0.25">
      <c r="A111" s="9" t="s">
        <v>2252</v>
      </c>
      <c r="B111" s="2123" t="s">
        <v>2194</v>
      </c>
      <c r="C111" s="2131">
        <f t="shared" si="20"/>
        <v>66788.555999999997</v>
      </c>
      <c r="D111" s="2131">
        <f t="shared" si="20"/>
        <v>65613.887999999992</v>
      </c>
      <c r="E111" s="2131">
        <f t="shared" si="20"/>
        <v>72543.839999999997</v>
      </c>
      <c r="F111" s="2131">
        <f t="shared" si="20"/>
        <v>72543.839999999997</v>
      </c>
      <c r="G111" s="2131">
        <f t="shared" si="20"/>
        <v>72543.839999999997</v>
      </c>
    </row>
    <row r="112" spans="1:7" x14ac:dyDescent="0.25">
      <c r="A112" s="20"/>
      <c r="B112" s="1445"/>
      <c r="C112" s="2126"/>
      <c r="D112" s="2126"/>
      <c r="E112" s="2126"/>
      <c r="F112" s="2126"/>
      <c r="G112" s="2126"/>
    </row>
    <row r="113" spans="1:9" ht="24" x14ac:dyDescent="0.25">
      <c r="A113" s="1222" t="s">
        <v>2329</v>
      </c>
      <c r="B113" s="2121" t="s">
        <v>2190</v>
      </c>
      <c r="C113" s="2127">
        <f t="shared" ref="C113:G115" si="21">C84*1.2</f>
        <v>1162.1400000000001</v>
      </c>
      <c r="D113" s="2127">
        <f t="shared" si="21"/>
        <v>1139.3520000000001</v>
      </c>
      <c r="E113" s="2127">
        <f t="shared" si="21"/>
        <v>0</v>
      </c>
      <c r="F113" s="2127">
        <f t="shared" si="21"/>
        <v>1274.1719999999998</v>
      </c>
      <c r="G113" s="2127">
        <f t="shared" si="21"/>
        <v>1274.1719999999998</v>
      </c>
    </row>
    <row r="114" spans="1:9" x14ac:dyDescent="0.25">
      <c r="A114" s="9" t="s">
        <v>2251</v>
      </c>
      <c r="B114" s="2123" t="s">
        <v>2190</v>
      </c>
      <c r="C114" s="2131">
        <f t="shared" si="21"/>
        <v>304.95599999999996</v>
      </c>
      <c r="D114" s="2131">
        <f t="shared" si="21"/>
        <v>304.95599999999996</v>
      </c>
      <c r="E114" s="2131">
        <f t="shared" si="21"/>
        <v>0</v>
      </c>
      <c r="F114" s="2131">
        <f t="shared" si="21"/>
        <v>304.95599999999996</v>
      </c>
      <c r="G114" s="2131">
        <f t="shared" si="21"/>
        <v>304.95599999999996</v>
      </c>
    </row>
    <row r="115" spans="1:9" x14ac:dyDescent="0.25">
      <c r="A115" s="9" t="s">
        <v>2252</v>
      </c>
      <c r="B115" s="2123" t="s">
        <v>2194</v>
      </c>
      <c r="C115" s="2131">
        <f t="shared" si="21"/>
        <v>92701.991999999998</v>
      </c>
      <c r="D115" s="2131">
        <f t="shared" si="21"/>
        <v>90082.175999999992</v>
      </c>
      <c r="E115" s="2131">
        <f t="shared" si="21"/>
        <v>0</v>
      </c>
      <c r="F115" s="2131">
        <f t="shared" si="21"/>
        <v>105584.34</v>
      </c>
      <c r="G115" s="2131">
        <f t="shared" si="21"/>
        <v>105584.34</v>
      </c>
    </row>
    <row r="116" spans="1:9" x14ac:dyDescent="0.25">
      <c r="A116" s="20"/>
      <c r="B116" s="1445"/>
      <c r="C116" s="2126"/>
      <c r="D116" s="2126"/>
      <c r="E116" s="2126"/>
      <c r="F116" s="2126"/>
      <c r="G116" s="2126"/>
    </row>
    <row r="117" spans="1:9" x14ac:dyDescent="0.25">
      <c r="A117" s="1222" t="s">
        <v>2257</v>
      </c>
      <c r="B117" s="2121" t="s">
        <v>2190</v>
      </c>
      <c r="C117" s="2127">
        <f t="shared" ref="C117:G119" si="22">C88*1.2</f>
        <v>681.61199999999997</v>
      </c>
      <c r="D117" s="2127">
        <f t="shared" si="22"/>
        <v>661.58399999999995</v>
      </c>
      <c r="E117" s="2127">
        <f t="shared" si="22"/>
        <v>779.60399999999993</v>
      </c>
      <c r="F117" s="2127">
        <f t="shared" si="22"/>
        <v>779.60399999999993</v>
      </c>
      <c r="G117" s="2127">
        <f t="shared" si="22"/>
        <v>779.60399999999993</v>
      </c>
    </row>
    <row r="118" spans="1:9" x14ac:dyDescent="0.25">
      <c r="A118" s="9" t="s">
        <v>2251</v>
      </c>
      <c r="B118" s="2123" t="s">
        <v>2190</v>
      </c>
      <c r="C118" s="2131">
        <f t="shared" si="22"/>
        <v>160.536</v>
      </c>
      <c r="D118" s="2131">
        <f t="shared" si="22"/>
        <v>160.536</v>
      </c>
      <c r="E118" s="2131">
        <f t="shared" si="22"/>
        <v>160.536</v>
      </c>
      <c r="F118" s="2131">
        <f t="shared" si="22"/>
        <v>160.536</v>
      </c>
      <c r="G118" s="2131">
        <f t="shared" si="22"/>
        <v>160.536</v>
      </c>
    </row>
    <row r="119" spans="1:9" x14ac:dyDescent="0.25">
      <c r="A119" s="9" t="s">
        <v>2252</v>
      </c>
      <c r="B119" s="2123" t="s">
        <v>2194</v>
      </c>
      <c r="C119" s="2131">
        <f t="shared" si="22"/>
        <v>54617.867999999995</v>
      </c>
      <c r="D119" s="2131">
        <f t="shared" si="22"/>
        <v>52302.84</v>
      </c>
      <c r="E119" s="2131">
        <f t="shared" si="22"/>
        <v>65952.239999999991</v>
      </c>
      <c r="F119" s="2131">
        <f t="shared" si="22"/>
        <v>65952.239999999991</v>
      </c>
      <c r="G119" s="2131">
        <f t="shared" si="22"/>
        <v>65952.239999999991</v>
      </c>
    </row>
    <row r="120" spans="1:9" x14ac:dyDescent="0.25">
      <c r="A120" s="20"/>
      <c r="B120" s="1445"/>
      <c r="C120" s="2126"/>
      <c r="D120" s="2126"/>
      <c r="E120" s="2126"/>
      <c r="F120" s="2126"/>
      <c r="G120" s="2126"/>
    </row>
    <row r="121" spans="1:9" x14ac:dyDescent="0.25">
      <c r="A121" s="1222" t="s">
        <v>2233</v>
      </c>
      <c r="B121" s="2121" t="s">
        <v>2190</v>
      </c>
      <c r="C121" s="2127">
        <f t="shared" ref="C121:G123" si="23">C92*1.2</f>
        <v>24.936612621439433</v>
      </c>
      <c r="D121" s="2127">
        <f t="shared" si="23"/>
        <v>24.936612621439433</v>
      </c>
      <c r="E121" s="2127">
        <f t="shared" si="23"/>
        <v>24.936612621439433</v>
      </c>
      <c r="F121" s="2127">
        <f t="shared" si="23"/>
        <v>24.936612621439433</v>
      </c>
      <c r="G121" s="2127">
        <f t="shared" si="23"/>
        <v>24.936612621439433</v>
      </c>
    </row>
    <row r="122" spans="1:9" x14ac:dyDescent="0.25">
      <c r="A122" s="9" t="s">
        <v>2251</v>
      </c>
      <c r="B122" s="2123" t="s">
        <v>2190</v>
      </c>
      <c r="C122" s="2131">
        <f t="shared" si="23"/>
        <v>0</v>
      </c>
      <c r="D122" s="2131">
        <f t="shared" si="23"/>
        <v>0</v>
      </c>
      <c r="E122" s="2131">
        <f t="shared" si="23"/>
        <v>0</v>
      </c>
      <c r="F122" s="2131">
        <f t="shared" si="23"/>
        <v>0</v>
      </c>
      <c r="G122" s="2131">
        <f t="shared" si="23"/>
        <v>0</v>
      </c>
    </row>
    <row r="123" spans="1:9" x14ac:dyDescent="0.25">
      <c r="A123" s="9" t="s">
        <v>2252</v>
      </c>
      <c r="B123" s="2123" t="s">
        <v>2194</v>
      </c>
      <c r="C123" s="2131">
        <f t="shared" si="23"/>
        <v>2868.096</v>
      </c>
      <c r="D123" s="2131">
        <f t="shared" si="23"/>
        <v>2868.096</v>
      </c>
      <c r="E123" s="2131">
        <f t="shared" si="23"/>
        <v>2868.096</v>
      </c>
      <c r="F123" s="2131">
        <f t="shared" si="23"/>
        <v>2868.096</v>
      </c>
      <c r="G123" s="2131">
        <f t="shared" si="23"/>
        <v>2868.096</v>
      </c>
    </row>
    <row r="124" spans="1:9" x14ac:dyDescent="0.25">
      <c r="C124" s="2126"/>
      <c r="D124" s="2126"/>
      <c r="E124" s="2126"/>
      <c r="F124" s="2126"/>
      <c r="G124" s="2126"/>
    </row>
    <row r="125" spans="1:9" x14ac:dyDescent="0.25">
      <c r="A125" s="1222" t="s">
        <v>2258</v>
      </c>
      <c r="B125" s="2121" t="s">
        <v>2190</v>
      </c>
      <c r="C125" s="2127">
        <f t="shared" ref="C125:D127" si="24">C109+C113+C121</f>
        <v>2982.6006126214393</v>
      </c>
      <c r="D125" s="2127">
        <f t="shared" si="24"/>
        <v>2749.9326126214396</v>
      </c>
      <c r="E125" s="2127">
        <v>0</v>
      </c>
      <c r="F125" s="2127">
        <f t="shared" ref="F125:G127" si="25">F109+F113+F121</f>
        <v>4124.052612621439</v>
      </c>
      <c r="G125" s="2127">
        <f t="shared" si="25"/>
        <v>4124.052612621439</v>
      </c>
      <c r="I125" s="2134"/>
    </row>
    <row r="126" spans="1:9" x14ac:dyDescent="0.25">
      <c r="A126" s="9" t="s">
        <v>2251</v>
      </c>
      <c r="B126" s="2123" t="s">
        <v>2190</v>
      </c>
      <c r="C126" s="2109">
        <f t="shared" si="24"/>
        <v>1572.4919999999997</v>
      </c>
      <c r="D126" s="2109">
        <f t="shared" si="24"/>
        <v>1371.8999999999999</v>
      </c>
      <c r="E126" s="2109">
        <v>0</v>
      </c>
      <c r="F126" s="2109">
        <f t="shared" si="25"/>
        <v>2556.3120000000004</v>
      </c>
      <c r="G126" s="2109">
        <f t="shared" si="25"/>
        <v>2556.3120000000004</v>
      </c>
    </row>
    <row r="127" spans="1:9" x14ac:dyDescent="0.25">
      <c r="A127" s="9" t="s">
        <v>2252</v>
      </c>
      <c r="B127" s="2123" t="s">
        <v>2194</v>
      </c>
      <c r="C127" s="2109">
        <f t="shared" si="24"/>
        <v>162358.644</v>
      </c>
      <c r="D127" s="2109">
        <f t="shared" si="24"/>
        <v>158564.15999999997</v>
      </c>
      <c r="E127" s="2109">
        <v>0</v>
      </c>
      <c r="F127" s="2109">
        <f t="shared" si="25"/>
        <v>180996.27599999998</v>
      </c>
      <c r="G127" s="2109">
        <f t="shared" si="25"/>
        <v>180996.27599999998</v>
      </c>
    </row>
    <row r="128" spans="1:9" x14ac:dyDescent="0.25">
      <c r="C128" s="2126"/>
      <c r="D128" s="2126"/>
      <c r="E128" s="2126"/>
      <c r="F128" s="2126"/>
      <c r="G128" s="2126"/>
    </row>
    <row r="129" spans="1:9" x14ac:dyDescent="0.25">
      <c r="A129" s="1222" t="s">
        <v>2259</v>
      </c>
      <c r="B129" s="2121" t="s">
        <v>2190</v>
      </c>
      <c r="C129" s="2127">
        <f t="shared" ref="C129:G131" si="26">C109+C117+C121</f>
        <v>2502.0726126214395</v>
      </c>
      <c r="D129" s="2127">
        <f t="shared" si="26"/>
        <v>2272.1646126214391</v>
      </c>
      <c r="E129" s="2127">
        <f t="shared" si="26"/>
        <v>3629.4846126214397</v>
      </c>
      <c r="F129" s="2127">
        <f t="shared" si="26"/>
        <v>3629.4846126214393</v>
      </c>
      <c r="G129" s="2127">
        <f t="shared" si="26"/>
        <v>3629.4846126214393</v>
      </c>
    </row>
    <row r="130" spans="1:9" x14ac:dyDescent="0.25">
      <c r="A130" s="9" t="s">
        <v>2251</v>
      </c>
      <c r="B130" s="2123" t="s">
        <v>2190</v>
      </c>
      <c r="C130" s="2109">
        <f t="shared" si="26"/>
        <v>1428.0719999999999</v>
      </c>
      <c r="D130" s="2109">
        <f t="shared" si="26"/>
        <v>1227.48</v>
      </c>
      <c r="E130" s="2109">
        <f t="shared" si="26"/>
        <v>2411.8920000000003</v>
      </c>
      <c r="F130" s="2109">
        <f t="shared" si="26"/>
        <v>2411.8920000000003</v>
      </c>
      <c r="G130" s="2109">
        <f t="shared" si="26"/>
        <v>2411.8920000000003</v>
      </c>
    </row>
    <row r="131" spans="1:9" x14ac:dyDescent="0.25">
      <c r="A131" s="9" t="s">
        <v>2252</v>
      </c>
      <c r="B131" s="2123" t="s">
        <v>2194</v>
      </c>
      <c r="C131" s="2109">
        <f t="shared" si="26"/>
        <v>124274.52</v>
      </c>
      <c r="D131" s="2109">
        <f t="shared" si="26"/>
        <v>120784.82399999999</v>
      </c>
      <c r="E131" s="2109">
        <f t="shared" si="26"/>
        <v>141364.17599999998</v>
      </c>
      <c r="F131" s="2109">
        <f t="shared" si="26"/>
        <v>141364.17599999998</v>
      </c>
      <c r="G131" s="2109">
        <f t="shared" si="26"/>
        <v>141364.17599999998</v>
      </c>
    </row>
    <row r="132" spans="1:9" x14ac:dyDescent="0.25">
      <c r="F132" s="10" t="s">
        <v>967</v>
      </c>
    </row>
    <row r="133" spans="1:9" ht="14.4" customHeight="1" x14ac:dyDescent="0.25">
      <c r="A133" s="5214" t="s">
        <v>2842</v>
      </c>
      <c r="B133" s="5746" t="str">
        <f>"Планований тариф "&amp;'Вхідні дані'!$F$6</f>
        <v>Планований тариф 2023-2024</v>
      </c>
      <c r="C133" s="5746"/>
      <c r="D133" s="5746"/>
      <c r="E133" s="5746" t="s">
        <v>2621</v>
      </c>
      <c r="F133" s="5746"/>
      <c r="G133" s="5746"/>
      <c r="H133" s="5745" t="s">
        <v>2309</v>
      </c>
    </row>
    <row r="134" spans="1:9" ht="14.4" customHeight="1" x14ac:dyDescent="0.25">
      <c r="A134" s="5214"/>
      <c r="B134" s="5745" t="s">
        <v>2840</v>
      </c>
      <c r="C134" s="5747" t="s">
        <v>2837</v>
      </c>
      <c r="D134" s="5747"/>
      <c r="E134" s="5745" t="s">
        <v>2840</v>
      </c>
      <c r="F134" s="5747" t="s">
        <v>2837</v>
      </c>
      <c r="G134" s="5747"/>
      <c r="H134" s="5745"/>
    </row>
    <row r="135" spans="1:9" ht="39.6" x14ac:dyDescent="0.25">
      <c r="A135" s="5214"/>
      <c r="B135" s="5745"/>
      <c r="C135" s="2120" t="s">
        <v>2838</v>
      </c>
      <c r="D135" s="2120" t="s">
        <v>2839</v>
      </c>
      <c r="E135" s="5745"/>
      <c r="F135" s="2120" t="s">
        <v>2838</v>
      </c>
      <c r="G135" s="2120" t="s">
        <v>2839</v>
      </c>
      <c r="H135" s="5745"/>
    </row>
    <row r="136" spans="1:9" s="42" customFormat="1" ht="13.2" x14ac:dyDescent="0.3">
      <c r="A136" s="1475" t="s">
        <v>2843</v>
      </c>
      <c r="B136" s="1611" t="s">
        <v>74</v>
      </c>
      <c r="C136" s="1611" t="s">
        <v>74</v>
      </c>
      <c r="D136" s="1611" t="s">
        <v>2841</v>
      </c>
      <c r="E136" s="1611" t="s">
        <v>74</v>
      </c>
      <c r="F136" s="1611" t="s">
        <v>74</v>
      </c>
      <c r="G136" s="1611" t="s">
        <v>2841</v>
      </c>
      <c r="H136" s="1611" t="s">
        <v>4</v>
      </c>
    </row>
    <row r="137" spans="1:9" x14ac:dyDescent="0.25">
      <c r="A137" s="2120" t="s">
        <v>3</v>
      </c>
      <c r="B137" s="2135">
        <f>D23</f>
        <v>1321.37</v>
      </c>
      <c r="C137" s="2109">
        <f>D24</f>
        <v>889.12</v>
      </c>
      <c r="D137" s="789">
        <f>D25</f>
        <v>54678.239999999998</v>
      </c>
      <c r="E137" s="1240">
        <v>857.6</v>
      </c>
      <c r="F137" s="1240">
        <v>578.69000000000005</v>
      </c>
      <c r="G137" s="789">
        <v>39643.300000000003</v>
      </c>
      <c r="H137" s="2136">
        <f>B137/E137-1</f>
        <v>0.54077658582089527</v>
      </c>
      <c r="I137" s="2134"/>
    </row>
    <row r="138" spans="1:9" x14ac:dyDescent="0.25">
      <c r="A138" s="2120" t="s">
        <v>166</v>
      </c>
      <c r="B138" s="2135">
        <f>E23</f>
        <v>2354.1200000000003</v>
      </c>
      <c r="C138" s="2109">
        <f>E24</f>
        <v>1876.13</v>
      </c>
      <c r="D138" s="789">
        <f>E25</f>
        <v>60453.2</v>
      </c>
      <c r="E138" s="1240">
        <v>3167.2114709868697</v>
      </c>
      <c r="F138" s="1240">
        <v>2642.5978995292503</v>
      </c>
      <c r="G138" s="789">
        <v>68455.071136141298</v>
      </c>
      <c r="H138" s="2136">
        <f>B138/E138-1</f>
        <v>-0.25672156041210559</v>
      </c>
      <c r="I138" s="2134"/>
    </row>
    <row r="139" spans="1:9" x14ac:dyDescent="0.25">
      <c r="A139" s="2120" t="s">
        <v>2256</v>
      </c>
      <c r="B139" s="2135">
        <f>F23</f>
        <v>2354.12</v>
      </c>
      <c r="C139" s="2109">
        <f>F24</f>
        <v>1876.13</v>
      </c>
      <c r="D139" s="789">
        <f>F25</f>
        <v>60453.2</v>
      </c>
      <c r="E139" s="1240">
        <v>2896.0614709868692</v>
      </c>
      <c r="F139" s="1240">
        <v>2371.4478995292498</v>
      </c>
      <c r="G139" s="789">
        <v>68436.23266345523</v>
      </c>
      <c r="H139" s="2136">
        <f>B139/E139-1</f>
        <v>-0.18713051377400358</v>
      </c>
      <c r="I139" s="2134"/>
    </row>
    <row r="140" spans="1:9" x14ac:dyDescent="0.25">
      <c r="A140" s="2120" t="s">
        <v>98</v>
      </c>
      <c r="B140" s="2135">
        <f>G23</f>
        <v>2354.12</v>
      </c>
      <c r="C140" s="2109">
        <f>G24</f>
        <v>1876.13</v>
      </c>
      <c r="D140" s="789">
        <f>G25</f>
        <v>60453.2</v>
      </c>
      <c r="E140" s="1240">
        <v>4898.2913428767915</v>
      </c>
      <c r="F140" s="1240">
        <v>4310.6871020318531</v>
      </c>
      <c r="G140" s="789">
        <v>76734.904214238442</v>
      </c>
      <c r="H140" s="2136">
        <f>B140/E140-1</f>
        <v>-0.51939975897444002</v>
      </c>
      <c r="I140" s="2134"/>
    </row>
    <row r="141" spans="1:9" ht="6" customHeight="1" x14ac:dyDescent="0.25"/>
    <row r="142" spans="1:9" x14ac:dyDescent="0.25">
      <c r="A142" s="5214" t="s">
        <v>2845</v>
      </c>
      <c r="B142" s="5746" t="str">
        <f>"Планований тариф "&amp;'Вхідні дані'!$F$6</f>
        <v>Планований тариф 2023-2024</v>
      </c>
      <c r="C142" s="5746"/>
      <c r="D142" s="5746"/>
      <c r="E142" s="5746" t="s">
        <v>2844</v>
      </c>
      <c r="F142" s="5746"/>
      <c r="G142" s="5746"/>
      <c r="H142" s="5745" t="s">
        <v>2309</v>
      </c>
    </row>
    <row r="143" spans="1:9" x14ac:dyDescent="0.25">
      <c r="A143" s="5214"/>
      <c r="B143" s="5745" t="s">
        <v>2840</v>
      </c>
      <c r="C143" s="5747" t="s">
        <v>2837</v>
      </c>
      <c r="D143" s="5747"/>
      <c r="E143" s="5745" t="s">
        <v>2840</v>
      </c>
      <c r="F143" s="5747" t="s">
        <v>2837</v>
      </c>
      <c r="G143" s="5747"/>
      <c r="H143" s="5745"/>
    </row>
    <row r="144" spans="1:9" ht="39.6" x14ac:dyDescent="0.25">
      <c r="A144" s="5214"/>
      <c r="B144" s="5745"/>
      <c r="C144" s="2120" t="s">
        <v>2838</v>
      </c>
      <c r="D144" s="2120" t="s">
        <v>2839</v>
      </c>
      <c r="E144" s="5745"/>
      <c r="F144" s="2120" t="s">
        <v>2838</v>
      </c>
      <c r="G144" s="2120" t="s">
        <v>2839</v>
      </c>
      <c r="H144" s="5745"/>
    </row>
    <row r="145" spans="1:8" x14ac:dyDescent="0.25">
      <c r="A145" s="1475" t="s">
        <v>2843</v>
      </c>
      <c r="B145" s="1611" t="s">
        <v>74</v>
      </c>
      <c r="C145" s="1611" t="s">
        <v>74</v>
      </c>
      <c r="D145" s="1611" t="s">
        <v>2841</v>
      </c>
      <c r="E145" s="1611" t="s">
        <v>74</v>
      </c>
      <c r="F145" s="1611" t="s">
        <v>74</v>
      </c>
      <c r="G145" s="1611" t="s">
        <v>2841</v>
      </c>
      <c r="H145" s="1611" t="s">
        <v>4</v>
      </c>
    </row>
    <row r="146" spans="1:8" x14ac:dyDescent="0.25">
      <c r="A146" s="2120" t="s">
        <v>3</v>
      </c>
      <c r="B146" s="2135">
        <f>D27</f>
        <v>949.46</v>
      </c>
      <c r="C146" s="2109">
        <f>D28</f>
        <v>254.13</v>
      </c>
      <c r="D146" s="789">
        <f>D29</f>
        <v>75068.479999999996</v>
      </c>
      <c r="E146" s="1240">
        <v>492.11</v>
      </c>
      <c r="F146" s="1240">
        <v>93.47</v>
      </c>
      <c r="G146" s="789">
        <v>51650.18</v>
      </c>
      <c r="H146" s="2136">
        <f>B146/E146-1</f>
        <v>0.92936538578773042</v>
      </c>
    </row>
    <row r="147" spans="1:8" x14ac:dyDescent="0.25">
      <c r="A147" s="2120" t="s">
        <v>166</v>
      </c>
      <c r="B147" s="2135">
        <v>0</v>
      </c>
      <c r="C147" s="2109">
        <v>0</v>
      </c>
      <c r="D147" s="789">
        <f>E34</f>
        <v>0</v>
      </c>
      <c r="E147" s="1240">
        <v>0</v>
      </c>
      <c r="F147" s="1240">
        <v>0</v>
      </c>
      <c r="G147" s="789">
        <v>0</v>
      </c>
      <c r="H147" s="2136">
        <v>0</v>
      </c>
    </row>
    <row r="148" spans="1:8" x14ac:dyDescent="0.25">
      <c r="A148" s="2120" t="s">
        <v>2256</v>
      </c>
      <c r="B148" s="2135">
        <f>F27</f>
        <v>1061.81</v>
      </c>
      <c r="C148" s="2109">
        <f>F28</f>
        <v>254.13</v>
      </c>
      <c r="D148" s="789">
        <f>F29</f>
        <v>87986.95</v>
      </c>
      <c r="E148" s="1240">
        <v>958.43736917858951</v>
      </c>
      <c r="F148" s="1240">
        <v>216.80889502815538</v>
      </c>
      <c r="G148" s="789">
        <v>81326.647635031986</v>
      </c>
      <c r="H148" s="2136">
        <f>B148/E148-1</f>
        <v>0.10785538434295816</v>
      </c>
    </row>
    <row r="149" spans="1:8" x14ac:dyDescent="0.25">
      <c r="A149" s="2120" t="s">
        <v>98</v>
      </c>
      <c r="B149" s="2135">
        <f>G27</f>
        <v>1061.81</v>
      </c>
      <c r="C149" s="2109">
        <f>G28</f>
        <v>254.13</v>
      </c>
      <c r="D149" s="789">
        <f>G29</f>
        <v>87986.95</v>
      </c>
      <c r="E149" s="1240">
        <v>1072.6119249693731</v>
      </c>
      <c r="F149" s="1240">
        <v>105.11889502815535</v>
      </c>
      <c r="G149" s="789">
        <v>107334.04568480531</v>
      </c>
      <c r="H149" s="2136">
        <f>B149/E149-1</f>
        <v>-1.0070673948251674E-2</v>
      </c>
    </row>
    <row r="150" spans="1:8" ht="3.6" customHeight="1" x14ac:dyDescent="0.25"/>
    <row r="151" spans="1:8" x14ac:dyDescent="0.25">
      <c r="A151" s="5214" t="s">
        <v>2846</v>
      </c>
      <c r="B151" s="5746" t="str">
        <f>"Планований тариф "&amp;'Вхідні дані'!$F$6</f>
        <v>Планований тариф 2023-2024</v>
      </c>
      <c r="C151" s="5746"/>
      <c r="D151" s="5746"/>
      <c r="E151" s="5746" t="s">
        <v>2621</v>
      </c>
      <c r="F151" s="5746"/>
      <c r="G151" s="5746"/>
      <c r="H151" s="5745" t="s">
        <v>2309</v>
      </c>
    </row>
    <row r="152" spans="1:8" x14ac:dyDescent="0.25">
      <c r="A152" s="5214"/>
      <c r="B152" s="5745" t="s">
        <v>2840</v>
      </c>
      <c r="C152" s="5747" t="s">
        <v>2837</v>
      </c>
      <c r="D152" s="5747"/>
      <c r="E152" s="5745" t="s">
        <v>2840</v>
      </c>
      <c r="F152" s="5747" t="s">
        <v>2837</v>
      </c>
      <c r="G152" s="5747"/>
      <c r="H152" s="5745"/>
    </row>
    <row r="153" spans="1:8" ht="39.6" x14ac:dyDescent="0.25">
      <c r="A153" s="5214"/>
      <c r="B153" s="5745"/>
      <c r="C153" s="2120" t="s">
        <v>2838</v>
      </c>
      <c r="D153" s="2120" t="s">
        <v>2839</v>
      </c>
      <c r="E153" s="5745"/>
      <c r="F153" s="2120" t="s">
        <v>2838</v>
      </c>
      <c r="G153" s="2120" t="s">
        <v>2839</v>
      </c>
      <c r="H153" s="5745"/>
    </row>
    <row r="154" spans="1:8" x14ac:dyDescent="0.25">
      <c r="A154" s="1475" t="s">
        <v>2843</v>
      </c>
      <c r="B154" s="1611" t="s">
        <v>74</v>
      </c>
      <c r="C154" s="1611" t="s">
        <v>74</v>
      </c>
      <c r="D154" s="1611" t="s">
        <v>2841</v>
      </c>
      <c r="E154" s="1611" t="s">
        <v>74</v>
      </c>
      <c r="F154" s="1611" t="s">
        <v>74</v>
      </c>
      <c r="G154" s="1611" t="s">
        <v>2841</v>
      </c>
      <c r="H154" s="1611" t="s">
        <v>4</v>
      </c>
    </row>
    <row r="155" spans="1:8" x14ac:dyDescent="0.25">
      <c r="A155" s="2120" t="s">
        <v>3</v>
      </c>
      <c r="B155" s="2135">
        <f>D31</f>
        <v>551.31999999999994</v>
      </c>
      <c r="C155" s="2109">
        <f>D32</f>
        <v>133.78</v>
      </c>
      <c r="D155" s="789">
        <f>D33</f>
        <v>43585.7</v>
      </c>
      <c r="E155" s="1240">
        <v>284.54000000000002</v>
      </c>
      <c r="F155" s="1240">
        <v>47.61</v>
      </c>
      <c r="G155" s="789">
        <v>30697.86</v>
      </c>
      <c r="H155" s="2136">
        <f>B155/E155-1</f>
        <v>0.9375834680537003</v>
      </c>
    </row>
    <row r="156" spans="1:8" x14ac:dyDescent="0.25">
      <c r="A156" s="2120" t="s">
        <v>166</v>
      </c>
      <c r="B156" s="2135">
        <f>E31</f>
        <v>649.66999999999996</v>
      </c>
      <c r="C156" s="2109">
        <f>E32</f>
        <v>133.78</v>
      </c>
      <c r="D156" s="789">
        <f>E33</f>
        <v>54960.2</v>
      </c>
      <c r="E156" s="1240">
        <v>719.25949558278376</v>
      </c>
      <c r="F156" s="1240">
        <v>152.59373031037464</v>
      </c>
      <c r="G156" s="789">
        <v>61134.332085596012</v>
      </c>
      <c r="H156" s="2136">
        <f>B156/E156-1</f>
        <v>-9.6751584108595634E-2</v>
      </c>
    </row>
    <row r="157" spans="1:8" x14ac:dyDescent="0.25">
      <c r="A157" s="2120" t="s">
        <v>2256</v>
      </c>
      <c r="B157" s="2135">
        <f>F31</f>
        <v>649.66999999999996</v>
      </c>
      <c r="C157" s="2109">
        <f>F32</f>
        <v>133.78</v>
      </c>
      <c r="D157" s="789">
        <f>F33</f>
        <v>54960.2</v>
      </c>
      <c r="E157" s="1240">
        <v>684.06833630033259</v>
      </c>
      <c r="F157" s="1240">
        <v>152.59373031037464</v>
      </c>
      <c r="G157" s="789">
        <v>57105.528427616671</v>
      </c>
      <c r="H157" s="2136">
        <f>B157/E157-1</f>
        <v>-5.0284941540153949E-2</v>
      </c>
    </row>
    <row r="158" spans="1:8" x14ac:dyDescent="0.25">
      <c r="A158" s="2120" t="s">
        <v>98</v>
      </c>
      <c r="B158" s="2135">
        <f>G31</f>
        <v>649.66999999999996</v>
      </c>
      <c r="C158" s="2109">
        <f>G32</f>
        <v>133.78</v>
      </c>
      <c r="D158" s="789">
        <f>G33</f>
        <v>54960.2</v>
      </c>
      <c r="E158" s="1240">
        <v>840.38735365935065</v>
      </c>
      <c r="F158" s="1240">
        <v>95.293730310374656</v>
      </c>
      <c r="G158" s="789">
        <v>81579.633475267052</v>
      </c>
      <c r="H158" s="2136">
        <f>B158/E158-1</f>
        <v>-0.22693981867872992</v>
      </c>
    </row>
    <row r="160" spans="1:8" x14ac:dyDescent="0.25">
      <c r="A160" s="5214" t="s">
        <v>2847</v>
      </c>
      <c r="B160" s="5746" t="s">
        <v>3417</v>
      </c>
      <c r="C160" s="5746"/>
      <c r="D160" s="5746"/>
      <c r="E160" s="5746" t="s">
        <v>2621</v>
      </c>
      <c r="F160" s="5746"/>
      <c r="G160" s="5746"/>
      <c r="H160" s="5745" t="s">
        <v>2309</v>
      </c>
    </row>
    <row r="161" spans="1:8" x14ac:dyDescent="0.25">
      <c r="A161" s="5214"/>
      <c r="B161" s="5745" t="s">
        <v>2840</v>
      </c>
      <c r="C161" s="5747" t="s">
        <v>2837</v>
      </c>
      <c r="D161" s="5747"/>
      <c r="E161" s="5745" t="s">
        <v>2840</v>
      </c>
      <c r="F161" s="5747" t="s">
        <v>2837</v>
      </c>
      <c r="G161" s="5747"/>
      <c r="H161" s="5745"/>
    </row>
    <row r="162" spans="1:8" ht="39.6" x14ac:dyDescent="0.25">
      <c r="A162" s="5214"/>
      <c r="B162" s="5745"/>
      <c r="C162" s="2120" t="s">
        <v>2838</v>
      </c>
      <c r="D162" s="2120" t="s">
        <v>2839</v>
      </c>
      <c r="E162" s="5745"/>
      <c r="F162" s="2120" t="s">
        <v>2838</v>
      </c>
      <c r="G162" s="2120" t="s">
        <v>2839</v>
      </c>
      <c r="H162" s="5745"/>
    </row>
    <row r="163" spans="1:8" x14ac:dyDescent="0.25">
      <c r="A163" s="1475" t="s">
        <v>2843</v>
      </c>
      <c r="B163" s="1611" t="s">
        <v>74</v>
      </c>
      <c r="C163" s="1611" t="s">
        <v>74</v>
      </c>
      <c r="D163" s="1611" t="s">
        <v>2841</v>
      </c>
      <c r="E163" s="1611" t="s">
        <v>74</v>
      </c>
      <c r="F163" s="1611" t="s">
        <v>74</v>
      </c>
      <c r="G163" s="1611" t="s">
        <v>2841</v>
      </c>
      <c r="H163" s="1611" t="s">
        <v>4</v>
      </c>
    </row>
    <row r="164" spans="1:8" x14ac:dyDescent="0.25">
      <c r="A164" s="2120" t="s">
        <v>3</v>
      </c>
      <c r="B164" s="2135">
        <f>D35</f>
        <v>20.780510517866194</v>
      </c>
      <c r="C164" s="2109">
        <f>D36</f>
        <v>0</v>
      </c>
      <c r="D164" s="789">
        <f>D37</f>
        <v>2390.08</v>
      </c>
      <c r="E164" s="1240">
        <v>5.84</v>
      </c>
      <c r="F164" s="1240">
        <v>0</v>
      </c>
      <c r="G164" s="789">
        <v>756.6</v>
      </c>
      <c r="H164" s="2136">
        <f>B164/E164-1</f>
        <v>2.5583065955250333</v>
      </c>
    </row>
    <row r="165" spans="1:8" x14ac:dyDescent="0.25">
      <c r="A165" s="2120" t="s">
        <v>166</v>
      </c>
      <c r="B165" s="2135">
        <f>E35</f>
        <v>20.780510517866194</v>
      </c>
      <c r="C165" s="2109">
        <f>E36</f>
        <v>0</v>
      </c>
      <c r="D165" s="789">
        <f>E37</f>
        <v>2390.08</v>
      </c>
      <c r="E165" s="2135">
        <v>18.137478137540079</v>
      </c>
      <c r="F165" s="2109">
        <v>0</v>
      </c>
      <c r="G165" s="789">
        <v>2153.2066141373848</v>
      </c>
      <c r="H165" s="2136">
        <f>B165/E165-1</f>
        <v>0.14572215388950327</v>
      </c>
    </row>
    <row r="166" spans="1:8" x14ac:dyDescent="0.25">
      <c r="A166" s="2120" t="s">
        <v>2256</v>
      </c>
      <c r="B166" s="2135">
        <f>F35</f>
        <v>20.780510517866194</v>
      </c>
      <c r="C166" s="2109">
        <f>F36</f>
        <v>0</v>
      </c>
      <c r="D166" s="789">
        <f>F37</f>
        <v>2390.08</v>
      </c>
      <c r="E166" s="2135">
        <v>18.137478137540079</v>
      </c>
      <c r="F166" s="2109">
        <v>0</v>
      </c>
      <c r="G166" s="789">
        <v>2153.2066141373848</v>
      </c>
      <c r="H166" s="2136">
        <f>B166/E166-1</f>
        <v>0.14572215388950327</v>
      </c>
    </row>
    <row r="167" spans="1:8" x14ac:dyDescent="0.25">
      <c r="A167" s="2120" t="s">
        <v>98</v>
      </c>
      <c r="B167" s="2135">
        <f>G35</f>
        <v>20.780510517866194</v>
      </c>
      <c r="C167" s="2109">
        <f>G36</f>
        <v>0</v>
      </c>
      <c r="D167" s="789">
        <f>G37</f>
        <v>2390.08</v>
      </c>
      <c r="E167" s="2135">
        <v>18.137478137540079</v>
      </c>
      <c r="F167" s="2109">
        <v>0</v>
      </c>
      <c r="G167" s="789">
        <v>2153.2066141373848</v>
      </c>
      <c r="H167" s="2136">
        <f>B167/E167-1</f>
        <v>0.14572215388950327</v>
      </c>
    </row>
    <row r="168" spans="1:8" x14ac:dyDescent="0.25">
      <c r="G168" s="10" t="s">
        <v>2261</v>
      </c>
    </row>
    <row r="169" spans="1:8" ht="13.95" customHeight="1" x14ac:dyDescent="0.25">
      <c r="A169" s="5218" t="s">
        <v>3419</v>
      </c>
      <c r="B169" s="5746" t="str">
        <f>"Планований тариф "&amp;'Вхідні дані'!$F$6</f>
        <v>Планований тариф 2023-2024</v>
      </c>
      <c r="C169" s="5746"/>
      <c r="D169" s="5746"/>
      <c r="E169" s="5746" t="s">
        <v>2621</v>
      </c>
      <c r="F169" s="5746"/>
      <c r="G169" s="5746"/>
      <c r="H169" s="5745" t="s">
        <v>2309</v>
      </c>
    </row>
    <row r="170" spans="1:8" x14ac:dyDescent="0.25">
      <c r="A170" s="5219"/>
      <c r="B170" s="5745" t="s">
        <v>2840</v>
      </c>
      <c r="C170" s="5747" t="s">
        <v>2837</v>
      </c>
      <c r="D170" s="5747"/>
      <c r="E170" s="5745" t="s">
        <v>2840</v>
      </c>
      <c r="F170" s="5747" t="s">
        <v>2837</v>
      </c>
      <c r="G170" s="5747"/>
      <c r="H170" s="5745"/>
    </row>
    <row r="171" spans="1:8" ht="39.6" x14ac:dyDescent="0.25">
      <c r="A171" s="5219"/>
      <c r="B171" s="5745"/>
      <c r="C171" s="2120" t="s">
        <v>2838</v>
      </c>
      <c r="D171" s="2120" t="s">
        <v>2839</v>
      </c>
      <c r="E171" s="5745"/>
      <c r="F171" s="2120" t="s">
        <v>2838</v>
      </c>
      <c r="G171" s="2120" t="s">
        <v>2839</v>
      </c>
      <c r="H171" s="5745"/>
    </row>
    <row r="172" spans="1:8" x14ac:dyDescent="0.25">
      <c r="A172" s="5217"/>
      <c r="B172" s="1611" t="s">
        <v>74</v>
      </c>
      <c r="C172" s="1611" t="s">
        <v>74</v>
      </c>
      <c r="D172" s="1611" t="s">
        <v>2841</v>
      </c>
      <c r="E172" s="1611" t="s">
        <v>74</v>
      </c>
      <c r="F172" s="1611" t="s">
        <v>74</v>
      </c>
      <c r="G172" s="1611" t="s">
        <v>2841</v>
      </c>
      <c r="H172" s="1611" t="s">
        <v>4</v>
      </c>
    </row>
    <row r="173" spans="1:8" ht="16.95" customHeight="1" x14ac:dyDescent="0.25">
      <c r="A173" s="5748" t="s">
        <v>2850</v>
      </c>
      <c r="B173" s="5749"/>
      <c r="C173" s="5749"/>
      <c r="D173" s="5749"/>
      <c r="E173" s="5749"/>
      <c r="F173" s="5749"/>
      <c r="G173" s="5749"/>
      <c r="H173" s="5750"/>
    </row>
    <row r="174" spans="1:8" x14ac:dyDescent="0.25">
      <c r="A174" s="1506" t="s">
        <v>908</v>
      </c>
      <c r="B174" s="789">
        <f t="shared" ref="B174:G174" si="27">B137</f>
        <v>1321.37</v>
      </c>
      <c r="C174" s="789">
        <f t="shared" si="27"/>
        <v>889.12</v>
      </c>
      <c r="D174" s="789">
        <f t="shared" si="27"/>
        <v>54678.239999999998</v>
      </c>
      <c r="E174" s="789">
        <f t="shared" si="27"/>
        <v>857.6</v>
      </c>
      <c r="F174" s="789">
        <f t="shared" si="27"/>
        <v>578.69000000000005</v>
      </c>
      <c r="G174" s="789">
        <f t="shared" si="27"/>
        <v>39643.300000000003</v>
      </c>
      <c r="H174" s="789"/>
    </row>
    <row r="175" spans="1:8" x14ac:dyDescent="0.25">
      <c r="A175" s="1506" t="s">
        <v>2849</v>
      </c>
      <c r="B175" s="789">
        <f t="shared" ref="B175:G175" si="28">B146</f>
        <v>949.46</v>
      </c>
      <c r="C175" s="789">
        <f t="shared" si="28"/>
        <v>254.13</v>
      </c>
      <c r="D175" s="789">
        <f t="shared" si="28"/>
        <v>75068.479999999996</v>
      </c>
      <c r="E175" s="789">
        <f t="shared" si="28"/>
        <v>492.11</v>
      </c>
      <c r="F175" s="789">
        <f t="shared" si="28"/>
        <v>93.47</v>
      </c>
      <c r="G175" s="789">
        <f t="shared" si="28"/>
        <v>51650.18</v>
      </c>
      <c r="H175" s="789"/>
    </row>
    <row r="176" spans="1:8" x14ac:dyDescent="0.25">
      <c r="A176" s="1506" t="s">
        <v>910</v>
      </c>
      <c r="B176" s="789">
        <f t="shared" ref="B176:G176" si="29">B164</f>
        <v>20.780510517866194</v>
      </c>
      <c r="C176" s="789">
        <f t="shared" si="29"/>
        <v>0</v>
      </c>
      <c r="D176" s="789">
        <f t="shared" si="29"/>
        <v>2390.08</v>
      </c>
      <c r="E176" s="789">
        <f t="shared" si="29"/>
        <v>5.84</v>
      </c>
      <c r="F176" s="789">
        <f t="shared" si="29"/>
        <v>0</v>
      </c>
      <c r="G176" s="789">
        <f t="shared" si="29"/>
        <v>756.6</v>
      </c>
      <c r="H176" s="12"/>
    </row>
    <row r="177" spans="1:8" x14ac:dyDescent="0.25">
      <c r="A177" s="1506" t="s">
        <v>2708</v>
      </c>
      <c r="B177" s="789">
        <f>ROUND(B174*0.2+B175*0.2+B176*0.2,2)</f>
        <v>458.32</v>
      </c>
      <c r="C177" s="789">
        <f t="shared" ref="C177:G177" si="30">ROUND(C174*0.2+C175*0.2+C176*0.2,2)</f>
        <v>228.65</v>
      </c>
      <c r="D177" s="789">
        <f t="shared" si="30"/>
        <v>26427.360000000001</v>
      </c>
      <c r="E177" s="789">
        <f t="shared" si="30"/>
        <v>271.11</v>
      </c>
      <c r="F177" s="789">
        <f t="shared" si="30"/>
        <v>134.43</v>
      </c>
      <c r="G177" s="789">
        <f t="shared" si="30"/>
        <v>18410.02</v>
      </c>
      <c r="H177" s="12"/>
    </row>
    <row r="178" spans="1:8" s="1446" customFormat="1" ht="15" customHeight="1" x14ac:dyDescent="0.25">
      <c r="A178" s="2137" t="s">
        <v>2848</v>
      </c>
      <c r="B178" s="2138">
        <f t="shared" ref="B178:G178" si="31">SUM(B174:B177)</f>
        <v>2749.9305105178664</v>
      </c>
      <c r="C178" s="2138">
        <f t="shared" si="31"/>
        <v>1371.9</v>
      </c>
      <c r="D178" s="2138">
        <f t="shared" si="31"/>
        <v>158564.15999999997</v>
      </c>
      <c r="E178" s="2138">
        <f t="shared" si="31"/>
        <v>1626.6599999999999</v>
      </c>
      <c r="F178" s="2138">
        <f t="shared" si="31"/>
        <v>806.59000000000015</v>
      </c>
      <c r="G178" s="2138">
        <f t="shared" si="31"/>
        <v>110460.10000000002</v>
      </c>
      <c r="H178" s="2139">
        <f>B178/E178-1</f>
        <v>0.69053797998221311</v>
      </c>
    </row>
    <row r="179" spans="1:8" x14ac:dyDescent="0.25">
      <c r="A179" s="5748" t="s">
        <v>2851</v>
      </c>
      <c r="B179" s="5749"/>
      <c r="C179" s="5749"/>
      <c r="D179" s="5749"/>
      <c r="E179" s="5749"/>
      <c r="F179" s="5749"/>
      <c r="G179" s="5749"/>
      <c r="H179" s="5750"/>
    </row>
    <row r="180" spans="1:8" x14ac:dyDescent="0.25">
      <c r="A180" s="1506" t="s">
        <v>908</v>
      </c>
      <c r="B180" s="789">
        <f t="shared" ref="B180:G180" si="32">B174</f>
        <v>1321.37</v>
      </c>
      <c r="C180" s="789">
        <f t="shared" si="32"/>
        <v>889.12</v>
      </c>
      <c r="D180" s="789">
        <f t="shared" si="32"/>
        <v>54678.239999999998</v>
      </c>
      <c r="E180" s="789">
        <f t="shared" si="32"/>
        <v>857.6</v>
      </c>
      <c r="F180" s="789">
        <f t="shared" si="32"/>
        <v>578.69000000000005</v>
      </c>
      <c r="G180" s="789">
        <f t="shared" si="32"/>
        <v>39643.300000000003</v>
      </c>
      <c r="H180" s="789"/>
    </row>
    <row r="181" spans="1:8" x14ac:dyDescent="0.25">
      <c r="A181" s="1506" t="s">
        <v>2849</v>
      </c>
      <c r="B181" s="789">
        <f t="shared" ref="B181:G181" si="33">B155</f>
        <v>551.31999999999994</v>
      </c>
      <c r="C181" s="789">
        <f t="shared" si="33"/>
        <v>133.78</v>
      </c>
      <c r="D181" s="789">
        <f t="shared" si="33"/>
        <v>43585.7</v>
      </c>
      <c r="E181" s="789">
        <f t="shared" si="33"/>
        <v>284.54000000000002</v>
      </c>
      <c r="F181" s="789">
        <f t="shared" si="33"/>
        <v>47.61</v>
      </c>
      <c r="G181" s="789">
        <f t="shared" si="33"/>
        <v>30697.86</v>
      </c>
      <c r="H181" s="789"/>
    </row>
    <row r="182" spans="1:8" x14ac:dyDescent="0.25">
      <c r="A182" s="1506" t="s">
        <v>910</v>
      </c>
      <c r="B182" s="789">
        <f t="shared" ref="B182:G182" si="34">B176</f>
        <v>20.780510517866194</v>
      </c>
      <c r="C182" s="789">
        <f t="shared" si="34"/>
        <v>0</v>
      </c>
      <c r="D182" s="789">
        <f t="shared" si="34"/>
        <v>2390.08</v>
      </c>
      <c r="E182" s="789">
        <f t="shared" si="34"/>
        <v>5.84</v>
      </c>
      <c r="F182" s="789">
        <f t="shared" si="34"/>
        <v>0</v>
      </c>
      <c r="G182" s="789">
        <f t="shared" si="34"/>
        <v>756.6</v>
      </c>
      <c r="H182" s="12"/>
    </row>
    <row r="183" spans="1:8" x14ac:dyDescent="0.25">
      <c r="A183" s="1506" t="s">
        <v>2708</v>
      </c>
      <c r="B183" s="789">
        <f>ROUND(B180*0.2+B181*0.2+B182*0.2,2)</f>
        <v>378.69</v>
      </c>
      <c r="C183" s="789">
        <f t="shared" ref="C183:G183" si="35">ROUND(C180*0.2+C181*0.2+C182*0.2,2)</f>
        <v>204.58</v>
      </c>
      <c r="D183" s="789">
        <f t="shared" si="35"/>
        <v>20130.8</v>
      </c>
      <c r="E183" s="789">
        <f t="shared" si="35"/>
        <v>229.6</v>
      </c>
      <c r="F183" s="789">
        <f t="shared" si="35"/>
        <v>125.26</v>
      </c>
      <c r="G183" s="789">
        <f t="shared" si="35"/>
        <v>14219.55</v>
      </c>
      <c r="H183" s="12"/>
    </row>
    <row r="184" spans="1:8" ht="16.2" customHeight="1" x14ac:dyDescent="0.25">
      <c r="A184" s="2137" t="s">
        <v>2848</v>
      </c>
      <c r="B184" s="2138">
        <f t="shared" ref="B184:G184" si="36">SUM(B180:B183)</f>
        <v>2272.160510517866</v>
      </c>
      <c r="C184" s="2138">
        <f t="shared" si="36"/>
        <v>1227.48</v>
      </c>
      <c r="D184" s="2138">
        <f t="shared" si="36"/>
        <v>120784.82</v>
      </c>
      <c r="E184" s="2138">
        <f t="shared" si="36"/>
        <v>1377.58</v>
      </c>
      <c r="F184" s="2138">
        <f t="shared" si="36"/>
        <v>751.56000000000006</v>
      </c>
      <c r="G184" s="2138">
        <f t="shared" si="36"/>
        <v>85317.310000000012</v>
      </c>
      <c r="H184" s="2139">
        <f>B184/E184-1</f>
        <v>0.64938552426564411</v>
      </c>
    </row>
    <row r="186" spans="1:8" x14ac:dyDescent="0.25">
      <c r="A186" s="5748" t="s">
        <v>2852</v>
      </c>
      <c r="B186" s="5749"/>
      <c r="C186" s="5749"/>
      <c r="D186" s="5749"/>
      <c r="E186" s="5749"/>
      <c r="F186" s="5749"/>
      <c r="G186" s="5749"/>
      <c r="H186" s="5750"/>
    </row>
    <row r="187" spans="1:8" x14ac:dyDescent="0.25">
      <c r="A187" s="1506" t="s">
        <v>908</v>
      </c>
      <c r="B187" s="789">
        <f t="shared" ref="B187:D187" si="37">B139</f>
        <v>2354.12</v>
      </c>
      <c r="C187" s="789">
        <f t="shared" si="37"/>
        <v>1876.13</v>
      </c>
      <c r="D187" s="789">
        <f t="shared" si="37"/>
        <v>60453.2</v>
      </c>
      <c r="E187" s="789">
        <v>2896.06</v>
      </c>
      <c r="F187" s="789">
        <v>2371.4499999999998</v>
      </c>
      <c r="G187" s="789">
        <v>68436.23</v>
      </c>
      <c r="H187" s="789"/>
    </row>
    <row r="188" spans="1:8" x14ac:dyDescent="0.25">
      <c r="A188" s="1506" t="s">
        <v>2849</v>
      </c>
      <c r="B188" s="789">
        <f t="shared" ref="B188:D188" si="38">B148</f>
        <v>1061.81</v>
      </c>
      <c r="C188" s="789">
        <f t="shared" si="38"/>
        <v>254.13</v>
      </c>
      <c r="D188" s="789">
        <f t="shared" si="38"/>
        <v>87986.95</v>
      </c>
      <c r="E188" s="789">
        <v>958.44</v>
      </c>
      <c r="F188" s="789">
        <v>216.81</v>
      </c>
      <c r="G188" s="789">
        <v>81326.649999999994</v>
      </c>
      <c r="H188" s="789"/>
    </row>
    <row r="189" spans="1:8" x14ac:dyDescent="0.25">
      <c r="A189" s="1506" t="s">
        <v>910</v>
      </c>
      <c r="B189" s="789">
        <f t="shared" ref="B189:F189" si="39">B166</f>
        <v>20.780510517866194</v>
      </c>
      <c r="C189" s="789">
        <f t="shared" si="39"/>
        <v>0</v>
      </c>
      <c r="D189" s="789">
        <f t="shared" si="39"/>
        <v>2390.08</v>
      </c>
      <c r="E189" s="789">
        <v>18.14</v>
      </c>
      <c r="F189" s="789">
        <f t="shared" si="39"/>
        <v>0</v>
      </c>
      <c r="G189" s="789">
        <v>2153.21</v>
      </c>
      <c r="H189" s="12"/>
    </row>
    <row r="190" spans="1:8" x14ac:dyDescent="0.25">
      <c r="A190" s="1506" t="s">
        <v>2708</v>
      </c>
      <c r="B190" s="789">
        <f>ROUND(B187*0.2+B188*0.2+B189*0.2,2)</f>
        <v>687.34</v>
      </c>
      <c r="C190" s="789">
        <f t="shared" ref="C190:G190" si="40">ROUND(C187*0.2+C188*0.2+C189*0.2,2)</f>
        <v>426.05</v>
      </c>
      <c r="D190" s="789">
        <f t="shared" si="40"/>
        <v>30166.05</v>
      </c>
      <c r="E190" s="789">
        <f t="shared" si="40"/>
        <v>774.53</v>
      </c>
      <c r="F190" s="789">
        <f t="shared" si="40"/>
        <v>517.65</v>
      </c>
      <c r="G190" s="789">
        <f t="shared" si="40"/>
        <v>30383.22</v>
      </c>
      <c r="H190" s="12"/>
    </row>
    <row r="191" spans="1:8" ht="15.6" customHeight="1" x14ac:dyDescent="0.25">
      <c r="A191" s="2137" t="s">
        <v>2848</v>
      </c>
      <c r="B191" s="2138">
        <f t="shared" ref="B191:G191" si="41">SUM(B187:B190)</f>
        <v>4124.0505105178663</v>
      </c>
      <c r="C191" s="2138">
        <f t="shared" si="41"/>
        <v>2556.3100000000004</v>
      </c>
      <c r="D191" s="2138">
        <f t="shared" si="41"/>
        <v>180996.27999999997</v>
      </c>
      <c r="E191" s="2138">
        <f t="shared" si="41"/>
        <v>4647.17</v>
      </c>
      <c r="F191" s="2138">
        <f t="shared" si="41"/>
        <v>3105.91</v>
      </c>
      <c r="G191" s="2138">
        <f t="shared" si="41"/>
        <v>182299.31</v>
      </c>
      <c r="H191" s="2139">
        <f>B191/E191-1</f>
        <v>-0.11256732365765265</v>
      </c>
    </row>
    <row r="192" spans="1:8" x14ac:dyDescent="0.25">
      <c r="A192" s="5748" t="s">
        <v>2853</v>
      </c>
      <c r="B192" s="5749"/>
      <c r="C192" s="5749"/>
      <c r="D192" s="5749"/>
      <c r="E192" s="5749"/>
      <c r="F192" s="5749"/>
      <c r="G192" s="5749"/>
      <c r="H192" s="5750"/>
    </row>
    <row r="193" spans="1:8" x14ac:dyDescent="0.25">
      <c r="A193" s="1506" t="s">
        <v>908</v>
      </c>
      <c r="B193" s="789">
        <f t="shared" ref="B193:D193" si="42">B139</f>
        <v>2354.12</v>
      </c>
      <c r="C193" s="789">
        <f t="shared" si="42"/>
        <v>1876.13</v>
      </c>
      <c r="D193" s="789">
        <f t="shared" si="42"/>
        <v>60453.2</v>
      </c>
      <c r="E193" s="789">
        <v>2896.0614709868692</v>
      </c>
      <c r="F193" s="789">
        <v>2371.4478995292498</v>
      </c>
      <c r="G193" s="789">
        <v>68436.23266345523</v>
      </c>
      <c r="H193" s="789"/>
    </row>
    <row r="194" spans="1:8" x14ac:dyDescent="0.25">
      <c r="A194" s="1506" t="s">
        <v>2849</v>
      </c>
      <c r="B194" s="789">
        <f t="shared" ref="B194:D194" si="43">B157</f>
        <v>649.66999999999996</v>
      </c>
      <c r="C194" s="789">
        <f t="shared" si="43"/>
        <v>133.78</v>
      </c>
      <c r="D194" s="789">
        <f t="shared" si="43"/>
        <v>54960.2</v>
      </c>
      <c r="E194" s="789">
        <v>684.06833630033259</v>
      </c>
      <c r="F194" s="789">
        <v>152.59373031037464</v>
      </c>
      <c r="G194" s="789">
        <v>57105.528427616671</v>
      </c>
      <c r="H194" s="789"/>
    </row>
    <row r="195" spans="1:8" x14ac:dyDescent="0.25">
      <c r="A195" s="1506" t="s">
        <v>910</v>
      </c>
      <c r="B195" s="789">
        <f t="shared" ref="B195:D195" si="44">B166</f>
        <v>20.780510517866194</v>
      </c>
      <c r="C195" s="789">
        <f t="shared" si="44"/>
        <v>0</v>
      </c>
      <c r="D195" s="789">
        <f t="shared" si="44"/>
        <v>2390.08</v>
      </c>
      <c r="E195" s="789">
        <v>18.137478137540079</v>
      </c>
      <c r="F195" s="789">
        <v>0</v>
      </c>
      <c r="G195" s="789">
        <v>2153.2066141373848</v>
      </c>
      <c r="H195" s="12"/>
    </row>
    <row r="196" spans="1:8" x14ac:dyDescent="0.25">
      <c r="A196" s="1506" t="s">
        <v>2708</v>
      </c>
      <c r="B196" s="789">
        <f>ROUND(B193*0.2+B194*0.2+B195*0.2,2)</f>
        <v>604.91</v>
      </c>
      <c r="C196" s="789">
        <f t="shared" ref="C196:G196" si="45">ROUND(C193*0.2+C194*0.2+C195*0.2,2)</f>
        <v>401.98</v>
      </c>
      <c r="D196" s="789">
        <f t="shared" si="45"/>
        <v>23560.7</v>
      </c>
      <c r="E196" s="789">
        <f t="shared" si="45"/>
        <v>719.65</v>
      </c>
      <c r="F196" s="789">
        <f t="shared" si="45"/>
        <v>504.81</v>
      </c>
      <c r="G196" s="789">
        <f t="shared" si="45"/>
        <v>25538.99</v>
      </c>
      <c r="H196" s="12"/>
    </row>
    <row r="197" spans="1:8" ht="16.95" customHeight="1" x14ac:dyDescent="0.25">
      <c r="A197" s="2137" t="s">
        <v>2848</v>
      </c>
      <c r="B197" s="2138">
        <f t="shared" ref="B197:G197" si="46">SUM(B193:B196)</f>
        <v>3629.4805105178662</v>
      </c>
      <c r="C197" s="2138">
        <f t="shared" si="46"/>
        <v>2411.8900000000003</v>
      </c>
      <c r="D197" s="2138">
        <f t="shared" si="46"/>
        <v>141364.18</v>
      </c>
      <c r="E197" s="2138">
        <f t="shared" si="46"/>
        <v>4317.9172854247417</v>
      </c>
      <c r="F197" s="2138">
        <f t="shared" si="46"/>
        <v>3028.8516298396244</v>
      </c>
      <c r="G197" s="2138">
        <f t="shared" si="46"/>
        <v>153233.95770520929</v>
      </c>
      <c r="H197" s="2139">
        <f>B197/E197-1</f>
        <v>-0.15943723082207117</v>
      </c>
    </row>
    <row r="198" spans="1:8" ht="4.95" customHeight="1" x14ac:dyDescent="0.25"/>
    <row r="199" spans="1:8" x14ac:dyDescent="0.25">
      <c r="A199" s="5748" t="s">
        <v>2854</v>
      </c>
      <c r="B199" s="5749"/>
      <c r="C199" s="5749"/>
      <c r="D199" s="5749"/>
      <c r="E199" s="5749"/>
      <c r="F199" s="5749"/>
      <c r="G199" s="5749"/>
      <c r="H199" s="5750"/>
    </row>
    <row r="200" spans="1:8" x14ac:dyDescent="0.25">
      <c r="A200" s="1506" t="s">
        <v>908</v>
      </c>
      <c r="B200" s="789">
        <f t="shared" ref="B200:D200" si="47">B140</f>
        <v>2354.12</v>
      </c>
      <c r="C200" s="789">
        <f t="shared" si="47"/>
        <v>1876.13</v>
      </c>
      <c r="D200" s="789">
        <f t="shared" si="47"/>
        <v>60453.2</v>
      </c>
      <c r="E200" s="789">
        <v>4898.2913428767915</v>
      </c>
      <c r="F200" s="789">
        <v>4310.6871020318531</v>
      </c>
      <c r="G200" s="789">
        <v>76734.904214238442</v>
      </c>
      <c r="H200" s="789"/>
    </row>
    <row r="201" spans="1:8" x14ac:dyDescent="0.25">
      <c r="A201" s="1506" t="s">
        <v>2849</v>
      </c>
      <c r="B201" s="789">
        <f t="shared" ref="B201:D201" si="48">B149</f>
        <v>1061.81</v>
      </c>
      <c r="C201" s="789">
        <f t="shared" si="48"/>
        <v>254.13</v>
      </c>
      <c r="D201" s="789">
        <f t="shared" si="48"/>
        <v>87986.95</v>
      </c>
      <c r="E201" s="789">
        <v>1072.6119249693731</v>
      </c>
      <c r="F201" s="789">
        <v>105.11889502815535</v>
      </c>
      <c r="G201" s="789">
        <v>107334.04568480531</v>
      </c>
      <c r="H201" s="789"/>
    </row>
    <row r="202" spans="1:8" x14ac:dyDescent="0.25">
      <c r="A202" s="1506" t="s">
        <v>910</v>
      </c>
      <c r="B202" s="789">
        <f t="shared" ref="B202:D202" si="49">B167</f>
        <v>20.780510517866194</v>
      </c>
      <c r="C202" s="789">
        <f t="shared" si="49"/>
        <v>0</v>
      </c>
      <c r="D202" s="789">
        <f t="shared" si="49"/>
        <v>2390.08</v>
      </c>
      <c r="E202" s="789">
        <v>18.137478137540079</v>
      </c>
      <c r="F202" s="789">
        <v>0</v>
      </c>
      <c r="G202" s="789">
        <v>2153.2066141373848</v>
      </c>
      <c r="H202" s="12"/>
    </row>
    <row r="203" spans="1:8" x14ac:dyDescent="0.25">
      <c r="A203" s="1506" t="s">
        <v>2708</v>
      </c>
      <c r="B203" s="789">
        <f>ROUND(B200*0.2+B201*0.2+B202*0.2,2)</f>
        <v>687.34</v>
      </c>
      <c r="C203" s="789">
        <f t="shared" ref="C203:G203" si="50">ROUND(C200*0.2+C201*0.2+C202*0.2,2)</f>
        <v>426.05</v>
      </c>
      <c r="D203" s="789">
        <f t="shared" si="50"/>
        <v>30166.05</v>
      </c>
      <c r="E203" s="789">
        <f t="shared" si="50"/>
        <v>1197.81</v>
      </c>
      <c r="F203" s="789">
        <f t="shared" si="50"/>
        <v>883.16</v>
      </c>
      <c r="G203" s="789">
        <f t="shared" si="50"/>
        <v>37244.43</v>
      </c>
      <c r="H203" s="12"/>
    </row>
    <row r="204" spans="1:8" ht="15" customHeight="1" x14ac:dyDescent="0.25">
      <c r="A204" s="2137" t="s">
        <v>2848</v>
      </c>
      <c r="B204" s="2138">
        <f t="shared" ref="B204:G204" si="51">SUM(B200:B203)</f>
        <v>4124.0505105178663</v>
      </c>
      <c r="C204" s="2138">
        <f t="shared" si="51"/>
        <v>2556.3100000000004</v>
      </c>
      <c r="D204" s="2138">
        <f t="shared" si="51"/>
        <v>180996.27999999997</v>
      </c>
      <c r="E204" s="2138">
        <f t="shared" si="51"/>
        <v>7186.8507459837037</v>
      </c>
      <c r="F204" s="2138">
        <f t="shared" si="51"/>
        <v>5298.9659970600087</v>
      </c>
      <c r="G204" s="2138">
        <f t="shared" si="51"/>
        <v>223466.58651318116</v>
      </c>
      <c r="H204" s="2139">
        <f>B204/E204-1</f>
        <v>-0.42616722452145694</v>
      </c>
    </row>
    <row r="205" spans="1:8" x14ac:dyDescent="0.25">
      <c r="A205" s="5748" t="s">
        <v>2855</v>
      </c>
      <c r="B205" s="5749"/>
      <c r="C205" s="5749"/>
      <c r="D205" s="5749"/>
      <c r="E205" s="5749"/>
      <c r="F205" s="5749"/>
      <c r="G205" s="5749"/>
      <c r="H205" s="5750"/>
    </row>
    <row r="206" spans="1:8" x14ac:dyDescent="0.25">
      <c r="A206" s="1506" t="s">
        <v>908</v>
      </c>
      <c r="B206" s="789">
        <f t="shared" ref="B206:D206" si="52">B140</f>
        <v>2354.12</v>
      </c>
      <c r="C206" s="789">
        <f t="shared" si="52"/>
        <v>1876.13</v>
      </c>
      <c r="D206" s="789">
        <f t="shared" si="52"/>
        <v>60453.2</v>
      </c>
      <c r="E206" s="789">
        <v>4898.2913428767915</v>
      </c>
      <c r="F206" s="789">
        <v>4310.6871020318531</v>
      </c>
      <c r="G206" s="789">
        <v>76734.904214238442</v>
      </c>
      <c r="H206" s="789"/>
    </row>
    <row r="207" spans="1:8" x14ac:dyDescent="0.25">
      <c r="A207" s="1506" t="s">
        <v>2849</v>
      </c>
      <c r="B207" s="789">
        <f t="shared" ref="B207:D207" si="53">B158</f>
        <v>649.66999999999996</v>
      </c>
      <c r="C207" s="789">
        <f t="shared" si="53"/>
        <v>133.78</v>
      </c>
      <c r="D207" s="789">
        <f t="shared" si="53"/>
        <v>54960.2</v>
      </c>
      <c r="E207" s="789">
        <v>840.38735365935065</v>
      </c>
      <c r="F207" s="789">
        <v>95.293730310374656</v>
      </c>
      <c r="G207" s="789">
        <v>81579.633475267052</v>
      </c>
      <c r="H207" s="789"/>
    </row>
    <row r="208" spans="1:8" x14ac:dyDescent="0.25">
      <c r="A208" s="1506" t="s">
        <v>910</v>
      </c>
      <c r="B208" s="789">
        <f t="shared" ref="B208:D208" si="54">B167</f>
        <v>20.780510517866194</v>
      </c>
      <c r="C208" s="789">
        <f t="shared" si="54"/>
        <v>0</v>
      </c>
      <c r="D208" s="789">
        <f t="shared" si="54"/>
        <v>2390.08</v>
      </c>
      <c r="E208" s="789">
        <v>18.137478137540079</v>
      </c>
      <c r="F208" s="789">
        <v>0</v>
      </c>
      <c r="G208" s="789">
        <v>2153.2066141373848</v>
      </c>
      <c r="H208" s="12"/>
    </row>
    <row r="209" spans="1:8" x14ac:dyDescent="0.25">
      <c r="A209" s="1506" t="s">
        <v>2708</v>
      </c>
      <c r="B209" s="789">
        <f>ROUND(B206*0.2+B207*0.2+B208*0.2,2)</f>
        <v>604.91</v>
      </c>
      <c r="C209" s="789">
        <f t="shared" ref="C209:G209" si="55">ROUND(C206*0.2+C207*0.2+C208*0.2,2)</f>
        <v>401.98</v>
      </c>
      <c r="D209" s="789">
        <f t="shared" si="55"/>
        <v>23560.7</v>
      </c>
      <c r="E209" s="789">
        <f t="shared" si="55"/>
        <v>1151.3599999999999</v>
      </c>
      <c r="F209" s="789">
        <f t="shared" si="55"/>
        <v>881.2</v>
      </c>
      <c r="G209" s="789">
        <f t="shared" si="55"/>
        <v>32093.55</v>
      </c>
      <c r="H209" s="12"/>
    </row>
    <row r="210" spans="1:8" ht="16.95" customHeight="1" x14ac:dyDescent="0.25">
      <c r="A210" s="2137" t="s">
        <v>2848</v>
      </c>
      <c r="B210" s="2138">
        <f t="shared" ref="B210:G210" si="56">SUM(B206:B209)</f>
        <v>3629.4805105178662</v>
      </c>
      <c r="C210" s="2138">
        <f t="shared" si="56"/>
        <v>2411.8900000000003</v>
      </c>
      <c r="D210" s="2138">
        <f t="shared" si="56"/>
        <v>141364.18</v>
      </c>
      <c r="E210" s="2138">
        <f t="shared" si="56"/>
        <v>6908.176174673682</v>
      </c>
      <c r="F210" s="2138">
        <f t="shared" si="56"/>
        <v>5287.1808323422274</v>
      </c>
      <c r="G210" s="2138">
        <f t="shared" si="56"/>
        <v>192561.29430364288</v>
      </c>
      <c r="H210" s="2139">
        <f>B210/E210-1</f>
        <v>-0.47461089312921145</v>
      </c>
    </row>
    <row r="212" spans="1:8" x14ac:dyDescent="0.25">
      <c r="A212" s="5748" t="s">
        <v>2856</v>
      </c>
      <c r="B212" s="5749"/>
      <c r="C212" s="5749"/>
      <c r="D212" s="5749"/>
      <c r="E212" s="5749"/>
      <c r="F212" s="5749"/>
      <c r="G212" s="5749"/>
      <c r="H212" s="5750"/>
    </row>
    <row r="213" spans="1:8" x14ac:dyDescent="0.25">
      <c r="A213" s="1506" t="s">
        <v>908</v>
      </c>
      <c r="B213" s="789">
        <f t="shared" ref="B213:D213" si="57">B138</f>
        <v>2354.1200000000003</v>
      </c>
      <c r="C213" s="789">
        <f t="shared" si="57"/>
        <v>1876.13</v>
      </c>
      <c r="D213" s="789">
        <f t="shared" si="57"/>
        <v>60453.2</v>
      </c>
      <c r="E213" s="789">
        <v>3167.2114709868697</v>
      </c>
      <c r="F213" s="789">
        <v>2642.5978995292503</v>
      </c>
      <c r="G213" s="789">
        <v>68455.071136141298</v>
      </c>
      <c r="H213" s="789"/>
    </row>
    <row r="214" spans="1:8" x14ac:dyDescent="0.25">
      <c r="A214" s="1506" t="s">
        <v>2849</v>
      </c>
      <c r="B214" s="789">
        <f t="shared" ref="B214:D214" si="58">B156</f>
        <v>649.66999999999996</v>
      </c>
      <c r="C214" s="789">
        <f t="shared" si="58"/>
        <v>133.78</v>
      </c>
      <c r="D214" s="789">
        <f t="shared" si="58"/>
        <v>54960.2</v>
      </c>
      <c r="E214" s="789">
        <v>719.25949558278376</v>
      </c>
      <c r="F214" s="789">
        <v>152.59373031037464</v>
      </c>
      <c r="G214" s="789">
        <v>61134.332085596012</v>
      </c>
      <c r="H214" s="789"/>
    </row>
    <row r="215" spans="1:8" x14ac:dyDescent="0.25">
      <c r="A215" s="1506" t="s">
        <v>910</v>
      </c>
      <c r="B215" s="789">
        <f t="shared" ref="B215:D215" si="59">B165</f>
        <v>20.780510517866194</v>
      </c>
      <c r="C215" s="789">
        <f t="shared" si="59"/>
        <v>0</v>
      </c>
      <c r="D215" s="789">
        <f t="shared" si="59"/>
        <v>2390.08</v>
      </c>
      <c r="E215" s="789">
        <v>18.137478137540079</v>
      </c>
      <c r="F215" s="789">
        <v>0</v>
      </c>
      <c r="G215" s="789">
        <v>2153.2066141373848</v>
      </c>
      <c r="H215" s="12"/>
    </row>
    <row r="216" spans="1:8" x14ac:dyDescent="0.25">
      <c r="A216" s="1506" t="s">
        <v>2708</v>
      </c>
      <c r="B216" s="789">
        <f>ROUND(B213*0.2+B214*0.2+B215*0.2,2)</f>
        <v>604.91</v>
      </c>
      <c r="C216" s="789">
        <f t="shared" ref="C216:G216" si="60">ROUND(C213*0.2+C214*0.2+C215*0.2,2)</f>
        <v>401.98</v>
      </c>
      <c r="D216" s="789">
        <f t="shared" si="60"/>
        <v>23560.7</v>
      </c>
      <c r="E216" s="789">
        <f t="shared" si="60"/>
        <v>780.92</v>
      </c>
      <c r="F216" s="789">
        <f t="shared" si="60"/>
        <v>559.04</v>
      </c>
      <c r="G216" s="789">
        <f t="shared" si="60"/>
        <v>26348.52</v>
      </c>
      <c r="H216" s="12"/>
    </row>
    <row r="217" spans="1:8" ht="16.2" customHeight="1" x14ac:dyDescent="0.25">
      <c r="A217" s="2137" t="s">
        <v>2848</v>
      </c>
      <c r="B217" s="2138">
        <f t="shared" ref="B217:G217" si="61">SUM(B213:B216)</f>
        <v>3629.4805105178666</v>
      </c>
      <c r="C217" s="2138">
        <f t="shared" si="61"/>
        <v>2411.8900000000003</v>
      </c>
      <c r="D217" s="2138">
        <f t="shared" si="61"/>
        <v>141364.18</v>
      </c>
      <c r="E217" s="2138">
        <f t="shared" si="61"/>
        <v>4685.5284447071936</v>
      </c>
      <c r="F217" s="2138">
        <f t="shared" si="61"/>
        <v>3354.2316298396249</v>
      </c>
      <c r="G217" s="2138">
        <f t="shared" si="61"/>
        <v>158091.12983587469</v>
      </c>
      <c r="H217" s="2139">
        <f>B217/E217-1</f>
        <v>-0.22538502255433879</v>
      </c>
    </row>
    <row r="218" spans="1:8" ht="9.6" customHeight="1" x14ac:dyDescent="0.25"/>
    <row r="219" spans="1:8" ht="39" customHeight="1" x14ac:dyDescent="0.25">
      <c r="A219" s="2140" t="s">
        <v>3418</v>
      </c>
    </row>
  </sheetData>
  <mergeCells count="66">
    <mergeCell ref="A173:H173"/>
    <mergeCell ref="A179:H179"/>
    <mergeCell ref="A186:H186"/>
    <mergeCell ref="A192:H192"/>
    <mergeCell ref="A212:H212"/>
    <mergeCell ref="A199:H199"/>
    <mergeCell ref="A205:H205"/>
    <mergeCell ref="A169:A172"/>
    <mergeCell ref="A160:A162"/>
    <mergeCell ref="B160:D160"/>
    <mergeCell ref="E160:G160"/>
    <mergeCell ref="H160:H162"/>
    <mergeCell ref="B161:B162"/>
    <mergeCell ref="C161:D161"/>
    <mergeCell ref="E161:E162"/>
    <mergeCell ref="F161:G161"/>
    <mergeCell ref="B169:D169"/>
    <mergeCell ref="E169:G169"/>
    <mergeCell ref="H169:H171"/>
    <mergeCell ref="B170:B171"/>
    <mergeCell ref="C170:D170"/>
    <mergeCell ref="E170:E171"/>
    <mergeCell ref="F170:G170"/>
    <mergeCell ref="A151:A153"/>
    <mergeCell ref="B151:D151"/>
    <mergeCell ref="E151:G151"/>
    <mergeCell ref="H151:H153"/>
    <mergeCell ref="B152:B153"/>
    <mergeCell ref="C152:D152"/>
    <mergeCell ref="E152:E153"/>
    <mergeCell ref="F152:G152"/>
    <mergeCell ref="H133:H135"/>
    <mergeCell ref="A142:A144"/>
    <mergeCell ref="B142:D142"/>
    <mergeCell ref="E142:G142"/>
    <mergeCell ref="H142:H144"/>
    <mergeCell ref="C143:D143"/>
    <mergeCell ref="E143:E144"/>
    <mergeCell ref="F143:G143"/>
    <mergeCell ref="B133:D133"/>
    <mergeCell ref="E133:G133"/>
    <mergeCell ref="E134:E135"/>
    <mergeCell ref="F134:G134"/>
    <mergeCell ref="A133:A135"/>
    <mergeCell ref="B143:B144"/>
    <mergeCell ref="B134:B135"/>
    <mergeCell ref="C134:D134"/>
    <mergeCell ref="A20:E20"/>
    <mergeCell ref="A78:A79"/>
    <mergeCell ref="B78:B79"/>
    <mergeCell ref="C78:C79"/>
    <mergeCell ref="D78:G78"/>
    <mergeCell ref="F20:G20"/>
    <mergeCell ref="A107:A108"/>
    <mergeCell ref="B107:B108"/>
    <mergeCell ref="C107:C108"/>
    <mergeCell ref="D107:G107"/>
    <mergeCell ref="B21:B22"/>
    <mergeCell ref="A21:A22"/>
    <mergeCell ref="C21:C22"/>
    <mergeCell ref="D21:G21"/>
    <mergeCell ref="A50:A51"/>
    <mergeCell ref="B50:B51"/>
    <mergeCell ref="C50:C51"/>
    <mergeCell ref="D50:G50"/>
    <mergeCell ref="A77:E77"/>
  </mergeCells>
  <pageMargins left="0.70866141732283472" right="0.35433070866141736" top="0.59055118110236227" bottom="0.31496062992125984" header="0.31496062992125984" footer="0.31496062992125984"/>
  <pageSetup paperSize="9" scale="96" orientation="portrait" horizontalDpi="0" verticalDpi="0" r:id="rId1"/>
  <headerFooter>
    <oddHeader>&amp;CПорівняння планованих тарифів КП "ЧТЕ" на теплову енергію з встановленими тарифами на теплову енергію</oddHeader>
  </headerFooter>
</worksheet>
</file>

<file path=xl/worksheets/sheet8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600-000000000000}">
  <sheetPr codeName="Лист83">
    <tabColor rgb="FF0070C0"/>
  </sheetPr>
  <dimension ref="A1:K30"/>
  <sheetViews>
    <sheetView topLeftCell="A13" workbookViewId="0">
      <selection activeCell="B13" sqref="B13"/>
    </sheetView>
  </sheetViews>
  <sheetFormatPr defaultColWidth="8.88671875" defaultRowHeight="13.8" x14ac:dyDescent="0.25"/>
  <cols>
    <col min="1" max="1" width="18.88671875" style="10" customWidth="1"/>
    <col min="2" max="2" width="9.109375" style="10" bestFit="1" customWidth="1"/>
    <col min="3" max="5" width="8.88671875" style="10"/>
    <col min="6" max="7" width="11.6640625" style="10" customWidth="1"/>
    <col min="8" max="16384" width="8.88671875" style="10"/>
  </cols>
  <sheetData>
    <row r="1" spans="1:11" ht="18" x14ac:dyDescent="0.35">
      <c r="A1" s="5751" t="s">
        <v>2711</v>
      </c>
      <c r="B1" s="5751"/>
      <c r="C1" s="5751"/>
      <c r="D1" s="5751"/>
      <c r="E1" s="5751"/>
      <c r="F1" s="5751"/>
      <c r="G1" s="5751"/>
    </row>
    <row r="2" spans="1:11" ht="41.4" x14ac:dyDescent="0.25">
      <c r="A2" s="1491" t="s">
        <v>2713</v>
      </c>
      <c r="B2" s="9" t="s">
        <v>869</v>
      </c>
      <c r="C2" s="9" t="s">
        <v>2405</v>
      </c>
      <c r="D2" s="9" t="s">
        <v>2404</v>
      </c>
      <c r="E2" s="9" t="s">
        <v>902</v>
      </c>
      <c r="F2" s="9" t="s">
        <v>2710</v>
      </c>
      <c r="G2" s="9" t="s">
        <v>2712</v>
      </c>
    </row>
    <row r="3" spans="1:11" x14ac:dyDescent="0.25">
      <c r="A3" s="12" t="s">
        <v>2442</v>
      </c>
      <c r="B3" s="789">
        <v>824.92141495592693</v>
      </c>
      <c r="C3" s="789">
        <v>478.38682114309336</v>
      </c>
      <c r="D3" s="789">
        <v>276.60619503707488</v>
      </c>
      <c r="E3" s="789">
        <v>5.6766225798370256</v>
      </c>
      <c r="F3" s="789">
        <f>B3+C3+E3</f>
        <v>1308.9848586788571</v>
      </c>
      <c r="G3" s="789">
        <f>B3+D3+E3</f>
        <v>1107.2042325728387</v>
      </c>
    </row>
    <row r="4" spans="1:11" x14ac:dyDescent="0.25">
      <c r="A4" s="12" t="s">
        <v>2636</v>
      </c>
      <c r="B4" s="789">
        <v>0</v>
      </c>
      <c r="C4" s="789">
        <v>0</v>
      </c>
      <c r="D4" s="789">
        <v>0</v>
      </c>
      <c r="E4" s="789">
        <v>0</v>
      </c>
      <c r="F4" s="789">
        <f>B4+C4+E4</f>
        <v>0</v>
      </c>
      <c r="G4" s="789">
        <f>B4+D4+E4</f>
        <v>0</v>
      </c>
    </row>
    <row r="5" spans="1:11" x14ac:dyDescent="0.25">
      <c r="A5" s="12" t="s">
        <v>2304</v>
      </c>
      <c r="B5" s="789">
        <v>32.676718215960975</v>
      </c>
      <c r="C5" s="789">
        <v>13.727024996932377</v>
      </c>
      <c r="D5" s="789">
        <v>7.9370500727998525</v>
      </c>
      <c r="E5" s="789">
        <v>0.16288730501684437</v>
      </c>
      <c r="F5" s="789">
        <f>B5+C5+E5</f>
        <v>46.566630517910198</v>
      </c>
      <c r="G5" s="789">
        <f>B5+D5+E5</f>
        <v>40.776655593777669</v>
      </c>
    </row>
    <row r="6" spans="1:11" x14ac:dyDescent="0.25">
      <c r="A6" s="12" t="s">
        <v>973</v>
      </c>
      <c r="B6" s="789">
        <v>857.59813317188798</v>
      </c>
      <c r="C6" s="789">
        <v>492.11384614002566</v>
      </c>
      <c r="D6" s="789">
        <v>284.54324510987476</v>
      </c>
      <c r="E6" s="789">
        <v>5.8395098848538707</v>
      </c>
      <c r="F6" s="789">
        <f>B6+C6+E6</f>
        <v>1355.5514891967675</v>
      </c>
      <c r="G6" s="789">
        <f>B6+D6+E6</f>
        <v>1147.9808881666165</v>
      </c>
    </row>
    <row r="7" spans="1:11" x14ac:dyDescent="0.25">
      <c r="A7" s="12" t="s">
        <v>2708</v>
      </c>
      <c r="B7" s="789">
        <f>B6*0.2</f>
        <v>171.5196266343776</v>
      </c>
      <c r="C7" s="789">
        <f>C6*0.2</f>
        <v>98.422769228005137</v>
      </c>
      <c r="D7" s="789">
        <f>D6*0.2</f>
        <v>56.908649021974952</v>
      </c>
      <c r="E7" s="789">
        <f>E6*0.2</f>
        <v>1.1679019769707741</v>
      </c>
      <c r="F7" s="789">
        <f>B7+C7+E7</f>
        <v>271.11029783935351</v>
      </c>
      <c r="G7" s="789">
        <f>B7+D7+E7</f>
        <v>229.59617763332332</v>
      </c>
    </row>
    <row r="8" spans="1:11" s="15" customFormat="1" x14ac:dyDescent="0.25">
      <c r="A8" s="1238" t="s">
        <v>2709</v>
      </c>
      <c r="B8" s="1292">
        <f t="shared" ref="B8:G8" si="0">B6+B7</f>
        <v>1029.1177598062657</v>
      </c>
      <c r="C8" s="1292">
        <f t="shared" si="0"/>
        <v>590.53661536803077</v>
      </c>
      <c r="D8" s="1292">
        <f t="shared" si="0"/>
        <v>341.45189413184971</v>
      </c>
      <c r="E8" s="1292">
        <f t="shared" si="0"/>
        <v>7.0074118618246448</v>
      </c>
      <c r="F8" s="1292">
        <f t="shared" si="0"/>
        <v>1626.661787036121</v>
      </c>
      <c r="G8" s="1292">
        <f t="shared" si="0"/>
        <v>1377.5770657999399</v>
      </c>
    </row>
    <row r="9" spans="1:11" ht="29.4" customHeight="1" x14ac:dyDescent="0.35">
      <c r="A9" s="5751" t="s">
        <v>2714</v>
      </c>
      <c r="B9" s="5751"/>
      <c r="C9" s="5751"/>
      <c r="D9" s="5751"/>
      <c r="E9" s="5751"/>
      <c r="F9" s="5751"/>
      <c r="G9" s="5751"/>
    </row>
    <row r="10" spans="1:11" ht="41.4" x14ac:dyDescent="0.25">
      <c r="A10" s="1491" t="s">
        <v>2713</v>
      </c>
      <c r="B10" s="9" t="s">
        <v>869</v>
      </c>
      <c r="C10" s="9" t="s">
        <v>2405</v>
      </c>
      <c r="D10" s="9" t="s">
        <v>2404</v>
      </c>
      <c r="E10" s="9" t="s">
        <v>902</v>
      </c>
      <c r="F10" s="9" t="s">
        <v>2710</v>
      </c>
      <c r="G10" s="9" t="s">
        <v>2712</v>
      </c>
      <c r="I10" s="9" t="s">
        <v>902</v>
      </c>
      <c r="J10" s="9" t="s">
        <v>2710</v>
      </c>
      <c r="K10" s="9" t="s">
        <v>2712</v>
      </c>
    </row>
    <row r="11" spans="1:11" x14ac:dyDescent="0.25">
      <c r="A11" s="12" t="s">
        <v>2442</v>
      </c>
      <c r="B11" s="789">
        <f>'Д 5 Т на ТЕ з ЦТП'!D11</f>
        <v>1430</v>
      </c>
      <c r="C11" s="789">
        <f>'Д 5 Т на ТЕ з ЦТП'!D15</f>
        <v>925.56</v>
      </c>
      <c r="D11" s="789">
        <f>'Д 5.1 Т на ТЕ без ЦТП'!D15</f>
        <v>542.85</v>
      </c>
      <c r="E11" s="789">
        <f>'Д 5.1 Т на ТЕ без ЦТП'!D19</f>
        <v>19.86</v>
      </c>
      <c r="F11" s="789">
        <f>B11+C11+E11</f>
        <v>2375.42</v>
      </c>
      <c r="G11" s="789">
        <f>B11+D11+E11</f>
        <v>1992.7099999999998</v>
      </c>
      <c r="I11" s="789">
        <f>8.34</f>
        <v>8.34</v>
      </c>
      <c r="J11" s="789">
        <f>B11+C11+I11</f>
        <v>2363.9</v>
      </c>
      <c r="K11" s="789">
        <f>B11+D11+I11</f>
        <v>1981.1899999999998</v>
      </c>
    </row>
    <row r="12" spans="1:11" x14ac:dyDescent="0.25">
      <c r="A12" s="12" t="s">
        <v>2636</v>
      </c>
      <c r="B12" s="789">
        <f>'Д 5 Т на ТЕ з ЦТП'!D12</f>
        <v>0</v>
      </c>
      <c r="C12" s="789">
        <f>'Д 5 Т на ТЕ з ЦТП'!D16</f>
        <v>0</v>
      </c>
      <c r="D12" s="789">
        <f>'Д 5.1 Т на ТЕ без ЦТП'!D16</f>
        <v>0</v>
      </c>
      <c r="E12" s="789">
        <f>'Д 5.1 Т на ТЕ без ЦТП'!D20</f>
        <v>0</v>
      </c>
      <c r="F12" s="789">
        <f>B12+C12+E12</f>
        <v>0</v>
      </c>
      <c r="G12" s="789">
        <f>B12+D12+E12</f>
        <v>0</v>
      </c>
      <c r="I12" s="789">
        <v>0</v>
      </c>
      <c r="J12" s="789">
        <f>B12+C12+I12</f>
        <v>0</v>
      </c>
      <c r="K12" s="789">
        <f>B12+D12+I12</f>
        <v>0</v>
      </c>
    </row>
    <row r="13" spans="1:11" x14ac:dyDescent="0.25">
      <c r="A13" s="12" t="s">
        <v>2304</v>
      </c>
      <c r="B13" s="789">
        <f>'Д 5 Т на ТЕ з ЦТП'!D13</f>
        <v>66.27</v>
      </c>
      <c r="C13" s="789">
        <f>'Д 5 Т на ТЕ з ЦТП'!D17</f>
        <v>42.89</v>
      </c>
      <c r="D13" s="789">
        <f>'Д 5.1 Т на ТЕ без ЦТП'!D17</f>
        <v>25.16</v>
      </c>
      <c r="E13" s="789">
        <f>'Д 5.1 Т на ТЕ без ЦТП'!D21</f>
        <v>0.92051051786619476</v>
      </c>
      <c r="F13" s="789">
        <f>B13+C13+E13</f>
        <v>110.08051051786619</v>
      </c>
      <c r="G13" s="789">
        <f>B13+D13+E13</f>
        <v>92.350510517866184</v>
      </c>
      <c r="I13" s="789">
        <v>0.48</v>
      </c>
      <c r="J13" s="789">
        <f>B13+C13+I13</f>
        <v>109.64</v>
      </c>
      <c r="K13" s="789">
        <f>B13+D13+I13</f>
        <v>91.91</v>
      </c>
    </row>
    <row r="14" spans="1:11" x14ac:dyDescent="0.25">
      <c r="A14" s="12" t="s">
        <v>973</v>
      </c>
      <c r="B14" s="789">
        <f t="shared" ref="B14:G14" si="1">SUM(B11:B13)</f>
        <v>1496.27</v>
      </c>
      <c r="C14" s="789">
        <f t="shared" si="1"/>
        <v>968.44999999999993</v>
      </c>
      <c r="D14" s="789">
        <f t="shared" si="1"/>
        <v>568.01</v>
      </c>
      <c r="E14" s="789">
        <f t="shared" si="1"/>
        <v>20.780510517866194</v>
      </c>
      <c r="F14" s="789">
        <f t="shared" si="1"/>
        <v>2485.5005105178661</v>
      </c>
      <c r="G14" s="789">
        <f t="shared" si="1"/>
        <v>2085.0605105178661</v>
      </c>
      <c r="I14" s="789">
        <v>8.82</v>
      </c>
      <c r="J14" s="789">
        <f>B14+C14+I14</f>
        <v>2473.54</v>
      </c>
      <c r="K14" s="789">
        <f>B14+D14+I14</f>
        <v>2073.1</v>
      </c>
    </row>
    <row r="15" spans="1:11" x14ac:dyDescent="0.25">
      <c r="A15" s="12" t="s">
        <v>2708</v>
      </c>
      <c r="B15" s="789">
        <f t="shared" ref="B15:G15" si="2">B14*0.2</f>
        <v>299.25400000000002</v>
      </c>
      <c r="C15" s="789">
        <f t="shared" si="2"/>
        <v>193.69</v>
      </c>
      <c r="D15" s="789">
        <f t="shared" si="2"/>
        <v>113.602</v>
      </c>
      <c r="E15" s="789">
        <f t="shared" si="2"/>
        <v>4.1561021035732386</v>
      </c>
      <c r="F15" s="789">
        <f t="shared" si="2"/>
        <v>497.10010210357325</v>
      </c>
      <c r="G15" s="789">
        <f t="shared" si="2"/>
        <v>417.01210210357323</v>
      </c>
      <c r="I15" s="789">
        <f>I14*0.2</f>
        <v>1.7640000000000002</v>
      </c>
      <c r="J15" s="789">
        <f>B15+C15+I15</f>
        <v>494.70800000000003</v>
      </c>
      <c r="K15" s="789">
        <f>B15+D15+I15</f>
        <v>414.62</v>
      </c>
    </row>
    <row r="16" spans="1:11" s="15" customFormat="1" x14ac:dyDescent="0.25">
      <c r="A16" s="1238" t="s">
        <v>2709</v>
      </c>
      <c r="B16" s="1292">
        <f t="shared" ref="B16:G16" si="3">B14+B15</f>
        <v>1795.5239999999999</v>
      </c>
      <c r="C16" s="1292">
        <f t="shared" si="3"/>
        <v>1162.1399999999999</v>
      </c>
      <c r="D16" s="1292">
        <f t="shared" si="3"/>
        <v>681.61199999999997</v>
      </c>
      <c r="E16" s="1292">
        <f t="shared" si="3"/>
        <v>24.936612621439433</v>
      </c>
      <c r="F16" s="1292">
        <f t="shared" si="3"/>
        <v>2982.6006126214393</v>
      </c>
      <c r="G16" s="1292">
        <f t="shared" si="3"/>
        <v>2502.0726126214395</v>
      </c>
      <c r="I16" s="1292">
        <f>I14+I15</f>
        <v>10.584</v>
      </c>
      <c r="J16" s="1292">
        <f>J14+J15</f>
        <v>2968.248</v>
      </c>
      <c r="K16" s="1292">
        <f>K14+K15</f>
        <v>2487.7199999999998</v>
      </c>
    </row>
    <row r="18" spans="1:11" x14ac:dyDescent="0.25">
      <c r="A18" s="12" t="s">
        <v>2309</v>
      </c>
      <c r="B18" s="1673">
        <f t="shared" ref="B18:G18" si="4">B16/B8-1</f>
        <v>0.74472161508320722</v>
      </c>
      <c r="C18" s="1673">
        <f t="shared" si="4"/>
        <v>0.96793893851228474</v>
      </c>
      <c r="D18" s="1673">
        <f t="shared" si="4"/>
        <v>0.99621677815850496</v>
      </c>
      <c r="E18" s="1673">
        <f t="shared" si="4"/>
        <v>2.5586052472940048</v>
      </c>
      <c r="F18" s="1675">
        <f t="shared" si="4"/>
        <v>0.83357145067993699</v>
      </c>
      <c r="G18" s="1675">
        <f t="shared" si="4"/>
        <v>0.81628503750425074</v>
      </c>
      <c r="I18" s="1674">
        <f>I16/E8-1</f>
        <v>0.51040073121148821</v>
      </c>
      <c r="J18" s="1221">
        <f>J16/F8-1</f>
        <v>0.82474809678066663</v>
      </c>
      <c r="K18" s="1221">
        <f>K16/G8-1</f>
        <v>0.8058663008848912</v>
      </c>
    </row>
    <row r="19" spans="1:11" x14ac:dyDescent="0.25">
      <c r="J19" s="902">
        <f>F18-J18</f>
        <v>8.8233538992703586E-3</v>
      </c>
      <c r="K19" s="902">
        <f>G18-K18</f>
        <v>1.0418736619359548E-2</v>
      </c>
    </row>
    <row r="20" spans="1:11" ht="37.950000000000003" customHeight="1" x14ac:dyDescent="0.35">
      <c r="A20" s="5752" t="s">
        <v>2715</v>
      </c>
      <c r="B20" s="5752"/>
      <c r="C20" s="5752"/>
      <c r="D20" s="5752"/>
      <c r="E20" s="5752"/>
      <c r="F20" s="5752"/>
      <c r="G20" s="5752"/>
    </row>
    <row r="21" spans="1:11" ht="41.4" x14ac:dyDescent="0.25">
      <c r="A21" s="1491" t="s">
        <v>2713</v>
      </c>
      <c r="B21" s="9" t="s">
        <v>869</v>
      </c>
      <c r="C21" s="9" t="s">
        <v>2405</v>
      </c>
      <c r="D21" s="9" t="s">
        <v>2404</v>
      </c>
      <c r="E21" s="9" t="s">
        <v>902</v>
      </c>
      <c r="F21" s="9" t="s">
        <v>2710</v>
      </c>
      <c r="G21" s="9" t="s">
        <v>2712</v>
      </c>
      <c r="I21" s="9" t="s">
        <v>902</v>
      </c>
      <c r="J21" s="9" t="s">
        <v>2710</v>
      </c>
      <c r="K21" s="9" t="s">
        <v>2712</v>
      </c>
    </row>
    <row r="22" spans="1:11" x14ac:dyDescent="0.25">
      <c r="A22" s="12" t="s">
        <v>2442</v>
      </c>
      <c r="B22" s="789">
        <f>B11</f>
        <v>1430</v>
      </c>
      <c r="C22" s="789">
        <f>C11</f>
        <v>925.56</v>
      </c>
      <c r="D22" s="789">
        <f>D11</f>
        <v>542.85</v>
      </c>
      <c r="E22" s="789">
        <f>E11</f>
        <v>19.86</v>
      </c>
      <c r="F22" s="789">
        <f>B22+C22+E22</f>
        <v>2375.42</v>
      </c>
      <c r="G22" s="789">
        <f>B22+D22+E22</f>
        <v>1992.7099999999998</v>
      </c>
      <c r="I22" s="789">
        <f>8.34</f>
        <v>8.34</v>
      </c>
      <c r="J22" s="789">
        <f>B22+C22+I22</f>
        <v>2363.9</v>
      </c>
      <c r="K22" s="789">
        <f>B22+D22+I22</f>
        <v>1981.1899999999998</v>
      </c>
    </row>
    <row r="23" spans="1:11" x14ac:dyDescent="0.25">
      <c r="A23" s="12" t="s">
        <v>2636</v>
      </c>
      <c r="B23" s="789">
        <v>0</v>
      </c>
      <c r="C23" s="789">
        <f t="shared" ref="B23:E24" si="5">C12</f>
        <v>0</v>
      </c>
      <c r="D23" s="789">
        <f t="shared" si="5"/>
        <v>0</v>
      </c>
      <c r="E23" s="789">
        <f t="shared" si="5"/>
        <v>0</v>
      </c>
      <c r="F23" s="789">
        <f>B23+C23+E23</f>
        <v>0</v>
      </c>
      <c r="G23" s="789">
        <f>B23+D23+E23</f>
        <v>0</v>
      </c>
      <c r="I23" s="789">
        <v>0</v>
      </c>
      <c r="J23" s="789">
        <f>B23+C23+I23</f>
        <v>0</v>
      </c>
      <c r="K23" s="789">
        <f>B23+D23+I23</f>
        <v>0</v>
      </c>
    </row>
    <row r="24" spans="1:11" x14ac:dyDescent="0.25">
      <c r="A24" s="12" t="s">
        <v>2304</v>
      </c>
      <c r="B24" s="789">
        <f t="shared" si="5"/>
        <v>66.27</v>
      </c>
      <c r="C24" s="789">
        <f t="shared" si="5"/>
        <v>42.89</v>
      </c>
      <c r="D24" s="789">
        <f t="shared" si="5"/>
        <v>25.16</v>
      </c>
      <c r="E24" s="789">
        <f t="shared" si="5"/>
        <v>0.92051051786619476</v>
      </c>
      <c r="F24" s="789">
        <f>B24+C24+E24</f>
        <v>110.08051051786619</v>
      </c>
      <c r="G24" s="789">
        <f>B24+D24+E24</f>
        <v>92.350510517866184</v>
      </c>
      <c r="I24" s="789">
        <v>0.48</v>
      </c>
      <c r="J24" s="789">
        <f>B24+C24+I24</f>
        <v>109.64</v>
      </c>
      <c r="K24" s="789">
        <f>B24+D24+I24</f>
        <v>91.91</v>
      </c>
    </row>
    <row r="25" spans="1:11" x14ac:dyDescent="0.25">
      <c r="A25" s="12" t="s">
        <v>973</v>
      </c>
      <c r="B25" s="789">
        <f t="shared" ref="B25:G25" si="6">SUM(B22:B24)</f>
        <v>1496.27</v>
      </c>
      <c r="C25" s="789">
        <f t="shared" si="6"/>
        <v>968.44999999999993</v>
      </c>
      <c r="D25" s="789">
        <f t="shared" si="6"/>
        <v>568.01</v>
      </c>
      <c r="E25" s="789">
        <f t="shared" si="6"/>
        <v>20.780510517866194</v>
      </c>
      <c r="F25" s="789">
        <f t="shared" si="6"/>
        <v>2485.5005105178661</v>
      </c>
      <c r="G25" s="789">
        <f t="shared" si="6"/>
        <v>2085.0605105178661</v>
      </c>
      <c r="I25" s="789">
        <v>8.82</v>
      </c>
      <c r="J25" s="789">
        <f>B25+C25+I25</f>
        <v>2473.54</v>
      </c>
      <c r="K25" s="789">
        <f>B25+D25+I25</f>
        <v>2073.1</v>
      </c>
    </row>
    <row r="26" spans="1:11" x14ac:dyDescent="0.25">
      <c r="A26" s="12" t="s">
        <v>2708</v>
      </c>
      <c r="B26" s="789">
        <f t="shared" ref="B26:G26" si="7">B25*0.2</f>
        <v>299.25400000000002</v>
      </c>
      <c r="C26" s="789">
        <f t="shared" si="7"/>
        <v>193.69</v>
      </c>
      <c r="D26" s="789">
        <f t="shared" si="7"/>
        <v>113.602</v>
      </c>
      <c r="E26" s="789">
        <f t="shared" si="7"/>
        <v>4.1561021035732386</v>
      </c>
      <c r="F26" s="789">
        <f t="shared" si="7"/>
        <v>497.10010210357325</v>
      </c>
      <c r="G26" s="789">
        <f t="shared" si="7"/>
        <v>417.01210210357323</v>
      </c>
      <c r="I26" s="789">
        <f>I25*0.2</f>
        <v>1.7640000000000002</v>
      </c>
      <c r="J26" s="789">
        <f>B26+C26+I26</f>
        <v>494.70800000000003</v>
      </c>
      <c r="K26" s="789">
        <f>B26+D26+I26</f>
        <v>414.62</v>
      </c>
    </row>
    <row r="27" spans="1:11" x14ac:dyDescent="0.25">
      <c r="A27" s="1238" t="s">
        <v>2709</v>
      </c>
      <c r="B27" s="1292">
        <f t="shared" ref="B27:G27" si="8">B25+B26</f>
        <v>1795.5239999999999</v>
      </c>
      <c r="C27" s="1292">
        <f t="shared" si="8"/>
        <v>1162.1399999999999</v>
      </c>
      <c r="D27" s="1292">
        <f t="shared" si="8"/>
        <v>681.61199999999997</v>
      </c>
      <c r="E27" s="1292">
        <f t="shared" si="8"/>
        <v>24.936612621439433</v>
      </c>
      <c r="F27" s="1292">
        <f t="shared" si="8"/>
        <v>2982.6006126214393</v>
      </c>
      <c r="G27" s="1292">
        <f t="shared" si="8"/>
        <v>2502.0726126214395</v>
      </c>
      <c r="I27" s="1292">
        <f>I25+I26</f>
        <v>10.584</v>
      </c>
      <c r="J27" s="1292">
        <f>J25+J26</f>
        <v>2968.248</v>
      </c>
      <c r="K27" s="1292">
        <f>K25+K26</f>
        <v>2487.7199999999998</v>
      </c>
    </row>
    <row r="29" spans="1:11" x14ac:dyDescent="0.25">
      <c r="A29" s="12" t="s">
        <v>2309</v>
      </c>
      <c r="B29" s="1673">
        <f t="shared" ref="B29:G29" si="9">B27/B8-1</f>
        <v>0.74472161508320722</v>
      </c>
      <c r="C29" s="1673">
        <f t="shared" si="9"/>
        <v>0.96793893851228474</v>
      </c>
      <c r="D29" s="1673">
        <f t="shared" si="9"/>
        <v>0.99621677815850496</v>
      </c>
      <c r="E29" s="1673">
        <f t="shared" si="9"/>
        <v>2.5586052472940048</v>
      </c>
      <c r="F29" s="1673">
        <f t="shared" si="9"/>
        <v>0.83357145067993699</v>
      </c>
      <c r="G29" s="1673">
        <f t="shared" si="9"/>
        <v>0.81628503750425074</v>
      </c>
      <c r="I29" s="1674">
        <f>I27/E8-1</f>
        <v>0.51040073121148821</v>
      </c>
      <c r="J29" s="1674">
        <f>J27/F8-1</f>
        <v>0.82474809678066663</v>
      </c>
      <c r="K29" s="1674">
        <f>K27/G8-1</f>
        <v>0.8058663008848912</v>
      </c>
    </row>
    <row r="30" spans="1:11" x14ac:dyDescent="0.25">
      <c r="J30" s="902">
        <f>F29-J29</f>
        <v>8.8233538992703586E-3</v>
      </c>
      <c r="K30" s="902">
        <f>G29-K29</f>
        <v>1.0418736619359548E-2</v>
      </c>
    </row>
  </sheetData>
  <mergeCells count="3">
    <mergeCell ref="A1:G1"/>
    <mergeCell ref="A9:G9"/>
    <mergeCell ref="A20:G20"/>
  </mergeCells>
  <pageMargins left="0.7" right="0.7" top="0.75" bottom="0.75" header="0.3" footer="0.3"/>
  <pageSetup paperSize="9" orientation="portrait" horizontalDpi="0" verticalDpi="0" r:id="rId1"/>
</worksheet>
</file>

<file path=xl/worksheets/sheet8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700-000000000000}">
  <sheetPr codeName="Лист84">
    <pageSetUpPr fitToPage="1"/>
  </sheetPr>
  <dimension ref="A1:J94"/>
  <sheetViews>
    <sheetView workbookViewId="0">
      <selection activeCell="F39" sqref="F39"/>
    </sheetView>
  </sheetViews>
  <sheetFormatPr defaultColWidth="8.88671875" defaultRowHeight="15.6" x14ac:dyDescent="0.3"/>
  <cols>
    <col min="1" max="1" width="27.109375" style="45" customWidth="1"/>
    <col min="2" max="2" width="13.5546875" style="45" customWidth="1"/>
    <col min="3" max="3" width="16.6640625" style="45" customWidth="1"/>
    <col min="4" max="4" width="12.88671875" style="45" customWidth="1"/>
    <col min="5" max="5" width="11.33203125" style="45" customWidth="1"/>
    <col min="6" max="6" width="27.109375" style="45" customWidth="1"/>
    <col min="7" max="7" width="13.33203125" style="45" customWidth="1"/>
    <col min="8" max="8" width="14.88671875" style="45" customWidth="1"/>
    <col min="9" max="9" width="12.88671875" style="45" customWidth="1"/>
    <col min="10" max="10" width="7.33203125" style="45" customWidth="1"/>
    <col min="11" max="16384" width="8.88671875" style="45"/>
  </cols>
  <sheetData>
    <row r="1" spans="1:10" ht="50.4" customHeight="1" x14ac:dyDescent="0.3">
      <c r="A1" s="1224" t="s">
        <v>2332</v>
      </c>
      <c r="B1" s="1227" t="s">
        <v>2330</v>
      </c>
      <c r="C1" s="7" t="s">
        <v>2699</v>
      </c>
      <c r="D1" s="1227" t="s">
        <v>2340</v>
      </c>
      <c r="F1" s="1230" t="s">
        <v>2342</v>
      </c>
      <c r="G1" s="7" t="s">
        <v>2330</v>
      </c>
      <c r="H1" s="7" t="s">
        <v>2699</v>
      </c>
      <c r="I1" s="7" t="s">
        <v>2343</v>
      </c>
    </row>
    <row r="2" spans="1:10" x14ac:dyDescent="0.3">
      <c r="A2" s="1230">
        <v>1</v>
      </c>
      <c r="B2" s="7">
        <v>2</v>
      </c>
      <c r="C2" s="7">
        <v>3</v>
      </c>
      <c r="D2" s="7">
        <v>4</v>
      </c>
      <c r="F2" s="1230">
        <v>1</v>
      </c>
      <c r="G2" s="7">
        <v>2</v>
      </c>
      <c r="H2" s="7">
        <v>3</v>
      </c>
      <c r="I2" s="7">
        <v>4</v>
      </c>
    </row>
    <row r="3" spans="1:10" x14ac:dyDescent="0.3">
      <c r="A3" s="1228" t="s">
        <v>2331</v>
      </c>
      <c r="B3" s="1234">
        <f>G3/$G$17</f>
        <v>0.57258142382865918</v>
      </c>
      <c r="C3" s="1233" t="e">
        <f>H3/$H$17</f>
        <v>#REF!</v>
      </c>
      <c r="D3" s="1226" t="e">
        <f>C3-B3</f>
        <v>#REF!</v>
      </c>
      <c r="F3" s="1228" t="s">
        <v>2331</v>
      </c>
      <c r="G3" s="1225">
        <v>80140.501335624998</v>
      </c>
      <c r="H3" s="1225">
        <f>C25</f>
        <v>118804.3607936293</v>
      </c>
      <c r="I3" s="1235">
        <f>H3-G3</f>
        <v>38663.859458004299</v>
      </c>
      <c r="J3" s="1514">
        <f>H3/G3-1</f>
        <v>0.48245093072330181</v>
      </c>
    </row>
    <row r="4" spans="1:10" hidden="1" x14ac:dyDescent="0.3">
      <c r="A4" s="1664" t="s">
        <v>440</v>
      </c>
      <c r="B4" s="1665">
        <f t="shared" ref="B4:B17" si="0">G4/$G$17</f>
        <v>0.48548486540630492</v>
      </c>
      <c r="C4" s="1666" t="e">
        <f t="shared" ref="C4:C17" si="1">H4/$H$17</f>
        <v>#REF!</v>
      </c>
      <c r="D4" s="1667" t="e">
        <f t="shared" ref="D4:D16" si="2">C4-B4</f>
        <v>#REF!</v>
      </c>
      <c r="F4" s="1664" t="s">
        <v>440</v>
      </c>
      <c r="G4" s="1669">
        <v>67950.161995060349</v>
      </c>
      <c r="H4" s="1669">
        <f>'Д 2_Т на В'!H15</f>
        <v>106894.19194377559</v>
      </c>
      <c r="I4" s="1670">
        <f t="shared" ref="I4:I17" si="3">H4-G4</f>
        <v>38944.029948715237</v>
      </c>
      <c r="J4" s="1514">
        <f t="shared" ref="J4:J17" si="4">H4/G4-1</f>
        <v>0.57312637387893628</v>
      </c>
    </row>
    <row r="5" spans="1:10" hidden="1" x14ac:dyDescent="0.3">
      <c r="A5" s="1664" t="s">
        <v>1895</v>
      </c>
      <c r="B5" s="1665">
        <f t="shared" si="0"/>
        <v>1.5027685778818073E-2</v>
      </c>
      <c r="C5" s="1666" t="e">
        <f t="shared" si="1"/>
        <v>#REF!</v>
      </c>
      <c r="D5" s="1667" t="e">
        <f t="shared" si="2"/>
        <v>#REF!</v>
      </c>
      <c r="F5" s="1664" t="s">
        <v>1895</v>
      </c>
      <c r="G5" s="1669">
        <v>2103.3275305646457</v>
      </c>
      <c r="H5" s="1669">
        <f>'Д 2_Т на В'!H16</f>
        <v>1959.8215398537277</v>
      </c>
      <c r="I5" s="1670">
        <f t="shared" si="3"/>
        <v>-143.50599071091801</v>
      </c>
      <c r="J5" s="1514">
        <f t="shared" si="4"/>
        <v>-6.8228076048808872E-2</v>
      </c>
    </row>
    <row r="6" spans="1:10" hidden="1" x14ac:dyDescent="0.3">
      <c r="A6" s="1668" t="s">
        <v>1990</v>
      </c>
      <c r="B6" s="1665">
        <f t="shared" si="0"/>
        <v>7.2068872643536203E-2</v>
      </c>
      <c r="C6" s="1666" t="e">
        <f t="shared" si="1"/>
        <v>#REF!</v>
      </c>
      <c r="D6" s="1667" t="e">
        <f t="shared" si="2"/>
        <v>#REF!</v>
      </c>
      <c r="F6" s="1668" t="s">
        <v>1990</v>
      </c>
      <c r="G6" s="1669">
        <v>10087.01181</v>
      </c>
      <c r="H6" s="1669">
        <f>'Д 2_Т на В'!H17</f>
        <v>9950.3473099999992</v>
      </c>
      <c r="I6" s="1670">
        <f t="shared" si="3"/>
        <v>-136.66450000000077</v>
      </c>
      <c r="J6" s="1514">
        <f t="shared" si="4"/>
        <v>-1.354856151397732E-2</v>
      </c>
    </row>
    <row r="7" spans="1:10" ht="28.2" customHeight="1" x14ac:dyDescent="0.3">
      <c r="A7" s="1737" t="s">
        <v>2333</v>
      </c>
      <c r="B7" s="1234">
        <f t="shared" si="0"/>
        <v>6.3748566033479628E-2</v>
      </c>
      <c r="C7" s="1233" t="e">
        <f t="shared" si="1"/>
        <v>#REF!</v>
      </c>
      <c r="D7" s="1226" t="e">
        <f t="shared" si="2"/>
        <v>#REF!</v>
      </c>
      <c r="F7" s="1228" t="s">
        <v>2551</v>
      </c>
      <c r="G7" s="1225">
        <v>8922.4725580322629</v>
      </c>
      <c r="H7" s="1225" t="e">
        <f>C26+C42</f>
        <v>#REF!</v>
      </c>
      <c r="I7" s="1235" t="e">
        <f t="shared" si="3"/>
        <v>#REF!</v>
      </c>
      <c r="J7" s="1514" t="e">
        <f t="shared" si="4"/>
        <v>#REF!</v>
      </c>
    </row>
    <row r="8" spans="1:10" x14ac:dyDescent="0.3">
      <c r="A8" s="1228" t="s">
        <v>2334</v>
      </c>
      <c r="B8" s="1234">
        <f t="shared" si="0"/>
        <v>4.9691205610563503E-3</v>
      </c>
      <c r="C8" s="1233" t="e">
        <f t="shared" si="1"/>
        <v>#REF!</v>
      </c>
      <c r="D8" s="1226" t="e">
        <f t="shared" si="2"/>
        <v>#REF!</v>
      </c>
      <c r="F8" s="1228" t="s">
        <v>2334</v>
      </c>
      <c r="G8" s="1225">
        <v>695.49551624885555</v>
      </c>
      <c r="H8" s="1225" t="e">
        <f>C27+C43</f>
        <v>#REF!</v>
      </c>
      <c r="I8" s="1235" t="e">
        <f t="shared" si="3"/>
        <v>#REF!</v>
      </c>
      <c r="J8" s="1514" t="e">
        <f t="shared" si="4"/>
        <v>#REF!</v>
      </c>
    </row>
    <row r="9" spans="1:10" ht="31.2" x14ac:dyDescent="0.3">
      <c r="A9" s="1228" t="s">
        <v>2341</v>
      </c>
      <c r="B9" s="1234">
        <f t="shared" si="0"/>
        <v>6.8206437940107334E-2</v>
      </c>
      <c r="C9" s="1233" t="e">
        <f t="shared" si="1"/>
        <v>#REF!</v>
      </c>
      <c r="D9" s="1226" t="e">
        <f t="shared" si="2"/>
        <v>#REF!</v>
      </c>
      <c r="F9" s="1228" t="s">
        <v>2341</v>
      </c>
      <c r="G9" s="1225">
        <v>9546.4119221462643</v>
      </c>
      <c r="H9" s="1225" t="e">
        <f>C41</f>
        <v>#REF!</v>
      </c>
      <c r="I9" s="1235" t="e">
        <f t="shared" si="3"/>
        <v>#REF!</v>
      </c>
      <c r="J9" s="1514" t="e">
        <f t="shared" si="4"/>
        <v>#REF!</v>
      </c>
    </row>
    <row r="10" spans="1:10" ht="30.6" customHeight="1" x14ac:dyDescent="0.3">
      <c r="A10" s="1228" t="s">
        <v>2335</v>
      </c>
      <c r="B10" s="1234">
        <f t="shared" si="0"/>
        <v>1.877479850064212E-2</v>
      </c>
      <c r="C10" s="1233" t="e">
        <f t="shared" si="1"/>
        <v>#REF!</v>
      </c>
      <c r="D10" s="1226" t="e">
        <f t="shared" si="2"/>
        <v>#REF!</v>
      </c>
      <c r="F10" s="1228" t="s">
        <v>2335</v>
      </c>
      <c r="G10" s="1225">
        <v>2627.7865499999998</v>
      </c>
      <c r="H10" s="1225" t="e">
        <f>C30+C46+C61+C76+C91</f>
        <v>#REF!</v>
      </c>
      <c r="I10" s="1235" t="e">
        <f t="shared" si="3"/>
        <v>#REF!</v>
      </c>
      <c r="J10" s="1514" t="e">
        <f t="shared" si="4"/>
        <v>#REF!</v>
      </c>
    </row>
    <row r="11" spans="1:10" x14ac:dyDescent="0.3">
      <c r="A11" s="713" t="s">
        <v>2294</v>
      </c>
      <c r="B11" s="1234">
        <f t="shared" si="0"/>
        <v>0.17004577042231783</v>
      </c>
      <c r="C11" s="1233" t="e">
        <f t="shared" si="1"/>
        <v>#REF!</v>
      </c>
      <c r="D11" s="1226" t="e">
        <f t="shared" si="2"/>
        <v>#REF!</v>
      </c>
      <c r="F11" s="713" t="s">
        <v>2294</v>
      </c>
      <c r="G11" s="1225">
        <v>23800.201551290789</v>
      </c>
      <c r="H11" s="1225" t="e">
        <f>C23+C39+C54+C69+C84</f>
        <v>#REF!</v>
      </c>
      <c r="I11" s="1235" t="e">
        <f t="shared" si="3"/>
        <v>#REF!</v>
      </c>
      <c r="J11" s="1514" t="e">
        <f t="shared" si="4"/>
        <v>#REF!</v>
      </c>
    </row>
    <row r="12" spans="1:10" x14ac:dyDescent="0.3">
      <c r="A12" s="1228" t="s">
        <v>2336</v>
      </c>
      <c r="B12" s="1234">
        <f t="shared" si="0"/>
        <v>3.6742733100176658E-2</v>
      </c>
      <c r="C12" s="1233" t="e">
        <f t="shared" si="1"/>
        <v>#REF!</v>
      </c>
      <c r="D12" s="1226" t="e">
        <f t="shared" si="2"/>
        <v>#REF!</v>
      </c>
      <c r="F12" s="1228" t="s">
        <v>2336</v>
      </c>
      <c r="G12" s="1225">
        <v>5142.6416026559127</v>
      </c>
      <c r="H12" s="1225" t="e">
        <f>C24+C40+C55+C70+C85</f>
        <v>#REF!</v>
      </c>
      <c r="I12" s="1235" t="e">
        <f t="shared" si="3"/>
        <v>#REF!</v>
      </c>
      <c r="J12" s="1514" t="e">
        <f t="shared" si="4"/>
        <v>#REF!</v>
      </c>
    </row>
    <row r="13" spans="1:10" x14ac:dyDescent="0.3">
      <c r="A13" s="1228" t="s">
        <v>2337</v>
      </c>
      <c r="B13" s="1234">
        <f t="shared" si="0"/>
        <v>4.1467740947829408E-2</v>
      </c>
      <c r="C13" s="1233" t="e">
        <f t="shared" si="1"/>
        <v>#REF!</v>
      </c>
      <c r="D13" s="1226" t="e">
        <f t="shared" si="2"/>
        <v>#REF!</v>
      </c>
      <c r="F13" s="1228" t="s">
        <v>2337</v>
      </c>
      <c r="G13" s="1231">
        <v>5803.9702486214974</v>
      </c>
      <c r="H13" s="1231" t="e">
        <f>C28+C44+C59+C74+C89</f>
        <v>#REF!</v>
      </c>
      <c r="I13" s="1235" t="e">
        <f t="shared" si="3"/>
        <v>#REF!</v>
      </c>
      <c r="J13" s="1514" t="e">
        <f t="shared" si="4"/>
        <v>#REF!</v>
      </c>
    </row>
    <row r="14" spans="1:10" x14ac:dyDescent="0.3">
      <c r="A14" s="1228" t="s">
        <v>2338</v>
      </c>
      <c r="B14" s="1234">
        <f t="shared" si="0"/>
        <v>2.8048587954426101E-3</v>
      </c>
      <c r="C14" s="1233" t="e">
        <f t="shared" si="1"/>
        <v>#REF!</v>
      </c>
      <c r="D14" s="1226" t="e">
        <f t="shared" si="2"/>
        <v>#REF!</v>
      </c>
      <c r="F14" s="1228" t="s">
        <v>2338</v>
      </c>
      <c r="G14" s="1225">
        <v>392.57785999999999</v>
      </c>
      <c r="H14" s="1225" t="e">
        <f>C29+C45</f>
        <v>#REF!</v>
      </c>
      <c r="I14" s="1235" t="e">
        <f t="shared" si="3"/>
        <v>#REF!</v>
      </c>
      <c r="J14" s="1514" t="e">
        <f t="shared" si="4"/>
        <v>#REF!</v>
      </c>
    </row>
    <row r="15" spans="1:10" x14ac:dyDescent="0.3">
      <c r="A15" s="713" t="s">
        <v>2339</v>
      </c>
      <c r="B15" s="1234">
        <f t="shared" si="0"/>
        <v>2.0658549870288929E-2</v>
      </c>
      <c r="C15" s="1233" t="e">
        <f t="shared" si="1"/>
        <v>#REF!</v>
      </c>
      <c r="D15" s="1226" t="e">
        <f t="shared" si="2"/>
        <v>#REF!</v>
      </c>
      <c r="F15" s="713" t="s">
        <v>2339</v>
      </c>
      <c r="G15" s="1225">
        <v>2891.4429888444788</v>
      </c>
      <c r="H15" s="1225" t="e">
        <f>H17-H3-H7-H8-H9-H10-H11-H12-H13-H14-H16</f>
        <v>#REF!</v>
      </c>
      <c r="I15" s="1235" t="e">
        <f t="shared" si="3"/>
        <v>#REF!</v>
      </c>
      <c r="J15" s="1514" t="e">
        <f t="shared" si="4"/>
        <v>#REF!</v>
      </c>
    </row>
    <row r="16" spans="1:10" x14ac:dyDescent="0.3">
      <c r="A16" s="713" t="s">
        <v>2654</v>
      </c>
      <c r="B16" s="1234">
        <f t="shared" si="0"/>
        <v>0</v>
      </c>
      <c r="C16" s="1233" t="e">
        <f t="shared" si="1"/>
        <v>#REF!</v>
      </c>
      <c r="D16" s="1226" t="e">
        <f t="shared" si="2"/>
        <v>#REF!</v>
      </c>
      <c r="F16" s="713" t="s">
        <v>2654</v>
      </c>
      <c r="G16" s="1225"/>
      <c r="H16" s="1225">
        <f>'сведено-економ'!C15</f>
        <v>0</v>
      </c>
      <c r="I16" s="1235">
        <f t="shared" si="3"/>
        <v>0</v>
      </c>
      <c r="J16" s="1514"/>
    </row>
    <row r="17" spans="1:10" s="44" customFormat="1" x14ac:dyDescent="0.3">
      <c r="A17" s="1229" t="s">
        <v>786</v>
      </c>
      <c r="B17" s="1234">
        <f t="shared" si="0"/>
        <v>1</v>
      </c>
      <c r="C17" s="1233" t="e">
        <f t="shared" si="1"/>
        <v>#REF!</v>
      </c>
      <c r="D17" s="1226"/>
      <c r="F17" s="1229" t="s">
        <v>786</v>
      </c>
      <c r="G17" s="1232">
        <v>139963.50213346505</v>
      </c>
      <c r="H17" s="1232" t="e">
        <f>C33+C49+C64+C79+C94+H16</f>
        <v>#REF!</v>
      </c>
      <c r="I17" s="1235" t="e">
        <f t="shared" si="3"/>
        <v>#REF!</v>
      </c>
      <c r="J17" s="1514" t="e">
        <f t="shared" si="4"/>
        <v>#REF!</v>
      </c>
    </row>
    <row r="21" spans="1:10" x14ac:dyDescent="0.3">
      <c r="A21" s="45" t="str">
        <f>Виробництво_1ст!B98</f>
        <v>Порівняльна таблиця % планованих прямих витрат на виробництво теплової енергії  в 2021-2022 роках КП "ЧТЕ" та урахованих в  діючих тарифах в 2020-2021 роках</v>
      </c>
    </row>
    <row r="22" spans="1:10" x14ac:dyDescent="0.3">
      <c r="A22" s="778" t="str">
        <f>Виробництво_1ст!B100</f>
        <v>Показник</v>
      </c>
      <c r="B22" s="5725" t="str">
        <f>Виробництво_1ст!C100</f>
        <v>Плановані тарифи</v>
      </c>
      <c r="C22" s="5725"/>
      <c r="D22" s="5725" t="str">
        <f>Виробництво_1ст!E100</f>
        <v>Діючі тарифи</v>
      </c>
      <c r="E22" s="5725"/>
      <c r="F22" s="778" t="str">
        <f>Виробництво_1ст!G100</f>
        <v>Відхилення</v>
      </c>
      <c r="G22" s="778" t="str">
        <f>Виробництво_1ст!H100</f>
        <v>Різниця</v>
      </c>
    </row>
    <row r="23" spans="1:10" x14ac:dyDescent="0.3">
      <c r="A23" s="713" t="str">
        <f>Виробництво_1ст!B101</f>
        <v>Зарплата</v>
      </c>
      <c r="B23" s="1663">
        <f>Виробництво_1ст!C101</f>
        <v>7.805429638726942E-2</v>
      </c>
      <c r="C23" s="1308">
        <f>Виробництво_1ст!D101</f>
        <v>11228.939355305936</v>
      </c>
      <c r="D23" s="1663">
        <f>Виробництво_1ст!E101</f>
        <v>3.9200839974579738E-2</v>
      </c>
      <c r="E23" s="1308">
        <f>Виробництво_1ст!F101</f>
        <v>10366.7803628</v>
      </c>
      <c r="F23" s="1663">
        <f>Виробництво_1ст!G101</f>
        <v>3.8853456412689683E-2</v>
      </c>
      <c r="G23" s="1308">
        <f>Виробництво_1ст!H101</f>
        <v>862.15899250593611</v>
      </c>
    </row>
    <row r="24" spans="1:10" x14ac:dyDescent="0.3">
      <c r="A24" s="713" t="str">
        <f>Виробництво_1ст!B102</f>
        <v>Відрахування</v>
      </c>
      <c r="B24" s="1663">
        <f>Виробництво_1ст!C102</f>
        <v>1.7171945205199272E-2</v>
      </c>
      <c r="C24" s="1308">
        <f>Виробництво_1ст!D102</f>
        <v>2470.366658167306</v>
      </c>
      <c r="D24" s="1663">
        <f>Виробництво_1ст!E102</f>
        <v>8.6241847944075415E-3</v>
      </c>
      <c r="E24" s="1308">
        <f>Виробництво_1ст!F102</f>
        <v>2280.691679816</v>
      </c>
      <c r="F24" s="1663">
        <f>Виробництво_1ст!G102</f>
        <v>8.5477604107917302E-3</v>
      </c>
      <c r="G24" s="1308">
        <f>Виробництво_1ст!H102</f>
        <v>189.67497835130598</v>
      </c>
    </row>
    <row r="25" spans="1:10" x14ac:dyDescent="0.3">
      <c r="A25" s="713" t="str">
        <f>Виробництво_1ст!B103</f>
        <v>паливо</v>
      </c>
      <c r="B25" s="1663">
        <f>Виробництво_1ст!C103</f>
        <v>0.8258296261172906</v>
      </c>
      <c r="C25" s="1308">
        <f>Виробництво_1ст!D103</f>
        <v>118804.3607936293</v>
      </c>
      <c r="D25" s="1663">
        <f>Виробництво_1ст!E103</f>
        <v>0.91898926391747315</v>
      </c>
      <c r="E25" s="1308">
        <f>Виробництво_1ст!F103</f>
        <v>243029.48255653607</v>
      </c>
      <c r="F25" s="1663">
        <f>Виробництво_1ст!G103</f>
        <v>-9.3159637800182549E-2</v>
      </c>
      <c r="G25" s="1308">
        <f>Виробництво_1ст!H103</f>
        <v>-124225.12176290677</v>
      </c>
    </row>
    <row r="26" spans="1:10" x14ac:dyDescent="0.3">
      <c r="A26" s="713" t="str">
        <f>Виробництво_1ст!B104</f>
        <v>електроенергія</v>
      </c>
      <c r="B26" s="1663">
        <f>Виробництво_1ст!C104</f>
        <v>4.127154771845408E-2</v>
      </c>
      <c r="C26" s="1308">
        <f>Виробництво_1ст!D104</f>
        <v>5937.3503814675587</v>
      </c>
      <c r="D26" s="1663">
        <f>Виробництво_1ст!E104</f>
        <v>1.4503659545576341E-2</v>
      </c>
      <c r="E26" s="1308">
        <f>Виробництво_1ст!F104</f>
        <v>3835.5365105267629</v>
      </c>
      <c r="F26" s="1663">
        <f>Виробництво_1ст!G104</f>
        <v>2.6767888172877737E-2</v>
      </c>
      <c r="G26" s="1308">
        <f>Виробництво_1ст!H104</f>
        <v>2101.8138709407958</v>
      </c>
    </row>
    <row r="27" spans="1:10" ht="31.2" x14ac:dyDescent="0.3">
      <c r="A27" s="713" t="str">
        <f>Виробництво_1ст!B105</f>
        <v>водопостачання, водовідведення</v>
      </c>
      <c r="B27" s="1663">
        <f>Виробництво_1ст!C105</f>
        <v>2.3157082508030115E-4</v>
      </c>
      <c r="C27" s="1308">
        <f>Виробництво_1ст!D105</f>
        <v>33.313922123945588</v>
      </c>
      <c r="D27" s="1663">
        <f>Виробництво_1ст!E105</f>
        <v>1.4211748460794951E-4</v>
      </c>
      <c r="E27" s="1308">
        <f>Виробництво_1ст!F105</f>
        <v>37.583397437391703</v>
      </c>
      <c r="F27" s="1663">
        <f>Виробництво_1ст!G105</f>
        <v>8.9453340472351646E-5</v>
      </c>
      <c r="G27" s="1308">
        <f>Виробництво_1ст!H105</f>
        <v>-4.2694753134461152</v>
      </c>
    </row>
    <row r="28" spans="1:10" x14ac:dyDescent="0.3">
      <c r="A28" s="713" t="str">
        <f>Виробництво_1ст!B106</f>
        <v>амортизація</v>
      </c>
      <c r="B28" s="1663">
        <f>Виробництво_1ст!C106</f>
        <v>1.475708141707124E-2</v>
      </c>
      <c r="C28" s="1308">
        <f>Виробництво_1ст!D106</f>
        <v>2122.9628600000001</v>
      </c>
      <c r="D28" s="1663">
        <f>Виробництво_1ст!E106</f>
        <v>8.6956272398994085E-3</v>
      </c>
      <c r="E28" s="1308">
        <f>Виробництво_1ст!F106</f>
        <v>2299.5848500000002</v>
      </c>
      <c r="F28" s="1663">
        <f>Виробництво_1ст!G106</f>
        <v>6.0614541771718319E-3</v>
      </c>
      <c r="G28" s="1308">
        <f>Виробництво_1ст!H106</f>
        <v>-176.6219900000001</v>
      </c>
    </row>
    <row r="29" spans="1:10" x14ac:dyDescent="0.3">
      <c r="A29" s="713" t="str">
        <f>Виробництво_1ст!B107</f>
        <v>податки</v>
      </c>
      <c r="B29" s="1663">
        <f>Виробництво_1ст!C107</f>
        <v>6.285431686529828E-3</v>
      </c>
      <c r="C29" s="1308">
        <f>Виробництво_1ст!D107</f>
        <v>904.22609</v>
      </c>
      <c r="D29" s="1663">
        <f>Виробництво_1ст!E107</f>
        <v>3.5626946294210833E-3</v>
      </c>
      <c r="E29" s="1308">
        <f>Виробництво_1ст!F107</f>
        <v>942.16534000000001</v>
      </c>
      <c r="F29" s="1663">
        <f>Виробництво_1ст!G107</f>
        <v>2.7227370571087446E-3</v>
      </c>
      <c r="G29" s="1308">
        <f>Виробництво_1ст!H107</f>
        <v>-37.939250000000015</v>
      </c>
    </row>
    <row r="30" spans="1:10" x14ac:dyDescent="0.3">
      <c r="A30" s="713" t="str">
        <f>Виробництво_1ст!B108</f>
        <v>Ремонти</v>
      </c>
      <c r="B30" s="1663">
        <f>Виробництво_1ст!C108</f>
        <v>8.652246502633628E-3</v>
      </c>
      <c r="C30" s="1308">
        <f>Виробництво_1ст!D108</f>
        <v>1244.7175333333332</v>
      </c>
      <c r="D30" s="1663">
        <f>Виробництво_1ст!E108</f>
        <v>2.3069315265238557E-3</v>
      </c>
      <c r="E30" s="1308">
        <f>Виробництво_1ст!F108</f>
        <v>610.07500000000005</v>
      </c>
      <c r="F30" s="1663">
        <f>Виробництво_1ст!G108</f>
        <v>6.3453149761097723E-3</v>
      </c>
      <c r="G30" s="1308">
        <f>Виробництво_1ст!H108</f>
        <v>634.64253333333318</v>
      </c>
    </row>
    <row r="31" spans="1:10" x14ac:dyDescent="0.3">
      <c r="A31" s="713" t="str">
        <f>Виробництво_1ст!B109</f>
        <v>інші</v>
      </c>
      <c r="B31" s="1663">
        <f>Виробництво_1ст!C109</f>
        <v>7.7462541404715876E-3</v>
      </c>
      <c r="C31" s="1308">
        <f>Виробництво_1ст!D109</f>
        <v>1114.3809117511908</v>
      </c>
      <c r="D31" s="1663">
        <f>Виробництво_1ст!E109</f>
        <v>3.9746808875109306E-3</v>
      </c>
      <c r="E31" s="1308">
        <f>Виробництво_1ст!F109</f>
        <v>1051.1163485212167</v>
      </c>
      <c r="F31" s="1663">
        <f>Виробництво_1ст!G109</f>
        <v>3.771573252960657E-3</v>
      </c>
      <c r="G31" s="1308">
        <f>Виробництво_1ст!H109</f>
        <v>63.264563229974101</v>
      </c>
    </row>
    <row r="32" spans="1:10" x14ac:dyDescent="0.3">
      <c r="A32" s="713" t="str">
        <f>Виробництво_1ст!B110</f>
        <v>Прибуток</v>
      </c>
      <c r="B32" s="1663">
        <f>Виробництво_1ст!C110</f>
        <v>0</v>
      </c>
      <c r="C32" s="1308">
        <f>Виробництво_1ст!D110</f>
        <v>0</v>
      </c>
      <c r="D32" s="1663">
        <f>Виробництво_1ст!E110</f>
        <v>0</v>
      </c>
      <c r="E32" s="1308">
        <f>Виробництво_1ст!F110</f>
        <v>0</v>
      </c>
      <c r="F32" s="1663">
        <f>Виробництво_1ст!G110</f>
        <v>0</v>
      </c>
      <c r="G32" s="1308">
        <f>Виробництво_1ст!H110</f>
        <v>0</v>
      </c>
    </row>
    <row r="33" spans="1:7" x14ac:dyDescent="0.3">
      <c r="A33" s="713" t="str">
        <f>Виробництво_1ст!B111</f>
        <v>Разом:</v>
      </c>
      <c r="B33" s="1663">
        <f>Виробництво_1ст!C111</f>
        <v>1</v>
      </c>
      <c r="C33" s="1308">
        <f>Виробництво_1ст!D111</f>
        <v>143860.61850577858</v>
      </c>
      <c r="D33" s="1663">
        <f>Виробництво_1ст!E111</f>
        <v>0.99999999999999989</v>
      </c>
      <c r="E33" s="1308">
        <f>Виробництво_1ст!F111</f>
        <v>264453.01604563743</v>
      </c>
      <c r="F33" s="1663">
        <f>Виробництво_1ст!G111</f>
        <v>0</v>
      </c>
      <c r="G33" s="1308">
        <f>Виробництво_1ст!H111</f>
        <v>-120592.39753985885</v>
      </c>
    </row>
    <row r="36" spans="1:7" x14ac:dyDescent="0.3">
      <c r="A36" s="45" t="e">
        <f>Виробництво_1ст!#REF!</f>
        <v>#REF!</v>
      </c>
    </row>
    <row r="38" spans="1:7" x14ac:dyDescent="0.3">
      <c r="A38" s="778" t="e">
        <f>Виробництво_1ст!#REF!</f>
        <v>#REF!</v>
      </c>
      <c r="B38" s="5725" t="e">
        <f>Виробництво_1ст!#REF!</f>
        <v>#REF!</v>
      </c>
      <c r="C38" s="5725"/>
      <c r="D38" s="5725" t="e">
        <f>Виробництво_1ст!#REF!</f>
        <v>#REF!</v>
      </c>
      <c r="E38" s="5725"/>
      <c r="F38" s="778" t="e">
        <f>Виробництво_1ст!#REF!</f>
        <v>#REF!</v>
      </c>
      <c r="G38" s="778" t="e">
        <f>Виробництво_1ст!#REF!</f>
        <v>#REF!</v>
      </c>
    </row>
    <row r="39" spans="1:7" x14ac:dyDescent="0.3">
      <c r="A39" s="713" t="e">
        <f>Виробництво_1ст!#REF!</f>
        <v>#REF!</v>
      </c>
      <c r="B39" s="1663" t="e">
        <f>Виробництво_1ст!#REF!</f>
        <v>#REF!</v>
      </c>
      <c r="C39" s="1308" t="e">
        <f>Виробництво_1ст!#REF!</f>
        <v>#REF!</v>
      </c>
      <c r="D39" s="1663" t="e">
        <f>Виробництво_1ст!#REF!</f>
        <v>#REF!</v>
      </c>
      <c r="E39" s="1308" t="e">
        <f>Виробництво_1ст!#REF!</f>
        <v>#REF!</v>
      </c>
      <c r="F39" s="1663" t="e">
        <f>Виробництво_1ст!#REF!</f>
        <v>#REF!</v>
      </c>
      <c r="G39" s="1308" t="e">
        <f>Виробництво_1ст!#REF!</f>
        <v>#REF!</v>
      </c>
    </row>
    <row r="40" spans="1:7" x14ac:dyDescent="0.3">
      <c r="A40" s="713" t="e">
        <f>Виробництво_1ст!#REF!</f>
        <v>#REF!</v>
      </c>
      <c r="B40" s="1663" t="e">
        <f>Виробництво_1ст!#REF!</f>
        <v>#REF!</v>
      </c>
      <c r="C40" s="1308" t="e">
        <f>Виробництво_1ст!#REF!</f>
        <v>#REF!</v>
      </c>
      <c r="D40" s="1663" t="e">
        <f>Виробництво_1ст!#REF!</f>
        <v>#REF!</v>
      </c>
      <c r="E40" s="1308" t="e">
        <f>Виробництво_1ст!#REF!</f>
        <v>#REF!</v>
      </c>
      <c r="F40" s="1663" t="e">
        <f>Виробництво_1ст!#REF!</f>
        <v>#REF!</v>
      </c>
      <c r="G40" s="1308" t="e">
        <f>Виробництво_1ст!#REF!</f>
        <v>#REF!</v>
      </c>
    </row>
    <row r="41" spans="1:7" x14ac:dyDescent="0.3">
      <c r="A41" s="713" t="e">
        <f>Виробництво_1ст!#REF!</f>
        <v>#REF!</v>
      </c>
      <c r="B41" s="1663" t="e">
        <f>Виробництво_1ст!#REF!</f>
        <v>#REF!</v>
      </c>
      <c r="C41" s="1308" t="e">
        <f>Виробництво_1ст!#REF!</f>
        <v>#REF!</v>
      </c>
      <c r="D41" s="1663" t="e">
        <f>Виробництво_1ст!#REF!</f>
        <v>#REF!</v>
      </c>
      <c r="E41" s="1308" t="e">
        <f>Виробництво_1ст!#REF!</f>
        <v>#REF!</v>
      </c>
      <c r="F41" s="1663" t="e">
        <f>Виробництво_1ст!#REF!</f>
        <v>#REF!</v>
      </c>
      <c r="G41" s="1308" t="e">
        <f>Виробництво_1ст!#REF!</f>
        <v>#REF!</v>
      </c>
    </row>
    <row r="42" spans="1:7" x14ac:dyDescent="0.3">
      <c r="A42" s="713" t="e">
        <f>Виробництво_1ст!#REF!</f>
        <v>#REF!</v>
      </c>
      <c r="B42" s="1663" t="e">
        <f>Виробництво_1ст!#REF!</f>
        <v>#REF!</v>
      </c>
      <c r="C42" s="1308" t="e">
        <f>Виробництво_1ст!#REF!</f>
        <v>#REF!</v>
      </c>
      <c r="D42" s="1663" t="e">
        <f>Виробництво_1ст!#REF!</f>
        <v>#REF!</v>
      </c>
      <c r="E42" s="1308" t="e">
        <f>Виробництво_1ст!#REF!</f>
        <v>#REF!</v>
      </c>
      <c r="F42" s="1663" t="e">
        <f>Виробництво_1ст!#REF!</f>
        <v>#REF!</v>
      </c>
      <c r="G42" s="1308" t="e">
        <f>Виробництво_1ст!#REF!</f>
        <v>#REF!</v>
      </c>
    </row>
    <row r="43" spans="1:7" x14ac:dyDescent="0.3">
      <c r="A43" s="713" t="e">
        <f>Виробництво_1ст!#REF!</f>
        <v>#REF!</v>
      </c>
      <c r="B43" s="1663" t="e">
        <f>Виробництво_1ст!#REF!</f>
        <v>#REF!</v>
      </c>
      <c r="C43" s="1308" t="e">
        <f>Виробництво_1ст!#REF!</f>
        <v>#REF!</v>
      </c>
      <c r="D43" s="1663" t="e">
        <f>Виробництво_1ст!#REF!</f>
        <v>#REF!</v>
      </c>
      <c r="E43" s="1308" t="e">
        <f>Виробництво_1ст!#REF!</f>
        <v>#REF!</v>
      </c>
      <c r="F43" s="1663" t="e">
        <f>Виробництво_1ст!#REF!</f>
        <v>#REF!</v>
      </c>
      <c r="G43" s="1308" t="e">
        <f>Виробництво_1ст!#REF!</f>
        <v>#REF!</v>
      </c>
    </row>
    <row r="44" spans="1:7" x14ac:dyDescent="0.3">
      <c r="A44" s="713" t="e">
        <f>Виробництво_1ст!#REF!</f>
        <v>#REF!</v>
      </c>
      <c r="B44" s="1663" t="e">
        <f>Виробництво_1ст!#REF!</f>
        <v>#REF!</v>
      </c>
      <c r="C44" s="1308" t="e">
        <f>Виробництво_1ст!#REF!</f>
        <v>#REF!</v>
      </c>
      <c r="D44" s="1663" t="e">
        <f>Виробництво_1ст!#REF!</f>
        <v>#REF!</v>
      </c>
      <c r="E44" s="1308" t="e">
        <f>Виробництво_1ст!#REF!</f>
        <v>#REF!</v>
      </c>
      <c r="F44" s="1663" t="e">
        <f>Виробництво_1ст!#REF!</f>
        <v>#REF!</v>
      </c>
      <c r="G44" s="1308" t="e">
        <f>Виробництво_1ст!#REF!</f>
        <v>#REF!</v>
      </c>
    </row>
    <row r="45" spans="1:7" x14ac:dyDescent="0.3">
      <c r="A45" s="713" t="e">
        <f>Виробництво_1ст!#REF!</f>
        <v>#REF!</v>
      </c>
      <c r="B45" s="1663" t="e">
        <f>Виробництво_1ст!#REF!</f>
        <v>#REF!</v>
      </c>
      <c r="C45" s="1308" t="e">
        <f>Виробництво_1ст!#REF!</f>
        <v>#REF!</v>
      </c>
      <c r="D45" s="1663" t="e">
        <f>Виробництво_1ст!#REF!</f>
        <v>#REF!</v>
      </c>
      <c r="E45" s="1308" t="e">
        <f>Виробництво_1ст!#REF!</f>
        <v>#REF!</v>
      </c>
      <c r="F45" s="1663" t="e">
        <f>Виробництво_1ст!#REF!</f>
        <v>#REF!</v>
      </c>
      <c r="G45" s="1308" t="e">
        <f>Виробництво_1ст!#REF!</f>
        <v>#REF!</v>
      </c>
    </row>
    <row r="46" spans="1:7" x14ac:dyDescent="0.3">
      <c r="A46" s="713" t="e">
        <f>Виробництво_1ст!#REF!</f>
        <v>#REF!</v>
      </c>
      <c r="B46" s="1663" t="e">
        <f>Виробництво_1ст!#REF!</f>
        <v>#REF!</v>
      </c>
      <c r="C46" s="1308" t="e">
        <f>Виробництво_1ст!#REF!</f>
        <v>#REF!</v>
      </c>
      <c r="D46" s="1663" t="e">
        <f>Виробництво_1ст!#REF!</f>
        <v>#REF!</v>
      </c>
      <c r="E46" s="1308" t="e">
        <f>Виробництво_1ст!#REF!</f>
        <v>#REF!</v>
      </c>
      <c r="F46" s="1663" t="e">
        <f>Виробництво_1ст!#REF!</f>
        <v>#REF!</v>
      </c>
      <c r="G46" s="1308" t="e">
        <f>Виробництво_1ст!#REF!</f>
        <v>#REF!</v>
      </c>
    </row>
    <row r="47" spans="1:7" x14ac:dyDescent="0.3">
      <c r="A47" s="713" t="e">
        <f>Виробництво_1ст!#REF!</f>
        <v>#REF!</v>
      </c>
      <c r="B47" s="1663" t="e">
        <f>Виробництво_1ст!#REF!</f>
        <v>#REF!</v>
      </c>
      <c r="C47" s="1308" t="e">
        <f>Виробництво_1ст!#REF!</f>
        <v>#REF!</v>
      </c>
      <c r="D47" s="1663" t="e">
        <f>Виробництво_1ст!#REF!</f>
        <v>#REF!</v>
      </c>
      <c r="E47" s="1308" t="e">
        <f>Виробництво_1ст!#REF!</f>
        <v>#REF!</v>
      </c>
      <c r="F47" s="1663" t="e">
        <f>Виробництво_1ст!#REF!</f>
        <v>#REF!</v>
      </c>
      <c r="G47" s="1308" t="e">
        <f>Виробництво_1ст!#REF!</f>
        <v>#REF!</v>
      </c>
    </row>
    <row r="48" spans="1:7" x14ac:dyDescent="0.3">
      <c r="A48" s="713" t="e">
        <f>Виробництво_1ст!#REF!</f>
        <v>#REF!</v>
      </c>
      <c r="B48" s="1663" t="e">
        <f>Виробництво_1ст!#REF!</f>
        <v>#REF!</v>
      </c>
      <c r="C48" s="1308" t="e">
        <f>Виробництво_1ст!#REF!</f>
        <v>#REF!</v>
      </c>
      <c r="D48" s="1663" t="e">
        <f>Виробництво_1ст!#REF!</f>
        <v>#REF!</v>
      </c>
      <c r="E48" s="1308" t="e">
        <f>Виробництво_1ст!#REF!</f>
        <v>#REF!</v>
      </c>
      <c r="F48" s="1663" t="e">
        <f>Виробництво_1ст!#REF!</f>
        <v>#REF!</v>
      </c>
      <c r="G48" s="1308" t="e">
        <f>Виробництво_1ст!#REF!</f>
        <v>#REF!</v>
      </c>
    </row>
    <row r="49" spans="1:7" x14ac:dyDescent="0.3">
      <c r="A49" s="713" t="e">
        <f>Виробництво_1ст!#REF!</f>
        <v>#REF!</v>
      </c>
      <c r="B49" s="1663" t="e">
        <f>Виробництво_1ст!#REF!</f>
        <v>#REF!</v>
      </c>
      <c r="C49" s="1308" t="e">
        <f>Виробництво_1ст!#REF!</f>
        <v>#REF!</v>
      </c>
      <c r="D49" s="1663" t="e">
        <f>Виробництво_1ст!#REF!</f>
        <v>#REF!</v>
      </c>
      <c r="E49" s="1308" t="e">
        <f>Виробництво_1ст!#REF!</f>
        <v>#REF!</v>
      </c>
      <c r="F49" s="1663" t="e">
        <f>Виробництво_1ст!#REF!</f>
        <v>#REF!</v>
      </c>
      <c r="G49" s="1308" t="e">
        <f>Виробництво_1ст!#REF!</f>
        <v>#REF!</v>
      </c>
    </row>
    <row r="51" spans="1:7" x14ac:dyDescent="0.3">
      <c r="A51" s="45" t="str">
        <f>Постачання_1ст!B71</f>
        <v>Порівняльна таблиця % планованих прямих витрат на постачання теплової енергії  в 2021-2022 роках КП "ЧТЕ" та урахованих в  діючих тарифах в 2020-2021 роках</v>
      </c>
    </row>
    <row r="52" spans="1:7" x14ac:dyDescent="0.3">
      <c r="D52" s="45" t="str">
        <f>Постачання_1ст!E72</f>
        <v>тис. грн.</v>
      </c>
    </row>
    <row r="53" spans="1:7" x14ac:dyDescent="0.3">
      <c r="A53" s="778" t="str">
        <f>Постачання_1ст!B73</f>
        <v>Показник</v>
      </c>
      <c r="B53" s="5725" t="str">
        <f>Постачання_1ст!C73</f>
        <v>Плановані тарифи</v>
      </c>
      <c r="C53" s="5725">
        <f>Постачання_1ст!D73</f>
        <v>0</v>
      </c>
      <c r="D53" s="5725" t="str">
        <f>Постачання_1ст!E73</f>
        <v>Діючі тарифи</v>
      </c>
      <c r="E53" s="5725">
        <f>Постачання_1ст!F73</f>
        <v>0</v>
      </c>
      <c r="F53" s="778" t="str">
        <f>Постачання_1ст!G73</f>
        <v>Відхилення</v>
      </c>
      <c r="G53" s="778" t="str">
        <f>Постачання_1ст!H73</f>
        <v>Різниця</v>
      </c>
    </row>
    <row r="54" spans="1:7" x14ac:dyDescent="0.3">
      <c r="A54" s="713" t="str">
        <f>Постачання_1ст!B74</f>
        <v>Зарплата</v>
      </c>
      <c r="B54" s="1663">
        <f>Постачання_1ст!C74</f>
        <v>0.41531456408202622</v>
      </c>
      <c r="C54" s="1308">
        <f>Постачання_1ст!D74</f>
        <v>754.48063799999989</v>
      </c>
      <c r="D54" s="1663">
        <f>Постачання_1ст!E74</f>
        <v>0.402112185488542</v>
      </c>
      <c r="E54" s="1308">
        <f>Постачання_1ст!F74</f>
        <v>684.72567299999992</v>
      </c>
      <c r="F54" s="1663">
        <f>Постачання_1ст!G74</f>
        <v>1.3202378593484221E-2</v>
      </c>
      <c r="G54" s="1308">
        <f>Постачання_1ст!H74</f>
        <v>69.75496499999997</v>
      </c>
    </row>
    <row r="55" spans="1:7" x14ac:dyDescent="0.3">
      <c r="A55" s="713" t="str">
        <f>Постачання_1ст!B75</f>
        <v>Відрахування</v>
      </c>
      <c r="B55" s="1663">
        <f>Постачання_1ст!C75</f>
        <v>9.1369204098045761E-2</v>
      </c>
      <c r="C55" s="1308">
        <f>Постачання_1ст!D75</f>
        <v>165.98574035999997</v>
      </c>
      <c r="D55" s="1663">
        <f>Постачання_1ст!E75</f>
        <v>8.846468080747924E-2</v>
      </c>
      <c r="E55" s="1308">
        <f>Постачання_1ст!F75</f>
        <v>150.63964805999998</v>
      </c>
      <c r="F55" s="1663">
        <f>Постачання_1ст!G75</f>
        <v>2.9045232905665214E-3</v>
      </c>
      <c r="G55" s="1308">
        <f>Постачання_1ст!H75</f>
        <v>15.346092299999981</v>
      </c>
    </row>
    <row r="56" spans="1:7" x14ac:dyDescent="0.3">
      <c r="A56" s="713" t="str">
        <f>Постачання_1ст!B76</f>
        <v>газ</v>
      </c>
      <c r="B56" s="1663">
        <f>Постачання_1ст!C76</f>
        <v>0</v>
      </c>
      <c r="C56" s="1308">
        <f>Постачання_1ст!D76</f>
        <v>0</v>
      </c>
      <c r="D56" s="1663">
        <f>Постачання_1ст!E76</f>
        <v>0</v>
      </c>
      <c r="E56" s="1308">
        <f>Постачання_1ст!F76</f>
        <v>0</v>
      </c>
      <c r="F56" s="1663">
        <f>Постачання_1ст!G76</f>
        <v>0</v>
      </c>
      <c r="G56" s="1308">
        <f>Постачання_1ст!H76</f>
        <v>0</v>
      </c>
    </row>
    <row r="57" spans="1:7" x14ac:dyDescent="0.3">
      <c r="A57" s="713" t="str">
        <f>Постачання_1ст!B77</f>
        <v>електроенергія</v>
      </c>
      <c r="B57" s="1663">
        <f>Постачання_1ст!C77</f>
        <v>0</v>
      </c>
      <c r="C57" s="1308">
        <f>Постачання_1ст!D77</f>
        <v>0</v>
      </c>
      <c r="D57" s="1663">
        <f>Постачання_1ст!E77</f>
        <v>0</v>
      </c>
      <c r="E57" s="1308">
        <f>Постачання_1ст!F77</f>
        <v>0</v>
      </c>
      <c r="F57" s="1663">
        <f>Постачання_1ст!G77</f>
        <v>0</v>
      </c>
      <c r="G57" s="1308">
        <f>Постачання_1ст!H77</f>
        <v>0</v>
      </c>
    </row>
    <row r="58" spans="1:7" ht="31.2" x14ac:dyDescent="0.3">
      <c r="A58" s="713" t="str">
        <f>Постачання_1ст!B78</f>
        <v>водопостачання, водовідведення</v>
      </c>
      <c r="B58" s="1663">
        <f>Постачання_1ст!C78</f>
        <v>0</v>
      </c>
      <c r="C58" s="1308">
        <f>Постачання_1ст!D78</f>
        <v>0</v>
      </c>
      <c r="D58" s="1663">
        <f>Постачання_1ст!E78</f>
        <v>0</v>
      </c>
      <c r="E58" s="1308">
        <f>Постачання_1ст!F78</f>
        <v>0</v>
      </c>
      <c r="F58" s="1663">
        <f>Постачання_1ст!G78</f>
        <v>0</v>
      </c>
      <c r="G58" s="1308">
        <f>Постачання_1ст!H78</f>
        <v>0</v>
      </c>
    </row>
    <row r="59" spans="1:7" x14ac:dyDescent="0.3">
      <c r="A59" s="713" t="str">
        <f>Постачання_1ст!B79</f>
        <v>амортизація</v>
      </c>
      <c r="B59" s="1663">
        <f>Постачання_1ст!C79</f>
        <v>0.46458810549804896</v>
      </c>
      <c r="C59" s="1308">
        <f>Постачання_1ст!D79</f>
        <v>843.99335000000065</v>
      </c>
      <c r="D59" s="1663">
        <f>Постачання_1ст!E79</f>
        <v>0.4855911903907098</v>
      </c>
      <c r="E59" s="1308">
        <f>Постачання_1ст!F79</f>
        <v>826.87560000000099</v>
      </c>
      <c r="F59" s="1663">
        <f>Постачання_1ст!G79</f>
        <v>-2.1003084892660839E-2</v>
      </c>
      <c r="G59" s="1308">
        <f>Постачання_1ст!H79</f>
        <v>17.11774999999966</v>
      </c>
    </row>
    <row r="60" spans="1:7" x14ac:dyDescent="0.3">
      <c r="A60" s="713" t="str">
        <f>Постачання_1ст!B80</f>
        <v>податки</v>
      </c>
      <c r="B60" s="1663">
        <f>Постачання_1ст!C80</f>
        <v>0</v>
      </c>
      <c r="C60" s="1308">
        <f>Постачання_1ст!D80</f>
        <v>0</v>
      </c>
      <c r="D60" s="1663">
        <f>Постачання_1ст!E80</f>
        <v>0</v>
      </c>
      <c r="E60" s="1308">
        <f>Постачання_1ст!F80</f>
        <v>0</v>
      </c>
      <c r="F60" s="1663">
        <f>Постачання_1ст!G80</f>
        <v>0</v>
      </c>
      <c r="G60" s="1308">
        <f>Постачання_1ст!H80</f>
        <v>0</v>
      </c>
    </row>
    <row r="61" spans="1:7" x14ac:dyDescent="0.3">
      <c r="A61" s="713" t="str">
        <f>Постачання_1ст!B81</f>
        <v>Ремонти</v>
      </c>
      <c r="B61" s="1663">
        <f>Постачання_1ст!C81</f>
        <v>0</v>
      </c>
      <c r="C61" s="1308">
        <f>Постачання_1ст!D81</f>
        <v>0</v>
      </c>
      <c r="D61" s="1663">
        <f>Постачання_1ст!E81</f>
        <v>0</v>
      </c>
      <c r="E61" s="1308">
        <f>Постачання_1ст!F81</f>
        <v>0</v>
      </c>
      <c r="F61" s="1663">
        <f>Постачання_1ст!G81</f>
        <v>0</v>
      </c>
      <c r="G61" s="1308">
        <f>Постачання_1ст!H81</f>
        <v>0</v>
      </c>
    </row>
    <row r="62" spans="1:7" x14ac:dyDescent="0.3">
      <c r="A62" s="713" t="str">
        <f>Постачання_1ст!B82</f>
        <v>інші</v>
      </c>
      <c r="B62" s="1663">
        <f>Постачання_1ст!C82</f>
        <v>2.8728126321879013E-2</v>
      </c>
      <c r="C62" s="1308">
        <f>Постачання_1ст!D82</f>
        <v>52.188911611573076</v>
      </c>
      <c r="D62" s="1663">
        <f>Постачання_1ст!E82</f>
        <v>2.3831943313268971E-2</v>
      </c>
      <c r="E62" s="1308">
        <f>Постачання_1ст!F82</f>
        <v>40.58156905702856</v>
      </c>
      <c r="F62" s="1663">
        <f>Постачання_1ст!G82</f>
        <v>4.8961830086100416E-3</v>
      </c>
      <c r="G62" s="1308">
        <f>Постачання_1ст!H82</f>
        <v>11.607342554544516</v>
      </c>
    </row>
    <row r="63" spans="1:7" x14ac:dyDescent="0.3">
      <c r="A63" s="713" t="str">
        <f>Постачання_1ст!B83</f>
        <v>Прибуток</v>
      </c>
      <c r="B63" s="1663">
        <f>Постачання_1ст!C83</f>
        <v>0</v>
      </c>
      <c r="C63" s="1308">
        <f>Постачання_1ст!D83</f>
        <v>0</v>
      </c>
      <c r="D63" s="1663">
        <f>Постачання_1ст!E83</f>
        <v>0</v>
      </c>
      <c r="E63" s="1308">
        <f>Постачання_1ст!F83</f>
        <v>0</v>
      </c>
      <c r="F63" s="1663">
        <f>Постачання_1ст!G83</f>
        <v>0</v>
      </c>
      <c r="G63" s="1308">
        <f>Постачання_1ст!H83</f>
        <v>0</v>
      </c>
    </row>
    <row r="64" spans="1:7" x14ac:dyDescent="0.3">
      <c r="A64" s="713" t="str">
        <f>Постачання_1ст!B84</f>
        <v>Разом:</v>
      </c>
      <c r="B64" s="1663">
        <f>Постачання_1ст!C84</f>
        <v>1</v>
      </c>
      <c r="C64" s="1308">
        <f>Постачання_1ст!D84</f>
        <v>1816.6486399715736</v>
      </c>
      <c r="D64" s="1663">
        <f>Постачання_1ст!E84</f>
        <v>1</v>
      </c>
      <c r="E64" s="1308">
        <f>Постачання_1ст!F84</f>
        <v>1702.8224901170295</v>
      </c>
      <c r="F64" s="1663">
        <f>Постачання_1ст!G84</f>
        <v>0</v>
      </c>
      <c r="G64" s="1308">
        <f>Постачання_1ст!H84</f>
        <v>113.82614985454416</v>
      </c>
    </row>
    <row r="66" spans="1:7" x14ac:dyDescent="0.3">
      <c r="A66" s="45" t="str">
        <f>ЗВВ_1ст!B72</f>
        <v>Порівняльна таблиця % планованих загальновиробничих витрат на  теплову енергію  в 2021-2022 роках КП "ЧТЕ" та урахованих в  діючих тарифах в 2020-2021 роках</v>
      </c>
    </row>
    <row r="67" spans="1:7" x14ac:dyDescent="0.3">
      <c r="D67" s="45" t="str">
        <f>ЗВВ_1ст!E73</f>
        <v>тис. грн.</v>
      </c>
    </row>
    <row r="68" spans="1:7" x14ac:dyDescent="0.3">
      <c r="A68" s="778" t="str">
        <f>ЗВВ_1ст!B74</f>
        <v>Показник</v>
      </c>
      <c r="B68" s="5725" t="str">
        <f>ЗВВ_1ст!C74</f>
        <v>Плановані тарифи</v>
      </c>
      <c r="C68" s="5725">
        <f>ЗВВ_1ст!D74</f>
        <v>0</v>
      </c>
      <c r="D68" s="5725" t="str">
        <f>ЗВВ_1ст!E74</f>
        <v>Діючі тарифи</v>
      </c>
      <c r="E68" s="5725">
        <f>ЗВВ_1ст!F74</f>
        <v>0</v>
      </c>
      <c r="F68" s="778" t="str">
        <f>ЗВВ_1ст!G74</f>
        <v>Відхилення</v>
      </c>
      <c r="G68" s="778" t="str">
        <f>ЗВВ_1ст!H74</f>
        <v>Різниця</v>
      </c>
    </row>
    <row r="69" spans="1:7" x14ac:dyDescent="0.3">
      <c r="A69" s="713" t="str">
        <f>ЗВВ_1ст!B75</f>
        <v>Зарплата</v>
      </c>
      <c r="B69" s="1663">
        <f>ЗВВ_1ст!C75</f>
        <v>0.7641256336806348</v>
      </c>
      <c r="C69" s="1308">
        <f>ЗВВ_1ст!D75</f>
        <v>5205.7199175136502</v>
      </c>
      <c r="D69" s="1663">
        <f>ЗВВ_1ст!E75</f>
        <v>0.72356495036483126</v>
      </c>
      <c r="E69" s="1308">
        <f>ЗВВ_1ст!F75</f>
        <v>2942.1067897598869</v>
      </c>
      <c r="F69" s="1663">
        <f>ЗВВ_1ст!G75</f>
        <v>4.0560683315803536E-2</v>
      </c>
      <c r="G69" s="1308">
        <f>ЗВВ_1ст!H75</f>
        <v>2263.6131277537634</v>
      </c>
    </row>
    <row r="70" spans="1:7" x14ac:dyDescent="0.3">
      <c r="A70" s="713" t="str">
        <f>ЗВВ_1ст!B76</f>
        <v>Відрахування</v>
      </c>
      <c r="B70" s="1663">
        <f>ЗВВ_1ст!C76</f>
        <v>0.16310455233501492</v>
      </c>
      <c r="C70" s="1308">
        <f>ЗВВ_1ст!D76</f>
        <v>1111.174104496022</v>
      </c>
      <c r="D70" s="1663">
        <f>ЗВВ_1ст!E76</f>
        <v>0.15382472376885456</v>
      </c>
      <c r="E70" s="1308">
        <f>ЗВВ_1ст!F76</f>
        <v>625.47082194223856</v>
      </c>
      <c r="F70" s="1663">
        <f>ЗВВ_1ст!G76</f>
        <v>9.2798285661603586E-3</v>
      </c>
      <c r="G70" s="1308">
        <f>ЗВВ_1ст!H76</f>
        <v>485.70328255378342</v>
      </c>
    </row>
    <row r="71" spans="1:7" x14ac:dyDescent="0.3">
      <c r="A71" s="713" t="str">
        <f>ЗВВ_1ст!B77</f>
        <v>газ</v>
      </c>
      <c r="B71" s="1663">
        <f>ЗВВ_1ст!C77</f>
        <v>0</v>
      </c>
      <c r="C71" s="1308">
        <f>ЗВВ_1ст!D77</f>
        <v>0</v>
      </c>
      <c r="D71" s="1663">
        <f>ЗВВ_1ст!E77</f>
        <v>0</v>
      </c>
      <c r="E71" s="1308">
        <f>ЗВВ_1ст!F77</f>
        <v>0</v>
      </c>
      <c r="F71" s="1663">
        <f>ЗВВ_1ст!G77</f>
        <v>0</v>
      </c>
      <c r="G71" s="1308">
        <f>ЗВВ_1ст!H77</f>
        <v>0</v>
      </c>
    </row>
    <row r="72" spans="1:7" x14ac:dyDescent="0.3">
      <c r="A72" s="713" t="str">
        <f>ЗВВ_1ст!B78</f>
        <v>електроенергія</v>
      </c>
      <c r="B72" s="1663">
        <f>ЗВВ_1ст!C78</f>
        <v>0</v>
      </c>
      <c r="C72" s="1308">
        <f>ЗВВ_1ст!D78</f>
        <v>0</v>
      </c>
      <c r="D72" s="1663">
        <f>ЗВВ_1ст!E78</f>
        <v>0</v>
      </c>
      <c r="E72" s="1308">
        <f>ЗВВ_1ст!F78</f>
        <v>0</v>
      </c>
      <c r="F72" s="1663">
        <f>ЗВВ_1ст!G78</f>
        <v>0</v>
      </c>
      <c r="G72" s="1308">
        <f>ЗВВ_1ст!H78</f>
        <v>0</v>
      </c>
    </row>
    <row r="73" spans="1:7" ht="31.2" x14ac:dyDescent="0.3">
      <c r="A73" s="713" t="str">
        <f>ЗВВ_1ст!B79</f>
        <v>водопостачання, водовідведення</v>
      </c>
      <c r="B73" s="1663">
        <f>ЗВВ_1ст!C79</f>
        <v>0</v>
      </c>
      <c r="C73" s="1308">
        <f>ЗВВ_1ст!D79</f>
        <v>0</v>
      </c>
      <c r="D73" s="1663">
        <f>ЗВВ_1ст!E79</f>
        <v>0</v>
      </c>
      <c r="E73" s="1308">
        <f>ЗВВ_1ст!F79</f>
        <v>0</v>
      </c>
      <c r="F73" s="1663">
        <f>ЗВВ_1ст!G79</f>
        <v>0</v>
      </c>
      <c r="G73" s="1308">
        <f>ЗВВ_1ст!H79</f>
        <v>0</v>
      </c>
    </row>
    <row r="74" spans="1:7" x14ac:dyDescent="0.3">
      <c r="A74" s="713" t="str">
        <f>ЗВВ_1ст!B80</f>
        <v>амортизація</v>
      </c>
      <c r="B74" s="1663">
        <f>ЗВВ_1ст!C80</f>
        <v>4.7014750038953746E-3</v>
      </c>
      <c r="C74" s="1308">
        <f>ЗВВ_1ст!D80</f>
        <v>32.029500111888439</v>
      </c>
      <c r="D74" s="1663">
        <f>ЗВВ_1ст!E80</f>
        <v>4.9340989265405583E-3</v>
      </c>
      <c r="E74" s="1308">
        <f>ЗВВ_1ст!F80</f>
        <v>20.06267156224532</v>
      </c>
      <c r="F74" s="1663">
        <f>ЗВВ_1ст!G80</f>
        <v>-2.3262392264518372E-4</v>
      </c>
      <c r="G74" s="1308">
        <f>ЗВВ_1ст!H80</f>
        <v>11.966828549643118</v>
      </c>
    </row>
    <row r="75" spans="1:7" x14ac:dyDescent="0.3">
      <c r="A75" s="713" t="str">
        <f>ЗВВ_1ст!B81</f>
        <v>податки</v>
      </c>
      <c r="B75" s="1663">
        <f>ЗВВ_1ст!C81</f>
        <v>0</v>
      </c>
      <c r="C75" s="1308">
        <f>ЗВВ_1ст!D81</f>
        <v>0</v>
      </c>
      <c r="D75" s="1663">
        <f>ЗВВ_1ст!E81</f>
        <v>0</v>
      </c>
      <c r="E75" s="1308">
        <f>ЗВВ_1ст!F81</f>
        <v>0</v>
      </c>
      <c r="F75" s="1663">
        <f>ЗВВ_1ст!G81</f>
        <v>0</v>
      </c>
      <c r="G75" s="1308">
        <f>ЗВВ_1ст!H81</f>
        <v>0</v>
      </c>
    </row>
    <row r="76" spans="1:7" x14ac:dyDescent="0.3">
      <c r="A76" s="713" t="str">
        <f>ЗВВ_1ст!B82</f>
        <v>Ремонти</v>
      </c>
      <c r="B76" s="1663">
        <f>ЗВВ_1ст!C82</f>
        <v>2.0174722067247807E-3</v>
      </c>
      <c r="C76" s="1308">
        <f>ЗВВ_1ст!D82</f>
        <v>13.744330495745244</v>
      </c>
      <c r="D76" s="1663">
        <f>ЗВВ_1ст!E82</f>
        <v>4.1124326139054472E-2</v>
      </c>
      <c r="E76" s="1308">
        <f>ЗВВ_1ст!F82</f>
        <v>167.21672200540706</v>
      </c>
      <c r="F76" s="1663">
        <f>ЗВВ_1ст!G82</f>
        <v>-3.910685393232969E-2</v>
      </c>
      <c r="G76" s="1308">
        <f>ЗВВ_1ст!H82</f>
        <v>-153.47239150966183</v>
      </c>
    </row>
    <row r="77" spans="1:7" x14ac:dyDescent="0.3">
      <c r="A77" s="713" t="str">
        <f>ЗВВ_1ст!B83</f>
        <v>інші</v>
      </c>
      <c r="B77" s="1663">
        <f>ЗВВ_1ст!C83</f>
        <v>6.6050866773730149E-2</v>
      </c>
      <c r="C77" s="1308">
        <f>ЗВВ_1ст!D83</f>
        <v>449.98138732348303</v>
      </c>
      <c r="D77" s="1663">
        <f>ЗВВ_1ст!E83</f>
        <v>7.6551900800719289E-2</v>
      </c>
      <c r="E77" s="1308">
        <f>ЗВВ_1ст!F83</f>
        <v>311.26973052144194</v>
      </c>
      <c r="F77" s="1663">
        <f>ЗВВ_1ст!G83</f>
        <v>-1.0501034026989139E-2</v>
      </c>
      <c r="G77" s="1308">
        <f>ЗВВ_1ст!H83</f>
        <v>138.71165680204109</v>
      </c>
    </row>
    <row r="78" spans="1:7" x14ac:dyDescent="0.3">
      <c r="A78" s="713" t="str">
        <f>ЗВВ_1ст!B84</f>
        <v>Прибуток</v>
      </c>
      <c r="B78" s="1663">
        <f>ЗВВ_1ст!C84</f>
        <v>0</v>
      </c>
      <c r="C78" s="1308">
        <f>ЗВВ_1ст!D84</f>
        <v>0</v>
      </c>
      <c r="D78" s="1663">
        <f>ЗВВ_1ст!E84</f>
        <v>0</v>
      </c>
      <c r="E78" s="1308">
        <f>ЗВВ_1ст!F84</f>
        <v>0</v>
      </c>
      <c r="F78" s="1663">
        <f>ЗВВ_1ст!G84</f>
        <v>0</v>
      </c>
      <c r="G78" s="1308">
        <f>ЗВВ_1ст!H84</f>
        <v>0</v>
      </c>
    </row>
    <row r="79" spans="1:7" x14ac:dyDescent="0.3">
      <c r="A79" s="713" t="str">
        <f>ЗВВ_1ст!B85</f>
        <v>Разом:</v>
      </c>
      <c r="B79" s="1663">
        <f>ЗВВ_1ст!C85</f>
        <v>1</v>
      </c>
      <c r="C79" s="1308">
        <f>ЗВВ_1ст!D85</f>
        <v>6812.6492399407889</v>
      </c>
      <c r="D79" s="1663">
        <f>ЗВВ_1ст!E85</f>
        <v>1.0000000000000002</v>
      </c>
      <c r="E79" s="1308">
        <f>ЗВВ_1ст!F85</f>
        <v>4066.1267357912193</v>
      </c>
      <c r="F79" s="1663">
        <f>ЗВВ_1ст!G85</f>
        <v>0</v>
      </c>
      <c r="G79" s="1308">
        <f>ЗВВ_1ст!H85</f>
        <v>2746.5225041495696</v>
      </c>
    </row>
    <row r="81" spans="1:7" x14ac:dyDescent="0.3">
      <c r="A81" s="45" t="str">
        <f>Адміністративні_1ст!B97</f>
        <v>Порівняльна таблиця % планованих адміністративних витрат на тепловe енергі.  в 2021-2022 роках КП "ЧТЕ" та урахованих в  діючих тарифах в 2020-2021 роках</v>
      </c>
    </row>
    <row r="82" spans="1:7" x14ac:dyDescent="0.3">
      <c r="D82" s="45" t="str">
        <f>Адміністративні_1ст!E98</f>
        <v>тис. грн.</v>
      </c>
    </row>
    <row r="83" spans="1:7" x14ac:dyDescent="0.3">
      <c r="A83" s="778" t="str">
        <f>Адміністративні_1ст!B99</f>
        <v>Показник</v>
      </c>
      <c r="B83" s="5725" t="str">
        <f>Адміністративні_1ст!C99</f>
        <v>Плановані тарифи</v>
      </c>
      <c r="C83" s="5725">
        <f>Адміністративні_1ст!D99</f>
        <v>0</v>
      </c>
      <c r="D83" s="5725" t="str">
        <f>Адміністративні_1ст!E99</f>
        <v>Діючі тарифи</v>
      </c>
      <c r="E83" s="5725">
        <f>Адміністративні_1ст!F99</f>
        <v>0</v>
      </c>
      <c r="F83" s="778" t="str">
        <f>Адміністративні_1ст!G99</f>
        <v>Відхилення</v>
      </c>
      <c r="G83" s="778" t="str">
        <f>Адміністративні_1ст!H99</f>
        <v>Різниця</v>
      </c>
    </row>
    <row r="84" spans="1:7" x14ac:dyDescent="0.3">
      <c r="A84" s="713" t="str">
        <f>Адміністративні_1ст!B100</f>
        <v>Зарплата</v>
      </c>
      <c r="B84" s="1663">
        <f>Адміністративні_1ст!C100</f>
        <v>0.74886413268890462</v>
      </c>
      <c r="C84" s="1308">
        <f>Адміністративні_1ст!D100</f>
        <v>6202.3666716557027</v>
      </c>
      <c r="D84" s="1663">
        <f>Адміністративні_1ст!E100</f>
        <v>0.72703223835326569</v>
      </c>
      <c r="E84" s="1308">
        <f>Адміністративні_1ст!F100</f>
        <v>3845.9697504473706</v>
      </c>
      <c r="F84" s="1663">
        <f>Адміністративні_1ст!G100</f>
        <v>2.1831894335638924E-2</v>
      </c>
      <c r="G84" s="1308">
        <f>Адміністративні_1ст!H100</f>
        <v>2356.3969212083321</v>
      </c>
    </row>
    <row r="85" spans="1:7" x14ac:dyDescent="0.3">
      <c r="A85" s="713" t="str">
        <f>Адміністративні_1ст!B101</f>
        <v>Відрахування</v>
      </c>
      <c r="B85" s="1663">
        <f>Адміністративні_1ст!C101</f>
        <v>0.16475010919155905</v>
      </c>
      <c r="C85" s="1308">
        <f>Адміністративні_1ст!D101</f>
        <v>1364.5206677642548</v>
      </c>
      <c r="D85" s="1663">
        <f>Адміністративні_1ст!E101</f>
        <v>0.15994709243771843</v>
      </c>
      <c r="E85" s="1308">
        <f>Адміністративні_1ст!F101</f>
        <v>846.11334509842152</v>
      </c>
      <c r="F85" s="1663">
        <f>Адміністративні_1ст!G101</f>
        <v>4.8030167538406221E-3</v>
      </c>
      <c r="G85" s="1308">
        <f>Адміністративні_1ст!H101</f>
        <v>518.40732266583325</v>
      </c>
    </row>
    <row r="86" spans="1:7" x14ac:dyDescent="0.3">
      <c r="A86" s="713" t="str">
        <f>Адміністративні_1ст!B102</f>
        <v>газ</v>
      </c>
      <c r="B86" s="1663">
        <f>Адміністративні_1ст!C102</f>
        <v>0</v>
      </c>
      <c r="C86" s="1308">
        <f>Адміністративні_1ст!D102</f>
        <v>0</v>
      </c>
      <c r="D86" s="1663">
        <f>Адміністративні_1ст!E102</f>
        <v>0</v>
      </c>
      <c r="E86" s="1308">
        <f>Адміністративні_1ст!F102</f>
        <v>0</v>
      </c>
      <c r="F86" s="1663">
        <f>Адміністративні_1ст!G102</f>
        <v>0</v>
      </c>
      <c r="G86" s="1308">
        <f>Адміністративні_1ст!H102</f>
        <v>0</v>
      </c>
    </row>
    <row r="87" spans="1:7" x14ac:dyDescent="0.3">
      <c r="A87" s="713" t="str">
        <f>Адміністративні_1ст!B103</f>
        <v>електроенергія</v>
      </c>
      <c r="B87" s="1663">
        <f>Адміністративні_1ст!C103</f>
        <v>0</v>
      </c>
      <c r="C87" s="1308">
        <f>Адміністративні_1ст!D103</f>
        <v>0</v>
      </c>
      <c r="D87" s="1663">
        <f>Адміністративні_1ст!E103</f>
        <v>0</v>
      </c>
      <c r="E87" s="1308">
        <f>Адміністративні_1ст!F103</f>
        <v>0</v>
      </c>
      <c r="F87" s="1663">
        <f>Адміністративні_1ст!G103</f>
        <v>0</v>
      </c>
      <c r="G87" s="1308">
        <f>Адміністративні_1ст!H103</f>
        <v>0</v>
      </c>
    </row>
    <row r="88" spans="1:7" ht="31.2" x14ac:dyDescent="0.3">
      <c r="A88" s="713" t="str">
        <f>Адміністративні_1ст!B104</f>
        <v>водопостачання, водовідведення</v>
      </c>
      <c r="B88" s="1663">
        <f>Адміністративні_1ст!C104</f>
        <v>0</v>
      </c>
      <c r="C88" s="1308">
        <f>Адміністративні_1ст!D104</f>
        <v>0</v>
      </c>
      <c r="D88" s="1663">
        <f>Адміністративні_1ст!E104</f>
        <v>0</v>
      </c>
      <c r="E88" s="1308">
        <f>Адміністративні_1ст!F104</f>
        <v>0</v>
      </c>
      <c r="F88" s="1663">
        <f>Адміністративні_1ст!G104</f>
        <v>0</v>
      </c>
      <c r="G88" s="1308">
        <f>Адміністративні_1ст!H104</f>
        <v>0</v>
      </c>
    </row>
    <row r="89" spans="1:7" x14ac:dyDescent="0.3">
      <c r="A89" s="713" t="str">
        <f>Адміністративні_1ст!B105</f>
        <v>амортизація</v>
      </c>
      <c r="B89" s="1663">
        <f>Адміністративні_1ст!C105</f>
        <v>9.4460328477406503E-3</v>
      </c>
      <c r="C89" s="1308">
        <f>Адміністративні_1ст!D105</f>
        <v>78.23549928052212</v>
      </c>
      <c r="D89" s="1663">
        <f>Адміністративні_1ст!E105</f>
        <v>8.4326440749574062E-3</v>
      </c>
      <c r="E89" s="1308">
        <f>Адміністративні_1ст!F105</f>
        <v>44.608330026786021</v>
      </c>
      <c r="F89" s="1663">
        <f>Адміністративні_1ст!G105</f>
        <v>1.0133887727832441E-3</v>
      </c>
      <c r="G89" s="1308">
        <f>Адміністративні_1ст!H105</f>
        <v>33.627169253736099</v>
      </c>
    </row>
    <row r="90" spans="1:7" x14ac:dyDescent="0.3">
      <c r="A90" s="713" t="str">
        <f>Адміністративні_1ст!B106</f>
        <v>податки</v>
      </c>
      <c r="B90" s="1663">
        <f>Адміністративні_1ст!C106</f>
        <v>0</v>
      </c>
      <c r="C90" s="1308">
        <f>Адміністративні_1ст!D106</f>
        <v>0</v>
      </c>
      <c r="D90" s="1663">
        <f>Адміністративні_1ст!E106</f>
        <v>0</v>
      </c>
      <c r="E90" s="1308">
        <f>Адміністративні_1ст!F106</f>
        <v>0</v>
      </c>
      <c r="F90" s="1663">
        <f>Адміністративні_1ст!G106</f>
        <v>0</v>
      </c>
      <c r="G90" s="1308">
        <f>Адміністративні_1ст!H106</f>
        <v>0</v>
      </c>
    </row>
    <row r="91" spans="1:7" x14ac:dyDescent="0.3">
      <c r="A91" s="713" t="str">
        <f>Адміністративні_1ст!B107</f>
        <v>Ремонти</v>
      </c>
      <c r="B91" s="1663">
        <f>Адміністративні_1ст!C107</f>
        <v>0</v>
      </c>
      <c r="C91" s="1308">
        <f>Адміністративні_1ст!D107</f>
        <v>0</v>
      </c>
      <c r="D91" s="1663">
        <f>Адміністративні_1ст!E107</f>
        <v>1.1467522989242243E-2</v>
      </c>
      <c r="E91" s="1308">
        <f>Адміністративні_1ст!F107</f>
        <v>60.662710953617193</v>
      </c>
      <c r="F91" s="1663">
        <f>Адміністративні_1ст!G107</f>
        <v>-1.1467522989242243E-2</v>
      </c>
      <c r="G91" s="1308">
        <f>Адміністративні_1ст!H107</f>
        <v>-60.662710953617193</v>
      </c>
    </row>
    <row r="92" spans="1:7" x14ac:dyDescent="0.3">
      <c r="A92" s="713" t="str">
        <f>Адміністративні_1ст!B108</f>
        <v>інші</v>
      </c>
      <c r="B92" s="1663">
        <f>Адміністративні_1ст!C108</f>
        <v>7.693972527179567E-2</v>
      </c>
      <c r="C92" s="1308">
        <f>Адміністративні_1ст!D108</f>
        <v>637.24294824836375</v>
      </c>
      <c r="D92" s="1663">
        <f>Адміністративні_1ст!E108</f>
        <v>9.312050214481625E-2</v>
      </c>
      <c r="E92" s="1308">
        <f>Адміністративні_1ст!F108</f>
        <v>492.60351261261803</v>
      </c>
      <c r="F92" s="1663">
        <f>Адміністративні_1ст!G108</f>
        <v>-1.618077687302058E-2</v>
      </c>
      <c r="G92" s="1308">
        <f>Адміністративні_1ст!H108</f>
        <v>144.63943563574571</v>
      </c>
    </row>
    <row r="93" spans="1:7" x14ac:dyDescent="0.3">
      <c r="A93" s="713" t="str">
        <f>Адміністративні_1ст!B109</f>
        <v>Прибуток</v>
      </c>
      <c r="B93" s="1663">
        <f>Адміністративні_1ст!C109</f>
        <v>0</v>
      </c>
      <c r="C93" s="1308">
        <f>Адміністративні_1ст!D109</f>
        <v>0</v>
      </c>
      <c r="D93" s="1663">
        <f>Адміністративні_1ст!E109</f>
        <v>0</v>
      </c>
      <c r="E93" s="1308">
        <f>Адміністративні_1ст!F109</f>
        <v>0</v>
      </c>
      <c r="F93" s="1663">
        <f>Адміністративні_1ст!G109</f>
        <v>0</v>
      </c>
      <c r="G93" s="1308">
        <f>Адміністративні_1ст!H109</f>
        <v>0</v>
      </c>
    </row>
    <row r="94" spans="1:7" x14ac:dyDescent="0.3">
      <c r="A94" s="713" t="str">
        <f>Адміністративні_1ст!B110</f>
        <v>Разом:</v>
      </c>
      <c r="B94" s="1663">
        <f>Адміністративні_1ст!C110</f>
        <v>1</v>
      </c>
      <c r="C94" s="1308">
        <f>Адміністративні_1ст!D110</f>
        <v>8282.3657869488434</v>
      </c>
      <c r="D94" s="1663">
        <f>Адміністративні_1ст!E110</f>
        <v>1</v>
      </c>
      <c r="E94" s="1308">
        <f>Адміністративні_1ст!F110</f>
        <v>5289.9576491388134</v>
      </c>
      <c r="F94" s="1663">
        <f>Адміністративні_1ст!G110</f>
        <v>0</v>
      </c>
      <c r="G94" s="1308">
        <f>Адміністративні_1ст!H110</f>
        <v>2992.40813781003</v>
      </c>
    </row>
  </sheetData>
  <mergeCells count="10">
    <mergeCell ref="B68:C68"/>
    <mergeCell ref="D68:E68"/>
    <mergeCell ref="B83:C83"/>
    <mergeCell ref="D83:E83"/>
    <mergeCell ref="B22:C22"/>
    <mergeCell ref="D22:E22"/>
    <mergeCell ref="B38:C38"/>
    <mergeCell ref="D38:E38"/>
    <mergeCell ref="B53:C53"/>
    <mergeCell ref="D53:E53"/>
  </mergeCells>
  <pageMargins left="0.15748031496062992" right="0.15748031496062992" top="0.74803149606299213" bottom="0.74803149606299213" header="0.31496062992125984" footer="0.31496062992125984"/>
  <pageSetup paperSize="9" scale="97" orientation="landscape" horizontalDpi="0" verticalDpi="0" r:id="rId1"/>
</worksheet>
</file>

<file path=xl/worksheets/sheet8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800-000000000000}">
  <sheetPr codeName="Лист85"/>
  <dimension ref="A1:F36"/>
  <sheetViews>
    <sheetView workbookViewId="0">
      <selection activeCell="A9" sqref="A9:A10"/>
    </sheetView>
  </sheetViews>
  <sheetFormatPr defaultColWidth="8.88671875" defaultRowHeight="13.8" x14ac:dyDescent="0.25"/>
  <cols>
    <col min="1" max="1" width="21.6640625" style="10" customWidth="1"/>
    <col min="2" max="6" width="13.33203125" style="10" customWidth="1"/>
    <col min="7" max="16384" width="8.88671875" style="10"/>
  </cols>
  <sheetData>
    <row r="1" spans="1:6" s="15" customFormat="1" x14ac:dyDescent="0.25">
      <c r="A1" s="1238" t="s">
        <v>2344</v>
      </c>
      <c r="B1" s="1238" t="s">
        <v>973</v>
      </c>
      <c r="C1" s="1238" t="s">
        <v>2345</v>
      </c>
      <c r="D1" s="1238" t="s">
        <v>2346</v>
      </c>
      <c r="E1" s="1238" t="s">
        <v>2013</v>
      </c>
      <c r="F1" s="1238" t="s">
        <v>2347</v>
      </c>
    </row>
    <row r="2" spans="1:6" x14ac:dyDescent="0.25">
      <c r="A2" s="12" t="s">
        <v>2348</v>
      </c>
      <c r="B2" s="1293">
        <f>'ТЕ_2ст_тариф_з ЦТП'!E17</f>
        <v>71.594076517000005</v>
      </c>
      <c r="C2" s="1293">
        <f>'ТЕ_2ст_тариф_з ЦТП'!H17</f>
        <v>59.458515646999999</v>
      </c>
      <c r="D2" s="1293">
        <f>'ТЕ_2ст_тариф_з ЦТП'!K17</f>
        <v>9.6319999999999999E-3</v>
      </c>
      <c r="E2" s="1293">
        <f>'ТЕ_2ст_тариф_з ЦТП'!N17</f>
        <v>9.0724704999999997</v>
      </c>
      <c r="F2" s="1293">
        <f>'ТЕ_2ст_тариф_з ЦТП'!Q17</f>
        <v>3.05345837</v>
      </c>
    </row>
    <row r="3" spans="1:6" x14ac:dyDescent="0.25">
      <c r="A3" s="1239" t="s">
        <v>2350</v>
      </c>
      <c r="B3" s="1293"/>
      <c r="C3" s="1293"/>
      <c r="D3" s="1293"/>
      <c r="E3" s="1293"/>
      <c r="F3" s="1293"/>
    </row>
    <row r="4" spans="1:6" x14ac:dyDescent="0.25">
      <c r="A4" s="1239" t="s">
        <v>2351</v>
      </c>
      <c r="B4" s="1293"/>
      <c r="C4" s="1293"/>
      <c r="D4" s="1293"/>
      <c r="E4" s="1293"/>
      <c r="F4" s="1293"/>
    </row>
    <row r="5" spans="1:6" x14ac:dyDescent="0.25">
      <c r="A5" s="12" t="s">
        <v>2349</v>
      </c>
      <c r="B5" s="1293">
        <f>'ТЕ_2ст_тариф_з ЦТП'!E14</f>
        <v>98.795806692118902</v>
      </c>
      <c r="C5" s="1293">
        <f>'ТЕ_2ст_тариф_з ЦТП'!H14</f>
        <v>82.049342543904487</v>
      </c>
      <c r="D5" s="1293">
        <f>'ТЕ_2ст_тариф_з ЦТП'!K14</f>
        <v>1.3291675959893333E-2</v>
      </c>
      <c r="E5" s="1293">
        <f>'ТЕ_2ст_тариф_з ЦТП'!N14</f>
        <v>12.519553368115806</v>
      </c>
      <c r="F5" s="1293">
        <f>'ТЕ_2ст_тариф_з ЦТП'!Q14</f>
        <v>4.2136191041387132</v>
      </c>
    </row>
    <row r="6" spans="1:6" x14ac:dyDescent="0.25">
      <c r="A6" s="1239" t="s">
        <v>2350</v>
      </c>
      <c r="B6" s="1293">
        <f>'ТЕ_2ст_тариф_з ЦТП'!E15</f>
        <v>16.448213425432204</v>
      </c>
      <c r="C6" s="1293">
        <f>'ТЕ_2ст_тариф_з ЦТП'!H15</f>
        <v>13.668480880354855</v>
      </c>
      <c r="D6" s="1293">
        <f>'ТЕ_2ст_тариф_з ЦТП'!K15</f>
        <v>0</v>
      </c>
      <c r="E6" s="1293">
        <f>'ТЕ_2ст_тариф_з ЦТП'!N15</f>
        <v>2.0104763849135998</v>
      </c>
      <c r="F6" s="1293">
        <f>'ТЕ_2ст_тариф_з ЦТП'!Q15</f>
        <v>0.76925616016375076</v>
      </c>
    </row>
    <row r="7" spans="1:6" x14ac:dyDescent="0.25">
      <c r="A7" s="1239" t="s">
        <v>2351</v>
      </c>
      <c r="B7" s="1293">
        <f>'ТЕ_2ст_тариф_з ЦТП'!E16</f>
        <v>82.347593266686673</v>
      </c>
      <c r="C7" s="1293">
        <f>'ТЕ_2ст_тариф_з ЦТП'!H16</f>
        <v>68.380861663549609</v>
      </c>
      <c r="D7" s="1293">
        <f>'ТЕ_2ст_тариф_з ЦТП'!K16</f>
        <v>1.3291675959893333E-2</v>
      </c>
      <c r="E7" s="1293">
        <f>'ТЕ_2ст_тариф_з ЦТП'!N16</f>
        <v>10.509076983202204</v>
      </c>
      <c r="F7" s="1293">
        <f>'ТЕ_2ст_тариф_з ЦТП'!Q16</f>
        <v>3.4443629439749621</v>
      </c>
    </row>
    <row r="8" spans="1:6" x14ac:dyDescent="0.25">
      <c r="A8" s="12" t="s">
        <v>2352</v>
      </c>
      <c r="B8" s="1293">
        <f>'ТЕ_2ст_тариф_з ЦТП'!E30</f>
        <v>108.67553267624618</v>
      </c>
      <c r="C8" s="1293">
        <f>'ТЕ_2ст_тариф_з ЦТП'!H30</f>
        <v>90.271057497103627</v>
      </c>
      <c r="D8" s="1293">
        <f>'ТЕ_2ст_тариф_з ЦТП'!K30</f>
        <v>1.4602989074179139E-2</v>
      </c>
      <c r="E8" s="1293">
        <f>'ТЕ_2ст_тариф_з ЦТП'!N30</f>
        <v>13.752767963175286</v>
      </c>
      <c r="F8" s="1293">
        <f>'ТЕ_2ст_тариф_з ЦТП'!Q30</f>
        <v>4.6371042268930927</v>
      </c>
    </row>
    <row r="9" spans="1:6" x14ac:dyDescent="0.25">
      <c r="A9" s="1239" t="s">
        <v>2350</v>
      </c>
      <c r="B9" s="1293"/>
      <c r="C9" s="1293"/>
      <c r="D9" s="1293"/>
      <c r="E9" s="1293"/>
      <c r="F9" s="1293"/>
    </row>
    <row r="10" spans="1:6" x14ac:dyDescent="0.25">
      <c r="A10" s="1239" t="s">
        <v>2351</v>
      </c>
      <c r="B10" s="1293"/>
      <c r="C10" s="1293"/>
      <c r="D10" s="1293"/>
      <c r="E10" s="1293"/>
      <c r="F10" s="1293"/>
    </row>
    <row r="11" spans="1:6" x14ac:dyDescent="0.25">
      <c r="A11" s="12" t="s">
        <v>2337</v>
      </c>
      <c r="B11" s="789"/>
      <c r="C11" s="789"/>
      <c r="D11" s="789"/>
      <c r="E11" s="789"/>
      <c r="F11" s="789"/>
    </row>
    <row r="12" spans="1:6" x14ac:dyDescent="0.25">
      <c r="A12" s="1239" t="s">
        <v>2353</v>
      </c>
      <c r="B12" s="1240"/>
      <c r="C12" s="1240"/>
      <c r="D12" s="1240"/>
      <c r="E12" s="1240"/>
      <c r="F12" s="1240"/>
    </row>
    <row r="13" spans="1:6" x14ac:dyDescent="0.25">
      <c r="A13" s="12" t="s">
        <v>2354</v>
      </c>
      <c r="B13" s="1240">
        <f>'ТЕ_2ст_тариф_з ЦТП'!E74</f>
        <v>0</v>
      </c>
      <c r="C13" s="1240">
        <f>'ТЕ_2ст_тариф_з ЦТП'!H74</f>
        <v>0</v>
      </c>
      <c r="D13" s="1240">
        <f>'ТЕ_2ст_тариф_з ЦТП'!K74</f>
        <v>0</v>
      </c>
      <c r="E13" s="1240">
        <f>'ТЕ_2ст_тариф_з ЦТП'!N74</f>
        <v>0</v>
      </c>
      <c r="F13" s="1240">
        <f>'ТЕ_2ст_тариф_з ЦТП'!Q74</f>
        <v>0</v>
      </c>
    </row>
    <row r="14" spans="1:6" x14ac:dyDescent="0.25">
      <c r="A14" s="1239" t="s">
        <v>2353</v>
      </c>
      <c r="B14" s="1240">
        <f>B13/B5</f>
        <v>0</v>
      </c>
      <c r="C14" s="1240">
        <f>C13/C5</f>
        <v>0</v>
      </c>
      <c r="D14" s="1240">
        <f>D13/D5</f>
        <v>0</v>
      </c>
      <c r="E14" s="1240">
        <f>E13/E5</f>
        <v>0</v>
      </c>
      <c r="F14" s="1240">
        <f>F13/F5</f>
        <v>0</v>
      </c>
    </row>
    <row r="17" spans="1:6" x14ac:dyDescent="0.25">
      <c r="A17" s="5066" t="s">
        <v>2355</v>
      </c>
      <c r="B17" s="5066"/>
      <c r="C17" s="5066"/>
      <c r="D17" s="5066"/>
      <c r="E17" s="5066"/>
      <c r="F17" s="5066"/>
    </row>
    <row r="18" spans="1:6" s="15" customFormat="1" x14ac:dyDescent="0.25">
      <c r="A18" s="1238" t="s">
        <v>2350</v>
      </c>
      <c r="B18" s="1238" t="s">
        <v>973</v>
      </c>
      <c r="C18" s="1238" t="s">
        <v>2345</v>
      </c>
      <c r="D18" s="1238" t="s">
        <v>2346</v>
      </c>
      <c r="E18" s="1238" t="s">
        <v>2013</v>
      </c>
      <c r="F18" s="1238" t="s">
        <v>2347</v>
      </c>
    </row>
    <row r="19" spans="1:6" x14ac:dyDescent="0.25">
      <c r="A19" s="12" t="s">
        <v>869</v>
      </c>
      <c r="B19" s="789">
        <f>'ТЕ_2ст_тариф_з ЦТП'!E68</f>
        <v>155406.25959820251</v>
      </c>
      <c r="C19" s="789">
        <f>'ТЕ_2ст_тариф_з ЦТП'!H68</f>
        <v>113992.57640125134</v>
      </c>
      <c r="D19" s="789">
        <f>IF(D6=0,0,'ТЕ_2ст_тариф_з ЦТП'!K68)</f>
        <v>0</v>
      </c>
      <c r="E19" s="789">
        <f>'ТЕ_2ст_тариф_з ЦТП'!N68</f>
        <v>30948.786695328279</v>
      </c>
      <c r="F19" s="789">
        <f>'ТЕ_2ст_тариф_з ЦТП'!Q68</f>
        <v>10432.035168895502</v>
      </c>
    </row>
    <row r="20" spans="1:6" x14ac:dyDescent="0.25">
      <c r="A20" s="1239" t="s">
        <v>2353</v>
      </c>
      <c r="B20" s="789">
        <f>B19/B8</f>
        <v>1430.0022808369499</v>
      </c>
      <c r="C20" s="789">
        <f>C19/C8</f>
        <v>1262.7810015952105</v>
      </c>
      <c r="D20" s="789">
        <f>IF(D6=0,0,D19/D8)</f>
        <v>0</v>
      </c>
      <c r="E20" s="789">
        <f>E19/E8</f>
        <v>2250.3678370926805</v>
      </c>
      <c r="F20" s="789">
        <f>F19/F8</f>
        <v>2249.68744683254</v>
      </c>
    </row>
    <row r="21" spans="1:6" x14ac:dyDescent="0.25">
      <c r="A21" s="12" t="s">
        <v>928</v>
      </c>
      <c r="B21" s="789">
        <f>'ТЕ_2ст_тариф_з ЦТП'!E112</f>
        <v>14555.110457723064</v>
      </c>
      <c r="C21" s="789">
        <f>'ТЕ_2ст_тариф_з ЦТП'!H112</f>
        <v>11847.327205693551</v>
      </c>
      <c r="D21" s="789">
        <f>IF(D6=0,0,'ТЕ_2ст_тариф_з ЦТП'!K112)</f>
        <v>0</v>
      </c>
      <c r="E21" s="789">
        <f>'ТЕ_2ст_тариф_з ЦТП'!N112</f>
        <v>1958.438157408556</v>
      </c>
      <c r="F21" s="789">
        <f>'ТЕ_2ст_тариф_з ЦТП'!Q112</f>
        <v>749.34509462095502</v>
      </c>
    </row>
    <row r="22" spans="1:6" x14ac:dyDescent="0.25">
      <c r="A22" s="1239" t="s">
        <v>2353</v>
      </c>
      <c r="B22" s="789">
        <f>B21/B6</f>
        <v>884.9052527016687</v>
      </c>
      <c r="C22" s="789">
        <f>C21/C6</f>
        <v>866.76253999237235</v>
      </c>
      <c r="D22" s="789">
        <f>IF(D6=0,0,D21/D6)</f>
        <v>0</v>
      </c>
      <c r="E22" s="789">
        <f>E21/E6</f>
        <v>974.11646916346137</v>
      </c>
      <c r="F22" s="789">
        <f>F21/F6</f>
        <v>974.11646916346137</v>
      </c>
    </row>
    <row r="23" spans="1:6" x14ac:dyDescent="0.25">
      <c r="A23" s="12" t="s">
        <v>2233</v>
      </c>
      <c r="B23" s="789">
        <f>'ТЕ_2ст_тариф_з ЦТП'!E151</f>
        <v>1962.4451296989496</v>
      </c>
      <c r="C23" s="789">
        <f>'ТЕ_2ст_тариф_з ЦТП'!H151</f>
        <v>1629.8006780334308</v>
      </c>
      <c r="D23" s="789">
        <f>IF(D6=0,0,'ТЕ_2ст_тариф_з ЦТП'!K151)</f>
        <v>0</v>
      </c>
      <c r="E23" s="789">
        <f>'ТЕ_2ст_тариф_з ЦТП'!N151</f>
        <v>248.682941567586</v>
      </c>
      <c r="F23" s="789">
        <f>'ТЕ_2ст_тариф_з ЦТП'!Q151</f>
        <v>83.697490050341457</v>
      </c>
    </row>
    <row r="24" spans="1:6" x14ac:dyDescent="0.25">
      <c r="A24" s="1239" t="s">
        <v>2353</v>
      </c>
      <c r="B24" s="789">
        <f>B23/B5</f>
        <v>19.863648017112624</v>
      </c>
      <c r="C24" s="789">
        <f>C23/C5</f>
        <v>19.863665295810588</v>
      </c>
      <c r="D24" s="789">
        <f>IF(D6=0,0,D23/D5)</f>
        <v>0</v>
      </c>
      <c r="E24" s="789">
        <f>E23/E5</f>
        <v>19.863563360089163</v>
      </c>
      <c r="F24" s="789">
        <f>F23/F5</f>
        <v>19.863563360089159</v>
      </c>
    </row>
    <row r="25" spans="1:6" ht="14.4" customHeight="1" x14ac:dyDescent="0.25">
      <c r="A25" s="5753" t="s">
        <v>973</v>
      </c>
      <c r="B25" s="1242">
        <f>B19+B21+B23</f>
        <v>171923.81518562452</v>
      </c>
      <c r="C25" s="1242">
        <f t="shared" ref="C25:F25" si="0">C19+C21+C23</f>
        <v>127469.70428497832</v>
      </c>
      <c r="D25" s="1242">
        <f t="shared" si="0"/>
        <v>0</v>
      </c>
      <c r="E25" s="1242">
        <f t="shared" si="0"/>
        <v>33155.907794304425</v>
      </c>
      <c r="F25" s="1242">
        <f t="shared" si="0"/>
        <v>11265.077753566798</v>
      </c>
    </row>
    <row r="26" spans="1:6" s="15" customFormat="1" x14ac:dyDescent="0.25">
      <c r="A26" s="5754"/>
      <c r="B26" s="1242">
        <f>B20+B22+B24</f>
        <v>2334.7711815557313</v>
      </c>
      <c r="C26" s="1242">
        <f>C20+C22+C24</f>
        <v>2149.4072068833934</v>
      </c>
      <c r="D26" s="1242">
        <f>D20+D22+D24</f>
        <v>0</v>
      </c>
      <c r="E26" s="1242">
        <f>E20+E22+E24</f>
        <v>3244.347869616231</v>
      </c>
      <c r="F26" s="1242">
        <f>F20+F22+F24</f>
        <v>3243.6674793560906</v>
      </c>
    </row>
    <row r="28" spans="1:6" s="15" customFormat="1" x14ac:dyDescent="0.25">
      <c r="A28" s="1238" t="s">
        <v>2351</v>
      </c>
      <c r="B28" s="1238" t="s">
        <v>973</v>
      </c>
      <c r="C28" s="1238" t="s">
        <v>2345</v>
      </c>
      <c r="D28" s="1238" t="s">
        <v>2346</v>
      </c>
      <c r="E28" s="1238" t="s">
        <v>2013</v>
      </c>
      <c r="F28" s="1238" t="s">
        <v>2347</v>
      </c>
    </row>
    <row r="29" spans="1:6" x14ac:dyDescent="0.25">
      <c r="A29" s="12" t="s">
        <v>869</v>
      </c>
      <c r="B29" s="789">
        <f>'ТЕ_2ст_тариф_з ЦТП'!E68</f>
        <v>155406.25959820251</v>
      </c>
      <c r="C29" s="789">
        <f>'ТЕ_2ст_тариф_з ЦТП'!H68</f>
        <v>113992.57640125134</v>
      </c>
      <c r="D29" s="789">
        <f>'ТЕ_2ст_тариф_з ЦТП'!K68</f>
        <v>32.861332727337462</v>
      </c>
      <c r="E29" s="789">
        <f>'ТЕ_2ст_тариф_без ЦТП'!N68</f>
        <v>30948.786695328279</v>
      </c>
      <c r="F29" s="789">
        <f>'ТЕ_2ст_тариф_з ЦТП'!Q68</f>
        <v>10432.035168895502</v>
      </c>
    </row>
    <row r="30" spans="1:6" x14ac:dyDescent="0.25">
      <c r="A30" s="1239" t="s">
        <v>2353</v>
      </c>
      <c r="B30" s="789">
        <f>B29/B8</f>
        <v>1430.0022808369499</v>
      </c>
      <c r="C30" s="789">
        <f>C29/C8</f>
        <v>1262.7810015952105</v>
      </c>
      <c r="D30" s="789">
        <f>D29/D8</f>
        <v>2250.3155046142265</v>
      </c>
      <c r="E30" s="789">
        <f>E29/E8</f>
        <v>2250.3678370926805</v>
      </c>
      <c r="F30" s="789">
        <f>F29/F8</f>
        <v>2249.68744683254</v>
      </c>
    </row>
    <row r="31" spans="1:6" x14ac:dyDescent="0.25">
      <c r="A31" s="12" t="s">
        <v>928</v>
      </c>
      <c r="B31" s="789">
        <f>'ТЕ_2ст_тариф_без ЦТП'!E112</f>
        <v>41678.346479816559</v>
      </c>
      <c r="C31" s="789">
        <f>'ТЕ_2ст_тариф_без ЦТП'!H112</f>
        <v>33513.053790315818</v>
      </c>
      <c r="D31" s="789">
        <f>'ТЕ_2ст_тариф_без ЦТП'!K112</f>
        <v>7.7706386598102046</v>
      </c>
      <c r="E31" s="789">
        <f>'ТЕ_2ст_тариф_без ЦТП'!N112</f>
        <v>6143.8632818767564</v>
      </c>
      <c r="F31" s="789">
        <f>'ТЕ_2ст_тариф_без ЦТП'!Q112</f>
        <v>2013.6587689641747</v>
      </c>
    </row>
    <row r="32" spans="1:6" x14ac:dyDescent="0.25">
      <c r="A32" s="1239" t="s">
        <v>2353</v>
      </c>
      <c r="B32" s="789">
        <f>B31/B7</f>
        <v>506.12707459268682</v>
      </c>
      <c r="C32" s="789">
        <f>C31/C7</f>
        <v>490.09405519351532</v>
      </c>
      <c r="D32" s="789">
        <f>D31/D7</f>
        <v>584.62444339280785</v>
      </c>
      <c r="E32" s="789">
        <f>E31/E7</f>
        <v>584.62444339280785</v>
      </c>
      <c r="F32" s="789">
        <f>F31/F7</f>
        <v>584.62444339280773</v>
      </c>
    </row>
    <row r="33" spans="1:6" x14ac:dyDescent="0.25">
      <c r="A33" s="12" t="s">
        <v>2233</v>
      </c>
      <c r="B33" s="789">
        <f>'ТЕ_2ст_тариф_з ЦТП'!E151</f>
        <v>1962.4451296989496</v>
      </c>
      <c r="C33" s="789">
        <f>'ТЕ_2ст_тариф_з ЦТП'!H151</f>
        <v>1629.8006780334308</v>
      </c>
      <c r="D33" s="789">
        <f>'ТЕ_2ст_тариф_з ЦТП'!K151</f>
        <v>0.26402004759111519</v>
      </c>
      <c r="E33" s="789">
        <f>'ТЕ_2ст_тариф_без ЦТП'!N151</f>
        <v>248.682941567586</v>
      </c>
      <c r="F33" s="789">
        <f>'ТЕ_2ст_тариф_з ЦТП'!Q151</f>
        <v>83.697490050341457</v>
      </c>
    </row>
    <row r="34" spans="1:6" x14ac:dyDescent="0.25">
      <c r="A34" s="1239" t="s">
        <v>2353</v>
      </c>
      <c r="B34" s="789">
        <f>B33/B5</f>
        <v>19.863648017112624</v>
      </c>
      <c r="C34" s="789">
        <f>C33/C5</f>
        <v>19.863665295810588</v>
      </c>
      <c r="D34" s="789">
        <f>D33/D5</f>
        <v>19.863563360089167</v>
      </c>
      <c r="E34" s="789">
        <f>E33/E5</f>
        <v>19.863563360089163</v>
      </c>
      <c r="F34" s="789">
        <f>F33/F5</f>
        <v>19.863563360089159</v>
      </c>
    </row>
    <row r="35" spans="1:6" ht="14.4" customHeight="1" x14ac:dyDescent="0.25">
      <c r="A35" s="5753" t="s">
        <v>973</v>
      </c>
      <c r="B35" s="1292">
        <f>B29+B31+B33</f>
        <v>199047.05120771803</v>
      </c>
      <c r="C35" s="1292">
        <f t="shared" ref="C35:F35" si="1">C29+C31+C33</f>
        <v>149135.43086960059</v>
      </c>
      <c r="D35" s="1292">
        <f t="shared" si="1"/>
        <v>40.895991434738782</v>
      </c>
      <c r="E35" s="1292">
        <f t="shared" si="1"/>
        <v>37341.332918772627</v>
      </c>
      <c r="F35" s="1292">
        <f t="shared" si="1"/>
        <v>12529.391427910017</v>
      </c>
    </row>
    <row r="36" spans="1:6" s="15" customFormat="1" x14ac:dyDescent="0.25">
      <c r="A36" s="5754"/>
      <c r="B36" s="1292">
        <f>B30+B32+B34</f>
        <v>1955.9930034467493</v>
      </c>
      <c r="C36" s="1292">
        <f>C30+C32+C34</f>
        <v>1772.7387220845362</v>
      </c>
      <c r="D36" s="1292">
        <f>D30+D32+D34</f>
        <v>2854.8035113671235</v>
      </c>
      <c r="E36" s="1292">
        <f>E30+E32+E34</f>
        <v>2854.8558438455775</v>
      </c>
      <c r="F36" s="1292">
        <f>F30+F32+F34</f>
        <v>2854.175453585437</v>
      </c>
    </row>
  </sheetData>
  <mergeCells count="3">
    <mergeCell ref="A17:F17"/>
    <mergeCell ref="A35:A36"/>
    <mergeCell ref="A25:A26"/>
  </mergeCells>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Лист1">
    <pageSetUpPr fitToPage="1"/>
  </sheetPr>
  <dimension ref="B1:Q73"/>
  <sheetViews>
    <sheetView topLeftCell="B1" zoomScale="80" zoomScaleNormal="80" workbookViewId="0">
      <selection activeCell="F26" sqref="F26"/>
    </sheetView>
  </sheetViews>
  <sheetFormatPr defaultColWidth="9.109375" defaultRowHeight="15.6" x14ac:dyDescent="0.3"/>
  <cols>
    <col min="1" max="1" width="2.44140625" style="45" customWidth="1"/>
    <col min="2" max="2" width="50.33203125" style="45" customWidth="1"/>
    <col min="3" max="3" width="16" style="45" customWidth="1"/>
    <col min="4" max="4" width="18" style="45" customWidth="1"/>
    <col min="5" max="5" width="23.33203125" style="45" bestFit="1" customWidth="1"/>
    <col min="6" max="6" width="51.33203125" style="45" customWidth="1"/>
    <col min="7" max="16384" width="9.109375" style="45"/>
  </cols>
  <sheetData>
    <row r="1" spans="2:9" x14ac:dyDescent="0.3">
      <c r="F1" s="45" t="s">
        <v>4120</v>
      </c>
    </row>
    <row r="2" spans="2:9" x14ac:dyDescent="0.3">
      <c r="B2" s="1894" t="s">
        <v>3042</v>
      </c>
      <c r="C2" s="15" t="s">
        <v>569</v>
      </c>
      <c r="D2" s="15"/>
      <c r="E2" s="15"/>
      <c r="F2" s="10"/>
      <c r="G2" s="10"/>
      <c r="I2" s="10"/>
    </row>
    <row r="3" spans="2:9" ht="16.2" thickBot="1" x14ac:dyDescent="0.35">
      <c r="B3" s="44"/>
      <c r="C3" s="44"/>
      <c r="D3" s="44"/>
      <c r="E3" s="44"/>
    </row>
    <row r="4" spans="2:9" ht="48.75" customHeight="1" thickBot="1" x14ac:dyDescent="0.35">
      <c r="B4" s="1262" t="s">
        <v>432</v>
      </c>
      <c r="C4" s="1033"/>
      <c r="D4" s="1034"/>
      <c r="E4" s="60"/>
      <c r="F4" s="1035" t="s">
        <v>2379</v>
      </c>
    </row>
    <row r="5" spans="2:9" ht="21" customHeight="1" thickBot="1" x14ac:dyDescent="0.35">
      <c r="B5" s="1036" t="s">
        <v>903</v>
      </c>
      <c r="C5" s="1036"/>
      <c r="D5" s="1037"/>
      <c r="E5" s="354"/>
      <c r="F5" s="1035" t="s">
        <v>3496</v>
      </c>
    </row>
    <row r="6" spans="2:9" ht="22.5" customHeight="1" x14ac:dyDescent="0.3">
      <c r="B6" s="1038" t="s">
        <v>433</v>
      </c>
      <c r="C6" s="1038"/>
      <c r="D6" s="1037"/>
      <c r="E6" s="61"/>
      <c r="F6" s="1039" t="s">
        <v>3481</v>
      </c>
    </row>
    <row r="7" spans="2:9" x14ac:dyDescent="0.3">
      <c r="B7" s="51" t="s">
        <v>196</v>
      </c>
      <c r="C7" s="51"/>
      <c r="E7" s="58"/>
      <c r="F7" s="47">
        <v>2022</v>
      </c>
    </row>
    <row r="8" spans="2:9" x14ac:dyDescent="0.3">
      <c r="B8" s="1040" t="s">
        <v>434</v>
      </c>
      <c r="C8" s="1040"/>
      <c r="E8" s="98"/>
      <c r="F8" s="85">
        <v>2021</v>
      </c>
    </row>
    <row r="9" spans="2:9" ht="16.2" thickBot="1" x14ac:dyDescent="0.35">
      <c r="B9" s="1040" t="s">
        <v>3480</v>
      </c>
      <c r="C9" s="1040"/>
      <c r="E9" s="98"/>
      <c r="F9" s="1261" t="s">
        <v>3479</v>
      </c>
    </row>
    <row r="10" spans="2:9" ht="31.8" thickBot="1" x14ac:dyDescent="0.35">
      <c r="B10" s="1041" t="s">
        <v>654</v>
      </c>
      <c r="C10" s="1041"/>
      <c r="D10" s="1034"/>
      <c r="E10" s="242"/>
      <c r="F10" s="1042" t="s">
        <v>2378</v>
      </c>
    </row>
    <row r="11" spans="2:9" ht="31.8" thickBot="1" x14ac:dyDescent="0.35">
      <c r="B11" s="1043" t="s">
        <v>1656</v>
      </c>
      <c r="C11" s="1042" t="s">
        <v>3</v>
      </c>
      <c r="D11" s="1044" t="s">
        <v>163</v>
      </c>
      <c r="E11" s="1042" t="s">
        <v>770</v>
      </c>
      <c r="F11" s="1045" t="s">
        <v>156</v>
      </c>
    </row>
    <row r="12" spans="2:9" ht="24" customHeight="1" x14ac:dyDescent="0.3">
      <c r="B12" s="1036" t="s">
        <v>435</v>
      </c>
      <c r="C12" s="1036"/>
      <c r="D12" s="1037"/>
      <c r="E12" s="61"/>
      <c r="F12" s="47" t="s">
        <v>2374</v>
      </c>
    </row>
    <row r="13" spans="2:9" x14ac:dyDescent="0.3">
      <c r="B13" s="57" t="s">
        <v>3460</v>
      </c>
      <c r="C13" s="51"/>
      <c r="E13" s="58"/>
      <c r="F13" s="47" t="s">
        <v>2374</v>
      </c>
    </row>
    <row r="14" spans="2:9" x14ac:dyDescent="0.3">
      <c r="B14" s="57" t="s">
        <v>436</v>
      </c>
      <c r="C14" s="51"/>
      <c r="E14" s="58"/>
      <c r="F14" s="47" t="s">
        <v>2375</v>
      </c>
    </row>
    <row r="15" spans="2:9" x14ac:dyDescent="0.3">
      <c r="B15" s="57" t="s">
        <v>904</v>
      </c>
      <c r="C15" s="51"/>
      <c r="E15" s="58"/>
      <c r="F15" s="47" t="s">
        <v>2376</v>
      </c>
    </row>
    <row r="16" spans="2:9" x14ac:dyDescent="0.3">
      <c r="B16" s="57" t="s">
        <v>437</v>
      </c>
      <c r="C16" s="51"/>
      <c r="E16" s="58"/>
      <c r="F16" s="47" t="s">
        <v>2377</v>
      </c>
    </row>
    <row r="17" spans="2:17" hidden="1" x14ac:dyDescent="0.3">
      <c r="B17" s="57"/>
      <c r="C17" s="51"/>
      <c r="E17" s="58"/>
      <c r="F17" s="47"/>
    </row>
    <row r="18" spans="2:17" ht="31.8" thickBot="1" x14ac:dyDescent="0.35">
      <c r="B18" s="52" t="s">
        <v>592</v>
      </c>
      <c r="C18" s="51"/>
      <c r="E18" s="58"/>
      <c r="F18" s="47" t="s">
        <v>593</v>
      </c>
    </row>
    <row r="19" spans="2:17" ht="31.8" thickBot="1" x14ac:dyDescent="0.35">
      <c r="B19" s="1033" t="s">
        <v>441</v>
      </c>
      <c r="C19" s="3167" t="s">
        <v>9</v>
      </c>
      <c r="D19" s="1263" t="s">
        <v>442</v>
      </c>
      <c r="E19" s="1263" t="s">
        <v>443</v>
      </c>
      <c r="F19" s="46" t="s">
        <v>483</v>
      </c>
      <c r="G19" s="45" t="s">
        <v>846</v>
      </c>
    </row>
    <row r="20" spans="2:17" x14ac:dyDescent="0.3">
      <c r="B20" s="84" t="s">
        <v>438</v>
      </c>
      <c r="C20" s="85" t="s">
        <v>439</v>
      </c>
      <c r="D20" s="1264"/>
      <c r="E20" s="1264"/>
      <c r="F20" s="1264"/>
    </row>
    <row r="21" spans="2:17" s="44" customFormat="1" x14ac:dyDescent="0.3">
      <c r="B21" s="66" t="s">
        <v>3405</v>
      </c>
      <c r="C21" s="85" t="s">
        <v>439</v>
      </c>
      <c r="D21" s="89">
        <v>6183.33</v>
      </c>
      <c r="E21" s="4948" t="s">
        <v>3403</v>
      </c>
      <c r="F21" s="4949" t="s">
        <v>3404</v>
      </c>
      <c r="G21" s="45"/>
      <c r="H21" s="89">
        <f>7420/1.2</f>
        <v>6183.3333333333339</v>
      </c>
      <c r="I21" s="44">
        <f>D21*1.2</f>
        <v>7419.9959999999992</v>
      </c>
    </row>
    <row r="22" spans="2:17" ht="17.399999999999999" customHeight="1" x14ac:dyDescent="0.3">
      <c r="B22" s="66" t="s">
        <v>3406</v>
      </c>
      <c r="C22" s="85" t="s">
        <v>439</v>
      </c>
      <c r="D22" s="89">
        <v>13658.33</v>
      </c>
      <c r="E22" s="4948"/>
      <c r="F22" s="4949"/>
      <c r="H22" s="89">
        <f>16390/1.2</f>
        <v>13658.333333333334</v>
      </c>
      <c r="J22" s="45">
        <f>D24*D26</f>
        <v>136.57599999999999</v>
      </c>
    </row>
    <row r="23" spans="2:17" x14ac:dyDescent="0.3">
      <c r="B23" s="66" t="s">
        <v>3407</v>
      </c>
      <c r="C23" s="85" t="s">
        <v>439</v>
      </c>
      <c r="D23" s="89">
        <v>13658.33</v>
      </c>
      <c r="E23" s="4948"/>
      <c r="F23" s="4949"/>
      <c r="H23" s="89">
        <f>38325.5/1.2</f>
        <v>31937.916666666668</v>
      </c>
    </row>
    <row r="24" spans="2:17" s="1124" customFormat="1" x14ac:dyDescent="0.3">
      <c r="B24" s="3026" t="s">
        <v>815</v>
      </c>
      <c r="C24" s="3027" t="s">
        <v>439</v>
      </c>
      <c r="D24" s="3028">
        <v>124.16</v>
      </c>
      <c r="E24" s="4948"/>
      <c r="F24" s="4949"/>
      <c r="H24" s="3028">
        <v>124.16</v>
      </c>
    </row>
    <row r="25" spans="2:17" ht="31.2" x14ac:dyDescent="0.3">
      <c r="B25" s="3168" t="s">
        <v>814</v>
      </c>
      <c r="C25" s="3169" t="s">
        <v>439</v>
      </c>
      <c r="D25" s="3170">
        <f>1.09*1000</f>
        <v>1090</v>
      </c>
      <c r="E25" s="3171"/>
      <c r="F25" s="3172" t="s">
        <v>3341</v>
      </c>
      <c r="H25" s="3170">
        <f>1.09*1000</f>
        <v>1090</v>
      </c>
      <c r="I25" s="2657"/>
    </row>
    <row r="26" spans="2:17" ht="31.2" x14ac:dyDescent="0.3">
      <c r="B26" s="66" t="s">
        <v>2550</v>
      </c>
      <c r="C26" s="85"/>
      <c r="D26" s="89">
        <v>1.1000000000000001</v>
      </c>
      <c r="E26" s="47"/>
      <c r="F26" s="1046" t="s">
        <v>822</v>
      </c>
      <c r="H26" s="1319"/>
    </row>
    <row r="27" spans="2:17" s="44" customFormat="1" ht="19.5" customHeight="1" x14ac:dyDescent="0.3">
      <c r="B27" s="88" t="s">
        <v>533</v>
      </c>
      <c r="C27" s="85"/>
      <c r="D27" s="84"/>
      <c r="E27" s="84"/>
      <c r="F27" s="84"/>
      <c r="G27" s="45"/>
      <c r="H27" s="1319"/>
    </row>
    <row r="28" spans="2:17" ht="28.2" customHeight="1" x14ac:dyDescent="0.3">
      <c r="B28" s="65" t="s">
        <v>1974</v>
      </c>
      <c r="C28" s="85" t="s">
        <v>534</v>
      </c>
      <c r="D28" s="4049">
        <v>4.7651000000000003</v>
      </c>
      <c r="E28" s="4947" t="s">
        <v>784</v>
      </c>
      <c r="F28" s="1046" t="s">
        <v>4113</v>
      </c>
      <c r="H28" s="4279">
        <f>D28+D30</f>
        <v>6.4301100000000009</v>
      </c>
      <c r="P28" s="3173"/>
      <c r="Q28" s="3173"/>
    </row>
    <row r="29" spans="2:17" ht="28.2" customHeight="1" x14ac:dyDescent="0.3">
      <c r="B29" s="65" t="s">
        <v>785</v>
      </c>
      <c r="C29" s="85" t="s">
        <v>534</v>
      </c>
      <c r="D29" s="1048">
        <f>'Ціна ее'!C14</f>
        <v>3.7078666666666673</v>
      </c>
      <c r="E29" s="4947"/>
      <c r="F29" s="1046" t="s">
        <v>3283</v>
      </c>
      <c r="H29" s="1320"/>
      <c r="P29" s="3173"/>
      <c r="Q29" s="3173"/>
    </row>
    <row r="30" spans="2:17" ht="42" x14ac:dyDescent="0.3">
      <c r="B30" s="3174" t="s">
        <v>783</v>
      </c>
      <c r="C30" s="3169" t="s">
        <v>534</v>
      </c>
      <c r="D30" s="4051">
        <v>1.6650100000000001</v>
      </c>
      <c r="E30" s="3175" t="s">
        <v>782</v>
      </c>
      <c r="F30" s="4050" t="s">
        <v>3342</v>
      </c>
      <c r="H30" s="1320"/>
      <c r="P30" s="3173"/>
      <c r="Q30" s="3173"/>
    </row>
    <row r="31" spans="2:17" x14ac:dyDescent="0.3">
      <c r="B31" s="65"/>
      <c r="C31" s="85"/>
      <c r="D31" s="1048"/>
      <c r="E31" s="3166"/>
      <c r="F31" s="1046"/>
      <c r="H31" s="1320"/>
      <c r="P31" s="3173"/>
      <c r="Q31" s="3173"/>
    </row>
    <row r="32" spans="2:17" ht="31.2" x14ac:dyDescent="0.3">
      <c r="B32" s="65" t="s">
        <v>791</v>
      </c>
      <c r="C32" s="85" t="s">
        <v>563</v>
      </c>
      <c r="D32" s="4052">
        <f>'Ціна ее'!E14</f>
        <v>6.4440000000000011E-2</v>
      </c>
      <c r="E32" s="1047"/>
      <c r="F32" s="1046" t="s">
        <v>3283</v>
      </c>
      <c r="H32" s="1320"/>
      <c r="P32" s="3173"/>
      <c r="Q32" s="3173"/>
    </row>
    <row r="33" spans="2:17" ht="31.2" x14ac:dyDescent="0.3">
      <c r="B33" s="65" t="s">
        <v>1975</v>
      </c>
      <c r="C33" s="85" t="s">
        <v>563</v>
      </c>
      <c r="D33" s="1049">
        <f>'Ціна ее'!E13</f>
        <v>3.5819999999999998E-2</v>
      </c>
      <c r="E33" s="1047"/>
      <c r="F33" s="1046" t="s">
        <v>3282</v>
      </c>
      <c r="P33" s="3173"/>
      <c r="Q33" s="3173"/>
    </row>
    <row r="34" spans="2:17" ht="31.2" x14ac:dyDescent="0.3">
      <c r="B34" s="65" t="s">
        <v>792</v>
      </c>
      <c r="C34" s="85" t="s">
        <v>563</v>
      </c>
      <c r="D34" s="4049">
        <f>'Ціна ее'!F14</f>
        <v>7.222166666666667E-2</v>
      </c>
      <c r="E34" s="1047"/>
      <c r="F34" s="1046" t="s">
        <v>2220</v>
      </c>
    </row>
    <row r="35" spans="2:17" ht="31.2" x14ac:dyDescent="0.3">
      <c r="B35" s="65" t="s">
        <v>792</v>
      </c>
      <c r="C35" s="85" t="s">
        <v>563</v>
      </c>
      <c r="D35" s="1048">
        <f>'Ціна ее'!F13</f>
        <v>6.4119999999999996E-2</v>
      </c>
      <c r="E35" s="1047"/>
      <c r="F35" s="1046" t="s">
        <v>3282</v>
      </c>
    </row>
    <row r="36" spans="2:17" x14ac:dyDescent="0.3">
      <c r="B36" s="65" t="s">
        <v>564</v>
      </c>
      <c r="C36" s="85" t="s">
        <v>444</v>
      </c>
      <c r="D36" s="4082">
        <v>18.45</v>
      </c>
      <c r="E36" s="4947" t="s">
        <v>1398</v>
      </c>
      <c r="F36" s="4946" t="s">
        <v>3818</v>
      </c>
      <c r="G36" s="45">
        <v>22.14</v>
      </c>
      <c r="H36" s="45">
        <f>G36/1.2</f>
        <v>18.450000000000003</v>
      </c>
    </row>
    <row r="37" spans="2:17" x14ac:dyDescent="0.3">
      <c r="B37" s="65" t="s">
        <v>565</v>
      </c>
      <c r="C37" s="85" t="s">
        <v>444</v>
      </c>
      <c r="D37" s="4082">
        <v>16.375</v>
      </c>
      <c r="E37" s="4947"/>
      <c r="F37" s="4946"/>
      <c r="G37" s="45">
        <v>19.649999999999999</v>
      </c>
      <c r="H37" s="45">
        <f>G37/1.2</f>
        <v>16.375</v>
      </c>
      <c r="I37" s="3176"/>
      <c r="J37" s="3176"/>
    </row>
    <row r="38" spans="2:17" ht="46.8" x14ac:dyDescent="0.3">
      <c r="B38" s="65" t="s">
        <v>1728</v>
      </c>
      <c r="C38" s="85"/>
      <c r="D38" s="667">
        <v>0.29099999999999998</v>
      </c>
      <c r="E38" s="3166"/>
      <c r="F38" s="3165" t="s">
        <v>2222</v>
      </c>
    </row>
    <row r="39" spans="2:17" ht="46.8" x14ac:dyDescent="0.3">
      <c r="B39" s="65" t="s">
        <v>3219</v>
      </c>
      <c r="C39" s="85"/>
      <c r="D39" s="667">
        <v>1</v>
      </c>
      <c r="E39" s="3166"/>
      <c r="F39" s="3165" t="s">
        <v>2222</v>
      </c>
    </row>
    <row r="40" spans="2:17" ht="4.95" customHeight="1" x14ac:dyDescent="0.3">
      <c r="B40" s="65"/>
      <c r="C40" s="85"/>
      <c r="D40" s="667"/>
      <c r="E40" s="3166"/>
      <c r="F40" s="3165"/>
    </row>
    <row r="41" spans="2:17" ht="31.2" x14ac:dyDescent="0.3">
      <c r="B41" s="65" t="s">
        <v>1892</v>
      </c>
      <c r="C41" s="85"/>
      <c r="D41" s="89">
        <f>17.866666*D71</f>
        <v>18.907399294499996</v>
      </c>
      <c r="E41" s="48"/>
      <c r="F41" s="65" t="s">
        <v>3243</v>
      </c>
    </row>
    <row r="42" spans="2:17" ht="7.2" customHeight="1" x14ac:dyDescent="0.3">
      <c r="B42" s="65"/>
      <c r="C42" s="85"/>
      <c r="D42" s="48"/>
      <c r="E42" s="48"/>
      <c r="F42" s="48"/>
    </row>
    <row r="43" spans="2:17" x14ac:dyDescent="0.3">
      <c r="B43" s="86" t="s">
        <v>445</v>
      </c>
      <c r="C43" s="47" t="s">
        <v>4</v>
      </c>
      <c r="D43" s="1050">
        <v>0.22</v>
      </c>
      <c r="E43" s="48"/>
      <c r="F43" s="48"/>
    </row>
    <row r="44" spans="2:17" ht="31.2" x14ac:dyDescent="0.3">
      <c r="B44" s="66" t="s">
        <v>446</v>
      </c>
      <c r="C44" s="47" t="s">
        <v>4</v>
      </c>
      <c r="D44" s="1050">
        <v>8.4099999999999994E-2</v>
      </c>
      <c r="E44" s="48"/>
      <c r="F44" s="48"/>
    </row>
    <row r="45" spans="2:17" ht="93.6" x14ac:dyDescent="0.3">
      <c r="B45" s="66" t="s">
        <v>1968</v>
      </c>
      <c r="C45" s="47" t="s">
        <v>4</v>
      </c>
      <c r="D45" s="1050">
        <v>3.7999999999999999E-2</v>
      </c>
      <c r="E45" s="48"/>
      <c r="F45" s="48" t="s">
        <v>2221</v>
      </c>
    </row>
    <row r="46" spans="2:17" x14ac:dyDescent="0.3">
      <c r="B46" s="66" t="s">
        <v>1969</v>
      </c>
      <c r="C46" s="47" t="s">
        <v>4</v>
      </c>
      <c r="D46" s="1050">
        <v>0.18</v>
      </c>
      <c r="E46" s="48"/>
      <c r="F46" s="48"/>
    </row>
    <row r="47" spans="2:17" ht="16.2" thickBot="1" x14ac:dyDescent="0.35">
      <c r="B47" s="1051" t="s">
        <v>3218</v>
      </c>
      <c r="C47" s="47" t="s">
        <v>4</v>
      </c>
      <c r="D47" s="3177">
        <v>0</v>
      </c>
      <c r="E47" s="1052"/>
      <c r="F47" s="1052"/>
    </row>
    <row r="48" spans="2:17" s="44" customFormat="1" x14ac:dyDescent="0.3">
      <c r="B48" s="95" t="s">
        <v>500</v>
      </c>
      <c r="C48" s="64"/>
      <c r="D48" s="64"/>
      <c r="E48" s="64"/>
      <c r="F48" s="64"/>
      <c r="G48" s="45"/>
    </row>
    <row r="49" spans="2:11" x14ac:dyDescent="0.3">
      <c r="B49" s="65" t="s">
        <v>496</v>
      </c>
      <c r="C49" s="47" t="s">
        <v>469</v>
      </c>
      <c r="D49" s="89">
        <f>'Ср. за 5 лет'!P26</f>
        <v>149</v>
      </c>
      <c r="E49" s="48"/>
      <c r="F49" s="48" t="s">
        <v>3202</v>
      </c>
    </row>
    <row r="50" spans="2:11" x14ac:dyDescent="0.3">
      <c r="B50" s="66" t="s">
        <v>10</v>
      </c>
      <c r="C50" s="47" t="s">
        <v>469</v>
      </c>
      <c r="D50" s="89">
        <f>'Ср. за 5 лет'!E$26</f>
        <v>31</v>
      </c>
      <c r="E50" s="48"/>
      <c r="F50" s="48" t="s">
        <v>544</v>
      </c>
    </row>
    <row r="51" spans="2:11" x14ac:dyDescent="0.3">
      <c r="B51" s="66" t="s">
        <v>11</v>
      </c>
      <c r="C51" s="47" t="s">
        <v>469</v>
      </c>
      <c r="D51" s="89">
        <f>'Ср. за 5 лет'!F$26</f>
        <v>29</v>
      </c>
      <c r="E51" s="48"/>
      <c r="F51" s="48" t="s">
        <v>3203</v>
      </c>
    </row>
    <row r="52" spans="2:11" x14ac:dyDescent="0.3">
      <c r="B52" s="66" t="s">
        <v>12</v>
      </c>
      <c r="C52" s="47" t="s">
        <v>469</v>
      </c>
      <c r="D52" s="89">
        <f>'Ср. за 5 лет'!G$26</f>
        <v>31</v>
      </c>
      <c r="E52" s="48"/>
      <c r="F52" s="48" t="s">
        <v>544</v>
      </c>
    </row>
    <row r="53" spans="2:11" x14ac:dyDescent="0.3">
      <c r="B53" s="66" t="s">
        <v>13</v>
      </c>
      <c r="C53" s="47" t="s">
        <v>469</v>
      </c>
      <c r="D53" s="89">
        <f>'Ср. за 5 лет'!H$26</f>
        <v>4</v>
      </c>
      <c r="E53" s="48"/>
      <c r="F53" s="48" t="s">
        <v>3203</v>
      </c>
    </row>
    <row r="54" spans="2:11" x14ac:dyDescent="0.3">
      <c r="B54" s="66" t="s">
        <v>19</v>
      </c>
      <c r="C54" s="47" t="s">
        <v>469</v>
      </c>
      <c r="D54" s="89">
        <f>'Ср. за 5 лет'!B26</f>
        <v>0</v>
      </c>
      <c r="E54" s="48"/>
      <c r="F54" s="48" t="s">
        <v>3203</v>
      </c>
    </row>
    <row r="55" spans="2:11" x14ac:dyDescent="0.3">
      <c r="B55" s="66" t="s">
        <v>20</v>
      </c>
      <c r="C55" s="47" t="s">
        <v>469</v>
      </c>
      <c r="D55" s="89">
        <f>'Ср. за 5 лет'!C26</f>
        <v>23</v>
      </c>
      <c r="E55" s="48"/>
      <c r="F55" s="48" t="s">
        <v>3203</v>
      </c>
    </row>
    <row r="56" spans="2:11" x14ac:dyDescent="0.3">
      <c r="B56" s="66" t="s">
        <v>21</v>
      </c>
      <c r="C56" s="47" t="s">
        <v>469</v>
      </c>
      <c r="D56" s="89">
        <f>'Ср. за 5 лет'!D12</f>
        <v>31</v>
      </c>
      <c r="E56" s="48"/>
      <c r="F56" s="48" t="s">
        <v>544</v>
      </c>
    </row>
    <row r="57" spans="2:11" ht="31.2" x14ac:dyDescent="0.3">
      <c r="B57" s="67" t="s">
        <v>498</v>
      </c>
      <c r="C57" s="47" t="s">
        <v>470</v>
      </c>
      <c r="D57" s="47">
        <v>-18</v>
      </c>
      <c r="E57" s="59"/>
      <c r="F57" s="48" t="s">
        <v>566</v>
      </c>
    </row>
    <row r="58" spans="2:11" ht="31.2" x14ac:dyDescent="0.3">
      <c r="B58" s="65" t="s">
        <v>499</v>
      </c>
      <c r="C58" s="47" t="s">
        <v>470</v>
      </c>
      <c r="D58" s="3178">
        <f>'Ср. за 5 лет'!P27</f>
        <v>4.1100000000000003</v>
      </c>
      <c r="E58" s="59"/>
      <c r="F58" s="48" t="s">
        <v>3202</v>
      </c>
    </row>
    <row r="59" spans="2:11" x14ac:dyDescent="0.3">
      <c r="B59" s="57" t="s">
        <v>10</v>
      </c>
      <c r="C59" s="47" t="s">
        <v>470</v>
      </c>
      <c r="D59" s="89">
        <v>1.22</v>
      </c>
      <c r="F59" s="48" t="s">
        <v>3202</v>
      </c>
      <c r="K59" s="45">
        <v>8.4109756097560986</v>
      </c>
    </row>
    <row r="60" spans="2:11" x14ac:dyDescent="0.3">
      <c r="B60" s="57" t="s">
        <v>11</v>
      </c>
      <c r="C60" s="47" t="s">
        <v>470</v>
      </c>
      <c r="D60" s="89">
        <v>2.6340400000000002</v>
      </c>
      <c r="E60" s="59"/>
      <c r="F60" s="48" t="s">
        <v>3202</v>
      </c>
    </row>
    <row r="61" spans="2:11" x14ac:dyDescent="0.3">
      <c r="B61" s="57" t="s">
        <v>12</v>
      </c>
      <c r="C61" s="47" t="s">
        <v>470</v>
      </c>
      <c r="D61" s="89">
        <v>4.4681800000000003</v>
      </c>
      <c r="E61" s="59"/>
      <c r="F61" s="48" t="s">
        <v>3202</v>
      </c>
    </row>
    <row r="62" spans="2:11" x14ac:dyDescent="0.3">
      <c r="B62" s="57" t="s">
        <v>13</v>
      </c>
      <c r="C62" s="47" t="s">
        <v>470</v>
      </c>
      <c r="D62" s="89">
        <v>7.4619</v>
      </c>
      <c r="E62" s="59"/>
      <c r="F62" s="48" t="s">
        <v>3202</v>
      </c>
    </row>
    <row r="63" spans="2:11" x14ac:dyDescent="0.3">
      <c r="B63" s="57" t="s">
        <v>19</v>
      </c>
      <c r="C63" s="47" t="s">
        <v>470</v>
      </c>
      <c r="D63" s="89">
        <v>7.2</v>
      </c>
      <c r="F63" s="48" t="s">
        <v>3202</v>
      </c>
    </row>
    <row r="64" spans="2:11" x14ac:dyDescent="0.3">
      <c r="B64" s="57" t="s">
        <v>20</v>
      </c>
      <c r="C64" s="47" t="s">
        <v>470</v>
      </c>
      <c r="D64" s="89">
        <v>7.2515200000000002</v>
      </c>
      <c r="E64" s="59"/>
      <c r="F64" s="48" t="s">
        <v>3202</v>
      </c>
    </row>
    <row r="65" spans="2:7" x14ac:dyDescent="0.3">
      <c r="B65" s="57" t="s">
        <v>21</v>
      </c>
      <c r="C65" s="47" t="s">
        <v>470</v>
      </c>
      <c r="D65" s="89">
        <v>3.98</v>
      </c>
      <c r="E65" s="59"/>
      <c r="F65" s="48" t="s">
        <v>3202</v>
      </c>
    </row>
    <row r="66" spans="2:7" x14ac:dyDescent="0.3">
      <c r="B66" s="67" t="s">
        <v>532</v>
      </c>
      <c r="C66" s="47"/>
      <c r="D66" s="48"/>
      <c r="E66" s="48"/>
      <c r="F66" s="48"/>
    </row>
    <row r="67" spans="2:7" x14ac:dyDescent="0.3">
      <c r="B67" s="67"/>
      <c r="C67" s="47" t="s">
        <v>470</v>
      </c>
      <c r="D67" s="3179">
        <v>10</v>
      </c>
      <c r="E67" s="48"/>
      <c r="F67" s="59"/>
    </row>
    <row r="68" spans="2:7" x14ac:dyDescent="0.3">
      <c r="B68" s="66" t="s">
        <v>1729</v>
      </c>
      <c r="C68" s="47" t="s">
        <v>470</v>
      </c>
      <c r="D68" s="3179">
        <v>16</v>
      </c>
      <c r="E68" s="48"/>
      <c r="F68" s="59"/>
    </row>
    <row r="69" spans="2:7" ht="16.2" thickBot="1" x14ac:dyDescent="0.35">
      <c r="B69" s="66" t="s">
        <v>1730</v>
      </c>
      <c r="C69" s="47" t="s">
        <v>470</v>
      </c>
      <c r="D69" s="3179">
        <v>18</v>
      </c>
      <c r="E69" s="48"/>
      <c r="F69" s="59" t="s">
        <v>501</v>
      </c>
    </row>
    <row r="70" spans="2:7" ht="31.8" thickBot="1" x14ac:dyDescent="0.35">
      <c r="B70" s="1041" t="s">
        <v>531</v>
      </c>
      <c r="C70" s="1053" t="s">
        <v>4</v>
      </c>
      <c r="D70" s="3180">
        <v>2.1999999999999999E-2</v>
      </c>
      <c r="E70" s="1054"/>
      <c r="F70" s="1054"/>
    </row>
    <row r="71" spans="2:7" s="1489" customFormat="1" ht="33" customHeight="1" thickBot="1" x14ac:dyDescent="0.35">
      <c r="B71" s="1507" t="s">
        <v>964</v>
      </c>
      <c r="C71" s="1508"/>
      <c r="D71" s="3181">
        <f>(106.2%*3+105.7%*9)/12</f>
        <v>1.0582499999999999</v>
      </c>
      <c r="E71" s="1509"/>
      <c r="F71" s="3182" t="s">
        <v>3228</v>
      </c>
    </row>
    <row r="72" spans="2:7" x14ac:dyDescent="0.3">
      <c r="B72" s="45" t="s">
        <v>2451</v>
      </c>
    </row>
    <row r="73" spans="2:7" x14ac:dyDescent="0.3">
      <c r="B73" s="778" t="s">
        <v>1692</v>
      </c>
      <c r="C73" s="1307" t="s">
        <v>3682</v>
      </c>
      <c r="D73" s="3801">
        <v>25678</v>
      </c>
      <c r="E73" s="778" t="s">
        <v>2188</v>
      </c>
      <c r="F73" s="778"/>
      <c r="G73" s="45" t="s">
        <v>3691</v>
      </c>
    </row>
  </sheetData>
  <mergeCells count="5">
    <mergeCell ref="F36:F37"/>
    <mergeCell ref="E36:E37"/>
    <mergeCell ref="E21:E24"/>
    <mergeCell ref="F21:F24"/>
    <mergeCell ref="E28:E29"/>
  </mergeCells>
  <pageMargins left="0.70866141732283472" right="0.18" top="0.54" bottom="0.33" header="0.31496062992125984" footer="0.31496062992125984"/>
  <pageSetup paperSize="9" scale="86" fitToHeight="4" orientation="landscape" verticalDpi="0" r:id="rId1"/>
</worksheet>
</file>

<file path=xl/worksheets/sheet9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900-000000000000}">
  <sheetPr codeName="Лист86"/>
  <dimension ref="A1:R83"/>
  <sheetViews>
    <sheetView topLeftCell="D40" workbookViewId="0">
      <selection activeCell="K21" sqref="K21"/>
    </sheetView>
  </sheetViews>
  <sheetFormatPr defaultRowHeight="14.4" x14ac:dyDescent="0.3"/>
  <cols>
    <col min="1" max="1" width="6.33203125" style="1248" customWidth="1"/>
    <col min="2" max="2" width="39.6640625" style="1243" customWidth="1"/>
    <col min="3" max="3" width="8.33203125" style="1243" customWidth="1"/>
    <col min="4" max="4" width="14.6640625" customWidth="1"/>
    <col min="5" max="5" width="10.88671875" customWidth="1"/>
    <col min="6" max="6" width="11.109375" customWidth="1"/>
    <col min="7" max="7" width="9.88671875" customWidth="1"/>
    <col min="8" max="8" width="11.44140625" customWidth="1"/>
    <col min="9" max="9" width="14.33203125" customWidth="1"/>
    <col min="10" max="10" width="11.44140625" customWidth="1"/>
    <col min="11" max="18" width="14.33203125" customWidth="1"/>
  </cols>
  <sheetData>
    <row r="1" spans="1:18" x14ac:dyDescent="0.3">
      <c r="A1" s="102"/>
      <c r="B1" s="103"/>
      <c r="C1" s="104"/>
    </row>
    <row r="2" spans="1:18" x14ac:dyDescent="0.3">
      <c r="A2" s="102"/>
      <c r="B2" s="103"/>
      <c r="C2" s="104"/>
    </row>
    <row r="3" spans="1:18" x14ac:dyDescent="0.3">
      <c r="A3" s="5757" t="s">
        <v>2356</v>
      </c>
      <c r="B3" s="5757"/>
      <c r="C3" s="5757"/>
      <c r="D3" s="5757"/>
      <c r="E3" s="5757"/>
      <c r="F3" s="5757"/>
      <c r="G3" s="5757"/>
      <c r="H3" s="5757"/>
      <c r="I3" s="5757"/>
      <c r="J3" s="5757"/>
      <c r="K3" s="5757"/>
      <c r="L3" s="5757"/>
      <c r="M3" s="5757"/>
      <c r="N3" s="5757"/>
      <c r="O3" s="5757"/>
      <c r="P3" s="5757"/>
      <c r="Q3" s="5757"/>
      <c r="R3" s="5757"/>
    </row>
    <row r="4" spans="1:18" x14ac:dyDescent="0.3">
      <c r="A4" s="102"/>
      <c r="B4"/>
      <c r="C4"/>
    </row>
    <row r="5" spans="1:18" ht="15" thickBot="1" x14ac:dyDescent="0.35">
      <c r="A5" s="102"/>
      <c r="B5" s="104"/>
      <c r="C5" s="105"/>
    </row>
    <row r="6" spans="1:18" x14ac:dyDescent="0.3">
      <c r="A6" s="5758" t="s">
        <v>7</v>
      </c>
      <c r="B6" s="5761" t="s">
        <v>8</v>
      </c>
      <c r="C6" s="5755" t="s">
        <v>35</v>
      </c>
      <c r="D6" s="5762" t="s">
        <v>2357</v>
      </c>
      <c r="E6" s="5762"/>
      <c r="F6" s="5762"/>
      <c r="G6" s="5762"/>
      <c r="H6" s="5762"/>
      <c r="I6" s="5763" t="s">
        <v>2358</v>
      </c>
      <c r="J6" s="5763"/>
      <c r="K6" s="5763"/>
      <c r="L6" s="5763"/>
      <c r="M6" s="5763"/>
      <c r="N6" s="5764" t="s">
        <v>2359</v>
      </c>
      <c r="O6" s="5764"/>
      <c r="P6" s="5764"/>
      <c r="Q6" s="5764"/>
      <c r="R6" s="5764"/>
    </row>
    <row r="7" spans="1:18" s="1243" customFormat="1" x14ac:dyDescent="0.3">
      <c r="A7" s="5759"/>
      <c r="B7" s="5761"/>
      <c r="C7" s="5755"/>
      <c r="D7" s="5755" t="s">
        <v>36</v>
      </c>
      <c r="E7" s="5755" t="s">
        <v>2360</v>
      </c>
      <c r="F7" s="5755"/>
      <c r="G7" s="5755"/>
      <c r="H7" s="5755"/>
      <c r="I7" s="5755" t="s">
        <v>36</v>
      </c>
      <c r="J7" s="5755" t="s">
        <v>2360</v>
      </c>
      <c r="K7" s="5755"/>
      <c r="L7" s="5755"/>
      <c r="M7" s="5755"/>
      <c r="N7" s="5755" t="s">
        <v>36</v>
      </c>
      <c r="O7" s="5755" t="s">
        <v>2360</v>
      </c>
      <c r="P7" s="5755"/>
      <c r="Q7" s="5755"/>
      <c r="R7" s="5755"/>
    </row>
    <row r="8" spans="1:18" s="1243" customFormat="1" ht="26.4" x14ac:dyDescent="0.3">
      <c r="A8" s="5759"/>
      <c r="B8" s="5761"/>
      <c r="C8" s="5755"/>
      <c r="D8" s="5755"/>
      <c r="E8" s="148" t="s">
        <v>2361</v>
      </c>
      <c r="F8" s="148" t="s">
        <v>2362</v>
      </c>
      <c r="G8" s="1751" t="s">
        <v>97</v>
      </c>
      <c r="H8" s="1244" t="s">
        <v>2364</v>
      </c>
      <c r="I8" s="5755"/>
      <c r="J8" s="148" t="s">
        <v>2361</v>
      </c>
      <c r="K8" s="148" t="s">
        <v>2362</v>
      </c>
      <c r="L8" s="1244" t="s">
        <v>2363</v>
      </c>
      <c r="M8" s="1244" t="s">
        <v>2364</v>
      </c>
      <c r="N8" s="5755"/>
      <c r="O8" s="148" t="s">
        <v>2361</v>
      </c>
      <c r="P8" s="148" t="s">
        <v>2362</v>
      </c>
      <c r="Q8" s="1244" t="s">
        <v>2363</v>
      </c>
      <c r="R8" s="1244" t="s">
        <v>2364</v>
      </c>
    </row>
    <row r="9" spans="1:18" s="1245" customFormat="1" ht="15" thickBot="1" x14ac:dyDescent="0.35">
      <c r="A9" s="5760"/>
      <c r="B9" s="5761"/>
      <c r="C9" s="5755"/>
      <c r="D9" s="1743" t="str">
        <f>'Вхідні дані'!$F$6</f>
        <v>2023-2024</v>
      </c>
      <c r="E9" s="1743" t="str">
        <f>'Вхідні дані'!$F$6</f>
        <v>2023-2024</v>
      </c>
      <c r="F9" s="1743" t="str">
        <f>'Вхідні дані'!$F$6</f>
        <v>2023-2024</v>
      </c>
      <c r="G9" s="1743" t="str">
        <f>'Вхідні дані'!$F$6</f>
        <v>2023-2024</v>
      </c>
      <c r="H9" s="1743" t="str">
        <f>'Вхідні дані'!$F$6</f>
        <v>2023-2024</v>
      </c>
      <c r="I9" s="1743" t="str">
        <f>'Вхідні дані'!$F$6</f>
        <v>2023-2024</v>
      </c>
      <c r="J9" s="1743" t="str">
        <f>'Вхідні дані'!$F$6</f>
        <v>2023-2024</v>
      </c>
      <c r="K9" s="1743" t="str">
        <f>'Вхідні дані'!$F$6</f>
        <v>2023-2024</v>
      </c>
      <c r="L9" s="1743" t="str">
        <f>'Вхідні дані'!$F$6</f>
        <v>2023-2024</v>
      </c>
      <c r="M9" s="1743" t="str">
        <f>'Вхідні дані'!$F$6</f>
        <v>2023-2024</v>
      </c>
      <c r="N9" s="1743" t="str">
        <f>'Вхідні дані'!$F$6</f>
        <v>2023-2024</v>
      </c>
      <c r="O9" s="1743" t="str">
        <f>'Вхідні дані'!$F$6</f>
        <v>2023-2024</v>
      </c>
      <c r="P9" s="1743" t="str">
        <f>'Вхідні дані'!$F$6</f>
        <v>2023-2024</v>
      </c>
      <c r="Q9" s="1743" t="str">
        <f>'Вхідні дані'!$F$6</f>
        <v>2023-2024</v>
      </c>
      <c r="R9" s="1743" t="str">
        <f>'Вхідні дані'!$F$6</f>
        <v>2023-2024</v>
      </c>
    </row>
    <row r="10" spans="1:18" s="1243" customFormat="1" x14ac:dyDescent="0.3">
      <c r="A10" s="1246">
        <v>1</v>
      </c>
      <c r="B10" s="761" t="s">
        <v>506</v>
      </c>
      <c r="C10" s="1744">
        <v>3</v>
      </c>
      <c r="D10" s="761" t="s">
        <v>174</v>
      </c>
      <c r="E10" s="761" t="s">
        <v>169</v>
      </c>
      <c r="F10" s="761" t="s">
        <v>170</v>
      </c>
      <c r="G10" s="761" t="s">
        <v>171</v>
      </c>
      <c r="H10" s="761" t="s">
        <v>172</v>
      </c>
      <c r="I10" s="761" t="s">
        <v>187</v>
      </c>
      <c r="J10" s="761" t="s">
        <v>188</v>
      </c>
      <c r="K10" s="761" t="s">
        <v>189</v>
      </c>
      <c r="L10" s="761" t="s">
        <v>190</v>
      </c>
      <c r="M10" s="761" t="s">
        <v>190</v>
      </c>
      <c r="N10" s="761" t="s">
        <v>187</v>
      </c>
      <c r="O10" s="761" t="s">
        <v>188</v>
      </c>
      <c r="P10" s="761" t="s">
        <v>189</v>
      </c>
      <c r="Q10" s="761" t="s">
        <v>190</v>
      </c>
      <c r="R10" s="761" t="s">
        <v>190</v>
      </c>
    </row>
    <row r="11" spans="1:18" x14ac:dyDescent="0.3">
      <c r="A11" s="109">
        <v>1</v>
      </c>
      <c r="B11" s="5" t="s">
        <v>215</v>
      </c>
      <c r="C11" s="123" t="s">
        <v>40</v>
      </c>
      <c r="D11" s="1247">
        <f>'Д 2_Т на В'!H12</f>
        <v>149071.37204744882</v>
      </c>
      <c r="E11" s="1247">
        <f>'Д 2_Т на В'!L12</f>
        <v>108736.71495653845</v>
      </c>
      <c r="F11" s="1247">
        <f>'Д 2_Т на В'!P12</f>
        <v>32.00344215611409</v>
      </c>
      <c r="G11" s="1247">
        <f>'Д 2_Т на В'!T12</f>
        <v>30140.124858011673</v>
      </c>
      <c r="H11" s="1247">
        <f>'Д 2_Т на В'!X12</f>
        <v>10162.528790742614</v>
      </c>
      <c r="I11" s="1265">
        <f>'ТЕ_2ст_тариф_з ЦТП'!E37</f>
        <v>149071.37204744888</v>
      </c>
      <c r="J11" s="1265">
        <f>'ТЕ_2ст_тариф_з ЦТП'!H37</f>
        <v>108731.48457797602</v>
      </c>
      <c r="K11" s="1265">
        <f>'ТЕ_2ст_тариф_з ЦТП'!K37</f>
        <v>32.00906058615945</v>
      </c>
      <c r="L11" s="1265">
        <f>'ТЕ_2ст_тариф_з ЦТП'!N37</f>
        <v>30146.023628591429</v>
      </c>
      <c r="M11" s="1265">
        <f>'ТЕ_2ст_тариф_з ЦТП'!Q37</f>
        <v>10161.854780295231</v>
      </c>
      <c r="N11" s="1247">
        <f>D11-I11</f>
        <v>0</v>
      </c>
      <c r="O11" s="1247">
        <f>E11-J11</f>
        <v>5.2303785624244483</v>
      </c>
      <c r="P11" s="1247">
        <f>F11-K11</f>
        <v>-5.618430045359446E-3</v>
      </c>
      <c r="Q11" s="1247">
        <f>G11-L11</f>
        <v>-5.8987705797553645</v>
      </c>
      <c r="R11" s="1247">
        <f>H11-M11</f>
        <v>0.67401044738289784</v>
      </c>
    </row>
    <row r="12" spans="1:18" x14ac:dyDescent="0.3">
      <c r="A12" s="113" t="s">
        <v>23</v>
      </c>
      <c r="B12" s="5" t="s">
        <v>216</v>
      </c>
      <c r="C12" s="121" t="s">
        <v>40</v>
      </c>
      <c r="D12" s="1247">
        <f>'Д 2_Т на В'!H13</f>
        <v>125398.03179983834</v>
      </c>
      <c r="E12" s="1247">
        <f>'Д 2_Т на В'!L13</f>
        <v>89072.514505762592</v>
      </c>
      <c r="F12" s="1247">
        <f>'Д 2_Т на В'!P13</f>
        <v>28.822399280391032</v>
      </c>
      <c r="G12" s="1247">
        <f>'Д 2_Т на В'!T13</f>
        <v>27144.289941714564</v>
      </c>
      <c r="H12" s="1247">
        <f>'Д 2_Т на В'!X13</f>
        <v>9152.4049530807861</v>
      </c>
      <c r="I12" s="1265">
        <f>'ТЕ_2ст_тариф_з ЦТП'!E38</f>
        <v>125398.03179983835</v>
      </c>
      <c r="J12" s="1265">
        <f>'ТЕ_2ст_тариф_з ЦТП'!H38</f>
        <v>89070.896160506556</v>
      </c>
      <c r="K12" s="1265">
        <f>'ТЕ_2ст_тариф_з ЦТП'!K38</f>
        <v>28.824137693681845</v>
      </c>
      <c r="L12" s="1265">
        <f>'ТЕ_2ст_тариф_з ЦТП'!N38</f>
        <v>27146.115095911013</v>
      </c>
      <c r="M12" s="1265">
        <f>'ТЕ_2ст_тариф_з ЦТП'!Q38</f>
        <v>9152.196405727087</v>
      </c>
      <c r="N12" s="1247">
        <f t="shared" ref="N12:R51" si="0">D12-I12</f>
        <v>0</v>
      </c>
      <c r="O12" s="1247">
        <f t="shared" si="0"/>
        <v>1.6183452560362639</v>
      </c>
      <c r="P12" s="1247">
        <f t="shared" si="0"/>
        <v>-1.7384132908127015E-3</v>
      </c>
      <c r="Q12" s="1247">
        <f t="shared" si="0"/>
        <v>-1.825154196449148</v>
      </c>
      <c r="R12" s="1247">
        <f t="shared" si="0"/>
        <v>0.2085473536990321</v>
      </c>
    </row>
    <row r="13" spans="1:18" x14ac:dyDescent="0.3">
      <c r="A13" s="1739" t="s">
        <v>41</v>
      </c>
      <c r="B13" s="762" t="s">
        <v>454</v>
      </c>
      <c r="C13" s="1744" t="s">
        <v>40</v>
      </c>
      <c r="D13" s="1247">
        <f>'Д 2_Т на В'!H14</f>
        <v>118804.3607936293</v>
      </c>
      <c r="E13" s="1247">
        <f>'Д 2_Т на В'!L14</f>
        <v>83595.498291895157</v>
      </c>
      <c r="F13" s="1247">
        <f>'Д 2_Т на В'!P14</f>
        <v>27.936392068912724</v>
      </c>
      <c r="G13" s="1247">
        <f>'Д 2_Т на В'!T14</f>
        <v>26309.868198928565</v>
      </c>
      <c r="H13" s="1247">
        <f>'Д 2_Т на В'!X14</f>
        <v>8871.0579107366611</v>
      </c>
      <c r="I13" s="1265">
        <f>'ТЕ_2ст_тариф_з ЦТП'!E39</f>
        <v>118804.36079362931</v>
      </c>
      <c r="J13" s="1265">
        <f>'ТЕ_2ст_тариф_з ЦТП'!H39</f>
        <v>83593.980086793876</v>
      </c>
      <c r="K13" s="1265">
        <f>'ТЕ_2ст_тариф_з ЦТП'!K39</f>
        <v>27.938022912465005</v>
      </c>
      <c r="L13" s="1265">
        <f>'ТЕ_2ст_тариф_з ЦТП'!N39</f>
        <v>26311.580416022709</v>
      </c>
      <c r="M13" s="1265">
        <f>'ТЕ_2ст_тариф_з ЦТП'!Q39</f>
        <v>8870.8622679002474</v>
      </c>
      <c r="N13" s="1247">
        <f t="shared" si="0"/>
        <v>0</v>
      </c>
      <c r="O13" s="1247">
        <f t="shared" si="0"/>
        <v>1.5182051012816373</v>
      </c>
      <c r="P13" s="1247">
        <f t="shared" si="0"/>
        <v>-1.6308435522809361E-3</v>
      </c>
      <c r="Q13" s="1247">
        <f t="shared" si="0"/>
        <v>-1.7122170941438526</v>
      </c>
      <c r="R13" s="1247">
        <f t="shared" si="0"/>
        <v>0.19564283641375368</v>
      </c>
    </row>
    <row r="14" spans="1:18" x14ac:dyDescent="0.3">
      <c r="A14" s="1739" t="s">
        <v>455</v>
      </c>
      <c r="B14" s="1745" t="s">
        <v>440</v>
      </c>
      <c r="C14" s="1744" t="s">
        <v>40</v>
      </c>
      <c r="D14" s="1247">
        <f>'Д 2_Т на В'!H15</f>
        <v>106894.19194377559</v>
      </c>
      <c r="E14" s="1247">
        <f>'Д 2_Т на В'!L15</f>
        <v>73702.346534835888</v>
      </c>
      <c r="F14" s="1247">
        <f>'Д 2_Т на В'!P15</f>
        <v>26.335994432913296</v>
      </c>
      <c r="G14" s="1247">
        <f>'Д 2_Т на В'!T15</f>
        <v>24802.649558627585</v>
      </c>
      <c r="H14" s="1247">
        <f>'Д 2_Т на В'!X15</f>
        <v>8362.8598558791964</v>
      </c>
      <c r="I14" s="1265">
        <f>'ТЕ_2ст_тариф_з ЦТП'!E40</f>
        <v>106894.19194377559</v>
      </c>
      <c r="J14" s="1265">
        <f>'ТЕ_2ст_тариф_з ЦТП'!H40</f>
        <v>73702.346534835888</v>
      </c>
      <c r="K14" s="1265">
        <f>'ТЕ_2ст_тариф_з ЦТП'!K40</f>
        <v>26.335994432913296</v>
      </c>
      <c r="L14" s="1265">
        <f>'ТЕ_2ст_тариф_з ЦТП'!N40</f>
        <v>24802.649558627585</v>
      </c>
      <c r="M14" s="1265">
        <f>'ТЕ_2ст_тариф_з ЦТП'!Q40</f>
        <v>8362.8598558791964</v>
      </c>
      <c r="N14" s="1247">
        <f t="shared" si="0"/>
        <v>0</v>
      </c>
      <c r="O14" s="1247">
        <f t="shared" si="0"/>
        <v>0</v>
      </c>
      <c r="P14" s="1247">
        <f t="shared" si="0"/>
        <v>0</v>
      </c>
      <c r="Q14" s="1247">
        <f t="shared" si="0"/>
        <v>0</v>
      </c>
      <c r="R14" s="1247">
        <f t="shared" si="0"/>
        <v>0</v>
      </c>
    </row>
    <row r="15" spans="1:18" x14ac:dyDescent="0.3">
      <c r="A15" s="1739" t="s">
        <v>456</v>
      </c>
      <c r="B15" s="1745" t="s">
        <v>1904</v>
      </c>
      <c r="C15" s="1744" t="s">
        <v>40</v>
      </c>
      <c r="D15" s="1247">
        <f>'Д 2_Т на В'!H16</f>
        <v>1959.8215398537277</v>
      </c>
      <c r="E15" s="1247">
        <f>'Д 2_Т на В'!L16</f>
        <v>1627.9208258885981</v>
      </c>
      <c r="F15" s="1247">
        <f>'Д 2_Т на В'!P16</f>
        <v>0.26334586846778241</v>
      </c>
      <c r="G15" s="1247">
        <f>'Д 2_Т на В'!T16</f>
        <v>248.01323925539364</v>
      </c>
      <c r="H15" s="1247">
        <f>'Д 2_Т на В'!X16</f>
        <v>83.624128841268089</v>
      </c>
      <c r="I15" s="1265">
        <f>'ТЕ_2ст_тариф_з ЦТП'!E41</f>
        <v>1959.8215398537277</v>
      </c>
      <c r="J15" s="1265">
        <f>'ТЕ_2ст_тариф_з ЦТП'!H41</f>
        <v>1627.9208258885981</v>
      </c>
      <c r="K15" s="1265">
        <f>'ТЕ_2ст_тариф_з ЦТП'!K41</f>
        <v>0.26334586846778241</v>
      </c>
      <c r="L15" s="1265">
        <f>'ТЕ_2ст_тариф_з ЦТП'!N41</f>
        <v>248.01323925539364</v>
      </c>
      <c r="M15" s="1265">
        <f>'ТЕ_2ст_тариф_з ЦТП'!Q41</f>
        <v>83.624128841268089</v>
      </c>
      <c r="N15" s="1247">
        <f t="shared" si="0"/>
        <v>0</v>
      </c>
      <c r="O15" s="1247">
        <f t="shared" si="0"/>
        <v>0</v>
      </c>
      <c r="P15" s="1247">
        <f t="shared" si="0"/>
        <v>0</v>
      </c>
      <c r="Q15" s="1247">
        <f t="shared" si="0"/>
        <v>0</v>
      </c>
      <c r="R15" s="1247">
        <f t="shared" si="0"/>
        <v>0</v>
      </c>
    </row>
    <row r="16" spans="1:18" x14ac:dyDescent="0.3">
      <c r="A16" s="1739" t="s">
        <v>457</v>
      </c>
      <c r="B16" s="1745" t="s">
        <v>1905</v>
      </c>
      <c r="C16" s="1744" t="s">
        <v>40</v>
      </c>
      <c r="D16" s="1247">
        <f>'Д 2_Т на В'!H17</f>
        <v>9950.3473099999992</v>
      </c>
      <c r="E16" s="1247">
        <f>'Д 2_Т на В'!L17</f>
        <v>8265.2309311706831</v>
      </c>
      <c r="F16" s="1247">
        <f>'Д 2_Т на В'!P17</f>
        <v>1.3370517675316425</v>
      </c>
      <c r="G16" s="1247">
        <f>'Д 2_Т на В'!T17</f>
        <v>1259.205401045587</v>
      </c>
      <c r="H16" s="1247">
        <f>'Д 2_Т на В'!X17</f>
        <v>424.57392601619659</v>
      </c>
      <c r="I16" s="1265">
        <f>'ТЕ_2ст_тариф_з ЦТП'!E42</f>
        <v>9950.3473099999992</v>
      </c>
      <c r="J16" s="1265">
        <f>'ТЕ_2ст_тариф_з ЦТП'!H42</f>
        <v>8263.7127260693997</v>
      </c>
      <c r="K16" s="1265">
        <f>'ТЕ_2ст_тариф_з ЦТП'!K42</f>
        <v>1.3386826110839265</v>
      </c>
      <c r="L16" s="1265">
        <f>'ТЕ_2ст_тариф_з ЦТП'!N42</f>
        <v>1260.9176181397318</v>
      </c>
      <c r="M16" s="1265">
        <f>'ТЕ_2ст_тариф_з ЦТП'!Q42</f>
        <v>424.37828317978307</v>
      </c>
      <c r="N16" s="1247">
        <f t="shared" si="0"/>
        <v>0</v>
      </c>
      <c r="O16" s="1247">
        <f t="shared" si="0"/>
        <v>1.5182051012834563</v>
      </c>
      <c r="P16" s="1247">
        <f t="shared" si="0"/>
        <v>-1.6308435522840448E-3</v>
      </c>
      <c r="Q16" s="1247">
        <f t="shared" si="0"/>
        <v>-1.7122170941447621</v>
      </c>
      <c r="R16" s="1247">
        <f t="shared" si="0"/>
        <v>0.19564283641352631</v>
      </c>
    </row>
    <row r="17" spans="1:18" x14ac:dyDescent="0.3">
      <c r="A17" s="113" t="s">
        <v>42</v>
      </c>
      <c r="B17" s="120" t="s">
        <v>43</v>
      </c>
      <c r="C17" s="121" t="s">
        <v>40</v>
      </c>
      <c r="D17" s="1247">
        <f>'Д 2_Т на В'!H18</f>
        <v>5937.3503814675587</v>
      </c>
      <c r="E17" s="1247">
        <f>'Д 2_Т на В'!L18</f>
        <v>4931.8451399967998</v>
      </c>
      <c r="F17" s="1247">
        <f>'Д 2_Т на В'!P18</f>
        <v>0.79781585251981257</v>
      </c>
      <c r="G17" s="1247">
        <f>'Д 2_Т на В'!T18</f>
        <v>751.36509664646337</v>
      </c>
      <c r="H17" s="1247">
        <f>'Д 2_Т на В'!X18</f>
        <v>253.34232897177583</v>
      </c>
      <c r="I17" s="1265">
        <f>'ТЕ_2ст_тариф_з ЦТП'!E43</f>
        <v>5937.3503814675587</v>
      </c>
      <c r="J17" s="1265">
        <f>'ТЕ_2ст_тариф_з ЦТП'!H43</f>
        <v>4931.8451399967998</v>
      </c>
      <c r="K17" s="1265">
        <f>'ТЕ_2ст_тариф_з ЦТП'!K43</f>
        <v>0.79781585251981257</v>
      </c>
      <c r="L17" s="1265">
        <f>'ТЕ_2ст_тариф_з ЦТП'!N43</f>
        <v>751.36509664646337</v>
      </c>
      <c r="M17" s="1265">
        <f>'ТЕ_2ст_тариф_з ЦТП'!Q43</f>
        <v>253.34232897177583</v>
      </c>
      <c r="N17" s="1247">
        <f t="shared" si="0"/>
        <v>0</v>
      </c>
      <c r="O17" s="1247">
        <f t="shared" si="0"/>
        <v>0</v>
      </c>
      <c r="P17" s="1247">
        <f t="shared" si="0"/>
        <v>0</v>
      </c>
      <c r="Q17" s="1247">
        <f t="shared" si="0"/>
        <v>0</v>
      </c>
      <c r="R17" s="1247">
        <f t="shared" si="0"/>
        <v>0</v>
      </c>
    </row>
    <row r="18" spans="1:18" ht="51" x14ac:dyDescent="0.3">
      <c r="A18" s="1740" t="s">
        <v>44</v>
      </c>
      <c r="B18" s="1746" t="s">
        <v>1972</v>
      </c>
      <c r="C18" s="121" t="s">
        <v>40</v>
      </c>
      <c r="D18" s="1247">
        <f>'Д 2_Т на В'!H19</f>
        <v>0</v>
      </c>
      <c r="E18" s="1247">
        <f>'Д 2_Т на В'!L19</f>
        <v>0</v>
      </c>
      <c r="F18" s="1247">
        <f>'Д 2_Т на В'!P19</f>
        <v>0</v>
      </c>
      <c r="G18" s="1247">
        <f>'Д 2_Т на В'!T19</f>
        <v>0</v>
      </c>
      <c r="H18" s="1247">
        <f>'Д 2_Т на В'!X19</f>
        <v>0</v>
      </c>
      <c r="I18" s="1265">
        <f>'ТЕ_2ст_тариф_з ЦТП'!E44</f>
        <v>0</v>
      </c>
      <c r="J18" s="1265">
        <f>'ТЕ_2ст_тариф_з ЦТП'!H44</f>
        <v>0</v>
      </c>
      <c r="K18" s="1265">
        <f>'ТЕ_2ст_тариф_з ЦТП'!K44</f>
        <v>0</v>
      </c>
      <c r="L18" s="1265">
        <f>'ТЕ_2ст_тариф_з ЦТП'!N44</f>
        <v>0</v>
      </c>
      <c r="M18" s="1265">
        <f>'ТЕ_2ст_тариф_з ЦТП'!Q44</f>
        <v>0</v>
      </c>
      <c r="N18" s="1247">
        <f t="shared" si="0"/>
        <v>0</v>
      </c>
      <c r="O18" s="1247">
        <f t="shared" si="0"/>
        <v>0</v>
      </c>
      <c r="P18" s="1247">
        <f t="shared" si="0"/>
        <v>0</v>
      </c>
      <c r="Q18" s="1247">
        <f t="shared" si="0"/>
        <v>0</v>
      </c>
      <c r="R18" s="1247">
        <f t="shared" si="0"/>
        <v>0</v>
      </c>
    </row>
    <row r="19" spans="1:18" x14ac:dyDescent="0.3">
      <c r="A19" s="1741" t="s">
        <v>570</v>
      </c>
      <c r="B19" s="1746" t="s">
        <v>571</v>
      </c>
      <c r="C19" s="1744" t="s">
        <v>40</v>
      </c>
      <c r="D19" s="1247">
        <f>'Д 2_Т на В'!H20</f>
        <v>0</v>
      </c>
      <c r="E19" s="1247">
        <f>'Д 2_Т на В'!L20</f>
        <v>0</v>
      </c>
      <c r="F19" s="1247">
        <f>'Д 2_Т на В'!P20</f>
        <v>0</v>
      </c>
      <c r="G19" s="1247">
        <f>'Д 2_Т на В'!T20</f>
        <v>0</v>
      </c>
      <c r="H19" s="1247">
        <f>'Д 2_Т на В'!X20</f>
        <v>0</v>
      </c>
      <c r="I19" s="1265">
        <f>'ТЕ_2ст_тариф_з ЦТП'!E45</f>
        <v>0</v>
      </c>
      <c r="J19" s="1265">
        <f>'ТЕ_2ст_тариф_з ЦТП'!H45</f>
        <v>0</v>
      </c>
      <c r="K19" s="1265">
        <f>'ТЕ_2ст_тариф_з ЦТП'!K45</f>
        <v>0</v>
      </c>
      <c r="L19" s="1265">
        <f>'ТЕ_2ст_тариф_з ЦТП'!N45</f>
        <v>0</v>
      </c>
      <c r="M19" s="1265">
        <f>'ТЕ_2ст_тариф_з ЦТП'!Q45</f>
        <v>0</v>
      </c>
      <c r="N19" s="1247">
        <f t="shared" si="0"/>
        <v>0</v>
      </c>
      <c r="O19" s="1247">
        <f t="shared" si="0"/>
        <v>0</v>
      </c>
      <c r="P19" s="1247">
        <f t="shared" si="0"/>
        <v>0</v>
      </c>
      <c r="Q19" s="1247">
        <f t="shared" si="0"/>
        <v>0</v>
      </c>
      <c r="R19" s="1247">
        <f t="shared" si="0"/>
        <v>0</v>
      </c>
    </row>
    <row r="20" spans="1:18" ht="20.399999999999999" customHeight="1" x14ac:dyDescent="0.3">
      <c r="A20" s="1741" t="s">
        <v>572</v>
      </c>
      <c r="B20" s="1746" t="s">
        <v>573</v>
      </c>
      <c r="C20" s="1744" t="s">
        <v>40</v>
      </c>
      <c r="D20" s="1247">
        <f>'Д 2_Т на В'!H21</f>
        <v>0</v>
      </c>
      <c r="E20" s="1247">
        <f>'Д 2_Т на В'!L21</f>
        <v>0</v>
      </c>
      <c r="F20" s="1247">
        <f>'Д 2_Т на В'!P21</f>
        <v>0</v>
      </c>
      <c r="G20" s="1247">
        <f>'Д 2_Т на В'!T21</f>
        <v>0</v>
      </c>
      <c r="H20" s="1247">
        <f>'Д 2_Т на В'!X21</f>
        <v>0</v>
      </c>
      <c r="I20" s="1265">
        <f>'ТЕ_2ст_тариф_з ЦТП'!E46</f>
        <v>0</v>
      </c>
      <c r="J20" s="1265">
        <f>'ТЕ_2ст_тариф_з ЦТП'!H46</f>
        <v>0</v>
      </c>
      <c r="K20" s="1265">
        <f>'ТЕ_2ст_тариф_з ЦТП'!K46</f>
        <v>0</v>
      </c>
      <c r="L20" s="1265">
        <f>'ТЕ_2ст_тариф_з ЦТП'!N46</f>
        <v>0</v>
      </c>
      <c r="M20" s="1265">
        <f>'ТЕ_2ст_тариф_з ЦТП'!Q46</f>
        <v>0</v>
      </c>
      <c r="N20" s="1247">
        <f t="shared" si="0"/>
        <v>0</v>
      </c>
      <c r="O20" s="1247">
        <f t="shared" si="0"/>
        <v>0</v>
      </c>
      <c r="P20" s="1247">
        <f t="shared" si="0"/>
        <v>0</v>
      </c>
      <c r="Q20" s="1247">
        <f t="shared" si="0"/>
        <v>0</v>
      </c>
      <c r="R20" s="1247">
        <f t="shared" si="0"/>
        <v>0</v>
      </c>
    </row>
    <row r="21" spans="1:18" x14ac:dyDescent="0.3">
      <c r="A21" s="1740" t="s">
        <v>45</v>
      </c>
      <c r="B21" s="760" t="s">
        <v>1689</v>
      </c>
      <c r="C21" s="121" t="s">
        <v>40</v>
      </c>
      <c r="D21" s="1247">
        <f>'Д 2_Т на В'!H22</f>
        <v>33.313922123945588</v>
      </c>
      <c r="E21" s="1247">
        <f>'Д 2_Т на В'!L22</f>
        <v>27.67212550467713</v>
      </c>
      <c r="F21" s="1247">
        <f>'Д 2_Т на В'!P22</f>
        <v>4.4764707272547406E-3</v>
      </c>
      <c r="G21" s="1247">
        <f>'Д 2_Т на В'!T22</f>
        <v>4.2158398457434707</v>
      </c>
      <c r="H21" s="1247">
        <f>'Д 2_Т на В'!X22</f>
        <v>1.4214803027977334</v>
      </c>
      <c r="I21" s="1265">
        <f>'ТЕ_2ст_тариф_з ЦТП'!E47</f>
        <v>33.313922123945588</v>
      </c>
      <c r="J21" s="1265">
        <f>'ТЕ_2ст_тариф_з ЦТП'!H47</f>
        <v>27.667042529692651</v>
      </c>
      <c r="K21" s="1265">
        <f>'ТЕ_2ст_тариф_з ЦТП'!K47</f>
        <v>4.4819308175778009E-3</v>
      </c>
      <c r="L21" s="1265">
        <f>'ТЕ_2ст_тариф_з ЦТП'!N47</f>
        <v>4.2215723759879022</v>
      </c>
      <c r="M21" s="1265">
        <f>'ТЕ_2ст_тариф_з ЦТП'!Q47</f>
        <v>1.4208252874474538</v>
      </c>
      <c r="N21" s="1247">
        <f t="shared" si="0"/>
        <v>0</v>
      </c>
      <c r="O21" s="1247">
        <f t="shared" si="0"/>
        <v>5.0829749844787386E-3</v>
      </c>
      <c r="P21" s="1247">
        <f t="shared" si="0"/>
        <v>-5.4600903230603293E-6</v>
      </c>
      <c r="Q21" s="1247">
        <f t="shared" si="0"/>
        <v>-5.732530244431544E-3</v>
      </c>
      <c r="R21" s="1247">
        <f t="shared" si="0"/>
        <v>6.5501535027956415E-4</v>
      </c>
    </row>
    <row r="22" spans="1:18" x14ac:dyDescent="0.3">
      <c r="A22" s="1740" t="s">
        <v>46</v>
      </c>
      <c r="B22" s="63" t="s">
        <v>610</v>
      </c>
      <c r="C22" s="121" t="s">
        <v>40</v>
      </c>
      <c r="D22" s="1247">
        <f>'Д 2_Т на В'!H23</f>
        <v>623.00670261753226</v>
      </c>
      <c r="E22" s="1247">
        <f>'Д 2_Т на В'!L23</f>
        <v>517.49894836595797</v>
      </c>
      <c r="F22" s="1247">
        <f>'Д 2_Т на В'!P23</f>
        <v>8.3714888231240653E-2</v>
      </c>
      <c r="G22" s="1247">
        <f>'Д 2_Т на В'!T23</f>
        <v>78.840806293791658</v>
      </c>
      <c r="H22" s="1247">
        <f>'Д 2_Т на В'!X23</f>
        <v>26.583233069551369</v>
      </c>
      <c r="I22" s="1265">
        <f>'ТЕ_2ст_тариф_з ЦТП'!E48</f>
        <v>623.00670261753226</v>
      </c>
      <c r="J22" s="1265">
        <f>'ТЕ_2ст_тариф_з ЦТП'!H48</f>
        <v>517.40389118618089</v>
      </c>
      <c r="K22" s="1265">
        <f>'ТЕ_2ст_тариф_з ЦТП'!K48</f>
        <v>8.3816997879454083E-2</v>
      </c>
      <c r="L22" s="1265">
        <f>'ТЕ_2ст_тариф_з ЦТП'!N48</f>
        <v>78.948010865854428</v>
      </c>
      <c r="M22" s="1265">
        <f>'ТЕ_2ст_тариф_з ЦТП'!Q48</f>
        <v>26.57098356761745</v>
      </c>
      <c r="N22" s="1247">
        <f t="shared" si="0"/>
        <v>0</v>
      </c>
      <c r="O22" s="1247">
        <f t="shared" si="0"/>
        <v>9.5057179777086276E-2</v>
      </c>
      <c r="P22" s="1247">
        <f t="shared" si="0"/>
        <v>-1.0210964821343038E-4</v>
      </c>
      <c r="Q22" s="1247">
        <f t="shared" si="0"/>
        <v>-0.1072045720627699</v>
      </c>
      <c r="R22" s="1247">
        <f t="shared" si="0"/>
        <v>1.2249501933919049E-2</v>
      </c>
    </row>
    <row r="23" spans="1:18" x14ac:dyDescent="0.3">
      <c r="A23" s="113" t="s">
        <v>24</v>
      </c>
      <c r="B23" s="5" t="s">
        <v>47</v>
      </c>
      <c r="C23" s="121" t="s">
        <v>40</v>
      </c>
      <c r="D23" s="1247">
        <f>'Д 2_Т на В'!H24</f>
        <v>11228.939355305938</v>
      </c>
      <c r="E23" s="1247">
        <f>'Д 2_Т на В'!L24</f>
        <v>9327.290193221852</v>
      </c>
      <c r="F23" s="1247">
        <f>'Д 2_Т на В'!P24</f>
        <v>1.508859213128052</v>
      </c>
      <c r="G23" s="1247">
        <f>'Д 2_Т на В'!T24</f>
        <v>1421.0098043517023</v>
      </c>
      <c r="H23" s="1247">
        <f>'Д 2_Т на В'!X24</f>
        <v>479.13049851925439</v>
      </c>
      <c r="I23" s="1265">
        <f>'ТЕ_2ст_тариф_з ЦТП'!E49</f>
        <v>11228.939355305938</v>
      </c>
      <c r="J23" s="1265">
        <f>'ТЕ_2ст_тариф_з ЦТП'!H49</f>
        <v>9325.5769029754247</v>
      </c>
      <c r="K23" s="1265">
        <f>'ТЕ_2ст_тариф_з ЦТП'!K49</f>
        <v>1.510699615554522</v>
      </c>
      <c r="L23" s="1265">
        <f>'ТЕ_2ст_тариф_з ЦТП'!N49</f>
        <v>1422.9420365946576</v>
      </c>
      <c r="M23" s="1265">
        <f>'ТЕ_2ст_тариф_з ЦТП'!Q49</f>
        <v>478.90971612030074</v>
      </c>
      <c r="N23" s="1247">
        <f t="shared" si="0"/>
        <v>0</v>
      </c>
      <c r="O23" s="1247">
        <f t="shared" si="0"/>
        <v>1.7132902464272775</v>
      </c>
      <c r="P23" s="1247">
        <f t="shared" si="0"/>
        <v>-1.8404024264699892E-3</v>
      </c>
      <c r="Q23" s="1247">
        <f t="shared" si="0"/>
        <v>-1.9322322429552514</v>
      </c>
      <c r="R23" s="1247">
        <f t="shared" si="0"/>
        <v>0.22078239895364504</v>
      </c>
    </row>
    <row r="24" spans="1:18" x14ac:dyDescent="0.3">
      <c r="A24" s="113" t="s">
        <v>48</v>
      </c>
      <c r="B24" s="5" t="s">
        <v>217</v>
      </c>
      <c r="C24" s="121" t="s">
        <v>40</v>
      </c>
      <c r="D24" s="1247">
        <f>'Д 2_Т на В'!H25</f>
        <v>7233.6473506343445</v>
      </c>
      <c r="E24" s="1247">
        <f>'Д 2_Т на В'!L25</f>
        <v>6008.6109524596959</v>
      </c>
      <c r="F24" s="1247">
        <f>'Д 2_Т на В'!P25</f>
        <v>0.97200235072661356</v>
      </c>
      <c r="G24" s="1247">
        <f>'Д 2_Т на В'!T25</f>
        <v>915.41003840376175</v>
      </c>
      <c r="H24" s="1247">
        <f>'Д 2_Т на В'!X25</f>
        <v>308.65435742016155</v>
      </c>
      <c r="I24" s="1265">
        <f>'ТЕ_2ст_тариф_з ЦТП'!E50</f>
        <v>7233.6473506343445</v>
      </c>
      <c r="J24" s="1265">
        <f>'ТЕ_2ст_тариф_з ЦТП'!H50</f>
        <v>6007.507256281473</v>
      </c>
      <c r="K24" s="1265">
        <f>'ТЕ_2ст_тариф_з ЦТП'!K50</f>
        <v>0.97318793217069222</v>
      </c>
      <c r="L24" s="1265">
        <f>'ТЕ_2ст_тариф_з ЦТП'!N50</f>
        <v>916.65477632626721</v>
      </c>
      <c r="M24" s="1265">
        <f>'ТЕ_2ст_тариф_з ЦТП'!Q50</f>
        <v>308.51213009443438</v>
      </c>
      <c r="N24" s="1247">
        <f t="shared" si="0"/>
        <v>0</v>
      </c>
      <c r="O24" s="1247">
        <f t="shared" si="0"/>
        <v>1.10369617822289</v>
      </c>
      <c r="P24" s="1247">
        <f t="shared" si="0"/>
        <v>-1.1855814440786538E-3</v>
      </c>
      <c r="Q24" s="1247">
        <f t="shared" si="0"/>
        <v>-1.2447379225054647</v>
      </c>
      <c r="R24" s="1247">
        <f t="shared" si="0"/>
        <v>0.14222732572716268</v>
      </c>
    </row>
    <row r="25" spans="1:18" ht="20.399999999999999" x14ac:dyDescent="0.3">
      <c r="A25" s="113" t="s">
        <v>49</v>
      </c>
      <c r="B25" s="762" t="s">
        <v>452</v>
      </c>
      <c r="C25" s="121" t="s">
        <v>40</v>
      </c>
      <c r="D25" s="1247">
        <f>'Д 2_Т на В'!H26</f>
        <v>2470.366658167306</v>
      </c>
      <c r="E25" s="1247">
        <f>'Д 2_Т на В'!L26</f>
        <v>2052.0038425088073</v>
      </c>
      <c r="F25" s="1247">
        <f>'Д 2_Т на В'!P26</f>
        <v>0.33194902688817146</v>
      </c>
      <c r="G25" s="1247">
        <f>'Д 2_Т на В'!T26</f>
        <v>312.62215695737456</v>
      </c>
      <c r="H25" s="1247">
        <f>'Д 2_Т на В'!X26</f>
        <v>105.40870967423598</v>
      </c>
      <c r="I25" s="1265">
        <f>'ТЕ_2ст_тариф_з ЦТП'!E51</f>
        <v>2470.366658167306</v>
      </c>
      <c r="J25" s="1265">
        <f>'ТЕ_2ст_тариф_з ЦТП'!H51</f>
        <v>2051.6269186545933</v>
      </c>
      <c r="K25" s="1265">
        <f>'ТЕ_2ст_тариф_з ЦТП'!K51</f>
        <v>0.33235391542199477</v>
      </c>
      <c r="L25" s="1265">
        <f>'ТЕ_2ст_тариф_з ЦТП'!N51</f>
        <v>313.04724805082463</v>
      </c>
      <c r="M25" s="1265">
        <f>'ТЕ_2ст_тариф_з ЦТП'!Q51</f>
        <v>105.36013754646615</v>
      </c>
      <c r="N25" s="1247">
        <f t="shared" si="0"/>
        <v>0</v>
      </c>
      <c r="O25" s="1247">
        <f t="shared" si="0"/>
        <v>0.37692385421405561</v>
      </c>
      <c r="P25" s="1247">
        <f t="shared" si="0"/>
        <v>-4.0488853382331103E-4</v>
      </c>
      <c r="Q25" s="1247">
        <f t="shared" si="0"/>
        <v>-0.42509109345007801</v>
      </c>
      <c r="R25" s="1247">
        <f t="shared" si="0"/>
        <v>4.8572127769830331E-2</v>
      </c>
    </row>
    <row r="26" spans="1:18" x14ac:dyDescent="0.3">
      <c r="A26" s="113" t="s">
        <v>50</v>
      </c>
      <c r="B26" s="762" t="s">
        <v>453</v>
      </c>
      <c r="C26" s="121" t="s">
        <v>40</v>
      </c>
      <c r="D26" s="1247">
        <f>'Д 2_Т на В'!H27</f>
        <v>2122.9628600000001</v>
      </c>
      <c r="E26" s="1247">
        <f>'Д 2_Т на В'!L27</f>
        <v>1763.433752565023</v>
      </c>
      <c r="F26" s="1247">
        <f>'Д 2_Т на В'!P27</f>
        <v>0.2852675545821759</v>
      </c>
      <c r="G26" s="1247">
        <f>'Д 2_Т на В'!T27</f>
        <v>268.65859213221643</v>
      </c>
      <c r="H26" s="1247">
        <f>'Д 2_Т на В'!X27</f>
        <v>90.585247748178688</v>
      </c>
      <c r="I26" s="1265">
        <f>'ТЕ_2ст_тариф_з ЦТП'!E52</f>
        <v>2122.9628600000001</v>
      </c>
      <c r="J26" s="1265">
        <f>'ТЕ_2ст_тариф_з ЦТП'!H52</f>
        <v>1763.1098349227168</v>
      </c>
      <c r="K26" s="1265">
        <f>'ТЕ_2ст_тариф_з ЦТП'!K52</f>
        <v>0.28561550427494919</v>
      </c>
      <c r="L26" s="1265">
        <f>'ТЕ_2ст_тариф_з ЦТП'!N52</f>
        <v>269.02390333026375</v>
      </c>
      <c r="M26" s="1265">
        <f>'ТЕ_2ст_тариф_з ЦТП'!Q52</f>
        <v>90.543506242744428</v>
      </c>
      <c r="N26" s="1247">
        <f t="shared" si="0"/>
        <v>0</v>
      </c>
      <c r="O26" s="1247">
        <f t="shared" si="0"/>
        <v>0.32391764230624176</v>
      </c>
      <c r="P26" s="1247">
        <f t="shared" si="0"/>
        <v>-3.4794969277329724E-4</v>
      </c>
      <c r="Q26" s="1247">
        <f t="shared" si="0"/>
        <v>-0.3653111980473227</v>
      </c>
      <c r="R26" s="1247">
        <f t="shared" si="0"/>
        <v>4.1741505434259807E-2</v>
      </c>
    </row>
    <row r="27" spans="1:18" x14ac:dyDescent="0.3">
      <c r="A27" s="113" t="s">
        <v>51</v>
      </c>
      <c r="B27" s="120" t="s">
        <v>52</v>
      </c>
      <c r="C27" s="121" t="s">
        <v>40</v>
      </c>
      <c r="D27" s="1247">
        <f>'Д 2_Т на В'!H28</f>
        <v>2640.3178324670394</v>
      </c>
      <c r="E27" s="1247">
        <f>'Д 2_Т на В'!L28</f>
        <v>2193.1733573858655</v>
      </c>
      <c r="F27" s="1247">
        <f>'Д 2_Т на В'!P28</f>
        <v>0.35478576925626615</v>
      </c>
      <c r="G27" s="1247">
        <f>'Д 2_Т на В'!T28</f>
        <v>334.12928931417082</v>
      </c>
      <c r="H27" s="1247">
        <f>'Д 2_Т на В'!X28</f>
        <v>112.66039999774688</v>
      </c>
      <c r="I27" s="1265">
        <f>'ТЕ_2ст_тариф_з ЦТП'!E53</f>
        <v>2640.3178324670394</v>
      </c>
      <c r="J27" s="1265">
        <f>'ТЕ_2ст_тариф_з ЦТП'!H53</f>
        <v>2192.7705027041629</v>
      </c>
      <c r="K27" s="1265">
        <f>'ТЕ_2ст_тариф_з ЦТП'!K53</f>
        <v>0.35521851247374825</v>
      </c>
      <c r="L27" s="1265">
        <f>'ТЕ_2ст_тариф_з ЦТП'!N53</f>
        <v>334.58362494517888</v>
      </c>
      <c r="M27" s="1265">
        <f>'ТЕ_2ст_тариф_з ЦТП'!Q53</f>
        <v>112.60848630522382</v>
      </c>
      <c r="N27" s="1247">
        <f t="shared" si="0"/>
        <v>0</v>
      </c>
      <c r="O27" s="1247">
        <f t="shared" si="0"/>
        <v>0.40285468170259264</v>
      </c>
      <c r="P27" s="1247">
        <f t="shared" si="0"/>
        <v>-4.3274321748210109E-4</v>
      </c>
      <c r="Q27" s="1247">
        <f t="shared" si="0"/>
        <v>-0.45433563100806396</v>
      </c>
      <c r="R27" s="1247">
        <f t="shared" si="0"/>
        <v>5.191369252305833E-2</v>
      </c>
    </row>
    <row r="28" spans="1:18" s="245" customFormat="1" x14ac:dyDescent="0.3">
      <c r="A28" s="109" t="s">
        <v>53</v>
      </c>
      <c r="B28" s="122" t="s">
        <v>218</v>
      </c>
      <c r="C28" s="123" t="s">
        <v>40</v>
      </c>
      <c r="D28" s="1613">
        <f>'Д 2_Т на В'!H29</f>
        <v>5210.7535416702249</v>
      </c>
      <c r="E28" s="1613">
        <f>'Д 2_Т на В'!L29</f>
        <v>4328.2993050943005</v>
      </c>
      <c r="F28" s="1613">
        <f>'Д 2_Т на В'!P29</f>
        <v>0.70018131186839383</v>
      </c>
      <c r="G28" s="1613">
        <f>'Д 2_Т на В'!T29</f>
        <v>659.41507354164594</v>
      </c>
      <c r="H28" s="1613">
        <f>'Д 2_Т на В'!X29</f>
        <v>222.33898172241075</v>
      </c>
      <c r="I28" s="1747">
        <f>'ТЕ_2ст_тариф_з ЦТП'!E54</f>
        <v>5210.7535416702249</v>
      </c>
      <c r="J28" s="1747">
        <f>'ТЕ_2ст_тариф_з ЦТП'!H54</f>
        <v>4327.504258212577</v>
      </c>
      <c r="K28" s="1747">
        <f>'ТЕ_2ст_тариф_з ЦТП'!K54</f>
        <v>0.70103534475238949</v>
      </c>
      <c r="L28" s="1747">
        <f>'ТЕ_2ст_тариф_з ЦТП'!N54</f>
        <v>660.31171975948746</v>
      </c>
      <c r="M28" s="1747">
        <f>'ТЕ_2ст_тариф_з ЦТП'!Q54</f>
        <v>222.23652835340729</v>
      </c>
      <c r="N28" s="1613">
        <f t="shared" si="0"/>
        <v>0</v>
      </c>
      <c r="O28" s="1613">
        <f t="shared" si="0"/>
        <v>0.79504688172346505</v>
      </c>
      <c r="P28" s="1613">
        <f t="shared" si="0"/>
        <v>-8.5403288399565902E-4</v>
      </c>
      <c r="Q28" s="1613">
        <f t="shared" si="0"/>
        <v>-0.89664621784152132</v>
      </c>
      <c r="R28" s="1613">
        <f t="shared" si="0"/>
        <v>0.10245336900345592</v>
      </c>
    </row>
    <row r="29" spans="1:18" x14ac:dyDescent="0.3">
      <c r="A29" s="113" t="s">
        <v>54</v>
      </c>
      <c r="B29" s="120" t="s">
        <v>55</v>
      </c>
      <c r="C29" s="121" t="s">
        <v>40</v>
      </c>
      <c r="D29" s="1247">
        <f>'Д 2_Т на В'!H30</f>
        <v>3981.6703519823727</v>
      </c>
      <c r="E29" s="1247">
        <f>'Д 2_Т на В'!L30</f>
        <v>3307.3644492646335</v>
      </c>
      <c r="F29" s="1247">
        <f>'Д 2_Т на В'!P30</f>
        <v>0.53502648862277458</v>
      </c>
      <c r="G29" s="1247">
        <f>'Д 2_Т на В'!T30</f>
        <v>503.87596092857262</v>
      </c>
      <c r="H29" s="1247">
        <f>'Д 2_Т на В'!X30</f>
        <v>169.8949153005442</v>
      </c>
      <c r="I29" s="1265">
        <f>'ТЕ_2ст_тариф_з ЦТП'!E55</f>
        <v>3981.6703519823727</v>
      </c>
      <c r="J29" s="1265">
        <f>'ТЕ_2ст_тариф_з ЦТП'!H55</f>
        <v>3306.7569335623311</v>
      </c>
      <c r="K29" s="1265">
        <f>'ТЕ_2ст_тариф_з ЦТП'!K55</f>
        <v>0.53567907704144191</v>
      </c>
      <c r="L29" s="1265">
        <f>'ТЕ_2ст_тариф_з ЦТП'!N55</f>
        <v>504.56111128796812</v>
      </c>
      <c r="M29" s="1265">
        <f>'ТЕ_2ст_тариф_з ЦТП'!Q55</f>
        <v>169.81662805503171</v>
      </c>
      <c r="N29" s="1247">
        <f t="shared" si="0"/>
        <v>0</v>
      </c>
      <c r="O29" s="1247">
        <f t="shared" si="0"/>
        <v>0.60751570230240759</v>
      </c>
      <c r="P29" s="1247">
        <f t="shared" si="0"/>
        <v>-6.5258841866733253E-4</v>
      </c>
      <c r="Q29" s="1247">
        <f t="shared" si="0"/>
        <v>-0.68515035939549307</v>
      </c>
      <c r="R29" s="1247">
        <f t="shared" si="0"/>
        <v>7.828724551248456E-2</v>
      </c>
    </row>
    <row r="30" spans="1:18" ht="20.399999999999999" x14ac:dyDescent="0.3">
      <c r="A30" s="113" t="s">
        <v>56</v>
      </c>
      <c r="B30" s="762" t="s">
        <v>452</v>
      </c>
      <c r="C30" s="121" t="s">
        <v>40</v>
      </c>
      <c r="D30" s="1247">
        <f>'Д 2_Т на В'!H31</f>
        <v>849.8976237422155</v>
      </c>
      <c r="E30" s="1247">
        <f>'Д 2_Т на В'!L31</f>
        <v>705.96532052936197</v>
      </c>
      <c r="F30" s="1247">
        <f>'Д 2_Т на В'!P31</f>
        <v>0.11420275942563782</v>
      </c>
      <c r="G30" s="1247">
        <f>'Д 2_Т на В'!T31</f>
        <v>107.5536003729711</v>
      </c>
      <c r="H30" s="1247">
        <f>'Д 2_Т на В'!X31</f>
        <v>36.26450008045687</v>
      </c>
      <c r="I30" s="1265">
        <f>'ТЕ_2ст_тариф_з ЦТП'!E56</f>
        <v>849.8976237422155</v>
      </c>
      <c r="J30" s="1265">
        <f>'ТЕ_2ст_тариф_з ЦТП'!H56</f>
        <v>705.83564476363324</v>
      </c>
      <c r="K30" s="1265">
        <f>'ТЕ_2ст_тариф_з ЦТП'!K56</f>
        <v>0.11434205607686133</v>
      </c>
      <c r="L30" s="1265">
        <f>'ТЕ_2ст_тариф_з ЦТП'!N56</f>
        <v>107.69984745293503</v>
      </c>
      <c r="M30" s="1265">
        <f>'ТЕ_2ст_тариф_з ЦТП'!Q56</f>
        <v>36.247789469570343</v>
      </c>
      <c r="N30" s="1247">
        <f t="shared" si="0"/>
        <v>0</v>
      </c>
      <c r="O30" s="1247">
        <f t="shared" si="0"/>
        <v>0.1296757657287344</v>
      </c>
      <c r="P30" s="1247">
        <f t="shared" si="0"/>
        <v>-1.3929665122351664E-4</v>
      </c>
      <c r="Q30" s="1247">
        <f t="shared" si="0"/>
        <v>-0.14624707996392772</v>
      </c>
      <c r="R30" s="1247">
        <f t="shared" si="0"/>
        <v>1.6710610886526922E-2</v>
      </c>
    </row>
    <row r="31" spans="1:18" x14ac:dyDescent="0.3">
      <c r="A31" s="113" t="s">
        <v>57</v>
      </c>
      <c r="B31" s="120" t="s">
        <v>58</v>
      </c>
      <c r="C31" s="121" t="s">
        <v>40</v>
      </c>
      <c r="D31" s="1247">
        <f>'Д 2_Т на В'!H32</f>
        <v>379.18556594563665</v>
      </c>
      <c r="E31" s="1247">
        <f>'Д 2_Т на В'!L32</f>
        <v>314.96953530030476</v>
      </c>
      <c r="F31" s="1247">
        <f>'Д 2_Т на В'!P32</f>
        <v>5.0952063819981359E-2</v>
      </c>
      <c r="G31" s="1247">
        <f>'Д 2_Т на В'!T32</f>
        <v>47.985512240102231</v>
      </c>
      <c r="H31" s="1247">
        <f>'Д 2_Т на В'!X32</f>
        <v>16.179566341409686</v>
      </c>
      <c r="I31" s="1265">
        <f>'ТЕ_2ст_тариф_з ЦТП'!E57</f>
        <v>379.18556594563665</v>
      </c>
      <c r="J31" s="1265">
        <f>'ТЕ_2ст_тариф_з ЦТП'!H57</f>
        <v>314.91167988661266</v>
      </c>
      <c r="K31" s="1265">
        <f>'ТЕ_2ст_тариф_з ЦТП'!K57</f>
        <v>5.1014211634086246E-2</v>
      </c>
      <c r="L31" s="1265">
        <f>'ТЕ_2ст_тариф_з ЦТП'!N57</f>
        <v>48.050761018584311</v>
      </c>
      <c r="M31" s="1265">
        <f>'ТЕ_2ст_тариф_з ЦТП'!Q57</f>
        <v>16.172110828805238</v>
      </c>
      <c r="N31" s="1247">
        <f t="shared" si="0"/>
        <v>0</v>
      </c>
      <c r="O31" s="1247">
        <f t="shared" si="0"/>
        <v>5.7855413692095681E-2</v>
      </c>
      <c r="P31" s="1247">
        <f t="shared" si="0"/>
        <v>-6.2147814104886179E-5</v>
      </c>
      <c r="Q31" s="1247">
        <f t="shared" si="0"/>
        <v>-6.5248778482079217E-2</v>
      </c>
      <c r="R31" s="1247">
        <f t="shared" si="0"/>
        <v>7.4555126044479891E-3</v>
      </c>
    </row>
    <row r="32" spans="1:18" s="245" customFormat="1" x14ac:dyDescent="0.3">
      <c r="A32" s="109">
        <v>2</v>
      </c>
      <c r="B32" s="122" t="s">
        <v>219</v>
      </c>
      <c r="C32" s="123" t="s">
        <v>40</v>
      </c>
      <c r="D32" s="1613">
        <f>'Д 2_Т на В'!H33</f>
        <v>6334.8875507536159</v>
      </c>
      <c r="E32" s="1613">
        <f>'Д 2_Т на В'!L33</f>
        <v>5262.0583883897507</v>
      </c>
      <c r="F32" s="1613">
        <f>'Д 2_Т на В'!P33</f>
        <v>0.85123386480560181</v>
      </c>
      <c r="G32" s="1613">
        <f>'Д 2_Т на В'!T33</f>
        <v>801.67298390767462</v>
      </c>
      <c r="H32" s="1613">
        <f>'Д 2_Т на В'!X33</f>
        <v>270.30494459138544</v>
      </c>
      <c r="I32" s="1747">
        <f>'ТЕ_2ст_тариф_з ЦТП'!E58</f>
        <v>6334.8875507536159</v>
      </c>
      <c r="J32" s="1747">
        <f>'ТЕ_2ст_тариф_з ЦТП'!H58</f>
        <v>5261.0918232753165</v>
      </c>
      <c r="K32" s="1747">
        <f>'ТЕ_2ст_тариф_з ЦТП'!K58</f>
        <v>0.85227214117800998</v>
      </c>
      <c r="L32" s="1747">
        <f>'ТЕ_2ст_тариф_з ЦТП'!N58</f>
        <v>802.76306673684917</v>
      </c>
      <c r="M32" s="1747">
        <f>'ТЕ_2ст_тариф_з ЦТП'!Q58</f>
        <v>270.18038860027156</v>
      </c>
      <c r="N32" s="1613">
        <f t="shared" si="0"/>
        <v>0</v>
      </c>
      <c r="O32" s="1613">
        <f t="shared" si="0"/>
        <v>0.96656511443416093</v>
      </c>
      <c r="P32" s="1613">
        <f t="shared" si="0"/>
        <v>-1.0382763724081645E-3</v>
      </c>
      <c r="Q32" s="1613">
        <f t="shared" si="0"/>
        <v>-1.0900828291745484</v>
      </c>
      <c r="R32" s="1613">
        <f t="shared" si="0"/>
        <v>0.12455599111387983</v>
      </c>
    </row>
    <row r="33" spans="1:18" x14ac:dyDescent="0.3">
      <c r="A33" s="113" t="s">
        <v>25</v>
      </c>
      <c r="B33" s="120" t="s">
        <v>55</v>
      </c>
      <c r="C33" s="121" t="s">
        <v>40</v>
      </c>
      <c r="D33" s="1247">
        <f>'Д 2_Т на В'!H34</f>
        <v>4743.9700713768461</v>
      </c>
      <c r="E33" s="1247">
        <f>'Д 2_Т на В'!L34</f>
        <v>3940.566791179866</v>
      </c>
      <c r="F33" s="1247">
        <f>'Д 2_Т на В'!P34</f>
        <v>0.63745850988307129</v>
      </c>
      <c r="G33" s="1247">
        <f>'Д 2_Т на В'!T34</f>
        <v>600.34414379414704</v>
      </c>
      <c r="H33" s="1247">
        <f>'Д 2_Т на В'!X34</f>
        <v>202.4216778929503</v>
      </c>
      <c r="I33" s="1265">
        <f>'ТЕ_2ст_тариф_з ЦТП'!E59</f>
        <v>4743.9700713768461</v>
      </c>
      <c r="J33" s="1265">
        <f>'ТЕ_2ст_тариф_з ЦТП'!H59</f>
        <v>3939.8429652337582</v>
      </c>
      <c r="K33" s="1265">
        <f>'ТЕ_2ст_тариф_з ЦТП'!K59</f>
        <v>0.63823603781818616</v>
      </c>
      <c r="L33" s="1265">
        <f>'ТЕ_2ст_тариф_з ЦТП'!N59</f>
        <v>601.1604677265758</v>
      </c>
      <c r="M33" s="1265">
        <f>'ТЕ_2ст_тариф_з ЦТП'!Q59</f>
        <v>202.3284023786936</v>
      </c>
      <c r="N33" s="1247">
        <f t="shared" si="0"/>
        <v>0</v>
      </c>
      <c r="O33" s="1247">
        <f t="shared" si="0"/>
        <v>0.7238259461078087</v>
      </c>
      <c r="P33" s="1247">
        <f t="shared" si="0"/>
        <v>-7.775279351148745E-4</v>
      </c>
      <c r="Q33" s="1247">
        <f t="shared" si="0"/>
        <v>-0.81632393242875878</v>
      </c>
      <c r="R33" s="1247">
        <f t="shared" si="0"/>
        <v>9.3275514256703218E-2</v>
      </c>
    </row>
    <row r="34" spans="1:18" ht="20.399999999999999" x14ac:dyDescent="0.3">
      <c r="A34" s="113" t="s">
        <v>26</v>
      </c>
      <c r="B34" s="762" t="s">
        <v>452</v>
      </c>
      <c r="C34" s="121" t="s">
        <v>40</v>
      </c>
      <c r="D34" s="1247">
        <f>'Д 2_Т на В'!H35</f>
        <v>1043.6734157029061</v>
      </c>
      <c r="E34" s="1247">
        <f>'Д 2_Т на В'!L35</f>
        <v>866.92469405957058</v>
      </c>
      <c r="F34" s="1247">
        <f>'Д 2_Т на В'!P35</f>
        <v>0.14024087217427567</v>
      </c>
      <c r="G34" s="1247">
        <f>'Д 2_Т на В'!T35</f>
        <v>132.07571163471235</v>
      </c>
      <c r="H34" s="1247">
        <f>'Д 2_Т на В'!X35</f>
        <v>44.532769136449069</v>
      </c>
      <c r="I34" s="1265">
        <f>'ТЕ_2ст_тариф_з ЦТП'!E60</f>
        <v>1043.6734157029061</v>
      </c>
      <c r="J34" s="1265">
        <f>'ТЕ_2ст_тариф_з ЦТП'!H60</f>
        <v>866.7654523514268</v>
      </c>
      <c r="K34" s="1265">
        <f>'ТЕ_2ст_тариф_з ЦТП'!K60</f>
        <v>0.14041192832000096</v>
      </c>
      <c r="L34" s="1265">
        <f>'ТЕ_2ст_тариф_з ЦТП'!N60</f>
        <v>132.2553028998467</v>
      </c>
      <c r="M34" s="1265">
        <f>'ТЕ_2ст_тариф_з ЦТП'!Q60</f>
        <v>44.512248523312593</v>
      </c>
      <c r="N34" s="1247">
        <f t="shared" si="0"/>
        <v>0</v>
      </c>
      <c r="O34" s="1247">
        <f t="shared" si="0"/>
        <v>0.15924170814378158</v>
      </c>
      <c r="P34" s="1247">
        <f t="shared" si="0"/>
        <v>-1.7105614572529571E-4</v>
      </c>
      <c r="Q34" s="1247">
        <f t="shared" si="0"/>
        <v>-0.17959126513434853</v>
      </c>
      <c r="R34" s="1247">
        <f t="shared" si="0"/>
        <v>2.0520613136476129E-2</v>
      </c>
    </row>
    <row r="35" spans="1:18" x14ac:dyDescent="0.3">
      <c r="A35" s="113" t="s">
        <v>59</v>
      </c>
      <c r="B35" s="120" t="s">
        <v>58</v>
      </c>
      <c r="C35" s="121" t="s">
        <v>40</v>
      </c>
      <c r="D35" s="1247">
        <f>'Д 2_Т на В'!H36</f>
        <v>547.24406367386359</v>
      </c>
      <c r="E35" s="1247">
        <f>'Д 2_Т на В'!L36</f>
        <v>454.56690315031398</v>
      </c>
      <c r="F35" s="1247">
        <f>'Д 2_Т на В'!P36</f>
        <v>7.3534482748254776E-2</v>
      </c>
      <c r="G35" s="1247">
        <f>'Д 2_Т на В'!T36</f>
        <v>69.253128478815299</v>
      </c>
      <c r="H35" s="1247">
        <f>'Д 2_Т на В'!X36</f>
        <v>23.350497561986085</v>
      </c>
      <c r="I35" s="1265">
        <f>'ТЕ_2ст_тариф_з ЦТП'!E61</f>
        <v>547.24406367386359</v>
      </c>
      <c r="J35" s="1265">
        <f>'ТЕ_2ст_тариф_з ЦТП'!H61</f>
        <v>454.48340569013158</v>
      </c>
      <c r="K35" s="1265">
        <f>'ТЕ_2ст_тариф_з ЦТП'!K61</f>
        <v>7.3624175039822853E-2</v>
      </c>
      <c r="L35" s="1265">
        <f>'ТЕ_2ст_тариф_з ЦТП'!N61</f>
        <v>69.347296110426669</v>
      </c>
      <c r="M35" s="1265">
        <f>'ТЕ_2ст_тариф_з ЦТП'!Q61</f>
        <v>23.339737698265367</v>
      </c>
      <c r="N35" s="1247">
        <f t="shared" si="0"/>
        <v>0</v>
      </c>
      <c r="O35" s="1247">
        <f t="shared" si="0"/>
        <v>8.3497460182400118E-2</v>
      </c>
      <c r="P35" s="1247">
        <f t="shared" si="0"/>
        <v>-8.9692291568077565E-5</v>
      </c>
      <c r="Q35" s="1247">
        <f t="shared" si="0"/>
        <v>-9.4167631611369984E-2</v>
      </c>
      <c r="R35" s="1247">
        <f t="shared" si="0"/>
        <v>1.0759863720718243E-2</v>
      </c>
    </row>
    <row r="36" spans="1:18" x14ac:dyDescent="0.3">
      <c r="A36" s="113" t="s">
        <v>173</v>
      </c>
      <c r="B36" s="5" t="s">
        <v>220</v>
      </c>
      <c r="C36" s="121" t="s">
        <v>40</v>
      </c>
      <c r="D36" s="1247">
        <f>'Д 2_Т на В'!H37</f>
        <v>0</v>
      </c>
      <c r="E36" s="1247">
        <f>'Д 2_Т на В'!L37</f>
        <v>0</v>
      </c>
      <c r="F36" s="1247">
        <f>'Д 2_Т на В'!P37</f>
        <v>0</v>
      </c>
      <c r="G36" s="1247">
        <f>'Д 2_Т на В'!T37</f>
        <v>0</v>
      </c>
      <c r="H36" s="1247">
        <f>'Д 2_Т на В'!X37</f>
        <v>0</v>
      </c>
      <c r="I36" s="1265">
        <f>'ТЕ_2ст_тариф_з ЦТП'!E62</f>
        <v>0</v>
      </c>
      <c r="J36" s="1265">
        <f>'ТЕ_2ст_тариф_з ЦТП'!H62</f>
        <v>0</v>
      </c>
      <c r="K36" s="1265">
        <f>'ТЕ_2ст_тариф_з ЦТП'!K62</f>
        <v>0</v>
      </c>
      <c r="L36" s="1265">
        <f>'ТЕ_2ст_тариф_з ЦТП'!N62</f>
        <v>0</v>
      </c>
      <c r="M36" s="1265">
        <f>'ТЕ_2ст_тариф_з ЦТП'!Q62</f>
        <v>0</v>
      </c>
      <c r="N36" s="1247">
        <f t="shared" si="0"/>
        <v>0</v>
      </c>
      <c r="O36" s="1247">
        <f t="shared" si="0"/>
        <v>0</v>
      </c>
      <c r="P36" s="1247">
        <f t="shared" si="0"/>
        <v>0</v>
      </c>
      <c r="Q36" s="1247">
        <f t="shared" si="0"/>
        <v>0</v>
      </c>
      <c r="R36" s="1247">
        <f t="shared" si="0"/>
        <v>0</v>
      </c>
    </row>
    <row r="37" spans="1:18" x14ac:dyDescent="0.3">
      <c r="A37" s="113" t="s">
        <v>60</v>
      </c>
      <c r="B37" s="5" t="s">
        <v>55</v>
      </c>
      <c r="C37" s="121" t="s">
        <v>40</v>
      </c>
      <c r="D37" s="1247">
        <f>'Д 2_Т на В'!H38</f>
        <v>0</v>
      </c>
      <c r="E37" s="1247">
        <f>'Д 2_Т на В'!L38</f>
        <v>0</v>
      </c>
      <c r="F37" s="1247">
        <f>'Д 2_Т на В'!P38</f>
        <v>0</v>
      </c>
      <c r="G37" s="1247">
        <f>'Д 2_Т на В'!T38</f>
        <v>0</v>
      </c>
      <c r="H37" s="1247">
        <f>'Д 2_Т на В'!X38</f>
        <v>0</v>
      </c>
      <c r="I37" s="1265">
        <f>'ТЕ_2ст_тариф_з ЦТП'!E63</f>
        <v>0</v>
      </c>
      <c r="J37" s="1265">
        <f>'ТЕ_2ст_тариф_з ЦТП'!H63</f>
        <v>0</v>
      </c>
      <c r="K37" s="1265">
        <f>'ТЕ_2ст_тариф_з ЦТП'!K63</f>
        <v>0</v>
      </c>
      <c r="L37" s="1265">
        <f>'ТЕ_2ст_тариф_з ЦТП'!N63</f>
        <v>0</v>
      </c>
      <c r="M37" s="1265">
        <f>'ТЕ_2ст_тариф_з ЦТП'!Q63</f>
        <v>0</v>
      </c>
      <c r="N37" s="1247">
        <f t="shared" si="0"/>
        <v>0</v>
      </c>
      <c r="O37" s="1247">
        <f t="shared" si="0"/>
        <v>0</v>
      </c>
      <c r="P37" s="1247">
        <f t="shared" si="0"/>
        <v>0</v>
      </c>
      <c r="Q37" s="1247">
        <f t="shared" si="0"/>
        <v>0</v>
      </c>
      <c r="R37" s="1247">
        <f t="shared" si="0"/>
        <v>0</v>
      </c>
    </row>
    <row r="38" spans="1:18" ht="20.399999999999999" x14ac:dyDescent="0.3">
      <c r="A38" s="113" t="s">
        <v>61</v>
      </c>
      <c r="B38" s="762" t="s">
        <v>452</v>
      </c>
      <c r="C38" s="121" t="s">
        <v>40</v>
      </c>
      <c r="D38" s="1247">
        <f>'Д 2_Т на В'!H39</f>
        <v>0</v>
      </c>
      <c r="E38" s="1247">
        <f>'Д 2_Т на В'!L39</f>
        <v>0</v>
      </c>
      <c r="F38" s="1247">
        <f>'Д 2_Т на В'!P39</f>
        <v>0</v>
      </c>
      <c r="G38" s="1247">
        <f>'Д 2_Т на В'!T39</f>
        <v>0</v>
      </c>
      <c r="H38" s="1247">
        <f>'Д 2_Т на В'!X39</f>
        <v>0</v>
      </c>
      <c r="I38" s="1265">
        <f>'ТЕ_2ст_тариф_з ЦТП'!E64</f>
        <v>0</v>
      </c>
      <c r="J38" s="1265">
        <f>'ТЕ_2ст_тариф_з ЦТП'!H64</f>
        <v>0</v>
      </c>
      <c r="K38" s="1265">
        <f>'ТЕ_2ст_тариф_з ЦТП'!K64</f>
        <v>0</v>
      </c>
      <c r="L38" s="1265">
        <f>'ТЕ_2ст_тариф_з ЦТП'!N64</f>
        <v>0</v>
      </c>
      <c r="M38" s="1265">
        <f>'ТЕ_2ст_тариф_з ЦТП'!Q64</f>
        <v>0</v>
      </c>
      <c r="N38" s="1247">
        <f t="shared" si="0"/>
        <v>0</v>
      </c>
      <c r="O38" s="1247">
        <f t="shared" si="0"/>
        <v>0</v>
      </c>
      <c r="P38" s="1247">
        <f t="shared" si="0"/>
        <v>0</v>
      </c>
      <c r="Q38" s="1247">
        <f t="shared" si="0"/>
        <v>0</v>
      </c>
      <c r="R38" s="1247">
        <f t="shared" si="0"/>
        <v>0</v>
      </c>
    </row>
    <row r="39" spans="1:18" x14ac:dyDescent="0.3">
      <c r="A39" s="113" t="s">
        <v>62</v>
      </c>
      <c r="B39" s="5" t="s">
        <v>58</v>
      </c>
      <c r="C39" s="121" t="s">
        <v>40</v>
      </c>
      <c r="D39" s="1247">
        <f>'Д 2_Т на В'!H40</f>
        <v>0</v>
      </c>
      <c r="E39" s="1247">
        <f>'Д 2_Т на В'!L40</f>
        <v>0</v>
      </c>
      <c r="F39" s="1247">
        <f>'Д 2_Т на В'!P40</f>
        <v>0</v>
      </c>
      <c r="G39" s="1247">
        <f>'Д 2_Т на В'!T40</f>
        <v>0</v>
      </c>
      <c r="H39" s="1247">
        <f>'Д 2_Т на В'!X40</f>
        <v>0</v>
      </c>
      <c r="I39" s="1265">
        <f>'ТЕ_2ст_тариф_з ЦТП'!E65</f>
        <v>0</v>
      </c>
      <c r="J39" s="1265">
        <f>'ТЕ_2ст_тариф_з ЦТП'!H65</f>
        <v>0</v>
      </c>
      <c r="K39" s="1265">
        <f>'ТЕ_2ст_тариф_з ЦТП'!K65</f>
        <v>0</v>
      </c>
      <c r="L39" s="1265">
        <f>'ТЕ_2ст_тариф_з ЦТП'!N65</f>
        <v>0</v>
      </c>
      <c r="M39" s="1265">
        <f>'ТЕ_2ст_тариф_з ЦТП'!Q65</f>
        <v>0</v>
      </c>
      <c r="N39" s="1247">
        <f t="shared" si="0"/>
        <v>0</v>
      </c>
      <c r="O39" s="1247">
        <f t="shared" si="0"/>
        <v>0</v>
      </c>
      <c r="P39" s="1247">
        <f t="shared" si="0"/>
        <v>0</v>
      </c>
      <c r="Q39" s="1247">
        <f t="shared" si="0"/>
        <v>0</v>
      </c>
      <c r="R39" s="1247">
        <f t="shared" si="0"/>
        <v>0</v>
      </c>
    </row>
    <row r="40" spans="1:18" x14ac:dyDescent="0.3">
      <c r="A40" s="113" t="s">
        <v>174</v>
      </c>
      <c r="B40" s="120" t="s">
        <v>175</v>
      </c>
      <c r="C40" s="121" t="s">
        <v>40</v>
      </c>
      <c r="D40" s="1247">
        <f>'Д 2_Т на В'!H41</f>
        <v>0</v>
      </c>
      <c r="E40" s="1247">
        <f>'Д 2_Т на В'!L41</f>
        <v>0</v>
      </c>
      <c r="F40" s="1247">
        <f>'Д 2_Т на В'!P41</f>
        <v>0</v>
      </c>
      <c r="G40" s="1247">
        <f>'Д 2_Т на В'!T41</f>
        <v>0</v>
      </c>
      <c r="H40" s="1247">
        <f>'Д 2_Т на В'!X41</f>
        <v>0</v>
      </c>
      <c r="I40" s="1265">
        <f>'ТЕ_2ст_тариф_з ЦТП'!E66</f>
        <v>0</v>
      </c>
      <c r="J40" s="1265">
        <f>'ТЕ_2ст_тариф_з ЦТП'!H66</f>
        <v>0</v>
      </c>
      <c r="K40" s="1265">
        <f>'ТЕ_2ст_тариф_з ЦТП'!K66</f>
        <v>0</v>
      </c>
      <c r="L40" s="1265">
        <f>'ТЕ_2ст_тариф_з ЦТП'!N66</f>
        <v>0</v>
      </c>
      <c r="M40" s="1265">
        <f>'ТЕ_2ст_тариф_з ЦТП'!Q66</f>
        <v>0</v>
      </c>
      <c r="N40" s="1247">
        <f t="shared" si="0"/>
        <v>0</v>
      </c>
      <c r="O40" s="1247">
        <f t="shared" si="0"/>
        <v>0</v>
      </c>
      <c r="P40" s="1247">
        <f t="shared" si="0"/>
        <v>0</v>
      </c>
      <c r="Q40" s="1247">
        <f t="shared" si="0"/>
        <v>0</v>
      </c>
      <c r="R40" s="1247">
        <f t="shared" si="0"/>
        <v>0</v>
      </c>
    </row>
    <row r="41" spans="1:18" x14ac:dyDescent="0.3">
      <c r="A41" s="113" t="s">
        <v>169</v>
      </c>
      <c r="B41" s="120" t="s">
        <v>5</v>
      </c>
      <c r="C41" s="121" t="s">
        <v>40</v>
      </c>
      <c r="D41" s="1247">
        <f>'Д 2_Т на В'!H42</f>
        <v>0</v>
      </c>
      <c r="E41" s="1247">
        <f>'Д 2_Т на В'!L42</f>
        <v>0</v>
      </c>
      <c r="F41" s="1247">
        <f>'Д 2_Т на В'!P42</f>
        <v>0</v>
      </c>
      <c r="G41" s="1247">
        <f>'Д 2_Т на В'!T42</f>
        <v>0</v>
      </c>
      <c r="H41" s="1247">
        <f>'Д 2_Т на В'!X42</f>
        <v>0</v>
      </c>
      <c r="I41" s="1265">
        <f>'ТЕ_2ст_тариф_з ЦТП'!E67</f>
        <v>0</v>
      </c>
      <c r="J41" s="1265">
        <f>'ТЕ_2ст_тариф_з ЦТП'!H67</f>
        <v>0</v>
      </c>
      <c r="K41" s="1265">
        <f>'ТЕ_2ст_тариф_з ЦТП'!K67</f>
        <v>0</v>
      </c>
      <c r="L41" s="1265">
        <f>'ТЕ_2ст_тариф_з ЦТП'!N67</f>
        <v>0</v>
      </c>
      <c r="M41" s="1265">
        <f>'ТЕ_2ст_тариф_з ЦТП'!Q67</f>
        <v>0</v>
      </c>
      <c r="N41" s="1247">
        <f t="shared" si="0"/>
        <v>0</v>
      </c>
      <c r="O41" s="1247">
        <f t="shared" si="0"/>
        <v>0</v>
      </c>
      <c r="P41" s="1247">
        <f t="shared" si="0"/>
        <v>0</v>
      </c>
      <c r="Q41" s="1247">
        <f t="shared" si="0"/>
        <v>0</v>
      </c>
      <c r="R41" s="1247">
        <f t="shared" si="0"/>
        <v>0</v>
      </c>
    </row>
    <row r="42" spans="1:18" x14ac:dyDescent="0.3">
      <c r="A42" s="109" t="s">
        <v>170</v>
      </c>
      <c r="B42" s="122" t="s">
        <v>176</v>
      </c>
      <c r="C42" s="123" t="s">
        <v>40</v>
      </c>
      <c r="D42" s="1748">
        <f>'Д 2_Т на В'!H43</f>
        <v>155406.25959820245</v>
      </c>
      <c r="E42" s="1748">
        <f>'Д 2_Т на В'!L43</f>
        <v>113998.7733449282</v>
      </c>
      <c r="F42" s="1748">
        <f>'Д 2_Т на В'!P43</f>
        <v>32.85467602091969</v>
      </c>
      <c r="G42" s="1748">
        <f>'Д 2_Т на В'!T43</f>
        <v>30941.79784191935</v>
      </c>
      <c r="H42" s="1748">
        <f>'Д 2_Т на В'!X43</f>
        <v>10432.833735333999</v>
      </c>
      <c r="I42" s="1265">
        <f>'ТЕ_2ст_тариф_з ЦТП'!E68</f>
        <v>155406.25959820251</v>
      </c>
      <c r="J42" s="1265">
        <f>'ТЕ_2ст_тариф_з ЦТП'!H68</f>
        <v>113992.57640125134</v>
      </c>
      <c r="K42" s="1265">
        <f>'ТЕ_2ст_тариф_з ЦТП'!K68</f>
        <v>32.861332727337462</v>
      </c>
      <c r="L42" s="1265">
        <f>'ТЕ_2ст_тариф_з ЦТП'!N68</f>
        <v>30948.786695328279</v>
      </c>
      <c r="M42" s="1265">
        <f>'ТЕ_2ст_тариф_з ЦТП'!Q68</f>
        <v>10432.035168895502</v>
      </c>
      <c r="N42" s="1247">
        <f t="shared" si="0"/>
        <v>0</v>
      </c>
      <c r="O42" s="1247">
        <f t="shared" si="0"/>
        <v>6.1969436768558808</v>
      </c>
      <c r="P42" s="1247">
        <f t="shared" si="0"/>
        <v>-6.6567064177718294E-3</v>
      </c>
      <c r="Q42" s="1247">
        <f t="shared" si="0"/>
        <v>-6.9888534089295717</v>
      </c>
      <c r="R42" s="1247">
        <f t="shared" si="0"/>
        <v>0.79856643849780085</v>
      </c>
    </row>
    <row r="43" spans="1:18" x14ac:dyDescent="0.3">
      <c r="A43" s="109" t="s">
        <v>171</v>
      </c>
      <c r="B43" s="122" t="s">
        <v>221</v>
      </c>
      <c r="C43" s="123" t="s">
        <v>40</v>
      </c>
      <c r="D43" s="1748">
        <f>'Д 2_Т на В'!H44</f>
        <v>0</v>
      </c>
      <c r="E43" s="1748">
        <f>'Д 2_Т на В'!L44</f>
        <v>0</v>
      </c>
      <c r="F43" s="1748">
        <f>'Д 2_Т на В'!P44</f>
        <v>0</v>
      </c>
      <c r="G43" s="1748">
        <f>'Д 2_Т на В'!T44</f>
        <v>0</v>
      </c>
      <c r="H43" s="1748">
        <f>'Д 2_Т на В'!X44</f>
        <v>0</v>
      </c>
      <c r="I43" s="1265">
        <f>'ТЕ_2ст_тариф_з ЦТП'!E69</f>
        <v>0</v>
      </c>
      <c r="J43" s="1265">
        <f>'ТЕ_2ст_тариф_з ЦТП'!H69</f>
        <v>0</v>
      </c>
      <c r="K43" s="1265">
        <f>'ТЕ_2ст_тариф_з ЦТП'!K69</f>
        <v>0</v>
      </c>
      <c r="L43" s="1265">
        <f>'ТЕ_2ст_тариф_з ЦТП'!N69</f>
        <v>0</v>
      </c>
      <c r="M43" s="1265">
        <f>'ТЕ_2ст_тариф_з ЦТП'!Q69</f>
        <v>0</v>
      </c>
      <c r="N43" s="1247">
        <f t="shared" si="0"/>
        <v>0</v>
      </c>
      <c r="O43" s="1247">
        <f t="shared" si="0"/>
        <v>0</v>
      </c>
      <c r="P43" s="1247">
        <f t="shared" si="0"/>
        <v>0</v>
      </c>
      <c r="Q43" s="1247">
        <f t="shared" si="0"/>
        <v>0</v>
      </c>
      <c r="R43" s="1247">
        <f t="shared" si="0"/>
        <v>0</v>
      </c>
    </row>
    <row r="44" spans="1:18" x14ac:dyDescent="0.3">
      <c r="A44" s="109" t="s">
        <v>172</v>
      </c>
      <c r="B44" s="1749" t="s">
        <v>222</v>
      </c>
      <c r="C44" s="123" t="s">
        <v>40</v>
      </c>
      <c r="D44" s="1748">
        <f>'Д 2_Т на В'!H45</f>
        <v>7201.7534935752356</v>
      </c>
      <c r="E44" s="1748">
        <f>'Д 2_Т на В'!L45</f>
        <v>5282.8699842771603</v>
      </c>
      <c r="F44" s="1748">
        <f>'Д 2_Т на В'!P45</f>
        <v>1.5225337668231076</v>
      </c>
      <c r="G44" s="1748">
        <f>'Д 2_Т на В'!T45</f>
        <v>1433.8881926743111</v>
      </c>
      <c r="H44" s="1748">
        <f>'Д 2_Т на В'!X45</f>
        <v>483.47278285694142</v>
      </c>
      <c r="I44" s="1265">
        <f>'ТЕ_2ст_тариф_з ЦТП'!E70</f>
        <v>7201.7534935752356</v>
      </c>
      <c r="J44" s="1265">
        <f>'ТЕ_2ст_тариф_з ЦТП'!H70</f>
        <v>5282.582808838476</v>
      </c>
      <c r="K44" s="1265">
        <f>'ТЕ_2ст_тариф_з ЦТП'!K70</f>
        <v>1.5232466165681611</v>
      </c>
      <c r="L44" s="1265">
        <f>'ТЕ_2ст_тариф_з ЦТП'!N70</f>
        <v>1434.7601736959562</v>
      </c>
      <c r="M44" s="1265">
        <f>'ТЕ_2ст_тариф_з ЦТП'!Q70</f>
        <v>482.88726442423501</v>
      </c>
      <c r="N44" s="1247">
        <f t="shared" si="0"/>
        <v>0</v>
      </c>
      <c r="O44" s="1247">
        <f t="shared" si="0"/>
        <v>0.287175438684244</v>
      </c>
      <c r="P44" s="1247">
        <f t="shared" si="0"/>
        <v>-7.1284974505347876E-4</v>
      </c>
      <c r="Q44" s="1247">
        <f t="shared" si="0"/>
        <v>-0.87198102164506963</v>
      </c>
      <c r="R44" s="1247">
        <f t="shared" si="0"/>
        <v>0.58551843270640802</v>
      </c>
    </row>
    <row r="45" spans="1:18" x14ac:dyDescent="0.3">
      <c r="A45" s="113" t="s">
        <v>115</v>
      </c>
      <c r="B45" s="120" t="s">
        <v>65</v>
      </c>
      <c r="C45" s="121" t="s">
        <v>40</v>
      </c>
      <c r="D45" s="1247">
        <f>'Д 2_Т на В'!H46</f>
        <v>1296.3156288435421</v>
      </c>
      <c r="E45" s="1247">
        <f>'Д 2_Т на В'!L46</f>
        <v>950.91659716988852</v>
      </c>
      <c r="F45" s="1247">
        <f>'Д 2_Т на В'!P46</f>
        <v>0.27405607802815934</v>
      </c>
      <c r="G45" s="1247">
        <f>'Д 2_Т на В'!T46</f>
        <v>258.09987468137592</v>
      </c>
      <c r="H45" s="1247">
        <f>'Д 2_Т на В'!X46</f>
        <v>87.025100914249435</v>
      </c>
      <c r="I45" s="1265">
        <f>'ТЕ_2ст_тариф_з ЦТП'!E71</f>
        <v>1296.3156288435421</v>
      </c>
      <c r="J45" s="1265">
        <f>'ТЕ_2ст_тариф_з ЦТП'!H71</f>
        <v>950.86490559092545</v>
      </c>
      <c r="K45" s="1265">
        <f>'ТЕ_2ст_тариф_з ЦТП'!K71</f>
        <v>0.27418439098226899</v>
      </c>
      <c r="L45" s="1265">
        <f>'ТЕ_2ст_тариф_з ЦТП'!N71</f>
        <v>258.25683126527201</v>
      </c>
      <c r="M45" s="1265">
        <f>'ТЕ_2ст_тариф_з ЦТП'!Q71</f>
        <v>86.919707596362286</v>
      </c>
      <c r="N45" s="1247">
        <f t="shared" si="0"/>
        <v>0</v>
      </c>
      <c r="O45" s="1247">
        <f t="shared" si="0"/>
        <v>5.1691578963072971E-2</v>
      </c>
      <c r="P45" s="1247">
        <f t="shared" si="0"/>
        <v>-1.2831295410964394E-4</v>
      </c>
      <c r="Q45" s="1247">
        <f t="shared" si="0"/>
        <v>-0.1569565838960898</v>
      </c>
      <c r="R45" s="1247">
        <f t="shared" si="0"/>
        <v>0.1053933178871489</v>
      </c>
    </row>
    <row r="46" spans="1:18" x14ac:dyDescent="0.3">
      <c r="A46" s="113" t="s">
        <v>117</v>
      </c>
      <c r="B46" s="120" t="s">
        <v>67</v>
      </c>
      <c r="C46" s="121" t="s">
        <v>40</v>
      </c>
      <c r="D46" s="1247">
        <f>'Д 2_Т на В'!H47</f>
        <v>0</v>
      </c>
      <c r="E46" s="1247">
        <f>'Д 2_Т на В'!L47</f>
        <v>0</v>
      </c>
      <c r="F46" s="1247">
        <f>'Д 2_Т на В'!P47</f>
        <v>0</v>
      </c>
      <c r="G46" s="1247">
        <f>'Д 2_Т на В'!T47</f>
        <v>0</v>
      </c>
      <c r="H46" s="1247">
        <f>'Д 2_Т на В'!X47</f>
        <v>0</v>
      </c>
      <c r="I46" s="1265">
        <f>'ТЕ_2ст_тариф_з ЦТП'!E72</f>
        <v>0</v>
      </c>
      <c r="J46" s="1265">
        <f>'ТЕ_2ст_тариф_з ЦТП'!H72</f>
        <v>0</v>
      </c>
      <c r="K46" s="1265">
        <f>'ТЕ_2ст_тариф_з ЦТП'!K72</f>
        <v>0</v>
      </c>
      <c r="L46" s="1265">
        <f>'ТЕ_2ст_тариф_з ЦТП'!N72</f>
        <v>0</v>
      </c>
      <c r="M46" s="1265">
        <f>'ТЕ_2ст_тариф_з ЦТП'!Q72</f>
        <v>0</v>
      </c>
      <c r="N46" s="1247">
        <f t="shared" si="0"/>
        <v>0</v>
      </c>
      <c r="O46" s="1247">
        <f t="shared" si="0"/>
        <v>0</v>
      </c>
      <c r="P46" s="1247">
        <f t="shared" si="0"/>
        <v>0</v>
      </c>
      <c r="Q46" s="1247">
        <f t="shared" si="0"/>
        <v>0</v>
      </c>
      <c r="R46" s="1247">
        <f t="shared" si="0"/>
        <v>0</v>
      </c>
    </row>
    <row r="47" spans="1:18" x14ac:dyDescent="0.3">
      <c r="A47" s="113" t="s">
        <v>119</v>
      </c>
      <c r="B47" s="120" t="s">
        <v>69</v>
      </c>
      <c r="C47" s="121" t="s">
        <v>40</v>
      </c>
      <c r="D47" s="1247">
        <f>'Д 2_Т на В'!H48</f>
        <v>0</v>
      </c>
      <c r="E47" s="1247">
        <f>'Д 2_Т на В'!L48</f>
        <v>0</v>
      </c>
      <c r="F47" s="1247">
        <f>'Д 2_Т на В'!P48</f>
        <v>0</v>
      </c>
      <c r="G47" s="1247">
        <f>'Д 2_Т на В'!T48</f>
        <v>0</v>
      </c>
      <c r="H47" s="1247">
        <f>'Д 2_Т на В'!X48</f>
        <v>0</v>
      </c>
      <c r="I47" s="1265">
        <f>'ТЕ_2ст_тариф_з ЦТП'!E73</f>
        <v>0</v>
      </c>
      <c r="J47" s="1265">
        <f>'ТЕ_2ст_тариф_з ЦТП'!H73</f>
        <v>0</v>
      </c>
      <c r="K47" s="1265">
        <f>'ТЕ_2ст_тариф_з ЦТП'!K73</f>
        <v>0</v>
      </c>
      <c r="L47" s="1265">
        <f>'ТЕ_2ст_тариф_з ЦТП'!N73</f>
        <v>0</v>
      </c>
      <c r="M47" s="1265">
        <f>'ТЕ_2ст_тариф_з ЦТП'!Q73</f>
        <v>0</v>
      </c>
      <c r="N47" s="1247">
        <f t="shared" si="0"/>
        <v>0</v>
      </c>
      <c r="O47" s="1247">
        <f t="shared" si="0"/>
        <v>0</v>
      </c>
      <c r="P47" s="1247">
        <f t="shared" si="0"/>
        <v>0</v>
      </c>
      <c r="Q47" s="1247">
        <f t="shared" si="0"/>
        <v>0</v>
      </c>
      <c r="R47" s="1247">
        <f t="shared" si="0"/>
        <v>0</v>
      </c>
    </row>
    <row r="48" spans="1:18" x14ac:dyDescent="0.3">
      <c r="A48" s="113" t="s">
        <v>121</v>
      </c>
      <c r="B48" s="120" t="s">
        <v>71</v>
      </c>
      <c r="C48" s="121" t="s">
        <v>40</v>
      </c>
      <c r="D48" s="1247">
        <f>'Д 2_Т на В'!H49</f>
        <v>0</v>
      </c>
      <c r="E48" s="1247">
        <f>'Д 2_Т на В'!L49</f>
        <v>0</v>
      </c>
      <c r="F48" s="1247">
        <f>'Д 2_Т на В'!P49</f>
        <v>0</v>
      </c>
      <c r="G48" s="1247">
        <f>'Д 2_Т на В'!T49</f>
        <v>0</v>
      </c>
      <c r="H48" s="1247">
        <f>'Д 2_Т на В'!X49</f>
        <v>0</v>
      </c>
      <c r="I48" s="1265">
        <f>'ТЕ_2ст_тариф_з ЦТП'!E74</f>
        <v>0</v>
      </c>
      <c r="J48" s="1265">
        <f>'ТЕ_2ст_тариф_з ЦТП'!H74</f>
        <v>0</v>
      </c>
      <c r="K48" s="1265">
        <f>'ТЕ_2ст_тариф_з ЦТП'!K74</f>
        <v>0</v>
      </c>
      <c r="L48" s="1265">
        <f>'ТЕ_2ст_тариф_з ЦТП'!N74</f>
        <v>0</v>
      </c>
      <c r="M48" s="1265">
        <f>'ТЕ_2ст_тариф_з ЦТП'!Q74</f>
        <v>0</v>
      </c>
      <c r="N48" s="1247">
        <f t="shared" si="0"/>
        <v>0</v>
      </c>
      <c r="O48" s="1247">
        <f t="shared" si="0"/>
        <v>0</v>
      </c>
      <c r="P48" s="1247">
        <f t="shared" si="0"/>
        <v>0</v>
      </c>
      <c r="Q48" s="1247">
        <f t="shared" si="0"/>
        <v>0</v>
      </c>
      <c r="R48" s="1247">
        <f t="shared" si="0"/>
        <v>0</v>
      </c>
    </row>
    <row r="49" spans="1:18" x14ac:dyDescent="0.3">
      <c r="A49" s="113" t="s">
        <v>223</v>
      </c>
      <c r="B49" s="120" t="s">
        <v>86</v>
      </c>
      <c r="C49" s="121" t="s">
        <v>40</v>
      </c>
      <c r="D49" s="1247">
        <f>'Д 2_Т на В'!H50</f>
        <v>5905.4378647316935</v>
      </c>
      <c r="E49" s="1247">
        <f>'Д 2_Т на В'!L50</f>
        <v>4331.9533871072717</v>
      </c>
      <c r="F49" s="1247">
        <f>'Д 2_Т на В'!P50</f>
        <v>1.2484776887949482</v>
      </c>
      <c r="G49" s="1247">
        <f>'Д 2_Т на В'!T50</f>
        <v>1175.7883179929352</v>
      </c>
      <c r="H49" s="1247">
        <f>'Д 2_Т на В'!X50</f>
        <v>396.44768194269199</v>
      </c>
      <c r="I49" s="1265">
        <f>'ТЕ_2ст_тариф_з ЦТП'!E75</f>
        <v>5905.4378647316935</v>
      </c>
      <c r="J49" s="1265">
        <f>'ТЕ_2ст_тариф_з ЦТП'!H75</f>
        <v>4331.7179032475506</v>
      </c>
      <c r="K49" s="1265">
        <f>'ТЕ_2ст_тариф_з ЦТП'!K75</f>
        <v>1.2490622255858921</v>
      </c>
      <c r="L49" s="1265">
        <f>'ТЕ_2ст_тариф_з ЦТП'!N75</f>
        <v>1176.5033424306841</v>
      </c>
      <c r="M49" s="1265">
        <f>'ТЕ_2ст_тариф_з ЦТП'!Q75</f>
        <v>395.96755682787273</v>
      </c>
      <c r="N49" s="1247">
        <f t="shared" si="0"/>
        <v>0</v>
      </c>
      <c r="O49" s="1247">
        <f t="shared" si="0"/>
        <v>0.23548385972117103</v>
      </c>
      <c r="P49" s="1247">
        <f t="shared" si="0"/>
        <v>-5.8453679094383482E-4</v>
      </c>
      <c r="Q49" s="1247">
        <f t="shared" si="0"/>
        <v>-0.71502443774897984</v>
      </c>
      <c r="R49" s="1247">
        <f t="shared" si="0"/>
        <v>0.48012511481925912</v>
      </c>
    </row>
    <row r="50" spans="1:18" ht="20.399999999999999" x14ac:dyDescent="0.3">
      <c r="A50" s="109" t="s">
        <v>187</v>
      </c>
      <c r="B50" s="122" t="s">
        <v>73</v>
      </c>
      <c r="C50" s="123" t="s">
        <v>40</v>
      </c>
      <c r="D50" s="1748">
        <f>'Д 2_Т на В'!H51</f>
        <v>162608.01309177768</v>
      </c>
      <c r="E50" s="1748">
        <f>'Д 2_Т на В'!L51</f>
        <v>119281.64332920536</v>
      </c>
      <c r="F50" s="1748">
        <f>'Д 2_Т на В'!P51</f>
        <v>34.3772097877428</v>
      </c>
      <c r="G50" s="1748">
        <f>'Д 2_Т на В'!T51</f>
        <v>32375.686034593662</v>
      </c>
      <c r="H50" s="1748">
        <f>'Д 2_Т на В'!X51</f>
        <v>10916.306518190941</v>
      </c>
      <c r="I50" s="1265">
        <f>'ТЕ_2ст_тариф_з ЦТП'!E76</f>
        <v>162608.01309177774</v>
      </c>
      <c r="J50" s="1265">
        <f>'ТЕ_2ст_тариф_з ЦТП'!H76</f>
        <v>119275.15921008981</v>
      </c>
      <c r="K50" s="1265">
        <f>'ТЕ_2ст_тариф_з ЦТП'!K76</f>
        <v>34.384579343905621</v>
      </c>
      <c r="L50" s="1265">
        <f>'ТЕ_2ст_тариф_з ЦТП'!N76</f>
        <v>32383.546869024234</v>
      </c>
      <c r="M50" s="1265">
        <f>'ТЕ_2ст_тариф_з ЦТП'!Q76</f>
        <v>10914.922433319736</v>
      </c>
      <c r="N50" s="1247">
        <f t="shared" si="0"/>
        <v>0</v>
      </c>
      <c r="O50" s="1247">
        <f t="shared" si="0"/>
        <v>6.4841191155428533</v>
      </c>
      <c r="P50" s="1247">
        <f t="shared" si="0"/>
        <v>-7.3695561628213113E-3</v>
      </c>
      <c r="Q50" s="1247">
        <f t="shared" si="0"/>
        <v>-7.8608344305721403</v>
      </c>
      <c r="R50" s="1247">
        <f t="shared" si="0"/>
        <v>1.3840848712043226</v>
      </c>
    </row>
    <row r="51" spans="1:18" x14ac:dyDescent="0.3">
      <c r="A51" s="109" t="s">
        <v>188</v>
      </c>
      <c r="B51" s="122" t="s">
        <v>225</v>
      </c>
      <c r="C51" s="123" t="s">
        <v>74</v>
      </c>
      <c r="D51" s="1247">
        <f>'Д 2_Т на В'!H52</f>
        <v>1496.2706792171982</v>
      </c>
      <c r="E51" s="1247">
        <f>'Д 2_Т на В'!L52</f>
        <v>1321.3719506169798</v>
      </c>
      <c r="F51" s="1247">
        <f>'Д 2_Т на В'!P52</f>
        <v>2354.1214482265309</v>
      </c>
      <c r="G51" s="1247">
        <f>'Д 2_Т на В'!T52</f>
        <v>2354.1214482265323</v>
      </c>
      <c r="H51" s="1247">
        <f>'Д 2_Т на В'!X52</f>
        <v>2354.1214482265318</v>
      </c>
      <c r="I51" s="1265">
        <f>'ТЕ_2ст_тариф_з ЦТП'!E77</f>
        <v>1496.27</v>
      </c>
      <c r="J51" s="1265">
        <f>'ТЕ_2ст_тариф_з ЦТП'!H77</f>
        <v>1321.37</v>
      </c>
      <c r="K51" s="1265">
        <f>'ТЕ_2ст_тариф_з ЦТП'!K77</f>
        <v>0</v>
      </c>
      <c r="L51" s="1265">
        <f>'ТЕ_2ст_тариф_з ЦТП'!N77</f>
        <v>2354.12</v>
      </c>
      <c r="M51" s="1265">
        <f>'ТЕ_2ст_тариф_з ЦТП'!Q77</f>
        <v>2354.12</v>
      </c>
      <c r="N51" s="1247">
        <f t="shared" si="0"/>
        <v>6.7921719823971216E-4</v>
      </c>
      <c r="O51" s="1247">
        <f t="shared" si="0"/>
        <v>1.9506169799115014E-3</v>
      </c>
      <c r="P51" s="1247">
        <f t="shared" si="0"/>
        <v>2354.1214482265309</v>
      </c>
      <c r="Q51" s="1247">
        <f t="shared" si="0"/>
        <v>1.4482265323749743E-3</v>
      </c>
      <c r="R51" s="1247">
        <f t="shared" si="0"/>
        <v>1.448226531920227E-3</v>
      </c>
    </row>
    <row r="52" spans="1:18" x14ac:dyDescent="0.3">
      <c r="A52" s="113" t="s">
        <v>88</v>
      </c>
      <c r="B52" s="5" t="s">
        <v>226</v>
      </c>
      <c r="C52" s="123" t="s">
        <v>74</v>
      </c>
      <c r="D52" s="1247">
        <f>'Д 2_Т на В'!H53</f>
        <v>1093.2024703992736</v>
      </c>
      <c r="E52" s="1247">
        <f>'Д 2_Т на В'!L53</f>
        <v>926.04983933612777</v>
      </c>
      <c r="F52" s="1247">
        <f>'Д 2_Т на В'!P53</f>
        <v>1913.0598487065622</v>
      </c>
      <c r="G52" s="1247">
        <f>'Д 2_Т на В'!T53</f>
        <v>1913.059848706562</v>
      </c>
      <c r="H52" s="1247">
        <f>'Д 2_Т на В'!X53</f>
        <v>1913.0598487065627</v>
      </c>
      <c r="I52" s="1265"/>
      <c r="J52" s="24"/>
      <c r="K52" s="24"/>
      <c r="L52" s="24"/>
      <c r="M52" s="24"/>
      <c r="N52" s="24"/>
      <c r="O52" s="24"/>
      <c r="P52" s="24"/>
      <c r="Q52" s="24"/>
      <c r="R52" s="24"/>
    </row>
    <row r="53" spans="1:18" x14ac:dyDescent="0.3">
      <c r="A53" s="113" t="s">
        <v>90</v>
      </c>
      <c r="B53" s="5" t="s">
        <v>227</v>
      </c>
      <c r="C53" s="123" t="s">
        <v>74</v>
      </c>
      <c r="D53" s="1247">
        <f>'Д 2_Т на В'!H54</f>
        <v>336.79981043767577</v>
      </c>
      <c r="E53" s="1247">
        <f>'Д 2_Т на В'!L54</f>
        <v>336.79981043767583</v>
      </c>
      <c r="F53" s="1247">
        <f>'Д 2_Т на В'!P54</f>
        <v>336.79981043767452</v>
      </c>
      <c r="G53" s="1247">
        <f>'Д 2_Т на В'!T54</f>
        <v>336.7998104376764</v>
      </c>
      <c r="H53" s="1247">
        <f>'Д 2_Т на В'!X54</f>
        <v>336.79981043767572</v>
      </c>
      <c r="I53" s="1265"/>
      <c r="J53" s="24"/>
      <c r="K53" s="24"/>
      <c r="L53" s="24"/>
      <c r="M53" s="24"/>
      <c r="N53" s="24"/>
      <c r="O53" s="24"/>
      <c r="P53" s="24"/>
      <c r="Q53" s="24"/>
      <c r="R53" s="24"/>
    </row>
    <row r="54" spans="1:18" x14ac:dyDescent="0.3">
      <c r="A54" s="1742" t="s">
        <v>189</v>
      </c>
      <c r="B54" s="1750" t="s">
        <v>574</v>
      </c>
      <c r="C54" s="123" t="s">
        <v>22</v>
      </c>
      <c r="D54" s="1247">
        <f>'Д 2_Т на В'!H55</f>
        <v>98795.806692118887</v>
      </c>
      <c r="E54" s="1247">
        <f>'Д 2_Т на В'!L55</f>
        <v>82049.34254390448</v>
      </c>
      <c r="F54" s="1247">
        <f>'Д 2_Т на В'!P55</f>
        <v>13.291675959893333</v>
      </c>
      <c r="G54" s="1247">
        <f>'Д 2_Т на В'!T55</f>
        <v>12519.553368115807</v>
      </c>
      <c r="H54" s="1247">
        <f>'Д 2_Т на В'!X55</f>
        <v>4213.6191041387128</v>
      </c>
      <c r="I54" s="1265"/>
      <c r="J54" s="24"/>
      <c r="K54" s="24"/>
      <c r="L54" s="24"/>
      <c r="M54" s="24"/>
      <c r="N54" s="24"/>
      <c r="O54" s="24"/>
      <c r="P54" s="24"/>
      <c r="Q54" s="24"/>
      <c r="R54" s="24"/>
    </row>
    <row r="55" spans="1:18" x14ac:dyDescent="0.3">
      <c r="A55" s="1742" t="s">
        <v>190</v>
      </c>
      <c r="B55" s="763" t="s">
        <v>76</v>
      </c>
      <c r="C55" s="123" t="s">
        <v>22</v>
      </c>
      <c r="D55" s="1247">
        <f>'Д 2_Т на В'!H56</f>
        <v>0</v>
      </c>
      <c r="E55" s="1247">
        <f>'Д 2_Т на В'!L56</f>
        <v>0</v>
      </c>
      <c r="F55" s="1247">
        <f>'Д 2_Т на В'!P56</f>
        <v>0</v>
      </c>
      <c r="G55" s="1247">
        <f>'Д 2_Т на В'!T56</f>
        <v>0</v>
      </c>
      <c r="H55" s="1247">
        <f>'Д 2_Т на В'!X56</f>
        <v>0</v>
      </c>
      <c r="I55" s="1265"/>
      <c r="J55" s="24"/>
      <c r="K55" s="24"/>
      <c r="L55" s="24"/>
      <c r="M55" s="24"/>
      <c r="N55" s="24"/>
      <c r="O55" s="24"/>
      <c r="P55" s="24"/>
      <c r="Q55" s="24"/>
      <c r="R55" s="24"/>
    </row>
    <row r="56" spans="1:18" x14ac:dyDescent="0.3">
      <c r="A56" s="1742" t="s">
        <v>191</v>
      </c>
      <c r="B56" s="763" t="s">
        <v>77</v>
      </c>
      <c r="C56" s="123" t="s">
        <v>74</v>
      </c>
      <c r="D56" s="1247">
        <f>'Д 2_Т на В'!H57</f>
        <v>0</v>
      </c>
      <c r="E56" s="1247">
        <f>'Д 2_Т на В'!L57</f>
        <v>0</v>
      </c>
      <c r="F56" s="1247">
        <f>'Д 2_Т на В'!P57</f>
        <v>0</v>
      </c>
      <c r="G56" s="1247">
        <f>'Д 2_Т на В'!T57</f>
        <v>0</v>
      </c>
      <c r="H56" s="1247">
        <f>'Д 2_Т на В'!X57</f>
        <v>0</v>
      </c>
      <c r="I56" s="1265"/>
      <c r="J56" s="24"/>
      <c r="K56" s="24"/>
      <c r="L56" s="24"/>
      <c r="M56" s="24"/>
      <c r="N56" s="24"/>
      <c r="O56" s="24"/>
      <c r="P56" s="24"/>
      <c r="Q56" s="24"/>
      <c r="R56" s="24"/>
    </row>
    <row r="57" spans="1:18" ht="20.399999999999999" x14ac:dyDescent="0.3">
      <c r="A57" s="1742" t="s">
        <v>192</v>
      </c>
      <c r="B57" s="764" t="s">
        <v>2031</v>
      </c>
      <c r="C57" s="123" t="s">
        <v>22</v>
      </c>
      <c r="D57" s="1247">
        <f>'Д 2_Т на В'!H58</f>
        <v>108675.53267624618</v>
      </c>
      <c r="E57" s="1247">
        <f>'Д 2_Т на В'!L58</f>
        <v>90271.057497103626</v>
      </c>
      <c r="F57" s="1247">
        <f>'Д 2_Т на В'!P58</f>
        <v>14.602989074179138</v>
      </c>
      <c r="G57" s="1247">
        <f>'Д 2_Т на В'!T58</f>
        <v>13752.767963175285</v>
      </c>
      <c r="H57" s="1247">
        <f>'Д 2_Т на В'!X58</f>
        <v>4637.1042268930923</v>
      </c>
      <c r="I57" s="1265"/>
      <c r="J57" s="24"/>
      <c r="K57" s="24"/>
      <c r="L57" s="24"/>
      <c r="M57" s="24"/>
      <c r="N57" s="24"/>
      <c r="O57" s="24"/>
      <c r="P57" s="24"/>
      <c r="Q57" s="24"/>
      <c r="R57" s="24"/>
    </row>
    <row r="58" spans="1:18" ht="21" thickBot="1" x14ac:dyDescent="0.35">
      <c r="A58" s="130" t="s">
        <v>193</v>
      </c>
      <c r="B58" s="1260" t="s">
        <v>228</v>
      </c>
      <c r="C58" s="123" t="s">
        <v>74</v>
      </c>
      <c r="D58" s="1247">
        <f>'Д 2_Т на В'!H59</f>
        <v>1430.0022808369492</v>
      </c>
      <c r="E58" s="1247">
        <f>'Д 2_Т на В'!L59</f>
        <v>1262.8496497738035</v>
      </c>
      <c r="F58" s="1247">
        <f>'Д 2_Т на В'!P59</f>
        <v>2249.859659144237</v>
      </c>
      <c r="G58" s="1247">
        <f>'Д 2_Т на В'!T59</f>
        <v>2249.8596591442388</v>
      </c>
      <c r="H58" s="1247">
        <f>'Д 2_Т на В'!X59</f>
        <v>2249.8596591442383</v>
      </c>
      <c r="I58" s="1265"/>
      <c r="J58" s="24"/>
      <c r="K58" s="24"/>
      <c r="L58" s="24"/>
      <c r="M58" s="24"/>
      <c r="N58" s="24"/>
      <c r="O58" s="24"/>
      <c r="P58" s="24"/>
      <c r="Q58" s="24"/>
      <c r="R58" s="24"/>
    </row>
    <row r="59" spans="1:18" x14ac:dyDescent="0.3">
      <c r="A59" s="131"/>
      <c r="B59" s="53"/>
      <c r="C59" s="132"/>
    </row>
    <row r="60" spans="1:18" x14ac:dyDescent="0.3">
      <c r="A60" s="134"/>
      <c r="B60" s="5756" t="s">
        <v>2365</v>
      </c>
      <c r="C60" s="5756"/>
      <c r="D60" s="5756"/>
      <c r="E60" s="5756"/>
      <c r="F60" s="5756"/>
      <c r="G60" s="5756"/>
      <c r="H60" s="5756"/>
      <c r="I60" s="5756"/>
      <c r="J60" s="5756"/>
      <c r="K60" s="5756"/>
      <c r="L60" s="5756"/>
      <c r="M60" s="5756"/>
      <c r="N60" s="5756"/>
      <c r="O60" s="5756"/>
      <c r="P60" s="5756"/>
      <c r="Q60" s="5756"/>
      <c r="R60" s="5756"/>
    </row>
    <row r="61" spans="1:18" x14ac:dyDescent="0.3">
      <c r="B61"/>
      <c r="C61"/>
    </row>
    <row r="62" spans="1:18" x14ac:dyDescent="0.3">
      <c r="B62" s="1237"/>
      <c r="C62" s="1237"/>
    </row>
    <row r="63" spans="1:18" ht="15.6" x14ac:dyDescent="0.3">
      <c r="A63" s="135"/>
      <c r="B63" s="151">
        <f>'Вхідні дані'!A13</f>
        <v>0</v>
      </c>
      <c r="C63" s="136"/>
    </row>
    <row r="64" spans="1:18" ht="15.6" x14ac:dyDescent="0.3">
      <c r="A64" s="135"/>
      <c r="B64" s="1236" t="s">
        <v>232</v>
      </c>
      <c r="C64" s="136"/>
    </row>
    <row r="65" spans="1:3" x14ac:dyDescent="0.3">
      <c r="B65"/>
      <c r="C65"/>
    </row>
    <row r="66" spans="1:3" x14ac:dyDescent="0.3">
      <c r="B66"/>
      <c r="C66"/>
    </row>
    <row r="67" spans="1:3" x14ac:dyDescent="0.3">
      <c r="A67" s="102"/>
      <c r="B67" s="783" t="s">
        <v>1976</v>
      </c>
      <c r="C67" s="783"/>
    </row>
    <row r="68" spans="1:3" x14ac:dyDescent="0.3">
      <c r="B68"/>
      <c r="C68"/>
    </row>
    <row r="69" spans="1:3" x14ac:dyDescent="0.3">
      <c r="B69"/>
      <c r="C69"/>
    </row>
    <row r="70" spans="1:3" x14ac:dyDescent="0.3">
      <c r="B70"/>
      <c r="C70"/>
    </row>
    <row r="71" spans="1:3" x14ac:dyDescent="0.3">
      <c r="B71"/>
      <c r="C71"/>
    </row>
    <row r="72" spans="1:3" x14ac:dyDescent="0.3">
      <c r="B72"/>
      <c r="C72"/>
    </row>
    <row r="73" spans="1:3" x14ac:dyDescent="0.3">
      <c r="B73"/>
      <c r="C73"/>
    </row>
    <row r="74" spans="1:3" x14ac:dyDescent="0.3">
      <c r="B74"/>
      <c r="C74"/>
    </row>
    <row r="75" spans="1:3" x14ac:dyDescent="0.3">
      <c r="B75"/>
      <c r="C75"/>
    </row>
    <row r="76" spans="1:3" x14ac:dyDescent="0.3">
      <c r="B76"/>
      <c r="C76"/>
    </row>
    <row r="77" spans="1:3" x14ac:dyDescent="0.3">
      <c r="B77"/>
      <c r="C77"/>
    </row>
    <row r="78" spans="1:3" x14ac:dyDescent="0.3">
      <c r="B78"/>
      <c r="C78"/>
    </row>
    <row r="79" spans="1:3" x14ac:dyDescent="0.3">
      <c r="B79"/>
      <c r="C79"/>
    </row>
    <row r="80" spans="1:3" x14ac:dyDescent="0.3">
      <c r="B80"/>
      <c r="C80"/>
    </row>
    <row r="81" spans="2:3" x14ac:dyDescent="0.3">
      <c r="B81"/>
      <c r="C81"/>
    </row>
    <row r="82" spans="2:3" x14ac:dyDescent="0.3">
      <c r="B82"/>
      <c r="C82"/>
    </row>
    <row r="83" spans="2:3" x14ac:dyDescent="0.3">
      <c r="B83"/>
      <c r="C83"/>
    </row>
  </sheetData>
  <mergeCells count="14">
    <mergeCell ref="J7:M7"/>
    <mergeCell ref="N7:N8"/>
    <mergeCell ref="O7:R7"/>
    <mergeCell ref="B60:R60"/>
    <mergeCell ref="A3:R3"/>
    <mergeCell ref="A6:A9"/>
    <mergeCell ref="B6:B9"/>
    <mergeCell ref="C6:C9"/>
    <mergeCell ref="D6:H6"/>
    <mergeCell ref="I6:M6"/>
    <mergeCell ref="N6:R6"/>
    <mergeCell ref="D7:D8"/>
    <mergeCell ref="E7:H7"/>
    <mergeCell ref="I7:I8"/>
  </mergeCells>
  <conditionalFormatting sqref="B1:B2">
    <cfRule type="containsText" dxfId="3" priority="1" operator="containsText" text="Для корек">
      <formula>NOT(ISERROR(SEARCH("Для корек",B1)))</formula>
    </cfRule>
  </conditionalFormatting>
  <pageMargins left="0.7" right="0.7" top="0.75" bottom="0.75" header="0.3" footer="0.3"/>
</worksheet>
</file>

<file path=xl/worksheets/sheet9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A00-000000000000}">
  <sheetPr codeName="Лист87"/>
  <dimension ref="A1:AK41"/>
  <sheetViews>
    <sheetView workbookViewId="0">
      <selection activeCell="R23" sqref="R23"/>
    </sheetView>
  </sheetViews>
  <sheetFormatPr defaultColWidth="8.88671875" defaultRowHeight="13.8" x14ac:dyDescent="0.25"/>
  <cols>
    <col min="1" max="1" width="3.5546875" style="10" customWidth="1"/>
    <col min="2" max="2" width="22.44140625" style="10" customWidth="1"/>
    <col min="3" max="3" width="7.33203125" style="10" customWidth="1"/>
    <col min="4" max="5" width="8.88671875" style="15"/>
    <col min="6" max="6" width="8.88671875" style="10"/>
    <col min="7" max="7" width="6.33203125" style="10" customWidth="1"/>
    <col min="8" max="9" width="8.6640625" style="10" customWidth="1"/>
    <col min="10" max="10" width="8.88671875" style="15"/>
    <col min="11" max="11" width="8.88671875" style="10"/>
    <col min="12" max="12" width="7.33203125" style="10" customWidth="1"/>
    <col min="13" max="13" width="6.33203125" style="10" customWidth="1"/>
    <col min="14" max="14" width="7.109375" style="10" customWidth="1"/>
    <col min="15" max="15" width="6.5546875" style="10" customWidth="1"/>
    <col min="16" max="16" width="8.88671875" style="10"/>
    <col min="17" max="17" width="7.88671875" style="10" customWidth="1"/>
    <col min="18" max="18" width="5.6640625" style="10" customWidth="1"/>
    <col min="19" max="19" width="8" style="10" customWidth="1"/>
    <col min="20" max="20" width="6.6640625" style="10" customWidth="1"/>
    <col min="21" max="21" width="6.33203125" style="15" customWidth="1"/>
    <col min="22" max="22" width="6.6640625" style="10" customWidth="1"/>
    <col min="23" max="23" width="6.33203125" style="10" customWidth="1"/>
    <col min="24" max="24" width="7.88671875" style="10" customWidth="1"/>
    <col min="25" max="25" width="5" style="10" customWidth="1"/>
    <col min="26" max="16384" width="8.88671875" style="10"/>
  </cols>
  <sheetData>
    <row r="1" spans="1:25" x14ac:dyDescent="0.25">
      <c r="A1" s="5746" t="s">
        <v>2366</v>
      </c>
      <c r="B1" s="5746"/>
      <c r="C1" s="5746"/>
      <c r="D1" s="5746"/>
      <c r="E1" s="5746"/>
      <c r="F1" s="5746"/>
      <c r="G1" s="5746"/>
      <c r="H1" s="5746"/>
      <c r="I1" s="5746"/>
      <c r="J1" s="5746"/>
      <c r="K1" s="5746"/>
      <c r="L1" s="5746"/>
      <c r="M1" s="5746"/>
      <c r="N1" s="5746"/>
      <c r="O1" s="5746"/>
      <c r="P1" s="5746"/>
      <c r="Q1" s="5746"/>
      <c r="R1" s="5746"/>
      <c r="S1" s="5746"/>
      <c r="T1" s="5746"/>
      <c r="U1" s="5746"/>
      <c r="V1" s="5746"/>
      <c r="W1" s="5746"/>
      <c r="X1" s="5746"/>
      <c r="Y1" s="5746"/>
    </row>
    <row r="2" spans="1:25" x14ac:dyDescent="0.25">
      <c r="A2" s="1249"/>
      <c r="B2" s="1249"/>
      <c r="C2" s="1250"/>
      <c r="D2" s="5769" t="s">
        <v>2367</v>
      </c>
      <c r="E2" s="5746" t="s">
        <v>1894</v>
      </c>
      <c r="F2" s="5746"/>
      <c r="G2" s="5746"/>
      <c r="H2" s="5746"/>
      <c r="I2" s="5746"/>
      <c r="J2" s="5746" t="s">
        <v>1895</v>
      </c>
      <c r="K2" s="5746"/>
      <c r="L2" s="5746"/>
      <c r="M2" s="5746"/>
      <c r="N2" s="5746"/>
      <c r="O2" s="5746"/>
      <c r="P2" s="5746"/>
      <c r="Q2" s="5746"/>
      <c r="R2" s="5746"/>
      <c r="S2" s="5746"/>
      <c r="T2" s="5746"/>
      <c r="U2" s="5746" t="s">
        <v>2233</v>
      </c>
      <c r="V2" s="5746"/>
      <c r="W2" s="5746"/>
      <c r="X2" s="5746"/>
      <c r="Y2" s="5746"/>
    </row>
    <row r="3" spans="1:25" x14ac:dyDescent="0.25">
      <c r="A3" s="1249"/>
      <c r="B3" s="1249"/>
      <c r="C3" s="1250"/>
      <c r="D3" s="5769"/>
      <c r="E3" s="1238" t="s">
        <v>1438</v>
      </c>
      <c r="F3" s="12" t="s">
        <v>2368</v>
      </c>
      <c r="G3" s="12" t="s">
        <v>2369</v>
      </c>
      <c r="H3" s="12" t="s">
        <v>1027</v>
      </c>
      <c r="I3" s="12" t="s">
        <v>2300</v>
      </c>
      <c r="J3" s="1238" t="s">
        <v>1438</v>
      </c>
      <c r="K3" s="12" t="s">
        <v>644</v>
      </c>
      <c r="L3" s="12" t="s">
        <v>2368</v>
      </c>
      <c r="M3" s="12" t="s">
        <v>2369</v>
      </c>
      <c r="N3" s="12" t="s">
        <v>1027</v>
      </c>
      <c r="O3" s="12" t="s">
        <v>2300</v>
      </c>
      <c r="P3" s="12" t="s">
        <v>643</v>
      </c>
      <c r="Q3" s="12" t="s">
        <v>2368</v>
      </c>
      <c r="R3" s="12" t="s">
        <v>2369</v>
      </c>
      <c r="S3" s="12" t="s">
        <v>1027</v>
      </c>
      <c r="T3" s="12" t="s">
        <v>2300</v>
      </c>
      <c r="U3" s="1238" t="s">
        <v>1438</v>
      </c>
      <c r="V3" s="12" t="s">
        <v>2368</v>
      </c>
      <c r="W3" s="12" t="s">
        <v>2369</v>
      </c>
      <c r="X3" s="12" t="s">
        <v>1027</v>
      </c>
      <c r="Y3" s="12" t="s">
        <v>2300</v>
      </c>
    </row>
    <row r="4" spans="1:25" ht="27" customHeight="1" x14ac:dyDescent="0.25">
      <c r="A4" s="1251" t="s">
        <v>172</v>
      </c>
      <c r="B4" s="1260" t="s">
        <v>222</v>
      </c>
      <c r="C4" s="766" t="s">
        <v>40</v>
      </c>
      <c r="D4" s="1252">
        <f t="shared" ref="D4:D9" si="0">E4+J4+U4</f>
        <v>10069.745502548391</v>
      </c>
      <c r="E4" s="1253">
        <f t="shared" ref="E4:E9" si="1">SUM(F4:I4)</f>
        <v>7201.7534935752356</v>
      </c>
      <c r="F4" s="787">
        <f>'Д 2_Т на В'!L45</f>
        <v>5282.8699842771603</v>
      </c>
      <c r="G4" s="787">
        <f>'Д 2_Т на В'!P45</f>
        <v>1.5225337668231076</v>
      </c>
      <c r="H4" s="787">
        <f>'Д 2_Т на В'!T45</f>
        <v>1433.8881926743111</v>
      </c>
      <c r="I4" s="787">
        <f>'Д 2_Т на В'!X45</f>
        <v>483.47278285694142</v>
      </c>
      <c r="J4" s="1253">
        <f t="shared" ref="J4:J9" si="2">K4+P4</f>
        <v>2777.0494297919849</v>
      </c>
      <c r="K4" s="1253">
        <f>'Д 3_Т на Т з ЦТП'!G39</f>
        <v>705.49170932155926</v>
      </c>
      <c r="L4" s="787">
        <f>'Д 3_Т на Т з ЦТП'!H39</f>
        <v>574.77153604604518</v>
      </c>
      <c r="M4" s="787">
        <f>'Д 3_Т на Т з ЦТП'!I39</f>
        <v>0</v>
      </c>
      <c r="N4" s="787">
        <f>'Д 3_Т на Т з ЦТП'!J39</f>
        <v>94.545002852035765</v>
      </c>
      <c r="O4" s="787">
        <f>'Д 3_Т на Т з ЦТП'!K39</f>
        <v>36.175170423478228</v>
      </c>
      <c r="P4" s="1253">
        <f>'Д 3.1_Т на Т без ЦТП'!G39</f>
        <v>2071.5577204704259</v>
      </c>
      <c r="Q4" s="787">
        <f>'Д 3.1_Т на Т без ЦТП'!H39</f>
        <v>1669.686966899955</v>
      </c>
      <c r="R4" s="787">
        <f>'Д 3.1_Т на Т без ЦТП'!I39</f>
        <v>0.38244708826631185</v>
      </c>
      <c r="S4" s="787">
        <f>'Д 3.1_Т на Т без ЦТП'!J39</f>
        <v>302.38217548484789</v>
      </c>
      <c r="T4" s="787">
        <f>'Д 3.1_Т на Т без ЦТП'!K39</f>
        <v>99.106130997356729</v>
      </c>
      <c r="U4" s="1253">
        <f>'Д 4_Т на П'!G34</f>
        <v>90.942579181170828</v>
      </c>
      <c r="V4" s="787"/>
      <c r="W4" s="787"/>
      <c r="X4" s="787"/>
      <c r="Y4" s="787"/>
    </row>
    <row r="5" spans="1:25" ht="15.6" customHeight="1" x14ac:dyDescent="0.25">
      <c r="A5" s="1254" t="s">
        <v>115</v>
      </c>
      <c r="B5" s="120" t="s">
        <v>65</v>
      </c>
      <c r="C5" s="128" t="s">
        <v>40</v>
      </c>
      <c r="D5" s="1252">
        <f t="shared" si="0"/>
        <v>1812.5541904587101</v>
      </c>
      <c r="E5" s="1253">
        <f t="shared" si="1"/>
        <v>1296.3156288435421</v>
      </c>
      <c r="F5" s="787">
        <f>'Д 2_Т на В'!L46</f>
        <v>950.91659716988852</v>
      </c>
      <c r="G5" s="787">
        <f>'Д 2_Т на В'!P46</f>
        <v>0.27405607802815934</v>
      </c>
      <c r="H5" s="787">
        <f>'Д 2_Т на В'!T46</f>
        <v>258.09987468137592</v>
      </c>
      <c r="I5" s="787">
        <f>'Д 2_Т на В'!X46</f>
        <v>87.025100914249435</v>
      </c>
      <c r="J5" s="1253">
        <f t="shared" si="2"/>
        <v>499.86889736255728</v>
      </c>
      <c r="K5" s="1253">
        <f>'Д 3_Т на Т з ЦТП'!G40</f>
        <v>126.98850767788065</v>
      </c>
      <c r="L5" s="787">
        <f>'Д 3_Т на Т з ЦТП'!H40</f>
        <v>103.45887648828813</v>
      </c>
      <c r="M5" s="787">
        <f>'Д 3_Т на Т з ЦТП'!I40</f>
        <v>0</v>
      </c>
      <c r="N5" s="787">
        <f>'Д 3_Т на Т з ЦТП'!J40</f>
        <v>17.018100513366434</v>
      </c>
      <c r="O5" s="787">
        <f>'Д 3_Т на Т з ЦТП'!K40</f>
        <v>6.5115306762260765</v>
      </c>
      <c r="P5" s="1253">
        <f>'Д 3.1_Т на Т без ЦТП'!G40</f>
        <v>372.88038968467663</v>
      </c>
      <c r="Q5" s="787">
        <f>'Д 3.1_Т на Т без ЦТП'!H40</f>
        <v>300.54365404199189</v>
      </c>
      <c r="R5" s="787">
        <f>'Д 3.1_Т на Т без ЦТП'!I40</f>
        <v>6.8840475887936126E-2</v>
      </c>
      <c r="S5" s="787">
        <f>'Д 3.1_Т на Т без ЦТП'!J40</f>
        <v>54.428791587272599</v>
      </c>
      <c r="T5" s="787">
        <f>'Д 3.1_Т на Т без ЦТП'!K40</f>
        <v>17.839103579524206</v>
      </c>
      <c r="U5" s="1253">
        <f>'Д 4_Т на П'!G35</f>
        <v>16.369664252610747</v>
      </c>
      <c r="V5" s="787"/>
      <c r="W5" s="787"/>
      <c r="X5" s="787"/>
      <c r="Y5" s="787"/>
    </row>
    <row r="6" spans="1:25" ht="15.6" customHeight="1" x14ac:dyDescent="0.25">
      <c r="A6" s="1254" t="s">
        <v>117</v>
      </c>
      <c r="B6" s="120" t="s">
        <v>67</v>
      </c>
      <c r="C6" s="128" t="s">
        <v>40</v>
      </c>
      <c r="D6" s="1252">
        <f t="shared" si="0"/>
        <v>0</v>
      </c>
      <c r="E6" s="1253">
        <f t="shared" si="1"/>
        <v>0</v>
      </c>
      <c r="F6" s="787">
        <f>'Д 2_Т на В'!L47</f>
        <v>0</v>
      </c>
      <c r="G6" s="787">
        <f>'Д 2_Т на В'!P47</f>
        <v>0</v>
      </c>
      <c r="H6" s="787">
        <f>'Д 2_Т на В'!T47</f>
        <v>0</v>
      </c>
      <c r="I6" s="787">
        <f>'Д 2_Т на В'!X47</f>
        <v>0</v>
      </c>
      <c r="J6" s="1253">
        <f t="shared" si="2"/>
        <v>0</v>
      </c>
      <c r="K6" s="1253">
        <f>'Д 3_Т на Т з ЦТП'!G41</f>
        <v>0</v>
      </c>
      <c r="L6" s="787">
        <f>'Д 3_Т на Т з ЦТП'!H41</f>
        <v>0</v>
      </c>
      <c r="M6" s="787">
        <f>'Д 3_Т на Т з ЦТП'!I41</f>
        <v>0</v>
      </c>
      <c r="N6" s="787">
        <f>'Д 3_Т на Т з ЦТП'!J41</f>
        <v>0</v>
      </c>
      <c r="O6" s="787">
        <f>'Д 3_Т на Т з ЦТП'!K41</f>
        <v>0</v>
      </c>
      <c r="P6" s="1253">
        <f>'Д 3.1_Т на Т без ЦТП'!G41</f>
        <v>0</v>
      </c>
      <c r="Q6" s="787">
        <f>'Д 3.1_Т на Т без ЦТП'!H41</f>
        <v>0</v>
      </c>
      <c r="R6" s="787">
        <f>'Д 3.1_Т на Т без ЦТП'!I41</f>
        <v>0</v>
      </c>
      <c r="S6" s="787">
        <f>'Д 3.1_Т на Т без ЦТП'!J41</f>
        <v>0</v>
      </c>
      <c r="T6" s="787">
        <f>'Д 3.1_Т на Т без ЦТП'!K41</f>
        <v>0</v>
      </c>
      <c r="U6" s="1253">
        <f>'Д 4_Т на П'!G36</f>
        <v>0</v>
      </c>
      <c r="V6" s="787"/>
      <c r="W6" s="787"/>
      <c r="X6" s="787"/>
      <c r="Y6" s="787"/>
    </row>
    <row r="7" spans="1:25" ht="15.6" customHeight="1" x14ac:dyDescent="0.25">
      <c r="A7" s="1254" t="s">
        <v>119</v>
      </c>
      <c r="B7" s="120" t="s">
        <v>69</v>
      </c>
      <c r="C7" s="128" t="s">
        <v>40</v>
      </c>
      <c r="D7" s="1252">
        <f t="shared" si="0"/>
        <v>0</v>
      </c>
      <c r="E7" s="1253">
        <f t="shared" si="1"/>
        <v>0</v>
      </c>
      <c r="F7" s="787">
        <f>'Д 2_Т на В'!L48</f>
        <v>0</v>
      </c>
      <c r="G7" s="787">
        <f>'Д 2_Т на В'!P48</f>
        <v>0</v>
      </c>
      <c r="H7" s="787">
        <f>'Д 2_Т на В'!T48</f>
        <v>0</v>
      </c>
      <c r="I7" s="787">
        <f>'Д 2_Т на В'!X48</f>
        <v>0</v>
      </c>
      <c r="J7" s="1253">
        <f t="shared" si="2"/>
        <v>0</v>
      </c>
      <c r="K7" s="1253">
        <f>'Д 3_Т на Т з ЦТП'!G42</f>
        <v>0</v>
      </c>
      <c r="L7" s="787">
        <f>'Д 3_Т на Т з ЦТП'!H42</f>
        <v>0</v>
      </c>
      <c r="M7" s="787">
        <f>'Д 3_Т на Т з ЦТП'!I42</f>
        <v>0</v>
      </c>
      <c r="N7" s="787">
        <f>'Д 3_Т на Т з ЦТП'!J42</f>
        <v>0</v>
      </c>
      <c r="O7" s="787">
        <f>'Д 3_Т на Т з ЦТП'!K42</f>
        <v>0</v>
      </c>
      <c r="P7" s="1253">
        <f>'Д 3.1_Т на Т без ЦТП'!G42</f>
        <v>0</v>
      </c>
      <c r="Q7" s="787">
        <f>'Д 3.1_Т на Т без ЦТП'!H42</f>
        <v>0</v>
      </c>
      <c r="R7" s="787">
        <f>'Д 3.1_Т на Т без ЦТП'!I42</f>
        <v>0</v>
      </c>
      <c r="S7" s="787">
        <f>'Д 3.1_Т на Т без ЦТП'!J42</f>
        <v>0</v>
      </c>
      <c r="T7" s="787">
        <f>'Д 3.1_Т на Т без ЦТП'!K42</f>
        <v>0</v>
      </c>
      <c r="U7" s="1253">
        <f>'Д 4_Т на П'!G37</f>
        <v>0</v>
      </c>
      <c r="V7" s="787"/>
      <c r="W7" s="787"/>
      <c r="X7" s="787"/>
      <c r="Y7" s="787"/>
    </row>
    <row r="8" spans="1:25" ht="21.6" customHeight="1" x14ac:dyDescent="0.25">
      <c r="A8" s="1254" t="s">
        <v>121</v>
      </c>
      <c r="B8" s="120" t="s">
        <v>71</v>
      </c>
      <c r="C8" s="128" t="s">
        <v>40</v>
      </c>
      <c r="D8" s="1252">
        <f t="shared" si="0"/>
        <v>0</v>
      </c>
      <c r="E8" s="1253">
        <f t="shared" si="1"/>
        <v>0</v>
      </c>
      <c r="F8" s="787">
        <f>'Д 2_Т на В'!L49</f>
        <v>0</v>
      </c>
      <c r="G8" s="787">
        <f>'Д 2_Т на В'!P49</f>
        <v>0</v>
      </c>
      <c r="H8" s="787">
        <f>'Д 2_Т на В'!T49</f>
        <v>0</v>
      </c>
      <c r="I8" s="787">
        <f>'Д 2_Т на В'!X49</f>
        <v>0</v>
      </c>
      <c r="J8" s="1253">
        <f t="shared" si="2"/>
        <v>0</v>
      </c>
      <c r="K8" s="1253">
        <f>'Д 3_Т на Т з ЦТП'!G43</f>
        <v>0</v>
      </c>
      <c r="L8" s="787">
        <f>'Д 3_Т на Т з ЦТП'!H43</f>
        <v>0</v>
      </c>
      <c r="M8" s="787">
        <f>'Д 3_Т на Т з ЦТП'!I43</f>
        <v>0</v>
      </c>
      <c r="N8" s="787">
        <f>'Д 3_Т на Т з ЦТП'!J43</f>
        <v>0</v>
      </c>
      <c r="O8" s="787">
        <f>'Д 3_Т на Т з ЦТП'!K43</f>
        <v>0</v>
      </c>
      <c r="P8" s="1253">
        <f>'Д 3.1_Т на Т без ЦТП'!G43</f>
        <v>0</v>
      </c>
      <c r="Q8" s="787">
        <f>'Д 3.1_Т на Т без ЦТП'!H43</f>
        <v>0</v>
      </c>
      <c r="R8" s="787">
        <f>'Д 3.1_Т на Т без ЦТП'!I43</f>
        <v>0</v>
      </c>
      <c r="S8" s="787">
        <f>'Д 3.1_Т на Т без ЦТП'!J43</f>
        <v>0</v>
      </c>
      <c r="T8" s="787">
        <f>'Д 3.1_Т на Т без ЦТП'!K43</f>
        <v>0</v>
      </c>
      <c r="U8" s="1253">
        <f>'Д 4_Т на П'!G38</f>
        <v>0</v>
      </c>
      <c r="V8" s="787"/>
      <c r="W8" s="787"/>
      <c r="X8" s="787"/>
      <c r="Y8" s="787"/>
    </row>
    <row r="9" spans="1:25" ht="15.6" customHeight="1" x14ac:dyDescent="0.25">
      <c r="A9" s="1254" t="s">
        <v>223</v>
      </c>
      <c r="B9" s="120" t="s">
        <v>86</v>
      </c>
      <c r="C9" s="128" t="s">
        <v>40</v>
      </c>
      <c r="D9" s="1252">
        <f t="shared" si="0"/>
        <v>8257.1913120896807</v>
      </c>
      <c r="E9" s="1253">
        <f t="shared" si="1"/>
        <v>5905.4378647316935</v>
      </c>
      <c r="F9" s="787">
        <f>'Д 2_Т на В'!L50</f>
        <v>4331.9533871072717</v>
      </c>
      <c r="G9" s="787">
        <f>'Д 2_Т на В'!P50</f>
        <v>1.2484776887949482</v>
      </c>
      <c r="H9" s="787">
        <f>'Д 2_Т на В'!T50</f>
        <v>1175.7883179929352</v>
      </c>
      <c r="I9" s="787">
        <f>'Д 2_Т на В'!X50</f>
        <v>396.44768194269199</v>
      </c>
      <c r="J9" s="1253">
        <f t="shared" si="2"/>
        <v>2277.1805324294278</v>
      </c>
      <c r="K9" s="1253">
        <f>'Д 3_Т на Т з ЦТП'!G44</f>
        <v>578.50320164367861</v>
      </c>
      <c r="L9" s="787">
        <f>'Д 3_Т на Т з ЦТП'!H44</f>
        <v>471.31265955775706</v>
      </c>
      <c r="M9" s="787">
        <f>'Д 3_Т на Т з ЦТП'!I44</f>
        <v>0</v>
      </c>
      <c r="N9" s="787">
        <f>'Д 3_Т на Т з ЦТП'!J44</f>
        <v>77.526902338669331</v>
      </c>
      <c r="O9" s="787">
        <f>'Д 3_Т на Т з ЦТП'!K44</f>
        <v>29.663639747252152</v>
      </c>
      <c r="P9" s="1253">
        <f>'Д 3.1_Т на Т без ЦТП'!G44</f>
        <v>1698.6773307857493</v>
      </c>
      <c r="Q9" s="787">
        <f>'Д 3.1_Т на Т без ЦТП'!H44</f>
        <v>1369.1433128579631</v>
      </c>
      <c r="R9" s="787">
        <f>'Д 3.1_Т на Т без ЦТП'!I44</f>
        <v>0.31360661237837573</v>
      </c>
      <c r="S9" s="787">
        <f>'Д 3.1_Т на Т без ЦТП'!J44</f>
        <v>247.95338389757529</v>
      </c>
      <c r="T9" s="787">
        <f>'Д 3.1_Т на Т без ЦТП'!K44</f>
        <v>81.267027417832523</v>
      </c>
      <c r="U9" s="1253">
        <f>'Д 4_Т на П'!G39</f>
        <v>74.572914928560081</v>
      </c>
      <c r="V9" s="787"/>
      <c r="W9" s="787"/>
      <c r="X9" s="787"/>
      <c r="Y9" s="787"/>
    </row>
    <row r="10" spans="1:25" s="1255" customFormat="1" ht="14.4" x14ac:dyDescent="0.3">
      <c r="A10" s="5767" t="s">
        <v>2370</v>
      </c>
      <c r="B10" s="5767"/>
      <c r="C10" s="5767"/>
      <c r="D10" s="5767"/>
      <c r="E10" s="5767"/>
      <c r="F10" s="5767"/>
      <c r="G10" s="5767"/>
      <c r="H10" s="5767"/>
      <c r="I10" s="5767"/>
      <c r="J10" s="5767"/>
      <c r="K10" s="5767"/>
      <c r="L10" s="5767"/>
      <c r="M10" s="5767"/>
      <c r="N10" s="5767"/>
      <c r="O10" s="5767"/>
      <c r="P10" s="5767"/>
      <c r="Q10" s="5767"/>
      <c r="R10" s="5767"/>
      <c r="S10" s="5767"/>
      <c r="T10" s="5767"/>
      <c r="U10" s="5767"/>
      <c r="V10" s="5767"/>
      <c r="W10" s="5767"/>
      <c r="X10" s="5767"/>
      <c r="Y10" s="5770"/>
    </row>
    <row r="11" spans="1:25" ht="20.399999999999999" x14ac:dyDescent="0.25">
      <c r="A11" s="1251" t="s">
        <v>172</v>
      </c>
      <c r="B11" s="1260" t="s">
        <v>222</v>
      </c>
      <c r="C11" s="766" t="s">
        <v>40</v>
      </c>
      <c r="D11" s="1252">
        <f t="shared" ref="D11:D16" si="3">E11+J11+U11</f>
        <v>7967.2011915289377</v>
      </c>
      <c r="E11" s="1253">
        <f t="shared" ref="E11:E16" si="4">SUM(F11:I11)</f>
        <v>7201.7534935752346</v>
      </c>
      <c r="F11" s="787">
        <f>'ТЕ_2ст_тариф_без ЦТП'!J70</f>
        <v>5282.582808838476</v>
      </c>
      <c r="G11" s="787">
        <f>'ТЕ_2ст_тариф_без ЦТП'!K70</f>
        <v>1.5232466165681611</v>
      </c>
      <c r="H11" s="787">
        <f>'ТЕ_2ст_тариф_без ЦТП'!P70</f>
        <v>1434.7601736959562</v>
      </c>
      <c r="I11" s="787">
        <f>'ТЕ_2ст_тариф_без ЦТП'!S70</f>
        <v>482.88726442423501</v>
      </c>
      <c r="J11" s="1253">
        <f t="shared" ref="J11:J16" si="5">K11+P11</f>
        <v>674.50511877253211</v>
      </c>
      <c r="K11" s="1253">
        <f t="shared" ref="K11:K16" si="6">SUM(L11:O11)</f>
        <v>674.50511877253211</v>
      </c>
      <c r="L11" s="787">
        <f>'ТЕ_2ст_тариф_з ЦТП'!H114</f>
        <v>549.02248026384746</v>
      </c>
      <c r="M11" s="787">
        <f>'ТЕ_2ст_тариф_з ЦТП'!K114</f>
        <v>0</v>
      </c>
      <c r="N11" s="787">
        <f>'ТЕ_2ст_тариф_з ЦТП'!N114</f>
        <v>90.756890221372188</v>
      </c>
      <c r="O11" s="787">
        <f>'ТЕ_2ст_тариф_з ЦТП'!Q114</f>
        <v>34.725748287312562</v>
      </c>
      <c r="P11" s="1253">
        <f t="shared" ref="P11:P16" si="7">SUM(Q11:T11)</f>
        <v>0</v>
      </c>
      <c r="Q11" s="787"/>
      <c r="R11" s="787"/>
      <c r="S11" s="787"/>
      <c r="T11" s="787"/>
      <c r="U11" s="1253">
        <f t="shared" ref="U11:U16" si="8">SUM(V11:Y11)</f>
        <v>90.9425791811708</v>
      </c>
      <c r="V11" s="787">
        <f>'ТЕ_2ст_тариф_з ЦТП'!H153</f>
        <v>75.527348494232143</v>
      </c>
      <c r="W11" s="787">
        <f>'ТЕ_2ст_тариф_з ЦТП'!K153</f>
        <v>1.2235075376173628E-2</v>
      </c>
      <c r="X11" s="787">
        <f>'ТЕ_2ст_тариф_з ЦТП'!N153</f>
        <v>11.524331438497887</v>
      </c>
      <c r="Y11" s="787">
        <f>'ТЕ_2ст_тариф_з ЦТП'!Q153</f>
        <v>3.8786641730646036</v>
      </c>
    </row>
    <row r="12" spans="1:25" ht="15.6" customHeight="1" x14ac:dyDescent="0.25">
      <c r="A12" s="1254" t="s">
        <v>115</v>
      </c>
      <c r="B12" s="120" t="s">
        <v>65</v>
      </c>
      <c r="C12" s="128" t="s">
        <v>40</v>
      </c>
      <c r="D12" s="1252">
        <f t="shared" si="3"/>
        <v>1434.0962144752084</v>
      </c>
      <c r="E12" s="1253">
        <f t="shared" si="4"/>
        <v>1296.3156288435418</v>
      </c>
      <c r="F12" s="787">
        <f>'ТЕ_2ст_тариф_без ЦТП'!J71</f>
        <v>950.86490559092545</v>
      </c>
      <c r="G12" s="787">
        <f>'ТЕ_2ст_тариф_без ЦТП'!K71</f>
        <v>0.27418439098226899</v>
      </c>
      <c r="H12" s="787">
        <f>'ТЕ_2ст_тариф_без ЦТП'!P71</f>
        <v>258.25683126527201</v>
      </c>
      <c r="I12" s="787">
        <f>'ТЕ_2ст_тариф_без ЦТП'!S71</f>
        <v>86.919707596362286</v>
      </c>
      <c r="J12" s="1253">
        <f t="shared" si="5"/>
        <v>121.41092137905579</v>
      </c>
      <c r="K12" s="1253">
        <f t="shared" si="6"/>
        <v>121.41092137905579</v>
      </c>
      <c r="L12" s="787">
        <f>'ТЕ_2ст_тариф_з ЦТП'!H115</f>
        <v>98.824046447492549</v>
      </c>
      <c r="M12" s="787">
        <f>'ТЕ_2ст_тариф_з ЦТП'!K115</f>
        <v>0</v>
      </c>
      <c r="N12" s="787">
        <f>'ТЕ_2ст_тариф_з ЦТП'!N115</f>
        <v>16.336240239846987</v>
      </c>
      <c r="O12" s="787">
        <f>'ТЕ_2ст_тариф_з ЦТП'!Q115</f>
        <v>6.2506346917162574</v>
      </c>
      <c r="P12" s="1253">
        <f t="shared" si="7"/>
        <v>0</v>
      </c>
      <c r="Q12" s="787"/>
      <c r="R12" s="787"/>
      <c r="S12" s="787"/>
      <c r="T12" s="787"/>
      <c r="U12" s="1253">
        <f t="shared" si="8"/>
        <v>16.369664252610736</v>
      </c>
      <c r="V12" s="787">
        <f>'ТЕ_2ст_тариф_з ЦТП'!H154</f>
        <v>13.594922728961777</v>
      </c>
      <c r="W12" s="787">
        <f>'ТЕ_2ст_тариф_з ЦТП'!K154</f>
        <v>2.2023135677112522E-3</v>
      </c>
      <c r="X12" s="787">
        <f>'ТЕ_2ст_тариф_з ЦТП'!N154</f>
        <v>2.0743796589296188</v>
      </c>
      <c r="Y12" s="787">
        <f>'ТЕ_2ст_тариф_з ЦТП'!Q154</f>
        <v>0.69815955115162831</v>
      </c>
    </row>
    <row r="13" spans="1:25" ht="15.6" customHeight="1" x14ac:dyDescent="0.25">
      <c r="A13" s="1254" t="s">
        <v>117</v>
      </c>
      <c r="B13" s="120" t="s">
        <v>67</v>
      </c>
      <c r="C13" s="128" t="s">
        <v>40</v>
      </c>
      <c r="D13" s="1252">
        <f t="shared" si="3"/>
        <v>0</v>
      </c>
      <c r="E13" s="1253">
        <f t="shared" si="4"/>
        <v>0</v>
      </c>
      <c r="F13" s="787">
        <f>'ТЕ_2ст_тариф_без ЦТП'!J72</f>
        <v>0</v>
      </c>
      <c r="G13" s="787">
        <f>'ТЕ_2ст_тариф_без ЦТП'!K72</f>
        <v>0</v>
      </c>
      <c r="H13" s="787">
        <f>'ТЕ_2ст_тариф_без ЦТП'!P72</f>
        <v>0</v>
      </c>
      <c r="I13" s="787">
        <f>'ТЕ_2ст_тариф_без ЦТП'!S72</f>
        <v>0</v>
      </c>
      <c r="J13" s="1253">
        <f t="shared" si="5"/>
        <v>0</v>
      </c>
      <c r="K13" s="1253">
        <f t="shared" si="6"/>
        <v>0</v>
      </c>
      <c r="L13" s="787">
        <f>'ТЕ_2ст_тариф_з ЦТП'!H116</f>
        <v>0</v>
      </c>
      <c r="M13" s="787">
        <f>'ТЕ_2ст_тариф_з ЦТП'!K116</f>
        <v>0</v>
      </c>
      <c r="N13" s="787">
        <f>'ТЕ_2ст_тариф_з ЦТП'!N116</f>
        <v>0</v>
      </c>
      <c r="O13" s="787">
        <f>'ТЕ_2ст_тариф_з ЦТП'!Q116</f>
        <v>0</v>
      </c>
      <c r="P13" s="1253">
        <f t="shared" si="7"/>
        <v>0</v>
      </c>
      <c r="Q13" s="787"/>
      <c r="R13" s="787"/>
      <c r="S13" s="787"/>
      <c r="T13" s="787"/>
      <c r="U13" s="1253">
        <f t="shared" si="8"/>
        <v>0</v>
      </c>
      <c r="V13" s="787">
        <f>'ТЕ_2ст_тариф_з ЦТП'!H155</f>
        <v>0</v>
      </c>
      <c r="W13" s="787">
        <f>'ТЕ_2ст_тариф_з ЦТП'!K155</f>
        <v>0</v>
      </c>
      <c r="X13" s="787">
        <f>'ТЕ_2ст_тариф_з ЦТП'!N155</f>
        <v>0</v>
      </c>
      <c r="Y13" s="787">
        <f>'ТЕ_2ст_тариф_з ЦТП'!Q155</f>
        <v>0</v>
      </c>
    </row>
    <row r="14" spans="1:25" ht="15.6" customHeight="1" x14ac:dyDescent="0.25">
      <c r="A14" s="1254" t="s">
        <v>119</v>
      </c>
      <c r="B14" s="120" t="s">
        <v>69</v>
      </c>
      <c r="C14" s="128" t="s">
        <v>40</v>
      </c>
      <c r="D14" s="1252">
        <f t="shared" si="3"/>
        <v>0</v>
      </c>
      <c r="E14" s="1253">
        <f t="shared" si="4"/>
        <v>0</v>
      </c>
      <c r="F14" s="787">
        <f>'ТЕ_2ст_тариф_без ЦТП'!J73</f>
        <v>0</v>
      </c>
      <c r="G14" s="787">
        <f>'ТЕ_2ст_тариф_без ЦТП'!K73</f>
        <v>0</v>
      </c>
      <c r="H14" s="787">
        <f>'ТЕ_2ст_тариф_без ЦТП'!P73</f>
        <v>0</v>
      </c>
      <c r="I14" s="787">
        <f>'ТЕ_2ст_тариф_без ЦТП'!S73</f>
        <v>0</v>
      </c>
      <c r="J14" s="1253">
        <f t="shared" si="5"/>
        <v>0</v>
      </c>
      <c r="K14" s="1253">
        <f t="shared" si="6"/>
        <v>0</v>
      </c>
      <c r="L14" s="787">
        <f>'ТЕ_2ст_тариф_з ЦТП'!H117</f>
        <v>0</v>
      </c>
      <c r="M14" s="787">
        <f>'ТЕ_2ст_тариф_з ЦТП'!K117</f>
        <v>0</v>
      </c>
      <c r="N14" s="787">
        <f>'ТЕ_2ст_тариф_з ЦТП'!N117</f>
        <v>0</v>
      </c>
      <c r="O14" s="787">
        <f>'ТЕ_2ст_тариф_з ЦТП'!Q117</f>
        <v>0</v>
      </c>
      <c r="P14" s="1253">
        <f t="shared" si="7"/>
        <v>0</v>
      </c>
      <c r="Q14" s="787"/>
      <c r="R14" s="787"/>
      <c r="S14" s="787"/>
      <c r="T14" s="787"/>
      <c r="U14" s="1253">
        <f t="shared" si="8"/>
        <v>0</v>
      </c>
      <c r="V14" s="787">
        <f>'ТЕ_2ст_тариф_з ЦТП'!H156</f>
        <v>0</v>
      </c>
      <c r="W14" s="787">
        <f>'ТЕ_2ст_тариф_з ЦТП'!K156</f>
        <v>0</v>
      </c>
      <c r="X14" s="787">
        <f>'ТЕ_2ст_тариф_з ЦТП'!N156</f>
        <v>0</v>
      </c>
      <c r="Y14" s="787">
        <f>'ТЕ_2ст_тариф_з ЦТП'!Q156</f>
        <v>0</v>
      </c>
    </row>
    <row r="15" spans="1:25" ht="24.6" customHeight="1" x14ac:dyDescent="0.25">
      <c r="A15" s="1254" t="s">
        <v>121</v>
      </c>
      <c r="B15" s="120" t="s">
        <v>71</v>
      </c>
      <c r="C15" s="128" t="s">
        <v>40</v>
      </c>
      <c r="D15" s="1252">
        <f t="shared" si="3"/>
        <v>0</v>
      </c>
      <c r="E15" s="1253">
        <f t="shared" si="4"/>
        <v>0</v>
      </c>
      <c r="F15" s="787">
        <f>'ТЕ_2ст_тариф_без ЦТП'!J74</f>
        <v>0</v>
      </c>
      <c r="G15" s="787">
        <f>'ТЕ_2ст_тариф_без ЦТП'!K74</f>
        <v>0</v>
      </c>
      <c r="H15" s="787">
        <f>'ТЕ_2ст_тариф_без ЦТП'!P74</f>
        <v>0</v>
      </c>
      <c r="I15" s="787">
        <f>'ТЕ_2ст_тариф_без ЦТП'!S74</f>
        <v>0</v>
      </c>
      <c r="J15" s="1253">
        <f t="shared" si="5"/>
        <v>0</v>
      </c>
      <c r="K15" s="1253">
        <f t="shared" si="6"/>
        <v>0</v>
      </c>
      <c r="L15" s="787">
        <f>'ТЕ_2ст_тариф_з ЦТП'!H118</f>
        <v>0</v>
      </c>
      <c r="M15" s="787">
        <f>'ТЕ_2ст_тариф_з ЦТП'!K118</f>
        <v>0</v>
      </c>
      <c r="N15" s="787">
        <f>'ТЕ_2ст_тариф_з ЦТП'!N118</f>
        <v>0</v>
      </c>
      <c r="O15" s="787">
        <f>'ТЕ_2ст_тариф_з ЦТП'!Q118</f>
        <v>0</v>
      </c>
      <c r="P15" s="1253">
        <f t="shared" si="7"/>
        <v>0</v>
      </c>
      <c r="Q15" s="787"/>
      <c r="R15" s="787"/>
      <c r="S15" s="787"/>
      <c r="T15" s="787"/>
      <c r="U15" s="1253">
        <f t="shared" si="8"/>
        <v>0</v>
      </c>
      <c r="V15" s="787">
        <f>'ТЕ_2ст_тариф_з ЦТП'!H157</f>
        <v>0</v>
      </c>
      <c r="W15" s="787">
        <f>'ТЕ_2ст_тариф_з ЦТП'!K157</f>
        <v>0</v>
      </c>
      <c r="X15" s="787">
        <f>'ТЕ_2ст_тариф_з ЦТП'!N157</f>
        <v>0</v>
      </c>
      <c r="Y15" s="787">
        <f>'ТЕ_2ст_тариф_з ЦТП'!Q157</f>
        <v>0</v>
      </c>
    </row>
    <row r="16" spans="1:25" ht="15.6" customHeight="1" x14ac:dyDescent="0.25">
      <c r="A16" s="1254" t="s">
        <v>223</v>
      </c>
      <c r="B16" s="120" t="s">
        <v>86</v>
      </c>
      <c r="C16" s="128" t="s">
        <v>40</v>
      </c>
      <c r="D16" s="1252">
        <f t="shared" si="3"/>
        <v>6533.1049770537284</v>
      </c>
      <c r="E16" s="1253">
        <f t="shared" si="4"/>
        <v>5905.4378647316926</v>
      </c>
      <c r="F16" s="787">
        <f>'ТЕ_2ст_тариф_без ЦТП'!J75</f>
        <v>4331.7179032475506</v>
      </c>
      <c r="G16" s="787">
        <f>'ТЕ_2ст_тариф_без ЦТП'!K75</f>
        <v>1.2490622255858921</v>
      </c>
      <c r="H16" s="787">
        <f>'ТЕ_2ст_тариф_без ЦТП'!P75</f>
        <v>1176.5033424306841</v>
      </c>
      <c r="I16" s="787">
        <f>'ТЕ_2ст_тариф_без ЦТП'!S75</f>
        <v>395.96755682787273</v>
      </c>
      <c r="J16" s="1253">
        <f t="shared" si="5"/>
        <v>553.09419739347641</v>
      </c>
      <c r="K16" s="1253">
        <f t="shared" si="6"/>
        <v>553.09419739347641</v>
      </c>
      <c r="L16" s="787">
        <f>'ТЕ_2ст_тариф_з ЦТП'!H119</f>
        <v>450.19843381635491</v>
      </c>
      <c r="M16" s="787">
        <f>'ТЕ_2ст_тариф_з ЦТП'!K119</f>
        <v>0</v>
      </c>
      <c r="N16" s="787">
        <f>'ТЕ_2ст_тариф_з ЦТП'!N119</f>
        <v>74.420649981525202</v>
      </c>
      <c r="O16" s="787">
        <f>'ТЕ_2ст_тариф_з ЦТП'!Q119</f>
        <v>28.475113595596305</v>
      </c>
      <c r="P16" s="1253">
        <f t="shared" si="7"/>
        <v>0</v>
      </c>
      <c r="Q16" s="787"/>
      <c r="R16" s="787"/>
      <c r="S16" s="787"/>
      <c r="T16" s="787"/>
      <c r="U16" s="1253">
        <f t="shared" si="8"/>
        <v>74.572914928560067</v>
      </c>
      <c r="V16" s="787">
        <f>'ТЕ_2ст_тариф_з ЦТП'!H158</f>
        <v>61.932425765270366</v>
      </c>
      <c r="W16" s="787">
        <f>'ТЕ_2ст_тариф_з ЦТП'!K158</f>
        <v>1.0032761808462376E-2</v>
      </c>
      <c r="X16" s="787">
        <f>'ТЕ_2ст_тариф_з ЦТП'!N158</f>
        <v>9.4499517795682682</v>
      </c>
      <c r="Y16" s="787">
        <f>'ТЕ_2ст_тариф_з ЦТП'!Q158</f>
        <v>3.1805046219129753</v>
      </c>
    </row>
    <row r="17" spans="1:37" s="1255" customFormat="1" ht="15.6" customHeight="1" x14ac:dyDescent="0.3">
      <c r="A17" s="5767" t="s">
        <v>2371</v>
      </c>
      <c r="B17" s="5767"/>
      <c r="C17" s="5767"/>
      <c r="D17" s="5767"/>
      <c r="E17" s="5767"/>
      <c r="F17" s="5767"/>
      <c r="G17" s="5767"/>
      <c r="H17" s="5767"/>
      <c r="I17" s="5767"/>
      <c r="J17" s="5767"/>
      <c r="K17" s="5767"/>
      <c r="L17" s="5767"/>
      <c r="M17" s="5767"/>
      <c r="N17" s="5767"/>
      <c r="O17" s="5767"/>
      <c r="P17" s="5767"/>
      <c r="Q17" s="5767"/>
      <c r="R17" s="5767"/>
      <c r="S17" s="5767"/>
      <c r="T17" s="5767"/>
      <c r="U17" s="5767"/>
      <c r="V17" s="5767"/>
      <c r="W17" s="5767"/>
      <c r="X17" s="5767"/>
      <c r="Y17" s="5767"/>
      <c r="Z17" s="1256"/>
      <c r="AA17" s="1256"/>
      <c r="AB17" s="1256"/>
      <c r="AC17" s="1256"/>
      <c r="AD17" s="1256"/>
      <c r="AE17" s="1256"/>
      <c r="AF17" s="1256"/>
      <c r="AG17" s="1256"/>
      <c r="AH17" s="1256"/>
      <c r="AI17" s="1256"/>
      <c r="AJ17" s="1256"/>
      <c r="AK17" s="1257"/>
    </row>
    <row r="18" spans="1:37" ht="20.399999999999999" x14ac:dyDescent="0.25">
      <c r="A18" s="1251" t="s">
        <v>172</v>
      </c>
      <c r="B18" s="1260" t="s">
        <v>222</v>
      </c>
      <c r="C18" s="766" t="s">
        <v>40</v>
      </c>
      <c r="D18" s="1252">
        <f t="shared" ref="D18:D23" si="9">E18+J18+U18</f>
        <v>9224.1316413332697</v>
      </c>
      <c r="E18" s="1253">
        <f t="shared" ref="E18:E23" si="10">SUM(F18:I18)</f>
        <v>7201.7534935752346</v>
      </c>
      <c r="F18" s="787">
        <f>'ТЕ_2ст_тариф_з ЦТП'!J70</f>
        <v>5282.582808838476</v>
      </c>
      <c r="G18" s="787">
        <f>'ТЕ_2ст_тариф_з ЦТП'!K70</f>
        <v>1.5232466165681611</v>
      </c>
      <c r="H18" s="787">
        <f>'ТЕ_2ст_тариф_з ЦТП'!P70</f>
        <v>1434.7601736959562</v>
      </c>
      <c r="I18" s="787">
        <f>'ТЕ_2ст_тариф_з ЦТП'!S70</f>
        <v>482.88726442423501</v>
      </c>
      <c r="J18" s="1253">
        <f t="shared" ref="J18:J23" si="11">K18+P18</f>
        <v>1931.4355685768646</v>
      </c>
      <c r="K18" s="1253">
        <f t="shared" ref="K18:K23" si="12">SUM(L18:O18)</f>
        <v>0</v>
      </c>
      <c r="L18" s="787"/>
      <c r="M18" s="787"/>
      <c r="N18" s="787"/>
      <c r="O18" s="787"/>
      <c r="P18" s="1253">
        <f t="shared" ref="P18:P23" si="13">SUM(Q18:T18)</f>
        <v>1931.4355685768646</v>
      </c>
      <c r="Q18" s="787">
        <f>'ТЕ_2ст_тариф_без ЦТП'!H114</f>
        <v>1553.0439561365865</v>
      </c>
      <c r="R18" s="787">
        <f>'ТЕ_2ст_тариф_без ЦТП'!K114</f>
        <v>0.36010276716193629</v>
      </c>
      <c r="S18" s="787">
        <f>'ТЕ_2ст_тариф_без ЦТП'!N114</f>
        <v>284.71561550160584</v>
      </c>
      <c r="T18" s="787">
        <f>'ТЕ_2ст_тариф_без ЦТП'!Q114</f>
        <v>93.315894171510536</v>
      </c>
      <c r="U18" s="1253">
        <f t="shared" ref="U18:U23" si="14">SUM(V18:Y18)</f>
        <v>90.9425791811708</v>
      </c>
      <c r="V18" s="787">
        <f>'ТЕ_2ст_тариф_без ЦТП'!H153</f>
        <v>75.527348494232143</v>
      </c>
      <c r="W18" s="787">
        <f>'ТЕ_2ст_тариф_без ЦТП'!K153</f>
        <v>1.2235075376173628E-2</v>
      </c>
      <c r="X18" s="787">
        <f>'ТЕ_2ст_тариф_без ЦТП'!N153</f>
        <v>11.524331438497887</v>
      </c>
      <c r="Y18" s="787">
        <f>'ТЕ_2ст_тариф_без ЦТП'!Q153</f>
        <v>3.8786641730646036</v>
      </c>
    </row>
    <row r="19" spans="1:37" ht="15.6" customHeight="1" x14ac:dyDescent="0.25">
      <c r="A19" s="1254" t="s">
        <v>115</v>
      </c>
      <c r="B19" s="120" t="s">
        <v>65</v>
      </c>
      <c r="C19" s="128" t="s">
        <v>40</v>
      </c>
      <c r="D19" s="1252">
        <f t="shared" si="9"/>
        <v>1660.3436954399883</v>
      </c>
      <c r="E19" s="1253">
        <f t="shared" si="10"/>
        <v>1296.3156288435418</v>
      </c>
      <c r="F19" s="787">
        <f>'ТЕ_2ст_тариф_з ЦТП'!J71</f>
        <v>950.86490559092545</v>
      </c>
      <c r="G19" s="787">
        <f>'ТЕ_2ст_тариф_з ЦТП'!K71</f>
        <v>0.27418439098226899</v>
      </c>
      <c r="H19" s="787">
        <f>'ТЕ_2ст_тариф_з ЦТП'!P71</f>
        <v>258.25683126527201</v>
      </c>
      <c r="I19" s="787">
        <f>'ТЕ_2ст_тариф_з ЦТП'!S71</f>
        <v>86.919707596362286</v>
      </c>
      <c r="J19" s="1253">
        <f t="shared" si="11"/>
        <v>347.65840234383552</v>
      </c>
      <c r="K19" s="1253">
        <f t="shared" si="12"/>
        <v>0</v>
      </c>
      <c r="L19" s="787"/>
      <c r="M19" s="787"/>
      <c r="N19" s="787"/>
      <c r="O19" s="787"/>
      <c r="P19" s="1253">
        <f t="shared" si="13"/>
        <v>347.65840234383552</v>
      </c>
      <c r="Q19" s="787">
        <f>'ТЕ_2ст_тариф_без ЦТП'!H115</f>
        <v>279.54791210458552</v>
      </c>
      <c r="R19" s="787">
        <f>'ТЕ_2ст_тариф_без ЦТП'!K115</f>
        <v>6.4818498089148524E-2</v>
      </c>
      <c r="S19" s="787">
        <f>'ТЕ_2ст_тариф_без ЦТП'!N115</f>
        <v>51.248810790289014</v>
      </c>
      <c r="T19" s="787">
        <f>'ТЕ_2ст_тариф_без ЦТП'!Q115</f>
        <v>16.796860950871888</v>
      </c>
      <c r="U19" s="1253">
        <f t="shared" si="14"/>
        <v>16.369664252610736</v>
      </c>
      <c r="V19" s="787">
        <f>'ТЕ_2ст_тариф_без ЦТП'!H154</f>
        <v>13.594922728961777</v>
      </c>
      <c r="W19" s="787">
        <f>'ТЕ_2ст_тариф_без ЦТП'!K154</f>
        <v>2.2023135677112522E-3</v>
      </c>
      <c r="X19" s="787">
        <f>'ТЕ_2ст_тариф_без ЦТП'!N154</f>
        <v>2.0743796589296188</v>
      </c>
      <c r="Y19" s="787">
        <f>'ТЕ_2ст_тариф_без ЦТП'!Q154</f>
        <v>0.69815955115162831</v>
      </c>
    </row>
    <row r="20" spans="1:37" ht="15.6" customHeight="1" x14ac:dyDescent="0.25">
      <c r="A20" s="1254" t="s">
        <v>117</v>
      </c>
      <c r="B20" s="120" t="s">
        <v>67</v>
      </c>
      <c r="C20" s="128" t="s">
        <v>40</v>
      </c>
      <c r="D20" s="1252">
        <f t="shared" si="9"/>
        <v>0</v>
      </c>
      <c r="E20" s="1253">
        <f t="shared" si="10"/>
        <v>0</v>
      </c>
      <c r="F20" s="787">
        <f>'ТЕ_2ст_тариф_з ЦТП'!J72</f>
        <v>0</v>
      </c>
      <c r="G20" s="787">
        <f>'ТЕ_2ст_тариф_з ЦТП'!K72</f>
        <v>0</v>
      </c>
      <c r="H20" s="787">
        <f>'ТЕ_2ст_тариф_з ЦТП'!P72</f>
        <v>0</v>
      </c>
      <c r="I20" s="787">
        <f>'ТЕ_2ст_тариф_з ЦТП'!S72</f>
        <v>0</v>
      </c>
      <c r="J20" s="1253">
        <f t="shared" si="11"/>
        <v>0</v>
      </c>
      <c r="K20" s="1253">
        <f t="shared" si="12"/>
        <v>0</v>
      </c>
      <c r="L20" s="787"/>
      <c r="M20" s="787"/>
      <c r="N20" s="787"/>
      <c r="O20" s="787"/>
      <c r="P20" s="1253">
        <f t="shared" si="13"/>
        <v>0</v>
      </c>
      <c r="Q20" s="787">
        <f>'ТЕ_2ст_тариф_без ЦТП'!H116</f>
        <v>0</v>
      </c>
      <c r="R20" s="787">
        <f>'ТЕ_2ст_тариф_без ЦТП'!K116</f>
        <v>0</v>
      </c>
      <c r="S20" s="787">
        <f>'ТЕ_2ст_тариф_без ЦТП'!N116</f>
        <v>0</v>
      </c>
      <c r="T20" s="787">
        <f>'ТЕ_2ст_тариф_без ЦТП'!Q116</f>
        <v>0</v>
      </c>
      <c r="U20" s="1253">
        <f t="shared" si="14"/>
        <v>0</v>
      </c>
      <c r="V20" s="787">
        <f>'ТЕ_2ст_тариф_без ЦТП'!H155</f>
        <v>0</v>
      </c>
      <c r="W20" s="787">
        <f>'ТЕ_2ст_тариф_без ЦТП'!K155</f>
        <v>0</v>
      </c>
      <c r="X20" s="787">
        <f>'ТЕ_2ст_тариф_без ЦТП'!N155</f>
        <v>0</v>
      </c>
      <c r="Y20" s="787">
        <f>'ТЕ_2ст_тариф_без ЦТП'!Q155</f>
        <v>0</v>
      </c>
    </row>
    <row r="21" spans="1:37" ht="15.6" customHeight="1" x14ac:dyDescent="0.25">
      <c r="A21" s="1254" t="s">
        <v>119</v>
      </c>
      <c r="B21" s="120" t="s">
        <v>69</v>
      </c>
      <c r="C21" s="128" t="s">
        <v>40</v>
      </c>
      <c r="D21" s="1252">
        <f t="shared" si="9"/>
        <v>0</v>
      </c>
      <c r="E21" s="1253">
        <f t="shared" si="10"/>
        <v>0</v>
      </c>
      <c r="F21" s="787">
        <f>'ТЕ_2ст_тариф_з ЦТП'!J73</f>
        <v>0</v>
      </c>
      <c r="G21" s="787">
        <f>'ТЕ_2ст_тариф_з ЦТП'!K73</f>
        <v>0</v>
      </c>
      <c r="H21" s="787">
        <f>'ТЕ_2ст_тариф_з ЦТП'!P73</f>
        <v>0</v>
      </c>
      <c r="I21" s="787">
        <f>'ТЕ_2ст_тариф_з ЦТП'!S73</f>
        <v>0</v>
      </c>
      <c r="J21" s="1253">
        <f t="shared" si="11"/>
        <v>0</v>
      </c>
      <c r="K21" s="1253">
        <f t="shared" si="12"/>
        <v>0</v>
      </c>
      <c r="L21" s="787"/>
      <c r="M21" s="787"/>
      <c r="N21" s="787"/>
      <c r="O21" s="787"/>
      <c r="P21" s="1253">
        <f t="shared" si="13"/>
        <v>0</v>
      </c>
      <c r="Q21" s="787">
        <f>'ТЕ_2ст_тариф_без ЦТП'!H117</f>
        <v>0</v>
      </c>
      <c r="R21" s="787">
        <f>'ТЕ_2ст_тариф_без ЦТП'!K117</f>
        <v>0</v>
      </c>
      <c r="S21" s="787">
        <f>'ТЕ_2ст_тариф_без ЦТП'!N117</f>
        <v>0</v>
      </c>
      <c r="T21" s="787">
        <f>'ТЕ_2ст_тариф_без ЦТП'!Q117</f>
        <v>0</v>
      </c>
      <c r="U21" s="1253">
        <f t="shared" si="14"/>
        <v>0</v>
      </c>
      <c r="V21" s="787">
        <f>'ТЕ_2ст_тариф_без ЦТП'!H156</f>
        <v>0</v>
      </c>
      <c r="W21" s="787">
        <f>'ТЕ_2ст_тариф_без ЦТП'!K156</f>
        <v>0</v>
      </c>
      <c r="X21" s="787">
        <f>'ТЕ_2ст_тариф_без ЦТП'!N156</f>
        <v>0</v>
      </c>
      <c r="Y21" s="787">
        <f>'ТЕ_2ст_тариф_без ЦТП'!Q156</f>
        <v>0</v>
      </c>
    </row>
    <row r="22" spans="1:37" ht="24.6" customHeight="1" x14ac:dyDescent="0.25">
      <c r="A22" s="1254" t="s">
        <v>121</v>
      </c>
      <c r="B22" s="120" t="s">
        <v>71</v>
      </c>
      <c r="C22" s="128" t="s">
        <v>40</v>
      </c>
      <c r="D22" s="1252">
        <f t="shared" si="9"/>
        <v>0</v>
      </c>
      <c r="E22" s="1253">
        <f t="shared" si="10"/>
        <v>0</v>
      </c>
      <c r="F22" s="787">
        <f>'ТЕ_2ст_тариф_з ЦТП'!J74</f>
        <v>0</v>
      </c>
      <c r="G22" s="787">
        <f>'ТЕ_2ст_тариф_з ЦТП'!K74</f>
        <v>0</v>
      </c>
      <c r="H22" s="787">
        <f>'ТЕ_2ст_тариф_з ЦТП'!P74</f>
        <v>0</v>
      </c>
      <c r="I22" s="787">
        <f>'ТЕ_2ст_тариф_з ЦТП'!S74</f>
        <v>0</v>
      </c>
      <c r="J22" s="1253">
        <f t="shared" si="11"/>
        <v>0</v>
      </c>
      <c r="K22" s="1253">
        <f t="shared" si="12"/>
        <v>0</v>
      </c>
      <c r="L22" s="787"/>
      <c r="M22" s="787"/>
      <c r="N22" s="787"/>
      <c r="O22" s="787"/>
      <c r="P22" s="1253">
        <f t="shared" si="13"/>
        <v>0</v>
      </c>
      <c r="Q22" s="787">
        <f>'ТЕ_2ст_тариф_без ЦТП'!H118</f>
        <v>0</v>
      </c>
      <c r="R22" s="787">
        <f>'ТЕ_2ст_тариф_без ЦТП'!K118</f>
        <v>0</v>
      </c>
      <c r="S22" s="787">
        <f>'ТЕ_2ст_тариф_без ЦТП'!N118</f>
        <v>0</v>
      </c>
      <c r="T22" s="787">
        <f>'ТЕ_2ст_тариф_без ЦТП'!Q118</f>
        <v>0</v>
      </c>
      <c r="U22" s="1253">
        <f t="shared" si="14"/>
        <v>0</v>
      </c>
      <c r="V22" s="787">
        <f>'ТЕ_2ст_тариф_без ЦТП'!H157</f>
        <v>0</v>
      </c>
      <c r="W22" s="787">
        <f>'ТЕ_2ст_тариф_без ЦТП'!K157</f>
        <v>0</v>
      </c>
      <c r="X22" s="787">
        <f>'ТЕ_2ст_тариф_без ЦТП'!N157</f>
        <v>0</v>
      </c>
      <c r="Y22" s="787">
        <f>'ТЕ_2ст_тариф_без ЦТП'!Q157</f>
        <v>0</v>
      </c>
    </row>
    <row r="23" spans="1:37" ht="15.6" customHeight="1" x14ac:dyDescent="0.25">
      <c r="A23" s="1254" t="s">
        <v>223</v>
      </c>
      <c r="B23" s="120" t="s">
        <v>86</v>
      </c>
      <c r="C23" s="128" t="s">
        <v>40</v>
      </c>
      <c r="D23" s="1252">
        <f t="shared" si="9"/>
        <v>7563.7879458932821</v>
      </c>
      <c r="E23" s="1253">
        <f t="shared" si="10"/>
        <v>5905.4378647316926</v>
      </c>
      <c r="F23" s="787">
        <f>'ТЕ_2ст_тариф_з ЦТП'!J75</f>
        <v>4331.7179032475506</v>
      </c>
      <c r="G23" s="787">
        <f>'ТЕ_2ст_тариф_з ЦТП'!K75</f>
        <v>1.2490622255858921</v>
      </c>
      <c r="H23" s="787">
        <f>'ТЕ_2ст_тариф_з ЦТП'!P75</f>
        <v>1176.5033424306841</v>
      </c>
      <c r="I23" s="787">
        <f>'ТЕ_2ст_тариф_з ЦТП'!S75</f>
        <v>395.96755682787273</v>
      </c>
      <c r="J23" s="1253">
        <f t="shared" si="11"/>
        <v>1583.7771662330292</v>
      </c>
      <c r="K23" s="1253">
        <f t="shared" si="12"/>
        <v>0</v>
      </c>
      <c r="L23" s="787"/>
      <c r="M23" s="787"/>
      <c r="N23" s="787"/>
      <c r="O23" s="787"/>
      <c r="P23" s="1253">
        <f t="shared" si="13"/>
        <v>1583.7771662330292</v>
      </c>
      <c r="Q23" s="787">
        <f>'ТЕ_2ст_тариф_без ЦТП'!H119</f>
        <v>1273.496044032001</v>
      </c>
      <c r="R23" s="787">
        <f>'ТЕ_2ст_тариф_без ЦТП'!K119</f>
        <v>0.29528426907278776</v>
      </c>
      <c r="S23" s="787">
        <f>'ТЕ_2ст_тариф_без ЦТП'!N119</f>
        <v>233.46680471131683</v>
      </c>
      <c r="T23" s="787">
        <f>'ТЕ_2ст_тариф_без ЦТП'!Q119</f>
        <v>76.519033220638647</v>
      </c>
      <c r="U23" s="1253">
        <f t="shared" si="14"/>
        <v>74.572914928560067</v>
      </c>
      <c r="V23" s="787">
        <f>'ТЕ_2ст_тариф_без ЦТП'!H158</f>
        <v>61.932425765270366</v>
      </c>
      <c r="W23" s="787">
        <f>'ТЕ_2ст_тариф_без ЦТП'!K158</f>
        <v>1.0032761808462376E-2</v>
      </c>
      <c r="X23" s="787">
        <f>'ТЕ_2ст_тариф_без ЦТП'!N158</f>
        <v>9.4499517795682682</v>
      </c>
      <c r="Y23" s="787">
        <f>'ТЕ_2ст_тариф_без ЦТП'!Q158</f>
        <v>3.1805046219129753</v>
      </c>
    </row>
    <row r="24" spans="1:37" x14ac:dyDescent="0.25">
      <c r="A24" s="5768" t="s">
        <v>2372</v>
      </c>
      <c r="B24" s="5768"/>
      <c r="C24" s="5768"/>
      <c r="D24" s="5768"/>
      <c r="E24" s="5768"/>
      <c r="F24" s="5768"/>
      <c r="G24" s="5768"/>
      <c r="H24" s="5768"/>
      <c r="I24" s="5768"/>
      <c r="J24" s="5768"/>
      <c r="K24" s="5768"/>
      <c r="L24" s="5768"/>
      <c r="M24" s="5768"/>
      <c r="N24" s="5768"/>
      <c r="O24" s="5768"/>
      <c r="P24" s="5768"/>
      <c r="Q24" s="5768"/>
      <c r="R24" s="5768"/>
      <c r="S24" s="5768"/>
      <c r="T24" s="5768"/>
      <c r="U24" s="5768"/>
      <c r="V24" s="5768"/>
      <c r="W24" s="5768"/>
      <c r="X24" s="5768"/>
      <c r="Y24" s="5768"/>
    </row>
    <row r="25" spans="1:37" ht="20.399999999999999" x14ac:dyDescent="0.25">
      <c r="A25" s="1251" t="s">
        <v>172</v>
      </c>
      <c r="B25" s="1260" t="s">
        <v>222</v>
      </c>
      <c r="C25" s="766" t="s">
        <v>40</v>
      </c>
      <c r="D25" s="1259">
        <f t="shared" ref="D25:D30" si="15">E25+J25+U25</f>
        <v>171.10874244258875</v>
      </c>
      <c r="E25" s="1258">
        <f t="shared" ref="E25:E30" si="16">SUM(F25:I25)</f>
        <v>5.2891024893142458E-13</v>
      </c>
      <c r="F25" s="787">
        <f>F4-F11</f>
        <v>0.287175438684244</v>
      </c>
      <c r="G25" s="787">
        <f>G4-G11</f>
        <v>-7.1284974505347876E-4</v>
      </c>
      <c r="H25" s="787">
        <f>H4-H11</f>
        <v>-0.87198102164506963</v>
      </c>
      <c r="I25" s="787">
        <f>I4-I11</f>
        <v>0.58551843270640802</v>
      </c>
      <c r="J25" s="1258">
        <f t="shared" ref="J25:J30" si="17">J4-J11-J18</f>
        <v>171.10874244258821</v>
      </c>
      <c r="K25" s="1258">
        <f t="shared" ref="K25:K30" si="18">K4-K11</f>
        <v>30.986590549027142</v>
      </c>
      <c r="L25" s="787"/>
      <c r="M25" s="787"/>
      <c r="N25" s="787"/>
      <c r="O25" s="787"/>
      <c r="P25" s="1258">
        <f t="shared" ref="P25:P30" si="19">P4-P18</f>
        <v>140.12215189356129</v>
      </c>
      <c r="Q25" s="787"/>
      <c r="R25" s="787"/>
      <c r="S25" s="787"/>
      <c r="T25" s="787"/>
      <c r="U25" s="1258">
        <f t="shared" ref="U25:U30" si="20">SUM(V25:Y25)</f>
        <v>0</v>
      </c>
      <c r="V25" s="787">
        <f>V11-V18</f>
        <v>0</v>
      </c>
      <c r="W25" s="787">
        <f>W11-W18</f>
        <v>0</v>
      </c>
      <c r="X25" s="787">
        <f>X11-X18</f>
        <v>0</v>
      </c>
      <c r="Y25" s="787">
        <f>Y11-Y18</f>
        <v>0</v>
      </c>
    </row>
    <row r="26" spans="1:37" ht="15.6" customHeight="1" x14ac:dyDescent="0.25">
      <c r="A26" s="1254" t="s">
        <v>115</v>
      </c>
      <c r="B26" s="120" t="s">
        <v>65</v>
      </c>
      <c r="C26" s="128" t="s">
        <v>40</v>
      </c>
      <c r="D26" s="1259">
        <f t="shared" si="15"/>
        <v>30.799573639665958</v>
      </c>
      <c r="E26" s="1258">
        <f t="shared" si="16"/>
        <v>2.2426505097428162E-14</v>
      </c>
      <c r="F26" s="787">
        <f t="shared" ref="F26:I30" si="21">F5-F12</f>
        <v>5.1691578963072971E-2</v>
      </c>
      <c r="G26" s="787">
        <f t="shared" si="21"/>
        <v>-1.2831295410964394E-4</v>
      </c>
      <c r="H26" s="787">
        <f t="shared" si="21"/>
        <v>-0.1569565838960898</v>
      </c>
      <c r="I26" s="787">
        <f t="shared" si="21"/>
        <v>0.1053933178871489</v>
      </c>
      <c r="J26" s="1258">
        <f t="shared" si="17"/>
        <v>30.799573639665937</v>
      </c>
      <c r="K26" s="1258">
        <f t="shared" si="18"/>
        <v>5.5775862988248548</v>
      </c>
      <c r="L26" s="787"/>
      <c r="M26" s="787"/>
      <c r="N26" s="787"/>
      <c r="O26" s="787"/>
      <c r="P26" s="1258">
        <f t="shared" si="19"/>
        <v>25.22198734084111</v>
      </c>
      <c r="Q26" s="787"/>
      <c r="R26" s="787"/>
      <c r="S26" s="787"/>
      <c r="T26" s="787"/>
      <c r="U26" s="1258">
        <f t="shared" si="20"/>
        <v>0</v>
      </c>
      <c r="V26" s="787">
        <f t="shared" ref="V26:Y30" si="22">V12-V19</f>
        <v>0</v>
      </c>
      <c r="W26" s="787">
        <f t="shared" si="22"/>
        <v>0</v>
      </c>
      <c r="X26" s="787">
        <f t="shared" si="22"/>
        <v>0</v>
      </c>
      <c r="Y26" s="787">
        <f t="shared" si="22"/>
        <v>0</v>
      </c>
    </row>
    <row r="27" spans="1:37" ht="15.6" customHeight="1" x14ac:dyDescent="0.25">
      <c r="A27" s="1254" t="s">
        <v>117</v>
      </c>
      <c r="B27" s="120" t="s">
        <v>67</v>
      </c>
      <c r="C27" s="128" t="s">
        <v>40</v>
      </c>
      <c r="D27" s="1259">
        <f t="shared" si="15"/>
        <v>0</v>
      </c>
      <c r="E27" s="1258">
        <f t="shared" si="16"/>
        <v>0</v>
      </c>
      <c r="F27" s="787">
        <f t="shared" si="21"/>
        <v>0</v>
      </c>
      <c r="G27" s="787">
        <f t="shared" si="21"/>
        <v>0</v>
      </c>
      <c r="H27" s="787">
        <f t="shared" si="21"/>
        <v>0</v>
      </c>
      <c r="I27" s="787">
        <f t="shared" si="21"/>
        <v>0</v>
      </c>
      <c r="J27" s="1258">
        <f t="shared" si="17"/>
        <v>0</v>
      </c>
      <c r="K27" s="1258">
        <f t="shared" si="18"/>
        <v>0</v>
      </c>
      <c r="L27" s="787"/>
      <c r="M27" s="787"/>
      <c r="N27" s="787"/>
      <c r="O27" s="787"/>
      <c r="P27" s="1258">
        <f t="shared" si="19"/>
        <v>0</v>
      </c>
      <c r="Q27" s="787"/>
      <c r="R27" s="787"/>
      <c r="S27" s="787"/>
      <c r="T27" s="787"/>
      <c r="U27" s="1258">
        <f t="shared" si="20"/>
        <v>0</v>
      </c>
      <c r="V27" s="787">
        <f t="shared" si="22"/>
        <v>0</v>
      </c>
      <c r="W27" s="787">
        <f t="shared" si="22"/>
        <v>0</v>
      </c>
      <c r="X27" s="787">
        <f t="shared" si="22"/>
        <v>0</v>
      </c>
      <c r="Y27" s="787">
        <f t="shared" si="22"/>
        <v>0</v>
      </c>
    </row>
    <row r="28" spans="1:37" ht="15.6" customHeight="1" x14ac:dyDescent="0.25">
      <c r="A28" s="1254" t="s">
        <v>119</v>
      </c>
      <c r="B28" s="120" t="s">
        <v>69</v>
      </c>
      <c r="C28" s="128" t="s">
        <v>40</v>
      </c>
      <c r="D28" s="1259">
        <f t="shared" si="15"/>
        <v>0</v>
      </c>
      <c r="E28" s="1258">
        <f t="shared" si="16"/>
        <v>0</v>
      </c>
      <c r="F28" s="787">
        <f t="shared" si="21"/>
        <v>0</v>
      </c>
      <c r="G28" s="787">
        <f t="shared" si="21"/>
        <v>0</v>
      </c>
      <c r="H28" s="787">
        <f t="shared" si="21"/>
        <v>0</v>
      </c>
      <c r="I28" s="787">
        <f t="shared" si="21"/>
        <v>0</v>
      </c>
      <c r="J28" s="1258">
        <f t="shared" si="17"/>
        <v>0</v>
      </c>
      <c r="K28" s="1258">
        <f t="shared" si="18"/>
        <v>0</v>
      </c>
      <c r="L28" s="787"/>
      <c r="M28" s="787"/>
      <c r="N28" s="787"/>
      <c r="O28" s="787"/>
      <c r="P28" s="1258">
        <f t="shared" si="19"/>
        <v>0</v>
      </c>
      <c r="Q28" s="787"/>
      <c r="R28" s="787"/>
      <c r="S28" s="787"/>
      <c r="T28" s="787"/>
      <c r="U28" s="1258">
        <f t="shared" si="20"/>
        <v>0</v>
      </c>
      <c r="V28" s="787">
        <f t="shared" si="22"/>
        <v>0</v>
      </c>
      <c r="W28" s="787">
        <f t="shared" si="22"/>
        <v>0</v>
      </c>
      <c r="X28" s="787">
        <f t="shared" si="22"/>
        <v>0</v>
      </c>
      <c r="Y28" s="787">
        <f t="shared" si="22"/>
        <v>0</v>
      </c>
    </row>
    <row r="29" spans="1:37" ht="21" customHeight="1" x14ac:dyDescent="0.25">
      <c r="A29" s="1254" t="s">
        <v>121</v>
      </c>
      <c r="B29" s="120" t="s">
        <v>71</v>
      </c>
      <c r="C29" s="128" t="s">
        <v>40</v>
      </c>
      <c r="D29" s="1259">
        <f t="shared" si="15"/>
        <v>0</v>
      </c>
      <c r="E29" s="1258">
        <f t="shared" si="16"/>
        <v>0</v>
      </c>
      <c r="F29" s="787">
        <f t="shared" si="21"/>
        <v>0</v>
      </c>
      <c r="G29" s="787">
        <f t="shared" si="21"/>
        <v>0</v>
      </c>
      <c r="H29" s="787">
        <f t="shared" si="21"/>
        <v>0</v>
      </c>
      <c r="I29" s="787">
        <f t="shared" si="21"/>
        <v>0</v>
      </c>
      <c r="J29" s="1258">
        <f t="shared" si="17"/>
        <v>0</v>
      </c>
      <c r="K29" s="1258">
        <f t="shared" si="18"/>
        <v>0</v>
      </c>
      <c r="L29" s="787"/>
      <c r="M29" s="787"/>
      <c r="N29" s="787"/>
      <c r="O29" s="787"/>
      <c r="P29" s="1258">
        <f t="shared" si="19"/>
        <v>0</v>
      </c>
      <c r="Q29" s="787"/>
      <c r="R29" s="787"/>
      <c r="S29" s="787"/>
      <c r="T29" s="787"/>
      <c r="U29" s="1258">
        <f t="shared" si="20"/>
        <v>0</v>
      </c>
      <c r="V29" s="787">
        <f t="shared" si="22"/>
        <v>0</v>
      </c>
      <c r="W29" s="787">
        <f t="shared" si="22"/>
        <v>0</v>
      </c>
      <c r="X29" s="787">
        <f t="shared" si="22"/>
        <v>0</v>
      </c>
      <c r="Y29" s="787">
        <f t="shared" si="22"/>
        <v>0</v>
      </c>
    </row>
    <row r="30" spans="1:37" ht="15.6" customHeight="1" x14ac:dyDescent="0.25">
      <c r="A30" s="1254" t="s">
        <v>223</v>
      </c>
      <c r="B30" s="120" t="s">
        <v>86</v>
      </c>
      <c r="C30" s="128" t="s">
        <v>40</v>
      </c>
      <c r="D30" s="1259">
        <f t="shared" si="15"/>
        <v>140.30916880292267</v>
      </c>
      <c r="E30" s="1258">
        <f t="shared" si="16"/>
        <v>5.0648374383399641E-13</v>
      </c>
      <c r="F30" s="787">
        <f t="shared" si="21"/>
        <v>0.23548385972117103</v>
      </c>
      <c r="G30" s="787">
        <f t="shared" si="21"/>
        <v>-5.8453679094383482E-4</v>
      </c>
      <c r="H30" s="787">
        <f t="shared" si="21"/>
        <v>-0.71502443774897984</v>
      </c>
      <c r="I30" s="787">
        <f t="shared" si="21"/>
        <v>0.48012511481925912</v>
      </c>
      <c r="J30" s="1258">
        <f t="shared" si="17"/>
        <v>140.30916880292216</v>
      </c>
      <c r="K30" s="1258">
        <f t="shared" si="18"/>
        <v>25.409004250202202</v>
      </c>
      <c r="L30" s="787"/>
      <c r="M30" s="787"/>
      <c r="N30" s="787"/>
      <c r="O30" s="787"/>
      <c r="P30" s="1258">
        <f t="shared" si="19"/>
        <v>114.90016455272007</v>
      </c>
      <c r="Q30" s="787"/>
      <c r="R30" s="787"/>
      <c r="S30" s="787"/>
      <c r="T30" s="787"/>
      <c r="U30" s="1258">
        <f t="shared" si="20"/>
        <v>0</v>
      </c>
      <c r="V30" s="787">
        <f t="shared" si="22"/>
        <v>0</v>
      </c>
      <c r="W30" s="787">
        <f t="shared" si="22"/>
        <v>0</v>
      </c>
      <c r="X30" s="787">
        <f t="shared" si="22"/>
        <v>0</v>
      </c>
      <c r="Y30" s="787">
        <f t="shared" si="22"/>
        <v>0</v>
      </c>
    </row>
    <row r="33" spans="2:8" ht="14.4" thickBot="1" x14ac:dyDescent="0.3"/>
    <row r="34" spans="2:8" ht="14.4" thickBot="1" x14ac:dyDescent="0.3">
      <c r="B34" s="5771" t="s">
        <v>3189</v>
      </c>
      <c r="C34" s="5771" t="s">
        <v>687</v>
      </c>
      <c r="D34" s="5773" t="s">
        <v>1894</v>
      </c>
      <c r="E34" s="5775" t="s">
        <v>1895</v>
      </c>
      <c r="F34" s="5776"/>
      <c r="G34" s="5777" t="s">
        <v>2233</v>
      </c>
      <c r="H34" s="5765" t="s">
        <v>973</v>
      </c>
    </row>
    <row r="35" spans="2:8" ht="14.4" thickBot="1" x14ac:dyDescent="0.3">
      <c r="B35" s="5772"/>
      <c r="C35" s="5772"/>
      <c r="D35" s="5774"/>
      <c r="E35" s="2204" t="s">
        <v>644</v>
      </c>
      <c r="F35" s="2205" t="s">
        <v>643</v>
      </c>
      <c r="G35" s="5778"/>
      <c r="H35" s="5766"/>
    </row>
    <row r="36" spans="2:8" ht="21.6" thickBot="1" x14ac:dyDescent="0.3">
      <c r="B36" s="2206" t="s">
        <v>222</v>
      </c>
      <c r="C36" s="2207" t="s">
        <v>40</v>
      </c>
      <c r="D36" s="2208">
        <v>9862.3709999999992</v>
      </c>
      <c r="E36" s="2208">
        <v>664.48609999999996</v>
      </c>
      <c r="F36" s="2209">
        <v>2025.7529999999999</v>
      </c>
      <c r="G36" s="2212">
        <v>100.8</v>
      </c>
      <c r="H36" s="12">
        <f t="shared" ref="H36:H41" si="23">SUM(D36:G36)</f>
        <v>12653.410099999999</v>
      </c>
    </row>
    <row r="37" spans="2:8" ht="14.4" thickBot="1" x14ac:dyDescent="0.3">
      <c r="B37" s="2210" t="s">
        <v>65</v>
      </c>
      <c r="C37" s="2211" t="s">
        <v>40</v>
      </c>
      <c r="D37" s="2208">
        <v>1775.2270000000001</v>
      </c>
      <c r="E37" s="2208">
        <v>119.6075</v>
      </c>
      <c r="F37" s="2209">
        <v>364.63549999999998</v>
      </c>
      <c r="G37" s="2212">
        <v>18.14</v>
      </c>
      <c r="H37" s="12">
        <f t="shared" si="23"/>
        <v>2277.61</v>
      </c>
    </row>
    <row r="38" spans="2:8" ht="14.4" thickBot="1" x14ac:dyDescent="0.3">
      <c r="B38" s="2210" t="s">
        <v>67</v>
      </c>
      <c r="C38" s="2211" t="s">
        <v>40</v>
      </c>
      <c r="D38" s="2208">
        <v>1213.0719999999999</v>
      </c>
      <c r="E38" s="2208">
        <v>81.731790000000004</v>
      </c>
      <c r="F38" s="2209">
        <v>249.16759999999999</v>
      </c>
      <c r="G38" s="2212">
        <v>12.4</v>
      </c>
      <c r="H38" s="12">
        <f t="shared" si="23"/>
        <v>1556.37139</v>
      </c>
    </row>
    <row r="39" spans="2:8" ht="14.4" thickBot="1" x14ac:dyDescent="0.3">
      <c r="B39" s="2210" t="s">
        <v>69</v>
      </c>
      <c r="C39" s="2211" t="s">
        <v>40</v>
      </c>
      <c r="D39" s="2208">
        <v>0</v>
      </c>
      <c r="E39" s="2208">
        <v>0</v>
      </c>
      <c r="F39" s="2209">
        <v>0</v>
      </c>
      <c r="G39" s="2212">
        <v>0</v>
      </c>
      <c r="H39" s="12">
        <f t="shared" si="23"/>
        <v>0</v>
      </c>
    </row>
    <row r="40" spans="2:8" ht="21.6" thickBot="1" x14ac:dyDescent="0.3">
      <c r="B40" s="2210" t="s">
        <v>71</v>
      </c>
      <c r="C40" s="2211" t="s">
        <v>40</v>
      </c>
      <c r="D40" s="2208">
        <v>0</v>
      </c>
      <c r="E40" s="2208">
        <v>0</v>
      </c>
      <c r="F40" s="2209">
        <v>0</v>
      </c>
      <c r="G40" s="2212">
        <v>0</v>
      </c>
      <c r="H40" s="12">
        <f t="shared" si="23"/>
        <v>0</v>
      </c>
    </row>
    <row r="41" spans="2:8" ht="14.4" thickBot="1" x14ac:dyDescent="0.3">
      <c r="B41" s="2210" t="s">
        <v>86</v>
      </c>
      <c r="C41" s="2211" t="s">
        <v>40</v>
      </c>
      <c r="D41" s="2208">
        <v>6874.0720000000001</v>
      </c>
      <c r="E41" s="2208">
        <v>463.14679999999998</v>
      </c>
      <c r="F41" s="2209">
        <v>1411.95</v>
      </c>
      <c r="G41" s="2212">
        <v>70.25</v>
      </c>
      <c r="H41" s="12">
        <f t="shared" si="23"/>
        <v>8819.4188000000013</v>
      </c>
    </row>
  </sheetData>
  <mergeCells count="14">
    <mergeCell ref="H34:H35"/>
    <mergeCell ref="A17:Y17"/>
    <mergeCell ref="A24:Y24"/>
    <mergeCell ref="A1:Y1"/>
    <mergeCell ref="D2:D3"/>
    <mergeCell ref="E2:I2"/>
    <mergeCell ref="J2:T2"/>
    <mergeCell ref="U2:Y2"/>
    <mergeCell ref="A10:Y10"/>
    <mergeCell ref="B34:B35"/>
    <mergeCell ref="C34:C35"/>
    <mergeCell ref="D34:D35"/>
    <mergeCell ref="E34:F34"/>
    <mergeCell ref="G34:G35"/>
  </mergeCells>
  <pageMargins left="0.70866141732283472" right="0.70866141732283472" top="0.52" bottom="0.26" header="0.31496062992125984" footer="0.15"/>
  <pageSetup paperSize="9" orientation="landscape" horizontalDpi="0" verticalDpi="0" r:id="rId1"/>
</worksheet>
</file>

<file path=xl/worksheets/sheet9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B00-000000000000}">
  <sheetPr codeName="Лист88">
    <tabColor theme="7" tint="0.59999389629810485"/>
  </sheetPr>
  <dimension ref="A1:I53"/>
  <sheetViews>
    <sheetView workbookViewId="0">
      <selection activeCell="C10" sqref="C10"/>
    </sheetView>
  </sheetViews>
  <sheetFormatPr defaultColWidth="8.88671875" defaultRowHeight="13.8" x14ac:dyDescent="0.25"/>
  <cols>
    <col min="1" max="1" width="4.6640625" style="10" customWidth="1"/>
    <col min="2" max="2" width="33.6640625" style="10" customWidth="1"/>
    <col min="3" max="4" width="11.109375" style="10" customWidth="1"/>
    <col min="5" max="5" width="14.6640625" style="10" customWidth="1"/>
    <col min="6" max="6" width="12.44140625" style="10" customWidth="1"/>
    <col min="7" max="7" width="14.33203125" style="10" customWidth="1"/>
    <col min="8" max="8" width="10.44140625" style="10" customWidth="1"/>
    <col min="9" max="16384" width="8.88671875" style="10"/>
  </cols>
  <sheetData>
    <row r="1" spans="1:9" ht="15.6" customHeight="1" x14ac:dyDescent="0.3">
      <c r="A1" s="5591" t="s">
        <v>3524</v>
      </c>
      <c r="B1" s="5591"/>
      <c r="C1" s="5591"/>
      <c r="D1" s="5591"/>
      <c r="E1" s="5591"/>
      <c r="F1" s="5591"/>
    </row>
    <row r="2" spans="1:9" ht="15.6" x14ac:dyDescent="0.25">
      <c r="E2" s="40"/>
      <c r="F2" s="1426" t="s">
        <v>967</v>
      </c>
    </row>
    <row r="3" spans="1:9" ht="15.6" customHeight="1" x14ac:dyDescent="0.3">
      <c r="B3" s="5779" t="s">
        <v>8</v>
      </c>
      <c r="C3" s="1460" t="s">
        <v>932</v>
      </c>
      <c r="D3" s="1460" t="s">
        <v>932</v>
      </c>
      <c r="E3" s="5780" t="s">
        <v>3521</v>
      </c>
      <c r="F3" s="5781"/>
      <c r="G3" s="5781" t="s">
        <v>3522</v>
      </c>
      <c r="H3" s="5781"/>
    </row>
    <row r="4" spans="1:9" ht="15.6" x14ac:dyDescent="0.25">
      <c r="B4" s="5779"/>
      <c r="C4" s="1461">
        <f>'Вхідні дані'!$F$8</f>
        <v>2021</v>
      </c>
      <c r="D4" s="1461">
        <f>'Вхідні дані'!$F$7</f>
        <v>2022</v>
      </c>
      <c r="E4" s="5782" t="s">
        <v>786</v>
      </c>
      <c r="F4" s="5782" t="s">
        <v>2465</v>
      </c>
      <c r="G4" s="5782" t="s">
        <v>786</v>
      </c>
      <c r="H4" s="5782" t="s">
        <v>2465</v>
      </c>
    </row>
    <row r="5" spans="1:9" ht="31.2" customHeight="1" x14ac:dyDescent="0.25">
      <c r="B5" s="5779"/>
      <c r="C5" s="1447" t="s">
        <v>3520</v>
      </c>
      <c r="D5" s="1447">
        <v>2315</v>
      </c>
      <c r="E5" s="5782"/>
      <c r="F5" s="5782"/>
      <c r="G5" s="5782"/>
      <c r="H5" s="5782"/>
    </row>
    <row r="6" spans="1:9" ht="31.2" x14ac:dyDescent="0.3">
      <c r="B6" s="1448" t="s">
        <v>1658</v>
      </c>
      <c r="C6" s="3296">
        <f t="shared" ref="C6:H6" si="0">C7+C18+C20</f>
        <v>3931.6576700000005</v>
      </c>
      <c r="D6" s="3296">
        <f t="shared" si="0"/>
        <v>4305.69146</v>
      </c>
      <c r="E6" s="3286">
        <f t="shared" si="0"/>
        <v>0</v>
      </c>
      <c r="F6" s="3286">
        <f t="shared" si="0"/>
        <v>0</v>
      </c>
      <c r="G6" s="3286">
        <f t="shared" si="0"/>
        <v>4840.0674935616626</v>
      </c>
      <c r="H6" s="3286">
        <f t="shared" si="0"/>
        <v>0</v>
      </c>
    </row>
    <row r="7" spans="1:9" ht="31.2" x14ac:dyDescent="0.3">
      <c r="B7" s="1449" t="s">
        <v>1657</v>
      </c>
      <c r="C7" s="3286">
        <f t="shared" ref="C7:H7" si="1">SUM(C8:C17)</f>
        <v>144.35050000000001</v>
      </c>
      <c r="D7" s="3286">
        <f t="shared" si="1"/>
        <v>137.89778999999999</v>
      </c>
      <c r="E7" s="3286">
        <f t="shared" si="1"/>
        <v>0</v>
      </c>
      <c r="F7" s="3286">
        <f t="shared" si="1"/>
        <v>0</v>
      </c>
      <c r="G7" s="3286">
        <f t="shared" si="1"/>
        <v>0</v>
      </c>
      <c r="H7" s="3286">
        <f t="shared" si="1"/>
        <v>0</v>
      </c>
    </row>
    <row r="8" spans="1:9" ht="15.6" x14ac:dyDescent="0.3">
      <c r="B8" s="1450" t="s">
        <v>934</v>
      </c>
      <c r="C8" s="3284"/>
      <c r="D8" s="3287"/>
      <c r="E8" s="3289"/>
      <c r="F8" s="3289"/>
      <c r="G8" s="3289"/>
      <c r="H8" s="3289"/>
    </row>
    <row r="9" spans="1:9" ht="15.6" x14ac:dyDescent="0.3">
      <c r="B9" s="1450" t="s">
        <v>935</v>
      </c>
      <c r="C9" s="3284"/>
      <c r="D9" s="3287">
        <v>51.964100000000002</v>
      </c>
      <c r="E9" s="3289"/>
      <c r="F9" s="3289"/>
      <c r="G9" s="3289"/>
      <c r="H9" s="3289"/>
    </row>
    <row r="10" spans="1:9" ht="15.6" x14ac:dyDescent="0.3">
      <c r="B10" s="1450" t="s">
        <v>936</v>
      </c>
      <c r="C10" s="3284">
        <v>14.010999999999999</v>
      </c>
      <c r="D10" s="3287">
        <v>4.6684299999999999</v>
      </c>
      <c r="E10" s="3289"/>
      <c r="F10" s="3289"/>
      <c r="G10" s="3289"/>
      <c r="H10" s="3289"/>
      <c r="I10" s="391"/>
    </row>
    <row r="11" spans="1:9" ht="31.2" x14ac:dyDescent="0.3">
      <c r="B11" s="1450" t="s">
        <v>1570</v>
      </c>
      <c r="C11" s="3284">
        <v>64.438160000000011</v>
      </c>
      <c r="D11" s="3287">
        <v>0</v>
      </c>
      <c r="E11" s="3289"/>
      <c r="F11" s="3289"/>
      <c r="G11" s="3289"/>
      <c r="H11" s="3289"/>
      <c r="I11" s="391"/>
    </row>
    <row r="12" spans="1:9" ht="15.6" x14ac:dyDescent="0.3">
      <c r="B12" s="1450" t="s">
        <v>915</v>
      </c>
      <c r="C12" s="3290"/>
      <c r="D12" s="12"/>
      <c r="E12" s="3289"/>
      <c r="F12" s="3289"/>
      <c r="G12" s="3289"/>
      <c r="H12" s="3289"/>
      <c r="I12" s="391"/>
    </row>
    <row r="13" spans="1:9" ht="15.6" x14ac:dyDescent="0.3">
      <c r="B13" s="1450" t="s">
        <v>937</v>
      </c>
      <c r="C13" s="3284">
        <v>33.064819999999997</v>
      </c>
      <c r="D13" s="3287">
        <v>60.504550000000002</v>
      </c>
      <c r="E13" s="3289"/>
      <c r="F13" s="3289"/>
      <c r="G13" s="3289"/>
      <c r="H13" s="3289"/>
      <c r="I13" s="391"/>
    </row>
    <row r="14" spans="1:9" ht="15.6" x14ac:dyDescent="0.3">
      <c r="B14" s="1450" t="s">
        <v>938</v>
      </c>
      <c r="C14" s="3284">
        <v>16.52936</v>
      </c>
      <c r="D14" s="3287">
        <v>10.682360000000001</v>
      </c>
      <c r="E14" s="3289"/>
      <c r="F14" s="3289"/>
      <c r="G14" s="3289"/>
      <c r="H14" s="3289"/>
      <c r="I14" s="391"/>
    </row>
    <row r="15" spans="1:9" ht="15.6" x14ac:dyDescent="0.3">
      <c r="B15" s="1450" t="s">
        <v>939</v>
      </c>
      <c r="C15" s="3284">
        <v>4.5768399999999998</v>
      </c>
      <c r="D15" s="3287">
        <v>3.6875</v>
      </c>
      <c r="E15" s="3289"/>
      <c r="F15" s="3289"/>
      <c r="G15" s="3289"/>
      <c r="H15" s="3289"/>
      <c r="I15" s="391"/>
    </row>
    <row r="16" spans="1:9" ht="15.6" x14ac:dyDescent="0.3">
      <c r="B16" s="1450" t="s">
        <v>940</v>
      </c>
      <c r="C16" s="3284">
        <v>11.730320000000001</v>
      </c>
      <c r="D16" s="3287">
        <v>5.6897200000000003</v>
      </c>
      <c r="E16" s="3289"/>
      <c r="F16" s="3289"/>
      <c r="G16" s="3289"/>
      <c r="H16" s="3289"/>
    </row>
    <row r="17" spans="2:9" ht="15.6" x14ac:dyDescent="0.3">
      <c r="B17" s="1450" t="s">
        <v>941</v>
      </c>
      <c r="C17" s="3284">
        <v>0</v>
      </c>
      <c r="D17" s="3287">
        <v>0.70113000000000003</v>
      </c>
      <c r="E17" s="3289"/>
      <c r="F17" s="3289"/>
      <c r="G17" s="3289"/>
      <c r="H17" s="3289"/>
    </row>
    <row r="18" spans="2:9" s="1458" customFormat="1" ht="31.2" x14ac:dyDescent="0.3">
      <c r="B18" s="1457" t="s">
        <v>1659</v>
      </c>
      <c r="C18" s="3291">
        <v>2656.9924500000002</v>
      </c>
      <c r="D18" s="3292">
        <v>3012.5939700000004</v>
      </c>
      <c r="E18" s="2605"/>
      <c r="F18" s="2605"/>
      <c r="G18" s="2605">
        <f>ФОП!H29/1000</f>
        <v>4002.4260561000001</v>
      </c>
      <c r="H18" s="2605"/>
    </row>
    <row r="19" spans="2:9" ht="15.6" x14ac:dyDescent="0.3">
      <c r="B19" s="1452" t="s">
        <v>917</v>
      </c>
      <c r="C19" s="3288">
        <v>266.88190999999995</v>
      </c>
      <c r="D19" s="3287">
        <v>154.79304000000002</v>
      </c>
      <c r="E19" s="3289"/>
      <c r="F19" s="3289"/>
      <c r="G19" s="3289"/>
      <c r="H19" s="3289"/>
    </row>
    <row r="20" spans="2:9" ht="15.6" x14ac:dyDescent="0.3">
      <c r="B20" s="1451" t="s">
        <v>1660</v>
      </c>
      <c r="C20" s="3286">
        <f t="shared" ref="C20:H20" si="2">SUM(C21:C53)</f>
        <v>1130.3147200000003</v>
      </c>
      <c r="D20" s="3286">
        <f t="shared" si="2"/>
        <v>1155.1996999999999</v>
      </c>
      <c r="E20" s="3286">
        <f t="shared" si="2"/>
        <v>0</v>
      </c>
      <c r="F20" s="3286">
        <f t="shared" si="2"/>
        <v>0</v>
      </c>
      <c r="G20" s="3286">
        <f t="shared" si="2"/>
        <v>837.64143746166246</v>
      </c>
      <c r="H20" s="3286">
        <f t="shared" si="2"/>
        <v>0</v>
      </c>
    </row>
    <row r="21" spans="2:9" ht="46.8" x14ac:dyDescent="0.3">
      <c r="B21" s="1450" t="s">
        <v>548</v>
      </c>
      <c r="C21" s="3284">
        <v>536.06310000000008</v>
      </c>
      <c r="D21" s="3287">
        <v>598.71531000000004</v>
      </c>
      <c r="E21" s="3289"/>
      <c r="F21" s="3289"/>
      <c r="G21" s="3289">
        <f>ФОП!H31/1000</f>
        <v>760.57735636166251</v>
      </c>
      <c r="H21" s="3289"/>
    </row>
    <row r="22" spans="2:9" ht="62.4" x14ac:dyDescent="0.3">
      <c r="B22" s="1450" t="s">
        <v>2459</v>
      </c>
      <c r="C22" s="3284">
        <v>13.55</v>
      </c>
      <c r="D22" s="3287">
        <v>16.43</v>
      </c>
      <c r="E22" s="3289"/>
      <c r="F22" s="3289"/>
      <c r="G22" s="3289"/>
      <c r="H22" s="3289"/>
      <c r="I22" s="1462"/>
    </row>
    <row r="23" spans="2:9" ht="78" x14ac:dyDescent="0.3">
      <c r="B23" s="1450" t="s">
        <v>2460</v>
      </c>
      <c r="C23" s="3284">
        <v>33.25</v>
      </c>
      <c r="D23" s="3287">
        <v>23.88</v>
      </c>
      <c r="E23" s="3289"/>
      <c r="F23" s="3289"/>
      <c r="G23" s="3289"/>
      <c r="H23" s="3289"/>
      <c r="I23" s="1462"/>
    </row>
    <row r="24" spans="2:9" ht="15.6" x14ac:dyDescent="0.3">
      <c r="B24" s="1453" t="s">
        <v>1390</v>
      </c>
      <c r="C24" s="3293">
        <v>19.486740000000001</v>
      </c>
      <c r="D24" s="3287"/>
      <c r="E24" s="3289"/>
      <c r="F24" s="3289"/>
      <c r="G24" s="3289"/>
      <c r="H24" s="3289"/>
    </row>
    <row r="25" spans="2:9" ht="15.6" x14ac:dyDescent="0.3">
      <c r="B25" s="1453" t="s">
        <v>2461</v>
      </c>
      <c r="C25" s="3294"/>
      <c r="D25" s="3287"/>
      <c r="E25" s="3289"/>
      <c r="F25" s="3289"/>
      <c r="G25" s="3289"/>
      <c r="H25" s="3289"/>
    </row>
    <row r="26" spans="2:9" ht="31.2" x14ac:dyDescent="0.3">
      <c r="B26" s="3285" t="s">
        <v>1394</v>
      </c>
      <c r="C26" s="3293">
        <v>2.6324100000000001</v>
      </c>
      <c r="D26" s="3287">
        <v>3.21895</v>
      </c>
      <c r="E26" s="3289"/>
      <c r="F26" s="3289"/>
      <c r="G26" s="3289">
        <f>ВОДА!T88+ВОДА!U88</f>
        <v>2.9858954999999998</v>
      </c>
      <c r="H26" s="3289"/>
    </row>
    <row r="27" spans="2:9" ht="31.2" x14ac:dyDescent="0.3">
      <c r="B27" s="1453" t="s">
        <v>920</v>
      </c>
      <c r="C27" s="3293">
        <v>12.522749999999998</v>
      </c>
      <c r="D27" s="3287">
        <v>19.878919999999997</v>
      </c>
      <c r="E27" s="3289"/>
      <c r="F27" s="3289"/>
      <c r="G27" s="3289">
        <f>'Д 9_ЕЕ'!D196</f>
        <v>6.0781856000000021</v>
      </c>
      <c r="H27" s="3289"/>
    </row>
    <row r="28" spans="2:9" ht="15.6" x14ac:dyDescent="0.3">
      <c r="B28" s="1453"/>
      <c r="C28" s="3294"/>
      <c r="D28" s="3287"/>
      <c r="E28" s="3289"/>
      <c r="F28" s="3289"/>
      <c r="G28" s="3289"/>
      <c r="H28" s="3289"/>
    </row>
    <row r="29" spans="2:9" ht="15.6" x14ac:dyDescent="0.3">
      <c r="B29" s="1453" t="s">
        <v>1401</v>
      </c>
      <c r="C29" s="3294"/>
      <c r="D29" s="3287"/>
      <c r="E29" s="3289"/>
      <c r="F29" s="3289"/>
      <c r="G29" s="3289"/>
      <c r="H29" s="3289"/>
    </row>
    <row r="30" spans="2:9" ht="15.6" x14ac:dyDescent="0.3">
      <c r="B30" s="1453" t="s">
        <v>1402</v>
      </c>
      <c r="C30" s="3293">
        <v>0.1285</v>
      </c>
      <c r="D30" s="3287">
        <v>3.37582</v>
      </c>
      <c r="E30" s="3289"/>
      <c r="F30" s="3289"/>
      <c r="G30" s="3289"/>
      <c r="H30" s="3289"/>
    </row>
    <row r="31" spans="2:9" ht="15.6" x14ac:dyDescent="0.3">
      <c r="B31" s="1453" t="s">
        <v>1405</v>
      </c>
      <c r="C31" s="3294"/>
      <c r="D31" s="3287"/>
      <c r="E31" s="3289"/>
      <c r="F31" s="3289"/>
      <c r="G31" s="3289"/>
      <c r="H31" s="3289"/>
    </row>
    <row r="32" spans="2:9" ht="15.6" x14ac:dyDescent="0.3">
      <c r="B32" s="1453" t="s">
        <v>1406</v>
      </c>
      <c r="C32" s="3294"/>
      <c r="D32" s="3287"/>
      <c r="E32" s="3289"/>
      <c r="F32" s="3289"/>
      <c r="G32" s="3289"/>
      <c r="H32" s="3289"/>
    </row>
    <row r="33" spans="2:9" ht="15.6" x14ac:dyDescent="0.3">
      <c r="B33" s="1454" t="s">
        <v>1408</v>
      </c>
      <c r="C33" s="3293">
        <v>2.21672</v>
      </c>
      <c r="D33" s="3287">
        <v>2.66784</v>
      </c>
      <c r="E33" s="3289"/>
      <c r="F33" s="3289"/>
      <c r="G33" s="3289"/>
      <c r="H33" s="3289"/>
      <c r="I33" s="1462"/>
    </row>
    <row r="34" spans="2:9" ht="31.2" x14ac:dyDescent="0.3">
      <c r="B34" s="1454" t="s">
        <v>1410</v>
      </c>
      <c r="C34" s="3293">
        <v>1.1796199999999999</v>
      </c>
      <c r="D34" s="3287"/>
      <c r="E34" s="3289"/>
      <c r="F34" s="3289"/>
      <c r="G34" s="3289"/>
      <c r="H34" s="3289"/>
      <c r="I34" s="1462"/>
    </row>
    <row r="35" spans="2:9" ht="15.6" x14ac:dyDescent="0.3">
      <c r="B35" s="1454" t="s">
        <v>1594</v>
      </c>
      <c r="C35" s="3294"/>
      <c r="D35" s="3287"/>
      <c r="E35" s="3289"/>
      <c r="F35" s="3289"/>
      <c r="G35" s="3289"/>
      <c r="H35" s="3289"/>
    </row>
    <row r="36" spans="2:9" ht="31.2" x14ac:dyDescent="0.3">
      <c r="B36" s="1454" t="s">
        <v>2462</v>
      </c>
      <c r="C36" s="3293">
        <v>418.57640999999995</v>
      </c>
      <c r="D36" s="3287">
        <v>362.62173999999999</v>
      </c>
      <c r="E36" s="3289"/>
      <c r="F36" s="3289"/>
      <c r="G36" s="3289"/>
      <c r="H36" s="3289"/>
      <c r="I36" s="1462"/>
    </row>
    <row r="37" spans="2:9" ht="31.2" x14ac:dyDescent="0.3">
      <c r="B37" s="1454" t="s">
        <v>1411</v>
      </c>
      <c r="C37" s="3293">
        <v>5.0000000000000001E-3</v>
      </c>
      <c r="D37" s="3287"/>
      <c r="E37" s="3289"/>
      <c r="F37" s="3289"/>
      <c r="G37" s="3289"/>
      <c r="H37" s="3289"/>
    </row>
    <row r="38" spans="2:9" ht="31.2" x14ac:dyDescent="0.3">
      <c r="B38" s="1454" t="s">
        <v>1592</v>
      </c>
      <c r="C38" s="3294"/>
      <c r="D38" s="3287"/>
      <c r="E38" s="3289"/>
      <c r="F38" s="3289"/>
      <c r="G38" s="3289"/>
      <c r="H38" s="3289"/>
    </row>
    <row r="39" spans="2:9" ht="15.6" x14ac:dyDescent="0.3">
      <c r="B39" s="1454" t="s">
        <v>1591</v>
      </c>
      <c r="C39" s="3294"/>
      <c r="D39" s="3287"/>
      <c r="E39" s="3289"/>
      <c r="F39" s="3289"/>
      <c r="G39" s="3289"/>
      <c r="H39" s="3289"/>
    </row>
    <row r="40" spans="2:9" ht="15.6" x14ac:dyDescent="0.3">
      <c r="B40" s="1454" t="s">
        <v>1655</v>
      </c>
      <c r="C40" s="3294"/>
      <c r="D40" s="3287"/>
      <c r="E40" s="3289"/>
      <c r="F40" s="3289"/>
      <c r="G40" s="3289"/>
      <c r="H40" s="3289"/>
    </row>
    <row r="41" spans="2:9" ht="15.6" x14ac:dyDescent="0.3">
      <c r="B41" s="1454" t="s">
        <v>2463</v>
      </c>
      <c r="C41" s="3294"/>
      <c r="D41" s="3287"/>
      <c r="E41" s="3289"/>
      <c r="F41" s="3289"/>
      <c r="G41" s="3289"/>
      <c r="H41" s="3289"/>
    </row>
    <row r="42" spans="2:9" ht="15.6" x14ac:dyDescent="0.3">
      <c r="B42" s="1454" t="s">
        <v>1900</v>
      </c>
      <c r="C42" s="3293">
        <v>11.27501</v>
      </c>
      <c r="D42" s="3287">
        <v>13.55836</v>
      </c>
      <c r="E42" s="3289"/>
      <c r="F42" s="3289"/>
      <c r="G42" s="3289"/>
      <c r="H42" s="3289"/>
    </row>
    <row r="43" spans="2:9" ht="15.6" x14ac:dyDescent="0.3">
      <c r="B43" s="1454" t="s">
        <v>1543</v>
      </c>
      <c r="C43" s="3295">
        <v>2.4500000000000002</v>
      </c>
      <c r="D43" s="3287">
        <v>3.58006</v>
      </c>
      <c r="E43" s="3289"/>
      <c r="F43" s="3289"/>
      <c r="G43" s="3289"/>
      <c r="H43" s="3289"/>
    </row>
    <row r="44" spans="2:9" ht="15.6" x14ac:dyDescent="0.3">
      <c r="B44" s="1454" t="s">
        <v>1540</v>
      </c>
      <c r="C44" s="3294"/>
      <c r="D44" s="3287"/>
      <c r="E44" s="3289"/>
      <c r="F44" s="3289"/>
      <c r="G44" s="3289"/>
      <c r="H44" s="3289"/>
    </row>
    <row r="45" spans="2:9" ht="15.6" x14ac:dyDescent="0.3">
      <c r="B45" s="1450" t="s">
        <v>1583</v>
      </c>
      <c r="C45" s="3294"/>
      <c r="D45" s="3287"/>
      <c r="E45" s="3289"/>
      <c r="F45" s="3289"/>
      <c r="G45" s="3289">
        <f>(48000+20000)/1000</f>
        <v>68</v>
      </c>
      <c r="H45" s="3289"/>
      <c r="I45" s="1501"/>
    </row>
    <row r="46" spans="2:9" ht="31.2" x14ac:dyDescent="0.3">
      <c r="B46" s="1450" t="s">
        <v>1391</v>
      </c>
      <c r="C46" s="3294"/>
      <c r="D46" s="3287"/>
      <c r="E46" s="3289"/>
      <c r="F46" s="3289"/>
      <c r="G46" s="3289"/>
      <c r="H46" s="3289"/>
    </row>
    <row r="47" spans="2:9" ht="15.6" x14ac:dyDescent="0.3">
      <c r="B47" s="1455" t="s">
        <v>1392</v>
      </c>
      <c r="C47" s="3295">
        <v>27.259639999999997</v>
      </c>
      <c r="D47" s="3287">
        <v>24.06606</v>
      </c>
      <c r="E47" s="3289"/>
      <c r="F47" s="3289"/>
      <c r="G47" s="3289"/>
      <c r="H47" s="3289"/>
    </row>
    <row r="48" spans="2:9" ht="15.6" x14ac:dyDescent="0.3">
      <c r="B48" s="1455" t="s">
        <v>1393</v>
      </c>
      <c r="C48" s="3294"/>
      <c r="D48" s="3287"/>
      <c r="E48" s="3289"/>
      <c r="F48" s="3289"/>
      <c r="G48" s="3289"/>
      <c r="H48" s="3289"/>
    </row>
    <row r="49" spans="2:8" ht="46.8" x14ac:dyDescent="0.3">
      <c r="B49" s="1456" t="s">
        <v>1582</v>
      </c>
      <c r="C49" s="3294"/>
      <c r="D49" s="3287"/>
      <c r="E49" s="3289"/>
      <c r="F49" s="3289"/>
      <c r="G49" s="3289"/>
      <c r="H49" s="3289"/>
    </row>
    <row r="50" spans="2:8" ht="31.2" x14ac:dyDescent="0.3">
      <c r="B50" s="1453" t="s">
        <v>1399</v>
      </c>
      <c r="C50" s="3293"/>
      <c r="D50" s="3287"/>
      <c r="E50" s="3289"/>
      <c r="F50" s="3289"/>
      <c r="G50" s="3289"/>
      <c r="H50" s="3289"/>
    </row>
    <row r="51" spans="2:8" ht="31.2" x14ac:dyDescent="0.3">
      <c r="B51" s="1450" t="s">
        <v>1581</v>
      </c>
      <c r="C51" s="3284"/>
      <c r="D51" s="3287"/>
      <c r="E51" s="3289"/>
      <c r="F51" s="3289"/>
      <c r="G51" s="3289"/>
      <c r="H51" s="3289"/>
    </row>
    <row r="52" spans="2:8" ht="15.6" x14ac:dyDescent="0.3">
      <c r="B52" s="1450" t="s">
        <v>3525</v>
      </c>
      <c r="C52" s="3295">
        <v>9.2806200000000008</v>
      </c>
      <c r="D52" s="3287">
        <v>65.737960000000001</v>
      </c>
      <c r="E52" s="3289"/>
      <c r="F52" s="3289"/>
      <c r="G52" s="3289"/>
      <c r="H52" s="3289"/>
    </row>
    <row r="53" spans="2:8" ht="15.6" x14ac:dyDescent="0.3">
      <c r="B53" s="1450" t="s">
        <v>58</v>
      </c>
      <c r="C53" s="3295">
        <v>40.438199999999995</v>
      </c>
      <c r="D53" s="3287">
        <v>17.468679999999999</v>
      </c>
      <c r="E53" s="3289"/>
      <c r="F53" s="3289"/>
      <c r="G53" s="3289"/>
      <c r="H53" s="3289"/>
    </row>
  </sheetData>
  <mergeCells count="8">
    <mergeCell ref="A1:F1"/>
    <mergeCell ref="B3:B5"/>
    <mergeCell ref="E3:F3"/>
    <mergeCell ref="G3:H3"/>
    <mergeCell ref="E4:E5"/>
    <mergeCell ref="F4:F5"/>
    <mergeCell ref="G4:G5"/>
    <mergeCell ref="H4:H5"/>
  </mergeCells>
  <pageMargins left="0.7" right="0.7" top="0.75" bottom="0.75" header="0.3" footer="0.3"/>
  <pageSetup paperSize="9" orientation="portrait" horizontalDpi="0" verticalDpi="0" r:id="rId1"/>
</worksheet>
</file>

<file path=xl/worksheets/sheet9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C00-000000000000}">
  <sheetPr codeName="Лист89">
    <tabColor theme="7" tint="0.39997558519241921"/>
  </sheetPr>
  <dimension ref="A1"/>
  <sheetViews>
    <sheetView workbookViewId="0">
      <selection activeCell="F5" sqref="F5"/>
    </sheetView>
  </sheetViews>
  <sheetFormatPr defaultRowHeight="14.4" x14ac:dyDescent="0.3"/>
  <sheetData/>
  <pageMargins left="0.7" right="0.7" top="0.75" bottom="0.75" header="0.3" footer="0.3"/>
</worksheet>
</file>

<file path=xl/worksheets/sheet9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D00-000000000000}">
  <sheetPr codeName="Лист90"/>
  <dimension ref="A4:D15"/>
  <sheetViews>
    <sheetView workbookViewId="0">
      <selection activeCell="D5" sqref="D5"/>
    </sheetView>
  </sheetViews>
  <sheetFormatPr defaultRowHeight="14.4" x14ac:dyDescent="0.3"/>
  <cols>
    <col min="1" max="1" width="8.88671875" style="1493"/>
    <col min="2" max="2" width="53.109375" customWidth="1"/>
    <col min="4" max="4" width="43.44140625" customWidth="1"/>
  </cols>
  <sheetData>
    <row r="4" spans="1:4" s="1466" customFormat="1" x14ac:dyDescent="0.3">
      <c r="A4" s="1495">
        <v>1</v>
      </c>
      <c r="B4" s="1466" t="s">
        <v>2519</v>
      </c>
    </row>
    <row r="5" spans="1:4" ht="43.2" x14ac:dyDescent="0.3">
      <c r="A5" s="1493" t="s">
        <v>1749</v>
      </c>
      <c r="B5" s="1502" t="s">
        <v>2541</v>
      </c>
      <c r="C5">
        <f>1500/1.2</f>
        <v>1250</v>
      </c>
      <c r="D5" s="1502" t="s">
        <v>2542</v>
      </c>
    </row>
    <row r="11" spans="1:4" s="1466" customFormat="1" x14ac:dyDescent="0.3">
      <c r="A11" s="1495">
        <v>6</v>
      </c>
      <c r="B11" s="1466" t="s">
        <v>2536</v>
      </c>
    </row>
    <row r="12" spans="1:4" x14ac:dyDescent="0.3">
      <c r="A12" s="1494" t="s">
        <v>1853</v>
      </c>
      <c r="B12" t="s">
        <v>2512</v>
      </c>
      <c r="C12">
        <v>20880</v>
      </c>
      <c r="D12" t="s">
        <v>2513</v>
      </c>
    </row>
    <row r="13" spans="1:4" x14ac:dyDescent="0.3">
      <c r="A13" s="1493" t="s">
        <v>1855</v>
      </c>
      <c r="B13" t="s">
        <v>2530</v>
      </c>
      <c r="C13">
        <v>4058.52</v>
      </c>
      <c r="D13" t="s">
        <v>2538</v>
      </c>
    </row>
    <row r="14" spans="1:4" x14ac:dyDescent="0.3">
      <c r="C14">
        <v>3564</v>
      </c>
      <c r="D14" t="s">
        <v>2537</v>
      </c>
    </row>
    <row r="15" spans="1:4" x14ac:dyDescent="0.3">
      <c r="A15" s="1493" t="s">
        <v>2539</v>
      </c>
    </row>
  </sheetData>
  <pageMargins left="0.7" right="0.7" top="0.75" bottom="0.75" header="0.3" footer="0.3"/>
</worksheet>
</file>

<file path=xl/worksheets/sheet9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E00-000000000000}">
  <sheetPr codeName="Лист91">
    <tabColor theme="3" tint="0.39997558519241921"/>
  </sheetPr>
  <dimension ref="A1:K42"/>
  <sheetViews>
    <sheetView topLeftCell="A35" workbookViewId="0">
      <selection activeCell="B46" sqref="B46"/>
    </sheetView>
  </sheetViews>
  <sheetFormatPr defaultColWidth="8.88671875" defaultRowHeight="13.8" x14ac:dyDescent="0.25"/>
  <cols>
    <col min="1" max="1" width="8.88671875" style="10"/>
    <col min="2" max="2" width="33.6640625" style="10" customWidth="1"/>
    <col min="3" max="3" width="9.44140625" style="10" customWidth="1"/>
    <col min="4" max="5" width="11.109375" style="10" customWidth="1"/>
    <col min="6" max="6" width="14.6640625" style="10" customWidth="1"/>
    <col min="7" max="7" width="12.44140625" style="10" customWidth="1"/>
    <col min="8" max="9" width="10.44140625" style="10" customWidth="1"/>
    <col min="10" max="16384" width="8.88671875" style="10"/>
  </cols>
  <sheetData>
    <row r="1" spans="1:11" ht="15.6" customHeight="1" x14ac:dyDescent="0.3">
      <c r="A1" s="5591" t="s">
        <v>2438</v>
      </c>
      <c r="B1" s="5591"/>
      <c r="C1" s="5591"/>
      <c r="D1" s="5591"/>
      <c r="E1" s="5591"/>
      <c r="F1" s="5591"/>
      <c r="G1" s="5591"/>
    </row>
    <row r="2" spans="1:11" ht="16.2" thickBot="1" x14ac:dyDescent="0.3">
      <c r="F2" s="40"/>
      <c r="G2" s="1426" t="s">
        <v>967</v>
      </c>
    </row>
    <row r="3" spans="1:11" ht="14.4" customHeight="1" thickBot="1" x14ac:dyDescent="0.3">
      <c r="A3" s="5793" t="s">
        <v>2263</v>
      </c>
      <c r="B3" s="5796" t="s">
        <v>8</v>
      </c>
      <c r="C3" s="5799" t="s">
        <v>2264</v>
      </c>
      <c r="D3" s="5498" t="s">
        <v>3198</v>
      </c>
      <c r="E3" s="5498" t="s">
        <v>3523</v>
      </c>
      <c r="F3" s="5785" t="s">
        <v>2457</v>
      </c>
      <c r="G3" s="5786"/>
      <c r="H3" s="5785" t="s">
        <v>2458</v>
      </c>
      <c r="I3" s="5786"/>
    </row>
    <row r="4" spans="1:11" ht="14.4" customHeight="1" x14ac:dyDescent="0.25">
      <c r="A4" s="5794"/>
      <c r="B4" s="5797"/>
      <c r="C4" s="5784"/>
      <c r="D4" s="5801"/>
      <c r="E4" s="5801"/>
      <c r="F4" s="5787" t="s">
        <v>786</v>
      </c>
      <c r="G4" s="5788" t="s">
        <v>2439</v>
      </c>
      <c r="H4" s="5787" t="s">
        <v>786</v>
      </c>
      <c r="I4" s="5788" t="s">
        <v>2439</v>
      </c>
    </row>
    <row r="5" spans="1:11" ht="14.4" customHeight="1" x14ac:dyDescent="0.25">
      <c r="A5" s="5794"/>
      <c r="B5" s="5797"/>
      <c r="C5" s="5784"/>
      <c r="D5" s="5801"/>
      <c r="E5" s="5801"/>
      <c r="F5" s="4948"/>
      <c r="G5" s="5789"/>
      <c r="H5" s="4948"/>
      <c r="I5" s="5789"/>
    </row>
    <row r="6" spans="1:11" ht="15" customHeight="1" thickBot="1" x14ac:dyDescent="0.3">
      <c r="A6" s="5795"/>
      <c r="B6" s="5798"/>
      <c r="C6" s="5800"/>
      <c r="D6" s="5802"/>
      <c r="E6" s="5802"/>
      <c r="F6" s="4948"/>
      <c r="G6" s="5790"/>
      <c r="H6" s="4948"/>
      <c r="I6" s="5790"/>
    </row>
    <row r="7" spans="1:11" s="1445" customFormat="1" x14ac:dyDescent="0.3">
      <c r="A7" s="1443">
        <v>1</v>
      </c>
      <c r="B7" s="1444">
        <f>A7+1</f>
        <v>2</v>
      </c>
      <c r="C7" s="1444">
        <f t="shared" ref="C7:I7" si="0">B7+1</f>
        <v>3</v>
      </c>
      <c r="D7" s="1444"/>
      <c r="E7" s="1444">
        <f>C7+1</f>
        <v>4</v>
      </c>
      <c r="F7" s="1444">
        <f t="shared" si="0"/>
        <v>5</v>
      </c>
      <c r="G7" s="1444">
        <f t="shared" si="0"/>
        <v>6</v>
      </c>
      <c r="H7" s="1444">
        <f t="shared" si="0"/>
        <v>7</v>
      </c>
      <c r="I7" s="1444">
        <f t="shared" si="0"/>
        <v>8</v>
      </c>
    </row>
    <row r="8" spans="1:11" ht="15.6" x14ac:dyDescent="0.25">
      <c r="A8" s="1129">
        <v>1</v>
      </c>
      <c r="B8" s="1439" t="s">
        <v>2269</v>
      </c>
      <c r="C8" s="1427" t="s">
        <v>2270</v>
      </c>
      <c r="D8" s="1427"/>
      <c r="E8" s="1427"/>
      <c r="F8" s="1428">
        <f>F9+F10+F11+F15</f>
        <v>3596.8017961968058</v>
      </c>
      <c r="G8" s="1428">
        <f>G9+G10+G11+G15</f>
        <v>15.898450274035984</v>
      </c>
      <c r="H8" s="1428" t="e">
        <f>H9+H10+H11+H15</f>
        <v>#REF!</v>
      </c>
      <c r="I8" s="12"/>
    </row>
    <row r="9" spans="1:11" ht="15.6" x14ac:dyDescent="0.25">
      <c r="A9" s="1129" t="s">
        <v>23</v>
      </c>
      <c r="B9" s="1439" t="s">
        <v>102</v>
      </c>
      <c r="C9" s="1427" t="s">
        <v>40</v>
      </c>
      <c r="D9" s="1427"/>
      <c r="E9" s="1427"/>
      <c r="F9" s="1429">
        <v>78.303202929999998</v>
      </c>
      <c r="G9" s="1429">
        <f>F9/$F$33/12*1000</f>
        <v>0.34611292159514845</v>
      </c>
      <c r="H9" s="1429" t="e">
        <f>#REF!</f>
        <v>#REF!</v>
      </c>
      <c r="I9" s="12"/>
    </row>
    <row r="10" spans="1:11" ht="15.6" x14ac:dyDescent="0.25">
      <c r="A10" s="1129" t="s">
        <v>24</v>
      </c>
      <c r="B10" s="1439" t="s">
        <v>47</v>
      </c>
      <c r="C10" s="1427" t="s">
        <v>40</v>
      </c>
      <c r="D10" s="1427"/>
      <c r="E10" s="1427"/>
      <c r="F10" s="1429">
        <v>1860.4795978000002</v>
      </c>
      <c r="G10" s="1429">
        <f>F10/$F$33/12*1000</f>
        <v>8.2236231094962786</v>
      </c>
      <c r="H10" s="1429">
        <f>ФОП!H29/1000</f>
        <v>4002.4260561000001</v>
      </c>
      <c r="I10" s="12"/>
    </row>
    <row r="11" spans="1:11" ht="15.6" x14ac:dyDescent="0.25">
      <c r="A11" s="1129" t="s">
        <v>48</v>
      </c>
      <c r="B11" s="1439" t="s">
        <v>2274</v>
      </c>
      <c r="C11" s="1427" t="s">
        <v>40</v>
      </c>
      <c r="D11" s="1427"/>
      <c r="E11" s="1427"/>
      <c r="F11" s="1428">
        <f>SUM(F12:F14)</f>
        <v>1265.514658535928</v>
      </c>
      <c r="G11" s="1428">
        <f>SUM(G12:G14)</f>
        <v>5.5937810893753772</v>
      </c>
      <c r="H11" s="1428" t="e">
        <f>SUM(H12:H14)</f>
        <v>#REF!</v>
      </c>
      <c r="I11" s="12"/>
    </row>
    <row r="12" spans="1:11" ht="15.6" x14ac:dyDescent="0.25">
      <c r="A12" s="1133" t="s">
        <v>49</v>
      </c>
      <c r="B12" s="1440" t="s">
        <v>2275</v>
      </c>
      <c r="C12" s="1430" t="s">
        <v>40</v>
      </c>
      <c r="D12" s="1430"/>
      <c r="E12" s="1430"/>
      <c r="F12" s="1429">
        <v>401.08775403099997</v>
      </c>
      <c r="G12" s="1429">
        <f>F12/$F$33/12*1000</f>
        <v>1.772873256382715</v>
      </c>
      <c r="H12" s="1429">
        <f>ФОП!H31/1000</f>
        <v>760.57735636166251</v>
      </c>
      <c r="I12" s="12"/>
      <c r="K12" s="10">
        <f>H10*22%</f>
        <v>880.53373234200001</v>
      </c>
    </row>
    <row r="13" spans="1:11" ht="15.6" x14ac:dyDescent="0.25">
      <c r="A13" s="1133" t="s">
        <v>50</v>
      </c>
      <c r="B13" s="1440" t="s">
        <v>2276</v>
      </c>
      <c r="C13" s="1430" t="s">
        <v>40</v>
      </c>
      <c r="D13" s="1430"/>
      <c r="E13" s="1430"/>
      <c r="F13" s="1429">
        <v>12.589230000000002</v>
      </c>
      <c r="G13" s="1429">
        <f>F13/$F$33/12*1000</f>
        <v>5.5646448841033265E-2</v>
      </c>
      <c r="H13" s="1429" t="e">
        <f>#REF!+#REF!</f>
        <v>#REF!</v>
      </c>
      <c r="I13" s="12"/>
    </row>
    <row r="14" spans="1:11" ht="15.6" x14ac:dyDescent="0.25">
      <c r="A14" s="1133" t="s">
        <v>51</v>
      </c>
      <c r="B14" s="1440" t="s">
        <v>2440</v>
      </c>
      <c r="C14" s="1430" t="s">
        <v>40</v>
      </c>
      <c r="D14" s="1430"/>
      <c r="E14" s="1430"/>
      <c r="F14" s="1429">
        <v>851.83767450492792</v>
      </c>
      <c r="G14" s="1429">
        <f>F14/$F$33/12*1000</f>
        <v>3.7652613841516289</v>
      </c>
      <c r="H14" s="1429" t="e">
        <f>#REF!-#REF!-#REF!</f>
        <v>#REF!</v>
      </c>
      <c r="I14" s="12"/>
    </row>
    <row r="15" spans="1:11" ht="31.2" x14ac:dyDescent="0.25">
      <c r="A15" s="1129" t="s">
        <v>53</v>
      </c>
      <c r="B15" s="1439" t="s">
        <v>2277</v>
      </c>
      <c r="C15" s="1427" t="s">
        <v>40</v>
      </c>
      <c r="D15" s="1427"/>
      <c r="E15" s="1427"/>
      <c r="F15" s="1428">
        <f>SUM(F16:F18)</f>
        <v>392.50433693087717</v>
      </c>
      <c r="G15" s="1428">
        <f>SUM(G16:G18)</f>
        <v>1.7349331535691808</v>
      </c>
      <c r="H15" s="1428">
        <f>SUM(H16:H18)</f>
        <v>0</v>
      </c>
      <c r="I15" s="12"/>
    </row>
    <row r="16" spans="1:11" ht="15.6" x14ac:dyDescent="0.25">
      <c r="A16" s="1133" t="s">
        <v>54</v>
      </c>
      <c r="B16" s="1440" t="s">
        <v>55</v>
      </c>
      <c r="C16" s="1430" t="s">
        <v>40</v>
      </c>
      <c r="D16" s="1430"/>
      <c r="E16" s="1430"/>
      <c r="F16" s="1429">
        <v>319.59371987015385</v>
      </c>
      <c r="G16" s="1429">
        <f>F16/$F$33/12*1000</f>
        <v>1.412656340591921</v>
      </c>
      <c r="H16" s="1429">
        <f>ЗВВ_2ст!M21</f>
        <v>0</v>
      </c>
      <c r="I16" s="12"/>
    </row>
    <row r="17" spans="1:9" ht="15.6" x14ac:dyDescent="0.25">
      <c r="A17" s="1133" t="s">
        <v>56</v>
      </c>
      <c r="B17" s="1440" t="s">
        <v>2275</v>
      </c>
      <c r="C17" s="1430" t="s">
        <v>40</v>
      </c>
      <c r="D17" s="1430"/>
      <c r="E17" s="1430"/>
      <c r="F17" s="1429">
        <v>67.943334807053958</v>
      </c>
      <c r="G17" s="1429">
        <f>F17/$F$33/12*1000</f>
        <v>0.30032061567148449</v>
      </c>
      <c r="H17" s="1429">
        <f>ЗВВ_2ст!M23</f>
        <v>0</v>
      </c>
      <c r="I17" s="12"/>
    </row>
    <row r="18" spans="1:9" ht="15.6" x14ac:dyDescent="0.25">
      <c r="A18" s="1133" t="s">
        <v>57</v>
      </c>
      <c r="B18" s="1440" t="s">
        <v>58</v>
      </c>
      <c r="C18" s="1430" t="s">
        <v>40</v>
      </c>
      <c r="D18" s="1430"/>
      <c r="E18" s="1430"/>
      <c r="F18" s="1429">
        <v>4.9672822536693451</v>
      </c>
      <c r="G18" s="1429">
        <f>F18/$F$33/12*1000</f>
        <v>2.1956197305775145E-2</v>
      </c>
      <c r="H18" s="1429">
        <f>ЗВВ_2ст!M8-ЗВВ_2ст!M20</f>
        <v>0</v>
      </c>
      <c r="I18" s="12"/>
    </row>
    <row r="19" spans="1:9" ht="18.600000000000001" customHeight="1" x14ac:dyDescent="0.25">
      <c r="A19" s="1129">
        <v>2</v>
      </c>
      <c r="B19" s="1439" t="s">
        <v>2278</v>
      </c>
      <c r="C19" s="1427" t="s">
        <v>40</v>
      </c>
      <c r="D19" s="1427"/>
      <c r="E19" s="1427"/>
      <c r="F19" s="1428">
        <f>F20+F21+F22</f>
        <v>532.71100151679912</v>
      </c>
      <c r="G19" s="1428">
        <f>G20+G21+G22</f>
        <v>2.3546694669141917</v>
      </c>
      <c r="H19" s="1428">
        <f>H20+H21+H22</f>
        <v>0</v>
      </c>
      <c r="I19" s="12"/>
    </row>
    <row r="20" spans="1:9" ht="15.6" x14ac:dyDescent="0.25">
      <c r="A20" s="1133" t="s">
        <v>25</v>
      </c>
      <c r="B20" s="1440" t="s">
        <v>55</v>
      </c>
      <c r="C20" s="1430" t="s">
        <v>40</v>
      </c>
      <c r="D20" s="1430"/>
      <c r="E20" s="1430"/>
      <c r="F20" s="1429">
        <v>387.09181655262887</v>
      </c>
      <c r="G20" s="1429">
        <f>F20/$F$33/12*1000</f>
        <v>1.7110089311720011</v>
      </c>
      <c r="H20" s="1429"/>
      <c r="I20" s="12"/>
    </row>
    <row r="21" spans="1:9" ht="15.6" x14ac:dyDescent="0.25">
      <c r="A21" s="1133" t="s">
        <v>26</v>
      </c>
      <c r="B21" s="1440" t="s">
        <v>2275</v>
      </c>
      <c r="C21" s="1430" t="s">
        <v>40</v>
      </c>
      <c r="D21" s="1430"/>
      <c r="E21" s="1430"/>
      <c r="F21" s="1429">
        <v>85.160199641578359</v>
      </c>
      <c r="G21" s="1429">
        <f>F21/$F$33/12*1000</f>
        <v>0.3764219648578403</v>
      </c>
      <c r="H21" s="1429"/>
      <c r="I21" s="12"/>
    </row>
    <row r="22" spans="1:9" ht="15.6" x14ac:dyDescent="0.25">
      <c r="A22" s="1133" t="s">
        <v>59</v>
      </c>
      <c r="B22" s="1440" t="s">
        <v>58</v>
      </c>
      <c r="C22" s="1430" t="s">
        <v>40</v>
      </c>
      <c r="D22" s="1430"/>
      <c r="E22" s="1430"/>
      <c r="F22" s="1429">
        <v>60.45898532259185</v>
      </c>
      <c r="G22" s="1429">
        <f>F22/$F$33/12*1000</f>
        <v>0.26723857088435021</v>
      </c>
      <c r="H22" s="1429"/>
      <c r="I22" s="12"/>
    </row>
    <row r="23" spans="1:9" ht="15.6" x14ac:dyDescent="0.25">
      <c r="A23" s="1133" t="s">
        <v>173</v>
      </c>
      <c r="B23" s="1440" t="s">
        <v>2441</v>
      </c>
      <c r="C23" s="1430" t="s">
        <v>40</v>
      </c>
      <c r="D23" s="1430"/>
      <c r="E23" s="1430"/>
      <c r="F23" s="1429"/>
      <c r="G23" s="1429"/>
      <c r="H23" s="1429"/>
      <c r="I23" s="12"/>
    </row>
    <row r="24" spans="1:9" ht="15.6" x14ac:dyDescent="0.25">
      <c r="A24" s="1133" t="s">
        <v>174</v>
      </c>
      <c r="B24" s="1440" t="s">
        <v>5</v>
      </c>
      <c r="C24" s="1430" t="s">
        <v>40</v>
      </c>
      <c r="D24" s="1430"/>
      <c r="E24" s="1430"/>
      <c r="F24" s="1429">
        <v>9.35</v>
      </c>
      <c r="G24" s="1429">
        <f>F24/$F$33/12*1000</f>
        <v>4.1328524195972341E-2</v>
      </c>
      <c r="H24" s="1429"/>
      <c r="I24" s="12"/>
    </row>
    <row r="25" spans="1:9" ht="15.6" x14ac:dyDescent="0.25">
      <c r="A25" s="1129" t="s">
        <v>169</v>
      </c>
      <c r="B25" s="1439" t="s">
        <v>2442</v>
      </c>
      <c r="C25" s="1427" t="s">
        <v>40</v>
      </c>
      <c r="D25" s="1427"/>
      <c r="E25" s="1427"/>
      <c r="F25" s="1428">
        <f>F8+F19+F23+F24</f>
        <v>4138.8627977136057</v>
      </c>
      <c r="G25" s="1428">
        <f>G8+G19+G23+G24</f>
        <v>18.294448265146148</v>
      </c>
      <c r="H25" s="1428" t="e">
        <f>H8+H19+H23+H24</f>
        <v>#REF!</v>
      </c>
      <c r="I25" s="12"/>
    </row>
    <row r="26" spans="1:9" ht="31.2" x14ac:dyDescent="0.25">
      <c r="A26" s="1129" t="s">
        <v>170</v>
      </c>
      <c r="B26" s="1439" t="s">
        <v>2443</v>
      </c>
      <c r="C26" s="1427" t="s">
        <v>40</v>
      </c>
      <c r="D26" s="1427"/>
      <c r="E26" s="1427"/>
      <c r="F26" s="1428">
        <f>F27+F28+F29+F30+F31</f>
        <v>118.76220366466589</v>
      </c>
      <c r="G26" s="1428">
        <f>G27+G28+G29+G30+G31</f>
        <v>0.52494830029113793</v>
      </c>
      <c r="H26" s="1428" t="e">
        <f>H27+H28+H29+H30+H31</f>
        <v>#REF!</v>
      </c>
      <c r="I26" s="12"/>
    </row>
    <row r="27" spans="1:9" ht="15.6" x14ac:dyDescent="0.25">
      <c r="A27" s="1133" t="s">
        <v>32</v>
      </c>
      <c r="B27" s="1440" t="s">
        <v>65</v>
      </c>
      <c r="C27" s="1430" t="s">
        <v>40</v>
      </c>
      <c r="D27" s="1430"/>
      <c r="E27" s="1430"/>
      <c r="F27" s="1429">
        <f>(F31+F30+F29+F28)/82*18</f>
        <v>21.377196659639857</v>
      </c>
      <c r="G27" s="1429">
        <f>F27/$F$33/12*1000</f>
        <v>9.4490694052404817E-2</v>
      </c>
      <c r="H27" s="1429" t="e">
        <f>(H31+H30+H29+H28)/82*18</f>
        <v>#REF!</v>
      </c>
      <c r="I27" s="12"/>
    </row>
    <row r="28" spans="1:9" ht="15.6" x14ac:dyDescent="0.25">
      <c r="A28" s="1133" t="s">
        <v>33</v>
      </c>
      <c r="B28" s="1440" t="s">
        <v>84</v>
      </c>
      <c r="C28" s="1430" t="s">
        <v>40</v>
      </c>
      <c r="D28" s="1430"/>
      <c r="E28" s="1430"/>
      <c r="F28" s="1429">
        <f>(F31+F30+F29)/85*15</f>
        <v>14.607751050753905</v>
      </c>
      <c r="G28" s="1429">
        <f>F28/$F$33/12*1000</f>
        <v>6.4568640935809968E-2</v>
      </c>
      <c r="H28" s="1429" t="e">
        <f>(H31+H30+H29)/85*15</f>
        <v>#REF!</v>
      </c>
      <c r="I28" s="12"/>
    </row>
    <row r="29" spans="1:9" ht="15.6" x14ac:dyDescent="0.25">
      <c r="A29" s="1133" t="s">
        <v>34</v>
      </c>
      <c r="B29" s="1440" t="s">
        <v>85</v>
      </c>
      <c r="C29" s="1430" t="s">
        <v>40</v>
      </c>
      <c r="D29" s="1430"/>
      <c r="E29" s="1430"/>
      <c r="F29" s="1429">
        <v>0</v>
      </c>
      <c r="G29" s="1429">
        <f>F29/$F$33/12*1000</f>
        <v>0</v>
      </c>
      <c r="H29" s="1429">
        <v>0</v>
      </c>
      <c r="I29" s="12"/>
    </row>
    <row r="30" spans="1:9" ht="31.2" x14ac:dyDescent="0.25">
      <c r="A30" s="1133" t="s">
        <v>2444</v>
      </c>
      <c r="B30" s="1440" t="s">
        <v>71</v>
      </c>
      <c r="C30" s="1430" t="s">
        <v>40</v>
      </c>
      <c r="D30" s="1430"/>
      <c r="E30" s="1430"/>
      <c r="F30" s="1429">
        <f>F25*2%</f>
        <v>82.777255954272121</v>
      </c>
      <c r="G30" s="1429">
        <f>F30/$F$33/12*1000</f>
        <v>0.36588896530292314</v>
      </c>
      <c r="H30" s="1429" t="e">
        <f>H25*2%</f>
        <v>#REF!</v>
      </c>
      <c r="I30" s="12"/>
    </row>
    <row r="31" spans="1:9" ht="15.6" x14ac:dyDescent="0.25">
      <c r="A31" s="1133" t="s">
        <v>2445</v>
      </c>
      <c r="B31" s="1440" t="s">
        <v>2446</v>
      </c>
      <c r="C31" s="1430" t="s">
        <v>40</v>
      </c>
      <c r="D31" s="1430"/>
      <c r="E31" s="1430"/>
      <c r="F31" s="1429">
        <v>0</v>
      </c>
      <c r="G31" s="1429">
        <f>F31/$F$33/12*1000</f>
        <v>0</v>
      </c>
      <c r="H31" s="1429">
        <v>0</v>
      </c>
      <c r="I31" s="12"/>
    </row>
    <row r="32" spans="1:9" ht="31.2" x14ac:dyDescent="0.25">
      <c r="A32" s="1431" t="s">
        <v>171</v>
      </c>
      <c r="B32" s="1439" t="s">
        <v>2283</v>
      </c>
      <c r="C32" s="1131" t="s">
        <v>40</v>
      </c>
      <c r="D32" s="1131"/>
      <c r="E32" s="1131"/>
      <c r="F32" s="1428">
        <f>F25+F26</f>
        <v>4257.6250013782719</v>
      </c>
      <c r="G32" s="1428">
        <f>G25+G26</f>
        <v>18.819396565437287</v>
      </c>
      <c r="H32" s="1428" t="e">
        <f>H25+H26</f>
        <v>#REF!</v>
      </c>
      <c r="I32" s="12"/>
    </row>
    <row r="33" spans="1:9" ht="15.6" x14ac:dyDescent="0.25">
      <c r="A33" s="1432" t="s">
        <v>172</v>
      </c>
      <c r="B33" s="1440" t="s">
        <v>2447</v>
      </c>
      <c r="C33" s="1135" t="s">
        <v>876</v>
      </c>
      <c r="D33" s="1135"/>
      <c r="E33" s="1135"/>
      <c r="F33" s="1433">
        <v>18853</v>
      </c>
      <c r="G33" s="1307">
        <v>1</v>
      </c>
      <c r="H33" s="1442">
        <v>18853</v>
      </c>
      <c r="I33" s="12">
        <v>1</v>
      </c>
    </row>
    <row r="34" spans="1:9" ht="31.2" x14ac:dyDescent="0.25">
      <c r="A34" s="1129" t="s">
        <v>187</v>
      </c>
      <c r="B34" s="1439" t="s">
        <v>2448</v>
      </c>
      <c r="C34" s="1434" t="s">
        <v>2449</v>
      </c>
      <c r="D34" s="1434"/>
      <c r="E34" s="1434"/>
      <c r="F34" s="1429">
        <f>ROUND(F32/F33*1000/12,2)</f>
        <v>18.82</v>
      </c>
      <c r="G34" s="1307"/>
      <c r="H34" s="1429" t="e">
        <f>ROUND(H32/H33*1000/12,2)</f>
        <v>#REF!</v>
      </c>
      <c r="I34" s="12"/>
    </row>
    <row r="35" spans="1:9" ht="31.2" x14ac:dyDescent="0.25">
      <c r="A35" s="1129" t="s">
        <v>188</v>
      </c>
      <c r="B35" s="1439" t="s">
        <v>2450</v>
      </c>
      <c r="C35" s="1131" t="s">
        <v>2449</v>
      </c>
      <c r="D35" s="1131"/>
      <c r="E35" s="1131"/>
      <c r="F35" s="1435">
        <f>F34+I34</f>
        <v>18.82</v>
      </c>
      <c r="G35" s="1307"/>
      <c r="H35" s="1435" t="e">
        <f>H34+K34</f>
        <v>#REF!</v>
      </c>
      <c r="I35" s="12"/>
    </row>
    <row r="36" spans="1:9" ht="15.6" x14ac:dyDescent="0.25">
      <c r="A36" s="1129"/>
      <c r="B36" s="1441" t="s">
        <v>2451</v>
      </c>
      <c r="C36" s="1131"/>
      <c r="D36" s="1131"/>
      <c r="E36" s="1131"/>
      <c r="F36" s="1435"/>
      <c r="G36" s="1307"/>
      <c r="H36" s="1435"/>
      <c r="I36" s="12"/>
    </row>
    <row r="37" spans="1:9" ht="46.8" x14ac:dyDescent="0.25">
      <c r="A37" s="1436" t="s">
        <v>189</v>
      </c>
      <c r="B37" s="1439" t="s">
        <v>2452</v>
      </c>
      <c r="C37" s="1437" t="s">
        <v>2453</v>
      </c>
      <c r="D37" s="1437"/>
      <c r="E37" s="1437"/>
      <c r="F37" s="1428">
        <v>31.15</v>
      </c>
      <c r="G37" s="1307"/>
      <c r="H37" s="1428" t="e">
        <v>#REF!</v>
      </c>
      <c r="I37" s="12"/>
    </row>
    <row r="38" spans="1:9" ht="15.6" customHeight="1" x14ac:dyDescent="0.25">
      <c r="A38" s="1438" t="s">
        <v>2454</v>
      </c>
      <c r="B38" s="5791" t="str">
        <f>CONCATENATE("у тому числі плата банкам за приймання платежів в сумі ",J38,K38," або ",J39," грн. з ПДВ на одного абонента в місяць")</f>
        <v>у тому числі плата банкам за приймання платежів в сумі  або  грн. з ПДВ на одного абонента в місяць</v>
      </c>
      <c r="C38" s="5792"/>
      <c r="D38" s="5792"/>
      <c r="E38" s="5792"/>
      <c r="F38" s="5792"/>
      <c r="G38" s="5792"/>
    </row>
    <row r="39" spans="1:9" ht="15.6" x14ac:dyDescent="0.25">
      <c r="B39" s="3208" t="s">
        <v>614</v>
      </c>
      <c r="C39" s="16"/>
      <c r="F39" s="5783" t="s">
        <v>2455</v>
      </c>
      <c r="G39" s="5783"/>
    </row>
    <row r="40" spans="1:9" ht="15.6" x14ac:dyDescent="0.25">
      <c r="F40" s="40"/>
      <c r="G40" s="40"/>
    </row>
    <row r="41" spans="1:9" ht="31.2" x14ac:dyDescent="0.25">
      <c r="A41" s="3208"/>
      <c r="B41" s="3208" t="s">
        <v>904</v>
      </c>
      <c r="C41" s="16"/>
      <c r="F41" s="5784" t="s">
        <v>2456</v>
      </c>
      <c r="G41" s="5784"/>
    </row>
    <row r="42" spans="1:9" ht="15.6" x14ac:dyDescent="0.25">
      <c r="F42" s="40"/>
      <c r="G42" s="40"/>
    </row>
  </sheetData>
  <mergeCells count="15">
    <mergeCell ref="A1:G1"/>
    <mergeCell ref="A3:A6"/>
    <mergeCell ref="B3:B6"/>
    <mergeCell ref="C3:C6"/>
    <mergeCell ref="D3:D6"/>
    <mergeCell ref="E3:E6"/>
    <mergeCell ref="F3:G3"/>
    <mergeCell ref="F39:G39"/>
    <mergeCell ref="F41:G41"/>
    <mergeCell ref="H3:I3"/>
    <mergeCell ref="F4:F6"/>
    <mergeCell ref="G4:G6"/>
    <mergeCell ref="H4:H6"/>
    <mergeCell ref="I4:I6"/>
    <mergeCell ref="B38:G38"/>
  </mergeCells>
  <pageMargins left="0.7" right="0.7" top="0.75" bottom="0.75" header="0.3" footer="0.3"/>
</worksheet>
</file>

<file path=xl/worksheets/sheet9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5F00-000000000000}">
  <sheetPr codeName="Лист92"/>
  <dimension ref="A1:D55"/>
  <sheetViews>
    <sheetView topLeftCell="A13" workbookViewId="0">
      <selection activeCell="H44" sqref="H44"/>
    </sheetView>
  </sheetViews>
  <sheetFormatPr defaultRowHeight="14.4" x14ac:dyDescent="0.3"/>
  <cols>
    <col min="1" max="1" width="21.33203125" style="1493" customWidth="1"/>
    <col min="2" max="2" width="20.5546875" customWidth="1"/>
    <col min="3" max="4" width="25.33203125" customWidth="1"/>
  </cols>
  <sheetData>
    <row r="1" spans="1:4" ht="18" x14ac:dyDescent="0.3">
      <c r="A1" s="5803" t="s">
        <v>3536</v>
      </c>
      <c r="B1" s="5803"/>
      <c r="C1" s="5803"/>
      <c r="D1" s="5803"/>
    </row>
    <row r="2" spans="1:4" ht="15" thickBot="1" x14ac:dyDescent="0.35">
      <c r="D2" s="467" t="s">
        <v>447</v>
      </c>
    </row>
    <row r="3" spans="1:4" x14ac:dyDescent="0.3">
      <c r="A3" s="5804" t="s">
        <v>3586</v>
      </c>
      <c r="B3" s="5806" t="s">
        <v>474</v>
      </c>
      <c r="C3" s="5808" t="s">
        <v>3537</v>
      </c>
      <c r="D3" s="5809"/>
    </row>
    <row r="4" spans="1:4" s="3585" customFormat="1" ht="77.400000000000006" customHeight="1" thickBot="1" x14ac:dyDescent="0.35">
      <c r="A4" s="5805"/>
      <c r="B4" s="5807"/>
      <c r="C4" s="3665" t="s">
        <v>3538</v>
      </c>
      <c r="D4" s="3666" t="s">
        <v>3539</v>
      </c>
    </row>
    <row r="5" spans="1:4" s="1761" customFormat="1" ht="15.6" x14ac:dyDescent="0.3">
      <c r="A5" s="3591">
        <v>2020</v>
      </c>
      <c r="B5" s="3662">
        <f>SUM(B6:B10)</f>
        <v>2650485.7699999996</v>
      </c>
      <c r="C5" s="3662">
        <f>B5-D5</f>
        <v>2375438.9599999995</v>
      </c>
      <c r="D5" s="3663">
        <f>SUM(D6:D10)</f>
        <v>275046.81</v>
      </c>
    </row>
    <row r="6" spans="1:4" x14ac:dyDescent="0.3">
      <c r="A6" s="3586" t="s">
        <v>1894</v>
      </c>
      <c r="B6" s="3119">
        <v>1247082.3099999998</v>
      </c>
      <c r="C6" s="3119">
        <v>1205264.5499999998</v>
      </c>
      <c r="D6" s="3587">
        <v>41817.759999999995</v>
      </c>
    </row>
    <row r="7" spans="1:4" x14ac:dyDescent="0.3">
      <c r="A7" s="3588" t="s">
        <v>1895</v>
      </c>
      <c r="B7" s="3119">
        <v>1377358.53</v>
      </c>
      <c r="C7" s="3119">
        <v>1144129.48</v>
      </c>
      <c r="D7" s="3587">
        <v>233229.05</v>
      </c>
    </row>
    <row r="8" spans="1:4" x14ac:dyDescent="0.3">
      <c r="A8" s="3588" t="s">
        <v>2233</v>
      </c>
      <c r="B8" s="3119">
        <v>1424.6100000000001</v>
      </c>
      <c r="C8" s="3119">
        <v>1424.6100000000001</v>
      </c>
      <c r="D8" s="3587"/>
    </row>
    <row r="9" spans="1:4" x14ac:dyDescent="0.3">
      <c r="A9" s="3588" t="s">
        <v>3540</v>
      </c>
      <c r="B9" s="3119">
        <v>24620.320000000003</v>
      </c>
      <c r="C9" s="3119">
        <v>24620.320000000003</v>
      </c>
      <c r="D9" s="3587">
        <v>0</v>
      </c>
    </row>
    <row r="10" spans="1:4" x14ac:dyDescent="0.3">
      <c r="A10" s="3588" t="s">
        <v>3541</v>
      </c>
      <c r="B10" s="3119">
        <v>0</v>
      </c>
      <c r="C10" s="3119">
        <v>0</v>
      </c>
      <c r="D10" s="3587"/>
    </row>
    <row r="11" spans="1:4" x14ac:dyDescent="0.3">
      <c r="A11" s="3667" t="s">
        <v>3584</v>
      </c>
      <c r="B11" s="3668"/>
      <c r="C11" s="3668"/>
      <c r="D11" s="3669"/>
    </row>
    <row r="12" spans="1:4" x14ac:dyDescent="0.3">
      <c r="A12" s="3664" t="s">
        <v>3585</v>
      </c>
      <c r="B12" s="3671" t="s">
        <v>3587</v>
      </c>
      <c r="C12" s="3671" t="s">
        <v>3587</v>
      </c>
      <c r="D12" s="3672" t="s">
        <v>3587</v>
      </c>
    </row>
    <row r="13" spans="1:4" ht="15" thickBot="1" x14ac:dyDescent="0.35">
      <c r="A13" s="3654" t="s">
        <v>1897</v>
      </c>
      <c r="B13" s="3670">
        <v>147072.95999999999</v>
      </c>
      <c r="C13" s="3670" t="s">
        <v>3587</v>
      </c>
      <c r="D13" s="3673" t="s">
        <v>3587</v>
      </c>
    </row>
    <row r="14" spans="1:4" ht="15.6" x14ac:dyDescent="0.3">
      <c r="A14" s="3591">
        <v>2021</v>
      </c>
      <c r="B14" s="3662">
        <f>SUM(B15:B19)</f>
        <v>1300416.51</v>
      </c>
      <c r="C14" s="3662">
        <f>B14-D14</f>
        <v>1275520.49</v>
      </c>
      <c r="D14" s="3663">
        <f>SUM(D15:D19)</f>
        <v>24896.02</v>
      </c>
    </row>
    <row r="15" spans="1:4" x14ac:dyDescent="0.3">
      <c r="A15" s="3586" t="s">
        <v>1894</v>
      </c>
      <c r="B15" s="3119">
        <v>544019.49999999988</v>
      </c>
      <c r="C15" s="3119">
        <v>538293.45999999985</v>
      </c>
      <c r="D15" s="3587">
        <v>5726.04</v>
      </c>
    </row>
    <row r="16" spans="1:4" x14ac:dyDescent="0.3">
      <c r="A16" s="3588" t="s">
        <v>1895</v>
      </c>
      <c r="B16" s="3119">
        <v>725536.12000000011</v>
      </c>
      <c r="C16" s="3119">
        <v>706366.14000000013</v>
      </c>
      <c r="D16" s="3587">
        <v>19169.98</v>
      </c>
    </row>
    <row r="17" spans="1:4" x14ac:dyDescent="0.3">
      <c r="A17" s="3588" t="s">
        <v>2233</v>
      </c>
      <c r="B17" s="3119">
        <v>914.26</v>
      </c>
      <c r="C17" s="3119">
        <v>914.26</v>
      </c>
      <c r="D17" s="3587"/>
    </row>
    <row r="18" spans="1:4" x14ac:dyDescent="0.3">
      <c r="A18" s="3588" t="s">
        <v>3540</v>
      </c>
      <c r="B18" s="3119">
        <v>29946.63</v>
      </c>
      <c r="C18" s="3119">
        <v>29946.63</v>
      </c>
      <c r="D18" s="3587"/>
    </row>
    <row r="19" spans="1:4" x14ac:dyDescent="0.3">
      <c r="A19" s="3588" t="s">
        <v>3541</v>
      </c>
      <c r="B19" s="3119">
        <v>0</v>
      </c>
      <c r="C19" s="3119">
        <v>0</v>
      </c>
      <c r="D19" s="3587"/>
    </row>
    <row r="20" spans="1:4" x14ac:dyDescent="0.3">
      <c r="A20" s="3667" t="s">
        <v>3584</v>
      </c>
      <c r="B20" s="3668"/>
      <c r="C20" s="3668"/>
      <c r="D20" s="3669"/>
    </row>
    <row r="21" spans="1:4" x14ac:dyDescent="0.3">
      <c r="A21" s="3664" t="s">
        <v>3585</v>
      </c>
      <c r="B21" s="3671">
        <v>4418.0200000000004</v>
      </c>
      <c r="C21" s="3671" t="s">
        <v>3587</v>
      </c>
      <c r="D21" s="3672" t="s">
        <v>3587</v>
      </c>
    </row>
    <row r="22" spans="1:4" ht="15" thickBot="1" x14ac:dyDescent="0.35">
      <c r="A22" s="3654" t="s">
        <v>1897</v>
      </c>
      <c r="B22" s="3670">
        <v>88768.68</v>
      </c>
      <c r="C22" s="3670" t="s">
        <v>3587</v>
      </c>
      <c r="D22" s="3673" t="s">
        <v>3587</v>
      </c>
    </row>
    <row r="23" spans="1:4" ht="15.6" x14ac:dyDescent="0.3">
      <c r="A23" s="3591">
        <v>2022</v>
      </c>
      <c r="B23" s="3662">
        <f>SUM(B24:B28)</f>
        <v>1573290.41</v>
      </c>
      <c r="C23" s="3662">
        <f>B23-D23</f>
        <v>1573290.41</v>
      </c>
      <c r="D23" s="3663">
        <f>SUM(D24:D28)</f>
        <v>0</v>
      </c>
    </row>
    <row r="24" spans="1:4" x14ac:dyDescent="0.3">
      <c r="A24" s="3586" t="s">
        <v>1894</v>
      </c>
      <c r="B24" s="3119">
        <v>260684.68000000002</v>
      </c>
      <c r="C24" s="3119">
        <v>260684.68000000002</v>
      </c>
      <c r="D24" s="3587"/>
    </row>
    <row r="25" spans="1:4" x14ac:dyDescent="0.3">
      <c r="A25" s="3588" t="s">
        <v>1895</v>
      </c>
      <c r="B25" s="3119">
        <v>1303882.56</v>
      </c>
      <c r="C25" s="3119">
        <v>1303882.56</v>
      </c>
      <c r="D25" s="3587"/>
    </row>
    <row r="26" spans="1:4" x14ac:dyDescent="0.3">
      <c r="A26" s="3588" t="s">
        <v>2233</v>
      </c>
      <c r="B26" s="3119">
        <v>803.54</v>
      </c>
      <c r="C26" s="3119">
        <v>803.54</v>
      </c>
      <c r="D26" s="3587"/>
    </row>
    <row r="27" spans="1:4" x14ac:dyDescent="0.3">
      <c r="A27" s="3588" t="s">
        <v>3540</v>
      </c>
      <c r="B27" s="3119">
        <v>7919.63</v>
      </c>
      <c r="C27" s="3119">
        <v>7919.63</v>
      </c>
      <c r="D27" s="3587"/>
    </row>
    <row r="28" spans="1:4" x14ac:dyDescent="0.3">
      <c r="A28" s="3588" t="s">
        <v>3541</v>
      </c>
      <c r="B28" s="3119">
        <v>0</v>
      </c>
      <c r="C28" s="3119">
        <v>0</v>
      </c>
      <c r="D28" s="3587"/>
    </row>
    <row r="29" spans="1:4" x14ac:dyDescent="0.3">
      <c r="A29" s="3667" t="s">
        <v>3584</v>
      </c>
      <c r="B29" s="3668"/>
      <c r="C29" s="3668"/>
      <c r="D29" s="3669"/>
    </row>
    <row r="30" spans="1:4" x14ac:dyDescent="0.3">
      <c r="A30" s="3664" t="s">
        <v>3585</v>
      </c>
      <c r="B30" s="3671">
        <v>19031.82</v>
      </c>
      <c r="C30" s="3674" t="s">
        <v>3587</v>
      </c>
      <c r="D30" s="3675" t="s">
        <v>3587</v>
      </c>
    </row>
    <row r="31" spans="1:4" ht="15" thickBot="1" x14ac:dyDescent="0.35">
      <c r="A31" s="3654" t="s">
        <v>1897</v>
      </c>
      <c r="B31" s="3670">
        <v>39030.03</v>
      </c>
      <c r="C31" s="3676" t="s">
        <v>3587</v>
      </c>
      <c r="D31" s="3677" t="s">
        <v>3587</v>
      </c>
    </row>
    <row r="32" spans="1:4" ht="15.6" hidden="1" x14ac:dyDescent="0.3">
      <c r="A32" s="3591">
        <v>2023</v>
      </c>
      <c r="B32" s="3662">
        <f>SUM(B33:B37)</f>
        <v>0</v>
      </c>
      <c r="C32" s="3662">
        <f t="shared" ref="C32:C37" si="0">B32-D32</f>
        <v>0</v>
      </c>
      <c r="D32" s="3663">
        <f>SUM(D33:D37)</f>
        <v>0</v>
      </c>
    </row>
    <row r="33" spans="1:4" hidden="1" x14ac:dyDescent="0.3">
      <c r="A33" s="3586" t="s">
        <v>1894</v>
      </c>
      <c r="B33" s="3119"/>
      <c r="C33" s="3119">
        <f t="shared" si="0"/>
        <v>0</v>
      </c>
      <c r="D33" s="3587"/>
    </row>
    <row r="34" spans="1:4" hidden="1" x14ac:dyDescent="0.3">
      <c r="A34" s="3588" t="s">
        <v>1895</v>
      </c>
      <c r="B34" s="3119"/>
      <c r="C34" s="3119">
        <f t="shared" si="0"/>
        <v>0</v>
      </c>
      <c r="D34" s="3587"/>
    </row>
    <row r="35" spans="1:4" hidden="1" x14ac:dyDescent="0.3">
      <c r="A35" s="3588" t="s">
        <v>2233</v>
      </c>
      <c r="B35" s="3119"/>
      <c r="C35" s="3119">
        <f t="shared" si="0"/>
        <v>0</v>
      </c>
      <c r="D35" s="3587"/>
    </row>
    <row r="36" spans="1:4" hidden="1" x14ac:dyDescent="0.3">
      <c r="A36" s="3588" t="s">
        <v>3540</v>
      </c>
      <c r="B36" s="3119"/>
      <c r="C36" s="3119">
        <f t="shared" si="0"/>
        <v>0</v>
      </c>
      <c r="D36" s="3587"/>
    </row>
    <row r="37" spans="1:4" hidden="1" x14ac:dyDescent="0.3">
      <c r="A37" s="3588" t="s">
        <v>3541</v>
      </c>
      <c r="B37" s="3119"/>
      <c r="C37" s="3119">
        <f t="shared" si="0"/>
        <v>0</v>
      </c>
      <c r="D37" s="3587"/>
    </row>
    <row r="38" spans="1:4" hidden="1" x14ac:dyDescent="0.3">
      <c r="A38" s="3667" t="s">
        <v>3584</v>
      </c>
      <c r="B38" s="3668"/>
      <c r="C38" s="3668"/>
      <c r="D38" s="3669"/>
    </row>
    <row r="39" spans="1:4" hidden="1" x14ac:dyDescent="0.3">
      <c r="A39" s="3664" t="s">
        <v>3585</v>
      </c>
      <c r="B39" s="3119"/>
      <c r="C39" s="3119"/>
      <c r="D39" s="3587"/>
    </row>
    <row r="40" spans="1:4" ht="15" hidden="1" thickBot="1" x14ac:dyDescent="0.35">
      <c r="A40" s="3654" t="s">
        <v>1897</v>
      </c>
      <c r="B40" s="3589"/>
      <c r="C40" s="3589"/>
      <c r="D40" s="3590"/>
    </row>
    <row r="41" spans="1:4" ht="15.6" x14ac:dyDescent="0.3">
      <c r="A41" s="3591" t="s">
        <v>3581</v>
      </c>
      <c r="B41" s="3662">
        <f>SUM(B42:B46)</f>
        <v>3973186.5333333332</v>
      </c>
      <c r="C41" s="3662">
        <f>B41-D41</f>
        <v>3973186.5333333332</v>
      </c>
      <c r="D41" s="3663">
        <f>SUM(D42:D46)</f>
        <v>0</v>
      </c>
    </row>
    <row r="42" spans="1:4" x14ac:dyDescent="0.3">
      <c r="A42" s="3586" t="s">
        <v>1894</v>
      </c>
      <c r="B42" s="3119">
        <f>'Ремонт-план'!C5</f>
        <v>1244717.5333333332</v>
      </c>
      <c r="C42" s="3119">
        <f>B42</f>
        <v>1244717.5333333332</v>
      </c>
      <c r="D42" s="3587"/>
    </row>
    <row r="43" spans="1:4" x14ac:dyDescent="0.3">
      <c r="A43" s="3588" t="s">
        <v>1895</v>
      </c>
      <c r="B43" s="3119">
        <f>'Ремонт-план'!D5</f>
        <v>2728469</v>
      </c>
      <c r="C43" s="3119">
        <f>B43</f>
        <v>2728469</v>
      </c>
      <c r="D43" s="3587"/>
    </row>
    <row r="44" spans="1:4" x14ac:dyDescent="0.3">
      <c r="A44" s="3588" t="s">
        <v>2233</v>
      </c>
      <c r="B44" s="3119">
        <f>'Ремонт-план'!I5</f>
        <v>0</v>
      </c>
      <c r="C44" s="3119">
        <f>B44</f>
        <v>0</v>
      </c>
      <c r="D44" s="3587"/>
    </row>
    <row r="45" spans="1:4" x14ac:dyDescent="0.3">
      <c r="A45" s="3588" t="s">
        <v>3540</v>
      </c>
      <c r="B45" s="3119">
        <f>'Ремонт-план'!K5</f>
        <v>0</v>
      </c>
      <c r="C45" s="3119">
        <f>B45</f>
        <v>0</v>
      </c>
      <c r="D45" s="3587"/>
    </row>
    <row r="46" spans="1:4" x14ac:dyDescent="0.3">
      <c r="A46" s="3588" t="s">
        <v>3541</v>
      </c>
      <c r="B46" s="3119">
        <v>0</v>
      </c>
      <c r="C46" s="3119">
        <f>B46</f>
        <v>0</v>
      </c>
      <c r="D46" s="3587"/>
    </row>
    <row r="47" spans="1:4" x14ac:dyDescent="0.3">
      <c r="A47" s="3667" t="s">
        <v>3584</v>
      </c>
      <c r="B47" s="3668"/>
      <c r="C47" s="3668"/>
      <c r="D47" s="3669"/>
    </row>
    <row r="48" spans="1:4" x14ac:dyDescent="0.3">
      <c r="A48" s="3664" t="s">
        <v>3585</v>
      </c>
      <c r="B48" s="3119"/>
      <c r="C48" s="3119"/>
      <c r="D48" s="3587"/>
    </row>
    <row r="49" spans="1:4" ht="15" thickBot="1" x14ac:dyDescent="0.35">
      <c r="A49" s="3654" t="s">
        <v>1897</v>
      </c>
      <c r="B49" s="3589"/>
      <c r="C49" s="3589"/>
      <c r="D49" s="3590"/>
    </row>
    <row r="55" spans="1:4" s="428" customFormat="1" ht="15.6" x14ac:dyDescent="0.3">
      <c r="A55" s="5810" t="s">
        <v>904</v>
      </c>
      <c r="B55" s="5810"/>
      <c r="C55" s="5244" t="s">
        <v>2376</v>
      </c>
      <c r="D55" s="5244"/>
    </row>
  </sheetData>
  <mergeCells count="6">
    <mergeCell ref="A1:D1"/>
    <mergeCell ref="A3:A4"/>
    <mergeCell ref="B3:B4"/>
    <mergeCell ref="C3:D3"/>
    <mergeCell ref="C55:D55"/>
    <mergeCell ref="A55:B55"/>
  </mergeCells>
  <pageMargins left="0.7" right="0.24" top="0.34" bottom="0.34" header="0.3" footer="0.3"/>
  <pageSetup paperSize="9" orientation="portrait" horizontalDpi="0" verticalDpi="0" r:id="rId1"/>
</worksheet>
</file>

<file path=xl/worksheets/sheet9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000-000000000000}">
  <sheetPr codeName="Лист93">
    <tabColor rgb="FF92D050"/>
    <pageSetUpPr fitToPage="1"/>
  </sheetPr>
  <dimension ref="B1:O22"/>
  <sheetViews>
    <sheetView workbookViewId="0">
      <pane xSplit="1" ySplit="3" topLeftCell="B4" activePane="bottomRight" state="frozen"/>
      <selection pane="topRight" activeCell="B1" sqref="B1"/>
      <selection pane="bottomLeft" activeCell="A4" sqref="A4"/>
      <selection pane="bottomRight" activeCell="E5" sqref="E5"/>
    </sheetView>
  </sheetViews>
  <sheetFormatPr defaultColWidth="8.88671875" defaultRowHeight="15.6" x14ac:dyDescent="0.3"/>
  <cols>
    <col min="1" max="1" width="4.33203125" style="45" customWidth="1"/>
    <col min="2" max="2" width="19" style="1467" customWidth="1"/>
    <col min="3" max="3" width="12.44140625" style="45" customWidth="1"/>
    <col min="4" max="4" width="20.44140625" style="1467" customWidth="1"/>
    <col min="5" max="6" width="12.88671875" style="45" customWidth="1"/>
    <col min="7" max="8" width="12.109375" style="45" customWidth="1"/>
    <col min="9" max="9" width="10.33203125" style="45" customWidth="1"/>
    <col min="10" max="10" width="10.6640625" style="45" customWidth="1"/>
    <col min="11" max="11" width="9" style="45" customWidth="1"/>
    <col min="12" max="12" width="9.88671875" style="45" customWidth="1"/>
    <col min="13" max="13" width="11.33203125" style="45" customWidth="1"/>
    <col min="14" max="14" width="10.88671875" style="45" customWidth="1"/>
    <col min="15" max="15" width="11.88671875" style="45" customWidth="1"/>
    <col min="16" max="16384" width="8.88671875" style="45"/>
  </cols>
  <sheetData>
    <row r="1" spans="2:15" ht="38.4" customHeight="1" x14ac:dyDescent="0.3">
      <c r="B1" s="5811"/>
      <c r="C1" s="5811"/>
      <c r="D1" s="5811"/>
      <c r="E1" s="5811"/>
      <c r="F1" s="5811"/>
      <c r="G1" s="5811"/>
      <c r="H1" s="5811"/>
      <c r="I1" s="5811"/>
      <c r="J1" s="5811"/>
      <c r="K1" s="5811"/>
      <c r="L1" s="5811"/>
      <c r="M1" s="5482" t="s">
        <v>3296</v>
      </c>
      <c r="N1" s="5482"/>
      <c r="O1" s="5482"/>
    </row>
    <row r="2" spans="2:15" ht="39" customHeight="1" x14ac:dyDescent="0.3">
      <c r="B2" s="5817" t="str">
        <f>"Загальна сума на ремонти по КП ЧТЕ на плановий період  "&amp;'Вхідні дані'!F6</f>
        <v>Загальна сума на ремонти по КП ЧТЕ на плановий період  2023-2024</v>
      </c>
      <c r="C2" s="5817"/>
      <c r="D2" s="5817"/>
      <c r="E2" s="5817"/>
      <c r="F2" s="5817"/>
      <c r="G2" s="5817"/>
      <c r="H2" s="5817"/>
      <c r="I2" s="5816">
        <f>C5+D5+I5+K5+M5+O5</f>
        <v>3975416.5333333332</v>
      </c>
      <c r="J2" s="5816"/>
      <c r="K2" s="1738" t="s">
        <v>3298</v>
      </c>
      <c r="M2" s="5812" t="s">
        <v>3580</v>
      </c>
      <c r="N2" s="5812"/>
      <c r="O2" s="5812"/>
    </row>
    <row r="3" spans="2:15" x14ac:dyDescent="0.3">
      <c r="B3" s="5725" t="s">
        <v>869</v>
      </c>
      <c r="C3" s="5725"/>
      <c r="D3" s="5814" t="s">
        <v>928</v>
      </c>
      <c r="E3" s="5815"/>
      <c r="F3" s="5815"/>
      <c r="G3" s="5815"/>
      <c r="H3" s="5725" t="s">
        <v>902</v>
      </c>
      <c r="I3" s="5725"/>
      <c r="J3" s="5725" t="s">
        <v>1427</v>
      </c>
      <c r="K3" s="5725"/>
      <c r="L3" s="5725" t="s">
        <v>971</v>
      </c>
      <c r="M3" s="5725"/>
      <c r="N3" s="5725" t="s">
        <v>2417</v>
      </c>
      <c r="O3" s="5725"/>
    </row>
    <row r="4" spans="2:15" ht="28.2" customHeight="1" x14ac:dyDescent="0.3">
      <c r="B4" s="7" t="s">
        <v>2415</v>
      </c>
      <c r="C4" s="7" t="s">
        <v>873</v>
      </c>
      <c r="D4" s="7" t="s">
        <v>2415</v>
      </c>
      <c r="E4" s="1475" t="s">
        <v>3293</v>
      </c>
      <c r="F4" s="1506" t="s">
        <v>3295</v>
      </c>
      <c r="G4" s="1506" t="s">
        <v>3294</v>
      </c>
      <c r="H4" s="1307" t="s">
        <v>2415</v>
      </c>
      <c r="I4" s="7" t="s">
        <v>873</v>
      </c>
      <c r="J4" s="1307" t="s">
        <v>2415</v>
      </c>
      <c r="K4" s="7" t="s">
        <v>873</v>
      </c>
      <c r="L4" s="1307" t="s">
        <v>2415</v>
      </c>
      <c r="M4" s="7" t="s">
        <v>873</v>
      </c>
      <c r="N4" s="1307" t="s">
        <v>2415</v>
      </c>
      <c r="O4" s="7" t="s">
        <v>873</v>
      </c>
    </row>
    <row r="5" spans="2:15" s="44" customFormat="1" x14ac:dyDescent="0.3">
      <c r="B5" s="1476" t="s">
        <v>1934</v>
      </c>
      <c r="C5" s="3658">
        <f>SUM(C6:C20)</f>
        <v>1244717.5333333332</v>
      </c>
      <c r="D5" s="3659">
        <f>SUM(E5:G5)</f>
        <v>2728469</v>
      </c>
      <c r="E5" s="3658">
        <f>SUM(E6:E20)</f>
        <v>797227</v>
      </c>
      <c r="F5" s="3658">
        <f>SUM(F6:F20)</f>
        <v>1572393</v>
      </c>
      <c r="G5" s="3658">
        <f>SUM(G6:G20)</f>
        <v>358849</v>
      </c>
      <c r="H5" s="3658"/>
      <c r="I5" s="3658">
        <f>SUM(I6:I20)</f>
        <v>0</v>
      </c>
      <c r="J5" s="3658"/>
      <c r="K5" s="3658">
        <f>SUM(K6:K20)</f>
        <v>0</v>
      </c>
      <c r="L5" s="3658"/>
      <c r="M5" s="3658">
        <f>SUM(M6:M20)</f>
        <v>2230</v>
      </c>
      <c r="N5" s="3658"/>
      <c r="O5" s="3658">
        <f>SUM(O6:O20)</f>
        <v>0</v>
      </c>
    </row>
    <row r="6" spans="2:15" ht="64.2" customHeight="1" x14ac:dyDescent="0.3">
      <c r="B6" s="1468" t="s">
        <v>3576</v>
      </c>
      <c r="C6" s="1307">
        <v>1217876</v>
      </c>
      <c r="D6" s="1468" t="s">
        <v>3579</v>
      </c>
      <c r="E6" s="1307"/>
      <c r="F6" s="778"/>
      <c r="G6" s="1307">
        <v>358849</v>
      </c>
      <c r="H6" s="778"/>
      <c r="I6" s="778"/>
      <c r="J6" s="778"/>
      <c r="K6" s="778"/>
      <c r="L6" s="713" t="s">
        <v>3589</v>
      </c>
      <c r="M6" s="1459">
        <v>2230</v>
      </c>
      <c r="N6" s="713"/>
      <c r="O6" s="778"/>
    </row>
    <row r="7" spans="2:15" ht="78" x14ac:dyDescent="0.3">
      <c r="B7" s="713" t="s">
        <v>3709</v>
      </c>
      <c r="C7" s="4276">
        <f>25906.58/1.2</f>
        <v>21588.816666666669</v>
      </c>
      <c r="D7" s="713" t="s">
        <v>3577</v>
      </c>
      <c r="E7" s="3657">
        <v>790717</v>
      </c>
      <c r="F7" s="778"/>
      <c r="G7" s="1459"/>
      <c r="H7" s="778"/>
      <c r="I7" s="778"/>
      <c r="J7" s="778"/>
      <c r="K7" s="778"/>
      <c r="L7" s="713"/>
      <c r="M7" s="1459"/>
      <c r="N7" s="778"/>
      <c r="O7" s="778"/>
    </row>
    <row r="8" spans="2:15" ht="78" x14ac:dyDescent="0.3">
      <c r="B8" s="713" t="s">
        <v>3710</v>
      </c>
      <c r="C8" s="4276">
        <f>6303.26/1.2</f>
        <v>5252.7166666666672</v>
      </c>
      <c r="D8" s="713" t="s">
        <v>3578</v>
      </c>
      <c r="E8" s="778"/>
      <c r="F8" s="3657">
        <v>1572393</v>
      </c>
      <c r="G8" s="778"/>
      <c r="H8" s="778"/>
      <c r="I8" s="778"/>
      <c r="J8" s="778"/>
      <c r="K8" s="778"/>
      <c r="L8" s="778"/>
      <c r="M8" s="778"/>
      <c r="N8" s="778"/>
      <c r="O8" s="778"/>
    </row>
    <row r="9" spans="2:15" x14ac:dyDescent="0.3">
      <c r="B9" s="713"/>
      <c r="C9" s="778"/>
      <c r="D9" s="713" t="s">
        <v>3589</v>
      </c>
      <c r="E9" s="778">
        <v>6510</v>
      </c>
      <c r="F9" s="778"/>
      <c r="G9" s="778"/>
      <c r="H9" s="778"/>
      <c r="I9" s="778"/>
      <c r="J9" s="778"/>
      <c r="K9" s="778"/>
      <c r="L9" s="778"/>
      <c r="M9" s="778"/>
      <c r="N9" s="778"/>
      <c r="O9" s="778"/>
    </row>
    <row r="10" spans="2:15" x14ac:dyDescent="0.3">
      <c r="B10" s="713"/>
      <c r="C10" s="778"/>
      <c r="D10" s="713" t="s">
        <v>3589</v>
      </c>
      <c r="E10" s="778"/>
      <c r="F10" s="778"/>
      <c r="G10" s="778"/>
      <c r="H10" s="778"/>
      <c r="I10" s="778"/>
      <c r="J10" s="778"/>
      <c r="K10" s="778"/>
      <c r="L10" s="778"/>
      <c r="M10" s="778"/>
      <c r="N10" s="778"/>
      <c r="O10" s="778"/>
    </row>
    <row r="11" spans="2:15" x14ac:dyDescent="0.3">
      <c r="B11" s="713"/>
      <c r="C11" s="778"/>
      <c r="D11" s="713"/>
      <c r="E11" s="778"/>
      <c r="F11" s="778"/>
      <c r="G11" s="778"/>
      <c r="H11" s="778"/>
      <c r="I11" s="778"/>
      <c r="J11" s="778"/>
      <c r="K11" s="778"/>
      <c r="L11" s="778"/>
      <c r="M11" s="778"/>
      <c r="N11" s="778"/>
      <c r="O11" s="778"/>
    </row>
    <row r="12" spans="2:15" x14ac:dyDescent="0.3">
      <c r="B12" s="713"/>
      <c r="C12" s="778"/>
      <c r="D12" s="713"/>
      <c r="E12" s="1459"/>
      <c r="F12" s="1459"/>
      <c r="G12" s="1459"/>
      <c r="H12" s="778"/>
      <c r="I12" s="778"/>
      <c r="J12" s="778"/>
      <c r="K12" s="778"/>
      <c r="L12" s="778"/>
      <c r="M12" s="778"/>
      <c r="N12" s="778"/>
      <c r="O12" s="778"/>
    </row>
    <row r="13" spans="2:15" s="44" customFormat="1" ht="18" customHeight="1" x14ac:dyDescent="0.3">
      <c r="B13" s="1476"/>
      <c r="C13" s="1160"/>
      <c r="G13" s="1160"/>
      <c r="H13" s="1160"/>
      <c r="I13" s="1160"/>
      <c r="J13" s="1160"/>
      <c r="K13" s="1160"/>
      <c r="L13" s="1160"/>
      <c r="M13" s="1160"/>
      <c r="N13" s="1160"/>
      <c r="O13" s="1160"/>
    </row>
    <row r="14" spans="2:15" x14ac:dyDescent="0.3">
      <c r="B14" s="713"/>
      <c r="C14" s="778"/>
      <c r="D14" s="713"/>
      <c r="E14" s="778"/>
      <c r="F14" s="778"/>
      <c r="G14" s="778"/>
      <c r="H14" s="778"/>
      <c r="I14" s="778"/>
      <c r="J14" s="778"/>
      <c r="K14" s="778"/>
      <c r="L14" s="778"/>
      <c r="M14" s="778"/>
      <c r="N14" s="778"/>
      <c r="O14" s="778"/>
    </row>
    <row r="15" spans="2:15" ht="33.6" customHeight="1" x14ac:dyDescent="0.3">
      <c r="B15" s="713"/>
      <c r="C15" s="778"/>
      <c r="D15" s="713"/>
      <c r="E15" s="778"/>
      <c r="F15" s="778"/>
      <c r="G15" s="778"/>
      <c r="H15" s="778"/>
      <c r="I15" s="778"/>
      <c r="J15" s="778"/>
      <c r="K15" s="778"/>
      <c r="L15" s="778"/>
      <c r="M15" s="778"/>
      <c r="N15" s="778"/>
      <c r="O15" s="778"/>
    </row>
    <row r="16" spans="2:15" x14ac:dyDescent="0.3">
      <c r="B16" s="713"/>
      <c r="C16" s="1459"/>
      <c r="D16" s="713"/>
      <c r="E16" s="778"/>
      <c r="F16" s="778"/>
      <c r="G16" s="778"/>
      <c r="H16" s="778"/>
      <c r="I16" s="778"/>
      <c r="J16" s="778"/>
      <c r="K16" s="778"/>
      <c r="L16" s="778"/>
      <c r="M16" s="778"/>
      <c r="N16" s="778"/>
      <c r="O16" s="778"/>
    </row>
    <row r="17" spans="2:15" x14ac:dyDescent="0.3">
      <c r="B17" s="713"/>
      <c r="C17" s="778"/>
      <c r="D17" s="713"/>
      <c r="E17" s="778"/>
      <c r="F17" s="778"/>
      <c r="G17" s="778"/>
      <c r="H17" s="778"/>
      <c r="I17" s="778"/>
      <c r="J17" s="778"/>
      <c r="K17" s="778"/>
      <c r="L17" s="778"/>
      <c r="M17" s="778"/>
      <c r="N17" s="778"/>
      <c r="O17" s="778"/>
    </row>
    <row r="18" spans="2:15" x14ac:dyDescent="0.3">
      <c r="B18" s="713"/>
      <c r="C18" s="778"/>
      <c r="D18" s="713"/>
      <c r="E18" s="778"/>
      <c r="F18" s="778"/>
      <c r="G18" s="778"/>
      <c r="H18" s="778"/>
      <c r="I18" s="778"/>
      <c r="J18" s="778"/>
      <c r="K18" s="778"/>
      <c r="L18" s="713"/>
      <c r="M18" s="778"/>
      <c r="N18" s="778"/>
      <c r="O18" s="778"/>
    </row>
    <row r="19" spans="2:15" x14ac:dyDescent="0.3">
      <c r="B19" s="713"/>
      <c r="C19" s="778"/>
      <c r="D19" s="713"/>
      <c r="E19" s="778"/>
      <c r="F19" s="778"/>
      <c r="G19" s="778"/>
      <c r="H19" s="778"/>
      <c r="I19" s="778"/>
      <c r="J19" s="778"/>
      <c r="K19" s="778"/>
      <c r="L19" s="778"/>
      <c r="M19" s="778"/>
      <c r="N19" s="778"/>
      <c r="O19" s="778"/>
    </row>
    <row r="20" spans="2:15" ht="53.4" customHeight="1" x14ac:dyDescent="0.3">
      <c r="B20" s="713"/>
      <c r="C20" s="778"/>
      <c r="D20" s="713"/>
      <c r="E20" s="1459"/>
      <c r="F20" s="1459"/>
      <c r="G20" s="1459"/>
      <c r="H20" s="778"/>
      <c r="I20" s="778"/>
      <c r="J20" s="778"/>
      <c r="K20" s="778"/>
      <c r="L20" s="1506"/>
      <c r="M20" s="1459"/>
      <c r="N20" s="778"/>
      <c r="O20" s="778"/>
    </row>
    <row r="21" spans="2:15" ht="36.6" customHeight="1" x14ac:dyDescent="0.3">
      <c r="B21" s="5813" t="s">
        <v>3570</v>
      </c>
      <c r="C21" s="5813"/>
      <c r="D21" s="5813"/>
      <c r="E21" s="5813"/>
      <c r="F21" s="5813"/>
      <c r="G21" s="5813"/>
      <c r="H21" s="5813"/>
      <c r="I21" s="5813"/>
      <c r="J21" s="5813"/>
      <c r="K21" s="5813"/>
      <c r="L21" s="5813"/>
      <c r="M21" s="5813"/>
      <c r="N21" s="5813"/>
      <c r="O21" s="5813"/>
    </row>
    <row r="22" spans="2:15" x14ac:dyDescent="0.3">
      <c r="D22" s="1467" t="s">
        <v>3297</v>
      </c>
      <c r="H22" s="45" t="s">
        <v>2375</v>
      </c>
    </row>
  </sheetData>
  <mergeCells count="12">
    <mergeCell ref="B1:L1"/>
    <mergeCell ref="M1:O1"/>
    <mergeCell ref="M2:O2"/>
    <mergeCell ref="B21:O21"/>
    <mergeCell ref="N3:O3"/>
    <mergeCell ref="B3:C3"/>
    <mergeCell ref="H3:I3"/>
    <mergeCell ref="J3:K3"/>
    <mergeCell ref="L3:M3"/>
    <mergeCell ref="D3:G3"/>
    <mergeCell ref="I2:J2"/>
    <mergeCell ref="B2:H2"/>
  </mergeCells>
  <pageMargins left="0.18" right="0.16" top="0.53" bottom="0.19" header="0.31496062992125984" footer="0.21"/>
  <pageSetup paperSize="9" scale="80" orientation="landscape" horizontalDpi="0" verticalDpi="0" r:id="rId1"/>
  <legacyDrawing r:id="rId2"/>
</worksheet>
</file>

<file path=xl/worksheets/sheet9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100-000000000000}">
  <sheetPr codeName="Лист94">
    <tabColor rgb="FFEC20C5"/>
  </sheetPr>
  <dimension ref="B1:L61"/>
  <sheetViews>
    <sheetView topLeftCell="A16" workbookViewId="0">
      <selection activeCell="D25" sqref="D25"/>
    </sheetView>
  </sheetViews>
  <sheetFormatPr defaultColWidth="8.88671875" defaultRowHeight="15.6" x14ac:dyDescent="0.3"/>
  <cols>
    <col min="1" max="1" width="4.33203125" style="433" customWidth="1"/>
    <col min="2" max="2" width="4.44140625" style="433" customWidth="1"/>
    <col min="3" max="3" width="39.33203125" style="433" customWidth="1"/>
    <col min="4" max="4" width="40.44140625" style="433" customWidth="1"/>
    <col min="5" max="5" width="11.44140625" style="433" customWidth="1"/>
    <col min="6" max="8" width="11.88671875" style="433" customWidth="1"/>
    <col min="9" max="9" width="3.33203125" style="433" customWidth="1"/>
    <col min="10" max="16384" width="8.88671875" style="433"/>
  </cols>
  <sheetData>
    <row r="1" spans="2:12" x14ac:dyDescent="0.3">
      <c r="H1" s="433" t="s">
        <v>925</v>
      </c>
    </row>
    <row r="3" spans="2:12" x14ac:dyDescent="0.3">
      <c r="B3" s="5611" t="s">
        <v>1885</v>
      </c>
      <c r="C3" s="5611"/>
      <c r="D3" s="5611"/>
      <c r="E3" s="5611"/>
      <c r="F3" s="5819" t="str">
        <f>'Вхідні дані'!F5</f>
        <v>КП «КТЕ"</v>
      </c>
      <c r="G3" s="5819"/>
      <c r="H3" s="5819"/>
    </row>
    <row r="4" spans="2:12" x14ac:dyDescent="0.3">
      <c r="B4" s="653"/>
      <c r="C4" s="875" t="s">
        <v>461</v>
      </c>
      <c r="D4" s="876" t="str">
        <f>'Вхідні дані'!F6</f>
        <v>2023-2024</v>
      </c>
      <c r="E4" s="653" t="s">
        <v>661</v>
      </c>
      <c r="G4" s="653"/>
      <c r="H4" s="653"/>
    </row>
    <row r="5" spans="2:12" ht="16.2" thickBot="1" x14ac:dyDescent="0.35"/>
    <row r="6" spans="2:12" x14ac:dyDescent="0.3">
      <c r="B6" s="5820" t="s">
        <v>975</v>
      </c>
      <c r="C6" s="5822" t="s">
        <v>1544</v>
      </c>
      <c r="D6" s="5822" t="s">
        <v>1545</v>
      </c>
      <c r="E6" s="5824" t="s">
        <v>3635</v>
      </c>
      <c r="F6" s="840" t="s">
        <v>933</v>
      </c>
      <c r="G6" s="654" t="s">
        <v>461</v>
      </c>
      <c r="H6" s="655" t="str">
        <f>'Вхідні дані'!F6</f>
        <v>2023-2024</v>
      </c>
      <c r="K6" s="5818" t="s">
        <v>3191</v>
      </c>
      <c r="L6" s="5818"/>
    </row>
    <row r="7" spans="2:12" ht="47.4" thickBot="1" x14ac:dyDescent="0.35">
      <c r="B7" s="5821"/>
      <c r="C7" s="5823"/>
      <c r="D7" s="5823"/>
      <c r="E7" s="5825"/>
      <c r="F7" s="841" t="s">
        <v>1009</v>
      </c>
      <c r="G7" s="663" t="s">
        <v>972</v>
      </c>
      <c r="H7" s="664" t="s">
        <v>973</v>
      </c>
      <c r="K7" s="841" t="s">
        <v>1009</v>
      </c>
      <c r="L7" s="663" t="s">
        <v>972</v>
      </c>
    </row>
    <row r="8" spans="2:12" ht="16.2" thickBot="1" x14ac:dyDescent="0.35">
      <c r="B8" s="2563"/>
      <c r="C8" s="2564"/>
      <c r="D8" s="659" t="s">
        <v>1934</v>
      </c>
      <c r="E8" s="2534"/>
      <c r="F8" s="2538">
        <f>SUM(F9:F33)</f>
        <v>13230</v>
      </c>
      <c r="G8" s="2538">
        <f>SUM(G9:G33)</f>
        <v>87600</v>
      </c>
      <c r="H8" s="2538">
        <f>SUM(H9:H33)</f>
        <v>100830</v>
      </c>
    </row>
    <row r="9" spans="2:12" x14ac:dyDescent="0.3">
      <c r="B9" s="660">
        <v>1</v>
      </c>
      <c r="C9" s="661" t="s">
        <v>2493</v>
      </c>
      <c r="D9" s="661" t="s">
        <v>1546</v>
      </c>
      <c r="E9" s="838"/>
      <c r="F9" s="2535"/>
      <c r="G9" s="2535"/>
      <c r="H9" s="2536">
        <f t="shared" ref="H9:H33" si="0">SUM(F9:G9)</f>
        <v>0</v>
      </c>
      <c r="K9" s="2535"/>
      <c r="L9" s="2535"/>
    </row>
    <row r="10" spans="2:12" x14ac:dyDescent="0.3">
      <c r="B10" s="656">
        <f>B9+1</f>
        <v>2</v>
      </c>
      <c r="C10" s="3901" t="s">
        <v>2493</v>
      </c>
      <c r="D10" s="458" t="s">
        <v>1547</v>
      </c>
      <c r="E10" s="839"/>
      <c r="F10" s="3902">
        <v>1850</v>
      </c>
      <c r="G10" s="459"/>
      <c r="H10" s="662">
        <f t="shared" si="0"/>
        <v>1850</v>
      </c>
      <c r="I10" s="3905" t="s">
        <v>3718</v>
      </c>
      <c r="K10" s="842"/>
      <c r="L10" s="459">
        <f>1750*2</f>
        <v>3500</v>
      </c>
    </row>
    <row r="11" spans="2:12" ht="31.2" x14ac:dyDescent="0.3">
      <c r="B11" s="656">
        <f>B10+1</f>
        <v>3</v>
      </c>
      <c r="C11" s="460" t="s">
        <v>1548</v>
      </c>
      <c r="D11" s="460" t="s">
        <v>1549</v>
      </c>
      <c r="E11" s="839"/>
      <c r="F11" s="842"/>
      <c r="G11" s="459"/>
      <c r="H11" s="662">
        <f t="shared" si="0"/>
        <v>0</v>
      </c>
      <c r="K11" s="842"/>
      <c r="L11" s="459"/>
    </row>
    <row r="12" spans="2:12" ht="31.2" x14ac:dyDescent="0.3">
      <c r="B12" s="656">
        <f t="shared" ref="B12:B33" si="1">B11+1</f>
        <v>4</v>
      </c>
      <c r="C12" s="458" t="s">
        <v>1550</v>
      </c>
      <c r="D12" s="460" t="s">
        <v>1551</v>
      </c>
      <c r="E12" s="839"/>
      <c r="F12" s="842"/>
      <c r="G12" s="459"/>
      <c r="H12" s="662">
        <f t="shared" si="0"/>
        <v>0</v>
      </c>
      <c r="K12" s="842"/>
      <c r="L12" s="459"/>
    </row>
    <row r="13" spans="2:12" x14ac:dyDescent="0.3">
      <c r="B13" s="656"/>
      <c r="C13" s="3900" t="s">
        <v>2393</v>
      </c>
      <c r="D13" s="1277"/>
      <c r="E13" s="839"/>
      <c r="F13" s="842"/>
      <c r="G13" s="3903"/>
      <c r="H13" s="662">
        <f t="shared" si="0"/>
        <v>0</v>
      </c>
      <c r="K13" s="842"/>
      <c r="L13" s="459"/>
    </row>
    <row r="14" spans="2:12" ht="18.75" customHeight="1" x14ac:dyDescent="0.3">
      <c r="B14" s="656">
        <f>B12+1</f>
        <v>5</v>
      </c>
      <c r="C14" s="460" t="s">
        <v>1552</v>
      </c>
      <c r="D14" s="1276" t="s">
        <v>2518</v>
      </c>
      <c r="E14" s="839"/>
      <c r="F14" s="842"/>
      <c r="G14" s="459"/>
      <c r="H14" s="662">
        <f t="shared" si="0"/>
        <v>0</v>
      </c>
      <c r="K14" s="842"/>
      <c r="L14" s="459"/>
    </row>
    <row r="15" spans="2:12" x14ac:dyDescent="0.3">
      <c r="B15" s="656">
        <f t="shared" si="1"/>
        <v>6</v>
      </c>
      <c r="C15" s="458" t="s">
        <v>1553</v>
      </c>
      <c r="D15" s="458" t="s">
        <v>1554</v>
      </c>
      <c r="E15" s="839"/>
      <c r="F15" s="3904">
        <v>3050</v>
      </c>
      <c r="G15" s="657"/>
      <c r="H15" s="662">
        <f t="shared" si="0"/>
        <v>3050</v>
      </c>
      <c r="K15" s="842">
        <v>2025</v>
      </c>
      <c r="L15" s="657"/>
    </row>
    <row r="16" spans="2:12" x14ac:dyDescent="0.3">
      <c r="B16" s="656">
        <f t="shared" si="1"/>
        <v>7</v>
      </c>
      <c r="C16" s="460" t="s">
        <v>3871</v>
      </c>
      <c r="D16" s="458" t="s">
        <v>1554</v>
      </c>
      <c r="E16" s="839"/>
      <c r="F16" s="3886">
        <v>2880</v>
      </c>
      <c r="G16" s="459"/>
      <c r="H16" s="662">
        <f t="shared" si="0"/>
        <v>2880</v>
      </c>
      <c r="K16" s="842">
        <v>4550</v>
      </c>
      <c r="L16" s="459"/>
    </row>
    <row r="17" spans="2:12" x14ac:dyDescent="0.3">
      <c r="B17" s="656">
        <f t="shared" si="1"/>
        <v>8</v>
      </c>
      <c r="C17" s="460" t="s">
        <v>3872</v>
      </c>
      <c r="D17" s="458" t="s">
        <v>1554</v>
      </c>
      <c r="E17" s="839"/>
      <c r="F17" s="3886">
        <v>5450</v>
      </c>
      <c r="G17" s="459"/>
      <c r="H17" s="662">
        <f t="shared" si="0"/>
        <v>5450</v>
      </c>
      <c r="K17" s="842"/>
      <c r="L17" s="459"/>
    </row>
    <row r="18" spans="2:12" ht="31.2" x14ac:dyDescent="0.3">
      <c r="B18" s="656">
        <f t="shared" si="1"/>
        <v>9</v>
      </c>
      <c r="C18" s="458" t="s">
        <v>2473</v>
      </c>
      <c r="D18" s="460" t="s">
        <v>1551</v>
      </c>
      <c r="E18" s="839"/>
      <c r="F18" s="842"/>
      <c r="G18" s="459"/>
      <c r="H18" s="662">
        <f t="shared" si="0"/>
        <v>0</v>
      </c>
      <c r="K18" s="842"/>
      <c r="L18" s="459">
        <v>2390</v>
      </c>
    </row>
    <row r="19" spans="2:12" x14ac:dyDescent="0.3">
      <c r="B19" s="656">
        <f>B18+1</f>
        <v>10</v>
      </c>
      <c r="C19" s="458" t="s">
        <v>2474</v>
      </c>
      <c r="D19" s="458" t="s">
        <v>2475</v>
      </c>
      <c r="E19" s="839"/>
      <c r="F19" s="842"/>
      <c r="G19" s="459"/>
      <c r="H19" s="662">
        <f t="shared" si="0"/>
        <v>0</v>
      </c>
      <c r="K19" s="842"/>
      <c r="L19" s="459"/>
    </row>
    <row r="20" spans="2:12" x14ac:dyDescent="0.3">
      <c r="B20" s="656">
        <f t="shared" si="1"/>
        <v>11</v>
      </c>
      <c r="C20" s="458" t="s">
        <v>1555</v>
      </c>
      <c r="D20" s="458" t="s">
        <v>3311</v>
      </c>
      <c r="E20" s="839"/>
      <c r="F20" s="842"/>
      <c r="G20" s="459"/>
      <c r="H20" s="662">
        <f t="shared" si="0"/>
        <v>0</v>
      </c>
      <c r="K20" s="842">
        <v>1500</v>
      </c>
      <c r="L20" s="459">
        <v>3000</v>
      </c>
    </row>
    <row r="21" spans="2:12" ht="18.600000000000001" customHeight="1" x14ac:dyDescent="0.3">
      <c r="B21" s="656">
        <f t="shared" si="1"/>
        <v>12</v>
      </c>
      <c r="C21" s="460" t="s">
        <v>2540</v>
      </c>
      <c r="D21" s="458" t="s">
        <v>1556</v>
      </c>
      <c r="E21" s="1278"/>
      <c r="F21" s="842"/>
      <c r="G21" s="459"/>
      <c r="H21" s="662">
        <f t="shared" si="0"/>
        <v>0</v>
      </c>
      <c r="K21" s="842"/>
      <c r="L21" s="459"/>
    </row>
    <row r="22" spans="2:12" ht="18.600000000000001" customHeight="1" x14ac:dyDescent="0.3">
      <c r="B22" s="656">
        <f t="shared" si="1"/>
        <v>13</v>
      </c>
      <c r="C22" s="3943" t="s">
        <v>2398</v>
      </c>
      <c r="D22" s="3944" t="s">
        <v>2399</v>
      </c>
      <c r="E22" s="1278"/>
      <c r="F22" s="842"/>
      <c r="G22" s="3886">
        <f>48000</f>
        <v>48000</v>
      </c>
      <c r="H22" s="662">
        <f t="shared" si="0"/>
        <v>48000</v>
      </c>
      <c r="I22" s="433" t="s">
        <v>3731</v>
      </c>
      <c r="K22" s="842"/>
      <c r="L22" s="459"/>
    </row>
    <row r="23" spans="2:12" s="1282" customFormat="1" ht="32.4" customHeight="1" x14ac:dyDescent="0.3">
      <c r="B23" s="656">
        <f t="shared" si="1"/>
        <v>14</v>
      </c>
      <c r="C23" s="1279" t="s">
        <v>2395</v>
      </c>
      <c r="D23" s="1280" t="s">
        <v>2394</v>
      </c>
      <c r="E23" s="1281"/>
      <c r="F23" s="842"/>
      <c r="G23" s="459"/>
      <c r="H23" s="662">
        <f t="shared" si="0"/>
        <v>0</v>
      </c>
      <c r="K23" s="842"/>
      <c r="L23" s="459"/>
    </row>
    <row r="24" spans="2:12" s="1282" customFormat="1" ht="16.95" customHeight="1" x14ac:dyDescent="0.3">
      <c r="B24" s="656">
        <f t="shared" si="1"/>
        <v>15</v>
      </c>
      <c r="C24" s="4383" t="s">
        <v>4121</v>
      </c>
      <c r="D24" s="1280" t="s">
        <v>4122</v>
      </c>
      <c r="E24" s="1281"/>
      <c r="F24" s="842"/>
      <c r="G24" s="4382">
        <v>6000</v>
      </c>
      <c r="H24" s="662">
        <f t="shared" si="0"/>
        <v>6000</v>
      </c>
      <c r="K24" s="842">
        <v>5600</v>
      </c>
      <c r="L24" s="459"/>
    </row>
    <row r="25" spans="2:12" s="1282" customFormat="1" ht="33" customHeight="1" x14ac:dyDescent="0.3">
      <c r="B25" s="656">
        <f t="shared" si="1"/>
        <v>16</v>
      </c>
      <c r="C25" s="1279" t="s">
        <v>2397</v>
      </c>
      <c r="D25" s="1280" t="s">
        <v>2396</v>
      </c>
      <c r="E25" s="1281"/>
      <c r="F25" s="842"/>
      <c r="G25" s="459"/>
      <c r="H25" s="662">
        <f t="shared" si="0"/>
        <v>0</v>
      </c>
      <c r="K25" s="842"/>
      <c r="L25" s="459"/>
    </row>
    <row r="26" spans="2:12" ht="31.2" customHeight="1" x14ac:dyDescent="0.3">
      <c r="B26" s="656">
        <f t="shared" si="1"/>
        <v>17</v>
      </c>
      <c r="C26" s="460" t="s">
        <v>1886</v>
      </c>
      <c r="D26" s="458" t="s">
        <v>1557</v>
      </c>
      <c r="E26" s="839"/>
      <c r="F26" s="842"/>
      <c r="G26" s="459"/>
      <c r="H26" s="662">
        <f t="shared" si="0"/>
        <v>0</v>
      </c>
      <c r="K26" s="842"/>
      <c r="L26" s="459">
        <v>110000</v>
      </c>
    </row>
    <row r="27" spans="2:12" x14ac:dyDescent="0.3">
      <c r="B27" s="656">
        <f t="shared" si="1"/>
        <v>18</v>
      </c>
      <c r="C27" s="460" t="s">
        <v>2400</v>
      </c>
      <c r="D27" s="458" t="s">
        <v>2401</v>
      </c>
      <c r="E27" s="839"/>
      <c r="F27" s="842"/>
      <c r="G27" s="459"/>
      <c r="H27" s="662">
        <f t="shared" si="0"/>
        <v>0</v>
      </c>
      <c r="K27" s="842"/>
      <c r="L27" s="459"/>
    </row>
    <row r="28" spans="2:12" x14ac:dyDescent="0.3">
      <c r="B28" s="656">
        <f t="shared" si="1"/>
        <v>19</v>
      </c>
      <c r="C28" s="3885" t="s">
        <v>1558</v>
      </c>
      <c r="D28" s="1573" t="s">
        <v>1559</v>
      </c>
      <c r="E28" s="1574"/>
      <c r="F28" s="1575"/>
      <c r="G28" s="3886">
        <f>2800*12</f>
        <v>33600</v>
      </c>
      <c r="H28" s="662">
        <f t="shared" si="0"/>
        <v>33600</v>
      </c>
      <c r="K28" s="1575"/>
      <c r="L28" s="459"/>
    </row>
    <row r="29" spans="2:12" x14ac:dyDescent="0.3">
      <c r="B29" s="656">
        <f t="shared" si="1"/>
        <v>20</v>
      </c>
      <c r="C29" s="1440" t="s">
        <v>2467</v>
      </c>
      <c r="D29" s="1440"/>
      <c r="E29" s="1574"/>
      <c r="F29" s="2537"/>
      <c r="G29" s="459"/>
      <c r="H29" s="662">
        <f t="shared" si="0"/>
        <v>0</v>
      </c>
      <c r="J29" s="433" t="s">
        <v>3299</v>
      </c>
      <c r="K29" s="2537"/>
      <c r="L29" s="459"/>
    </row>
    <row r="30" spans="2:12" x14ac:dyDescent="0.3">
      <c r="B30" s="656">
        <f t="shared" si="1"/>
        <v>21</v>
      </c>
      <c r="C30" s="460" t="s">
        <v>1560</v>
      </c>
      <c r="D30" s="460" t="s">
        <v>1561</v>
      </c>
      <c r="E30" s="839"/>
      <c r="F30" s="842"/>
      <c r="G30" s="459"/>
      <c r="H30" s="662">
        <f t="shared" si="0"/>
        <v>0</v>
      </c>
      <c r="K30" s="842"/>
      <c r="L30" s="459"/>
    </row>
    <row r="31" spans="2:12" x14ac:dyDescent="0.3">
      <c r="B31" s="656">
        <f t="shared" si="1"/>
        <v>22</v>
      </c>
      <c r="C31" s="460" t="s">
        <v>1562</v>
      </c>
      <c r="D31" s="460" t="s">
        <v>1563</v>
      </c>
      <c r="E31" s="839"/>
      <c r="F31" s="842"/>
      <c r="G31" s="459"/>
      <c r="H31" s="662">
        <f t="shared" si="0"/>
        <v>0</v>
      </c>
      <c r="K31" s="842"/>
      <c r="L31" s="459"/>
    </row>
    <row r="32" spans="2:12" x14ac:dyDescent="0.3">
      <c r="B32" s="656">
        <f t="shared" si="1"/>
        <v>23</v>
      </c>
      <c r="C32" s="460" t="s">
        <v>2558</v>
      </c>
      <c r="D32" s="460" t="s">
        <v>2559</v>
      </c>
      <c r="E32" s="839"/>
      <c r="F32" s="842"/>
      <c r="G32" s="459"/>
      <c r="H32" s="662">
        <f t="shared" si="0"/>
        <v>0</v>
      </c>
      <c r="K32" s="842"/>
      <c r="L32" s="459"/>
    </row>
    <row r="33" spans="2:12" x14ac:dyDescent="0.3">
      <c r="B33" s="656">
        <f t="shared" si="1"/>
        <v>24</v>
      </c>
      <c r="C33" s="460" t="s">
        <v>1564</v>
      </c>
      <c r="D33" s="460" t="s">
        <v>1565</v>
      </c>
      <c r="E33" s="839"/>
      <c r="F33" s="842"/>
      <c r="G33" s="459"/>
      <c r="H33" s="662">
        <f t="shared" si="0"/>
        <v>0</v>
      </c>
      <c r="K33" s="842"/>
      <c r="L33" s="459"/>
    </row>
    <row r="34" spans="2:12" ht="16.2" thickBot="1" x14ac:dyDescent="0.35">
      <c r="B34" s="658"/>
      <c r="C34" s="659" t="s">
        <v>1537</v>
      </c>
      <c r="D34" s="659" t="s">
        <v>1934</v>
      </c>
      <c r="E34" s="2534"/>
      <c r="F34" s="2538">
        <f>SUM(F9:F33)</f>
        <v>13230</v>
      </c>
      <c r="G34" s="2538">
        <f>SUM(G9:G33)</f>
        <v>87600</v>
      </c>
      <c r="H34" s="2539">
        <f>SUM(H9:H33)</f>
        <v>100830</v>
      </c>
    </row>
    <row r="61" spans="3:3" x14ac:dyDescent="0.3">
      <c r="C61" s="433">
        <v>4.68</v>
      </c>
    </row>
  </sheetData>
  <mergeCells count="7">
    <mergeCell ref="K6:L6"/>
    <mergeCell ref="F3:H3"/>
    <mergeCell ref="B6:B7"/>
    <mergeCell ref="C6:C7"/>
    <mergeCell ref="D6:D7"/>
    <mergeCell ref="E6:E7"/>
    <mergeCell ref="B3:E3"/>
  </mergeCells>
  <pageMargins left="0.7" right="0.2" top="0.33" bottom="0.15" header="0.3" footer="0.15"/>
  <pageSetup paperSize="9" orientation="landscape" horizontalDpi="0" verticalDpi="0" r:id="rId1"/>
</worksheet>
</file>

<file path=xl/worksheets/sheet9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6200-000000000000}">
  <sheetPr codeName="Лист95">
    <tabColor rgb="FFEC20C5"/>
  </sheetPr>
  <dimension ref="A2:K67"/>
  <sheetViews>
    <sheetView topLeftCell="A49" workbookViewId="0">
      <selection activeCell="B77" sqref="B77"/>
    </sheetView>
  </sheetViews>
  <sheetFormatPr defaultColWidth="9.109375" defaultRowHeight="13.95" customHeight="1" x14ac:dyDescent="0.3"/>
  <cols>
    <col min="1" max="1" width="6.33203125" style="452" customWidth="1"/>
    <col min="2" max="2" width="26.109375" style="452" customWidth="1"/>
    <col min="3" max="3" width="19.6640625" style="452" customWidth="1"/>
    <col min="4" max="4" width="21.109375" style="452" customWidth="1"/>
    <col min="5" max="5" width="20.44140625" style="452" customWidth="1"/>
    <col min="6" max="6" width="21.88671875" style="452" customWidth="1"/>
    <col min="7" max="7" width="9.109375" style="452" customWidth="1"/>
    <col min="8" max="8" width="16" style="452" customWidth="1"/>
    <col min="9" max="16384" width="9.109375" style="452"/>
  </cols>
  <sheetData>
    <row r="2" spans="1:11" ht="14.25" customHeight="1" thickBot="1" x14ac:dyDescent="0.35">
      <c r="A2" s="5826"/>
      <c r="B2" s="5826"/>
      <c r="C2" s="5826"/>
      <c r="D2" s="5826"/>
      <c r="E2" s="5826"/>
      <c r="F2" s="5826"/>
      <c r="G2" s="5826"/>
      <c r="H2" s="5826"/>
    </row>
    <row r="3" spans="1:11" ht="13.95" customHeight="1" x14ac:dyDescent="0.3">
      <c r="A3" s="455" t="s">
        <v>1441</v>
      </c>
      <c r="B3" s="456" t="s">
        <v>1442</v>
      </c>
      <c r="C3" s="456" t="s">
        <v>1422</v>
      </c>
      <c r="D3" s="456" t="s">
        <v>1443</v>
      </c>
      <c r="E3" s="456" t="s">
        <v>1444</v>
      </c>
      <c r="F3" s="456" t="s">
        <v>1416</v>
      </c>
      <c r="G3" s="456" t="s">
        <v>1445</v>
      </c>
      <c r="H3" s="457" t="s">
        <v>1446</v>
      </c>
    </row>
    <row r="4" spans="1:11" ht="13.95" customHeight="1" x14ac:dyDescent="0.3">
      <c r="A4" s="615">
        <v>1</v>
      </c>
      <c r="B4" s="616" t="s">
        <v>615</v>
      </c>
      <c r="C4" s="617"/>
      <c r="D4" s="617"/>
      <c r="E4" s="617"/>
      <c r="F4" s="618"/>
      <c r="G4" s="616"/>
      <c r="H4" s="619">
        <v>192</v>
      </c>
    </row>
    <row r="5" spans="1:11" ht="13.95" customHeight="1" x14ac:dyDescent="0.3">
      <c r="A5" s="620">
        <v>2</v>
      </c>
      <c r="B5" s="621" t="s">
        <v>1447</v>
      </c>
      <c r="C5" s="622">
        <v>3403</v>
      </c>
      <c r="D5" s="623" t="s">
        <v>1448</v>
      </c>
      <c r="E5" s="622">
        <v>3399</v>
      </c>
      <c r="F5" s="624"/>
      <c r="G5" s="621">
        <v>93</v>
      </c>
      <c r="H5" s="625"/>
      <c r="J5" s="454" t="s">
        <v>1449</v>
      </c>
      <c r="K5" s="454"/>
    </row>
    <row r="6" spans="1:11" ht="13.95" customHeight="1" x14ac:dyDescent="0.3">
      <c r="A6" s="615">
        <v>3</v>
      </c>
      <c r="B6" s="616" t="s">
        <v>1450</v>
      </c>
      <c r="C6" s="617">
        <v>3125</v>
      </c>
      <c r="D6" s="617" t="s">
        <v>1451</v>
      </c>
      <c r="E6" s="617"/>
      <c r="F6" s="618" t="s">
        <v>1452</v>
      </c>
      <c r="G6" s="616"/>
      <c r="H6" s="619"/>
    </row>
    <row r="7" spans="1:11" ht="13.95" customHeight="1" x14ac:dyDescent="0.3">
      <c r="A7" s="620">
        <v>4</v>
      </c>
      <c r="B7" s="626" t="s">
        <v>1453</v>
      </c>
      <c r="C7" s="622" t="s">
        <v>1454</v>
      </c>
      <c r="D7" s="622" t="s">
        <v>1455</v>
      </c>
      <c r="E7" s="622" t="s">
        <v>1456</v>
      </c>
      <c r="F7" s="624"/>
      <c r="G7" s="621"/>
      <c r="H7" s="625"/>
      <c r="J7" s="453" t="s">
        <v>1449</v>
      </c>
      <c r="K7" s="647" t="s">
        <v>1437</v>
      </c>
    </row>
    <row r="8" spans="1:11" ht="13.95" customHeight="1" x14ac:dyDescent="0.3">
      <c r="A8" s="615">
        <v>5</v>
      </c>
      <c r="B8" s="616" t="s">
        <v>1457</v>
      </c>
      <c r="C8" s="617">
        <v>3366</v>
      </c>
      <c r="D8" s="617" t="s">
        <v>1458</v>
      </c>
      <c r="E8" s="617"/>
      <c r="F8" s="618" t="s">
        <v>1459</v>
      </c>
      <c r="G8" s="616"/>
      <c r="H8" s="619"/>
    </row>
    <row r="9" spans="1:11" ht="13.95" customHeight="1" x14ac:dyDescent="0.3">
      <c r="A9" s="620">
        <v>6</v>
      </c>
      <c r="B9" s="621" t="s">
        <v>1460</v>
      </c>
      <c r="C9" s="622">
        <v>3130</v>
      </c>
      <c r="D9" s="622" t="s">
        <v>1461</v>
      </c>
      <c r="E9" s="622"/>
      <c r="F9" s="624" t="s">
        <v>1462</v>
      </c>
      <c r="G9" s="621"/>
      <c r="H9" s="625"/>
    </row>
    <row r="10" spans="1:11" ht="13.95" customHeight="1" x14ac:dyDescent="0.3">
      <c r="A10" s="615">
        <v>7</v>
      </c>
      <c r="B10" s="616" t="s">
        <v>1463</v>
      </c>
      <c r="C10" s="617">
        <v>3431</v>
      </c>
      <c r="D10" s="617">
        <v>3007</v>
      </c>
      <c r="E10" s="617" t="s">
        <v>1464</v>
      </c>
      <c r="F10" s="618"/>
      <c r="G10" s="616"/>
      <c r="H10" s="619"/>
      <c r="J10" s="454" t="s">
        <v>1449</v>
      </c>
      <c r="K10" s="454"/>
    </row>
    <row r="11" spans="1:11" ht="13.95" customHeight="1" x14ac:dyDescent="0.3">
      <c r="A11" s="620">
        <v>8</v>
      </c>
      <c r="B11" s="621" t="s">
        <v>1465</v>
      </c>
      <c r="C11" s="622" t="s">
        <v>1466</v>
      </c>
      <c r="D11" s="622">
        <v>191</v>
      </c>
      <c r="E11" s="622"/>
      <c r="F11" s="624"/>
      <c r="G11" s="621"/>
      <c r="H11" s="625"/>
    </row>
    <row r="12" spans="1:11" ht="13.95" customHeight="1" x14ac:dyDescent="0.3">
      <c r="A12" s="615">
        <v>9</v>
      </c>
      <c r="B12" s="626" t="s">
        <v>1467</v>
      </c>
      <c r="C12" s="617">
        <v>200</v>
      </c>
      <c r="D12" s="617" t="s">
        <v>1468</v>
      </c>
      <c r="E12" s="617" t="s">
        <v>1469</v>
      </c>
      <c r="F12" s="618"/>
      <c r="G12" s="616"/>
      <c r="H12" s="619"/>
      <c r="J12" s="453" t="s">
        <v>1449</v>
      </c>
      <c r="K12" s="647" t="s">
        <v>1437</v>
      </c>
    </row>
    <row r="13" spans="1:11" ht="13.95" customHeight="1" x14ac:dyDescent="0.3">
      <c r="A13" s="620">
        <v>10</v>
      </c>
      <c r="B13" s="621" t="s">
        <v>1470</v>
      </c>
      <c r="C13" s="622">
        <v>207</v>
      </c>
      <c r="D13" s="622">
        <v>201</v>
      </c>
      <c r="E13" s="624" t="s">
        <v>1471</v>
      </c>
      <c r="F13" s="624" t="s">
        <v>1472</v>
      </c>
      <c r="G13" s="621"/>
      <c r="H13" s="625"/>
      <c r="J13" s="454" t="s">
        <v>1449</v>
      </c>
      <c r="K13" s="454"/>
    </row>
    <row r="14" spans="1:11" ht="13.95" customHeight="1" x14ac:dyDescent="0.3">
      <c r="A14" s="615">
        <v>11</v>
      </c>
      <c r="B14" s="626" t="s">
        <v>1473</v>
      </c>
      <c r="C14" s="617">
        <v>3074</v>
      </c>
      <c r="D14" s="617" t="s">
        <v>1474</v>
      </c>
      <c r="E14" s="617">
        <v>3352</v>
      </c>
      <c r="F14" s="618"/>
      <c r="G14" s="616"/>
      <c r="H14" s="619" t="s">
        <v>1475</v>
      </c>
      <c r="J14" s="453" t="s">
        <v>1449</v>
      </c>
      <c r="K14" s="453" t="s">
        <v>1437</v>
      </c>
    </row>
    <row r="15" spans="1:11" ht="13.95" customHeight="1" x14ac:dyDescent="0.3">
      <c r="A15" s="620">
        <v>12</v>
      </c>
      <c r="B15" s="621" t="s">
        <v>1476</v>
      </c>
      <c r="C15" s="622">
        <v>3442</v>
      </c>
      <c r="D15" s="622" t="s">
        <v>1477</v>
      </c>
      <c r="E15" s="622"/>
      <c r="F15" s="624"/>
      <c r="G15" s="621"/>
      <c r="H15" s="625"/>
    </row>
    <row r="16" spans="1:11" ht="13.95" customHeight="1" x14ac:dyDescent="0.3">
      <c r="A16" s="615">
        <v>13</v>
      </c>
      <c r="B16" s="626" t="s">
        <v>1478</v>
      </c>
      <c r="C16" s="617">
        <v>3176</v>
      </c>
      <c r="D16" s="617">
        <v>3171</v>
      </c>
      <c r="E16" s="617" t="s">
        <v>1479</v>
      </c>
      <c r="F16" s="618"/>
      <c r="G16" s="616"/>
      <c r="H16" s="619"/>
      <c r="J16" s="453" t="s">
        <v>1449</v>
      </c>
      <c r="K16" s="647" t="s">
        <v>1437</v>
      </c>
    </row>
    <row r="17" spans="1:11" ht="13.95" customHeight="1" x14ac:dyDescent="0.3">
      <c r="A17" s="620">
        <v>14</v>
      </c>
      <c r="B17" s="626" t="s">
        <v>1480</v>
      </c>
      <c r="C17" s="622">
        <v>215</v>
      </c>
      <c r="D17" s="622">
        <v>189</v>
      </c>
      <c r="E17" s="622" t="s">
        <v>1481</v>
      </c>
      <c r="F17" s="624"/>
      <c r="G17" s="621"/>
      <c r="H17" s="625"/>
      <c r="J17" s="453" t="s">
        <v>1449</v>
      </c>
      <c r="K17" s="453" t="s">
        <v>1437</v>
      </c>
    </row>
    <row r="18" spans="1:11" ht="13.95" customHeight="1" x14ac:dyDescent="0.3">
      <c r="A18" s="615">
        <v>15</v>
      </c>
      <c r="B18" s="616" t="s">
        <v>1482</v>
      </c>
      <c r="C18" s="617"/>
      <c r="D18" s="617" t="s">
        <v>1483</v>
      </c>
      <c r="E18" s="617" t="s">
        <v>1484</v>
      </c>
      <c r="F18" s="617" t="s">
        <v>1485</v>
      </c>
      <c r="G18" s="616"/>
      <c r="H18" s="619">
        <v>3400</v>
      </c>
      <c r="J18" s="454" t="s">
        <v>1449</v>
      </c>
      <c r="K18" s="454"/>
    </row>
    <row r="19" spans="1:11" ht="13.95" customHeight="1" x14ac:dyDescent="0.3">
      <c r="A19" s="620">
        <v>16</v>
      </c>
      <c r="B19" s="621" t="s">
        <v>1486</v>
      </c>
      <c r="C19" s="622">
        <v>3379</v>
      </c>
      <c r="D19" s="622" t="s">
        <v>1487</v>
      </c>
      <c r="E19" s="622"/>
      <c r="F19" s="624"/>
      <c r="G19" s="621"/>
      <c r="H19" s="625"/>
    </row>
    <row r="20" spans="1:11" ht="13.95" customHeight="1" x14ac:dyDescent="0.3">
      <c r="A20" s="615">
        <v>17</v>
      </c>
      <c r="B20" s="626" t="s">
        <v>1488</v>
      </c>
      <c r="C20" s="617">
        <v>3129</v>
      </c>
      <c r="D20" s="616"/>
      <c r="E20" s="616">
        <v>3144</v>
      </c>
      <c r="F20" s="616">
        <v>3131</v>
      </c>
      <c r="G20" s="616"/>
      <c r="H20" s="619"/>
      <c r="J20" s="453" t="s">
        <v>1449</v>
      </c>
      <c r="K20" s="647" t="s">
        <v>1437</v>
      </c>
    </row>
    <row r="21" spans="1:11" ht="13.95" customHeight="1" x14ac:dyDescent="0.3">
      <c r="A21" s="620">
        <v>18</v>
      </c>
      <c r="B21" s="626" t="s">
        <v>1489</v>
      </c>
      <c r="C21" s="622">
        <v>3065</v>
      </c>
      <c r="D21" s="622">
        <v>3067</v>
      </c>
      <c r="E21" s="622" t="s">
        <v>1490</v>
      </c>
      <c r="F21" s="624"/>
      <c r="G21" s="621"/>
      <c r="H21" s="625"/>
      <c r="J21" s="453" t="s">
        <v>1437</v>
      </c>
      <c r="K21" s="453" t="s">
        <v>1437</v>
      </c>
    </row>
    <row r="22" spans="1:11" ht="13.95" customHeight="1" x14ac:dyDescent="0.3">
      <c r="A22" s="615">
        <v>19</v>
      </c>
      <c r="B22" s="616" t="s">
        <v>1491</v>
      </c>
      <c r="C22" s="617">
        <v>3184</v>
      </c>
      <c r="D22" s="617">
        <v>3175</v>
      </c>
      <c r="E22" s="617"/>
      <c r="F22" s="618"/>
      <c r="G22" s="616"/>
      <c r="H22" s="619"/>
    </row>
    <row r="23" spans="1:11" ht="13.95" customHeight="1" x14ac:dyDescent="0.3">
      <c r="A23" s="620">
        <v>20</v>
      </c>
      <c r="B23" s="621" t="s">
        <v>1492</v>
      </c>
      <c r="C23" s="622">
        <v>3006</v>
      </c>
      <c r="D23" s="622">
        <v>206</v>
      </c>
      <c r="E23" s="622"/>
      <c r="F23" s="624"/>
      <c r="G23" s="621"/>
      <c r="H23" s="625"/>
    </row>
    <row r="24" spans="1:11" ht="13.95" customHeight="1" x14ac:dyDescent="0.3">
      <c r="A24" s="615">
        <v>21</v>
      </c>
      <c r="B24" s="616" t="s">
        <v>1493</v>
      </c>
      <c r="C24" s="617">
        <v>3017</v>
      </c>
      <c r="D24" s="617" t="s">
        <v>1494</v>
      </c>
      <c r="E24" s="617"/>
      <c r="F24" s="618"/>
      <c r="G24" s="616"/>
      <c r="H24" s="619"/>
    </row>
    <row r="25" spans="1:11" ht="13.95" customHeight="1" x14ac:dyDescent="0.3">
      <c r="A25" s="620">
        <v>22</v>
      </c>
      <c r="B25" s="626" t="s">
        <v>1495</v>
      </c>
      <c r="C25" s="622">
        <f>SUM(C26:C36)</f>
        <v>36142</v>
      </c>
      <c r="D25" s="622">
        <v>991</v>
      </c>
      <c r="E25" s="622">
        <v>3204</v>
      </c>
      <c r="F25" s="627"/>
      <c r="G25" s="621"/>
      <c r="H25" s="625"/>
      <c r="J25" s="453" t="s">
        <v>1437</v>
      </c>
      <c r="K25" s="647" t="s">
        <v>1437</v>
      </c>
    </row>
    <row r="26" spans="1:11" ht="13.95" customHeight="1" x14ac:dyDescent="0.3">
      <c r="A26" s="615">
        <v>23</v>
      </c>
      <c r="B26" s="616" t="s">
        <v>1496</v>
      </c>
      <c r="C26" s="617">
        <v>3356</v>
      </c>
      <c r="D26" s="617" t="s">
        <v>1497</v>
      </c>
      <c r="E26" s="617"/>
      <c r="F26" s="618" t="s">
        <v>1498</v>
      </c>
      <c r="G26" s="616"/>
      <c r="H26" s="619"/>
    </row>
    <row r="27" spans="1:11" ht="13.95" customHeight="1" x14ac:dyDescent="0.3">
      <c r="A27" s="620">
        <v>24</v>
      </c>
      <c r="B27" s="621" t="s">
        <v>1499</v>
      </c>
      <c r="C27" s="622">
        <v>3096</v>
      </c>
      <c r="D27" s="624" t="s">
        <v>1500</v>
      </c>
      <c r="E27" s="622"/>
      <c r="F27" s="624" t="s">
        <v>1501</v>
      </c>
      <c r="G27" s="621"/>
      <c r="H27" s="625"/>
    </row>
    <row r="28" spans="1:11" ht="13.95" customHeight="1" x14ac:dyDescent="0.3">
      <c r="A28" s="615">
        <v>25</v>
      </c>
      <c r="B28" s="616" t="s">
        <v>1502</v>
      </c>
      <c r="C28" s="617">
        <v>3109</v>
      </c>
      <c r="D28" s="617">
        <v>196</v>
      </c>
      <c r="E28" s="617"/>
      <c r="F28" s="618"/>
      <c r="G28" s="616"/>
      <c r="H28" s="619"/>
    </row>
    <row r="29" spans="1:11" ht="13.95" customHeight="1" x14ac:dyDescent="0.3">
      <c r="A29" s="620">
        <v>26</v>
      </c>
      <c r="B29" s="621" t="s">
        <v>1503</v>
      </c>
      <c r="C29" s="622">
        <v>3439</v>
      </c>
      <c r="D29" s="622" t="s">
        <v>1504</v>
      </c>
      <c r="E29" s="622" t="s">
        <v>1481</v>
      </c>
      <c r="F29" s="624"/>
      <c r="G29" s="621"/>
      <c r="H29" s="625"/>
      <c r="J29" s="452" t="s">
        <v>1505</v>
      </c>
    </row>
    <row r="30" spans="1:11" ht="13.95" customHeight="1" x14ac:dyDescent="0.3">
      <c r="A30" s="615">
        <v>27</v>
      </c>
      <c r="B30" s="616" t="s">
        <v>1506</v>
      </c>
      <c r="C30" s="617">
        <v>3418</v>
      </c>
      <c r="D30" s="617">
        <v>992</v>
      </c>
      <c r="E30" s="617"/>
      <c r="F30" s="618"/>
      <c r="G30" s="616"/>
      <c r="H30" s="619"/>
    </row>
    <row r="31" spans="1:11" ht="13.95" customHeight="1" x14ac:dyDescent="0.3">
      <c r="A31" s="620">
        <v>28</v>
      </c>
      <c r="B31" s="621" t="s">
        <v>1507</v>
      </c>
      <c r="C31" s="622">
        <v>3367</v>
      </c>
      <c r="D31" s="622" t="s">
        <v>1508</v>
      </c>
      <c r="E31" s="622"/>
      <c r="F31" s="624"/>
      <c r="G31" s="621"/>
      <c r="H31" s="625"/>
    </row>
    <row r="32" spans="1:11" ht="13.95" customHeight="1" x14ac:dyDescent="0.3">
      <c r="A32" s="615">
        <v>29</v>
      </c>
      <c r="B32" s="616" t="s">
        <v>1509</v>
      </c>
      <c r="C32" s="617">
        <v>3426</v>
      </c>
      <c r="D32" s="617" t="s">
        <v>1510</v>
      </c>
      <c r="E32" s="617">
        <v>3420</v>
      </c>
      <c r="F32" s="618"/>
      <c r="G32" s="616"/>
      <c r="H32" s="619"/>
      <c r="J32" s="452" t="s">
        <v>1436</v>
      </c>
    </row>
    <row r="33" spans="1:10" ht="13.95" customHeight="1" x14ac:dyDescent="0.3">
      <c r="A33" s="620">
        <v>30</v>
      </c>
      <c r="B33" s="621" t="s">
        <v>1511</v>
      </c>
      <c r="C33" s="622">
        <v>3425</v>
      </c>
      <c r="D33" s="622" t="s">
        <v>1512</v>
      </c>
      <c r="E33" s="622"/>
      <c r="F33" s="624"/>
      <c r="G33" s="621"/>
      <c r="H33" s="625"/>
    </row>
    <row r="34" spans="1:10" ht="13.95" customHeight="1" x14ac:dyDescent="0.3">
      <c r="A34" s="615">
        <v>31</v>
      </c>
      <c r="B34" s="616" t="s">
        <v>1513</v>
      </c>
      <c r="C34" s="617">
        <v>3016</v>
      </c>
      <c r="D34" s="617" t="s">
        <v>1514</v>
      </c>
      <c r="E34" s="617"/>
      <c r="F34" s="618"/>
      <c r="G34" s="616"/>
      <c r="H34" s="619"/>
    </row>
    <row r="35" spans="1:10" ht="13.95" customHeight="1" x14ac:dyDescent="0.3">
      <c r="A35" s="620">
        <v>32</v>
      </c>
      <c r="B35" s="621" t="s">
        <v>1515</v>
      </c>
      <c r="C35" s="622">
        <v>3380</v>
      </c>
      <c r="D35" s="622" t="s">
        <v>1516</v>
      </c>
      <c r="E35" s="624" t="s">
        <v>1517</v>
      </c>
      <c r="F35" s="624" t="s">
        <v>1518</v>
      </c>
      <c r="G35" s="621"/>
      <c r="H35" s="625"/>
      <c r="J35" s="452" t="s">
        <v>1435</v>
      </c>
    </row>
    <row r="36" spans="1:10" ht="13.95" customHeight="1" x14ac:dyDescent="0.3">
      <c r="A36" s="615">
        <v>33</v>
      </c>
      <c r="B36" s="616" t="s">
        <v>1519</v>
      </c>
      <c r="C36" s="617">
        <v>3110</v>
      </c>
      <c r="D36" s="617" t="s">
        <v>1520</v>
      </c>
      <c r="E36" s="617">
        <v>3419</v>
      </c>
      <c r="F36" s="618"/>
      <c r="G36" s="616"/>
      <c r="H36" s="619"/>
      <c r="J36" s="452" t="s">
        <v>1435</v>
      </c>
    </row>
    <row r="37" spans="1:10" ht="13.95" customHeight="1" x14ac:dyDescent="0.3">
      <c r="A37" s="620">
        <v>34</v>
      </c>
      <c r="B37" s="621" t="s">
        <v>1521</v>
      </c>
      <c r="C37" s="622">
        <v>3111</v>
      </c>
      <c r="D37" s="622">
        <v>984</v>
      </c>
      <c r="E37" s="622"/>
      <c r="F37" s="624"/>
      <c r="G37" s="621"/>
      <c r="H37" s="625"/>
    </row>
    <row r="38" spans="1:10" ht="13.95" customHeight="1" x14ac:dyDescent="0.3">
      <c r="A38" s="615">
        <v>35</v>
      </c>
      <c r="B38" s="616" t="s">
        <v>1522</v>
      </c>
      <c r="C38" s="617">
        <v>3257</v>
      </c>
      <c r="D38" s="617" t="s">
        <v>1523</v>
      </c>
      <c r="E38" s="617"/>
      <c r="F38" s="618"/>
      <c r="G38" s="616"/>
      <c r="H38" s="619"/>
    </row>
    <row r="39" spans="1:10" ht="13.95" customHeight="1" x14ac:dyDescent="0.3">
      <c r="A39" s="620">
        <v>36</v>
      </c>
      <c r="B39" s="621" t="s">
        <v>1524</v>
      </c>
      <c r="C39" s="622">
        <v>3064</v>
      </c>
      <c r="D39" s="622"/>
      <c r="E39" s="622"/>
      <c r="F39" s="624"/>
      <c r="G39" s="621"/>
      <c r="H39" s="625"/>
    </row>
    <row r="40" spans="1:10" ht="13.95" customHeight="1" x14ac:dyDescent="0.3">
      <c r="A40" s="615">
        <v>37</v>
      </c>
      <c r="B40" s="616" t="s">
        <v>1525</v>
      </c>
      <c r="C40" s="617" t="s">
        <v>1526</v>
      </c>
      <c r="D40" s="617">
        <v>208</v>
      </c>
      <c r="E40" s="617">
        <v>3126</v>
      </c>
      <c r="F40" s="618"/>
      <c r="G40" s="616"/>
      <c r="H40" s="619"/>
      <c r="J40" s="452" t="s">
        <v>1433</v>
      </c>
    </row>
    <row r="41" spans="1:10" ht="13.95" customHeight="1" x14ac:dyDescent="0.3">
      <c r="A41" s="620">
        <v>38</v>
      </c>
      <c r="B41" s="621" t="s">
        <v>1527</v>
      </c>
      <c r="C41" s="622">
        <v>213</v>
      </c>
      <c r="D41" s="622"/>
      <c r="E41" s="622"/>
      <c r="F41" s="624"/>
      <c r="G41" s="621"/>
      <c r="H41" s="625"/>
    </row>
    <row r="42" spans="1:10" ht="13.95" customHeight="1" x14ac:dyDescent="0.3">
      <c r="A42" s="615">
        <v>39</v>
      </c>
      <c r="B42" s="616" t="s">
        <v>1528</v>
      </c>
      <c r="C42" s="617">
        <v>185</v>
      </c>
      <c r="D42" s="617" t="s">
        <v>1529</v>
      </c>
      <c r="E42" s="617"/>
      <c r="F42" s="618"/>
      <c r="G42" s="616"/>
      <c r="H42" s="619"/>
    </row>
    <row r="43" spans="1:10" ht="13.95" customHeight="1" x14ac:dyDescent="0.3">
      <c r="A43" s="620">
        <v>40</v>
      </c>
      <c r="B43" s="621" t="s">
        <v>1530</v>
      </c>
      <c r="C43" s="622">
        <v>3099</v>
      </c>
      <c r="D43" s="622"/>
      <c r="E43" s="622" t="s">
        <v>1531</v>
      </c>
      <c r="F43" s="624"/>
      <c r="G43" s="621"/>
      <c r="H43" s="625"/>
      <c r="J43" s="452" t="s">
        <v>1434</v>
      </c>
    </row>
    <row r="44" spans="1:10" ht="13.95" customHeight="1" x14ac:dyDescent="0.3">
      <c r="A44" s="615">
        <v>41</v>
      </c>
      <c r="B44" s="616" t="s">
        <v>1532</v>
      </c>
      <c r="C44" s="617">
        <v>212</v>
      </c>
      <c r="D44" s="617"/>
      <c r="E44" s="617"/>
      <c r="F44" s="618"/>
      <c r="G44" s="616"/>
      <c r="H44" s="619"/>
    </row>
    <row r="45" spans="1:10" ht="13.95" customHeight="1" x14ac:dyDescent="0.3">
      <c r="A45" s="620">
        <v>42</v>
      </c>
      <c r="B45" s="621" t="s">
        <v>1533</v>
      </c>
      <c r="C45" s="616">
        <v>3018</v>
      </c>
      <c r="D45" s="621"/>
      <c r="E45" s="621"/>
      <c r="F45" s="621"/>
      <c r="G45" s="621"/>
      <c r="H45" s="625"/>
    </row>
    <row r="46" spans="1:10" ht="13.95" customHeight="1" x14ac:dyDescent="0.3">
      <c r="A46" s="615">
        <v>43</v>
      </c>
      <c r="B46" s="616" t="s">
        <v>1534</v>
      </c>
      <c r="C46" s="616">
        <v>3438</v>
      </c>
      <c r="D46" s="617" t="s">
        <v>1504</v>
      </c>
      <c r="E46" s="616"/>
      <c r="F46" s="616"/>
      <c r="G46" s="616"/>
      <c r="H46" s="619"/>
    </row>
    <row r="47" spans="1:10" ht="13.95" customHeight="1" thickBot="1" x14ac:dyDescent="0.35">
      <c r="A47" s="628"/>
      <c r="B47" s="629" t="s">
        <v>1537</v>
      </c>
      <c r="C47" s="629"/>
      <c r="D47" s="629"/>
      <c r="E47" s="630" t="s">
        <v>1535</v>
      </c>
      <c r="F47" s="629"/>
      <c r="G47" s="629"/>
      <c r="H47" s="631"/>
    </row>
    <row r="48" spans="1:10" ht="13.95" customHeight="1" x14ac:dyDescent="0.3">
      <c r="E48" s="632"/>
    </row>
    <row r="49" spans="2:8" ht="13.95" customHeight="1" x14ac:dyDescent="0.3">
      <c r="E49" s="632"/>
    </row>
    <row r="50" spans="2:8" ht="13.95" customHeight="1" x14ac:dyDescent="0.3">
      <c r="E50" s="843" t="s">
        <v>1011</v>
      </c>
    </row>
    <row r="51" spans="2:8" s="636" customFormat="1" ht="13.95" customHeight="1" x14ac:dyDescent="0.25">
      <c r="E51" s="843"/>
    </row>
    <row r="52" spans="2:8" ht="13.95" customHeight="1" x14ac:dyDescent="0.3">
      <c r="B52" s="5827" t="s">
        <v>1980</v>
      </c>
      <c r="C52" s="5827"/>
      <c r="D52" s="5827"/>
      <c r="E52" s="5827"/>
    </row>
    <row r="53" spans="2:8" s="636" customFormat="1" ht="13.95" customHeight="1" x14ac:dyDescent="0.25">
      <c r="B53" s="877" t="str">
        <f>'Вхідні дані'!F5</f>
        <v>КП «КТЕ"</v>
      </c>
      <c r="C53" s="878"/>
      <c r="D53" s="843" t="s">
        <v>461</v>
      </c>
      <c r="E53" s="879" t="str">
        <f>'Вхідні дані'!F6</f>
        <v>2023-2024</v>
      </c>
      <c r="F53" s="636" t="s">
        <v>661</v>
      </c>
    </row>
    <row r="54" spans="2:8" ht="13.95" customHeight="1" thickBot="1" x14ac:dyDescent="0.35">
      <c r="E54" s="632"/>
    </row>
    <row r="55" spans="2:8" ht="28.8" thickBot="1" x14ac:dyDescent="0.35">
      <c r="B55" s="633" t="s">
        <v>1881</v>
      </c>
      <c r="C55" s="634" t="s">
        <v>1882</v>
      </c>
      <c r="D55" s="635" t="s">
        <v>1883</v>
      </c>
      <c r="E55" s="634" t="s">
        <v>1884</v>
      </c>
      <c r="F55" s="636"/>
      <c r="G55" s="636"/>
    </row>
    <row r="56" spans="2:8" ht="13.95" customHeight="1" x14ac:dyDescent="0.3">
      <c r="B56" s="637"/>
      <c r="C56" s="638"/>
      <c r="D56" s="638"/>
      <c r="E56" s="639"/>
      <c r="F56" s="636"/>
      <c r="G56" s="636"/>
    </row>
    <row r="57" spans="2:8" ht="14.4" x14ac:dyDescent="0.3">
      <c r="B57" s="640" t="s">
        <v>869</v>
      </c>
      <c r="C57" s="643">
        <v>2</v>
      </c>
      <c r="D57" s="641">
        <v>350</v>
      </c>
      <c r="E57" s="641">
        <f>C57*D57</f>
        <v>700</v>
      </c>
      <c r="F57" s="636"/>
      <c r="G57" s="636"/>
    </row>
    <row r="58" spans="2:8" ht="14.4" x14ac:dyDescent="0.3">
      <c r="B58" s="640" t="s">
        <v>928</v>
      </c>
      <c r="C58" s="643">
        <v>6</v>
      </c>
      <c r="D58" s="641">
        <v>350</v>
      </c>
      <c r="E58" s="641">
        <f t="shared" ref="E58:E63" si="0">C58*D58</f>
        <v>2100</v>
      </c>
      <c r="F58" s="636"/>
      <c r="G58" s="636"/>
    </row>
    <row r="59" spans="2:8" ht="14.4" x14ac:dyDescent="0.3">
      <c r="B59" s="640" t="s">
        <v>902</v>
      </c>
      <c r="C59" s="643">
        <v>22</v>
      </c>
      <c r="D59" s="641">
        <v>350</v>
      </c>
      <c r="E59" s="641">
        <f t="shared" si="0"/>
        <v>7700</v>
      </c>
      <c r="F59" s="636"/>
      <c r="G59" s="636"/>
    </row>
    <row r="60" spans="2:8" ht="14.4" x14ac:dyDescent="0.3">
      <c r="B60" s="640" t="s">
        <v>1880</v>
      </c>
      <c r="C60" s="643">
        <v>45</v>
      </c>
      <c r="D60" s="641">
        <v>350</v>
      </c>
      <c r="E60" s="641">
        <f t="shared" si="0"/>
        <v>15750</v>
      </c>
      <c r="F60" s="636"/>
      <c r="G60" s="636"/>
    </row>
    <row r="61" spans="2:8" ht="14.4" x14ac:dyDescent="0.3">
      <c r="B61" s="640" t="s">
        <v>1425</v>
      </c>
      <c r="C61" s="643">
        <v>6</v>
      </c>
      <c r="D61" s="641">
        <v>350</v>
      </c>
      <c r="E61" s="641">
        <f t="shared" si="0"/>
        <v>2100</v>
      </c>
      <c r="F61" s="636"/>
      <c r="G61" s="636"/>
    </row>
    <row r="62" spans="2:8" ht="14.4" x14ac:dyDescent="0.3">
      <c r="B62" s="640" t="s">
        <v>1567</v>
      </c>
      <c r="C62" s="643">
        <v>26</v>
      </c>
      <c r="D62" s="641">
        <v>350</v>
      </c>
      <c r="E62" s="641">
        <f t="shared" si="0"/>
        <v>9100</v>
      </c>
      <c r="F62" s="636"/>
      <c r="G62" s="636"/>
    </row>
    <row r="63" spans="2:8" ht="15" thickBot="1" x14ac:dyDescent="0.35">
      <c r="B63" s="642" t="s">
        <v>929</v>
      </c>
      <c r="C63" s="644">
        <v>6</v>
      </c>
      <c r="D63" s="641">
        <v>350</v>
      </c>
      <c r="E63" s="1576">
        <f t="shared" si="0"/>
        <v>2100</v>
      </c>
      <c r="F63" s="636"/>
      <c r="G63" s="636"/>
    </row>
    <row r="64" spans="2:8" ht="15" thickBot="1" x14ac:dyDescent="0.35">
      <c r="B64" s="645" t="s">
        <v>1537</v>
      </c>
      <c r="C64" s="646">
        <f>SUM(C57:C63)</f>
        <v>113</v>
      </c>
      <c r="D64" s="1577"/>
      <c r="E64" s="1577">
        <f>SUM(E57:E63)</f>
        <v>39550</v>
      </c>
      <c r="F64" s="2504">
        <v>45000</v>
      </c>
      <c r="G64" s="636" t="s">
        <v>3277</v>
      </c>
      <c r="H64" s="636"/>
    </row>
    <row r="65" spans="2:7" ht="13.95" customHeight="1" x14ac:dyDescent="0.3">
      <c r="B65" s="636"/>
      <c r="C65" s="636"/>
      <c r="D65" s="636"/>
      <c r="E65" s="636"/>
      <c r="F65" s="636"/>
      <c r="G65" s="636"/>
    </row>
    <row r="66" spans="2:7" ht="13.95" customHeight="1" x14ac:dyDescent="0.3">
      <c r="B66" s="636"/>
      <c r="C66" s="636"/>
      <c r="D66" s="636"/>
      <c r="E66" s="636"/>
      <c r="F66" s="636"/>
      <c r="G66" s="636"/>
    </row>
    <row r="67" spans="2:7" s="433" customFormat="1" ht="13.95" customHeight="1" x14ac:dyDescent="0.3">
      <c r="B67" s="433" t="s">
        <v>904</v>
      </c>
      <c r="E67" s="433" t="s">
        <v>2376</v>
      </c>
    </row>
  </sheetData>
  <mergeCells count="2">
    <mergeCell ref="A2:H2"/>
    <mergeCell ref="B52:E52"/>
  </mergeCells>
  <pageMargins left="0.7" right="0.7" top="0.75" bottom="0.75" header="0.3" footer="0.3"/>
  <pageSetup paperSize="9" orientation="portrait" horizontalDpi="0"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Листы</vt:lpstr>
      </vt:variant>
      <vt:variant>
        <vt:i4>124</vt:i4>
      </vt:variant>
      <vt:variant>
        <vt:lpstr>Именованные диапазоны</vt:lpstr>
      </vt:variant>
      <vt:variant>
        <vt:i4>117</vt:i4>
      </vt:variant>
    </vt:vector>
  </HeadingPairs>
  <TitlesOfParts>
    <vt:vector size="241" baseType="lpstr">
      <vt:lpstr>Тарифи-зведен</vt:lpstr>
      <vt:lpstr>D1_2023-2024</vt:lpstr>
      <vt:lpstr>D2_2023-2024</vt:lpstr>
      <vt:lpstr>D3_2023-2024</vt:lpstr>
      <vt:lpstr>D4_2023-2024</vt:lpstr>
      <vt:lpstr>D5_2023-2024</vt:lpstr>
      <vt:lpstr>D6_2023-2024</vt:lpstr>
      <vt:lpstr>D7_2023-2024</vt:lpstr>
      <vt:lpstr>Вхідні дані</vt:lpstr>
      <vt:lpstr>Д 1_Заява</vt:lpstr>
      <vt:lpstr>КОНТРОЛЬ 1</vt:lpstr>
      <vt:lpstr>Д 2_Т на В</vt:lpstr>
      <vt:lpstr>Д 3_Т на Т з ЦТП</vt:lpstr>
      <vt:lpstr>Д 3.1_Т на Т без ЦТП</vt:lpstr>
      <vt:lpstr>Д 4_Т на П</vt:lpstr>
      <vt:lpstr>Д 5 Т на ТЕ з ЦТП</vt:lpstr>
      <vt:lpstr>Д 5.1 Т на ТЕ без ЦТП</vt:lpstr>
      <vt:lpstr>КОНТРОЛЬ 3</vt:lpstr>
      <vt:lpstr>Виробництво_1ст</vt:lpstr>
      <vt:lpstr>Транспортування_1ст</vt:lpstr>
      <vt:lpstr>Постачання_1ст</vt:lpstr>
      <vt:lpstr>ЗВВ_1ст</vt:lpstr>
      <vt:lpstr>Адміністративні_1ст</vt:lpstr>
      <vt:lpstr>КОНТРОЛЬ5</vt:lpstr>
      <vt:lpstr>БАЗИ РОЗПОДІЛУ</vt:lpstr>
      <vt:lpstr>ТЕ_2ст_тариф_з ЦТП</vt:lpstr>
      <vt:lpstr>ТЕ_2ст_тариф_без ЦТП</vt:lpstr>
      <vt:lpstr>Виробництво_2ст</vt:lpstr>
      <vt:lpstr>Транспортування_2ст</vt:lpstr>
      <vt:lpstr>Постачання_2ст</vt:lpstr>
      <vt:lpstr>ЗВВ_2ст</vt:lpstr>
      <vt:lpstr>БАЗИ РОЗПОДІЛУ_2ст</vt:lpstr>
      <vt:lpstr>Покриття втрат в мережах</vt:lpstr>
      <vt:lpstr>Д 6_Втрати</vt:lpstr>
      <vt:lpstr>Д 7_РП</vt:lpstr>
      <vt:lpstr>Д 8_Паливо</vt:lpstr>
      <vt:lpstr>Д 9_ЕЕ</vt:lpstr>
      <vt:lpstr>Д 10</vt:lpstr>
      <vt:lpstr>Д 11</vt:lpstr>
      <vt:lpstr>Д12_11</vt:lpstr>
      <vt:lpstr>Д 13_12</vt:lpstr>
      <vt:lpstr>Д 14</vt:lpstr>
      <vt:lpstr>Реєстр_робочий</vt:lpstr>
      <vt:lpstr>Д 15_13_Реєстр</vt:lpstr>
      <vt:lpstr>Розрахунки Річного плану</vt:lpstr>
      <vt:lpstr>Ср. за 5 лет</vt:lpstr>
      <vt:lpstr>ТР_КА 1-2</vt:lpstr>
      <vt:lpstr>Адміністративні_2ст</vt:lpstr>
      <vt:lpstr>БАЗА ИА</vt:lpstr>
      <vt:lpstr>ТЕ_2ст_вих</vt:lpstr>
      <vt:lpstr>2-х став на одиницю</vt:lpstr>
      <vt:lpstr>распределение</vt:lpstr>
      <vt:lpstr>Рішення 1Д</vt:lpstr>
      <vt:lpstr>Рішення 2Д</vt:lpstr>
      <vt:lpstr>Рішення 3Д</vt:lpstr>
      <vt:lpstr>Рішення 4Д</vt:lpstr>
      <vt:lpstr>Рішення 5Д</vt:lpstr>
      <vt:lpstr>Рішення 6Д</vt:lpstr>
      <vt:lpstr>Рішення 7Д</vt:lpstr>
      <vt:lpstr>Структура тарифу</vt:lpstr>
      <vt:lpstr>Порівняння</vt:lpstr>
      <vt:lpstr>Порівняння структур</vt:lpstr>
      <vt:lpstr>Податки</vt:lpstr>
      <vt:lpstr>Зв'язок</vt:lpstr>
      <vt:lpstr>РКО</vt:lpstr>
      <vt:lpstr>ПММ</vt:lpstr>
      <vt:lpstr>Прямі витрати</vt:lpstr>
      <vt:lpstr>ОП</vt:lpstr>
      <vt:lpstr>ФОП</vt:lpstr>
      <vt:lpstr>Зарплата Факт</vt:lpstr>
      <vt:lpstr>Амортизація</vt:lpstr>
      <vt:lpstr>Утилизація</vt:lpstr>
      <vt:lpstr>Страхування</vt:lpstr>
      <vt:lpstr>ТО</vt:lpstr>
      <vt:lpstr>Періодичні видання</vt:lpstr>
      <vt:lpstr>Факт 2023Поверка Юст</vt:lpstr>
      <vt:lpstr>Котел-повірка Юст</vt:lpstr>
      <vt:lpstr>Абон обсл 2022-23</vt:lpstr>
      <vt:lpstr>АО-прямые</vt:lpstr>
      <vt:lpstr>гран розмір</vt:lpstr>
      <vt:lpstr>Профпослуги2</vt:lpstr>
      <vt:lpstr>Запчастини</vt:lpstr>
      <vt:lpstr>по городам</vt:lpstr>
      <vt:lpstr>СВЕДЕНО_И</vt:lpstr>
      <vt:lpstr>Д-Сведено</vt:lpstr>
      <vt:lpstr>сведено-економ</vt:lpstr>
      <vt:lpstr>стр_тар_1 Гкал</vt:lpstr>
      <vt:lpstr>структури %</vt:lpstr>
      <vt:lpstr>інвестпрограма</vt:lpstr>
      <vt:lpstr>Сравнение 1 и 2 </vt:lpstr>
      <vt:lpstr>прибуток</vt:lpstr>
      <vt:lpstr>ПРЯМІ АО</vt:lpstr>
      <vt:lpstr>ПРЯМІ ІНШІ</vt:lpstr>
      <vt:lpstr>Примечания</vt:lpstr>
      <vt:lpstr>АО</vt:lpstr>
      <vt:lpstr>Ремонт-БФ</vt:lpstr>
      <vt:lpstr>Ремонт-план</vt:lpstr>
      <vt:lpstr>Профпослуги</vt:lpstr>
      <vt:lpstr>Картріджі</vt:lpstr>
      <vt:lpstr>Ціна ее</vt:lpstr>
      <vt:lpstr>Ціна газ</vt:lpstr>
      <vt:lpstr>Коригування витрат</vt:lpstr>
      <vt:lpstr>КОНТРОЛЬ 2</vt:lpstr>
      <vt:lpstr>ВОДА</vt:lpstr>
      <vt:lpstr>ТО ТЗ</vt:lpstr>
      <vt:lpstr>ТК ТЗ</vt:lpstr>
      <vt:lpstr>Для звіту по тарифам</vt:lpstr>
      <vt:lpstr>Додаток 1 до рішення</vt:lpstr>
      <vt:lpstr>Додаток 2 до рішення</vt:lpstr>
      <vt:lpstr>Додаток 3 до рішення</vt:lpstr>
      <vt:lpstr>Додаток 4 до рішення</vt:lpstr>
      <vt:lpstr>Додаток 5 до рішення</vt:lpstr>
      <vt:lpstr>Додаток 6 до рішення</vt:lpstr>
      <vt:lpstr>Додаток 7 до рішення</vt:lpstr>
      <vt:lpstr>Додаток 8 до рішення</vt:lpstr>
      <vt:lpstr>Додаток 9 до рішення</vt:lpstr>
      <vt:lpstr>Додаток 10 до рішення</vt:lpstr>
      <vt:lpstr>Додаток 11 до рішення</vt:lpstr>
      <vt:lpstr>По квартирам 1-3</vt:lpstr>
      <vt:lpstr>КОНТРОЛЬ-Доходи</vt:lpstr>
      <vt:lpstr>% структури</vt:lpstr>
      <vt:lpstr>Порівн ТАРИФІВ</vt:lpstr>
      <vt:lpstr>По Україні тариф</vt:lpstr>
      <vt:lpstr>Склад статей витрат</vt:lpstr>
      <vt:lpstr>'D1_2023-2024'!Заголовки_для_печати</vt:lpstr>
      <vt:lpstr>'D2_2023-2024'!Заголовки_для_печати</vt:lpstr>
      <vt:lpstr>'D3_2023-2024'!Заголовки_для_печати</vt:lpstr>
      <vt:lpstr>'D4_2023-2024'!Заголовки_для_печати</vt:lpstr>
      <vt:lpstr>'D6_2023-2024'!Заголовки_для_печати</vt:lpstr>
      <vt:lpstr>Адміністративні_1ст!Заголовки_для_печати</vt:lpstr>
      <vt:lpstr>'БАЗИ РОЗПОДІЛУ_2ст'!Заголовки_для_печати</vt:lpstr>
      <vt:lpstr>Виробництво_1ст!Заголовки_для_печати</vt:lpstr>
      <vt:lpstr>'Д 10'!Заголовки_для_печати</vt:lpstr>
      <vt:lpstr>'Д 13_12'!Заголовки_для_печати</vt:lpstr>
      <vt:lpstr>'Д 2_Т на В'!Заголовки_для_печати</vt:lpstr>
      <vt:lpstr>'Д 3.1_Т на Т без ЦТП'!Заголовки_для_печати</vt:lpstr>
      <vt:lpstr>'Д 3_Т на Т з ЦТП'!Заголовки_для_печати</vt:lpstr>
      <vt:lpstr>'Д 5 Т на ТЕ з ЦТП'!Заголовки_для_печати</vt:lpstr>
      <vt:lpstr>'Д 5.1 Т на ТЕ без ЦТП'!Заголовки_для_печати</vt:lpstr>
      <vt:lpstr>'Д 7_РП'!Заголовки_для_печати</vt:lpstr>
      <vt:lpstr>'Д 8_Паливо'!Заголовки_для_печати</vt:lpstr>
      <vt:lpstr>'Д 9_ЕЕ'!Заголовки_для_печати</vt:lpstr>
      <vt:lpstr>Д12_11!Заголовки_для_печати</vt:lpstr>
      <vt:lpstr>'Додаток 7 до рішення'!Заголовки_для_печати</vt:lpstr>
      <vt:lpstr>'Додаток 8 до рішення'!Заголовки_для_печати</vt:lpstr>
      <vt:lpstr>ЗВВ_1ст!Заголовки_для_печати</vt:lpstr>
      <vt:lpstr>'КОНТРОЛЬ 1'!Заголовки_для_печати</vt:lpstr>
      <vt:lpstr>'Прямі витрати'!Заголовки_для_печати</vt:lpstr>
      <vt:lpstr>'Рішення 3Д'!Заголовки_для_печати</vt:lpstr>
      <vt:lpstr>'Рішення 4Д'!Заголовки_для_печати</vt:lpstr>
      <vt:lpstr>'Рішення 5Д'!Заголовки_для_печати</vt:lpstr>
      <vt:lpstr>'Рішення 6Д'!Заголовки_для_печати</vt:lpstr>
      <vt:lpstr>'ТЕ_2ст_тариф_без ЦТП'!Заголовки_для_печати</vt:lpstr>
      <vt:lpstr>'ТЕ_2ст_тариф_з ЦТП'!Заголовки_для_печати</vt:lpstr>
      <vt:lpstr>Транспортування_1ст!Заголовки_для_печати</vt:lpstr>
      <vt:lpstr>Транспортування_2ст!Заголовки_для_печати</vt:lpstr>
      <vt:lpstr>'D1_2023-2024'!Область_печати</vt:lpstr>
      <vt:lpstr>'D2_2023-2024'!Область_печати</vt:lpstr>
      <vt:lpstr>'D3_2023-2024'!Область_печати</vt:lpstr>
      <vt:lpstr>'D4_2023-2024'!Область_печати</vt:lpstr>
      <vt:lpstr>'D5_2023-2024'!Область_печати</vt:lpstr>
      <vt:lpstr>'D6_2023-2024'!Область_печати</vt:lpstr>
      <vt:lpstr>'D7_2023-2024'!Область_печати</vt:lpstr>
      <vt:lpstr>Адміністративні_1ст!Область_печати</vt:lpstr>
      <vt:lpstr>Адміністративні_2ст!Область_печати</vt:lpstr>
      <vt:lpstr>Амортизація!Область_печати</vt:lpstr>
      <vt:lpstr>'АО-прямые'!Область_печати</vt:lpstr>
      <vt:lpstr>'БАЗА ИА'!Область_печати</vt:lpstr>
      <vt:lpstr>'БАЗИ РОЗПОДІЛУ'!Область_печати</vt:lpstr>
      <vt:lpstr>'БАЗИ РОЗПОДІЛУ_2ст'!Область_печати</vt:lpstr>
      <vt:lpstr>Виробництво_1ст!Область_печати</vt:lpstr>
      <vt:lpstr>ВОДА!Область_печати</vt:lpstr>
      <vt:lpstr>'Вхідні дані'!Область_печати</vt:lpstr>
      <vt:lpstr>'Д 1_Заява'!Область_печати</vt:lpstr>
      <vt:lpstr>'Д 10'!Область_печати</vt:lpstr>
      <vt:lpstr>'Д 13_12'!Область_печати</vt:lpstr>
      <vt:lpstr>'Д 15_13_Реєстр'!Область_печати</vt:lpstr>
      <vt:lpstr>'Д 2_Т на В'!Область_печати</vt:lpstr>
      <vt:lpstr>'Д 3.1_Т на Т без ЦТП'!Область_печати</vt:lpstr>
      <vt:lpstr>'Д 3_Т на Т з ЦТП'!Область_печати</vt:lpstr>
      <vt:lpstr>'Д 4_Т на П'!Область_печати</vt:lpstr>
      <vt:lpstr>'Д 5 Т на ТЕ з ЦТП'!Область_печати</vt:lpstr>
      <vt:lpstr>'Д 5.1 Т на ТЕ без ЦТП'!Область_печати</vt:lpstr>
      <vt:lpstr>'Д 6_Втрати'!Область_печати</vt:lpstr>
      <vt:lpstr>'Д 7_РП'!Область_печати</vt:lpstr>
      <vt:lpstr>'Д 8_Паливо'!Область_печати</vt:lpstr>
      <vt:lpstr>'Д 9_ЕЕ'!Область_печати</vt:lpstr>
      <vt:lpstr>Д12_11!Область_печати</vt:lpstr>
      <vt:lpstr>'Додаток 10 до рішення'!Область_печати</vt:lpstr>
      <vt:lpstr>'Додаток 11 до рішення'!Область_печати</vt:lpstr>
      <vt:lpstr>'Додаток 2 до рішення'!Область_печати</vt:lpstr>
      <vt:lpstr>'Додаток 3 до рішення'!Область_печати</vt:lpstr>
      <vt:lpstr>'Додаток 4 до рішення'!Область_печати</vt:lpstr>
      <vt:lpstr>'Додаток 5 до рішення'!Область_печати</vt:lpstr>
      <vt:lpstr>'Додаток 6 до рішення'!Область_печати</vt:lpstr>
      <vt:lpstr>'Додаток 7 до рішення'!Область_печати</vt:lpstr>
      <vt:lpstr>'Додаток 8 до рішення'!Область_печати</vt:lpstr>
      <vt:lpstr>'Додаток 9 до рішення'!Область_печати</vt:lpstr>
      <vt:lpstr>'Зарплата Факт'!Область_печати</vt:lpstr>
      <vt:lpstr>ЗВВ_1ст!Область_печати</vt:lpstr>
      <vt:lpstr>ЗВВ_2ст!Область_печати</vt:lpstr>
      <vt:lpstr>'Зв''язок'!Область_печати</vt:lpstr>
      <vt:lpstr>Картріджі!Область_печати</vt:lpstr>
      <vt:lpstr>'КОНТРОЛЬ 1'!Область_печати</vt:lpstr>
      <vt:lpstr>'Котел-повірка Юст'!Область_печати</vt:lpstr>
      <vt:lpstr>'Періодичні видання'!Область_печати</vt:lpstr>
      <vt:lpstr>ПММ!Область_печати</vt:lpstr>
      <vt:lpstr>'По квартирам 1-3'!Область_печати</vt:lpstr>
      <vt:lpstr>Податки!Область_печати</vt:lpstr>
      <vt:lpstr>'Покриття втрат в мережах'!Область_печати</vt:lpstr>
      <vt:lpstr>'Порівн ТАРИФІВ'!Область_печати</vt:lpstr>
      <vt:lpstr>Порівняння!Область_печати</vt:lpstr>
      <vt:lpstr>'Порівняння структур'!Область_печати</vt:lpstr>
      <vt:lpstr>Постачання_1ст!Область_печати</vt:lpstr>
      <vt:lpstr>Постачання_2ст!Область_печати</vt:lpstr>
      <vt:lpstr>Профпослуги!Область_печати</vt:lpstr>
      <vt:lpstr>'Прямі витрати'!Область_печати</vt:lpstr>
      <vt:lpstr>распределение!Область_печати</vt:lpstr>
      <vt:lpstr>Реєстр_робочий!Область_печати</vt:lpstr>
      <vt:lpstr>'Ремонт-план'!Область_печати</vt:lpstr>
      <vt:lpstr>'Рішення 3Д'!Область_печати</vt:lpstr>
      <vt:lpstr>'Рішення 4Д'!Область_печати</vt:lpstr>
      <vt:lpstr>'Рішення 5Д'!Область_печати</vt:lpstr>
      <vt:lpstr>'Рішення 6Д'!Область_печати</vt:lpstr>
      <vt:lpstr>СВЕДЕНО_И!Область_печати</vt:lpstr>
      <vt:lpstr>'сведено-економ'!Область_печати</vt:lpstr>
      <vt:lpstr>'Ср. за 5 лет'!Область_печати</vt:lpstr>
      <vt:lpstr>'Структура тарифу'!Область_печати</vt:lpstr>
      <vt:lpstr>'структури %'!Область_печати</vt:lpstr>
      <vt:lpstr>ТЕ_2ст_вих!Область_печати</vt:lpstr>
      <vt:lpstr>'ТЕ_2ст_тариф_без ЦТП'!Область_печати</vt:lpstr>
      <vt:lpstr>'ТЕ_2ст_тариф_з ЦТП'!Область_печати</vt:lpstr>
      <vt:lpstr>'ТК ТЗ'!Область_печати</vt:lpstr>
      <vt:lpstr>ТО!Область_печати</vt:lpstr>
      <vt:lpstr>'ТО ТЗ'!Область_печати</vt:lpstr>
      <vt:lpstr>Транспортування_1ст!Область_печати</vt:lpstr>
      <vt:lpstr>Транспортування_2ст!Область_печати</vt:lpstr>
      <vt:lpstr>Утилизація!Область_печати</vt:lpstr>
      <vt:lpstr>'Факт 2023Поверка Юст'!Область_печати</vt:lpstr>
      <vt:lpstr>ФОП!Область_печати</vt:lpstr>
      <vt:lpstr>'Ціна ее'!Область_печати</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
  <cp:lastModifiedBy/>
  <dcterms:created xsi:type="dcterms:W3CDTF">2006-09-16T00:00:00Z</dcterms:created>
  <dcterms:modified xsi:type="dcterms:W3CDTF">2023-10-17T08:52:43Z</dcterms:modified>
</cp:coreProperties>
</file>